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7. 15 ส.ค. 67\ภาพรวม\"/>
    </mc:Choice>
  </mc:AlternateContent>
  <xr:revisionPtr revIDLastSave="0" documentId="13_ncr:1_{5110CCEB-B37B-492C-871E-0A49ADFC0823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ผู้แทน" sheetId="8" r:id="rId8"/>
    <sheet name="Smart" sheetId="9" r:id="rId9"/>
    <sheet name="เฝ้าระวังการเผา" sheetId="10" r:id="rId10"/>
    <sheet name="แปลงรวม" sheetId="11" r:id="rId11"/>
    <sheet name="จัดที่ดิน" sheetId="12" r:id="rId12"/>
    <sheet name="ศูนย์บริการ" sheetId="13" r:id="rId13"/>
    <sheet name="RTK" sheetId="14" r:id="rId14"/>
    <sheet name="โครงสร้างพื้นฐาน" sheetId="15" r:id="rId15"/>
    <sheet name="ตรวจสอบที่ดิน" sheetId="16" r:id="rId16"/>
    <sheet name="ยกระดับรายได้" sheetId="17" r:id="rId17"/>
    <sheet name="ขุดสระพร้อมระบบส่ง" sheetId="18" r:id="rId18"/>
    <sheet name="ขุดสระเก็บน้ำสาธารณะ" sheetId="19" r:id="rId19"/>
    <sheet name="แหล่งน้ำระบบกระจายน้ำ" sheetId="20" r:id="rId20"/>
    <sheet name="ฝาย" sheetId="21" r:id="rId21"/>
    <sheet name="ขยายพันธุ์พืช" sheetId="22" r:id="rId22"/>
    <sheet name="จัดหาที่ดินเอกชน" sheetId="23" r:id="rId23"/>
    <sheet name="7กิจกรรม" sheetId="24" r:id="rId24"/>
    <sheet name="จัดที่ดินชุมชน" sheetId="25" r:id="rId25"/>
    <sheet name="กมร" sheetId="26" r:id="rId26"/>
    <sheet name="อินทรีย์" sheetId="27" r:id="rId27"/>
    <sheet name="วนเกษตร" sheetId="28" r:id="rId28"/>
    <sheet name="ลานตาก" sheetId="29" r:id="rId29"/>
  </sheets>
  <definedNames>
    <definedName name="_xlnm._FilterDatabase" localSheetId="7" hidden="1">ผู้แทน!$A$1:$AB$124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08" i="29" l="1"/>
  <c r="F108" i="29"/>
  <c r="G107" i="29"/>
  <c r="F107" i="29"/>
  <c r="G106" i="29"/>
  <c r="F106" i="29"/>
  <c r="G105" i="29"/>
  <c r="F105" i="29"/>
  <c r="G104" i="29"/>
  <c r="F104" i="29"/>
  <c r="G103" i="29"/>
  <c r="F103" i="29"/>
  <c r="G102" i="29"/>
  <c r="F102" i="29"/>
  <c r="G101" i="29"/>
  <c r="F101" i="29"/>
  <c r="G100" i="29"/>
  <c r="F100" i="29"/>
  <c r="G99" i="29"/>
  <c r="F99" i="29"/>
  <c r="G98" i="29"/>
  <c r="F98" i="29"/>
  <c r="G97" i="29"/>
  <c r="F97" i="29"/>
  <c r="G96" i="29"/>
  <c r="F96" i="29"/>
  <c r="G95" i="29"/>
  <c r="F95" i="29"/>
  <c r="G94" i="29"/>
  <c r="F94" i="29"/>
  <c r="G93" i="29"/>
  <c r="F93" i="29"/>
  <c r="G92" i="29"/>
  <c r="F92" i="29"/>
  <c r="G91" i="29"/>
  <c r="F91" i="29"/>
  <c r="G90" i="29"/>
  <c r="F90" i="29"/>
  <c r="F89" i="29"/>
  <c r="E89" i="29"/>
  <c r="D89" i="29"/>
  <c r="C89" i="29"/>
  <c r="J88" i="29"/>
  <c r="J87" i="29"/>
  <c r="J86" i="29"/>
  <c r="J85" i="29"/>
  <c r="J84" i="29"/>
  <c r="J83" i="29"/>
  <c r="J82" i="29"/>
  <c r="J81" i="29"/>
  <c r="J80" i="29"/>
  <c r="J79" i="29"/>
  <c r="J78" i="29"/>
  <c r="J77" i="29"/>
  <c r="J76" i="29"/>
  <c r="J75" i="29"/>
  <c r="L74" i="29"/>
  <c r="K74" i="29"/>
  <c r="J74" i="29"/>
  <c r="I74" i="29"/>
  <c r="H74" i="29"/>
  <c r="F74" i="29"/>
  <c r="E74" i="29"/>
  <c r="D74" i="29"/>
  <c r="C74" i="29"/>
  <c r="J73" i="29"/>
  <c r="J72" i="29"/>
  <c r="J71" i="29"/>
  <c r="J70" i="29"/>
  <c r="J69" i="29"/>
  <c r="J68" i="29"/>
  <c r="J67" i="29"/>
  <c r="J66" i="29"/>
  <c r="J65" i="29"/>
  <c r="J64" i="29"/>
  <c r="J63" i="29"/>
  <c r="J62" i="29"/>
  <c r="J61" i="29"/>
  <c r="J60" i="29"/>
  <c r="J59" i="29"/>
  <c r="J58" i="29"/>
  <c r="J57" i="29"/>
  <c r="J56" i="29"/>
  <c r="J55" i="29"/>
  <c r="J54" i="29"/>
  <c r="J53" i="29"/>
  <c r="L52" i="29"/>
  <c r="K52" i="29"/>
  <c r="I52" i="29"/>
  <c r="H52" i="29"/>
  <c r="J52" i="29" s="1"/>
  <c r="G52" i="29"/>
  <c r="E52" i="29"/>
  <c r="D52" i="29"/>
  <c r="C52" i="29"/>
  <c r="F52" i="29" s="1"/>
  <c r="J51" i="29"/>
  <c r="J50" i="29"/>
  <c r="J49" i="29"/>
  <c r="J48" i="29"/>
  <c r="J47" i="29"/>
  <c r="J46" i="29"/>
  <c r="J45" i="29"/>
  <c r="J44" i="29"/>
  <c r="J43" i="29"/>
  <c r="J42" i="29"/>
  <c r="J41" i="29"/>
  <c r="J40" i="29"/>
  <c r="L39" i="29"/>
  <c r="L31" i="29" s="1"/>
  <c r="L8" i="29" s="1"/>
  <c r="L7" i="29" s="1"/>
  <c r="K39" i="29"/>
  <c r="K31" i="29" s="1"/>
  <c r="I39" i="29"/>
  <c r="I31" i="29" s="1"/>
  <c r="I8" i="29" s="1"/>
  <c r="I7" i="29" s="1"/>
  <c r="H39" i="29"/>
  <c r="H31" i="29" s="1"/>
  <c r="E39" i="29"/>
  <c r="E31" i="29" s="1"/>
  <c r="D39" i="29"/>
  <c r="C39" i="29"/>
  <c r="J38" i="29"/>
  <c r="J37" i="29"/>
  <c r="J36" i="29"/>
  <c r="J35" i="29"/>
  <c r="J34" i="29"/>
  <c r="J33" i="29"/>
  <c r="J32" i="29"/>
  <c r="D31" i="29"/>
  <c r="J30" i="29"/>
  <c r="J29" i="29"/>
  <c r="J28" i="29"/>
  <c r="J27" i="29"/>
  <c r="J26" i="29"/>
  <c r="J25" i="29"/>
  <c r="J24" i="29"/>
  <c r="J23" i="29"/>
  <c r="J22" i="29"/>
  <c r="J21" i="29"/>
  <c r="J20" i="29"/>
  <c r="J19" i="29"/>
  <c r="J18" i="29"/>
  <c r="J17" i="29"/>
  <c r="J16" i="29"/>
  <c r="J15" i="29"/>
  <c r="J14" i="29"/>
  <c r="L13" i="29"/>
  <c r="K13" i="29"/>
  <c r="I13" i="29"/>
  <c r="H13" i="29"/>
  <c r="J13" i="29" s="1"/>
  <c r="G13" i="29"/>
  <c r="F13" i="29"/>
  <c r="E13" i="29"/>
  <c r="D13" i="29"/>
  <c r="C13" i="29"/>
  <c r="J9" i="29"/>
  <c r="F9" i="29"/>
  <c r="E9" i="29"/>
  <c r="C9" i="29"/>
  <c r="G106" i="28"/>
  <c r="F106" i="28"/>
  <c r="G105" i="28"/>
  <c r="F105" i="28"/>
  <c r="G104" i="28"/>
  <c r="F104" i="28"/>
  <c r="G103" i="28"/>
  <c r="F103" i="28"/>
  <c r="G102" i="28"/>
  <c r="F102" i="28"/>
  <c r="G101" i="28"/>
  <c r="F101" i="28"/>
  <c r="G100" i="28"/>
  <c r="F100" i="28"/>
  <c r="G99" i="28"/>
  <c r="F99" i="28"/>
  <c r="G98" i="28"/>
  <c r="F98" i="28"/>
  <c r="G97" i="28"/>
  <c r="F97" i="28"/>
  <c r="E96" i="28"/>
  <c r="E89" i="28" s="1"/>
  <c r="D96" i="28"/>
  <c r="D89" i="28" s="1"/>
  <c r="C96" i="28"/>
  <c r="G95" i="28"/>
  <c r="F95" i="28"/>
  <c r="G94" i="28"/>
  <c r="F94" i="28"/>
  <c r="G93" i="28"/>
  <c r="F93" i="28"/>
  <c r="G92" i="28"/>
  <c r="F92" i="28"/>
  <c r="G91" i="28"/>
  <c r="F91" i="28"/>
  <c r="G90" i="28"/>
  <c r="F90" i="28"/>
  <c r="AN88" i="28"/>
  <c r="AM88" i="28"/>
  <c r="AK88" i="28"/>
  <c r="AJ88" i="28"/>
  <c r="AL88" i="28" s="1"/>
  <c r="AI88" i="28"/>
  <c r="AG88" i="28"/>
  <c r="AF88" i="28"/>
  <c r="AD88" i="28"/>
  <c r="AC88" i="28"/>
  <c r="AB88" i="28"/>
  <c r="Z88" i="28"/>
  <c r="Y88" i="28"/>
  <c r="AA88" i="28" s="1"/>
  <c r="X88" i="28"/>
  <c r="V88" i="28"/>
  <c r="U88" i="28"/>
  <c r="S88" i="28"/>
  <c r="R88" i="28"/>
  <c r="Q88" i="28"/>
  <c r="O88" i="28"/>
  <c r="N88" i="28"/>
  <c r="L88" i="28"/>
  <c r="J88" i="28"/>
  <c r="I88" i="28"/>
  <c r="H88" i="28"/>
  <c r="E88" i="28"/>
  <c r="D88" i="28"/>
  <c r="C88" i="28"/>
  <c r="AN87" i="28"/>
  <c r="AM87" i="28"/>
  <c r="AK87" i="28"/>
  <c r="AJ87" i="28"/>
  <c r="AI87" i="28"/>
  <c r="AG87" i="28"/>
  <c r="AF87" i="28"/>
  <c r="AD87" i="28"/>
  <c r="AC87" i="28"/>
  <c r="AE87" i="28" s="1"/>
  <c r="AB87" i="28"/>
  <c r="Z87" i="28"/>
  <c r="Y87" i="28"/>
  <c r="AA87" i="28" s="1"/>
  <c r="X87" i="28"/>
  <c r="V87" i="28"/>
  <c r="U87" i="28"/>
  <c r="S87" i="28"/>
  <c r="R87" i="28"/>
  <c r="Q87" i="28"/>
  <c r="O87" i="28"/>
  <c r="N87" i="28"/>
  <c r="L87" i="28"/>
  <c r="J87" i="28"/>
  <c r="K87" i="28" s="1"/>
  <c r="I87" i="28"/>
  <c r="H87" i="28"/>
  <c r="E87" i="28"/>
  <c r="D87" i="28"/>
  <c r="C87" i="28"/>
  <c r="AN86" i="28"/>
  <c r="AM86" i="28"/>
  <c r="AK86" i="28"/>
  <c r="AJ86" i="28"/>
  <c r="AI86" i="28"/>
  <c r="AG86" i="28"/>
  <c r="AF86" i="28"/>
  <c r="AD86" i="28"/>
  <c r="AC86" i="28"/>
  <c r="AE86" i="28" s="1"/>
  <c r="AB86" i="28"/>
  <c r="Z86" i="28"/>
  <c r="Y86" i="28"/>
  <c r="AA86" i="28" s="1"/>
  <c r="X86" i="28"/>
  <c r="V86" i="28"/>
  <c r="U86" i="28"/>
  <c r="W86" i="28" s="1"/>
  <c r="S86" i="28"/>
  <c r="R86" i="28"/>
  <c r="Q86" i="28"/>
  <c r="O86" i="28"/>
  <c r="N86" i="28"/>
  <c r="L86" i="28"/>
  <c r="J86" i="28"/>
  <c r="I86" i="28"/>
  <c r="H86" i="28"/>
  <c r="E86" i="28"/>
  <c r="D86" i="28"/>
  <c r="C86" i="28"/>
  <c r="AN85" i="28"/>
  <c r="AM85" i="28"/>
  <c r="AK85" i="28"/>
  <c r="AJ85" i="28"/>
  <c r="AI85" i="28"/>
  <c r="AG85" i="28"/>
  <c r="AF85" i="28"/>
  <c r="AD85" i="28"/>
  <c r="AC85" i="28"/>
  <c r="AB85" i="28"/>
  <c r="Z85" i="28"/>
  <c r="Y85" i="28"/>
  <c r="AA85" i="28" s="1"/>
  <c r="X85" i="28"/>
  <c r="V85" i="28"/>
  <c r="U85" i="28"/>
  <c r="W85" i="28" s="1"/>
  <c r="S85" i="28"/>
  <c r="R85" i="28"/>
  <c r="Q85" i="28"/>
  <c r="O85" i="28"/>
  <c r="N85" i="28"/>
  <c r="L85" i="28"/>
  <c r="J85" i="28"/>
  <c r="I85" i="28"/>
  <c r="H85" i="28"/>
  <c r="E85" i="28"/>
  <c r="D85" i="28"/>
  <c r="C85" i="28"/>
  <c r="AN84" i="28"/>
  <c r="AM84" i="28"/>
  <c r="AK84" i="28"/>
  <c r="AJ84" i="28"/>
  <c r="AL84" i="28" s="1"/>
  <c r="AI84" i="28"/>
  <c r="AG84" i="28"/>
  <c r="AF84" i="28"/>
  <c r="AD84" i="28"/>
  <c r="AC84" i="28"/>
  <c r="AB84" i="28"/>
  <c r="Z84" i="28"/>
  <c r="Y84" i="28"/>
  <c r="X84" i="28"/>
  <c r="V84" i="28"/>
  <c r="U84" i="28"/>
  <c r="W84" i="28" s="1"/>
  <c r="S84" i="28"/>
  <c r="R84" i="28"/>
  <c r="Q84" i="28"/>
  <c r="O84" i="28"/>
  <c r="N84" i="28"/>
  <c r="L84" i="28"/>
  <c r="J84" i="28"/>
  <c r="I84" i="28"/>
  <c r="H84" i="28"/>
  <c r="E84" i="28"/>
  <c r="D84" i="28"/>
  <c r="C84" i="28"/>
  <c r="AN83" i="28"/>
  <c r="AM83" i="28"/>
  <c r="AK83" i="28"/>
  <c r="AJ83" i="28"/>
  <c r="AI83" i="28"/>
  <c r="AG83" i="28"/>
  <c r="AF83" i="28"/>
  <c r="AD83" i="28"/>
  <c r="AC83" i="28"/>
  <c r="AE83" i="28" s="1"/>
  <c r="AB83" i="28"/>
  <c r="Z83" i="28"/>
  <c r="Y83" i="28"/>
  <c r="X83" i="28"/>
  <c r="V83" i="28"/>
  <c r="U83" i="28"/>
  <c r="S83" i="28"/>
  <c r="R83" i="28"/>
  <c r="Q83" i="28"/>
  <c r="O83" i="28"/>
  <c r="N83" i="28"/>
  <c r="L83" i="28"/>
  <c r="J83" i="28"/>
  <c r="K83" i="28" s="1"/>
  <c r="I83" i="28"/>
  <c r="H83" i="28"/>
  <c r="E83" i="28"/>
  <c r="D83" i="28"/>
  <c r="C83" i="28"/>
  <c r="AN82" i="28"/>
  <c r="AM82" i="28"/>
  <c r="AK82" i="28"/>
  <c r="AJ82" i="28"/>
  <c r="AI82" i="28"/>
  <c r="AG82" i="28"/>
  <c r="AF82" i="28"/>
  <c r="AD82" i="28"/>
  <c r="AC82" i="28"/>
  <c r="AB82" i="28"/>
  <c r="Z82" i="28"/>
  <c r="Y82" i="28"/>
  <c r="AA82" i="28" s="1"/>
  <c r="X82" i="28"/>
  <c r="V82" i="28"/>
  <c r="U82" i="28"/>
  <c r="S82" i="28"/>
  <c r="R82" i="28"/>
  <c r="Q82" i="28"/>
  <c r="O82" i="28"/>
  <c r="N82" i="28"/>
  <c r="L82" i="28"/>
  <c r="J82" i="28"/>
  <c r="I82" i="28"/>
  <c r="H82" i="28"/>
  <c r="E82" i="28"/>
  <c r="D82" i="28"/>
  <c r="C82" i="28"/>
  <c r="AN81" i="28"/>
  <c r="AM81" i="28"/>
  <c r="AL81" i="28"/>
  <c r="AK81" i="28"/>
  <c r="AJ81" i="28"/>
  <c r="AI81" i="28"/>
  <c r="AG81" i="28"/>
  <c r="AF81" i="28"/>
  <c r="AD81" i="28"/>
  <c r="AC81" i="28"/>
  <c r="AB81" i="28"/>
  <c r="Z81" i="28"/>
  <c r="Y81" i="28"/>
  <c r="AA81" i="28" s="1"/>
  <c r="X81" i="28"/>
  <c r="W81" i="28"/>
  <c r="V81" i="28"/>
  <c r="U81" i="28"/>
  <c r="S81" i="28"/>
  <c r="R81" i="28"/>
  <c r="T81" i="28" s="1"/>
  <c r="Q81" i="28"/>
  <c r="O81" i="28"/>
  <c r="N81" i="28"/>
  <c r="L81" i="28"/>
  <c r="J81" i="28"/>
  <c r="I81" i="28"/>
  <c r="M81" i="28" s="1"/>
  <c r="H81" i="28"/>
  <c r="E81" i="28"/>
  <c r="D81" i="28"/>
  <c r="C81" i="28"/>
  <c r="AN80" i="28"/>
  <c r="AM80" i="28"/>
  <c r="AK80" i="28"/>
  <c r="AJ80" i="28"/>
  <c r="AI80" i="28"/>
  <c r="AG80" i="28"/>
  <c r="AF80" i="28"/>
  <c r="AD80" i="28"/>
  <c r="AC80" i="28"/>
  <c r="AB80" i="28"/>
  <c r="Z80" i="28"/>
  <c r="Y80" i="28"/>
  <c r="X80" i="28"/>
  <c r="V80" i="28"/>
  <c r="U80" i="28"/>
  <c r="S80" i="28"/>
  <c r="R80" i="28"/>
  <c r="Q80" i="28"/>
  <c r="O80" i="28"/>
  <c r="N80" i="28"/>
  <c r="P80" i="28" s="1"/>
  <c r="L80" i="28"/>
  <c r="J80" i="28"/>
  <c r="I80" i="28"/>
  <c r="H80" i="28"/>
  <c r="E80" i="28"/>
  <c r="D80" i="28"/>
  <c r="C80" i="28"/>
  <c r="AN79" i="28"/>
  <c r="AM79" i="28"/>
  <c r="AK79" i="28"/>
  <c r="AJ79" i="28"/>
  <c r="AI79" i="28"/>
  <c r="AG79" i="28"/>
  <c r="AF79" i="28"/>
  <c r="AD79" i="28"/>
  <c r="AE79" i="28" s="1"/>
  <c r="AC79" i="28"/>
  <c r="AB79" i="28"/>
  <c r="Z79" i="28"/>
  <c r="Y79" i="28"/>
  <c r="X79" i="28"/>
  <c r="V79" i="28"/>
  <c r="U79" i="28"/>
  <c r="S79" i="28"/>
  <c r="R79" i="28"/>
  <c r="Q79" i="28"/>
  <c r="O79" i="28"/>
  <c r="N79" i="28"/>
  <c r="L79" i="28"/>
  <c r="J79" i="28"/>
  <c r="I79" i="28"/>
  <c r="M79" i="28" s="1"/>
  <c r="H79" i="28"/>
  <c r="E79" i="28"/>
  <c r="D79" i="28"/>
  <c r="C79" i="28"/>
  <c r="AN78" i="28"/>
  <c r="AM78" i="28"/>
  <c r="AK78" i="28"/>
  <c r="AJ78" i="28"/>
  <c r="AL78" i="28" s="1"/>
  <c r="AI78" i="28"/>
  <c r="AG78" i="28"/>
  <c r="AF78" i="28"/>
  <c r="AD78" i="28"/>
  <c r="AC78" i="28"/>
  <c r="AB78" i="28"/>
  <c r="Z78" i="28"/>
  <c r="Y78" i="28"/>
  <c r="X78" i="28"/>
  <c r="V78" i="28"/>
  <c r="U78" i="28"/>
  <c r="S78" i="28"/>
  <c r="R78" i="28"/>
  <c r="Q78" i="28"/>
  <c r="O78" i="28"/>
  <c r="N78" i="28"/>
  <c r="L78" i="28"/>
  <c r="J78" i="28"/>
  <c r="I78" i="28"/>
  <c r="M78" i="28" s="1"/>
  <c r="H78" i="28"/>
  <c r="E78" i="28"/>
  <c r="D78" i="28"/>
  <c r="C78" i="28"/>
  <c r="AN77" i="28"/>
  <c r="AM77" i="28"/>
  <c r="AK77" i="28"/>
  <c r="AJ77" i="28"/>
  <c r="AI77" i="28"/>
  <c r="AG77" i="28"/>
  <c r="AF77" i="28"/>
  <c r="AD77" i="28"/>
  <c r="AC77" i="28"/>
  <c r="AB77" i="28"/>
  <c r="Z77" i="28"/>
  <c r="Y77" i="28"/>
  <c r="X77" i="28"/>
  <c r="V77" i="28"/>
  <c r="U77" i="28"/>
  <c r="S77" i="28"/>
  <c r="R77" i="28"/>
  <c r="Q77" i="28"/>
  <c r="O77" i="28"/>
  <c r="N77" i="28"/>
  <c r="L77" i="28"/>
  <c r="J77" i="28"/>
  <c r="K77" i="28" s="1"/>
  <c r="I77" i="28"/>
  <c r="H77" i="28"/>
  <c r="E77" i="28"/>
  <c r="D77" i="28"/>
  <c r="C77" i="28"/>
  <c r="AN76" i="28"/>
  <c r="AM76" i="28"/>
  <c r="AK76" i="28"/>
  <c r="AJ76" i="28"/>
  <c r="AI76" i="28"/>
  <c r="AG76" i="28"/>
  <c r="AF76" i="28"/>
  <c r="AD76" i="28"/>
  <c r="AC76" i="28"/>
  <c r="AB76" i="28"/>
  <c r="AB74" i="28" s="1"/>
  <c r="Z76" i="28"/>
  <c r="Y76" i="28"/>
  <c r="X76" i="28"/>
  <c r="V76" i="28"/>
  <c r="U76" i="28"/>
  <c r="S76" i="28"/>
  <c r="R76" i="28"/>
  <c r="Q76" i="28"/>
  <c r="O76" i="28"/>
  <c r="N76" i="28"/>
  <c r="L76" i="28"/>
  <c r="J76" i="28"/>
  <c r="I76" i="28"/>
  <c r="H76" i="28"/>
  <c r="E76" i="28"/>
  <c r="D76" i="28"/>
  <c r="G76" i="28" s="1"/>
  <c r="C76" i="28"/>
  <c r="AN75" i="28"/>
  <c r="AM75" i="28"/>
  <c r="AK75" i="28"/>
  <c r="AJ75" i="28"/>
  <c r="AI75" i="28"/>
  <c r="AG75" i="28"/>
  <c r="AF75" i="28"/>
  <c r="AD75" i="28"/>
  <c r="AC75" i="28"/>
  <c r="AB75" i="28"/>
  <c r="Z75" i="28"/>
  <c r="Y75" i="28"/>
  <c r="X75" i="28"/>
  <c r="V75" i="28"/>
  <c r="U75" i="28"/>
  <c r="S75" i="28"/>
  <c r="R75" i="28"/>
  <c r="Q75" i="28"/>
  <c r="O75" i="28"/>
  <c r="N75" i="28"/>
  <c r="L75" i="28"/>
  <c r="J75" i="28"/>
  <c r="I75" i="28"/>
  <c r="H75" i="28"/>
  <c r="E75" i="28"/>
  <c r="D75" i="28"/>
  <c r="C75" i="28"/>
  <c r="AN73" i="28"/>
  <c r="AM73" i="28"/>
  <c r="AK73" i="28"/>
  <c r="AJ73" i="28"/>
  <c r="AL73" i="28" s="1"/>
  <c r="AI73" i="28"/>
  <c r="AG73" i="28"/>
  <c r="AF73" i="28"/>
  <c r="AH73" i="28" s="1"/>
  <c r="AD73" i="28"/>
  <c r="AC73" i="28"/>
  <c r="AE73" i="28" s="1"/>
  <c r="AB73" i="28"/>
  <c r="Z73" i="28"/>
  <c r="Y73" i="28"/>
  <c r="AA73" i="28" s="1"/>
  <c r="X73" i="28"/>
  <c r="V73" i="28"/>
  <c r="U73" i="28"/>
  <c r="W73" i="28" s="1"/>
  <c r="S73" i="28"/>
  <c r="R73" i="28"/>
  <c r="T73" i="28" s="1"/>
  <c r="Q73" i="28"/>
  <c r="O73" i="28"/>
  <c r="N73" i="28"/>
  <c r="P73" i="28" s="1"/>
  <c r="L73" i="28"/>
  <c r="J73" i="28"/>
  <c r="I73" i="28"/>
  <c r="M73" i="28" s="1"/>
  <c r="H73" i="28"/>
  <c r="K73" i="28" s="1"/>
  <c r="E73" i="28"/>
  <c r="D73" i="28"/>
  <c r="G73" i="28" s="1"/>
  <c r="C73" i="28"/>
  <c r="F73" i="28" s="1"/>
  <c r="AN72" i="28"/>
  <c r="AM72" i="28"/>
  <c r="AK72" i="28"/>
  <c r="AJ72" i="28"/>
  <c r="AI72" i="28"/>
  <c r="AG72" i="28"/>
  <c r="AF72" i="28"/>
  <c r="AD72" i="28"/>
  <c r="AC72" i="28"/>
  <c r="AE72" i="28" s="1"/>
  <c r="AB72" i="28"/>
  <c r="Z72" i="28"/>
  <c r="Y72" i="28"/>
  <c r="X72" i="28"/>
  <c r="V72" i="28"/>
  <c r="U72" i="28"/>
  <c r="W72" i="28" s="1"/>
  <c r="S72" i="28"/>
  <c r="R72" i="28"/>
  <c r="T72" i="28" s="1"/>
  <c r="Q72" i="28"/>
  <c r="O72" i="28"/>
  <c r="N72" i="28"/>
  <c r="P72" i="28" s="1"/>
  <c r="L72" i="28"/>
  <c r="J72" i="28"/>
  <c r="I72" i="28"/>
  <c r="H72" i="28"/>
  <c r="E72" i="28"/>
  <c r="D72" i="28"/>
  <c r="G72" i="28" s="1"/>
  <c r="C72" i="28"/>
  <c r="AN71" i="28"/>
  <c r="AM71" i="28"/>
  <c r="AK71" i="28"/>
  <c r="AJ71" i="28"/>
  <c r="AL71" i="28" s="1"/>
  <c r="AI71" i="28"/>
  <c r="AG71" i="28"/>
  <c r="AF71" i="28"/>
  <c r="AH71" i="28" s="1"/>
  <c r="AE71" i="28"/>
  <c r="AD71" i="28"/>
  <c r="AC71" i="28"/>
  <c r="AB71" i="28"/>
  <c r="Z71" i="28"/>
  <c r="Y71" i="28"/>
  <c r="AA71" i="28" s="1"/>
  <c r="X71" i="28"/>
  <c r="V71" i="28"/>
  <c r="U71" i="28"/>
  <c r="W71" i="28" s="1"/>
  <c r="S71" i="28"/>
  <c r="R71" i="28"/>
  <c r="T71" i="28" s="1"/>
  <c r="Q71" i="28"/>
  <c r="O71" i="28"/>
  <c r="N71" i="28"/>
  <c r="P71" i="28" s="1"/>
  <c r="L71" i="28"/>
  <c r="K71" i="28"/>
  <c r="J71" i="28"/>
  <c r="I71" i="28"/>
  <c r="M71" i="28" s="1"/>
  <c r="H71" i="28"/>
  <c r="E71" i="28"/>
  <c r="D71" i="28"/>
  <c r="G71" i="28" s="1"/>
  <c r="C71" i="28"/>
  <c r="F71" i="28" s="1"/>
  <c r="AN70" i="28"/>
  <c r="AM70" i="28"/>
  <c r="AK70" i="28"/>
  <c r="AJ70" i="28"/>
  <c r="AI70" i="28"/>
  <c r="AG70" i="28"/>
  <c r="AF70" i="28"/>
  <c r="AD70" i="28"/>
  <c r="AC70" i="28"/>
  <c r="AB70" i="28"/>
  <c r="Z70" i="28"/>
  <c r="Y70" i="28"/>
  <c r="X70" i="28"/>
  <c r="V70" i="28"/>
  <c r="U70" i="28"/>
  <c r="S70" i="28"/>
  <c r="R70" i="28"/>
  <c r="Q70" i="28"/>
  <c r="O70" i="28"/>
  <c r="N70" i="28"/>
  <c r="L70" i="28"/>
  <c r="J70" i="28"/>
  <c r="I70" i="28"/>
  <c r="H70" i="28"/>
  <c r="E70" i="28"/>
  <c r="D70" i="28"/>
  <c r="C70" i="28"/>
  <c r="AN69" i="28"/>
  <c r="AM69" i="28"/>
  <c r="AK69" i="28"/>
  <c r="AL69" i="28" s="1"/>
  <c r="AJ69" i="28"/>
  <c r="AI69" i="28"/>
  <c r="AG69" i="28"/>
  <c r="AF69" i="28"/>
  <c r="AD69" i="28"/>
  <c r="AC69" i="28"/>
  <c r="AB69" i="28"/>
  <c r="Z69" i="28"/>
  <c r="Y69" i="28"/>
  <c r="X69" i="28"/>
  <c r="V69" i="28"/>
  <c r="U69" i="28"/>
  <c r="S69" i="28"/>
  <c r="R69" i="28"/>
  <c r="T69" i="28" s="1"/>
  <c r="Q69" i="28"/>
  <c r="O69" i="28"/>
  <c r="P69" i="28" s="1"/>
  <c r="N69" i="28"/>
  <c r="L69" i="28"/>
  <c r="J69" i="28"/>
  <c r="I69" i="28"/>
  <c r="H69" i="28"/>
  <c r="K69" i="28" s="1"/>
  <c r="E69" i="28"/>
  <c r="D69" i="28"/>
  <c r="G69" i="28" s="1"/>
  <c r="C69" i="28"/>
  <c r="AN68" i="28"/>
  <c r="AM68" i="28"/>
  <c r="AK68" i="28"/>
  <c r="AJ68" i="28"/>
  <c r="AI68" i="28"/>
  <c r="AG68" i="28"/>
  <c r="AF68" i="28"/>
  <c r="AD68" i="28"/>
  <c r="AC68" i="28"/>
  <c r="AB68" i="28"/>
  <c r="Z68" i="28"/>
  <c r="Y68" i="28"/>
  <c r="X68" i="28"/>
  <c r="V68" i="28"/>
  <c r="U68" i="28"/>
  <c r="S68" i="28"/>
  <c r="R68" i="28"/>
  <c r="Q68" i="28"/>
  <c r="O68" i="28"/>
  <c r="N68" i="28"/>
  <c r="L68" i="28"/>
  <c r="J68" i="28"/>
  <c r="I68" i="28"/>
  <c r="H68" i="28"/>
  <c r="E68" i="28"/>
  <c r="F68" i="28" s="1"/>
  <c r="D68" i="28"/>
  <c r="C68" i="28"/>
  <c r="AN67" i="28"/>
  <c r="AM67" i="28"/>
  <c r="AK67" i="28"/>
  <c r="AJ67" i="28"/>
  <c r="AL67" i="28" s="1"/>
  <c r="AI67" i="28"/>
  <c r="AG67" i="28"/>
  <c r="AF67" i="28"/>
  <c r="AD67" i="28"/>
  <c r="AC67" i="28"/>
  <c r="AB67" i="28"/>
  <c r="Z67" i="28"/>
  <c r="Y67" i="28"/>
  <c r="X67" i="28"/>
  <c r="V67" i="28"/>
  <c r="U67" i="28"/>
  <c r="S67" i="28"/>
  <c r="R67" i="28"/>
  <c r="Q67" i="28"/>
  <c r="O67" i="28"/>
  <c r="N67" i="28"/>
  <c r="L67" i="28"/>
  <c r="J67" i="28"/>
  <c r="I67" i="28"/>
  <c r="H67" i="28"/>
  <c r="E67" i="28"/>
  <c r="D67" i="28"/>
  <c r="C67" i="28"/>
  <c r="AN66" i="28"/>
  <c r="AM66" i="28"/>
  <c r="AK66" i="28"/>
  <c r="AL66" i="28" s="1"/>
  <c r="AJ66" i="28"/>
  <c r="AI66" i="28"/>
  <c r="AG66" i="28"/>
  <c r="AF66" i="28"/>
  <c r="AD66" i="28"/>
  <c r="AC66" i="28"/>
  <c r="AB66" i="28"/>
  <c r="Z66" i="28"/>
  <c r="Y66" i="28"/>
  <c r="X66" i="28"/>
  <c r="V66" i="28"/>
  <c r="U66" i="28"/>
  <c r="S66" i="28"/>
  <c r="R66" i="28"/>
  <c r="T66" i="28" s="1"/>
  <c r="Q66" i="28"/>
  <c r="O66" i="28"/>
  <c r="N66" i="28"/>
  <c r="L66" i="28"/>
  <c r="J66" i="28"/>
  <c r="I66" i="28"/>
  <c r="H66" i="28"/>
  <c r="E66" i="28"/>
  <c r="D66" i="28"/>
  <c r="C66" i="28"/>
  <c r="AN65" i="28"/>
  <c r="AM65" i="28"/>
  <c r="AK65" i="28"/>
  <c r="AJ65" i="28"/>
  <c r="AI65" i="28"/>
  <c r="AG65" i="28"/>
  <c r="AH65" i="28" s="1"/>
  <c r="AF65" i="28"/>
  <c r="AD65" i="28"/>
  <c r="AC65" i="28"/>
  <c r="AB65" i="28"/>
  <c r="Z65" i="28"/>
  <c r="Y65" i="28"/>
  <c r="X65" i="28"/>
  <c r="V65" i="28"/>
  <c r="U65" i="28"/>
  <c r="S65" i="28"/>
  <c r="R65" i="28"/>
  <c r="Q65" i="28"/>
  <c r="O65" i="28"/>
  <c r="N65" i="28"/>
  <c r="P65" i="28" s="1"/>
  <c r="L65" i="28"/>
  <c r="J65" i="28"/>
  <c r="I65" i="28"/>
  <c r="M65" i="28" s="1"/>
  <c r="H65" i="28"/>
  <c r="E65" i="28"/>
  <c r="D65" i="28"/>
  <c r="G65" i="28" s="1"/>
  <c r="C65" i="28"/>
  <c r="AN64" i="28"/>
  <c r="AM64" i="28"/>
  <c r="AK64" i="28"/>
  <c r="AJ64" i="28"/>
  <c r="AL64" i="28" s="1"/>
  <c r="AI64" i="28"/>
  <c r="AG64" i="28"/>
  <c r="AF64" i="28"/>
  <c r="AH64" i="28" s="1"/>
  <c r="AD64" i="28"/>
  <c r="AC64" i="28"/>
  <c r="AE64" i="28" s="1"/>
  <c r="AB64" i="28"/>
  <c r="Z64" i="28"/>
  <c r="Y64" i="28"/>
  <c r="AA64" i="28" s="1"/>
  <c r="X64" i="28"/>
  <c r="V64" i="28"/>
  <c r="U64" i="28"/>
  <c r="W64" i="28" s="1"/>
  <c r="S64" i="28"/>
  <c r="R64" i="28"/>
  <c r="T64" i="28" s="1"/>
  <c r="Q64" i="28"/>
  <c r="O64" i="28"/>
  <c r="N64" i="28"/>
  <c r="P64" i="28" s="1"/>
  <c r="L64" i="28"/>
  <c r="J64" i="28"/>
  <c r="I64" i="28"/>
  <c r="M64" i="28" s="1"/>
  <c r="H64" i="28"/>
  <c r="K64" i="28" s="1"/>
  <c r="E64" i="28"/>
  <c r="D64" i="28"/>
  <c r="G64" i="28" s="1"/>
  <c r="C64" i="28"/>
  <c r="F64" i="28" s="1"/>
  <c r="AN63" i="28"/>
  <c r="AM63" i="28"/>
  <c r="AK63" i="28"/>
  <c r="AJ63" i="28"/>
  <c r="AL63" i="28" s="1"/>
  <c r="AI63" i="28"/>
  <c r="AG63" i="28"/>
  <c r="AH63" i="28" s="1"/>
  <c r="AF63" i="28"/>
  <c r="AD63" i="28"/>
  <c r="AC63" i="28"/>
  <c r="AB63" i="28"/>
  <c r="Z63" i="28"/>
  <c r="Y63" i="28"/>
  <c r="X63" i="28"/>
  <c r="V63" i="28"/>
  <c r="U63" i="28"/>
  <c r="S63" i="28"/>
  <c r="R63" i="28"/>
  <c r="Q63" i="28"/>
  <c r="O63" i="28"/>
  <c r="N63" i="28"/>
  <c r="P63" i="28" s="1"/>
  <c r="L63" i="28"/>
  <c r="J63" i="28"/>
  <c r="I63" i="28"/>
  <c r="H63" i="28"/>
  <c r="E63" i="28"/>
  <c r="D63" i="28"/>
  <c r="G63" i="28" s="1"/>
  <c r="C63" i="28"/>
  <c r="AN62" i="28"/>
  <c r="AM62" i="28"/>
  <c r="AK62" i="28"/>
  <c r="AJ62" i="28"/>
  <c r="AI62" i="28"/>
  <c r="AG62" i="28"/>
  <c r="AF62" i="28"/>
  <c r="AD62" i="28"/>
  <c r="AE62" i="28" s="1"/>
  <c r="AC62" i="28"/>
  <c r="AB62" i="28"/>
  <c r="Z62" i="28"/>
  <c r="Y62" i="28"/>
  <c r="X62" i="28"/>
  <c r="V62" i="28"/>
  <c r="U62" i="28"/>
  <c r="S62" i="28"/>
  <c r="R62" i="28"/>
  <c r="Q62" i="28"/>
  <c r="O62" i="28"/>
  <c r="P62" i="28" s="1"/>
  <c r="N62" i="28"/>
  <c r="L62" i="28"/>
  <c r="J62" i="28"/>
  <c r="I62" i="28"/>
  <c r="H62" i="28"/>
  <c r="G62" i="28"/>
  <c r="E62" i="28"/>
  <c r="D62" i="28"/>
  <c r="C62" i="28"/>
  <c r="AN61" i="28"/>
  <c r="AM61" i="28"/>
  <c r="AK61" i="28"/>
  <c r="AJ61" i="28"/>
  <c r="AL61" i="28" s="1"/>
  <c r="AI61" i="28"/>
  <c r="AG61" i="28"/>
  <c r="AF61" i="28"/>
  <c r="AH61" i="28" s="1"/>
  <c r="AD61" i="28"/>
  <c r="AC61" i="28"/>
  <c r="AE61" i="28" s="1"/>
  <c r="AB61" i="28"/>
  <c r="Z61" i="28"/>
  <c r="Y61" i="28"/>
  <c r="AA61" i="28" s="1"/>
  <c r="X61" i="28"/>
  <c r="V61" i="28"/>
  <c r="U61" i="28"/>
  <c r="W61" i="28" s="1"/>
  <c r="S61" i="28"/>
  <c r="R61" i="28"/>
  <c r="T61" i="28" s="1"/>
  <c r="Q61" i="28"/>
  <c r="O61" i="28"/>
  <c r="N61" i="28"/>
  <c r="P61" i="28" s="1"/>
  <c r="L61" i="28"/>
  <c r="J61" i="28"/>
  <c r="I61" i="28"/>
  <c r="M61" i="28" s="1"/>
  <c r="H61" i="28"/>
  <c r="K61" i="28" s="1"/>
  <c r="E61" i="28"/>
  <c r="D61" i="28"/>
  <c r="G61" i="28" s="1"/>
  <c r="C61" i="28"/>
  <c r="F61" i="28" s="1"/>
  <c r="AN60" i="28"/>
  <c r="AM60" i="28"/>
  <c r="AK60" i="28"/>
  <c r="AJ60" i="28"/>
  <c r="AL60" i="28" s="1"/>
  <c r="AI60" i="28"/>
  <c r="AG60" i="28"/>
  <c r="AF60" i="28"/>
  <c r="AH60" i="28" s="1"/>
  <c r="AD60" i="28"/>
  <c r="AC60" i="28"/>
  <c r="AE60" i="28" s="1"/>
  <c r="AB60" i="28"/>
  <c r="Z60" i="28"/>
  <c r="Y60" i="28"/>
  <c r="AA60" i="28" s="1"/>
  <c r="X60" i="28"/>
  <c r="V60" i="28"/>
  <c r="U60" i="28"/>
  <c r="W60" i="28" s="1"/>
  <c r="S60" i="28"/>
  <c r="R60" i="28"/>
  <c r="T60" i="28" s="1"/>
  <c r="Q60" i="28"/>
  <c r="O60" i="28"/>
  <c r="N60" i="28"/>
  <c r="P60" i="28" s="1"/>
  <c r="L60" i="28"/>
  <c r="J60" i="28"/>
  <c r="I60" i="28"/>
  <c r="M60" i="28" s="1"/>
  <c r="H60" i="28"/>
  <c r="K60" i="28" s="1"/>
  <c r="E60" i="28"/>
  <c r="D60" i="28"/>
  <c r="G60" i="28" s="1"/>
  <c r="C60" i="28"/>
  <c r="F60" i="28" s="1"/>
  <c r="AN59" i="28"/>
  <c r="AM59" i="28"/>
  <c r="AK59" i="28"/>
  <c r="AJ59" i="28"/>
  <c r="AL59" i="28" s="1"/>
  <c r="AI59" i="28"/>
  <c r="AG59" i="28"/>
  <c r="AF59" i="28"/>
  <c r="AH59" i="28" s="1"/>
  <c r="AD59" i="28"/>
  <c r="AC59" i="28"/>
  <c r="AE59" i="28" s="1"/>
  <c r="AB59" i="28"/>
  <c r="Z59" i="28"/>
  <c r="Y59" i="28"/>
  <c r="AA59" i="28" s="1"/>
  <c r="X59" i="28"/>
  <c r="V59" i="28"/>
  <c r="U59" i="28"/>
  <c r="W59" i="28" s="1"/>
  <c r="S59" i="28"/>
  <c r="R59" i="28"/>
  <c r="T59" i="28" s="1"/>
  <c r="Q59" i="28"/>
  <c r="O59" i="28"/>
  <c r="N59" i="28"/>
  <c r="P59" i="28" s="1"/>
  <c r="L59" i="28"/>
  <c r="J59" i="28"/>
  <c r="I59" i="28"/>
  <c r="M59" i="28" s="1"/>
  <c r="H59" i="28"/>
  <c r="K59" i="28" s="1"/>
  <c r="G59" i="28"/>
  <c r="E59" i="28"/>
  <c r="D59" i="28"/>
  <c r="C59" i="28"/>
  <c r="F59" i="28" s="1"/>
  <c r="AN58" i="28"/>
  <c r="AM58" i="28"/>
  <c r="AK58" i="28"/>
  <c r="AL58" i="28" s="1"/>
  <c r="AJ58" i="28"/>
  <c r="AI58" i="28"/>
  <c r="AG58" i="28"/>
  <c r="AF58" i="28"/>
  <c r="AD58" i="28"/>
  <c r="AC58" i="28"/>
  <c r="AB58" i="28"/>
  <c r="Z58" i="28"/>
  <c r="Y58" i="28"/>
  <c r="X58" i="28"/>
  <c r="V58" i="28"/>
  <c r="U58" i="28"/>
  <c r="S58" i="28"/>
  <c r="R58" i="28"/>
  <c r="Q58" i="28"/>
  <c r="O58" i="28"/>
  <c r="N58" i="28"/>
  <c r="L58" i="28"/>
  <c r="J58" i="28"/>
  <c r="I58" i="28"/>
  <c r="H58" i="28"/>
  <c r="K58" i="28" s="1"/>
  <c r="E58" i="28"/>
  <c r="G58" i="28" s="1"/>
  <c r="D58" i="28"/>
  <c r="C58" i="28"/>
  <c r="AN57" i="28"/>
  <c r="AM57" i="28"/>
  <c r="AK57" i="28"/>
  <c r="AJ57" i="28"/>
  <c r="AI57" i="28"/>
  <c r="AG57" i="28"/>
  <c r="AH57" i="28" s="1"/>
  <c r="AF57" i="28"/>
  <c r="AD57" i="28"/>
  <c r="AC57" i="28"/>
  <c r="AB57" i="28"/>
  <c r="Z57" i="28"/>
  <c r="Y57" i="28"/>
  <c r="X57" i="28"/>
  <c r="V57" i="28"/>
  <c r="U57" i="28"/>
  <c r="S57" i="28"/>
  <c r="R57" i="28"/>
  <c r="Q57" i="28"/>
  <c r="O57" i="28"/>
  <c r="N57" i="28"/>
  <c r="P57" i="28" s="1"/>
  <c r="L57" i="28"/>
  <c r="M57" i="28" s="1"/>
  <c r="J57" i="28"/>
  <c r="I57" i="28"/>
  <c r="H57" i="28"/>
  <c r="K57" i="28" s="1"/>
  <c r="E57" i="28"/>
  <c r="D57" i="28"/>
  <c r="C57" i="28"/>
  <c r="AN56" i="28"/>
  <c r="AM56" i="28"/>
  <c r="AK56" i="28"/>
  <c r="AJ56" i="28"/>
  <c r="AI56" i="28"/>
  <c r="AG56" i="28"/>
  <c r="AH56" i="28" s="1"/>
  <c r="AF56" i="28"/>
  <c r="AD56" i="28"/>
  <c r="AC56" i="28"/>
  <c r="AE56" i="28" s="1"/>
  <c r="AB56" i="28"/>
  <c r="Z56" i="28"/>
  <c r="Y56" i="28"/>
  <c r="X56" i="28"/>
  <c r="V56" i="28"/>
  <c r="U56" i="28"/>
  <c r="S56" i="28"/>
  <c r="R56" i="28"/>
  <c r="Q56" i="28"/>
  <c r="O56" i="28"/>
  <c r="N56" i="28"/>
  <c r="L56" i="28"/>
  <c r="J56" i="28"/>
  <c r="I56" i="28"/>
  <c r="H56" i="28"/>
  <c r="E56" i="28"/>
  <c r="D56" i="28"/>
  <c r="C56" i="28"/>
  <c r="AN55" i="28"/>
  <c r="AM55" i="28"/>
  <c r="AK55" i="28"/>
  <c r="AJ55" i="28"/>
  <c r="AI55" i="28"/>
  <c r="AG55" i="28"/>
  <c r="AF55" i="28"/>
  <c r="AD55" i="28"/>
  <c r="AC55" i="28"/>
  <c r="AB55" i="28"/>
  <c r="Z55" i="28"/>
  <c r="Y55" i="28"/>
  <c r="X55" i="28"/>
  <c r="V55" i="28"/>
  <c r="U55" i="28"/>
  <c r="S55" i="28"/>
  <c r="R55" i="28"/>
  <c r="Q55" i="28"/>
  <c r="O55" i="28"/>
  <c r="N55" i="28"/>
  <c r="L55" i="28"/>
  <c r="J55" i="28"/>
  <c r="I55" i="28"/>
  <c r="H55" i="28"/>
  <c r="E55" i="28"/>
  <c r="D55" i="28"/>
  <c r="C55" i="28"/>
  <c r="AN54" i="28"/>
  <c r="AM54" i="28"/>
  <c r="AK54" i="28"/>
  <c r="AJ54" i="28"/>
  <c r="AI54" i="28"/>
  <c r="AG54" i="28"/>
  <c r="AF54" i="28"/>
  <c r="AD54" i="28"/>
  <c r="AC54" i="28"/>
  <c r="AB54" i="28"/>
  <c r="Z54" i="28"/>
  <c r="Y54" i="28"/>
  <c r="X54" i="28"/>
  <c r="V54" i="28"/>
  <c r="U54" i="28"/>
  <c r="S54" i="28"/>
  <c r="R54" i="28"/>
  <c r="Q54" i="28"/>
  <c r="O54" i="28"/>
  <c r="N54" i="28"/>
  <c r="L54" i="28"/>
  <c r="J54" i="28"/>
  <c r="I54" i="28"/>
  <c r="H54" i="28"/>
  <c r="K54" i="28" s="1"/>
  <c r="E54" i="28"/>
  <c r="D54" i="28"/>
  <c r="C54" i="28"/>
  <c r="AN53" i="28"/>
  <c r="AM53" i="28"/>
  <c r="AK53" i="28"/>
  <c r="AJ53" i="28"/>
  <c r="AI53" i="28"/>
  <c r="AG53" i="28"/>
  <c r="AF53" i="28"/>
  <c r="AD53" i="28"/>
  <c r="AC53" i="28"/>
  <c r="AB53" i="28"/>
  <c r="Z53" i="28"/>
  <c r="Y53" i="28"/>
  <c r="X53" i="28"/>
  <c r="V53" i="28"/>
  <c r="U53" i="28"/>
  <c r="S53" i="28"/>
  <c r="R53" i="28"/>
  <c r="Q53" i="28"/>
  <c r="O53" i="28"/>
  <c r="N53" i="28"/>
  <c r="L53" i="28"/>
  <c r="J53" i="28"/>
  <c r="I53" i="28"/>
  <c r="H53" i="28"/>
  <c r="E53" i="28"/>
  <c r="D53" i="28"/>
  <c r="C53" i="28"/>
  <c r="AN51" i="28"/>
  <c r="AM51" i="28"/>
  <c r="AK51" i="28"/>
  <c r="AJ51" i="28"/>
  <c r="AI51" i="28"/>
  <c r="AG51" i="28"/>
  <c r="AF51" i="28"/>
  <c r="AD51" i="28"/>
  <c r="AC51" i="28"/>
  <c r="AE51" i="28" s="1"/>
  <c r="AB51" i="28"/>
  <c r="Z51" i="28"/>
  <c r="Y51" i="28"/>
  <c r="X51" i="28"/>
  <c r="V51" i="28"/>
  <c r="U51" i="28"/>
  <c r="S51" i="28"/>
  <c r="R51" i="28"/>
  <c r="Q51" i="28"/>
  <c r="O51" i="28"/>
  <c r="N51" i="28"/>
  <c r="L51" i="28"/>
  <c r="J51" i="28"/>
  <c r="I51" i="28"/>
  <c r="H51" i="28"/>
  <c r="E51" i="28"/>
  <c r="D51" i="28"/>
  <c r="G51" i="28" s="1"/>
  <c r="C51" i="28"/>
  <c r="AN50" i="28"/>
  <c r="AM50" i="28"/>
  <c r="AK50" i="28"/>
  <c r="AJ50" i="28"/>
  <c r="AI50" i="28"/>
  <c r="AG50" i="28"/>
  <c r="AF50" i="28"/>
  <c r="AH50" i="28" s="1"/>
  <c r="AE50" i="28"/>
  <c r="AD50" i="28"/>
  <c r="AC50" i="28"/>
  <c r="AB50" i="28"/>
  <c r="Z50" i="28"/>
  <c r="Y50" i="28"/>
  <c r="AA50" i="28" s="1"/>
  <c r="X50" i="28"/>
  <c r="V50" i="28"/>
  <c r="U50" i="28"/>
  <c r="S50" i="28"/>
  <c r="R50" i="28"/>
  <c r="Q50" i="28"/>
  <c r="O50" i="28"/>
  <c r="N50" i="28"/>
  <c r="L50" i="28"/>
  <c r="J50" i="28"/>
  <c r="I50" i="28"/>
  <c r="H50" i="28"/>
  <c r="K50" i="28" s="1"/>
  <c r="E50" i="28"/>
  <c r="D50" i="28"/>
  <c r="C50" i="28"/>
  <c r="AN49" i="28"/>
  <c r="AM49" i="28"/>
  <c r="AK49" i="28"/>
  <c r="AJ49" i="28"/>
  <c r="AI49" i="28"/>
  <c r="AG49" i="28"/>
  <c r="AF49" i="28"/>
  <c r="AD49" i="28"/>
  <c r="AC49" i="28"/>
  <c r="AB49" i="28"/>
  <c r="Z49" i="28"/>
  <c r="Y49" i="28"/>
  <c r="X49" i="28"/>
  <c r="V49" i="28"/>
  <c r="U49" i="28"/>
  <c r="W49" i="28" s="1"/>
  <c r="S49" i="28"/>
  <c r="R49" i="28"/>
  <c r="Q49" i="28"/>
  <c r="O49" i="28"/>
  <c r="N49" i="28"/>
  <c r="L49" i="28"/>
  <c r="J49" i="28"/>
  <c r="I49" i="28"/>
  <c r="H49" i="28"/>
  <c r="E49" i="28"/>
  <c r="D49" i="28"/>
  <c r="C49" i="28"/>
  <c r="F49" i="28" s="1"/>
  <c r="AN48" i="28"/>
  <c r="AM48" i="28"/>
  <c r="AK48" i="28"/>
  <c r="AJ48" i="28"/>
  <c r="AI48" i="28"/>
  <c r="AG48" i="28"/>
  <c r="AF48" i="28"/>
  <c r="AD48" i="28"/>
  <c r="AC48" i="28"/>
  <c r="AB48" i="28"/>
  <c r="Z48" i="28"/>
  <c r="Y48" i="28"/>
  <c r="AA48" i="28" s="1"/>
  <c r="X48" i="28"/>
  <c r="V48" i="28"/>
  <c r="U48" i="28"/>
  <c r="S48" i="28"/>
  <c r="R48" i="28"/>
  <c r="Q48" i="28"/>
  <c r="O48" i="28"/>
  <c r="N48" i="28"/>
  <c r="L48" i="28"/>
  <c r="J48" i="28"/>
  <c r="I48" i="28"/>
  <c r="H48" i="28"/>
  <c r="K48" i="28" s="1"/>
  <c r="E48" i="28"/>
  <c r="D48" i="28"/>
  <c r="C48" i="28"/>
  <c r="AN47" i="28"/>
  <c r="AM47" i="28"/>
  <c r="AK47" i="28"/>
  <c r="AJ47" i="28"/>
  <c r="AI47" i="28"/>
  <c r="AG47" i="28"/>
  <c r="AF47" i="28"/>
  <c r="AD47" i="28"/>
  <c r="AC47" i="28"/>
  <c r="AB47" i="28"/>
  <c r="Z47" i="28"/>
  <c r="Y47" i="28"/>
  <c r="X47" i="28"/>
  <c r="V47" i="28"/>
  <c r="U47" i="28"/>
  <c r="W47" i="28" s="1"/>
  <c r="S47" i="28"/>
  <c r="R47" i="28"/>
  <c r="Q47" i="28"/>
  <c r="O47" i="28"/>
  <c r="N47" i="28"/>
  <c r="L47" i="28"/>
  <c r="J47" i="28"/>
  <c r="I47" i="28"/>
  <c r="H47" i="28"/>
  <c r="E47" i="28"/>
  <c r="D47" i="28"/>
  <c r="C47" i="28"/>
  <c r="F47" i="28" s="1"/>
  <c r="AN46" i="28"/>
  <c r="AM46" i="28"/>
  <c r="AK46" i="28"/>
  <c r="AJ46" i="28"/>
  <c r="AL46" i="28" s="1"/>
  <c r="AI46" i="28"/>
  <c r="AG46" i="28"/>
  <c r="AF46" i="28"/>
  <c r="AD46" i="28"/>
  <c r="AC46" i="28"/>
  <c r="AB46" i="28"/>
  <c r="Z46" i="28"/>
  <c r="Y46" i="28"/>
  <c r="AA46" i="28" s="1"/>
  <c r="X46" i="28"/>
  <c r="V46" i="28"/>
  <c r="U46" i="28"/>
  <c r="S46" i="28"/>
  <c r="R46" i="28"/>
  <c r="Q46" i="28"/>
  <c r="O46" i="28"/>
  <c r="P46" i="28" s="1"/>
  <c r="N46" i="28"/>
  <c r="L46" i="28"/>
  <c r="J46" i="28"/>
  <c r="I46" i="28"/>
  <c r="H46" i="28"/>
  <c r="K46" i="28" s="1"/>
  <c r="E46" i="28"/>
  <c r="D46" i="28"/>
  <c r="C46" i="28"/>
  <c r="AN45" i="28"/>
  <c r="AM45" i="28"/>
  <c r="AK45" i="28"/>
  <c r="AJ45" i="28"/>
  <c r="AI45" i="28"/>
  <c r="AG45" i="28"/>
  <c r="AF45" i="28"/>
  <c r="AD45" i="28"/>
  <c r="AC45" i="28"/>
  <c r="AB45" i="28"/>
  <c r="Z45" i="28"/>
  <c r="AA45" i="28" s="1"/>
  <c r="Y45" i="28"/>
  <c r="X45" i="28"/>
  <c r="V45" i="28"/>
  <c r="U45" i="28"/>
  <c r="W45" i="28" s="1"/>
  <c r="S45" i="28"/>
  <c r="R45" i="28"/>
  <c r="Q45" i="28"/>
  <c r="O45" i="28"/>
  <c r="N45" i="28"/>
  <c r="L45" i="28"/>
  <c r="J45" i="28"/>
  <c r="I45" i="28"/>
  <c r="M45" i="28" s="1"/>
  <c r="H45" i="28"/>
  <c r="E45" i="28"/>
  <c r="D45" i="28"/>
  <c r="C45" i="28"/>
  <c r="AN44" i="28"/>
  <c r="AM44" i="28"/>
  <c r="AK44" i="28"/>
  <c r="AJ44" i="28"/>
  <c r="AL44" i="28" s="1"/>
  <c r="AI44" i="28"/>
  <c r="AG44" i="28"/>
  <c r="AF44" i="28"/>
  <c r="AD44" i="28"/>
  <c r="AC44" i="28"/>
  <c r="AB44" i="28"/>
  <c r="Z44" i="28"/>
  <c r="Y44" i="28"/>
  <c r="X44" i="28"/>
  <c r="V44" i="28"/>
  <c r="U44" i="28"/>
  <c r="S44" i="28"/>
  <c r="R44" i="28"/>
  <c r="Q44" i="28"/>
  <c r="O44" i="28"/>
  <c r="N44" i="28"/>
  <c r="L44" i="28"/>
  <c r="J44" i="28"/>
  <c r="I44" i="28"/>
  <c r="M44" i="28" s="1"/>
  <c r="H44" i="28"/>
  <c r="E44" i="28"/>
  <c r="D44" i="28"/>
  <c r="G44" i="28" s="1"/>
  <c r="C44" i="28"/>
  <c r="AN43" i="28"/>
  <c r="AM43" i="28"/>
  <c r="AK43" i="28"/>
  <c r="AJ43" i="28"/>
  <c r="AI43" i="28"/>
  <c r="AG43" i="28"/>
  <c r="AF43" i="28"/>
  <c r="AH43" i="28" s="1"/>
  <c r="AD43" i="28"/>
  <c r="AC43" i="28"/>
  <c r="AB43" i="28"/>
  <c r="Z43" i="28"/>
  <c r="Y43" i="28"/>
  <c r="X43" i="28"/>
  <c r="V43" i="28"/>
  <c r="U43" i="28"/>
  <c r="S43" i="28"/>
  <c r="R43" i="28"/>
  <c r="T43" i="28" s="1"/>
  <c r="Q43" i="28"/>
  <c r="O43" i="28"/>
  <c r="N43" i="28"/>
  <c r="L43" i="28"/>
  <c r="J43" i="28"/>
  <c r="I43" i="28"/>
  <c r="H43" i="28"/>
  <c r="E43" i="28"/>
  <c r="D43" i="28"/>
  <c r="C43" i="28"/>
  <c r="AN42" i="28"/>
  <c r="AM42" i="28"/>
  <c r="AK42" i="28"/>
  <c r="AJ42" i="28"/>
  <c r="AI42" i="28"/>
  <c r="AG42" i="28"/>
  <c r="AF42" i="28"/>
  <c r="AD42" i="28"/>
  <c r="AC42" i="28"/>
  <c r="AB42" i="28"/>
  <c r="Z42" i="28"/>
  <c r="Y42" i="28"/>
  <c r="AA42" i="28" s="1"/>
  <c r="X42" i="28"/>
  <c r="V42" i="28"/>
  <c r="U42" i="28"/>
  <c r="S42" i="28"/>
  <c r="R42" i="28"/>
  <c r="Q42" i="28"/>
  <c r="O42" i="28"/>
  <c r="N42" i="28"/>
  <c r="L42" i="28"/>
  <c r="J42" i="28"/>
  <c r="I42" i="28"/>
  <c r="H42" i="28"/>
  <c r="K42" i="28" s="1"/>
  <c r="E42" i="28"/>
  <c r="D42" i="28"/>
  <c r="C42" i="28"/>
  <c r="AN41" i="28"/>
  <c r="AM41" i="28"/>
  <c r="AK41" i="28"/>
  <c r="AJ41" i="28"/>
  <c r="AI41" i="28"/>
  <c r="AG41" i="28"/>
  <c r="AF41" i="28"/>
  <c r="AD41" i="28"/>
  <c r="AE41" i="28" s="1"/>
  <c r="AC41" i="28"/>
  <c r="AB41" i="28"/>
  <c r="Z41" i="28"/>
  <c r="Y41" i="28"/>
  <c r="X41" i="28"/>
  <c r="V41" i="28"/>
  <c r="U41" i="28"/>
  <c r="S41" i="28"/>
  <c r="R41" i="28"/>
  <c r="Q41" i="28"/>
  <c r="O41" i="28"/>
  <c r="N41" i="28"/>
  <c r="L41" i="28"/>
  <c r="J41" i="28"/>
  <c r="I41" i="28"/>
  <c r="H41" i="28"/>
  <c r="E41" i="28"/>
  <c r="D41" i="28"/>
  <c r="C41" i="28"/>
  <c r="AN40" i="28"/>
  <c r="AM40" i="28"/>
  <c r="AK40" i="28"/>
  <c r="AJ40" i="28"/>
  <c r="AI40" i="28"/>
  <c r="AG40" i="28"/>
  <c r="AF40" i="28"/>
  <c r="AD40" i="28"/>
  <c r="AC40" i="28"/>
  <c r="AB40" i="28"/>
  <c r="Z40" i="28"/>
  <c r="Y40" i="28"/>
  <c r="X40" i="28"/>
  <c r="V40" i="28"/>
  <c r="U40" i="28"/>
  <c r="S40" i="28"/>
  <c r="R40" i="28"/>
  <c r="T40" i="28" s="1"/>
  <c r="Q40" i="28"/>
  <c r="O40" i="28"/>
  <c r="N40" i="28"/>
  <c r="L40" i="28"/>
  <c r="J40" i="28"/>
  <c r="I40" i="28"/>
  <c r="H40" i="28"/>
  <c r="E40" i="28"/>
  <c r="D40" i="28"/>
  <c r="C40" i="28"/>
  <c r="AN39" i="28"/>
  <c r="AM39" i="28"/>
  <c r="AK39" i="28"/>
  <c r="AJ39" i="28"/>
  <c r="AI39" i="28"/>
  <c r="AG39" i="28"/>
  <c r="AF39" i="28"/>
  <c r="AD39" i="28"/>
  <c r="AC39" i="28"/>
  <c r="AB39" i="28"/>
  <c r="Z39" i="28"/>
  <c r="Y39" i="28"/>
  <c r="X39" i="28"/>
  <c r="V39" i="28"/>
  <c r="U39" i="28"/>
  <c r="S39" i="28"/>
  <c r="R39" i="28"/>
  <c r="Q39" i="28"/>
  <c r="O39" i="28"/>
  <c r="N39" i="28"/>
  <c r="P39" i="28" s="1"/>
  <c r="L39" i="28"/>
  <c r="K39" i="28"/>
  <c r="J39" i="28"/>
  <c r="I39" i="28"/>
  <c r="H39" i="28"/>
  <c r="E39" i="28"/>
  <c r="D39" i="28"/>
  <c r="C39" i="28"/>
  <c r="AN38" i="28"/>
  <c r="AM38" i="28"/>
  <c r="AK38" i="28"/>
  <c r="AJ38" i="28"/>
  <c r="AI38" i="28"/>
  <c r="AG38" i="28"/>
  <c r="AF38" i="28"/>
  <c r="AD38" i="28"/>
  <c r="AC38" i="28"/>
  <c r="AB38" i="28"/>
  <c r="Z38" i="28"/>
  <c r="Y38" i="28"/>
  <c r="X38" i="28"/>
  <c r="V38" i="28"/>
  <c r="U38" i="28"/>
  <c r="S38" i="28"/>
  <c r="R38" i="28"/>
  <c r="Q38" i="28"/>
  <c r="O38" i="28"/>
  <c r="N38" i="28"/>
  <c r="L38" i="28"/>
  <c r="J38" i="28"/>
  <c r="I38" i="28"/>
  <c r="H38" i="28"/>
  <c r="E38" i="28"/>
  <c r="D38" i="28"/>
  <c r="C38" i="28"/>
  <c r="AN37" i="28"/>
  <c r="AM37" i="28"/>
  <c r="AK37" i="28"/>
  <c r="AJ37" i="28"/>
  <c r="AI37" i="28"/>
  <c r="AG37" i="28"/>
  <c r="AF37" i="28"/>
  <c r="AD37" i="28"/>
  <c r="AC37" i="28"/>
  <c r="AB37" i="28"/>
  <c r="Z37" i="28"/>
  <c r="Y37" i="28"/>
  <c r="AA37" i="28" s="1"/>
  <c r="X37" i="28"/>
  <c r="V37" i="28"/>
  <c r="U37" i="28"/>
  <c r="S37" i="28"/>
  <c r="R37" i="28"/>
  <c r="Q37" i="28"/>
  <c r="O37" i="28"/>
  <c r="N37" i="28"/>
  <c r="L37" i="28"/>
  <c r="J37" i="28"/>
  <c r="I37" i="28"/>
  <c r="H37" i="28"/>
  <c r="E37" i="28"/>
  <c r="D37" i="28"/>
  <c r="C37" i="28"/>
  <c r="AN36" i="28"/>
  <c r="AM36" i="28"/>
  <c r="AK36" i="28"/>
  <c r="AJ36" i="28"/>
  <c r="AI36" i="28"/>
  <c r="AG36" i="28"/>
  <c r="AF36" i="28"/>
  <c r="AH36" i="28" s="1"/>
  <c r="AD36" i="28"/>
  <c r="AC36" i="28"/>
  <c r="AB36" i="28"/>
  <c r="Z36" i="28"/>
  <c r="Y36" i="28"/>
  <c r="X36" i="28"/>
  <c r="V36" i="28"/>
  <c r="U36" i="28"/>
  <c r="S36" i="28"/>
  <c r="R36" i="28"/>
  <c r="Q36" i="28"/>
  <c r="O36" i="28"/>
  <c r="N36" i="28"/>
  <c r="L36" i="28"/>
  <c r="J36" i="28"/>
  <c r="I36" i="28"/>
  <c r="H36" i="28"/>
  <c r="E36" i="28"/>
  <c r="D36" i="28"/>
  <c r="C36" i="28"/>
  <c r="F36" i="28" s="1"/>
  <c r="AN35" i="28"/>
  <c r="AM35" i="28"/>
  <c r="AK35" i="28"/>
  <c r="AJ35" i="28"/>
  <c r="AI35" i="28"/>
  <c r="AG35" i="28"/>
  <c r="AF35" i="28"/>
  <c r="AD35" i="28"/>
  <c r="AC35" i="28"/>
  <c r="AB35" i="28"/>
  <c r="Z35" i="28"/>
  <c r="Y35" i="28"/>
  <c r="X35" i="28"/>
  <c r="V35" i="28"/>
  <c r="U35" i="28"/>
  <c r="S35" i="28"/>
  <c r="T35" i="28" s="1"/>
  <c r="R35" i="28"/>
  <c r="Q35" i="28"/>
  <c r="O35" i="28"/>
  <c r="N35" i="28"/>
  <c r="P35" i="28" s="1"/>
  <c r="L35" i="28"/>
  <c r="M35" i="28" s="1"/>
  <c r="J35" i="28"/>
  <c r="I35" i="28"/>
  <c r="H35" i="28"/>
  <c r="E35" i="28"/>
  <c r="D35" i="28"/>
  <c r="G35" i="28" s="1"/>
  <c r="C35" i="28"/>
  <c r="AN34" i="28"/>
  <c r="AM34" i="28"/>
  <c r="AK34" i="28"/>
  <c r="AJ34" i="28"/>
  <c r="AI34" i="28"/>
  <c r="AG34" i="28"/>
  <c r="AF34" i="28"/>
  <c r="AD34" i="28"/>
  <c r="AC34" i="28"/>
  <c r="AB34" i="28"/>
  <c r="Z34" i="28"/>
  <c r="Y34" i="28"/>
  <c r="X34" i="28"/>
  <c r="V34" i="28"/>
  <c r="U34" i="28"/>
  <c r="S34" i="28"/>
  <c r="R34" i="28"/>
  <c r="T34" i="28" s="1"/>
  <c r="Q34" i="28"/>
  <c r="O34" i="28"/>
  <c r="N34" i="28"/>
  <c r="L34" i="28"/>
  <c r="J34" i="28"/>
  <c r="I34" i="28"/>
  <c r="H34" i="28"/>
  <c r="K34" i="28" s="1"/>
  <c r="E34" i="28"/>
  <c r="D34" i="28"/>
  <c r="C34" i="28"/>
  <c r="AN33" i="28"/>
  <c r="AM33" i="28"/>
  <c r="AK33" i="28"/>
  <c r="AJ33" i="28"/>
  <c r="AL33" i="28" s="1"/>
  <c r="AI33" i="28"/>
  <c r="AG33" i="28"/>
  <c r="AF33" i="28"/>
  <c r="AD33" i="28"/>
  <c r="AC33" i="28"/>
  <c r="AB33" i="28"/>
  <c r="Z33" i="28"/>
  <c r="Y33" i="28"/>
  <c r="X33" i="28"/>
  <c r="V33" i="28"/>
  <c r="U33" i="28"/>
  <c r="S33" i="28"/>
  <c r="R33" i="28"/>
  <c r="Q33" i="28"/>
  <c r="O33" i="28"/>
  <c r="N33" i="28"/>
  <c r="P33" i="28" s="1"/>
  <c r="L33" i="28"/>
  <c r="K33" i="28"/>
  <c r="J33" i="28"/>
  <c r="I33" i="28"/>
  <c r="H33" i="28"/>
  <c r="E33" i="28"/>
  <c r="D33" i="28"/>
  <c r="C33" i="28"/>
  <c r="AN32" i="28"/>
  <c r="AM32" i="28"/>
  <c r="AK32" i="28"/>
  <c r="AJ32" i="28"/>
  <c r="AL32" i="28" s="1"/>
  <c r="AI32" i="28"/>
  <c r="AG32" i="28"/>
  <c r="AF32" i="28"/>
  <c r="AD32" i="28"/>
  <c r="AC32" i="28"/>
  <c r="AB32" i="28"/>
  <c r="Z32" i="28"/>
  <c r="Y32" i="28"/>
  <c r="X32" i="28"/>
  <c r="V32" i="28"/>
  <c r="U32" i="28"/>
  <c r="T32" i="28"/>
  <c r="S32" i="28"/>
  <c r="R32" i="28"/>
  <c r="Q32" i="28"/>
  <c r="O32" i="28"/>
  <c r="N32" i="28"/>
  <c r="M32" i="28"/>
  <c r="L32" i="28"/>
  <c r="J32" i="28"/>
  <c r="I32" i="28"/>
  <c r="H32" i="28"/>
  <c r="E32" i="28"/>
  <c r="D32" i="28"/>
  <c r="C32" i="28"/>
  <c r="AN30" i="28"/>
  <c r="AM30" i="28"/>
  <c r="AK30" i="28"/>
  <c r="AJ30" i="28"/>
  <c r="AI30" i="28"/>
  <c r="AG30" i="28"/>
  <c r="AF30" i="28"/>
  <c r="AH30" i="28" s="1"/>
  <c r="AD30" i="28"/>
  <c r="AC30" i="28"/>
  <c r="AB30" i="28"/>
  <c r="Z30" i="28"/>
  <c r="Y30" i="28"/>
  <c r="X30" i="28"/>
  <c r="V30" i="28"/>
  <c r="U30" i="28"/>
  <c r="S30" i="28"/>
  <c r="R30" i="28"/>
  <c r="Q30" i="28"/>
  <c r="O30" i="28"/>
  <c r="N30" i="28"/>
  <c r="L30" i="28"/>
  <c r="J30" i="28"/>
  <c r="I30" i="28"/>
  <c r="H30" i="28"/>
  <c r="K30" i="28" s="1"/>
  <c r="E30" i="28"/>
  <c r="D30" i="28"/>
  <c r="C30" i="28"/>
  <c r="AN29" i="28"/>
  <c r="AM29" i="28"/>
  <c r="AK29" i="28"/>
  <c r="AJ29" i="28"/>
  <c r="AI29" i="28"/>
  <c r="AG29" i="28"/>
  <c r="AF29" i="28"/>
  <c r="AD29" i="28"/>
  <c r="AC29" i="28"/>
  <c r="AB29" i="28"/>
  <c r="Z29" i="28"/>
  <c r="Y29" i="28"/>
  <c r="X29" i="28"/>
  <c r="V29" i="28"/>
  <c r="U29" i="28"/>
  <c r="S29" i="28"/>
  <c r="T29" i="28" s="1"/>
  <c r="R29" i="28"/>
  <c r="Q29" i="28"/>
  <c r="O29" i="28"/>
  <c r="N29" i="28"/>
  <c r="P29" i="28" s="1"/>
  <c r="L29" i="28"/>
  <c r="M29" i="28" s="1"/>
  <c r="J29" i="28"/>
  <c r="I29" i="28"/>
  <c r="H29" i="28"/>
  <c r="E29" i="28"/>
  <c r="D29" i="28"/>
  <c r="C29" i="28"/>
  <c r="AN28" i="28"/>
  <c r="AM28" i="28"/>
  <c r="AK28" i="28"/>
  <c r="AJ28" i="28"/>
  <c r="AI28" i="28"/>
  <c r="AG28" i="28"/>
  <c r="AF28" i="28"/>
  <c r="AD28" i="28"/>
  <c r="AC28" i="28"/>
  <c r="AE28" i="28" s="1"/>
  <c r="AB28" i="28"/>
  <c r="AA28" i="28"/>
  <c r="Z28" i="28"/>
  <c r="Y28" i="28"/>
  <c r="X28" i="28"/>
  <c r="V28" i="28"/>
  <c r="U28" i="28"/>
  <c r="T28" i="28"/>
  <c r="S28" i="28"/>
  <c r="R28" i="28"/>
  <c r="Q28" i="28"/>
  <c r="O28" i="28"/>
  <c r="N28" i="28"/>
  <c r="L28" i="28"/>
  <c r="J28" i="28"/>
  <c r="I28" i="28"/>
  <c r="H28" i="28"/>
  <c r="E28" i="28"/>
  <c r="D28" i="28"/>
  <c r="C28" i="28"/>
  <c r="F28" i="28" s="1"/>
  <c r="AN27" i="28"/>
  <c r="AM27" i="28"/>
  <c r="AK27" i="28"/>
  <c r="AJ27" i="28"/>
  <c r="AL27" i="28" s="1"/>
  <c r="AI27" i="28"/>
  <c r="AG27" i="28"/>
  <c r="AH27" i="28" s="1"/>
  <c r="AF27" i="28"/>
  <c r="AD27" i="28"/>
  <c r="AC27" i="28"/>
  <c r="AB27" i="28"/>
  <c r="Z27" i="28"/>
  <c r="Y27" i="28"/>
  <c r="X27" i="28"/>
  <c r="V27" i="28"/>
  <c r="U27" i="28"/>
  <c r="S27" i="28"/>
  <c r="R27" i="28"/>
  <c r="Q27" i="28"/>
  <c r="O27" i="28"/>
  <c r="N27" i="28"/>
  <c r="P27" i="28" s="1"/>
  <c r="L27" i="28"/>
  <c r="J27" i="28"/>
  <c r="I27" i="28"/>
  <c r="H27" i="28"/>
  <c r="E27" i="28"/>
  <c r="D27" i="28"/>
  <c r="C27" i="28"/>
  <c r="AN26" i="28"/>
  <c r="AM26" i="28"/>
  <c r="AK26" i="28"/>
  <c r="AJ26" i="28"/>
  <c r="AI26" i="28"/>
  <c r="AG26" i="28"/>
  <c r="AF26" i="28"/>
  <c r="AH26" i="28" s="1"/>
  <c r="AD26" i="28"/>
  <c r="AC26" i="28"/>
  <c r="AB26" i="28"/>
  <c r="Z26" i="28"/>
  <c r="Y26" i="28"/>
  <c r="X26" i="28"/>
  <c r="V26" i="28"/>
  <c r="U26" i="28"/>
  <c r="S26" i="28"/>
  <c r="R26" i="28"/>
  <c r="Q26" i="28"/>
  <c r="O26" i="28"/>
  <c r="N26" i="28"/>
  <c r="M26" i="28"/>
  <c r="L26" i="28"/>
  <c r="J26" i="28"/>
  <c r="I26" i="28"/>
  <c r="H26" i="28"/>
  <c r="F26" i="28"/>
  <c r="E26" i="28"/>
  <c r="D26" i="28"/>
  <c r="G26" i="28" s="1"/>
  <c r="C26" i="28"/>
  <c r="AN25" i="28"/>
  <c r="AM25" i="28"/>
  <c r="AK25" i="28"/>
  <c r="AJ25" i="28"/>
  <c r="AI25" i="28"/>
  <c r="AG25" i="28"/>
  <c r="AF25" i="28"/>
  <c r="AD25" i="28"/>
  <c r="AC25" i="28"/>
  <c r="AB25" i="28"/>
  <c r="Z25" i="28"/>
  <c r="Y25" i="28"/>
  <c r="X25" i="28"/>
  <c r="V25" i="28"/>
  <c r="U25" i="28"/>
  <c r="S25" i="28"/>
  <c r="R25" i="28"/>
  <c r="Q25" i="28"/>
  <c r="O25" i="28"/>
  <c r="N25" i="28"/>
  <c r="L25" i="28"/>
  <c r="J25" i="28"/>
  <c r="I25" i="28"/>
  <c r="H25" i="28"/>
  <c r="E25" i="28"/>
  <c r="D25" i="28"/>
  <c r="C25" i="28"/>
  <c r="AN24" i="28"/>
  <c r="AM24" i="28"/>
  <c r="AK24" i="28"/>
  <c r="AJ24" i="28"/>
  <c r="AI24" i="28"/>
  <c r="AG24" i="28"/>
  <c r="AF24" i="28"/>
  <c r="AD24" i="28"/>
  <c r="AC24" i="28"/>
  <c r="AB24" i="28"/>
  <c r="Z24" i="28"/>
  <c r="Y24" i="28"/>
  <c r="X24" i="28"/>
  <c r="V24" i="28"/>
  <c r="U24" i="28"/>
  <c r="S24" i="28"/>
  <c r="R24" i="28"/>
  <c r="Q24" i="28"/>
  <c r="O24" i="28"/>
  <c r="N24" i="28"/>
  <c r="L24" i="28"/>
  <c r="J24" i="28"/>
  <c r="I24" i="28"/>
  <c r="H24" i="28"/>
  <c r="E24" i="28"/>
  <c r="D24" i="28"/>
  <c r="C24" i="28"/>
  <c r="AN23" i="28"/>
  <c r="AM23" i="28"/>
  <c r="AK23" i="28"/>
  <c r="AJ23" i="28"/>
  <c r="AI23" i="28"/>
  <c r="AG23" i="28"/>
  <c r="AF23" i="28"/>
  <c r="AD23" i="28"/>
  <c r="AC23" i="28"/>
  <c r="AB23" i="28"/>
  <c r="Z23" i="28"/>
  <c r="Y23" i="28"/>
  <c r="X23" i="28"/>
  <c r="V23" i="28"/>
  <c r="U23" i="28"/>
  <c r="S23" i="28"/>
  <c r="T23" i="28" s="1"/>
  <c r="R23" i="28"/>
  <c r="Q23" i="28"/>
  <c r="O23" i="28"/>
  <c r="N23" i="28"/>
  <c r="L23" i="28"/>
  <c r="J23" i="28"/>
  <c r="I23" i="28"/>
  <c r="H23" i="28"/>
  <c r="E23" i="28"/>
  <c r="D23" i="28"/>
  <c r="C23" i="28"/>
  <c r="AN22" i="28"/>
  <c r="AM22" i="28"/>
  <c r="AK22" i="28"/>
  <c r="AJ22" i="28"/>
  <c r="AI22" i="28"/>
  <c r="AG22" i="28"/>
  <c r="AF22" i="28"/>
  <c r="AH22" i="28" s="1"/>
  <c r="AD22" i="28"/>
  <c r="AC22" i="28"/>
  <c r="AB22" i="28"/>
  <c r="Z22" i="28"/>
  <c r="Y22" i="28"/>
  <c r="X22" i="28"/>
  <c r="V22" i="28"/>
  <c r="U22" i="28"/>
  <c r="S22" i="28"/>
  <c r="R22" i="28"/>
  <c r="Q22" i="28"/>
  <c r="O22" i="28"/>
  <c r="P22" i="28" s="1"/>
  <c r="N22" i="28"/>
  <c r="L22" i="28"/>
  <c r="J22" i="28"/>
  <c r="I22" i="28"/>
  <c r="H22" i="28"/>
  <c r="E22" i="28"/>
  <c r="D22" i="28"/>
  <c r="C22" i="28"/>
  <c r="AN21" i="28"/>
  <c r="AM21" i="28"/>
  <c r="AK21" i="28"/>
  <c r="AJ21" i="28"/>
  <c r="AL21" i="28" s="1"/>
  <c r="AI21" i="28"/>
  <c r="AG21" i="28"/>
  <c r="AF21" i="28"/>
  <c r="AD21" i="28"/>
  <c r="AC21" i="28"/>
  <c r="AB21" i="28"/>
  <c r="Z21" i="28"/>
  <c r="Y21" i="28"/>
  <c r="X21" i="28"/>
  <c r="V21" i="28"/>
  <c r="U21" i="28"/>
  <c r="S21" i="28"/>
  <c r="R21" i="28"/>
  <c r="Q21" i="28"/>
  <c r="O21" i="28"/>
  <c r="N21" i="28"/>
  <c r="L21" i="28"/>
  <c r="J21" i="28"/>
  <c r="I21" i="28"/>
  <c r="H21" i="28"/>
  <c r="E21" i="28"/>
  <c r="D21" i="28"/>
  <c r="C21" i="28"/>
  <c r="F21" i="28" s="1"/>
  <c r="AN20" i="28"/>
  <c r="AM20" i="28"/>
  <c r="AK20" i="28"/>
  <c r="AL20" i="28" s="1"/>
  <c r="AJ20" i="28"/>
  <c r="AI20" i="28"/>
  <c r="AG20" i="28"/>
  <c r="AF20" i="28"/>
  <c r="AD20" i="28"/>
  <c r="AC20" i="28"/>
  <c r="AB20" i="28"/>
  <c r="Z20" i="28"/>
  <c r="Y20" i="28"/>
  <c r="X20" i="28"/>
  <c r="V20" i="28"/>
  <c r="U20" i="28"/>
  <c r="S20" i="28"/>
  <c r="R20" i="28"/>
  <c r="Q20" i="28"/>
  <c r="O20" i="28"/>
  <c r="N20" i="28"/>
  <c r="L20" i="28"/>
  <c r="J20" i="28"/>
  <c r="I20" i="28"/>
  <c r="M20" i="28" s="1"/>
  <c r="H20" i="28"/>
  <c r="E20" i="28"/>
  <c r="D20" i="28"/>
  <c r="C20" i="28"/>
  <c r="F20" i="28" s="1"/>
  <c r="AN19" i="28"/>
  <c r="AM19" i="28"/>
  <c r="AK19" i="28"/>
  <c r="AJ19" i="28"/>
  <c r="AI19" i="28"/>
  <c r="AG19" i="28"/>
  <c r="AH19" i="28" s="1"/>
  <c r="AF19" i="28"/>
  <c r="AD19" i="28"/>
  <c r="AC19" i="28"/>
  <c r="AB19" i="28"/>
  <c r="Z19" i="28"/>
  <c r="Y19" i="28"/>
  <c r="AA19" i="28" s="1"/>
  <c r="X19" i="28"/>
  <c r="V19" i="28"/>
  <c r="U19" i="28"/>
  <c r="S19" i="28"/>
  <c r="R19" i="28"/>
  <c r="Q19" i="28"/>
  <c r="O19" i="28"/>
  <c r="N19" i="28"/>
  <c r="L19" i="28"/>
  <c r="J19" i="28"/>
  <c r="I19" i="28"/>
  <c r="H19" i="28"/>
  <c r="E19" i="28"/>
  <c r="D19" i="28"/>
  <c r="C19" i="28"/>
  <c r="AN18" i="28"/>
  <c r="AM18" i="28"/>
  <c r="AK18" i="28"/>
  <c r="AJ18" i="28"/>
  <c r="AI18" i="28"/>
  <c r="AG18" i="28"/>
  <c r="AF18" i="28"/>
  <c r="AH18" i="28" s="1"/>
  <c r="AD18" i="28"/>
  <c r="AC18" i="28"/>
  <c r="AB18" i="28"/>
  <c r="Z18" i="28"/>
  <c r="AA18" i="28" s="1"/>
  <c r="Y18" i="28"/>
  <c r="X18" i="28"/>
  <c r="V18" i="28"/>
  <c r="U18" i="28"/>
  <c r="W18" i="28" s="1"/>
  <c r="S18" i="28"/>
  <c r="R18" i="28"/>
  <c r="Q18" i="28"/>
  <c r="O18" i="28"/>
  <c r="N18" i="28"/>
  <c r="L18" i="28"/>
  <c r="J18" i="28"/>
  <c r="I18" i="28"/>
  <c r="H18" i="28"/>
  <c r="E18" i="28"/>
  <c r="D18" i="28"/>
  <c r="C18" i="28"/>
  <c r="AN17" i="28"/>
  <c r="AM17" i="28"/>
  <c r="AK17" i="28"/>
  <c r="AJ17" i="28"/>
  <c r="AI17" i="28"/>
  <c r="AG17" i="28"/>
  <c r="AF17" i="28"/>
  <c r="AD17" i="28"/>
  <c r="AC17" i="28"/>
  <c r="AE17" i="28" s="1"/>
  <c r="AB17" i="28"/>
  <c r="Z17" i="28"/>
  <c r="Y17" i="28"/>
  <c r="X17" i="28"/>
  <c r="V17" i="28"/>
  <c r="U17" i="28"/>
  <c r="S17" i="28"/>
  <c r="R17" i="28"/>
  <c r="Q17" i="28"/>
  <c r="O17" i="28"/>
  <c r="N17" i="28"/>
  <c r="L17" i="28"/>
  <c r="J17" i="28"/>
  <c r="I17" i="28"/>
  <c r="H17" i="28"/>
  <c r="E17" i="28"/>
  <c r="F17" i="28" s="1"/>
  <c r="D17" i="28"/>
  <c r="C17" i="28"/>
  <c r="AN16" i="28"/>
  <c r="AM16" i="28"/>
  <c r="AK16" i="28"/>
  <c r="AJ16" i="28"/>
  <c r="AI16" i="28"/>
  <c r="AG16" i="28"/>
  <c r="AF16" i="28"/>
  <c r="AD16" i="28"/>
  <c r="AC16" i="28"/>
  <c r="AB16" i="28"/>
  <c r="Z16" i="28"/>
  <c r="Y16" i="28"/>
  <c r="X16" i="28"/>
  <c r="V16" i="28"/>
  <c r="U16" i="28"/>
  <c r="S16" i="28"/>
  <c r="R16" i="28"/>
  <c r="Q16" i="28"/>
  <c r="O16" i="28"/>
  <c r="N16" i="28"/>
  <c r="L16" i="28"/>
  <c r="J16" i="28"/>
  <c r="I16" i="28"/>
  <c r="H16" i="28"/>
  <c r="E16" i="28"/>
  <c r="D16" i="28"/>
  <c r="G16" i="28" s="1"/>
  <c r="C16" i="28"/>
  <c r="AN15" i="28"/>
  <c r="AM15" i="28"/>
  <c r="AK15" i="28"/>
  <c r="AJ15" i="28"/>
  <c r="AI15" i="28"/>
  <c r="AG15" i="28"/>
  <c r="AF15" i="28"/>
  <c r="AD15" i="28"/>
  <c r="AC15" i="28"/>
  <c r="AB15" i="28"/>
  <c r="Z15" i="28"/>
  <c r="Y15" i="28"/>
  <c r="X15" i="28"/>
  <c r="V15" i="28"/>
  <c r="U15" i="28"/>
  <c r="W15" i="28" s="1"/>
  <c r="S15" i="28"/>
  <c r="R15" i="28"/>
  <c r="T15" i="28" s="1"/>
  <c r="Q15" i="28"/>
  <c r="O15" i="28"/>
  <c r="N15" i="28"/>
  <c r="L15" i="28"/>
  <c r="J15" i="28"/>
  <c r="I15" i="28"/>
  <c r="M15" i="28" s="1"/>
  <c r="H15" i="28"/>
  <c r="E15" i="28"/>
  <c r="D15" i="28"/>
  <c r="C15" i="28"/>
  <c r="AN14" i="28"/>
  <c r="AM14" i="28"/>
  <c r="AK14" i="28"/>
  <c r="AJ14" i="28"/>
  <c r="AI14" i="28"/>
  <c r="AG14" i="28"/>
  <c r="AF14" i="28"/>
  <c r="AD14" i="28"/>
  <c r="AC14" i="28"/>
  <c r="AB14" i="28"/>
  <c r="Z14" i="28"/>
  <c r="Y14" i="28"/>
  <c r="X14" i="28"/>
  <c r="V14" i="28"/>
  <c r="U14" i="28"/>
  <c r="S14" i="28"/>
  <c r="T14" i="28" s="1"/>
  <c r="R14" i="28"/>
  <c r="Q14" i="28"/>
  <c r="O14" i="28"/>
  <c r="N14" i="28"/>
  <c r="L14" i="28"/>
  <c r="J14" i="28"/>
  <c r="I14" i="28"/>
  <c r="H14" i="28"/>
  <c r="E14" i="28"/>
  <c r="D14" i="28"/>
  <c r="G14" i="28" s="1"/>
  <c r="C14" i="28"/>
  <c r="E9" i="28"/>
  <c r="G108" i="27"/>
  <c r="F108" i="27"/>
  <c r="G107" i="27"/>
  <c r="F107" i="27"/>
  <c r="G106" i="27"/>
  <c r="F106" i="27"/>
  <c r="G105" i="27"/>
  <c r="F105" i="27"/>
  <c r="G104" i="27"/>
  <c r="F104" i="27"/>
  <c r="G103" i="27"/>
  <c r="F103" i="27"/>
  <c r="G102" i="27"/>
  <c r="F102" i="27"/>
  <c r="E101" i="27"/>
  <c r="E89" i="27" s="1"/>
  <c r="D101" i="27"/>
  <c r="D89" i="27" s="1"/>
  <c r="D9" i="27" s="1"/>
  <c r="C101" i="27"/>
  <c r="C89" i="27" s="1"/>
  <c r="G100" i="27"/>
  <c r="F100" i="27"/>
  <c r="G99" i="27"/>
  <c r="F99" i="27"/>
  <c r="G98" i="27"/>
  <c r="F98" i="27"/>
  <c r="G97" i="27"/>
  <c r="F97" i="27"/>
  <c r="G96" i="27"/>
  <c r="F96" i="27"/>
  <c r="G95" i="27"/>
  <c r="F95" i="27"/>
  <c r="G94" i="27"/>
  <c r="F94" i="27"/>
  <c r="G93" i="27"/>
  <c r="F93" i="27"/>
  <c r="G92" i="27"/>
  <c r="F92" i="27"/>
  <c r="G91" i="27"/>
  <c r="F91" i="27"/>
  <c r="G90" i="27"/>
  <c r="F90" i="27"/>
  <c r="U88" i="27"/>
  <c r="S88" i="27"/>
  <c r="R88" i="27"/>
  <c r="V88" i="27" s="1"/>
  <c r="Q88" i="27"/>
  <c r="O88" i="27"/>
  <c r="N88" i="27"/>
  <c r="P88" i="27" s="1"/>
  <c r="L88" i="27"/>
  <c r="K88" i="27"/>
  <c r="J88" i="27"/>
  <c r="E88" i="27"/>
  <c r="D88" i="27"/>
  <c r="G88" i="27" s="1"/>
  <c r="C88" i="27"/>
  <c r="U87" i="27"/>
  <c r="S87" i="27"/>
  <c r="R87" i="27"/>
  <c r="V87" i="27" s="1"/>
  <c r="Q87" i="27"/>
  <c r="T87" i="27" s="1"/>
  <c r="O87" i="27"/>
  <c r="N87" i="27"/>
  <c r="P87" i="27" s="1"/>
  <c r="M87" i="27"/>
  <c r="L87" i="27"/>
  <c r="K87" i="27"/>
  <c r="J87" i="27"/>
  <c r="E87" i="27"/>
  <c r="D87" i="27"/>
  <c r="G87" i="27" s="1"/>
  <c r="C87" i="27"/>
  <c r="F87" i="27" s="1"/>
  <c r="U86" i="27"/>
  <c r="S86" i="27"/>
  <c r="R86" i="27"/>
  <c r="V86" i="27" s="1"/>
  <c r="Q86" i="27"/>
  <c r="T86" i="27" s="1"/>
  <c r="O86" i="27"/>
  <c r="N86" i="27"/>
  <c r="P86" i="27" s="1"/>
  <c r="L86" i="27"/>
  <c r="K86" i="27"/>
  <c r="M86" i="27" s="1"/>
  <c r="J86" i="27"/>
  <c r="E86" i="27"/>
  <c r="D86" i="27"/>
  <c r="G86" i="27" s="1"/>
  <c r="C86" i="27"/>
  <c r="F86" i="27" s="1"/>
  <c r="U85" i="27"/>
  <c r="S85" i="27"/>
  <c r="R85" i="27"/>
  <c r="Q85" i="27"/>
  <c r="O85" i="27"/>
  <c r="N85" i="27"/>
  <c r="L85" i="27"/>
  <c r="K85" i="27"/>
  <c r="J85" i="27"/>
  <c r="E85" i="27"/>
  <c r="G85" i="27" s="1"/>
  <c r="D85" i="27"/>
  <c r="C85" i="27"/>
  <c r="U84" i="27"/>
  <c r="S84" i="27"/>
  <c r="R84" i="27"/>
  <c r="V84" i="27" s="1"/>
  <c r="Q84" i="27"/>
  <c r="T84" i="27" s="1"/>
  <c r="O84" i="27"/>
  <c r="N84" i="27"/>
  <c r="P84" i="27" s="1"/>
  <c r="M84" i="27"/>
  <c r="L84" i="27"/>
  <c r="K84" i="27"/>
  <c r="J84" i="27"/>
  <c r="E84" i="27"/>
  <c r="D84" i="27"/>
  <c r="G84" i="27" s="1"/>
  <c r="C84" i="27"/>
  <c r="F84" i="27" s="1"/>
  <c r="U83" i="27"/>
  <c r="S83" i="27"/>
  <c r="R83" i="27"/>
  <c r="Q83" i="27"/>
  <c r="O83" i="27"/>
  <c r="N83" i="27"/>
  <c r="L83" i="27"/>
  <c r="K83" i="27"/>
  <c r="J83" i="27"/>
  <c r="E83" i="27"/>
  <c r="D83" i="27"/>
  <c r="C83" i="27"/>
  <c r="U82" i="27"/>
  <c r="S82" i="27"/>
  <c r="R82" i="27"/>
  <c r="Q82" i="27"/>
  <c r="T82" i="27" s="1"/>
  <c r="O82" i="27"/>
  <c r="P82" i="27" s="1"/>
  <c r="N82" i="27"/>
  <c r="L82" i="27"/>
  <c r="K82" i="27"/>
  <c r="J82" i="27"/>
  <c r="E82" i="27"/>
  <c r="D82" i="27"/>
  <c r="C82" i="27"/>
  <c r="U81" i="27"/>
  <c r="S81" i="27"/>
  <c r="R81" i="27"/>
  <c r="Q81" i="27"/>
  <c r="P81" i="27"/>
  <c r="O81" i="27"/>
  <c r="N81" i="27"/>
  <c r="L81" i="27"/>
  <c r="K81" i="27"/>
  <c r="J81" i="27"/>
  <c r="E81" i="27"/>
  <c r="D81" i="27"/>
  <c r="C81" i="27"/>
  <c r="U80" i="27"/>
  <c r="S80" i="27"/>
  <c r="R80" i="27"/>
  <c r="V80" i="27" s="1"/>
  <c r="Q80" i="27"/>
  <c r="O80" i="27"/>
  <c r="N80" i="27"/>
  <c r="L80" i="27"/>
  <c r="K80" i="27"/>
  <c r="M80" i="27" s="1"/>
  <c r="J80" i="27"/>
  <c r="E80" i="27"/>
  <c r="D80" i="27"/>
  <c r="C80" i="27"/>
  <c r="U79" i="27"/>
  <c r="S79" i="27"/>
  <c r="R79" i="27"/>
  <c r="V79" i="27" s="1"/>
  <c r="Q79" i="27"/>
  <c r="T79" i="27" s="1"/>
  <c r="O79" i="27"/>
  <c r="N79" i="27"/>
  <c r="P79" i="27" s="1"/>
  <c r="L79" i="27"/>
  <c r="K79" i="27"/>
  <c r="M79" i="27" s="1"/>
  <c r="J79" i="27"/>
  <c r="E79" i="27"/>
  <c r="D79" i="27"/>
  <c r="G79" i="27" s="1"/>
  <c r="C79" i="27"/>
  <c r="F79" i="27" s="1"/>
  <c r="U78" i="27"/>
  <c r="S78" i="27"/>
  <c r="R78" i="27"/>
  <c r="V78" i="27" s="1"/>
  <c r="Q78" i="27"/>
  <c r="T78" i="27" s="1"/>
  <c r="O78" i="27"/>
  <c r="N78" i="27"/>
  <c r="P78" i="27" s="1"/>
  <c r="L78" i="27"/>
  <c r="K78" i="27"/>
  <c r="M78" i="27" s="1"/>
  <c r="J78" i="27"/>
  <c r="E78" i="27"/>
  <c r="D78" i="27"/>
  <c r="G78" i="27" s="1"/>
  <c r="C78" i="27"/>
  <c r="F78" i="27" s="1"/>
  <c r="U77" i="27"/>
  <c r="S77" i="27"/>
  <c r="R77" i="27"/>
  <c r="Q77" i="27"/>
  <c r="O77" i="27"/>
  <c r="N77" i="27"/>
  <c r="L77" i="27"/>
  <c r="K77" i="27"/>
  <c r="J77" i="27"/>
  <c r="E77" i="27"/>
  <c r="D77" i="27"/>
  <c r="C77" i="27"/>
  <c r="U76" i="27"/>
  <c r="S76" i="27"/>
  <c r="R76" i="27"/>
  <c r="Q76" i="27"/>
  <c r="T76" i="27" s="1"/>
  <c r="O76" i="27"/>
  <c r="N76" i="27"/>
  <c r="L76" i="27"/>
  <c r="K76" i="27"/>
  <c r="J76" i="27"/>
  <c r="E76" i="27"/>
  <c r="D76" i="27"/>
  <c r="C76" i="27"/>
  <c r="U75" i="27"/>
  <c r="S75" i="27"/>
  <c r="R75" i="27"/>
  <c r="Q75" i="27"/>
  <c r="O75" i="27"/>
  <c r="N75" i="27"/>
  <c r="L75" i="27"/>
  <c r="K75" i="27"/>
  <c r="J75" i="27"/>
  <c r="E75" i="27"/>
  <c r="D75" i="27"/>
  <c r="C75" i="27"/>
  <c r="J74" i="27"/>
  <c r="I74" i="27"/>
  <c r="H74" i="27"/>
  <c r="U73" i="27"/>
  <c r="S73" i="27"/>
  <c r="R73" i="27"/>
  <c r="Q73" i="27"/>
  <c r="O73" i="27"/>
  <c r="N73" i="27"/>
  <c r="L73" i="27"/>
  <c r="K73" i="27"/>
  <c r="J73" i="27"/>
  <c r="E73" i="27"/>
  <c r="D73" i="27"/>
  <c r="C73" i="27"/>
  <c r="U72" i="27"/>
  <c r="S72" i="27"/>
  <c r="R72" i="27"/>
  <c r="Q72" i="27"/>
  <c r="O72" i="27"/>
  <c r="N72" i="27"/>
  <c r="L72" i="27"/>
  <c r="K72" i="27"/>
  <c r="J72" i="27"/>
  <c r="E72" i="27"/>
  <c r="D72" i="27"/>
  <c r="C72" i="27"/>
  <c r="U71" i="27"/>
  <c r="S71" i="27"/>
  <c r="R71" i="27"/>
  <c r="V71" i="27" s="1"/>
  <c r="Q71" i="27"/>
  <c r="T71" i="27" s="1"/>
  <c r="O71" i="27"/>
  <c r="N71" i="27"/>
  <c r="P71" i="27" s="1"/>
  <c r="L71" i="27"/>
  <c r="K71" i="27"/>
  <c r="M71" i="27" s="1"/>
  <c r="J71" i="27"/>
  <c r="E71" i="27"/>
  <c r="D71" i="27"/>
  <c r="G71" i="27" s="1"/>
  <c r="C71" i="27"/>
  <c r="F71" i="27" s="1"/>
  <c r="U70" i="27"/>
  <c r="S70" i="27"/>
  <c r="R70" i="27"/>
  <c r="Q70" i="27"/>
  <c r="O70" i="27"/>
  <c r="N70" i="27"/>
  <c r="L70" i="27"/>
  <c r="K70" i="27"/>
  <c r="J70" i="27"/>
  <c r="E70" i="27"/>
  <c r="D70" i="27"/>
  <c r="C70" i="27"/>
  <c r="U69" i="27"/>
  <c r="S69" i="27"/>
  <c r="R69" i="27"/>
  <c r="V69" i="27" s="1"/>
  <c r="Q69" i="27"/>
  <c r="T69" i="27" s="1"/>
  <c r="O69" i="27"/>
  <c r="N69" i="27"/>
  <c r="P69" i="27" s="1"/>
  <c r="L69" i="27"/>
  <c r="K69" i="27"/>
  <c r="M69" i="27" s="1"/>
  <c r="J69" i="27"/>
  <c r="E69" i="27"/>
  <c r="D69" i="27"/>
  <c r="G69" i="27" s="1"/>
  <c r="C69" i="27"/>
  <c r="F69" i="27" s="1"/>
  <c r="U68" i="27"/>
  <c r="S68" i="27"/>
  <c r="R68" i="27"/>
  <c r="Q68" i="27"/>
  <c r="O68" i="27"/>
  <c r="N68" i="27"/>
  <c r="L68" i="27"/>
  <c r="K68" i="27"/>
  <c r="J68" i="27"/>
  <c r="E68" i="27"/>
  <c r="D68" i="27"/>
  <c r="G68" i="27" s="1"/>
  <c r="C68" i="27"/>
  <c r="U67" i="27"/>
  <c r="S67" i="27"/>
  <c r="R67" i="27"/>
  <c r="V67" i="27" s="1"/>
  <c r="Q67" i="27"/>
  <c r="T67" i="27" s="1"/>
  <c r="O67" i="27"/>
  <c r="N67" i="27"/>
  <c r="P67" i="27" s="1"/>
  <c r="L67" i="27"/>
  <c r="K67" i="27"/>
  <c r="M67" i="27" s="1"/>
  <c r="J67" i="27"/>
  <c r="E67" i="27"/>
  <c r="D67" i="27"/>
  <c r="G67" i="27" s="1"/>
  <c r="C67" i="27"/>
  <c r="F67" i="27" s="1"/>
  <c r="U66" i="27"/>
  <c r="S66" i="27"/>
  <c r="R66" i="27"/>
  <c r="Q66" i="27"/>
  <c r="O66" i="27"/>
  <c r="N66" i="27"/>
  <c r="L66" i="27"/>
  <c r="K66" i="27"/>
  <c r="J66" i="27"/>
  <c r="E66" i="27"/>
  <c r="D66" i="27"/>
  <c r="G66" i="27" s="1"/>
  <c r="C66" i="27"/>
  <c r="U65" i="27"/>
  <c r="S65" i="27"/>
  <c r="R65" i="27"/>
  <c r="V65" i="27" s="1"/>
  <c r="Q65" i="27"/>
  <c r="T65" i="27" s="1"/>
  <c r="O65" i="27"/>
  <c r="N65" i="27"/>
  <c r="P65" i="27" s="1"/>
  <c r="L65" i="27"/>
  <c r="K65" i="27"/>
  <c r="M65" i="27" s="1"/>
  <c r="J65" i="27"/>
  <c r="E65" i="27"/>
  <c r="D65" i="27"/>
  <c r="G65" i="27" s="1"/>
  <c r="C65" i="27"/>
  <c r="F65" i="27" s="1"/>
  <c r="U64" i="27"/>
  <c r="S64" i="27"/>
  <c r="R64" i="27"/>
  <c r="V64" i="27" s="1"/>
  <c r="Q64" i="27"/>
  <c r="T64" i="27" s="1"/>
  <c r="O64" i="27"/>
  <c r="N64" i="27"/>
  <c r="P64" i="27" s="1"/>
  <c r="L64" i="27"/>
  <c r="K64" i="27"/>
  <c r="M64" i="27" s="1"/>
  <c r="J64" i="27"/>
  <c r="E64" i="27"/>
  <c r="D64" i="27"/>
  <c r="G64" i="27" s="1"/>
  <c r="C64" i="27"/>
  <c r="F64" i="27" s="1"/>
  <c r="U63" i="27"/>
  <c r="S63" i="27"/>
  <c r="R63" i="27"/>
  <c r="Q63" i="27"/>
  <c r="O63" i="27"/>
  <c r="N63" i="27"/>
  <c r="L63" i="27"/>
  <c r="K63" i="27"/>
  <c r="J63" i="27"/>
  <c r="E63" i="27"/>
  <c r="D63" i="27"/>
  <c r="C63" i="27"/>
  <c r="U62" i="27"/>
  <c r="S62" i="27"/>
  <c r="R62" i="27"/>
  <c r="V62" i="27" s="1"/>
  <c r="Q62" i="27"/>
  <c r="T62" i="27" s="1"/>
  <c r="O62" i="27"/>
  <c r="N62" i="27"/>
  <c r="P62" i="27" s="1"/>
  <c r="L62" i="27"/>
  <c r="K62" i="27"/>
  <c r="M62" i="27" s="1"/>
  <c r="J62" i="27"/>
  <c r="E62" i="27"/>
  <c r="D62" i="27"/>
  <c r="G62" i="27" s="1"/>
  <c r="C62" i="27"/>
  <c r="F62" i="27" s="1"/>
  <c r="U61" i="27"/>
  <c r="S61" i="27"/>
  <c r="R61" i="27"/>
  <c r="Q61" i="27"/>
  <c r="O61" i="27"/>
  <c r="N61" i="27"/>
  <c r="M61" i="27"/>
  <c r="L61" i="27"/>
  <c r="K61" i="27"/>
  <c r="J61" i="27"/>
  <c r="E61" i="27"/>
  <c r="D61" i="27"/>
  <c r="C61" i="27"/>
  <c r="U60" i="27"/>
  <c r="S60" i="27"/>
  <c r="R60" i="27"/>
  <c r="V60" i="27" s="1"/>
  <c r="Q60" i="27"/>
  <c r="T60" i="27" s="1"/>
  <c r="O60" i="27"/>
  <c r="N60" i="27"/>
  <c r="P60" i="27" s="1"/>
  <c r="L60" i="27"/>
  <c r="K60" i="27"/>
  <c r="M60" i="27" s="1"/>
  <c r="J60" i="27"/>
  <c r="E60" i="27"/>
  <c r="D60" i="27"/>
  <c r="G60" i="27" s="1"/>
  <c r="C60" i="27"/>
  <c r="F60" i="27" s="1"/>
  <c r="U59" i="27"/>
  <c r="S59" i="27"/>
  <c r="R59" i="27"/>
  <c r="Q59" i="27"/>
  <c r="O59" i="27"/>
  <c r="N59" i="27"/>
  <c r="P59" i="27" s="1"/>
  <c r="L59" i="27"/>
  <c r="K59" i="27"/>
  <c r="J59" i="27"/>
  <c r="E59" i="27"/>
  <c r="D59" i="27"/>
  <c r="C59" i="27"/>
  <c r="U58" i="27"/>
  <c r="S58" i="27"/>
  <c r="R58" i="27"/>
  <c r="V58" i="27" s="1"/>
  <c r="Q58" i="27"/>
  <c r="T58" i="27" s="1"/>
  <c r="O58" i="27"/>
  <c r="N58" i="27"/>
  <c r="P58" i="27" s="1"/>
  <c r="L58" i="27"/>
  <c r="K58" i="27"/>
  <c r="M58" i="27" s="1"/>
  <c r="J58" i="27"/>
  <c r="F58" i="27"/>
  <c r="E58" i="27"/>
  <c r="D58" i="27"/>
  <c r="G58" i="27" s="1"/>
  <c r="C58" i="27"/>
  <c r="U57" i="27"/>
  <c r="S57" i="27"/>
  <c r="R57" i="27"/>
  <c r="V57" i="27" s="1"/>
  <c r="Q57" i="27"/>
  <c r="T57" i="27" s="1"/>
  <c r="O57" i="27"/>
  <c r="N57" i="27"/>
  <c r="P57" i="27" s="1"/>
  <c r="L57" i="27"/>
  <c r="K57" i="27"/>
  <c r="M57" i="27" s="1"/>
  <c r="J57" i="27"/>
  <c r="E57" i="27"/>
  <c r="D57" i="27"/>
  <c r="G57" i="27" s="1"/>
  <c r="C57" i="27"/>
  <c r="F57" i="27" s="1"/>
  <c r="U56" i="27"/>
  <c r="S56" i="27"/>
  <c r="R56" i="27"/>
  <c r="V56" i="27" s="1"/>
  <c r="Q56" i="27"/>
  <c r="T56" i="27" s="1"/>
  <c r="O56" i="27"/>
  <c r="N56" i="27"/>
  <c r="L56" i="27"/>
  <c r="K56" i="27"/>
  <c r="M56" i="27" s="1"/>
  <c r="J56" i="27"/>
  <c r="F56" i="27"/>
  <c r="E56" i="27"/>
  <c r="D56" i="27"/>
  <c r="C56" i="27"/>
  <c r="U55" i="27"/>
  <c r="S55" i="27"/>
  <c r="R55" i="27"/>
  <c r="V55" i="27" s="1"/>
  <c r="Q55" i="27"/>
  <c r="O55" i="27"/>
  <c r="N55" i="27"/>
  <c r="L55" i="27"/>
  <c r="K55" i="27"/>
  <c r="J55" i="27"/>
  <c r="E55" i="27"/>
  <c r="D55" i="27"/>
  <c r="C55" i="27"/>
  <c r="U54" i="27"/>
  <c r="S54" i="27"/>
  <c r="R54" i="27"/>
  <c r="V54" i="27" s="1"/>
  <c r="Q54" i="27"/>
  <c r="T54" i="27" s="1"/>
  <c r="O54" i="27"/>
  <c r="N54" i="27"/>
  <c r="P54" i="27" s="1"/>
  <c r="L54" i="27"/>
  <c r="K54" i="27"/>
  <c r="M54" i="27" s="1"/>
  <c r="J54" i="27"/>
  <c r="E54" i="27"/>
  <c r="D54" i="27"/>
  <c r="C54" i="27"/>
  <c r="F54" i="27" s="1"/>
  <c r="U53" i="27"/>
  <c r="S53" i="27"/>
  <c r="R53" i="27"/>
  <c r="Q53" i="27"/>
  <c r="O53" i="27"/>
  <c r="N53" i="27"/>
  <c r="L53" i="27"/>
  <c r="K53" i="27"/>
  <c r="J53" i="27"/>
  <c r="E53" i="27"/>
  <c r="D53" i="27"/>
  <c r="C53" i="27"/>
  <c r="I52" i="27"/>
  <c r="H52" i="27"/>
  <c r="J52" i="27" s="1"/>
  <c r="U51" i="27"/>
  <c r="S51" i="27"/>
  <c r="R51" i="27"/>
  <c r="Q51" i="27"/>
  <c r="O51" i="27"/>
  <c r="N51" i="27"/>
  <c r="L51" i="27"/>
  <c r="K51" i="27"/>
  <c r="J51" i="27"/>
  <c r="E51" i="27"/>
  <c r="D51" i="27"/>
  <c r="G51" i="27" s="1"/>
  <c r="C51" i="27"/>
  <c r="F51" i="27" s="1"/>
  <c r="V50" i="27"/>
  <c r="U50" i="27"/>
  <c r="S50" i="27"/>
  <c r="R50" i="27"/>
  <c r="Q50" i="27"/>
  <c r="T50" i="27" s="1"/>
  <c r="O50" i="27"/>
  <c r="N50" i="27"/>
  <c r="P50" i="27" s="1"/>
  <c r="L50" i="27"/>
  <c r="K50" i="27"/>
  <c r="J50" i="27"/>
  <c r="E50" i="27"/>
  <c r="D50" i="27"/>
  <c r="C50" i="27"/>
  <c r="U49" i="27"/>
  <c r="S49" i="27"/>
  <c r="R49" i="27"/>
  <c r="Q49" i="27"/>
  <c r="O49" i="27"/>
  <c r="N49" i="27"/>
  <c r="L49" i="27"/>
  <c r="K49" i="27"/>
  <c r="J49" i="27"/>
  <c r="E49" i="27"/>
  <c r="D49" i="27"/>
  <c r="C49" i="27"/>
  <c r="U48" i="27"/>
  <c r="S48" i="27"/>
  <c r="R48" i="27"/>
  <c r="Q48" i="27"/>
  <c r="O48" i="27"/>
  <c r="N48" i="27"/>
  <c r="L48" i="27"/>
  <c r="K48" i="27"/>
  <c r="M48" i="27" s="1"/>
  <c r="J48" i="27"/>
  <c r="E48" i="27"/>
  <c r="D48" i="27"/>
  <c r="C48" i="27"/>
  <c r="U47" i="27"/>
  <c r="S47" i="27"/>
  <c r="R47" i="27"/>
  <c r="Q47" i="27"/>
  <c r="O47" i="27"/>
  <c r="N47" i="27"/>
  <c r="L47" i="27"/>
  <c r="K47" i="27"/>
  <c r="J47" i="27"/>
  <c r="E47" i="27"/>
  <c r="D47" i="27"/>
  <c r="G47" i="27" s="1"/>
  <c r="C47" i="27"/>
  <c r="F47" i="27" s="1"/>
  <c r="U46" i="27"/>
  <c r="S46" i="27"/>
  <c r="R46" i="27"/>
  <c r="Q46" i="27"/>
  <c r="T46" i="27" s="1"/>
  <c r="O46" i="27"/>
  <c r="N46" i="27"/>
  <c r="L46" i="27"/>
  <c r="K46" i="27"/>
  <c r="M46" i="27" s="1"/>
  <c r="J46" i="27"/>
  <c r="E46" i="27"/>
  <c r="D46" i="27"/>
  <c r="C46" i="27"/>
  <c r="U45" i="27"/>
  <c r="S45" i="27"/>
  <c r="R45" i="27"/>
  <c r="Q45" i="27"/>
  <c r="O45" i="27"/>
  <c r="P45" i="27" s="1"/>
  <c r="N45" i="27"/>
  <c r="L45" i="27"/>
  <c r="K45" i="27"/>
  <c r="M45" i="27" s="1"/>
  <c r="J45" i="27"/>
  <c r="E45" i="27"/>
  <c r="D45" i="27"/>
  <c r="C45" i="27"/>
  <c r="U44" i="27"/>
  <c r="S44" i="27"/>
  <c r="R44" i="27"/>
  <c r="V44" i="27" s="1"/>
  <c r="Q44" i="27"/>
  <c r="T44" i="27" s="1"/>
  <c r="P44" i="27"/>
  <c r="O44" i="27"/>
  <c r="N44" i="27"/>
  <c r="L44" i="27"/>
  <c r="K44" i="27"/>
  <c r="M44" i="27" s="1"/>
  <c r="J44" i="27"/>
  <c r="G44" i="27"/>
  <c r="E44" i="27"/>
  <c r="D44" i="27"/>
  <c r="C44" i="27"/>
  <c r="U43" i="27"/>
  <c r="S43" i="27"/>
  <c r="R43" i="27"/>
  <c r="Q43" i="27"/>
  <c r="O43" i="27"/>
  <c r="N43" i="27"/>
  <c r="P43" i="27" s="1"/>
  <c r="L43" i="27"/>
  <c r="K43" i="27"/>
  <c r="J43" i="27"/>
  <c r="E43" i="27"/>
  <c r="D43" i="27"/>
  <c r="C43" i="27"/>
  <c r="U42" i="27"/>
  <c r="S42" i="27"/>
  <c r="R42" i="27"/>
  <c r="Q42" i="27"/>
  <c r="T42" i="27" s="1"/>
  <c r="O42" i="27"/>
  <c r="N42" i="27"/>
  <c r="L42" i="27"/>
  <c r="K42" i="27"/>
  <c r="J42" i="27"/>
  <c r="E42" i="27"/>
  <c r="G42" i="27" s="1"/>
  <c r="D42" i="27"/>
  <c r="C42" i="27"/>
  <c r="U41" i="27"/>
  <c r="S41" i="27"/>
  <c r="R41" i="27"/>
  <c r="V41" i="27" s="1"/>
  <c r="Q41" i="27"/>
  <c r="T41" i="27" s="1"/>
  <c r="O41" i="27"/>
  <c r="N41" i="27"/>
  <c r="P41" i="27" s="1"/>
  <c r="L41" i="27"/>
  <c r="K41" i="27"/>
  <c r="J41" i="27"/>
  <c r="E41" i="27"/>
  <c r="D41" i="27"/>
  <c r="C41" i="27"/>
  <c r="U40" i="27"/>
  <c r="S40" i="27"/>
  <c r="R40" i="27"/>
  <c r="Q40" i="27"/>
  <c r="O40" i="27"/>
  <c r="N40" i="27"/>
  <c r="P40" i="27" s="1"/>
  <c r="L40" i="27"/>
  <c r="K40" i="27"/>
  <c r="J40" i="27"/>
  <c r="E40" i="27"/>
  <c r="G40" i="27" s="1"/>
  <c r="D40" i="27"/>
  <c r="C40" i="27"/>
  <c r="U39" i="27"/>
  <c r="S39" i="27"/>
  <c r="T39" i="27" s="1"/>
  <c r="R39" i="27"/>
  <c r="Q39" i="27"/>
  <c r="O39" i="27"/>
  <c r="N39" i="27"/>
  <c r="L39" i="27"/>
  <c r="K39" i="27"/>
  <c r="J39" i="27"/>
  <c r="E39" i="27"/>
  <c r="D39" i="27"/>
  <c r="G39" i="27" s="1"/>
  <c r="C39" i="27"/>
  <c r="U38" i="27"/>
  <c r="V38" i="27" s="1"/>
  <c r="S38" i="27"/>
  <c r="R38" i="27"/>
  <c r="Q38" i="27"/>
  <c r="O38" i="27"/>
  <c r="N38" i="27"/>
  <c r="P38" i="27" s="1"/>
  <c r="L38" i="27"/>
  <c r="K38" i="27"/>
  <c r="J38" i="27"/>
  <c r="E38" i="27"/>
  <c r="D38" i="27"/>
  <c r="G38" i="27" s="1"/>
  <c r="C38" i="27"/>
  <c r="U37" i="27"/>
  <c r="S37" i="27"/>
  <c r="R37" i="27"/>
  <c r="Q37" i="27"/>
  <c r="O37" i="27"/>
  <c r="N37" i="27"/>
  <c r="L37" i="27"/>
  <c r="K37" i="27"/>
  <c r="J37" i="27"/>
  <c r="E37" i="27"/>
  <c r="D37" i="27"/>
  <c r="C37" i="27"/>
  <c r="U36" i="27"/>
  <c r="V36" i="27" s="1"/>
  <c r="S36" i="27"/>
  <c r="R36" i="27"/>
  <c r="Q36" i="27"/>
  <c r="O36" i="27"/>
  <c r="N36" i="27"/>
  <c r="L36" i="27"/>
  <c r="K36" i="27"/>
  <c r="M36" i="27" s="1"/>
  <c r="J36" i="27"/>
  <c r="E36" i="27"/>
  <c r="D36" i="27"/>
  <c r="C36" i="27"/>
  <c r="U35" i="27"/>
  <c r="S35" i="27"/>
  <c r="R35" i="27"/>
  <c r="Q35" i="27"/>
  <c r="O35" i="27"/>
  <c r="N35" i="27"/>
  <c r="L35" i="27"/>
  <c r="K35" i="27"/>
  <c r="J35" i="27"/>
  <c r="E35" i="27"/>
  <c r="D35" i="27"/>
  <c r="C35" i="27"/>
  <c r="U34" i="27"/>
  <c r="S34" i="27"/>
  <c r="R34" i="27"/>
  <c r="V34" i="27" s="1"/>
  <c r="Q34" i="27"/>
  <c r="T34" i="27" s="1"/>
  <c r="O34" i="27"/>
  <c r="N34" i="27"/>
  <c r="P34" i="27" s="1"/>
  <c r="L34" i="27"/>
  <c r="K34" i="27"/>
  <c r="M34" i="27" s="1"/>
  <c r="J34" i="27"/>
  <c r="E34" i="27"/>
  <c r="D34" i="27"/>
  <c r="G34" i="27" s="1"/>
  <c r="C34" i="27"/>
  <c r="F34" i="27" s="1"/>
  <c r="U33" i="27"/>
  <c r="S33" i="27"/>
  <c r="R33" i="27"/>
  <c r="Q33" i="27"/>
  <c r="T33" i="27" s="1"/>
  <c r="O33" i="27"/>
  <c r="N33" i="27"/>
  <c r="L33" i="27"/>
  <c r="K33" i="27"/>
  <c r="J33" i="27"/>
  <c r="E33" i="27"/>
  <c r="F33" i="27" s="1"/>
  <c r="D33" i="27"/>
  <c r="C33" i="27"/>
  <c r="U32" i="27"/>
  <c r="T32" i="27"/>
  <c r="S32" i="27"/>
  <c r="R32" i="27"/>
  <c r="Q32" i="27"/>
  <c r="O32" i="27"/>
  <c r="N32" i="27"/>
  <c r="L32" i="27"/>
  <c r="K32" i="27"/>
  <c r="J32" i="27"/>
  <c r="E32" i="27"/>
  <c r="D32" i="27"/>
  <c r="C32" i="27"/>
  <c r="J31" i="27"/>
  <c r="I31" i="27"/>
  <c r="I8" i="27" s="1"/>
  <c r="H31" i="27"/>
  <c r="U30" i="27"/>
  <c r="S30" i="27"/>
  <c r="R30" i="27"/>
  <c r="V30" i="27" s="1"/>
  <c r="Q30" i="27"/>
  <c r="T30" i="27" s="1"/>
  <c r="O30" i="27"/>
  <c r="N30" i="27"/>
  <c r="L30" i="27"/>
  <c r="K30" i="27"/>
  <c r="J30" i="27"/>
  <c r="E30" i="27"/>
  <c r="D30" i="27"/>
  <c r="C30" i="27"/>
  <c r="U29" i="27"/>
  <c r="S29" i="27"/>
  <c r="R29" i="27"/>
  <c r="V29" i="27" s="1"/>
  <c r="Q29" i="27"/>
  <c r="T29" i="27" s="1"/>
  <c r="O29" i="27"/>
  <c r="N29" i="27"/>
  <c r="L29" i="27"/>
  <c r="K29" i="27"/>
  <c r="J29" i="27"/>
  <c r="E29" i="27"/>
  <c r="D29" i="27"/>
  <c r="C29" i="27"/>
  <c r="U28" i="27"/>
  <c r="S28" i="27"/>
  <c r="R28" i="27"/>
  <c r="V28" i="27" s="1"/>
  <c r="Q28" i="27"/>
  <c r="T28" i="27" s="1"/>
  <c r="O28" i="27"/>
  <c r="N28" i="27"/>
  <c r="L28" i="27"/>
  <c r="K28" i="27"/>
  <c r="J28" i="27"/>
  <c r="E28" i="27"/>
  <c r="D28" i="27"/>
  <c r="C28" i="27"/>
  <c r="U27" i="27"/>
  <c r="S27" i="27"/>
  <c r="R27" i="27"/>
  <c r="Q27" i="27"/>
  <c r="T27" i="27" s="1"/>
  <c r="O27" i="27"/>
  <c r="N27" i="27"/>
  <c r="L27" i="27"/>
  <c r="K27" i="27"/>
  <c r="J27" i="27"/>
  <c r="E27" i="27"/>
  <c r="D27" i="27"/>
  <c r="C27" i="27"/>
  <c r="U26" i="27"/>
  <c r="S26" i="27"/>
  <c r="R26" i="27"/>
  <c r="Q26" i="27"/>
  <c r="T26" i="27" s="1"/>
  <c r="O26" i="27"/>
  <c r="N26" i="27"/>
  <c r="L26" i="27"/>
  <c r="K26" i="27"/>
  <c r="J26" i="27"/>
  <c r="E26" i="27"/>
  <c r="D26" i="27"/>
  <c r="C26" i="27"/>
  <c r="U25" i="27"/>
  <c r="S25" i="27"/>
  <c r="R25" i="27"/>
  <c r="Q25" i="27"/>
  <c r="T25" i="27" s="1"/>
  <c r="O25" i="27"/>
  <c r="N25" i="27"/>
  <c r="L25" i="27"/>
  <c r="K25" i="27"/>
  <c r="J25" i="27"/>
  <c r="E25" i="27"/>
  <c r="D25" i="27"/>
  <c r="C25" i="27"/>
  <c r="U24" i="27"/>
  <c r="S24" i="27"/>
  <c r="R24" i="27"/>
  <c r="Q24" i="27"/>
  <c r="T24" i="27" s="1"/>
  <c r="O24" i="27"/>
  <c r="N24" i="27"/>
  <c r="L24" i="27"/>
  <c r="K24" i="27"/>
  <c r="J24" i="27"/>
  <c r="E24" i="27"/>
  <c r="D24" i="27"/>
  <c r="C24" i="27"/>
  <c r="U23" i="27"/>
  <c r="S23" i="27"/>
  <c r="R23" i="27"/>
  <c r="Q23" i="27"/>
  <c r="T23" i="27" s="1"/>
  <c r="O23" i="27"/>
  <c r="N23" i="27"/>
  <c r="L23" i="27"/>
  <c r="K23" i="27"/>
  <c r="J23" i="27"/>
  <c r="E23" i="27"/>
  <c r="D23" i="27"/>
  <c r="C23" i="27"/>
  <c r="U22" i="27"/>
  <c r="S22" i="27"/>
  <c r="R22" i="27"/>
  <c r="V22" i="27" s="1"/>
  <c r="Q22" i="27"/>
  <c r="T22" i="27" s="1"/>
  <c r="O22" i="27"/>
  <c r="N22" i="27"/>
  <c r="P22" i="27" s="1"/>
  <c r="L22" i="27"/>
  <c r="K22" i="27"/>
  <c r="M22" i="27" s="1"/>
  <c r="J22" i="27"/>
  <c r="E22" i="27"/>
  <c r="D22" i="27"/>
  <c r="G22" i="27" s="1"/>
  <c r="C22" i="27"/>
  <c r="F22" i="27" s="1"/>
  <c r="U21" i="27"/>
  <c r="S21" i="27"/>
  <c r="R21" i="27"/>
  <c r="Q21" i="27"/>
  <c r="T21" i="27" s="1"/>
  <c r="O21" i="27"/>
  <c r="N21" i="27"/>
  <c r="L21" i="27"/>
  <c r="K21" i="27"/>
  <c r="J21" i="27"/>
  <c r="E21" i="27"/>
  <c r="D21" i="27"/>
  <c r="C21" i="27"/>
  <c r="U20" i="27"/>
  <c r="S20" i="27"/>
  <c r="R20" i="27"/>
  <c r="Q20" i="27"/>
  <c r="T20" i="27" s="1"/>
  <c r="O20" i="27"/>
  <c r="N20" i="27"/>
  <c r="L20" i="27"/>
  <c r="K20" i="27"/>
  <c r="J20" i="27"/>
  <c r="E20" i="27"/>
  <c r="D20" i="27"/>
  <c r="C20" i="27"/>
  <c r="U19" i="27"/>
  <c r="S19" i="27"/>
  <c r="R19" i="27"/>
  <c r="Q19" i="27"/>
  <c r="T19" i="27" s="1"/>
  <c r="O19" i="27"/>
  <c r="N19" i="27"/>
  <c r="L19" i="27"/>
  <c r="K19" i="27"/>
  <c r="J19" i="27"/>
  <c r="E19" i="27"/>
  <c r="D19" i="27"/>
  <c r="C19" i="27"/>
  <c r="U18" i="27"/>
  <c r="S18" i="27"/>
  <c r="R18" i="27"/>
  <c r="Q18" i="27"/>
  <c r="T18" i="27" s="1"/>
  <c r="O18" i="27"/>
  <c r="N18" i="27"/>
  <c r="L18" i="27"/>
  <c r="K18" i="27"/>
  <c r="J18" i="27"/>
  <c r="E18" i="27"/>
  <c r="D18" i="27"/>
  <c r="C18" i="27"/>
  <c r="U17" i="27"/>
  <c r="S17" i="27"/>
  <c r="R17" i="27"/>
  <c r="V17" i="27" s="1"/>
  <c r="Q17" i="27"/>
  <c r="T17" i="27" s="1"/>
  <c r="O17" i="27"/>
  <c r="N17" i="27"/>
  <c r="P17" i="27" s="1"/>
  <c r="L17" i="27"/>
  <c r="K17" i="27"/>
  <c r="M17" i="27" s="1"/>
  <c r="J17" i="27"/>
  <c r="E17" i="27"/>
  <c r="D17" i="27"/>
  <c r="G17" i="27" s="1"/>
  <c r="C17" i="27"/>
  <c r="F17" i="27" s="1"/>
  <c r="U16" i="27"/>
  <c r="S16" i="27"/>
  <c r="R16" i="27"/>
  <c r="Q16" i="27"/>
  <c r="T16" i="27" s="1"/>
  <c r="O16" i="27"/>
  <c r="N16" i="27"/>
  <c r="L16" i="27"/>
  <c r="K16" i="27"/>
  <c r="J16" i="27"/>
  <c r="E16" i="27"/>
  <c r="D16" i="27"/>
  <c r="C16" i="27"/>
  <c r="U15" i="27"/>
  <c r="S15" i="27"/>
  <c r="R15" i="27"/>
  <c r="Q15" i="27"/>
  <c r="T15" i="27" s="1"/>
  <c r="O15" i="27"/>
  <c r="N15" i="27"/>
  <c r="L15" i="27"/>
  <c r="K15" i="27"/>
  <c r="J15" i="27"/>
  <c r="E15" i="27"/>
  <c r="D15" i="27"/>
  <c r="C15" i="27"/>
  <c r="U14" i="27"/>
  <c r="S14" i="27"/>
  <c r="R14" i="27"/>
  <c r="Q14" i="27"/>
  <c r="T14" i="27" s="1"/>
  <c r="O14" i="27"/>
  <c r="N14" i="27"/>
  <c r="L14" i="27"/>
  <c r="K14" i="27"/>
  <c r="J14" i="27"/>
  <c r="E14" i="27"/>
  <c r="E13" i="27" s="1"/>
  <c r="D14" i="27"/>
  <c r="C14" i="27"/>
  <c r="U13" i="27"/>
  <c r="S13" i="27"/>
  <c r="R13" i="27"/>
  <c r="Q13" i="27"/>
  <c r="O13" i="27"/>
  <c r="N13" i="27"/>
  <c r="L13" i="27"/>
  <c r="K13" i="27"/>
  <c r="I13" i="27"/>
  <c r="H13" i="27"/>
  <c r="J13" i="27" s="1"/>
  <c r="V9" i="27"/>
  <c r="I9" i="27"/>
  <c r="I7" i="27" s="1"/>
  <c r="H9" i="27"/>
  <c r="H7" i="27" s="1"/>
  <c r="E9" i="27"/>
  <c r="C9" i="27"/>
  <c r="G108" i="26"/>
  <c r="F108" i="26"/>
  <c r="G107" i="26"/>
  <c r="F107" i="26"/>
  <c r="G106" i="26"/>
  <c r="F106" i="26"/>
  <c r="G105" i="26"/>
  <c r="F105" i="26"/>
  <c r="G104" i="26"/>
  <c r="F104" i="26"/>
  <c r="G103" i="26"/>
  <c r="F103" i="26"/>
  <c r="G102" i="26"/>
  <c r="F102" i="26"/>
  <c r="G101" i="26"/>
  <c r="F101" i="26"/>
  <c r="E100" i="26"/>
  <c r="D100" i="26"/>
  <c r="D89" i="26" s="1"/>
  <c r="C100" i="26"/>
  <c r="G99" i="26"/>
  <c r="F99" i="26"/>
  <c r="G98" i="26"/>
  <c r="F98" i="26"/>
  <c r="G97" i="26"/>
  <c r="F97" i="26"/>
  <c r="G96" i="26"/>
  <c r="F96" i="26"/>
  <c r="G95" i="26"/>
  <c r="F95" i="26"/>
  <c r="G94" i="26"/>
  <c r="F94" i="26"/>
  <c r="G93" i="26"/>
  <c r="F93" i="26"/>
  <c r="G92" i="26"/>
  <c r="F92" i="26"/>
  <c r="G91" i="26"/>
  <c r="F91" i="26"/>
  <c r="G90" i="26"/>
  <c r="F90" i="26"/>
  <c r="J88" i="26"/>
  <c r="J87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L74" i="26"/>
  <c r="K74" i="26"/>
  <c r="J74" i="26"/>
  <c r="I74" i="26"/>
  <c r="H74" i="26"/>
  <c r="E74" i="26"/>
  <c r="D74" i="26"/>
  <c r="G74" i="26" s="1"/>
  <c r="C74" i="26"/>
  <c r="F74" i="26" s="1"/>
  <c r="J73" i="26"/>
  <c r="J72" i="26"/>
  <c r="J71" i="26"/>
  <c r="J70" i="26"/>
  <c r="J69" i="26"/>
  <c r="J68" i="26"/>
  <c r="J67" i="26"/>
  <c r="J66" i="26"/>
  <c r="J65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L52" i="26"/>
  <c r="K52" i="26"/>
  <c r="J52" i="26"/>
  <c r="I52" i="26"/>
  <c r="H52" i="26"/>
  <c r="E52" i="26"/>
  <c r="D52" i="26"/>
  <c r="G52" i="26" s="1"/>
  <c r="C52" i="26"/>
  <c r="F52" i="26" s="1"/>
  <c r="J51" i="26"/>
  <c r="J50" i="26"/>
  <c r="J49" i="26"/>
  <c r="J48" i="26"/>
  <c r="J47" i="26"/>
  <c r="J46" i="26"/>
  <c r="J45" i="26"/>
  <c r="J44" i="26"/>
  <c r="J43" i="26"/>
  <c r="J42" i="26"/>
  <c r="J41" i="26"/>
  <c r="J40" i="26"/>
  <c r="J39" i="26"/>
  <c r="J38" i="26"/>
  <c r="J37" i="26"/>
  <c r="J36" i="26"/>
  <c r="J35" i="26"/>
  <c r="J34" i="26"/>
  <c r="J33" i="26"/>
  <c r="J32" i="26"/>
  <c r="L31" i="26"/>
  <c r="K31" i="26"/>
  <c r="J31" i="26"/>
  <c r="I31" i="26"/>
  <c r="H31" i="26"/>
  <c r="E31" i="26"/>
  <c r="E8" i="26" s="1"/>
  <c r="D31" i="26"/>
  <c r="C31" i="26"/>
  <c r="F31" i="26" s="1"/>
  <c r="J30" i="26"/>
  <c r="J29" i="26"/>
  <c r="J28" i="26"/>
  <c r="J27" i="26"/>
  <c r="J26" i="26"/>
  <c r="J25" i="26"/>
  <c r="J24" i="26"/>
  <c r="J23" i="26"/>
  <c r="J22" i="26"/>
  <c r="J21" i="26"/>
  <c r="J20" i="26"/>
  <c r="J19" i="26"/>
  <c r="J18" i="26"/>
  <c r="J17" i="26"/>
  <c r="J16" i="26"/>
  <c r="J15" i="26"/>
  <c r="J14" i="26"/>
  <c r="L13" i="26"/>
  <c r="K13" i="26"/>
  <c r="I13" i="26"/>
  <c r="H13" i="26"/>
  <c r="G13" i="26"/>
  <c r="F13" i="26"/>
  <c r="E13" i="26"/>
  <c r="D13" i="26"/>
  <c r="C13" i="26"/>
  <c r="L9" i="26"/>
  <c r="L7" i="26" s="1"/>
  <c r="K9" i="26"/>
  <c r="K7" i="26" s="1"/>
  <c r="I9" i="26"/>
  <c r="I7" i="26" s="1"/>
  <c r="H9" i="26"/>
  <c r="L8" i="26"/>
  <c r="I8" i="26"/>
  <c r="C8" i="26"/>
  <c r="G108" i="25"/>
  <c r="F108" i="25"/>
  <c r="G107" i="25"/>
  <c r="F107" i="25"/>
  <c r="G106" i="25"/>
  <c r="F106" i="25"/>
  <c r="G105" i="25"/>
  <c r="F105" i="25"/>
  <c r="G104" i="25"/>
  <c r="F104" i="25"/>
  <c r="G103" i="25"/>
  <c r="F103" i="25"/>
  <c r="G102" i="25"/>
  <c r="F102" i="25"/>
  <c r="G101" i="25"/>
  <c r="F101" i="25"/>
  <c r="G100" i="25"/>
  <c r="F100" i="25"/>
  <c r="E99" i="25"/>
  <c r="D99" i="25"/>
  <c r="C99" i="25"/>
  <c r="G98" i="25"/>
  <c r="F98" i="25"/>
  <c r="G97" i="25"/>
  <c r="F97" i="25"/>
  <c r="E96" i="25"/>
  <c r="F96" i="25" s="1"/>
  <c r="D96" i="25"/>
  <c r="C96" i="25"/>
  <c r="G95" i="25"/>
  <c r="F95" i="25"/>
  <c r="E94" i="25"/>
  <c r="D94" i="25"/>
  <c r="C94" i="25"/>
  <c r="G93" i="25"/>
  <c r="F93" i="25"/>
  <c r="G92" i="25"/>
  <c r="F92" i="25"/>
  <c r="G91" i="25"/>
  <c r="F91" i="25"/>
  <c r="G90" i="25"/>
  <c r="F90" i="25"/>
  <c r="D89" i="25"/>
  <c r="D9" i="25" s="1"/>
  <c r="AC88" i="25"/>
  <c r="AB88" i="25"/>
  <c r="AA88" i="25"/>
  <c r="Y88" i="25"/>
  <c r="X88" i="25"/>
  <c r="W88" i="25"/>
  <c r="Z88" i="25" s="1"/>
  <c r="U88" i="25"/>
  <c r="T88" i="25"/>
  <c r="S88" i="25"/>
  <c r="Q88" i="25"/>
  <c r="P88" i="25"/>
  <c r="O88" i="25"/>
  <c r="R88" i="25" s="1"/>
  <c r="M88" i="25"/>
  <c r="L88" i="25"/>
  <c r="K88" i="25"/>
  <c r="I88" i="25"/>
  <c r="H88" i="25"/>
  <c r="J88" i="25" s="1"/>
  <c r="E88" i="25"/>
  <c r="D88" i="25"/>
  <c r="C88" i="25"/>
  <c r="AC87" i="25"/>
  <c r="AB87" i="25"/>
  <c r="AA87" i="25"/>
  <c r="AD87" i="25" s="1"/>
  <c r="Y87" i="25"/>
  <c r="X87" i="25"/>
  <c r="W87" i="25"/>
  <c r="Z87" i="25" s="1"/>
  <c r="U87" i="25"/>
  <c r="T87" i="25"/>
  <c r="S87" i="25"/>
  <c r="Q87" i="25"/>
  <c r="P87" i="25"/>
  <c r="O87" i="25"/>
  <c r="R87" i="25" s="1"/>
  <c r="M87" i="25"/>
  <c r="L87" i="25"/>
  <c r="K87" i="25"/>
  <c r="J87" i="25"/>
  <c r="I87" i="25"/>
  <c r="H87" i="25"/>
  <c r="E87" i="25"/>
  <c r="D87" i="25"/>
  <c r="C87" i="25"/>
  <c r="AC86" i="25"/>
  <c r="AB86" i="25"/>
  <c r="AD86" i="25" s="1"/>
  <c r="AA86" i="25"/>
  <c r="Y86" i="25"/>
  <c r="X86" i="25"/>
  <c r="W86" i="25"/>
  <c r="Z86" i="25" s="1"/>
  <c r="U86" i="25"/>
  <c r="T86" i="25"/>
  <c r="S86" i="25"/>
  <c r="V86" i="25" s="1"/>
  <c r="Q86" i="25"/>
  <c r="P86" i="25"/>
  <c r="O86" i="25"/>
  <c r="R86" i="25" s="1"/>
  <c r="M86" i="25"/>
  <c r="L86" i="25"/>
  <c r="K86" i="25"/>
  <c r="I86" i="25"/>
  <c r="H86" i="25"/>
  <c r="J86" i="25" s="1"/>
  <c r="E86" i="25"/>
  <c r="D86" i="25"/>
  <c r="C86" i="25"/>
  <c r="F86" i="25" s="1"/>
  <c r="AC85" i="25"/>
  <c r="AB85" i="25"/>
  <c r="AA85" i="25"/>
  <c r="Y85" i="25"/>
  <c r="X85" i="25"/>
  <c r="W85" i="25"/>
  <c r="Z85" i="25" s="1"/>
  <c r="U85" i="25"/>
  <c r="T85" i="25"/>
  <c r="S85" i="25"/>
  <c r="Q85" i="25"/>
  <c r="P85" i="25"/>
  <c r="O85" i="25"/>
  <c r="R85" i="25" s="1"/>
  <c r="M85" i="25"/>
  <c r="L85" i="25"/>
  <c r="K85" i="25"/>
  <c r="I85" i="25"/>
  <c r="H85" i="25"/>
  <c r="J85" i="25" s="1"/>
  <c r="E85" i="25"/>
  <c r="D85" i="25"/>
  <c r="C85" i="25"/>
  <c r="AC84" i="25"/>
  <c r="AB84" i="25"/>
  <c r="AA84" i="25"/>
  <c r="Y84" i="25"/>
  <c r="X84" i="25"/>
  <c r="W84" i="25"/>
  <c r="U84" i="25"/>
  <c r="T84" i="25"/>
  <c r="S84" i="25"/>
  <c r="Q84" i="25"/>
  <c r="P84" i="25"/>
  <c r="O84" i="25"/>
  <c r="M84" i="25"/>
  <c r="L84" i="25"/>
  <c r="K84" i="25"/>
  <c r="I84" i="25"/>
  <c r="H84" i="25"/>
  <c r="J84" i="25" s="1"/>
  <c r="E84" i="25"/>
  <c r="D84" i="25"/>
  <c r="C84" i="25"/>
  <c r="AC83" i="25"/>
  <c r="AB83" i="25"/>
  <c r="AA83" i="25"/>
  <c r="AD83" i="25" s="1"/>
  <c r="Y83" i="25"/>
  <c r="X83" i="25"/>
  <c r="W83" i="25"/>
  <c r="Z83" i="25" s="1"/>
  <c r="U83" i="25"/>
  <c r="T83" i="25"/>
  <c r="S83" i="25"/>
  <c r="V83" i="25" s="1"/>
  <c r="Q83" i="25"/>
  <c r="P83" i="25"/>
  <c r="O83" i="25"/>
  <c r="R83" i="25" s="1"/>
  <c r="M83" i="25"/>
  <c r="L83" i="25"/>
  <c r="K83" i="25"/>
  <c r="N83" i="25" s="1"/>
  <c r="I83" i="25"/>
  <c r="H83" i="25"/>
  <c r="J83" i="25" s="1"/>
  <c r="E83" i="25"/>
  <c r="D83" i="25"/>
  <c r="C83" i="25"/>
  <c r="F83" i="25" s="1"/>
  <c r="AC82" i="25"/>
  <c r="AB82" i="25"/>
  <c r="AA82" i="25"/>
  <c r="Y82" i="25"/>
  <c r="X82" i="25"/>
  <c r="W82" i="25"/>
  <c r="Z82" i="25" s="1"/>
  <c r="V82" i="25"/>
  <c r="U82" i="25"/>
  <c r="T82" i="25"/>
  <c r="S82" i="25"/>
  <c r="Q82" i="25"/>
  <c r="P82" i="25"/>
  <c r="O82" i="25"/>
  <c r="R82" i="25" s="1"/>
  <c r="M82" i="25"/>
  <c r="L82" i="25"/>
  <c r="K82" i="25"/>
  <c r="I82" i="25"/>
  <c r="H82" i="25"/>
  <c r="J82" i="25" s="1"/>
  <c r="E82" i="25"/>
  <c r="D82" i="25"/>
  <c r="C82" i="25"/>
  <c r="AC81" i="25"/>
  <c r="AB81" i="25"/>
  <c r="AA81" i="25"/>
  <c r="AD81" i="25" s="1"/>
  <c r="Y81" i="25"/>
  <c r="X81" i="25"/>
  <c r="W81" i="25"/>
  <c r="Z81" i="25" s="1"/>
  <c r="U81" i="25"/>
  <c r="T81" i="25"/>
  <c r="S81" i="25"/>
  <c r="V81" i="25" s="1"/>
  <c r="Q81" i="25"/>
  <c r="P81" i="25"/>
  <c r="O81" i="25"/>
  <c r="R81" i="25" s="1"/>
  <c r="M81" i="25"/>
  <c r="L81" i="25"/>
  <c r="K81" i="25"/>
  <c r="N81" i="25" s="1"/>
  <c r="I81" i="25"/>
  <c r="H81" i="25"/>
  <c r="J81" i="25" s="1"/>
  <c r="E81" i="25"/>
  <c r="D81" i="25"/>
  <c r="G81" i="25" s="1"/>
  <c r="C81" i="25"/>
  <c r="F81" i="25" s="1"/>
  <c r="AC80" i="25"/>
  <c r="AB80" i="25"/>
  <c r="AA80" i="25"/>
  <c r="AD80" i="25" s="1"/>
  <c r="Y80" i="25"/>
  <c r="X80" i="25"/>
  <c r="W80" i="25"/>
  <c r="Z80" i="25" s="1"/>
  <c r="U80" i="25"/>
  <c r="T80" i="25"/>
  <c r="S80" i="25"/>
  <c r="V80" i="25" s="1"/>
  <c r="Q80" i="25"/>
  <c r="P80" i="25"/>
  <c r="O80" i="25"/>
  <c r="R80" i="25" s="1"/>
  <c r="M80" i="25"/>
  <c r="L80" i="25"/>
  <c r="K80" i="25"/>
  <c r="N80" i="25" s="1"/>
  <c r="I80" i="25"/>
  <c r="H80" i="25"/>
  <c r="J80" i="25" s="1"/>
  <c r="E80" i="25"/>
  <c r="D80" i="25"/>
  <c r="G80" i="25" s="1"/>
  <c r="C80" i="25"/>
  <c r="F80" i="25" s="1"/>
  <c r="AC79" i="25"/>
  <c r="AB79" i="25"/>
  <c r="AA79" i="25"/>
  <c r="AD79" i="25" s="1"/>
  <c r="Y79" i="25"/>
  <c r="X79" i="25"/>
  <c r="W79" i="25"/>
  <c r="Z79" i="25" s="1"/>
  <c r="U79" i="25"/>
  <c r="T79" i="25"/>
  <c r="S79" i="25"/>
  <c r="V79" i="25" s="1"/>
  <c r="Q79" i="25"/>
  <c r="P79" i="25"/>
  <c r="O79" i="25"/>
  <c r="R79" i="25" s="1"/>
  <c r="M79" i="25"/>
  <c r="L79" i="25"/>
  <c r="K79" i="25"/>
  <c r="N79" i="25" s="1"/>
  <c r="I79" i="25"/>
  <c r="H79" i="25"/>
  <c r="J79" i="25" s="1"/>
  <c r="E79" i="25"/>
  <c r="D79" i="25"/>
  <c r="G79" i="25" s="1"/>
  <c r="C79" i="25"/>
  <c r="F79" i="25" s="1"/>
  <c r="AC78" i="25"/>
  <c r="AB78" i="25"/>
  <c r="AA78" i="25"/>
  <c r="Y78" i="25"/>
  <c r="X78" i="25"/>
  <c r="W78" i="25"/>
  <c r="Z78" i="25" s="1"/>
  <c r="U78" i="25"/>
  <c r="T78" i="25"/>
  <c r="S78" i="25"/>
  <c r="Q78" i="25"/>
  <c r="P78" i="25"/>
  <c r="O78" i="25"/>
  <c r="M78" i="25"/>
  <c r="L78" i="25"/>
  <c r="K78" i="25"/>
  <c r="I78" i="25"/>
  <c r="H78" i="25"/>
  <c r="J78" i="25" s="1"/>
  <c r="E78" i="25"/>
  <c r="D78" i="25"/>
  <c r="C78" i="25"/>
  <c r="AC77" i="25"/>
  <c r="AB77" i="25"/>
  <c r="AA77" i="25"/>
  <c r="Y77" i="25"/>
  <c r="X77" i="25"/>
  <c r="W77" i="25"/>
  <c r="Z77" i="25" s="1"/>
  <c r="U77" i="25"/>
  <c r="T77" i="25"/>
  <c r="S77" i="25"/>
  <c r="R77" i="25"/>
  <c r="Q77" i="25"/>
  <c r="P77" i="25"/>
  <c r="O77" i="25"/>
  <c r="M77" i="25"/>
  <c r="L77" i="25"/>
  <c r="K77" i="25"/>
  <c r="J77" i="25"/>
  <c r="I77" i="25"/>
  <c r="H77" i="25"/>
  <c r="E77" i="25"/>
  <c r="D77" i="25"/>
  <c r="G77" i="25" s="1"/>
  <c r="C77" i="25"/>
  <c r="F77" i="25" s="1"/>
  <c r="AC76" i="25"/>
  <c r="AB76" i="25"/>
  <c r="AA76" i="25"/>
  <c r="Y76" i="25"/>
  <c r="X76" i="25"/>
  <c r="W76" i="25"/>
  <c r="Z76" i="25" s="1"/>
  <c r="U76" i="25"/>
  <c r="T76" i="25"/>
  <c r="S76" i="25"/>
  <c r="Q76" i="25"/>
  <c r="P76" i="25"/>
  <c r="O76" i="25"/>
  <c r="R76" i="25" s="1"/>
  <c r="M76" i="25"/>
  <c r="L76" i="25"/>
  <c r="K76" i="25"/>
  <c r="I76" i="25"/>
  <c r="H76" i="25"/>
  <c r="J76" i="25" s="1"/>
  <c r="E76" i="25"/>
  <c r="D76" i="25"/>
  <c r="C76" i="25"/>
  <c r="AC75" i="25"/>
  <c r="AB75" i="25"/>
  <c r="AA75" i="25"/>
  <c r="Y75" i="25"/>
  <c r="X75" i="25"/>
  <c r="W75" i="25"/>
  <c r="Z75" i="25" s="1"/>
  <c r="U75" i="25"/>
  <c r="T75" i="25"/>
  <c r="S75" i="25"/>
  <c r="Q75" i="25"/>
  <c r="P75" i="25"/>
  <c r="O75" i="25"/>
  <c r="R75" i="25" s="1"/>
  <c r="M75" i="25"/>
  <c r="L75" i="25"/>
  <c r="K75" i="25"/>
  <c r="N75" i="25" s="1"/>
  <c r="I75" i="25"/>
  <c r="H75" i="25"/>
  <c r="E75" i="25"/>
  <c r="D75" i="25"/>
  <c r="C75" i="25"/>
  <c r="AC73" i="25"/>
  <c r="AB73" i="25"/>
  <c r="AA73" i="25"/>
  <c r="AD73" i="25" s="1"/>
  <c r="Y73" i="25"/>
  <c r="X73" i="25"/>
  <c r="W73" i="25"/>
  <c r="Z73" i="25" s="1"/>
  <c r="V73" i="25"/>
  <c r="U73" i="25"/>
  <c r="T73" i="25"/>
  <c r="S73" i="25"/>
  <c r="Q73" i="25"/>
  <c r="P73" i="25"/>
  <c r="O73" i="25"/>
  <c r="R73" i="25" s="1"/>
  <c r="M73" i="25"/>
  <c r="L73" i="25"/>
  <c r="K73" i="25"/>
  <c r="N73" i="25" s="1"/>
  <c r="I73" i="25"/>
  <c r="H73" i="25"/>
  <c r="J73" i="25" s="1"/>
  <c r="E73" i="25"/>
  <c r="D73" i="25"/>
  <c r="G73" i="25" s="1"/>
  <c r="C73" i="25"/>
  <c r="F73" i="25" s="1"/>
  <c r="AC72" i="25"/>
  <c r="AB72" i="25"/>
  <c r="AA72" i="25"/>
  <c r="AD72" i="25" s="1"/>
  <c r="Y72" i="25"/>
  <c r="X72" i="25"/>
  <c r="W72" i="25"/>
  <c r="U72" i="25"/>
  <c r="T72" i="25"/>
  <c r="S72" i="25"/>
  <c r="V72" i="25" s="1"/>
  <c r="Q72" i="25"/>
  <c r="P72" i="25"/>
  <c r="O72" i="25"/>
  <c r="M72" i="25"/>
  <c r="L72" i="25"/>
  <c r="K72" i="25"/>
  <c r="N72" i="25" s="1"/>
  <c r="I72" i="25"/>
  <c r="H72" i="25"/>
  <c r="J72" i="25" s="1"/>
  <c r="G72" i="25"/>
  <c r="E72" i="25"/>
  <c r="D72" i="25"/>
  <c r="C72" i="25"/>
  <c r="AC71" i="25"/>
  <c r="AB71" i="25"/>
  <c r="AA71" i="25"/>
  <c r="AD71" i="25" s="1"/>
  <c r="Y71" i="25"/>
  <c r="X71" i="25"/>
  <c r="W71" i="25"/>
  <c r="Z71" i="25" s="1"/>
  <c r="U71" i="25"/>
  <c r="T71" i="25"/>
  <c r="S71" i="25"/>
  <c r="V71" i="25" s="1"/>
  <c r="Q71" i="25"/>
  <c r="P71" i="25"/>
  <c r="O71" i="25"/>
  <c r="R71" i="25" s="1"/>
  <c r="M71" i="25"/>
  <c r="L71" i="25"/>
  <c r="K71" i="25"/>
  <c r="N71" i="25" s="1"/>
  <c r="I71" i="25"/>
  <c r="H71" i="25"/>
  <c r="J71" i="25" s="1"/>
  <c r="E71" i="25"/>
  <c r="D71" i="25"/>
  <c r="G71" i="25" s="1"/>
  <c r="C71" i="25"/>
  <c r="F71" i="25" s="1"/>
  <c r="AC70" i="25"/>
  <c r="AB70" i="25"/>
  <c r="AA70" i="25"/>
  <c r="Y70" i="25"/>
  <c r="X70" i="25"/>
  <c r="W70" i="25"/>
  <c r="U70" i="25"/>
  <c r="T70" i="25"/>
  <c r="V70" i="25" s="1"/>
  <c r="S70" i="25"/>
  <c r="Q70" i="25"/>
  <c r="P70" i="25"/>
  <c r="O70" i="25"/>
  <c r="M70" i="25"/>
  <c r="L70" i="25"/>
  <c r="N70" i="25" s="1"/>
  <c r="K70" i="25"/>
  <c r="I70" i="25"/>
  <c r="H70" i="25"/>
  <c r="J70" i="25" s="1"/>
  <c r="E70" i="25"/>
  <c r="D70" i="25"/>
  <c r="C70" i="25"/>
  <c r="AC69" i="25"/>
  <c r="AB69" i="25"/>
  <c r="AA69" i="25"/>
  <c r="Y69" i="25"/>
  <c r="X69" i="25"/>
  <c r="Z69" i="25" s="1"/>
  <c r="W69" i="25"/>
  <c r="U69" i="25"/>
  <c r="T69" i="25"/>
  <c r="S69" i="25"/>
  <c r="Q69" i="25"/>
  <c r="P69" i="25"/>
  <c r="O69" i="25"/>
  <c r="M69" i="25"/>
  <c r="L69" i="25"/>
  <c r="K69" i="25"/>
  <c r="N69" i="25" s="1"/>
  <c r="I69" i="25"/>
  <c r="H69" i="25"/>
  <c r="J69" i="25" s="1"/>
  <c r="E69" i="25"/>
  <c r="D69" i="25"/>
  <c r="C69" i="25"/>
  <c r="AC68" i="25"/>
  <c r="AB68" i="25"/>
  <c r="AA68" i="25"/>
  <c r="AD68" i="25" s="1"/>
  <c r="Y68" i="25"/>
  <c r="X68" i="25"/>
  <c r="W68" i="25"/>
  <c r="U68" i="25"/>
  <c r="T68" i="25"/>
  <c r="S68" i="25"/>
  <c r="V68" i="25" s="1"/>
  <c r="Q68" i="25"/>
  <c r="P68" i="25"/>
  <c r="O68" i="25"/>
  <c r="R68" i="25" s="1"/>
  <c r="M68" i="25"/>
  <c r="L68" i="25"/>
  <c r="K68" i="25"/>
  <c r="I68" i="25"/>
  <c r="H68" i="25"/>
  <c r="J68" i="25" s="1"/>
  <c r="E68" i="25"/>
  <c r="D68" i="25"/>
  <c r="C68" i="25"/>
  <c r="AC67" i="25"/>
  <c r="AB67" i="25"/>
  <c r="AA67" i="25"/>
  <c r="Y67" i="25"/>
  <c r="X67" i="25"/>
  <c r="W67" i="25"/>
  <c r="U67" i="25"/>
  <c r="T67" i="25"/>
  <c r="S67" i="25"/>
  <c r="V67" i="25" s="1"/>
  <c r="Q67" i="25"/>
  <c r="P67" i="25"/>
  <c r="O67" i="25"/>
  <c r="M67" i="25"/>
  <c r="L67" i="25"/>
  <c r="K67" i="25"/>
  <c r="I67" i="25"/>
  <c r="H67" i="25"/>
  <c r="E67" i="25"/>
  <c r="D67" i="25"/>
  <c r="G67" i="25" s="1"/>
  <c r="C67" i="25"/>
  <c r="F67" i="25" s="1"/>
  <c r="AC66" i="25"/>
  <c r="AB66" i="25"/>
  <c r="AA66" i="25"/>
  <c r="Y66" i="25"/>
  <c r="X66" i="25"/>
  <c r="W66" i="25"/>
  <c r="U66" i="25"/>
  <c r="T66" i="25"/>
  <c r="S66" i="25"/>
  <c r="Q66" i="25"/>
  <c r="P66" i="25"/>
  <c r="O66" i="25"/>
  <c r="M66" i="25"/>
  <c r="L66" i="25"/>
  <c r="K66" i="25"/>
  <c r="I66" i="25"/>
  <c r="H66" i="25"/>
  <c r="J66" i="25" s="1"/>
  <c r="E66" i="25"/>
  <c r="D66" i="25"/>
  <c r="G66" i="25" s="1"/>
  <c r="C66" i="25"/>
  <c r="AC65" i="25"/>
  <c r="AB65" i="25"/>
  <c r="AA65" i="25"/>
  <c r="Y65" i="25"/>
  <c r="X65" i="25"/>
  <c r="W65" i="25"/>
  <c r="Z65" i="25" s="1"/>
  <c r="U65" i="25"/>
  <c r="T65" i="25"/>
  <c r="S65" i="25"/>
  <c r="Q65" i="25"/>
  <c r="P65" i="25"/>
  <c r="O65" i="25"/>
  <c r="R65" i="25" s="1"/>
  <c r="M65" i="25"/>
  <c r="L65" i="25"/>
  <c r="K65" i="25"/>
  <c r="I65" i="25"/>
  <c r="H65" i="25"/>
  <c r="J65" i="25" s="1"/>
  <c r="E65" i="25"/>
  <c r="D65" i="25"/>
  <c r="C65" i="25"/>
  <c r="AC64" i="25"/>
  <c r="AB64" i="25"/>
  <c r="AA64" i="25"/>
  <c r="Y64" i="25"/>
  <c r="X64" i="25"/>
  <c r="W64" i="25"/>
  <c r="Z64" i="25" s="1"/>
  <c r="U64" i="25"/>
  <c r="T64" i="25"/>
  <c r="S64" i="25"/>
  <c r="V64" i="25" s="1"/>
  <c r="Q64" i="25"/>
  <c r="P64" i="25"/>
  <c r="O64" i="25"/>
  <c r="R64" i="25" s="1"/>
  <c r="M64" i="25"/>
  <c r="L64" i="25"/>
  <c r="K64" i="25"/>
  <c r="I64" i="25"/>
  <c r="H64" i="25"/>
  <c r="J64" i="25" s="1"/>
  <c r="E64" i="25"/>
  <c r="D64" i="25"/>
  <c r="C64" i="25"/>
  <c r="AC63" i="25"/>
  <c r="AB63" i="25"/>
  <c r="AA63" i="25"/>
  <c r="Y63" i="25"/>
  <c r="X63" i="25"/>
  <c r="W63" i="25"/>
  <c r="U63" i="25"/>
  <c r="T63" i="25"/>
  <c r="S63" i="25"/>
  <c r="Q63" i="25"/>
  <c r="P63" i="25"/>
  <c r="R63" i="25" s="1"/>
  <c r="O63" i="25"/>
  <c r="M63" i="25"/>
  <c r="L63" i="25"/>
  <c r="K63" i="25"/>
  <c r="I63" i="25"/>
  <c r="H63" i="25"/>
  <c r="J63" i="25" s="1"/>
  <c r="E63" i="25"/>
  <c r="D63" i="25"/>
  <c r="C63" i="25"/>
  <c r="AC62" i="25"/>
  <c r="AB62" i="25"/>
  <c r="AA62" i="25"/>
  <c r="AD62" i="25" s="1"/>
  <c r="Y62" i="25"/>
  <c r="X62" i="25"/>
  <c r="W62" i="25"/>
  <c r="U62" i="25"/>
  <c r="T62" i="25"/>
  <c r="S62" i="25"/>
  <c r="Q62" i="25"/>
  <c r="P62" i="25"/>
  <c r="O62" i="25"/>
  <c r="R62" i="25" s="1"/>
  <c r="M62" i="25"/>
  <c r="L62" i="25"/>
  <c r="K62" i="25"/>
  <c r="I62" i="25"/>
  <c r="H62" i="25"/>
  <c r="J62" i="25" s="1"/>
  <c r="E62" i="25"/>
  <c r="D62" i="25"/>
  <c r="C62" i="25"/>
  <c r="AC61" i="25"/>
  <c r="AB61" i="25"/>
  <c r="AA61" i="25"/>
  <c r="Y61" i="25"/>
  <c r="X61" i="25"/>
  <c r="W61" i="25"/>
  <c r="Z61" i="25" s="1"/>
  <c r="U61" i="25"/>
  <c r="T61" i="25"/>
  <c r="S61" i="25"/>
  <c r="Q61" i="25"/>
  <c r="P61" i="25"/>
  <c r="O61" i="25"/>
  <c r="R61" i="25" s="1"/>
  <c r="M61" i="25"/>
  <c r="L61" i="25"/>
  <c r="K61" i="25"/>
  <c r="I61" i="25"/>
  <c r="H61" i="25"/>
  <c r="J61" i="25" s="1"/>
  <c r="E61" i="25"/>
  <c r="D61" i="25"/>
  <c r="C61" i="25"/>
  <c r="AC60" i="25"/>
  <c r="AB60" i="25"/>
  <c r="AA60" i="25"/>
  <c r="AD60" i="25" s="1"/>
  <c r="Y60" i="25"/>
  <c r="X60" i="25"/>
  <c r="W60" i="25"/>
  <c r="Z60" i="25" s="1"/>
  <c r="U60" i="25"/>
  <c r="T60" i="25"/>
  <c r="S60" i="25"/>
  <c r="V60" i="25" s="1"/>
  <c r="R60" i="25"/>
  <c r="Q60" i="25"/>
  <c r="P60" i="25"/>
  <c r="O60" i="25"/>
  <c r="M60" i="25"/>
  <c r="L60" i="25"/>
  <c r="K60" i="25"/>
  <c r="N60" i="25" s="1"/>
  <c r="I60" i="25"/>
  <c r="H60" i="25"/>
  <c r="J60" i="25" s="1"/>
  <c r="E60" i="25"/>
  <c r="D60" i="25"/>
  <c r="G60" i="25" s="1"/>
  <c r="C60" i="25"/>
  <c r="F60" i="25" s="1"/>
  <c r="AC59" i="25"/>
  <c r="AB59" i="25"/>
  <c r="AA59" i="25"/>
  <c r="Y59" i="25"/>
  <c r="X59" i="25"/>
  <c r="W59" i="25"/>
  <c r="Z59" i="25" s="1"/>
  <c r="U59" i="25"/>
  <c r="T59" i="25"/>
  <c r="S59" i="25"/>
  <c r="Q59" i="25"/>
  <c r="P59" i="25"/>
  <c r="O59" i="25"/>
  <c r="R59" i="25" s="1"/>
  <c r="M59" i="25"/>
  <c r="L59" i="25"/>
  <c r="K59" i="25"/>
  <c r="I59" i="25"/>
  <c r="H59" i="25"/>
  <c r="J59" i="25" s="1"/>
  <c r="E59" i="25"/>
  <c r="D59" i="25"/>
  <c r="C59" i="25"/>
  <c r="AC58" i="25"/>
  <c r="AB58" i="25"/>
  <c r="AA58" i="25"/>
  <c r="Y58" i="25"/>
  <c r="X58" i="25"/>
  <c r="W58" i="25"/>
  <c r="Z58" i="25" s="1"/>
  <c r="U58" i="25"/>
  <c r="T58" i="25"/>
  <c r="S58" i="25"/>
  <c r="Q58" i="25"/>
  <c r="P58" i="25"/>
  <c r="O58" i="25"/>
  <c r="R58" i="25" s="1"/>
  <c r="M58" i="25"/>
  <c r="L58" i="25"/>
  <c r="K58" i="25"/>
  <c r="I58" i="25"/>
  <c r="H58" i="25"/>
  <c r="J58" i="25" s="1"/>
  <c r="E58" i="25"/>
  <c r="D58" i="25"/>
  <c r="C58" i="25"/>
  <c r="AC57" i="25"/>
  <c r="AB57" i="25"/>
  <c r="AD57" i="25" s="1"/>
  <c r="AA57" i="25"/>
  <c r="Y57" i="25"/>
  <c r="X57" i="25"/>
  <c r="W57" i="25"/>
  <c r="U57" i="25"/>
  <c r="T57" i="25"/>
  <c r="S57" i="25"/>
  <c r="Q57" i="25"/>
  <c r="P57" i="25"/>
  <c r="O57" i="25"/>
  <c r="M57" i="25"/>
  <c r="L57" i="25"/>
  <c r="K57" i="25"/>
  <c r="I57" i="25"/>
  <c r="H57" i="25"/>
  <c r="J57" i="25" s="1"/>
  <c r="E57" i="25"/>
  <c r="D57" i="25"/>
  <c r="C57" i="25"/>
  <c r="AC56" i="25"/>
  <c r="AB56" i="25"/>
  <c r="AA56" i="25"/>
  <c r="Y56" i="25"/>
  <c r="X56" i="25"/>
  <c r="W56" i="25"/>
  <c r="U56" i="25"/>
  <c r="T56" i="25"/>
  <c r="S56" i="25"/>
  <c r="Q56" i="25"/>
  <c r="P56" i="25"/>
  <c r="O56" i="25"/>
  <c r="M56" i="25"/>
  <c r="L56" i="25"/>
  <c r="K56" i="25"/>
  <c r="I56" i="25"/>
  <c r="H56" i="25"/>
  <c r="J56" i="25" s="1"/>
  <c r="E56" i="25"/>
  <c r="D56" i="25"/>
  <c r="G56" i="25" s="1"/>
  <c r="C56" i="25"/>
  <c r="AC55" i="25"/>
  <c r="AB55" i="25"/>
  <c r="AA55" i="25"/>
  <c r="Y55" i="25"/>
  <c r="X55" i="25"/>
  <c r="Z55" i="25" s="1"/>
  <c r="W55" i="25"/>
  <c r="U55" i="25"/>
  <c r="T55" i="25"/>
  <c r="S55" i="25"/>
  <c r="Q55" i="25"/>
  <c r="P55" i="25"/>
  <c r="O55" i="25"/>
  <c r="M55" i="25"/>
  <c r="L55" i="25"/>
  <c r="K55" i="25"/>
  <c r="I55" i="25"/>
  <c r="H55" i="25"/>
  <c r="E55" i="25"/>
  <c r="D55" i="25"/>
  <c r="C55" i="25"/>
  <c r="AC54" i="25"/>
  <c r="AB54" i="25"/>
  <c r="AA54" i="25"/>
  <c r="AD54" i="25" s="1"/>
  <c r="Y54" i="25"/>
  <c r="X54" i="25"/>
  <c r="W54" i="25"/>
  <c r="U54" i="25"/>
  <c r="T54" i="25"/>
  <c r="S54" i="25"/>
  <c r="Q54" i="25"/>
  <c r="P54" i="25"/>
  <c r="O54" i="25"/>
  <c r="M54" i="25"/>
  <c r="L54" i="25"/>
  <c r="K54" i="25"/>
  <c r="I54" i="25"/>
  <c r="H54" i="25"/>
  <c r="E54" i="25"/>
  <c r="D54" i="25"/>
  <c r="G54" i="25" s="1"/>
  <c r="C54" i="25"/>
  <c r="AC53" i="25"/>
  <c r="AB53" i="25"/>
  <c r="AA53" i="25"/>
  <c r="Y53" i="25"/>
  <c r="X53" i="25"/>
  <c r="W53" i="25"/>
  <c r="U53" i="25"/>
  <c r="T53" i="25"/>
  <c r="S53" i="25"/>
  <c r="Q53" i="25"/>
  <c r="P53" i="25"/>
  <c r="R53" i="25" s="1"/>
  <c r="O53" i="25"/>
  <c r="M53" i="25"/>
  <c r="L53" i="25"/>
  <c r="K53" i="25"/>
  <c r="I53" i="25"/>
  <c r="H53" i="25"/>
  <c r="J53" i="25" s="1"/>
  <c r="E53" i="25"/>
  <c r="D53" i="25"/>
  <c r="C53" i="25"/>
  <c r="AC51" i="25"/>
  <c r="AB51" i="25"/>
  <c r="AA51" i="25"/>
  <c r="Z51" i="25"/>
  <c r="Y51" i="25"/>
  <c r="X51" i="25"/>
  <c r="W51" i="25"/>
  <c r="U51" i="25"/>
  <c r="T51" i="25"/>
  <c r="S51" i="25"/>
  <c r="V51" i="25" s="1"/>
  <c r="Q51" i="25"/>
  <c r="P51" i="25"/>
  <c r="R51" i="25" s="1"/>
  <c r="O51" i="25"/>
  <c r="M51" i="25"/>
  <c r="L51" i="25"/>
  <c r="K51" i="25"/>
  <c r="I51" i="25"/>
  <c r="H51" i="25"/>
  <c r="E51" i="25"/>
  <c r="D51" i="25"/>
  <c r="C51" i="25"/>
  <c r="AC50" i="25"/>
  <c r="AB50" i="25"/>
  <c r="AA50" i="25"/>
  <c r="Y50" i="25"/>
  <c r="X50" i="25"/>
  <c r="W50" i="25"/>
  <c r="U50" i="25"/>
  <c r="T50" i="25"/>
  <c r="V50" i="25" s="1"/>
  <c r="S50" i="25"/>
  <c r="Q50" i="25"/>
  <c r="P50" i="25"/>
  <c r="R50" i="25" s="1"/>
  <c r="O50" i="25"/>
  <c r="M50" i="25"/>
  <c r="L50" i="25"/>
  <c r="K50" i="25"/>
  <c r="I50" i="25"/>
  <c r="H50" i="25"/>
  <c r="J50" i="25" s="1"/>
  <c r="E50" i="25"/>
  <c r="D50" i="25"/>
  <c r="C50" i="25"/>
  <c r="AC49" i="25"/>
  <c r="AB49" i="25"/>
  <c r="AA49" i="25"/>
  <c r="AD49" i="25" s="1"/>
  <c r="Y49" i="25"/>
  <c r="X49" i="25"/>
  <c r="W49" i="25"/>
  <c r="U49" i="25"/>
  <c r="T49" i="25"/>
  <c r="S49" i="25"/>
  <c r="V49" i="25" s="1"/>
  <c r="Q49" i="25"/>
  <c r="P49" i="25"/>
  <c r="O49" i="25"/>
  <c r="M49" i="25"/>
  <c r="L49" i="25"/>
  <c r="K49" i="25"/>
  <c r="I49" i="25"/>
  <c r="H49" i="25"/>
  <c r="J49" i="25" s="1"/>
  <c r="E49" i="25"/>
  <c r="D49" i="25"/>
  <c r="C49" i="25"/>
  <c r="AC48" i="25"/>
  <c r="AB48" i="25"/>
  <c r="AA48" i="25"/>
  <c r="AD48" i="25" s="1"/>
  <c r="Y48" i="25"/>
  <c r="X48" i="25"/>
  <c r="W48" i="25"/>
  <c r="U48" i="25"/>
  <c r="T48" i="25"/>
  <c r="S48" i="25"/>
  <c r="Q48" i="25"/>
  <c r="P48" i="25"/>
  <c r="O48" i="25"/>
  <c r="M48" i="25"/>
  <c r="L48" i="25"/>
  <c r="K48" i="25"/>
  <c r="I48" i="25"/>
  <c r="H48" i="25"/>
  <c r="J48" i="25" s="1"/>
  <c r="E48" i="25"/>
  <c r="D48" i="25"/>
  <c r="C48" i="25"/>
  <c r="AC47" i="25"/>
  <c r="AB47" i="25"/>
  <c r="AA47" i="25"/>
  <c r="Y47" i="25"/>
  <c r="X47" i="25"/>
  <c r="W47" i="25"/>
  <c r="U47" i="25"/>
  <c r="T47" i="25"/>
  <c r="V47" i="25" s="1"/>
  <c r="S47" i="25"/>
  <c r="Q47" i="25"/>
  <c r="P47" i="25"/>
  <c r="O47" i="25"/>
  <c r="M47" i="25"/>
  <c r="L47" i="25"/>
  <c r="K47" i="25"/>
  <c r="I47" i="25"/>
  <c r="H47" i="25"/>
  <c r="J47" i="25" s="1"/>
  <c r="E47" i="25"/>
  <c r="D47" i="25"/>
  <c r="C47" i="25"/>
  <c r="AC46" i="25"/>
  <c r="AB46" i="25"/>
  <c r="AA46" i="25"/>
  <c r="AD46" i="25" s="1"/>
  <c r="Y46" i="25"/>
  <c r="X46" i="25"/>
  <c r="W46" i="25"/>
  <c r="U46" i="25"/>
  <c r="T46" i="25"/>
  <c r="S46" i="25"/>
  <c r="V46" i="25" s="1"/>
  <c r="Q46" i="25"/>
  <c r="P46" i="25"/>
  <c r="O46" i="25"/>
  <c r="M46" i="25"/>
  <c r="L46" i="25"/>
  <c r="K46" i="25"/>
  <c r="N46" i="25" s="1"/>
  <c r="I46" i="25"/>
  <c r="H46" i="25"/>
  <c r="J46" i="25" s="1"/>
  <c r="E46" i="25"/>
  <c r="D46" i="25"/>
  <c r="C46" i="25"/>
  <c r="AC45" i="25"/>
  <c r="AB45" i="25"/>
  <c r="AA45" i="25"/>
  <c r="AD45" i="25" s="1"/>
  <c r="Y45" i="25"/>
  <c r="X45" i="25"/>
  <c r="W45" i="25"/>
  <c r="U45" i="25"/>
  <c r="T45" i="25"/>
  <c r="S45" i="25"/>
  <c r="Q45" i="25"/>
  <c r="P45" i="25"/>
  <c r="O45" i="25"/>
  <c r="M45" i="25"/>
  <c r="L45" i="25"/>
  <c r="K45" i="25"/>
  <c r="I45" i="25"/>
  <c r="H45" i="25"/>
  <c r="J45" i="25" s="1"/>
  <c r="E45" i="25"/>
  <c r="D45" i="25"/>
  <c r="G45" i="25" s="1"/>
  <c r="C45" i="25"/>
  <c r="AD44" i="25"/>
  <c r="AC44" i="25"/>
  <c r="AB44" i="25"/>
  <c r="AA44" i="25"/>
  <c r="Y44" i="25"/>
  <c r="X44" i="25"/>
  <c r="W44" i="25"/>
  <c r="Z44" i="25" s="1"/>
  <c r="U44" i="25"/>
  <c r="T44" i="25"/>
  <c r="S44" i="25"/>
  <c r="V44" i="25" s="1"/>
  <c r="Q44" i="25"/>
  <c r="P44" i="25"/>
  <c r="O44" i="25"/>
  <c r="M44" i="25"/>
  <c r="L44" i="25"/>
  <c r="K44" i="25"/>
  <c r="N44" i="25" s="1"/>
  <c r="I44" i="25"/>
  <c r="H44" i="25"/>
  <c r="J44" i="25" s="1"/>
  <c r="E44" i="25"/>
  <c r="D44" i="25"/>
  <c r="C44" i="25"/>
  <c r="AC43" i="25"/>
  <c r="AB43" i="25"/>
  <c r="AA43" i="25"/>
  <c r="Y43" i="25"/>
  <c r="X43" i="25"/>
  <c r="W43" i="25"/>
  <c r="U43" i="25"/>
  <c r="T43" i="25"/>
  <c r="S43" i="25"/>
  <c r="V43" i="25" s="1"/>
  <c r="Q43" i="25"/>
  <c r="P43" i="25"/>
  <c r="O43" i="25"/>
  <c r="M43" i="25"/>
  <c r="L43" i="25"/>
  <c r="K43" i="25"/>
  <c r="I43" i="25"/>
  <c r="H43" i="25"/>
  <c r="J43" i="25" s="1"/>
  <c r="E43" i="25"/>
  <c r="D43" i="25"/>
  <c r="G43" i="25" s="1"/>
  <c r="C43" i="25"/>
  <c r="F43" i="25" s="1"/>
  <c r="AC42" i="25"/>
  <c r="AB42" i="25"/>
  <c r="AA42" i="25"/>
  <c r="Y42" i="25"/>
  <c r="X42" i="25"/>
  <c r="W42" i="25"/>
  <c r="U42" i="25"/>
  <c r="T42" i="25"/>
  <c r="S42" i="25"/>
  <c r="Q42" i="25"/>
  <c r="P42" i="25"/>
  <c r="O42" i="25"/>
  <c r="M42" i="25"/>
  <c r="L42" i="25"/>
  <c r="K42" i="25"/>
  <c r="I42" i="25"/>
  <c r="H42" i="25"/>
  <c r="J42" i="25" s="1"/>
  <c r="E42" i="25"/>
  <c r="D42" i="25"/>
  <c r="G42" i="25" s="1"/>
  <c r="C42" i="25"/>
  <c r="AC41" i="25"/>
  <c r="AB41" i="25"/>
  <c r="AA41" i="25"/>
  <c r="AD41" i="25" s="1"/>
  <c r="Y41" i="25"/>
  <c r="X41" i="25"/>
  <c r="W41" i="25"/>
  <c r="U41" i="25"/>
  <c r="T41" i="25"/>
  <c r="S41" i="25"/>
  <c r="V41" i="25" s="1"/>
  <c r="Q41" i="25"/>
  <c r="P41" i="25"/>
  <c r="R41" i="25" s="1"/>
  <c r="O41" i="25"/>
  <c r="M41" i="25"/>
  <c r="L41" i="25"/>
  <c r="K41" i="25"/>
  <c r="J41" i="25"/>
  <c r="I41" i="25"/>
  <c r="H41" i="25"/>
  <c r="E41" i="25"/>
  <c r="D41" i="25"/>
  <c r="C41" i="25"/>
  <c r="AC40" i="25"/>
  <c r="AB40" i="25"/>
  <c r="AA40" i="25"/>
  <c r="Y40" i="25"/>
  <c r="X40" i="25"/>
  <c r="W40" i="25"/>
  <c r="Z40" i="25" s="1"/>
  <c r="U40" i="25"/>
  <c r="T40" i="25"/>
  <c r="S40" i="25"/>
  <c r="V40" i="25" s="1"/>
  <c r="Q40" i="25"/>
  <c r="P40" i="25"/>
  <c r="O40" i="25"/>
  <c r="M40" i="25"/>
  <c r="L40" i="25"/>
  <c r="K40" i="25"/>
  <c r="I40" i="25"/>
  <c r="H40" i="25"/>
  <c r="J40" i="25" s="1"/>
  <c r="E40" i="25"/>
  <c r="D40" i="25"/>
  <c r="C40" i="25"/>
  <c r="AC39" i="25"/>
  <c r="AB39" i="25"/>
  <c r="AA39" i="25"/>
  <c r="AD39" i="25" s="1"/>
  <c r="Y39" i="25"/>
  <c r="X39" i="25"/>
  <c r="W39" i="25"/>
  <c r="Z39" i="25" s="1"/>
  <c r="U39" i="25"/>
  <c r="T39" i="25"/>
  <c r="S39" i="25"/>
  <c r="V39" i="25" s="1"/>
  <c r="Q39" i="25"/>
  <c r="P39" i="25"/>
  <c r="O39" i="25"/>
  <c r="R39" i="25" s="1"/>
  <c r="M39" i="25"/>
  <c r="L39" i="25"/>
  <c r="K39" i="25"/>
  <c r="N39" i="25" s="1"/>
  <c r="I39" i="25"/>
  <c r="H39" i="25"/>
  <c r="J39" i="25" s="1"/>
  <c r="E39" i="25"/>
  <c r="D39" i="25"/>
  <c r="G39" i="25" s="1"/>
  <c r="C39" i="25"/>
  <c r="F39" i="25" s="1"/>
  <c r="AC38" i="25"/>
  <c r="AB38" i="25"/>
  <c r="AA38" i="25"/>
  <c r="AD38" i="25" s="1"/>
  <c r="Y38" i="25"/>
  <c r="X38" i="25"/>
  <c r="W38" i="25"/>
  <c r="U38" i="25"/>
  <c r="T38" i="25"/>
  <c r="S38" i="25"/>
  <c r="Q38" i="25"/>
  <c r="P38" i="25"/>
  <c r="O38" i="25"/>
  <c r="M38" i="25"/>
  <c r="L38" i="25"/>
  <c r="K38" i="25"/>
  <c r="I38" i="25"/>
  <c r="H38" i="25"/>
  <c r="E38" i="25"/>
  <c r="D38" i="25"/>
  <c r="C38" i="25"/>
  <c r="AC37" i="25"/>
  <c r="AB37" i="25"/>
  <c r="AA37" i="25"/>
  <c r="Y37" i="25"/>
  <c r="X37" i="25"/>
  <c r="W37" i="25"/>
  <c r="Z37" i="25" s="1"/>
  <c r="U37" i="25"/>
  <c r="T37" i="25"/>
  <c r="S37" i="25"/>
  <c r="Q37" i="25"/>
  <c r="P37" i="25"/>
  <c r="O37" i="25"/>
  <c r="M37" i="25"/>
  <c r="L37" i="25"/>
  <c r="N37" i="25" s="1"/>
  <c r="K37" i="25"/>
  <c r="I37" i="25"/>
  <c r="H37" i="25"/>
  <c r="E37" i="25"/>
  <c r="D37" i="25"/>
  <c r="C37" i="25"/>
  <c r="AC36" i="25"/>
  <c r="AB36" i="25"/>
  <c r="AA36" i="25"/>
  <c r="Y36" i="25"/>
  <c r="X36" i="25"/>
  <c r="W36" i="25"/>
  <c r="U36" i="25"/>
  <c r="T36" i="25"/>
  <c r="S36" i="25"/>
  <c r="Q36" i="25"/>
  <c r="P36" i="25"/>
  <c r="O36" i="25"/>
  <c r="M36" i="25"/>
  <c r="L36" i="25"/>
  <c r="K36" i="25"/>
  <c r="I36" i="25"/>
  <c r="H36" i="25"/>
  <c r="J36" i="25" s="1"/>
  <c r="E36" i="25"/>
  <c r="D36" i="25"/>
  <c r="C36" i="25"/>
  <c r="AC35" i="25"/>
  <c r="AB35" i="25"/>
  <c r="AA35" i="25"/>
  <c r="Y35" i="25"/>
  <c r="X35" i="25"/>
  <c r="W35" i="25"/>
  <c r="Z35" i="25" s="1"/>
  <c r="V35" i="25"/>
  <c r="U35" i="25"/>
  <c r="T35" i="25"/>
  <c r="S35" i="25"/>
  <c r="Q35" i="25"/>
  <c r="P35" i="25"/>
  <c r="O35" i="25"/>
  <c r="R35" i="25" s="1"/>
  <c r="M35" i="25"/>
  <c r="L35" i="25"/>
  <c r="K35" i="25"/>
  <c r="I35" i="25"/>
  <c r="H35" i="25"/>
  <c r="J35" i="25" s="1"/>
  <c r="E35" i="25"/>
  <c r="F35" i="25" s="1"/>
  <c r="D35" i="25"/>
  <c r="C35" i="25"/>
  <c r="AC34" i="25"/>
  <c r="AB34" i="25"/>
  <c r="AA34" i="25"/>
  <c r="Z34" i="25"/>
  <c r="Y34" i="25"/>
  <c r="X34" i="25"/>
  <c r="W34" i="25"/>
  <c r="U34" i="25"/>
  <c r="T34" i="25"/>
  <c r="S34" i="25"/>
  <c r="Q34" i="25"/>
  <c r="P34" i="25"/>
  <c r="O34" i="25"/>
  <c r="M34" i="25"/>
  <c r="L34" i="25"/>
  <c r="K34" i="25"/>
  <c r="I34" i="25"/>
  <c r="H34" i="25"/>
  <c r="J34" i="25" s="1"/>
  <c r="E34" i="25"/>
  <c r="D34" i="25"/>
  <c r="C34" i="25"/>
  <c r="AC33" i="25"/>
  <c r="AB33" i="25"/>
  <c r="AA33" i="25"/>
  <c r="Y33" i="25"/>
  <c r="X33" i="25"/>
  <c r="W33" i="25"/>
  <c r="Z33" i="25" s="1"/>
  <c r="U33" i="25"/>
  <c r="T33" i="25"/>
  <c r="S33" i="25"/>
  <c r="Q33" i="25"/>
  <c r="P33" i="25"/>
  <c r="O33" i="25"/>
  <c r="R33" i="25" s="1"/>
  <c r="M33" i="25"/>
  <c r="L33" i="25"/>
  <c r="N33" i="25" s="1"/>
  <c r="K33" i="25"/>
  <c r="I33" i="25"/>
  <c r="H33" i="25"/>
  <c r="E33" i="25"/>
  <c r="D33" i="25"/>
  <c r="G33" i="25" s="1"/>
  <c r="C33" i="25"/>
  <c r="AC32" i="25"/>
  <c r="AB32" i="25"/>
  <c r="AA32" i="25"/>
  <c r="Y32" i="25"/>
  <c r="X32" i="25"/>
  <c r="W32" i="25"/>
  <c r="U32" i="25"/>
  <c r="T32" i="25"/>
  <c r="S32" i="25"/>
  <c r="Q32" i="25"/>
  <c r="P32" i="25"/>
  <c r="O32" i="25"/>
  <c r="M32" i="25"/>
  <c r="L32" i="25"/>
  <c r="K32" i="25"/>
  <c r="I32" i="25"/>
  <c r="H32" i="25"/>
  <c r="J32" i="25" s="1"/>
  <c r="E32" i="25"/>
  <c r="D32" i="25"/>
  <c r="C32" i="25"/>
  <c r="AC30" i="25"/>
  <c r="AB30" i="25"/>
  <c r="AA30" i="25"/>
  <c r="Y30" i="25"/>
  <c r="X30" i="25"/>
  <c r="W30" i="25"/>
  <c r="U30" i="25"/>
  <c r="T30" i="25"/>
  <c r="S30" i="25"/>
  <c r="V30" i="25" s="1"/>
  <c r="Q30" i="25"/>
  <c r="P30" i="25"/>
  <c r="O30" i="25"/>
  <c r="M30" i="25"/>
  <c r="L30" i="25"/>
  <c r="K30" i="25"/>
  <c r="I30" i="25"/>
  <c r="H30" i="25"/>
  <c r="J30" i="25" s="1"/>
  <c r="E30" i="25"/>
  <c r="D30" i="25"/>
  <c r="C30" i="25"/>
  <c r="AC29" i="25"/>
  <c r="AB29" i="25"/>
  <c r="AA29" i="25"/>
  <c r="Y29" i="25"/>
  <c r="X29" i="25"/>
  <c r="W29" i="25"/>
  <c r="Z29" i="25" s="1"/>
  <c r="U29" i="25"/>
  <c r="T29" i="25"/>
  <c r="S29" i="25"/>
  <c r="R29" i="25"/>
  <c r="Q29" i="25"/>
  <c r="P29" i="25"/>
  <c r="O29" i="25"/>
  <c r="M29" i="25"/>
  <c r="L29" i="25"/>
  <c r="K29" i="25"/>
  <c r="I29" i="25"/>
  <c r="H29" i="25"/>
  <c r="J29" i="25" s="1"/>
  <c r="E29" i="25"/>
  <c r="D29" i="25"/>
  <c r="C29" i="25"/>
  <c r="AC28" i="25"/>
  <c r="AB28" i="25"/>
  <c r="AA28" i="25"/>
  <c r="Y28" i="25"/>
  <c r="X28" i="25"/>
  <c r="W28" i="25"/>
  <c r="U28" i="25"/>
  <c r="T28" i="25"/>
  <c r="S28" i="25"/>
  <c r="Q28" i="25"/>
  <c r="P28" i="25"/>
  <c r="O28" i="25"/>
  <c r="M28" i="25"/>
  <c r="L28" i="25"/>
  <c r="K28" i="25"/>
  <c r="I28" i="25"/>
  <c r="H28" i="25"/>
  <c r="J28" i="25" s="1"/>
  <c r="E28" i="25"/>
  <c r="D28" i="25"/>
  <c r="C28" i="25"/>
  <c r="AC27" i="25"/>
  <c r="AB27" i="25"/>
  <c r="AD27" i="25" s="1"/>
  <c r="AA27" i="25"/>
  <c r="Y27" i="25"/>
  <c r="X27" i="25"/>
  <c r="W27" i="25"/>
  <c r="Z27" i="25" s="1"/>
  <c r="U27" i="25"/>
  <c r="T27" i="25"/>
  <c r="S27" i="25"/>
  <c r="Q27" i="25"/>
  <c r="P27" i="25"/>
  <c r="O27" i="25"/>
  <c r="R27" i="25" s="1"/>
  <c r="M27" i="25"/>
  <c r="L27" i="25"/>
  <c r="K27" i="25"/>
  <c r="I27" i="25"/>
  <c r="H27" i="25"/>
  <c r="J27" i="25" s="1"/>
  <c r="E27" i="25"/>
  <c r="D27" i="25"/>
  <c r="C27" i="25"/>
  <c r="AC26" i="25"/>
  <c r="AB26" i="25"/>
  <c r="AA26" i="25"/>
  <c r="Y26" i="25"/>
  <c r="X26" i="25"/>
  <c r="W26" i="25"/>
  <c r="Z26" i="25" s="1"/>
  <c r="U26" i="25"/>
  <c r="T26" i="25"/>
  <c r="S26" i="25"/>
  <c r="Q26" i="25"/>
  <c r="P26" i="25"/>
  <c r="O26" i="25"/>
  <c r="M26" i="25"/>
  <c r="L26" i="25"/>
  <c r="K26" i="25"/>
  <c r="I26" i="25"/>
  <c r="H26" i="25"/>
  <c r="E26" i="25"/>
  <c r="D26" i="25"/>
  <c r="C26" i="25"/>
  <c r="AC25" i="25"/>
  <c r="AB25" i="25"/>
  <c r="AA25" i="25"/>
  <c r="Y25" i="25"/>
  <c r="X25" i="25"/>
  <c r="W25" i="25"/>
  <c r="Z25" i="25" s="1"/>
  <c r="U25" i="25"/>
  <c r="T25" i="25"/>
  <c r="S25" i="25"/>
  <c r="V25" i="25" s="1"/>
  <c r="Q25" i="25"/>
  <c r="P25" i="25"/>
  <c r="O25" i="25"/>
  <c r="R25" i="25" s="1"/>
  <c r="M25" i="25"/>
  <c r="L25" i="25"/>
  <c r="K25" i="25"/>
  <c r="N25" i="25" s="1"/>
  <c r="I25" i="25"/>
  <c r="H25" i="25"/>
  <c r="E25" i="25"/>
  <c r="D25" i="25"/>
  <c r="C25" i="25"/>
  <c r="AC24" i="25"/>
  <c r="AB24" i="25"/>
  <c r="AA24" i="25"/>
  <c r="AD24" i="25" s="1"/>
  <c r="Y24" i="25"/>
  <c r="X24" i="25"/>
  <c r="W24" i="25"/>
  <c r="U24" i="25"/>
  <c r="T24" i="25"/>
  <c r="S24" i="25"/>
  <c r="Q24" i="25"/>
  <c r="P24" i="25"/>
  <c r="O24" i="25"/>
  <c r="M24" i="25"/>
  <c r="L24" i="25"/>
  <c r="K24" i="25"/>
  <c r="N24" i="25" s="1"/>
  <c r="I24" i="25"/>
  <c r="H24" i="25"/>
  <c r="J24" i="25" s="1"/>
  <c r="E24" i="25"/>
  <c r="D24" i="25"/>
  <c r="C24" i="25"/>
  <c r="AC23" i="25"/>
  <c r="AB23" i="25"/>
  <c r="AA23" i="25"/>
  <c r="Y23" i="25"/>
  <c r="X23" i="25"/>
  <c r="W23" i="25"/>
  <c r="U23" i="25"/>
  <c r="T23" i="25"/>
  <c r="S23" i="25"/>
  <c r="V23" i="25" s="1"/>
  <c r="Q23" i="25"/>
  <c r="P23" i="25"/>
  <c r="O23" i="25"/>
  <c r="M23" i="25"/>
  <c r="L23" i="25"/>
  <c r="K23" i="25"/>
  <c r="I23" i="25"/>
  <c r="H23" i="25"/>
  <c r="J23" i="25" s="1"/>
  <c r="E23" i="25"/>
  <c r="D23" i="25"/>
  <c r="C23" i="25"/>
  <c r="AC22" i="25"/>
  <c r="AB22" i="25"/>
  <c r="AA22" i="25"/>
  <c r="AD22" i="25" s="1"/>
  <c r="Y22" i="25"/>
  <c r="X22" i="25"/>
  <c r="W22" i="25"/>
  <c r="U22" i="25"/>
  <c r="T22" i="25"/>
  <c r="S22" i="25"/>
  <c r="Q22" i="25"/>
  <c r="P22" i="25"/>
  <c r="O22" i="25"/>
  <c r="M22" i="25"/>
  <c r="L22" i="25"/>
  <c r="K22" i="25"/>
  <c r="N22" i="25" s="1"/>
  <c r="I22" i="25"/>
  <c r="H22" i="25"/>
  <c r="J22" i="25" s="1"/>
  <c r="E22" i="25"/>
  <c r="D22" i="25"/>
  <c r="C22" i="25"/>
  <c r="F22" i="25" s="1"/>
  <c r="AC21" i="25"/>
  <c r="AB21" i="25"/>
  <c r="AA21" i="25"/>
  <c r="AD21" i="25" s="1"/>
  <c r="Y21" i="25"/>
  <c r="X21" i="25"/>
  <c r="W21" i="25"/>
  <c r="U21" i="25"/>
  <c r="T21" i="25"/>
  <c r="S21" i="25"/>
  <c r="Q21" i="25"/>
  <c r="P21" i="25"/>
  <c r="O21" i="25"/>
  <c r="M21" i="25"/>
  <c r="L21" i="25"/>
  <c r="K21" i="25"/>
  <c r="I21" i="25"/>
  <c r="H21" i="25"/>
  <c r="J21" i="25" s="1"/>
  <c r="E21" i="25"/>
  <c r="D21" i="25"/>
  <c r="C21" i="25"/>
  <c r="AC20" i="25"/>
  <c r="AB20" i="25"/>
  <c r="AA20" i="25"/>
  <c r="Y20" i="25"/>
  <c r="X20" i="25"/>
  <c r="W20" i="25"/>
  <c r="Z20" i="25" s="1"/>
  <c r="U20" i="25"/>
  <c r="T20" i="25"/>
  <c r="S20" i="25"/>
  <c r="Q20" i="25"/>
  <c r="P20" i="25"/>
  <c r="O20" i="25"/>
  <c r="M20" i="25"/>
  <c r="L20" i="25"/>
  <c r="K20" i="25"/>
  <c r="I20" i="25"/>
  <c r="H20" i="25"/>
  <c r="E20" i="25"/>
  <c r="D20" i="25"/>
  <c r="C20" i="25"/>
  <c r="F20" i="25" s="1"/>
  <c r="AC19" i="25"/>
  <c r="AB19" i="25"/>
  <c r="AA19" i="25"/>
  <c r="Y19" i="25"/>
  <c r="X19" i="25"/>
  <c r="W19" i="25"/>
  <c r="U19" i="25"/>
  <c r="T19" i="25"/>
  <c r="S19" i="25"/>
  <c r="Q19" i="25"/>
  <c r="P19" i="25"/>
  <c r="O19" i="25"/>
  <c r="M19" i="25"/>
  <c r="L19" i="25"/>
  <c r="K19" i="25"/>
  <c r="I19" i="25"/>
  <c r="H19" i="25"/>
  <c r="J19" i="25" s="1"/>
  <c r="E19" i="25"/>
  <c r="D19" i="25"/>
  <c r="C19" i="25"/>
  <c r="AC18" i="25"/>
  <c r="AB18" i="25"/>
  <c r="AA18" i="25"/>
  <c r="AD18" i="25" s="1"/>
  <c r="Y18" i="25"/>
  <c r="X18" i="25"/>
  <c r="W18" i="25"/>
  <c r="U18" i="25"/>
  <c r="T18" i="25"/>
  <c r="S18" i="25"/>
  <c r="Q18" i="25"/>
  <c r="P18" i="25"/>
  <c r="R18" i="25" s="1"/>
  <c r="O18" i="25"/>
  <c r="M18" i="25"/>
  <c r="L18" i="25"/>
  <c r="K18" i="25"/>
  <c r="I18" i="25"/>
  <c r="H18" i="25"/>
  <c r="E18" i="25"/>
  <c r="D18" i="25"/>
  <c r="C18" i="25"/>
  <c r="F18" i="25" s="1"/>
  <c r="AC17" i="25"/>
  <c r="AB17" i="25"/>
  <c r="AA17" i="25"/>
  <c r="Y17" i="25"/>
  <c r="X17" i="25"/>
  <c r="W17" i="25"/>
  <c r="Z17" i="25" s="1"/>
  <c r="U17" i="25"/>
  <c r="T17" i="25"/>
  <c r="S17" i="25"/>
  <c r="Q17" i="25"/>
  <c r="P17" i="25"/>
  <c r="O17" i="25"/>
  <c r="M17" i="25"/>
  <c r="L17" i="25"/>
  <c r="K17" i="25"/>
  <c r="I17" i="25"/>
  <c r="H17" i="25"/>
  <c r="J17" i="25" s="1"/>
  <c r="E17" i="25"/>
  <c r="D17" i="25"/>
  <c r="C17" i="25"/>
  <c r="AC16" i="25"/>
  <c r="AB16" i="25"/>
  <c r="AA16" i="25"/>
  <c r="Y16" i="25"/>
  <c r="X16" i="25"/>
  <c r="W16" i="25"/>
  <c r="U16" i="25"/>
  <c r="T16" i="25"/>
  <c r="S16" i="25"/>
  <c r="Q16" i="25"/>
  <c r="P16" i="25"/>
  <c r="O16" i="25"/>
  <c r="M16" i="25"/>
  <c r="L16" i="25"/>
  <c r="K16" i="25"/>
  <c r="N16" i="25" s="1"/>
  <c r="I16" i="25"/>
  <c r="H16" i="25"/>
  <c r="E16" i="25"/>
  <c r="D16" i="25"/>
  <c r="C16" i="25"/>
  <c r="AD15" i="25"/>
  <c r="AC15" i="25"/>
  <c r="AB15" i="25"/>
  <c r="AA15" i="25"/>
  <c r="Y15" i="25"/>
  <c r="X15" i="25"/>
  <c r="W15" i="25"/>
  <c r="U15" i="25"/>
  <c r="T15" i="25"/>
  <c r="S15" i="25"/>
  <c r="V15" i="25" s="1"/>
  <c r="Q15" i="25"/>
  <c r="P15" i="25"/>
  <c r="O15" i="25"/>
  <c r="R15" i="25" s="1"/>
  <c r="M15" i="25"/>
  <c r="L15" i="25"/>
  <c r="K15" i="25"/>
  <c r="I15" i="25"/>
  <c r="H15" i="25"/>
  <c r="J15" i="25" s="1"/>
  <c r="E15" i="25"/>
  <c r="D15" i="25"/>
  <c r="C15" i="25"/>
  <c r="AC14" i="25"/>
  <c r="AB14" i="25"/>
  <c r="AA14" i="25"/>
  <c r="Y14" i="25"/>
  <c r="X14" i="25"/>
  <c r="W14" i="25"/>
  <c r="U14" i="25"/>
  <c r="T14" i="25"/>
  <c r="S14" i="25"/>
  <c r="Q14" i="25"/>
  <c r="P14" i="25"/>
  <c r="O14" i="25"/>
  <c r="M14" i="25"/>
  <c r="L14" i="25"/>
  <c r="K14" i="25"/>
  <c r="I14" i="25"/>
  <c r="H14" i="25"/>
  <c r="J14" i="25" s="1"/>
  <c r="E14" i="25"/>
  <c r="D14" i="25"/>
  <c r="G14" i="25" s="1"/>
  <c r="C14" i="25"/>
  <c r="G106" i="24"/>
  <c r="F106" i="24"/>
  <c r="G105" i="24"/>
  <c r="F105" i="24"/>
  <c r="G104" i="24"/>
  <c r="F104" i="24"/>
  <c r="G103" i="24"/>
  <c r="F103" i="24"/>
  <c r="G102" i="24"/>
  <c r="F102" i="24"/>
  <c r="G101" i="24"/>
  <c r="F101" i="24"/>
  <c r="G100" i="24"/>
  <c r="F100" i="24"/>
  <c r="G99" i="24"/>
  <c r="F99" i="24"/>
  <c r="G98" i="24"/>
  <c r="F98" i="24"/>
  <c r="G97" i="24"/>
  <c r="F97" i="24"/>
  <c r="E96" i="24"/>
  <c r="E89" i="24" s="1"/>
  <c r="D96" i="24"/>
  <c r="C96" i="24"/>
  <c r="G95" i="24"/>
  <c r="F95" i="24"/>
  <c r="G94" i="24"/>
  <c r="F94" i="24"/>
  <c r="G93" i="24"/>
  <c r="F93" i="24"/>
  <c r="G92" i="24"/>
  <c r="F92" i="24"/>
  <c r="G91" i="24"/>
  <c r="F91" i="24"/>
  <c r="G90" i="24"/>
  <c r="F90" i="24"/>
  <c r="BK88" i="24"/>
  <c r="BJ88" i="24"/>
  <c r="BI88" i="24"/>
  <c r="BH88" i="24"/>
  <c r="BG88" i="24"/>
  <c r="BF88" i="24"/>
  <c r="BD88" i="24"/>
  <c r="BC88" i="24"/>
  <c r="BE88" i="24" s="1"/>
  <c r="BB88" i="24"/>
  <c r="BA88" i="24"/>
  <c r="AZ88" i="24"/>
  <c r="AY88" i="24"/>
  <c r="AX88" i="24"/>
  <c r="AW88" i="24"/>
  <c r="AV88" i="24"/>
  <c r="AU88" i="24"/>
  <c r="AT88" i="24"/>
  <c r="AS88" i="24"/>
  <c r="AQ88" i="24"/>
  <c r="AO88" i="24"/>
  <c r="AN88" i="24"/>
  <c r="AR88" i="24" s="1"/>
  <c r="AM88" i="24"/>
  <c r="AP88" i="24" s="1"/>
  <c r="AK88" i="24"/>
  <c r="AJ88" i="24"/>
  <c r="AI88" i="24"/>
  <c r="AH88" i="24"/>
  <c r="AL88" i="24" s="1"/>
  <c r="AG88" i="24"/>
  <c r="AF88" i="24"/>
  <c r="AE88" i="24"/>
  <c r="AD88" i="24"/>
  <c r="AC88" i="24"/>
  <c r="AB88" i="24"/>
  <c r="AA88" i="24"/>
  <c r="Z88" i="24"/>
  <c r="X88" i="24"/>
  <c r="W88" i="24"/>
  <c r="Y88" i="24" s="1"/>
  <c r="V88" i="24"/>
  <c r="U88" i="24"/>
  <c r="T88" i="24"/>
  <c r="S88" i="24"/>
  <c r="R88" i="24"/>
  <c r="Q88" i="24"/>
  <c r="O88" i="24"/>
  <c r="N88" i="24"/>
  <c r="P88" i="24" s="1"/>
  <c r="L88" i="24"/>
  <c r="K88" i="24"/>
  <c r="M88" i="24" s="1"/>
  <c r="I88" i="24"/>
  <c r="H88" i="24"/>
  <c r="J88" i="24" s="1"/>
  <c r="E88" i="24"/>
  <c r="D88" i="24"/>
  <c r="G88" i="24" s="1"/>
  <c r="C88" i="24"/>
  <c r="F88" i="24" s="1"/>
  <c r="BK87" i="24"/>
  <c r="BJ87" i="24"/>
  <c r="BI87" i="24"/>
  <c r="BH87" i="24"/>
  <c r="BG87" i="24"/>
  <c r="BF87" i="24"/>
  <c r="BD87" i="24"/>
  <c r="BC87" i="24"/>
  <c r="BE87" i="24" s="1"/>
  <c r="BB87" i="24"/>
  <c r="BA87" i="24"/>
  <c r="AZ87" i="24"/>
  <c r="AY87" i="24"/>
  <c r="AX87" i="24"/>
  <c r="AW87" i="24"/>
  <c r="AV87" i="24"/>
  <c r="AU87" i="24"/>
  <c r="AT87" i="24"/>
  <c r="AS87" i="24"/>
  <c r="AQ87" i="24"/>
  <c r="AO87" i="24"/>
  <c r="AN87" i="24"/>
  <c r="AR87" i="24" s="1"/>
  <c r="AM87" i="24"/>
  <c r="AP87" i="24" s="1"/>
  <c r="AK87" i="24"/>
  <c r="AJ87" i="24"/>
  <c r="AI87" i="24"/>
  <c r="AH87" i="24"/>
  <c r="AL87" i="24" s="1"/>
  <c r="AG87" i="24"/>
  <c r="AF87" i="24"/>
  <c r="AE87" i="24"/>
  <c r="AD87" i="24"/>
  <c r="AC87" i="24"/>
  <c r="AB87" i="24"/>
  <c r="AA87" i="24"/>
  <c r="Z87" i="24"/>
  <c r="X87" i="24"/>
  <c r="W87" i="24"/>
  <c r="Y87" i="24" s="1"/>
  <c r="V87" i="24"/>
  <c r="U87" i="24"/>
  <c r="T87" i="24"/>
  <c r="S87" i="24"/>
  <c r="R87" i="24"/>
  <c r="Q87" i="24"/>
  <c r="O87" i="24"/>
  <c r="N87" i="24"/>
  <c r="P87" i="24" s="1"/>
  <c r="L87" i="24"/>
  <c r="K87" i="24"/>
  <c r="M87" i="24" s="1"/>
  <c r="I87" i="24"/>
  <c r="H87" i="24"/>
  <c r="J87" i="24" s="1"/>
  <c r="E87" i="24"/>
  <c r="D87" i="24"/>
  <c r="G87" i="24" s="1"/>
  <c r="C87" i="24"/>
  <c r="F87" i="24" s="1"/>
  <c r="BK86" i="24"/>
  <c r="BJ86" i="24"/>
  <c r="BI86" i="24"/>
  <c r="BH86" i="24"/>
  <c r="BG86" i="24"/>
  <c r="BF86" i="24"/>
  <c r="BD86" i="24"/>
  <c r="BC86" i="24"/>
  <c r="BE86" i="24" s="1"/>
  <c r="BB86" i="24"/>
  <c r="BA86" i="24"/>
  <c r="AZ86" i="24"/>
  <c r="AY86" i="24"/>
  <c r="AX86" i="24"/>
  <c r="AW86" i="24"/>
  <c r="AV86" i="24"/>
  <c r="AU86" i="24"/>
  <c r="AT86" i="24"/>
  <c r="AS86" i="24"/>
  <c r="AQ86" i="24"/>
  <c r="AO86" i="24"/>
  <c r="AN86" i="24"/>
  <c r="AR86" i="24" s="1"/>
  <c r="AM86" i="24"/>
  <c r="AP86" i="24" s="1"/>
  <c r="AL86" i="24"/>
  <c r="AK86" i="24"/>
  <c r="AJ86" i="24"/>
  <c r="AI86" i="24"/>
  <c r="AH86" i="24"/>
  <c r="AG86" i="24"/>
  <c r="AF86" i="24"/>
  <c r="AE86" i="24"/>
  <c r="AD86" i="24"/>
  <c r="AC86" i="24"/>
  <c r="AB86" i="24"/>
  <c r="AA86" i="24"/>
  <c r="Z86" i="24"/>
  <c r="X86" i="24"/>
  <c r="W86" i="24"/>
  <c r="Y86" i="24" s="1"/>
  <c r="V86" i="24"/>
  <c r="U86" i="24"/>
  <c r="T86" i="24"/>
  <c r="S86" i="24"/>
  <c r="R86" i="24"/>
  <c r="Q86" i="24"/>
  <c r="O86" i="24"/>
  <c r="N86" i="24"/>
  <c r="P86" i="24" s="1"/>
  <c r="L86" i="24"/>
  <c r="K86" i="24"/>
  <c r="M86" i="24" s="1"/>
  <c r="I86" i="24"/>
  <c r="H86" i="24"/>
  <c r="J86" i="24" s="1"/>
  <c r="E86" i="24"/>
  <c r="D86" i="24"/>
  <c r="G86" i="24" s="1"/>
  <c r="C86" i="24"/>
  <c r="F86" i="24" s="1"/>
  <c r="BK85" i="24"/>
  <c r="BJ85" i="24"/>
  <c r="BI85" i="24"/>
  <c r="BH85" i="24"/>
  <c r="BG85" i="24"/>
  <c r="BF85" i="24"/>
  <c r="BD85" i="24"/>
  <c r="BC85" i="24"/>
  <c r="BE85" i="24" s="1"/>
  <c r="BB85" i="24"/>
  <c r="BA85" i="24"/>
  <c r="AZ85" i="24"/>
  <c r="AY85" i="24"/>
  <c r="AX85" i="24"/>
  <c r="AW85" i="24"/>
  <c r="AV85" i="24"/>
  <c r="AU85" i="24"/>
  <c r="AT85" i="24"/>
  <c r="AS85" i="24"/>
  <c r="AQ85" i="24"/>
  <c r="AO85" i="24"/>
  <c r="AN85" i="24"/>
  <c r="AR85" i="24" s="1"/>
  <c r="AM85" i="24"/>
  <c r="AP85" i="24" s="1"/>
  <c r="AK85" i="24"/>
  <c r="AJ85" i="24"/>
  <c r="AI85" i="24"/>
  <c r="AH85" i="24"/>
  <c r="AL85" i="24" s="1"/>
  <c r="AG85" i="24"/>
  <c r="AF85" i="24"/>
  <c r="AE85" i="24"/>
  <c r="AD85" i="24"/>
  <c r="AC85" i="24"/>
  <c r="AB85" i="24"/>
  <c r="AA85" i="24"/>
  <c r="Z85" i="24"/>
  <c r="X85" i="24"/>
  <c r="W85" i="24"/>
  <c r="Y85" i="24" s="1"/>
  <c r="V85" i="24"/>
  <c r="U85" i="24"/>
  <c r="T85" i="24"/>
  <c r="S85" i="24"/>
  <c r="R85" i="24"/>
  <c r="Q85" i="24"/>
  <c r="P85" i="24"/>
  <c r="O85" i="24"/>
  <c r="N85" i="24"/>
  <c r="L85" i="24"/>
  <c r="K85" i="24"/>
  <c r="M85" i="24" s="1"/>
  <c r="I85" i="24"/>
  <c r="H85" i="24"/>
  <c r="J85" i="24" s="1"/>
  <c r="E85" i="24"/>
  <c r="D85" i="24"/>
  <c r="G85" i="24" s="1"/>
  <c r="C85" i="24"/>
  <c r="F85" i="24" s="1"/>
  <c r="BK84" i="24"/>
  <c r="BJ84" i="24"/>
  <c r="BI84" i="24"/>
  <c r="BH84" i="24"/>
  <c r="BG84" i="24"/>
  <c r="BF84" i="24"/>
  <c r="BD84" i="24"/>
  <c r="BC84" i="24"/>
  <c r="BE84" i="24" s="1"/>
  <c r="BB84" i="24"/>
  <c r="BA84" i="24"/>
  <c r="AZ84" i="24"/>
  <c r="AY84" i="24"/>
  <c r="AX84" i="24"/>
  <c r="AW84" i="24"/>
  <c r="AV84" i="24"/>
  <c r="AU84" i="24"/>
  <c r="AT84" i="24"/>
  <c r="AS84" i="24"/>
  <c r="AQ84" i="24"/>
  <c r="AO84" i="24"/>
  <c r="AN84" i="24"/>
  <c r="AR84" i="24" s="1"/>
  <c r="AM84" i="24"/>
  <c r="AP84" i="24" s="1"/>
  <c r="AK84" i="24"/>
  <c r="AJ84" i="24"/>
  <c r="AI84" i="24"/>
  <c r="AH84" i="24"/>
  <c r="AL84" i="24" s="1"/>
  <c r="AG84" i="24"/>
  <c r="AF84" i="24"/>
  <c r="AE84" i="24"/>
  <c r="AD84" i="24"/>
  <c r="AC84" i="24"/>
  <c r="AB84" i="24"/>
  <c r="AA84" i="24"/>
  <c r="Z84" i="24"/>
  <c r="X84" i="24"/>
  <c r="W84" i="24"/>
  <c r="Y84" i="24" s="1"/>
  <c r="V84" i="24"/>
  <c r="U84" i="24"/>
  <c r="T84" i="24"/>
  <c r="S84" i="24"/>
  <c r="R84" i="24"/>
  <c r="Q84" i="24"/>
  <c r="O84" i="24"/>
  <c r="N84" i="24"/>
  <c r="P84" i="24" s="1"/>
  <c r="L84" i="24"/>
  <c r="K84" i="24"/>
  <c r="M84" i="24" s="1"/>
  <c r="I84" i="24"/>
  <c r="H84" i="24"/>
  <c r="J84" i="24" s="1"/>
  <c r="E84" i="24"/>
  <c r="D84" i="24"/>
  <c r="G84" i="24" s="1"/>
  <c r="C84" i="24"/>
  <c r="F84" i="24" s="1"/>
  <c r="BK83" i="24"/>
  <c r="BJ83" i="24"/>
  <c r="BI83" i="24"/>
  <c r="BH83" i="24"/>
  <c r="BG83" i="24"/>
  <c r="BF83" i="24"/>
  <c r="BD83" i="24"/>
  <c r="BC83" i="24"/>
  <c r="BE83" i="24" s="1"/>
  <c r="BB83" i="24"/>
  <c r="BA83" i="24"/>
  <c r="AZ83" i="24"/>
  <c r="AY83" i="24"/>
  <c r="AX83" i="24"/>
  <c r="AW83" i="24"/>
  <c r="AV83" i="24"/>
  <c r="AU83" i="24"/>
  <c r="AT83" i="24"/>
  <c r="AS83" i="24"/>
  <c r="AQ83" i="24"/>
  <c r="AO83" i="24"/>
  <c r="AN83" i="24"/>
  <c r="AR83" i="24" s="1"/>
  <c r="AM83" i="24"/>
  <c r="AP83" i="24" s="1"/>
  <c r="AK83" i="24"/>
  <c r="AJ83" i="24"/>
  <c r="AI83" i="24"/>
  <c r="AH83" i="24"/>
  <c r="AL83" i="24" s="1"/>
  <c r="AG83" i="24"/>
  <c r="AF83" i="24"/>
  <c r="AE83" i="24"/>
  <c r="AD83" i="24"/>
  <c r="AC83" i="24"/>
  <c r="AB83" i="24"/>
  <c r="AA83" i="24"/>
  <c r="Z83" i="24"/>
  <c r="X83" i="24"/>
  <c r="W83" i="24"/>
  <c r="Y83" i="24" s="1"/>
  <c r="V83" i="24"/>
  <c r="U83" i="24"/>
  <c r="T83" i="24"/>
  <c r="S83" i="24"/>
  <c r="R83" i="24"/>
  <c r="Q83" i="24"/>
  <c r="O83" i="24"/>
  <c r="N83" i="24"/>
  <c r="P83" i="24" s="1"/>
  <c r="L83" i="24"/>
  <c r="K83" i="24"/>
  <c r="M83" i="24" s="1"/>
  <c r="J83" i="24"/>
  <c r="I83" i="24"/>
  <c r="H83" i="24"/>
  <c r="E83" i="24"/>
  <c r="D83" i="24"/>
  <c r="G83" i="24" s="1"/>
  <c r="C83" i="24"/>
  <c r="F83" i="24" s="1"/>
  <c r="BK82" i="24"/>
  <c r="BJ82" i="24"/>
  <c r="BI82" i="24"/>
  <c r="BH82" i="24"/>
  <c r="BG82" i="24"/>
  <c r="BF82" i="24"/>
  <c r="BD82" i="24"/>
  <c r="BC82" i="24"/>
  <c r="BE82" i="24" s="1"/>
  <c r="BB82" i="24"/>
  <c r="BA82" i="24"/>
  <c r="AZ82" i="24"/>
  <c r="AY82" i="24"/>
  <c r="AX82" i="24"/>
  <c r="AW82" i="24"/>
  <c r="AV82" i="24"/>
  <c r="AU82" i="24"/>
  <c r="AT82" i="24"/>
  <c r="AS82" i="24"/>
  <c r="AQ82" i="24"/>
  <c r="AO82" i="24"/>
  <c r="AN82" i="24"/>
  <c r="AR82" i="24" s="1"/>
  <c r="AM82" i="24"/>
  <c r="AP82" i="24" s="1"/>
  <c r="AK82" i="24"/>
  <c r="AJ82" i="24"/>
  <c r="AI82" i="24"/>
  <c r="AH82" i="24"/>
  <c r="AL82" i="24" s="1"/>
  <c r="AG82" i="24"/>
  <c r="AF82" i="24"/>
  <c r="AE82" i="24"/>
  <c r="AD82" i="24"/>
  <c r="AC82" i="24"/>
  <c r="AB82" i="24"/>
  <c r="AA82" i="24"/>
  <c r="Z82" i="24"/>
  <c r="X82" i="24"/>
  <c r="W82" i="24"/>
  <c r="Y82" i="24" s="1"/>
  <c r="V82" i="24"/>
  <c r="U82" i="24"/>
  <c r="T82" i="24"/>
  <c r="S82" i="24"/>
  <c r="R82" i="24"/>
  <c r="Q82" i="24"/>
  <c r="O82" i="24"/>
  <c r="N82" i="24"/>
  <c r="P82" i="24" s="1"/>
  <c r="L82" i="24"/>
  <c r="K82" i="24"/>
  <c r="M82" i="24" s="1"/>
  <c r="I82" i="24"/>
  <c r="H82" i="24"/>
  <c r="J82" i="24" s="1"/>
  <c r="E82" i="24"/>
  <c r="D82" i="24"/>
  <c r="G82" i="24" s="1"/>
  <c r="C82" i="24"/>
  <c r="F82" i="24" s="1"/>
  <c r="BK81" i="24"/>
  <c r="BJ81" i="24"/>
  <c r="BI81" i="24"/>
  <c r="BH81" i="24"/>
  <c r="BG81" i="24"/>
  <c r="BF81" i="24"/>
  <c r="BD81" i="24"/>
  <c r="BC81" i="24"/>
  <c r="BE81" i="24" s="1"/>
  <c r="BB81" i="24"/>
  <c r="BA81" i="24"/>
  <c r="AZ81" i="24"/>
  <c r="AY81" i="24"/>
  <c r="AX81" i="24"/>
  <c r="AW81" i="24"/>
  <c r="AV81" i="24"/>
  <c r="AU81" i="24"/>
  <c r="AT81" i="24"/>
  <c r="AS81" i="24"/>
  <c r="AQ81" i="24"/>
  <c r="AO81" i="24"/>
  <c r="AN81" i="24"/>
  <c r="AR81" i="24" s="1"/>
  <c r="AM81" i="24"/>
  <c r="AP81" i="24" s="1"/>
  <c r="AK81" i="24"/>
  <c r="AJ81" i="24"/>
  <c r="AI81" i="24"/>
  <c r="AH81" i="24"/>
  <c r="AL81" i="24" s="1"/>
  <c r="AG81" i="24"/>
  <c r="AF81" i="24"/>
  <c r="AE81" i="24"/>
  <c r="AD81" i="24"/>
  <c r="AC81" i="24"/>
  <c r="AB81" i="24"/>
  <c r="AA81" i="24"/>
  <c r="Z81" i="24"/>
  <c r="Y81" i="24"/>
  <c r="X81" i="24"/>
  <c r="W81" i="24"/>
  <c r="V81" i="24"/>
  <c r="U81" i="24"/>
  <c r="T81" i="24"/>
  <c r="S81" i="24"/>
  <c r="R81" i="24"/>
  <c r="Q81" i="24"/>
  <c r="O81" i="24"/>
  <c r="N81" i="24"/>
  <c r="P81" i="24" s="1"/>
  <c r="L81" i="24"/>
  <c r="K81" i="24"/>
  <c r="M81" i="24" s="1"/>
  <c r="I81" i="24"/>
  <c r="H81" i="24"/>
  <c r="J81" i="24" s="1"/>
  <c r="E81" i="24"/>
  <c r="D81" i="24"/>
  <c r="G81" i="24" s="1"/>
  <c r="C81" i="24"/>
  <c r="F81" i="24" s="1"/>
  <c r="BK80" i="24"/>
  <c r="BJ80" i="24"/>
  <c r="BI80" i="24"/>
  <c r="BH80" i="24"/>
  <c r="BG80" i="24"/>
  <c r="BF80" i="24"/>
  <c r="BD80" i="24"/>
  <c r="BC80" i="24"/>
  <c r="BE80" i="24" s="1"/>
  <c r="BB80" i="24"/>
  <c r="BA80" i="24"/>
  <c r="AZ80" i="24"/>
  <c r="AY80" i="24"/>
  <c r="AX80" i="24"/>
  <c r="AW80" i="24"/>
  <c r="AV80" i="24"/>
  <c r="AU80" i="24"/>
  <c r="AT80" i="24"/>
  <c r="AS80" i="24"/>
  <c r="AQ80" i="24"/>
  <c r="AO80" i="24"/>
  <c r="AN80" i="24"/>
  <c r="AR80" i="24" s="1"/>
  <c r="AM80" i="24"/>
  <c r="AP80" i="24" s="1"/>
  <c r="AK80" i="24"/>
  <c r="AJ80" i="24"/>
  <c r="AI80" i="24"/>
  <c r="AH80" i="24"/>
  <c r="AL80" i="24" s="1"/>
  <c r="AG80" i="24"/>
  <c r="AF80" i="24"/>
  <c r="AE80" i="24"/>
  <c r="AD80" i="24"/>
  <c r="AC80" i="24"/>
  <c r="AB80" i="24"/>
  <c r="AA80" i="24"/>
  <c r="Z80" i="24"/>
  <c r="X80" i="24"/>
  <c r="W80" i="24"/>
  <c r="Y80" i="24" s="1"/>
  <c r="V80" i="24"/>
  <c r="U80" i="24"/>
  <c r="T80" i="24"/>
  <c r="S80" i="24"/>
  <c r="R80" i="24"/>
  <c r="Q80" i="24"/>
  <c r="O80" i="24"/>
  <c r="N80" i="24"/>
  <c r="P80" i="24" s="1"/>
  <c r="L80" i="24"/>
  <c r="K80" i="24"/>
  <c r="I80" i="24"/>
  <c r="H80" i="24"/>
  <c r="J80" i="24" s="1"/>
  <c r="E80" i="24"/>
  <c r="D80" i="24"/>
  <c r="C80" i="24"/>
  <c r="BK79" i="24"/>
  <c r="BJ79" i="24"/>
  <c r="BI79" i="24"/>
  <c r="BH79" i="24"/>
  <c r="BG79" i="24"/>
  <c r="BF79" i="24"/>
  <c r="BE79" i="24"/>
  <c r="BD79" i="24"/>
  <c r="BC79" i="24"/>
  <c r="BB79" i="24"/>
  <c r="BA79" i="24"/>
  <c r="AZ79" i="24"/>
  <c r="AY79" i="24"/>
  <c r="AX79" i="24"/>
  <c r="AW79" i="24"/>
  <c r="AV79" i="24"/>
  <c r="AU79" i="24"/>
  <c r="AT79" i="24"/>
  <c r="AS79" i="24"/>
  <c r="AR79" i="24"/>
  <c r="AQ79" i="24"/>
  <c r="AO79" i="24"/>
  <c r="AN79" i="24"/>
  <c r="AM79" i="24"/>
  <c r="AP79" i="24" s="1"/>
  <c r="AK79" i="24"/>
  <c r="AJ79" i="24"/>
  <c r="AI79" i="24"/>
  <c r="AH79" i="24"/>
  <c r="AL79" i="24" s="1"/>
  <c r="AG79" i="24"/>
  <c r="AF79" i="24"/>
  <c r="AE79" i="24"/>
  <c r="AD79" i="24"/>
  <c r="AC79" i="24"/>
  <c r="AB79" i="24"/>
  <c r="AA79" i="24"/>
  <c r="Z79" i="24"/>
  <c r="Y79" i="24"/>
  <c r="X79" i="24"/>
  <c r="W79" i="24"/>
  <c r="V79" i="24"/>
  <c r="U79" i="24"/>
  <c r="T79" i="24"/>
  <c r="S79" i="24"/>
  <c r="R79" i="24"/>
  <c r="Q79" i="24"/>
  <c r="O79" i="24"/>
  <c r="N79" i="24"/>
  <c r="L79" i="24"/>
  <c r="K79" i="24"/>
  <c r="M79" i="24" s="1"/>
  <c r="I79" i="24"/>
  <c r="H79" i="24"/>
  <c r="J79" i="24" s="1"/>
  <c r="E79" i="24"/>
  <c r="D79" i="24"/>
  <c r="G79" i="24" s="1"/>
  <c r="C79" i="24"/>
  <c r="F79" i="24" s="1"/>
  <c r="BK78" i="24"/>
  <c r="BJ78" i="24"/>
  <c r="BI78" i="24"/>
  <c r="BH78" i="24"/>
  <c r="BG78" i="24"/>
  <c r="BF78" i="24"/>
  <c r="BD78" i="24"/>
  <c r="BC78" i="24"/>
  <c r="BE78" i="24" s="1"/>
  <c r="BB78" i="24"/>
  <c r="BA78" i="24"/>
  <c r="AZ78" i="24"/>
  <c r="AY78" i="24"/>
  <c r="AX78" i="24"/>
  <c r="AW78" i="24"/>
  <c r="AV78" i="24"/>
  <c r="AU78" i="24"/>
  <c r="AT78" i="24"/>
  <c r="AS78" i="24"/>
  <c r="AQ78" i="24"/>
  <c r="AO78" i="24"/>
  <c r="AN78" i="24"/>
  <c r="AR78" i="24" s="1"/>
  <c r="AM78" i="24"/>
  <c r="AP78" i="24" s="1"/>
  <c r="AK78" i="24"/>
  <c r="AJ78" i="24"/>
  <c r="AI78" i="24"/>
  <c r="AH78" i="24"/>
  <c r="AL78" i="24" s="1"/>
  <c r="AG78" i="24"/>
  <c r="AF78" i="24"/>
  <c r="AE78" i="24"/>
  <c r="AD78" i="24"/>
  <c r="AC78" i="24"/>
  <c r="AB78" i="24"/>
  <c r="AA78" i="24"/>
  <c r="Z78" i="24"/>
  <c r="X78" i="24"/>
  <c r="W78" i="24"/>
  <c r="Y78" i="24" s="1"/>
  <c r="V78" i="24"/>
  <c r="U78" i="24"/>
  <c r="T78" i="24"/>
  <c r="S78" i="24"/>
  <c r="R78" i="24"/>
  <c r="Q78" i="24"/>
  <c r="O78" i="24"/>
  <c r="N78" i="24"/>
  <c r="P78" i="24" s="1"/>
  <c r="L78" i="24"/>
  <c r="K78" i="24"/>
  <c r="M78" i="24" s="1"/>
  <c r="I78" i="24"/>
  <c r="H78" i="24"/>
  <c r="E78" i="24"/>
  <c r="D78" i="24"/>
  <c r="G78" i="24" s="1"/>
  <c r="C78" i="24"/>
  <c r="F78" i="24" s="1"/>
  <c r="BK77" i="24"/>
  <c r="BJ77" i="24"/>
  <c r="BI77" i="24"/>
  <c r="BH77" i="24"/>
  <c r="BG77" i="24"/>
  <c r="BF77" i="24"/>
  <c r="BD77" i="24"/>
  <c r="BC77" i="24"/>
  <c r="BE77" i="24" s="1"/>
  <c r="BB77" i="24"/>
  <c r="BA77" i="24"/>
  <c r="AZ77" i="24"/>
  <c r="AY77" i="24"/>
  <c r="AX77" i="24"/>
  <c r="AW77" i="24"/>
  <c r="AV77" i="24"/>
  <c r="AU77" i="24"/>
  <c r="AT77" i="24"/>
  <c r="AS77" i="24"/>
  <c r="AQ77" i="24"/>
  <c r="AO77" i="24"/>
  <c r="AN77" i="24"/>
  <c r="AR77" i="24" s="1"/>
  <c r="AM77" i="24"/>
  <c r="AP77" i="24" s="1"/>
  <c r="AK77" i="24"/>
  <c r="AJ77" i="24"/>
  <c r="AI77" i="24"/>
  <c r="AH77" i="24"/>
  <c r="AL77" i="24" s="1"/>
  <c r="AG77" i="24"/>
  <c r="AF77" i="24"/>
  <c r="AE77" i="24"/>
  <c r="AD77" i="24"/>
  <c r="AC77" i="24"/>
  <c r="AB77" i="24"/>
  <c r="AA77" i="24"/>
  <c r="Z77" i="24"/>
  <c r="X77" i="24"/>
  <c r="W77" i="24"/>
  <c r="Y77" i="24" s="1"/>
  <c r="V77" i="24"/>
  <c r="U77" i="24"/>
  <c r="T77" i="24"/>
  <c r="S77" i="24"/>
  <c r="R77" i="24"/>
  <c r="Q77" i="24"/>
  <c r="O77" i="24"/>
  <c r="N77" i="24"/>
  <c r="P77" i="24" s="1"/>
  <c r="L77" i="24"/>
  <c r="K77" i="24"/>
  <c r="M77" i="24" s="1"/>
  <c r="I77" i="24"/>
  <c r="H77" i="24"/>
  <c r="J77" i="24" s="1"/>
  <c r="E77" i="24"/>
  <c r="D77" i="24"/>
  <c r="G77" i="24" s="1"/>
  <c r="C77" i="24"/>
  <c r="F77" i="24" s="1"/>
  <c r="BK76" i="24"/>
  <c r="BJ76" i="24"/>
  <c r="BI76" i="24"/>
  <c r="BH76" i="24"/>
  <c r="BG76" i="24"/>
  <c r="BF76" i="24"/>
  <c r="BD76" i="24"/>
  <c r="BC76" i="24"/>
  <c r="BE76" i="24" s="1"/>
  <c r="BB76" i="24"/>
  <c r="BA76" i="24"/>
  <c r="AZ76" i="24"/>
  <c r="AY76" i="24"/>
  <c r="AX76" i="24"/>
  <c r="AW76" i="24"/>
  <c r="AV76" i="24"/>
  <c r="AU76" i="24"/>
  <c r="AT76" i="24"/>
  <c r="AS76" i="24"/>
  <c r="AQ76" i="24"/>
  <c r="AO76" i="24"/>
  <c r="AN76" i="24"/>
  <c r="AR76" i="24" s="1"/>
  <c r="AM76" i="24"/>
  <c r="AP76" i="24" s="1"/>
  <c r="AK76" i="24"/>
  <c r="AJ76" i="24"/>
  <c r="AI76" i="24"/>
  <c r="AH76" i="24"/>
  <c r="AL76" i="24" s="1"/>
  <c r="AG76" i="24"/>
  <c r="AF76" i="24"/>
  <c r="AE76" i="24"/>
  <c r="AD76" i="24"/>
  <c r="AC76" i="24"/>
  <c r="AB76" i="24"/>
  <c r="AA76" i="24"/>
  <c r="Z76" i="24"/>
  <c r="X76" i="24"/>
  <c r="W76" i="24"/>
  <c r="Y76" i="24" s="1"/>
  <c r="V76" i="24"/>
  <c r="U76" i="24"/>
  <c r="T76" i="24"/>
  <c r="S76" i="24"/>
  <c r="R76" i="24"/>
  <c r="Q76" i="24"/>
  <c r="O76" i="24"/>
  <c r="N76" i="24"/>
  <c r="P76" i="24" s="1"/>
  <c r="L76" i="24"/>
  <c r="K76" i="24"/>
  <c r="M76" i="24" s="1"/>
  <c r="J76" i="24"/>
  <c r="I76" i="24"/>
  <c r="H76" i="24"/>
  <c r="E76" i="24"/>
  <c r="D76" i="24"/>
  <c r="G76" i="24" s="1"/>
  <c r="C76" i="24"/>
  <c r="F76" i="24" s="1"/>
  <c r="BK75" i="24"/>
  <c r="BJ75" i="24"/>
  <c r="BI75" i="24"/>
  <c r="BH75" i="24"/>
  <c r="BG75" i="24"/>
  <c r="BF75" i="24"/>
  <c r="BD75" i="24"/>
  <c r="BC75" i="24"/>
  <c r="BE75" i="24" s="1"/>
  <c r="BB75" i="24"/>
  <c r="BA75" i="24"/>
  <c r="AZ75" i="24"/>
  <c r="AY75" i="24"/>
  <c r="AX75" i="24"/>
  <c r="AW75" i="24"/>
  <c r="AV75" i="24"/>
  <c r="AU75" i="24"/>
  <c r="AT75" i="24"/>
  <c r="AS75" i="24"/>
  <c r="AQ75" i="24"/>
  <c r="AO75" i="24"/>
  <c r="AN75" i="24"/>
  <c r="AR75" i="24" s="1"/>
  <c r="AM75" i="24"/>
  <c r="AP75" i="24" s="1"/>
  <c r="AK75" i="24"/>
  <c r="AJ75" i="24"/>
  <c r="AI75" i="24"/>
  <c r="AH75" i="24"/>
  <c r="AL75" i="24" s="1"/>
  <c r="AG75" i="24"/>
  <c r="AF75" i="24"/>
  <c r="AE75" i="24"/>
  <c r="AD75" i="24"/>
  <c r="AC75" i="24"/>
  <c r="AB75" i="24"/>
  <c r="AA75" i="24"/>
  <c r="Z75" i="24"/>
  <c r="X75" i="24"/>
  <c r="W75" i="24"/>
  <c r="Y75" i="24" s="1"/>
  <c r="V75" i="24"/>
  <c r="U75" i="24"/>
  <c r="T75" i="24"/>
  <c r="S75" i="24"/>
  <c r="R75" i="24"/>
  <c r="Q75" i="24"/>
  <c r="O75" i="24"/>
  <c r="N75" i="24"/>
  <c r="P75" i="24" s="1"/>
  <c r="L75" i="24"/>
  <c r="K75" i="24"/>
  <c r="I75" i="24"/>
  <c r="H75" i="24"/>
  <c r="J75" i="24" s="1"/>
  <c r="E75" i="24"/>
  <c r="D75" i="24"/>
  <c r="G75" i="24" s="1"/>
  <c r="C75" i="24"/>
  <c r="F75" i="24" s="1"/>
  <c r="BK73" i="24"/>
  <c r="BJ73" i="24"/>
  <c r="BI73" i="24"/>
  <c r="BH73" i="24"/>
  <c r="BG73" i="24"/>
  <c r="BF73" i="24"/>
  <c r="BD73" i="24"/>
  <c r="BC73" i="24"/>
  <c r="BE73" i="24" s="1"/>
  <c r="BB73" i="24"/>
  <c r="BA73" i="24"/>
  <c r="AZ73" i="24"/>
  <c r="AY73" i="24"/>
  <c r="AX73" i="24"/>
  <c r="AW73" i="24"/>
  <c r="AV73" i="24"/>
  <c r="AU73" i="24"/>
  <c r="AT73" i="24"/>
  <c r="AS73" i="24"/>
  <c r="AQ73" i="24"/>
  <c r="AO73" i="24"/>
  <c r="AN73" i="24"/>
  <c r="AM73" i="24"/>
  <c r="AK73" i="24"/>
  <c r="AJ73" i="24"/>
  <c r="AI73" i="24"/>
  <c r="AH73" i="24"/>
  <c r="AL73" i="24" s="1"/>
  <c r="AG73" i="24"/>
  <c r="AF73" i="24"/>
  <c r="AE73" i="24"/>
  <c r="AD73" i="24"/>
  <c r="AC73" i="24"/>
  <c r="AB73" i="24"/>
  <c r="AA73" i="24"/>
  <c r="Z73" i="24"/>
  <c r="X73" i="24"/>
  <c r="W73" i="24"/>
  <c r="Y73" i="24" s="1"/>
  <c r="V73" i="24"/>
  <c r="U73" i="24"/>
  <c r="T73" i="24"/>
  <c r="S73" i="24"/>
  <c r="R73" i="24"/>
  <c r="Q73" i="24"/>
  <c r="O73" i="24"/>
  <c r="N73" i="24"/>
  <c r="P73" i="24" s="1"/>
  <c r="L73" i="24"/>
  <c r="M73" i="24" s="1"/>
  <c r="K73" i="24"/>
  <c r="I73" i="24"/>
  <c r="H73" i="24"/>
  <c r="J73" i="24" s="1"/>
  <c r="E73" i="24"/>
  <c r="D73" i="24"/>
  <c r="G73" i="24" s="1"/>
  <c r="C73" i="24"/>
  <c r="BK72" i="24"/>
  <c r="BJ72" i="24"/>
  <c r="BI72" i="24"/>
  <c r="BH72" i="24"/>
  <c r="BG72" i="24"/>
  <c r="BF72" i="24"/>
  <c r="BD72" i="24"/>
  <c r="BC72" i="24"/>
  <c r="BE72" i="24" s="1"/>
  <c r="BB72" i="24"/>
  <c r="BA72" i="24"/>
  <c r="AZ72" i="24"/>
  <c r="AY72" i="24"/>
  <c r="AX72" i="24"/>
  <c r="AW72" i="24"/>
  <c r="AV72" i="24"/>
  <c r="AU72" i="24"/>
  <c r="AT72" i="24"/>
  <c r="AS72" i="24"/>
  <c r="AQ72" i="24"/>
  <c r="AO72" i="24"/>
  <c r="AN72" i="24"/>
  <c r="AR72" i="24" s="1"/>
  <c r="AM72" i="24"/>
  <c r="AK72" i="24"/>
  <c r="AJ72" i="24"/>
  <c r="AI72" i="24"/>
  <c r="AH72" i="24"/>
  <c r="AG72" i="24"/>
  <c r="AF72" i="24"/>
  <c r="AE72" i="24"/>
  <c r="AD72" i="24"/>
  <c r="AC72" i="24"/>
  <c r="AB72" i="24"/>
  <c r="AA72" i="24"/>
  <c r="Z72" i="24"/>
  <c r="X72" i="24"/>
  <c r="W72" i="24"/>
  <c r="V72" i="24"/>
  <c r="U72" i="24"/>
  <c r="T72" i="24"/>
  <c r="S72" i="24"/>
  <c r="R72" i="24"/>
  <c r="Q72" i="24"/>
  <c r="O72" i="24"/>
  <c r="N72" i="24"/>
  <c r="P72" i="24" s="1"/>
  <c r="L72" i="24"/>
  <c r="K72" i="24"/>
  <c r="M72" i="24" s="1"/>
  <c r="I72" i="24"/>
  <c r="H72" i="24"/>
  <c r="J72" i="24" s="1"/>
  <c r="E72" i="24"/>
  <c r="D72" i="24"/>
  <c r="G72" i="24" s="1"/>
  <c r="C72" i="24"/>
  <c r="F72" i="24" s="1"/>
  <c r="BK71" i="24"/>
  <c r="BJ71" i="24"/>
  <c r="BI71" i="24"/>
  <c r="BH71" i="24"/>
  <c r="BG71" i="24"/>
  <c r="BF71" i="24"/>
  <c r="BD71" i="24"/>
  <c r="BC71" i="24"/>
  <c r="BE71" i="24" s="1"/>
  <c r="BB71" i="24"/>
  <c r="BA71" i="24"/>
  <c r="AZ71" i="24"/>
  <c r="AY71" i="24"/>
  <c r="AX71" i="24"/>
  <c r="AW71" i="24"/>
  <c r="AV71" i="24"/>
  <c r="AU71" i="24"/>
  <c r="AT71" i="24"/>
  <c r="AS71" i="24"/>
  <c r="AQ71" i="24"/>
  <c r="AO71" i="24"/>
  <c r="AN71" i="24"/>
  <c r="AR71" i="24" s="1"/>
  <c r="AM71" i="24"/>
  <c r="AK71" i="24"/>
  <c r="AJ71" i="24"/>
  <c r="AI71" i="24"/>
  <c r="AH71" i="24"/>
  <c r="AL71" i="24" s="1"/>
  <c r="AG71" i="24"/>
  <c r="AF71" i="24"/>
  <c r="AE71" i="24"/>
  <c r="AD71" i="24"/>
  <c r="AC71" i="24"/>
  <c r="AB71" i="24"/>
  <c r="AA71" i="24"/>
  <c r="Z71" i="24"/>
  <c r="X71" i="24"/>
  <c r="W71" i="24"/>
  <c r="Y71" i="24" s="1"/>
  <c r="V71" i="24"/>
  <c r="U71" i="24"/>
  <c r="T71" i="24"/>
  <c r="S71" i="24"/>
  <c r="R71" i="24"/>
  <c r="Q71" i="24"/>
  <c r="O71" i="24"/>
  <c r="N71" i="24"/>
  <c r="P71" i="24" s="1"/>
  <c r="L71" i="24"/>
  <c r="K71" i="24"/>
  <c r="I71" i="24"/>
  <c r="H71" i="24"/>
  <c r="J71" i="24" s="1"/>
  <c r="E71" i="24"/>
  <c r="D71" i="24"/>
  <c r="C71" i="24"/>
  <c r="BK70" i="24"/>
  <c r="BJ70" i="24"/>
  <c r="BI70" i="24"/>
  <c r="BH70" i="24"/>
  <c r="BG70" i="24"/>
  <c r="BF70" i="24"/>
  <c r="BD70" i="24"/>
  <c r="BC70" i="24"/>
  <c r="BE70" i="24" s="1"/>
  <c r="BB70" i="24"/>
  <c r="BA70" i="24"/>
  <c r="AZ70" i="24"/>
  <c r="AY70" i="24"/>
  <c r="AX70" i="24"/>
  <c r="AW70" i="24"/>
  <c r="AV70" i="24"/>
  <c r="AU70" i="24"/>
  <c r="AT70" i="24"/>
  <c r="AS70" i="24"/>
  <c r="AQ70" i="24"/>
  <c r="AO70" i="24"/>
  <c r="AN70" i="24"/>
  <c r="AM70" i="24"/>
  <c r="AK70" i="24"/>
  <c r="AJ70" i="24"/>
  <c r="AI70" i="24"/>
  <c r="AH70" i="24"/>
  <c r="AL70" i="24" s="1"/>
  <c r="AG70" i="24"/>
  <c r="AF70" i="24"/>
  <c r="AE70" i="24"/>
  <c r="AD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O70" i="24"/>
  <c r="N70" i="24"/>
  <c r="P70" i="24" s="1"/>
  <c r="L70" i="24"/>
  <c r="K70" i="24"/>
  <c r="M70" i="24" s="1"/>
  <c r="I70" i="24"/>
  <c r="H70" i="24"/>
  <c r="J70" i="24" s="1"/>
  <c r="E70" i="24"/>
  <c r="D70" i="24"/>
  <c r="C70" i="24"/>
  <c r="BK69" i="24"/>
  <c r="BJ69" i="24"/>
  <c r="BI69" i="24"/>
  <c r="BH69" i="24"/>
  <c r="BG69" i="24"/>
  <c r="BF69" i="24"/>
  <c r="BD69" i="24"/>
  <c r="BC69" i="24"/>
  <c r="BE69" i="24" s="1"/>
  <c r="BB69" i="24"/>
  <c r="BA69" i="24"/>
  <c r="AZ69" i="24"/>
  <c r="AY69" i="24"/>
  <c r="AX69" i="24"/>
  <c r="AW69" i="24"/>
  <c r="AV69" i="24"/>
  <c r="AU69" i="24"/>
  <c r="AT69" i="24"/>
  <c r="AS69" i="24"/>
  <c r="AQ69" i="24"/>
  <c r="AO69" i="24"/>
  <c r="AN69" i="24"/>
  <c r="AR69" i="24" s="1"/>
  <c r="AM69" i="24"/>
  <c r="AP69" i="24" s="1"/>
  <c r="AK69" i="24"/>
  <c r="AJ69" i="24"/>
  <c r="AI69" i="24"/>
  <c r="AH69" i="24"/>
  <c r="AL69" i="24" s="1"/>
  <c r="AG69" i="24"/>
  <c r="AF69" i="24"/>
  <c r="AE69" i="24"/>
  <c r="AD69" i="24"/>
  <c r="AC69" i="24"/>
  <c r="AB69" i="24"/>
  <c r="AA69" i="24"/>
  <c r="Z69" i="24"/>
  <c r="X69" i="24"/>
  <c r="W69" i="24"/>
  <c r="Y69" i="24" s="1"/>
  <c r="V69" i="24"/>
  <c r="U69" i="24"/>
  <c r="T69" i="24"/>
  <c r="S69" i="24"/>
  <c r="R69" i="24"/>
  <c r="Q69" i="24"/>
  <c r="O69" i="24"/>
  <c r="N69" i="24"/>
  <c r="P69" i="24" s="1"/>
  <c r="L69" i="24"/>
  <c r="K69" i="24"/>
  <c r="M69" i="24" s="1"/>
  <c r="I69" i="24"/>
  <c r="H69" i="24"/>
  <c r="J69" i="24" s="1"/>
  <c r="E69" i="24"/>
  <c r="D69" i="24"/>
  <c r="G69" i="24" s="1"/>
  <c r="C69" i="24"/>
  <c r="F69" i="24" s="1"/>
  <c r="BK68" i="24"/>
  <c r="BJ68" i="24"/>
  <c r="BI68" i="24"/>
  <c r="BH68" i="24"/>
  <c r="BG68" i="24"/>
  <c r="BF68" i="24"/>
  <c r="BD68" i="24"/>
  <c r="BC68" i="24"/>
  <c r="BB68" i="24"/>
  <c r="BA68" i="24"/>
  <c r="AZ68" i="24"/>
  <c r="AY68" i="24"/>
  <c r="AX68" i="24"/>
  <c r="AW68" i="24"/>
  <c r="AV68" i="24"/>
  <c r="AU68" i="24"/>
  <c r="AT68" i="24"/>
  <c r="AS68" i="24"/>
  <c r="AQ68" i="24"/>
  <c r="AO68" i="24"/>
  <c r="AN68" i="24"/>
  <c r="AM68" i="24"/>
  <c r="AK68" i="24"/>
  <c r="AJ68" i="24"/>
  <c r="AI68" i="24"/>
  <c r="AH68" i="24"/>
  <c r="AG68" i="24"/>
  <c r="AF68" i="24"/>
  <c r="AE68" i="24"/>
  <c r="AD68" i="24"/>
  <c r="AC68" i="24"/>
  <c r="AB68" i="24"/>
  <c r="AA68" i="24"/>
  <c r="Z68" i="24"/>
  <c r="X68" i="24"/>
  <c r="W68" i="24"/>
  <c r="Y68" i="24" s="1"/>
  <c r="V68" i="24"/>
  <c r="U68" i="24"/>
  <c r="T68" i="24"/>
  <c r="S68" i="24"/>
  <c r="R68" i="24"/>
  <c r="Q68" i="24"/>
  <c r="O68" i="24"/>
  <c r="N68" i="24"/>
  <c r="L68" i="24"/>
  <c r="K68" i="24"/>
  <c r="M68" i="24" s="1"/>
  <c r="I68" i="24"/>
  <c r="H68" i="24"/>
  <c r="J68" i="24" s="1"/>
  <c r="E68" i="24"/>
  <c r="D68" i="24"/>
  <c r="C68" i="24"/>
  <c r="BK67" i="24"/>
  <c r="BJ67" i="24"/>
  <c r="BI67" i="24"/>
  <c r="BH67" i="24"/>
  <c r="BG67" i="24"/>
  <c r="BF67" i="24"/>
  <c r="BD67" i="24"/>
  <c r="BC67" i="24"/>
  <c r="BE67" i="24" s="1"/>
  <c r="BB67" i="24"/>
  <c r="BA67" i="24"/>
  <c r="AZ67" i="24"/>
  <c r="AY67" i="24"/>
  <c r="AX67" i="24"/>
  <c r="AW67" i="24"/>
  <c r="AV67" i="24"/>
  <c r="AU67" i="24"/>
  <c r="AT67" i="24"/>
  <c r="AS67" i="24"/>
  <c r="AQ67" i="24"/>
  <c r="AO67" i="24"/>
  <c r="AN67" i="24"/>
  <c r="AR67" i="24" s="1"/>
  <c r="AM67" i="24"/>
  <c r="AP67" i="24" s="1"/>
  <c r="AK67" i="24"/>
  <c r="AJ67" i="24"/>
  <c r="AI67" i="24"/>
  <c r="AH67" i="24"/>
  <c r="AG67" i="24"/>
  <c r="AF67" i="24"/>
  <c r="AE67" i="24"/>
  <c r="AD67" i="24"/>
  <c r="AC67" i="24"/>
  <c r="AB67" i="24"/>
  <c r="AA67" i="24"/>
  <c r="Z67" i="24"/>
  <c r="X67" i="24"/>
  <c r="W67" i="24"/>
  <c r="Y67" i="24" s="1"/>
  <c r="V67" i="24"/>
  <c r="U67" i="24"/>
  <c r="T67" i="24"/>
  <c r="S67" i="24"/>
  <c r="R67" i="24"/>
  <c r="Q67" i="24"/>
  <c r="O67" i="24"/>
  <c r="N67" i="24"/>
  <c r="P67" i="24" s="1"/>
  <c r="L67" i="24"/>
  <c r="K67" i="24"/>
  <c r="M67" i="24" s="1"/>
  <c r="I67" i="24"/>
  <c r="H67" i="24"/>
  <c r="E67" i="24"/>
  <c r="D67" i="24"/>
  <c r="G67" i="24" s="1"/>
  <c r="C67" i="24"/>
  <c r="F67" i="24" s="1"/>
  <c r="BK66" i="24"/>
  <c r="BJ66" i="24"/>
  <c r="BI66" i="24"/>
  <c r="BH66" i="24"/>
  <c r="BG66" i="24"/>
  <c r="BF66" i="24"/>
  <c r="BD66" i="24"/>
  <c r="BC66" i="24"/>
  <c r="BE66" i="24" s="1"/>
  <c r="BB66" i="24"/>
  <c r="BA66" i="24"/>
  <c r="AZ66" i="24"/>
  <c r="AY66" i="24"/>
  <c r="AX66" i="24"/>
  <c r="AW66" i="24"/>
  <c r="AV66" i="24"/>
  <c r="AU66" i="24"/>
  <c r="AT66" i="24"/>
  <c r="AS66" i="24"/>
  <c r="AQ66" i="24"/>
  <c r="AO66" i="24"/>
  <c r="AN66" i="24"/>
  <c r="AR66" i="24" s="1"/>
  <c r="AM66" i="24"/>
  <c r="AP66" i="24" s="1"/>
  <c r="AL66" i="24"/>
  <c r="AK66" i="24"/>
  <c r="AJ66" i="24"/>
  <c r="AI66" i="24"/>
  <c r="AH66" i="24"/>
  <c r="AG66" i="24"/>
  <c r="AF66" i="24"/>
  <c r="AE66" i="24"/>
  <c r="AD66" i="24"/>
  <c r="AC66" i="24"/>
  <c r="AB66" i="24"/>
  <c r="AA66" i="24"/>
  <c r="Z66" i="24"/>
  <c r="X66" i="24"/>
  <c r="W66" i="24"/>
  <c r="Y66" i="24" s="1"/>
  <c r="V66" i="24"/>
  <c r="U66" i="24"/>
  <c r="T66" i="24"/>
  <c r="S66" i="24"/>
  <c r="R66" i="24"/>
  <c r="Q66" i="24"/>
  <c r="O66" i="24"/>
  <c r="N66" i="24"/>
  <c r="P66" i="24" s="1"/>
  <c r="L66" i="24"/>
  <c r="K66" i="24"/>
  <c r="M66" i="24" s="1"/>
  <c r="I66" i="24"/>
  <c r="H66" i="24"/>
  <c r="J66" i="24" s="1"/>
  <c r="E66" i="24"/>
  <c r="D66" i="24"/>
  <c r="G66" i="24" s="1"/>
  <c r="C66" i="24"/>
  <c r="F66" i="24" s="1"/>
  <c r="BK65" i="24"/>
  <c r="BJ65" i="24"/>
  <c r="BI65" i="24"/>
  <c r="BH65" i="24"/>
  <c r="BG65" i="24"/>
  <c r="BF65" i="24"/>
  <c r="BD65" i="24"/>
  <c r="BC65" i="24"/>
  <c r="BE65" i="24" s="1"/>
  <c r="BB65" i="24"/>
  <c r="BA65" i="24"/>
  <c r="AZ65" i="24"/>
  <c r="AY65" i="24"/>
  <c r="AX65" i="24"/>
  <c r="AW65" i="24"/>
  <c r="AV65" i="24"/>
  <c r="AU65" i="24"/>
  <c r="AT65" i="24"/>
  <c r="AS65" i="24"/>
  <c r="AQ65" i="24"/>
  <c r="AO65" i="24"/>
  <c r="AN65" i="24"/>
  <c r="AM65" i="24"/>
  <c r="AK65" i="24"/>
  <c r="AJ65" i="24"/>
  <c r="AI65" i="24"/>
  <c r="AH65" i="24"/>
  <c r="AL65" i="24" s="1"/>
  <c r="AG65" i="24"/>
  <c r="AF65" i="24"/>
  <c r="AE65" i="24"/>
  <c r="AD65" i="24"/>
  <c r="AC65" i="24"/>
  <c r="AB65" i="24"/>
  <c r="AA65" i="24"/>
  <c r="Z65" i="24"/>
  <c r="X65" i="24"/>
  <c r="W65" i="24"/>
  <c r="Y65" i="24" s="1"/>
  <c r="V65" i="24"/>
  <c r="U65" i="24"/>
  <c r="T65" i="24"/>
  <c r="S65" i="24"/>
  <c r="R65" i="24"/>
  <c r="Q65" i="24"/>
  <c r="O65" i="24"/>
  <c r="N65" i="24"/>
  <c r="L65" i="24"/>
  <c r="K65" i="24"/>
  <c r="M65" i="24" s="1"/>
  <c r="I65" i="24"/>
  <c r="H65" i="24"/>
  <c r="J65" i="24" s="1"/>
  <c r="E65" i="24"/>
  <c r="D65" i="24"/>
  <c r="C65" i="24"/>
  <c r="BK64" i="24"/>
  <c r="BJ64" i="24"/>
  <c r="BI64" i="24"/>
  <c r="BH64" i="24"/>
  <c r="BG64" i="24"/>
  <c r="BF64" i="24"/>
  <c r="BD64" i="24"/>
  <c r="BC64" i="24"/>
  <c r="BE64" i="24" s="1"/>
  <c r="BB64" i="24"/>
  <c r="BA64" i="24"/>
  <c r="AZ64" i="24"/>
  <c r="AY64" i="24"/>
  <c r="AX64" i="24"/>
  <c r="AW64" i="24"/>
  <c r="AV64" i="24"/>
  <c r="AU64" i="24"/>
  <c r="AT64" i="24"/>
  <c r="AS64" i="24"/>
  <c r="AQ64" i="24"/>
  <c r="AO64" i="24"/>
  <c r="AN64" i="24"/>
  <c r="AM64" i="24"/>
  <c r="AK64" i="24"/>
  <c r="AJ64" i="24"/>
  <c r="AI64" i="24"/>
  <c r="AH64" i="24"/>
  <c r="AG64" i="24"/>
  <c r="AF64" i="24"/>
  <c r="AE64" i="24"/>
  <c r="AD64" i="24"/>
  <c r="AC64" i="24"/>
  <c r="AB64" i="24"/>
  <c r="AA64" i="24"/>
  <c r="Z64" i="24"/>
  <c r="X64" i="24"/>
  <c r="W64" i="24"/>
  <c r="V64" i="24"/>
  <c r="U64" i="24"/>
  <c r="T64" i="24"/>
  <c r="S64" i="24"/>
  <c r="R64" i="24"/>
  <c r="Q64" i="24"/>
  <c r="O64" i="24"/>
  <c r="N64" i="24"/>
  <c r="P64" i="24" s="1"/>
  <c r="L64" i="24"/>
  <c r="K64" i="24"/>
  <c r="I64" i="24"/>
  <c r="H64" i="24"/>
  <c r="J64" i="24" s="1"/>
  <c r="E64" i="24"/>
  <c r="D64" i="24"/>
  <c r="C64" i="24"/>
  <c r="BK63" i="24"/>
  <c r="BJ63" i="24"/>
  <c r="BI63" i="24"/>
  <c r="BH63" i="24"/>
  <c r="BG63" i="24"/>
  <c r="BF63" i="24"/>
  <c r="BD63" i="24"/>
  <c r="BC63" i="24"/>
  <c r="BE63" i="24" s="1"/>
  <c r="BB63" i="24"/>
  <c r="BA63" i="24"/>
  <c r="AZ63" i="24"/>
  <c r="AY63" i="24"/>
  <c r="AX63" i="24"/>
  <c r="AW63" i="24"/>
  <c r="AV63" i="24"/>
  <c r="AU63" i="24"/>
  <c r="AT63" i="24"/>
  <c r="AS63" i="24"/>
  <c r="AQ63" i="24"/>
  <c r="AO63" i="24"/>
  <c r="AN63" i="24"/>
  <c r="AM63" i="24"/>
  <c r="AK63" i="24"/>
  <c r="AJ63" i="24"/>
  <c r="AI63" i="24"/>
  <c r="AH63" i="24"/>
  <c r="AG63" i="24"/>
  <c r="AF63" i="24"/>
  <c r="AE63" i="24"/>
  <c r="AD63" i="24"/>
  <c r="AC63" i="24"/>
  <c r="AB63" i="24"/>
  <c r="AA63" i="24"/>
  <c r="Z63" i="24"/>
  <c r="X63" i="24"/>
  <c r="W63" i="24"/>
  <c r="V63" i="24"/>
  <c r="U63" i="24"/>
  <c r="T63" i="24"/>
  <c r="S63" i="24"/>
  <c r="R63" i="24"/>
  <c r="Q63" i="24"/>
  <c r="O63" i="24"/>
  <c r="N63" i="24"/>
  <c r="P63" i="24" s="1"/>
  <c r="L63" i="24"/>
  <c r="K63" i="24"/>
  <c r="M63" i="24" s="1"/>
  <c r="I63" i="24"/>
  <c r="H63" i="24"/>
  <c r="J63" i="24" s="1"/>
  <c r="E63" i="24"/>
  <c r="D63" i="24"/>
  <c r="C63" i="24"/>
  <c r="BK62" i="24"/>
  <c r="BJ62" i="24"/>
  <c r="BI62" i="24"/>
  <c r="BH62" i="24"/>
  <c r="BG62" i="24"/>
  <c r="BF62" i="24"/>
  <c r="BD62" i="24"/>
  <c r="BC62" i="24"/>
  <c r="BE62" i="24" s="1"/>
  <c r="BB62" i="24"/>
  <c r="BA62" i="24"/>
  <c r="AZ62" i="24"/>
  <c r="AY62" i="24"/>
  <c r="AX62" i="24"/>
  <c r="AW62" i="24"/>
  <c r="AV62" i="24"/>
  <c r="AU62" i="24"/>
  <c r="AT62" i="24"/>
  <c r="AS62" i="24"/>
  <c r="AQ62" i="24"/>
  <c r="AO62" i="24"/>
  <c r="AN62" i="24"/>
  <c r="AR62" i="24" s="1"/>
  <c r="AM62" i="24"/>
  <c r="AP62" i="24" s="1"/>
  <c r="AK62" i="24"/>
  <c r="AJ62" i="24"/>
  <c r="AI62" i="24"/>
  <c r="AH62" i="24"/>
  <c r="AL62" i="24" s="1"/>
  <c r="AG62" i="24"/>
  <c r="AF62" i="24"/>
  <c r="AE62" i="24"/>
  <c r="AD62" i="24"/>
  <c r="AC62" i="24"/>
  <c r="AB62" i="24"/>
  <c r="AA62" i="24"/>
  <c r="Z62" i="24"/>
  <c r="X62" i="24"/>
  <c r="W62" i="24"/>
  <c r="Y62" i="24" s="1"/>
  <c r="V62" i="24"/>
  <c r="U62" i="24"/>
  <c r="T62" i="24"/>
  <c r="S62" i="24"/>
  <c r="R62" i="24"/>
  <c r="Q62" i="24"/>
  <c r="O62" i="24"/>
  <c r="N62" i="24"/>
  <c r="P62" i="24" s="1"/>
  <c r="L62" i="24"/>
  <c r="K62" i="24"/>
  <c r="M62" i="24" s="1"/>
  <c r="I62" i="24"/>
  <c r="H62" i="24"/>
  <c r="J62" i="24" s="1"/>
  <c r="E62" i="24"/>
  <c r="D62" i="24"/>
  <c r="G62" i="24" s="1"/>
  <c r="C62" i="24"/>
  <c r="F62" i="24" s="1"/>
  <c r="BK61" i="24"/>
  <c r="BJ61" i="24"/>
  <c r="BI61" i="24"/>
  <c r="BH61" i="24"/>
  <c r="BG61" i="24"/>
  <c r="BF61" i="24"/>
  <c r="BD61" i="24"/>
  <c r="BC61" i="24"/>
  <c r="BB61" i="24"/>
  <c r="BA61" i="24"/>
  <c r="AZ61" i="24"/>
  <c r="AY61" i="24"/>
  <c r="AX61" i="24"/>
  <c r="AW61" i="24"/>
  <c r="AV61" i="24"/>
  <c r="AU61" i="24"/>
  <c r="AT61" i="24"/>
  <c r="AS61" i="24"/>
  <c r="AQ61" i="24"/>
  <c r="AO61" i="24"/>
  <c r="AN61" i="24"/>
  <c r="AM61" i="24"/>
  <c r="AK61" i="24"/>
  <c r="AJ61" i="24"/>
  <c r="AI61" i="24"/>
  <c r="AH61" i="24"/>
  <c r="AL61" i="24" s="1"/>
  <c r="AG61" i="24"/>
  <c r="AF61" i="24"/>
  <c r="AE61" i="24"/>
  <c r="AD61" i="24"/>
  <c r="AC61" i="24"/>
  <c r="AB61" i="24"/>
  <c r="AA61" i="24"/>
  <c r="Z61" i="24"/>
  <c r="X61" i="24"/>
  <c r="W61" i="24"/>
  <c r="V61" i="24"/>
  <c r="U61" i="24"/>
  <c r="T61" i="24"/>
  <c r="S61" i="24"/>
  <c r="R61" i="24"/>
  <c r="Q61" i="24"/>
  <c r="O61" i="24"/>
  <c r="N61" i="24"/>
  <c r="L61" i="24"/>
  <c r="K61" i="24"/>
  <c r="M61" i="24" s="1"/>
  <c r="I61" i="24"/>
  <c r="H61" i="24"/>
  <c r="J61" i="24" s="1"/>
  <c r="E61" i="24"/>
  <c r="D61" i="24"/>
  <c r="C61" i="24"/>
  <c r="BK60" i="24"/>
  <c r="BJ60" i="24"/>
  <c r="BI60" i="24"/>
  <c r="BH60" i="24"/>
  <c r="BG60" i="24"/>
  <c r="BF60" i="24"/>
  <c r="BD60" i="24"/>
  <c r="BC60" i="24"/>
  <c r="BE60" i="24" s="1"/>
  <c r="BB60" i="24"/>
  <c r="BA60" i="24"/>
  <c r="AZ60" i="24"/>
  <c r="AY60" i="24"/>
  <c r="AX60" i="24"/>
  <c r="AW60" i="24"/>
  <c r="AV60" i="24"/>
  <c r="AU60" i="24"/>
  <c r="AT60" i="24"/>
  <c r="AS60" i="24"/>
  <c r="AQ60" i="24"/>
  <c r="AR60" i="24" s="1"/>
  <c r="AO60" i="24"/>
  <c r="AN60" i="24"/>
  <c r="AM60" i="24"/>
  <c r="AK60" i="24"/>
  <c r="AJ60" i="24"/>
  <c r="AI60" i="24"/>
  <c r="AH60" i="24"/>
  <c r="AG60" i="24"/>
  <c r="AF60" i="24"/>
  <c r="AE60" i="24"/>
  <c r="AD60" i="24"/>
  <c r="AC60" i="24"/>
  <c r="AB60" i="24"/>
  <c r="AA60" i="24"/>
  <c r="Z60" i="24"/>
  <c r="X60" i="24"/>
  <c r="Y60" i="24" s="1"/>
  <c r="W60" i="24"/>
  <c r="V60" i="24"/>
  <c r="U60" i="24"/>
  <c r="T60" i="24"/>
  <c r="S60" i="24"/>
  <c r="R60" i="24"/>
  <c r="Q60" i="24"/>
  <c r="O60" i="24"/>
  <c r="N60" i="24"/>
  <c r="L60" i="24"/>
  <c r="K60" i="24"/>
  <c r="M60" i="24" s="1"/>
  <c r="I60" i="24"/>
  <c r="H60" i="24"/>
  <c r="J60" i="24" s="1"/>
  <c r="E60" i="24"/>
  <c r="D60" i="24"/>
  <c r="C60" i="24"/>
  <c r="BK59" i="24"/>
  <c r="BJ59" i="24"/>
  <c r="BI59" i="24"/>
  <c r="BH59" i="24"/>
  <c r="BG59" i="24"/>
  <c r="BF59" i="24"/>
  <c r="BD59" i="24"/>
  <c r="BC59" i="24"/>
  <c r="BE59" i="24" s="1"/>
  <c r="BB59" i="24"/>
  <c r="BA59" i="24"/>
  <c r="AZ59" i="24"/>
  <c r="AY59" i="24"/>
  <c r="AX59" i="24"/>
  <c r="AW59" i="24"/>
  <c r="AV59" i="24"/>
  <c r="AU59" i="24"/>
  <c r="AT59" i="24"/>
  <c r="AS59" i="24"/>
  <c r="AQ59" i="24"/>
  <c r="AO59" i="24"/>
  <c r="AN59" i="24"/>
  <c r="AM59" i="24"/>
  <c r="AK59" i="24"/>
  <c r="AJ59" i="24"/>
  <c r="AI59" i="24"/>
  <c r="AH59" i="24"/>
  <c r="AG59" i="24"/>
  <c r="AF59" i="24"/>
  <c r="AE59" i="24"/>
  <c r="AD59" i="24"/>
  <c r="AC59" i="24"/>
  <c r="AB59" i="24"/>
  <c r="AA59" i="24"/>
  <c r="Z59" i="24"/>
  <c r="X59" i="24"/>
  <c r="W59" i="24"/>
  <c r="V59" i="24"/>
  <c r="U59" i="24"/>
  <c r="T59" i="24"/>
  <c r="S59" i="24"/>
  <c r="R59" i="24"/>
  <c r="Q59" i="24"/>
  <c r="O59" i="24"/>
  <c r="N59" i="24"/>
  <c r="P59" i="24" s="1"/>
  <c r="L59" i="24"/>
  <c r="K59" i="24"/>
  <c r="I59" i="24"/>
  <c r="H59" i="24"/>
  <c r="J59" i="24" s="1"/>
  <c r="E59" i="24"/>
  <c r="D59" i="24"/>
  <c r="G59" i="24" s="1"/>
  <c r="C59" i="24"/>
  <c r="BK58" i="24"/>
  <c r="BJ58" i="24"/>
  <c r="BI58" i="24"/>
  <c r="BH58" i="24"/>
  <c r="BG58" i="24"/>
  <c r="BF58" i="24"/>
  <c r="BD58" i="24"/>
  <c r="BC58" i="24"/>
  <c r="BE58" i="24" s="1"/>
  <c r="BB58" i="24"/>
  <c r="BA58" i="24"/>
  <c r="AZ58" i="24"/>
  <c r="AY58" i="24"/>
  <c r="AX58" i="24"/>
  <c r="AW58" i="24"/>
  <c r="AV58" i="24"/>
  <c r="AU58" i="24"/>
  <c r="AT58" i="24"/>
  <c r="AS58" i="24"/>
  <c r="AQ58" i="24"/>
  <c r="AO58" i="24"/>
  <c r="AN58" i="24"/>
  <c r="AR58" i="24" s="1"/>
  <c r="AM58" i="24"/>
  <c r="AP58" i="24" s="1"/>
  <c r="AK58" i="24"/>
  <c r="AJ58" i="24"/>
  <c r="AI58" i="24"/>
  <c r="AH58" i="24"/>
  <c r="AL58" i="24" s="1"/>
  <c r="AG58" i="24"/>
  <c r="AF58" i="24"/>
  <c r="AE58" i="24"/>
  <c r="AD58" i="24"/>
  <c r="AC58" i="24"/>
  <c r="AB58" i="24"/>
  <c r="AA58" i="24"/>
  <c r="Z58" i="24"/>
  <c r="X58" i="24"/>
  <c r="W58" i="24"/>
  <c r="Y58" i="24" s="1"/>
  <c r="V58" i="24"/>
  <c r="U58" i="24"/>
  <c r="T58" i="24"/>
  <c r="S58" i="24"/>
  <c r="R58" i="24"/>
  <c r="Q58" i="24"/>
  <c r="P58" i="24"/>
  <c r="O58" i="24"/>
  <c r="N58" i="24"/>
  <c r="L58" i="24"/>
  <c r="K58" i="24"/>
  <c r="M58" i="24" s="1"/>
  <c r="I58" i="24"/>
  <c r="H58" i="24"/>
  <c r="J58" i="24" s="1"/>
  <c r="E58" i="24"/>
  <c r="D58" i="24"/>
  <c r="G58" i="24" s="1"/>
  <c r="C58" i="24"/>
  <c r="F58" i="24" s="1"/>
  <c r="BK57" i="24"/>
  <c r="BJ57" i="24"/>
  <c r="BI57" i="24"/>
  <c r="BH57" i="24"/>
  <c r="BG57" i="24"/>
  <c r="BF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Q57" i="24"/>
  <c r="AO57" i="24"/>
  <c r="AN57" i="24"/>
  <c r="AM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O57" i="24"/>
  <c r="N57" i="24"/>
  <c r="L57" i="24"/>
  <c r="K57" i="24"/>
  <c r="M57" i="24" s="1"/>
  <c r="I57" i="24"/>
  <c r="H57" i="24"/>
  <c r="J57" i="24" s="1"/>
  <c r="E57" i="24"/>
  <c r="D57" i="24"/>
  <c r="G57" i="24" s="1"/>
  <c r="C57" i="24"/>
  <c r="BK56" i="24"/>
  <c r="BJ56" i="24"/>
  <c r="BI56" i="24"/>
  <c r="BH56" i="24"/>
  <c r="BG56" i="24"/>
  <c r="BF56" i="24"/>
  <c r="BD56" i="24"/>
  <c r="BC56" i="24"/>
  <c r="BE56" i="24" s="1"/>
  <c r="BB56" i="24"/>
  <c r="BA56" i="24"/>
  <c r="AZ56" i="24"/>
  <c r="AY56" i="24"/>
  <c r="AX56" i="24"/>
  <c r="AW56" i="24"/>
  <c r="AV56" i="24"/>
  <c r="AU56" i="24"/>
  <c r="AT56" i="24"/>
  <c r="AS56" i="24"/>
  <c r="AQ56" i="24"/>
  <c r="AO56" i="24"/>
  <c r="AN56" i="24"/>
  <c r="AR56" i="24" s="1"/>
  <c r="AM56" i="24"/>
  <c r="AP56" i="24" s="1"/>
  <c r="AK56" i="24"/>
  <c r="AJ56" i="24"/>
  <c r="AI56" i="24"/>
  <c r="AH56" i="24"/>
  <c r="AL56" i="24" s="1"/>
  <c r="AG56" i="24"/>
  <c r="AF56" i="24"/>
  <c r="AE56" i="24"/>
  <c r="AD56" i="24"/>
  <c r="AC56" i="24"/>
  <c r="AB56" i="24"/>
  <c r="AA56" i="24"/>
  <c r="Z56" i="24"/>
  <c r="X56" i="24"/>
  <c r="W56" i="24"/>
  <c r="Y56" i="24" s="1"/>
  <c r="V56" i="24"/>
  <c r="U56" i="24"/>
  <c r="T56" i="24"/>
  <c r="S56" i="24"/>
  <c r="R56" i="24"/>
  <c r="Q56" i="24"/>
  <c r="O56" i="24"/>
  <c r="N56" i="24"/>
  <c r="P56" i="24" s="1"/>
  <c r="L56" i="24"/>
  <c r="K56" i="24"/>
  <c r="M56" i="24" s="1"/>
  <c r="I56" i="24"/>
  <c r="H56" i="24"/>
  <c r="J56" i="24" s="1"/>
  <c r="G56" i="24"/>
  <c r="E56" i="24"/>
  <c r="D56" i="24"/>
  <c r="C56" i="24"/>
  <c r="F56" i="24" s="1"/>
  <c r="BK55" i="24"/>
  <c r="BJ55" i="24"/>
  <c r="BI55" i="24"/>
  <c r="BH55" i="24"/>
  <c r="BG55" i="24"/>
  <c r="BF55" i="24"/>
  <c r="BD55" i="24"/>
  <c r="BC55" i="24"/>
  <c r="BB55" i="24"/>
  <c r="BA55" i="24"/>
  <c r="AZ55" i="24"/>
  <c r="AY55" i="24"/>
  <c r="AX55" i="24"/>
  <c r="AW55" i="24"/>
  <c r="AV55" i="24"/>
  <c r="AU55" i="24"/>
  <c r="AT55" i="24"/>
  <c r="AS55" i="24"/>
  <c r="AQ55" i="24"/>
  <c r="AO55" i="24"/>
  <c r="AN55" i="24"/>
  <c r="AM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X55" i="24"/>
  <c r="W55" i="24"/>
  <c r="V55" i="24"/>
  <c r="U55" i="24"/>
  <c r="T55" i="24"/>
  <c r="S55" i="24"/>
  <c r="R55" i="24"/>
  <c r="Q55" i="24"/>
  <c r="O55" i="24"/>
  <c r="N55" i="24"/>
  <c r="L55" i="24"/>
  <c r="K55" i="24"/>
  <c r="I55" i="24"/>
  <c r="H55" i="24"/>
  <c r="J55" i="24" s="1"/>
  <c r="E55" i="24"/>
  <c r="D55" i="24"/>
  <c r="C55" i="24"/>
  <c r="BK54" i="24"/>
  <c r="BJ54" i="24"/>
  <c r="BI54" i="24"/>
  <c r="BH54" i="24"/>
  <c r="BG54" i="24"/>
  <c r="BF54" i="24"/>
  <c r="BD54" i="24"/>
  <c r="BC54" i="24"/>
  <c r="BE54" i="24" s="1"/>
  <c r="BB54" i="24"/>
  <c r="BA54" i="24"/>
  <c r="AZ54" i="24"/>
  <c r="AY54" i="24"/>
  <c r="AX54" i="24"/>
  <c r="AW54" i="24"/>
  <c r="AV54" i="24"/>
  <c r="AU54" i="24"/>
  <c r="AT54" i="24"/>
  <c r="AS54" i="24"/>
  <c r="AQ54" i="24"/>
  <c r="AO54" i="24"/>
  <c r="AN54" i="24"/>
  <c r="AM54" i="24"/>
  <c r="AK54" i="24"/>
  <c r="AJ54" i="24"/>
  <c r="AI54" i="24"/>
  <c r="AH54" i="24"/>
  <c r="AG54" i="24"/>
  <c r="AF54" i="24"/>
  <c r="AE54" i="24"/>
  <c r="AD54" i="24"/>
  <c r="AC54" i="24"/>
  <c r="AB54" i="24"/>
  <c r="AA54" i="24"/>
  <c r="Z54" i="24"/>
  <c r="X54" i="24"/>
  <c r="W54" i="24"/>
  <c r="V54" i="24"/>
  <c r="U54" i="24"/>
  <c r="T54" i="24"/>
  <c r="S54" i="24"/>
  <c r="R54" i="24"/>
  <c r="Q54" i="24"/>
  <c r="P54" i="24"/>
  <c r="O54" i="24"/>
  <c r="N54" i="24"/>
  <c r="L54" i="24"/>
  <c r="K54" i="24"/>
  <c r="I54" i="24"/>
  <c r="H54" i="24"/>
  <c r="E54" i="24"/>
  <c r="D54" i="24"/>
  <c r="C54" i="24"/>
  <c r="BK53" i="24"/>
  <c r="BJ53" i="24"/>
  <c r="BI53" i="24"/>
  <c r="BH53" i="24"/>
  <c r="BG53" i="24"/>
  <c r="BF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Q53" i="24"/>
  <c r="AO53" i="24"/>
  <c r="AN53" i="24"/>
  <c r="AM53" i="24"/>
  <c r="AK53" i="24"/>
  <c r="AJ53" i="24"/>
  <c r="AI53" i="24"/>
  <c r="AH53" i="24"/>
  <c r="AL53" i="24" s="1"/>
  <c r="AG53" i="24"/>
  <c r="AF53" i="24"/>
  <c r="AE53" i="24"/>
  <c r="AD53" i="24"/>
  <c r="AC53" i="24"/>
  <c r="AB53" i="24"/>
  <c r="AA53" i="24"/>
  <c r="Z53" i="24"/>
  <c r="X53" i="24"/>
  <c r="W53" i="24"/>
  <c r="V53" i="24"/>
  <c r="U53" i="24"/>
  <c r="T53" i="24"/>
  <c r="S53" i="24"/>
  <c r="R53" i="24"/>
  <c r="Q53" i="24"/>
  <c r="O53" i="24"/>
  <c r="N53" i="24"/>
  <c r="P53" i="24" s="1"/>
  <c r="L53" i="24"/>
  <c r="K53" i="24"/>
  <c r="I53" i="24"/>
  <c r="H53" i="24"/>
  <c r="J53" i="24" s="1"/>
  <c r="E53" i="24"/>
  <c r="D53" i="24"/>
  <c r="C53" i="24"/>
  <c r="BK51" i="24"/>
  <c r="BJ51" i="24"/>
  <c r="BI51" i="24"/>
  <c r="BH51" i="24"/>
  <c r="BG51" i="24"/>
  <c r="BF51" i="24"/>
  <c r="BD51" i="24"/>
  <c r="BC51" i="24"/>
  <c r="BE51" i="24" s="1"/>
  <c r="BB51" i="24"/>
  <c r="BA51" i="24"/>
  <c r="AZ51" i="24"/>
  <c r="AY51" i="24"/>
  <c r="AX51" i="24"/>
  <c r="AW51" i="24"/>
  <c r="AV51" i="24"/>
  <c r="AU51" i="24"/>
  <c r="AT51" i="24"/>
  <c r="AS51" i="24"/>
  <c r="AQ51" i="24"/>
  <c r="AO51" i="24"/>
  <c r="AN51" i="24"/>
  <c r="AR51" i="24" s="1"/>
  <c r="AM51" i="24"/>
  <c r="AP51" i="24" s="1"/>
  <c r="AK51" i="24"/>
  <c r="AJ51" i="24"/>
  <c r="AI51" i="24"/>
  <c r="AH51" i="24"/>
  <c r="AL51" i="24" s="1"/>
  <c r="AG51" i="24"/>
  <c r="AF51" i="24"/>
  <c r="AE51" i="24"/>
  <c r="AD51" i="24"/>
  <c r="AC51" i="24"/>
  <c r="AB51" i="24"/>
  <c r="AA51" i="24"/>
  <c r="Z51" i="24"/>
  <c r="X51" i="24"/>
  <c r="W51" i="24"/>
  <c r="Y51" i="24" s="1"/>
  <c r="V51" i="24"/>
  <c r="U51" i="24"/>
  <c r="T51" i="24"/>
  <c r="S51" i="24"/>
  <c r="R51" i="24"/>
  <c r="Q51" i="24"/>
  <c r="O51" i="24"/>
  <c r="N51" i="24"/>
  <c r="P51" i="24" s="1"/>
  <c r="L51" i="24"/>
  <c r="K51" i="24"/>
  <c r="I51" i="24"/>
  <c r="H51" i="24"/>
  <c r="E51" i="24"/>
  <c r="D51" i="24"/>
  <c r="C51" i="24"/>
  <c r="BK50" i="24"/>
  <c r="BJ50" i="24"/>
  <c r="BI50" i="24"/>
  <c r="BH50" i="24"/>
  <c r="BG50" i="24"/>
  <c r="BF50" i="24"/>
  <c r="BD50" i="24"/>
  <c r="BC50" i="24"/>
  <c r="BB50" i="24"/>
  <c r="BA50" i="24"/>
  <c r="AZ50" i="24"/>
  <c r="AY50" i="24"/>
  <c r="AX50" i="24"/>
  <c r="AW50" i="24"/>
  <c r="AV50" i="24"/>
  <c r="AU50" i="24"/>
  <c r="AT50" i="24"/>
  <c r="AS50" i="24"/>
  <c r="AQ50" i="24"/>
  <c r="AO50" i="24"/>
  <c r="AN50" i="24"/>
  <c r="AR50" i="24" s="1"/>
  <c r="AM50" i="24"/>
  <c r="AP50" i="24" s="1"/>
  <c r="AK50" i="24"/>
  <c r="AJ50" i="24"/>
  <c r="AI50" i="24"/>
  <c r="AH50" i="24"/>
  <c r="AL50" i="24" s="1"/>
  <c r="AG50" i="24"/>
  <c r="AF50" i="24"/>
  <c r="AE50" i="24"/>
  <c r="AD50" i="24"/>
  <c r="AC50" i="24"/>
  <c r="AB50" i="24"/>
  <c r="AA50" i="24"/>
  <c r="Z50" i="24"/>
  <c r="X50" i="24"/>
  <c r="W50" i="24"/>
  <c r="Y50" i="24" s="1"/>
  <c r="V50" i="24"/>
  <c r="U50" i="24"/>
  <c r="T50" i="24"/>
  <c r="S50" i="24"/>
  <c r="R50" i="24"/>
  <c r="Q50" i="24"/>
  <c r="O50" i="24"/>
  <c r="N50" i="24"/>
  <c r="P50" i="24" s="1"/>
  <c r="L50" i="24"/>
  <c r="K50" i="24"/>
  <c r="I50" i="24"/>
  <c r="H50" i="24"/>
  <c r="E50" i="24"/>
  <c r="G50" i="24" s="1"/>
  <c r="D50" i="24"/>
  <c r="C50" i="24"/>
  <c r="BK49" i="24"/>
  <c r="BJ49" i="24"/>
  <c r="BI49" i="24"/>
  <c r="BH49" i="24"/>
  <c r="BG49" i="24"/>
  <c r="BF49" i="24"/>
  <c r="BD49" i="24"/>
  <c r="BC49" i="24"/>
  <c r="BE49" i="24" s="1"/>
  <c r="BB49" i="24"/>
  <c r="BA49" i="24"/>
  <c r="AZ49" i="24"/>
  <c r="AY49" i="24"/>
  <c r="AX49" i="24"/>
  <c r="AW49" i="24"/>
  <c r="AV49" i="24"/>
  <c r="AU49" i="24"/>
  <c r="AT49" i="24"/>
  <c r="AS49" i="24"/>
  <c r="AQ49" i="24"/>
  <c r="AO49" i="24"/>
  <c r="AN49" i="24"/>
  <c r="AR49" i="24" s="1"/>
  <c r="AM49" i="24"/>
  <c r="AP49" i="24" s="1"/>
  <c r="AK49" i="24"/>
  <c r="AJ49" i="24"/>
  <c r="AI49" i="24"/>
  <c r="AH49" i="24"/>
  <c r="AL49" i="24" s="1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O49" i="24"/>
  <c r="N49" i="24"/>
  <c r="P49" i="24" s="1"/>
  <c r="L49" i="24"/>
  <c r="K49" i="24"/>
  <c r="M49" i="24" s="1"/>
  <c r="I49" i="24"/>
  <c r="H49" i="24"/>
  <c r="J49" i="24" s="1"/>
  <c r="E49" i="24"/>
  <c r="D49" i="24"/>
  <c r="G49" i="24" s="1"/>
  <c r="C49" i="24"/>
  <c r="F49" i="24" s="1"/>
  <c r="BK48" i="24"/>
  <c r="BJ48" i="24"/>
  <c r="BI48" i="24"/>
  <c r="BH48" i="24"/>
  <c r="BG48" i="24"/>
  <c r="BF48" i="24"/>
  <c r="BD48" i="24"/>
  <c r="BC48" i="24"/>
  <c r="BE48" i="24" s="1"/>
  <c r="BB48" i="24"/>
  <c r="BA48" i="24"/>
  <c r="AZ48" i="24"/>
  <c r="AY48" i="24"/>
  <c r="AX48" i="24"/>
  <c r="AW48" i="24"/>
  <c r="AV48" i="24"/>
  <c r="AU48" i="24"/>
  <c r="AT48" i="24"/>
  <c r="AS48" i="24"/>
  <c r="AQ48" i="24"/>
  <c r="AO48" i="24"/>
  <c r="AN48" i="24"/>
  <c r="AR48" i="24" s="1"/>
  <c r="AM48" i="24"/>
  <c r="AP48" i="24" s="1"/>
  <c r="AK48" i="24"/>
  <c r="AJ48" i="24"/>
  <c r="AI48" i="24"/>
  <c r="AH48" i="24"/>
  <c r="AL48" i="24" s="1"/>
  <c r="AG48" i="24"/>
  <c r="AF48" i="24"/>
  <c r="AE48" i="24"/>
  <c r="AD48" i="24"/>
  <c r="AC48" i="24"/>
  <c r="AB48" i="24"/>
  <c r="AA48" i="24"/>
  <c r="Z48" i="24"/>
  <c r="X48" i="24"/>
  <c r="W48" i="24"/>
  <c r="Y48" i="24" s="1"/>
  <c r="V48" i="24"/>
  <c r="U48" i="24"/>
  <c r="T48" i="24"/>
  <c r="S48" i="24"/>
  <c r="R48" i="24"/>
  <c r="Q48" i="24"/>
  <c r="O48" i="24"/>
  <c r="N48" i="24"/>
  <c r="P48" i="24" s="1"/>
  <c r="L48" i="24"/>
  <c r="K48" i="24"/>
  <c r="M48" i="24" s="1"/>
  <c r="I48" i="24"/>
  <c r="H48" i="24"/>
  <c r="J48" i="24" s="1"/>
  <c r="E48" i="24"/>
  <c r="D48" i="24"/>
  <c r="G48" i="24" s="1"/>
  <c r="C48" i="24"/>
  <c r="F48" i="24" s="1"/>
  <c r="BK47" i="24"/>
  <c r="BJ47" i="24"/>
  <c r="BI47" i="24"/>
  <c r="BH47" i="24"/>
  <c r="BG47" i="24"/>
  <c r="BF47" i="24"/>
  <c r="BD47" i="24"/>
  <c r="BC47" i="24"/>
  <c r="BE47" i="24" s="1"/>
  <c r="BB47" i="24"/>
  <c r="BA47" i="24"/>
  <c r="AZ47" i="24"/>
  <c r="AY47" i="24"/>
  <c r="AX47" i="24"/>
  <c r="AW47" i="24"/>
  <c r="AV47" i="24"/>
  <c r="AU47" i="24"/>
  <c r="AT47" i="24"/>
  <c r="AS47" i="24"/>
  <c r="AQ47" i="24"/>
  <c r="AO47" i="24"/>
  <c r="AN47" i="24"/>
  <c r="AM47" i="24"/>
  <c r="AK47" i="24"/>
  <c r="AJ47" i="24"/>
  <c r="AI47" i="24"/>
  <c r="AH47" i="24"/>
  <c r="AG47" i="24"/>
  <c r="AF47" i="24"/>
  <c r="AE47" i="24"/>
  <c r="AD47" i="24"/>
  <c r="AC47" i="24"/>
  <c r="AB47" i="24"/>
  <c r="AA47" i="24"/>
  <c r="Z47" i="24"/>
  <c r="X47" i="24"/>
  <c r="W47" i="24"/>
  <c r="V47" i="24"/>
  <c r="U47" i="24"/>
  <c r="T47" i="24"/>
  <c r="S47" i="24"/>
  <c r="R47" i="24"/>
  <c r="Q47" i="24"/>
  <c r="O47" i="24"/>
  <c r="N47" i="24"/>
  <c r="L47" i="24"/>
  <c r="K47" i="24"/>
  <c r="M47" i="24" s="1"/>
  <c r="I47" i="24"/>
  <c r="H47" i="24"/>
  <c r="J47" i="24" s="1"/>
  <c r="E47" i="24"/>
  <c r="F47" i="24" s="1"/>
  <c r="D47" i="24"/>
  <c r="C47" i="24"/>
  <c r="BK46" i="24"/>
  <c r="BJ46" i="24"/>
  <c r="BI46" i="24"/>
  <c r="BH46" i="24"/>
  <c r="BG46" i="24"/>
  <c r="BF46" i="24"/>
  <c r="BD46" i="24"/>
  <c r="BC46" i="24"/>
  <c r="BE46" i="24" s="1"/>
  <c r="BB46" i="24"/>
  <c r="BA46" i="24"/>
  <c r="AZ46" i="24"/>
  <c r="AY46" i="24"/>
  <c r="AX46" i="24"/>
  <c r="AW46" i="24"/>
  <c r="AV46" i="24"/>
  <c r="AU46" i="24"/>
  <c r="AT46" i="24"/>
  <c r="AS46" i="24"/>
  <c r="AQ46" i="24"/>
  <c r="AO46" i="24"/>
  <c r="AN46" i="24"/>
  <c r="AR46" i="24" s="1"/>
  <c r="AM46" i="24"/>
  <c r="AP46" i="24" s="1"/>
  <c r="AK46" i="24"/>
  <c r="AJ46" i="24"/>
  <c r="AI46" i="24"/>
  <c r="AH46" i="24"/>
  <c r="AG46" i="24"/>
  <c r="AF46" i="24"/>
  <c r="AE46" i="24"/>
  <c r="AD46" i="24"/>
  <c r="AC46" i="24"/>
  <c r="AB46" i="24"/>
  <c r="AA46" i="24"/>
  <c r="Z46" i="24"/>
  <c r="X46" i="24"/>
  <c r="W46" i="24"/>
  <c r="Y46" i="24" s="1"/>
  <c r="V46" i="24"/>
  <c r="U46" i="24"/>
  <c r="T46" i="24"/>
  <c r="S46" i="24"/>
  <c r="R46" i="24"/>
  <c r="Q46" i="24"/>
  <c r="O46" i="24"/>
  <c r="N46" i="24"/>
  <c r="P46" i="24" s="1"/>
  <c r="M46" i="24"/>
  <c r="L46" i="24"/>
  <c r="K46" i="24"/>
  <c r="I46" i="24"/>
  <c r="H46" i="24"/>
  <c r="J46" i="24" s="1"/>
  <c r="E46" i="24"/>
  <c r="D46" i="24"/>
  <c r="G46" i="24" s="1"/>
  <c r="C46" i="24"/>
  <c r="BK45" i="24"/>
  <c r="BJ45" i="24"/>
  <c r="BI45" i="24"/>
  <c r="BH45" i="24"/>
  <c r="BG45" i="24"/>
  <c r="BF45" i="24"/>
  <c r="BD45" i="24"/>
  <c r="BC45" i="24"/>
  <c r="BE45" i="24" s="1"/>
  <c r="BB45" i="24"/>
  <c r="BA45" i="24"/>
  <c r="AZ45" i="24"/>
  <c r="AY45" i="24"/>
  <c r="AX45" i="24"/>
  <c r="AW45" i="24"/>
  <c r="AV45" i="24"/>
  <c r="AU45" i="24"/>
  <c r="AT45" i="24"/>
  <c r="AS45" i="24"/>
  <c r="AQ45" i="24"/>
  <c r="AO45" i="24"/>
  <c r="AN45" i="24"/>
  <c r="AR45" i="24" s="1"/>
  <c r="AM45" i="24"/>
  <c r="AP45" i="24" s="1"/>
  <c r="AK45" i="24"/>
  <c r="AJ45" i="24"/>
  <c r="AI45" i="24"/>
  <c r="AH45" i="24"/>
  <c r="AL45" i="24" s="1"/>
  <c r="AG45" i="24"/>
  <c r="AF45" i="24"/>
  <c r="AE45" i="24"/>
  <c r="AD45" i="24"/>
  <c r="AC45" i="24"/>
  <c r="AB45" i="24"/>
  <c r="AA45" i="24"/>
  <c r="Z45" i="24"/>
  <c r="Y45" i="24"/>
  <c r="X45" i="24"/>
  <c r="W45" i="24"/>
  <c r="V45" i="24"/>
  <c r="U45" i="24"/>
  <c r="T45" i="24"/>
  <c r="S45" i="24"/>
  <c r="R45" i="24"/>
  <c r="Q45" i="24"/>
  <c r="O45" i="24"/>
  <c r="N45" i="24"/>
  <c r="P45" i="24" s="1"/>
  <c r="L45" i="24"/>
  <c r="K45" i="24"/>
  <c r="M45" i="24" s="1"/>
  <c r="I45" i="24"/>
  <c r="H45" i="24"/>
  <c r="J45" i="24" s="1"/>
  <c r="G45" i="24"/>
  <c r="E45" i="24"/>
  <c r="D45" i="24"/>
  <c r="C45" i="24"/>
  <c r="F45" i="24" s="1"/>
  <c r="BK44" i="24"/>
  <c r="BJ44" i="24"/>
  <c r="BI44" i="24"/>
  <c r="BH44" i="24"/>
  <c r="BG44" i="24"/>
  <c r="BF44" i="24"/>
  <c r="BD44" i="24"/>
  <c r="BC44" i="24"/>
  <c r="BE44" i="24" s="1"/>
  <c r="BB44" i="24"/>
  <c r="BA44" i="24"/>
  <c r="AZ44" i="24"/>
  <c r="AY44" i="24"/>
  <c r="AX44" i="24"/>
  <c r="AW44" i="24"/>
  <c r="AV44" i="24"/>
  <c r="AU44" i="24"/>
  <c r="AT44" i="24"/>
  <c r="AS44" i="24"/>
  <c r="AR44" i="24"/>
  <c r="AQ44" i="24"/>
  <c r="AO44" i="24"/>
  <c r="AN44" i="24"/>
  <c r="AM44" i="24"/>
  <c r="AP44" i="24" s="1"/>
  <c r="AK44" i="24"/>
  <c r="AJ44" i="24"/>
  <c r="AI44" i="24"/>
  <c r="AH44" i="24"/>
  <c r="AL44" i="24" s="1"/>
  <c r="AG44" i="24"/>
  <c r="AF44" i="24"/>
  <c r="AE44" i="24"/>
  <c r="AD44" i="24"/>
  <c r="AC44" i="24"/>
  <c r="AB44" i="24"/>
  <c r="AA44" i="24"/>
  <c r="Z44" i="24"/>
  <c r="X44" i="24"/>
  <c r="W44" i="24"/>
  <c r="Y44" i="24" s="1"/>
  <c r="V44" i="24"/>
  <c r="U44" i="24"/>
  <c r="T44" i="24"/>
  <c r="S44" i="24"/>
  <c r="R44" i="24"/>
  <c r="Q44" i="24"/>
  <c r="O44" i="24"/>
  <c r="N44" i="24"/>
  <c r="P44" i="24" s="1"/>
  <c r="L44" i="24"/>
  <c r="K44" i="24"/>
  <c r="M44" i="24" s="1"/>
  <c r="I44" i="24"/>
  <c r="H44" i="24"/>
  <c r="J44" i="24" s="1"/>
  <c r="E44" i="24"/>
  <c r="D44" i="24"/>
  <c r="G44" i="24" s="1"/>
  <c r="C44" i="24"/>
  <c r="F44" i="24" s="1"/>
  <c r="BK43" i="24"/>
  <c r="BJ43" i="24"/>
  <c r="BI43" i="24"/>
  <c r="BH43" i="24"/>
  <c r="BG43" i="24"/>
  <c r="BF43" i="24"/>
  <c r="BE43" i="24"/>
  <c r="BD43" i="24"/>
  <c r="BC43" i="24"/>
  <c r="BB43" i="24"/>
  <c r="BA43" i="24"/>
  <c r="AZ43" i="24"/>
  <c r="AY43" i="24"/>
  <c r="AX43" i="24"/>
  <c r="AW43" i="24"/>
  <c r="AV43" i="24"/>
  <c r="AU43" i="24"/>
  <c r="AT43" i="24"/>
  <c r="AS43" i="24"/>
  <c r="AQ43" i="24"/>
  <c r="AO43" i="24"/>
  <c r="AN43" i="24"/>
  <c r="AM43" i="24"/>
  <c r="AK43" i="24"/>
  <c r="AJ43" i="24"/>
  <c r="AI43" i="24"/>
  <c r="AH43" i="24"/>
  <c r="AL43" i="24" s="1"/>
  <c r="AG43" i="24"/>
  <c r="AF43" i="24"/>
  <c r="AE43" i="24"/>
  <c r="AD43" i="24"/>
  <c r="AC43" i="24"/>
  <c r="AB43" i="24"/>
  <c r="AA43" i="24"/>
  <c r="Z43" i="24"/>
  <c r="X43" i="24"/>
  <c r="W43" i="24"/>
  <c r="V43" i="24"/>
  <c r="U43" i="24"/>
  <c r="T43" i="24"/>
  <c r="S43" i="24"/>
  <c r="R43" i="24"/>
  <c r="Q43" i="24"/>
  <c r="O43" i="24"/>
  <c r="N43" i="24"/>
  <c r="P43" i="24" s="1"/>
  <c r="L43" i="24"/>
  <c r="K43" i="24"/>
  <c r="M43" i="24" s="1"/>
  <c r="I43" i="24"/>
  <c r="H43" i="24"/>
  <c r="J43" i="24" s="1"/>
  <c r="E43" i="24"/>
  <c r="D43" i="24"/>
  <c r="C43" i="24"/>
  <c r="F43" i="24" s="1"/>
  <c r="BK42" i="24"/>
  <c r="BJ42" i="24"/>
  <c r="BI42" i="24"/>
  <c r="BH42" i="24"/>
  <c r="BG42" i="24"/>
  <c r="BF42" i="24"/>
  <c r="BD42" i="24"/>
  <c r="BC42" i="24"/>
  <c r="BE42" i="24" s="1"/>
  <c r="BB42" i="24"/>
  <c r="BA42" i="24"/>
  <c r="AZ42" i="24"/>
  <c r="AY42" i="24"/>
  <c r="AX42" i="24"/>
  <c r="AW42" i="24"/>
  <c r="AV42" i="24"/>
  <c r="AU42" i="24"/>
  <c r="AT42" i="24"/>
  <c r="AS42" i="24"/>
  <c r="AQ42" i="24"/>
  <c r="AO42" i="24"/>
  <c r="AN42" i="24"/>
  <c r="AM42" i="24"/>
  <c r="AK42" i="24"/>
  <c r="AJ42" i="24"/>
  <c r="AI42" i="24"/>
  <c r="AH42" i="24"/>
  <c r="AG42" i="24"/>
  <c r="AF42" i="24"/>
  <c r="AE42" i="24"/>
  <c r="AD42" i="24"/>
  <c r="AC42" i="24"/>
  <c r="AB42" i="24"/>
  <c r="AA42" i="24"/>
  <c r="Z42" i="24"/>
  <c r="X42" i="24"/>
  <c r="W42" i="24"/>
  <c r="Y42" i="24" s="1"/>
  <c r="V42" i="24"/>
  <c r="U42" i="24"/>
  <c r="T42" i="24"/>
  <c r="S42" i="24"/>
  <c r="R42" i="24"/>
  <c r="Q42" i="24"/>
  <c r="O42" i="24"/>
  <c r="N42" i="24"/>
  <c r="P42" i="24" s="1"/>
  <c r="L42" i="24"/>
  <c r="K42" i="24"/>
  <c r="M42" i="24" s="1"/>
  <c r="J42" i="24"/>
  <c r="I42" i="24"/>
  <c r="H42" i="24"/>
  <c r="E42" i="24"/>
  <c r="D42" i="24"/>
  <c r="C42" i="24"/>
  <c r="BK41" i="24"/>
  <c r="BJ41" i="24"/>
  <c r="BI41" i="24"/>
  <c r="BH41" i="24"/>
  <c r="BG41" i="24"/>
  <c r="BF41" i="24"/>
  <c r="BE41" i="24"/>
  <c r="BD41" i="24"/>
  <c r="BC41" i="24"/>
  <c r="BB41" i="24"/>
  <c r="BA41" i="24"/>
  <c r="AZ41" i="24"/>
  <c r="AY41" i="24"/>
  <c r="AX41" i="24"/>
  <c r="AW41" i="24"/>
  <c r="AV41" i="24"/>
  <c r="AU41" i="24"/>
  <c r="AT41" i="24"/>
  <c r="AS41" i="24"/>
  <c r="AQ41" i="24"/>
  <c r="AO41" i="24"/>
  <c r="AN41" i="24"/>
  <c r="AR41" i="24" s="1"/>
  <c r="AM41" i="24"/>
  <c r="AP41" i="24" s="1"/>
  <c r="AK41" i="24"/>
  <c r="AJ41" i="24"/>
  <c r="AI41" i="24"/>
  <c r="AH41" i="24"/>
  <c r="AL41" i="24" s="1"/>
  <c r="AG41" i="24"/>
  <c r="AF41" i="24"/>
  <c r="AE41" i="24"/>
  <c r="AD41" i="24"/>
  <c r="AC41" i="24"/>
  <c r="AB41" i="24"/>
  <c r="AA41" i="24"/>
  <c r="Z41" i="24"/>
  <c r="X41" i="24"/>
  <c r="W41" i="24"/>
  <c r="Y41" i="24" s="1"/>
  <c r="V41" i="24"/>
  <c r="U41" i="24"/>
  <c r="T41" i="24"/>
  <c r="S41" i="24"/>
  <c r="R41" i="24"/>
  <c r="Q41" i="24"/>
  <c r="O41" i="24"/>
  <c r="N41" i="24"/>
  <c r="P41" i="24" s="1"/>
  <c r="L41" i="24"/>
  <c r="K41" i="24"/>
  <c r="M41" i="24" s="1"/>
  <c r="I41" i="24"/>
  <c r="H41" i="24"/>
  <c r="J41" i="24" s="1"/>
  <c r="E41" i="24"/>
  <c r="D41" i="24"/>
  <c r="G41" i="24" s="1"/>
  <c r="C41" i="24"/>
  <c r="F41" i="24" s="1"/>
  <c r="BK40" i="24"/>
  <c r="BJ40" i="24"/>
  <c r="BI40" i="24"/>
  <c r="BH40" i="24"/>
  <c r="BG40" i="24"/>
  <c r="BF40" i="24"/>
  <c r="BD40" i="24"/>
  <c r="BC40" i="24"/>
  <c r="BE40" i="24" s="1"/>
  <c r="BB40" i="24"/>
  <c r="BA40" i="24"/>
  <c r="AZ40" i="24"/>
  <c r="AY40" i="24"/>
  <c r="AX40" i="24"/>
  <c r="AW40" i="24"/>
  <c r="AV40" i="24"/>
  <c r="AU40" i="24"/>
  <c r="AT40" i="24"/>
  <c r="AS40" i="24"/>
  <c r="AQ40" i="24"/>
  <c r="AO40" i="24"/>
  <c r="AN40" i="24"/>
  <c r="AR40" i="24" s="1"/>
  <c r="AM40" i="24"/>
  <c r="AP40" i="24" s="1"/>
  <c r="AK40" i="24"/>
  <c r="AJ40" i="24"/>
  <c r="AI40" i="24"/>
  <c r="AH40" i="24"/>
  <c r="AL40" i="24" s="1"/>
  <c r="AG40" i="24"/>
  <c r="AF40" i="24"/>
  <c r="AE40" i="24"/>
  <c r="AD40" i="24"/>
  <c r="AC40" i="24"/>
  <c r="AB40" i="24"/>
  <c r="AA40" i="24"/>
  <c r="Z40" i="24"/>
  <c r="X40" i="24"/>
  <c r="W40" i="24"/>
  <c r="Y40" i="24" s="1"/>
  <c r="V40" i="24"/>
  <c r="U40" i="24"/>
  <c r="T40" i="24"/>
  <c r="S40" i="24"/>
  <c r="R40" i="24"/>
  <c r="Q40" i="24"/>
  <c r="O40" i="24"/>
  <c r="N40" i="24"/>
  <c r="P40" i="24" s="1"/>
  <c r="L40" i="24"/>
  <c r="K40" i="24"/>
  <c r="M40" i="24" s="1"/>
  <c r="I40" i="24"/>
  <c r="H40" i="24"/>
  <c r="J40" i="24" s="1"/>
  <c r="F40" i="24"/>
  <c r="E40" i="24"/>
  <c r="D40" i="24"/>
  <c r="G40" i="24" s="1"/>
  <c r="C40" i="24"/>
  <c r="BK39" i="24"/>
  <c r="BJ39" i="24"/>
  <c r="BI39" i="24"/>
  <c r="BH39" i="24"/>
  <c r="BG39" i="24"/>
  <c r="BF39" i="24"/>
  <c r="BD39" i="24"/>
  <c r="BC39" i="24"/>
  <c r="BE39" i="24" s="1"/>
  <c r="BB39" i="24"/>
  <c r="BA39" i="24"/>
  <c r="AZ39" i="24"/>
  <c r="AY39" i="24"/>
  <c r="AX39" i="24"/>
  <c r="AW39" i="24"/>
  <c r="AV39" i="24"/>
  <c r="AU39" i="24"/>
  <c r="AT39" i="24"/>
  <c r="AS39" i="24"/>
  <c r="AQ39" i="24"/>
  <c r="AP39" i="24"/>
  <c r="AO39" i="24"/>
  <c r="AN39" i="24"/>
  <c r="AR39" i="24" s="1"/>
  <c r="AM39" i="24"/>
  <c r="AK39" i="24"/>
  <c r="AJ39" i="24"/>
  <c r="AI39" i="24"/>
  <c r="AH39" i="24"/>
  <c r="AL39" i="24" s="1"/>
  <c r="AG39" i="24"/>
  <c r="AF39" i="24"/>
  <c r="AE39" i="24"/>
  <c r="AD39" i="24"/>
  <c r="AC39" i="24"/>
  <c r="AB39" i="24"/>
  <c r="AA39" i="24"/>
  <c r="Z39" i="24"/>
  <c r="X39" i="24"/>
  <c r="W39" i="24"/>
  <c r="Y39" i="24" s="1"/>
  <c r="V39" i="24"/>
  <c r="U39" i="24"/>
  <c r="T39" i="24"/>
  <c r="S39" i="24"/>
  <c r="R39" i="24"/>
  <c r="Q39" i="24"/>
  <c r="O39" i="24"/>
  <c r="N39" i="24"/>
  <c r="P39" i="24" s="1"/>
  <c r="L39" i="24"/>
  <c r="K39" i="24"/>
  <c r="M39" i="24" s="1"/>
  <c r="I39" i="24"/>
  <c r="H39" i="24"/>
  <c r="J39" i="24" s="1"/>
  <c r="E39" i="24"/>
  <c r="D39" i="24"/>
  <c r="G39" i="24" s="1"/>
  <c r="C39" i="24"/>
  <c r="F39" i="24" s="1"/>
  <c r="BK38" i="24"/>
  <c r="BJ38" i="24"/>
  <c r="BI38" i="24"/>
  <c r="BH38" i="24"/>
  <c r="BG38" i="24"/>
  <c r="BF38" i="24"/>
  <c r="BD38" i="24"/>
  <c r="BC38" i="24"/>
  <c r="BB38" i="24"/>
  <c r="BA38" i="24"/>
  <c r="AZ38" i="24"/>
  <c r="AY38" i="24"/>
  <c r="AX38" i="24"/>
  <c r="AW38" i="24"/>
  <c r="AV38" i="24"/>
  <c r="AU38" i="24"/>
  <c r="AT38" i="24"/>
  <c r="AS38" i="24"/>
  <c r="AQ38" i="24"/>
  <c r="AO38" i="24"/>
  <c r="AN38" i="24"/>
  <c r="AM38" i="24"/>
  <c r="AK38" i="24"/>
  <c r="AJ38" i="24"/>
  <c r="AI38" i="24"/>
  <c r="AH38" i="24"/>
  <c r="AL38" i="24" s="1"/>
  <c r="AG38" i="24"/>
  <c r="AF38" i="24"/>
  <c r="AE38" i="24"/>
  <c r="AD38" i="24"/>
  <c r="AC38" i="24"/>
  <c r="AB38" i="24"/>
  <c r="AA38" i="24"/>
  <c r="Z38" i="24"/>
  <c r="X38" i="24"/>
  <c r="W38" i="24"/>
  <c r="V38" i="24"/>
  <c r="U38" i="24"/>
  <c r="T38" i="24"/>
  <c r="S38" i="24"/>
  <c r="R38" i="24"/>
  <c r="Q38" i="24"/>
  <c r="O38" i="24"/>
  <c r="N38" i="24"/>
  <c r="L38" i="24"/>
  <c r="K38" i="24"/>
  <c r="M38" i="24" s="1"/>
  <c r="I38" i="24"/>
  <c r="H38" i="24"/>
  <c r="J38" i="24" s="1"/>
  <c r="E38" i="24"/>
  <c r="D38" i="24"/>
  <c r="C38" i="24"/>
  <c r="BK37" i="24"/>
  <c r="BJ37" i="24"/>
  <c r="BI37" i="24"/>
  <c r="BH37" i="24"/>
  <c r="BG37" i="24"/>
  <c r="BF37" i="24"/>
  <c r="BD37" i="24"/>
  <c r="BC37" i="24"/>
  <c r="BE37" i="24" s="1"/>
  <c r="BB37" i="24"/>
  <c r="BA37" i="24"/>
  <c r="AZ37" i="24"/>
  <c r="AY37" i="24"/>
  <c r="AX37" i="24"/>
  <c r="AW37" i="24"/>
  <c r="AV37" i="24"/>
  <c r="AU37" i="24"/>
  <c r="AT37" i="24"/>
  <c r="AS37" i="24"/>
  <c r="AQ37" i="24"/>
  <c r="AO37" i="24"/>
  <c r="AN37" i="24"/>
  <c r="AR37" i="24" s="1"/>
  <c r="AM37" i="24"/>
  <c r="AP37" i="24" s="1"/>
  <c r="AK37" i="24"/>
  <c r="AJ37" i="24"/>
  <c r="AI37" i="24"/>
  <c r="AH37" i="24"/>
  <c r="AL37" i="24" s="1"/>
  <c r="AG37" i="24"/>
  <c r="AF37" i="24"/>
  <c r="AE37" i="24"/>
  <c r="AD37" i="24"/>
  <c r="AC37" i="24"/>
  <c r="AB37" i="24"/>
  <c r="AA37" i="24"/>
  <c r="Z37" i="24"/>
  <c r="X37" i="24"/>
  <c r="W37" i="24"/>
  <c r="Y37" i="24" s="1"/>
  <c r="V37" i="24"/>
  <c r="U37" i="24"/>
  <c r="T37" i="24"/>
  <c r="S37" i="24"/>
  <c r="R37" i="24"/>
  <c r="Q37" i="24"/>
  <c r="O37" i="24"/>
  <c r="N37" i="24"/>
  <c r="P37" i="24" s="1"/>
  <c r="L37" i="24"/>
  <c r="K37" i="24"/>
  <c r="M37" i="24" s="1"/>
  <c r="I37" i="24"/>
  <c r="H37" i="24"/>
  <c r="J37" i="24" s="1"/>
  <c r="E37" i="24"/>
  <c r="D37" i="24"/>
  <c r="G37" i="24" s="1"/>
  <c r="C37" i="24"/>
  <c r="F37" i="24" s="1"/>
  <c r="BK36" i="24"/>
  <c r="BJ36" i="24"/>
  <c r="BI36" i="24"/>
  <c r="BH36" i="24"/>
  <c r="BG36" i="24"/>
  <c r="BF36" i="24"/>
  <c r="BD36" i="24"/>
  <c r="BC36" i="24"/>
  <c r="BE36" i="24" s="1"/>
  <c r="BB36" i="24"/>
  <c r="BA36" i="24"/>
  <c r="AZ36" i="24"/>
  <c r="AY36" i="24"/>
  <c r="AX36" i="24"/>
  <c r="AW36" i="24"/>
  <c r="AV36" i="24"/>
  <c r="AU36" i="24"/>
  <c r="AT36" i="24"/>
  <c r="AS36" i="24"/>
  <c r="AQ36" i="24"/>
  <c r="AO36" i="24"/>
  <c r="AN36" i="24"/>
  <c r="AR36" i="24" s="1"/>
  <c r="AM36" i="24"/>
  <c r="AP36" i="24" s="1"/>
  <c r="AK36" i="24"/>
  <c r="AJ36" i="24"/>
  <c r="AI36" i="24"/>
  <c r="AH36" i="24"/>
  <c r="AL36" i="24" s="1"/>
  <c r="AG36" i="24"/>
  <c r="AF36" i="24"/>
  <c r="AE36" i="24"/>
  <c r="AD36" i="24"/>
  <c r="AC36" i="24"/>
  <c r="AB36" i="24"/>
  <c r="AA36" i="24"/>
  <c r="Z36" i="24"/>
  <c r="X36" i="24"/>
  <c r="W36" i="24"/>
  <c r="Y36" i="24" s="1"/>
  <c r="V36" i="24"/>
  <c r="U36" i="24"/>
  <c r="T36" i="24"/>
  <c r="S36" i="24"/>
  <c r="R36" i="24"/>
  <c r="Q36" i="24"/>
  <c r="O36" i="24"/>
  <c r="N36" i="24"/>
  <c r="P36" i="24" s="1"/>
  <c r="L36" i="24"/>
  <c r="K36" i="24"/>
  <c r="M36" i="24" s="1"/>
  <c r="I36" i="24"/>
  <c r="H36" i="24"/>
  <c r="J36" i="24" s="1"/>
  <c r="E36" i="24"/>
  <c r="D36" i="24"/>
  <c r="G36" i="24" s="1"/>
  <c r="C36" i="24"/>
  <c r="F36" i="24" s="1"/>
  <c r="BK35" i="24"/>
  <c r="BJ35" i="24"/>
  <c r="BI35" i="24"/>
  <c r="BH35" i="24"/>
  <c r="BG35" i="24"/>
  <c r="BF35" i="24"/>
  <c r="BD35" i="24"/>
  <c r="BC35" i="24"/>
  <c r="BE35" i="24" s="1"/>
  <c r="BB35" i="24"/>
  <c r="BA35" i="24"/>
  <c r="AZ35" i="24"/>
  <c r="AY35" i="24"/>
  <c r="AX35" i="24"/>
  <c r="AW35" i="24"/>
  <c r="AV35" i="24"/>
  <c r="AU35" i="24"/>
  <c r="AT35" i="24"/>
  <c r="AS35" i="24"/>
  <c r="AQ35" i="24"/>
  <c r="AO35" i="24"/>
  <c r="AN35" i="24"/>
  <c r="AR35" i="24" s="1"/>
  <c r="AM35" i="24"/>
  <c r="AP35" i="24" s="1"/>
  <c r="AK35" i="24"/>
  <c r="AJ35" i="24"/>
  <c r="AI35" i="24"/>
  <c r="AH35" i="24"/>
  <c r="AL35" i="24" s="1"/>
  <c r="AG35" i="24"/>
  <c r="AF35" i="24"/>
  <c r="AE35" i="24"/>
  <c r="AD35" i="24"/>
  <c r="AC35" i="24"/>
  <c r="AB35" i="24"/>
  <c r="AA35" i="24"/>
  <c r="Z35" i="24"/>
  <c r="X35" i="24"/>
  <c r="W35" i="24"/>
  <c r="Y35" i="24" s="1"/>
  <c r="V35" i="24"/>
  <c r="U35" i="24"/>
  <c r="T35" i="24"/>
  <c r="S35" i="24"/>
  <c r="R35" i="24"/>
  <c r="Q35" i="24"/>
  <c r="O35" i="24"/>
  <c r="N35" i="24"/>
  <c r="P35" i="24" s="1"/>
  <c r="L35" i="24"/>
  <c r="K35" i="24"/>
  <c r="I35" i="24"/>
  <c r="H35" i="24"/>
  <c r="J35" i="24" s="1"/>
  <c r="E35" i="24"/>
  <c r="D35" i="24"/>
  <c r="G35" i="24" s="1"/>
  <c r="C35" i="24"/>
  <c r="BK34" i="24"/>
  <c r="BJ34" i="24"/>
  <c r="BI34" i="24"/>
  <c r="BH34" i="24"/>
  <c r="BG34" i="24"/>
  <c r="BF34" i="24"/>
  <c r="BD34" i="24"/>
  <c r="BC34" i="24"/>
  <c r="BE34" i="24" s="1"/>
  <c r="BB34" i="24"/>
  <c r="BA34" i="24"/>
  <c r="AZ34" i="24"/>
  <c r="AY34" i="24"/>
  <c r="AX34" i="24"/>
  <c r="AW34" i="24"/>
  <c r="AV34" i="24"/>
  <c r="AU34" i="24"/>
  <c r="AT34" i="24"/>
  <c r="AS34" i="24"/>
  <c r="AQ34" i="24"/>
  <c r="AO34" i="24"/>
  <c r="AN34" i="24"/>
  <c r="AM34" i="24"/>
  <c r="AK34" i="24"/>
  <c r="AJ34" i="24"/>
  <c r="AI34" i="24"/>
  <c r="AH34" i="24"/>
  <c r="AL34" i="24" s="1"/>
  <c r="AG34" i="24"/>
  <c r="AF34" i="24"/>
  <c r="AE34" i="24"/>
  <c r="AD34" i="24"/>
  <c r="AC34" i="24"/>
  <c r="AB34" i="24"/>
  <c r="AA34" i="24"/>
  <c r="Z34" i="24"/>
  <c r="X34" i="24"/>
  <c r="W34" i="24"/>
  <c r="V34" i="24"/>
  <c r="U34" i="24"/>
  <c r="T34" i="24"/>
  <c r="S34" i="24"/>
  <c r="R34" i="24"/>
  <c r="Q34" i="24"/>
  <c r="O34" i="24"/>
  <c r="N34" i="24"/>
  <c r="P34" i="24" s="1"/>
  <c r="L34" i="24"/>
  <c r="K34" i="24"/>
  <c r="M34" i="24" s="1"/>
  <c r="I34" i="24"/>
  <c r="H34" i="24"/>
  <c r="J34" i="24" s="1"/>
  <c r="E34" i="24"/>
  <c r="D34" i="24"/>
  <c r="G34" i="24" s="1"/>
  <c r="C34" i="24"/>
  <c r="BK33" i="24"/>
  <c r="BJ33" i="24"/>
  <c r="BI33" i="24"/>
  <c r="BH33" i="24"/>
  <c r="BG33" i="24"/>
  <c r="BF33" i="24"/>
  <c r="BD33" i="24"/>
  <c r="BC33" i="24"/>
  <c r="BB33" i="24"/>
  <c r="BA33" i="24"/>
  <c r="AZ33" i="24"/>
  <c r="AY33" i="24"/>
  <c r="AX33" i="24"/>
  <c r="AW33" i="24"/>
  <c r="AV33" i="24"/>
  <c r="AU33" i="24"/>
  <c r="AT33" i="24"/>
  <c r="AS33" i="24"/>
  <c r="AQ33" i="24"/>
  <c r="AO33" i="24"/>
  <c r="AN33" i="24"/>
  <c r="AM33" i="24"/>
  <c r="AP33" i="24" s="1"/>
  <c r="AK33" i="24"/>
  <c r="AJ33" i="24"/>
  <c r="AI33" i="24"/>
  <c r="AH33" i="24"/>
  <c r="AG33" i="24"/>
  <c r="AG31" i="24" s="1"/>
  <c r="AF33" i="24"/>
  <c r="AE33" i="24"/>
  <c r="AD33" i="24"/>
  <c r="AC33" i="24"/>
  <c r="AB33" i="24"/>
  <c r="AA33" i="24"/>
  <c r="Z33" i="24"/>
  <c r="X33" i="24"/>
  <c r="W33" i="24"/>
  <c r="Y33" i="24" s="1"/>
  <c r="V33" i="24"/>
  <c r="U33" i="24"/>
  <c r="T33" i="24"/>
  <c r="S33" i="24"/>
  <c r="R33" i="24"/>
  <c r="Q33" i="24"/>
  <c r="O33" i="24"/>
  <c r="N33" i="24"/>
  <c r="L33" i="24"/>
  <c r="K33" i="24"/>
  <c r="M33" i="24" s="1"/>
  <c r="I33" i="24"/>
  <c r="H33" i="24"/>
  <c r="J33" i="24" s="1"/>
  <c r="E33" i="24"/>
  <c r="D33" i="24"/>
  <c r="G33" i="24" s="1"/>
  <c r="C33" i="24"/>
  <c r="F33" i="24" s="1"/>
  <c r="BK32" i="24"/>
  <c r="BJ32" i="24"/>
  <c r="BI32" i="24"/>
  <c r="BH32" i="24"/>
  <c r="BG32" i="24"/>
  <c r="BF32" i="24"/>
  <c r="BD32" i="24"/>
  <c r="BC32" i="24"/>
  <c r="BE32" i="24" s="1"/>
  <c r="BB32" i="24"/>
  <c r="BA32" i="24"/>
  <c r="AZ32" i="24"/>
  <c r="AY32" i="24"/>
  <c r="AX32" i="24"/>
  <c r="AW32" i="24"/>
  <c r="AV32" i="24"/>
  <c r="AU32" i="24"/>
  <c r="AT32" i="24"/>
  <c r="AS32" i="24"/>
  <c r="AQ32" i="24"/>
  <c r="AO32" i="24"/>
  <c r="AN32" i="24"/>
  <c r="AM32" i="24"/>
  <c r="AK32" i="24"/>
  <c r="AJ32" i="24"/>
  <c r="AI32" i="24"/>
  <c r="AH32" i="24"/>
  <c r="AL32" i="24" s="1"/>
  <c r="AG32" i="24"/>
  <c r="AF32" i="24"/>
  <c r="AE32" i="24"/>
  <c r="AD32" i="24"/>
  <c r="AC32" i="24"/>
  <c r="AB32" i="24"/>
  <c r="AA32" i="24"/>
  <c r="Z32" i="24"/>
  <c r="X32" i="24"/>
  <c r="W32" i="24"/>
  <c r="Y32" i="24" s="1"/>
  <c r="V32" i="24"/>
  <c r="U32" i="24"/>
  <c r="T32" i="24"/>
  <c r="S32" i="24"/>
  <c r="R32" i="24"/>
  <c r="Q32" i="24"/>
  <c r="O32" i="24"/>
  <c r="N32" i="24"/>
  <c r="L32" i="24"/>
  <c r="K32" i="24"/>
  <c r="I32" i="24"/>
  <c r="H32" i="24"/>
  <c r="E32" i="24"/>
  <c r="D32" i="24"/>
  <c r="G32" i="24" s="1"/>
  <c r="C32" i="24"/>
  <c r="BK30" i="24"/>
  <c r="BJ30" i="24"/>
  <c r="BI30" i="24"/>
  <c r="BH30" i="24"/>
  <c r="BG30" i="24"/>
  <c r="BF30" i="24"/>
  <c r="BD30" i="24"/>
  <c r="BC30" i="24"/>
  <c r="BB30" i="24"/>
  <c r="BA30" i="24"/>
  <c r="AZ30" i="24"/>
  <c r="AY30" i="24"/>
  <c r="AX30" i="24"/>
  <c r="AW30" i="24"/>
  <c r="AV30" i="24"/>
  <c r="AU30" i="24"/>
  <c r="AT30" i="24"/>
  <c r="AS30" i="24"/>
  <c r="AQ30" i="24"/>
  <c r="AO30" i="24"/>
  <c r="AN30" i="24"/>
  <c r="AM30" i="24"/>
  <c r="AK30" i="24"/>
  <c r="AJ30" i="24"/>
  <c r="AI30" i="24"/>
  <c r="AH30" i="24"/>
  <c r="AG30" i="24"/>
  <c r="AF30" i="24"/>
  <c r="AE30" i="24"/>
  <c r="AD30" i="24"/>
  <c r="AC30" i="24"/>
  <c r="AB30" i="24"/>
  <c r="AA30" i="24"/>
  <c r="Z30" i="24"/>
  <c r="X30" i="24"/>
  <c r="W30" i="24"/>
  <c r="V30" i="24"/>
  <c r="U30" i="24"/>
  <c r="T30" i="24"/>
  <c r="S30" i="24"/>
  <c r="R30" i="24"/>
  <c r="Q30" i="24"/>
  <c r="O30" i="24"/>
  <c r="N30" i="24"/>
  <c r="P30" i="24" s="1"/>
  <c r="L30" i="24"/>
  <c r="K30" i="24"/>
  <c r="M30" i="24" s="1"/>
  <c r="J30" i="24"/>
  <c r="I30" i="24"/>
  <c r="H30" i="24"/>
  <c r="E30" i="24"/>
  <c r="D30" i="24"/>
  <c r="C30" i="24"/>
  <c r="BK29" i="24"/>
  <c r="BJ29" i="24"/>
  <c r="BI29" i="24"/>
  <c r="BH29" i="24"/>
  <c r="BG29" i="24"/>
  <c r="BF29" i="24"/>
  <c r="BE29" i="24"/>
  <c r="BD29" i="24"/>
  <c r="BC29" i="24"/>
  <c r="BB29" i="24"/>
  <c r="BA29" i="24"/>
  <c r="AZ29" i="24"/>
  <c r="AY29" i="24"/>
  <c r="AX29" i="24"/>
  <c r="AW29" i="24"/>
  <c r="AV29" i="24"/>
  <c r="AU29" i="24"/>
  <c r="AT29" i="24"/>
  <c r="AS29" i="24"/>
  <c r="AQ29" i="24"/>
  <c r="AO29" i="24"/>
  <c r="AN29" i="24"/>
  <c r="AM29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X29" i="24"/>
  <c r="W29" i="24"/>
  <c r="Y29" i="24" s="1"/>
  <c r="V29" i="24"/>
  <c r="U29" i="24"/>
  <c r="T29" i="24"/>
  <c r="S29" i="24"/>
  <c r="R29" i="24"/>
  <c r="Q29" i="24"/>
  <c r="O29" i="24"/>
  <c r="N29" i="24"/>
  <c r="L29" i="24"/>
  <c r="K29" i="24"/>
  <c r="M29" i="24" s="1"/>
  <c r="I29" i="24"/>
  <c r="H29" i="24"/>
  <c r="J29" i="24" s="1"/>
  <c r="E29" i="24"/>
  <c r="D29" i="24"/>
  <c r="C29" i="24"/>
  <c r="BK28" i="24"/>
  <c r="BJ28" i="24"/>
  <c r="BI28" i="24"/>
  <c r="BH28" i="24"/>
  <c r="BG28" i="24"/>
  <c r="BF28" i="24"/>
  <c r="BD28" i="24"/>
  <c r="BC28" i="24"/>
  <c r="BE28" i="24" s="1"/>
  <c r="BB28" i="24"/>
  <c r="BA28" i="24"/>
  <c r="AZ28" i="24"/>
  <c r="AY28" i="24"/>
  <c r="AX28" i="24"/>
  <c r="AW28" i="24"/>
  <c r="AV28" i="24"/>
  <c r="AU28" i="24"/>
  <c r="AT28" i="24"/>
  <c r="AS28" i="24"/>
  <c r="AQ28" i="24"/>
  <c r="AO28" i="24"/>
  <c r="AN28" i="24"/>
  <c r="AM28" i="24"/>
  <c r="AK28" i="24"/>
  <c r="AJ28" i="24"/>
  <c r="AI28" i="24"/>
  <c r="AH28" i="24"/>
  <c r="AL28" i="24" s="1"/>
  <c r="AG28" i="24"/>
  <c r="AF28" i="24"/>
  <c r="AE28" i="24"/>
  <c r="AD28" i="24"/>
  <c r="AC28" i="24"/>
  <c r="AB28" i="24"/>
  <c r="AA28" i="24"/>
  <c r="Z28" i="24"/>
  <c r="X28" i="24"/>
  <c r="W28" i="24"/>
  <c r="Y28" i="24" s="1"/>
  <c r="V28" i="24"/>
  <c r="U28" i="24"/>
  <c r="T28" i="24"/>
  <c r="S28" i="24"/>
  <c r="R28" i="24"/>
  <c r="Q28" i="24"/>
  <c r="O28" i="24"/>
  <c r="N28" i="24"/>
  <c r="L28" i="24"/>
  <c r="K28" i="24"/>
  <c r="M28" i="24" s="1"/>
  <c r="I28" i="24"/>
  <c r="H28" i="24"/>
  <c r="J28" i="24" s="1"/>
  <c r="E28" i="24"/>
  <c r="D28" i="24"/>
  <c r="G28" i="24" s="1"/>
  <c r="C28" i="24"/>
  <c r="BK27" i="24"/>
  <c r="BJ27" i="24"/>
  <c r="BI27" i="24"/>
  <c r="BH27" i="24"/>
  <c r="BG27" i="24"/>
  <c r="BF27" i="24"/>
  <c r="BD27" i="24"/>
  <c r="BC27" i="24"/>
  <c r="BE27" i="24" s="1"/>
  <c r="BB27" i="24"/>
  <c r="BA27" i="24"/>
  <c r="AZ27" i="24"/>
  <c r="AY27" i="24"/>
  <c r="AX27" i="24"/>
  <c r="AW27" i="24"/>
  <c r="AV27" i="24"/>
  <c r="AU27" i="24"/>
  <c r="AT27" i="24"/>
  <c r="AS27" i="24"/>
  <c r="AQ27" i="24"/>
  <c r="AR27" i="24" s="1"/>
  <c r="AO27" i="24"/>
  <c r="AN27" i="24"/>
  <c r="AM27" i="24"/>
  <c r="AL27" i="24"/>
  <c r="AK27" i="24"/>
  <c r="AJ27" i="24"/>
  <c r="AI27" i="24"/>
  <c r="AH27" i="24"/>
  <c r="AG27" i="24"/>
  <c r="AF27" i="24"/>
  <c r="AE27" i="24"/>
  <c r="AD27" i="24"/>
  <c r="AC27" i="24"/>
  <c r="AB27" i="24"/>
  <c r="AA27" i="24"/>
  <c r="Z27" i="24"/>
  <c r="X27" i="24"/>
  <c r="W27" i="24"/>
  <c r="V27" i="24"/>
  <c r="U27" i="24"/>
  <c r="T27" i="24"/>
  <c r="S27" i="24"/>
  <c r="R27" i="24"/>
  <c r="Q27" i="24"/>
  <c r="O27" i="24"/>
  <c r="N27" i="24"/>
  <c r="L27" i="24"/>
  <c r="K27" i="24"/>
  <c r="M27" i="24" s="1"/>
  <c r="I27" i="24"/>
  <c r="H27" i="24"/>
  <c r="J27" i="24" s="1"/>
  <c r="E27" i="24"/>
  <c r="D27" i="24"/>
  <c r="C27" i="24"/>
  <c r="BK26" i="24"/>
  <c r="BJ26" i="24"/>
  <c r="BI26" i="24"/>
  <c r="BH26" i="24"/>
  <c r="BG26" i="24"/>
  <c r="BF26" i="24"/>
  <c r="BD26" i="24"/>
  <c r="BC26" i="24"/>
  <c r="BE26" i="24" s="1"/>
  <c r="BB26" i="24"/>
  <c r="BA26" i="24"/>
  <c r="AZ26" i="24"/>
  <c r="AY26" i="24"/>
  <c r="AX26" i="24"/>
  <c r="AW26" i="24"/>
  <c r="AV26" i="24"/>
  <c r="AU26" i="24"/>
  <c r="AT26" i="24"/>
  <c r="AS26" i="24"/>
  <c r="AQ26" i="24"/>
  <c r="AO26" i="24"/>
  <c r="AN26" i="24"/>
  <c r="AR26" i="24" s="1"/>
  <c r="AM26" i="24"/>
  <c r="AP26" i="24" s="1"/>
  <c r="AK26" i="24"/>
  <c r="AJ26" i="24"/>
  <c r="AI26" i="24"/>
  <c r="AH26" i="24"/>
  <c r="AL26" i="24" s="1"/>
  <c r="AG26" i="24"/>
  <c r="AF26" i="24"/>
  <c r="AE26" i="24"/>
  <c r="AD26" i="24"/>
  <c r="AC26" i="24"/>
  <c r="AB26" i="24"/>
  <c r="AA26" i="24"/>
  <c r="Z26" i="24"/>
  <c r="X26" i="24"/>
  <c r="W26" i="24"/>
  <c r="Y26" i="24" s="1"/>
  <c r="V26" i="24"/>
  <c r="U26" i="24"/>
  <c r="T26" i="24"/>
  <c r="S26" i="24"/>
  <c r="R26" i="24"/>
  <c r="Q26" i="24"/>
  <c r="O26" i="24"/>
  <c r="N26" i="24"/>
  <c r="P26" i="24" s="1"/>
  <c r="L26" i="24"/>
  <c r="K26" i="24"/>
  <c r="M26" i="24" s="1"/>
  <c r="I26" i="24"/>
  <c r="H26" i="24"/>
  <c r="J26" i="24" s="1"/>
  <c r="E26" i="24"/>
  <c r="D26" i="24"/>
  <c r="G26" i="24" s="1"/>
  <c r="C26" i="24"/>
  <c r="F26" i="24" s="1"/>
  <c r="BK25" i="24"/>
  <c r="BJ25" i="24"/>
  <c r="BI25" i="24"/>
  <c r="BH25" i="24"/>
  <c r="BG25" i="24"/>
  <c r="BF25" i="24"/>
  <c r="BD25" i="24"/>
  <c r="BC25" i="24"/>
  <c r="BE25" i="24" s="1"/>
  <c r="BB25" i="24"/>
  <c r="BA25" i="24"/>
  <c r="AZ25" i="24"/>
  <c r="AY25" i="24"/>
  <c r="AX25" i="24"/>
  <c r="AW25" i="24"/>
  <c r="AV25" i="24"/>
  <c r="AU25" i="24"/>
  <c r="AT25" i="24"/>
  <c r="AS25" i="24"/>
  <c r="AQ25" i="24"/>
  <c r="AO25" i="24"/>
  <c r="AN25" i="24"/>
  <c r="AR25" i="24" s="1"/>
  <c r="AM25" i="24"/>
  <c r="AP25" i="24" s="1"/>
  <c r="AK25" i="24"/>
  <c r="AJ25" i="24"/>
  <c r="AI25" i="24"/>
  <c r="AH25" i="24"/>
  <c r="AL25" i="24" s="1"/>
  <c r="AG25" i="24"/>
  <c r="AF25" i="24"/>
  <c r="AE25" i="24"/>
  <c r="AD25" i="24"/>
  <c r="AC25" i="24"/>
  <c r="AB25" i="24"/>
  <c r="AA25" i="24"/>
  <c r="Z25" i="24"/>
  <c r="X25" i="24"/>
  <c r="W25" i="24"/>
  <c r="Y25" i="24" s="1"/>
  <c r="V25" i="24"/>
  <c r="U25" i="24"/>
  <c r="T25" i="24"/>
  <c r="S25" i="24"/>
  <c r="R25" i="24"/>
  <c r="Q25" i="24"/>
  <c r="O25" i="24"/>
  <c r="N25" i="24"/>
  <c r="P25" i="24" s="1"/>
  <c r="M25" i="24"/>
  <c r="L25" i="24"/>
  <c r="K25" i="24"/>
  <c r="I25" i="24"/>
  <c r="H25" i="24"/>
  <c r="J25" i="24" s="1"/>
  <c r="E25" i="24"/>
  <c r="D25" i="24"/>
  <c r="G25" i="24" s="1"/>
  <c r="C25" i="24"/>
  <c r="F25" i="24" s="1"/>
  <c r="BK24" i="24"/>
  <c r="BJ24" i="24"/>
  <c r="BI24" i="24"/>
  <c r="BH24" i="24"/>
  <c r="BG24" i="24"/>
  <c r="BF24" i="24"/>
  <c r="BD24" i="24"/>
  <c r="BC24" i="24"/>
  <c r="BE24" i="24" s="1"/>
  <c r="BB24" i="24"/>
  <c r="BA24" i="24"/>
  <c r="AZ24" i="24"/>
  <c r="AY24" i="24"/>
  <c r="AX24" i="24"/>
  <c r="AW24" i="24"/>
  <c r="AV24" i="24"/>
  <c r="AU24" i="24"/>
  <c r="AT24" i="24"/>
  <c r="AS24" i="24"/>
  <c r="AQ24" i="24"/>
  <c r="AO24" i="24"/>
  <c r="AN24" i="24"/>
  <c r="AR24" i="24" s="1"/>
  <c r="AM24" i="24"/>
  <c r="AP24" i="24" s="1"/>
  <c r="AK24" i="24"/>
  <c r="AJ24" i="24"/>
  <c r="AI24" i="24"/>
  <c r="AH24" i="24"/>
  <c r="AL24" i="24" s="1"/>
  <c r="AG24" i="24"/>
  <c r="AF24" i="24"/>
  <c r="AE24" i="24"/>
  <c r="AD24" i="24"/>
  <c r="AC24" i="24"/>
  <c r="AB24" i="24"/>
  <c r="AA24" i="24"/>
  <c r="Z24" i="24"/>
  <c r="X24" i="24"/>
  <c r="W24" i="24"/>
  <c r="Y24" i="24" s="1"/>
  <c r="V24" i="24"/>
  <c r="U24" i="24"/>
  <c r="T24" i="24"/>
  <c r="S24" i="24"/>
  <c r="R24" i="24"/>
  <c r="Q24" i="24"/>
  <c r="O24" i="24"/>
  <c r="N24" i="24"/>
  <c r="P24" i="24" s="1"/>
  <c r="L24" i="24"/>
  <c r="K24" i="24"/>
  <c r="M24" i="24" s="1"/>
  <c r="I24" i="24"/>
  <c r="H24" i="24"/>
  <c r="J24" i="24" s="1"/>
  <c r="E24" i="24"/>
  <c r="D24" i="24"/>
  <c r="G24" i="24" s="1"/>
  <c r="C24" i="24"/>
  <c r="F24" i="24" s="1"/>
  <c r="BK23" i="24"/>
  <c r="BJ23" i="24"/>
  <c r="BI23" i="24"/>
  <c r="BH23" i="24"/>
  <c r="BG23" i="24"/>
  <c r="BF23" i="24"/>
  <c r="BD23" i="24"/>
  <c r="BC23" i="24"/>
  <c r="BE23" i="24" s="1"/>
  <c r="BB23" i="24"/>
  <c r="BA23" i="24"/>
  <c r="AZ23" i="24"/>
  <c r="AY23" i="24"/>
  <c r="AX23" i="24"/>
  <c r="AW23" i="24"/>
  <c r="AV23" i="24"/>
  <c r="AU23" i="24"/>
  <c r="AT23" i="24"/>
  <c r="AS23" i="24"/>
  <c r="AQ23" i="24"/>
  <c r="AO23" i="24"/>
  <c r="AN23" i="24"/>
  <c r="AM23" i="24"/>
  <c r="AK23" i="24"/>
  <c r="AJ23" i="24"/>
  <c r="AI23" i="24"/>
  <c r="AH23" i="24"/>
  <c r="AL23" i="24" s="1"/>
  <c r="AG23" i="24"/>
  <c r="AF23" i="24"/>
  <c r="AE23" i="24"/>
  <c r="AD23" i="24"/>
  <c r="AC23" i="24"/>
  <c r="AB23" i="24"/>
  <c r="AA23" i="24"/>
  <c r="Z23" i="24"/>
  <c r="X23" i="24"/>
  <c r="W23" i="24"/>
  <c r="V23" i="24"/>
  <c r="U23" i="24"/>
  <c r="T23" i="24"/>
  <c r="S23" i="24"/>
  <c r="R23" i="24"/>
  <c r="Q23" i="24"/>
  <c r="O23" i="24"/>
  <c r="N23" i="24"/>
  <c r="P23" i="24" s="1"/>
  <c r="L23" i="24"/>
  <c r="K23" i="24"/>
  <c r="M23" i="24" s="1"/>
  <c r="I23" i="24"/>
  <c r="H23" i="24"/>
  <c r="J23" i="24" s="1"/>
  <c r="E23" i="24"/>
  <c r="F23" i="24" s="1"/>
  <c r="D23" i="24"/>
  <c r="C23" i="24"/>
  <c r="BK22" i="24"/>
  <c r="BJ22" i="24"/>
  <c r="BI22" i="24"/>
  <c r="BH22" i="24"/>
  <c r="BG22" i="24"/>
  <c r="BF22" i="24"/>
  <c r="BD22" i="24"/>
  <c r="BC22" i="24"/>
  <c r="BE22" i="24" s="1"/>
  <c r="BB22" i="24"/>
  <c r="BA22" i="24"/>
  <c r="AZ22" i="24"/>
  <c r="AY22" i="24"/>
  <c r="AX22" i="24"/>
  <c r="AW22" i="24"/>
  <c r="AV22" i="24"/>
  <c r="AU22" i="24"/>
  <c r="AT22" i="24"/>
  <c r="AS22" i="24"/>
  <c r="AQ22" i="24"/>
  <c r="AP22" i="24"/>
  <c r="AO22" i="24"/>
  <c r="AN22" i="24"/>
  <c r="AR22" i="24" s="1"/>
  <c r="AM22" i="24"/>
  <c r="AK22" i="24"/>
  <c r="AJ22" i="24"/>
  <c r="AI22" i="24"/>
  <c r="AH22" i="24"/>
  <c r="AL22" i="24" s="1"/>
  <c r="AG22" i="24"/>
  <c r="AF22" i="24"/>
  <c r="AE22" i="24"/>
  <c r="AD22" i="24"/>
  <c r="AC22" i="24"/>
  <c r="AB22" i="24"/>
  <c r="AA22" i="24"/>
  <c r="Z22" i="24"/>
  <c r="X22" i="24"/>
  <c r="W22" i="24"/>
  <c r="Y22" i="24" s="1"/>
  <c r="V22" i="24"/>
  <c r="U22" i="24"/>
  <c r="T22" i="24"/>
  <c r="S22" i="24"/>
  <c r="R22" i="24"/>
  <c r="Q22" i="24"/>
  <c r="O22" i="24"/>
  <c r="N22" i="24"/>
  <c r="P22" i="24" s="1"/>
  <c r="L22" i="24"/>
  <c r="K22" i="24"/>
  <c r="M22" i="24" s="1"/>
  <c r="I22" i="24"/>
  <c r="H22" i="24"/>
  <c r="J22" i="24" s="1"/>
  <c r="E22" i="24"/>
  <c r="D22" i="24"/>
  <c r="G22" i="24" s="1"/>
  <c r="C22" i="24"/>
  <c r="F22" i="24" s="1"/>
  <c r="BK21" i="24"/>
  <c r="BJ21" i="24"/>
  <c r="BI21" i="24"/>
  <c r="BH21" i="24"/>
  <c r="BG21" i="24"/>
  <c r="BF21" i="24"/>
  <c r="BD21" i="24"/>
  <c r="BC21" i="24"/>
  <c r="BE21" i="24" s="1"/>
  <c r="BB21" i="24"/>
  <c r="BA21" i="24"/>
  <c r="AZ21" i="24"/>
  <c r="AY21" i="24"/>
  <c r="AX21" i="24"/>
  <c r="AW21" i="24"/>
  <c r="AV21" i="24"/>
  <c r="AU21" i="24"/>
  <c r="AT21" i="24"/>
  <c r="AS21" i="24"/>
  <c r="AQ21" i="24"/>
  <c r="AO21" i="24"/>
  <c r="AN21" i="24"/>
  <c r="AM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X21" i="24"/>
  <c r="W21" i="24"/>
  <c r="V21" i="24"/>
  <c r="U21" i="24"/>
  <c r="T21" i="24"/>
  <c r="S21" i="24"/>
  <c r="R21" i="24"/>
  <c r="Q21" i="24"/>
  <c r="O21" i="24"/>
  <c r="N21" i="24"/>
  <c r="L21" i="24"/>
  <c r="K21" i="24"/>
  <c r="M21" i="24" s="1"/>
  <c r="I21" i="24"/>
  <c r="H21" i="24"/>
  <c r="J21" i="24" s="1"/>
  <c r="G21" i="24"/>
  <c r="E21" i="24"/>
  <c r="D21" i="24"/>
  <c r="C21" i="24"/>
  <c r="F21" i="24" s="1"/>
  <c r="BK20" i="24"/>
  <c r="BJ20" i="24"/>
  <c r="BI20" i="24"/>
  <c r="BH20" i="24"/>
  <c r="BG20" i="24"/>
  <c r="BF20" i="24"/>
  <c r="BD20" i="24"/>
  <c r="BC20" i="24"/>
  <c r="BE20" i="24" s="1"/>
  <c r="BB20" i="24"/>
  <c r="BA20" i="24"/>
  <c r="AZ20" i="24"/>
  <c r="AY20" i="24"/>
  <c r="AX20" i="24"/>
  <c r="AW20" i="24"/>
  <c r="AV20" i="24"/>
  <c r="AU20" i="24"/>
  <c r="AT20" i="24"/>
  <c r="AS20" i="24"/>
  <c r="AR20" i="24"/>
  <c r="AQ20" i="24"/>
  <c r="AO20" i="24"/>
  <c r="AN20" i="24"/>
  <c r="AM20" i="24"/>
  <c r="AP20" i="24" s="1"/>
  <c r="AL20" i="24"/>
  <c r="AK20" i="24"/>
  <c r="AJ20" i="24"/>
  <c r="AI20" i="24"/>
  <c r="AH20" i="24"/>
  <c r="AG20" i="24"/>
  <c r="AF20" i="24"/>
  <c r="AE20" i="24"/>
  <c r="AD20" i="24"/>
  <c r="AC20" i="24"/>
  <c r="AB20" i="24"/>
  <c r="AA20" i="24"/>
  <c r="Z20" i="24"/>
  <c r="X20" i="24"/>
  <c r="W20" i="24"/>
  <c r="Y20" i="24" s="1"/>
  <c r="V20" i="24"/>
  <c r="U20" i="24"/>
  <c r="T20" i="24"/>
  <c r="S20" i="24"/>
  <c r="R20" i="24"/>
  <c r="Q20" i="24"/>
  <c r="O20" i="24"/>
  <c r="N20" i="24"/>
  <c r="L20" i="24"/>
  <c r="K20" i="24"/>
  <c r="I20" i="24"/>
  <c r="H20" i="24"/>
  <c r="J20" i="24" s="1"/>
  <c r="E20" i="24"/>
  <c r="D20" i="24"/>
  <c r="G20" i="24" s="1"/>
  <c r="C20" i="24"/>
  <c r="BK19" i="24"/>
  <c r="BJ19" i="24"/>
  <c r="BI19" i="24"/>
  <c r="BH19" i="24"/>
  <c r="BG19" i="24"/>
  <c r="BF19" i="24"/>
  <c r="BD19" i="24"/>
  <c r="BC19" i="24"/>
  <c r="BE19" i="24" s="1"/>
  <c r="BB19" i="24"/>
  <c r="BA19" i="24"/>
  <c r="AZ19" i="24"/>
  <c r="AY19" i="24"/>
  <c r="AX19" i="24"/>
  <c r="AW19" i="24"/>
  <c r="AV19" i="24"/>
  <c r="AU19" i="24"/>
  <c r="AT19" i="24"/>
  <c r="AS19" i="24"/>
  <c r="AQ19" i="24"/>
  <c r="AO19" i="24"/>
  <c r="AN19" i="24"/>
  <c r="AR19" i="24" s="1"/>
  <c r="AM19" i="24"/>
  <c r="AP19" i="24" s="1"/>
  <c r="AK19" i="24"/>
  <c r="AJ19" i="24"/>
  <c r="AI19" i="24"/>
  <c r="AH19" i="24"/>
  <c r="AL19" i="24" s="1"/>
  <c r="AG19" i="24"/>
  <c r="AF19" i="24"/>
  <c r="AE19" i="24"/>
  <c r="AD19" i="24"/>
  <c r="AC19" i="24"/>
  <c r="AB19" i="24"/>
  <c r="AA19" i="24"/>
  <c r="Z19" i="24"/>
  <c r="X19" i="24"/>
  <c r="W19" i="24"/>
  <c r="Y19" i="24" s="1"/>
  <c r="V19" i="24"/>
  <c r="U19" i="24"/>
  <c r="T19" i="24"/>
  <c r="S19" i="24"/>
  <c r="R19" i="24"/>
  <c r="Q19" i="24"/>
  <c r="O19" i="24"/>
  <c r="N19" i="24"/>
  <c r="P19" i="24" s="1"/>
  <c r="L19" i="24"/>
  <c r="K19" i="24"/>
  <c r="M19" i="24" s="1"/>
  <c r="J19" i="24"/>
  <c r="I19" i="24"/>
  <c r="H19" i="24"/>
  <c r="E19" i="24"/>
  <c r="D19" i="24"/>
  <c r="G19" i="24" s="1"/>
  <c r="C19" i="24"/>
  <c r="F19" i="24" s="1"/>
  <c r="BK18" i="24"/>
  <c r="BJ18" i="24"/>
  <c r="BI18" i="24"/>
  <c r="BH18" i="24"/>
  <c r="BG18" i="24"/>
  <c r="BF18" i="24"/>
  <c r="BE18" i="24"/>
  <c r="BD18" i="24"/>
  <c r="BC18" i="24"/>
  <c r="BB18" i="24"/>
  <c r="BA18" i="24"/>
  <c r="AZ18" i="24"/>
  <c r="AY18" i="24"/>
  <c r="AX18" i="24"/>
  <c r="AW18" i="24"/>
  <c r="AV18" i="24"/>
  <c r="AU18" i="24"/>
  <c r="AT18" i="24"/>
  <c r="AS18" i="24"/>
  <c r="AQ18" i="24"/>
  <c r="AO18" i="24"/>
  <c r="AN18" i="24"/>
  <c r="AM18" i="24"/>
  <c r="AK18" i="24"/>
  <c r="AJ18" i="24"/>
  <c r="AI18" i="24"/>
  <c r="AH18" i="24"/>
  <c r="AG18" i="24"/>
  <c r="AF18" i="24"/>
  <c r="AE18" i="24"/>
  <c r="AD18" i="24"/>
  <c r="AC18" i="24"/>
  <c r="AB18" i="24"/>
  <c r="AA18" i="24"/>
  <c r="Z18" i="24"/>
  <c r="X18" i="24"/>
  <c r="W18" i="24"/>
  <c r="V18" i="24"/>
  <c r="U18" i="24"/>
  <c r="T18" i="24"/>
  <c r="S18" i="24"/>
  <c r="R18" i="24"/>
  <c r="Q18" i="24"/>
  <c r="O18" i="24"/>
  <c r="N18" i="24"/>
  <c r="L18" i="24"/>
  <c r="K18" i="24"/>
  <c r="J18" i="24"/>
  <c r="I18" i="24"/>
  <c r="H18" i="24"/>
  <c r="E18" i="24"/>
  <c r="D18" i="24"/>
  <c r="C18" i="24"/>
  <c r="BK17" i="24"/>
  <c r="BJ17" i="24"/>
  <c r="BI17" i="24"/>
  <c r="BH17" i="24"/>
  <c r="BG17" i="24"/>
  <c r="BF17" i="24"/>
  <c r="BE17" i="24"/>
  <c r="BD17" i="24"/>
  <c r="BC17" i="24"/>
  <c r="BB17" i="24"/>
  <c r="BA17" i="24"/>
  <c r="AZ17" i="24"/>
  <c r="AY17" i="24"/>
  <c r="AX17" i="24"/>
  <c r="AW17" i="24"/>
  <c r="AV17" i="24"/>
  <c r="AU17" i="24"/>
  <c r="AT17" i="24"/>
  <c r="AS17" i="24"/>
  <c r="AQ17" i="24"/>
  <c r="AO17" i="24"/>
  <c r="AN17" i="24"/>
  <c r="AR17" i="24" s="1"/>
  <c r="AM17" i="24"/>
  <c r="AP17" i="24" s="1"/>
  <c r="AK17" i="24"/>
  <c r="AJ17" i="24"/>
  <c r="AI17" i="24"/>
  <c r="AH17" i="24"/>
  <c r="AL17" i="24" s="1"/>
  <c r="AG17" i="24"/>
  <c r="AF17" i="24"/>
  <c r="AE17" i="24"/>
  <c r="AD17" i="24"/>
  <c r="AC17" i="24"/>
  <c r="AB17" i="24"/>
  <c r="AA17" i="24"/>
  <c r="Z17" i="24"/>
  <c r="X17" i="24"/>
  <c r="W17" i="24"/>
  <c r="Y17" i="24" s="1"/>
  <c r="V17" i="24"/>
  <c r="U17" i="24"/>
  <c r="T17" i="24"/>
  <c r="S17" i="24"/>
  <c r="R17" i="24"/>
  <c r="Q17" i="24"/>
  <c r="O17" i="24"/>
  <c r="N17" i="24"/>
  <c r="P17" i="24" s="1"/>
  <c r="L17" i="24"/>
  <c r="K17" i="24"/>
  <c r="M17" i="24" s="1"/>
  <c r="I17" i="24"/>
  <c r="H17" i="24"/>
  <c r="J17" i="24" s="1"/>
  <c r="E17" i="24"/>
  <c r="D17" i="24"/>
  <c r="G17" i="24" s="1"/>
  <c r="C17" i="24"/>
  <c r="F17" i="24" s="1"/>
  <c r="BK16" i="24"/>
  <c r="BJ16" i="24"/>
  <c r="BI16" i="24"/>
  <c r="BH16" i="24"/>
  <c r="BG16" i="24"/>
  <c r="BF16" i="24"/>
  <c r="BD16" i="24"/>
  <c r="BC16" i="24"/>
  <c r="BE16" i="24" s="1"/>
  <c r="BB16" i="24"/>
  <c r="BA16" i="24"/>
  <c r="AZ16" i="24"/>
  <c r="AY16" i="24"/>
  <c r="AX16" i="24"/>
  <c r="AW16" i="24"/>
  <c r="AV16" i="24"/>
  <c r="AU16" i="24"/>
  <c r="AT16" i="24"/>
  <c r="AS16" i="24"/>
  <c r="AQ16" i="24"/>
  <c r="AO16" i="24"/>
  <c r="AN16" i="24"/>
  <c r="AR16" i="24" s="1"/>
  <c r="AM16" i="24"/>
  <c r="AP16" i="24" s="1"/>
  <c r="AK16" i="24"/>
  <c r="AJ16" i="24"/>
  <c r="AI16" i="24"/>
  <c r="AH16" i="24"/>
  <c r="AG16" i="24"/>
  <c r="AF16" i="24"/>
  <c r="AE16" i="24"/>
  <c r="AD16" i="24"/>
  <c r="AC16" i="24"/>
  <c r="AB16" i="24"/>
  <c r="AA16" i="24"/>
  <c r="Z16" i="24"/>
  <c r="X16" i="24"/>
  <c r="W16" i="24"/>
  <c r="Y16" i="24" s="1"/>
  <c r="V16" i="24"/>
  <c r="U16" i="24"/>
  <c r="T16" i="24"/>
  <c r="S16" i="24"/>
  <c r="R16" i="24"/>
  <c r="Q16" i="24"/>
  <c r="O16" i="24"/>
  <c r="N16" i="24"/>
  <c r="P16" i="24" s="1"/>
  <c r="L16" i="24"/>
  <c r="M16" i="24" s="1"/>
  <c r="K16" i="24"/>
  <c r="I16" i="24"/>
  <c r="H16" i="24"/>
  <c r="J16" i="24" s="1"/>
  <c r="E16" i="24"/>
  <c r="D16" i="24"/>
  <c r="G16" i="24" s="1"/>
  <c r="C16" i="24"/>
  <c r="F16" i="24" s="1"/>
  <c r="BK15" i="24"/>
  <c r="BJ15" i="24"/>
  <c r="BI15" i="24"/>
  <c r="BH15" i="24"/>
  <c r="BG15" i="24"/>
  <c r="BF15" i="24"/>
  <c r="BD15" i="24"/>
  <c r="BC15" i="24"/>
  <c r="BE15" i="24" s="1"/>
  <c r="BB15" i="24"/>
  <c r="BA15" i="24"/>
  <c r="AZ15" i="24"/>
  <c r="AY15" i="24"/>
  <c r="AX15" i="24"/>
  <c r="AW15" i="24"/>
  <c r="AV15" i="24"/>
  <c r="AU15" i="24"/>
  <c r="AT15" i="24"/>
  <c r="AS15" i="24"/>
  <c r="AR15" i="24"/>
  <c r="AQ15" i="24"/>
  <c r="AO15" i="24"/>
  <c r="AN15" i="24"/>
  <c r="AM15" i="24"/>
  <c r="AL15" i="24"/>
  <c r="AK15" i="24"/>
  <c r="AJ15" i="24"/>
  <c r="AI15" i="24"/>
  <c r="AH15" i="24"/>
  <c r="AG15" i="24"/>
  <c r="AF15" i="24"/>
  <c r="AE15" i="24"/>
  <c r="AD15" i="24"/>
  <c r="AC15" i="24"/>
  <c r="AB15" i="24"/>
  <c r="AA15" i="24"/>
  <c r="Z15" i="24"/>
  <c r="X15" i="24"/>
  <c r="W15" i="24"/>
  <c r="Y15" i="24" s="1"/>
  <c r="V15" i="24"/>
  <c r="U15" i="24"/>
  <c r="T15" i="24"/>
  <c r="S15" i="24"/>
  <c r="R15" i="24"/>
  <c r="Q15" i="24"/>
  <c r="O15" i="24"/>
  <c r="N15" i="24"/>
  <c r="P15" i="24" s="1"/>
  <c r="L15" i="24"/>
  <c r="K15" i="24"/>
  <c r="M15" i="24" s="1"/>
  <c r="I15" i="24"/>
  <c r="H15" i="24"/>
  <c r="J15" i="24" s="1"/>
  <c r="E15" i="24"/>
  <c r="D15" i="24"/>
  <c r="G15" i="24" s="1"/>
  <c r="C15" i="24"/>
  <c r="F15" i="24" s="1"/>
  <c r="BK14" i="24"/>
  <c r="BJ14" i="24"/>
  <c r="BI14" i="24"/>
  <c r="BH14" i="24"/>
  <c r="BG14" i="24"/>
  <c r="BF14" i="24"/>
  <c r="BD14" i="24"/>
  <c r="BC14" i="24"/>
  <c r="BE14" i="24" s="1"/>
  <c r="BB14" i="24"/>
  <c r="BA14" i="24"/>
  <c r="AZ14" i="24"/>
  <c r="AY14" i="24"/>
  <c r="AX14" i="24"/>
  <c r="AW14" i="24"/>
  <c r="AV14" i="24"/>
  <c r="AU14" i="24"/>
  <c r="AT14" i="24"/>
  <c r="AS14" i="24"/>
  <c r="AQ14" i="24"/>
  <c r="AO14" i="24"/>
  <c r="AN14" i="24"/>
  <c r="AM14" i="24"/>
  <c r="AK14" i="24"/>
  <c r="AJ14" i="24"/>
  <c r="AI14" i="24"/>
  <c r="AH14" i="24"/>
  <c r="AL14" i="24" s="1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O14" i="24"/>
  <c r="N14" i="24"/>
  <c r="L14" i="24"/>
  <c r="K14" i="24"/>
  <c r="M14" i="24" s="1"/>
  <c r="I14" i="24"/>
  <c r="H14" i="24"/>
  <c r="E14" i="24"/>
  <c r="D14" i="24"/>
  <c r="C14" i="24"/>
  <c r="E9" i="24"/>
  <c r="G108" i="23"/>
  <c r="F108" i="23"/>
  <c r="G107" i="23"/>
  <c r="F107" i="23"/>
  <c r="G106" i="23"/>
  <c r="F106" i="23"/>
  <c r="G105" i="23"/>
  <c r="F105" i="23"/>
  <c r="G104" i="23"/>
  <c r="F104" i="23"/>
  <c r="G103" i="23"/>
  <c r="F103" i="23"/>
  <c r="G102" i="23"/>
  <c r="F102" i="23"/>
  <c r="G101" i="23"/>
  <c r="F101" i="23"/>
  <c r="G100" i="23"/>
  <c r="F100" i="23"/>
  <c r="G99" i="23"/>
  <c r="F99" i="23"/>
  <c r="G98" i="23"/>
  <c r="F98" i="23"/>
  <c r="G97" i="23"/>
  <c r="F97" i="23"/>
  <c r="E96" i="23"/>
  <c r="E89" i="23" s="1"/>
  <c r="E9" i="23" s="1"/>
  <c r="D96" i="23"/>
  <c r="C96" i="23"/>
  <c r="G95" i="23"/>
  <c r="F95" i="23"/>
  <c r="G94" i="23"/>
  <c r="F94" i="23"/>
  <c r="G93" i="23"/>
  <c r="F93" i="23"/>
  <c r="G92" i="23"/>
  <c r="F92" i="23"/>
  <c r="G91" i="23"/>
  <c r="F91" i="23"/>
  <c r="G90" i="23"/>
  <c r="F90" i="23"/>
  <c r="AH88" i="23"/>
  <c r="AG88" i="23"/>
  <c r="AF88" i="23"/>
  <c r="AE88" i="23"/>
  <c r="AD88" i="23"/>
  <c r="AB88" i="23"/>
  <c r="AA88" i="23"/>
  <c r="AC88" i="23" s="1"/>
  <c r="Z88" i="23"/>
  <c r="Y88" i="23"/>
  <c r="W88" i="23"/>
  <c r="U88" i="23"/>
  <c r="S88" i="23"/>
  <c r="Q88" i="23"/>
  <c r="O88" i="23"/>
  <c r="N88" i="23"/>
  <c r="P88" i="23" s="1"/>
  <c r="L88" i="23"/>
  <c r="K88" i="23"/>
  <c r="I88" i="23"/>
  <c r="H88" i="23"/>
  <c r="V88" i="23" s="1"/>
  <c r="E88" i="23"/>
  <c r="D88" i="23"/>
  <c r="C88" i="23"/>
  <c r="AH87" i="23"/>
  <c r="AG87" i="23"/>
  <c r="AF87" i="23"/>
  <c r="AE87" i="23"/>
  <c r="AD87" i="23"/>
  <c r="AB87" i="23"/>
  <c r="AA87" i="23"/>
  <c r="AC87" i="23" s="1"/>
  <c r="Z87" i="23"/>
  <c r="Y87" i="23"/>
  <c r="W87" i="23"/>
  <c r="U87" i="23"/>
  <c r="S87" i="23"/>
  <c r="Q87" i="23"/>
  <c r="O87" i="23"/>
  <c r="N87" i="23"/>
  <c r="L87" i="23"/>
  <c r="K87" i="23"/>
  <c r="I87" i="23"/>
  <c r="H87" i="23"/>
  <c r="E87" i="23"/>
  <c r="D87" i="23"/>
  <c r="C87" i="23"/>
  <c r="AH86" i="23"/>
  <c r="AG86" i="23"/>
  <c r="AF86" i="23"/>
  <c r="AE86" i="23"/>
  <c r="AD86" i="23"/>
  <c r="AB86" i="23"/>
  <c r="AA86" i="23"/>
  <c r="AC86" i="23" s="1"/>
  <c r="Z86" i="23"/>
  <c r="Y86" i="23"/>
  <c r="W86" i="23"/>
  <c r="U86" i="23"/>
  <c r="S86" i="23"/>
  <c r="Q86" i="23"/>
  <c r="O86" i="23"/>
  <c r="N86" i="23"/>
  <c r="P86" i="23" s="1"/>
  <c r="L86" i="23"/>
  <c r="K86" i="23"/>
  <c r="M86" i="23" s="1"/>
  <c r="I86" i="23"/>
  <c r="H86" i="23"/>
  <c r="E86" i="23"/>
  <c r="D86" i="23"/>
  <c r="C86" i="23"/>
  <c r="AH85" i="23"/>
  <c r="AG85" i="23"/>
  <c r="AF85" i="23"/>
  <c r="AE85" i="23"/>
  <c r="AD85" i="23"/>
  <c r="AB85" i="23"/>
  <c r="AA85" i="23"/>
  <c r="AC85" i="23" s="1"/>
  <c r="Z85" i="23"/>
  <c r="Y85" i="23"/>
  <c r="W85" i="23"/>
  <c r="U85" i="23"/>
  <c r="S85" i="23"/>
  <c r="Q85" i="23"/>
  <c r="O85" i="23"/>
  <c r="N85" i="23"/>
  <c r="L85" i="23"/>
  <c r="K85" i="23"/>
  <c r="I85" i="23"/>
  <c r="H85" i="23"/>
  <c r="E85" i="23"/>
  <c r="D85" i="23"/>
  <c r="C85" i="23"/>
  <c r="AH84" i="23"/>
  <c r="AG84" i="23"/>
  <c r="AF84" i="23"/>
  <c r="AE84" i="23"/>
  <c r="AD84" i="23"/>
  <c r="AB84" i="23"/>
  <c r="AA84" i="23"/>
  <c r="AC84" i="23" s="1"/>
  <c r="Z84" i="23"/>
  <c r="Y84" i="23"/>
  <c r="W84" i="23"/>
  <c r="U84" i="23"/>
  <c r="S84" i="23"/>
  <c r="Q84" i="23"/>
  <c r="O84" i="23"/>
  <c r="N84" i="23"/>
  <c r="P84" i="23" s="1"/>
  <c r="L84" i="23"/>
  <c r="K84" i="23"/>
  <c r="M84" i="23" s="1"/>
  <c r="I84" i="23"/>
  <c r="H84" i="23"/>
  <c r="X84" i="23" s="1"/>
  <c r="E84" i="23"/>
  <c r="D84" i="23"/>
  <c r="C84" i="23"/>
  <c r="AH83" i="23"/>
  <c r="AG83" i="23"/>
  <c r="AF83" i="23"/>
  <c r="AE83" i="23"/>
  <c r="AD83" i="23"/>
  <c r="AB83" i="23"/>
  <c r="AA83" i="23"/>
  <c r="AC83" i="23" s="1"/>
  <c r="Z83" i="23"/>
  <c r="Y83" i="23"/>
  <c r="W83" i="23"/>
  <c r="U83" i="23"/>
  <c r="S83" i="23"/>
  <c r="Q83" i="23"/>
  <c r="O83" i="23"/>
  <c r="N83" i="23"/>
  <c r="L83" i="23"/>
  <c r="K83" i="23"/>
  <c r="I83" i="23"/>
  <c r="H83" i="23"/>
  <c r="T83" i="23" s="1"/>
  <c r="E83" i="23"/>
  <c r="D83" i="23"/>
  <c r="C83" i="23"/>
  <c r="AH82" i="23"/>
  <c r="AG82" i="23"/>
  <c r="AF82" i="23"/>
  <c r="AE82" i="23"/>
  <c r="AD82" i="23"/>
  <c r="AC82" i="23"/>
  <c r="AB82" i="23"/>
  <c r="AA82" i="23"/>
  <c r="Z82" i="23"/>
  <c r="Y82" i="23"/>
  <c r="W82" i="23"/>
  <c r="U82" i="23"/>
  <c r="S82" i="23"/>
  <c r="Q82" i="23"/>
  <c r="O82" i="23"/>
  <c r="N82" i="23"/>
  <c r="P82" i="23" s="1"/>
  <c r="L82" i="23"/>
  <c r="K82" i="23"/>
  <c r="M82" i="23" s="1"/>
  <c r="I82" i="23"/>
  <c r="H82" i="23"/>
  <c r="E82" i="23"/>
  <c r="D82" i="23"/>
  <c r="G82" i="23" s="1"/>
  <c r="C82" i="23"/>
  <c r="AH81" i="23"/>
  <c r="AG81" i="23"/>
  <c r="AF81" i="23"/>
  <c r="AE81" i="23"/>
  <c r="AD81" i="23"/>
  <c r="AB81" i="23"/>
  <c r="AA81" i="23"/>
  <c r="AC81" i="23" s="1"/>
  <c r="Z81" i="23"/>
  <c r="Y81" i="23"/>
  <c r="W81" i="23"/>
  <c r="U81" i="23"/>
  <c r="S81" i="23"/>
  <c r="Q81" i="23"/>
  <c r="O81" i="23"/>
  <c r="P81" i="23" s="1"/>
  <c r="N81" i="23"/>
  <c r="L81" i="23"/>
  <c r="K81" i="23"/>
  <c r="I81" i="23"/>
  <c r="J81" i="23" s="1"/>
  <c r="H81" i="23"/>
  <c r="R81" i="23" s="1"/>
  <c r="E81" i="23"/>
  <c r="D81" i="23"/>
  <c r="C81" i="23"/>
  <c r="AH80" i="23"/>
  <c r="AG80" i="23"/>
  <c r="AF80" i="23"/>
  <c r="AE80" i="23"/>
  <c r="AD80" i="23"/>
  <c r="AB80" i="23"/>
  <c r="AA80" i="23"/>
  <c r="AC80" i="23" s="1"/>
  <c r="Z80" i="23"/>
  <c r="Y80" i="23"/>
  <c r="W80" i="23"/>
  <c r="U80" i="23"/>
  <c r="T80" i="23"/>
  <c r="S80" i="23"/>
  <c r="Q80" i="23"/>
  <c r="O80" i="23"/>
  <c r="N80" i="23"/>
  <c r="P80" i="23" s="1"/>
  <c r="L80" i="23"/>
  <c r="K80" i="23"/>
  <c r="M80" i="23" s="1"/>
  <c r="I80" i="23"/>
  <c r="H80" i="23"/>
  <c r="E80" i="23"/>
  <c r="D80" i="23"/>
  <c r="G80" i="23" s="1"/>
  <c r="C80" i="23"/>
  <c r="AH79" i="23"/>
  <c r="AG79" i="23"/>
  <c r="AF79" i="23"/>
  <c r="AE79" i="23"/>
  <c r="AD79" i="23"/>
  <c r="AB79" i="23"/>
  <c r="AA79" i="23"/>
  <c r="AC79" i="23" s="1"/>
  <c r="Z79" i="23"/>
  <c r="Y79" i="23"/>
  <c r="W79" i="23"/>
  <c r="U79" i="23"/>
  <c r="S79" i="23"/>
  <c r="Q79" i="23"/>
  <c r="O79" i="23"/>
  <c r="N79" i="23"/>
  <c r="P79" i="23" s="1"/>
  <c r="L79" i="23"/>
  <c r="K79" i="23"/>
  <c r="M79" i="23" s="1"/>
  <c r="I79" i="23"/>
  <c r="H79" i="23"/>
  <c r="E79" i="23"/>
  <c r="D79" i="23"/>
  <c r="C79" i="23"/>
  <c r="AH78" i="23"/>
  <c r="AG78" i="23"/>
  <c r="AF78" i="23"/>
  <c r="AE78" i="23"/>
  <c r="AD78" i="23"/>
  <c r="AB78" i="23"/>
  <c r="AA78" i="23"/>
  <c r="AC78" i="23" s="1"/>
  <c r="Z78" i="23"/>
  <c r="Y78" i="23"/>
  <c r="W78" i="23"/>
  <c r="U78" i="23"/>
  <c r="V78" i="23" s="1"/>
  <c r="S78" i="23"/>
  <c r="Q78" i="23"/>
  <c r="O78" i="23"/>
  <c r="N78" i="23"/>
  <c r="L78" i="23"/>
  <c r="K78" i="23"/>
  <c r="I78" i="23"/>
  <c r="H78" i="23"/>
  <c r="R78" i="23" s="1"/>
  <c r="E78" i="23"/>
  <c r="D78" i="23"/>
  <c r="C78" i="23"/>
  <c r="AH77" i="23"/>
  <c r="AG77" i="23"/>
  <c r="AF77" i="23"/>
  <c r="AE77" i="23"/>
  <c r="AD77" i="23"/>
  <c r="AB77" i="23"/>
  <c r="AA77" i="23"/>
  <c r="AC77" i="23" s="1"/>
  <c r="Z77" i="23"/>
  <c r="Y77" i="23"/>
  <c r="W77" i="23"/>
  <c r="U77" i="23"/>
  <c r="S77" i="23"/>
  <c r="Q77" i="23"/>
  <c r="O77" i="23"/>
  <c r="N77" i="23"/>
  <c r="L77" i="23"/>
  <c r="K77" i="23"/>
  <c r="I77" i="23"/>
  <c r="H77" i="23"/>
  <c r="E77" i="23"/>
  <c r="G77" i="23" s="1"/>
  <c r="D77" i="23"/>
  <c r="C77" i="23"/>
  <c r="AH76" i="23"/>
  <c r="AG76" i="23"/>
  <c r="AF76" i="23"/>
  <c r="AE76" i="23"/>
  <c r="AD76" i="23"/>
  <c r="AB76" i="23"/>
  <c r="AA76" i="23"/>
  <c r="AC76" i="23" s="1"/>
  <c r="Z76" i="23"/>
  <c r="Y76" i="23"/>
  <c r="W76" i="23"/>
  <c r="U76" i="23"/>
  <c r="S76" i="23"/>
  <c r="Q76" i="23"/>
  <c r="O76" i="23"/>
  <c r="N76" i="23"/>
  <c r="L76" i="23"/>
  <c r="K76" i="23"/>
  <c r="I76" i="23"/>
  <c r="J76" i="23" s="1"/>
  <c r="H76" i="23"/>
  <c r="E76" i="23"/>
  <c r="D76" i="23"/>
  <c r="C76" i="23"/>
  <c r="AH75" i="23"/>
  <c r="AG75" i="23"/>
  <c r="AF75" i="23"/>
  <c r="AE75" i="23"/>
  <c r="AD75" i="23"/>
  <c r="AB75" i="23"/>
  <c r="AA75" i="23"/>
  <c r="AC75" i="23" s="1"/>
  <c r="Z75" i="23"/>
  <c r="Y75" i="23"/>
  <c r="W75" i="23"/>
  <c r="U75" i="23"/>
  <c r="S75" i="23"/>
  <c r="Q75" i="23"/>
  <c r="O75" i="23"/>
  <c r="N75" i="23"/>
  <c r="L75" i="23"/>
  <c r="K75" i="23"/>
  <c r="I75" i="23"/>
  <c r="H75" i="23"/>
  <c r="V75" i="23" s="1"/>
  <c r="E75" i="23"/>
  <c r="F75" i="23" s="1"/>
  <c r="D75" i="23"/>
  <c r="G75" i="23" s="1"/>
  <c r="C75" i="23"/>
  <c r="AH73" i="23"/>
  <c r="AG73" i="23"/>
  <c r="AF73" i="23"/>
  <c r="AE73" i="23"/>
  <c r="AD73" i="23"/>
  <c r="AB73" i="23"/>
  <c r="AA73" i="23"/>
  <c r="AC73" i="23" s="1"/>
  <c r="Z73" i="23"/>
  <c r="Y73" i="23"/>
  <c r="W73" i="23"/>
  <c r="U73" i="23"/>
  <c r="S73" i="23"/>
  <c r="Q73" i="23"/>
  <c r="O73" i="23"/>
  <c r="N73" i="23"/>
  <c r="P73" i="23" s="1"/>
  <c r="L73" i="23"/>
  <c r="K73" i="23"/>
  <c r="M73" i="23" s="1"/>
  <c r="I73" i="23"/>
  <c r="H73" i="23"/>
  <c r="E73" i="23"/>
  <c r="D73" i="23"/>
  <c r="C73" i="23"/>
  <c r="AH72" i="23"/>
  <c r="AG72" i="23"/>
  <c r="AF72" i="23"/>
  <c r="AE72" i="23"/>
  <c r="AD72" i="23"/>
  <c r="AB72" i="23"/>
  <c r="AA72" i="23"/>
  <c r="AC72" i="23" s="1"/>
  <c r="Z72" i="23"/>
  <c r="Y72" i="23"/>
  <c r="W72" i="23"/>
  <c r="U72" i="23"/>
  <c r="S72" i="23"/>
  <c r="Q72" i="23"/>
  <c r="O72" i="23"/>
  <c r="N72" i="23"/>
  <c r="P72" i="23" s="1"/>
  <c r="L72" i="23"/>
  <c r="K72" i="23"/>
  <c r="M72" i="23" s="1"/>
  <c r="I72" i="23"/>
  <c r="H72" i="23"/>
  <c r="J72" i="23" s="1"/>
  <c r="E72" i="23"/>
  <c r="D72" i="23"/>
  <c r="C72" i="23"/>
  <c r="AH71" i="23"/>
  <c r="AG71" i="23"/>
  <c r="AF71" i="23"/>
  <c r="AE71" i="23"/>
  <c r="AD71" i="23"/>
  <c r="AB71" i="23"/>
  <c r="AA71" i="23"/>
  <c r="AC71" i="23" s="1"/>
  <c r="Z71" i="23"/>
  <c r="Y71" i="23"/>
  <c r="W71" i="23"/>
  <c r="U71" i="23"/>
  <c r="S71" i="23"/>
  <c r="Q71" i="23"/>
  <c r="O71" i="23"/>
  <c r="N71" i="23"/>
  <c r="P71" i="23" s="1"/>
  <c r="L71" i="23"/>
  <c r="K71" i="23"/>
  <c r="M71" i="23" s="1"/>
  <c r="I71" i="23"/>
  <c r="H71" i="23"/>
  <c r="E71" i="23"/>
  <c r="D71" i="23"/>
  <c r="C71" i="23"/>
  <c r="AH70" i="23"/>
  <c r="AG70" i="23"/>
  <c r="AF70" i="23"/>
  <c r="AE70" i="23"/>
  <c r="AD70" i="23"/>
  <c r="AB70" i="23"/>
  <c r="AA70" i="23"/>
  <c r="AC70" i="23" s="1"/>
  <c r="Z70" i="23"/>
  <c r="Y70" i="23"/>
  <c r="W70" i="23"/>
  <c r="U70" i="23"/>
  <c r="S70" i="23"/>
  <c r="Q70" i="23"/>
  <c r="O70" i="23"/>
  <c r="N70" i="23"/>
  <c r="P70" i="23" s="1"/>
  <c r="L70" i="23"/>
  <c r="K70" i="23"/>
  <c r="M70" i="23" s="1"/>
  <c r="I70" i="23"/>
  <c r="H70" i="23"/>
  <c r="J70" i="23" s="1"/>
  <c r="G70" i="23"/>
  <c r="E70" i="23"/>
  <c r="D70" i="23"/>
  <c r="C70" i="23"/>
  <c r="AH69" i="23"/>
  <c r="AG69" i="23"/>
  <c r="AF69" i="23"/>
  <c r="AE69" i="23"/>
  <c r="AD69" i="23"/>
  <c r="AB69" i="23"/>
  <c r="AA69" i="23"/>
  <c r="AC69" i="23" s="1"/>
  <c r="Z69" i="23"/>
  <c r="Y69" i="23"/>
  <c r="W69" i="23"/>
  <c r="U69" i="23"/>
  <c r="S69" i="23"/>
  <c r="Q69" i="23"/>
  <c r="P69" i="23"/>
  <c r="O69" i="23"/>
  <c r="N69" i="23"/>
  <c r="L69" i="23"/>
  <c r="K69" i="23"/>
  <c r="M69" i="23" s="1"/>
  <c r="I69" i="23"/>
  <c r="H69" i="23"/>
  <c r="V69" i="23" s="1"/>
  <c r="E69" i="23"/>
  <c r="D69" i="23"/>
  <c r="G69" i="23" s="1"/>
  <c r="C69" i="23"/>
  <c r="AH68" i="23"/>
  <c r="AG68" i="23"/>
  <c r="AF68" i="23"/>
  <c r="AE68" i="23"/>
  <c r="AD68" i="23"/>
  <c r="AB68" i="23"/>
  <c r="AA68" i="23"/>
  <c r="AC68" i="23" s="1"/>
  <c r="Z68" i="23"/>
  <c r="Y68" i="23"/>
  <c r="W68" i="23"/>
  <c r="U68" i="23"/>
  <c r="S68" i="23"/>
  <c r="Q68" i="23"/>
  <c r="O68" i="23"/>
  <c r="N68" i="23"/>
  <c r="P68" i="23" s="1"/>
  <c r="L68" i="23"/>
  <c r="K68" i="23"/>
  <c r="M68" i="23" s="1"/>
  <c r="I68" i="23"/>
  <c r="H68" i="23"/>
  <c r="E68" i="23"/>
  <c r="D68" i="23"/>
  <c r="C68" i="23"/>
  <c r="AH67" i="23"/>
  <c r="AG67" i="23"/>
  <c r="AF67" i="23"/>
  <c r="AE67" i="23"/>
  <c r="AD67" i="23"/>
  <c r="AB67" i="23"/>
  <c r="AA67" i="23"/>
  <c r="AC67" i="23" s="1"/>
  <c r="Z67" i="23"/>
  <c r="Y67" i="23"/>
  <c r="W67" i="23"/>
  <c r="U67" i="23"/>
  <c r="S67" i="23"/>
  <c r="Q67" i="23"/>
  <c r="O67" i="23"/>
  <c r="N67" i="23"/>
  <c r="L67" i="23"/>
  <c r="K67" i="23"/>
  <c r="M67" i="23" s="1"/>
  <c r="I67" i="23"/>
  <c r="H67" i="23"/>
  <c r="E67" i="23"/>
  <c r="D67" i="23"/>
  <c r="C67" i="23"/>
  <c r="AH66" i="23"/>
  <c r="AG66" i="23"/>
  <c r="AF66" i="23"/>
  <c r="AE66" i="23"/>
  <c r="AD66" i="23"/>
  <c r="AB66" i="23"/>
  <c r="AA66" i="23"/>
  <c r="AC66" i="23" s="1"/>
  <c r="Z66" i="23"/>
  <c r="Y66" i="23"/>
  <c r="W66" i="23"/>
  <c r="U66" i="23"/>
  <c r="S66" i="23"/>
  <c r="Q66" i="23"/>
  <c r="O66" i="23"/>
  <c r="P66" i="23" s="1"/>
  <c r="N66" i="23"/>
  <c r="L66" i="23"/>
  <c r="M66" i="23" s="1"/>
  <c r="K66" i="23"/>
  <c r="I66" i="23"/>
  <c r="H66" i="23"/>
  <c r="E66" i="23"/>
  <c r="D66" i="23"/>
  <c r="C66" i="23"/>
  <c r="AH65" i="23"/>
  <c r="AG65" i="23"/>
  <c r="AF65" i="23"/>
  <c r="AE65" i="23"/>
  <c r="AD65" i="23"/>
  <c r="AB65" i="23"/>
  <c r="AA65" i="23"/>
  <c r="AC65" i="23" s="1"/>
  <c r="Z65" i="23"/>
  <c r="Y65" i="23"/>
  <c r="W65" i="23"/>
  <c r="U65" i="23"/>
  <c r="S65" i="23"/>
  <c r="Q65" i="23"/>
  <c r="O65" i="23"/>
  <c r="N65" i="23"/>
  <c r="P65" i="23" s="1"/>
  <c r="L65" i="23"/>
  <c r="K65" i="23"/>
  <c r="M65" i="23" s="1"/>
  <c r="I65" i="23"/>
  <c r="H65" i="23"/>
  <c r="E65" i="23"/>
  <c r="D65" i="23"/>
  <c r="C65" i="23"/>
  <c r="AH64" i="23"/>
  <c r="AG64" i="23"/>
  <c r="AF64" i="23"/>
  <c r="AE64" i="23"/>
  <c r="AD64" i="23"/>
  <c r="AB64" i="23"/>
  <c r="AA64" i="23"/>
  <c r="AC64" i="23" s="1"/>
  <c r="Z64" i="23"/>
  <c r="Y64" i="23"/>
  <c r="W64" i="23"/>
  <c r="U64" i="23"/>
  <c r="S64" i="23"/>
  <c r="Q64" i="23"/>
  <c r="O64" i="23"/>
  <c r="N64" i="23"/>
  <c r="P64" i="23" s="1"/>
  <c r="L64" i="23"/>
  <c r="K64" i="23"/>
  <c r="M64" i="23" s="1"/>
  <c r="I64" i="23"/>
  <c r="H64" i="23"/>
  <c r="E64" i="23"/>
  <c r="D64" i="23"/>
  <c r="C64" i="23"/>
  <c r="AH63" i="23"/>
  <c r="AG63" i="23"/>
  <c r="AF63" i="23"/>
  <c r="AE63" i="23"/>
  <c r="AD63" i="23"/>
  <c r="AB63" i="23"/>
  <c r="AA63" i="23"/>
  <c r="AC63" i="23" s="1"/>
  <c r="Z63" i="23"/>
  <c r="Y63" i="23"/>
  <c r="W63" i="23"/>
  <c r="U63" i="23"/>
  <c r="S63" i="23"/>
  <c r="Q63" i="23"/>
  <c r="O63" i="23"/>
  <c r="N63" i="23"/>
  <c r="P63" i="23" s="1"/>
  <c r="L63" i="23"/>
  <c r="K63" i="23"/>
  <c r="M63" i="23" s="1"/>
  <c r="I63" i="23"/>
  <c r="H63" i="23"/>
  <c r="X63" i="23" s="1"/>
  <c r="E63" i="23"/>
  <c r="D63" i="23"/>
  <c r="C63" i="23"/>
  <c r="AH62" i="23"/>
  <c r="AG62" i="23"/>
  <c r="AF62" i="23"/>
  <c r="AE62" i="23"/>
  <c r="AD62" i="23"/>
  <c r="AB62" i="23"/>
  <c r="AA62" i="23"/>
  <c r="AC62" i="23" s="1"/>
  <c r="Z62" i="23"/>
  <c r="Y62" i="23"/>
  <c r="W62" i="23"/>
  <c r="U62" i="23"/>
  <c r="S62" i="23"/>
  <c r="Q62" i="23"/>
  <c r="O62" i="23"/>
  <c r="N62" i="23"/>
  <c r="L62" i="23"/>
  <c r="K62" i="23"/>
  <c r="I62" i="23"/>
  <c r="H62" i="23"/>
  <c r="E62" i="23"/>
  <c r="D62" i="23"/>
  <c r="G62" i="23" s="1"/>
  <c r="C62" i="23"/>
  <c r="AH61" i="23"/>
  <c r="AG61" i="23"/>
  <c r="AF61" i="23"/>
  <c r="AE61" i="23"/>
  <c r="AD61" i="23"/>
  <c r="AB61" i="23"/>
  <c r="AA61" i="23"/>
  <c r="AC61" i="23" s="1"/>
  <c r="Z61" i="23"/>
  <c r="Y61" i="23"/>
  <c r="W61" i="23"/>
  <c r="U61" i="23"/>
  <c r="S61" i="23"/>
  <c r="T61" i="23" s="1"/>
  <c r="Q61" i="23"/>
  <c r="O61" i="23"/>
  <c r="P61" i="23" s="1"/>
  <c r="N61" i="23"/>
  <c r="L61" i="23"/>
  <c r="K61" i="23"/>
  <c r="I61" i="23"/>
  <c r="J61" i="23" s="1"/>
  <c r="H61" i="23"/>
  <c r="E61" i="23"/>
  <c r="G61" i="23" s="1"/>
  <c r="D61" i="23"/>
  <c r="C61" i="23"/>
  <c r="AH60" i="23"/>
  <c r="AG60" i="23"/>
  <c r="AF60" i="23"/>
  <c r="AE60" i="23"/>
  <c r="AD60" i="23"/>
  <c r="AB60" i="23"/>
  <c r="AA60" i="23"/>
  <c r="AC60" i="23" s="1"/>
  <c r="Z60" i="23"/>
  <c r="Y60" i="23"/>
  <c r="W60" i="23"/>
  <c r="U60" i="23"/>
  <c r="S60" i="23"/>
  <c r="Q60" i="23"/>
  <c r="O60" i="23"/>
  <c r="N60" i="23"/>
  <c r="P60" i="23" s="1"/>
  <c r="L60" i="23"/>
  <c r="K60" i="23"/>
  <c r="M60" i="23" s="1"/>
  <c r="J60" i="23"/>
  <c r="I60" i="23"/>
  <c r="H60" i="23"/>
  <c r="V60" i="23" s="1"/>
  <c r="E60" i="23"/>
  <c r="D60" i="23"/>
  <c r="C60" i="23"/>
  <c r="AH59" i="23"/>
  <c r="AG59" i="23"/>
  <c r="AF59" i="23"/>
  <c r="AE59" i="23"/>
  <c r="AD59" i="23"/>
  <c r="AB59" i="23"/>
  <c r="AA59" i="23"/>
  <c r="AC59" i="23" s="1"/>
  <c r="Z59" i="23"/>
  <c r="Y59" i="23"/>
  <c r="W59" i="23"/>
  <c r="U59" i="23"/>
  <c r="S59" i="23"/>
  <c r="T59" i="23" s="1"/>
  <c r="Q59" i="23"/>
  <c r="O59" i="23"/>
  <c r="N59" i="23"/>
  <c r="P59" i="23" s="1"/>
  <c r="L59" i="23"/>
  <c r="K59" i="23"/>
  <c r="M59" i="23" s="1"/>
  <c r="I59" i="23"/>
  <c r="H59" i="23"/>
  <c r="E59" i="23"/>
  <c r="D59" i="23"/>
  <c r="C59" i="23"/>
  <c r="AH58" i="23"/>
  <c r="AG58" i="23"/>
  <c r="AF58" i="23"/>
  <c r="AE58" i="23"/>
  <c r="AD58" i="23"/>
  <c r="AB58" i="23"/>
  <c r="AA58" i="23"/>
  <c r="AC58" i="23" s="1"/>
  <c r="Z58" i="23"/>
  <c r="Y58" i="23"/>
  <c r="W58" i="23"/>
  <c r="U58" i="23"/>
  <c r="S58" i="23"/>
  <c r="Q58" i="23"/>
  <c r="O58" i="23"/>
  <c r="N58" i="23"/>
  <c r="L58" i="23"/>
  <c r="K58" i="23"/>
  <c r="I58" i="23"/>
  <c r="H58" i="23"/>
  <c r="V58" i="23" s="1"/>
  <c r="E58" i="23"/>
  <c r="D58" i="23"/>
  <c r="C58" i="23"/>
  <c r="AH57" i="23"/>
  <c r="AG57" i="23"/>
  <c r="AF57" i="23"/>
  <c r="AE57" i="23"/>
  <c r="AD57" i="23"/>
  <c r="AB57" i="23"/>
  <c r="AA57" i="23"/>
  <c r="AC57" i="23" s="1"/>
  <c r="Z57" i="23"/>
  <c r="Y57" i="23"/>
  <c r="W57" i="23"/>
  <c r="U57" i="23"/>
  <c r="S57" i="23"/>
  <c r="Q57" i="23"/>
  <c r="O57" i="23"/>
  <c r="N57" i="23"/>
  <c r="P57" i="23" s="1"/>
  <c r="L57" i="23"/>
  <c r="K57" i="23"/>
  <c r="M57" i="23" s="1"/>
  <c r="I57" i="23"/>
  <c r="H57" i="23"/>
  <c r="E57" i="23"/>
  <c r="D57" i="23"/>
  <c r="C57" i="23"/>
  <c r="F57" i="23" s="1"/>
  <c r="AH56" i="23"/>
  <c r="AG56" i="23"/>
  <c r="AF56" i="23"/>
  <c r="AE56" i="23"/>
  <c r="AD56" i="23"/>
  <c r="AB56" i="23"/>
  <c r="AA56" i="23"/>
  <c r="AC56" i="23" s="1"/>
  <c r="Z56" i="23"/>
  <c r="Y56" i="23"/>
  <c r="W56" i="23"/>
  <c r="U56" i="23"/>
  <c r="S56" i="23"/>
  <c r="Q56" i="23"/>
  <c r="O56" i="23"/>
  <c r="N56" i="23"/>
  <c r="L56" i="23"/>
  <c r="K56" i="23"/>
  <c r="I56" i="23"/>
  <c r="H56" i="23"/>
  <c r="E56" i="23"/>
  <c r="D56" i="23"/>
  <c r="C56" i="23"/>
  <c r="AH55" i="23"/>
  <c r="AG55" i="23"/>
  <c r="AF55" i="23"/>
  <c r="AE55" i="23"/>
  <c r="AD55" i="23"/>
  <c r="AB55" i="23"/>
  <c r="AA55" i="23"/>
  <c r="Z55" i="23"/>
  <c r="Y55" i="23"/>
  <c r="W55" i="23"/>
  <c r="U55" i="23"/>
  <c r="S55" i="23"/>
  <c r="Q55" i="23"/>
  <c r="O55" i="23"/>
  <c r="N55" i="23"/>
  <c r="P55" i="23" s="1"/>
  <c r="L55" i="23"/>
  <c r="K55" i="23"/>
  <c r="M55" i="23" s="1"/>
  <c r="I55" i="23"/>
  <c r="H55" i="23"/>
  <c r="T55" i="23" s="1"/>
  <c r="E55" i="23"/>
  <c r="D55" i="23"/>
  <c r="C55" i="23"/>
  <c r="AH54" i="23"/>
  <c r="AG54" i="23"/>
  <c r="AF54" i="23"/>
  <c r="AE54" i="23"/>
  <c r="AD54" i="23"/>
  <c r="AC54" i="23"/>
  <c r="AB54" i="23"/>
  <c r="AA54" i="23"/>
  <c r="Z54" i="23"/>
  <c r="Y54" i="23"/>
  <c r="W54" i="23"/>
  <c r="U54" i="23"/>
  <c r="V54" i="23" s="1"/>
  <c r="S54" i="23"/>
  <c r="Q54" i="23"/>
  <c r="O54" i="23"/>
  <c r="N54" i="23"/>
  <c r="P54" i="23" s="1"/>
  <c r="L54" i="23"/>
  <c r="K54" i="23"/>
  <c r="M54" i="23" s="1"/>
  <c r="I54" i="23"/>
  <c r="H54" i="23"/>
  <c r="R54" i="23" s="1"/>
  <c r="E54" i="23"/>
  <c r="D54" i="23"/>
  <c r="C54" i="23"/>
  <c r="AH53" i="23"/>
  <c r="AG53" i="23"/>
  <c r="AF53" i="23"/>
  <c r="AE53" i="23"/>
  <c r="AD53" i="23"/>
  <c r="AB53" i="23"/>
  <c r="AA53" i="23"/>
  <c r="AC53" i="23" s="1"/>
  <c r="Z53" i="23"/>
  <c r="Y53" i="23"/>
  <c r="W53" i="23"/>
  <c r="U53" i="23"/>
  <c r="S53" i="23"/>
  <c r="Q53" i="23"/>
  <c r="O53" i="23"/>
  <c r="N53" i="23"/>
  <c r="L53" i="23"/>
  <c r="K53" i="23"/>
  <c r="M53" i="23" s="1"/>
  <c r="I53" i="23"/>
  <c r="H53" i="23"/>
  <c r="E53" i="23"/>
  <c r="D53" i="23"/>
  <c r="C53" i="23"/>
  <c r="AH51" i="23"/>
  <c r="AG51" i="23"/>
  <c r="AF51" i="23"/>
  <c r="AE51" i="23"/>
  <c r="AD51" i="23"/>
  <c r="AB51" i="23"/>
  <c r="AA51" i="23"/>
  <c r="AC51" i="23" s="1"/>
  <c r="Z51" i="23"/>
  <c r="Y51" i="23"/>
  <c r="W51" i="23"/>
  <c r="U51" i="23"/>
  <c r="S51" i="23"/>
  <c r="Q51" i="23"/>
  <c r="O51" i="23"/>
  <c r="N51" i="23"/>
  <c r="P51" i="23" s="1"/>
  <c r="L51" i="23"/>
  <c r="K51" i="23"/>
  <c r="M51" i="23" s="1"/>
  <c r="I51" i="23"/>
  <c r="H51" i="23"/>
  <c r="E51" i="23"/>
  <c r="D51" i="23"/>
  <c r="C51" i="23"/>
  <c r="AH50" i="23"/>
  <c r="AG50" i="23"/>
  <c r="AF50" i="23"/>
  <c r="AE50" i="23"/>
  <c r="AD50" i="23"/>
  <c r="AB50" i="23"/>
  <c r="AA50" i="23"/>
  <c r="AC50" i="23" s="1"/>
  <c r="Z50" i="23"/>
  <c r="Y50" i="23"/>
  <c r="W50" i="23"/>
  <c r="U50" i="23"/>
  <c r="S50" i="23"/>
  <c r="Q50" i="23"/>
  <c r="O50" i="23"/>
  <c r="N50" i="23"/>
  <c r="L50" i="23"/>
  <c r="K50" i="23"/>
  <c r="M50" i="23" s="1"/>
  <c r="I50" i="23"/>
  <c r="H50" i="23"/>
  <c r="E50" i="23"/>
  <c r="G50" i="23" s="1"/>
  <c r="D50" i="23"/>
  <c r="C50" i="23"/>
  <c r="AH49" i="23"/>
  <c r="AG49" i="23"/>
  <c r="AF49" i="23"/>
  <c r="AE49" i="23"/>
  <c r="AD49" i="23"/>
  <c r="AB49" i="23"/>
  <c r="AA49" i="23"/>
  <c r="AC49" i="23" s="1"/>
  <c r="Z49" i="23"/>
  <c r="Y49" i="23"/>
  <c r="W49" i="23"/>
  <c r="U49" i="23"/>
  <c r="S49" i="23"/>
  <c r="Q49" i="23"/>
  <c r="O49" i="23"/>
  <c r="N49" i="23"/>
  <c r="P49" i="23" s="1"/>
  <c r="L49" i="23"/>
  <c r="K49" i="23"/>
  <c r="M49" i="23" s="1"/>
  <c r="I49" i="23"/>
  <c r="H49" i="23"/>
  <c r="E49" i="23"/>
  <c r="D49" i="23"/>
  <c r="C49" i="23"/>
  <c r="AH48" i="23"/>
  <c r="AG48" i="23"/>
  <c r="AF48" i="23"/>
  <c r="AE48" i="23"/>
  <c r="AD48" i="23"/>
  <c r="AB48" i="23"/>
  <c r="AA48" i="23"/>
  <c r="AC48" i="23" s="1"/>
  <c r="Z48" i="23"/>
  <c r="Y48" i="23"/>
  <c r="W48" i="23"/>
  <c r="U48" i="23"/>
  <c r="S48" i="23"/>
  <c r="Q48" i="23"/>
  <c r="O48" i="23"/>
  <c r="N48" i="23"/>
  <c r="P48" i="23" s="1"/>
  <c r="L48" i="23"/>
  <c r="K48" i="23"/>
  <c r="M48" i="23" s="1"/>
  <c r="I48" i="23"/>
  <c r="H48" i="23"/>
  <c r="E48" i="23"/>
  <c r="D48" i="23"/>
  <c r="C48" i="23"/>
  <c r="F48" i="23" s="1"/>
  <c r="AH47" i="23"/>
  <c r="AG47" i="23"/>
  <c r="AF47" i="23"/>
  <c r="AE47" i="23"/>
  <c r="AD47" i="23"/>
  <c r="AB47" i="23"/>
  <c r="AA47" i="23"/>
  <c r="AC47" i="23" s="1"/>
  <c r="Z47" i="23"/>
  <c r="Y47" i="23"/>
  <c r="W47" i="23"/>
  <c r="U47" i="23"/>
  <c r="S47" i="23"/>
  <c r="Q47" i="23"/>
  <c r="O47" i="23"/>
  <c r="N47" i="23"/>
  <c r="P47" i="23" s="1"/>
  <c r="L47" i="23"/>
  <c r="K47" i="23"/>
  <c r="M47" i="23" s="1"/>
  <c r="I47" i="23"/>
  <c r="H47" i="23"/>
  <c r="T47" i="23" s="1"/>
  <c r="E47" i="23"/>
  <c r="D47" i="23"/>
  <c r="G47" i="23" s="1"/>
  <c r="C47" i="23"/>
  <c r="AH46" i="23"/>
  <c r="AG46" i="23"/>
  <c r="AF46" i="23"/>
  <c r="AE46" i="23"/>
  <c r="AD46" i="23"/>
  <c r="AB46" i="23"/>
  <c r="AA46" i="23"/>
  <c r="AC46" i="23" s="1"/>
  <c r="Z46" i="23"/>
  <c r="Y46" i="23"/>
  <c r="W46" i="23"/>
  <c r="U46" i="23"/>
  <c r="S46" i="23"/>
  <c r="Q46" i="23"/>
  <c r="O46" i="23"/>
  <c r="N46" i="23"/>
  <c r="P46" i="23" s="1"/>
  <c r="L46" i="23"/>
  <c r="K46" i="23"/>
  <c r="M46" i="23" s="1"/>
  <c r="I46" i="23"/>
  <c r="H46" i="23"/>
  <c r="T46" i="23" s="1"/>
  <c r="E46" i="23"/>
  <c r="D46" i="23"/>
  <c r="G46" i="23" s="1"/>
  <c r="C46" i="23"/>
  <c r="AH45" i="23"/>
  <c r="AG45" i="23"/>
  <c r="AF45" i="23"/>
  <c r="AE45" i="23"/>
  <c r="AD45" i="23"/>
  <c r="AB45" i="23"/>
  <c r="AA45" i="23"/>
  <c r="AC45" i="23" s="1"/>
  <c r="Z45" i="23"/>
  <c r="Y45" i="23"/>
  <c r="W45" i="23"/>
  <c r="U45" i="23"/>
  <c r="S45" i="23"/>
  <c r="Q45" i="23"/>
  <c r="O45" i="23"/>
  <c r="N45" i="23"/>
  <c r="L45" i="23"/>
  <c r="K45" i="23"/>
  <c r="I45" i="23"/>
  <c r="H45" i="23"/>
  <c r="E45" i="23"/>
  <c r="D45" i="23"/>
  <c r="G45" i="23" s="1"/>
  <c r="C45" i="23"/>
  <c r="AH44" i="23"/>
  <c r="AG44" i="23"/>
  <c r="AF44" i="23"/>
  <c r="AE44" i="23"/>
  <c r="AD44" i="23"/>
  <c r="AC44" i="23"/>
  <c r="AB44" i="23"/>
  <c r="AA44" i="23"/>
  <c r="Z44" i="23"/>
  <c r="Y44" i="23"/>
  <c r="W44" i="23"/>
  <c r="U44" i="23"/>
  <c r="S44" i="23"/>
  <c r="Q44" i="23"/>
  <c r="O44" i="23"/>
  <c r="N44" i="23"/>
  <c r="P44" i="23" s="1"/>
  <c r="L44" i="23"/>
  <c r="K44" i="23"/>
  <c r="M44" i="23" s="1"/>
  <c r="I44" i="23"/>
  <c r="H44" i="23"/>
  <c r="E44" i="23"/>
  <c r="D44" i="23"/>
  <c r="C44" i="23"/>
  <c r="AH43" i="23"/>
  <c r="AG43" i="23"/>
  <c r="AF43" i="23"/>
  <c r="AE43" i="23"/>
  <c r="AD43" i="23"/>
  <c r="AB43" i="23"/>
  <c r="AA43" i="23"/>
  <c r="AC43" i="23" s="1"/>
  <c r="Z43" i="23"/>
  <c r="Y43" i="23"/>
  <c r="W43" i="23"/>
  <c r="U43" i="23"/>
  <c r="S43" i="23"/>
  <c r="Q43" i="23"/>
  <c r="O43" i="23"/>
  <c r="N43" i="23"/>
  <c r="P43" i="23" s="1"/>
  <c r="L43" i="23"/>
  <c r="K43" i="23"/>
  <c r="M43" i="23" s="1"/>
  <c r="I43" i="23"/>
  <c r="H43" i="23"/>
  <c r="E43" i="23"/>
  <c r="D43" i="23"/>
  <c r="C43" i="23"/>
  <c r="AH42" i="23"/>
  <c r="AG42" i="23"/>
  <c r="AF42" i="23"/>
  <c r="AE42" i="23"/>
  <c r="AD42" i="23"/>
  <c r="AB42" i="23"/>
  <c r="AA42" i="23"/>
  <c r="AC42" i="23" s="1"/>
  <c r="Z42" i="23"/>
  <c r="Y42" i="23"/>
  <c r="W42" i="23"/>
  <c r="U42" i="23"/>
  <c r="S42" i="23"/>
  <c r="Q42" i="23"/>
  <c r="O42" i="23"/>
  <c r="N42" i="23"/>
  <c r="P42" i="23" s="1"/>
  <c r="L42" i="23"/>
  <c r="K42" i="23"/>
  <c r="M42" i="23" s="1"/>
  <c r="I42" i="23"/>
  <c r="H42" i="23"/>
  <c r="X42" i="23" s="1"/>
  <c r="E42" i="23"/>
  <c r="D42" i="23"/>
  <c r="C42" i="23"/>
  <c r="AH41" i="23"/>
  <c r="AG41" i="23"/>
  <c r="AF41" i="23"/>
  <c r="AE41" i="23"/>
  <c r="AD41" i="23"/>
  <c r="AB41" i="23"/>
  <c r="AA41" i="23"/>
  <c r="AC41" i="23" s="1"/>
  <c r="Z41" i="23"/>
  <c r="Y41" i="23"/>
  <c r="W41" i="23"/>
  <c r="U41" i="23"/>
  <c r="S41" i="23"/>
  <c r="Q41" i="23"/>
  <c r="O41" i="23"/>
  <c r="N41" i="23"/>
  <c r="P41" i="23" s="1"/>
  <c r="L41" i="23"/>
  <c r="K41" i="23"/>
  <c r="I41" i="23"/>
  <c r="H41" i="23"/>
  <c r="E41" i="23"/>
  <c r="D41" i="23"/>
  <c r="G41" i="23" s="1"/>
  <c r="C41" i="23"/>
  <c r="AH40" i="23"/>
  <c r="AG40" i="23"/>
  <c r="AF40" i="23"/>
  <c r="AE40" i="23"/>
  <c r="AD40" i="23"/>
  <c r="AB40" i="23"/>
  <c r="AA40" i="23"/>
  <c r="AC40" i="23" s="1"/>
  <c r="Z40" i="23"/>
  <c r="Y40" i="23"/>
  <c r="W40" i="23"/>
  <c r="U40" i="23"/>
  <c r="S40" i="23"/>
  <c r="Q40" i="23"/>
  <c r="O40" i="23"/>
  <c r="P40" i="23" s="1"/>
  <c r="N40" i="23"/>
  <c r="L40" i="23"/>
  <c r="K40" i="23"/>
  <c r="I40" i="23"/>
  <c r="J40" i="23" s="1"/>
  <c r="H40" i="23"/>
  <c r="E40" i="23"/>
  <c r="D40" i="23"/>
  <c r="C40" i="23"/>
  <c r="F40" i="23" s="1"/>
  <c r="AH39" i="23"/>
  <c r="AG39" i="23"/>
  <c r="AF39" i="23"/>
  <c r="AE39" i="23"/>
  <c r="AD39" i="23"/>
  <c r="AB39" i="23"/>
  <c r="AA39" i="23"/>
  <c r="AC39" i="23" s="1"/>
  <c r="Z39" i="23"/>
  <c r="Y39" i="23"/>
  <c r="W39" i="23"/>
  <c r="U39" i="23"/>
  <c r="S39" i="23"/>
  <c r="Q39" i="23"/>
  <c r="O39" i="23"/>
  <c r="N39" i="23"/>
  <c r="L39" i="23"/>
  <c r="K39" i="23"/>
  <c r="I39" i="23"/>
  <c r="H39" i="23"/>
  <c r="R39" i="23" s="1"/>
  <c r="E39" i="23"/>
  <c r="D39" i="23"/>
  <c r="C39" i="23"/>
  <c r="AH38" i="23"/>
  <c r="AG38" i="23"/>
  <c r="AF38" i="23"/>
  <c r="AE38" i="23"/>
  <c r="AD38" i="23"/>
  <c r="AB38" i="23"/>
  <c r="AA38" i="23"/>
  <c r="AC38" i="23" s="1"/>
  <c r="Z38" i="23"/>
  <c r="Y38" i="23"/>
  <c r="W38" i="23"/>
  <c r="U38" i="23"/>
  <c r="S38" i="23"/>
  <c r="Q38" i="23"/>
  <c r="O38" i="23"/>
  <c r="N38" i="23"/>
  <c r="P38" i="23" s="1"/>
  <c r="L38" i="23"/>
  <c r="K38" i="23"/>
  <c r="M38" i="23" s="1"/>
  <c r="I38" i="23"/>
  <c r="H38" i="23"/>
  <c r="E38" i="23"/>
  <c r="D38" i="23"/>
  <c r="C38" i="23"/>
  <c r="AH37" i="23"/>
  <c r="AG37" i="23"/>
  <c r="AF37" i="23"/>
  <c r="AE37" i="23"/>
  <c r="AD37" i="23"/>
  <c r="AB37" i="23"/>
  <c r="AA37" i="23"/>
  <c r="AC37" i="23" s="1"/>
  <c r="Z37" i="23"/>
  <c r="Y37" i="23"/>
  <c r="W37" i="23"/>
  <c r="U37" i="23"/>
  <c r="S37" i="23"/>
  <c r="Q37" i="23"/>
  <c r="O37" i="23"/>
  <c r="N37" i="23"/>
  <c r="L37" i="23"/>
  <c r="K37" i="23"/>
  <c r="I37" i="23"/>
  <c r="H37" i="23"/>
  <c r="E37" i="23"/>
  <c r="D37" i="23"/>
  <c r="C37" i="23"/>
  <c r="AH36" i="23"/>
  <c r="AG36" i="23"/>
  <c r="AF36" i="23"/>
  <c r="AE36" i="23"/>
  <c r="AD36" i="23"/>
  <c r="AB36" i="23"/>
  <c r="AA36" i="23"/>
  <c r="AC36" i="23" s="1"/>
  <c r="Z36" i="23"/>
  <c r="Y36" i="23"/>
  <c r="W36" i="23"/>
  <c r="U36" i="23"/>
  <c r="S36" i="23"/>
  <c r="Q36" i="23"/>
  <c r="O36" i="23"/>
  <c r="N36" i="23"/>
  <c r="P36" i="23" s="1"/>
  <c r="L36" i="23"/>
  <c r="K36" i="23"/>
  <c r="M36" i="23" s="1"/>
  <c r="I36" i="23"/>
  <c r="H36" i="23"/>
  <c r="E36" i="23"/>
  <c r="D36" i="23"/>
  <c r="C36" i="23"/>
  <c r="AH35" i="23"/>
  <c r="AG35" i="23"/>
  <c r="AF35" i="23"/>
  <c r="AE35" i="23"/>
  <c r="AD35" i="23"/>
  <c r="AB35" i="23"/>
  <c r="AA35" i="23"/>
  <c r="AC35" i="23" s="1"/>
  <c r="Z35" i="23"/>
  <c r="Y35" i="23"/>
  <c r="W35" i="23"/>
  <c r="U35" i="23"/>
  <c r="S35" i="23"/>
  <c r="Q35" i="23"/>
  <c r="O35" i="23"/>
  <c r="N35" i="23"/>
  <c r="P35" i="23" s="1"/>
  <c r="L35" i="23"/>
  <c r="K35" i="23"/>
  <c r="M35" i="23" s="1"/>
  <c r="I35" i="23"/>
  <c r="H35" i="23"/>
  <c r="E35" i="23"/>
  <c r="F35" i="23" s="1"/>
  <c r="D35" i="23"/>
  <c r="G35" i="23" s="1"/>
  <c r="C35" i="23"/>
  <c r="AH34" i="23"/>
  <c r="AG34" i="23"/>
  <c r="AF34" i="23"/>
  <c r="AE34" i="23"/>
  <c r="AD34" i="23"/>
  <c r="AB34" i="23"/>
  <c r="AA34" i="23"/>
  <c r="Z34" i="23"/>
  <c r="Y34" i="23"/>
  <c r="W34" i="23"/>
  <c r="U34" i="23"/>
  <c r="S34" i="23"/>
  <c r="Q34" i="23"/>
  <c r="O34" i="23"/>
  <c r="N34" i="23"/>
  <c r="P34" i="23" s="1"/>
  <c r="L34" i="23"/>
  <c r="K34" i="23"/>
  <c r="M34" i="23" s="1"/>
  <c r="I34" i="23"/>
  <c r="H34" i="23"/>
  <c r="E34" i="23"/>
  <c r="D34" i="23"/>
  <c r="C34" i="23"/>
  <c r="AH33" i="23"/>
  <c r="AG33" i="23"/>
  <c r="AF33" i="23"/>
  <c r="AE33" i="23"/>
  <c r="AD33" i="23"/>
  <c r="AB33" i="23"/>
  <c r="AA33" i="23"/>
  <c r="AC33" i="23" s="1"/>
  <c r="Z33" i="23"/>
  <c r="Y33" i="23"/>
  <c r="W33" i="23"/>
  <c r="U33" i="23"/>
  <c r="S33" i="23"/>
  <c r="Q33" i="23"/>
  <c r="O33" i="23"/>
  <c r="N33" i="23"/>
  <c r="L33" i="23"/>
  <c r="K33" i="23"/>
  <c r="I33" i="23"/>
  <c r="H33" i="23"/>
  <c r="E33" i="23"/>
  <c r="D33" i="23"/>
  <c r="C33" i="23"/>
  <c r="AH32" i="23"/>
  <c r="AG32" i="23"/>
  <c r="AF32" i="23"/>
  <c r="AE32" i="23"/>
  <c r="AD32" i="23"/>
  <c r="AB32" i="23"/>
  <c r="AA32" i="23"/>
  <c r="AC32" i="23" s="1"/>
  <c r="Z32" i="23"/>
  <c r="Y32" i="23"/>
  <c r="W32" i="23"/>
  <c r="U32" i="23"/>
  <c r="S32" i="23"/>
  <c r="Q32" i="23"/>
  <c r="O32" i="23"/>
  <c r="N32" i="23"/>
  <c r="L32" i="23"/>
  <c r="K32" i="23"/>
  <c r="M32" i="23" s="1"/>
  <c r="I32" i="23"/>
  <c r="H32" i="23"/>
  <c r="T32" i="23" s="1"/>
  <c r="E32" i="23"/>
  <c r="F32" i="23" s="1"/>
  <c r="D32" i="23"/>
  <c r="C32" i="23"/>
  <c r="AH30" i="23"/>
  <c r="AG30" i="23"/>
  <c r="AF30" i="23"/>
  <c r="AE30" i="23"/>
  <c r="AD30" i="23"/>
  <c r="AB30" i="23"/>
  <c r="AA30" i="23"/>
  <c r="AC30" i="23" s="1"/>
  <c r="Z30" i="23"/>
  <c r="Y30" i="23"/>
  <c r="W30" i="23"/>
  <c r="U30" i="23"/>
  <c r="S30" i="23"/>
  <c r="Q30" i="23"/>
  <c r="P30" i="23"/>
  <c r="O30" i="23"/>
  <c r="N30" i="23"/>
  <c r="L30" i="23"/>
  <c r="K30" i="23"/>
  <c r="M30" i="23" s="1"/>
  <c r="I30" i="23"/>
  <c r="H30" i="23"/>
  <c r="X30" i="23" s="1"/>
  <c r="E30" i="23"/>
  <c r="D30" i="23"/>
  <c r="C30" i="23"/>
  <c r="AH29" i="23"/>
  <c r="AG29" i="23"/>
  <c r="AF29" i="23"/>
  <c r="AE29" i="23"/>
  <c r="AD29" i="23"/>
  <c r="AB29" i="23"/>
  <c r="AA29" i="23"/>
  <c r="AC29" i="23" s="1"/>
  <c r="Z29" i="23"/>
  <c r="Y29" i="23"/>
  <c r="W29" i="23"/>
  <c r="U29" i="23"/>
  <c r="S29" i="23"/>
  <c r="Q29" i="23"/>
  <c r="O29" i="23"/>
  <c r="N29" i="23"/>
  <c r="P29" i="23" s="1"/>
  <c r="L29" i="23"/>
  <c r="K29" i="23"/>
  <c r="M29" i="23" s="1"/>
  <c r="I29" i="23"/>
  <c r="H29" i="23"/>
  <c r="E29" i="23"/>
  <c r="D29" i="23"/>
  <c r="G29" i="23" s="1"/>
  <c r="C29" i="23"/>
  <c r="AH28" i="23"/>
  <c r="AG28" i="23"/>
  <c r="AF28" i="23"/>
  <c r="AE28" i="23"/>
  <c r="AD28" i="23"/>
  <c r="AB28" i="23"/>
  <c r="AA28" i="23"/>
  <c r="AC28" i="23" s="1"/>
  <c r="Z28" i="23"/>
  <c r="Y28" i="23"/>
  <c r="W28" i="23"/>
  <c r="U28" i="23"/>
  <c r="S28" i="23"/>
  <c r="Q28" i="23"/>
  <c r="O28" i="23"/>
  <c r="N28" i="23"/>
  <c r="P28" i="23" s="1"/>
  <c r="L28" i="23"/>
  <c r="K28" i="23"/>
  <c r="M28" i="23" s="1"/>
  <c r="I28" i="23"/>
  <c r="H28" i="23"/>
  <c r="E28" i="23"/>
  <c r="D28" i="23"/>
  <c r="C28" i="23"/>
  <c r="AH27" i="23"/>
  <c r="AG27" i="23"/>
  <c r="AF27" i="23"/>
  <c r="AE27" i="23"/>
  <c r="AD27" i="23"/>
  <c r="AB27" i="23"/>
  <c r="AA27" i="23"/>
  <c r="AC27" i="23" s="1"/>
  <c r="Z27" i="23"/>
  <c r="Y27" i="23"/>
  <c r="W27" i="23"/>
  <c r="U27" i="23"/>
  <c r="S27" i="23"/>
  <c r="Q27" i="23"/>
  <c r="O27" i="23"/>
  <c r="N27" i="23"/>
  <c r="P27" i="23" s="1"/>
  <c r="L27" i="23"/>
  <c r="K27" i="23"/>
  <c r="M27" i="23" s="1"/>
  <c r="I27" i="23"/>
  <c r="H27" i="23"/>
  <c r="E27" i="23"/>
  <c r="D27" i="23"/>
  <c r="C27" i="23"/>
  <c r="AH26" i="23"/>
  <c r="AG26" i="23"/>
  <c r="AF26" i="23"/>
  <c r="AE26" i="23"/>
  <c r="AD26" i="23"/>
  <c r="AB26" i="23"/>
  <c r="AA26" i="23"/>
  <c r="AC26" i="23" s="1"/>
  <c r="Z26" i="23"/>
  <c r="Y26" i="23"/>
  <c r="W26" i="23"/>
  <c r="U26" i="23"/>
  <c r="S26" i="23"/>
  <c r="Q26" i="23"/>
  <c r="O26" i="23"/>
  <c r="N26" i="23"/>
  <c r="P26" i="23" s="1"/>
  <c r="L26" i="23"/>
  <c r="K26" i="23"/>
  <c r="M26" i="23" s="1"/>
  <c r="I26" i="23"/>
  <c r="H26" i="23"/>
  <c r="E26" i="23"/>
  <c r="D26" i="23"/>
  <c r="C26" i="23"/>
  <c r="AH25" i="23"/>
  <c r="AG25" i="23"/>
  <c r="AF25" i="23"/>
  <c r="AE25" i="23"/>
  <c r="AD25" i="23"/>
  <c r="AB25" i="23"/>
  <c r="AA25" i="23"/>
  <c r="AC25" i="23" s="1"/>
  <c r="Z25" i="23"/>
  <c r="Y25" i="23"/>
  <c r="W25" i="23"/>
  <c r="U25" i="23"/>
  <c r="S25" i="23"/>
  <c r="Q25" i="23"/>
  <c r="O25" i="23"/>
  <c r="N25" i="23"/>
  <c r="L25" i="23"/>
  <c r="K25" i="23"/>
  <c r="I25" i="23"/>
  <c r="H25" i="23"/>
  <c r="E25" i="23"/>
  <c r="D25" i="23"/>
  <c r="C25" i="23"/>
  <c r="F25" i="23" s="1"/>
  <c r="AH24" i="23"/>
  <c r="AG24" i="23"/>
  <c r="AF24" i="23"/>
  <c r="AE24" i="23"/>
  <c r="AD24" i="23"/>
  <c r="AB24" i="23"/>
  <c r="AA24" i="23"/>
  <c r="AC24" i="23" s="1"/>
  <c r="Z24" i="23"/>
  <c r="Y24" i="23"/>
  <c r="W24" i="23"/>
  <c r="U24" i="23"/>
  <c r="S24" i="23"/>
  <c r="Q24" i="23"/>
  <c r="O24" i="23"/>
  <c r="N24" i="23"/>
  <c r="L24" i="23"/>
  <c r="K24" i="23"/>
  <c r="M24" i="23" s="1"/>
  <c r="I24" i="23"/>
  <c r="J24" i="23" s="1"/>
  <c r="H24" i="23"/>
  <c r="X24" i="23" s="1"/>
  <c r="E24" i="23"/>
  <c r="D24" i="23"/>
  <c r="C24" i="23"/>
  <c r="AH23" i="23"/>
  <c r="AG23" i="23"/>
  <c r="AF23" i="23"/>
  <c r="AE23" i="23"/>
  <c r="AD23" i="23"/>
  <c r="AB23" i="23"/>
  <c r="AA23" i="23"/>
  <c r="AC23" i="23" s="1"/>
  <c r="Z23" i="23"/>
  <c r="Y23" i="23"/>
  <c r="W23" i="23"/>
  <c r="U23" i="23"/>
  <c r="S23" i="23"/>
  <c r="Q23" i="23"/>
  <c r="O23" i="23"/>
  <c r="N23" i="23"/>
  <c r="L23" i="23"/>
  <c r="K23" i="23"/>
  <c r="I23" i="23"/>
  <c r="H23" i="23"/>
  <c r="T23" i="23" s="1"/>
  <c r="E23" i="23"/>
  <c r="D23" i="23"/>
  <c r="C23" i="23"/>
  <c r="AH22" i="23"/>
  <c r="AG22" i="23"/>
  <c r="AF22" i="23"/>
  <c r="AE22" i="23"/>
  <c r="AD22" i="23"/>
  <c r="AB22" i="23"/>
  <c r="AA22" i="23"/>
  <c r="AC22" i="23" s="1"/>
  <c r="Z22" i="23"/>
  <c r="Y22" i="23"/>
  <c r="W22" i="23"/>
  <c r="U22" i="23"/>
  <c r="S22" i="23"/>
  <c r="Q22" i="23"/>
  <c r="O22" i="23"/>
  <c r="N22" i="23"/>
  <c r="P22" i="23" s="1"/>
  <c r="L22" i="23"/>
  <c r="K22" i="23"/>
  <c r="M22" i="23" s="1"/>
  <c r="I22" i="23"/>
  <c r="H22" i="23"/>
  <c r="E22" i="23"/>
  <c r="D22" i="23"/>
  <c r="C22" i="23"/>
  <c r="AH21" i="23"/>
  <c r="AG21" i="23"/>
  <c r="AF21" i="23"/>
  <c r="AE21" i="23"/>
  <c r="AD21" i="23"/>
  <c r="AB21" i="23"/>
  <c r="AA21" i="23"/>
  <c r="AC21" i="23" s="1"/>
  <c r="Z21" i="23"/>
  <c r="Y21" i="23"/>
  <c r="W21" i="23"/>
  <c r="U21" i="23"/>
  <c r="S21" i="23"/>
  <c r="Q21" i="23"/>
  <c r="O21" i="23"/>
  <c r="N21" i="23"/>
  <c r="P21" i="23" s="1"/>
  <c r="L21" i="23"/>
  <c r="K21" i="23"/>
  <c r="M21" i="23" s="1"/>
  <c r="I21" i="23"/>
  <c r="H21" i="23"/>
  <c r="E21" i="23"/>
  <c r="D21" i="23"/>
  <c r="G21" i="23" s="1"/>
  <c r="C21" i="23"/>
  <c r="AH20" i="23"/>
  <c r="AG20" i="23"/>
  <c r="AF20" i="23"/>
  <c r="AE20" i="23"/>
  <c r="AD20" i="23"/>
  <c r="AB20" i="23"/>
  <c r="AA20" i="23"/>
  <c r="AC20" i="23" s="1"/>
  <c r="Z20" i="23"/>
  <c r="Y20" i="23"/>
  <c r="W20" i="23"/>
  <c r="U20" i="23"/>
  <c r="S20" i="23"/>
  <c r="Q20" i="23"/>
  <c r="O20" i="23"/>
  <c r="N20" i="23"/>
  <c r="P20" i="23" s="1"/>
  <c r="L20" i="23"/>
  <c r="K20" i="23"/>
  <c r="M20" i="23" s="1"/>
  <c r="I20" i="23"/>
  <c r="H20" i="23"/>
  <c r="E20" i="23"/>
  <c r="F20" i="23" s="1"/>
  <c r="D20" i="23"/>
  <c r="C20" i="23"/>
  <c r="AH19" i="23"/>
  <c r="AG19" i="23"/>
  <c r="AF19" i="23"/>
  <c r="AE19" i="23"/>
  <c r="AD19" i="23"/>
  <c r="AB19" i="23"/>
  <c r="AA19" i="23"/>
  <c r="AC19" i="23" s="1"/>
  <c r="Z19" i="23"/>
  <c r="Y19" i="23"/>
  <c r="W19" i="23"/>
  <c r="U19" i="23"/>
  <c r="S19" i="23"/>
  <c r="Q19" i="23"/>
  <c r="O19" i="23"/>
  <c r="N19" i="23"/>
  <c r="P19" i="23" s="1"/>
  <c r="L19" i="23"/>
  <c r="K19" i="23"/>
  <c r="M19" i="23" s="1"/>
  <c r="I19" i="23"/>
  <c r="H19" i="23"/>
  <c r="V19" i="23" s="1"/>
  <c r="E19" i="23"/>
  <c r="D19" i="23"/>
  <c r="C19" i="23"/>
  <c r="AH18" i="23"/>
  <c r="AG18" i="23"/>
  <c r="AF18" i="23"/>
  <c r="AE18" i="23"/>
  <c r="AD18" i="23"/>
  <c r="AB18" i="23"/>
  <c r="AA18" i="23"/>
  <c r="AC18" i="23" s="1"/>
  <c r="Z18" i="23"/>
  <c r="Y18" i="23"/>
  <c r="W18" i="23"/>
  <c r="U18" i="23"/>
  <c r="S18" i="23"/>
  <c r="Q18" i="23"/>
  <c r="O18" i="23"/>
  <c r="N18" i="23"/>
  <c r="L18" i="23"/>
  <c r="K18" i="23"/>
  <c r="I18" i="23"/>
  <c r="H18" i="23"/>
  <c r="E18" i="23"/>
  <c r="D18" i="23"/>
  <c r="C18" i="23"/>
  <c r="AH17" i="23"/>
  <c r="AG17" i="23"/>
  <c r="AF17" i="23"/>
  <c r="AE17" i="23"/>
  <c r="AD17" i="23"/>
  <c r="AB17" i="23"/>
  <c r="AA17" i="23"/>
  <c r="AC17" i="23" s="1"/>
  <c r="Z17" i="23"/>
  <c r="Y17" i="23"/>
  <c r="W17" i="23"/>
  <c r="U17" i="23"/>
  <c r="S17" i="23"/>
  <c r="Q17" i="23"/>
  <c r="O17" i="23"/>
  <c r="N17" i="23"/>
  <c r="L17" i="23"/>
  <c r="K17" i="23"/>
  <c r="I17" i="23"/>
  <c r="H17" i="23"/>
  <c r="E17" i="23"/>
  <c r="D17" i="23"/>
  <c r="C17" i="23"/>
  <c r="AH16" i="23"/>
  <c r="AG16" i="23"/>
  <c r="AF16" i="23"/>
  <c r="AE16" i="23"/>
  <c r="AD16" i="23"/>
  <c r="AB16" i="23"/>
  <c r="AA16" i="23"/>
  <c r="AC16" i="23" s="1"/>
  <c r="Z16" i="23"/>
  <c r="Y16" i="23"/>
  <c r="W16" i="23"/>
  <c r="U16" i="23"/>
  <c r="S16" i="23"/>
  <c r="Q16" i="23"/>
  <c r="O16" i="23"/>
  <c r="N16" i="23"/>
  <c r="P16" i="23" s="1"/>
  <c r="L16" i="23"/>
  <c r="K16" i="23"/>
  <c r="M16" i="23" s="1"/>
  <c r="J16" i="23"/>
  <c r="I16" i="23"/>
  <c r="H16" i="23"/>
  <c r="T16" i="23" s="1"/>
  <c r="E16" i="23"/>
  <c r="D16" i="23"/>
  <c r="C16" i="23"/>
  <c r="F16" i="23" s="1"/>
  <c r="AH15" i="23"/>
  <c r="AG15" i="23"/>
  <c r="AF15" i="23"/>
  <c r="AE15" i="23"/>
  <c r="AD15" i="23"/>
  <c r="AB15" i="23"/>
  <c r="AA15" i="23"/>
  <c r="AC15" i="23" s="1"/>
  <c r="Z15" i="23"/>
  <c r="Y15" i="23"/>
  <c r="W15" i="23"/>
  <c r="U15" i="23"/>
  <c r="S15" i="23"/>
  <c r="Q15" i="23"/>
  <c r="O15" i="23"/>
  <c r="N15" i="23"/>
  <c r="P15" i="23" s="1"/>
  <c r="L15" i="23"/>
  <c r="K15" i="23"/>
  <c r="M15" i="23" s="1"/>
  <c r="I15" i="23"/>
  <c r="H15" i="23"/>
  <c r="E15" i="23"/>
  <c r="D15" i="23"/>
  <c r="C15" i="23"/>
  <c r="AH14" i="23"/>
  <c r="AG14" i="23"/>
  <c r="AF14" i="23"/>
  <c r="AE14" i="23"/>
  <c r="AD14" i="23"/>
  <c r="AB14" i="23"/>
  <c r="AA14" i="23"/>
  <c r="AC14" i="23" s="1"/>
  <c r="Z14" i="23"/>
  <c r="Y14" i="23"/>
  <c r="W14" i="23"/>
  <c r="U14" i="23"/>
  <c r="S14" i="23"/>
  <c r="Q14" i="23"/>
  <c r="O14" i="23"/>
  <c r="N14" i="23"/>
  <c r="L14" i="23"/>
  <c r="K14" i="23"/>
  <c r="I14" i="23"/>
  <c r="H14" i="23"/>
  <c r="T14" i="23" s="1"/>
  <c r="E14" i="23"/>
  <c r="D14" i="23"/>
  <c r="C14" i="23"/>
  <c r="V108" i="22"/>
  <c r="U108" i="22"/>
  <c r="O108" i="22"/>
  <c r="L108" i="22"/>
  <c r="I108" i="22"/>
  <c r="Q108" i="22" s="1"/>
  <c r="H108" i="22"/>
  <c r="N108" i="22" s="1"/>
  <c r="G108" i="22"/>
  <c r="P108" i="22" s="1"/>
  <c r="F108" i="22"/>
  <c r="E108" i="22"/>
  <c r="D108" i="22" s="1"/>
  <c r="V107" i="22"/>
  <c r="U107" i="22"/>
  <c r="O107" i="22"/>
  <c r="L107" i="22"/>
  <c r="I107" i="22"/>
  <c r="Q107" i="22" s="1"/>
  <c r="H107" i="22"/>
  <c r="N107" i="22" s="1"/>
  <c r="G107" i="22"/>
  <c r="P107" i="22" s="1"/>
  <c r="F107" i="22"/>
  <c r="D107" i="22" s="1"/>
  <c r="M107" i="22" s="1"/>
  <c r="E107" i="22"/>
  <c r="V106" i="22"/>
  <c r="U106" i="22"/>
  <c r="O106" i="22"/>
  <c r="L106" i="22"/>
  <c r="I106" i="22"/>
  <c r="Q106" i="22" s="1"/>
  <c r="H106" i="22"/>
  <c r="N106" i="22" s="1"/>
  <c r="G106" i="22"/>
  <c r="P106" i="22" s="1"/>
  <c r="F106" i="22"/>
  <c r="E106" i="22"/>
  <c r="V105" i="22"/>
  <c r="U105" i="22"/>
  <c r="O105" i="22"/>
  <c r="L105" i="22"/>
  <c r="J105" i="22" s="1"/>
  <c r="I105" i="22"/>
  <c r="Q105" i="22" s="1"/>
  <c r="H105" i="22"/>
  <c r="N105" i="22" s="1"/>
  <c r="G105" i="22"/>
  <c r="P105" i="22" s="1"/>
  <c r="F105" i="22"/>
  <c r="E105" i="22"/>
  <c r="V104" i="22"/>
  <c r="U104" i="22"/>
  <c r="O104" i="22"/>
  <c r="L104" i="22"/>
  <c r="I104" i="22"/>
  <c r="Q104" i="22" s="1"/>
  <c r="H104" i="22"/>
  <c r="G104" i="22"/>
  <c r="P104" i="22" s="1"/>
  <c r="F104" i="22"/>
  <c r="E104" i="22"/>
  <c r="V103" i="22"/>
  <c r="U103" i="22"/>
  <c r="O103" i="22"/>
  <c r="L103" i="22"/>
  <c r="I103" i="22"/>
  <c r="Q103" i="22" s="1"/>
  <c r="H103" i="22"/>
  <c r="N103" i="22" s="1"/>
  <c r="G103" i="22"/>
  <c r="P103" i="22" s="1"/>
  <c r="F103" i="22"/>
  <c r="E103" i="22"/>
  <c r="V102" i="22"/>
  <c r="U102" i="22"/>
  <c r="O102" i="22"/>
  <c r="L102" i="22"/>
  <c r="I102" i="22"/>
  <c r="Q102" i="22" s="1"/>
  <c r="H102" i="22"/>
  <c r="N102" i="22" s="1"/>
  <c r="G102" i="22"/>
  <c r="P102" i="22" s="1"/>
  <c r="F102" i="22"/>
  <c r="E102" i="22"/>
  <c r="V101" i="22"/>
  <c r="U101" i="22"/>
  <c r="O101" i="22"/>
  <c r="L101" i="22"/>
  <c r="I101" i="22"/>
  <c r="H101" i="22"/>
  <c r="N101" i="22" s="1"/>
  <c r="G101" i="22"/>
  <c r="F101" i="22"/>
  <c r="E101" i="22"/>
  <c r="V100" i="22"/>
  <c r="U100" i="22"/>
  <c r="O100" i="22"/>
  <c r="L100" i="22"/>
  <c r="I100" i="22"/>
  <c r="Q100" i="22" s="1"/>
  <c r="H100" i="22"/>
  <c r="N100" i="22" s="1"/>
  <c r="G100" i="22"/>
  <c r="P100" i="22" s="1"/>
  <c r="F100" i="22"/>
  <c r="E100" i="22"/>
  <c r="D100" i="22" s="1"/>
  <c r="V99" i="22"/>
  <c r="U99" i="22"/>
  <c r="O99" i="22"/>
  <c r="L99" i="22"/>
  <c r="I99" i="22"/>
  <c r="Q99" i="22" s="1"/>
  <c r="H99" i="22"/>
  <c r="N99" i="22" s="1"/>
  <c r="G99" i="22"/>
  <c r="P99" i="22" s="1"/>
  <c r="F99" i="22"/>
  <c r="E99" i="22"/>
  <c r="T98" i="22"/>
  <c r="S98" i="22"/>
  <c r="R98" i="22"/>
  <c r="O98" i="22"/>
  <c r="L98" i="22"/>
  <c r="I98" i="22"/>
  <c r="Q98" i="22" s="1"/>
  <c r="H98" i="22"/>
  <c r="N98" i="22" s="1"/>
  <c r="G98" i="22"/>
  <c r="P98" i="22" s="1"/>
  <c r="F98" i="22"/>
  <c r="D98" i="22" s="1"/>
  <c r="E98" i="22"/>
  <c r="V97" i="22"/>
  <c r="U97" i="22"/>
  <c r="O97" i="22"/>
  <c r="L97" i="22"/>
  <c r="I97" i="22"/>
  <c r="Q97" i="22" s="1"/>
  <c r="H97" i="22"/>
  <c r="N97" i="22" s="1"/>
  <c r="G97" i="22"/>
  <c r="P97" i="22" s="1"/>
  <c r="F97" i="22"/>
  <c r="E97" i="22"/>
  <c r="V96" i="22"/>
  <c r="U96" i="22"/>
  <c r="O96" i="22"/>
  <c r="L96" i="22"/>
  <c r="I96" i="22"/>
  <c r="Q96" i="22" s="1"/>
  <c r="H96" i="22"/>
  <c r="N96" i="22" s="1"/>
  <c r="G96" i="22"/>
  <c r="P96" i="22" s="1"/>
  <c r="F96" i="22"/>
  <c r="E96" i="22"/>
  <c r="V95" i="22"/>
  <c r="U95" i="22"/>
  <c r="O95" i="22"/>
  <c r="L95" i="22"/>
  <c r="I95" i="22"/>
  <c r="Q95" i="22" s="1"/>
  <c r="H95" i="22"/>
  <c r="N95" i="22" s="1"/>
  <c r="G95" i="22"/>
  <c r="P95" i="22" s="1"/>
  <c r="F95" i="22"/>
  <c r="E95" i="22"/>
  <c r="V94" i="22"/>
  <c r="U94" i="22"/>
  <c r="O94" i="22"/>
  <c r="L94" i="22"/>
  <c r="I94" i="22"/>
  <c r="Q94" i="22" s="1"/>
  <c r="H94" i="22"/>
  <c r="N94" i="22" s="1"/>
  <c r="G94" i="22"/>
  <c r="F94" i="22"/>
  <c r="E94" i="22"/>
  <c r="V93" i="22"/>
  <c r="U93" i="22"/>
  <c r="O93" i="22"/>
  <c r="L93" i="22"/>
  <c r="I93" i="22"/>
  <c r="Q93" i="22" s="1"/>
  <c r="H93" i="22"/>
  <c r="G93" i="22"/>
  <c r="P93" i="22" s="1"/>
  <c r="F93" i="22"/>
  <c r="E93" i="22"/>
  <c r="V92" i="22"/>
  <c r="U92" i="22"/>
  <c r="O92" i="22"/>
  <c r="L92" i="22"/>
  <c r="I92" i="22"/>
  <c r="Q92" i="22" s="1"/>
  <c r="H92" i="22"/>
  <c r="N92" i="22" s="1"/>
  <c r="G92" i="22"/>
  <c r="P92" i="22" s="1"/>
  <c r="F92" i="22"/>
  <c r="E92" i="22"/>
  <c r="V91" i="22"/>
  <c r="U91" i="22"/>
  <c r="O91" i="22"/>
  <c r="L91" i="22"/>
  <c r="I91" i="22"/>
  <c r="Q91" i="22" s="1"/>
  <c r="H91" i="22"/>
  <c r="N91" i="22" s="1"/>
  <c r="G91" i="22"/>
  <c r="P91" i="22" s="1"/>
  <c r="F91" i="22"/>
  <c r="E91" i="22"/>
  <c r="D91" i="22" s="1"/>
  <c r="M91" i="22" s="1"/>
  <c r="V90" i="22"/>
  <c r="U90" i="22"/>
  <c r="O90" i="22"/>
  <c r="L90" i="22"/>
  <c r="I90" i="22"/>
  <c r="H90" i="22"/>
  <c r="G90" i="22"/>
  <c r="P90" i="22" s="1"/>
  <c r="F90" i="22"/>
  <c r="E90" i="22"/>
  <c r="S89" i="22"/>
  <c r="S9" i="22" s="1"/>
  <c r="R89" i="22"/>
  <c r="AB88" i="22"/>
  <c r="Y88" i="22"/>
  <c r="O88" i="22"/>
  <c r="J88" i="22" s="1"/>
  <c r="L88" i="22"/>
  <c r="I88" i="22"/>
  <c r="Q88" i="22" s="1"/>
  <c r="H88" i="22"/>
  <c r="N88" i="22" s="1"/>
  <c r="G88" i="22"/>
  <c r="P88" i="22" s="1"/>
  <c r="F88" i="22"/>
  <c r="E88" i="22"/>
  <c r="D88" i="22" s="1"/>
  <c r="M88" i="22" s="1"/>
  <c r="AB87" i="22"/>
  <c r="Y87" i="22"/>
  <c r="O87" i="22"/>
  <c r="L87" i="22"/>
  <c r="I87" i="22"/>
  <c r="Q87" i="22" s="1"/>
  <c r="H87" i="22"/>
  <c r="N87" i="22" s="1"/>
  <c r="G87" i="22"/>
  <c r="P87" i="22" s="1"/>
  <c r="F87" i="22"/>
  <c r="E87" i="22"/>
  <c r="AB86" i="22"/>
  <c r="Y86" i="22"/>
  <c r="O86" i="22"/>
  <c r="L86" i="22"/>
  <c r="I86" i="22"/>
  <c r="Q86" i="22" s="1"/>
  <c r="H86" i="22"/>
  <c r="G86" i="22"/>
  <c r="P86" i="22" s="1"/>
  <c r="F86" i="22"/>
  <c r="E86" i="22"/>
  <c r="AB85" i="22"/>
  <c r="Y85" i="22"/>
  <c r="O85" i="22"/>
  <c r="L85" i="22"/>
  <c r="I85" i="22"/>
  <c r="Q85" i="22" s="1"/>
  <c r="H85" i="22"/>
  <c r="G85" i="22"/>
  <c r="F85" i="22"/>
  <c r="E85" i="22"/>
  <c r="AB84" i="22"/>
  <c r="Y84" i="22"/>
  <c r="O84" i="22"/>
  <c r="L84" i="22"/>
  <c r="I84" i="22"/>
  <c r="Q84" i="22" s="1"/>
  <c r="H84" i="22"/>
  <c r="N84" i="22" s="1"/>
  <c r="G84" i="22"/>
  <c r="P84" i="22" s="1"/>
  <c r="F84" i="22"/>
  <c r="E84" i="22"/>
  <c r="D84" i="22" s="1"/>
  <c r="AB83" i="22"/>
  <c r="Y83" i="22"/>
  <c r="O83" i="22"/>
  <c r="L83" i="22"/>
  <c r="I83" i="22"/>
  <c r="Q83" i="22" s="1"/>
  <c r="H83" i="22"/>
  <c r="N83" i="22" s="1"/>
  <c r="G83" i="22"/>
  <c r="P83" i="22" s="1"/>
  <c r="F83" i="22"/>
  <c r="E83" i="22"/>
  <c r="D83" i="22" s="1"/>
  <c r="AB82" i="22"/>
  <c r="Y82" i="22"/>
  <c r="O82" i="22"/>
  <c r="L82" i="22"/>
  <c r="I82" i="22"/>
  <c r="Q82" i="22" s="1"/>
  <c r="H82" i="22"/>
  <c r="N82" i="22" s="1"/>
  <c r="G82" i="22"/>
  <c r="P82" i="22" s="1"/>
  <c r="F82" i="22"/>
  <c r="E82" i="22"/>
  <c r="AB81" i="22"/>
  <c r="Y81" i="22"/>
  <c r="O81" i="22"/>
  <c r="L81" i="22"/>
  <c r="I81" i="22"/>
  <c r="Q81" i="22" s="1"/>
  <c r="H81" i="22"/>
  <c r="N81" i="22" s="1"/>
  <c r="G81" i="22"/>
  <c r="P81" i="22" s="1"/>
  <c r="F81" i="22"/>
  <c r="E81" i="22"/>
  <c r="AB80" i="22"/>
  <c r="Y80" i="22"/>
  <c r="O80" i="22"/>
  <c r="L80" i="22"/>
  <c r="J80" i="22" s="1"/>
  <c r="I80" i="22"/>
  <c r="Q80" i="22" s="1"/>
  <c r="H80" i="22"/>
  <c r="N80" i="22" s="1"/>
  <c r="G80" i="22"/>
  <c r="P80" i="22" s="1"/>
  <c r="F80" i="22"/>
  <c r="E80" i="22"/>
  <c r="AB79" i="22"/>
  <c r="Y79" i="22"/>
  <c r="O79" i="22"/>
  <c r="L79" i="22"/>
  <c r="I79" i="22"/>
  <c r="Q79" i="22" s="1"/>
  <c r="H79" i="22"/>
  <c r="G79" i="22"/>
  <c r="P79" i="22" s="1"/>
  <c r="F79" i="22"/>
  <c r="E79" i="22"/>
  <c r="AB78" i="22"/>
  <c r="Y78" i="22"/>
  <c r="O78" i="22"/>
  <c r="L78" i="22"/>
  <c r="I78" i="22"/>
  <c r="Q78" i="22" s="1"/>
  <c r="H78" i="22"/>
  <c r="N78" i="22" s="1"/>
  <c r="G78" i="22"/>
  <c r="P78" i="22" s="1"/>
  <c r="F78" i="22"/>
  <c r="E78" i="22"/>
  <c r="AB77" i="22"/>
  <c r="Y77" i="22"/>
  <c r="O77" i="22"/>
  <c r="L77" i="22"/>
  <c r="J77" i="22" s="1"/>
  <c r="I77" i="22"/>
  <c r="Q77" i="22" s="1"/>
  <c r="H77" i="22"/>
  <c r="N77" i="22" s="1"/>
  <c r="G77" i="22"/>
  <c r="P77" i="22" s="1"/>
  <c r="F77" i="22"/>
  <c r="E77" i="22"/>
  <c r="AB76" i="22"/>
  <c r="Y76" i="22"/>
  <c r="O76" i="22"/>
  <c r="L76" i="22"/>
  <c r="J76" i="22" s="1"/>
  <c r="I76" i="22"/>
  <c r="Q76" i="22" s="1"/>
  <c r="H76" i="22"/>
  <c r="N76" i="22" s="1"/>
  <c r="G76" i="22"/>
  <c r="P76" i="22" s="1"/>
  <c r="F76" i="22"/>
  <c r="E76" i="22"/>
  <c r="AB75" i="22"/>
  <c r="Y75" i="22"/>
  <c r="O75" i="22"/>
  <c r="L75" i="22"/>
  <c r="I75" i="22"/>
  <c r="H75" i="22"/>
  <c r="N75" i="22" s="1"/>
  <c r="G75" i="22"/>
  <c r="P75" i="22" s="1"/>
  <c r="F75" i="22"/>
  <c r="E75" i="22"/>
  <c r="AD74" i="22"/>
  <c r="AC74" i="22"/>
  <c r="AB74" i="22"/>
  <c r="AA74" i="22"/>
  <c r="Z74" i="22"/>
  <c r="Y74" i="22"/>
  <c r="X74" i="22"/>
  <c r="W74" i="22"/>
  <c r="T74" i="22"/>
  <c r="S74" i="22"/>
  <c r="V74" i="22" s="1"/>
  <c r="R74" i="22"/>
  <c r="U74" i="22" s="1"/>
  <c r="AB73" i="22"/>
  <c r="Y73" i="22"/>
  <c r="O73" i="22"/>
  <c r="L73" i="22"/>
  <c r="I73" i="22"/>
  <c r="Q73" i="22" s="1"/>
  <c r="H73" i="22"/>
  <c r="G73" i="22"/>
  <c r="P73" i="22" s="1"/>
  <c r="F73" i="22"/>
  <c r="E73" i="22"/>
  <c r="AB72" i="22"/>
  <c r="Y72" i="22"/>
  <c r="O72" i="22"/>
  <c r="L72" i="22"/>
  <c r="I72" i="22"/>
  <c r="Q72" i="22" s="1"/>
  <c r="H72" i="22"/>
  <c r="N72" i="22" s="1"/>
  <c r="G72" i="22"/>
  <c r="P72" i="22" s="1"/>
  <c r="F72" i="22"/>
  <c r="E72" i="22"/>
  <c r="AB71" i="22"/>
  <c r="Y71" i="22"/>
  <c r="O71" i="22"/>
  <c r="L71" i="22"/>
  <c r="I71" i="22"/>
  <c r="Q71" i="22" s="1"/>
  <c r="H71" i="22"/>
  <c r="N71" i="22" s="1"/>
  <c r="G71" i="22"/>
  <c r="P71" i="22" s="1"/>
  <c r="F71" i="22"/>
  <c r="E71" i="22"/>
  <c r="AB70" i="22"/>
  <c r="Y70" i="22"/>
  <c r="O70" i="22"/>
  <c r="L70" i="22"/>
  <c r="I70" i="22"/>
  <c r="Q70" i="22" s="1"/>
  <c r="H70" i="22"/>
  <c r="N70" i="22" s="1"/>
  <c r="G70" i="22"/>
  <c r="P70" i="22" s="1"/>
  <c r="F70" i="22"/>
  <c r="E70" i="22"/>
  <c r="D70" i="22" s="1"/>
  <c r="M70" i="22" s="1"/>
  <c r="AB69" i="22"/>
  <c r="Y69" i="22"/>
  <c r="O69" i="22"/>
  <c r="L69" i="22"/>
  <c r="I69" i="22"/>
  <c r="Q69" i="22" s="1"/>
  <c r="H69" i="22"/>
  <c r="G69" i="22"/>
  <c r="P69" i="22" s="1"/>
  <c r="F69" i="22"/>
  <c r="E69" i="22"/>
  <c r="AB68" i="22"/>
  <c r="Y68" i="22"/>
  <c r="O68" i="22"/>
  <c r="L68" i="22"/>
  <c r="J68" i="22" s="1"/>
  <c r="I68" i="22"/>
  <c r="Q68" i="22" s="1"/>
  <c r="H68" i="22"/>
  <c r="N68" i="22" s="1"/>
  <c r="G68" i="22"/>
  <c r="P68" i="22" s="1"/>
  <c r="F68" i="22"/>
  <c r="E68" i="22"/>
  <c r="AB67" i="22"/>
  <c r="Y67" i="22"/>
  <c r="O67" i="22"/>
  <c r="L67" i="22"/>
  <c r="I67" i="22"/>
  <c r="Q67" i="22" s="1"/>
  <c r="H67" i="22"/>
  <c r="G67" i="22"/>
  <c r="P67" i="22" s="1"/>
  <c r="F67" i="22"/>
  <c r="E67" i="22"/>
  <c r="AB66" i="22"/>
  <c r="Y66" i="22"/>
  <c r="O66" i="22"/>
  <c r="L66" i="22"/>
  <c r="J66" i="22" s="1"/>
  <c r="I66" i="22"/>
  <c r="Q66" i="22" s="1"/>
  <c r="H66" i="22"/>
  <c r="G66" i="22"/>
  <c r="P66" i="22" s="1"/>
  <c r="F66" i="22"/>
  <c r="E66" i="22"/>
  <c r="AB65" i="22"/>
  <c r="Y65" i="22"/>
  <c r="O65" i="22"/>
  <c r="L65" i="22"/>
  <c r="I65" i="22"/>
  <c r="Q65" i="22" s="1"/>
  <c r="H65" i="22"/>
  <c r="G65" i="22"/>
  <c r="P65" i="22" s="1"/>
  <c r="F65" i="22"/>
  <c r="E65" i="22"/>
  <c r="D65" i="22" s="1"/>
  <c r="M65" i="22" s="1"/>
  <c r="AB64" i="22"/>
  <c r="Y64" i="22"/>
  <c r="O64" i="22"/>
  <c r="L64" i="22"/>
  <c r="I64" i="22"/>
  <c r="Q64" i="22" s="1"/>
  <c r="H64" i="22"/>
  <c r="N64" i="22" s="1"/>
  <c r="G64" i="22"/>
  <c r="P64" i="22" s="1"/>
  <c r="F64" i="22"/>
  <c r="E64" i="22"/>
  <c r="AB63" i="22"/>
  <c r="Y63" i="22"/>
  <c r="O63" i="22"/>
  <c r="L63" i="22"/>
  <c r="I63" i="22"/>
  <c r="Q63" i="22" s="1"/>
  <c r="H63" i="22"/>
  <c r="G63" i="22"/>
  <c r="P63" i="22" s="1"/>
  <c r="F63" i="22"/>
  <c r="E63" i="22"/>
  <c r="D63" i="22" s="1"/>
  <c r="M63" i="22" s="1"/>
  <c r="AB62" i="22"/>
  <c r="Y62" i="22"/>
  <c r="O62" i="22"/>
  <c r="L62" i="22"/>
  <c r="I62" i="22"/>
  <c r="Q62" i="22" s="1"/>
  <c r="H62" i="22"/>
  <c r="N62" i="22" s="1"/>
  <c r="G62" i="22"/>
  <c r="F62" i="22"/>
  <c r="E62" i="22"/>
  <c r="AB61" i="22"/>
  <c r="Y61" i="22"/>
  <c r="P61" i="22"/>
  <c r="O61" i="22"/>
  <c r="L61" i="22"/>
  <c r="I61" i="22"/>
  <c r="Q61" i="22" s="1"/>
  <c r="H61" i="22"/>
  <c r="G61" i="22"/>
  <c r="F61" i="22"/>
  <c r="E61" i="22"/>
  <c r="AB60" i="22"/>
  <c r="Y60" i="22"/>
  <c r="O60" i="22"/>
  <c r="L60" i="22"/>
  <c r="I60" i="22"/>
  <c r="Q60" i="22" s="1"/>
  <c r="H60" i="22"/>
  <c r="G60" i="22"/>
  <c r="P60" i="22" s="1"/>
  <c r="F60" i="22"/>
  <c r="E60" i="22"/>
  <c r="AB59" i="22"/>
  <c r="Y59" i="22"/>
  <c r="O59" i="22"/>
  <c r="L59" i="22"/>
  <c r="I59" i="22"/>
  <c r="Q59" i="22" s="1"/>
  <c r="H59" i="22"/>
  <c r="G59" i="22"/>
  <c r="P59" i="22" s="1"/>
  <c r="F59" i="22"/>
  <c r="E59" i="22"/>
  <c r="AB58" i="22"/>
  <c r="Y58" i="22"/>
  <c r="O58" i="22"/>
  <c r="L58" i="22"/>
  <c r="I58" i="22"/>
  <c r="Q58" i="22" s="1"/>
  <c r="H58" i="22"/>
  <c r="G58" i="22"/>
  <c r="P58" i="22" s="1"/>
  <c r="F58" i="22"/>
  <c r="E58" i="22"/>
  <c r="AB57" i="22"/>
  <c r="Y57" i="22"/>
  <c r="O57" i="22"/>
  <c r="J57" i="22" s="1"/>
  <c r="L57" i="22"/>
  <c r="I57" i="22"/>
  <c r="Q57" i="22" s="1"/>
  <c r="H57" i="22"/>
  <c r="N57" i="22" s="1"/>
  <c r="G57" i="22"/>
  <c r="P57" i="22" s="1"/>
  <c r="F57" i="22"/>
  <c r="E57" i="22"/>
  <c r="AB56" i="22"/>
  <c r="Y56" i="22"/>
  <c r="O56" i="22"/>
  <c r="L56" i="22"/>
  <c r="J56" i="22" s="1"/>
  <c r="I56" i="22"/>
  <c r="Q56" i="22" s="1"/>
  <c r="H56" i="22"/>
  <c r="G56" i="22"/>
  <c r="P56" i="22" s="1"/>
  <c r="F56" i="22"/>
  <c r="E56" i="22"/>
  <c r="AB55" i="22"/>
  <c r="Y55" i="22"/>
  <c r="O55" i="22"/>
  <c r="L55" i="22"/>
  <c r="J55" i="22" s="1"/>
  <c r="I55" i="22"/>
  <c r="Q55" i="22" s="1"/>
  <c r="H55" i="22"/>
  <c r="G55" i="22"/>
  <c r="P55" i="22" s="1"/>
  <c r="F55" i="22"/>
  <c r="E55" i="22"/>
  <c r="AB54" i="22"/>
  <c r="Y54" i="22"/>
  <c r="O54" i="22"/>
  <c r="L54" i="22"/>
  <c r="I54" i="22"/>
  <c r="Q54" i="22" s="1"/>
  <c r="H54" i="22"/>
  <c r="N54" i="22" s="1"/>
  <c r="G54" i="22"/>
  <c r="P54" i="22" s="1"/>
  <c r="F54" i="22"/>
  <c r="E54" i="22"/>
  <c r="AB53" i="22"/>
  <c r="Y53" i="22"/>
  <c r="O53" i="22"/>
  <c r="J53" i="22" s="1"/>
  <c r="L53" i="22"/>
  <c r="I53" i="22"/>
  <c r="H53" i="22"/>
  <c r="G53" i="22"/>
  <c r="P53" i="22" s="1"/>
  <c r="F53" i="22"/>
  <c r="E53" i="22"/>
  <c r="AD52" i="22"/>
  <c r="AC52" i="22"/>
  <c r="AA52" i="22"/>
  <c r="Z52" i="22"/>
  <c r="AB52" i="22" s="1"/>
  <c r="Y52" i="22"/>
  <c r="X52" i="22"/>
  <c r="W52" i="22"/>
  <c r="T52" i="22"/>
  <c r="S52" i="22"/>
  <c r="R52" i="22"/>
  <c r="U52" i="22" s="1"/>
  <c r="AB51" i="22"/>
  <c r="Y51" i="22"/>
  <c r="O51" i="22"/>
  <c r="L51" i="22"/>
  <c r="J51" i="22" s="1"/>
  <c r="I51" i="22"/>
  <c r="Q51" i="22" s="1"/>
  <c r="H51" i="22"/>
  <c r="N51" i="22" s="1"/>
  <c r="G51" i="22"/>
  <c r="P51" i="22" s="1"/>
  <c r="F51" i="22"/>
  <c r="D51" i="22" s="1"/>
  <c r="E51" i="22"/>
  <c r="AB50" i="22"/>
  <c r="Y50" i="22"/>
  <c r="O50" i="22"/>
  <c r="L50" i="22"/>
  <c r="I50" i="22"/>
  <c r="Q50" i="22" s="1"/>
  <c r="H50" i="22"/>
  <c r="G50" i="22"/>
  <c r="P50" i="22" s="1"/>
  <c r="F50" i="22"/>
  <c r="E50" i="22"/>
  <c r="D50" i="22" s="1"/>
  <c r="AB49" i="22"/>
  <c r="Y49" i="22"/>
  <c r="O49" i="22"/>
  <c r="L49" i="22"/>
  <c r="J49" i="22"/>
  <c r="I49" i="22"/>
  <c r="Q49" i="22" s="1"/>
  <c r="H49" i="22"/>
  <c r="N49" i="22" s="1"/>
  <c r="G49" i="22"/>
  <c r="P49" i="22" s="1"/>
  <c r="F49" i="22"/>
  <c r="E49" i="22"/>
  <c r="D49" i="22" s="1"/>
  <c r="AB48" i="22"/>
  <c r="Y48" i="22"/>
  <c r="O48" i="22"/>
  <c r="L48" i="22"/>
  <c r="I48" i="22"/>
  <c r="Q48" i="22" s="1"/>
  <c r="H48" i="22"/>
  <c r="N48" i="22" s="1"/>
  <c r="G48" i="22"/>
  <c r="P48" i="22" s="1"/>
  <c r="F48" i="22"/>
  <c r="E48" i="22"/>
  <c r="AB47" i="22"/>
  <c r="Y47" i="22"/>
  <c r="O47" i="22"/>
  <c r="J47" i="22" s="1"/>
  <c r="L47" i="22"/>
  <c r="I47" i="22"/>
  <c r="Q47" i="22" s="1"/>
  <c r="H47" i="22"/>
  <c r="N47" i="22" s="1"/>
  <c r="G47" i="22"/>
  <c r="P47" i="22" s="1"/>
  <c r="F47" i="22"/>
  <c r="E47" i="22"/>
  <c r="AB46" i="22"/>
  <c r="Y46" i="22"/>
  <c r="O46" i="22"/>
  <c r="L46" i="22"/>
  <c r="I46" i="22"/>
  <c r="Q46" i="22" s="1"/>
  <c r="H46" i="22"/>
  <c r="G46" i="22"/>
  <c r="P46" i="22" s="1"/>
  <c r="F46" i="22"/>
  <c r="E46" i="22"/>
  <c r="AB45" i="22"/>
  <c r="Y45" i="22"/>
  <c r="O45" i="22"/>
  <c r="L45" i="22"/>
  <c r="I45" i="22"/>
  <c r="Q45" i="22" s="1"/>
  <c r="H45" i="22"/>
  <c r="N45" i="22" s="1"/>
  <c r="G45" i="22"/>
  <c r="P45" i="22" s="1"/>
  <c r="F45" i="22"/>
  <c r="E45" i="22"/>
  <c r="AB44" i="22"/>
  <c r="Y44" i="22"/>
  <c r="O44" i="22"/>
  <c r="L44" i="22"/>
  <c r="I44" i="22"/>
  <c r="Q44" i="22" s="1"/>
  <c r="H44" i="22"/>
  <c r="G44" i="22"/>
  <c r="P44" i="22" s="1"/>
  <c r="F44" i="22"/>
  <c r="E44" i="22"/>
  <c r="D44" i="22" s="1"/>
  <c r="AB43" i="22"/>
  <c r="Y43" i="22"/>
  <c r="O43" i="22"/>
  <c r="L43" i="22"/>
  <c r="I43" i="22"/>
  <c r="Q43" i="22" s="1"/>
  <c r="H43" i="22"/>
  <c r="N43" i="22" s="1"/>
  <c r="G43" i="22"/>
  <c r="P43" i="22" s="1"/>
  <c r="F43" i="22"/>
  <c r="E43" i="22"/>
  <c r="AB42" i="22"/>
  <c r="Y42" i="22"/>
  <c r="O42" i="22"/>
  <c r="L42" i="22"/>
  <c r="I42" i="22"/>
  <c r="Q42" i="22" s="1"/>
  <c r="H42" i="22"/>
  <c r="G42" i="22"/>
  <c r="P42" i="22" s="1"/>
  <c r="F42" i="22"/>
  <c r="E42" i="22"/>
  <c r="D42" i="22" s="1"/>
  <c r="M42" i="22" s="1"/>
  <c r="AB41" i="22"/>
  <c r="Y41" i="22"/>
  <c r="O41" i="22"/>
  <c r="L41" i="22"/>
  <c r="I41" i="22"/>
  <c r="Q41" i="22" s="1"/>
  <c r="H41" i="22"/>
  <c r="N41" i="22" s="1"/>
  <c r="G41" i="22"/>
  <c r="P41" i="22" s="1"/>
  <c r="F41" i="22"/>
  <c r="E41" i="22"/>
  <c r="AB40" i="22"/>
  <c r="Y40" i="22"/>
  <c r="O40" i="22"/>
  <c r="L40" i="22"/>
  <c r="I40" i="22"/>
  <c r="Q40" i="22" s="1"/>
  <c r="H40" i="22"/>
  <c r="G40" i="22"/>
  <c r="P40" i="22" s="1"/>
  <c r="F40" i="22"/>
  <c r="E40" i="22"/>
  <c r="AB39" i="22"/>
  <c r="Y39" i="22"/>
  <c r="O39" i="22"/>
  <c r="L39" i="22"/>
  <c r="J39" i="22" s="1"/>
  <c r="I39" i="22"/>
  <c r="Q39" i="22" s="1"/>
  <c r="H39" i="22"/>
  <c r="N39" i="22" s="1"/>
  <c r="G39" i="22"/>
  <c r="P39" i="22" s="1"/>
  <c r="F39" i="22"/>
  <c r="E39" i="22"/>
  <c r="AB38" i="22"/>
  <c r="Y38" i="22"/>
  <c r="O38" i="22"/>
  <c r="L38" i="22"/>
  <c r="J38" i="22" s="1"/>
  <c r="I38" i="22"/>
  <c r="Q38" i="22" s="1"/>
  <c r="H38" i="22"/>
  <c r="N38" i="22" s="1"/>
  <c r="G38" i="22"/>
  <c r="P38" i="22" s="1"/>
  <c r="F38" i="22"/>
  <c r="E38" i="22"/>
  <c r="AB37" i="22"/>
  <c r="Y37" i="22"/>
  <c r="O37" i="22"/>
  <c r="L37" i="22"/>
  <c r="I37" i="22"/>
  <c r="Q37" i="22" s="1"/>
  <c r="H37" i="22"/>
  <c r="N37" i="22" s="1"/>
  <c r="G37" i="22"/>
  <c r="P37" i="22" s="1"/>
  <c r="F37" i="22"/>
  <c r="E37" i="22"/>
  <c r="D37" i="22" s="1"/>
  <c r="AB36" i="22"/>
  <c r="Y36" i="22"/>
  <c r="O36" i="22"/>
  <c r="L36" i="22"/>
  <c r="I36" i="22"/>
  <c r="Q36" i="22" s="1"/>
  <c r="H36" i="22"/>
  <c r="G36" i="22"/>
  <c r="P36" i="22" s="1"/>
  <c r="F36" i="22"/>
  <c r="E36" i="22"/>
  <c r="AB35" i="22"/>
  <c r="Y35" i="22"/>
  <c r="O35" i="22"/>
  <c r="L35" i="22"/>
  <c r="I35" i="22"/>
  <c r="Q35" i="22" s="1"/>
  <c r="H35" i="22"/>
  <c r="N35" i="22" s="1"/>
  <c r="G35" i="22"/>
  <c r="P35" i="22" s="1"/>
  <c r="F35" i="22"/>
  <c r="E35" i="22"/>
  <c r="AB34" i="22"/>
  <c r="Y34" i="22"/>
  <c r="O34" i="22"/>
  <c r="L34" i="22"/>
  <c r="I34" i="22"/>
  <c r="Q34" i="22" s="1"/>
  <c r="H34" i="22"/>
  <c r="N34" i="22" s="1"/>
  <c r="G34" i="22"/>
  <c r="P34" i="22" s="1"/>
  <c r="F34" i="22"/>
  <c r="E34" i="22"/>
  <c r="D34" i="22" s="1"/>
  <c r="C34" i="22" s="1"/>
  <c r="K34" i="22" s="1"/>
  <c r="AB33" i="22"/>
  <c r="Y33" i="22"/>
  <c r="O33" i="22"/>
  <c r="L33" i="22"/>
  <c r="J33" i="22" s="1"/>
  <c r="I33" i="22"/>
  <c r="H33" i="22"/>
  <c r="N33" i="22" s="1"/>
  <c r="G33" i="22"/>
  <c r="F33" i="22"/>
  <c r="E33" i="22"/>
  <c r="AB32" i="22"/>
  <c r="Y32" i="22"/>
  <c r="Q32" i="22"/>
  <c r="O32" i="22"/>
  <c r="L32" i="22"/>
  <c r="I32" i="22"/>
  <c r="H32" i="22"/>
  <c r="G32" i="22"/>
  <c r="P32" i="22" s="1"/>
  <c r="F32" i="22"/>
  <c r="E32" i="22"/>
  <c r="AD31" i="22"/>
  <c r="AD8" i="22" s="1"/>
  <c r="AC31" i="22"/>
  <c r="AB31" i="22"/>
  <c r="AA31" i="22"/>
  <c r="Z31" i="22"/>
  <c r="X31" i="22"/>
  <c r="X8" i="22" s="1"/>
  <c r="W31" i="22"/>
  <c r="Y31" i="22" s="1"/>
  <c r="V31" i="22"/>
  <c r="U31" i="22"/>
  <c r="T31" i="22"/>
  <c r="S31" i="22"/>
  <c r="R31" i="22"/>
  <c r="AB30" i="22"/>
  <c r="Y30" i="22"/>
  <c r="O30" i="22"/>
  <c r="L30" i="22"/>
  <c r="I30" i="22"/>
  <c r="Q30" i="22" s="1"/>
  <c r="H30" i="22"/>
  <c r="G30" i="22"/>
  <c r="P30" i="22" s="1"/>
  <c r="F30" i="22"/>
  <c r="E30" i="22"/>
  <c r="AB29" i="22"/>
  <c r="Y29" i="22"/>
  <c r="O29" i="22"/>
  <c r="L29" i="22"/>
  <c r="I29" i="22"/>
  <c r="Q29" i="22" s="1"/>
  <c r="H29" i="22"/>
  <c r="N29" i="22" s="1"/>
  <c r="G29" i="22"/>
  <c r="P29" i="22" s="1"/>
  <c r="F29" i="22"/>
  <c r="E29" i="22"/>
  <c r="AB28" i="22"/>
  <c r="Y28" i="22"/>
  <c r="O28" i="22"/>
  <c r="L28" i="22"/>
  <c r="I28" i="22"/>
  <c r="Q28" i="22" s="1"/>
  <c r="H28" i="22"/>
  <c r="G28" i="22"/>
  <c r="P28" i="22" s="1"/>
  <c r="F28" i="22"/>
  <c r="E28" i="22"/>
  <c r="AB27" i="22"/>
  <c r="Y27" i="22"/>
  <c r="O27" i="22"/>
  <c r="L27" i="22"/>
  <c r="I27" i="22"/>
  <c r="Q27" i="22" s="1"/>
  <c r="H27" i="22"/>
  <c r="G27" i="22"/>
  <c r="P27" i="22" s="1"/>
  <c r="F27" i="22"/>
  <c r="E27" i="22"/>
  <c r="AB26" i="22"/>
  <c r="Y26" i="22"/>
  <c r="O26" i="22"/>
  <c r="L26" i="22"/>
  <c r="I26" i="22"/>
  <c r="Q26" i="22" s="1"/>
  <c r="H26" i="22"/>
  <c r="G26" i="22"/>
  <c r="P26" i="22" s="1"/>
  <c r="F26" i="22"/>
  <c r="E26" i="22"/>
  <c r="D26" i="22" s="1"/>
  <c r="AB25" i="22"/>
  <c r="Y25" i="22"/>
  <c r="O25" i="22"/>
  <c r="J25" i="22" s="1"/>
  <c r="L25" i="22"/>
  <c r="I25" i="22"/>
  <c r="Q25" i="22" s="1"/>
  <c r="H25" i="22"/>
  <c r="G25" i="22"/>
  <c r="P25" i="22" s="1"/>
  <c r="F25" i="22"/>
  <c r="E25" i="22"/>
  <c r="AB24" i="22"/>
  <c r="Y24" i="22"/>
  <c r="O24" i="22"/>
  <c r="N24" i="22"/>
  <c r="L24" i="22"/>
  <c r="I24" i="22"/>
  <c r="Q24" i="22" s="1"/>
  <c r="H24" i="22"/>
  <c r="G24" i="22"/>
  <c r="P24" i="22" s="1"/>
  <c r="F24" i="22"/>
  <c r="E24" i="22"/>
  <c r="AB23" i="22"/>
  <c r="Y23" i="22"/>
  <c r="O23" i="22"/>
  <c r="L23" i="22"/>
  <c r="J23" i="22" s="1"/>
  <c r="I23" i="22"/>
  <c r="Q23" i="22" s="1"/>
  <c r="H23" i="22"/>
  <c r="N23" i="22" s="1"/>
  <c r="G23" i="22"/>
  <c r="P23" i="22" s="1"/>
  <c r="F23" i="22"/>
  <c r="E23" i="22"/>
  <c r="AB22" i="22"/>
  <c r="Y22" i="22"/>
  <c r="O22" i="22"/>
  <c r="L22" i="22"/>
  <c r="I22" i="22"/>
  <c r="Q22" i="22" s="1"/>
  <c r="H22" i="22"/>
  <c r="N22" i="22" s="1"/>
  <c r="G22" i="22"/>
  <c r="P22" i="22" s="1"/>
  <c r="F22" i="22"/>
  <c r="E22" i="22"/>
  <c r="AB21" i="22"/>
  <c r="Y21" i="22"/>
  <c r="O21" i="22"/>
  <c r="L21" i="22"/>
  <c r="I21" i="22"/>
  <c r="Q21" i="22" s="1"/>
  <c r="H21" i="22"/>
  <c r="N21" i="22" s="1"/>
  <c r="G21" i="22"/>
  <c r="P21" i="22" s="1"/>
  <c r="F21" i="22"/>
  <c r="E21" i="22"/>
  <c r="D21" i="22" s="1"/>
  <c r="AB20" i="22"/>
  <c r="Y20" i="22"/>
  <c r="Q20" i="22"/>
  <c r="O20" i="22"/>
  <c r="L20" i="22"/>
  <c r="I20" i="22"/>
  <c r="H20" i="22"/>
  <c r="N20" i="22" s="1"/>
  <c r="G20" i="22"/>
  <c r="P20" i="22" s="1"/>
  <c r="F20" i="22"/>
  <c r="E20" i="22"/>
  <c r="AB19" i="22"/>
  <c r="Y19" i="22"/>
  <c r="O19" i="22"/>
  <c r="L19" i="22"/>
  <c r="I19" i="22"/>
  <c r="Q19" i="22" s="1"/>
  <c r="H19" i="22"/>
  <c r="G19" i="22"/>
  <c r="P19" i="22" s="1"/>
  <c r="F19" i="22"/>
  <c r="E19" i="22"/>
  <c r="D19" i="22" s="1"/>
  <c r="AB18" i="22"/>
  <c r="Y18" i="22"/>
  <c r="O18" i="22"/>
  <c r="L18" i="22"/>
  <c r="I18" i="22"/>
  <c r="Q18" i="22" s="1"/>
  <c r="H18" i="22"/>
  <c r="N18" i="22" s="1"/>
  <c r="G18" i="22"/>
  <c r="P18" i="22" s="1"/>
  <c r="F18" i="22"/>
  <c r="E18" i="22"/>
  <c r="AB17" i="22"/>
  <c r="Y17" i="22"/>
  <c r="O17" i="22"/>
  <c r="L17" i="22"/>
  <c r="I17" i="22"/>
  <c r="Q17" i="22" s="1"/>
  <c r="H17" i="22"/>
  <c r="G17" i="22"/>
  <c r="P17" i="22" s="1"/>
  <c r="F17" i="22"/>
  <c r="E17" i="22"/>
  <c r="D17" i="22"/>
  <c r="M17" i="22" s="1"/>
  <c r="AB16" i="22"/>
  <c r="Y16" i="22"/>
  <c r="O16" i="22"/>
  <c r="L16" i="22"/>
  <c r="I16" i="22"/>
  <c r="Q16" i="22" s="1"/>
  <c r="H16" i="22"/>
  <c r="G16" i="22"/>
  <c r="P16" i="22" s="1"/>
  <c r="F16" i="22"/>
  <c r="E16" i="22"/>
  <c r="AB15" i="22"/>
  <c r="Y15" i="22"/>
  <c r="O15" i="22"/>
  <c r="L15" i="22"/>
  <c r="I15" i="22"/>
  <c r="Q15" i="22" s="1"/>
  <c r="H15" i="22"/>
  <c r="N15" i="22" s="1"/>
  <c r="G15" i="22"/>
  <c r="P15" i="22" s="1"/>
  <c r="F15" i="22"/>
  <c r="E15" i="22"/>
  <c r="AB14" i="22"/>
  <c r="Y14" i="22"/>
  <c r="O14" i="22"/>
  <c r="L14" i="22"/>
  <c r="J14" i="22"/>
  <c r="I14" i="22"/>
  <c r="Q14" i="22" s="1"/>
  <c r="H14" i="22"/>
  <c r="N14" i="22" s="1"/>
  <c r="G14" i="22"/>
  <c r="P14" i="22" s="1"/>
  <c r="F14" i="22"/>
  <c r="E14" i="22"/>
  <c r="D14" i="22"/>
  <c r="AD13" i="22"/>
  <c r="AC13" i="22"/>
  <c r="AA13" i="22"/>
  <c r="Z13" i="22"/>
  <c r="X13" i="22"/>
  <c r="W13" i="22"/>
  <c r="Y13" i="22" s="1"/>
  <c r="U13" i="22"/>
  <c r="T13" i="22"/>
  <c r="S13" i="22"/>
  <c r="V13" i="22" s="1"/>
  <c r="R13" i="22"/>
  <c r="AD9" i="22"/>
  <c r="AD7" i="22" s="1"/>
  <c r="AC9" i="22"/>
  <c r="AC7" i="22" s="1"/>
  <c r="AA9" i="22"/>
  <c r="AA7" i="22" s="1"/>
  <c r="Z9" i="22"/>
  <c r="X9" i="22"/>
  <c r="W9" i="22"/>
  <c r="R9" i="22"/>
  <c r="AC8" i="22"/>
  <c r="W8" i="22"/>
  <c r="Y8" i="22" s="1"/>
  <c r="Z7" i="22"/>
  <c r="W7" i="22"/>
  <c r="O108" i="21"/>
  <c r="L108" i="21"/>
  <c r="I108" i="21"/>
  <c r="Q108" i="21" s="1"/>
  <c r="H108" i="21"/>
  <c r="N108" i="21" s="1"/>
  <c r="G108" i="21"/>
  <c r="P108" i="21" s="1"/>
  <c r="F108" i="21"/>
  <c r="E108" i="21"/>
  <c r="O107" i="21"/>
  <c r="J107" i="21" s="1"/>
  <c r="L107" i="21"/>
  <c r="I107" i="21"/>
  <c r="Q107" i="21" s="1"/>
  <c r="H107" i="21"/>
  <c r="N107" i="21" s="1"/>
  <c r="G107" i="21"/>
  <c r="P107" i="21" s="1"/>
  <c r="F107" i="21"/>
  <c r="E107" i="21"/>
  <c r="O106" i="21"/>
  <c r="L106" i="21"/>
  <c r="I106" i="21"/>
  <c r="Q106" i="21" s="1"/>
  <c r="H106" i="21"/>
  <c r="N106" i="21" s="1"/>
  <c r="G106" i="21"/>
  <c r="P106" i="21" s="1"/>
  <c r="F106" i="21"/>
  <c r="E106" i="21"/>
  <c r="O105" i="21"/>
  <c r="L105" i="21"/>
  <c r="I105" i="21"/>
  <c r="Q105" i="21" s="1"/>
  <c r="H105" i="21"/>
  <c r="N105" i="21" s="1"/>
  <c r="G105" i="21"/>
  <c r="P105" i="21" s="1"/>
  <c r="F105" i="21"/>
  <c r="E105" i="21"/>
  <c r="O104" i="21"/>
  <c r="L104" i="21"/>
  <c r="J104" i="21" s="1"/>
  <c r="I104" i="21"/>
  <c r="Q104" i="21" s="1"/>
  <c r="H104" i="21"/>
  <c r="N104" i="21" s="1"/>
  <c r="G104" i="21"/>
  <c r="P104" i="21" s="1"/>
  <c r="F104" i="21"/>
  <c r="E104" i="21"/>
  <c r="O103" i="21"/>
  <c r="L103" i="21"/>
  <c r="I103" i="21"/>
  <c r="Q103" i="21" s="1"/>
  <c r="H103" i="21"/>
  <c r="N103" i="21" s="1"/>
  <c r="G103" i="21"/>
  <c r="P103" i="21" s="1"/>
  <c r="F103" i="21"/>
  <c r="E103" i="21"/>
  <c r="D103" i="21" s="1"/>
  <c r="M103" i="21" s="1"/>
  <c r="O102" i="21"/>
  <c r="L102" i="21"/>
  <c r="I102" i="21"/>
  <c r="Q102" i="21" s="1"/>
  <c r="H102" i="21"/>
  <c r="N102" i="21" s="1"/>
  <c r="G102" i="21"/>
  <c r="P102" i="21" s="1"/>
  <c r="F102" i="21"/>
  <c r="E102" i="21"/>
  <c r="O101" i="21"/>
  <c r="L101" i="21"/>
  <c r="I101" i="21"/>
  <c r="Q101" i="21" s="1"/>
  <c r="H101" i="21"/>
  <c r="N101" i="21" s="1"/>
  <c r="G101" i="21"/>
  <c r="P101" i="21" s="1"/>
  <c r="F101" i="21"/>
  <c r="E101" i="21"/>
  <c r="O100" i="21"/>
  <c r="L100" i="21"/>
  <c r="I100" i="21"/>
  <c r="Q100" i="21" s="1"/>
  <c r="H100" i="21"/>
  <c r="N100" i="21" s="1"/>
  <c r="G100" i="21"/>
  <c r="P100" i="21" s="1"/>
  <c r="F100" i="21"/>
  <c r="E100" i="21"/>
  <c r="O99" i="21"/>
  <c r="L99" i="21"/>
  <c r="I99" i="21"/>
  <c r="Q99" i="21" s="1"/>
  <c r="H99" i="21"/>
  <c r="N99" i="21" s="1"/>
  <c r="G99" i="21"/>
  <c r="P99" i="21" s="1"/>
  <c r="F99" i="21"/>
  <c r="E99" i="21"/>
  <c r="O98" i="21"/>
  <c r="L98" i="21"/>
  <c r="I98" i="21"/>
  <c r="Q98" i="21" s="1"/>
  <c r="H98" i="21"/>
  <c r="G98" i="21"/>
  <c r="P98" i="21" s="1"/>
  <c r="F98" i="21"/>
  <c r="E98" i="21"/>
  <c r="O97" i="21"/>
  <c r="L97" i="21"/>
  <c r="I97" i="21"/>
  <c r="Q97" i="21" s="1"/>
  <c r="H97" i="21"/>
  <c r="N97" i="21" s="1"/>
  <c r="G97" i="21"/>
  <c r="P97" i="21" s="1"/>
  <c r="F97" i="21"/>
  <c r="E97" i="21"/>
  <c r="O96" i="21"/>
  <c r="L96" i="21"/>
  <c r="J96" i="21" s="1"/>
  <c r="I96" i="21"/>
  <c r="Q96" i="21" s="1"/>
  <c r="H96" i="21"/>
  <c r="N96" i="21" s="1"/>
  <c r="G96" i="21"/>
  <c r="P96" i="21" s="1"/>
  <c r="F96" i="21"/>
  <c r="E96" i="21"/>
  <c r="O95" i="21"/>
  <c r="L95" i="21"/>
  <c r="I95" i="21"/>
  <c r="Q95" i="21" s="1"/>
  <c r="H95" i="21"/>
  <c r="N95" i="21" s="1"/>
  <c r="G95" i="21"/>
  <c r="P95" i="21" s="1"/>
  <c r="F95" i="21"/>
  <c r="E95" i="21"/>
  <c r="D95" i="21" s="1"/>
  <c r="M95" i="21" s="1"/>
  <c r="O94" i="21"/>
  <c r="L94" i="21"/>
  <c r="I94" i="21"/>
  <c r="Q94" i="21" s="1"/>
  <c r="H94" i="21"/>
  <c r="N94" i="21" s="1"/>
  <c r="G94" i="21"/>
  <c r="P94" i="21" s="1"/>
  <c r="F94" i="21"/>
  <c r="E94" i="21"/>
  <c r="O93" i="21"/>
  <c r="L93" i="21"/>
  <c r="I93" i="21"/>
  <c r="Q93" i="21" s="1"/>
  <c r="H93" i="21"/>
  <c r="N93" i="21" s="1"/>
  <c r="G93" i="21"/>
  <c r="P93" i="21" s="1"/>
  <c r="F93" i="21"/>
  <c r="E93" i="21"/>
  <c r="O92" i="21"/>
  <c r="L92" i="21"/>
  <c r="I92" i="21"/>
  <c r="Q92" i="21" s="1"/>
  <c r="H92" i="21"/>
  <c r="N92" i="21" s="1"/>
  <c r="G92" i="21"/>
  <c r="P92" i="21" s="1"/>
  <c r="F92" i="21"/>
  <c r="E92" i="21"/>
  <c r="O91" i="21"/>
  <c r="L91" i="21"/>
  <c r="I91" i="21"/>
  <c r="H91" i="21"/>
  <c r="N91" i="21" s="1"/>
  <c r="G91" i="21"/>
  <c r="P91" i="21" s="1"/>
  <c r="F91" i="21"/>
  <c r="E91" i="21"/>
  <c r="O90" i="21"/>
  <c r="L90" i="21"/>
  <c r="I90" i="21"/>
  <c r="Q90" i="21" s="1"/>
  <c r="H90" i="21"/>
  <c r="N90" i="21" s="1"/>
  <c r="G90" i="21"/>
  <c r="P90" i="21" s="1"/>
  <c r="F90" i="21"/>
  <c r="E90" i="21"/>
  <c r="V88" i="21"/>
  <c r="U88" i="21"/>
  <c r="S88" i="21"/>
  <c r="R88" i="21"/>
  <c r="O88" i="21"/>
  <c r="L88" i="21"/>
  <c r="J88" i="21" s="1"/>
  <c r="I88" i="21"/>
  <c r="Q88" i="21" s="1"/>
  <c r="H88" i="21"/>
  <c r="G88" i="21"/>
  <c r="P88" i="21" s="1"/>
  <c r="F88" i="21"/>
  <c r="E88" i="21"/>
  <c r="W87" i="21"/>
  <c r="T87" i="21"/>
  <c r="O87" i="21"/>
  <c r="L87" i="21"/>
  <c r="J87" i="21" s="1"/>
  <c r="I87" i="21"/>
  <c r="Q87" i="21" s="1"/>
  <c r="H87" i="21"/>
  <c r="N87" i="21" s="1"/>
  <c r="G87" i="21"/>
  <c r="P87" i="21" s="1"/>
  <c r="F87" i="21"/>
  <c r="D87" i="21" s="1"/>
  <c r="E87" i="21"/>
  <c r="W86" i="21"/>
  <c r="T86" i="21"/>
  <c r="O86" i="21"/>
  <c r="L86" i="21"/>
  <c r="J86" i="21" s="1"/>
  <c r="I86" i="21"/>
  <c r="Q86" i="21" s="1"/>
  <c r="H86" i="21"/>
  <c r="N86" i="21" s="1"/>
  <c r="G86" i="21"/>
  <c r="P86" i="21" s="1"/>
  <c r="F86" i="21"/>
  <c r="E86" i="21"/>
  <c r="D86" i="21" s="1"/>
  <c r="M86" i="21" s="1"/>
  <c r="W85" i="21"/>
  <c r="T85" i="21"/>
  <c r="O85" i="21"/>
  <c r="L85" i="21"/>
  <c r="I85" i="21"/>
  <c r="Q85" i="21" s="1"/>
  <c r="H85" i="21"/>
  <c r="N85" i="21" s="1"/>
  <c r="G85" i="21"/>
  <c r="P85" i="21" s="1"/>
  <c r="F85" i="21"/>
  <c r="E85" i="21"/>
  <c r="W84" i="21"/>
  <c r="T84" i="21"/>
  <c r="Q84" i="21"/>
  <c r="O84" i="21"/>
  <c r="J84" i="21" s="1"/>
  <c r="L84" i="21"/>
  <c r="I84" i="21"/>
  <c r="H84" i="21"/>
  <c r="N84" i="21" s="1"/>
  <c r="G84" i="21"/>
  <c r="P84" i="21" s="1"/>
  <c r="F84" i="21"/>
  <c r="E84" i="21"/>
  <c r="D84" i="21" s="1"/>
  <c r="W83" i="21"/>
  <c r="T83" i="21"/>
  <c r="O83" i="21"/>
  <c r="L83" i="21"/>
  <c r="I83" i="21"/>
  <c r="Q83" i="21" s="1"/>
  <c r="H83" i="21"/>
  <c r="N83" i="21" s="1"/>
  <c r="G83" i="21"/>
  <c r="P83" i="21" s="1"/>
  <c r="F83" i="21"/>
  <c r="D83" i="21" s="1"/>
  <c r="M83" i="21" s="1"/>
  <c r="E83" i="21"/>
  <c r="V82" i="21"/>
  <c r="U82" i="21"/>
  <c r="S82" i="21"/>
  <c r="R82" i="21"/>
  <c r="O82" i="21"/>
  <c r="L82" i="21"/>
  <c r="I82" i="21"/>
  <c r="Q82" i="21" s="1"/>
  <c r="H82" i="21"/>
  <c r="G82" i="21"/>
  <c r="P82" i="21" s="1"/>
  <c r="F82" i="21"/>
  <c r="E82" i="21"/>
  <c r="W81" i="21"/>
  <c r="T81" i="21"/>
  <c r="O81" i="21"/>
  <c r="L81" i="21"/>
  <c r="I81" i="21"/>
  <c r="Q81" i="21" s="1"/>
  <c r="H81" i="21"/>
  <c r="N81" i="21" s="1"/>
  <c r="G81" i="21"/>
  <c r="P81" i="21" s="1"/>
  <c r="F81" i="21"/>
  <c r="E81" i="21"/>
  <c r="W80" i="21"/>
  <c r="T80" i="21"/>
  <c r="O80" i="21"/>
  <c r="L80" i="21"/>
  <c r="I80" i="21"/>
  <c r="Q80" i="21" s="1"/>
  <c r="H80" i="21"/>
  <c r="N80" i="21" s="1"/>
  <c r="G80" i="21"/>
  <c r="P80" i="21" s="1"/>
  <c r="F80" i="21"/>
  <c r="E80" i="21"/>
  <c r="W79" i="21"/>
  <c r="T79" i="21"/>
  <c r="O79" i="21"/>
  <c r="L79" i="21"/>
  <c r="I79" i="21"/>
  <c r="Q79" i="21" s="1"/>
  <c r="H79" i="21"/>
  <c r="N79" i="21" s="1"/>
  <c r="G79" i="21"/>
  <c r="F79" i="21"/>
  <c r="E79" i="21"/>
  <c r="V78" i="21"/>
  <c r="U78" i="21"/>
  <c r="S78" i="21"/>
  <c r="R78" i="21"/>
  <c r="O78" i="21"/>
  <c r="L78" i="21"/>
  <c r="I78" i="21"/>
  <c r="Q78" i="21" s="1"/>
  <c r="H78" i="21"/>
  <c r="G78" i="21"/>
  <c r="P78" i="21" s="1"/>
  <c r="F78" i="21"/>
  <c r="E78" i="21"/>
  <c r="W77" i="21"/>
  <c r="T77" i="21"/>
  <c r="O77" i="21"/>
  <c r="L77" i="21"/>
  <c r="I77" i="21"/>
  <c r="Q77" i="21" s="1"/>
  <c r="H77" i="21"/>
  <c r="N77" i="21" s="1"/>
  <c r="G77" i="21"/>
  <c r="P77" i="21" s="1"/>
  <c r="F77" i="21"/>
  <c r="E77" i="21"/>
  <c r="W76" i="21"/>
  <c r="V76" i="21"/>
  <c r="U76" i="21"/>
  <c r="S76" i="21"/>
  <c r="R76" i="21"/>
  <c r="O76" i="21"/>
  <c r="L76" i="21"/>
  <c r="I76" i="21"/>
  <c r="Q76" i="21" s="1"/>
  <c r="H76" i="21"/>
  <c r="G76" i="21"/>
  <c r="P76" i="21" s="1"/>
  <c r="F76" i="21"/>
  <c r="E76" i="21"/>
  <c r="V75" i="21"/>
  <c r="U75" i="21"/>
  <c r="S75" i="21"/>
  <c r="R75" i="21"/>
  <c r="O75" i="21"/>
  <c r="L75" i="21"/>
  <c r="I75" i="21"/>
  <c r="H75" i="21"/>
  <c r="G75" i="21"/>
  <c r="P75" i="21" s="1"/>
  <c r="F75" i="21"/>
  <c r="E75" i="21"/>
  <c r="W73" i="21"/>
  <c r="T73" i="21"/>
  <c r="O73" i="21"/>
  <c r="L73" i="21"/>
  <c r="J73" i="21" s="1"/>
  <c r="I73" i="21"/>
  <c r="Q73" i="21" s="1"/>
  <c r="H73" i="21"/>
  <c r="N73" i="21" s="1"/>
  <c r="G73" i="21"/>
  <c r="P73" i="21" s="1"/>
  <c r="F73" i="21"/>
  <c r="E73" i="21"/>
  <c r="V72" i="21"/>
  <c r="U72" i="21"/>
  <c r="S72" i="21"/>
  <c r="R72" i="21"/>
  <c r="O72" i="21"/>
  <c r="L72" i="21"/>
  <c r="I72" i="21"/>
  <c r="Q72" i="21" s="1"/>
  <c r="H72" i="21"/>
  <c r="G72" i="21"/>
  <c r="P72" i="21" s="1"/>
  <c r="F72" i="21"/>
  <c r="E72" i="21"/>
  <c r="W71" i="21"/>
  <c r="T71" i="21"/>
  <c r="O71" i="21"/>
  <c r="L71" i="21"/>
  <c r="I71" i="21"/>
  <c r="Q71" i="21" s="1"/>
  <c r="H71" i="21"/>
  <c r="N71" i="21" s="1"/>
  <c r="G71" i="21"/>
  <c r="P71" i="21" s="1"/>
  <c r="F71" i="21"/>
  <c r="E71" i="21"/>
  <c r="W70" i="21"/>
  <c r="T70" i="21"/>
  <c r="O70" i="21"/>
  <c r="L70" i="21"/>
  <c r="I70" i="21"/>
  <c r="Q70" i="21" s="1"/>
  <c r="H70" i="21"/>
  <c r="N70" i="21" s="1"/>
  <c r="G70" i="21"/>
  <c r="P70" i="21" s="1"/>
  <c r="F70" i="21"/>
  <c r="E70" i="21"/>
  <c r="W69" i="21"/>
  <c r="T69" i="21"/>
  <c r="O69" i="21"/>
  <c r="L69" i="21"/>
  <c r="I69" i="21"/>
  <c r="Q69" i="21" s="1"/>
  <c r="H69" i="21"/>
  <c r="N69" i="21" s="1"/>
  <c r="G69" i="21"/>
  <c r="P69" i="21" s="1"/>
  <c r="F69" i="21"/>
  <c r="E69" i="21"/>
  <c r="V68" i="21"/>
  <c r="U68" i="21"/>
  <c r="S68" i="21"/>
  <c r="R68" i="21"/>
  <c r="O68" i="21"/>
  <c r="L68" i="21"/>
  <c r="J68" i="21" s="1"/>
  <c r="I68" i="21"/>
  <c r="Q68" i="21" s="1"/>
  <c r="H68" i="21"/>
  <c r="G68" i="21"/>
  <c r="P68" i="21" s="1"/>
  <c r="F68" i="21"/>
  <c r="E68" i="21"/>
  <c r="D68" i="21" s="1"/>
  <c r="W67" i="21"/>
  <c r="T67" i="21"/>
  <c r="O67" i="21"/>
  <c r="L67" i="21"/>
  <c r="I67" i="21"/>
  <c r="Q67" i="21" s="1"/>
  <c r="H67" i="21"/>
  <c r="N67" i="21" s="1"/>
  <c r="G67" i="21"/>
  <c r="P67" i="21" s="1"/>
  <c r="F67" i="21"/>
  <c r="E67" i="21"/>
  <c r="W66" i="21"/>
  <c r="T66" i="21"/>
  <c r="O66" i="21"/>
  <c r="L66" i="21"/>
  <c r="I66" i="21"/>
  <c r="Q66" i="21" s="1"/>
  <c r="H66" i="21"/>
  <c r="N66" i="21" s="1"/>
  <c r="G66" i="21"/>
  <c r="P66" i="21" s="1"/>
  <c r="F66" i="21"/>
  <c r="E66" i="21"/>
  <c r="D66" i="21" s="1"/>
  <c r="W65" i="21"/>
  <c r="T65" i="21"/>
  <c r="O65" i="21"/>
  <c r="L65" i="21"/>
  <c r="I65" i="21"/>
  <c r="Q65" i="21" s="1"/>
  <c r="H65" i="21"/>
  <c r="N65" i="21" s="1"/>
  <c r="G65" i="21"/>
  <c r="P65" i="21" s="1"/>
  <c r="F65" i="21"/>
  <c r="E65" i="21"/>
  <c r="D65" i="21" s="1"/>
  <c r="W64" i="21"/>
  <c r="T64" i="21"/>
  <c r="O64" i="21"/>
  <c r="J64" i="21" s="1"/>
  <c r="L64" i="21"/>
  <c r="I64" i="21"/>
  <c r="Q64" i="21" s="1"/>
  <c r="H64" i="21"/>
  <c r="N64" i="21" s="1"/>
  <c r="G64" i="21"/>
  <c r="P64" i="21" s="1"/>
  <c r="F64" i="21"/>
  <c r="E64" i="21"/>
  <c r="D64" i="21" s="1"/>
  <c r="W63" i="21"/>
  <c r="T63" i="21"/>
  <c r="O63" i="21"/>
  <c r="L63" i="21"/>
  <c r="I63" i="21"/>
  <c r="Q63" i="21" s="1"/>
  <c r="H63" i="21"/>
  <c r="N63" i="21" s="1"/>
  <c r="G63" i="21"/>
  <c r="P63" i="21" s="1"/>
  <c r="F63" i="21"/>
  <c r="E63" i="21"/>
  <c r="D63" i="21" s="1"/>
  <c r="V62" i="21"/>
  <c r="U62" i="21"/>
  <c r="S62" i="21"/>
  <c r="R62" i="21"/>
  <c r="O62" i="21"/>
  <c r="L62" i="21"/>
  <c r="J62" i="21" s="1"/>
  <c r="I62" i="21"/>
  <c r="Q62" i="21" s="1"/>
  <c r="H62" i="21"/>
  <c r="G62" i="21"/>
  <c r="P62" i="21" s="1"/>
  <c r="F62" i="21"/>
  <c r="E62" i="21"/>
  <c r="W61" i="21"/>
  <c r="T61" i="21"/>
  <c r="O61" i="21"/>
  <c r="L61" i="21"/>
  <c r="J61" i="21" s="1"/>
  <c r="I61" i="21"/>
  <c r="Q61" i="21" s="1"/>
  <c r="H61" i="21"/>
  <c r="N61" i="21" s="1"/>
  <c r="G61" i="21"/>
  <c r="P61" i="21" s="1"/>
  <c r="F61" i="21"/>
  <c r="E61" i="21"/>
  <c r="W60" i="21"/>
  <c r="T60" i="21"/>
  <c r="O60" i="21"/>
  <c r="L60" i="21"/>
  <c r="J60" i="21" s="1"/>
  <c r="I60" i="21"/>
  <c r="Q60" i="21" s="1"/>
  <c r="H60" i="21"/>
  <c r="N60" i="21" s="1"/>
  <c r="G60" i="21"/>
  <c r="P60" i="21" s="1"/>
  <c r="F60" i="21"/>
  <c r="E60" i="21"/>
  <c r="D60" i="21" s="1"/>
  <c r="M60" i="21" s="1"/>
  <c r="W59" i="21"/>
  <c r="T59" i="21"/>
  <c r="O59" i="21"/>
  <c r="L59" i="21"/>
  <c r="I59" i="21"/>
  <c r="Q59" i="21" s="1"/>
  <c r="H59" i="21"/>
  <c r="N59" i="21" s="1"/>
  <c r="G59" i="21"/>
  <c r="P59" i="21" s="1"/>
  <c r="F59" i="21"/>
  <c r="E59" i="21"/>
  <c r="V58" i="21"/>
  <c r="U58" i="21"/>
  <c r="S58" i="21"/>
  <c r="R58" i="21"/>
  <c r="O58" i="21"/>
  <c r="L58" i="21"/>
  <c r="I58" i="21"/>
  <c r="Q58" i="21" s="1"/>
  <c r="H58" i="21"/>
  <c r="G58" i="21"/>
  <c r="P58" i="21" s="1"/>
  <c r="F58" i="21"/>
  <c r="E58" i="21"/>
  <c r="D58" i="21" s="1"/>
  <c r="W57" i="21"/>
  <c r="T57" i="21"/>
  <c r="O57" i="21"/>
  <c r="L57" i="21"/>
  <c r="I57" i="21"/>
  <c r="Q57" i="21" s="1"/>
  <c r="H57" i="21"/>
  <c r="N57" i="21" s="1"/>
  <c r="G57" i="21"/>
  <c r="P57" i="21" s="1"/>
  <c r="F57" i="21"/>
  <c r="E57" i="21"/>
  <c r="D57" i="21" s="1"/>
  <c r="W56" i="21"/>
  <c r="T56" i="21"/>
  <c r="O56" i="21"/>
  <c r="J56" i="21" s="1"/>
  <c r="L56" i="21"/>
  <c r="I56" i="21"/>
  <c r="Q56" i="21" s="1"/>
  <c r="H56" i="21"/>
  <c r="N56" i="21" s="1"/>
  <c r="G56" i="21"/>
  <c r="P56" i="21" s="1"/>
  <c r="F56" i="21"/>
  <c r="E56" i="21"/>
  <c r="D56" i="21" s="1"/>
  <c r="M56" i="21" s="1"/>
  <c r="W55" i="21"/>
  <c r="T55" i="21"/>
  <c r="O55" i="21"/>
  <c r="L55" i="21"/>
  <c r="I55" i="21"/>
  <c r="H55" i="21"/>
  <c r="N55" i="21" s="1"/>
  <c r="G55" i="21"/>
  <c r="P55" i="21" s="1"/>
  <c r="F55" i="21"/>
  <c r="E55" i="21"/>
  <c r="D55" i="21" s="1"/>
  <c r="M55" i="21" s="1"/>
  <c r="W54" i="21"/>
  <c r="T54" i="21"/>
  <c r="O54" i="21"/>
  <c r="L54" i="21"/>
  <c r="I54" i="21"/>
  <c r="Q54" i="21" s="1"/>
  <c r="H54" i="21"/>
  <c r="N54" i="21" s="1"/>
  <c r="G54" i="21"/>
  <c r="P54" i="21" s="1"/>
  <c r="F54" i="21"/>
  <c r="E54" i="21"/>
  <c r="W53" i="21"/>
  <c r="T53" i="21"/>
  <c r="O53" i="21"/>
  <c r="L53" i="21"/>
  <c r="I53" i="21"/>
  <c r="Q53" i="21" s="1"/>
  <c r="H53" i="21"/>
  <c r="N53" i="21" s="1"/>
  <c r="G53" i="21"/>
  <c r="F53" i="21"/>
  <c r="E53" i="21"/>
  <c r="W51" i="21"/>
  <c r="T51" i="21"/>
  <c r="O51" i="21"/>
  <c r="L51" i="21"/>
  <c r="I51" i="21"/>
  <c r="Q51" i="21" s="1"/>
  <c r="H51" i="21"/>
  <c r="N51" i="21" s="1"/>
  <c r="G51" i="21"/>
  <c r="P51" i="21" s="1"/>
  <c r="F51" i="21"/>
  <c r="E51" i="21"/>
  <c r="W50" i="21"/>
  <c r="T50" i="21"/>
  <c r="O50" i="21"/>
  <c r="L50" i="21"/>
  <c r="I50" i="21"/>
  <c r="Q50" i="21" s="1"/>
  <c r="H50" i="21"/>
  <c r="N50" i="21" s="1"/>
  <c r="G50" i="21"/>
  <c r="P50" i="21" s="1"/>
  <c r="F50" i="21"/>
  <c r="E50" i="21"/>
  <c r="W49" i="21"/>
  <c r="T49" i="21"/>
  <c r="O49" i="21"/>
  <c r="L49" i="21"/>
  <c r="I49" i="21"/>
  <c r="Q49" i="21" s="1"/>
  <c r="H49" i="21"/>
  <c r="N49" i="21" s="1"/>
  <c r="G49" i="21"/>
  <c r="P49" i="21" s="1"/>
  <c r="F49" i="21"/>
  <c r="E49" i="21"/>
  <c r="W48" i="21"/>
  <c r="T48" i="21"/>
  <c r="O48" i="21"/>
  <c r="L48" i="21"/>
  <c r="I48" i="21"/>
  <c r="Q48" i="21" s="1"/>
  <c r="H48" i="21"/>
  <c r="N48" i="21" s="1"/>
  <c r="G48" i="21"/>
  <c r="P48" i="21" s="1"/>
  <c r="F48" i="21"/>
  <c r="E48" i="21"/>
  <c r="W47" i="21"/>
  <c r="T47" i="21"/>
  <c r="O47" i="21"/>
  <c r="L47" i="21"/>
  <c r="I47" i="21"/>
  <c r="Q47" i="21" s="1"/>
  <c r="H47" i="21"/>
  <c r="N47" i="21" s="1"/>
  <c r="G47" i="21"/>
  <c r="P47" i="21" s="1"/>
  <c r="F47" i="21"/>
  <c r="E47" i="21"/>
  <c r="W46" i="21"/>
  <c r="T46" i="21"/>
  <c r="O46" i="21"/>
  <c r="L46" i="21"/>
  <c r="I46" i="21"/>
  <c r="Q46" i="21" s="1"/>
  <c r="H46" i="21"/>
  <c r="N46" i="21" s="1"/>
  <c r="G46" i="21"/>
  <c r="P46" i="21" s="1"/>
  <c r="F46" i="21"/>
  <c r="E46" i="21"/>
  <c r="V45" i="21"/>
  <c r="U45" i="21"/>
  <c r="S45" i="21"/>
  <c r="R45" i="21"/>
  <c r="O45" i="21"/>
  <c r="L45" i="21"/>
  <c r="I45" i="21"/>
  <c r="Q45" i="21" s="1"/>
  <c r="H45" i="21"/>
  <c r="G45" i="21"/>
  <c r="P45" i="21" s="1"/>
  <c r="F45" i="21"/>
  <c r="D45" i="21" s="1"/>
  <c r="E45" i="21"/>
  <c r="W44" i="21"/>
  <c r="T44" i="21"/>
  <c r="O44" i="21"/>
  <c r="L44" i="21"/>
  <c r="J44" i="21" s="1"/>
  <c r="I44" i="21"/>
  <c r="Q44" i="21" s="1"/>
  <c r="H44" i="21"/>
  <c r="N44" i="21" s="1"/>
  <c r="G44" i="21"/>
  <c r="P44" i="21" s="1"/>
  <c r="F44" i="21"/>
  <c r="E44" i="21"/>
  <c r="W43" i="21"/>
  <c r="T43" i="21"/>
  <c r="O43" i="21"/>
  <c r="L43" i="21"/>
  <c r="J43" i="21" s="1"/>
  <c r="I43" i="21"/>
  <c r="Q43" i="21" s="1"/>
  <c r="H43" i="21"/>
  <c r="N43" i="21" s="1"/>
  <c r="G43" i="21"/>
  <c r="P43" i="21" s="1"/>
  <c r="F43" i="21"/>
  <c r="E43" i="21"/>
  <c r="W42" i="21"/>
  <c r="T42" i="21"/>
  <c r="O42" i="21"/>
  <c r="L42" i="21"/>
  <c r="I42" i="21"/>
  <c r="Q42" i="21" s="1"/>
  <c r="H42" i="21"/>
  <c r="N42" i="21" s="1"/>
  <c r="G42" i="21"/>
  <c r="P42" i="21" s="1"/>
  <c r="F42" i="21"/>
  <c r="E42" i="21"/>
  <c r="D42" i="21" s="1"/>
  <c r="W41" i="21"/>
  <c r="T41" i="21"/>
  <c r="O41" i="21"/>
  <c r="L41" i="21"/>
  <c r="I41" i="21"/>
  <c r="Q41" i="21" s="1"/>
  <c r="H41" i="21"/>
  <c r="N41" i="21" s="1"/>
  <c r="G41" i="21"/>
  <c r="P41" i="21" s="1"/>
  <c r="F41" i="21"/>
  <c r="E41" i="21"/>
  <c r="W40" i="21"/>
  <c r="T40" i="21"/>
  <c r="O40" i="21"/>
  <c r="L40" i="21"/>
  <c r="I40" i="21"/>
  <c r="Q40" i="21" s="1"/>
  <c r="H40" i="21"/>
  <c r="N40" i="21" s="1"/>
  <c r="G40" i="21"/>
  <c r="P40" i="21" s="1"/>
  <c r="F40" i="21"/>
  <c r="E40" i="21"/>
  <c r="D40" i="21" s="1"/>
  <c r="M40" i="21" s="1"/>
  <c r="W39" i="21"/>
  <c r="T39" i="21"/>
  <c r="O39" i="21"/>
  <c r="L39" i="21"/>
  <c r="I39" i="21"/>
  <c r="Q39" i="21" s="1"/>
  <c r="H39" i="21"/>
  <c r="N39" i="21" s="1"/>
  <c r="G39" i="21"/>
  <c r="P39" i="21" s="1"/>
  <c r="F39" i="21"/>
  <c r="E39" i="21"/>
  <c r="V38" i="21"/>
  <c r="U38" i="21"/>
  <c r="S38" i="21"/>
  <c r="R38" i="21"/>
  <c r="O38" i="21"/>
  <c r="L38" i="21"/>
  <c r="J38" i="21" s="1"/>
  <c r="I38" i="21"/>
  <c r="Q38" i="21" s="1"/>
  <c r="H38" i="21"/>
  <c r="N38" i="21" s="1"/>
  <c r="G38" i="21"/>
  <c r="P38" i="21" s="1"/>
  <c r="F38" i="21"/>
  <c r="E38" i="21"/>
  <c r="D38" i="21" s="1"/>
  <c r="M38" i="21" s="1"/>
  <c r="W37" i="21"/>
  <c r="T37" i="21"/>
  <c r="O37" i="21"/>
  <c r="L37" i="21"/>
  <c r="I37" i="21"/>
  <c r="Q37" i="21" s="1"/>
  <c r="H37" i="21"/>
  <c r="N37" i="21" s="1"/>
  <c r="G37" i="21"/>
  <c r="P37" i="21" s="1"/>
  <c r="F37" i="21"/>
  <c r="E37" i="21"/>
  <c r="V36" i="21"/>
  <c r="U36" i="21"/>
  <c r="S36" i="21"/>
  <c r="R36" i="21"/>
  <c r="O36" i="21"/>
  <c r="L36" i="21"/>
  <c r="I36" i="21"/>
  <c r="Q36" i="21" s="1"/>
  <c r="H36" i="21"/>
  <c r="G36" i="21"/>
  <c r="P36" i="21" s="1"/>
  <c r="F36" i="21"/>
  <c r="E36" i="21"/>
  <c r="W35" i="21"/>
  <c r="T35" i="21"/>
  <c r="O35" i="21"/>
  <c r="L35" i="21"/>
  <c r="I35" i="21"/>
  <c r="Q35" i="21" s="1"/>
  <c r="H35" i="21"/>
  <c r="N35" i="21" s="1"/>
  <c r="G35" i="21"/>
  <c r="P35" i="21" s="1"/>
  <c r="F35" i="21"/>
  <c r="E35" i="21"/>
  <c r="D35" i="21" s="1"/>
  <c r="W34" i="21"/>
  <c r="T34" i="21"/>
  <c r="O34" i="21"/>
  <c r="J34" i="21" s="1"/>
  <c r="L34" i="21"/>
  <c r="I34" i="21"/>
  <c r="Q34" i="21" s="1"/>
  <c r="H34" i="21"/>
  <c r="N34" i="21" s="1"/>
  <c r="G34" i="21"/>
  <c r="P34" i="21" s="1"/>
  <c r="F34" i="21"/>
  <c r="E34" i="21"/>
  <c r="D34" i="21" s="1"/>
  <c r="M34" i="21" s="1"/>
  <c r="W33" i="21"/>
  <c r="T33" i="21"/>
  <c r="O33" i="21"/>
  <c r="L33" i="21"/>
  <c r="I33" i="21"/>
  <c r="Q33" i="21" s="1"/>
  <c r="H33" i="21"/>
  <c r="N33" i="21" s="1"/>
  <c r="G33" i="21"/>
  <c r="P33" i="21" s="1"/>
  <c r="F33" i="21"/>
  <c r="E33" i="21"/>
  <c r="W32" i="21"/>
  <c r="T32" i="21"/>
  <c r="O32" i="21"/>
  <c r="L32" i="21"/>
  <c r="I32" i="21"/>
  <c r="H32" i="21"/>
  <c r="G32" i="21"/>
  <c r="F32" i="21"/>
  <c r="E32" i="21"/>
  <c r="W30" i="21"/>
  <c r="T30" i="21"/>
  <c r="O30" i="21"/>
  <c r="J30" i="21" s="1"/>
  <c r="L30" i="21"/>
  <c r="I30" i="21"/>
  <c r="Q30" i="21" s="1"/>
  <c r="H30" i="21"/>
  <c r="N30" i="21" s="1"/>
  <c r="G30" i="21"/>
  <c r="P30" i="21" s="1"/>
  <c r="F30" i="21"/>
  <c r="E30" i="21"/>
  <c r="W29" i="21"/>
  <c r="T29" i="21"/>
  <c r="O29" i="21"/>
  <c r="L29" i="21"/>
  <c r="I29" i="21"/>
  <c r="Q29" i="21" s="1"/>
  <c r="H29" i="21"/>
  <c r="N29" i="21" s="1"/>
  <c r="G29" i="21"/>
  <c r="P29" i="21" s="1"/>
  <c r="F29" i="21"/>
  <c r="E29" i="21"/>
  <c r="V28" i="21"/>
  <c r="U28" i="21"/>
  <c r="S28" i="21"/>
  <c r="R28" i="21"/>
  <c r="O28" i="21"/>
  <c r="L28" i="21"/>
  <c r="I28" i="21"/>
  <c r="Q28" i="21" s="1"/>
  <c r="H28" i="21"/>
  <c r="G28" i="21"/>
  <c r="P28" i="21" s="1"/>
  <c r="F28" i="21"/>
  <c r="E28" i="21"/>
  <c r="W27" i="21"/>
  <c r="T27" i="21"/>
  <c r="O27" i="21"/>
  <c r="L27" i="21"/>
  <c r="I27" i="21"/>
  <c r="Q27" i="21" s="1"/>
  <c r="H27" i="21"/>
  <c r="N27" i="21" s="1"/>
  <c r="G27" i="21"/>
  <c r="P27" i="21" s="1"/>
  <c r="F27" i="21"/>
  <c r="E27" i="21"/>
  <c r="V26" i="21"/>
  <c r="U26" i="21"/>
  <c r="S26" i="21"/>
  <c r="R26" i="21"/>
  <c r="T26" i="21" s="1"/>
  <c r="O26" i="21"/>
  <c r="L26" i="21"/>
  <c r="J26" i="21" s="1"/>
  <c r="I26" i="21"/>
  <c r="Q26" i="21" s="1"/>
  <c r="H26" i="21"/>
  <c r="G26" i="21"/>
  <c r="P26" i="21" s="1"/>
  <c r="F26" i="21"/>
  <c r="E26" i="21"/>
  <c r="D26" i="21" s="1"/>
  <c r="M26" i="21" s="1"/>
  <c r="V25" i="21"/>
  <c r="U25" i="21"/>
  <c r="S25" i="21"/>
  <c r="R25" i="21"/>
  <c r="P25" i="21"/>
  <c r="O25" i="21"/>
  <c r="L25" i="21"/>
  <c r="I25" i="21"/>
  <c r="Q25" i="21" s="1"/>
  <c r="H25" i="21"/>
  <c r="N25" i="21" s="1"/>
  <c r="G25" i="21"/>
  <c r="F25" i="21"/>
  <c r="E25" i="21"/>
  <c r="V24" i="21"/>
  <c r="U24" i="21"/>
  <c r="S24" i="21"/>
  <c r="T24" i="21" s="1"/>
  <c r="R24" i="21"/>
  <c r="O24" i="21"/>
  <c r="L24" i="21"/>
  <c r="I24" i="21"/>
  <c r="Q24" i="21" s="1"/>
  <c r="H24" i="21"/>
  <c r="G24" i="21"/>
  <c r="F24" i="21"/>
  <c r="E24" i="21"/>
  <c r="D24" i="21" s="1"/>
  <c r="M24" i="21" s="1"/>
  <c r="W23" i="21"/>
  <c r="T23" i="21"/>
  <c r="O23" i="21"/>
  <c r="L23" i="21"/>
  <c r="I23" i="21"/>
  <c r="Q23" i="21" s="1"/>
  <c r="H23" i="21"/>
  <c r="N23" i="21" s="1"/>
  <c r="G23" i="21"/>
  <c r="P23" i="21" s="1"/>
  <c r="F23" i="21"/>
  <c r="E23" i="21"/>
  <c r="W22" i="21"/>
  <c r="T22" i="21"/>
  <c r="O22" i="21"/>
  <c r="L22" i="21"/>
  <c r="I22" i="21"/>
  <c r="Q22" i="21" s="1"/>
  <c r="H22" i="21"/>
  <c r="N22" i="21" s="1"/>
  <c r="G22" i="21"/>
  <c r="P22" i="21" s="1"/>
  <c r="F22" i="21"/>
  <c r="E22" i="21"/>
  <c r="W21" i="21"/>
  <c r="T21" i="21"/>
  <c r="O21" i="21"/>
  <c r="L21" i="21"/>
  <c r="J21" i="21" s="1"/>
  <c r="I21" i="21"/>
  <c r="Q21" i="21" s="1"/>
  <c r="H21" i="21"/>
  <c r="N21" i="21" s="1"/>
  <c r="G21" i="21"/>
  <c r="P21" i="21" s="1"/>
  <c r="F21" i="21"/>
  <c r="E21" i="21"/>
  <c r="V20" i="21"/>
  <c r="U20" i="21"/>
  <c r="S20" i="21"/>
  <c r="R20" i="21"/>
  <c r="O20" i="21"/>
  <c r="J20" i="21" s="1"/>
  <c r="L20" i="21"/>
  <c r="I20" i="21"/>
  <c r="Q20" i="21" s="1"/>
  <c r="H20" i="21"/>
  <c r="N20" i="21" s="1"/>
  <c r="G20" i="21"/>
  <c r="P20" i="21" s="1"/>
  <c r="F20" i="21"/>
  <c r="E20" i="21"/>
  <c r="D20" i="21" s="1"/>
  <c r="V19" i="21"/>
  <c r="U19" i="21"/>
  <c r="W19" i="21" s="1"/>
  <c r="S19" i="21"/>
  <c r="R19" i="21"/>
  <c r="T19" i="21" s="1"/>
  <c r="O19" i="21"/>
  <c r="L19" i="21"/>
  <c r="I19" i="21"/>
  <c r="Q19" i="21" s="1"/>
  <c r="H19" i="21"/>
  <c r="G19" i="21"/>
  <c r="P19" i="21" s="1"/>
  <c r="F19" i="21"/>
  <c r="E19" i="21"/>
  <c r="V18" i="21"/>
  <c r="U18" i="21"/>
  <c r="W18" i="21" s="1"/>
  <c r="S18" i="21"/>
  <c r="R18" i="21"/>
  <c r="O18" i="21"/>
  <c r="L18" i="21"/>
  <c r="I18" i="21"/>
  <c r="Q18" i="21" s="1"/>
  <c r="H18" i="21"/>
  <c r="G18" i="21"/>
  <c r="P18" i="21" s="1"/>
  <c r="F18" i="21"/>
  <c r="E18" i="21"/>
  <c r="V17" i="21"/>
  <c r="U17" i="21"/>
  <c r="S17" i="21"/>
  <c r="R17" i="21"/>
  <c r="O17" i="21"/>
  <c r="L17" i="21"/>
  <c r="I17" i="21"/>
  <c r="Q17" i="21" s="1"/>
  <c r="H17" i="21"/>
  <c r="N17" i="21" s="1"/>
  <c r="G17" i="21"/>
  <c r="P17" i="21" s="1"/>
  <c r="F17" i="21"/>
  <c r="D17" i="21" s="1"/>
  <c r="E17" i="21"/>
  <c r="W16" i="21"/>
  <c r="T16" i="21"/>
  <c r="P16" i="21"/>
  <c r="O16" i="21"/>
  <c r="J16" i="21" s="1"/>
  <c r="L16" i="21"/>
  <c r="I16" i="21"/>
  <c r="Q16" i="21" s="1"/>
  <c r="H16" i="21"/>
  <c r="N16" i="21" s="1"/>
  <c r="G16" i="21"/>
  <c r="F16" i="21"/>
  <c r="E16" i="21"/>
  <c r="W15" i="21"/>
  <c r="T15" i="21"/>
  <c r="O15" i="21"/>
  <c r="L15" i="21"/>
  <c r="I15" i="21"/>
  <c r="Q15" i="21" s="1"/>
  <c r="H15" i="21"/>
  <c r="N15" i="21" s="1"/>
  <c r="G15" i="21"/>
  <c r="P15" i="21" s="1"/>
  <c r="F15" i="21"/>
  <c r="E15" i="21"/>
  <c r="W14" i="21"/>
  <c r="T14" i="21"/>
  <c r="O14" i="21"/>
  <c r="N14" i="21"/>
  <c r="L14" i="21"/>
  <c r="I14" i="21"/>
  <c r="Q14" i="21" s="1"/>
  <c r="H14" i="21"/>
  <c r="G14" i="21"/>
  <c r="F14" i="21"/>
  <c r="E14" i="21"/>
  <c r="O108" i="20"/>
  <c r="L108" i="20"/>
  <c r="I108" i="20"/>
  <c r="Q108" i="20" s="1"/>
  <c r="H108" i="20"/>
  <c r="N108" i="20" s="1"/>
  <c r="G108" i="20"/>
  <c r="P108" i="20" s="1"/>
  <c r="F108" i="20"/>
  <c r="D108" i="20" s="1"/>
  <c r="M108" i="20" s="1"/>
  <c r="E108" i="20"/>
  <c r="O107" i="20"/>
  <c r="L107" i="20"/>
  <c r="J107" i="20"/>
  <c r="I107" i="20"/>
  <c r="Q107" i="20" s="1"/>
  <c r="H107" i="20"/>
  <c r="N107" i="20" s="1"/>
  <c r="G107" i="20"/>
  <c r="P107" i="20" s="1"/>
  <c r="F107" i="20"/>
  <c r="E107" i="20"/>
  <c r="D107" i="20"/>
  <c r="M107" i="20" s="1"/>
  <c r="O106" i="20"/>
  <c r="L106" i="20"/>
  <c r="I106" i="20"/>
  <c r="Q106" i="20" s="1"/>
  <c r="H106" i="20"/>
  <c r="N106" i="20" s="1"/>
  <c r="G106" i="20"/>
  <c r="P106" i="20" s="1"/>
  <c r="F106" i="20"/>
  <c r="E106" i="20"/>
  <c r="O105" i="20"/>
  <c r="J105" i="20" s="1"/>
  <c r="L105" i="20"/>
  <c r="I105" i="20"/>
  <c r="Q105" i="20" s="1"/>
  <c r="H105" i="20"/>
  <c r="N105" i="20" s="1"/>
  <c r="G105" i="20"/>
  <c r="P105" i="20" s="1"/>
  <c r="F105" i="20"/>
  <c r="E105" i="20"/>
  <c r="O104" i="20"/>
  <c r="L104" i="20"/>
  <c r="J104" i="20" s="1"/>
  <c r="I104" i="20"/>
  <c r="Q104" i="20" s="1"/>
  <c r="H104" i="20"/>
  <c r="G104" i="20"/>
  <c r="P104" i="20" s="1"/>
  <c r="F104" i="20"/>
  <c r="E104" i="20"/>
  <c r="P103" i="20"/>
  <c r="O103" i="20"/>
  <c r="L103" i="20"/>
  <c r="J103" i="20" s="1"/>
  <c r="I103" i="20"/>
  <c r="Q103" i="20" s="1"/>
  <c r="H103" i="20"/>
  <c r="N103" i="20" s="1"/>
  <c r="G103" i="20"/>
  <c r="F103" i="20"/>
  <c r="E103" i="20"/>
  <c r="O102" i="20"/>
  <c r="L102" i="20"/>
  <c r="I102" i="20"/>
  <c r="Q102" i="20" s="1"/>
  <c r="H102" i="20"/>
  <c r="N102" i="20" s="1"/>
  <c r="G102" i="20"/>
  <c r="P102" i="20" s="1"/>
  <c r="F102" i="20"/>
  <c r="E102" i="20"/>
  <c r="O101" i="20"/>
  <c r="L101" i="20"/>
  <c r="I101" i="20"/>
  <c r="Q101" i="20" s="1"/>
  <c r="H101" i="20"/>
  <c r="N101" i="20" s="1"/>
  <c r="G101" i="20"/>
  <c r="P101" i="20" s="1"/>
  <c r="F101" i="20"/>
  <c r="E101" i="20"/>
  <c r="O100" i="20"/>
  <c r="L100" i="20"/>
  <c r="I100" i="20"/>
  <c r="Q100" i="20" s="1"/>
  <c r="H100" i="20"/>
  <c r="N100" i="20" s="1"/>
  <c r="G100" i="20"/>
  <c r="P100" i="20" s="1"/>
  <c r="F100" i="20"/>
  <c r="E100" i="20"/>
  <c r="O99" i="20"/>
  <c r="L99" i="20"/>
  <c r="I99" i="20"/>
  <c r="Q99" i="20" s="1"/>
  <c r="H99" i="20"/>
  <c r="N99" i="20" s="1"/>
  <c r="G99" i="20"/>
  <c r="P99" i="20" s="1"/>
  <c r="F99" i="20"/>
  <c r="E99" i="20"/>
  <c r="O98" i="20"/>
  <c r="L98" i="20"/>
  <c r="I98" i="20"/>
  <c r="Q98" i="20" s="1"/>
  <c r="H98" i="20"/>
  <c r="G98" i="20"/>
  <c r="P98" i="20" s="1"/>
  <c r="F98" i="20"/>
  <c r="E98" i="20"/>
  <c r="O97" i="20"/>
  <c r="L97" i="20"/>
  <c r="I97" i="20"/>
  <c r="Q97" i="20" s="1"/>
  <c r="H97" i="20"/>
  <c r="N97" i="20" s="1"/>
  <c r="G97" i="20"/>
  <c r="P97" i="20" s="1"/>
  <c r="F97" i="20"/>
  <c r="D97" i="20" s="1"/>
  <c r="E97" i="20"/>
  <c r="O96" i="20"/>
  <c r="L96" i="20"/>
  <c r="J96" i="20" s="1"/>
  <c r="I96" i="20"/>
  <c r="Q96" i="20" s="1"/>
  <c r="H96" i="20"/>
  <c r="N96" i="20" s="1"/>
  <c r="G96" i="20"/>
  <c r="P96" i="20" s="1"/>
  <c r="F96" i="20"/>
  <c r="E96" i="20"/>
  <c r="O95" i="20"/>
  <c r="L95" i="20"/>
  <c r="I95" i="20"/>
  <c r="Q95" i="20" s="1"/>
  <c r="H95" i="20"/>
  <c r="N95" i="20" s="1"/>
  <c r="G95" i="20"/>
  <c r="P95" i="20" s="1"/>
  <c r="F95" i="20"/>
  <c r="E95" i="20"/>
  <c r="O94" i="20"/>
  <c r="L94" i="20"/>
  <c r="I94" i="20"/>
  <c r="Q94" i="20" s="1"/>
  <c r="H94" i="20"/>
  <c r="N94" i="20" s="1"/>
  <c r="G94" i="20"/>
  <c r="P94" i="20" s="1"/>
  <c r="F94" i="20"/>
  <c r="E94" i="20"/>
  <c r="O93" i="20"/>
  <c r="L93" i="20"/>
  <c r="I93" i="20"/>
  <c r="Q93" i="20" s="1"/>
  <c r="H93" i="20"/>
  <c r="N93" i="20" s="1"/>
  <c r="G93" i="20"/>
  <c r="P93" i="20" s="1"/>
  <c r="F93" i="20"/>
  <c r="E93" i="20"/>
  <c r="O92" i="20"/>
  <c r="L92" i="20"/>
  <c r="I92" i="20"/>
  <c r="Q92" i="20" s="1"/>
  <c r="H92" i="20"/>
  <c r="N92" i="20" s="1"/>
  <c r="G92" i="20"/>
  <c r="P92" i="20" s="1"/>
  <c r="F92" i="20"/>
  <c r="E92" i="20"/>
  <c r="O91" i="20"/>
  <c r="L91" i="20"/>
  <c r="I91" i="20"/>
  <c r="Q91" i="20" s="1"/>
  <c r="H91" i="20"/>
  <c r="N91" i="20" s="1"/>
  <c r="G91" i="20"/>
  <c r="P91" i="20" s="1"/>
  <c r="F91" i="20"/>
  <c r="E91" i="20"/>
  <c r="O90" i="20"/>
  <c r="L90" i="20"/>
  <c r="I90" i="20"/>
  <c r="Q90" i="20" s="1"/>
  <c r="H90" i="20"/>
  <c r="N90" i="20" s="1"/>
  <c r="G90" i="20"/>
  <c r="F90" i="20"/>
  <c r="E90" i="20"/>
  <c r="T88" i="20"/>
  <c r="O88" i="20"/>
  <c r="L88" i="20"/>
  <c r="I88" i="20"/>
  <c r="Q88" i="20" s="1"/>
  <c r="H88" i="20"/>
  <c r="N88" i="20" s="1"/>
  <c r="G88" i="20"/>
  <c r="P88" i="20" s="1"/>
  <c r="F88" i="20"/>
  <c r="E88" i="20"/>
  <c r="T87" i="20"/>
  <c r="O87" i="20"/>
  <c r="L87" i="20"/>
  <c r="J87" i="20" s="1"/>
  <c r="I87" i="20"/>
  <c r="Q87" i="20" s="1"/>
  <c r="H87" i="20"/>
  <c r="N87" i="20" s="1"/>
  <c r="G87" i="20"/>
  <c r="P87" i="20" s="1"/>
  <c r="F87" i="20"/>
  <c r="E87" i="20"/>
  <c r="T86" i="20"/>
  <c r="O86" i="20"/>
  <c r="J86" i="20" s="1"/>
  <c r="L86" i="20"/>
  <c r="I86" i="20"/>
  <c r="Q86" i="20" s="1"/>
  <c r="H86" i="20"/>
  <c r="N86" i="20" s="1"/>
  <c r="G86" i="20"/>
  <c r="P86" i="20" s="1"/>
  <c r="F86" i="20"/>
  <c r="E86" i="20"/>
  <c r="T85" i="20"/>
  <c r="O85" i="20"/>
  <c r="L85" i="20"/>
  <c r="I85" i="20"/>
  <c r="Q85" i="20" s="1"/>
  <c r="H85" i="20"/>
  <c r="N85" i="20" s="1"/>
  <c r="G85" i="20"/>
  <c r="P85" i="20" s="1"/>
  <c r="F85" i="20"/>
  <c r="E85" i="20"/>
  <c r="T84" i="20"/>
  <c r="O84" i="20"/>
  <c r="L84" i="20"/>
  <c r="I84" i="20"/>
  <c r="Q84" i="20" s="1"/>
  <c r="H84" i="20"/>
  <c r="N84" i="20" s="1"/>
  <c r="G84" i="20"/>
  <c r="P84" i="20" s="1"/>
  <c r="F84" i="20"/>
  <c r="E84" i="20"/>
  <c r="T83" i="20"/>
  <c r="O83" i="20"/>
  <c r="L83" i="20"/>
  <c r="I83" i="20"/>
  <c r="Q83" i="20" s="1"/>
  <c r="H83" i="20"/>
  <c r="N83" i="20" s="1"/>
  <c r="G83" i="20"/>
  <c r="P83" i="20" s="1"/>
  <c r="F83" i="20"/>
  <c r="E83" i="20"/>
  <c r="T82" i="20"/>
  <c r="O82" i="20"/>
  <c r="L82" i="20"/>
  <c r="J82" i="20" s="1"/>
  <c r="I82" i="20"/>
  <c r="Q82" i="20" s="1"/>
  <c r="H82" i="20"/>
  <c r="N82" i="20" s="1"/>
  <c r="G82" i="20"/>
  <c r="P82" i="20" s="1"/>
  <c r="F82" i="20"/>
  <c r="E82" i="20"/>
  <c r="D82" i="20" s="1"/>
  <c r="T81" i="20"/>
  <c r="O81" i="20"/>
  <c r="L81" i="20"/>
  <c r="I81" i="20"/>
  <c r="Q81" i="20" s="1"/>
  <c r="H81" i="20"/>
  <c r="N81" i="20" s="1"/>
  <c r="G81" i="20"/>
  <c r="P81" i="20" s="1"/>
  <c r="F81" i="20"/>
  <c r="E81" i="20"/>
  <c r="T80" i="20"/>
  <c r="O80" i="20"/>
  <c r="L80" i="20"/>
  <c r="I80" i="20"/>
  <c r="Q80" i="20" s="1"/>
  <c r="H80" i="20"/>
  <c r="N80" i="20" s="1"/>
  <c r="G80" i="20"/>
  <c r="P80" i="20" s="1"/>
  <c r="F80" i="20"/>
  <c r="E80" i="20"/>
  <c r="T79" i="20"/>
  <c r="Q79" i="20"/>
  <c r="O79" i="20"/>
  <c r="J79" i="20" s="1"/>
  <c r="L79" i="20"/>
  <c r="I79" i="20"/>
  <c r="H79" i="20"/>
  <c r="N79" i="20" s="1"/>
  <c r="G79" i="20"/>
  <c r="P79" i="20" s="1"/>
  <c r="F79" i="20"/>
  <c r="D79" i="20" s="1"/>
  <c r="E79" i="20"/>
  <c r="T78" i="20"/>
  <c r="P78" i="20"/>
  <c r="O78" i="20"/>
  <c r="L78" i="20"/>
  <c r="I78" i="20"/>
  <c r="Q78" i="20" s="1"/>
  <c r="H78" i="20"/>
  <c r="N78" i="20" s="1"/>
  <c r="G78" i="20"/>
  <c r="F78" i="20"/>
  <c r="E78" i="20"/>
  <c r="T77" i="20"/>
  <c r="O77" i="20"/>
  <c r="L77" i="20"/>
  <c r="I77" i="20"/>
  <c r="H77" i="20"/>
  <c r="N77" i="20" s="1"/>
  <c r="G77" i="20"/>
  <c r="P77" i="20" s="1"/>
  <c r="F77" i="20"/>
  <c r="E77" i="20"/>
  <c r="T76" i="20"/>
  <c r="O76" i="20"/>
  <c r="L76" i="20"/>
  <c r="J76" i="20" s="1"/>
  <c r="I76" i="20"/>
  <c r="Q76" i="20" s="1"/>
  <c r="H76" i="20"/>
  <c r="G76" i="20"/>
  <c r="F76" i="20"/>
  <c r="E76" i="20"/>
  <c r="D76" i="20" s="1"/>
  <c r="T75" i="20"/>
  <c r="O75" i="20"/>
  <c r="L75" i="20"/>
  <c r="I75" i="20"/>
  <c r="Q75" i="20" s="1"/>
  <c r="H75" i="20"/>
  <c r="N75" i="20" s="1"/>
  <c r="G75" i="20"/>
  <c r="P75" i="20" s="1"/>
  <c r="F75" i="20"/>
  <c r="E75" i="20"/>
  <c r="S74" i="20"/>
  <c r="R74" i="20"/>
  <c r="T74" i="20" s="1"/>
  <c r="T73" i="20"/>
  <c r="O73" i="20"/>
  <c r="L73" i="20"/>
  <c r="J73" i="20"/>
  <c r="I73" i="20"/>
  <c r="Q73" i="20" s="1"/>
  <c r="H73" i="20"/>
  <c r="N73" i="20" s="1"/>
  <c r="G73" i="20"/>
  <c r="P73" i="20" s="1"/>
  <c r="F73" i="20"/>
  <c r="E73" i="20"/>
  <c r="D73" i="20"/>
  <c r="M73" i="20" s="1"/>
  <c r="T72" i="20"/>
  <c r="O72" i="20"/>
  <c r="L72" i="20"/>
  <c r="I72" i="20"/>
  <c r="Q72" i="20" s="1"/>
  <c r="H72" i="20"/>
  <c r="N72" i="20" s="1"/>
  <c r="G72" i="20"/>
  <c r="P72" i="20" s="1"/>
  <c r="F72" i="20"/>
  <c r="E72" i="20"/>
  <c r="T71" i="20"/>
  <c r="O71" i="20"/>
  <c r="L71" i="20"/>
  <c r="J71" i="20" s="1"/>
  <c r="I71" i="20"/>
  <c r="Q71" i="20" s="1"/>
  <c r="H71" i="20"/>
  <c r="N71" i="20" s="1"/>
  <c r="G71" i="20"/>
  <c r="P71" i="20" s="1"/>
  <c r="F71" i="20"/>
  <c r="E71" i="20"/>
  <c r="T70" i="20"/>
  <c r="O70" i="20"/>
  <c r="L70" i="20"/>
  <c r="I70" i="20"/>
  <c r="Q70" i="20" s="1"/>
  <c r="H70" i="20"/>
  <c r="N70" i="20" s="1"/>
  <c r="G70" i="20"/>
  <c r="P70" i="20" s="1"/>
  <c r="F70" i="20"/>
  <c r="E70" i="20"/>
  <c r="T69" i="20"/>
  <c r="O69" i="20"/>
  <c r="J69" i="20" s="1"/>
  <c r="L69" i="20"/>
  <c r="I69" i="20"/>
  <c r="Q69" i="20" s="1"/>
  <c r="H69" i="20"/>
  <c r="N69" i="20" s="1"/>
  <c r="G69" i="20"/>
  <c r="P69" i="20" s="1"/>
  <c r="F69" i="20"/>
  <c r="E69" i="20"/>
  <c r="T68" i="20"/>
  <c r="O68" i="20"/>
  <c r="L68" i="20"/>
  <c r="I68" i="20"/>
  <c r="Q68" i="20" s="1"/>
  <c r="H68" i="20"/>
  <c r="N68" i="20" s="1"/>
  <c r="G68" i="20"/>
  <c r="P68" i="20" s="1"/>
  <c r="F68" i="20"/>
  <c r="E68" i="20"/>
  <c r="T67" i="20"/>
  <c r="O67" i="20"/>
  <c r="L67" i="20"/>
  <c r="I67" i="20"/>
  <c r="Q67" i="20" s="1"/>
  <c r="H67" i="20"/>
  <c r="N67" i="20" s="1"/>
  <c r="G67" i="20"/>
  <c r="P67" i="20" s="1"/>
  <c r="F67" i="20"/>
  <c r="E67" i="20"/>
  <c r="D67" i="20" s="1"/>
  <c r="M67" i="20" s="1"/>
  <c r="T66" i="20"/>
  <c r="O66" i="20"/>
  <c r="J66" i="20" s="1"/>
  <c r="L66" i="20"/>
  <c r="I66" i="20"/>
  <c r="Q66" i="20" s="1"/>
  <c r="H66" i="20"/>
  <c r="N66" i="20" s="1"/>
  <c r="G66" i="20"/>
  <c r="P66" i="20" s="1"/>
  <c r="F66" i="20"/>
  <c r="E66" i="20"/>
  <c r="S65" i="20"/>
  <c r="R65" i="20"/>
  <c r="T65" i="20" s="1"/>
  <c r="O65" i="20"/>
  <c r="L65" i="20"/>
  <c r="I65" i="20"/>
  <c r="H65" i="20"/>
  <c r="G65" i="20"/>
  <c r="F65" i="20"/>
  <c r="D65" i="20" s="1"/>
  <c r="M65" i="20" s="1"/>
  <c r="E65" i="20"/>
  <c r="T64" i="20"/>
  <c r="O64" i="20"/>
  <c r="L64" i="20"/>
  <c r="I64" i="20"/>
  <c r="Q64" i="20" s="1"/>
  <c r="H64" i="20"/>
  <c r="N64" i="20" s="1"/>
  <c r="G64" i="20"/>
  <c r="P64" i="20" s="1"/>
  <c r="F64" i="20"/>
  <c r="E64" i="20"/>
  <c r="T63" i="20"/>
  <c r="O63" i="20"/>
  <c r="L63" i="20"/>
  <c r="J63" i="20" s="1"/>
  <c r="I63" i="20"/>
  <c r="Q63" i="20" s="1"/>
  <c r="H63" i="20"/>
  <c r="N63" i="20" s="1"/>
  <c r="G63" i="20"/>
  <c r="P63" i="20" s="1"/>
  <c r="F63" i="20"/>
  <c r="E63" i="20"/>
  <c r="D63" i="20" s="1"/>
  <c r="T62" i="20"/>
  <c r="O62" i="20"/>
  <c r="L62" i="20"/>
  <c r="I62" i="20"/>
  <c r="Q62" i="20" s="1"/>
  <c r="H62" i="20"/>
  <c r="N62" i="20" s="1"/>
  <c r="G62" i="20"/>
  <c r="P62" i="20" s="1"/>
  <c r="F62" i="20"/>
  <c r="E62" i="20"/>
  <c r="T61" i="20"/>
  <c r="O61" i="20"/>
  <c r="L61" i="20"/>
  <c r="I61" i="20"/>
  <c r="Q61" i="20" s="1"/>
  <c r="H61" i="20"/>
  <c r="N61" i="20" s="1"/>
  <c r="G61" i="20"/>
  <c r="P61" i="20" s="1"/>
  <c r="F61" i="20"/>
  <c r="E61" i="20"/>
  <c r="T60" i="20"/>
  <c r="O60" i="20"/>
  <c r="L60" i="20"/>
  <c r="I60" i="20"/>
  <c r="Q60" i="20" s="1"/>
  <c r="H60" i="20"/>
  <c r="N60" i="20" s="1"/>
  <c r="G60" i="20"/>
  <c r="P60" i="20" s="1"/>
  <c r="F60" i="20"/>
  <c r="E60" i="20"/>
  <c r="D60" i="20" s="1"/>
  <c r="T59" i="20"/>
  <c r="Q59" i="20"/>
  <c r="O59" i="20"/>
  <c r="J59" i="20" s="1"/>
  <c r="L59" i="20"/>
  <c r="I59" i="20"/>
  <c r="H59" i="20"/>
  <c r="N59" i="20" s="1"/>
  <c r="G59" i="20"/>
  <c r="P59" i="20" s="1"/>
  <c r="F59" i="20"/>
  <c r="E59" i="20"/>
  <c r="T58" i="20"/>
  <c r="P58" i="20"/>
  <c r="O58" i="20"/>
  <c r="L58" i="20"/>
  <c r="I58" i="20"/>
  <c r="Q58" i="20" s="1"/>
  <c r="H58" i="20"/>
  <c r="N58" i="20" s="1"/>
  <c r="G58" i="20"/>
  <c r="F58" i="20"/>
  <c r="E58" i="20"/>
  <c r="T57" i="20"/>
  <c r="O57" i="20"/>
  <c r="L57" i="20"/>
  <c r="I57" i="20"/>
  <c r="H57" i="20"/>
  <c r="N57" i="20" s="1"/>
  <c r="G57" i="20"/>
  <c r="P57" i="20" s="1"/>
  <c r="F57" i="20"/>
  <c r="E57" i="20"/>
  <c r="T56" i="20"/>
  <c r="O56" i="20"/>
  <c r="L56" i="20"/>
  <c r="J56" i="20"/>
  <c r="I56" i="20"/>
  <c r="Q56" i="20" s="1"/>
  <c r="H56" i="20"/>
  <c r="N56" i="20" s="1"/>
  <c r="G56" i="20"/>
  <c r="P56" i="20" s="1"/>
  <c r="F56" i="20"/>
  <c r="E56" i="20"/>
  <c r="T55" i="20"/>
  <c r="S55" i="20"/>
  <c r="R55" i="20"/>
  <c r="O55" i="20"/>
  <c r="L55" i="20"/>
  <c r="I55" i="20"/>
  <c r="Q55" i="20" s="1"/>
  <c r="H55" i="20"/>
  <c r="N55" i="20" s="1"/>
  <c r="G55" i="20"/>
  <c r="F55" i="20"/>
  <c r="E55" i="20"/>
  <c r="T54" i="20"/>
  <c r="O54" i="20"/>
  <c r="L54" i="20"/>
  <c r="I54" i="20"/>
  <c r="Q54" i="20" s="1"/>
  <c r="H54" i="20"/>
  <c r="N54" i="20" s="1"/>
  <c r="G54" i="20"/>
  <c r="P54" i="20" s="1"/>
  <c r="F54" i="20"/>
  <c r="E54" i="20"/>
  <c r="S53" i="20"/>
  <c r="R53" i="20"/>
  <c r="T53" i="20" s="1"/>
  <c r="O53" i="20"/>
  <c r="L53" i="20"/>
  <c r="I53" i="20"/>
  <c r="Q53" i="20" s="1"/>
  <c r="H53" i="20"/>
  <c r="N53" i="20" s="1"/>
  <c r="G53" i="20"/>
  <c r="F53" i="20"/>
  <c r="E53" i="20"/>
  <c r="T51" i="20"/>
  <c r="P51" i="20"/>
  <c r="O51" i="20"/>
  <c r="J51" i="20" s="1"/>
  <c r="L51" i="20"/>
  <c r="I51" i="20"/>
  <c r="Q51" i="20" s="1"/>
  <c r="H51" i="20"/>
  <c r="N51" i="20" s="1"/>
  <c r="G51" i="20"/>
  <c r="F51" i="20"/>
  <c r="E51" i="20"/>
  <c r="T50" i="20"/>
  <c r="O50" i="20"/>
  <c r="L50" i="20"/>
  <c r="I50" i="20"/>
  <c r="Q50" i="20" s="1"/>
  <c r="H50" i="20"/>
  <c r="N50" i="20" s="1"/>
  <c r="G50" i="20"/>
  <c r="P50" i="20" s="1"/>
  <c r="F50" i="20"/>
  <c r="E50" i="20"/>
  <c r="T49" i="20"/>
  <c r="O49" i="20"/>
  <c r="L49" i="20"/>
  <c r="I49" i="20"/>
  <c r="Q49" i="20" s="1"/>
  <c r="H49" i="20"/>
  <c r="N49" i="20" s="1"/>
  <c r="G49" i="20"/>
  <c r="P49" i="20" s="1"/>
  <c r="F49" i="20"/>
  <c r="E49" i="20"/>
  <c r="T48" i="20"/>
  <c r="O48" i="20"/>
  <c r="J48" i="20" s="1"/>
  <c r="L48" i="20"/>
  <c r="I48" i="20"/>
  <c r="Q48" i="20" s="1"/>
  <c r="H48" i="20"/>
  <c r="N48" i="20" s="1"/>
  <c r="G48" i="20"/>
  <c r="P48" i="20" s="1"/>
  <c r="F48" i="20"/>
  <c r="E48" i="20"/>
  <c r="D48" i="20" s="1"/>
  <c r="T47" i="20"/>
  <c r="O47" i="20"/>
  <c r="L47" i="20"/>
  <c r="I47" i="20"/>
  <c r="Q47" i="20" s="1"/>
  <c r="H47" i="20"/>
  <c r="N47" i="20" s="1"/>
  <c r="G47" i="20"/>
  <c r="P47" i="20" s="1"/>
  <c r="F47" i="20"/>
  <c r="E47" i="20"/>
  <c r="T46" i="20"/>
  <c r="O46" i="20"/>
  <c r="L46" i="20"/>
  <c r="J46" i="20" s="1"/>
  <c r="I46" i="20"/>
  <c r="Q46" i="20" s="1"/>
  <c r="H46" i="20"/>
  <c r="N46" i="20" s="1"/>
  <c r="G46" i="20"/>
  <c r="P46" i="20" s="1"/>
  <c r="F46" i="20"/>
  <c r="E46" i="20"/>
  <c r="T45" i="20"/>
  <c r="O45" i="20"/>
  <c r="L45" i="20"/>
  <c r="J45" i="20" s="1"/>
  <c r="I45" i="20"/>
  <c r="Q45" i="20" s="1"/>
  <c r="H45" i="20"/>
  <c r="N45" i="20" s="1"/>
  <c r="G45" i="20"/>
  <c r="P45" i="20" s="1"/>
  <c r="F45" i="20"/>
  <c r="E45" i="20"/>
  <c r="T44" i="20"/>
  <c r="O44" i="20"/>
  <c r="L44" i="20"/>
  <c r="I44" i="20"/>
  <c r="Q44" i="20" s="1"/>
  <c r="H44" i="20"/>
  <c r="N44" i="20" s="1"/>
  <c r="G44" i="20"/>
  <c r="P44" i="20" s="1"/>
  <c r="F44" i="20"/>
  <c r="E44" i="20"/>
  <c r="T43" i="20"/>
  <c r="O43" i="20"/>
  <c r="L43" i="20"/>
  <c r="I43" i="20"/>
  <c r="Q43" i="20" s="1"/>
  <c r="H43" i="20"/>
  <c r="N43" i="20" s="1"/>
  <c r="G43" i="20"/>
  <c r="P43" i="20" s="1"/>
  <c r="F43" i="20"/>
  <c r="E43" i="20"/>
  <c r="T42" i="20"/>
  <c r="O42" i="20"/>
  <c r="J42" i="20" s="1"/>
  <c r="L42" i="20"/>
  <c r="I42" i="20"/>
  <c r="Q42" i="20" s="1"/>
  <c r="H42" i="20"/>
  <c r="N42" i="20" s="1"/>
  <c r="G42" i="20"/>
  <c r="P42" i="20" s="1"/>
  <c r="F42" i="20"/>
  <c r="E42" i="20"/>
  <c r="T41" i="20"/>
  <c r="O41" i="20"/>
  <c r="L41" i="20"/>
  <c r="I41" i="20"/>
  <c r="Q41" i="20" s="1"/>
  <c r="H41" i="20"/>
  <c r="N41" i="20" s="1"/>
  <c r="G41" i="20"/>
  <c r="P41" i="20" s="1"/>
  <c r="F41" i="20"/>
  <c r="E41" i="20"/>
  <c r="T40" i="20"/>
  <c r="O40" i="20"/>
  <c r="L40" i="20"/>
  <c r="J40" i="20" s="1"/>
  <c r="I40" i="20"/>
  <c r="Q40" i="20" s="1"/>
  <c r="H40" i="20"/>
  <c r="N40" i="20" s="1"/>
  <c r="G40" i="20"/>
  <c r="P40" i="20" s="1"/>
  <c r="F40" i="20"/>
  <c r="E40" i="20"/>
  <c r="T39" i="20"/>
  <c r="O39" i="20"/>
  <c r="L39" i="20"/>
  <c r="I39" i="20"/>
  <c r="Q39" i="20" s="1"/>
  <c r="H39" i="20"/>
  <c r="N39" i="20" s="1"/>
  <c r="G39" i="20"/>
  <c r="P39" i="20" s="1"/>
  <c r="F39" i="20"/>
  <c r="E39" i="20"/>
  <c r="T38" i="20"/>
  <c r="O38" i="20"/>
  <c r="L38" i="20"/>
  <c r="I38" i="20"/>
  <c r="Q38" i="20" s="1"/>
  <c r="H38" i="20"/>
  <c r="N38" i="20" s="1"/>
  <c r="G38" i="20"/>
  <c r="P38" i="20" s="1"/>
  <c r="F38" i="20"/>
  <c r="E38" i="20"/>
  <c r="D38" i="20" s="1"/>
  <c r="M38" i="20" s="1"/>
  <c r="T37" i="20"/>
  <c r="P37" i="20"/>
  <c r="O37" i="20"/>
  <c r="L37" i="20"/>
  <c r="I37" i="20"/>
  <c r="Q37" i="20" s="1"/>
  <c r="H37" i="20"/>
  <c r="N37" i="20" s="1"/>
  <c r="G37" i="20"/>
  <c r="F37" i="20"/>
  <c r="E37" i="20"/>
  <c r="T36" i="20"/>
  <c r="O36" i="20"/>
  <c r="L36" i="20"/>
  <c r="J36" i="20" s="1"/>
  <c r="I36" i="20"/>
  <c r="H36" i="20"/>
  <c r="N36" i="20" s="1"/>
  <c r="G36" i="20"/>
  <c r="P36" i="20" s="1"/>
  <c r="F36" i="20"/>
  <c r="E36" i="20"/>
  <c r="T35" i="20"/>
  <c r="O35" i="20"/>
  <c r="L35" i="20"/>
  <c r="I35" i="20"/>
  <c r="Q35" i="20" s="1"/>
  <c r="H35" i="20"/>
  <c r="N35" i="20" s="1"/>
  <c r="G35" i="20"/>
  <c r="P35" i="20" s="1"/>
  <c r="F35" i="20"/>
  <c r="E35" i="20"/>
  <c r="S34" i="20"/>
  <c r="R34" i="20"/>
  <c r="O34" i="20"/>
  <c r="L34" i="20"/>
  <c r="J34" i="20"/>
  <c r="I34" i="20"/>
  <c r="H34" i="20"/>
  <c r="G34" i="20"/>
  <c r="P34" i="20" s="1"/>
  <c r="F34" i="20"/>
  <c r="E34" i="20"/>
  <c r="S33" i="20"/>
  <c r="R33" i="20"/>
  <c r="O33" i="20"/>
  <c r="L33" i="20"/>
  <c r="I33" i="20"/>
  <c r="H33" i="20"/>
  <c r="N33" i="20" s="1"/>
  <c r="G33" i="20"/>
  <c r="P33" i="20" s="1"/>
  <c r="F33" i="20"/>
  <c r="E33" i="20"/>
  <c r="S32" i="20"/>
  <c r="T32" i="20" s="1"/>
  <c r="R32" i="20"/>
  <c r="O32" i="20"/>
  <c r="L32" i="20"/>
  <c r="I32" i="20"/>
  <c r="H32" i="20"/>
  <c r="N32" i="20" s="1"/>
  <c r="G32" i="20"/>
  <c r="F32" i="20"/>
  <c r="E32" i="20"/>
  <c r="T30" i="20"/>
  <c r="P30" i="20"/>
  <c r="O30" i="20"/>
  <c r="L30" i="20"/>
  <c r="I30" i="20"/>
  <c r="Q30" i="20" s="1"/>
  <c r="H30" i="20"/>
  <c r="N30" i="20" s="1"/>
  <c r="G30" i="20"/>
  <c r="F30" i="20"/>
  <c r="E30" i="20"/>
  <c r="T29" i="20"/>
  <c r="O29" i="20"/>
  <c r="L29" i="20"/>
  <c r="I29" i="20"/>
  <c r="Q29" i="20" s="1"/>
  <c r="H29" i="20"/>
  <c r="N29" i="20" s="1"/>
  <c r="G29" i="20"/>
  <c r="P29" i="20" s="1"/>
  <c r="F29" i="20"/>
  <c r="E29" i="20"/>
  <c r="T28" i="20"/>
  <c r="O28" i="20"/>
  <c r="L28" i="20"/>
  <c r="J28" i="20" s="1"/>
  <c r="I28" i="20"/>
  <c r="Q28" i="20" s="1"/>
  <c r="H28" i="20"/>
  <c r="N28" i="20" s="1"/>
  <c r="G28" i="20"/>
  <c r="P28" i="20" s="1"/>
  <c r="F28" i="20"/>
  <c r="E28" i="20"/>
  <c r="T27" i="20"/>
  <c r="Q27" i="20"/>
  <c r="O27" i="20"/>
  <c r="L27" i="20"/>
  <c r="I27" i="20"/>
  <c r="H27" i="20"/>
  <c r="N27" i="20" s="1"/>
  <c r="G27" i="20"/>
  <c r="P27" i="20" s="1"/>
  <c r="F27" i="20"/>
  <c r="E27" i="20"/>
  <c r="T26" i="20"/>
  <c r="O26" i="20"/>
  <c r="L26" i="20"/>
  <c r="I26" i="20"/>
  <c r="Q26" i="20" s="1"/>
  <c r="H26" i="20"/>
  <c r="N26" i="20" s="1"/>
  <c r="G26" i="20"/>
  <c r="P26" i="20" s="1"/>
  <c r="F26" i="20"/>
  <c r="E26" i="20"/>
  <c r="D26" i="20" s="1"/>
  <c r="S25" i="20"/>
  <c r="R25" i="20"/>
  <c r="O25" i="20"/>
  <c r="L25" i="20"/>
  <c r="J25" i="20" s="1"/>
  <c r="I25" i="20"/>
  <c r="H25" i="20"/>
  <c r="N25" i="20" s="1"/>
  <c r="G25" i="20"/>
  <c r="F25" i="20"/>
  <c r="E25" i="20"/>
  <c r="D25" i="20" s="1"/>
  <c r="T24" i="20"/>
  <c r="O24" i="20"/>
  <c r="L24" i="20"/>
  <c r="I24" i="20"/>
  <c r="Q24" i="20" s="1"/>
  <c r="H24" i="20"/>
  <c r="N24" i="20" s="1"/>
  <c r="G24" i="20"/>
  <c r="P24" i="20" s="1"/>
  <c r="F24" i="20"/>
  <c r="E24" i="20"/>
  <c r="T23" i="20"/>
  <c r="Q23" i="20"/>
  <c r="O23" i="20"/>
  <c r="L23" i="20"/>
  <c r="I23" i="20"/>
  <c r="H23" i="20"/>
  <c r="N23" i="20" s="1"/>
  <c r="G23" i="20"/>
  <c r="P23" i="20" s="1"/>
  <c r="F23" i="20"/>
  <c r="E23" i="20"/>
  <c r="T22" i="20"/>
  <c r="O22" i="20"/>
  <c r="J22" i="20" s="1"/>
  <c r="L22" i="20"/>
  <c r="I22" i="20"/>
  <c r="Q22" i="20" s="1"/>
  <c r="H22" i="20"/>
  <c r="N22" i="20" s="1"/>
  <c r="G22" i="20"/>
  <c r="P22" i="20" s="1"/>
  <c r="F22" i="20"/>
  <c r="D22" i="20" s="1"/>
  <c r="M22" i="20" s="1"/>
  <c r="E22" i="20"/>
  <c r="T21" i="20"/>
  <c r="O21" i="20"/>
  <c r="L21" i="20"/>
  <c r="I21" i="20"/>
  <c r="Q21" i="20" s="1"/>
  <c r="H21" i="20"/>
  <c r="N21" i="20" s="1"/>
  <c r="G21" i="20"/>
  <c r="P21" i="20" s="1"/>
  <c r="F21" i="20"/>
  <c r="E21" i="20"/>
  <c r="D21" i="20" s="1"/>
  <c r="M21" i="20" s="1"/>
  <c r="S20" i="20"/>
  <c r="R20" i="20"/>
  <c r="O20" i="20"/>
  <c r="L20" i="20"/>
  <c r="I20" i="20"/>
  <c r="H20" i="20"/>
  <c r="N20" i="20" s="1"/>
  <c r="G20" i="20"/>
  <c r="F20" i="20"/>
  <c r="E20" i="20"/>
  <c r="S19" i="20"/>
  <c r="R19" i="20"/>
  <c r="O19" i="20"/>
  <c r="L19" i="20"/>
  <c r="I19" i="20"/>
  <c r="H19" i="20"/>
  <c r="N19" i="20" s="1"/>
  <c r="G19" i="20"/>
  <c r="F19" i="20"/>
  <c r="E19" i="20"/>
  <c r="D19" i="20" s="1"/>
  <c r="M19" i="20" s="1"/>
  <c r="T18" i="20"/>
  <c r="O18" i="20"/>
  <c r="L18" i="20"/>
  <c r="I18" i="20"/>
  <c r="Q18" i="20" s="1"/>
  <c r="H18" i="20"/>
  <c r="N18" i="20" s="1"/>
  <c r="G18" i="20"/>
  <c r="P18" i="20" s="1"/>
  <c r="F18" i="20"/>
  <c r="E18" i="20"/>
  <c r="D18" i="20" s="1"/>
  <c r="T17" i="20"/>
  <c r="O17" i="20"/>
  <c r="L17" i="20"/>
  <c r="I17" i="20"/>
  <c r="H17" i="20"/>
  <c r="N17" i="20" s="1"/>
  <c r="G17" i="20"/>
  <c r="P17" i="20" s="1"/>
  <c r="F17" i="20"/>
  <c r="E17" i="20"/>
  <c r="T16" i="20"/>
  <c r="O16" i="20"/>
  <c r="L16" i="20"/>
  <c r="I16" i="20"/>
  <c r="Q16" i="20" s="1"/>
  <c r="H16" i="20"/>
  <c r="N16" i="20" s="1"/>
  <c r="G16" i="20"/>
  <c r="F16" i="20"/>
  <c r="E16" i="20"/>
  <c r="T15" i="20"/>
  <c r="O15" i="20"/>
  <c r="L15" i="20"/>
  <c r="I15" i="20"/>
  <c r="Q15" i="20" s="1"/>
  <c r="H15" i="20"/>
  <c r="G15" i="20"/>
  <c r="P15" i="20" s="1"/>
  <c r="F15" i="20"/>
  <c r="E15" i="20"/>
  <c r="T14" i="20"/>
  <c r="O14" i="20"/>
  <c r="L14" i="20"/>
  <c r="I14" i="20"/>
  <c r="Q14" i="20" s="1"/>
  <c r="H14" i="20"/>
  <c r="N14" i="20" s="1"/>
  <c r="G14" i="20"/>
  <c r="P14" i="20" s="1"/>
  <c r="F14" i="20"/>
  <c r="E14" i="20"/>
  <c r="D14" i="20" s="1"/>
  <c r="M14" i="20" s="1"/>
  <c r="O108" i="19"/>
  <c r="L108" i="19"/>
  <c r="I108" i="19"/>
  <c r="Q108" i="19" s="1"/>
  <c r="H108" i="19"/>
  <c r="N108" i="19" s="1"/>
  <c r="G108" i="19"/>
  <c r="P108" i="19" s="1"/>
  <c r="F108" i="19"/>
  <c r="E108" i="19"/>
  <c r="O107" i="19"/>
  <c r="L107" i="19"/>
  <c r="I107" i="19"/>
  <c r="Q107" i="19" s="1"/>
  <c r="H107" i="19"/>
  <c r="N107" i="19" s="1"/>
  <c r="G107" i="19"/>
  <c r="P107" i="19" s="1"/>
  <c r="F107" i="19"/>
  <c r="E107" i="19"/>
  <c r="O106" i="19"/>
  <c r="L106" i="19"/>
  <c r="I106" i="19"/>
  <c r="Q106" i="19" s="1"/>
  <c r="H106" i="19"/>
  <c r="N106" i="19" s="1"/>
  <c r="G106" i="19"/>
  <c r="P106" i="19" s="1"/>
  <c r="F106" i="19"/>
  <c r="E106" i="19"/>
  <c r="O105" i="19"/>
  <c r="L105" i="19"/>
  <c r="I105" i="19"/>
  <c r="Q105" i="19" s="1"/>
  <c r="H105" i="19"/>
  <c r="N105" i="19" s="1"/>
  <c r="G105" i="19"/>
  <c r="P105" i="19" s="1"/>
  <c r="F105" i="19"/>
  <c r="E105" i="19"/>
  <c r="O104" i="19"/>
  <c r="L104" i="19"/>
  <c r="I104" i="19"/>
  <c r="Q104" i="19" s="1"/>
  <c r="H104" i="19"/>
  <c r="G104" i="19"/>
  <c r="P104" i="19" s="1"/>
  <c r="F104" i="19"/>
  <c r="E104" i="19"/>
  <c r="O103" i="19"/>
  <c r="L103" i="19"/>
  <c r="I103" i="19"/>
  <c r="Q103" i="19" s="1"/>
  <c r="H103" i="19"/>
  <c r="N103" i="19" s="1"/>
  <c r="G103" i="19"/>
  <c r="P103" i="19" s="1"/>
  <c r="F103" i="19"/>
  <c r="E103" i="19"/>
  <c r="O102" i="19"/>
  <c r="L102" i="19"/>
  <c r="J102" i="19" s="1"/>
  <c r="I102" i="19"/>
  <c r="Q102" i="19" s="1"/>
  <c r="H102" i="19"/>
  <c r="N102" i="19" s="1"/>
  <c r="G102" i="19"/>
  <c r="P102" i="19" s="1"/>
  <c r="F102" i="19"/>
  <c r="E102" i="19"/>
  <c r="O101" i="19"/>
  <c r="L101" i="19"/>
  <c r="I101" i="19"/>
  <c r="Q101" i="19" s="1"/>
  <c r="H101" i="19"/>
  <c r="N101" i="19" s="1"/>
  <c r="G101" i="19"/>
  <c r="P101" i="19" s="1"/>
  <c r="F101" i="19"/>
  <c r="E101" i="19"/>
  <c r="O100" i="19"/>
  <c r="L100" i="19"/>
  <c r="I100" i="19"/>
  <c r="Q100" i="19" s="1"/>
  <c r="H100" i="19"/>
  <c r="N100" i="19" s="1"/>
  <c r="G100" i="19"/>
  <c r="P100" i="19" s="1"/>
  <c r="F100" i="19"/>
  <c r="E100" i="19"/>
  <c r="O99" i="19"/>
  <c r="L99" i="19"/>
  <c r="I99" i="19"/>
  <c r="Q99" i="19" s="1"/>
  <c r="H99" i="19"/>
  <c r="N99" i="19" s="1"/>
  <c r="G99" i="19"/>
  <c r="P99" i="19" s="1"/>
  <c r="F99" i="19"/>
  <c r="E99" i="19"/>
  <c r="O98" i="19"/>
  <c r="L98" i="19"/>
  <c r="I98" i="19"/>
  <c r="Q98" i="19" s="1"/>
  <c r="H98" i="19"/>
  <c r="N98" i="19" s="1"/>
  <c r="G98" i="19"/>
  <c r="P98" i="19" s="1"/>
  <c r="F98" i="19"/>
  <c r="E98" i="19"/>
  <c r="O97" i="19"/>
  <c r="L97" i="19"/>
  <c r="I97" i="19"/>
  <c r="Q97" i="19" s="1"/>
  <c r="H97" i="19"/>
  <c r="N97" i="19" s="1"/>
  <c r="G97" i="19"/>
  <c r="P97" i="19" s="1"/>
  <c r="F97" i="19"/>
  <c r="E97" i="19"/>
  <c r="O96" i="19"/>
  <c r="J96" i="19" s="1"/>
  <c r="L96" i="19"/>
  <c r="I96" i="19"/>
  <c r="Q96" i="19" s="1"/>
  <c r="H96" i="19"/>
  <c r="N96" i="19" s="1"/>
  <c r="G96" i="19"/>
  <c r="P96" i="19" s="1"/>
  <c r="F96" i="19"/>
  <c r="E96" i="19"/>
  <c r="O95" i="19"/>
  <c r="L95" i="19"/>
  <c r="I95" i="19"/>
  <c r="Q95" i="19" s="1"/>
  <c r="H95" i="19"/>
  <c r="N95" i="19" s="1"/>
  <c r="G95" i="19"/>
  <c r="P95" i="19" s="1"/>
  <c r="F95" i="19"/>
  <c r="E95" i="19"/>
  <c r="O94" i="19"/>
  <c r="L94" i="19"/>
  <c r="J94" i="19" s="1"/>
  <c r="I94" i="19"/>
  <c r="Q94" i="19" s="1"/>
  <c r="H94" i="19"/>
  <c r="N94" i="19" s="1"/>
  <c r="G94" i="19"/>
  <c r="P94" i="19" s="1"/>
  <c r="F94" i="19"/>
  <c r="E94" i="19"/>
  <c r="D94" i="19" s="1"/>
  <c r="M94" i="19" s="1"/>
  <c r="O93" i="19"/>
  <c r="L93" i="19"/>
  <c r="I93" i="19"/>
  <c r="Q93" i="19" s="1"/>
  <c r="H93" i="19"/>
  <c r="N93" i="19" s="1"/>
  <c r="G93" i="19"/>
  <c r="P93" i="19" s="1"/>
  <c r="F93" i="19"/>
  <c r="E93" i="19"/>
  <c r="O92" i="19"/>
  <c r="L92" i="19"/>
  <c r="I92" i="19"/>
  <c r="Q92" i="19" s="1"/>
  <c r="H92" i="19"/>
  <c r="G92" i="19"/>
  <c r="P92" i="19" s="1"/>
  <c r="F92" i="19"/>
  <c r="E92" i="19"/>
  <c r="O91" i="19"/>
  <c r="L91" i="19"/>
  <c r="I91" i="19"/>
  <c r="Q91" i="19" s="1"/>
  <c r="H91" i="19"/>
  <c r="N91" i="19" s="1"/>
  <c r="G91" i="19"/>
  <c r="F91" i="19"/>
  <c r="E91" i="19"/>
  <c r="O90" i="19"/>
  <c r="L90" i="19"/>
  <c r="I90" i="19"/>
  <c r="H90" i="19"/>
  <c r="N90" i="19" s="1"/>
  <c r="G90" i="19"/>
  <c r="P90" i="19" s="1"/>
  <c r="F90" i="19"/>
  <c r="E90" i="19"/>
  <c r="T88" i="19"/>
  <c r="O88" i="19"/>
  <c r="L88" i="19"/>
  <c r="J88" i="19" s="1"/>
  <c r="I88" i="19"/>
  <c r="Q88" i="19" s="1"/>
  <c r="H88" i="19"/>
  <c r="N88" i="19" s="1"/>
  <c r="G88" i="19"/>
  <c r="P88" i="19" s="1"/>
  <c r="F88" i="19"/>
  <c r="E88" i="19"/>
  <c r="T87" i="19"/>
  <c r="O87" i="19"/>
  <c r="L87" i="19"/>
  <c r="I87" i="19"/>
  <c r="Q87" i="19" s="1"/>
  <c r="H87" i="19"/>
  <c r="N87" i="19" s="1"/>
  <c r="G87" i="19"/>
  <c r="P87" i="19" s="1"/>
  <c r="F87" i="19"/>
  <c r="E87" i="19"/>
  <c r="T86" i="19"/>
  <c r="O86" i="19"/>
  <c r="L86" i="19"/>
  <c r="J86" i="19" s="1"/>
  <c r="I86" i="19"/>
  <c r="Q86" i="19" s="1"/>
  <c r="H86" i="19"/>
  <c r="N86" i="19" s="1"/>
  <c r="G86" i="19"/>
  <c r="P86" i="19" s="1"/>
  <c r="F86" i="19"/>
  <c r="E86" i="19"/>
  <c r="T85" i="19"/>
  <c r="O85" i="19"/>
  <c r="L85" i="19"/>
  <c r="J85" i="19" s="1"/>
  <c r="I85" i="19"/>
  <c r="Q85" i="19" s="1"/>
  <c r="H85" i="19"/>
  <c r="N85" i="19" s="1"/>
  <c r="G85" i="19"/>
  <c r="P85" i="19" s="1"/>
  <c r="F85" i="19"/>
  <c r="E85" i="19"/>
  <c r="D85" i="19" s="1"/>
  <c r="T84" i="19"/>
  <c r="O84" i="19"/>
  <c r="L84" i="19"/>
  <c r="I84" i="19"/>
  <c r="Q84" i="19" s="1"/>
  <c r="H84" i="19"/>
  <c r="N84" i="19" s="1"/>
  <c r="G84" i="19"/>
  <c r="P84" i="19" s="1"/>
  <c r="F84" i="19"/>
  <c r="E84" i="19"/>
  <c r="T83" i="19"/>
  <c r="O83" i="19"/>
  <c r="L83" i="19"/>
  <c r="I83" i="19"/>
  <c r="Q83" i="19" s="1"/>
  <c r="H83" i="19"/>
  <c r="N83" i="19" s="1"/>
  <c r="G83" i="19"/>
  <c r="P83" i="19" s="1"/>
  <c r="F83" i="19"/>
  <c r="E83" i="19"/>
  <c r="T82" i="19"/>
  <c r="O82" i="19"/>
  <c r="L82" i="19"/>
  <c r="I82" i="19"/>
  <c r="Q82" i="19" s="1"/>
  <c r="H82" i="19"/>
  <c r="N82" i="19" s="1"/>
  <c r="G82" i="19"/>
  <c r="P82" i="19" s="1"/>
  <c r="F82" i="19"/>
  <c r="E82" i="19"/>
  <c r="D82" i="19" s="1"/>
  <c r="T81" i="19"/>
  <c r="O81" i="19"/>
  <c r="L81" i="19"/>
  <c r="I81" i="19"/>
  <c r="Q81" i="19" s="1"/>
  <c r="H81" i="19"/>
  <c r="N81" i="19" s="1"/>
  <c r="G81" i="19"/>
  <c r="P81" i="19" s="1"/>
  <c r="F81" i="19"/>
  <c r="E81" i="19"/>
  <c r="T80" i="19"/>
  <c r="O80" i="19"/>
  <c r="L80" i="19"/>
  <c r="I80" i="19"/>
  <c r="Q80" i="19" s="1"/>
  <c r="H80" i="19"/>
  <c r="N80" i="19" s="1"/>
  <c r="G80" i="19"/>
  <c r="P80" i="19" s="1"/>
  <c r="F80" i="19"/>
  <c r="E80" i="19"/>
  <c r="T79" i="19"/>
  <c r="Q79" i="19"/>
  <c r="O79" i="19"/>
  <c r="L79" i="19"/>
  <c r="I79" i="19"/>
  <c r="H79" i="19"/>
  <c r="N79" i="19" s="1"/>
  <c r="G79" i="19"/>
  <c r="P79" i="19" s="1"/>
  <c r="F79" i="19"/>
  <c r="E79" i="19"/>
  <c r="T78" i="19"/>
  <c r="O78" i="19"/>
  <c r="L78" i="19"/>
  <c r="J78" i="19" s="1"/>
  <c r="I78" i="19"/>
  <c r="H78" i="19"/>
  <c r="N78" i="19" s="1"/>
  <c r="G78" i="19"/>
  <c r="F78" i="19"/>
  <c r="E78" i="19"/>
  <c r="T77" i="19"/>
  <c r="O77" i="19"/>
  <c r="L77" i="19"/>
  <c r="I77" i="19"/>
  <c r="Q77" i="19" s="1"/>
  <c r="H77" i="19"/>
  <c r="N77" i="19" s="1"/>
  <c r="G77" i="19"/>
  <c r="P77" i="19" s="1"/>
  <c r="F77" i="19"/>
  <c r="E77" i="19"/>
  <c r="T76" i="19"/>
  <c r="O76" i="19"/>
  <c r="L76" i="19"/>
  <c r="I76" i="19"/>
  <c r="Q76" i="19" s="1"/>
  <c r="H76" i="19"/>
  <c r="N76" i="19" s="1"/>
  <c r="G76" i="19"/>
  <c r="P76" i="19" s="1"/>
  <c r="F76" i="19"/>
  <c r="E76" i="19"/>
  <c r="T75" i="19"/>
  <c r="O75" i="19"/>
  <c r="L75" i="19"/>
  <c r="I75" i="19"/>
  <c r="Q75" i="19" s="1"/>
  <c r="H75" i="19"/>
  <c r="N75" i="19" s="1"/>
  <c r="G75" i="19"/>
  <c r="P75" i="19" s="1"/>
  <c r="F75" i="19"/>
  <c r="E75" i="19"/>
  <c r="T74" i="19"/>
  <c r="S74" i="19"/>
  <c r="R74" i="19"/>
  <c r="T73" i="19"/>
  <c r="O73" i="19"/>
  <c r="L73" i="19"/>
  <c r="I73" i="19"/>
  <c r="Q73" i="19" s="1"/>
  <c r="H73" i="19"/>
  <c r="N73" i="19" s="1"/>
  <c r="G73" i="19"/>
  <c r="P73" i="19" s="1"/>
  <c r="F73" i="19"/>
  <c r="E73" i="19"/>
  <c r="T72" i="19"/>
  <c r="O72" i="19"/>
  <c r="L72" i="19"/>
  <c r="J72" i="19" s="1"/>
  <c r="I72" i="19"/>
  <c r="Q72" i="19" s="1"/>
  <c r="H72" i="19"/>
  <c r="N72" i="19" s="1"/>
  <c r="G72" i="19"/>
  <c r="P72" i="19" s="1"/>
  <c r="F72" i="19"/>
  <c r="E72" i="19"/>
  <c r="T71" i="19"/>
  <c r="O71" i="19"/>
  <c r="L71" i="19"/>
  <c r="I71" i="19"/>
  <c r="Q71" i="19" s="1"/>
  <c r="H71" i="19"/>
  <c r="N71" i="19" s="1"/>
  <c r="G71" i="19"/>
  <c r="P71" i="19" s="1"/>
  <c r="F71" i="19"/>
  <c r="E71" i="19"/>
  <c r="T70" i="19"/>
  <c r="O70" i="19"/>
  <c r="L70" i="19"/>
  <c r="I70" i="19"/>
  <c r="Q70" i="19" s="1"/>
  <c r="H70" i="19"/>
  <c r="N70" i="19" s="1"/>
  <c r="G70" i="19"/>
  <c r="P70" i="19" s="1"/>
  <c r="F70" i="19"/>
  <c r="E70" i="19"/>
  <c r="T69" i="19"/>
  <c r="O69" i="19"/>
  <c r="L69" i="19"/>
  <c r="I69" i="19"/>
  <c r="Q69" i="19" s="1"/>
  <c r="H69" i="19"/>
  <c r="N69" i="19" s="1"/>
  <c r="G69" i="19"/>
  <c r="P69" i="19" s="1"/>
  <c r="F69" i="19"/>
  <c r="D69" i="19" s="1"/>
  <c r="E69" i="19"/>
  <c r="T68" i="19"/>
  <c r="O68" i="19"/>
  <c r="L68" i="19"/>
  <c r="I68" i="19"/>
  <c r="Q68" i="19" s="1"/>
  <c r="H68" i="19"/>
  <c r="N68" i="19" s="1"/>
  <c r="G68" i="19"/>
  <c r="P68" i="19" s="1"/>
  <c r="F68" i="19"/>
  <c r="E68" i="19"/>
  <c r="T67" i="19"/>
  <c r="O67" i="19"/>
  <c r="L67" i="19"/>
  <c r="I67" i="19"/>
  <c r="Q67" i="19" s="1"/>
  <c r="H67" i="19"/>
  <c r="N67" i="19" s="1"/>
  <c r="G67" i="19"/>
  <c r="P67" i="19" s="1"/>
  <c r="F67" i="19"/>
  <c r="E67" i="19"/>
  <c r="T66" i="19"/>
  <c r="O66" i="19"/>
  <c r="L66" i="19"/>
  <c r="I66" i="19"/>
  <c r="Q66" i="19" s="1"/>
  <c r="H66" i="19"/>
  <c r="N66" i="19" s="1"/>
  <c r="G66" i="19"/>
  <c r="P66" i="19" s="1"/>
  <c r="F66" i="19"/>
  <c r="E66" i="19"/>
  <c r="D66" i="19" s="1"/>
  <c r="T65" i="19"/>
  <c r="O65" i="19"/>
  <c r="L65" i="19"/>
  <c r="I65" i="19"/>
  <c r="Q65" i="19" s="1"/>
  <c r="H65" i="19"/>
  <c r="N65" i="19" s="1"/>
  <c r="G65" i="19"/>
  <c r="P65" i="19" s="1"/>
  <c r="F65" i="19"/>
  <c r="E65" i="19"/>
  <c r="T64" i="19"/>
  <c r="O64" i="19"/>
  <c r="L64" i="19"/>
  <c r="I64" i="19"/>
  <c r="Q64" i="19" s="1"/>
  <c r="H64" i="19"/>
  <c r="N64" i="19" s="1"/>
  <c r="G64" i="19"/>
  <c r="P64" i="19" s="1"/>
  <c r="F64" i="19"/>
  <c r="E64" i="19"/>
  <c r="T63" i="19"/>
  <c r="O63" i="19"/>
  <c r="L63" i="19"/>
  <c r="I63" i="19"/>
  <c r="Q63" i="19" s="1"/>
  <c r="H63" i="19"/>
  <c r="N63" i="19" s="1"/>
  <c r="G63" i="19"/>
  <c r="P63" i="19" s="1"/>
  <c r="F63" i="19"/>
  <c r="E63" i="19"/>
  <c r="T62" i="19"/>
  <c r="O62" i="19"/>
  <c r="L62" i="19"/>
  <c r="I62" i="19"/>
  <c r="Q62" i="19" s="1"/>
  <c r="H62" i="19"/>
  <c r="N62" i="19" s="1"/>
  <c r="G62" i="19"/>
  <c r="P62" i="19" s="1"/>
  <c r="F62" i="19"/>
  <c r="E62" i="19"/>
  <c r="T61" i="19"/>
  <c r="O61" i="19"/>
  <c r="L61" i="19"/>
  <c r="I61" i="19"/>
  <c r="Q61" i="19" s="1"/>
  <c r="H61" i="19"/>
  <c r="N61" i="19" s="1"/>
  <c r="G61" i="19"/>
  <c r="P61" i="19" s="1"/>
  <c r="F61" i="19"/>
  <c r="E61" i="19"/>
  <c r="T60" i="19"/>
  <c r="O60" i="19"/>
  <c r="L60" i="19"/>
  <c r="I60" i="19"/>
  <c r="Q60" i="19" s="1"/>
  <c r="H60" i="19"/>
  <c r="N60" i="19" s="1"/>
  <c r="G60" i="19"/>
  <c r="P60" i="19" s="1"/>
  <c r="F60" i="19"/>
  <c r="E60" i="19"/>
  <c r="D60" i="19" s="1"/>
  <c r="T59" i="19"/>
  <c r="O59" i="19"/>
  <c r="L59" i="19"/>
  <c r="I59" i="19"/>
  <c r="Q59" i="19" s="1"/>
  <c r="H59" i="19"/>
  <c r="N59" i="19" s="1"/>
  <c r="G59" i="19"/>
  <c r="P59" i="19" s="1"/>
  <c r="F59" i="19"/>
  <c r="E59" i="19"/>
  <c r="T58" i="19"/>
  <c r="O58" i="19"/>
  <c r="L58" i="19"/>
  <c r="I58" i="19"/>
  <c r="Q58" i="19" s="1"/>
  <c r="H58" i="19"/>
  <c r="N58" i="19" s="1"/>
  <c r="G58" i="19"/>
  <c r="P58" i="19" s="1"/>
  <c r="F58" i="19"/>
  <c r="E58" i="19"/>
  <c r="T57" i="19"/>
  <c r="Q57" i="19"/>
  <c r="O57" i="19"/>
  <c r="L57" i="19"/>
  <c r="I57" i="19"/>
  <c r="H57" i="19"/>
  <c r="N57" i="19" s="1"/>
  <c r="G57" i="19"/>
  <c r="P57" i="19" s="1"/>
  <c r="F57" i="19"/>
  <c r="E57" i="19"/>
  <c r="T56" i="19"/>
  <c r="O56" i="19"/>
  <c r="L56" i="19"/>
  <c r="I56" i="19"/>
  <c r="Q56" i="19" s="1"/>
  <c r="H56" i="19"/>
  <c r="N56" i="19" s="1"/>
  <c r="G56" i="19"/>
  <c r="P56" i="19" s="1"/>
  <c r="F56" i="19"/>
  <c r="E56" i="19"/>
  <c r="T55" i="19"/>
  <c r="O55" i="19"/>
  <c r="L55" i="19"/>
  <c r="I55" i="19"/>
  <c r="Q55" i="19" s="1"/>
  <c r="H55" i="19"/>
  <c r="N55" i="19" s="1"/>
  <c r="G55" i="19"/>
  <c r="P55" i="19" s="1"/>
  <c r="F55" i="19"/>
  <c r="E55" i="19"/>
  <c r="T54" i="19"/>
  <c r="O54" i="19"/>
  <c r="L54" i="19"/>
  <c r="I54" i="19"/>
  <c r="Q54" i="19" s="1"/>
  <c r="H54" i="19"/>
  <c r="N54" i="19" s="1"/>
  <c r="G54" i="19"/>
  <c r="P54" i="19" s="1"/>
  <c r="F54" i="19"/>
  <c r="E54" i="19"/>
  <c r="T53" i="19"/>
  <c r="O53" i="19"/>
  <c r="L53" i="19"/>
  <c r="J53" i="19" s="1"/>
  <c r="I53" i="19"/>
  <c r="Q53" i="19" s="1"/>
  <c r="H53" i="19"/>
  <c r="N53" i="19" s="1"/>
  <c r="G53" i="19"/>
  <c r="P53" i="19" s="1"/>
  <c r="F53" i="19"/>
  <c r="E53" i="19"/>
  <c r="T52" i="19"/>
  <c r="S52" i="19"/>
  <c r="R52" i="19"/>
  <c r="T51" i="19"/>
  <c r="O51" i="19"/>
  <c r="L51" i="19"/>
  <c r="I51" i="19"/>
  <c r="Q51" i="19" s="1"/>
  <c r="H51" i="19"/>
  <c r="N51" i="19" s="1"/>
  <c r="G51" i="19"/>
  <c r="P51" i="19" s="1"/>
  <c r="F51" i="19"/>
  <c r="E51" i="19"/>
  <c r="T50" i="19"/>
  <c r="O50" i="19"/>
  <c r="L50" i="19"/>
  <c r="I50" i="19"/>
  <c r="Q50" i="19" s="1"/>
  <c r="H50" i="19"/>
  <c r="N50" i="19" s="1"/>
  <c r="G50" i="19"/>
  <c r="P50" i="19" s="1"/>
  <c r="F50" i="19"/>
  <c r="E50" i="19"/>
  <c r="T49" i="19"/>
  <c r="O49" i="19"/>
  <c r="L49" i="19"/>
  <c r="I49" i="19"/>
  <c r="Q49" i="19" s="1"/>
  <c r="H49" i="19"/>
  <c r="N49" i="19" s="1"/>
  <c r="G49" i="19"/>
  <c r="P49" i="19" s="1"/>
  <c r="F49" i="19"/>
  <c r="E49" i="19"/>
  <c r="T48" i="19"/>
  <c r="O48" i="19"/>
  <c r="L48" i="19"/>
  <c r="I48" i="19"/>
  <c r="Q48" i="19" s="1"/>
  <c r="H48" i="19"/>
  <c r="N48" i="19" s="1"/>
  <c r="G48" i="19"/>
  <c r="P48" i="19" s="1"/>
  <c r="F48" i="19"/>
  <c r="E48" i="19"/>
  <c r="T47" i="19"/>
  <c r="O47" i="19"/>
  <c r="L47" i="19"/>
  <c r="I47" i="19"/>
  <c r="Q47" i="19" s="1"/>
  <c r="H47" i="19"/>
  <c r="N47" i="19" s="1"/>
  <c r="G47" i="19"/>
  <c r="P47" i="19" s="1"/>
  <c r="F47" i="19"/>
  <c r="E47" i="19"/>
  <c r="T46" i="19"/>
  <c r="O46" i="19"/>
  <c r="L46" i="19"/>
  <c r="I46" i="19"/>
  <c r="Q46" i="19" s="1"/>
  <c r="H46" i="19"/>
  <c r="N46" i="19" s="1"/>
  <c r="G46" i="19"/>
  <c r="P46" i="19" s="1"/>
  <c r="F46" i="19"/>
  <c r="E46" i="19"/>
  <c r="T45" i="19"/>
  <c r="O45" i="19"/>
  <c r="J45" i="19" s="1"/>
  <c r="L45" i="19"/>
  <c r="I45" i="19"/>
  <c r="Q45" i="19" s="1"/>
  <c r="H45" i="19"/>
  <c r="N45" i="19" s="1"/>
  <c r="G45" i="19"/>
  <c r="P45" i="19" s="1"/>
  <c r="F45" i="19"/>
  <c r="E45" i="19"/>
  <c r="T44" i="19"/>
  <c r="O44" i="19"/>
  <c r="L44" i="19"/>
  <c r="I44" i="19"/>
  <c r="Q44" i="19" s="1"/>
  <c r="H44" i="19"/>
  <c r="N44" i="19" s="1"/>
  <c r="G44" i="19"/>
  <c r="P44" i="19" s="1"/>
  <c r="F44" i="19"/>
  <c r="E44" i="19"/>
  <c r="S43" i="19"/>
  <c r="S31" i="19" s="1"/>
  <c r="R43" i="19"/>
  <c r="O43" i="19"/>
  <c r="L43" i="19"/>
  <c r="I43" i="19"/>
  <c r="H43" i="19"/>
  <c r="N43" i="19" s="1"/>
  <c r="G43" i="19"/>
  <c r="P43" i="19" s="1"/>
  <c r="F43" i="19"/>
  <c r="E43" i="19"/>
  <c r="D43" i="19"/>
  <c r="M43" i="19" s="1"/>
  <c r="T42" i="19"/>
  <c r="O42" i="19"/>
  <c r="L42" i="19"/>
  <c r="I42" i="19"/>
  <c r="Q42" i="19" s="1"/>
  <c r="H42" i="19"/>
  <c r="N42" i="19" s="1"/>
  <c r="G42" i="19"/>
  <c r="P42" i="19" s="1"/>
  <c r="F42" i="19"/>
  <c r="E42" i="19"/>
  <c r="T41" i="19"/>
  <c r="O41" i="19"/>
  <c r="L41" i="19"/>
  <c r="I41" i="19"/>
  <c r="Q41" i="19" s="1"/>
  <c r="H41" i="19"/>
  <c r="N41" i="19" s="1"/>
  <c r="G41" i="19"/>
  <c r="P41" i="19" s="1"/>
  <c r="F41" i="19"/>
  <c r="E41" i="19"/>
  <c r="D41" i="19"/>
  <c r="M41" i="19" s="1"/>
  <c r="T40" i="19"/>
  <c r="O40" i="19"/>
  <c r="L40" i="19"/>
  <c r="J40" i="19" s="1"/>
  <c r="I40" i="19"/>
  <c r="Q40" i="19" s="1"/>
  <c r="H40" i="19"/>
  <c r="N40" i="19" s="1"/>
  <c r="G40" i="19"/>
  <c r="P40" i="19" s="1"/>
  <c r="F40" i="19"/>
  <c r="E40" i="19"/>
  <c r="T39" i="19"/>
  <c r="O39" i="19"/>
  <c r="L39" i="19"/>
  <c r="I39" i="19"/>
  <c r="Q39" i="19" s="1"/>
  <c r="H39" i="19"/>
  <c r="N39" i="19" s="1"/>
  <c r="G39" i="19"/>
  <c r="P39" i="19" s="1"/>
  <c r="F39" i="19"/>
  <c r="E39" i="19"/>
  <c r="T38" i="19"/>
  <c r="O38" i="19"/>
  <c r="L38" i="19"/>
  <c r="I38" i="19"/>
  <c r="Q38" i="19" s="1"/>
  <c r="H38" i="19"/>
  <c r="N38" i="19" s="1"/>
  <c r="G38" i="19"/>
  <c r="P38" i="19" s="1"/>
  <c r="F38" i="19"/>
  <c r="E38" i="19"/>
  <c r="T37" i="19"/>
  <c r="O37" i="19"/>
  <c r="L37" i="19"/>
  <c r="J37" i="19" s="1"/>
  <c r="I37" i="19"/>
  <c r="Q37" i="19" s="1"/>
  <c r="H37" i="19"/>
  <c r="N37" i="19" s="1"/>
  <c r="G37" i="19"/>
  <c r="P37" i="19" s="1"/>
  <c r="F37" i="19"/>
  <c r="E37" i="19"/>
  <c r="D37" i="19" s="1"/>
  <c r="T36" i="19"/>
  <c r="O36" i="19"/>
  <c r="L36" i="19"/>
  <c r="I36" i="19"/>
  <c r="Q36" i="19" s="1"/>
  <c r="H36" i="19"/>
  <c r="N36" i="19" s="1"/>
  <c r="G36" i="19"/>
  <c r="P36" i="19" s="1"/>
  <c r="F36" i="19"/>
  <c r="E36" i="19"/>
  <c r="T35" i="19"/>
  <c r="O35" i="19"/>
  <c r="L35" i="19"/>
  <c r="I35" i="19"/>
  <c r="Q35" i="19" s="1"/>
  <c r="H35" i="19"/>
  <c r="N35" i="19" s="1"/>
  <c r="G35" i="19"/>
  <c r="P35" i="19" s="1"/>
  <c r="F35" i="19"/>
  <c r="E35" i="19"/>
  <c r="T34" i="19"/>
  <c r="O34" i="19"/>
  <c r="L34" i="19"/>
  <c r="I34" i="19"/>
  <c r="Q34" i="19" s="1"/>
  <c r="H34" i="19"/>
  <c r="N34" i="19" s="1"/>
  <c r="G34" i="19"/>
  <c r="P34" i="19" s="1"/>
  <c r="F34" i="19"/>
  <c r="D34" i="19" s="1"/>
  <c r="M34" i="19" s="1"/>
  <c r="E34" i="19"/>
  <c r="T33" i="19"/>
  <c r="O33" i="19"/>
  <c r="L33" i="19"/>
  <c r="I33" i="19"/>
  <c r="Q33" i="19" s="1"/>
  <c r="H33" i="19"/>
  <c r="G33" i="19"/>
  <c r="P33" i="19" s="1"/>
  <c r="F33" i="19"/>
  <c r="E33" i="19"/>
  <c r="T32" i="19"/>
  <c r="O32" i="19"/>
  <c r="L32" i="19"/>
  <c r="I32" i="19"/>
  <c r="Q32" i="19" s="1"/>
  <c r="H32" i="19"/>
  <c r="N32" i="19" s="1"/>
  <c r="G32" i="19"/>
  <c r="P32" i="19" s="1"/>
  <c r="F32" i="19"/>
  <c r="E32" i="19"/>
  <c r="D32" i="19" s="1"/>
  <c r="M32" i="19" s="1"/>
  <c r="T30" i="19"/>
  <c r="O30" i="19"/>
  <c r="L30" i="19"/>
  <c r="I30" i="19"/>
  <c r="Q30" i="19" s="1"/>
  <c r="H30" i="19"/>
  <c r="N30" i="19" s="1"/>
  <c r="G30" i="19"/>
  <c r="P30" i="19" s="1"/>
  <c r="F30" i="19"/>
  <c r="E30" i="19"/>
  <c r="T29" i="19"/>
  <c r="O29" i="19"/>
  <c r="L29" i="19"/>
  <c r="I29" i="19"/>
  <c r="Q29" i="19" s="1"/>
  <c r="H29" i="19"/>
  <c r="N29" i="19" s="1"/>
  <c r="G29" i="19"/>
  <c r="P29" i="19" s="1"/>
  <c r="F29" i="19"/>
  <c r="E29" i="19"/>
  <c r="T28" i="19"/>
  <c r="O28" i="19"/>
  <c r="L28" i="19"/>
  <c r="J28" i="19" s="1"/>
  <c r="I28" i="19"/>
  <c r="Q28" i="19" s="1"/>
  <c r="H28" i="19"/>
  <c r="N28" i="19" s="1"/>
  <c r="G28" i="19"/>
  <c r="P28" i="19" s="1"/>
  <c r="F28" i="19"/>
  <c r="E28" i="19"/>
  <c r="T27" i="19"/>
  <c r="O27" i="19"/>
  <c r="J27" i="19" s="1"/>
  <c r="L27" i="19"/>
  <c r="I27" i="19"/>
  <c r="Q27" i="19" s="1"/>
  <c r="H27" i="19"/>
  <c r="N27" i="19" s="1"/>
  <c r="G27" i="19"/>
  <c r="P27" i="19" s="1"/>
  <c r="F27" i="19"/>
  <c r="E27" i="19"/>
  <c r="S26" i="19"/>
  <c r="R26" i="19"/>
  <c r="O26" i="19"/>
  <c r="L26" i="19"/>
  <c r="I26" i="19"/>
  <c r="H26" i="19"/>
  <c r="N26" i="19" s="1"/>
  <c r="G26" i="19"/>
  <c r="F26" i="19"/>
  <c r="E26" i="19"/>
  <c r="T25" i="19"/>
  <c r="O25" i="19"/>
  <c r="L25" i="19"/>
  <c r="J25" i="19" s="1"/>
  <c r="I25" i="19"/>
  <c r="Q25" i="19" s="1"/>
  <c r="H25" i="19"/>
  <c r="N25" i="19" s="1"/>
  <c r="G25" i="19"/>
  <c r="P25" i="19" s="1"/>
  <c r="F25" i="19"/>
  <c r="E25" i="19"/>
  <c r="T24" i="19"/>
  <c r="Q24" i="19"/>
  <c r="O24" i="19"/>
  <c r="L24" i="19"/>
  <c r="J24" i="19" s="1"/>
  <c r="I24" i="19"/>
  <c r="H24" i="19"/>
  <c r="N24" i="19" s="1"/>
  <c r="G24" i="19"/>
  <c r="P24" i="19" s="1"/>
  <c r="F24" i="19"/>
  <c r="E24" i="19"/>
  <c r="S23" i="19"/>
  <c r="R23" i="19"/>
  <c r="T23" i="19" s="1"/>
  <c r="O23" i="19"/>
  <c r="L23" i="19"/>
  <c r="J23" i="19" s="1"/>
  <c r="I23" i="19"/>
  <c r="Q23" i="19" s="1"/>
  <c r="H23" i="19"/>
  <c r="N23" i="19" s="1"/>
  <c r="G23" i="19"/>
  <c r="F23" i="19"/>
  <c r="E23" i="19"/>
  <c r="D23" i="19" s="1"/>
  <c r="T22" i="19"/>
  <c r="O22" i="19"/>
  <c r="L22" i="19"/>
  <c r="I22" i="19"/>
  <c r="Q22" i="19" s="1"/>
  <c r="H22" i="19"/>
  <c r="N22" i="19" s="1"/>
  <c r="G22" i="19"/>
  <c r="P22" i="19" s="1"/>
  <c r="F22" i="19"/>
  <c r="E22" i="19"/>
  <c r="T21" i="19"/>
  <c r="O21" i="19"/>
  <c r="L21" i="19"/>
  <c r="I21" i="19"/>
  <c r="Q21" i="19" s="1"/>
  <c r="H21" i="19"/>
  <c r="N21" i="19" s="1"/>
  <c r="G21" i="19"/>
  <c r="P21" i="19" s="1"/>
  <c r="F21" i="19"/>
  <c r="E21" i="19"/>
  <c r="T20" i="19"/>
  <c r="O20" i="19"/>
  <c r="L20" i="19"/>
  <c r="I20" i="19"/>
  <c r="Q20" i="19" s="1"/>
  <c r="H20" i="19"/>
  <c r="N20" i="19" s="1"/>
  <c r="G20" i="19"/>
  <c r="P20" i="19" s="1"/>
  <c r="F20" i="19"/>
  <c r="E20" i="19"/>
  <c r="D20" i="19" s="1"/>
  <c r="S19" i="19"/>
  <c r="R19" i="19"/>
  <c r="O19" i="19"/>
  <c r="L19" i="19"/>
  <c r="I19" i="19"/>
  <c r="H19" i="19"/>
  <c r="N19" i="19" s="1"/>
  <c r="G19" i="19"/>
  <c r="F19" i="19"/>
  <c r="E19" i="19"/>
  <c r="T18" i="19"/>
  <c r="O18" i="19"/>
  <c r="L18" i="19"/>
  <c r="I18" i="19"/>
  <c r="Q18" i="19" s="1"/>
  <c r="H18" i="19"/>
  <c r="N18" i="19" s="1"/>
  <c r="G18" i="19"/>
  <c r="P18" i="19" s="1"/>
  <c r="F18" i="19"/>
  <c r="E18" i="19"/>
  <c r="T17" i="19"/>
  <c r="O17" i="19"/>
  <c r="L17" i="19"/>
  <c r="I17" i="19"/>
  <c r="Q17" i="19" s="1"/>
  <c r="H17" i="19"/>
  <c r="N17" i="19" s="1"/>
  <c r="G17" i="19"/>
  <c r="P17" i="19" s="1"/>
  <c r="F17" i="19"/>
  <c r="E17" i="19"/>
  <c r="T16" i="19"/>
  <c r="O16" i="19"/>
  <c r="L16" i="19"/>
  <c r="I16" i="19"/>
  <c r="Q16" i="19" s="1"/>
  <c r="H16" i="19"/>
  <c r="N16" i="19" s="1"/>
  <c r="G16" i="19"/>
  <c r="P16" i="19" s="1"/>
  <c r="F16" i="19"/>
  <c r="E16" i="19"/>
  <c r="T15" i="19"/>
  <c r="O15" i="19"/>
  <c r="L15" i="19"/>
  <c r="I15" i="19"/>
  <c r="H15" i="19"/>
  <c r="N15" i="19" s="1"/>
  <c r="G15" i="19"/>
  <c r="P15" i="19" s="1"/>
  <c r="F15" i="19"/>
  <c r="E15" i="19"/>
  <c r="T14" i="19"/>
  <c r="O14" i="19"/>
  <c r="L14" i="19"/>
  <c r="J14" i="19" s="1"/>
  <c r="I14" i="19"/>
  <c r="Q14" i="19" s="1"/>
  <c r="H14" i="19"/>
  <c r="N14" i="19" s="1"/>
  <c r="G14" i="19"/>
  <c r="P14" i="19" s="1"/>
  <c r="F14" i="19"/>
  <c r="E14" i="19"/>
  <c r="T9" i="19"/>
  <c r="Q108" i="18"/>
  <c r="P108" i="18"/>
  <c r="N108" i="18"/>
  <c r="M108" i="18"/>
  <c r="K108" i="18"/>
  <c r="J108" i="18"/>
  <c r="D108" i="18"/>
  <c r="C108" i="18"/>
  <c r="Q107" i="18"/>
  <c r="P107" i="18"/>
  <c r="N107" i="18"/>
  <c r="M107" i="18"/>
  <c r="J107" i="18"/>
  <c r="D107" i="18"/>
  <c r="C107" i="18"/>
  <c r="K107" i="18" s="1"/>
  <c r="Q106" i="18"/>
  <c r="P106" i="18"/>
  <c r="N106" i="18"/>
  <c r="J106" i="18"/>
  <c r="D106" i="18"/>
  <c r="Q105" i="18"/>
  <c r="P105" i="18"/>
  <c r="N105" i="18"/>
  <c r="M105" i="18"/>
  <c r="K105" i="18"/>
  <c r="J105" i="18"/>
  <c r="D105" i="18"/>
  <c r="C105" i="18"/>
  <c r="Q104" i="18"/>
  <c r="P104" i="18"/>
  <c r="N104" i="18"/>
  <c r="M104" i="18"/>
  <c r="J104" i="18"/>
  <c r="D104" i="18"/>
  <c r="C104" i="18"/>
  <c r="K104" i="18" s="1"/>
  <c r="Q103" i="18"/>
  <c r="P103" i="18"/>
  <c r="N103" i="18"/>
  <c r="J103" i="18"/>
  <c r="D103" i="18"/>
  <c r="Q102" i="18"/>
  <c r="P102" i="18"/>
  <c r="N102" i="18"/>
  <c r="M102" i="18"/>
  <c r="K102" i="18"/>
  <c r="J102" i="18"/>
  <c r="D102" i="18"/>
  <c r="C102" i="18"/>
  <c r="Q101" i="18"/>
  <c r="P101" i="18"/>
  <c r="N101" i="18"/>
  <c r="M101" i="18"/>
  <c r="J101" i="18"/>
  <c r="D101" i="18"/>
  <c r="C101" i="18"/>
  <c r="K101" i="18" s="1"/>
  <c r="Q100" i="18"/>
  <c r="P100" i="18"/>
  <c r="N100" i="18"/>
  <c r="J100" i="18"/>
  <c r="D100" i="18"/>
  <c r="Q99" i="18"/>
  <c r="P99" i="18"/>
  <c r="N99" i="18"/>
  <c r="M99" i="18"/>
  <c r="K99" i="18"/>
  <c r="J99" i="18"/>
  <c r="D99" i="18"/>
  <c r="C99" i="18"/>
  <c r="Q98" i="18"/>
  <c r="P98" i="18"/>
  <c r="P89" i="18" s="1"/>
  <c r="N98" i="18"/>
  <c r="M98" i="18"/>
  <c r="J98" i="18"/>
  <c r="D98" i="18"/>
  <c r="C98" i="18"/>
  <c r="K98" i="18" s="1"/>
  <c r="Q97" i="18"/>
  <c r="P97" i="18"/>
  <c r="N97" i="18"/>
  <c r="J97" i="18"/>
  <c r="D97" i="18"/>
  <c r="Q96" i="18"/>
  <c r="P96" i="18"/>
  <c r="N96" i="18"/>
  <c r="M96" i="18"/>
  <c r="K96" i="18"/>
  <c r="J96" i="18"/>
  <c r="D96" i="18"/>
  <c r="C96" i="18"/>
  <c r="Q95" i="18"/>
  <c r="P95" i="18"/>
  <c r="N95" i="18"/>
  <c r="M95" i="18"/>
  <c r="J95" i="18"/>
  <c r="D95" i="18"/>
  <c r="C95" i="18"/>
  <c r="K95" i="18" s="1"/>
  <c r="Q94" i="18"/>
  <c r="P94" i="18"/>
  <c r="N94" i="18"/>
  <c r="J94" i="18"/>
  <c r="D94" i="18"/>
  <c r="D89" i="18" s="1"/>
  <c r="D9" i="18" s="1"/>
  <c r="Q93" i="18"/>
  <c r="P93" i="18"/>
  <c r="N93" i="18"/>
  <c r="M93" i="18"/>
  <c r="K93" i="18"/>
  <c r="J93" i="18"/>
  <c r="D93" i="18"/>
  <c r="C93" i="18"/>
  <c r="Q92" i="18"/>
  <c r="P92" i="18"/>
  <c r="N92" i="18"/>
  <c r="M92" i="18"/>
  <c r="J92" i="18"/>
  <c r="D92" i="18"/>
  <c r="C92" i="18"/>
  <c r="K92" i="18" s="1"/>
  <c r="Q91" i="18"/>
  <c r="P91" i="18"/>
  <c r="N91" i="18"/>
  <c r="J91" i="18"/>
  <c r="D91" i="18"/>
  <c r="Q90" i="18"/>
  <c r="Q89" i="18" s="1"/>
  <c r="P90" i="18"/>
  <c r="N90" i="18"/>
  <c r="M90" i="18"/>
  <c r="K90" i="18"/>
  <c r="J90" i="18"/>
  <c r="D90" i="18"/>
  <c r="C90" i="18"/>
  <c r="O89" i="18"/>
  <c r="O9" i="18" s="1"/>
  <c r="L89" i="18"/>
  <c r="I89" i="18"/>
  <c r="I9" i="18" s="1"/>
  <c r="Q9" i="18" s="1"/>
  <c r="H89" i="18"/>
  <c r="H9" i="18" s="1"/>
  <c r="N9" i="18" s="1"/>
  <c r="G89" i="18"/>
  <c r="F89" i="18"/>
  <c r="E89" i="18"/>
  <c r="T88" i="18"/>
  <c r="Q88" i="18"/>
  <c r="P88" i="18"/>
  <c r="N88" i="18"/>
  <c r="M88" i="18"/>
  <c r="K88" i="18"/>
  <c r="J88" i="18"/>
  <c r="D88" i="18"/>
  <c r="C88" i="18"/>
  <c r="T87" i="18"/>
  <c r="Q87" i="18"/>
  <c r="P87" i="18"/>
  <c r="N87" i="18"/>
  <c r="J87" i="18"/>
  <c r="D87" i="18"/>
  <c r="M87" i="18" s="1"/>
  <c r="C87" i="18"/>
  <c r="K87" i="18" s="1"/>
  <c r="T86" i="18"/>
  <c r="Q86" i="18"/>
  <c r="P86" i="18"/>
  <c r="N86" i="18"/>
  <c r="M86" i="18"/>
  <c r="K86" i="18"/>
  <c r="J86" i="18"/>
  <c r="D86" i="18"/>
  <c r="C86" i="18"/>
  <c r="T85" i="18"/>
  <c r="Q85" i="18"/>
  <c r="P85" i="18"/>
  <c r="N85" i="18"/>
  <c r="J85" i="18"/>
  <c r="D85" i="18"/>
  <c r="M85" i="18" s="1"/>
  <c r="C85" i="18"/>
  <c r="K85" i="18" s="1"/>
  <c r="T84" i="18"/>
  <c r="Q84" i="18"/>
  <c r="P84" i="18"/>
  <c r="N84" i="18"/>
  <c r="M84" i="18"/>
  <c r="K84" i="18"/>
  <c r="J84" i="18"/>
  <c r="D84" i="18"/>
  <c r="C84" i="18"/>
  <c r="T83" i="18"/>
  <c r="Q83" i="18"/>
  <c r="P83" i="18"/>
  <c r="N83" i="18"/>
  <c r="J83" i="18"/>
  <c r="D83" i="18"/>
  <c r="M83" i="18" s="1"/>
  <c r="C83" i="18"/>
  <c r="K83" i="18" s="1"/>
  <c r="T82" i="18"/>
  <c r="Q82" i="18"/>
  <c r="P82" i="18"/>
  <c r="N82" i="18"/>
  <c r="M82" i="18"/>
  <c r="K82" i="18"/>
  <c r="J82" i="18"/>
  <c r="D82" i="18"/>
  <c r="C82" i="18"/>
  <c r="T81" i="18"/>
  <c r="Q81" i="18"/>
  <c r="P81" i="18"/>
  <c r="N81" i="18"/>
  <c r="J81" i="18"/>
  <c r="D81" i="18"/>
  <c r="M81" i="18" s="1"/>
  <c r="C81" i="18"/>
  <c r="K81" i="18" s="1"/>
  <c r="T80" i="18"/>
  <c r="Q80" i="18"/>
  <c r="P80" i="18"/>
  <c r="N80" i="18"/>
  <c r="M80" i="18"/>
  <c r="K80" i="18"/>
  <c r="J80" i="18"/>
  <c r="D80" i="18"/>
  <c r="C80" i="18"/>
  <c r="T79" i="18"/>
  <c r="Q79" i="18"/>
  <c r="P79" i="18"/>
  <c r="N79" i="18"/>
  <c r="J79" i="18"/>
  <c r="D79" i="18"/>
  <c r="M79" i="18" s="1"/>
  <c r="C79" i="18"/>
  <c r="K79" i="18" s="1"/>
  <c r="T78" i="18"/>
  <c r="Q78" i="18"/>
  <c r="P78" i="18"/>
  <c r="N78" i="18"/>
  <c r="M78" i="18"/>
  <c r="K78" i="18"/>
  <c r="J78" i="18"/>
  <c r="D78" i="18"/>
  <c r="C78" i="18"/>
  <c r="T77" i="18"/>
  <c r="Q77" i="18"/>
  <c r="P77" i="18"/>
  <c r="N77" i="18"/>
  <c r="J77" i="18"/>
  <c r="D77" i="18"/>
  <c r="M77" i="18" s="1"/>
  <c r="C77" i="18"/>
  <c r="K77" i="18" s="1"/>
  <c r="T76" i="18"/>
  <c r="Q76" i="18"/>
  <c r="P76" i="18"/>
  <c r="N76" i="18"/>
  <c r="M76" i="18"/>
  <c r="K76" i="18"/>
  <c r="J76" i="18"/>
  <c r="D76" i="18"/>
  <c r="C76" i="18"/>
  <c r="S75" i="18"/>
  <c r="S74" i="18" s="1"/>
  <c r="R75" i="18"/>
  <c r="O75" i="18"/>
  <c r="N75" i="18"/>
  <c r="M75" i="18"/>
  <c r="I75" i="18"/>
  <c r="G75" i="18"/>
  <c r="D75" i="18"/>
  <c r="O74" i="18"/>
  <c r="N74" i="18"/>
  <c r="L74" i="18"/>
  <c r="I74" i="18"/>
  <c r="Q74" i="18" s="1"/>
  <c r="H74" i="18"/>
  <c r="F74" i="18"/>
  <c r="E74" i="18"/>
  <c r="T73" i="18"/>
  <c r="Q73" i="18"/>
  <c r="P73" i="18"/>
  <c r="N73" i="18"/>
  <c r="K73" i="18"/>
  <c r="J73" i="18"/>
  <c r="D73" i="18"/>
  <c r="C73" i="18" s="1"/>
  <c r="T72" i="18"/>
  <c r="Q72" i="18"/>
  <c r="P72" i="18"/>
  <c r="N72" i="18"/>
  <c r="M72" i="18"/>
  <c r="J72" i="18"/>
  <c r="D72" i="18"/>
  <c r="C72" i="18"/>
  <c r="K72" i="18" s="1"/>
  <c r="T71" i="18"/>
  <c r="Q71" i="18"/>
  <c r="P71" i="18"/>
  <c r="N71" i="18"/>
  <c r="K71" i="18"/>
  <c r="J71" i="18"/>
  <c r="D71" i="18"/>
  <c r="C71" i="18" s="1"/>
  <c r="T70" i="18"/>
  <c r="Q70" i="18"/>
  <c r="P70" i="18"/>
  <c r="N70" i="18"/>
  <c r="M70" i="18"/>
  <c r="J70" i="18"/>
  <c r="D70" i="18"/>
  <c r="C70" i="18"/>
  <c r="K70" i="18" s="1"/>
  <c r="T69" i="18"/>
  <c r="Q69" i="18"/>
  <c r="P69" i="18"/>
  <c r="N69" i="18"/>
  <c r="K69" i="18"/>
  <c r="J69" i="18"/>
  <c r="D69" i="18"/>
  <c r="C69" i="18" s="1"/>
  <c r="T68" i="18"/>
  <c r="Q68" i="18"/>
  <c r="P68" i="18"/>
  <c r="N68" i="18"/>
  <c r="M68" i="18"/>
  <c r="J68" i="18"/>
  <c r="D68" i="18"/>
  <c r="C68" i="18"/>
  <c r="K68" i="18" s="1"/>
  <c r="T67" i="18"/>
  <c r="Q67" i="18"/>
  <c r="P67" i="18"/>
  <c r="N67" i="18"/>
  <c r="K67" i="18"/>
  <c r="J67" i="18"/>
  <c r="D67" i="18"/>
  <c r="C67" i="18" s="1"/>
  <c r="T66" i="18"/>
  <c r="Q66" i="18"/>
  <c r="P66" i="18"/>
  <c r="N66" i="18"/>
  <c r="M66" i="18"/>
  <c r="J66" i="18"/>
  <c r="D66" i="18"/>
  <c r="C66" i="18"/>
  <c r="K66" i="18" s="1"/>
  <c r="T65" i="18"/>
  <c r="Q65" i="18"/>
  <c r="P65" i="18"/>
  <c r="N65" i="18"/>
  <c r="K65" i="18"/>
  <c r="J65" i="18"/>
  <c r="D65" i="18"/>
  <c r="C65" i="18" s="1"/>
  <c r="T64" i="18"/>
  <c r="Q64" i="18"/>
  <c r="P64" i="18"/>
  <c r="N64" i="18"/>
  <c r="M64" i="18"/>
  <c r="J64" i="18"/>
  <c r="D64" i="18"/>
  <c r="C64" i="18"/>
  <c r="K64" i="18" s="1"/>
  <c r="T63" i="18"/>
  <c r="Q63" i="18"/>
  <c r="P63" i="18"/>
  <c r="N63" i="18"/>
  <c r="K63" i="18"/>
  <c r="J63" i="18"/>
  <c r="D63" i="18"/>
  <c r="C63" i="18" s="1"/>
  <c r="T62" i="18"/>
  <c r="Q62" i="18"/>
  <c r="P62" i="18"/>
  <c r="N62" i="18"/>
  <c r="M62" i="18"/>
  <c r="J62" i="18"/>
  <c r="D62" i="18"/>
  <c r="C62" i="18"/>
  <c r="K62" i="18" s="1"/>
  <c r="T61" i="18"/>
  <c r="Q61" i="18"/>
  <c r="P61" i="18"/>
  <c r="N61" i="18"/>
  <c r="K61" i="18"/>
  <c r="J61" i="18"/>
  <c r="D61" i="18"/>
  <c r="C61" i="18" s="1"/>
  <c r="T60" i="18"/>
  <c r="Q60" i="18"/>
  <c r="P60" i="18"/>
  <c r="N60" i="18"/>
  <c r="M60" i="18"/>
  <c r="J60" i="18"/>
  <c r="D60" i="18"/>
  <c r="C60" i="18"/>
  <c r="K60" i="18" s="1"/>
  <c r="T59" i="18"/>
  <c r="Q59" i="18"/>
  <c r="P59" i="18"/>
  <c r="N59" i="18"/>
  <c r="K59" i="18"/>
  <c r="J59" i="18"/>
  <c r="D59" i="18"/>
  <c r="C59" i="18" s="1"/>
  <c r="T58" i="18"/>
  <c r="Q58" i="18"/>
  <c r="P58" i="18"/>
  <c r="N58" i="18"/>
  <c r="M58" i="18"/>
  <c r="J58" i="18"/>
  <c r="D58" i="18"/>
  <c r="C58" i="18"/>
  <c r="K58" i="18" s="1"/>
  <c r="T57" i="18"/>
  <c r="Q57" i="18"/>
  <c r="P57" i="18"/>
  <c r="N57" i="18"/>
  <c r="K57" i="18"/>
  <c r="J57" i="18"/>
  <c r="D57" i="18"/>
  <c r="C57" i="18" s="1"/>
  <c r="T56" i="18"/>
  <c r="Q56" i="18"/>
  <c r="P56" i="18"/>
  <c r="N56" i="18"/>
  <c r="M56" i="18"/>
  <c r="J56" i="18"/>
  <c r="D56" i="18"/>
  <c r="C56" i="18"/>
  <c r="K56" i="18" s="1"/>
  <c r="T55" i="18"/>
  <c r="Q55" i="18"/>
  <c r="P55" i="18"/>
  <c r="N55" i="18"/>
  <c r="K55" i="18"/>
  <c r="J55" i="18"/>
  <c r="D55" i="18"/>
  <c r="C55" i="18" s="1"/>
  <c r="T54" i="18"/>
  <c r="Q54" i="18"/>
  <c r="P54" i="18"/>
  <c r="N54" i="18"/>
  <c r="M54" i="18"/>
  <c r="J54" i="18"/>
  <c r="D54" i="18"/>
  <c r="C54" i="18"/>
  <c r="K54" i="18" s="1"/>
  <c r="T53" i="18"/>
  <c r="Q53" i="18"/>
  <c r="P53" i="18"/>
  <c r="N53" i="18"/>
  <c r="K53" i="18"/>
  <c r="J53" i="18"/>
  <c r="D53" i="18"/>
  <c r="C53" i="18" s="1"/>
  <c r="S52" i="18"/>
  <c r="R52" i="18"/>
  <c r="T52" i="18" s="1"/>
  <c r="Q52" i="18"/>
  <c r="P52" i="18"/>
  <c r="O52" i="18"/>
  <c r="L52" i="18"/>
  <c r="J52" i="18" s="1"/>
  <c r="I52" i="18"/>
  <c r="H52" i="18"/>
  <c r="N52" i="18" s="1"/>
  <c r="G52" i="18"/>
  <c r="F52" i="18"/>
  <c r="E52" i="18"/>
  <c r="D52" i="18"/>
  <c r="C52" i="18" s="1"/>
  <c r="K52" i="18" s="1"/>
  <c r="T51" i="18"/>
  <c r="Q51" i="18"/>
  <c r="P51" i="18"/>
  <c r="N51" i="18"/>
  <c r="M51" i="18"/>
  <c r="J51" i="18"/>
  <c r="D51" i="18"/>
  <c r="C51" i="18"/>
  <c r="K51" i="18" s="1"/>
  <c r="T50" i="18"/>
  <c r="Q50" i="18"/>
  <c r="P50" i="18"/>
  <c r="N50" i="18"/>
  <c r="J50" i="18"/>
  <c r="D50" i="18"/>
  <c r="C50" i="18" s="1"/>
  <c r="K50" i="18" s="1"/>
  <c r="T49" i="18"/>
  <c r="Q49" i="18"/>
  <c r="P49" i="18"/>
  <c r="N49" i="18"/>
  <c r="M49" i="18"/>
  <c r="J49" i="18"/>
  <c r="D49" i="18"/>
  <c r="C49" i="18"/>
  <c r="K49" i="18" s="1"/>
  <c r="T48" i="18"/>
  <c r="Q48" i="18"/>
  <c r="P48" i="18"/>
  <c r="N48" i="18"/>
  <c r="J48" i="18"/>
  <c r="D48" i="18"/>
  <c r="C48" i="18" s="1"/>
  <c r="K48" i="18" s="1"/>
  <c r="T47" i="18"/>
  <c r="Q47" i="18"/>
  <c r="P47" i="18"/>
  <c r="N47" i="18"/>
  <c r="M47" i="18"/>
  <c r="J47" i="18"/>
  <c r="D47" i="18"/>
  <c r="C47" i="18"/>
  <c r="K47" i="18" s="1"/>
  <c r="T46" i="18"/>
  <c r="Q46" i="18"/>
  <c r="P46" i="18"/>
  <c r="N46" i="18"/>
  <c r="J46" i="18"/>
  <c r="D46" i="18"/>
  <c r="C46" i="18" s="1"/>
  <c r="K46" i="18" s="1"/>
  <c r="T45" i="18"/>
  <c r="Q45" i="18"/>
  <c r="P45" i="18"/>
  <c r="N45" i="18"/>
  <c r="M45" i="18"/>
  <c r="J45" i="18"/>
  <c r="D45" i="18"/>
  <c r="C45" i="18"/>
  <c r="K45" i="18" s="1"/>
  <c r="T44" i="18"/>
  <c r="Q44" i="18"/>
  <c r="P44" i="18"/>
  <c r="N44" i="18"/>
  <c r="K44" i="18"/>
  <c r="J44" i="18"/>
  <c r="D44" i="18"/>
  <c r="C44" i="18" s="1"/>
  <c r="T43" i="18"/>
  <c r="Q43" i="18"/>
  <c r="P43" i="18"/>
  <c r="N43" i="18"/>
  <c r="M43" i="18"/>
  <c r="J43" i="18"/>
  <c r="D43" i="18"/>
  <c r="C43" i="18"/>
  <c r="K43" i="18" s="1"/>
  <c r="T42" i="18"/>
  <c r="Q42" i="18"/>
  <c r="P42" i="18"/>
  <c r="N42" i="18"/>
  <c r="J42" i="18"/>
  <c r="D42" i="18"/>
  <c r="C42" i="18" s="1"/>
  <c r="K42" i="18" s="1"/>
  <c r="T41" i="18"/>
  <c r="Q41" i="18"/>
  <c r="P41" i="18"/>
  <c r="N41" i="18"/>
  <c r="M41" i="18"/>
  <c r="J41" i="18"/>
  <c r="D41" i="18"/>
  <c r="C41" i="18"/>
  <c r="K41" i="18" s="1"/>
  <c r="T40" i="18"/>
  <c r="Q40" i="18"/>
  <c r="P40" i="18"/>
  <c r="N40" i="18"/>
  <c r="J40" i="18"/>
  <c r="D40" i="18"/>
  <c r="C40" i="18" s="1"/>
  <c r="K40" i="18" s="1"/>
  <c r="T39" i="18"/>
  <c r="Q39" i="18"/>
  <c r="P39" i="18"/>
  <c r="N39" i="18"/>
  <c r="M39" i="18"/>
  <c r="J39" i="18"/>
  <c r="D39" i="18"/>
  <c r="C39" i="18"/>
  <c r="K39" i="18" s="1"/>
  <c r="T38" i="18"/>
  <c r="Q38" i="18"/>
  <c r="P38" i="18"/>
  <c r="N38" i="18"/>
  <c r="J38" i="18"/>
  <c r="D38" i="18"/>
  <c r="C38" i="18" s="1"/>
  <c r="K38" i="18" s="1"/>
  <c r="T37" i="18"/>
  <c r="Q37" i="18"/>
  <c r="P37" i="18"/>
  <c r="N37" i="18"/>
  <c r="M37" i="18"/>
  <c r="J37" i="18"/>
  <c r="D37" i="18"/>
  <c r="C37" i="18"/>
  <c r="K37" i="18" s="1"/>
  <c r="T36" i="18"/>
  <c r="Q36" i="18"/>
  <c r="P36" i="18"/>
  <c r="N36" i="18"/>
  <c r="J36" i="18"/>
  <c r="D36" i="18"/>
  <c r="C36" i="18" s="1"/>
  <c r="K36" i="18" s="1"/>
  <c r="T35" i="18"/>
  <c r="Q35" i="18"/>
  <c r="P35" i="18"/>
  <c r="N35" i="18"/>
  <c r="M35" i="18"/>
  <c r="J35" i="18"/>
  <c r="D35" i="18"/>
  <c r="C35" i="18"/>
  <c r="K35" i="18" s="1"/>
  <c r="T34" i="18"/>
  <c r="Q34" i="18"/>
  <c r="P34" i="18"/>
  <c r="N34" i="18"/>
  <c r="J34" i="18"/>
  <c r="D34" i="18"/>
  <c r="C34" i="18" s="1"/>
  <c r="K34" i="18" s="1"/>
  <c r="T33" i="18"/>
  <c r="Q33" i="18"/>
  <c r="P33" i="18"/>
  <c r="N33" i="18"/>
  <c r="M33" i="18"/>
  <c r="J33" i="18"/>
  <c r="D33" i="18"/>
  <c r="C33" i="18"/>
  <c r="K33" i="18" s="1"/>
  <c r="T32" i="18"/>
  <c r="Q32" i="18"/>
  <c r="P32" i="18"/>
  <c r="N32" i="18"/>
  <c r="K32" i="18"/>
  <c r="J32" i="18"/>
  <c r="D32" i="18"/>
  <c r="C32" i="18" s="1"/>
  <c r="S31" i="18"/>
  <c r="R31" i="18"/>
  <c r="T31" i="18" s="1"/>
  <c r="Q31" i="18"/>
  <c r="P31" i="18"/>
  <c r="O31" i="18"/>
  <c r="L31" i="18"/>
  <c r="I31" i="18"/>
  <c r="H31" i="18"/>
  <c r="N31" i="18" s="1"/>
  <c r="G31" i="18"/>
  <c r="F31" i="18"/>
  <c r="E31" i="18"/>
  <c r="D31" i="18"/>
  <c r="C31" i="18" s="1"/>
  <c r="K31" i="18" s="1"/>
  <c r="T30" i="18"/>
  <c r="Q30" i="18"/>
  <c r="P30" i="18"/>
  <c r="N30" i="18"/>
  <c r="M30" i="18"/>
  <c r="J30" i="18"/>
  <c r="D30" i="18"/>
  <c r="C30" i="18"/>
  <c r="K30" i="18" s="1"/>
  <c r="T29" i="18"/>
  <c r="Q29" i="18"/>
  <c r="P29" i="18"/>
  <c r="N29" i="18"/>
  <c r="J29" i="18"/>
  <c r="D29" i="18"/>
  <c r="C29" i="18" s="1"/>
  <c r="K29" i="18" s="1"/>
  <c r="T28" i="18"/>
  <c r="Q28" i="18"/>
  <c r="P28" i="18"/>
  <c r="N28" i="18"/>
  <c r="M28" i="18"/>
  <c r="J28" i="18"/>
  <c r="D28" i="18"/>
  <c r="C28" i="18"/>
  <c r="K28" i="18" s="1"/>
  <c r="T27" i="18"/>
  <c r="Q27" i="18"/>
  <c r="P27" i="18"/>
  <c r="N27" i="18"/>
  <c r="J27" i="18"/>
  <c r="D27" i="18"/>
  <c r="C27" i="18" s="1"/>
  <c r="K27" i="18" s="1"/>
  <c r="T26" i="18"/>
  <c r="Q26" i="18"/>
  <c r="P26" i="18"/>
  <c r="N26" i="18"/>
  <c r="M26" i="18"/>
  <c r="J26" i="18"/>
  <c r="D26" i="18"/>
  <c r="C26" i="18"/>
  <c r="K26" i="18" s="1"/>
  <c r="T25" i="18"/>
  <c r="Q25" i="18"/>
  <c r="P25" i="18"/>
  <c r="N25" i="18"/>
  <c r="J25" i="18"/>
  <c r="D25" i="18"/>
  <c r="C25" i="18" s="1"/>
  <c r="K25" i="18" s="1"/>
  <c r="T24" i="18"/>
  <c r="Q24" i="18"/>
  <c r="P24" i="18"/>
  <c r="N24" i="18"/>
  <c r="M24" i="18"/>
  <c r="J24" i="18"/>
  <c r="D24" i="18"/>
  <c r="C24" i="18"/>
  <c r="K24" i="18" s="1"/>
  <c r="T23" i="18"/>
  <c r="Q23" i="18"/>
  <c r="P23" i="18"/>
  <c r="N23" i="18"/>
  <c r="J23" i="18"/>
  <c r="D23" i="18"/>
  <c r="C23" i="18" s="1"/>
  <c r="K23" i="18" s="1"/>
  <c r="T22" i="18"/>
  <c r="Q22" i="18"/>
  <c r="P22" i="18"/>
  <c r="N22" i="18"/>
  <c r="M22" i="18"/>
  <c r="J22" i="18"/>
  <c r="D22" i="18"/>
  <c r="C22" i="18"/>
  <c r="K22" i="18" s="1"/>
  <c r="T21" i="18"/>
  <c r="Q21" i="18"/>
  <c r="P21" i="18"/>
  <c r="N21" i="18"/>
  <c r="J21" i="18"/>
  <c r="D21" i="18"/>
  <c r="C21" i="18" s="1"/>
  <c r="K21" i="18" s="1"/>
  <c r="T20" i="18"/>
  <c r="Q20" i="18"/>
  <c r="P20" i="18"/>
  <c r="N20" i="18"/>
  <c r="M20" i="18"/>
  <c r="J20" i="18"/>
  <c r="D20" i="18"/>
  <c r="C20" i="18"/>
  <c r="K20" i="18" s="1"/>
  <c r="T19" i="18"/>
  <c r="Q19" i="18"/>
  <c r="P19" i="18"/>
  <c r="N19" i="18"/>
  <c r="J19" i="18"/>
  <c r="D19" i="18"/>
  <c r="C19" i="18" s="1"/>
  <c r="K19" i="18" s="1"/>
  <c r="T18" i="18"/>
  <c r="Q18" i="18"/>
  <c r="P18" i="18"/>
  <c r="N18" i="18"/>
  <c r="M18" i="18"/>
  <c r="J18" i="18"/>
  <c r="D18" i="18"/>
  <c r="C18" i="18"/>
  <c r="K18" i="18" s="1"/>
  <c r="T17" i="18"/>
  <c r="Q17" i="18"/>
  <c r="P17" i="18"/>
  <c r="N17" i="18"/>
  <c r="J17" i="18"/>
  <c r="D17" i="18"/>
  <c r="C17" i="18" s="1"/>
  <c r="K17" i="18" s="1"/>
  <c r="T16" i="18"/>
  <c r="Q16" i="18"/>
  <c r="P16" i="18"/>
  <c r="N16" i="18"/>
  <c r="M16" i="18"/>
  <c r="J16" i="18"/>
  <c r="D16" i="18"/>
  <c r="C16" i="18"/>
  <c r="K16" i="18" s="1"/>
  <c r="T15" i="18"/>
  <c r="Q15" i="18"/>
  <c r="P15" i="18"/>
  <c r="N15" i="18"/>
  <c r="J15" i="18"/>
  <c r="D15" i="18"/>
  <c r="C15" i="18" s="1"/>
  <c r="K15" i="18" s="1"/>
  <c r="T14" i="18"/>
  <c r="Q14" i="18"/>
  <c r="P14" i="18"/>
  <c r="N14" i="18"/>
  <c r="M14" i="18"/>
  <c r="J14" i="18"/>
  <c r="D14" i="18"/>
  <c r="C14" i="18"/>
  <c r="K14" i="18" s="1"/>
  <c r="T13" i="18"/>
  <c r="S13" i="18"/>
  <c r="R13" i="18"/>
  <c r="O13" i="18"/>
  <c r="N13" i="18"/>
  <c r="L13" i="18"/>
  <c r="J13" i="18" s="1"/>
  <c r="I13" i="18"/>
  <c r="H13" i="18"/>
  <c r="H8" i="18" s="1"/>
  <c r="G13" i="18"/>
  <c r="P13" i="18" s="1"/>
  <c r="F13" i="18"/>
  <c r="E13" i="18"/>
  <c r="T9" i="18"/>
  <c r="L9" i="18"/>
  <c r="J9" i="18" s="1"/>
  <c r="G9" i="18"/>
  <c r="P9" i="18" s="1"/>
  <c r="F9" i="18"/>
  <c r="E9" i="18"/>
  <c r="S8" i="18"/>
  <c r="S7" i="18" s="1"/>
  <c r="F8" i="18"/>
  <c r="F7" i="18"/>
  <c r="V108" i="17"/>
  <c r="U108" i="17"/>
  <c r="O108" i="17"/>
  <c r="L108" i="17"/>
  <c r="I108" i="17"/>
  <c r="Q108" i="17" s="1"/>
  <c r="H108" i="17"/>
  <c r="N108" i="17" s="1"/>
  <c r="G108" i="17"/>
  <c r="P108" i="17" s="1"/>
  <c r="F108" i="17"/>
  <c r="E108" i="17"/>
  <c r="V107" i="17"/>
  <c r="U107" i="17"/>
  <c r="O107" i="17"/>
  <c r="L107" i="17"/>
  <c r="I107" i="17"/>
  <c r="Q107" i="17" s="1"/>
  <c r="H107" i="17"/>
  <c r="N107" i="17" s="1"/>
  <c r="G107" i="17"/>
  <c r="P107" i="17" s="1"/>
  <c r="F107" i="17"/>
  <c r="E107" i="17"/>
  <c r="D107" i="17" s="1"/>
  <c r="V106" i="17"/>
  <c r="U106" i="17"/>
  <c r="O106" i="17"/>
  <c r="L106" i="17"/>
  <c r="I106" i="17"/>
  <c r="Q106" i="17" s="1"/>
  <c r="H106" i="17"/>
  <c r="N106" i="17" s="1"/>
  <c r="G106" i="17"/>
  <c r="P106" i="17" s="1"/>
  <c r="F106" i="17"/>
  <c r="E106" i="17"/>
  <c r="V105" i="17"/>
  <c r="U105" i="17"/>
  <c r="O105" i="17"/>
  <c r="L105" i="17"/>
  <c r="I105" i="17"/>
  <c r="Q105" i="17" s="1"/>
  <c r="H105" i="17"/>
  <c r="N105" i="17" s="1"/>
  <c r="G105" i="17"/>
  <c r="P105" i="17" s="1"/>
  <c r="F105" i="17"/>
  <c r="E105" i="17"/>
  <c r="V104" i="17"/>
  <c r="U104" i="17"/>
  <c r="O104" i="17"/>
  <c r="L104" i="17"/>
  <c r="I104" i="17"/>
  <c r="Q104" i="17" s="1"/>
  <c r="H104" i="17"/>
  <c r="N104" i="17" s="1"/>
  <c r="G104" i="17"/>
  <c r="P104" i="17" s="1"/>
  <c r="F104" i="17"/>
  <c r="E104" i="17"/>
  <c r="D104" i="17" s="1"/>
  <c r="M104" i="17" s="1"/>
  <c r="V103" i="17"/>
  <c r="U103" i="17"/>
  <c r="O103" i="17"/>
  <c r="L103" i="17"/>
  <c r="I103" i="17"/>
  <c r="Q103" i="17" s="1"/>
  <c r="H103" i="17"/>
  <c r="N103" i="17" s="1"/>
  <c r="G103" i="17"/>
  <c r="P103" i="17" s="1"/>
  <c r="F103" i="17"/>
  <c r="E103" i="17"/>
  <c r="V102" i="17"/>
  <c r="U102" i="17"/>
  <c r="O102" i="17"/>
  <c r="L102" i="17"/>
  <c r="I102" i="17"/>
  <c r="Q102" i="17" s="1"/>
  <c r="H102" i="17"/>
  <c r="N102" i="17" s="1"/>
  <c r="G102" i="17"/>
  <c r="P102" i="17" s="1"/>
  <c r="F102" i="17"/>
  <c r="E102" i="17"/>
  <c r="T101" i="17"/>
  <c r="T89" i="17" s="1"/>
  <c r="T9" i="17" s="1"/>
  <c r="S101" i="17"/>
  <c r="R101" i="17"/>
  <c r="O101" i="17"/>
  <c r="L101" i="17"/>
  <c r="I101" i="17"/>
  <c r="Q101" i="17" s="1"/>
  <c r="H101" i="17"/>
  <c r="N101" i="17" s="1"/>
  <c r="G101" i="17"/>
  <c r="P101" i="17" s="1"/>
  <c r="F101" i="17"/>
  <c r="E101" i="17"/>
  <c r="D101" i="17" s="1"/>
  <c r="V100" i="17"/>
  <c r="U100" i="17"/>
  <c r="O100" i="17"/>
  <c r="L100" i="17"/>
  <c r="I100" i="17"/>
  <c r="Q100" i="17" s="1"/>
  <c r="H100" i="17"/>
  <c r="N100" i="17" s="1"/>
  <c r="G100" i="17"/>
  <c r="P100" i="17" s="1"/>
  <c r="F100" i="17"/>
  <c r="E100" i="17"/>
  <c r="V99" i="17"/>
  <c r="U99" i="17"/>
  <c r="O99" i="17"/>
  <c r="L99" i="17"/>
  <c r="I99" i="17"/>
  <c r="Q99" i="17" s="1"/>
  <c r="H99" i="17"/>
  <c r="N99" i="17" s="1"/>
  <c r="G99" i="17"/>
  <c r="P99" i="17" s="1"/>
  <c r="F99" i="17"/>
  <c r="E99" i="17"/>
  <c r="V98" i="17"/>
  <c r="U98" i="17"/>
  <c r="O98" i="17"/>
  <c r="L98" i="17"/>
  <c r="I98" i="17"/>
  <c r="Q98" i="17" s="1"/>
  <c r="H98" i="17"/>
  <c r="N98" i="17" s="1"/>
  <c r="G98" i="17"/>
  <c r="P98" i="17" s="1"/>
  <c r="F98" i="17"/>
  <c r="E98" i="17"/>
  <c r="D98" i="17" s="1"/>
  <c r="V97" i="17"/>
  <c r="U97" i="17"/>
  <c r="O97" i="17"/>
  <c r="L97" i="17"/>
  <c r="I97" i="17"/>
  <c r="Q97" i="17" s="1"/>
  <c r="H97" i="17"/>
  <c r="N97" i="17" s="1"/>
  <c r="G97" i="17"/>
  <c r="P97" i="17" s="1"/>
  <c r="F97" i="17"/>
  <c r="E97" i="17"/>
  <c r="D97" i="17" s="1"/>
  <c r="V96" i="17"/>
  <c r="U96" i="17"/>
  <c r="O96" i="17"/>
  <c r="L96" i="17"/>
  <c r="I96" i="17"/>
  <c r="Q96" i="17" s="1"/>
  <c r="H96" i="17"/>
  <c r="N96" i="17" s="1"/>
  <c r="G96" i="17"/>
  <c r="P96" i="17" s="1"/>
  <c r="F96" i="17"/>
  <c r="E96" i="17"/>
  <c r="V95" i="17"/>
  <c r="U95" i="17"/>
  <c r="O95" i="17"/>
  <c r="L95" i="17"/>
  <c r="I95" i="17"/>
  <c r="Q95" i="17" s="1"/>
  <c r="H95" i="17"/>
  <c r="N95" i="17" s="1"/>
  <c r="G95" i="17"/>
  <c r="P95" i="17" s="1"/>
  <c r="F95" i="17"/>
  <c r="E95" i="17"/>
  <c r="V94" i="17"/>
  <c r="U94" i="17"/>
  <c r="O94" i="17"/>
  <c r="L94" i="17"/>
  <c r="I94" i="17"/>
  <c r="Q94" i="17" s="1"/>
  <c r="H94" i="17"/>
  <c r="N94" i="17" s="1"/>
  <c r="G94" i="17"/>
  <c r="F94" i="17"/>
  <c r="E94" i="17"/>
  <c r="V93" i="17"/>
  <c r="U93" i="17"/>
  <c r="O93" i="17"/>
  <c r="L93" i="17"/>
  <c r="I93" i="17"/>
  <c r="Q93" i="17" s="1"/>
  <c r="H93" i="17"/>
  <c r="G93" i="17"/>
  <c r="P93" i="17" s="1"/>
  <c r="F93" i="17"/>
  <c r="E93" i="17"/>
  <c r="V92" i="17"/>
  <c r="U92" i="17"/>
  <c r="O92" i="17"/>
  <c r="L92" i="17"/>
  <c r="I92" i="17"/>
  <c r="Q92" i="17" s="1"/>
  <c r="H92" i="17"/>
  <c r="N92" i="17" s="1"/>
  <c r="G92" i="17"/>
  <c r="P92" i="17" s="1"/>
  <c r="F92" i="17"/>
  <c r="E92" i="17"/>
  <c r="V91" i="17"/>
  <c r="U91" i="17"/>
  <c r="O91" i="17"/>
  <c r="L91" i="17"/>
  <c r="I91" i="17"/>
  <c r="Q91" i="17" s="1"/>
  <c r="H91" i="17"/>
  <c r="N91" i="17" s="1"/>
  <c r="G91" i="17"/>
  <c r="P91" i="17" s="1"/>
  <c r="F91" i="17"/>
  <c r="E91" i="17"/>
  <c r="V90" i="17"/>
  <c r="U90" i="17"/>
  <c r="O90" i="17"/>
  <c r="L90" i="17"/>
  <c r="I90" i="17"/>
  <c r="H90" i="17"/>
  <c r="G90" i="17"/>
  <c r="P90" i="17" s="1"/>
  <c r="F90" i="17"/>
  <c r="E90" i="17"/>
  <c r="AE88" i="17"/>
  <c r="AD88" i="17"/>
  <c r="AC88" i="17"/>
  <c r="AB88" i="17"/>
  <c r="AA88" i="17"/>
  <c r="Z88" i="17"/>
  <c r="X88" i="17"/>
  <c r="W88" i="17"/>
  <c r="T88" i="17"/>
  <c r="S88" i="17"/>
  <c r="R88" i="17"/>
  <c r="O88" i="17"/>
  <c r="L88" i="17"/>
  <c r="I88" i="17"/>
  <c r="Q88" i="17" s="1"/>
  <c r="H88" i="17"/>
  <c r="G88" i="17"/>
  <c r="P88" i="17" s="1"/>
  <c r="F88" i="17"/>
  <c r="E88" i="17"/>
  <c r="D88" i="17" s="1"/>
  <c r="AE87" i="17"/>
  <c r="AD87" i="17"/>
  <c r="AC87" i="17"/>
  <c r="AB87" i="17"/>
  <c r="AA87" i="17"/>
  <c r="Z87" i="17"/>
  <c r="X87" i="17"/>
  <c r="W87" i="17"/>
  <c r="Y87" i="17" s="1"/>
  <c r="T87" i="17"/>
  <c r="S87" i="17"/>
  <c r="V87" i="17" s="1"/>
  <c r="R87" i="17"/>
  <c r="U87" i="17" s="1"/>
  <c r="O87" i="17"/>
  <c r="L87" i="17"/>
  <c r="I87" i="17"/>
  <c r="Q87" i="17" s="1"/>
  <c r="H87" i="17"/>
  <c r="N87" i="17" s="1"/>
  <c r="G87" i="17"/>
  <c r="P87" i="17" s="1"/>
  <c r="F87" i="17"/>
  <c r="E87" i="17"/>
  <c r="D87" i="17" s="1"/>
  <c r="AE86" i="17"/>
  <c r="AD86" i="17"/>
  <c r="AC86" i="17"/>
  <c r="AB86" i="17"/>
  <c r="AA86" i="17"/>
  <c r="Z86" i="17"/>
  <c r="X86" i="17"/>
  <c r="W86" i="17"/>
  <c r="Y86" i="17" s="1"/>
  <c r="T86" i="17"/>
  <c r="S86" i="17"/>
  <c r="R86" i="17"/>
  <c r="O86" i="17"/>
  <c r="L86" i="17"/>
  <c r="I86" i="17"/>
  <c r="Q86" i="17" s="1"/>
  <c r="H86" i="17"/>
  <c r="G86" i="17"/>
  <c r="F86" i="17"/>
  <c r="E86" i="17"/>
  <c r="AE85" i="17"/>
  <c r="AD85" i="17"/>
  <c r="AC85" i="17"/>
  <c r="AB85" i="17"/>
  <c r="AA85" i="17"/>
  <c r="Z85" i="17"/>
  <c r="X85" i="17"/>
  <c r="W85" i="17"/>
  <c r="Y85" i="17" s="1"/>
  <c r="T85" i="17"/>
  <c r="S85" i="17"/>
  <c r="V85" i="17" s="1"/>
  <c r="R85" i="17"/>
  <c r="U85" i="17" s="1"/>
  <c r="O85" i="17"/>
  <c r="L85" i="17"/>
  <c r="J85" i="17" s="1"/>
  <c r="I85" i="17"/>
  <c r="Q85" i="17" s="1"/>
  <c r="H85" i="17"/>
  <c r="N85" i="17" s="1"/>
  <c r="G85" i="17"/>
  <c r="P85" i="17" s="1"/>
  <c r="F85" i="17"/>
  <c r="E85" i="17"/>
  <c r="AE84" i="17"/>
  <c r="AD84" i="17"/>
  <c r="AC84" i="17"/>
  <c r="AB84" i="17"/>
  <c r="AA84" i="17"/>
  <c r="Z84" i="17"/>
  <c r="X84" i="17"/>
  <c r="W84" i="17"/>
  <c r="Y84" i="17" s="1"/>
  <c r="T84" i="17"/>
  <c r="S84" i="17"/>
  <c r="V84" i="17" s="1"/>
  <c r="R84" i="17"/>
  <c r="U84" i="17" s="1"/>
  <c r="P84" i="17"/>
  <c r="O84" i="17"/>
  <c r="L84" i="17"/>
  <c r="I84" i="17"/>
  <c r="Q84" i="17" s="1"/>
  <c r="H84" i="17"/>
  <c r="N84" i="17" s="1"/>
  <c r="G84" i="17"/>
  <c r="F84" i="17"/>
  <c r="E84" i="17"/>
  <c r="AE83" i="17"/>
  <c r="AD83" i="17"/>
  <c r="AC83" i="17"/>
  <c r="AB83" i="17"/>
  <c r="AA83" i="17"/>
  <c r="Z83" i="17"/>
  <c r="X83" i="17"/>
  <c r="W83" i="17"/>
  <c r="Y83" i="17" s="1"/>
  <c r="T83" i="17"/>
  <c r="S83" i="17"/>
  <c r="V83" i="17" s="1"/>
  <c r="R83" i="17"/>
  <c r="U83" i="17" s="1"/>
  <c r="O83" i="17"/>
  <c r="L83" i="17"/>
  <c r="J83" i="17" s="1"/>
  <c r="I83" i="17"/>
  <c r="Q83" i="17" s="1"/>
  <c r="H83" i="17"/>
  <c r="N83" i="17" s="1"/>
  <c r="G83" i="17"/>
  <c r="P83" i="17" s="1"/>
  <c r="F83" i="17"/>
  <c r="E83" i="17"/>
  <c r="AE82" i="17"/>
  <c r="AD82" i="17"/>
  <c r="AC82" i="17"/>
  <c r="AB82" i="17"/>
  <c r="AA82" i="17"/>
  <c r="Z82" i="17"/>
  <c r="X82" i="17"/>
  <c r="W82" i="17"/>
  <c r="Y82" i="17" s="1"/>
  <c r="T82" i="17"/>
  <c r="S82" i="17"/>
  <c r="V82" i="17" s="1"/>
  <c r="R82" i="17"/>
  <c r="U82" i="17" s="1"/>
  <c r="O82" i="17"/>
  <c r="L82" i="17"/>
  <c r="I82" i="17"/>
  <c r="Q82" i="17" s="1"/>
  <c r="H82" i="17"/>
  <c r="N82" i="17" s="1"/>
  <c r="G82" i="17"/>
  <c r="P82" i="17" s="1"/>
  <c r="F82" i="17"/>
  <c r="E82" i="17"/>
  <c r="D82" i="17"/>
  <c r="M82" i="17" s="1"/>
  <c r="AE81" i="17"/>
  <c r="AD81" i="17"/>
  <c r="AC81" i="17"/>
  <c r="AB81" i="17"/>
  <c r="AA81" i="17"/>
  <c r="Z81" i="17"/>
  <c r="X81" i="17"/>
  <c r="W81" i="17"/>
  <c r="Y81" i="17" s="1"/>
  <c r="T81" i="17"/>
  <c r="S81" i="17"/>
  <c r="V81" i="17" s="1"/>
  <c r="R81" i="17"/>
  <c r="U81" i="17" s="1"/>
  <c r="O81" i="17"/>
  <c r="L81" i="17"/>
  <c r="J81" i="17" s="1"/>
  <c r="I81" i="17"/>
  <c r="Q81" i="17" s="1"/>
  <c r="H81" i="17"/>
  <c r="N81" i="17" s="1"/>
  <c r="G81" i="17"/>
  <c r="P81" i="17" s="1"/>
  <c r="F81" i="17"/>
  <c r="E81" i="17"/>
  <c r="AE80" i="17"/>
  <c r="AD80" i="17"/>
  <c r="AC80" i="17"/>
  <c r="AB80" i="17"/>
  <c r="AA80" i="17"/>
  <c r="Z80" i="17"/>
  <c r="X80" i="17"/>
  <c r="W80" i="17"/>
  <c r="Y80" i="17" s="1"/>
  <c r="T80" i="17"/>
  <c r="S80" i="17"/>
  <c r="V80" i="17" s="1"/>
  <c r="R80" i="17"/>
  <c r="U80" i="17" s="1"/>
  <c r="O80" i="17"/>
  <c r="L80" i="17"/>
  <c r="I80" i="17"/>
  <c r="Q80" i="17" s="1"/>
  <c r="H80" i="17"/>
  <c r="G80" i="17"/>
  <c r="P80" i="17" s="1"/>
  <c r="F80" i="17"/>
  <c r="E80" i="17"/>
  <c r="AE79" i="17"/>
  <c r="AD79" i="17"/>
  <c r="AC79" i="17"/>
  <c r="AB79" i="17"/>
  <c r="AA79" i="17"/>
  <c r="Z79" i="17"/>
  <c r="X79" i="17"/>
  <c r="W79" i="17"/>
  <c r="Y79" i="17" s="1"/>
  <c r="T79" i="17"/>
  <c r="S79" i="17"/>
  <c r="V79" i="17" s="1"/>
  <c r="R79" i="17"/>
  <c r="U79" i="17" s="1"/>
  <c r="O79" i="17"/>
  <c r="L79" i="17"/>
  <c r="I79" i="17"/>
  <c r="Q79" i="17" s="1"/>
  <c r="H79" i="17"/>
  <c r="N79" i="17" s="1"/>
  <c r="G79" i="17"/>
  <c r="P79" i="17" s="1"/>
  <c r="F79" i="17"/>
  <c r="E79" i="17"/>
  <c r="AE78" i="17"/>
  <c r="AD78" i="17"/>
  <c r="AC78" i="17"/>
  <c r="AB78" i="17"/>
  <c r="AA78" i="17"/>
  <c r="Z78" i="17"/>
  <c r="X78" i="17"/>
  <c r="W78" i="17"/>
  <c r="Y78" i="17" s="1"/>
  <c r="T78" i="17"/>
  <c r="S78" i="17"/>
  <c r="V78" i="17" s="1"/>
  <c r="R78" i="17"/>
  <c r="U78" i="17" s="1"/>
  <c r="O78" i="17"/>
  <c r="L78" i="17"/>
  <c r="I78" i="17"/>
  <c r="Q78" i="17" s="1"/>
  <c r="H78" i="17"/>
  <c r="N78" i="17" s="1"/>
  <c r="G78" i="17"/>
  <c r="P78" i="17" s="1"/>
  <c r="F78" i="17"/>
  <c r="E78" i="17"/>
  <c r="AE77" i="17"/>
  <c r="AD77" i="17"/>
  <c r="AC77" i="17"/>
  <c r="AB77" i="17"/>
  <c r="AA77" i="17"/>
  <c r="Z77" i="17"/>
  <c r="X77" i="17"/>
  <c r="W77" i="17"/>
  <c r="Y77" i="17" s="1"/>
  <c r="T77" i="17"/>
  <c r="S77" i="17"/>
  <c r="V77" i="17" s="1"/>
  <c r="R77" i="17"/>
  <c r="U77" i="17" s="1"/>
  <c r="O77" i="17"/>
  <c r="L77" i="17"/>
  <c r="I77" i="17"/>
  <c r="Q77" i="17" s="1"/>
  <c r="H77" i="17"/>
  <c r="N77" i="17" s="1"/>
  <c r="G77" i="17"/>
  <c r="P77" i="17" s="1"/>
  <c r="F77" i="17"/>
  <c r="E77" i="17"/>
  <c r="AE76" i="17"/>
  <c r="AD76" i="17"/>
  <c r="AC76" i="17"/>
  <c r="AB76" i="17"/>
  <c r="AA76" i="17"/>
  <c r="Z76" i="17"/>
  <c r="X76" i="17"/>
  <c r="W76" i="17"/>
  <c r="T76" i="17"/>
  <c r="S76" i="17"/>
  <c r="R76" i="17"/>
  <c r="O76" i="17"/>
  <c r="L76" i="17"/>
  <c r="I76" i="17"/>
  <c r="Q76" i="17" s="1"/>
  <c r="H76" i="17"/>
  <c r="G76" i="17"/>
  <c r="P76" i="17" s="1"/>
  <c r="F76" i="17"/>
  <c r="E76" i="17"/>
  <c r="D76" i="17" s="1"/>
  <c r="AE75" i="17"/>
  <c r="AD75" i="17"/>
  <c r="AC75" i="17"/>
  <c r="AB75" i="17"/>
  <c r="AA75" i="17"/>
  <c r="Z75" i="17"/>
  <c r="X75" i="17"/>
  <c r="W75" i="17"/>
  <c r="T75" i="17"/>
  <c r="S75" i="17"/>
  <c r="R75" i="17"/>
  <c r="O75" i="17"/>
  <c r="L75" i="17"/>
  <c r="I75" i="17"/>
  <c r="H75" i="17"/>
  <c r="G75" i="17"/>
  <c r="P75" i="17" s="1"/>
  <c r="F75" i="17"/>
  <c r="E75" i="17"/>
  <c r="AE73" i="17"/>
  <c r="AD73" i="17"/>
  <c r="AC73" i="17"/>
  <c r="AB73" i="17"/>
  <c r="AA73" i="17"/>
  <c r="Z73" i="17"/>
  <c r="X73" i="17"/>
  <c r="W73" i="17"/>
  <c r="Y73" i="17" s="1"/>
  <c r="T73" i="17"/>
  <c r="S73" i="17"/>
  <c r="V73" i="17" s="1"/>
  <c r="R73" i="17"/>
  <c r="U73" i="17" s="1"/>
  <c r="O73" i="17"/>
  <c r="L73" i="17"/>
  <c r="I73" i="17"/>
  <c r="Q73" i="17" s="1"/>
  <c r="H73" i="17"/>
  <c r="N73" i="17" s="1"/>
  <c r="G73" i="17"/>
  <c r="P73" i="17" s="1"/>
  <c r="F73" i="17"/>
  <c r="E73" i="17"/>
  <c r="AE72" i="17"/>
  <c r="AD72" i="17"/>
  <c r="AC72" i="17"/>
  <c r="AB72" i="17"/>
  <c r="AA72" i="17"/>
  <c r="Z72" i="17"/>
  <c r="X72" i="17"/>
  <c r="W72" i="17"/>
  <c r="Y72" i="17" s="1"/>
  <c r="T72" i="17"/>
  <c r="S72" i="17"/>
  <c r="V72" i="17" s="1"/>
  <c r="R72" i="17"/>
  <c r="U72" i="17" s="1"/>
  <c r="O72" i="17"/>
  <c r="L72" i="17"/>
  <c r="I72" i="17"/>
  <c r="Q72" i="17" s="1"/>
  <c r="H72" i="17"/>
  <c r="N72" i="17" s="1"/>
  <c r="G72" i="17"/>
  <c r="P72" i="17" s="1"/>
  <c r="F72" i="17"/>
  <c r="E72" i="17"/>
  <c r="AE71" i="17"/>
  <c r="AD71" i="17"/>
  <c r="AC71" i="17"/>
  <c r="AB71" i="17"/>
  <c r="AA71" i="17"/>
  <c r="Z71" i="17"/>
  <c r="X71" i="17"/>
  <c r="W71" i="17"/>
  <c r="Y71" i="17" s="1"/>
  <c r="U71" i="17"/>
  <c r="T71" i="17"/>
  <c r="S71" i="17"/>
  <c r="V71" i="17" s="1"/>
  <c r="R71" i="17"/>
  <c r="O71" i="17"/>
  <c r="L71" i="17"/>
  <c r="I71" i="17"/>
  <c r="Q71" i="17" s="1"/>
  <c r="H71" i="17"/>
  <c r="N71" i="17" s="1"/>
  <c r="G71" i="17"/>
  <c r="P71" i="17" s="1"/>
  <c r="F71" i="17"/>
  <c r="E71" i="17"/>
  <c r="AE70" i="17"/>
  <c r="AD70" i="17"/>
  <c r="AC70" i="17"/>
  <c r="AB70" i="17"/>
  <c r="AA70" i="17"/>
  <c r="Z70" i="17"/>
  <c r="X70" i="17"/>
  <c r="W70" i="17"/>
  <c r="Y70" i="17" s="1"/>
  <c r="T70" i="17"/>
  <c r="S70" i="17"/>
  <c r="V70" i="17" s="1"/>
  <c r="R70" i="17"/>
  <c r="U70" i="17" s="1"/>
  <c r="O70" i="17"/>
  <c r="L70" i="17"/>
  <c r="J70" i="17" s="1"/>
  <c r="I70" i="17"/>
  <c r="Q70" i="17" s="1"/>
  <c r="H70" i="17"/>
  <c r="N70" i="17" s="1"/>
  <c r="G70" i="17"/>
  <c r="P70" i="17" s="1"/>
  <c r="F70" i="17"/>
  <c r="E70" i="17"/>
  <c r="AE69" i="17"/>
  <c r="AD69" i="17"/>
  <c r="AC69" i="17"/>
  <c r="AB69" i="17"/>
  <c r="AA69" i="17"/>
  <c r="Z69" i="17"/>
  <c r="X69" i="17"/>
  <c r="W69" i="17"/>
  <c r="T69" i="17"/>
  <c r="U69" i="17" s="1"/>
  <c r="S69" i="17"/>
  <c r="R69" i="17"/>
  <c r="O69" i="17"/>
  <c r="L69" i="17"/>
  <c r="I69" i="17"/>
  <c r="Q69" i="17" s="1"/>
  <c r="H69" i="17"/>
  <c r="G69" i="17"/>
  <c r="P69" i="17" s="1"/>
  <c r="F69" i="17"/>
  <c r="E69" i="17"/>
  <c r="AE68" i="17"/>
  <c r="AD68" i="17"/>
  <c r="AC68" i="17"/>
  <c r="AB68" i="17"/>
  <c r="AA68" i="17"/>
  <c r="Z68" i="17"/>
  <c r="X68" i="17"/>
  <c r="W68" i="17"/>
  <c r="Y68" i="17" s="1"/>
  <c r="T68" i="17"/>
  <c r="S68" i="17"/>
  <c r="V68" i="17" s="1"/>
  <c r="R68" i="17"/>
  <c r="U68" i="17" s="1"/>
  <c r="O68" i="17"/>
  <c r="L68" i="17"/>
  <c r="J68" i="17" s="1"/>
  <c r="I68" i="17"/>
  <c r="Q68" i="17" s="1"/>
  <c r="H68" i="17"/>
  <c r="N68" i="17" s="1"/>
  <c r="G68" i="17"/>
  <c r="P68" i="17" s="1"/>
  <c r="F68" i="17"/>
  <c r="E68" i="17"/>
  <c r="D68" i="17" s="1"/>
  <c r="M68" i="17" s="1"/>
  <c r="AE67" i="17"/>
  <c r="AD67" i="17"/>
  <c r="AC67" i="17"/>
  <c r="AB67" i="17"/>
  <c r="AA67" i="17"/>
  <c r="Z67" i="17"/>
  <c r="X67" i="17"/>
  <c r="W67" i="17"/>
  <c r="Y67" i="17" s="1"/>
  <c r="T67" i="17"/>
  <c r="S67" i="17"/>
  <c r="V67" i="17" s="1"/>
  <c r="R67" i="17"/>
  <c r="U67" i="17" s="1"/>
  <c r="O67" i="17"/>
  <c r="L67" i="17"/>
  <c r="I67" i="17"/>
  <c r="Q67" i="17" s="1"/>
  <c r="H67" i="17"/>
  <c r="N67" i="17" s="1"/>
  <c r="G67" i="17"/>
  <c r="P67" i="17" s="1"/>
  <c r="F67" i="17"/>
  <c r="E67" i="17"/>
  <c r="AE66" i="17"/>
  <c r="AD66" i="17"/>
  <c r="AC66" i="17"/>
  <c r="AB66" i="17"/>
  <c r="AA66" i="17"/>
  <c r="Z66" i="17"/>
  <c r="X66" i="17"/>
  <c r="W66" i="17"/>
  <c r="Y66" i="17" s="1"/>
  <c r="T66" i="17"/>
  <c r="S66" i="17"/>
  <c r="V66" i="17" s="1"/>
  <c r="R66" i="17"/>
  <c r="U66" i="17" s="1"/>
  <c r="O66" i="17"/>
  <c r="L66" i="17"/>
  <c r="I66" i="17"/>
  <c r="Q66" i="17" s="1"/>
  <c r="H66" i="17"/>
  <c r="N66" i="17" s="1"/>
  <c r="G66" i="17"/>
  <c r="P66" i="17" s="1"/>
  <c r="F66" i="17"/>
  <c r="E66" i="17"/>
  <c r="AE65" i="17"/>
  <c r="AD65" i="17"/>
  <c r="AC65" i="17"/>
  <c r="AB65" i="17"/>
  <c r="AA65" i="17"/>
  <c r="Z65" i="17"/>
  <c r="X65" i="17"/>
  <c r="W65" i="17"/>
  <c r="Y65" i="17" s="1"/>
  <c r="T65" i="17"/>
  <c r="S65" i="17"/>
  <c r="V65" i="17" s="1"/>
  <c r="R65" i="17"/>
  <c r="U65" i="17" s="1"/>
  <c r="O65" i="17"/>
  <c r="L65" i="17"/>
  <c r="I65" i="17"/>
  <c r="Q65" i="17" s="1"/>
  <c r="H65" i="17"/>
  <c r="N65" i="17" s="1"/>
  <c r="G65" i="17"/>
  <c r="P65" i="17" s="1"/>
  <c r="F65" i="17"/>
  <c r="E65" i="17"/>
  <c r="AE64" i="17"/>
  <c r="AD64" i="17"/>
  <c r="AC64" i="17"/>
  <c r="AB64" i="17"/>
  <c r="AA64" i="17"/>
  <c r="Z64" i="17"/>
  <c r="X64" i="17"/>
  <c r="W64" i="17"/>
  <c r="Y64" i="17" s="1"/>
  <c r="V64" i="17"/>
  <c r="T64" i="17"/>
  <c r="S64" i="17"/>
  <c r="R64" i="17"/>
  <c r="U64" i="17" s="1"/>
  <c r="O64" i="17"/>
  <c r="L64" i="17"/>
  <c r="I64" i="17"/>
  <c r="Q64" i="17" s="1"/>
  <c r="H64" i="17"/>
  <c r="N64" i="17" s="1"/>
  <c r="G64" i="17"/>
  <c r="P64" i="17" s="1"/>
  <c r="F64" i="17"/>
  <c r="E64" i="17"/>
  <c r="AE63" i="17"/>
  <c r="AD63" i="17"/>
  <c r="AC63" i="17"/>
  <c r="AB63" i="17"/>
  <c r="AA63" i="17"/>
  <c r="Z63" i="17"/>
  <c r="X63" i="17"/>
  <c r="W63" i="17"/>
  <c r="Y63" i="17" s="1"/>
  <c r="T63" i="17"/>
  <c r="S63" i="17"/>
  <c r="V63" i="17" s="1"/>
  <c r="R63" i="17"/>
  <c r="U63" i="17" s="1"/>
  <c r="O63" i="17"/>
  <c r="L63" i="17"/>
  <c r="I63" i="17"/>
  <c r="Q63" i="17" s="1"/>
  <c r="H63" i="17"/>
  <c r="N63" i="17" s="1"/>
  <c r="G63" i="17"/>
  <c r="P63" i="17" s="1"/>
  <c r="F63" i="17"/>
  <c r="E63" i="17"/>
  <c r="AE62" i="17"/>
  <c r="AD62" i="17"/>
  <c r="AC62" i="17"/>
  <c r="AB62" i="17"/>
  <c r="AA62" i="17"/>
  <c r="Z62" i="17"/>
  <c r="X62" i="17"/>
  <c r="W62" i="17"/>
  <c r="Y62" i="17" s="1"/>
  <c r="T62" i="17"/>
  <c r="S62" i="17"/>
  <c r="V62" i="17" s="1"/>
  <c r="R62" i="17"/>
  <c r="U62" i="17" s="1"/>
  <c r="O62" i="17"/>
  <c r="L62" i="17"/>
  <c r="I62" i="17"/>
  <c r="Q62" i="17" s="1"/>
  <c r="H62" i="17"/>
  <c r="N62" i="17" s="1"/>
  <c r="G62" i="17"/>
  <c r="P62" i="17" s="1"/>
  <c r="F62" i="17"/>
  <c r="E62" i="17"/>
  <c r="D62" i="17" s="1"/>
  <c r="M62" i="17" s="1"/>
  <c r="AE61" i="17"/>
  <c r="AD61" i="17"/>
  <c r="AC61" i="17"/>
  <c r="AB61" i="17"/>
  <c r="AA61" i="17"/>
  <c r="Z61" i="17"/>
  <c r="X61" i="17"/>
  <c r="W61" i="17"/>
  <c r="Y61" i="17" s="1"/>
  <c r="T61" i="17"/>
  <c r="S61" i="17"/>
  <c r="V61" i="17" s="1"/>
  <c r="R61" i="17"/>
  <c r="U61" i="17" s="1"/>
  <c r="O61" i="17"/>
  <c r="L61" i="17"/>
  <c r="I61" i="17"/>
  <c r="Q61" i="17" s="1"/>
  <c r="H61" i="17"/>
  <c r="N61" i="17" s="1"/>
  <c r="G61" i="17"/>
  <c r="P61" i="17" s="1"/>
  <c r="F61" i="17"/>
  <c r="E61" i="17"/>
  <c r="AE60" i="17"/>
  <c r="AD60" i="17"/>
  <c r="AC60" i="17"/>
  <c r="AB60" i="17"/>
  <c r="AA60" i="17"/>
  <c r="Z60" i="17"/>
  <c r="X60" i="17"/>
  <c r="W60" i="17"/>
  <c r="Y60" i="17" s="1"/>
  <c r="T60" i="17"/>
  <c r="S60" i="17"/>
  <c r="V60" i="17" s="1"/>
  <c r="R60" i="17"/>
  <c r="U60" i="17" s="1"/>
  <c r="O60" i="17"/>
  <c r="L60" i="17"/>
  <c r="I60" i="17"/>
  <c r="Q60" i="17" s="1"/>
  <c r="H60" i="17"/>
  <c r="N60" i="17" s="1"/>
  <c r="G60" i="17"/>
  <c r="P60" i="17" s="1"/>
  <c r="F60" i="17"/>
  <c r="E60" i="17"/>
  <c r="AE59" i="17"/>
  <c r="AD59" i="17"/>
  <c r="AC59" i="17"/>
  <c r="AB59" i="17"/>
  <c r="AA59" i="17"/>
  <c r="Z59" i="17"/>
  <c r="X59" i="17"/>
  <c r="W59" i="17"/>
  <c r="Y59" i="17" s="1"/>
  <c r="U59" i="17"/>
  <c r="T59" i="17"/>
  <c r="S59" i="17"/>
  <c r="V59" i="17" s="1"/>
  <c r="R59" i="17"/>
  <c r="O59" i="17"/>
  <c r="L59" i="17"/>
  <c r="I59" i="17"/>
  <c r="Q59" i="17" s="1"/>
  <c r="H59" i="17"/>
  <c r="N59" i="17" s="1"/>
  <c r="G59" i="17"/>
  <c r="P59" i="17" s="1"/>
  <c r="F59" i="17"/>
  <c r="E59" i="17"/>
  <c r="AE58" i="17"/>
  <c r="AD58" i="17"/>
  <c r="AC58" i="17"/>
  <c r="AB58" i="17"/>
  <c r="AA58" i="17"/>
  <c r="Z58" i="17"/>
  <c r="X58" i="17"/>
  <c r="W58" i="17"/>
  <c r="Y58" i="17" s="1"/>
  <c r="T58" i="17"/>
  <c r="S58" i="17"/>
  <c r="V58" i="17" s="1"/>
  <c r="R58" i="17"/>
  <c r="U58" i="17" s="1"/>
  <c r="O58" i="17"/>
  <c r="L58" i="17"/>
  <c r="I58" i="17"/>
  <c r="Q58" i="17" s="1"/>
  <c r="H58" i="17"/>
  <c r="N58" i="17" s="1"/>
  <c r="G58" i="17"/>
  <c r="P58" i="17" s="1"/>
  <c r="F58" i="17"/>
  <c r="E58" i="17"/>
  <c r="D58" i="17"/>
  <c r="M58" i="17" s="1"/>
  <c r="AE57" i="17"/>
  <c r="AD57" i="17"/>
  <c r="AC57" i="17"/>
  <c r="AB57" i="17"/>
  <c r="AA57" i="17"/>
  <c r="Z57" i="17"/>
  <c r="X57" i="17"/>
  <c r="W57" i="17"/>
  <c r="Y57" i="17" s="1"/>
  <c r="T57" i="17"/>
  <c r="S57" i="17"/>
  <c r="V57" i="17" s="1"/>
  <c r="R57" i="17"/>
  <c r="U57" i="17" s="1"/>
  <c r="O57" i="17"/>
  <c r="L57" i="17"/>
  <c r="J57" i="17" s="1"/>
  <c r="I57" i="17"/>
  <c r="Q57" i="17" s="1"/>
  <c r="H57" i="17"/>
  <c r="N57" i="17" s="1"/>
  <c r="G57" i="17"/>
  <c r="P57" i="17" s="1"/>
  <c r="F57" i="17"/>
  <c r="E57" i="17"/>
  <c r="AE56" i="17"/>
  <c r="AD56" i="17"/>
  <c r="AC56" i="17"/>
  <c r="AB56" i="17"/>
  <c r="AA56" i="17"/>
  <c r="Z56" i="17"/>
  <c r="X56" i="17"/>
  <c r="W56" i="17"/>
  <c r="T56" i="17"/>
  <c r="S56" i="17"/>
  <c r="R56" i="17"/>
  <c r="O56" i="17"/>
  <c r="L56" i="17"/>
  <c r="I56" i="17"/>
  <c r="Q56" i="17" s="1"/>
  <c r="H56" i="17"/>
  <c r="G56" i="17"/>
  <c r="P56" i="17" s="1"/>
  <c r="F56" i="17"/>
  <c r="E56" i="17"/>
  <c r="D56" i="17" s="1"/>
  <c r="AE55" i="17"/>
  <c r="AD55" i="17"/>
  <c r="AC55" i="17"/>
  <c r="AB55" i="17"/>
  <c r="AA55" i="17"/>
  <c r="Z55" i="17"/>
  <c r="X55" i="17"/>
  <c r="W55" i="17"/>
  <c r="Y55" i="17" s="1"/>
  <c r="T55" i="17"/>
  <c r="S55" i="17"/>
  <c r="V55" i="17" s="1"/>
  <c r="R55" i="17"/>
  <c r="U55" i="17" s="1"/>
  <c r="O55" i="17"/>
  <c r="L55" i="17"/>
  <c r="I55" i="17"/>
  <c r="Q55" i="17" s="1"/>
  <c r="H55" i="17"/>
  <c r="N55" i="17" s="1"/>
  <c r="G55" i="17"/>
  <c r="P55" i="17" s="1"/>
  <c r="F55" i="17"/>
  <c r="E55" i="17"/>
  <c r="AE54" i="17"/>
  <c r="AD54" i="17"/>
  <c r="AC54" i="17"/>
  <c r="AB54" i="17"/>
  <c r="AA54" i="17"/>
  <c r="Z54" i="17"/>
  <c r="X54" i="17"/>
  <c r="W54" i="17"/>
  <c r="Y54" i="17" s="1"/>
  <c r="T54" i="17"/>
  <c r="S54" i="17"/>
  <c r="V54" i="17" s="1"/>
  <c r="R54" i="17"/>
  <c r="O54" i="17"/>
  <c r="L54" i="17"/>
  <c r="I54" i="17"/>
  <c r="Q54" i="17" s="1"/>
  <c r="H54" i="17"/>
  <c r="G54" i="17"/>
  <c r="P54" i="17" s="1"/>
  <c r="F54" i="17"/>
  <c r="E54" i="17"/>
  <c r="AE53" i="17"/>
  <c r="AD53" i="17"/>
  <c r="AC53" i="17"/>
  <c r="AB53" i="17"/>
  <c r="AA53" i="17"/>
  <c r="Z53" i="17"/>
  <c r="X53" i="17"/>
  <c r="W53" i="17"/>
  <c r="T53" i="17"/>
  <c r="S53" i="17"/>
  <c r="V53" i="17" s="1"/>
  <c r="R53" i="17"/>
  <c r="O53" i="17"/>
  <c r="L53" i="17"/>
  <c r="I53" i="17"/>
  <c r="Q53" i="17" s="1"/>
  <c r="H53" i="17"/>
  <c r="G53" i="17"/>
  <c r="P53" i="17" s="1"/>
  <c r="F53" i="17"/>
  <c r="E53" i="17"/>
  <c r="AE51" i="17"/>
  <c r="AD51" i="17"/>
  <c r="AC51" i="17"/>
  <c r="AB51" i="17"/>
  <c r="AA51" i="17"/>
  <c r="Z51" i="17"/>
  <c r="X51" i="17"/>
  <c r="W51" i="17"/>
  <c r="Y51" i="17" s="1"/>
  <c r="T51" i="17"/>
  <c r="S51" i="17"/>
  <c r="V51" i="17" s="1"/>
  <c r="R51" i="17"/>
  <c r="U51" i="17" s="1"/>
  <c r="O51" i="17"/>
  <c r="L51" i="17"/>
  <c r="I51" i="17"/>
  <c r="Q51" i="17" s="1"/>
  <c r="H51" i="17"/>
  <c r="N51" i="17" s="1"/>
  <c r="G51" i="17"/>
  <c r="P51" i="17" s="1"/>
  <c r="F51" i="17"/>
  <c r="E51" i="17"/>
  <c r="AE50" i="17"/>
  <c r="AD50" i="17"/>
  <c r="AC50" i="17"/>
  <c r="AB50" i="17"/>
  <c r="AA50" i="17"/>
  <c r="Z50" i="17"/>
  <c r="X50" i="17"/>
  <c r="W50" i="17"/>
  <c r="Y50" i="17" s="1"/>
  <c r="T50" i="17"/>
  <c r="S50" i="17"/>
  <c r="V50" i="17" s="1"/>
  <c r="R50" i="17"/>
  <c r="U50" i="17" s="1"/>
  <c r="O50" i="17"/>
  <c r="L50" i="17"/>
  <c r="I50" i="17"/>
  <c r="Q50" i="17" s="1"/>
  <c r="H50" i="17"/>
  <c r="N50" i="17" s="1"/>
  <c r="G50" i="17"/>
  <c r="P50" i="17" s="1"/>
  <c r="F50" i="17"/>
  <c r="E50" i="17"/>
  <c r="AE49" i="17"/>
  <c r="AD49" i="17"/>
  <c r="AC49" i="17"/>
  <c r="AB49" i="17"/>
  <c r="AA49" i="17"/>
  <c r="Z49" i="17"/>
  <c r="X49" i="17"/>
  <c r="W49" i="17"/>
  <c r="Y49" i="17" s="1"/>
  <c r="T49" i="17"/>
  <c r="S49" i="17"/>
  <c r="V49" i="17" s="1"/>
  <c r="R49" i="17"/>
  <c r="U49" i="17" s="1"/>
  <c r="O49" i="17"/>
  <c r="L49" i="17"/>
  <c r="I49" i="17"/>
  <c r="Q49" i="17" s="1"/>
  <c r="H49" i="17"/>
  <c r="N49" i="17" s="1"/>
  <c r="G49" i="17"/>
  <c r="P49" i="17" s="1"/>
  <c r="F49" i="17"/>
  <c r="E49" i="17"/>
  <c r="AE48" i="17"/>
  <c r="AD48" i="17"/>
  <c r="AC48" i="17"/>
  <c r="AB48" i="17"/>
  <c r="AA48" i="17"/>
  <c r="Z48" i="17"/>
  <c r="X48" i="17"/>
  <c r="W48" i="17"/>
  <c r="Y48" i="17" s="1"/>
  <c r="V48" i="17"/>
  <c r="T48" i="17"/>
  <c r="S48" i="17"/>
  <c r="R48" i="17"/>
  <c r="U48" i="17" s="1"/>
  <c r="Q48" i="17"/>
  <c r="O48" i="17"/>
  <c r="L48" i="17"/>
  <c r="I48" i="17"/>
  <c r="H48" i="17"/>
  <c r="N48" i="17" s="1"/>
  <c r="G48" i="17"/>
  <c r="P48" i="17" s="1"/>
  <c r="F48" i="17"/>
  <c r="E48" i="17"/>
  <c r="AE47" i="17"/>
  <c r="AD47" i="17"/>
  <c r="AC47" i="17"/>
  <c r="AB47" i="17"/>
  <c r="AA47" i="17"/>
  <c r="Z47" i="17"/>
  <c r="X47" i="17"/>
  <c r="W47" i="17"/>
  <c r="Y47" i="17" s="1"/>
  <c r="T47" i="17"/>
  <c r="S47" i="17"/>
  <c r="V47" i="17" s="1"/>
  <c r="R47" i="17"/>
  <c r="U47" i="17" s="1"/>
  <c r="O47" i="17"/>
  <c r="J47" i="17" s="1"/>
  <c r="L47" i="17"/>
  <c r="I47" i="17"/>
  <c r="Q47" i="17" s="1"/>
  <c r="H47" i="17"/>
  <c r="N47" i="17" s="1"/>
  <c r="G47" i="17"/>
  <c r="P47" i="17" s="1"/>
  <c r="F47" i="17"/>
  <c r="E47" i="17"/>
  <c r="AE46" i="17"/>
  <c r="AD46" i="17"/>
  <c r="AC46" i="17"/>
  <c r="AB46" i="17"/>
  <c r="AA46" i="17"/>
  <c r="Z46" i="17"/>
  <c r="X46" i="17"/>
  <c r="W46" i="17"/>
  <c r="Y46" i="17" s="1"/>
  <c r="V46" i="17"/>
  <c r="T46" i="17"/>
  <c r="S46" i="17"/>
  <c r="R46" i="17"/>
  <c r="U46" i="17" s="1"/>
  <c r="O46" i="17"/>
  <c r="L46" i="17"/>
  <c r="I46" i="17"/>
  <c r="Q46" i="17" s="1"/>
  <c r="H46" i="17"/>
  <c r="N46" i="17" s="1"/>
  <c r="G46" i="17"/>
  <c r="P46" i="17" s="1"/>
  <c r="F46" i="17"/>
  <c r="E46" i="17"/>
  <c r="AE45" i="17"/>
  <c r="AD45" i="17"/>
  <c r="AC45" i="17"/>
  <c r="AB45" i="17"/>
  <c r="AA45" i="17"/>
  <c r="Z45" i="17"/>
  <c r="X45" i="17"/>
  <c r="W45" i="17"/>
  <c r="Y45" i="17" s="1"/>
  <c r="T45" i="17"/>
  <c r="S45" i="17"/>
  <c r="V45" i="17" s="1"/>
  <c r="R45" i="17"/>
  <c r="U45" i="17" s="1"/>
  <c r="O45" i="17"/>
  <c r="L45" i="17"/>
  <c r="I45" i="17"/>
  <c r="Q45" i="17" s="1"/>
  <c r="H45" i="17"/>
  <c r="N45" i="17" s="1"/>
  <c r="G45" i="17"/>
  <c r="P45" i="17" s="1"/>
  <c r="F45" i="17"/>
  <c r="E45" i="17"/>
  <c r="AE44" i="17"/>
  <c r="AD44" i="17"/>
  <c r="AC44" i="17"/>
  <c r="AB44" i="17"/>
  <c r="AA44" i="17"/>
  <c r="Z44" i="17"/>
  <c r="X44" i="17"/>
  <c r="W44" i="17"/>
  <c r="Y44" i="17" s="1"/>
  <c r="T44" i="17"/>
  <c r="S44" i="17"/>
  <c r="V44" i="17" s="1"/>
  <c r="R44" i="17"/>
  <c r="U44" i="17" s="1"/>
  <c r="O44" i="17"/>
  <c r="L44" i="17"/>
  <c r="I44" i="17"/>
  <c r="Q44" i="17" s="1"/>
  <c r="H44" i="17"/>
  <c r="N44" i="17" s="1"/>
  <c r="G44" i="17"/>
  <c r="P44" i="17" s="1"/>
  <c r="F44" i="17"/>
  <c r="E44" i="17"/>
  <c r="AE43" i="17"/>
  <c r="AD43" i="17"/>
  <c r="AC43" i="17"/>
  <c r="AB43" i="17"/>
  <c r="AA43" i="17"/>
  <c r="Z43" i="17"/>
  <c r="X43" i="17"/>
  <c r="W43" i="17"/>
  <c r="Y43" i="17" s="1"/>
  <c r="T43" i="17"/>
  <c r="S43" i="17"/>
  <c r="V43" i="17" s="1"/>
  <c r="R43" i="17"/>
  <c r="U43" i="17" s="1"/>
  <c r="O43" i="17"/>
  <c r="L43" i="17"/>
  <c r="I43" i="17"/>
  <c r="Q43" i="17" s="1"/>
  <c r="H43" i="17"/>
  <c r="N43" i="17" s="1"/>
  <c r="G43" i="17"/>
  <c r="P43" i="17" s="1"/>
  <c r="F43" i="17"/>
  <c r="E43" i="17"/>
  <c r="AE42" i="17"/>
  <c r="AD42" i="17"/>
  <c r="AC42" i="17"/>
  <c r="AB42" i="17"/>
  <c r="AA42" i="17"/>
  <c r="Z42" i="17"/>
  <c r="X42" i="17"/>
  <c r="W42" i="17"/>
  <c r="Y42" i="17" s="1"/>
  <c r="T42" i="17"/>
  <c r="S42" i="17"/>
  <c r="V42" i="17" s="1"/>
  <c r="R42" i="17"/>
  <c r="U42" i="17" s="1"/>
  <c r="O42" i="17"/>
  <c r="L42" i="17"/>
  <c r="I42" i="17"/>
  <c r="Q42" i="17" s="1"/>
  <c r="H42" i="17"/>
  <c r="N42" i="17" s="1"/>
  <c r="G42" i="17"/>
  <c r="P42" i="17" s="1"/>
  <c r="F42" i="17"/>
  <c r="E42" i="17"/>
  <c r="AE41" i="17"/>
  <c r="AD41" i="17"/>
  <c r="AC41" i="17"/>
  <c r="AB41" i="17"/>
  <c r="AA41" i="17"/>
  <c r="Z41" i="17"/>
  <c r="X41" i="17"/>
  <c r="W41" i="17"/>
  <c r="Y41" i="17" s="1"/>
  <c r="T41" i="17"/>
  <c r="S41" i="17"/>
  <c r="V41" i="17" s="1"/>
  <c r="R41" i="17"/>
  <c r="U41" i="17" s="1"/>
  <c r="O41" i="17"/>
  <c r="L41" i="17"/>
  <c r="I41" i="17"/>
  <c r="Q41" i="17" s="1"/>
  <c r="H41" i="17"/>
  <c r="N41" i="17" s="1"/>
  <c r="G41" i="17"/>
  <c r="P41" i="17" s="1"/>
  <c r="F41" i="17"/>
  <c r="E41" i="17"/>
  <c r="AE40" i="17"/>
  <c r="AD40" i="17"/>
  <c r="AC40" i="17"/>
  <c r="AB40" i="17"/>
  <c r="AA40" i="17"/>
  <c r="Z40" i="17"/>
  <c r="X40" i="17"/>
  <c r="W40" i="17"/>
  <c r="Y40" i="17" s="1"/>
  <c r="V40" i="17"/>
  <c r="T40" i="17"/>
  <c r="S40" i="17"/>
  <c r="R40" i="17"/>
  <c r="U40" i="17" s="1"/>
  <c r="O40" i="17"/>
  <c r="L40" i="17"/>
  <c r="I40" i="17"/>
  <c r="Q40" i="17" s="1"/>
  <c r="H40" i="17"/>
  <c r="N40" i="17" s="1"/>
  <c r="G40" i="17"/>
  <c r="P40" i="17" s="1"/>
  <c r="F40" i="17"/>
  <c r="D40" i="17" s="1"/>
  <c r="E40" i="17"/>
  <c r="AE39" i="17"/>
  <c r="AD39" i="17"/>
  <c r="AC39" i="17"/>
  <c r="AB39" i="17"/>
  <c r="AA39" i="17"/>
  <c r="Z39" i="17"/>
  <c r="X39" i="17"/>
  <c r="W39" i="17"/>
  <c r="T39" i="17"/>
  <c r="S39" i="17"/>
  <c r="V39" i="17" s="1"/>
  <c r="R39" i="17"/>
  <c r="U39" i="17" s="1"/>
  <c r="O39" i="17"/>
  <c r="L39" i="17"/>
  <c r="I39" i="17"/>
  <c r="Q39" i="17" s="1"/>
  <c r="H39" i="17"/>
  <c r="N39" i="17" s="1"/>
  <c r="G39" i="17"/>
  <c r="F39" i="17"/>
  <c r="E39" i="17"/>
  <c r="AE38" i="17"/>
  <c r="AD38" i="17"/>
  <c r="AC38" i="17"/>
  <c r="AB38" i="17"/>
  <c r="AA38" i="17"/>
  <c r="Z38" i="17"/>
  <c r="X38" i="17"/>
  <c r="W38" i="17"/>
  <c r="Y38" i="17" s="1"/>
  <c r="T38" i="17"/>
  <c r="S38" i="17"/>
  <c r="V38" i="17" s="1"/>
  <c r="R38" i="17"/>
  <c r="U38" i="17" s="1"/>
  <c r="O38" i="17"/>
  <c r="L38" i="17"/>
  <c r="I38" i="17"/>
  <c r="Q38" i="17" s="1"/>
  <c r="H38" i="17"/>
  <c r="N38" i="17" s="1"/>
  <c r="G38" i="17"/>
  <c r="P38" i="17" s="1"/>
  <c r="F38" i="17"/>
  <c r="D38" i="17" s="1"/>
  <c r="E38" i="17"/>
  <c r="AE37" i="17"/>
  <c r="AD37" i="17"/>
  <c r="AC37" i="17"/>
  <c r="AB37" i="17"/>
  <c r="AA37" i="17"/>
  <c r="Z37" i="17"/>
  <c r="X37" i="17"/>
  <c r="W37" i="17"/>
  <c r="Y37" i="17" s="1"/>
  <c r="T37" i="17"/>
  <c r="S37" i="17"/>
  <c r="V37" i="17" s="1"/>
  <c r="R37" i="17"/>
  <c r="U37" i="17" s="1"/>
  <c r="O37" i="17"/>
  <c r="L37" i="17"/>
  <c r="I37" i="17"/>
  <c r="Q37" i="17" s="1"/>
  <c r="H37" i="17"/>
  <c r="N37" i="17" s="1"/>
  <c r="G37" i="17"/>
  <c r="P37" i="17" s="1"/>
  <c r="F37" i="17"/>
  <c r="E37" i="17"/>
  <c r="AE36" i="17"/>
  <c r="AD36" i="17"/>
  <c r="AC36" i="17"/>
  <c r="AB36" i="17"/>
  <c r="AA36" i="17"/>
  <c r="Z36" i="17"/>
  <c r="X36" i="17"/>
  <c r="W36" i="17"/>
  <c r="T36" i="17"/>
  <c r="S36" i="17"/>
  <c r="R36" i="17"/>
  <c r="O36" i="17"/>
  <c r="L36" i="17"/>
  <c r="I36" i="17"/>
  <c r="Q36" i="17" s="1"/>
  <c r="H36" i="17"/>
  <c r="N36" i="17" s="1"/>
  <c r="G36" i="17"/>
  <c r="P36" i="17" s="1"/>
  <c r="F36" i="17"/>
  <c r="E36" i="17"/>
  <c r="AE35" i="17"/>
  <c r="AD35" i="17"/>
  <c r="AC35" i="17"/>
  <c r="AB35" i="17"/>
  <c r="AA35" i="17"/>
  <c r="Z35" i="17"/>
  <c r="X35" i="17"/>
  <c r="W35" i="17"/>
  <c r="Y35" i="17" s="1"/>
  <c r="V35" i="17"/>
  <c r="T35" i="17"/>
  <c r="S35" i="17"/>
  <c r="R35" i="17"/>
  <c r="U35" i="17" s="1"/>
  <c r="O35" i="17"/>
  <c r="L35" i="17"/>
  <c r="I35" i="17"/>
  <c r="H35" i="17"/>
  <c r="N35" i="17" s="1"/>
  <c r="G35" i="17"/>
  <c r="P35" i="17" s="1"/>
  <c r="F35" i="17"/>
  <c r="E35" i="17"/>
  <c r="AE34" i="17"/>
  <c r="AD34" i="17"/>
  <c r="AC34" i="17"/>
  <c r="AB34" i="17"/>
  <c r="AA34" i="17"/>
  <c r="Z34" i="17"/>
  <c r="X34" i="17"/>
  <c r="W34" i="17"/>
  <c r="Y34" i="17" s="1"/>
  <c r="T34" i="17"/>
  <c r="S34" i="17"/>
  <c r="V34" i="17" s="1"/>
  <c r="R34" i="17"/>
  <c r="U34" i="17" s="1"/>
  <c r="O34" i="17"/>
  <c r="L34" i="17"/>
  <c r="I34" i="17"/>
  <c r="Q34" i="17" s="1"/>
  <c r="H34" i="17"/>
  <c r="N34" i="17" s="1"/>
  <c r="G34" i="17"/>
  <c r="P34" i="17" s="1"/>
  <c r="F34" i="17"/>
  <c r="E34" i="17"/>
  <c r="AE33" i="17"/>
  <c r="AD33" i="17"/>
  <c r="AC33" i="17"/>
  <c r="AB33" i="17"/>
  <c r="AA33" i="17"/>
  <c r="Z33" i="17"/>
  <c r="X33" i="17"/>
  <c r="W33" i="17"/>
  <c r="Y33" i="17" s="1"/>
  <c r="T33" i="17"/>
  <c r="S33" i="17"/>
  <c r="V33" i="17" s="1"/>
  <c r="R33" i="17"/>
  <c r="U33" i="17" s="1"/>
  <c r="O33" i="17"/>
  <c r="L33" i="17"/>
  <c r="I33" i="17"/>
  <c r="Q33" i="17" s="1"/>
  <c r="H33" i="17"/>
  <c r="N33" i="17" s="1"/>
  <c r="G33" i="17"/>
  <c r="P33" i="17" s="1"/>
  <c r="F33" i="17"/>
  <c r="E33" i="17"/>
  <c r="AE32" i="17"/>
  <c r="AD32" i="17"/>
  <c r="AC32" i="17"/>
  <c r="AB32" i="17"/>
  <c r="AA32" i="17"/>
  <c r="Z32" i="17"/>
  <c r="X32" i="17"/>
  <c r="Y32" i="17" s="1"/>
  <c r="W32" i="17"/>
  <c r="T32" i="17"/>
  <c r="S32" i="17"/>
  <c r="R32" i="17"/>
  <c r="P32" i="17"/>
  <c r="O32" i="17"/>
  <c r="L32" i="17"/>
  <c r="I32" i="17"/>
  <c r="Q32" i="17" s="1"/>
  <c r="H32" i="17"/>
  <c r="N32" i="17" s="1"/>
  <c r="G32" i="17"/>
  <c r="F32" i="17"/>
  <c r="E32" i="17"/>
  <c r="AE30" i="17"/>
  <c r="AD30" i="17"/>
  <c r="AC30" i="17"/>
  <c r="AB30" i="17"/>
  <c r="AA30" i="17"/>
  <c r="Z30" i="17"/>
  <c r="X30" i="17"/>
  <c r="W30" i="17"/>
  <c r="T30" i="17"/>
  <c r="S30" i="17"/>
  <c r="R30" i="17"/>
  <c r="U30" i="17" s="1"/>
  <c r="O30" i="17"/>
  <c r="J30" i="17" s="1"/>
  <c r="L30" i="17"/>
  <c r="I30" i="17"/>
  <c r="Q30" i="17" s="1"/>
  <c r="H30" i="17"/>
  <c r="N30" i="17" s="1"/>
  <c r="G30" i="17"/>
  <c r="F30" i="17"/>
  <c r="E30" i="17"/>
  <c r="AE29" i="17"/>
  <c r="AD29" i="17"/>
  <c r="AC29" i="17"/>
  <c r="AB29" i="17"/>
  <c r="AA29" i="17"/>
  <c r="Z29" i="17"/>
  <c r="X29" i="17"/>
  <c r="W29" i="17"/>
  <c r="Y29" i="17" s="1"/>
  <c r="T29" i="17"/>
  <c r="S29" i="17"/>
  <c r="V29" i="17" s="1"/>
  <c r="R29" i="17"/>
  <c r="U29" i="17" s="1"/>
  <c r="O29" i="17"/>
  <c r="L29" i="17"/>
  <c r="I29" i="17"/>
  <c r="Q29" i="17" s="1"/>
  <c r="H29" i="17"/>
  <c r="N29" i="17" s="1"/>
  <c r="G29" i="17"/>
  <c r="P29" i="17" s="1"/>
  <c r="F29" i="17"/>
  <c r="E29" i="17"/>
  <c r="AE28" i="17"/>
  <c r="AD28" i="17"/>
  <c r="AC28" i="17"/>
  <c r="AB28" i="17"/>
  <c r="AA28" i="17"/>
  <c r="Z28" i="17"/>
  <c r="X28" i="17"/>
  <c r="W28" i="17"/>
  <c r="Y28" i="17" s="1"/>
  <c r="T28" i="17"/>
  <c r="S28" i="17"/>
  <c r="V28" i="17" s="1"/>
  <c r="R28" i="17"/>
  <c r="U28" i="17" s="1"/>
  <c r="O28" i="17"/>
  <c r="L28" i="17"/>
  <c r="I28" i="17"/>
  <c r="Q28" i="17" s="1"/>
  <c r="H28" i="17"/>
  <c r="N28" i="17" s="1"/>
  <c r="G28" i="17"/>
  <c r="P28" i="17" s="1"/>
  <c r="F28" i="17"/>
  <c r="E28" i="17"/>
  <c r="AE27" i="17"/>
  <c r="AD27" i="17"/>
  <c r="AC27" i="17"/>
  <c r="AB27" i="17"/>
  <c r="AA27" i="17"/>
  <c r="Z27" i="17"/>
  <c r="X27" i="17"/>
  <c r="W27" i="17"/>
  <c r="Y27" i="17" s="1"/>
  <c r="T27" i="17"/>
  <c r="S27" i="17"/>
  <c r="V27" i="17" s="1"/>
  <c r="R27" i="17"/>
  <c r="U27" i="17" s="1"/>
  <c r="O27" i="17"/>
  <c r="J27" i="17" s="1"/>
  <c r="L27" i="17"/>
  <c r="I27" i="17"/>
  <c r="Q27" i="17" s="1"/>
  <c r="H27" i="17"/>
  <c r="N27" i="17" s="1"/>
  <c r="G27" i="17"/>
  <c r="P27" i="17" s="1"/>
  <c r="F27" i="17"/>
  <c r="E27" i="17"/>
  <c r="AE26" i="17"/>
  <c r="AD26" i="17"/>
  <c r="AC26" i="17"/>
  <c r="AB26" i="17"/>
  <c r="AA26" i="17"/>
  <c r="Z26" i="17"/>
  <c r="X26" i="17"/>
  <c r="W26" i="17"/>
  <c r="Y26" i="17" s="1"/>
  <c r="T26" i="17"/>
  <c r="S26" i="17"/>
  <c r="V26" i="17" s="1"/>
  <c r="R26" i="17"/>
  <c r="U26" i="17" s="1"/>
  <c r="O26" i="17"/>
  <c r="L26" i="17"/>
  <c r="I26" i="17"/>
  <c r="Q26" i="17" s="1"/>
  <c r="H26" i="17"/>
  <c r="N26" i="17" s="1"/>
  <c r="G26" i="17"/>
  <c r="P26" i="17" s="1"/>
  <c r="F26" i="17"/>
  <c r="E26" i="17"/>
  <c r="AE25" i="17"/>
  <c r="AD25" i="17"/>
  <c r="AC25" i="17"/>
  <c r="AB25" i="17"/>
  <c r="AA25" i="17"/>
  <c r="Z25" i="17"/>
  <c r="X25" i="17"/>
  <c r="W25" i="17"/>
  <c r="Y25" i="17" s="1"/>
  <c r="T25" i="17"/>
  <c r="S25" i="17"/>
  <c r="V25" i="17" s="1"/>
  <c r="R25" i="17"/>
  <c r="U25" i="17" s="1"/>
  <c r="O25" i="17"/>
  <c r="L25" i="17"/>
  <c r="J25" i="17" s="1"/>
  <c r="I25" i="17"/>
  <c r="Q25" i="17" s="1"/>
  <c r="H25" i="17"/>
  <c r="N25" i="17" s="1"/>
  <c r="G25" i="17"/>
  <c r="P25" i="17" s="1"/>
  <c r="F25" i="17"/>
  <c r="E25" i="17"/>
  <c r="AE24" i="17"/>
  <c r="AD24" i="17"/>
  <c r="AC24" i="17"/>
  <c r="AB24" i="17"/>
  <c r="AA24" i="17"/>
  <c r="Z24" i="17"/>
  <c r="Y24" i="17"/>
  <c r="X24" i="17"/>
  <c r="W24" i="17"/>
  <c r="T24" i="17"/>
  <c r="S24" i="17"/>
  <c r="V24" i="17" s="1"/>
  <c r="R24" i="17"/>
  <c r="U24" i="17" s="1"/>
  <c r="O24" i="17"/>
  <c r="L24" i="17"/>
  <c r="I24" i="17"/>
  <c r="Q24" i="17" s="1"/>
  <c r="H24" i="17"/>
  <c r="N24" i="17" s="1"/>
  <c r="G24" i="17"/>
  <c r="F24" i="17"/>
  <c r="E24" i="17"/>
  <c r="D24" i="17" s="1"/>
  <c r="M24" i="17" s="1"/>
  <c r="AE23" i="17"/>
  <c r="AD23" i="17"/>
  <c r="AC23" i="17"/>
  <c r="AB23" i="17"/>
  <c r="AA23" i="17"/>
  <c r="Z23" i="17"/>
  <c r="X23" i="17"/>
  <c r="W23" i="17"/>
  <c r="Y23" i="17" s="1"/>
  <c r="T23" i="17"/>
  <c r="S23" i="17"/>
  <c r="V23" i="17" s="1"/>
  <c r="R23" i="17"/>
  <c r="U23" i="17" s="1"/>
  <c r="O23" i="17"/>
  <c r="L23" i="17"/>
  <c r="I23" i="17"/>
  <c r="Q23" i="17" s="1"/>
  <c r="H23" i="17"/>
  <c r="N23" i="17" s="1"/>
  <c r="G23" i="17"/>
  <c r="P23" i="17" s="1"/>
  <c r="F23" i="17"/>
  <c r="E23" i="17"/>
  <c r="AE22" i="17"/>
  <c r="AD22" i="17"/>
  <c r="AC22" i="17"/>
  <c r="AB22" i="17"/>
  <c r="AA22" i="17"/>
  <c r="Z22" i="17"/>
  <c r="X22" i="17"/>
  <c r="W22" i="17"/>
  <c r="Y22" i="17" s="1"/>
  <c r="T22" i="17"/>
  <c r="S22" i="17"/>
  <c r="V22" i="17" s="1"/>
  <c r="R22" i="17"/>
  <c r="U22" i="17" s="1"/>
  <c r="O22" i="17"/>
  <c r="J22" i="17" s="1"/>
  <c r="L22" i="17"/>
  <c r="I22" i="17"/>
  <c r="Q22" i="17" s="1"/>
  <c r="H22" i="17"/>
  <c r="N22" i="17" s="1"/>
  <c r="G22" i="17"/>
  <c r="P22" i="17" s="1"/>
  <c r="F22" i="17"/>
  <c r="E22" i="17"/>
  <c r="AE21" i="17"/>
  <c r="AD21" i="17"/>
  <c r="AC21" i="17"/>
  <c r="AB21" i="17"/>
  <c r="AA21" i="17"/>
  <c r="Z21" i="17"/>
  <c r="X21" i="17"/>
  <c r="W21" i="17"/>
  <c r="Y21" i="17" s="1"/>
  <c r="T21" i="17"/>
  <c r="S21" i="17"/>
  <c r="V21" i="17" s="1"/>
  <c r="R21" i="17"/>
  <c r="U21" i="17" s="1"/>
  <c r="O21" i="17"/>
  <c r="L21" i="17"/>
  <c r="I21" i="17"/>
  <c r="Q21" i="17" s="1"/>
  <c r="H21" i="17"/>
  <c r="N21" i="17" s="1"/>
  <c r="G21" i="17"/>
  <c r="P21" i="17" s="1"/>
  <c r="F21" i="17"/>
  <c r="E21" i="17"/>
  <c r="D21" i="17" s="1"/>
  <c r="AE20" i="17"/>
  <c r="AD20" i="17"/>
  <c r="AC20" i="17"/>
  <c r="AB20" i="17"/>
  <c r="AA20" i="17"/>
  <c r="Z20" i="17"/>
  <c r="X20" i="17"/>
  <c r="W20" i="17"/>
  <c r="Y20" i="17" s="1"/>
  <c r="T20" i="17"/>
  <c r="S20" i="17"/>
  <c r="V20" i="17" s="1"/>
  <c r="R20" i="17"/>
  <c r="U20" i="17" s="1"/>
  <c r="O20" i="17"/>
  <c r="L20" i="17"/>
  <c r="I20" i="17"/>
  <c r="Q20" i="17" s="1"/>
  <c r="H20" i="17"/>
  <c r="N20" i="17" s="1"/>
  <c r="G20" i="17"/>
  <c r="P20" i="17" s="1"/>
  <c r="F20" i="17"/>
  <c r="E20" i="17"/>
  <c r="AE19" i="17"/>
  <c r="AD19" i="17"/>
  <c r="AC19" i="17"/>
  <c r="AB19" i="17"/>
  <c r="AA19" i="17"/>
  <c r="Z19" i="17"/>
  <c r="X19" i="17"/>
  <c r="W19" i="17"/>
  <c r="Y19" i="17" s="1"/>
  <c r="U19" i="17"/>
  <c r="T19" i="17"/>
  <c r="S19" i="17"/>
  <c r="V19" i="17" s="1"/>
  <c r="R19" i="17"/>
  <c r="P19" i="17"/>
  <c r="O19" i="17"/>
  <c r="L19" i="17"/>
  <c r="I19" i="17"/>
  <c r="Q19" i="17" s="1"/>
  <c r="H19" i="17"/>
  <c r="N19" i="17" s="1"/>
  <c r="G19" i="17"/>
  <c r="F19" i="17"/>
  <c r="E19" i="17"/>
  <c r="D19" i="17" s="1"/>
  <c r="M19" i="17" s="1"/>
  <c r="AE18" i="17"/>
  <c r="AD18" i="17"/>
  <c r="AC18" i="17"/>
  <c r="AB18" i="17"/>
  <c r="AA18" i="17"/>
  <c r="Z18" i="17"/>
  <c r="X18" i="17"/>
  <c r="W18" i="17"/>
  <c r="Y18" i="17" s="1"/>
  <c r="T18" i="17"/>
  <c r="S18" i="17"/>
  <c r="V18" i="17" s="1"/>
  <c r="R18" i="17"/>
  <c r="U18" i="17" s="1"/>
  <c r="O18" i="17"/>
  <c r="J18" i="17" s="1"/>
  <c r="L18" i="17"/>
  <c r="I18" i="17"/>
  <c r="Q18" i="17" s="1"/>
  <c r="H18" i="17"/>
  <c r="N18" i="17" s="1"/>
  <c r="G18" i="17"/>
  <c r="F18" i="17"/>
  <c r="E18" i="17"/>
  <c r="AE17" i="17"/>
  <c r="AD17" i="17"/>
  <c r="AC17" i="17"/>
  <c r="AB17" i="17"/>
  <c r="AA17" i="17"/>
  <c r="Z17" i="17"/>
  <c r="X17" i="17"/>
  <c r="W17" i="17"/>
  <c r="Y17" i="17" s="1"/>
  <c r="T17" i="17"/>
  <c r="S17" i="17"/>
  <c r="V17" i="17" s="1"/>
  <c r="R17" i="17"/>
  <c r="U17" i="17" s="1"/>
  <c r="O17" i="17"/>
  <c r="L17" i="17"/>
  <c r="I17" i="17"/>
  <c r="Q17" i="17" s="1"/>
  <c r="H17" i="17"/>
  <c r="N17" i="17" s="1"/>
  <c r="G17" i="17"/>
  <c r="P17" i="17" s="1"/>
  <c r="F17" i="17"/>
  <c r="E17" i="17"/>
  <c r="AE16" i="17"/>
  <c r="AD16" i="17"/>
  <c r="AC16" i="17"/>
  <c r="AB16" i="17"/>
  <c r="AA16" i="17"/>
  <c r="Z16" i="17"/>
  <c r="X16" i="17"/>
  <c r="W16" i="17"/>
  <c r="T16" i="17"/>
  <c r="S16" i="17"/>
  <c r="V16" i="17" s="1"/>
  <c r="R16" i="17"/>
  <c r="U16" i="17" s="1"/>
  <c r="O16" i="17"/>
  <c r="L16" i="17"/>
  <c r="J16" i="17" s="1"/>
  <c r="I16" i="17"/>
  <c r="Q16" i="17" s="1"/>
  <c r="H16" i="17"/>
  <c r="N16" i="17" s="1"/>
  <c r="G16" i="17"/>
  <c r="P16" i="17" s="1"/>
  <c r="F16" i="17"/>
  <c r="E16" i="17"/>
  <c r="AE15" i="17"/>
  <c r="AD15" i="17"/>
  <c r="AC15" i="17"/>
  <c r="AB15" i="17"/>
  <c r="AA15" i="17"/>
  <c r="Z15" i="17"/>
  <c r="X15" i="17"/>
  <c r="W15" i="17"/>
  <c r="Y15" i="17" s="1"/>
  <c r="T15" i="17"/>
  <c r="S15" i="17"/>
  <c r="V15" i="17" s="1"/>
  <c r="R15" i="17"/>
  <c r="U15" i="17" s="1"/>
  <c r="O15" i="17"/>
  <c r="L15" i="17"/>
  <c r="J15" i="17" s="1"/>
  <c r="I15" i="17"/>
  <c r="Q15" i="17" s="1"/>
  <c r="H15" i="17"/>
  <c r="N15" i="17" s="1"/>
  <c r="G15" i="17"/>
  <c r="P15" i="17" s="1"/>
  <c r="F15" i="17"/>
  <c r="E15" i="17"/>
  <c r="D15" i="17" s="1"/>
  <c r="AE14" i="17"/>
  <c r="AD14" i="17"/>
  <c r="AC14" i="17"/>
  <c r="AB14" i="17"/>
  <c r="AA14" i="17"/>
  <c r="Z14" i="17"/>
  <c r="X14" i="17"/>
  <c r="W14" i="17"/>
  <c r="Y14" i="17" s="1"/>
  <c r="T14" i="17"/>
  <c r="S14" i="17"/>
  <c r="V14" i="17" s="1"/>
  <c r="R14" i="17"/>
  <c r="U14" i="17" s="1"/>
  <c r="O14" i="17"/>
  <c r="L14" i="17"/>
  <c r="I14" i="17"/>
  <c r="H14" i="17"/>
  <c r="N14" i="17" s="1"/>
  <c r="G14" i="17"/>
  <c r="P14" i="17" s="1"/>
  <c r="F14" i="17"/>
  <c r="E14" i="17"/>
  <c r="V108" i="16"/>
  <c r="U108" i="16"/>
  <c r="O108" i="16"/>
  <c r="J108" i="16" s="1"/>
  <c r="L108" i="16"/>
  <c r="I108" i="16"/>
  <c r="Q108" i="16" s="1"/>
  <c r="H108" i="16"/>
  <c r="N108" i="16" s="1"/>
  <c r="G108" i="16"/>
  <c r="P108" i="16" s="1"/>
  <c r="F108" i="16"/>
  <c r="E108" i="16"/>
  <c r="V107" i="16"/>
  <c r="U107" i="16"/>
  <c r="O107" i="16"/>
  <c r="L107" i="16"/>
  <c r="I107" i="16"/>
  <c r="Q107" i="16" s="1"/>
  <c r="H107" i="16"/>
  <c r="N107" i="16" s="1"/>
  <c r="G107" i="16"/>
  <c r="P107" i="16" s="1"/>
  <c r="F107" i="16"/>
  <c r="E107" i="16"/>
  <c r="V106" i="16"/>
  <c r="U106" i="16"/>
  <c r="Q106" i="16"/>
  <c r="O106" i="16"/>
  <c r="L106" i="16"/>
  <c r="J106" i="16" s="1"/>
  <c r="I106" i="16"/>
  <c r="H106" i="16"/>
  <c r="N106" i="16" s="1"/>
  <c r="G106" i="16"/>
  <c r="P106" i="16" s="1"/>
  <c r="F106" i="16"/>
  <c r="E106" i="16"/>
  <c r="V105" i="16"/>
  <c r="U105" i="16"/>
  <c r="O105" i="16"/>
  <c r="L105" i="16"/>
  <c r="J105" i="16" s="1"/>
  <c r="I105" i="16"/>
  <c r="Q105" i="16" s="1"/>
  <c r="H105" i="16"/>
  <c r="N105" i="16" s="1"/>
  <c r="G105" i="16"/>
  <c r="P105" i="16" s="1"/>
  <c r="F105" i="16"/>
  <c r="E105" i="16"/>
  <c r="D105" i="16" s="1"/>
  <c r="V104" i="16"/>
  <c r="U104" i="16"/>
  <c r="O104" i="16"/>
  <c r="L104" i="16"/>
  <c r="I104" i="16"/>
  <c r="Q104" i="16" s="1"/>
  <c r="H104" i="16"/>
  <c r="G104" i="16"/>
  <c r="F104" i="16"/>
  <c r="E104" i="16"/>
  <c r="V103" i="16"/>
  <c r="U103" i="16"/>
  <c r="O103" i="16"/>
  <c r="N103" i="16"/>
  <c r="L103" i="16"/>
  <c r="I103" i="16"/>
  <c r="Q103" i="16" s="1"/>
  <c r="H103" i="16"/>
  <c r="G103" i="16"/>
  <c r="P103" i="16" s="1"/>
  <c r="F103" i="16"/>
  <c r="E103" i="16"/>
  <c r="D103" i="16" s="1"/>
  <c r="V102" i="16"/>
  <c r="U102" i="16"/>
  <c r="O102" i="16"/>
  <c r="L102" i="16"/>
  <c r="I102" i="16"/>
  <c r="Q102" i="16" s="1"/>
  <c r="H102" i="16"/>
  <c r="N102" i="16" s="1"/>
  <c r="G102" i="16"/>
  <c r="P102" i="16" s="1"/>
  <c r="F102" i="16"/>
  <c r="E102" i="16"/>
  <c r="V101" i="16"/>
  <c r="U101" i="16"/>
  <c r="O101" i="16"/>
  <c r="L101" i="16"/>
  <c r="I101" i="16"/>
  <c r="Q101" i="16" s="1"/>
  <c r="H101" i="16"/>
  <c r="N101" i="16" s="1"/>
  <c r="G101" i="16"/>
  <c r="P101" i="16" s="1"/>
  <c r="F101" i="16"/>
  <c r="E101" i="16"/>
  <c r="T100" i="16"/>
  <c r="S100" i="16"/>
  <c r="R100" i="16"/>
  <c r="O100" i="16"/>
  <c r="L100" i="16"/>
  <c r="J100" i="16"/>
  <c r="I100" i="16"/>
  <c r="Q100" i="16" s="1"/>
  <c r="H100" i="16"/>
  <c r="N100" i="16" s="1"/>
  <c r="G100" i="16"/>
  <c r="P100" i="16" s="1"/>
  <c r="F100" i="16"/>
  <c r="E100" i="16"/>
  <c r="D100" i="16"/>
  <c r="V99" i="16"/>
  <c r="U99" i="16"/>
  <c r="O99" i="16"/>
  <c r="J99" i="16" s="1"/>
  <c r="L99" i="16"/>
  <c r="I99" i="16"/>
  <c r="Q99" i="16" s="1"/>
  <c r="H99" i="16"/>
  <c r="N99" i="16" s="1"/>
  <c r="G99" i="16"/>
  <c r="P99" i="16" s="1"/>
  <c r="F99" i="16"/>
  <c r="E99" i="16"/>
  <c r="D99" i="16" s="1"/>
  <c r="M99" i="16" s="1"/>
  <c r="T98" i="16"/>
  <c r="S98" i="16"/>
  <c r="V98" i="16" s="1"/>
  <c r="R98" i="16"/>
  <c r="O98" i="16"/>
  <c r="L98" i="16"/>
  <c r="I98" i="16"/>
  <c r="Q98" i="16" s="1"/>
  <c r="H98" i="16"/>
  <c r="N98" i="16" s="1"/>
  <c r="G98" i="16"/>
  <c r="P98" i="16" s="1"/>
  <c r="F98" i="16"/>
  <c r="E98" i="16"/>
  <c r="V97" i="16"/>
  <c r="U97" i="16"/>
  <c r="O97" i="16"/>
  <c r="L97" i="16"/>
  <c r="J97" i="16" s="1"/>
  <c r="I97" i="16"/>
  <c r="Q97" i="16" s="1"/>
  <c r="H97" i="16"/>
  <c r="N97" i="16" s="1"/>
  <c r="G97" i="16"/>
  <c r="P97" i="16" s="1"/>
  <c r="F97" i="16"/>
  <c r="E97" i="16"/>
  <c r="T96" i="16"/>
  <c r="S96" i="16"/>
  <c r="V96" i="16" s="1"/>
  <c r="R96" i="16"/>
  <c r="O96" i="16"/>
  <c r="L96" i="16"/>
  <c r="J96" i="16" s="1"/>
  <c r="I96" i="16"/>
  <c r="Q96" i="16" s="1"/>
  <c r="H96" i="16"/>
  <c r="N96" i="16" s="1"/>
  <c r="G96" i="16"/>
  <c r="P96" i="16" s="1"/>
  <c r="F96" i="16"/>
  <c r="E96" i="16"/>
  <c r="D96" i="16"/>
  <c r="V95" i="16"/>
  <c r="U95" i="16"/>
  <c r="Q95" i="16"/>
  <c r="O95" i="16"/>
  <c r="L95" i="16"/>
  <c r="I95" i="16"/>
  <c r="H95" i="16"/>
  <c r="N95" i="16" s="1"/>
  <c r="G95" i="16"/>
  <c r="P95" i="16" s="1"/>
  <c r="F95" i="16"/>
  <c r="E95" i="16"/>
  <c r="T94" i="16"/>
  <c r="S94" i="16"/>
  <c r="R94" i="16"/>
  <c r="Q94" i="16"/>
  <c r="O94" i="16"/>
  <c r="J94" i="16" s="1"/>
  <c r="L94" i="16"/>
  <c r="I94" i="16"/>
  <c r="H94" i="16"/>
  <c r="G94" i="16"/>
  <c r="P94" i="16" s="1"/>
  <c r="F94" i="16"/>
  <c r="E94" i="16"/>
  <c r="V93" i="16"/>
  <c r="U93" i="16"/>
  <c r="O93" i="16"/>
  <c r="L93" i="16"/>
  <c r="I93" i="16"/>
  <c r="Q93" i="16" s="1"/>
  <c r="H93" i="16"/>
  <c r="G93" i="16"/>
  <c r="P93" i="16" s="1"/>
  <c r="F93" i="16"/>
  <c r="E93" i="16"/>
  <c r="V92" i="16"/>
  <c r="U92" i="16"/>
  <c r="O92" i="16"/>
  <c r="L92" i="16"/>
  <c r="I92" i="16"/>
  <c r="H92" i="16"/>
  <c r="N92" i="16" s="1"/>
  <c r="G92" i="16"/>
  <c r="P92" i="16" s="1"/>
  <c r="F92" i="16"/>
  <c r="E92" i="16"/>
  <c r="V91" i="16"/>
  <c r="U91" i="16"/>
  <c r="O91" i="16"/>
  <c r="L91" i="16"/>
  <c r="I91" i="16"/>
  <c r="Q91" i="16" s="1"/>
  <c r="H91" i="16"/>
  <c r="N91" i="16" s="1"/>
  <c r="G91" i="16"/>
  <c r="P91" i="16" s="1"/>
  <c r="F91" i="16"/>
  <c r="E91" i="16"/>
  <c r="V90" i="16"/>
  <c r="U90" i="16"/>
  <c r="O90" i="16"/>
  <c r="L90" i="16"/>
  <c r="I90" i="16"/>
  <c r="Q90" i="16" s="1"/>
  <c r="H90" i="16"/>
  <c r="N90" i="16" s="1"/>
  <c r="G90" i="16"/>
  <c r="F90" i="16"/>
  <c r="E90" i="16"/>
  <c r="D90" i="16" s="1"/>
  <c r="DF88" i="16"/>
  <c r="DE88" i="16"/>
  <c r="DD88" i="16"/>
  <c r="DC88" i="16"/>
  <c r="DB88" i="16"/>
  <c r="DA88" i="16"/>
  <c r="CY88" i="16"/>
  <c r="CW88" i="16"/>
  <c r="CV88" i="16"/>
  <c r="CU88" i="16"/>
  <c r="CT88" i="16"/>
  <c r="CS88" i="16"/>
  <c r="CR88" i="16"/>
  <c r="CQ88" i="16"/>
  <c r="CO88" i="16"/>
  <c r="CM88" i="16"/>
  <c r="CL88" i="16"/>
  <c r="CP88" i="16" s="1"/>
  <c r="CK88" i="16"/>
  <c r="CN88" i="16" s="1"/>
  <c r="CJ88" i="16"/>
  <c r="CI88" i="16"/>
  <c r="CH88" i="16"/>
  <c r="CG88" i="16"/>
  <c r="CF88" i="16"/>
  <c r="CE88" i="16"/>
  <c r="CD88" i="16"/>
  <c r="CC88" i="16"/>
  <c r="CB88" i="16"/>
  <c r="CA88" i="16"/>
  <c r="BZ88" i="16"/>
  <c r="BY88" i="16"/>
  <c r="BX88" i="16"/>
  <c r="BW88" i="16"/>
  <c r="BV88" i="16"/>
  <c r="BU88" i="16"/>
  <c r="BS88" i="16"/>
  <c r="BQ88" i="16"/>
  <c r="BP88" i="16"/>
  <c r="BT88" i="16" s="1"/>
  <c r="BO88" i="16"/>
  <c r="BN88" i="16"/>
  <c r="BM88" i="16"/>
  <c r="BL88" i="16"/>
  <c r="BK88" i="16"/>
  <c r="BJ88" i="16"/>
  <c r="BI88" i="16"/>
  <c r="BH88" i="16"/>
  <c r="BG88" i="16"/>
  <c r="BF88" i="16"/>
  <c r="BE88" i="16"/>
  <c r="BD88" i="16"/>
  <c r="BC88" i="16"/>
  <c r="BB88" i="16"/>
  <c r="BA88" i="16"/>
  <c r="AY88" i="16"/>
  <c r="AW88" i="16"/>
  <c r="AV88" i="16"/>
  <c r="AU88" i="16"/>
  <c r="AT88" i="16"/>
  <c r="AS88" i="16"/>
  <c r="AR88" i="16"/>
  <c r="AQ88" i="16"/>
  <c r="AP88" i="16"/>
  <c r="AO88" i="16"/>
  <c r="AM88" i="16"/>
  <c r="AK88" i="16"/>
  <c r="AJ88" i="16"/>
  <c r="AN88" i="16" s="1"/>
  <c r="AI88" i="16"/>
  <c r="AL88" i="16" s="1"/>
  <c r="AH88" i="16"/>
  <c r="AG88" i="16"/>
  <c r="AF88" i="16"/>
  <c r="AE88" i="16"/>
  <c r="AD88" i="16"/>
  <c r="AC88" i="16"/>
  <c r="AA88" i="16"/>
  <c r="Y88" i="16"/>
  <c r="X88" i="16"/>
  <c r="W88" i="16"/>
  <c r="Z88" i="16" s="1"/>
  <c r="T88" i="16"/>
  <c r="S88" i="16"/>
  <c r="R88" i="16"/>
  <c r="O88" i="16"/>
  <c r="L88" i="16"/>
  <c r="I88" i="16"/>
  <c r="Q88" i="16" s="1"/>
  <c r="H88" i="16"/>
  <c r="G88" i="16"/>
  <c r="P88" i="16" s="1"/>
  <c r="F88" i="16"/>
  <c r="E88" i="16"/>
  <c r="DF87" i="16"/>
  <c r="DE87" i="16"/>
  <c r="DD87" i="16"/>
  <c r="DC87" i="16"/>
  <c r="DB87" i="16"/>
  <c r="DA87" i="16"/>
  <c r="CY87" i="16"/>
  <c r="CW87" i="16"/>
  <c r="CV87" i="16"/>
  <c r="CZ87" i="16" s="1"/>
  <c r="CU87" i="16"/>
  <c r="CX87" i="16" s="1"/>
  <c r="CT87" i="16"/>
  <c r="CS87" i="16"/>
  <c r="CR87" i="16"/>
  <c r="CQ87" i="16"/>
  <c r="CO87" i="16"/>
  <c r="CM87" i="16"/>
  <c r="CL87" i="16"/>
  <c r="CP87" i="16" s="1"/>
  <c r="CK87" i="16"/>
  <c r="CN87" i="16" s="1"/>
  <c r="CJ87" i="16"/>
  <c r="CI87" i="16"/>
  <c r="CH87" i="16"/>
  <c r="CG87" i="16"/>
  <c r="CF87" i="16"/>
  <c r="CE87" i="16"/>
  <c r="CD87" i="16"/>
  <c r="CC87" i="16"/>
  <c r="CB87" i="16"/>
  <c r="CA87" i="16"/>
  <c r="BZ87" i="16"/>
  <c r="BY87" i="16"/>
  <c r="BX87" i="16"/>
  <c r="BW87" i="16"/>
  <c r="BV87" i="16"/>
  <c r="BU87" i="16"/>
  <c r="BS87" i="16"/>
  <c r="BQ87" i="16"/>
  <c r="BP87" i="16"/>
  <c r="BT87" i="16" s="1"/>
  <c r="BO87" i="16"/>
  <c r="BN87" i="16"/>
  <c r="BM87" i="16"/>
  <c r="BL87" i="16"/>
  <c r="BK87" i="16"/>
  <c r="BJ87" i="16"/>
  <c r="BI87" i="16"/>
  <c r="BH87" i="16"/>
  <c r="BG87" i="16"/>
  <c r="BF87" i="16"/>
  <c r="BE87" i="16"/>
  <c r="BD87" i="16"/>
  <c r="BC87" i="16"/>
  <c r="BB87" i="16"/>
  <c r="BA87" i="16"/>
  <c r="AY87" i="16"/>
  <c r="AW87" i="16"/>
  <c r="AV87" i="16"/>
  <c r="AZ87" i="16" s="1"/>
  <c r="AU87" i="16"/>
  <c r="AX87" i="16" s="1"/>
  <c r="AT87" i="16"/>
  <c r="AS87" i="16"/>
  <c r="AR87" i="16"/>
  <c r="AQ87" i="16"/>
  <c r="AP87" i="16"/>
  <c r="AO87" i="16"/>
  <c r="AM87" i="16"/>
  <c r="AK87" i="16"/>
  <c r="AJ87" i="16"/>
  <c r="AN87" i="16" s="1"/>
  <c r="AI87" i="16"/>
  <c r="AL87" i="16" s="1"/>
  <c r="AH87" i="16"/>
  <c r="AG87" i="16"/>
  <c r="AF87" i="16"/>
  <c r="AE87" i="16"/>
  <c r="AD87" i="16"/>
  <c r="AC87" i="16"/>
  <c r="AA87" i="16"/>
  <c r="Y87" i="16"/>
  <c r="X87" i="16"/>
  <c r="AB87" i="16" s="1"/>
  <c r="W87" i="16"/>
  <c r="Z87" i="16" s="1"/>
  <c r="T87" i="16"/>
  <c r="S87" i="16"/>
  <c r="R87" i="16"/>
  <c r="O87" i="16"/>
  <c r="L87" i="16"/>
  <c r="I87" i="16"/>
  <c r="Q87" i="16" s="1"/>
  <c r="H87" i="16"/>
  <c r="G87" i="16"/>
  <c r="P87" i="16" s="1"/>
  <c r="F87" i="16"/>
  <c r="E87" i="16"/>
  <c r="DF86" i="16"/>
  <c r="DE86" i="16"/>
  <c r="DD86" i="16"/>
  <c r="DC86" i="16"/>
  <c r="DB86" i="16"/>
  <c r="DA86" i="16"/>
  <c r="CZ86" i="16"/>
  <c r="CY86" i="16"/>
  <c r="CW86" i="16"/>
  <c r="CV86" i="16"/>
  <c r="CU86" i="16"/>
  <c r="CX86" i="16" s="1"/>
  <c r="CT86" i="16"/>
  <c r="CS86" i="16"/>
  <c r="CR86" i="16"/>
  <c r="CQ86" i="16"/>
  <c r="CO86" i="16"/>
  <c r="CM86" i="16"/>
  <c r="CL86" i="16"/>
  <c r="CP86" i="16" s="1"/>
  <c r="CK86" i="16"/>
  <c r="CJ86" i="16"/>
  <c r="CI86" i="16"/>
  <c r="CH86" i="16"/>
  <c r="CG86" i="16"/>
  <c r="CF86" i="16"/>
  <c r="CE86" i="16"/>
  <c r="CD86" i="16"/>
  <c r="CC86" i="16"/>
  <c r="CB86" i="16"/>
  <c r="CA86" i="16"/>
  <c r="BZ86" i="16"/>
  <c r="BY86" i="16"/>
  <c r="BX86" i="16"/>
  <c r="BW86" i="16"/>
  <c r="BV86" i="16"/>
  <c r="BU86" i="16"/>
  <c r="BS86" i="16"/>
  <c r="BQ86" i="16"/>
  <c r="BP86" i="16"/>
  <c r="BO86" i="16"/>
  <c r="BN86" i="16"/>
  <c r="BM86" i="16"/>
  <c r="BL86" i="16"/>
  <c r="BK86" i="16"/>
  <c r="BJ86" i="16"/>
  <c r="BI86" i="16"/>
  <c r="BH86" i="16"/>
  <c r="BG86" i="16"/>
  <c r="BF86" i="16"/>
  <c r="BE86" i="16"/>
  <c r="BD86" i="16"/>
  <c r="BC86" i="16"/>
  <c r="BB86" i="16"/>
  <c r="BA86" i="16"/>
  <c r="AY86" i="16"/>
  <c r="AW86" i="16"/>
  <c r="AV86" i="16"/>
  <c r="AZ86" i="16" s="1"/>
  <c r="AU86" i="16"/>
  <c r="AX86" i="16" s="1"/>
  <c r="AT86" i="16"/>
  <c r="AS86" i="16"/>
  <c r="AR86" i="16"/>
  <c r="AQ86" i="16"/>
  <c r="AP86" i="16"/>
  <c r="AO86" i="16"/>
  <c r="AM86" i="16"/>
  <c r="AK86" i="16"/>
  <c r="AJ86" i="16"/>
  <c r="AN86" i="16" s="1"/>
  <c r="AI86" i="16"/>
  <c r="AL86" i="16" s="1"/>
  <c r="AH86" i="16"/>
  <c r="AG86" i="16"/>
  <c r="AF86" i="16"/>
  <c r="AE86" i="16"/>
  <c r="AD86" i="16"/>
  <c r="AC86" i="16"/>
  <c r="AA86" i="16"/>
  <c r="Y86" i="16"/>
  <c r="X86" i="16"/>
  <c r="AB86" i="16" s="1"/>
  <c r="W86" i="16"/>
  <c r="Z86" i="16" s="1"/>
  <c r="T86" i="16"/>
  <c r="S86" i="16"/>
  <c r="R86" i="16"/>
  <c r="O86" i="16"/>
  <c r="L86" i="16"/>
  <c r="I86" i="16"/>
  <c r="H86" i="16"/>
  <c r="N86" i="16" s="1"/>
  <c r="G86" i="16"/>
  <c r="P86" i="16" s="1"/>
  <c r="F86" i="16"/>
  <c r="E86" i="16"/>
  <c r="DF85" i="16"/>
  <c r="DE85" i="16"/>
  <c r="DD85" i="16"/>
  <c r="DC85" i="16"/>
  <c r="DB85" i="16"/>
  <c r="DA85" i="16"/>
  <c r="CY85" i="16"/>
  <c r="CW85" i="16"/>
  <c r="CV85" i="16"/>
  <c r="CZ85" i="16" s="1"/>
  <c r="CU85" i="16"/>
  <c r="CX85" i="16" s="1"/>
  <c r="CT85" i="16"/>
  <c r="CS85" i="16"/>
  <c r="CR85" i="16"/>
  <c r="CQ85" i="16"/>
  <c r="CO85" i="16"/>
  <c r="CM85" i="16"/>
  <c r="CL85" i="16"/>
  <c r="CP85" i="16" s="1"/>
  <c r="CK85" i="16"/>
  <c r="CN85" i="16" s="1"/>
  <c r="CJ85" i="16"/>
  <c r="CI85" i="16"/>
  <c r="CH85" i="16"/>
  <c r="CG85" i="16"/>
  <c r="CF85" i="16"/>
  <c r="CE85" i="16"/>
  <c r="CD85" i="16"/>
  <c r="CC85" i="16"/>
  <c r="CB85" i="16"/>
  <c r="CA85" i="16"/>
  <c r="BZ85" i="16"/>
  <c r="BY85" i="16"/>
  <c r="BX85" i="16"/>
  <c r="BW85" i="16"/>
  <c r="BV85" i="16"/>
  <c r="BU85" i="16"/>
  <c r="BS85" i="16"/>
  <c r="BQ85" i="16"/>
  <c r="BP85" i="16"/>
  <c r="BT85" i="16" s="1"/>
  <c r="BO85" i="16"/>
  <c r="BR85" i="16" s="1"/>
  <c r="BN85" i="16"/>
  <c r="BM85" i="16"/>
  <c r="BL85" i="16"/>
  <c r="BK85" i="16"/>
  <c r="BJ85" i="16"/>
  <c r="BI85" i="16"/>
  <c r="BH85" i="16"/>
  <c r="BG85" i="16"/>
  <c r="BF85" i="16"/>
  <c r="BE85" i="16"/>
  <c r="BD85" i="16"/>
  <c r="BC85" i="16"/>
  <c r="BB85" i="16"/>
  <c r="BA85" i="16"/>
  <c r="AY85" i="16"/>
  <c r="AW85" i="16"/>
  <c r="AV85" i="16"/>
  <c r="AZ85" i="16" s="1"/>
  <c r="AU85" i="16"/>
  <c r="AT85" i="16"/>
  <c r="AS85" i="16"/>
  <c r="AR85" i="16"/>
  <c r="AQ85" i="16"/>
  <c r="AP85" i="16"/>
  <c r="AO85" i="16"/>
  <c r="AM85" i="16"/>
  <c r="AK85" i="16"/>
  <c r="AJ85" i="16"/>
  <c r="AN85" i="16" s="1"/>
  <c r="AI85" i="16"/>
  <c r="AL85" i="16" s="1"/>
  <c r="AH85" i="16"/>
  <c r="AG85" i="16"/>
  <c r="AF85" i="16"/>
  <c r="AE85" i="16"/>
  <c r="AD85" i="16"/>
  <c r="AC85" i="16"/>
  <c r="AA85" i="16"/>
  <c r="Y85" i="16"/>
  <c r="X85" i="16"/>
  <c r="AB85" i="16" s="1"/>
  <c r="W85" i="16"/>
  <c r="Z85" i="16" s="1"/>
  <c r="T85" i="16"/>
  <c r="S85" i="16"/>
  <c r="V85" i="16" s="1"/>
  <c r="R85" i="16"/>
  <c r="U85" i="16" s="1"/>
  <c r="O85" i="16"/>
  <c r="L85" i="16"/>
  <c r="I85" i="16"/>
  <c r="Q85" i="16" s="1"/>
  <c r="H85" i="16"/>
  <c r="N85" i="16" s="1"/>
  <c r="G85" i="16"/>
  <c r="P85" i="16" s="1"/>
  <c r="F85" i="16"/>
  <c r="E85" i="16"/>
  <c r="DF84" i="16"/>
  <c r="DE84" i="16"/>
  <c r="DD84" i="16"/>
  <c r="DC84" i="16"/>
  <c r="DB84" i="16"/>
  <c r="DA84" i="16"/>
  <c r="CY84" i="16"/>
  <c r="CW84" i="16"/>
  <c r="CV84" i="16"/>
  <c r="CZ84" i="16" s="1"/>
  <c r="CU84" i="16"/>
  <c r="CX84" i="16" s="1"/>
  <c r="CT84" i="16"/>
  <c r="CS84" i="16"/>
  <c r="CR84" i="16"/>
  <c r="CQ84" i="16"/>
  <c r="CO84" i="16"/>
  <c r="CM84" i="16"/>
  <c r="CL84" i="16"/>
  <c r="CP84" i="16" s="1"/>
  <c r="CK84" i="16"/>
  <c r="CN84" i="16" s="1"/>
  <c r="CJ84" i="16"/>
  <c r="CI84" i="16"/>
  <c r="CH84" i="16"/>
  <c r="CG84" i="16"/>
  <c r="CF84" i="16"/>
  <c r="CE84" i="16"/>
  <c r="CD84" i="16"/>
  <c r="CC84" i="16"/>
  <c r="CB84" i="16"/>
  <c r="CA84" i="16"/>
  <c r="BZ84" i="16"/>
  <c r="BY84" i="16"/>
  <c r="BX84" i="16"/>
  <c r="BW84" i="16"/>
  <c r="BV84" i="16"/>
  <c r="BU84" i="16"/>
  <c r="BS84" i="16"/>
  <c r="BQ84" i="16"/>
  <c r="BP84" i="16"/>
  <c r="BO84" i="16"/>
  <c r="BN84" i="16"/>
  <c r="BM84" i="16"/>
  <c r="BL84" i="16"/>
  <c r="BK84" i="16"/>
  <c r="BJ84" i="16"/>
  <c r="BI84" i="16"/>
  <c r="BH84" i="16"/>
  <c r="BG84" i="16"/>
  <c r="BF84" i="16"/>
  <c r="BE84" i="16"/>
  <c r="BD84" i="16"/>
  <c r="BC84" i="16"/>
  <c r="BB84" i="16"/>
  <c r="BA84" i="16"/>
  <c r="AY84" i="16"/>
  <c r="AW84" i="16"/>
  <c r="AV84" i="16"/>
  <c r="AZ84" i="16" s="1"/>
  <c r="AU84" i="16"/>
  <c r="AX84" i="16" s="1"/>
  <c r="AT84" i="16"/>
  <c r="AS84" i="16"/>
  <c r="AR84" i="16"/>
  <c r="AQ84" i="16"/>
  <c r="AP84" i="16"/>
  <c r="AO84" i="16"/>
  <c r="AM84" i="16"/>
  <c r="AK84" i="16"/>
  <c r="AJ84" i="16"/>
  <c r="AI84" i="16"/>
  <c r="AL84" i="16" s="1"/>
  <c r="AH84" i="16"/>
  <c r="AG84" i="16"/>
  <c r="AF84" i="16"/>
  <c r="AE84" i="16"/>
  <c r="AD84" i="16"/>
  <c r="AC84" i="16"/>
  <c r="AA84" i="16"/>
  <c r="Y84" i="16"/>
  <c r="X84" i="16"/>
  <c r="AB84" i="16" s="1"/>
  <c r="W84" i="16"/>
  <c r="T84" i="16"/>
  <c r="S84" i="16"/>
  <c r="R84" i="16"/>
  <c r="O84" i="16"/>
  <c r="L84" i="16"/>
  <c r="I84" i="16"/>
  <c r="Q84" i="16" s="1"/>
  <c r="H84" i="16"/>
  <c r="G84" i="16"/>
  <c r="P84" i="16" s="1"/>
  <c r="F84" i="16"/>
  <c r="E84" i="16"/>
  <c r="DF83" i="16"/>
  <c r="DE83" i="16"/>
  <c r="DD83" i="16"/>
  <c r="DC83" i="16"/>
  <c r="DB83" i="16"/>
  <c r="DA83" i="16"/>
  <c r="CY83" i="16"/>
  <c r="CW83" i="16"/>
  <c r="CV83" i="16"/>
  <c r="CZ83" i="16" s="1"/>
  <c r="CU83" i="16"/>
  <c r="CX83" i="16" s="1"/>
  <c r="CT83" i="16"/>
  <c r="CS83" i="16"/>
  <c r="CR83" i="16"/>
  <c r="CQ83" i="16"/>
  <c r="CO83" i="16"/>
  <c r="CM83" i="16"/>
  <c r="CL83" i="16"/>
  <c r="CK83" i="16"/>
  <c r="CN83" i="16" s="1"/>
  <c r="CJ83" i="16"/>
  <c r="CI83" i="16"/>
  <c r="CH83" i="16"/>
  <c r="CG83" i="16"/>
  <c r="CF83" i="16"/>
  <c r="CE83" i="16"/>
  <c r="CD83" i="16"/>
  <c r="CC83" i="16"/>
  <c r="CB83" i="16"/>
  <c r="CA83" i="16"/>
  <c r="BZ83" i="16"/>
  <c r="BY83" i="16"/>
  <c r="BX83" i="16"/>
  <c r="BW83" i="16"/>
  <c r="BV83" i="16"/>
  <c r="BU83" i="16"/>
  <c r="BS83" i="16"/>
  <c r="BQ83" i="16"/>
  <c r="BP83" i="16"/>
  <c r="BO83" i="16"/>
  <c r="BR83" i="16" s="1"/>
  <c r="BN83" i="16"/>
  <c r="BM83" i="16"/>
  <c r="BL83" i="16"/>
  <c r="BK83" i="16"/>
  <c r="BJ83" i="16"/>
  <c r="BI83" i="16"/>
  <c r="BH83" i="16"/>
  <c r="BG83" i="16"/>
  <c r="BF83" i="16"/>
  <c r="BE83" i="16"/>
  <c r="BD83" i="16"/>
  <c r="BC83" i="16"/>
  <c r="BB83" i="16"/>
  <c r="BA83" i="16"/>
  <c r="AY83" i="16"/>
  <c r="AX83" i="16"/>
  <c r="AW83" i="16"/>
  <c r="AV83" i="16"/>
  <c r="AZ83" i="16" s="1"/>
  <c r="AU83" i="16"/>
  <c r="AT83" i="16"/>
  <c r="AS83" i="16"/>
  <c r="AR83" i="16"/>
  <c r="AQ83" i="16"/>
  <c r="AP83" i="16"/>
  <c r="AO83" i="16"/>
  <c r="AM83" i="16"/>
  <c r="AK83" i="16"/>
  <c r="AJ83" i="16"/>
  <c r="AN83" i="16" s="1"/>
  <c r="AI83" i="16"/>
  <c r="AL83" i="16" s="1"/>
  <c r="AH83" i="16"/>
  <c r="AG83" i="16"/>
  <c r="AF83" i="16"/>
  <c r="AE83" i="16"/>
  <c r="AD83" i="16"/>
  <c r="AC83" i="16"/>
  <c r="AA83" i="16"/>
  <c r="Y83" i="16"/>
  <c r="X83" i="16"/>
  <c r="AB83" i="16" s="1"/>
  <c r="W83" i="16"/>
  <c r="Z83" i="16" s="1"/>
  <c r="U83" i="16"/>
  <c r="T83" i="16"/>
  <c r="S83" i="16"/>
  <c r="V83" i="16" s="1"/>
  <c r="R83" i="16"/>
  <c r="O83" i="16"/>
  <c r="L83" i="16"/>
  <c r="I83" i="16"/>
  <c r="Q83" i="16" s="1"/>
  <c r="H83" i="16"/>
  <c r="N83" i="16" s="1"/>
  <c r="G83" i="16"/>
  <c r="P83" i="16" s="1"/>
  <c r="F83" i="16"/>
  <c r="E83" i="16"/>
  <c r="DF82" i="16"/>
  <c r="DE82" i="16"/>
  <c r="DD82" i="16"/>
  <c r="DC82" i="16"/>
  <c r="DB82" i="16"/>
  <c r="DA82" i="16"/>
  <c r="CY82" i="16"/>
  <c r="CW82" i="16"/>
  <c r="CV82" i="16"/>
  <c r="CZ82" i="16" s="1"/>
  <c r="CU82" i="16"/>
  <c r="CX82" i="16" s="1"/>
  <c r="CT82" i="16"/>
  <c r="CS82" i="16"/>
  <c r="CR82" i="16"/>
  <c r="CQ82" i="16"/>
  <c r="CO82" i="16"/>
  <c r="CM82" i="16"/>
  <c r="CL82" i="16"/>
  <c r="CP82" i="16" s="1"/>
  <c r="CK82" i="16"/>
  <c r="CN82" i="16" s="1"/>
  <c r="CJ82" i="16"/>
  <c r="CI82" i="16"/>
  <c r="CH82" i="16"/>
  <c r="CG82" i="16"/>
  <c r="CF82" i="16"/>
  <c r="CE82" i="16"/>
  <c r="CD82" i="16"/>
  <c r="CC82" i="16"/>
  <c r="CB82" i="16"/>
  <c r="CA82" i="16"/>
  <c r="BZ82" i="16"/>
  <c r="BY82" i="16"/>
  <c r="BX82" i="16"/>
  <c r="BW82" i="16"/>
  <c r="BV82" i="16"/>
  <c r="BU82" i="16"/>
  <c r="BS82" i="16"/>
  <c r="BQ82" i="16"/>
  <c r="BP82" i="16"/>
  <c r="BO82" i="16"/>
  <c r="BR82" i="16" s="1"/>
  <c r="BN82" i="16"/>
  <c r="BM82" i="16"/>
  <c r="BL82" i="16"/>
  <c r="BK82" i="16"/>
  <c r="BJ82" i="16"/>
  <c r="BI82" i="16"/>
  <c r="BH82" i="16"/>
  <c r="BG82" i="16"/>
  <c r="BF82" i="16"/>
  <c r="BE82" i="16"/>
  <c r="BD82" i="16"/>
  <c r="BC82" i="16"/>
  <c r="BB82" i="16"/>
  <c r="BA82" i="16"/>
  <c r="AY82" i="16"/>
  <c r="AW82" i="16"/>
  <c r="AV82" i="16"/>
  <c r="AZ82" i="16" s="1"/>
  <c r="AU82" i="16"/>
  <c r="AX82" i="16" s="1"/>
  <c r="AT82" i="16"/>
  <c r="AS82" i="16"/>
  <c r="AR82" i="16"/>
  <c r="AQ82" i="16"/>
  <c r="AP82" i="16"/>
  <c r="AO82" i="16"/>
  <c r="AM82" i="16"/>
  <c r="AK82" i="16"/>
  <c r="AJ82" i="16"/>
  <c r="AN82" i="16" s="1"/>
  <c r="AI82" i="16"/>
  <c r="AL82" i="16" s="1"/>
  <c r="AH82" i="16"/>
  <c r="AG82" i="16"/>
  <c r="AF82" i="16"/>
  <c r="AE82" i="16"/>
  <c r="AD82" i="16"/>
  <c r="AC82" i="16"/>
  <c r="AA82" i="16"/>
  <c r="Y82" i="16"/>
  <c r="X82" i="16"/>
  <c r="AB82" i="16" s="1"/>
  <c r="W82" i="16"/>
  <c r="Z82" i="16" s="1"/>
  <c r="T82" i="16"/>
  <c r="S82" i="16"/>
  <c r="R82" i="16"/>
  <c r="O82" i="16"/>
  <c r="L82" i="16"/>
  <c r="J82" i="16" s="1"/>
  <c r="I82" i="16"/>
  <c r="Q82" i="16" s="1"/>
  <c r="H82" i="16"/>
  <c r="N82" i="16" s="1"/>
  <c r="G82" i="16"/>
  <c r="P82" i="16" s="1"/>
  <c r="F82" i="16"/>
  <c r="E82" i="16"/>
  <c r="D82" i="16" s="1"/>
  <c r="M82" i="16" s="1"/>
  <c r="DF81" i="16"/>
  <c r="DE81" i="16"/>
  <c r="DD81" i="16"/>
  <c r="DC81" i="16"/>
  <c r="DB81" i="16"/>
  <c r="DA81" i="16"/>
  <c r="CY81" i="16"/>
  <c r="CW81" i="16"/>
  <c r="CV81" i="16"/>
  <c r="CZ81" i="16" s="1"/>
  <c r="CU81" i="16"/>
  <c r="CX81" i="16" s="1"/>
  <c r="CT81" i="16"/>
  <c r="CS81" i="16"/>
  <c r="CR81" i="16"/>
  <c r="CQ81" i="16"/>
  <c r="CO81" i="16"/>
  <c r="CM81" i="16"/>
  <c r="CL81" i="16"/>
  <c r="CP81" i="16" s="1"/>
  <c r="CK81" i="16"/>
  <c r="CN81" i="16" s="1"/>
  <c r="CJ81" i="16"/>
  <c r="CI81" i="16"/>
  <c r="CH81" i="16"/>
  <c r="CG81" i="16"/>
  <c r="CF81" i="16"/>
  <c r="CE81" i="16"/>
  <c r="CD81" i="16"/>
  <c r="CC81" i="16"/>
  <c r="CB81" i="16"/>
  <c r="CA81" i="16"/>
  <c r="BZ81" i="16"/>
  <c r="BY81" i="16"/>
  <c r="BX81" i="16"/>
  <c r="BW81" i="16"/>
  <c r="BV81" i="16"/>
  <c r="BU81" i="16"/>
  <c r="BS81" i="16"/>
  <c r="BQ81" i="16"/>
  <c r="BP81" i="16"/>
  <c r="BO81" i="16"/>
  <c r="BN81" i="16"/>
  <c r="BM81" i="16"/>
  <c r="BL81" i="16"/>
  <c r="BK81" i="16"/>
  <c r="BJ81" i="16"/>
  <c r="BI81" i="16"/>
  <c r="BH81" i="16"/>
  <c r="BG81" i="16"/>
  <c r="BF81" i="16"/>
  <c r="BE81" i="16"/>
  <c r="BD81" i="16"/>
  <c r="BC81" i="16"/>
  <c r="BB81" i="16"/>
  <c r="BA81" i="16"/>
  <c r="AY81" i="16"/>
  <c r="AW81" i="16"/>
  <c r="AV81" i="16"/>
  <c r="AZ81" i="16" s="1"/>
  <c r="AU81" i="16"/>
  <c r="AX81" i="16" s="1"/>
  <c r="AT81" i="16"/>
  <c r="AS81" i="16"/>
  <c r="AR81" i="16"/>
  <c r="AQ81" i="16"/>
  <c r="AP81" i="16"/>
  <c r="AO81" i="16"/>
  <c r="AM81" i="16"/>
  <c r="AK81" i="16"/>
  <c r="AJ81" i="16"/>
  <c r="AN81" i="16" s="1"/>
  <c r="AI81" i="16"/>
  <c r="AL81" i="16" s="1"/>
  <c r="AH81" i="16"/>
  <c r="AG81" i="16"/>
  <c r="AF81" i="16"/>
  <c r="AE81" i="16"/>
  <c r="AD81" i="16"/>
  <c r="AC81" i="16"/>
  <c r="AA81" i="16"/>
  <c r="Y81" i="16"/>
  <c r="X81" i="16"/>
  <c r="AB81" i="16" s="1"/>
  <c r="W81" i="16"/>
  <c r="Z81" i="16" s="1"/>
  <c r="T81" i="16"/>
  <c r="S81" i="16"/>
  <c r="R81" i="16"/>
  <c r="O81" i="16"/>
  <c r="L81" i="16"/>
  <c r="I81" i="16"/>
  <c r="Q81" i="16" s="1"/>
  <c r="H81" i="16"/>
  <c r="G81" i="16"/>
  <c r="P81" i="16" s="1"/>
  <c r="F81" i="16"/>
  <c r="E81" i="16"/>
  <c r="D81" i="16" s="1"/>
  <c r="DF80" i="16"/>
  <c r="DE80" i="16"/>
  <c r="DD80" i="16"/>
  <c r="DC80" i="16"/>
  <c r="DB80" i="16"/>
  <c r="DA80" i="16"/>
  <c r="CY80" i="16"/>
  <c r="CW80" i="16"/>
  <c r="CV80" i="16"/>
  <c r="CZ80" i="16" s="1"/>
  <c r="CU80" i="16"/>
  <c r="CX80" i="16" s="1"/>
  <c r="CT80" i="16"/>
  <c r="CS80" i="16"/>
  <c r="CR80" i="16"/>
  <c r="CQ80" i="16"/>
  <c r="CO80" i="16"/>
  <c r="CM80" i="16"/>
  <c r="CL80" i="16"/>
  <c r="CP80" i="16" s="1"/>
  <c r="CK80" i="16"/>
  <c r="CN80" i="16" s="1"/>
  <c r="CJ80" i="16"/>
  <c r="CI80" i="16"/>
  <c r="CH80" i="16"/>
  <c r="CG80" i="16"/>
  <c r="CF80" i="16"/>
  <c r="CE80" i="16"/>
  <c r="CD80" i="16"/>
  <c r="CC80" i="16"/>
  <c r="CB80" i="16"/>
  <c r="CA80" i="16"/>
  <c r="BZ80" i="16"/>
  <c r="BY80" i="16"/>
  <c r="BX80" i="16"/>
  <c r="BW80" i="16"/>
  <c r="BV80" i="16"/>
  <c r="BU80" i="16"/>
  <c r="BS80" i="16"/>
  <c r="BQ80" i="16"/>
  <c r="BP80" i="16"/>
  <c r="BT80" i="16" s="1"/>
  <c r="BO80" i="16"/>
  <c r="BR80" i="16" s="1"/>
  <c r="BN80" i="16"/>
  <c r="BM80" i="16"/>
  <c r="BL80" i="16"/>
  <c r="BK80" i="16"/>
  <c r="BJ80" i="16"/>
  <c r="BI80" i="16"/>
  <c r="BH80" i="16"/>
  <c r="BG80" i="16"/>
  <c r="BF80" i="16"/>
  <c r="BE80" i="16"/>
  <c r="BD80" i="16"/>
  <c r="BC80" i="16"/>
  <c r="BB80" i="16"/>
  <c r="BA80" i="16"/>
  <c r="AY80" i="16"/>
  <c r="AW80" i="16"/>
  <c r="AV80" i="16"/>
  <c r="AZ80" i="16" s="1"/>
  <c r="AU80" i="16"/>
  <c r="AX80" i="16" s="1"/>
  <c r="AT80" i="16"/>
  <c r="AS80" i="16"/>
  <c r="AR80" i="16"/>
  <c r="AQ80" i="16"/>
  <c r="AP80" i="16"/>
  <c r="AO80" i="16"/>
  <c r="AM80" i="16"/>
  <c r="AK80" i="16"/>
  <c r="AJ80" i="16"/>
  <c r="AN80" i="16" s="1"/>
  <c r="AI80" i="16"/>
  <c r="AL80" i="16" s="1"/>
  <c r="AH80" i="16"/>
  <c r="AG80" i="16"/>
  <c r="AF80" i="16"/>
  <c r="AE80" i="16"/>
  <c r="AD80" i="16"/>
  <c r="AC80" i="16"/>
  <c r="AA80" i="16"/>
  <c r="Y80" i="16"/>
  <c r="X80" i="16"/>
  <c r="AB80" i="16" s="1"/>
  <c r="W80" i="16"/>
  <c r="Z80" i="16" s="1"/>
  <c r="T80" i="16"/>
  <c r="S80" i="16"/>
  <c r="V80" i="16" s="1"/>
  <c r="R80" i="16"/>
  <c r="U80" i="16" s="1"/>
  <c r="O80" i="16"/>
  <c r="L80" i="16"/>
  <c r="I80" i="16"/>
  <c r="Q80" i="16" s="1"/>
  <c r="H80" i="16"/>
  <c r="N80" i="16" s="1"/>
  <c r="G80" i="16"/>
  <c r="P80" i="16" s="1"/>
  <c r="F80" i="16"/>
  <c r="E80" i="16"/>
  <c r="DF79" i="16"/>
  <c r="DE79" i="16"/>
  <c r="DD79" i="16"/>
  <c r="DC79" i="16"/>
  <c r="DB79" i="16"/>
  <c r="DA79" i="16"/>
  <c r="CY79" i="16"/>
  <c r="CW79" i="16"/>
  <c r="CV79" i="16"/>
  <c r="CZ79" i="16" s="1"/>
  <c r="CU79" i="16"/>
  <c r="CX79" i="16" s="1"/>
  <c r="CT79" i="16"/>
  <c r="CS79" i="16"/>
  <c r="CR79" i="16"/>
  <c r="CQ79" i="16"/>
  <c r="CO79" i="16"/>
  <c r="CM79" i="16"/>
  <c r="CL79" i="16"/>
  <c r="CP79" i="16" s="1"/>
  <c r="CK79" i="16"/>
  <c r="CN79" i="16" s="1"/>
  <c r="CJ79" i="16"/>
  <c r="CI79" i="16"/>
  <c r="CH79" i="16"/>
  <c r="CG79" i="16"/>
  <c r="CF79" i="16"/>
  <c r="CE79" i="16"/>
  <c r="CD79" i="16"/>
  <c r="CC79" i="16"/>
  <c r="CB79" i="16"/>
  <c r="CA79" i="16"/>
  <c r="BZ79" i="16"/>
  <c r="BY79" i="16"/>
  <c r="BX79" i="16"/>
  <c r="BW79" i="16"/>
  <c r="BV79" i="16"/>
  <c r="BU79" i="16"/>
  <c r="BT79" i="16"/>
  <c r="BS79" i="16"/>
  <c r="BQ79" i="16"/>
  <c r="BP79" i="16"/>
  <c r="BO79" i="16"/>
  <c r="BR79" i="16" s="1"/>
  <c r="BN79" i="16"/>
  <c r="BM79" i="16"/>
  <c r="BL79" i="16"/>
  <c r="BK79" i="16"/>
  <c r="BJ79" i="16"/>
  <c r="BI79" i="16"/>
  <c r="BH79" i="16"/>
  <c r="BG79" i="16"/>
  <c r="BF79" i="16"/>
  <c r="BE79" i="16"/>
  <c r="BD79" i="16"/>
  <c r="BC79" i="16"/>
  <c r="BB79" i="16"/>
  <c r="BA79" i="16"/>
  <c r="AY79" i="16"/>
  <c r="AW79" i="16"/>
  <c r="AV79" i="16"/>
  <c r="AU79" i="16"/>
  <c r="AT79" i="16"/>
  <c r="AS79" i="16"/>
  <c r="AR79" i="16"/>
  <c r="AQ79" i="16"/>
  <c r="AP79" i="16"/>
  <c r="AO79" i="16"/>
  <c r="AM79" i="16"/>
  <c r="AN79" i="16" s="1"/>
  <c r="AK79" i="16"/>
  <c r="AJ79" i="16"/>
  <c r="AI79" i="16"/>
  <c r="AH79" i="16"/>
  <c r="AG79" i="16"/>
  <c r="AF79" i="16"/>
  <c r="AE79" i="16"/>
  <c r="AD79" i="16"/>
  <c r="AC79" i="16"/>
  <c r="AA79" i="16"/>
  <c r="Y79" i="16"/>
  <c r="X79" i="16"/>
  <c r="W79" i="16"/>
  <c r="T79" i="16"/>
  <c r="S79" i="16"/>
  <c r="R79" i="16"/>
  <c r="U79" i="16" s="1"/>
  <c r="O79" i="16"/>
  <c r="L79" i="16"/>
  <c r="I79" i="16"/>
  <c r="Q79" i="16" s="1"/>
  <c r="H79" i="16"/>
  <c r="G79" i="16"/>
  <c r="P79" i="16" s="1"/>
  <c r="F79" i="16"/>
  <c r="E79" i="16"/>
  <c r="DF78" i="16"/>
  <c r="DE78" i="16"/>
  <c r="DD78" i="16"/>
  <c r="DC78" i="16"/>
  <c r="DB78" i="16"/>
  <c r="DA78" i="16"/>
  <c r="CY78" i="16"/>
  <c r="CW78" i="16"/>
  <c r="CV78" i="16"/>
  <c r="CZ78" i="16" s="1"/>
  <c r="CU78" i="16"/>
  <c r="CX78" i="16" s="1"/>
  <c r="CT78" i="16"/>
  <c r="CS78" i="16"/>
  <c r="CR78" i="16"/>
  <c r="CQ78" i="16"/>
  <c r="CO78" i="16"/>
  <c r="CM78" i="16"/>
  <c r="CL78" i="16"/>
  <c r="CP78" i="16" s="1"/>
  <c r="CK78" i="16"/>
  <c r="CN78" i="16" s="1"/>
  <c r="CJ78" i="16"/>
  <c r="CI78" i="16"/>
  <c r="CH78" i="16"/>
  <c r="CG78" i="16"/>
  <c r="CF78" i="16"/>
  <c r="CE78" i="16"/>
  <c r="CD78" i="16"/>
  <c r="CC78" i="16"/>
  <c r="CB78" i="16"/>
  <c r="CA78" i="16"/>
  <c r="BZ78" i="16"/>
  <c r="BY78" i="16"/>
  <c r="BX78" i="16"/>
  <c r="BW78" i="16"/>
  <c r="BV78" i="16"/>
  <c r="BU78" i="16"/>
  <c r="BS78" i="16"/>
  <c r="BQ78" i="16"/>
  <c r="BP78" i="16"/>
  <c r="BO78" i="16"/>
  <c r="BN78" i="16"/>
  <c r="BM78" i="16"/>
  <c r="BL78" i="16"/>
  <c r="BK78" i="16"/>
  <c r="BJ78" i="16"/>
  <c r="BI78" i="16"/>
  <c r="BH78" i="16"/>
  <c r="BG78" i="16"/>
  <c r="BF78" i="16"/>
  <c r="BE78" i="16"/>
  <c r="BD78" i="16"/>
  <c r="BC78" i="16"/>
  <c r="BB78" i="16"/>
  <c r="BA78" i="16"/>
  <c r="AY78" i="16"/>
  <c r="AW78" i="16"/>
  <c r="AV78" i="16"/>
  <c r="AU78" i="16"/>
  <c r="AT78" i="16"/>
  <c r="AS78" i="16"/>
  <c r="AR78" i="16"/>
  <c r="AQ78" i="16"/>
  <c r="AP78" i="16"/>
  <c r="AO78" i="16"/>
  <c r="AM78" i="16"/>
  <c r="AK78" i="16"/>
  <c r="AJ78" i="16"/>
  <c r="AI78" i="16"/>
  <c r="AH78" i="16"/>
  <c r="AG78" i="16"/>
  <c r="AF78" i="16"/>
  <c r="AE78" i="16"/>
  <c r="AD78" i="16"/>
  <c r="AC78" i="16"/>
  <c r="AA78" i="16"/>
  <c r="Y78" i="16"/>
  <c r="X78" i="16"/>
  <c r="W78" i="16"/>
  <c r="T78" i="16"/>
  <c r="S78" i="16"/>
  <c r="R78" i="16"/>
  <c r="U78" i="16" s="1"/>
  <c r="O78" i="16"/>
  <c r="L78" i="16"/>
  <c r="I78" i="16"/>
  <c r="Q78" i="16" s="1"/>
  <c r="H78" i="16"/>
  <c r="G78" i="16"/>
  <c r="P78" i="16" s="1"/>
  <c r="F78" i="16"/>
  <c r="E78" i="16"/>
  <c r="DF77" i="16"/>
  <c r="DE77" i="16"/>
  <c r="DD77" i="16"/>
  <c r="DC77" i="16"/>
  <c r="DB77" i="16"/>
  <c r="DA77" i="16"/>
  <c r="CY77" i="16"/>
  <c r="CW77" i="16"/>
  <c r="CV77" i="16"/>
  <c r="CU77" i="16"/>
  <c r="CT77" i="16"/>
  <c r="CS77" i="16"/>
  <c r="CR77" i="16"/>
  <c r="CQ77" i="16"/>
  <c r="CO77" i="16"/>
  <c r="CM77" i="16"/>
  <c r="CL77" i="16"/>
  <c r="CP77" i="16" s="1"/>
  <c r="CK77" i="16"/>
  <c r="CN77" i="16" s="1"/>
  <c r="CJ77" i="16"/>
  <c r="CI77" i="16"/>
  <c r="CH77" i="16"/>
  <c r="CG77" i="16"/>
  <c r="CF77" i="16"/>
  <c r="CE77" i="16"/>
  <c r="CD77" i="16"/>
  <c r="CC77" i="16"/>
  <c r="CB77" i="16"/>
  <c r="CA77" i="16"/>
  <c r="BZ77" i="16"/>
  <c r="BY77" i="16"/>
  <c r="BX77" i="16"/>
  <c r="BW77" i="16"/>
  <c r="BV77" i="16"/>
  <c r="BU77" i="16"/>
  <c r="BS77" i="16"/>
  <c r="BQ77" i="16"/>
  <c r="BP77" i="16"/>
  <c r="BO77" i="16"/>
  <c r="BN77" i="16"/>
  <c r="BM77" i="16"/>
  <c r="BL77" i="16"/>
  <c r="BK77" i="16"/>
  <c r="BJ77" i="16"/>
  <c r="BI77" i="16"/>
  <c r="BH77" i="16"/>
  <c r="BG77" i="16"/>
  <c r="BF77" i="16"/>
  <c r="BE77" i="16"/>
  <c r="BD77" i="16"/>
  <c r="BC77" i="16"/>
  <c r="BB77" i="16"/>
  <c r="BA77" i="16"/>
  <c r="AY77" i="16"/>
  <c r="AW77" i="16"/>
  <c r="AV77" i="16"/>
  <c r="AU77" i="16"/>
  <c r="AT77" i="16"/>
  <c r="AS77" i="16"/>
  <c r="AR77" i="16"/>
  <c r="AQ77" i="16"/>
  <c r="AP77" i="16"/>
  <c r="AO77" i="16"/>
  <c r="AM77" i="16"/>
  <c r="AK77" i="16"/>
  <c r="AJ77" i="16"/>
  <c r="AI77" i="16"/>
  <c r="AH77" i="16"/>
  <c r="AG77" i="16"/>
  <c r="AF77" i="16"/>
  <c r="AE77" i="16"/>
  <c r="AD77" i="16"/>
  <c r="AC77" i="16"/>
  <c r="AA77" i="16"/>
  <c r="Y77" i="16"/>
  <c r="X77" i="16"/>
  <c r="W77" i="16"/>
  <c r="T77" i="16"/>
  <c r="S77" i="16"/>
  <c r="R77" i="16"/>
  <c r="O77" i="16"/>
  <c r="L77" i="16"/>
  <c r="I77" i="16"/>
  <c r="Q77" i="16" s="1"/>
  <c r="H77" i="16"/>
  <c r="G77" i="16"/>
  <c r="P77" i="16" s="1"/>
  <c r="F77" i="16"/>
  <c r="E77" i="16"/>
  <c r="DF76" i="16"/>
  <c r="DE76" i="16"/>
  <c r="DD76" i="16"/>
  <c r="DC76" i="16"/>
  <c r="DB76" i="16"/>
  <c r="DA76" i="16"/>
  <c r="CY76" i="16"/>
  <c r="CW76" i="16"/>
  <c r="CV76" i="16"/>
  <c r="CZ76" i="16" s="1"/>
  <c r="CU76" i="16"/>
  <c r="CX76" i="16" s="1"/>
  <c r="CT76" i="16"/>
  <c r="CS76" i="16"/>
  <c r="CR76" i="16"/>
  <c r="CQ76" i="16"/>
  <c r="CP76" i="16"/>
  <c r="CO76" i="16"/>
  <c r="CM76" i="16"/>
  <c r="CL76" i="16"/>
  <c r="CK76" i="16"/>
  <c r="CN76" i="16" s="1"/>
  <c r="CJ76" i="16"/>
  <c r="CI76" i="16"/>
  <c r="CH76" i="16"/>
  <c r="CG76" i="16"/>
  <c r="CF76" i="16"/>
  <c r="CE76" i="16"/>
  <c r="CD76" i="16"/>
  <c r="CC76" i="16"/>
  <c r="CB76" i="16"/>
  <c r="CA76" i="16"/>
  <c r="BZ76" i="16"/>
  <c r="BY76" i="16"/>
  <c r="BX76" i="16"/>
  <c r="BW76" i="16"/>
  <c r="BV76" i="16"/>
  <c r="BU76" i="16"/>
  <c r="BS76" i="16"/>
  <c r="BQ76" i="16"/>
  <c r="BP76" i="16"/>
  <c r="BO76" i="16"/>
  <c r="BN76" i="16"/>
  <c r="BM76" i="16"/>
  <c r="BL76" i="16"/>
  <c r="BK76" i="16"/>
  <c r="BJ76" i="16"/>
  <c r="BI76" i="16"/>
  <c r="BH76" i="16"/>
  <c r="BG76" i="16"/>
  <c r="BF76" i="16"/>
  <c r="BE76" i="16"/>
  <c r="BD76" i="16"/>
  <c r="BC76" i="16"/>
  <c r="BB76" i="16"/>
  <c r="BA76" i="16"/>
  <c r="AY76" i="16"/>
  <c r="AW76" i="16"/>
  <c r="AV76" i="16"/>
  <c r="AZ76" i="16" s="1"/>
  <c r="AU76" i="16"/>
  <c r="AX76" i="16" s="1"/>
  <c r="AT76" i="16"/>
  <c r="AS76" i="16"/>
  <c r="AR76" i="16"/>
  <c r="AQ76" i="16"/>
  <c r="AP76" i="16"/>
  <c r="AO76" i="16"/>
  <c r="AM76" i="16"/>
  <c r="AK76" i="16"/>
  <c r="AJ76" i="16"/>
  <c r="AN76" i="16" s="1"/>
  <c r="AI76" i="16"/>
  <c r="AL76" i="16" s="1"/>
  <c r="AH76" i="16"/>
  <c r="AG76" i="16"/>
  <c r="AF76" i="16"/>
  <c r="AE76" i="16"/>
  <c r="AD76" i="16"/>
  <c r="AC76" i="16"/>
  <c r="AB76" i="16"/>
  <c r="AA76" i="16"/>
  <c r="Y76" i="16"/>
  <c r="X76" i="16"/>
  <c r="W76" i="16"/>
  <c r="Z76" i="16" s="1"/>
  <c r="T76" i="16"/>
  <c r="S76" i="16"/>
  <c r="R76" i="16"/>
  <c r="O76" i="16"/>
  <c r="J76" i="16" s="1"/>
  <c r="L76" i="16"/>
  <c r="I76" i="16"/>
  <c r="Q76" i="16" s="1"/>
  <c r="H76" i="16"/>
  <c r="N76" i="16" s="1"/>
  <c r="G76" i="16"/>
  <c r="P76" i="16" s="1"/>
  <c r="F76" i="16"/>
  <c r="E76" i="16"/>
  <c r="DF75" i="16"/>
  <c r="DE75" i="16"/>
  <c r="DD75" i="16"/>
  <c r="DC75" i="16"/>
  <c r="DB75" i="16"/>
  <c r="DA75" i="16"/>
  <c r="CY75" i="16"/>
  <c r="CW75" i="16"/>
  <c r="CV75" i="16"/>
  <c r="CU75" i="16"/>
  <c r="CX75" i="16" s="1"/>
  <c r="CT75" i="16"/>
  <c r="CS75" i="16"/>
  <c r="CR75" i="16"/>
  <c r="CQ75" i="16"/>
  <c r="CO75" i="16"/>
  <c r="CM75" i="16"/>
  <c r="CL75" i="16"/>
  <c r="CP75" i="16" s="1"/>
  <c r="CK75" i="16"/>
  <c r="CN75" i="16" s="1"/>
  <c r="CJ75" i="16"/>
  <c r="CI75" i="16"/>
  <c r="CH75" i="16"/>
  <c r="CG75" i="16"/>
  <c r="CF75" i="16"/>
  <c r="CE75" i="16"/>
  <c r="CD75" i="16"/>
  <c r="CC75" i="16"/>
  <c r="CB75" i="16"/>
  <c r="CA75" i="16"/>
  <c r="BZ75" i="16"/>
  <c r="BY75" i="16"/>
  <c r="BX75" i="16"/>
  <c r="BW75" i="16"/>
  <c r="BV75" i="16"/>
  <c r="BU75" i="16"/>
  <c r="BS75" i="16"/>
  <c r="BQ75" i="16"/>
  <c r="BP75" i="16"/>
  <c r="BO75" i="16"/>
  <c r="BR75" i="16" s="1"/>
  <c r="BN75" i="16"/>
  <c r="BM75" i="16"/>
  <c r="BL75" i="16"/>
  <c r="BK75" i="16"/>
  <c r="BJ75" i="16"/>
  <c r="BI75" i="16"/>
  <c r="BH75" i="16"/>
  <c r="BG75" i="16"/>
  <c r="BF75" i="16"/>
  <c r="BE75" i="16"/>
  <c r="BD75" i="16"/>
  <c r="BC75" i="16"/>
  <c r="BB75" i="16"/>
  <c r="BA75" i="16"/>
  <c r="AY75" i="16"/>
  <c r="AW75" i="16"/>
  <c r="AV75" i="16"/>
  <c r="AU75" i="16"/>
  <c r="AX75" i="16" s="1"/>
  <c r="AT75" i="16"/>
  <c r="AS75" i="16"/>
  <c r="AR75" i="16"/>
  <c r="AQ75" i="16"/>
  <c r="AP75" i="16"/>
  <c r="AO75" i="16"/>
  <c r="AM75" i="16"/>
  <c r="AK75" i="16"/>
  <c r="AJ75" i="16"/>
  <c r="AN75" i="16" s="1"/>
  <c r="AI75" i="16"/>
  <c r="AH75" i="16"/>
  <c r="AG75" i="16"/>
  <c r="AF75" i="16"/>
  <c r="AE75" i="16"/>
  <c r="AD75" i="16"/>
  <c r="AC75" i="16"/>
  <c r="AA75" i="16"/>
  <c r="Y75" i="16"/>
  <c r="X75" i="16"/>
  <c r="AB75" i="16" s="1"/>
  <c r="W75" i="16"/>
  <c r="Z75" i="16" s="1"/>
  <c r="T75" i="16"/>
  <c r="S75" i="16"/>
  <c r="R75" i="16"/>
  <c r="O75" i="16"/>
  <c r="L75" i="16"/>
  <c r="I75" i="16"/>
  <c r="Q75" i="16" s="1"/>
  <c r="H75" i="16"/>
  <c r="G75" i="16"/>
  <c r="P75" i="16" s="1"/>
  <c r="F75" i="16"/>
  <c r="E75" i="16"/>
  <c r="DF73" i="16"/>
  <c r="DE73" i="16"/>
  <c r="DD73" i="16"/>
  <c r="DC73" i="16"/>
  <c r="DB73" i="16"/>
  <c r="DA73" i="16"/>
  <c r="CY73" i="16"/>
  <c r="CW73" i="16"/>
  <c r="CV73" i="16"/>
  <c r="CZ73" i="16" s="1"/>
  <c r="CU73" i="16"/>
  <c r="CX73" i="16" s="1"/>
  <c r="CT73" i="16"/>
  <c r="CS73" i="16"/>
  <c r="CR73" i="16"/>
  <c r="CQ73" i="16"/>
  <c r="CO73" i="16"/>
  <c r="CM73" i="16"/>
  <c r="CL73" i="16"/>
  <c r="CP73" i="16" s="1"/>
  <c r="CK73" i="16"/>
  <c r="CN73" i="16" s="1"/>
  <c r="CJ73" i="16"/>
  <c r="CI73" i="16"/>
  <c r="CH73" i="16"/>
  <c r="CG73" i="16"/>
  <c r="CF73" i="16"/>
  <c r="CE73" i="16"/>
  <c r="CD73" i="16"/>
  <c r="CC73" i="16"/>
  <c r="CB73" i="16"/>
  <c r="CA73" i="16"/>
  <c r="BZ73" i="16"/>
  <c r="BY73" i="16"/>
  <c r="BX73" i="16"/>
  <c r="BW73" i="16"/>
  <c r="BV73" i="16"/>
  <c r="BU73" i="16"/>
  <c r="BS73" i="16"/>
  <c r="BQ73" i="16"/>
  <c r="BP73" i="16"/>
  <c r="BT73" i="16" s="1"/>
  <c r="BO73" i="16"/>
  <c r="BR73" i="16" s="1"/>
  <c r="BN73" i="16"/>
  <c r="BM73" i="16"/>
  <c r="BL73" i="16"/>
  <c r="BK73" i="16"/>
  <c r="BJ73" i="16"/>
  <c r="BI73" i="16"/>
  <c r="BH73" i="16"/>
  <c r="BG73" i="16"/>
  <c r="BF73" i="16"/>
  <c r="BE73" i="16"/>
  <c r="BD73" i="16"/>
  <c r="BC73" i="16"/>
  <c r="BB73" i="16"/>
  <c r="BA73" i="16"/>
  <c r="AY73" i="16"/>
  <c r="AW73" i="16"/>
  <c r="AV73" i="16"/>
  <c r="AZ73" i="16" s="1"/>
  <c r="AU73" i="16"/>
  <c r="AX73" i="16" s="1"/>
  <c r="AT73" i="16"/>
  <c r="AS73" i="16"/>
  <c r="AR73" i="16"/>
  <c r="AQ73" i="16"/>
  <c r="AP73" i="16"/>
  <c r="AO73" i="16"/>
  <c r="AM73" i="16"/>
  <c r="AK73" i="16"/>
  <c r="AJ73" i="16"/>
  <c r="AN73" i="16" s="1"/>
  <c r="AI73" i="16"/>
  <c r="AL73" i="16" s="1"/>
  <c r="AH73" i="16"/>
  <c r="AG73" i="16"/>
  <c r="AF73" i="16"/>
  <c r="AE73" i="16"/>
  <c r="AD73" i="16"/>
  <c r="AC73" i="16"/>
  <c r="AA73" i="16"/>
  <c r="Y73" i="16"/>
  <c r="X73" i="16"/>
  <c r="AB73" i="16" s="1"/>
  <c r="W73" i="16"/>
  <c r="Z73" i="16" s="1"/>
  <c r="T73" i="16"/>
  <c r="S73" i="16"/>
  <c r="V73" i="16" s="1"/>
  <c r="R73" i="16"/>
  <c r="U73" i="16" s="1"/>
  <c r="O73" i="16"/>
  <c r="J73" i="16" s="1"/>
  <c r="L73" i="16"/>
  <c r="I73" i="16"/>
  <c r="Q73" i="16" s="1"/>
  <c r="H73" i="16"/>
  <c r="N73" i="16" s="1"/>
  <c r="G73" i="16"/>
  <c r="P73" i="16" s="1"/>
  <c r="F73" i="16"/>
  <c r="E73" i="16"/>
  <c r="DF72" i="16"/>
  <c r="DE72" i="16"/>
  <c r="DD72" i="16"/>
  <c r="DC72" i="16"/>
  <c r="DB72" i="16"/>
  <c r="DA72" i="16"/>
  <c r="CY72" i="16"/>
  <c r="CW72" i="16"/>
  <c r="CV72" i="16"/>
  <c r="CZ72" i="16" s="1"/>
  <c r="CU72" i="16"/>
  <c r="CX72" i="16" s="1"/>
  <c r="CT72" i="16"/>
  <c r="CS72" i="16"/>
  <c r="CR72" i="16"/>
  <c r="CQ72" i="16"/>
  <c r="CO72" i="16"/>
  <c r="CM72" i="16"/>
  <c r="CL72" i="16"/>
  <c r="CP72" i="16" s="1"/>
  <c r="CK72" i="16"/>
  <c r="CN72" i="16" s="1"/>
  <c r="CJ72" i="16"/>
  <c r="CI72" i="16"/>
  <c r="CH72" i="16"/>
  <c r="CG72" i="16"/>
  <c r="CF72" i="16"/>
  <c r="CE72" i="16"/>
  <c r="CD72" i="16"/>
  <c r="CC72" i="16"/>
  <c r="CB72" i="16"/>
  <c r="CA72" i="16"/>
  <c r="BZ72" i="16"/>
  <c r="BY72" i="16"/>
  <c r="BX72" i="16"/>
  <c r="BW72" i="16"/>
  <c r="BV72" i="16"/>
  <c r="BU72" i="16"/>
  <c r="BS72" i="16"/>
  <c r="BQ72" i="16"/>
  <c r="BP72" i="16"/>
  <c r="BO72" i="16"/>
  <c r="BR72" i="16" s="1"/>
  <c r="BN72" i="16"/>
  <c r="BM72" i="16"/>
  <c r="BL72" i="16"/>
  <c r="BK72" i="16"/>
  <c r="BJ72" i="16"/>
  <c r="BI72" i="16"/>
  <c r="BH72" i="16"/>
  <c r="BG72" i="16"/>
  <c r="BF72" i="16"/>
  <c r="BE72" i="16"/>
  <c r="BD72" i="16"/>
  <c r="BC72" i="16"/>
  <c r="BB72" i="16"/>
  <c r="BA72" i="16"/>
  <c r="AY72" i="16"/>
  <c r="AW72" i="16"/>
  <c r="AV72" i="16"/>
  <c r="AZ72" i="16" s="1"/>
  <c r="AU72" i="16"/>
  <c r="AX72" i="16" s="1"/>
  <c r="AT72" i="16"/>
  <c r="AS72" i="16"/>
  <c r="AR72" i="16"/>
  <c r="AQ72" i="16"/>
  <c r="AP72" i="16"/>
  <c r="AO72" i="16"/>
  <c r="AM72" i="16"/>
  <c r="AK72" i="16"/>
  <c r="AJ72" i="16"/>
  <c r="AN72" i="16" s="1"/>
  <c r="AI72" i="16"/>
  <c r="AL72" i="16" s="1"/>
  <c r="AH72" i="16"/>
  <c r="AG72" i="16"/>
  <c r="AF72" i="16"/>
  <c r="AE72" i="16"/>
  <c r="AD72" i="16"/>
  <c r="AC72" i="16"/>
  <c r="AA72" i="16"/>
  <c r="Y72" i="16"/>
  <c r="X72" i="16"/>
  <c r="AB72" i="16" s="1"/>
  <c r="W72" i="16"/>
  <c r="Z72" i="16" s="1"/>
  <c r="T72" i="16"/>
  <c r="S72" i="16"/>
  <c r="R72" i="16"/>
  <c r="O72" i="16"/>
  <c r="L72" i="16"/>
  <c r="I72" i="16"/>
  <c r="Q72" i="16" s="1"/>
  <c r="H72" i="16"/>
  <c r="G72" i="16"/>
  <c r="P72" i="16" s="1"/>
  <c r="F72" i="16"/>
  <c r="E72" i="16"/>
  <c r="DF71" i="16"/>
  <c r="DE71" i="16"/>
  <c r="DD71" i="16"/>
  <c r="DC71" i="16"/>
  <c r="DB71" i="16"/>
  <c r="DA71" i="16"/>
  <c r="CY71" i="16"/>
  <c r="CW71" i="16"/>
  <c r="CV71" i="16"/>
  <c r="CZ71" i="16" s="1"/>
  <c r="CU71" i="16"/>
  <c r="CX71" i="16" s="1"/>
  <c r="CT71" i="16"/>
  <c r="CS71" i="16"/>
  <c r="CR71" i="16"/>
  <c r="CQ71" i="16"/>
  <c r="CO71" i="16"/>
  <c r="CM71" i="16"/>
  <c r="CL71" i="16"/>
  <c r="CP71" i="16" s="1"/>
  <c r="CK71" i="16"/>
  <c r="CN71" i="16" s="1"/>
  <c r="CJ71" i="16"/>
  <c r="CI71" i="16"/>
  <c r="CH71" i="16"/>
  <c r="CG71" i="16"/>
  <c r="CF71" i="16"/>
  <c r="CE71" i="16"/>
  <c r="CD71" i="16"/>
  <c r="CC71" i="16"/>
  <c r="CB71" i="16"/>
  <c r="CA71" i="16"/>
  <c r="BZ71" i="16"/>
  <c r="BY71" i="16"/>
  <c r="BX71" i="16"/>
  <c r="BW71" i="16"/>
  <c r="BV71" i="16"/>
  <c r="BU71" i="16"/>
  <c r="BS71" i="16"/>
  <c r="BQ71" i="16"/>
  <c r="BP71" i="16"/>
  <c r="BT71" i="16" s="1"/>
  <c r="BO71" i="16"/>
  <c r="BR71" i="16" s="1"/>
  <c r="BN71" i="16"/>
  <c r="BM71" i="16"/>
  <c r="BL71" i="16"/>
  <c r="BK71" i="16"/>
  <c r="BJ71" i="16"/>
  <c r="BI71" i="16"/>
  <c r="BH71" i="16"/>
  <c r="BG71" i="16"/>
  <c r="BF71" i="16"/>
  <c r="BE71" i="16"/>
  <c r="BD71" i="16"/>
  <c r="BC71" i="16"/>
  <c r="BB71" i="16"/>
  <c r="BA71" i="16"/>
  <c r="AY71" i="16"/>
  <c r="AW71" i="16"/>
  <c r="AV71" i="16"/>
  <c r="AZ71" i="16" s="1"/>
  <c r="AU71" i="16"/>
  <c r="AX71" i="16" s="1"/>
  <c r="AT71" i="16"/>
  <c r="AS71" i="16"/>
  <c r="AR71" i="16"/>
  <c r="AQ71" i="16"/>
  <c r="AP71" i="16"/>
  <c r="AO71" i="16"/>
  <c r="AM71" i="16"/>
  <c r="AK71" i="16"/>
  <c r="AJ71" i="16"/>
  <c r="AN71" i="16" s="1"/>
  <c r="AI71" i="16"/>
  <c r="AL71" i="16" s="1"/>
  <c r="AH71" i="16"/>
  <c r="AG71" i="16"/>
  <c r="AF71" i="16"/>
  <c r="AE71" i="16"/>
  <c r="AD71" i="16"/>
  <c r="AC71" i="16"/>
  <c r="AA71" i="16"/>
  <c r="Y71" i="16"/>
  <c r="X71" i="16"/>
  <c r="AB71" i="16" s="1"/>
  <c r="W71" i="16"/>
  <c r="Z71" i="16" s="1"/>
  <c r="T71" i="16"/>
  <c r="S71" i="16"/>
  <c r="V71" i="16" s="1"/>
  <c r="R71" i="16"/>
  <c r="U71" i="16" s="1"/>
  <c r="O71" i="16"/>
  <c r="L71" i="16"/>
  <c r="I71" i="16"/>
  <c r="Q71" i="16" s="1"/>
  <c r="H71" i="16"/>
  <c r="N71" i="16" s="1"/>
  <c r="G71" i="16"/>
  <c r="P71" i="16" s="1"/>
  <c r="F71" i="16"/>
  <c r="E71" i="16"/>
  <c r="DF70" i="16"/>
  <c r="DE70" i="16"/>
  <c r="DD70" i="16"/>
  <c r="DC70" i="16"/>
  <c r="DB70" i="16"/>
  <c r="DA70" i="16"/>
  <c r="CY70" i="16"/>
  <c r="CW70" i="16"/>
  <c r="CV70" i="16"/>
  <c r="CZ70" i="16" s="1"/>
  <c r="CU70" i="16"/>
  <c r="CX70" i="16" s="1"/>
  <c r="CT70" i="16"/>
  <c r="CS70" i="16"/>
  <c r="CR70" i="16"/>
  <c r="CQ70" i="16"/>
  <c r="CO70" i="16"/>
  <c r="CM70" i="16"/>
  <c r="CL70" i="16"/>
  <c r="CP70" i="16" s="1"/>
  <c r="CK70" i="16"/>
  <c r="CN70" i="16" s="1"/>
  <c r="CJ70" i="16"/>
  <c r="CI70" i="16"/>
  <c r="CH70" i="16"/>
  <c r="CG70" i="16"/>
  <c r="CF70" i="16"/>
  <c r="CE70" i="16"/>
  <c r="CD70" i="16"/>
  <c r="CC70" i="16"/>
  <c r="CB70" i="16"/>
  <c r="CA70" i="16"/>
  <c r="BZ70" i="16"/>
  <c r="BY70" i="16"/>
  <c r="BX70" i="16"/>
  <c r="BW70" i="16"/>
  <c r="BV70" i="16"/>
  <c r="BU70" i="16"/>
  <c r="BS70" i="16"/>
  <c r="BQ70" i="16"/>
  <c r="BP70" i="16"/>
  <c r="BO70" i="16"/>
  <c r="BN70" i="16"/>
  <c r="BM70" i="16"/>
  <c r="BL70" i="16"/>
  <c r="BK70" i="16"/>
  <c r="BJ70" i="16"/>
  <c r="BI70" i="16"/>
  <c r="BH70" i="16"/>
  <c r="BG70" i="16"/>
  <c r="BF70" i="16"/>
  <c r="BE70" i="16"/>
  <c r="BD70" i="16"/>
  <c r="BC70" i="16"/>
  <c r="BB70" i="16"/>
  <c r="BA70" i="16"/>
  <c r="AY70" i="16"/>
  <c r="AW70" i="16"/>
  <c r="AV70" i="16"/>
  <c r="AZ70" i="16" s="1"/>
  <c r="AU70" i="16"/>
  <c r="AX70" i="16" s="1"/>
  <c r="AT70" i="16"/>
  <c r="AS70" i="16"/>
  <c r="AR70" i="16"/>
  <c r="AQ70" i="16"/>
  <c r="AP70" i="16"/>
  <c r="AO70" i="16"/>
  <c r="AM70" i="16"/>
  <c r="AK70" i="16"/>
  <c r="AJ70" i="16"/>
  <c r="AN70" i="16" s="1"/>
  <c r="AI70" i="16"/>
  <c r="AL70" i="16" s="1"/>
  <c r="AH70" i="16"/>
  <c r="AG70" i="16"/>
  <c r="AF70" i="16"/>
  <c r="AE70" i="16"/>
  <c r="AD70" i="16"/>
  <c r="AC70" i="16"/>
  <c r="AA70" i="16"/>
  <c r="Y70" i="16"/>
  <c r="X70" i="16"/>
  <c r="AB70" i="16" s="1"/>
  <c r="W70" i="16"/>
  <c r="Z70" i="16" s="1"/>
  <c r="T70" i="16"/>
  <c r="S70" i="16"/>
  <c r="R70" i="16"/>
  <c r="O70" i="16"/>
  <c r="L70" i="16"/>
  <c r="I70" i="16"/>
  <c r="Q70" i="16" s="1"/>
  <c r="H70" i="16"/>
  <c r="G70" i="16"/>
  <c r="P70" i="16" s="1"/>
  <c r="F70" i="16"/>
  <c r="E70" i="16"/>
  <c r="DF69" i="16"/>
  <c r="DE69" i="16"/>
  <c r="DD69" i="16"/>
  <c r="DC69" i="16"/>
  <c r="DB69" i="16"/>
  <c r="DA69" i="16"/>
  <c r="CY69" i="16"/>
  <c r="CW69" i="16"/>
  <c r="CV69" i="16"/>
  <c r="CZ69" i="16" s="1"/>
  <c r="CU69" i="16"/>
  <c r="CX69" i="16" s="1"/>
  <c r="CT69" i="16"/>
  <c r="CS69" i="16"/>
  <c r="CR69" i="16"/>
  <c r="CQ69" i="16"/>
  <c r="CO69" i="16"/>
  <c r="CM69" i="16"/>
  <c r="CL69" i="16"/>
  <c r="CP69" i="16" s="1"/>
  <c r="CK69" i="16"/>
  <c r="CN69" i="16" s="1"/>
  <c r="CJ69" i="16"/>
  <c r="CI69" i="16"/>
  <c r="CH69" i="16"/>
  <c r="CG69" i="16"/>
  <c r="CF69" i="16"/>
  <c r="CE69" i="16"/>
  <c r="CD69" i="16"/>
  <c r="CC69" i="16"/>
  <c r="CB69" i="16"/>
  <c r="CA69" i="16"/>
  <c r="BZ69" i="16"/>
  <c r="BY69" i="16"/>
  <c r="BX69" i="16"/>
  <c r="BW69" i="16"/>
  <c r="BV69" i="16"/>
  <c r="BU69" i="16"/>
  <c r="BS69" i="16"/>
  <c r="BQ69" i="16"/>
  <c r="BP69" i="16"/>
  <c r="BO69" i="16"/>
  <c r="BN69" i="16"/>
  <c r="BM69" i="16"/>
  <c r="BL69" i="16"/>
  <c r="BK69" i="16"/>
  <c r="BJ69" i="16"/>
  <c r="BI69" i="16"/>
  <c r="BH69" i="16"/>
  <c r="BG69" i="16"/>
  <c r="BF69" i="16"/>
  <c r="BE69" i="16"/>
  <c r="BD69" i="16"/>
  <c r="BC69" i="16"/>
  <c r="BB69" i="16"/>
  <c r="BA69" i="16"/>
  <c r="AY69" i="16"/>
  <c r="AW69" i="16"/>
  <c r="AV69" i="16"/>
  <c r="AU69" i="16"/>
  <c r="AT69" i="16"/>
  <c r="AS69" i="16"/>
  <c r="AR69" i="16"/>
  <c r="AQ69" i="16"/>
  <c r="AP69" i="16"/>
  <c r="AO69" i="16"/>
  <c r="AM69" i="16"/>
  <c r="AN69" i="16" s="1"/>
  <c r="AK69" i="16"/>
  <c r="AJ69" i="16"/>
  <c r="AI69" i="16"/>
  <c r="AH69" i="16"/>
  <c r="AG69" i="16"/>
  <c r="AF69" i="16"/>
  <c r="AE69" i="16"/>
  <c r="AD69" i="16"/>
  <c r="AC69" i="16"/>
  <c r="AA69" i="16"/>
  <c r="Y69" i="16"/>
  <c r="X69" i="16"/>
  <c r="W69" i="16"/>
  <c r="T69" i="16"/>
  <c r="S69" i="16"/>
  <c r="R69" i="16"/>
  <c r="O69" i="16"/>
  <c r="L69" i="16"/>
  <c r="I69" i="16"/>
  <c r="Q69" i="16" s="1"/>
  <c r="H69" i="16"/>
  <c r="G69" i="16"/>
  <c r="P69" i="16" s="1"/>
  <c r="F69" i="16"/>
  <c r="E69" i="16"/>
  <c r="D69" i="16" s="1"/>
  <c r="C69" i="16" s="1"/>
  <c r="DF68" i="16"/>
  <c r="DE68" i="16"/>
  <c r="DD68" i="16"/>
  <c r="DC68" i="16"/>
  <c r="DB68" i="16"/>
  <c r="DA68" i="16"/>
  <c r="CY68" i="16"/>
  <c r="CW68" i="16"/>
  <c r="CV68" i="16"/>
  <c r="CZ68" i="16" s="1"/>
  <c r="CU68" i="16"/>
  <c r="CX68" i="16" s="1"/>
  <c r="CT68" i="16"/>
  <c r="CS68" i="16"/>
  <c r="CR68" i="16"/>
  <c r="CQ68" i="16"/>
  <c r="CO68" i="16"/>
  <c r="CM68" i="16"/>
  <c r="CL68" i="16"/>
  <c r="CP68" i="16" s="1"/>
  <c r="CK68" i="16"/>
  <c r="CN68" i="16" s="1"/>
  <c r="CJ68" i="16"/>
  <c r="CI68" i="16"/>
  <c r="CH68" i="16"/>
  <c r="CG68" i="16"/>
  <c r="CF68" i="16"/>
  <c r="CE68" i="16"/>
  <c r="CD68" i="16"/>
  <c r="CC68" i="16"/>
  <c r="CB68" i="16"/>
  <c r="CA68" i="16"/>
  <c r="BZ68" i="16"/>
  <c r="BY68" i="16"/>
  <c r="BX68" i="16"/>
  <c r="BW68" i="16"/>
  <c r="BV68" i="16"/>
  <c r="BU68" i="16"/>
  <c r="BS68" i="16"/>
  <c r="BQ68" i="16"/>
  <c r="BP68" i="16"/>
  <c r="BO68" i="16"/>
  <c r="BN68" i="16"/>
  <c r="BM68" i="16"/>
  <c r="BL68" i="16"/>
  <c r="BK68" i="16"/>
  <c r="BJ68" i="16"/>
  <c r="BI68" i="16"/>
  <c r="BH68" i="16"/>
  <c r="BG68" i="16"/>
  <c r="BF68" i="16"/>
  <c r="BE68" i="16"/>
  <c r="BD68" i="16"/>
  <c r="BC68" i="16"/>
  <c r="BB68" i="16"/>
  <c r="BA68" i="16"/>
  <c r="AY68" i="16"/>
  <c r="AW68" i="16"/>
  <c r="AV68" i="16"/>
  <c r="AZ68" i="16" s="1"/>
  <c r="AU68" i="16"/>
  <c r="AX68" i="16" s="1"/>
  <c r="AT68" i="16"/>
  <c r="AS68" i="16"/>
  <c r="AR68" i="16"/>
  <c r="AQ68" i="16"/>
  <c r="AP68" i="16"/>
  <c r="AO68" i="16"/>
  <c r="AM68" i="16"/>
  <c r="AK68" i="16"/>
  <c r="AJ68" i="16"/>
  <c r="AN68" i="16" s="1"/>
  <c r="AI68" i="16"/>
  <c r="AL68" i="16" s="1"/>
  <c r="AH68" i="16"/>
  <c r="AG68" i="16"/>
  <c r="AF68" i="16"/>
  <c r="AE68" i="16"/>
  <c r="AD68" i="16"/>
  <c r="AC68" i="16"/>
  <c r="AB68" i="16"/>
  <c r="AA68" i="16"/>
  <c r="Y68" i="16"/>
  <c r="X68" i="16"/>
  <c r="W68" i="16"/>
  <c r="Z68" i="16" s="1"/>
  <c r="T68" i="16"/>
  <c r="S68" i="16"/>
  <c r="V68" i="16" s="1"/>
  <c r="R68" i="16"/>
  <c r="O68" i="16"/>
  <c r="L68" i="16"/>
  <c r="I68" i="16"/>
  <c r="Q68" i="16" s="1"/>
  <c r="H68" i="16"/>
  <c r="G68" i="16"/>
  <c r="P68" i="16" s="1"/>
  <c r="F68" i="16"/>
  <c r="E68" i="16"/>
  <c r="DF67" i="16"/>
  <c r="DE67" i="16"/>
  <c r="DD67" i="16"/>
  <c r="DC67" i="16"/>
  <c r="DB67" i="16"/>
  <c r="DA67" i="16"/>
  <c r="CY67" i="16"/>
  <c r="CW67" i="16"/>
  <c r="CV67" i="16"/>
  <c r="CZ67" i="16" s="1"/>
  <c r="CU67" i="16"/>
  <c r="CX67" i="16" s="1"/>
  <c r="CT67" i="16"/>
  <c r="CS67" i="16"/>
  <c r="CR67" i="16"/>
  <c r="CQ67" i="16"/>
  <c r="CO67" i="16"/>
  <c r="CM67" i="16"/>
  <c r="CL67" i="16"/>
  <c r="CP67" i="16" s="1"/>
  <c r="CK67" i="16"/>
  <c r="CN67" i="16" s="1"/>
  <c r="CJ67" i="16"/>
  <c r="CI67" i="16"/>
  <c r="CH67" i="16"/>
  <c r="CG67" i="16"/>
  <c r="CF67" i="16"/>
  <c r="CE67" i="16"/>
  <c r="CD67" i="16"/>
  <c r="CC67" i="16"/>
  <c r="CB67" i="16"/>
  <c r="CA67" i="16"/>
  <c r="BZ67" i="16"/>
  <c r="BY67" i="16"/>
  <c r="BX67" i="16"/>
  <c r="BW67" i="16"/>
  <c r="BV67" i="16"/>
  <c r="BU67" i="16"/>
  <c r="BS67" i="16"/>
  <c r="BQ67" i="16"/>
  <c r="BP67" i="16"/>
  <c r="BO67" i="16"/>
  <c r="BN67" i="16"/>
  <c r="BM67" i="16"/>
  <c r="BL67" i="16"/>
  <c r="BK67" i="16"/>
  <c r="BJ67" i="16"/>
  <c r="BI67" i="16"/>
  <c r="BH67" i="16"/>
  <c r="BG67" i="16"/>
  <c r="BF67" i="16"/>
  <c r="BE67" i="16"/>
  <c r="BD67" i="16"/>
  <c r="BC67" i="16"/>
  <c r="BB67" i="16"/>
  <c r="BA67" i="16"/>
  <c r="AY67" i="16"/>
  <c r="AW67" i="16"/>
  <c r="AV67" i="16"/>
  <c r="AZ67" i="16" s="1"/>
  <c r="AU67" i="16"/>
  <c r="AX67" i="16" s="1"/>
  <c r="AT67" i="16"/>
  <c r="AS67" i="16"/>
  <c r="AR67" i="16"/>
  <c r="AQ67" i="16"/>
  <c r="AP67" i="16"/>
  <c r="AO67" i="16"/>
  <c r="AM67" i="16"/>
  <c r="AK67" i="16"/>
  <c r="AJ67" i="16"/>
  <c r="AN67" i="16" s="1"/>
  <c r="AI67" i="16"/>
  <c r="AL67" i="16" s="1"/>
  <c r="AH67" i="16"/>
  <c r="AG67" i="16"/>
  <c r="AF67" i="16"/>
  <c r="AE67" i="16"/>
  <c r="AD67" i="16"/>
  <c r="AC67" i="16"/>
  <c r="AA67" i="16"/>
  <c r="Y67" i="16"/>
  <c r="X67" i="16"/>
  <c r="AB67" i="16" s="1"/>
  <c r="W67" i="16"/>
  <c r="Z67" i="16" s="1"/>
  <c r="T67" i="16"/>
  <c r="S67" i="16"/>
  <c r="R67" i="16"/>
  <c r="O67" i="16"/>
  <c r="L67" i="16"/>
  <c r="I67" i="16"/>
  <c r="Q67" i="16" s="1"/>
  <c r="H67" i="16"/>
  <c r="G67" i="16"/>
  <c r="P67" i="16" s="1"/>
  <c r="F67" i="16"/>
  <c r="E67" i="16"/>
  <c r="DF66" i="16"/>
  <c r="DE66" i="16"/>
  <c r="DD66" i="16"/>
  <c r="DC66" i="16"/>
  <c r="DB66" i="16"/>
  <c r="DA66" i="16"/>
  <c r="CY66" i="16"/>
  <c r="CW66" i="16"/>
  <c r="CV66" i="16"/>
  <c r="CZ66" i="16" s="1"/>
  <c r="CU66" i="16"/>
  <c r="CX66" i="16" s="1"/>
  <c r="CT66" i="16"/>
  <c r="CS66" i="16"/>
  <c r="CR66" i="16"/>
  <c r="CQ66" i="16"/>
  <c r="CO66" i="16"/>
  <c r="CM66" i="16"/>
  <c r="CL66" i="16"/>
  <c r="CP66" i="16" s="1"/>
  <c r="CK66" i="16"/>
  <c r="CN66" i="16" s="1"/>
  <c r="CJ66" i="16"/>
  <c r="CI66" i="16"/>
  <c r="CH66" i="16"/>
  <c r="CG66" i="16"/>
  <c r="CF66" i="16"/>
  <c r="CE66" i="16"/>
  <c r="CD66" i="16"/>
  <c r="CC66" i="16"/>
  <c r="CB66" i="16"/>
  <c r="CA66" i="16"/>
  <c r="BZ66" i="16"/>
  <c r="BY66" i="16"/>
  <c r="BX66" i="16"/>
  <c r="BW66" i="16"/>
  <c r="BV66" i="16"/>
  <c r="BU66" i="16"/>
  <c r="BS66" i="16"/>
  <c r="BQ66" i="16"/>
  <c r="BP66" i="16"/>
  <c r="BO66" i="16"/>
  <c r="BN66" i="16"/>
  <c r="BM66" i="16"/>
  <c r="BL66" i="16"/>
  <c r="BK66" i="16"/>
  <c r="BJ66" i="16"/>
  <c r="BI66" i="16"/>
  <c r="BH66" i="16"/>
  <c r="BG66" i="16"/>
  <c r="BF66" i="16"/>
  <c r="BE66" i="16"/>
  <c r="BD66" i="16"/>
  <c r="BC66" i="16"/>
  <c r="BB66" i="16"/>
  <c r="BA66" i="16"/>
  <c r="AY66" i="16"/>
  <c r="AW66" i="16"/>
  <c r="AV66" i="16"/>
  <c r="AZ66" i="16" s="1"/>
  <c r="AU66" i="16"/>
  <c r="AX66" i="16" s="1"/>
  <c r="AT66" i="16"/>
  <c r="AS66" i="16"/>
  <c r="AR66" i="16"/>
  <c r="AQ66" i="16"/>
  <c r="AP66" i="16"/>
  <c r="AO66" i="16"/>
  <c r="AM66" i="16"/>
  <c r="AK66" i="16"/>
  <c r="AJ66" i="16"/>
  <c r="AN66" i="16" s="1"/>
  <c r="AI66" i="16"/>
  <c r="AL66" i="16" s="1"/>
  <c r="AH66" i="16"/>
  <c r="AG66" i="16"/>
  <c r="AF66" i="16"/>
  <c r="AE66" i="16"/>
  <c r="AD66" i="16"/>
  <c r="AC66" i="16"/>
  <c r="AB66" i="16"/>
  <c r="AA66" i="16"/>
  <c r="Y66" i="16"/>
  <c r="X66" i="16"/>
  <c r="W66" i="16"/>
  <c r="Z66" i="16" s="1"/>
  <c r="T66" i="16"/>
  <c r="S66" i="16"/>
  <c r="R66" i="16"/>
  <c r="O66" i="16"/>
  <c r="J66" i="16" s="1"/>
  <c r="L66" i="16"/>
  <c r="I66" i="16"/>
  <c r="Q66" i="16" s="1"/>
  <c r="H66" i="16"/>
  <c r="N66" i="16" s="1"/>
  <c r="G66" i="16"/>
  <c r="P66" i="16" s="1"/>
  <c r="F66" i="16"/>
  <c r="E66" i="16"/>
  <c r="DF65" i="16"/>
  <c r="DE65" i="16"/>
  <c r="DD65" i="16"/>
  <c r="DC65" i="16"/>
  <c r="DB65" i="16"/>
  <c r="DA65" i="16"/>
  <c r="CY65" i="16"/>
  <c r="CW65" i="16"/>
  <c r="CV65" i="16"/>
  <c r="CZ65" i="16" s="1"/>
  <c r="CU65" i="16"/>
  <c r="CX65" i="16" s="1"/>
  <c r="CT65" i="16"/>
  <c r="CS65" i="16"/>
  <c r="CR65" i="16"/>
  <c r="CQ65" i="16"/>
  <c r="CO65" i="16"/>
  <c r="CM65" i="16"/>
  <c r="CL65" i="16"/>
  <c r="CP65" i="16" s="1"/>
  <c r="CK65" i="16"/>
  <c r="CN65" i="16" s="1"/>
  <c r="CJ65" i="16"/>
  <c r="CI65" i="16"/>
  <c r="CH65" i="16"/>
  <c r="CG65" i="16"/>
  <c r="CF65" i="16"/>
  <c r="CE65" i="16"/>
  <c r="CD65" i="16"/>
  <c r="CC65" i="16"/>
  <c r="CB65" i="16"/>
  <c r="CA65" i="16"/>
  <c r="BZ65" i="16"/>
  <c r="BY65" i="16"/>
  <c r="BX65" i="16"/>
  <c r="BW65" i="16"/>
  <c r="BV65" i="16"/>
  <c r="BU65" i="16"/>
  <c r="BS65" i="16"/>
  <c r="BT65" i="16" s="1"/>
  <c r="BQ65" i="16"/>
  <c r="BP65" i="16"/>
  <c r="BO65" i="16"/>
  <c r="BR65" i="16" s="1"/>
  <c r="BN65" i="16"/>
  <c r="BM65" i="16"/>
  <c r="BL65" i="16"/>
  <c r="BK65" i="16"/>
  <c r="BJ65" i="16"/>
  <c r="BI65" i="16"/>
  <c r="BH65" i="16"/>
  <c r="BG65" i="16"/>
  <c r="BF65" i="16"/>
  <c r="BE65" i="16"/>
  <c r="BD65" i="16"/>
  <c r="BC65" i="16"/>
  <c r="BB65" i="16"/>
  <c r="BA65" i="16"/>
  <c r="AY65" i="16"/>
  <c r="AW65" i="16"/>
  <c r="AV65" i="16"/>
  <c r="AZ65" i="16" s="1"/>
  <c r="AU65" i="16"/>
  <c r="AX65" i="16" s="1"/>
  <c r="AT65" i="16"/>
  <c r="AS65" i="16"/>
  <c r="AR65" i="16"/>
  <c r="AQ65" i="16"/>
  <c r="AP65" i="16"/>
  <c r="AO65" i="16"/>
  <c r="AN65" i="16"/>
  <c r="AM65" i="16"/>
  <c r="AK65" i="16"/>
  <c r="AJ65" i="16"/>
  <c r="AI65" i="16"/>
  <c r="AL65" i="16" s="1"/>
  <c r="AH65" i="16"/>
  <c r="AG65" i="16"/>
  <c r="AF65" i="16"/>
  <c r="AE65" i="16"/>
  <c r="AD65" i="16"/>
  <c r="AC65" i="16"/>
  <c r="AA65" i="16"/>
  <c r="Y65" i="16"/>
  <c r="X65" i="16"/>
  <c r="AB65" i="16" s="1"/>
  <c r="W65" i="16"/>
  <c r="Z65" i="16" s="1"/>
  <c r="T65" i="16"/>
  <c r="S65" i="16"/>
  <c r="V65" i="16" s="1"/>
  <c r="R65" i="16"/>
  <c r="U65" i="16" s="1"/>
  <c r="O65" i="16"/>
  <c r="L65" i="16"/>
  <c r="I65" i="16"/>
  <c r="Q65" i="16" s="1"/>
  <c r="H65" i="16"/>
  <c r="G65" i="16"/>
  <c r="P65" i="16" s="1"/>
  <c r="F65" i="16"/>
  <c r="E65" i="16"/>
  <c r="DF64" i="16"/>
  <c r="DE64" i="16"/>
  <c r="DD64" i="16"/>
  <c r="DC64" i="16"/>
  <c r="DB64" i="16"/>
  <c r="DA64" i="16"/>
  <c r="CY64" i="16"/>
  <c r="CW64" i="16"/>
  <c r="CV64" i="16"/>
  <c r="CZ64" i="16" s="1"/>
  <c r="CU64" i="16"/>
  <c r="CX64" i="16" s="1"/>
  <c r="CT64" i="16"/>
  <c r="CS64" i="16"/>
  <c r="CR64" i="16"/>
  <c r="CQ64" i="16"/>
  <c r="CO64" i="16"/>
  <c r="CM64" i="16"/>
  <c r="CL64" i="16"/>
  <c r="CP64" i="16" s="1"/>
  <c r="CK64" i="16"/>
  <c r="CN64" i="16" s="1"/>
  <c r="CJ64" i="16"/>
  <c r="CI64" i="16"/>
  <c r="CH64" i="16"/>
  <c r="CG64" i="16"/>
  <c r="CF64" i="16"/>
  <c r="CE64" i="16"/>
  <c r="CD64" i="16"/>
  <c r="CC64" i="16"/>
  <c r="CB64" i="16"/>
  <c r="CA64" i="16"/>
  <c r="BZ64" i="16"/>
  <c r="BY64" i="16"/>
  <c r="BX64" i="16"/>
  <c r="BW64" i="16"/>
  <c r="BV64" i="16"/>
  <c r="BU64" i="16"/>
  <c r="BS64" i="16"/>
  <c r="BQ64" i="16"/>
  <c r="BP64" i="16"/>
  <c r="BT64" i="16" s="1"/>
  <c r="BO64" i="16"/>
  <c r="BR64" i="16" s="1"/>
  <c r="BN64" i="16"/>
  <c r="BM64" i="16"/>
  <c r="BL64" i="16"/>
  <c r="BK64" i="16"/>
  <c r="BJ64" i="16"/>
  <c r="BI64" i="16"/>
  <c r="BH64" i="16"/>
  <c r="BG64" i="16"/>
  <c r="BF64" i="16"/>
  <c r="BE64" i="16"/>
  <c r="BD64" i="16"/>
  <c r="BC64" i="16"/>
  <c r="BB64" i="16"/>
  <c r="BA64" i="16"/>
  <c r="AY64" i="16"/>
  <c r="AW64" i="16"/>
  <c r="AV64" i="16"/>
  <c r="AZ64" i="16" s="1"/>
  <c r="AU64" i="16"/>
  <c r="AX64" i="16" s="1"/>
  <c r="AT64" i="16"/>
  <c r="AS64" i="16"/>
  <c r="AR64" i="16"/>
  <c r="AQ64" i="16"/>
  <c r="AP64" i="16"/>
  <c r="AO64" i="16"/>
  <c r="AM64" i="16"/>
  <c r="AK64" i="16"/>
  <c r="AJ64" i="16"/>
  <c r="AN64" i="16" s="1"/>
  <c r="AI64" i="16"/>
  <c r="AL64" i="16" s="1"/>
  <c r="AH64" i="16"/>
  <c r="AG64" i="16"/>
  <c r="AF64" i="16"/>
  <c r="AE64" i="16"/>
  <c r="AD64" i="16"/>
  <c r="AC64" i="16"/>
  <c r="AA64" i="16"/>
  <c r="Y64" i="16"/>
  <c r="X64" i="16"/>
  <c r="AB64" i="16" s="1"/>
  <c r="W64" i="16"/>
  <c r="Z64" i="16" s="1"/>
  <c r="U64" i="16"/>
  <c r="T64" i="16"/>
  <c r="S64" i="16"/>
  <c r="V64" i="16" s="1"/>
  <c r="R64" i="16"/>
  <c r="O64" i="16"/>
  <c r="L64" i="16"/>
  <c r="J64" i="16" s="1"/>
  <c r="I64" i="16"/>
  <c r="Q64" i="16" s="1"/>
  <c r="H64" i="16"/>
  <c r="G64" i="16"/>
  <c r="P64" i="16" s="1"/>
  <c r="F64" i="16"/>
  <c r="E64" i="16"/>
  <c r="D64" i="16" s="1"/>
  <c r="C64" i="16" s="1"/>
  <c r="K64" i="16" s="1"/>
  <c r="DF63" i="16"/>
  <c r="DE63" i="16"/>
  <c r="DD63" i="16"/>
  <c r="DC63" i="16"/>
  <c r="DB63" i="16"/>
  <c r="DA63" i="16"/>
  <c r="CY63" i="16"/>
  <c r="CW63" i="16"/>
  <c r="CV63" i="16"/>
  <c r="CZ63" i="16" s="1"/>
  <c r="CU63" i="16"/>
  <c r="CX63" i="16" s="1"/>
  <c r="CT63" i="16"/>
  <c r="CS63" i="16"/>
  <c r="CR63" i="16"/>
  <c r="CQ63" i="16"/>
  <c r="CO63" i="16"/>
  <c r="CM63" i="16"/>
  <c r="CL63" i="16"/>
  <c r="CP63" i="16" s="1"/>
  <c r="CK63" i="16"/>
  <c r="CN63" i="16" s="1"/>
  <c r="CJ63" i="16"/>
  <c r="CI63" i="16"/>
  <c r="CH63" i="16"/>
  <c r="CG63" i="16"/>
  <c r="CF63" i="16"/>
  <c r="CE63" i="16"/>
  <c r="CD63" i="16"/>
  <c r="CC63" i="16"/>
  <c r="CB63" i="16"/>
  <c r="CA63" i="16"/>
  <c r="BZ63" i="16"/>
  <c r="BY63" i="16"/>
  <c r="BX63" i="16"/>
  <c r="BW63" i="16"/>
  <c r="BV63" i="16"/>
  <c r="BU63" i="16"/>
  <c r="BS63" i="16"/>
  <c r="BQ63" i="16"/>
  <c r="BP63" i="16"/>
  <c r="BT63" i="16" s="1"/>
  <c r="BO63" i="16"/>
  <c r="BR63" i="16" s="1"/>
  <c r="BN63" i="16"/>
  <c r="BM63" i="16"/>
  <c r="BL63" i="16"/>
  <c r="BK63" i="16"/>
  <c r="BJ63" i="16"/>
  <c r="BI63" i="16"/>
  <c r="BH63" i="16"/>
  <c r="BG63" i="16"/>
  <c r="BF63" i="16"/>
  <c r="BE63" i="16"/>
  <c r="BD63" i="16"/>
  <c r="BC63" i="16"/>
  <c r="BB63" i="16"/>
  <c r="BA63" i="16"/>
  <c r="AY63" i="16"/>
  <c r="AW63" i="16"/>
  <c r="AV63" i="16"/>
  <c r="AZ63" i="16" s="1"/>
  <c r="AU63" i="16"/>
  <c r="AX63" i="16" s="1"/>
  <c r="AT63" i="16"/>
  <c r="AS63" i="16"/>
  <c r="AR63" i="16"/>
  <c r="AQ63" i="16"/>
  <c r="AP63" i="16"/>
  <c r="AO63" i="16"/>
  <c r="AM63" i="16"/>
  <c r="AK63" i="16"/>
  <c r="AJ63" i="16"/>
  <c r="AN63" i="16" s="1"/>
  <c r="AI63" i="16"/>
  <c r="AL63" i="16" s="1"/>
  <c r="AH63" i="16"/>
  <c r="AG63" i="16"/>
  <c r="AF63" i="16"/>
  <c r="AE63" i="16"/>
  <c r="AD63" i="16"/>
  <c r="AC63" i="16"/>
  <c r="AA63" i="16"/>
  <c r="Y63" i="16"/>
  <c r="X63" i="16"/>
  <c r="AB63" i="16" s="1"/>
  <c r="W63" i="16"/>
  <c r="Z63" i="16" s="1"/>
  <c r="T63" i="16"/>
  <c r="S63" i="16"/>
  <c r="V63" i="16" s="1"/>
  <c r="R63" i="16"/>
  <c r="U63" i="16" s="1"/>
  <c r="O63" i="16"/>
  <c r="L63" i="16"/>
  <c r="I63" i="16"/>
  <c r="Q63" i="16" s="1"/>
  <c r="H63" i="16"/>
  <c r="G63" i="16"/>
  <c r="P63" i="16" s="1"/>
  <c r="F63" i="16"/>
  <c r="E63" i="16"/>
  <c r="DF62" i="16"/>
  <c r="DE62" i="16"/>
  <c r="DD62" i="16"/>
  <c r="DC62" i="16"/>
  <c r="DB62" i="16"/>
  <c r="DA62" i="16"/>
  <c r="CY62" i="16"/>
  <c r="CW62" i="16"/>
  <c r="CV62" i="16"/>
  <c r="CU62" i="16"/>
  <c r="CX62" i="16" s="1"/>
  <c r="CT62" i="16"/>
  <c r="CS62" i="16"/>
  <c r="CR62" i="16"/>
  <c r="CQ62" i="16"/>
  <c r="CO62" i="16"/>
  <c r="CM62" i="16"/>
  <c r="CL62" i="16"/>
  <c r="CP62" i="16" s="1"/>
  <c r="CK62" i="16"/>
  <c r="CN62" i="16" s="1"/>
  <c r="CJ62" i="16"/>
  <c r="CI62" i="16"/>
  <c r="CH62" i="16"/>
  <c r="CG62" i="16"/>
  <c r="CF62" i="16"/>
  <c r="CE62" i="16"/>
  <c r="CD62" i="16"/>
  <c r="CC62" i="16"/>
  <c r="CB62" i="16"/>
  <c r="CA62" i="16"/>
  <c r="BZ62" i="16"/>
  <c r="BY62" i="16"/>
  <c r="BX62" i="16"/>
  <c r="BW62" i="16"/>
  <c r="BV62" i="16"/>
  <c r="BU62" i="16"/>
  <c r="BS62" i="16"/>
  <c r="BQ62" i="16"/>
  <c r="BP62" i="16"/>
  <c r="BO62" i="16"/>
  <c r="BN62" i="16"/>
  <c r="BM62" i="16"/>
  <c r="BL62" i="16"/>
  <c r="BK62" i="16"/>
  <c r="BJ62" i="16"/>
  <c r="BI62" i="16"/>
  <c r="BH62" i="16"/>
  <c r="BG62" i="16"/>
  <c r="BF62" i="16"/>
  <c r="BE62" i="16"/>
  <c r="BD62" i="16"/>
  <c r="BC62" i="16"/>
  <c r="BB62" i="16"/>
  <c r="BA62" i="16"/>
  <c r="AY62" i="16"/>
  <c r="AW62" i="16"/>
  <c r="AV62" i="16"/>
  <c r="AZ62" i="16" s="1"/>
  <c r="AU62" i="16"/>
  <c r="AX62" i="16" s="1"/>
  <c r="AT62" i="16"/>
  <c r="AS62" i="16"/>
  <c r="AR62" i="16"/>
  <c r="AQ62" i="16"/>
  <c r="AP62" i="16"/>
  <c r="AO62" i="16"/>
  <c r="AM62" i="16"/>
  <c r="AK62" i="16"/>
  <c r="AJ62" i="16"/>
  <c r="AN62" i="16" s="1"/>
  <c r="AI62" i="16"/>
  <c r="AL62" i="16" s="1"/>
  <c r="AH62" i="16"/>
  <c r="AG62" i="16"/>
  <c r="AF62" i="16"/>
  <c r="AE62" i="16"/>
  <c r="AD62" i="16"/>
  <c r="AC62" i="16"/>
  <c r="AA62" i="16"/>
  <c r="Y62" i="16"/>
  <c r="X62" i="16"/>
  <c r="AB62" i="16" s="1"/>
  <c r="W62" i="16"/>
  <c r="Z62" i="16" s="1"/>
  <c r="T62" i="16"/>
  <c r="U62" i="16" s="1"/>
  <c r="S62" i="16"/>
  <c r="R62" i="16"/>
  <c r="O62" i="16"/>
  <c r="L62" i="16"/>
  <c r="I62" i="16"/>
  <c r="Q62" i="16" s="1"/>
  <c r="H62" i="16"/>
  <c r="G62" i="16"/>
  <c r="P62" i="16" s="1"/>
  <c r="F62" i="16"/>
  <c r="E62" i="16"/>
  <c r="D62" i="16" s="1"/>
  <c r="DF61" i="16"/>
  <c r="DE61" i="16"/>
  <c r="DD61" i="16"/>
  <c r="DC61" i="16"/>
  <c r="DB61" i="16"/>
  <c r="DA61" i="16"/>
  <c r="CY61" i="16"/>
  <c r="CW61" i="16"/>
  <c r="CV61" i="16"/>
  <c r="CZ61" i="16" s="1"/>
  <c r="CU61" i="16"/>
  <c r="CX61" i="16" s="1"/>
  <c r="CT61" i="16"/>
  <c r="CS61" i="16"/>
  <c r="CR61" i="16"/>
  <c r="CQ61" i="16"/>
  <c r="CO61" i="16"/>
  <c r="CM61" i="16"/>
  <c r="CL61" i="16"/>
  <c r="CP61" i="16" s="1"/>
  <c r="CK61" i="16"/>
  <c r="CN61" i="16" s="1"/>
  <c r="CJ61" i="16"/>
  <c r="CI61" i="16"/>
  <c r="CH61" i="16"/>
  <c r="CG61" i="16"/>
  <c r="CF61" i="16"/>
  <c r="CE61" i="16"/>
  <c r="CD61" i="16"/>
  <c r="CC61" i="16"/>
  <c r="CB61" i="16"/>
  <c r="CA61" i="16"/>
  <c r="BZ61" i="16"/>
  <c r="BY61" i="16"/>
  <c r="BX61" i="16"/>
  <c r="BW61" i="16"/>
  <c r="BV61" i="16"/>
  <c r="BU61" i="16"/>
  <c r="BS61" i="16"/>
  <c r="BQ61" i="16"/>
  <c r="BP61" i="16"/>
  <c r="BO61" i="16"/>
  <c r="BN61" i="16"/>
  <c r="BM61" i="16"/>
  <c r="BL61" i="16"/>
  <c r="BK61" i="16"/>
  <c r="BJ61" i="16"/>
  <c r="BI61" i="16"/>
  <c r="BH61" i="16"/>
  <c r="BG61" i="16"/>
  <c r="BF61" i="16"/>
  <c r="BE61" i="16"/>
  <c r="BD61" i="16"/>
  <c r="BC61" i="16"/>
  <c r="BB61" i="16"/>
  <c r="BA61" i="16"/>
  <c r="AY61" i="16"/>
  <c r="AW61" i="16"/>
  <c r="AV61" i="16"/>
  <c r="AU61" i="16"/>
  <c r="AX61" i="16" s="1"/>
  <c r="AT61" i="16"/>
  <c r="AS61" i="16"/>
  <c r="AR61" i="16"/>
  <c r="AQ61" i="16"/>
  <c r="AP61" i="16"/>
  <c r="AO61" i="16"/>
  <c r="AM61" i="16"/>
  <c r="AK61" i="16"/>
  <c r="AJ61" i="16"/>
  <c r="AN61" i="16" s="1"/>
  <c r="AI61" i="16"/>
  <c r="AH61" i="16"/>
  <c r="AG61" i="16"/>
  <c r="AF61" i="16"/>
  <c r="AE61" i="16"/>
  <c r="AD61" i="16"/>
  <c r="AC61" i="16"/>
  <c r="AA61" i="16"/>
  <c r="Y61" i="16"/>
  <c r="X61" i="16"/>
  <c r="AB61" i="16" s="1"/>
  <c r="W61" i="16"/>
  <c r="Z61" i="16" s="1"/>
  <c r="T61" i="16"/>
  <c r="S61" i="16"/>
  <c r="V61" i="16" s="1"/>
  <c r="R61" i="16"/>
  <c r="O61" i="16"/>
  <c r="L61" i="16"/>
  <c r="J61" i="16" s="1"/>
  <c r="I61" i="16"/>
  <c r="Q61" i="16" s="1"/>
  <c r="H61" i="16"/>
  <c r="G61" i="16"/>
  <c r="P61" i="16" s="1"/>
  <c r="F61" i="16"/>
  <c r="E61" i="16"/>
  <c r="DF60" i="16"/>
  <c r="DE60" i="16"/>
  <c r="DD60" i="16"/>
  <c r="DC60" i="16"/>
  <c r="DB60" i="16"/>
  <c r="DA60" i="16"/>
  <c r="CY60" i="16"/>
  <c r="CW60" i="16"/>
  <c r="CV60" i="16"/>
  <c r="CZ60" i="16" s="1"/>
  <c r="CU60" i="16"/>
  <c r="CX60" i="16" s="1"/>
  <c r="CT60" i="16"/>
  <c r="CS60" i="16"/>
  <c r="CR60" i="16"/>
  <c r="CQ60" i="16"/>
  <c r="CO60" i="16"/>
  <c r="CM60" i="16"/>
  <c r="CL60" i="16"/>
  <c r="CP60" i="16" s="1"/>
  <c r="CK60" i="16"/>
  <c r="CN60" i="16" s="1"/>
  <c r="CJ60" i="16"/>
  <c r="CI60" i="16"/>
  <c r="CH60" i="16"/>
  <c r="CG60" i="16"/>
  <c r="CF60" i="16"/>
  <c r="CE60" i="16"/>
  <c r="CD60" i="16"/>
  <c r="CC60" i="16"/>
  <c r="CB60" i="16"/>
  <c r="CA60" i="16"/>
  <c r="BZ60" i="16"/>
  <c r="BY60" i="16"/>
  <c r="BX60" i="16"/>
  <c r="BW60" i="16"/>
  <c r="BV60" i="16"/>
  <c r="BU60" i="16"/>
  <c r="BS60" i="16"/>
  <c r="BQ60" i="16"/>
  <c r="BP60" i="16"/>
  <c r="BT60" i="16" s="1"/>
  <c r="BO60" i="16"/>
  <c r="BR60" i="16" s="1"/>
  <c r="BN60" i="16"/>
  <c r="BM60" i="16"/>
  <c r="BL60" i="16"/>
  <c r="BK60" i="16"/>
  <c r="BJ60" i="16"/>
  <c r="BI60" i="16"/>
  <c r="BH60" i="16"/>
  <c r="BG60" i="16"/>
  <c r="BF60" i="16"/>
  <c r="BE60" i="16"/>
  <c r="BD60" i="16"/>
  <c r="BC60" i="16"/>
  <c r="BB60" i="16"/>
  <c r="BA60" i="16"/>
  <c r="AY60" i="16"/>
  <c r="AW60" i="16"/>
  <c r="AV60" i="16"/>
  <c r="AZ60" i="16" s="1"/>
  <c r="AU60" i="16"/>
  <c r="AX60" i="16" s="1"/>
  <c r="AT60" i="16"/>
  <c r="AS60" i="16"/>
  <c r="AR60" i="16"/>
  <c r="AQ60" i="16"/>
  <c r="AP60" i="16"/>
  <c r="AO60" i="16"/>
  <c r="AM60" i="16"/>
  <c r="AK60" i="16"/>
  <c r="AJ60" i="16"/>
  <c r="AN60" i="16" s="1"/>
  <c r="AI60" i="16"/>
  <c r="AL60" i="16" s="1"/>
  <c r="AH60" i="16"/>
  <c r="AG60" i="16"/>
  <c r="AF60" i="16"/>
  <c r="AE60" i="16"/>
  <c r="AD60" i="16"/>
  <c r="AC60" i="16"/>
  <c r="AA60" i="16"/>
  <c r="Y60" i="16"/>
  <c r="X60" i="16"/>
  <c r="W60" i="16"/>
  <c r="Z60" i="16" s="1"/>
  <c r="T60" i="16"/>
  <c r="S60" i="16"/>
  <c r="V60" i="16" s="1"/>
  <c r="R60" i="16"/>
  <c r="U60" i="16" s="1"/>
  <c r="O60" i="16"/>
  <c r="L60" i="16"/>
  <c r="I60" i="16"/>
  <c r="Q60" i="16" s="1"/>
  <c r="H60" i="16"/>
  <c r="N60" i="16" s="1"/>
  <c r="G60" i="16"/>
  <c r="P60" i="16" s="1"/>
  <c r="F60" i="16"/>
  <c r="E60" i="16"/>
  <c r="DF59" i="16"/>
  <c r="DE59" i="16"/>
  <c r="DD59" i="16"/>
  <c r="DC59" i="16"/>
  <c r="DB59" i="16"/>
  <c r="DA59" i="16"/>
  <c r="CY59" i="16"/>
  <c r="CW59" i="16"/>
  <c r="CV59" i="16"/>
  <c r="CZ59" i="16" s="1"/>
  <c r="CU59" i="16"/>
  <c r="CX59" i="16" s="1"/>
  <c r="CT59" i="16"/>
  <c r="CS59" i="16"/>
  <c r="CR59" i="16"/>
  <c r="CQ59" i="16"/>
  <c r="CO59" i="16"/>
  <c r="CM59" i="16"/>
  <c r="CL59" i="16"/>
  <c r="CP59" i="16" s="1"/>
  <c r="CK59" i="16"/>
  <c r="CN59" i="16" s="1"/>
  <c r="CJ59" i="16"/>
  <c r="CI59" i="16"/>
  <c r="CH59" i="16"/>
  <c r="CG59" i="16"/>
  <c r="CF59" i="16"/>
  <c r="CE59" i="16"/>
  <c r="CD59" i="16"/>
  <c r="CC59" i="16"/>
  <c r="CB59" i="16"/>
  <c r="CA59" i="16"/>
  <c r="BZ59" i="16"/>
  <c r="BY59" i="16"/>
  <c r="BX59" i="16"/>
  <c r="BW59" i="16"/>
  <c r="BV59" i="16"/>
  <c r="BU59" i="16"/>
  <c r="BT59" i="16"/>
  <c r="BS59" i="16"/>
  <c r="BQ59" i="16"/>
  <c r="BP59" i="16"/>
  <c r="BO59" i="16"/>
  <c r="BR59" i="16" s="1"/>
  <c r="BN59" i="16"/>
  <c r="BM59" i="16"/>
  <c r="BL59" i="16"/>
  <c r="BK59" i="16"/>
  <c r="BJ59" i="16"/>
  <c r="BI59" i="16"/>
  <c r="BH59" i="16"/>
  <c r="BG59" i="16"/>
  <c r="BF59" i="16"/>
  <c r="BE59" i="16"/>
  <c r="BD59" i="16"/>
  <c r="BC59" i="16"/>
  <c r="BB59" i="16"/>
  <c r="BA59" i="16"/>
  <c r="AY59" i="16"/>
  <c r="AW59" i="16"/>
  <c r="AV59" i="16"/>
  <c r="AZ59" i="16" s="1"/>
  <c r="AU59" i="16"/>
  <c r="AX59" i="16" s="1"/>
  <c r="AT59" i="16"/>
  <c r="AS59" i="16"/>
  <c r="AR59" i="16"/>
  <c r="AQ59" i="16"/>
  <c r="AP59" i="16"/>
  <c r="AO59" i="16"/>
  <c r="AM59" i="16"/>
  <c r="AK59" i="16"/>
  <c r="AJ59" i="16"/>
  <c r="AN59" i="16" s="1"/>
  <c r="AI59" i="16"/>
  <c r="AL59" i="16" s="1"/>
  <c r="AH59" i="16"/>
  <c r="AG59" i="16"/>
  <c r="AF59" i="16"/>
  <c r="AE59" i="16"/>
  <c r="AD59" i="16"/>
  <c r="AC59" i="16"/>
  <c r="AA59" i="16"/>
  <c r="Y59" i="16"/>
  <c r="X59" i="16"/>
  <c r="AB59" i="16" s="1"/>
  <c r="W59" i="16"/>
  <c r="Z59" i="16" s="1"/>
  <c r="T59" i="16"/>
  <c r="S59" i="16"/>
  <c r="V59" i="16" s="1"/>
  <c r="R59" i="16"/>
  <c r="U59" i="16" s="1"/>
  <c r="O59" i="16"/>
  <c r="L59" i="16"/>
  <c r="J59" i="16" s="1"/>
  <c r="I59" i="16"/>
  <c r="Q59" i="16" s="1"/>
  <c r="H59" i="16"/>
  <c r="N59" i="16" s="1"/>
  <c r="G59" i="16"/>
  <c r="P59" i="16" s="1"/>
  <c r="F59" i="16"/>
  <c r="E59" i="16"/>
  <c r="DF58" i="16"/>
  <c r="DE58" i="16"/>
  <c r="DD58" i="16"/>
  <c r="DC58" i="16"/>
  <c r="DB58" i="16"/>
  <c r="DA58" i="16"/>
  <c r="CY58" i="16"/>
  <c r="CW58" i="16"/>
  <c r="CV58" i="16"/>
  <c r="CZ58" i="16" s="1"/>
  <c r="CU58" i="16"/>
  <c r="CX58" i="16" s="1"/>
  <c r="CT58" i="16"/>
  <c r="CS58" i="16"/>
  <c r="CR58" i="16"/>
  <c r="CQ58" i="16"/>
  <c r="CO58" i="16"/>
  <c r="CM58" i="16"/>
  <c r="CL58" i="16"/>
  <c r="CP58" i="16" s="1"/>
  <c r="CK58" i="16"/>
  <c r="CN58" i="16" s="1"/>
  <c r="CJ58" i="16"/>
  <c r="CI58" i="16"/>
  <c r="CH58" i="16"/>
  <c r="CG58" i="16"/>
  <c r="CF58" i="16"/>
  <c r="CE58" i="16"/>
  <c r="CD58" i="16"/>
  <c r="CC58" i="16"/>
  <c r="CB58" i="16"/>
  <c r="CA58" i="16"/>
  <c r="BZ58" i="16"/>
  <c r="BY58" i="16"/>
  <c r="BX58" i="16"/>
  <c r="BW58" i="16"/>
  <c r="BV58" i="16"/>
  <c r="BU58" i="16"/>
  <c r="BS58" i="16"/>
  <c r="BQ58" i="16"/>
  <c r="BP58" i="16"/>
  <c r="BO58" i="16"/>
  <c r="BN58" i="16"/>
  <c r="BM58" i="16"/>
  <c r="BL58" i="16"/>
  <c r="BK58" i="16"/>
  <c r="BJ58" i="16"/>
  <c r="BI58" i="16"/>
  <c r="BH58" i="16"/>
  <c r="BG58" i="16"/>
  <c r="BF58" i="16"/>
  <c r="BE58" i="16"/>
  <c r="BD58" i="16"/>
  <c r="BC58" i="16"/>
  <c r="BB58" i="16"/>
  <c r="BA58" i="16"/>
  <c r="AY58" i="16"/>
  <c r="AW58" i="16"/>
  <c r="AV58" i="16"/>
  <c r="AZ58" i="16" s="1"/>
  <c r="AU58" i="16"/>
  <c r="AX58" i="16" s="1"/>
  <c r="AT58" i="16"/>
  <c r="AS58" i="16"/>
  <c r="AR58" i="16"/>
  <c r="AQ58" i="16"/>
  <c r="AP58" i="16"/>
  <c r="AO58" i="16"/>
  <c r="AM58" i="16"/>
  <c r="AK58" i="16"/>
  <c r="AJ58" i="16"/>
  <c r="AN58" i="16" s="1"/>
  <c r="AI58" i="16"/>
  <c r="AL58" i="16" s="1"/>
  <c r="AH58" i="16"/>
  <c r="AG58" i="16"/>
  <c r="AF58" i="16"/>
  <c r="AE58" i="16"/>
  <c r="AD58" i="16"/>
  <c r="AC58" i="16"/>
  <c r="AA58" i="16"/>
  <c r="Y58" i="16"/>
  <c r="X58" i="16"/>
  <c r="AB58" i="16" s="1"/>
  <c r="W58" i="16"/>
  <c r="Z58" i="16" s="1"/>
  <c r="T58" i="16"/>
  <c r="S58" i="16"/>
  <c r="R58" i="16"/>
  <c r="U58" i="16" s="1"/>
  <c r="O58" i="16"/>
  <c r="L58" i="16"/>
  <c r="I58" i="16"/>
  <c r="Q58" i="16" s="1"/>
  <c r="H58" i="16"/>
  <c r="G58" i="16"/>
  <c r="P58" i="16" s="1"/>
  <c r="F58" i="16"/>
  <c r="E58" i="16"/>
  <c r="DF57" i="16"/>
  <c r="DE57" i="16"/>
  <c r="DD57" i="16"/>
  <c r="DC57" i="16"/>
  <c r="DB57" i="16"/>
  <c r="DA57" i="16"/>
  <c r="CY57" i="16"/>
  <c r="CW57" i="16"/>
  <c r="CV57" i="16"/>
  <c r="CZ57" i="16" s="1"/>
  <c r="CU57" i="16"/>
  <c r="CX57" i="16" s="1"/>
  <c r="CT57" i="16"/>
  <c r="CS57" i="16"/>
  <c r="CR57" i="16"/>
  <c r="CQ57" i="16"/>
  <c r="CO57" i="16"/>
  <c r="CM57" i="16"/>
  <c r="CL57" i="16"/>
  <c r="CP57" i="16" s="1"/>
  <c r="CK57" i="16"/>
  <c r="CN57" i="16" s="1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S57" i="16"/>
  <c r="BT57" i="16" s="1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Y57" i="16"/>
  <c r="AW57" i="16"/>
  <c r="AV57" i="16"/>
  <c r="AZ57" i="16" s="1"/>
  <c r="AU57" i="16"/>
  <c r="AX57" i="16" s="1"/>
  <c r="AT57" i="16"/>
  <c r="AS57" i="16"/>
  <c r="AR57" i="16"/>
  <c r="AQ57" i="16"/>
  <c r="AP57" i="16"/>
  <c r="AO57" i="16"/>
  <c r="AM57" i="16"/>
  <c r="AK57" i="16"/>
  <c r="AJ57" i="16"/>
  <c r="AN57" i="16" s="1"/>
  <c r="AI57" i="16"/>
  <c r="AL57" i="16" s="1"/>
  <c r="AH57" i="16"/>
  <c r="AG57" i="16"/>
  <c r="AF57" i="16"/>
  <c r="AE57" i="16"/>
  <c r="AD57" i="16"/>
  <c r="AC57" i="16"/>
  <c r="AA57" i="16"/>
  <c r="Y57" i="16"/>
  <c r="X57" i="16"/>
  <c r="AB57" i="16" s="1"/>
  <c r="W57" i="16"/>
  <c r="Z57" i="16" s="1"/>
  <c r="U57" i="16"/>
  <c r="T57" i="16"/>
  <c r="S57" i="16"/>
  <c r="R57" i="16"/>
  <c r="O57" i="16"/>
  <c r="L57" i="16"/>
  <c r="J57" i="16" s="1"/>
  <c r="I57" i="16"/>
  <c r="Q57" i="16" s="1"/>
  <c r="H57" i="16"/>
  <c r="G57" i="16"/>
  <c r="P57" i="16" s="1"/>
  <c r="F57" i="16"/>
  <c r="E57" i="16"/>
  <c r="DF56" i="16"/>
  <c r="DE56" i="16"/>
  <c r="DD56" i="16"/>
  <c r="DC56" i="16"/>
  <c r="DB56" i="16"/>
  <c r="DA56" i="16"/>
  <c r="CY56" i="16"/>
  <c r="CW56" i="16"/>
  <c r="CV56" i="16"/>
  <c r="CZ56" i="16" s="1"/>
  <c r="CU56" i="16"/>
  <c r="CX56" i="16" s="1"/>
  <c r="CT56" i="16"/>
  <c r="CS56" i="16"/>
  <c r="CR56" i="16"/>
  <c r="CQ56" i="16"/>
  <c r="CO56" i="16"/>
  <c r="CM56" i="16"/>
  <c r="CL56" i="16"/>
  <c r="CP56" i="16" s="1"/>
  <c r="CK56" i="16"/>
  <c r="CN56" i="16" s="1"/>
  <c r="CJ56" i="16"/>
  <c r="CI56" i="16"/>
  <c r="CH56" i="16"/>
  <c r="CG56" i="16"/>
  <c r="CF56" i="16"/>
  <c r="CE56" i="16"/>
  <c r="CD56" i="16"/>
  <c r="CC56" i="16"/>
  <c r="CB56" i="16"/>
  <c r="CA56" i="16"/>
  <c r="BZ56" i="16"/>
  <c r="BY56" i="16"/>
  <c r="BX56" i="16"/>
  <c r="BW56" i="16"/>
  <c r="BV56" i="16"/>
  <c r="BU56" i="16"/>
  <c r="BS56" i="16"/>
  <c r="BQ56" i="16"/>
  <c r="BP56" i="16"/>
  <c r="BO56" i="16"/>
  <c r="BR56" i="16" s="1"/>
  <c r="BN56" i="16"/>
  <c r="BM56" i="16"/>
  <c r="BL56" i="16"/>
  <c r="BK56" i="16"/>
  <c r="BJ56" i="16"/>
  <c r="BI56" i="16"/>
  <c r="BH56" i="16"/>
  <c r="BG56" i="16"/>
  <c r="BF56" i="16"/>
  <c r="BE56" i="16"/>
  <c r="BD56" i="16"/>
  <c r="BC56" i="16"/>
  <c r="BB56" i="16"/>
  <c r="BA56" i="16"/>
  <c r="AY56" i="16"/>
  <c r="AW56" i="16"/>
  <c r="AV56" i="16"/>
  <c r="AZ56" i="16" s="1"/>
  <c r="AU56" i="16"/>
  <c r="AX56" i="16" s="1"/>
  <c r="AT56" i="16"/>
  <c r="AS56" i="16"/>
  <c r="AR56" i="16"/>
  <c r="AQ56" i="16"/>
  <c r="AP56" i="16"/>
  <c r="AO56" i="16"/>
  <c r="AM56" i="16"/>
  <c r="AK56" i="16"/>
  <c r="AJ56" i="16"/>
  <c r="AN56" i="16" s="1"/>
  <c r="AI56" i="16"/>
  <c r="AL56" i="16" s="1"/>
  <c r="AH56" i="16"/>
  <c r="AG56" i="16"/>
  <c r="AF56" i="16"/>
  <c r="AE56" i="16"/>
  <c r="AD56" i="16"/>
  <c r="AC56" i="16"/>
  <c r="AA56" i="16"/>
  <c r="Y56" i="16"/>
  <c r="X56" i="16"/>
  <c r="AB56" i="16" s="1"/>
  <c r="W56" i="16"/>
  <c r="Z56" i="16" s="1"/>
  <c r="T56" i="16"/>
  <c r="S56" i="16"/>
  <c r="R56" i="16"/>
  <c r="U56" i="16" s="1"/>
  <c r="O56" i="16"/>
  <c r="L56" i="16"/>
  <c r="I56" i="16"/>
  <c r="Q56" i="16" s="1"/>
  <c r="H56" i="16"/>
  <c r="G56" i="16"/>
  <c r="P56" i="16" s="1"/>
  <c r="F56" i="16"/>
  <c r="E56" i="16"/>
  <c r="DF55" i="16"/>
  <c r="DE55" i="16"/>
  <c r="DD55" i="16"/>
  <c r="DC55" i="16"/>
  <c r="DB55" i="16"/>
  <c r="DA55" i="16"/>
  <c r="CY55" i="16"/>
  <c r="CW55" i="16"/>
  <c r="CV55" i="16"/>
  <c r="CZ55" i="16" s="1"/>
  <c r="CU55" i="16"/>
  <c r="CX55" i="16" s="1"/>
  <c r="CT55" i="16"/>
  <c r="CS55" i="16"/>
  <c r="CR55" i="16"/>
  <c r="CQ55" i="16"/>
  <c r="CO55" i="16"/>
  <c r="CM55" i="16"/>
  <c r="CL55" i="16"/>
  <c r="CP55" i="16" s="1"/>
  <c r="CK55" i="16"/>
  <c r="CN55" i="16" s="1"/>
  <c r="CJ55" i="16"/>
  <c r="CI55" i="16"/>
  <c r="CH55" i="16"/>
  <c r="CG55" i="16"/>
  <c r="CF55" i="16"/>
  <c r="CE55" i="16"/>
  <c r="CD55" i="16"/>
  <c r="CC55" i="16"/>
  <c r="CB55" i="16"/>
  <c r="CA55" i="16"/>
  <c r="BZ55" i="16"/>
  <c r="BY55" i="16"/>
  <c r="BX55" i="16"/>
  <c r="BW55" i="16"/>
  <c r="BV55" i="16"/>
  <c r="BU55" i="16"/>
  <c r="BS55" i="16"/>
  <c r="BT55" i="16" s="1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Y55" i="16"/>
  <c r="AW55" i="16"/>
  <c r="AV55" i="16"/>
  <c r="AZ55" i="16" s="1"/>
  <c r="AU55" i="16"/>
  <c r="AX55" i="16" s="1"/>
  <c r="AT55" i="16"/>
  <c r="AS55" i="16"/>
  <c r="AR55" i="16"/>
  <c r="AQ55" i="16"/>
  <c r="AP55" i="16"/>
  <c r="AO55" i="16"/>
  <c r="AM55" i="16"/>
  <c r="AK55" i="16"/>
  <c r="AJ55" i="16"/>
  <c r="AN55" i="16" s="1"/>
  <c r="AI55" i="16"/>
  <c r="AL55" i="16" s="1"/>
  <c r="AH55" i="16"/>
  <c r="AG55" i="16"/>
  <c r="AF55" i="16"/>
  <c r="AE55" i="16"/>
  <c r="AD55" i="16"/>
  <c r="AC55" i="16"/>
  <c r="AA55" i="16"/>
  <c r="Y55" i="16"/>
  <c r="X55" i="16"/>
  <c r="AB55" i="16" s="1"/>
  <c r="W55" i="16"/>
  <c r="Z55" i="16" s="1"/>
  <c r="T55" i="16"/>
  <c r="U55" i="16" s="1"/>
  <c r="S55" i="16"/>
  <c r="R55" i="16"/>
  <c r="O55" i="16"/>
  <c r="L55" i="16"/>
  <c r="J55" i="16" s="1"/>
  <c r="I55" i="16"/>
  <c r="Q55" i="16" s="1"/>
  <c r="H55" i="16"/>
  <c r="G55" i="16"/>
  <c r="P55" i="16" s="1"/>
  <c r="F55" i="16"/>
  <c r="E55" i="16"/>
  <c r="DF54" i="16"/>
  <c r="DE54" i="16"/>
  <c r="DD54" i="16"/>
  <c r="DC54" i="16"/>
  <c r="DB54" i="16"/>
  <c r="DA54" i="16"/>
  <c r="CY54" i="16"/>
  <c r="CW54" i="16"/>
  <c r="CV54" i="16"/>
  <c r="CZ54" i="16" s="1"/>
  <c r="CU54" i="16"/>
  <c r="CX54" i="16" s="1"/>
  <c r="CT54" i="16"/>
  <c r="CS54" i="16"/>
  <c r="CR54" i="16"/>
  <c r="CQ54" i="16"/>
  <c r="CO54" i="16"/>
  <c r="CM54" i="16"/>
  <c r="CL54" i="16"/>
  <c r="CP54" i="16" s="1"/>
  <c r="CK54" i="16"/>
  <c r="CN54" i="16" s="1"/>
  <c r="CJ54" i="16"/>
  <c r="CI54" i="16"/>
  <c r="CH54" i="16"/>
  <c r="CG54" i="16"/>
  <c r="CF54" i="16"/>
  <c r="CE54" i="16"/>
  <c r="CD54" i="16"/>
  <c r="CC54" i="16"/>
  <c r="CB54" i="16"/>
  <c r="CA54" i="16"/>
  <c r="BZ54" i="16"/>
  <c r="BY54" i="16"/>
  <c r="BX54" i="16"/>
  <c r="BW54" i="16"/>
  <c r="BV54" i="16"/>
  <c r="BU54" i="16"/>
  <c r="BS54" i="16"/>
  <c r="BQ54" i="16"/>
  <c r="BP54" i="16"/>
  <c r="BO54" i="16"/>
  <c r="BR54" i="16" s="1"/>
  <c r="BN54" i="16"/>
  <c r="BM54" i="16"/>
  <c r="BL54" i="16"/>
  <c r="BK54" i="16"/>
  <c r="BJ54" i="16"/>
  <c r="BI54" i="16"/>
  <c r="BH54" i="16"/>
  <c r="BG54" i="16"/>
  <c r="BF54" i="16"/>
  <c r="BE54" i="16"/>
  <c r="BD54" i="16"/>
  <c r="BC54" i="16"/>
  <c r="BB54" i="16"/>
  <c r="BA54" i="16"/>
  <c r="AY54" i="16"/>
  <c r="AW54" i="16"/>
  <c r="AV54" i="16"/>
  <c r="AZ54" i="16" s="1"/>
  <c r="AU54" i="16"/>
  <c r="AX54" i="16" s="1"/>
  <c r="AT54" i="16"/>
  <c r="AS54" i="16"/>
  <c r="AR54" i="16"/>
  <c r="AQ54" i="16"/>
  <c r="AP54" i="16"/>
  <c r="AO54" i="16"/>
  <c r="AM54" i="16"/>
  <c r="AK54" i="16"/>
  <c r="AJ54" i="16"/>
  <c r="AN54" i="16" s="1"/>
  <c r="AI54" i="16"/>
  <c r="AL54" i="16" s="1"/>
  <c r="AH54" i="16"/>
  <c r="AG54" i="16"/>
  <c r="AF54" i="16"/>
  <c r="AE54" i="16"/>
  <c r="AD54" i="16"/>
  <c r="AC54" i="16"/>
  <c r="AA54" i="16"/>
  <c r="Y54" i="16"/>
  <c r="X54" i="16"/>
  <c r="AB54" i="16" s="1"/>
  <c r="W54" i="16"/>
  <c r="Z54" i="16" s="1"/>
  <c r="T54" i="16"/>
  <c r="S54" i="16"/>
  <c r="R54" i="16"/>
  <c r="O54" i="16"/>
  <c r="L54" i="16"/>
  <c r="I54" i="16"/>
  <c r="Q54" i="16" s="1"/>
  <c r="H54" i="16"/>
  <c r="G54" i="16"/>
  <c r="P54" i="16" s="1"/>
  <c r="F54" i="16"/>
  <c r="E54" i="16"/>
  <c r="DF53" i="16"/>
  <c r="DE53" i="16"/>
  <c r="DD53" i="16"/>
  <c r="DC53" i="16"/>
  <c r="DB53" i="16"/>
  <c r="DA53" i="16"/>
  <c r="CY53" i="16"/>
  <c r="CW53" i="16"/>
  <c r="CV53" i="16"/>
  <c r="CU53" i="16"/>
  <c r="CT53" i="16"/>
  <c r="CS53" i="16"/>
  <c r="CR53" i="16"/>
  <c r="CQ53" i="16"/>
  <c r="CO53" i="16"/>
  <c r="CM53" i="16"/>
  <c r="CL53" i="16"/>
  <c r="CP53" i="16" s="1"/>
  <c r="CK53" i="16"/>
  <c r="CJ53" i="16"/>
  <c r="CI53" i="16"/>
  <c r="CH53" i="16"/>
  <c r="CG53" i="16"/>
  <c r="CF53" i="16"/>
  <c r="CE53" i="16"/>
  <c r="CE52" i="16" s="1"/>
  <c r="CD53" i="16"/>
  <c r="CC53" i="16"/>
  <c r="CB53" i="16"/>
  <c r="CA53" i="16"/>
  <c r="BZ53" i="16"/>
  <c r="BY53" i="16"/>
  <c r="BX53" i="16"/>
  <c r="BW53" i="16"/>
  <c r="BV53" i="16"/>
  <c r="BU53" i="16"/>
  <c r="BS53" i="16"/>
  <c r="BQ53" i="16"/>
  <c r="BP53" i="16"/>
  <c r="BO53" i="16"/>
  <c r="BN53" i="16"/>
  <c r="BM53" i="16"/>
  <c r="BL53" i="16"/>
  <c r="BK53" i="16"/>
  <c r="BJ53" i="16"/>
  <c r="BI53" i="16"/>
  <c r="BH53" i="16"/>
  <c r="BG53" i="16"/>
  <c r="BF53" i="16"/>
  <c r="BE53" i="16"/>
  <c r="BD53" i="16"/>
  <c r="BC53" i="16"/>
  <c r="BB53" i="16"/>
  <c r="BA53" i="16"/>
  <c r="AY53" i="16"/>
  <c r="AW53" i="16"/>
  <c r="AV53" i="16"/>
  <c r="AU53" i="16"/>
  <c r="AT53" i="16"/>
  <c r="AS53" i="16"/>
  <c r="AR53" i="16"/>
  <c r="AQ53" i="16"/>
  <c r="AP53" i="16"/>
  <c r="AO53" i="16"/>
  <c r="AM53" i="16"/>
  <c r="AK53" i="16"/>
  <c r="AJ53" i="16"/>
  <c r="AI53" i="16"/>
  <c r="AH53" i="16"/>
  <c r="AG53" i="16"/>
  <c r="AF53" i="16"/>
  <c r="AE53" i="16"/>
  <c r="AD53" i="16"/>
  <c r="AC53" i="16"/>
  <c r="AA53" i="16"/>
  <c r="Y53" i="16"/>
  <c r="X53" i="16"/>
  <c r="W53" i="16"/>
  <c r="T53" i="16"/>
  <c r="S53" i="16"/>
  <c r="R53" i="16"/>
  <c r="O53" i="16"/>
  <c r="L53" i="16"/>
  <c r="I53" i="16"/>
  <c r="Q53" i="16" s="1"/>
  <c r="H53" i="16"/>
  <c r="G53" i="16"/>
  <c r="P53" i="16" s="1"/>
  <c r="F53" i="16"/>
  <c r="E53" i="16"/>
  <c r="DF51" i="16"/>
  <c r="DE51" i="16"/>
  <c r="DD51" i="16"/>
  <c r="DC51" i="16"/>
  <c r="DB51" i="16"/>
  <c r="DA51" i="16"/>
  <c r="CY51" i="16"/>
  <c r="CW51" i="16"/>
  <c r="CV51" i="16"/>
  <c r="CU51" i="16"/>
  <c r="CT51" i="16"/>
  <c r="CS51" i="16"/>
  <c r="CR51" i="16"/>
  <c r="CQ51" i="16"/>
  <c r="CO51" i="16"/>
  <c r="CM51" i="16"/>
  <c r="CL51" i="16"/>
  <c r="CP51" i="16" s="1"/>
  <c r="CK51" i="16"/>
  <c r="CN51" i="16" s="1"/>
  <c r="CJ51" i="16"/>
  <c r="CI51" i="16"/>
  <c r="CH51" i="16"/>
  <c r="CG51" i="16"/>
  <c r="CF51" i="16"/>
  <c r="CE51" i="16"/>
  <c r="CD51" i="16"/>
  <c r="CC51" i="16"/>
  <c r="CB51" i="16"/>
  <c r="CA51" i="16"/>
  <c r="BZ51" i="16"/>
  <c r="BY51" i="16"/>
  <c r="BX51" i="16"/>
  <c r="BW51" i="16"/>
  <c r="BV51" i="16"/>
  <c r="BU51" i="16"/>
  <c r="BS51" i="16"/>
  <c r="BQ51" i="16"/>
  <c r="BP51" i="16"/>
  <c r="BO51" i="16"/>
  <c r="BN51" i="16"/>
  <c r="BM51" i="16"/>
  <c r="BL51" i="16"/>
  <c r="BK51" i="16"/>
  <c r="BJ51" i="16"/>
  <c r="BI51" i="16"/>
  <c r="BH51" i="16"/>
  <c r="BG51" i="16"/>
  <c r="BF51" i="16"/>
  <c r="BE51" i="16"/>
  <c r="BD51" i="16"/>
  <c r="BC51" i="16"/>
  <c r="BB51" i="16"/>
  <c r="BA51" i="16"/>
  <c r="AY51" i="16"/>
  <c r="AW51" i="16"/>
  <c r="AV51" i="16"/>
  <c r="AZ51" i="16" s="1"/>
  <c r="AU51" i="16"/>
  <c r="AT51" i="16"/>
  <c r="AS51" i="16"/>
  <c r="AR51" i="16"/>
  <c r="AQ51" i="16"/>
  <c r="AP51" i="16"/>
  <c r="AO51" i="16"/>
  <c r="AM51" i="16"/>
  <c r="AK51" i="16"/>
  <c r="AJ51" i="16"/>
  <c r="AI51" i="16"/>
  <c r="AH51" i="16"/>
  <c r="AG51" i="16"/>
  <c r="AF51" i="16"/>
  <c r="AE51" i="16"/>
  <c r="AD51" i="16"/>
  <c r="AC51" i="16"/>
  <c r="AA51" i="16"/>
  <c r="Y51" i="16"/>
  <c r="X51" i="16"/>
  <c r="W51" i="16"/>
  <c r="T51" i="16"/>
  <c r="S51" i="16"/>
  <c r="V51" i="16" s="1"/>
  <c r="R51" i="16"/>
  <c r="O51" i="16"/>
  <c r="L51" i="16"/>
  <c r="J51" i="16" s="1"/>
  <c r="I51" i="16"/>
  <c r="Q51" i="16" s="1"/>
  <c r="H51" i="16"/>
  <c r="G51" i="16"/>
  <c r="P51" i="16" s="1"/>
  <c r="F51" i="16"/>
  <c r="E51" i="16"/>
  <c r="DF50" i="16"/>
  <c r="DE50" i="16"/>
  <c r="DD50" i="16"/>
  <c r="DC50" i="16"/>
  <c r="DB50" i="16"/>
  <c r="DA50" i="16"/>
  <c r="CY50" i="16"/>
  <c r="CW50" i="16"/>
  <c r="CV50" i="16"/>
  <c r="CZ50" i="16" s="1"/>
  <c r="CU50" i="16"/>
  <c r="CX50" i="16" s="1"/>
  <c r="CT50" i="16"/>
  <c r="CS50" i="16"/>
  <c r="CR50" i="16"/>
  <c r="CQ50" i="16"/>
  <c r="CO50" i="16"/>
  <c r="CM50" i="16"/>
  <c r="CL50" i="16"/>
  <c r="CP50" i="16" s="1"/>
  <c r="CK50" i="16"/>
  <c r="CN50" i="16" s="1"/>
  <c r="CJ50" i="16"/>
  <c r="CI50" i="16"/>
  <c r="CH50" i="16"/>
  <c r="CG50" i="16"/>
  <c r="CF50" i="16"/>
  <c r="CE50" i="16"/>
  <c r="CD50" i="16"/>
  <c r="CC50" i="16"/>
  <c r="CB50" i="16"/>
  <c r="CA50" i="16"/>
  <c r="BZ50" i="16"/>
  <c r="BY50" i="16"/>
  <c r="BX50" i="16"/>
  <c r="BW50" i="16"/>
  <c r="BV50" i="16"/>
  <c r="BU50" i="16"/>
  <c r="BS50" i="16"/>
  <c r="BQ50" i="16"/>
  <c r="BP50" i="16"/>
  <c r="BO50" i="16"/>
  <c r="BN50" i="16"/>
  <c r="BM50" i="16"/>
  <c r="BL50" i="16"/>
  <c r="BK50" i="16"/>
  <c r="BJ50" i="16"/>
  <c r="BI50" i="16"/>
  <c r="BH50" i="16"/>
  <c r="BG50" i="16"/>
  <c r="BF50" i="16"/>
  <c r="BE50" i="16"/>
  <c r="BD50" i="16"/>
  <c r="BC50" i="16"/>
  <c r="BB50" i="16"/>
  <c r="BA50" i="16"/>
  <c r="AY50" i="16"/>
  <c r="AW50" i="16"/>
  <c r="AV50" i="16"/>
  <c r="AU50" i="16"/>
  <c r="AT50" i="16"/>
  <c r="AS50" i="16"/>
  <c r="AR50" i="16"/>
  <c r="AQ50" i="16"/>
  <c r="AP50" i="16"/>
  <c r="AO50" i="16"/>
  <c r="AM50" i="16"/>
  <c r="AK50" i="16"/>
  <c r="AJ50" i="16"/>
  <c r="AI50" i="16"/>
  <c r="AH50" i="16"/>
  <c r="AG50" i="16"/>
  <c r="AF50" i="16"/>
  <c r="AE50" i="16"/>
  <c r="AD50" i="16"/>
  <c r="AC50" i="16"/>
  <c r="AA50" i="16"/>
  <c r="Y50" i="16"/>
  <c r="X50" i="16"/>
  <c r="W50" i="16"/>
  <c r="Z50" i="16" s="1"/>
  <c r="T50" i="16"/>
  <c r="S50" i="16"/>
  <c r="R50" i="16"/>
  <c r="O50" i="16"/>
  <c r="L50" i="16"/>
  <c r="I50" i="16"/>
  <c r="Q50" i="16" s="1"/>
  <c r="H50" i="16"/>
  <c r="N50" i="16" s="1"/>
  <c r="G50" i="16"/>
  <c r="P50" i="16" s="1"/>
  <c r="F50" i="16"/>
  <c r="E50" i="16"/>
  <c r="DF49" i="16"/>
  <c r="DE49" i="16"/>
  <c r="DD49" i="16"/>
  <c r="DC49" i="16"/>
  <c r="DB49" i="16"/>
  <c r="DA49" i="16"/>
  <c r="CY49" i="16"/>
  <c r="CW49" i="16"/>
  <c r="CV49" i="16"/>
  <c r="CZ49" i="16" s="1"/>
  <c r="CU49" i="16"/>
  <c r="CX49" i="16" s="1"/>
  <c r="CT49" i="16"/>
  <c r="CS49" i="16"/>
  <c r="CR49" i="16"/>
  <c r="CQ49" i="16"/>
  <c r="CO49" i="16"/>
  <c r="CM49" i="16"/>
  <c r="CL49" i="16"/>
  <c r="CP49" i="16" s="1"/>
  <c r="CK49" i="16"/>
  <c r="CN49" i="16" s="1"/>
  <c r="CJ49" i="16"/>
  <c r="CI49" i="16"/>
  <c r="CH49" i="16"/>
  <c r="CG49" i="16"/>
  <c r="CF49" i="16"/>
  <c r="CE49" i="16"/>
  <c r="CD49" i="16"/>
  <c r="CC49" i="16"/>
  <c r="CB49" i="16"/>
  <c r="CA49" i="16"/>
  <c r="BZ49" i="16"/>
  <c r="BY49" i="16"/>
  <c r="BX49" i="16"/>
  <c r="BW49" i="16"/>
  <c r="BV49" i="16"/>
  <c r="BU49" i="16"/>
  <c r="BS49" i="16"/>
  <c r="BQ49" i="16"/>
  <c r="BP49" i="16"/>
  <c r="BO49" i="16"/>
  <c r="BN49" i="16"/>
  <c r="BM49" i="16"/>
  <c r="BL49" i="16"/>
  <c r="BK49" i="16"/>
  <c r="BJ49" i="16"/>
  <c r="BI49" i="16"/>
  <c r="BH49" i="16"/>
  <c r="BG49" i="16"/>
  <c r="BF49" i="16"/>
  <c r="BE49" i="16"/>
  <c r="BD49" i="16"/>
  <c r="BC49" i="16"/>
  <c r="BB49" i="16"/>
  <c r="BA49" i="16"/>
  <c r="AY49" i="16"/>
  <c r="AW49" i="16"/>
  <c r="AV49" i="16"/>
  <c r="AZ49" i="16" s="1"/>
  <c r="AU49" i="16"/>
  <c r="AX49" i="16" s="1"/>
  <c r="AT49" i="16"/>
  <c r="AS49" i="16"/>
  <c r="AR49" i="16"/>
  <c r="AQ49" i="16"/>
  <c r="AP49" i="16"/>
  <c r="AO49" i="16"/>
  <c r="AM49" i="16"/>
  <c r="AK49" i="16"/>
  <c r="AJ49" i="16"/>
  <c r="AN49" i="16" s="1"/>
  <c r="AI49" i="16"/>
  <c r="AL49" i="16" s="1"/>
  <c r="AH49" i="16"/>
  <c r="AG49" i="16"/>
  <c r="AF49" i="16"/>
  <c r="AE49" i="16"/>
  <c r="AD49" i="16"/>
  <c r="AC49" i="16"/>
  <c r="AA49" i="16"/>
  <c r="Y49" i="16"/>
  <c r="X49" i="16"/>
  <c r="AB49" i="16" s="1"/>
  <c r="W49" i="16"/>
  <c r="Z49" i="16" s="1"/>
  <c r="T49" i="16"/>
  <c r="S49" i="16"/>
  <c r="R49" i="16"/>
  <c r="U49" i="16" s="1"/>
  <c r="O49" i="16"/>
  <c r="L49" i="16"/>
  <c r="I49" i="16"/>
  <c r="Q49" i="16" s="1"/>
  <c r="H49" i="16"/>
  <c r="G49" i="16"/>
  <c r="P49" i="16" s="1"/>
  <c r="F49" i="16"/>
  <c r="E49" i="16"/>
  <c r="DF48" i="16"/>
  <c r="DE48" i="16"/>
  <c r="DD48" i="16"/>
  <c r="DC48" i="16"/>
  <c r="DB48" i="16"/>
  <c r="DA48" i="16"/>
  <c r="CY48" i="16"/>
  <c r="CW48" i="16"/>
  <c r="CV48" i="16"/>
  <c r="CU48" i="16"/>
  <c r="CT48" i="16"/>
  <c r="CS48" i="16"/>
  <c r="CR48" i="16"/>
  <c r="CQ48" i="16"/>
  <c r="CO48" i="16"/>
  <c r="CM48" i="16"/>
  <c r="CL48" i="16"/>
  <c r="CP48" i="16" s="1"/>
  <c r="CK48" i="16"/>
  <c r="CN48" i="16" s="1"/>
  <c r="CJ48" i="16"/>
  <c r="CI48" i="16"/>
  <c r="CH48" i="16"/>
  <c r="CG48" i="16"/>
  <c r="CF48" i="16"/>
  <c r="CE48" i="16"/>
  <c r="CD48" i="16"/>
  <c r="CC48" i="16"/>
  <c r="CB48" i="16"/>
  <c r="CA48" i="16"/>
  <c r="BZ48" i="16"/>
  <c r="BY48" i="16"/>
  <c r="BX48" i="16"/>
  <c r="BW48" i="16"/>
  <c r="BV48" i="16"/>
  <c r="BU48" i="16"/>
  <c r="BS48" i="16"/>
  <c r="BQ48" i="16"/>
  <c r="BP48" i="16"/>
  <c r="BO48" i="16"/>
  <c r="BN48" i="16"/>
  <c r="BM48" i="16"/>
  <c r="BL48" i="16"/>
  <c r="BK48" i="16"/>
  <c r="BJ48" i="16"/>
  <c r="BI48" i="16"/>
  <c r="BH48" i="16"/>
  <c r="BG48" i="16"/>
  <c r="BF48" i="16"/>
  <c r="BE48" i="16"/>
  <c r="BD48" i="16"/>
  <c r="BC48" i="16"/>
  <c r="BB48" i="16"/>
  <c r="BA48" i="16"/>
  <c r="AY48" i="16"/>
  <c r="AW48" i="16"/>
  <c r="AV48" i="16"/>
  <c r="AU48" i="16"/>
  <c r="AT48" i="16"/>
  <c r="AS48" i="16"/>
  <c r="AR48" i="16"/>
  <c r="AQ48" i="16"/>
  <c r="AP48" i="16"/>
  <c r="AO48" i="16"/>
  <c r="AM48" i="16"/>
  <c r="AK48" i="16"/>
  <c r="AJ48" i="16"/>
  <c r="AI48" i="16"/>
  <c r="AL48" i="16" s="1"/>
  <c r="AH48" i="16"/>
  <c r="AG48" i="16"/>
  <c r="AF48" i="16"/>
  <c r="AE48" i="16"/>
  <c r="AD48" i="16"/>
  <c r="AC48" i="16"/>
  <c r="AA48" i="16"/>
  <c r="Y48" i="16"/>
  <c r="X48" i="16"/>
  <c r="W48" i="16"/>
  <c r="T48" i="16"/>
  <c r="S48" i="16"/>
  <c r="R48" i="16"/>
  <c r="O48" i="16"/>
  <c r="L48" i="16"/>
  <c r="I48" i="16"/>
  <c r="Q48" i="16" s="1"/>
  <c r="H48" i="16"/>
  <c r="N48" i="16" s="1"/>
  <c r="G48" i="16"/>
  <c r="P48" i="16" s="1"/>
  <c r="F48" i="16"/>
  <c r="E48" i="16"/>
  <c r="DF47" i="16"/>
  <c r="DE47" i="16"/>
  <c r="DD47" i="16"/>
  <c r="DC47" i="16"/>
  <c r="DB47" i="16"/>
  <c r="DA47" i="16"/>
  <c r="CY47" i="16"/>
  <c r="CW47" i="16"/>
  <c r="CV47" i="16"/>
  <c r="CZ47" i="16" s="1"/>
  <c r="CU47" i="16"/>
  <c r="CX47" i="16" s="1"/>
  <c r="CT47" i="16"/>
  <c r="CS47" i="16"/>
  <c r="CR47" i="16"/>
  <c r="CQ47" i="16"/>
  <c r="CO47" i="16"/>
  <c r="CM47" i="16"/>
  <c r="CL47" i="16"/>
  <c r="CP47" i="16" s="1"/>
  <c r="CK47" i="16"/>
  <c r="CN47" i="16" s="1"/>
  <c r="CJ47" i="16"/>
  <c r="CI47" i="16"/>
  <c r="CH47" i="16"/>
  <c r="CG47" i="16"/>
  <c r="CF47" i="16"/>
  <c r="CE47" i="16"/>
  <c r="CD47" i="16"/>
  <c r="CC47" i="16"/>
  <c r="CB47" i="16"/>
  <c r="CA47" i="16"/>
  <c r="BZ47" i="16"/>
  <c r="BY47" i="16"/>
  <c r="BX47" i="16"/>
  <c r="BW47" i="16"/>
  <c r="BV47" i="16"/>
  <c r="BU47" i="16"/>
  <c r="BS47" i="16"/>
  <c r="BQ47" i="16"/>
  <c r="BP47" i="16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Y47" i="16"/>
  <c r="AW47" i="16"/>
  <c r="AV47" i="16"/>
  <c r="AZ47" i="16" s="1"/>
  <c r="AU47" i="16"/>
  <c r="AX47" i="16" s="1"/>
  <c r="AT47" i="16"/>
  <c r="AS47" i="16"/>
  <c r="AR47" i="16"/>
  <c r="AQ47" i="16"/>
  <c r="AP47" i="16"/>
  <c r="AO47" i="16"/>
  <c r="AM47" i="16"/>
  <c r="AK47" i="16"/>
  <c r="AJ47" i="16"/>
  <c r="AN47" i="16" s="1"/>
  <c r="AI47" i="16"/>
  <c r="AL47" i="16" s="1"/>
  <c r="AH47" i="16"/>
  <c r="AG47" i="16"/>
  <c r="AF47" i="16"/>
  <c r="AE47" i="16"/>
  <c r="AD47" i="16"/>
  <c r="AC47" i="16"/>
  <c r="AA47" i="16"/>
  <c r="Y47" i="16"/>
  <c r="X47" i="16"/>
  <c r="AB47" i="16" s="1"/>
  <c r="W47" i="16"/>
  <c r="Z47" i="16" s="1"/>
  <c r="T47" i="16"/>
  <c r="S47" i="16"/>
  <c r="R47" i="16"/>
  <c r="O47" i="16"/>
  <c r="L47" i="16"/>
  <c r="I47" i="16"/>
  <c r="Q47" i="16" s="1"/>
  <c r="H47" i="16"/>
  <c r="G47" i="16"/>
  <c r="P47" i="16" s="1"/>
  <c r="F47" i="16"/>
  <c r="E47" i="16"/>
  <c r="DF46" i="16"/>
  <c r="DE46" i="16"/>
  <c r="DD46" i="16"/>
  <c r="DC46" i="16"/>
  <c r="DB46" i="16"/>
  <c r="DA46" i="16"/>
  <c r="CY46" i="16"/>
  <c r="CW46" i="16"/>
  <c r="CV46" i="16"/>
  <c r="CU46" i="16"/>
  <c r="CT46" i="16"/>
  <c r="CS46" i="16"/>
  <c r="CR46" i="16"/>
  <c r="CQ46" i="16"/>
  <c r="CO46" i="16"/>
  <c r="CM46" i="16"/>
  <c r="CL46" i="16"/>
  <c r="CP46" i="16" s="1"/>
  <c r="CK46" i="16"/>
  <c r="CN46" i="16" s="1"/>
  <c r="CJ46" i="16"/>
  <c r="CI46" i="16"/>
  <c r="CH46" i="16"/>
  <c r="CG46" i="16"/>
  <c r="CF46" i="16"/>
  <c r="CE46" i="16"/>
  <c r="CD46" i="16"/>
  <c r="CC46" i="16"/>
  <c r="CB46" i="16"/>
  <c r="CA46" i="16"/>
  <c r="BZ46" i="16"/>
  <c r="BY46" i="16"/>
  <c r="BX46" i="16"/>
  <c r="BW46" i="16"/>
  <c r="BV46" i="16"/>
  <c r="BU46" i="16"/>
  <c r="BS46" i="16"/>
  <c r="BQ46" i="16"/>
  <c r="BP46" i="16"/>
  <c r="BT46" i="16" s="1"/>
  <c r="BO46" i="16"/>
  <c r="BN46" i="16"/>
  <c r="BM46" i="16"/>
  <c r="BL46" i="16"/>
  <c r="BK46" i="16"/>
  <c r="BJ46" i="16"/>
  <c r="BI46" i="16"/>
  <c r="BH46" i="16"/>
  <c r="BG46" i="16"/>
  <c r="BF46" i="16"/>
  <c r="BE46" i="16"/>
  <c r="BD46" i="16"/>
  <c r="BC46" i="16"/>
  <c r="BB46" i="16"/>
  <c r="BA46" i="16"/>
  <c r="AY46" i="16"/>
  <c r="AW46" i="16"/>
  <c r="AV46" i="16"/>
  <c r="AZ46" i="16" s="1"/>
  <c r="AU46" i="16"/>
  <c r="AT46" i="16"/>
  <c r="AS46" i="16"/>
  <c r="AR46" i="16"/>
  <c r="AQ46" i="16"/>
  <c r="AP46" i="16"/>
  <c r="AO46" i="16"/>
  <c r="AM46" i="16"/>
  <c r="AK46" i="16"/>
  <c r="AJ46" i="16"/>
  <c r="AI46" i="16"/>
  <c r="AH46" i="16"/>
  <c r="AG46" i="16"/>
  <c r="AF46" i="16"/>
  <c r="AE46" i="16"/>
  <c r="AD46" i="16"/>
  <c r="AC46" i="16"/>
  <c r="AA46" i="16"/>
  <c r="Y46" i="16"/>
  <c r="X46" i="16"/>
  <c r="W46" i="16"/>
  <c r="T46" i="16"/>
  <c r="S46" i="16"/>
  <c r="R46" i="16"/>
  <c r="U46" i="16" s="1"/>
  <c r="O46" i="16"/>
  <c r="L46" i="16"/>
  <c r="I46" i="16"/>
  <c r="Q46" i="16" s="1"/>
  <c r="H46" i="16"/>
  <c r="G46" i="16"/>
  <c r="P46" i="16" s="1"/>
  <c r="F46" i="16"/>
  <c r="E46" i="16"/>
  <c r="DF45" i="16"/>
  <c r="DE45" i="16"/>
  <c r="DD45" i="16"/>
  <c r="DC45" i="16"/>
  <c r="DB45" i="16"/>
  <c r="DA45" i="16"/>
  <c r="CY45" i="16"/>
  <c r="CW45" i="16"/>
  <c r="CV45" i="16"/>
  <c r="CU45" i="16"/>
  <c r="CT45" i="16"/>
  <c r="CS45" i="16"/>
  <c r="CR45" i="16"/>
  <c r="CQ45" i="16"/>
  <c r="CO45" i="16"/>
  <c r="CM45" i="16"/>
  <c r="CL45" i="16"/>
  <c r="CP45" i="16" s="1"/>
  <c r="CK45" i="16"/>
  <c r="CN45" i="16" s="1"/>
  <c r="CJ45" i="16"/>
  <c r="CI45" i="16"/>
  <c r="CH45" i="16"/>
  <c r="CG45" i="16"/>
  <c r="CF45" i="16"/>
  <c r="CE45" i="16"/>
  <c r="CD45" i="16"/>
  <c r="CC45" i="16"/>
  <c r="CB45" i="16"/>
  <c r="CA45" i="16"/>
  <c r="BZ45" i="16"/>
  <c r="BY45" i="16"/>
  <c r="BX45" i="16"/>
  <c r="BW45" i="16"/>
  <c r="BV45" i="16"/>
  <c r="BU45" i="16"/>
  <c r="BT45" i="16"/>
  <c r="BS45" i="16"/>
  <c r="BQ45" i="16"/>
  <c r="BP45" i="16"/>
  <c r="BO45" i="16"/>
  <c r="BN45" i="16"/>
  <c r="BM45" i="16"/>
  <c r="BL45" i="16"/>
  <c r="BK45" i="16"/>
  <c r="BJ45" i="16"/>
  <c r="BI45" i="16"/>
  <c r="BH45" i="16"/>
  <c r="BG45" i="16"/>
  <c r="BF45" i="16"/>
  <c r="BE45" i="16"/>
  <c r="BD45" i="16"/>
  <c r="BC45" i="16"/>
  <c r="BB45" i="16"/>
  <c r="BA45" i="16"/>
  <c r="AY45" i="16"/>
  <c r="AW45" i="16"/>
  <c r="AV45" i="16"/>
  <c r="AU45" i="16"/>
  <c r="AT45" i="16"/>
  <c r="AS45" i="16"/>
  <c r="AR45" i="16"/>
  <c r="AQ45" i="16"/>
  <c r="AP45" i="16"/>
  <c r="AO45" i="16"/>
  <c r="AM45" i="16"/>
  <c r="AK45" i="16"/>
  <c r="AJ45" i="16"/>
  <c r="AI45" i="16"/>
  <c r="AH45" i="16"/>
  <c r="AG45" i="16"/>
  <c r="AF45" i="16"/>
  <c r="AE45" i="16"/>
  <c r="AD45" i="16"/>
  <c r="AC45" i="16"/>
  <c r="AA45" i="16"/>
  <c r="Y45" i="16"/>
  <c r="X45" i="16"/>
  <c r="W45" i="16"/>
  <c r="Z45" i="16" s="1"/>
  <c r="U45" i="16"/>
  <c r="T45" i="16"/>
  <c r="S45" i="16"/>
  <c r="V45" i="16" s="1"/>
  <c r="R45" i="16"/>
  <c r="O45" i="16"/>
  <c r="L45" i="16"/>
  <c r="I45" i="16"/>
  <c r="Q45" i="16" s="1"/>
  <c r="H45" i="16"/>
  <c r="G45" i="16"/>
  <c r="P45" i="16" s="1"/>
  <c r="F45" i="16"/>
  <c r="E45" i="16"/>
  <c r="DF44" i="16"/>
  <c r="DE44" i="16"/>
  <c r="DD44" i="16"/>
  <c r="DC44" i="16"/>
  <c r="DB44" i="16"/>
  <c r="DA44" i="16"/>
  <c r="CY44" i="16"/>
  <c r="CW44" i="16"/>
  <c r="CV44" i="16"/>
  <c r="CU44" i="16"/>
  <c r="CT44" i="16"/>
  <c r="CS44" i="16"/>
  <c r="CR44" i="16"/>
  <c r="CQ44" i="16"/>
  <c r="CO44" i="16"/>
  <c r="CM44" i="16"/>
  <c r="CL44" i="16"/>
  <c r="CP44" i="16" s="1"/>
  <c r="CK44" i="16"/>
  <c r="CN44" i="16" s="1"/>
  <c r="CJ44" i="16"/>
  <c r="CI44" i="16"/>
  <c r="CH44" i="16"/>
  <c r="CG44" i="16"/>
  <c r="CF44" i="16"/>
  <c r="CE44" i="16"/>
  <c r="CD44" i="16"/>
  <c r="CC44" i="16"/>
  <c r="CB44" i="16"/>
  <c r="CA44" i="16"/>
  <c r="BZ44" i="16"/>
  <c r="BY44" i="16"/>
  <c r="BX44" i="16"/>
  <c r="BW44" i="16"/>
  <c r="BV44" i="16"/>
  <c r="BU44" i="16"/>
  <c r="BS44" i="16"/>
  <c r="BQ44" i="16"/>
  <c r="BP44" i="16"/>
  <c r="BO44" i="16"/>
  <c r="BN44" i="16"/>
  <c r="BM44" i="16"/>
  <c r="BL44" i="16"/>
  <c r="BK44" i="16"/>
  <c r="BJ44" i="16"/>
  <c r="BI44" i="16"/>
  <c r="BH44" i="16"/>
  <c r="BG44" i="16"/>
  <c r="BF44" i="16"/>
  <c r="BE44" i="16"/>
  <c r="BD44" i="16"/>
  <c r="BC44" i="16"/>
  <c r="BB44" i="16"/>
  <c r="BA44" i="16"/>
  <c r="AY44" i="16"/>
  <c r="AW44" i="16"/>
  <c r="AV44" i="16"/>
  <c r="AU44" i="16"/>
  <c r="AT44" i="16"/>
  <c r="AS44" i="16"/>
  <c r="AR44" i="16"/>
  <c r="AQ44" i="16"/>
  <c r="AP44" i="16"/>
  <c r="AO44" i="16"/>
  <c r="AM44" i="16"/>
  <c r="AK44" i="16"/>
  <c r="AJ44" i="16"/>
  <c r="AI44" i="16"/>
  <c r="AL44" i="16" s="1"/>
  <c r="AH44" i="16"/>
  <c r="AG44" i="16"/>
  <c r="AF44" i="16"/>
  <c r="AE44" i="16"/>
  <c r="AD44" i="16"/>
  <c r="AC44" i="16"/>
  <c r="AA44" i="16"/>
  <c r="Y44" i="16"/>
  <c r="X44" i="16"/>
  <c r="W44" i="16"/>
  <c r="T44" i="16"/>
  <c r="S44" i="16"/>
  <c r="R44" i="16"/>
  <c r="O44" i="16"/>
  <c r="L44" i="16"/>
  <c r="I44" i="16"/>
  <c r="Q44" i="16" s="1"/>
  <c r="H44" i="16"/>
  <c r="N44" i="16" s="1"/>
  <c r="G44" i="16"/>
  <c r="P44" i="16" s="1"/>
  <c r="F44" i="16"/>
  <c r="E44" i="16"/>
  <c r="DF43" i="16"/>
  <c r="DE43" i="16"/>
  <c r="DD43" i="16"/>
  <c r="DC43" i="16"/>
  <c r="DB43" i="16"/>
  <c r="DA43" i="16"/>
  <c r="CY43" i="16"/>
  <c r="CW43" i="16"/>
  <c r="CV43" i="16"/>
  <c r="CU43" i="16"/>
  <c r="CT43" i="16"/>
  <c r="CS43" i="16"/>
  <c r="CR43" i="16"/>
  <c r="CQ43" i="16"/>
  <c r="CO43" i="16"/>
  <c r="CM43" i="16"/>
  <c r="CL43" i="16"/>
  <c r="CP43" i="16" s="1"/>
  <c r="CK43" i="16"/>
  <c r="CN43" i="16" s="1"/>
  <c r="CJ43" i="16"/>
  <c r="CI43" i="16"/>
  <c r="CH43" i="16"/>
  <c r="CG43" i="16"/>
  <c r="CF43" i="16"/>
  <c r="CE43" i="16"/>
  <c r="CD43" i="16"/>
  <c r="CC43" i="16"/>
  <c r="CB43" i="16"/>
  <c r="CA43" i="16"/>
  <c r="BZ43" i="16"/>
  <c r="BY43" i="16"/>
  <c r="BX43" i="16"/>
  <c r="BW43" i="16"/>
  <c r="BV43" i="16"/>
  <c r="BU43" i="16"/>
  <c r="BS43" i="16"/>
  <c r="BQ43" i="16"/>
  <c r="BP43" i="16"/>
  <c r="BO43" i="16"/>
  <c r="BN43" i="16"/>
  <c r="BM43" i="16"/>
  <c r="BL43" i="16"/>
  <c r="BK43" i="16"/>
  <c r="BJ43" i="16"/>
  <c r="BI43" i="16"/>
  <c r="BH43" i="16"/>
  <c r="BG43" i="16"/>
  <c r="BF43" i="16"/>
  <c r="BE43" i="16"/>
  <c r="BD43" i="16"/>
  <c r="BC43" i="16"/>
  <c r="BB43" i="16"/>
  <c r="BA43" i="16"/>
  <c r="AY43" i="16"/>
  <c r="AW43" i="16"/>
  <c r="AV43" i="16"/>
  <c r="AU43" i="16"/>
  <c r="AT43" i="16"/>
  <c r="AS43" i="16"/>
  <c r="AR43" i="16"/>
  <c r="AQ43" i="16"/>
  <c r="AP43" i="16"/>
  <c r="AO43" i="16"/>
  <c r="AM43" i="16"/>
  <c r="AK43" i="16"/>
  <c r="AJ43" i="16"/>
  <c r="AI43" i="16"/>
  <c r="AL43" i="16" s="1"/>
  <c r="AH43" i="16"/>
  <c r="AG43" i="16"/>
  <c r="AF43" i="16"/>
  <c r="AE43" i="16"/>
  <c r="AD43" i="16"/>
  <c r="AC43" i="16"/>
  <c r="AA43" i="16"/>
  <c r="Y43" i="16"/>
  <c r="X43" i="16"/>
  <c r="W43" i="16"/>
  <c r="Z43" i="16" s="1"/>
  <c r="T43" i="16"/>
  <c r="S43" i="16"/>
  <c r="R43" i="16"/>
  <c r="O43" i="16"/>
  <c r="L43" i="16"/>
  <c r="I43" i="16"/>
  <c r="Q43" i="16" s="1"/>
  <c r="H43" i="16"/>
  <c r="G43" i="16"/>
  <c r="P43" i="16" s="1"/>
  <c r="F43" i="16"/>
  <c r="E43" i="16"/>
  <c r="DF42" i="16"/>
  <c r="DE42" i="16"/>
  <c r="DD42" i="16"/>
  <c r="DC42" i="16"/>
  <c r="DB42" i="16"/>
  <c r="DA42" i="16"/>
  <c r="CY42" i="16"/>
  <c r="CW42" i="16"/>
  <c r="CV42" i="16"/>
  <c r="CZ42" i="16" s="1"/>
  <c r="CU42" i="16"/>
  <c r="CT42" i="16"/>
  <c r="CS42" i="16"/>
  <c r="CR42" i="16"/>
  <c r="CQ42" i="16"/>
  <c r="CO42" i="16"/>
  <c r="CM42" i="16"/>
  <c r="CL42" i="16"/>
  <c r="CP42" i="16" s="1"/>
  <c r="CK42" i="16"/>
  <c r="CN42" i="16" s="1"/>
  <c r="CJ42" i="16"/>
  <c r="CI42" i="16"/>
  <c r="CH42" i="16"/>
  <c r="CG42" i="16"/>
  <c r="CF42" i="16"/>
  <c r="CE42" i="16"/>
  <c r="CD42" i="16"/>
  <c r="CC42" i="16"/>
  <c r="CB42" i="16"/>
  <c r="CA42" i="16"/>
  <c r="BZ42" i="16"/>
  <c r="BY42" i="16"/>
  <c r="BX42" i="16"/>
  <c r="BW42" i="16"/>
  <c r="BV42" i="16"/>
  <c r="BU42" i="16"/>
  <c r="BS42" i="16"/>
  <c r="BQ42" i="16"/>
  <c r="BP42" i="16"/>
  <c r="BO42" i="16"/>
  <c r="BN42" i="16"/>
  <c r="BM42" i="16"/>
  <c r="BL42" i="16"/>
  <c r="BK42" i="16"/>
  <c r="BJ42" i="16"/>
  <c r="BI42" i="16"/>
  <c r="BH42" i="16"/>
  <c r="BG42" i="16"/>
  <c r="BF42" i="16"/>
  <c r="BE42" i="16"/>
  <c r="BD42" i="16"/>
  <c r="BC42" i="16"/>
  <c r="BB42" i="16"/>
  <c r="BA42" i="16"/>
  <c r="AY42" i="16"/>
  <c r="AW42" i="16"/>
  <c r="AV42" i="16"/>
  <c r="AU42" i="16"/>
  <c r="AT42" i="16"/>
  <c r="AS42" i="16"/>
  <c r="AR42" i="16"/>
  <c r="AQ42" i="16"/>
  <c r="AP42" i="16"/>
  <c r="AO42" i="16"/>
  <c r="AM42" i="16"/>
  <c r="AK42" i="16"/>
  <c r="AJ42" i="16"/>
  <c r="AI42" i="16"/>
  <c r="AH42" i="16"/>
  <c r="AG42" i="16"/>
  <c r="AF42" i="16"/>
  <c r="AE42" i="16"/>
  <c r="AD42" i="16"/>
  <c r="AC42" i="16"/>
  <c r="AA42" i="16"/>
  <c r="Y42" i="16"/>
  <c r="X42" i="16"/>
  <c r="W42" i="16"/>
  <c r="T42" i="16"/>
  <c r="S42" i="16"/>
  <c r="R42" i="16"/>
  <c r="O42" i="16"/>
  <c r="L42" i="16"/>
  <c r="J42" i="16" s="1"/>
  <c r="I42" i="16"/>
  <c r="Q42" i="16" s="1"/>
  <c r="H42" i="16"/>
  <c r="G42" i="16"/>
  <c r="P42" i="16" s="1"/>
  <c r="F42" i="16"/>
  <c r="E42" i="16"/>
  <c r="DF41" i="16"/>
  <c r="DE41" i="16"/>
  <c r="DD41" i="16"/>
  <c r="DC41" i="16"/>
  <c r="DB41" i="16"/>
  <c r="DA41" i="16"/>
  <c r="CY41" i="16"/>
  <c r="CW41" i="16"/>
  <c r="CV41" i="16"/>
  <c r="CU41" i="16"/>
  <c r="CT41" i="16"/>
  <c r="CS41" i="16"/>
  <c r="CR41" i="16"/>
  <c r="CQ41" i="16"/>
  <c r="CO41" i="16"/>
  <c r="CM41" i="16"/>
  <c r="CL41" i="16"/>
  <c r="CP41" i="16" s="1"/>
  <c r="CK41" i="16"/>
  <c r="CN41" i="16" s="1"/>
  <c r="CJ41" i="16"/>
  <c r="CI41" i="16"/>
  <c r="CH41" i="16"/>
  <c r="CG41" i="16"/>
  <c r="CF41" i="16"/>
  <c r="CE41" i="16"/>
  <c r="CD41" i="16"/>
  <c r="CC41" i="16"/>
  <c r="CB41" i="16"/>
  <c r="CA41" i="16"/>
  <c r="BZ41" i="16"/>
  <c r="BY41" i="16"/>
  <c r="BX41" i="16"/>
  <c r="BW41" i="16"/>
  <c r="BV41" i="16"/>
  <c r="BU41" i="16"/>
  <c r="BS41" i="16"/>
  <c r="BQ41" i="16"/>
  <c r="BP41" i="16"/>
  <c r="BT41" i="16" s="1"/>
  <c r="BO41" i="16"/>
  <c r="BN41" i="16"/>
  <c r="BM41" i="16"/>
  <c r="BL41" i="16"/>
  <c r="BK41" i="16"/>
  <c r="BJ41" i="16"/>
  <c r="BI41" i="16"/>
  <c r="BH41" i="16"/>
  <c r="BG41" i="16"/>
  <c r="BF41" i="16"/>
  <c r="BE41" i="16"/>
  <c r="BD41" i="16"/>
  <c r="BC41" i="16"/>
  <c r="BB41" i="16"/>
  <c r="BA41" i="16"/>
  <c r="AY41" i="16"/>
  <c r="AW41" i="16"/>
  <c r="AV41" i="16"/>
  <c r="AZ41" i="16" s="1"/>
  <c r="AU41" i="16"/>
  <c r="AT41" i="16"/>
  <c r="AS41" i="16"/>
  <c r="AR41" i="16"/>
  <c r="AQ41" i="16"/>
  <c r="AP41" i="16"/>
  <c r="AO41" i="16"/>
  <c r="AM41" i="16"/>
  <c r="AK41" i="16"/>
  <c r="AJ41" i="16"/>
  <c r="AI41" i="16"/>
  <c r="AH41" i="16"/>
  <c r="AG41" i="16"/>
  <c r="AF41" i="16"/>
  <c r="AE41" i="16"/>
  <c r="AD41" i="16"/>
  <c r="AC41" i="16"/>
  <c r="AA41" i="16"/>
  <c r="Y41" i="16"/>
  <c r="X41" i="16"/>
  <c r="W41" i="16"/>
  <c r="T41" i="16"/>
  <c r="S41" i="16"/>
  <c r="R41" i="16"/>
  <c r="U41" i="16" s="1"/>
  <c r="Q41" i="16"/>
  <c r="O41" i="16"/>
  <c r="L41" i="16"/>
  <c r="J41" i="16" s="1"/>
  <c r="I41" i="16"/>
  <c r="H41" i="16"/>
  <c r="G41" i="16"/>
  <c r="P41" i="16" s="1"/>
  <c r="F41" i="16"/>
  <c r="E41" i="16"/>
  <c r="DF40" i="16"/>
  <c r="DE40" i="16"/>
  <c r="DD40" i="16"/>
  <c r="DC40" i="16"/>
  <c r="DB40" i="16"/>
  <c r="DA40" i="16"/>
  <c r="CY40" i="16"/>
  <c r="CW40" i="16"/>
  <c r="CV40" i="16"/>
  <c r="CU40" i="16"/>
  <c r="CT40" i="16"/>
  <c r="CS40" i="16"/>
  <c r="CR40" i="16"/>
  <c r="CQ40" i="16"/>
  <c r="CP40" i="16"/>
  <c r="CO40" i="16"/>
  <c r="CM40" i="16"/>
  <c r="CL40" i="16"/>
  <c r="CK40" i="16"/>
  <c r="CN40" i="16" s="1"/>
  <c r="CJ40" i="16"/>
  <c r="CI40" i="16"/>
  <c r="CH40" i="16"/>
  <c r="CG40" i="16"/>
  <c r="CF40" i="16"/>
  <c r="CE40" i="16"/>
  <c r="CD40" i="16"/>
  <c r="CC40" i="16"/>
  <c r="CB40" i="16"/>
  <c r="CA40" i="16"/>
  <c r="BZ40" i="16"/>
  <c r="BY40" i="16"/>
  <c r="BX40" i="16"/>
  <c r="BW40" i="16"/>
  <c r="BV40" i="16"/>
  <c r="BU40" i="16"/>
  <c r="BS40" i="16"/>
  <c r="BQ40" i="16"/>
  <c r="BP40" i="16"/>
  <c r="BO40" i="16"/>
  <c r="BR40" i="16" s="1"/>
  <c r="BN40" i="16"/>
  <c r="BM40" i="16"/>
  <c r="BL40" i="16"/>
  <c r="BK40" i="16"/>
  <c r="BJ40" i="16"/>
  <c r="BI40" i="16"/>
  <c r="BH40" i="16"/>
  <c r="BG40" i="16"/>
  <c r="BF40" i="16"/>
  <c r="BE40" i="16"/>
  <c r="BD40" i="16"/>
  <c r="BC40" i="16"/>
  <c r="BB40" i="16"/>
  <c r="BA40" i="16"/>
  <c r="AY40" i="16"/>
  <c r="AW40" i="16"/>
  <c r="AV40" i="16"/>
  <c r="AZ40" i="16" s="1"/>
  <c r="AU40" i="16"/>
  <c r="AT40" i="16"/>
  <c r="AS40" i="16"/>
  <c r="AR40" i="16"/>
  <c r="AQ40" i="16"/>
  <c r="AP40" i="16"/>
  <c r="AO40" i="16"/>
  <c r="AM40" i="16"/>
  <c r="AK40" i="16"/>
  <c r="AJ40" i="16"/>
  <c r="AI40" i="16"/>
  <c r="AH40" i="16"/>
  <c r="AG40" i="16"/>
  <c r="AF40" i="16"/>
  <c r="AE40" i="16"/>
  <c r="AD40" i="16"/>
  <c r="AC40" i="16"/>
  <c r="AA40" i="16"/>
  <c r="Y40" i="16"/>
  <c r="X40" i="16"/>
  <c r="W40" i="16"/>
  <c r="T40" i="16"/>
  <c r="S40" i="16"/>
  <c r="R40" i="16"/>
  <c r="U40" i="16" s="1"/>
  <c r="O40" i="16"/>
  <c r="L40" i="16"/>
  <c r="I40" i="16"/>
  <c r="Q40" i="16" s="1"/>
  <c r="H40" i="16"/>
  <c r="G40" i="16"/>
  <c r="P40" i="16" s="1"/>
  <c r="F40" i="16"/>
  <c r="E40" i="16"/>
  <c r="DF39" i="16"/>
  <c r="DE39" i="16"/>
  <c r="DD39" i="16"/>
  <c r="DC39" i="16"/>
  <c r="DB39" i="16"/>
  <c r="DA39" i="16"/>
  <c r="CY39" i="16"/>
  <c r="CW39" i="16"/>
  <c r="CV39" i="16"/>
  <c r="CU39" i="16"/>
  <c r="CT39" i="16"/>
  <c r="CS39" i="16"/>
  <c r="CR39" i="16"/>
  <c r="CQ39" i="16"/>
  <c r="CO39" i="16"/>
  <c r="CM39" i="16"/>
  <c r="CL39" i="16"/>
  <c r="CP39" i="16" s="1"/>
  <c r="CK39" i="16"/>
  <c r="CN39" i="16" s="1"/>
  <c r="CJ39" i="16"/>
  <c r="CI39" i="16"/>
  <c r="CH39" i="16"/>
  <c r="CG39" i="16"/>
  <c r="CF39" i="16"/>
  <c r="CE39" i="16"/>
  <c r="CD39" i="16"/>
  <c r="CC39" i="16"/>
  <c r="CB39" i="16"/>
  <c r="CA39" i="16"/>
  <c r="BZ39" i="16"/>
  <c r="BY39" i="16"/>
  <c r="BX39" i="16"/>
  <c r="BW39" i="16"/>
  <c r="BV39" i="16"/>
  <c r="BU39" i="16"/>
  <c r="BS39" i="16"/>
  <c r="BQ39" i="16"/>
  <c r="BP39" i="16"/>
  <c r="BO39" i="16"/>
  <c r="BN39" i="16"/>
  <c r="BM39" i="16"/>
  <c r="BL39" i="16"/>
  <c r="BK39" i="16"/>
  <c r="BJ39" i="16"/>
  <c r="BI39" i="16"/>
  <c r="BH39" i="16"/>
  <c r="BG39" i="16"/>
  <c r="BF39" i="16"/>
  <c r="BE39" i="16"/>
  <c r="BD39" i="16"/>
  <c r="BC39" i="16"/>
  <c r="BB39" i="16"/>
  <c r="BA39" i="16"/>
  <c r="AY39" i="16"/>
  <c r="AW39" i="16"/>
  <c r="AV39" i="16"/>
  <c r="AU39" i="16"/>
  <c r="AT39" i="16"/>
  <c r="AS39" i="16"/>
  <c r="AR39" i="16"/>
  <c r="AQ39" i="16"/>
  <c r="AP39" i="16"/>
  <c r="AO39" i="16"/>
  <c r="AM39" i="16"/>
  <c r="AK39" i="16"/>
  <c r="AJ39" i="16"/>
  <c r="AN39" i="16" s="1"/>
  <c r="AI39" i="16"/>
  <c r="AH39" i="16"/>
  <c r="AG39" i="16"/>
  <c r="AF39" i="16"/>
  <c r="AE39" i="16"/>
  <c r="AD39" i="16"/>
  <c r="AC39" i="16"/>
  <c r="AA39" i="16"/>
  <c r="Y39" i="16"/>
  <c r="X39" i="16"/>
  <c r="W39" i="16"/>
  <c r="T39" i="16"/>
  <c r="S39" i="16"/>
  <c r="R39" i="16"/>
  <c r="O39" i="16"/>
  <c r="L39" i="16"/>
  <c r="I39" i="16"/>
  <c r="Q39" i="16" s="1"/>
  <c r="H39" i="16"/>
  <c r="G39" i="16"/>
  <c r="P39" i="16" s="1"/>
  <c r="F39" i="16"/>
  <c r="E39" i="16"/>
  <c r="DF38" i="16"/>
  <c r="DE38" i="16"/>
  <c r="DD38" i="16"/>
  <c r="DC38" i="16"/>
  <c r="DB38" i="16"/>
  <c r="DA38" i="16"/>
  <c r="CY38" i="16"/>
  <c r="CW38" i="16"/>
  <c r="CV38" i="16"/>
  <c r="CU38" i="16"/>
  <c r="CT38" i="16"/>
  <c r="CS38" i="16"/>
  <c r="CR38" i="16"/>
  <c r="CQ38" i="16"/>
  <c r="CO38" i="16"/>
  <c r="CM38" i="16"/>
  <c r="CL38" i="16"/>
  <c r="CP38" i="16" s="1"/>
  <c r="CK38" i="16"/>
  <c r="CN38" i="16" s="1"/>
  <c r="CJ38" i="16"/>
  <c r="CI38" i="16"/>
  <c r="CH38" i="16"/>
  <c r="CG38" i="16"/>
  <c r="CF38" i="16"/>
  <c r="CE38" i="16"/>
  <c r="CD38" i="16"/>
  <c r="CC38" i="16"/>
  <c r="CB38" i="16"/>
  <c r="CA38" i="16"/>
  <c r="BZ38" i="16"/>
  <c r="BY38" i="16"/>
  <c r="BX38" i="16"/>
  <c r="BW38" i="16"/>
  <c r="BV38" i="16"/>
  <c r="BU38" i="16"/>
  <c r="BS38" i="16"/>
  <c r="BQ38" i="16"/>
  <c r="BP38" i="16"/>
  <c r="BO38" i="16"/>
  <c r="BN38" i="16"/>
  <c r="BM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Y38" i="16"/>
  <c r="AW38" i="16"/>
  <c r="AX38" i="16" s="1"/>
  <c r="AV38" i="16"/>
  <c r="AU38" i="16"/>
  <c r="AT38" i="16"/>
  <c r="AS38" i="16"/>
  <c r="AR38" i="16"/>
  <c r="AQ38" i="16"/>
  <c r="AP38" i="16"/>
  <c r="AO38" i="16"/>
  <c r="AM38" i="16"/>
  <c r="AK38" i="16"/>
  <c r="AJ38" i="16"/>
  <c r="AI38" i="16"/>
  <c r="AH38" i="16"/>
  <c r="AG38" i="16"/>
  <c r="AF38" i="16"/>
  <c r="AE38" i="16"/>
  <c r="AD38" i="16"/>
  <c r="AC38" i="16"/>
  <c r="AA38" i="16"/>
  <c r="Y38" i="16"/>
  <c r="X38" i="16"/>
  <c r="W38" i="16"/>
  <c r="T38" i="16"/>
  <c r="S38" i="16"/>
  <c r="R38" i="16"/>
  <c r="O38" i="16"/>
  <c r="L38" i="16"/>
  <c r="J38" i="16" s="1"/>
  <c r="I38" i="16"/>
  <c r="Q38" i="16" s="1"/>
  <c r="H38" i="16"/>
  <c r="G38" i="16"/>
  <c r="P38" i="16" s="1"/>
  <c r="F38" i="16"/>
  <c r="E38" i="16"/>
  <c r="DF37" i="16"/>
  <c r="DE37" i="16"/>
  <c r="DD37" i="16"/>
  <c r="DC37" i="16"/>
  <c r="DB37" i="16"/>
  <c r="DA37" i="16"/>
  <c r="CY37" i="16"/>
  <c r="CW37" i="16"/>
  <c r="CV37" i="16"/>
  <c r="CU37" i="16"/>
  <c r="CT37" i="16"/>
  <c r="CS37" i="16"/>
  <c r="CR37" i="16"/>
  <c r="CQ37" i="16"/>
  <c r="CO37" i="16"/>
  <c r="CM37" i="16"/>
  <c r="CL37" i="16"/>
  <c r="CP37" i="16" s="1"/>
  <c r="CK37" i="16"/>
  <c r="CN37" i="16" s="1"/>
  <c r="CJ37" i="16"/>
  <c r="CI37" i="16"/>
  <c r="CH37" i="16"/>
  <c r="CG37" i="16"/>
  <c r="CF37" i="16"/>
  <c r="CE37" i="16"/>
  <c r="CD37" i="16"/>
  <c r="CC37" i="16"/>
  <c r="CB37" i="16"/>
  <c r="CA37" i="16"/>
  <c r="BZ37" i="16"/>
  <c r="BY37" i="16"/>
  <c r="BX37" i="16"/>
  <c r="BW37" i="16"/>
  <c r="BV37" i="16"/>
  <c r="BU37" i="16"/>
  <c r="BS37" i="16"/>
  <c r="BQ37" i="16"/>
  <c r="BP37" i="16"/>
  <c r="BT37" i="16" s="1"/>
  <c r="BO37" i="16"/>
  <c r="BR37" i="16" s="1"/>
  <c r="BN37" i="16"/>
  <c r="BM37" i="16"/>
  <c r="BL37" i="16"/>
  <c r="BK37" i="16"/>
  <c r="BJ37" i="16"/>
  <c r="BI37" i="16"/>
  <c r="BH37" i="16"/>
  <c r="BG37" i="16"/>
  <c r="BF37" i="16"/>
  <c r="BE37" i="16"/>
  <c r="BD37" i="16"/>
  <c r="BC37" i="16"/>
  <c r="BB37" i="16"/>
  <c r="BA37" i="16"/>
  <c r="AY37" i="16"/>
  <c r="AW37" i="16"/>
  <c r="AV37" i="16"/>
  <c r="AZ37" i="16" s="1"/>
  <c r="AU37" i="16"/>
  <c r="AT37" i="16"/>
  <c r="AS37" i="16"/>
  <c r="AR37" i="16"/>
  <c r="AQ37" i="16"/>
  <c r="AP37" i="16"/>
  <c r="AO37" i="16"/>
  <c r="AM37" i="16"/>
  <c r="AK37" i="16"/>
  <c r="AJ37" i="16"/>
  <c r="AI37" i="16"/>
  <c r="AH37" i="16"/>
  <c r="AG37" i="16"/>
  <c r="AF37" i="16"/>
  <c r="AE37" i="16"/>
  <c r="AD37" i="16"/>
  <c r="AC37" i="16"/>
  <c r="AA37" i="16"/>
  <c r="Y37" i="16"/>
  <c r="X37" i="16"/>
  <c r="W37" i="16"/>
  <c r="T37" i="16"/>
  <c r="S37" i="16"/>
  <c r="R37" i="16"/>
  <c r="O37" i="16"/>
  <c r="L37" i="16"/>
  <c r="I37" i="16"/>
  <c r="Q37" i="16" s="1"/>
  <c r="H37" i="16"/>
  <c r="G37" i="16"/>
  <c r="P37" i="16" s="1"/>
  <c r="F37" i="16"/>
  <c r="E37" i="16"/>
  <c r="D37" i="16" s="1"/>
  <c r="M37" i="16" s="1"/>
  <c r="DF36" i="16"/>
  <c r="DE36" i="16"/>
  <c r="DD36" i="16"/>
  <c r="DC36" i="16"/>
  <c r="DB36" i="16"/>
  <c r="DA36" i="16"/>
  <c r="CY36" i="16"/>
  <c r="CW36" i="16"/>
  <c r="CV36" i="16"/>
  <c r="CZ36" i="16" s="1"/>
  <c r="CU36" i="16"/>
  <c r="CX36" i="16" s="1"/>
  <c r="CT36" i="16"/>
  <c r="CS36" i="16"/>
  <c r="CR36" i="16"/>
  <c r="CQ36" i="16"/>
  <c r="CO36" i="16"/>
  <c r="CM36" i="16"/>
  <c r="CL36" i="16"/>
  <c r="CP36" i="16" s="1"/>
  <c r="CK36" i="16"/>
  <c r="CN36" i="16" s="1"/>
  <c r="CJ36" i="16"/>
  <c r="CI36" i="16"/>
  <c r="CH36" i="16"/>
  <c r="CG36" i="16"/>
  <c r="CF36" i="16"/>
  <c r="CE36" i="16"/>
  <c r="CD36" i="16"/>
  <c r="CC36" i="16"/>
  <c r="CB36" i="16"/>
  <c r="CA36" i="16"/>
  <c r="BZ36" i="16"/>
  <c r="BY36" i="16"/>
  <c r="BX36" i="16"/>
  <c r="BW36" i="16"/>
  <c r="BV36" i="16"/>
  <c r="BU36" i="16"/>
  <c r="BS36" i="16"/>
  <c r="BQ36" i="16"/>
  <c r="BP36" i="16"/>
  <c r="BO36" i="16"/>
  <c r="BN36" i="16"/>
  <c r="BM36" i="16"/>
  <c r="BL36" i="16"/>
  <c r="BK36" i="16"/>
  <c r="BJ36" i="16"/>
  <c r="BI36" i="16"/>
  <c r="BH36" i="16"/>
  <c r="BG36" i="16"/>
  <c r="BF36" i="16"/>
  <c r="BE36" i="16"/>
  <c r="BD36" i="16"/>
  <c r="BC36" i="16"/>
  <c r="BB36" i="16"/>
  <c r="BA36" i="16"/>
  <c r="AY36" i="16"/>
  <c r="AW36" i="16"/>
  <c r="AX36" i="16" s="1"/>
  <c r="AV36" i="16"/>
  <c r="AU36" i="16"/>
  <c r="AT36" i="16"/>
  <c r="AS36" i="16"/>
  <c r="AR36" i="16"/>
  <c r="AQ36" i="16"/>
  <c r="AP36" i="16"/>
  <c r="AO36" i="16"/>
  <c r="AM36" i="16"/>
  <c r="AK36" i="16"/>
  <c r="AJ36" i="16"/>
  <c r="AN36" i="16" s="1"/>
  <c r="AI36" i="16"/>
  <c r="AH36" i="16"/>
  <c r="AG36" i="16"/>
  <c r="AF36" i="16"/>
  <c r="AE36" i="16"/>
  <c r="AD36" i="16"/>
  <c r="AC36" i="16"/>
  <c r="AA36" i="16"/>
  <c r="Y36" i="16"/>
  <c r="X36" i="16"/>
  <c r="W36" i="16"/>
  <c r="T36" i="16"/>
  <c r="S36" i="16"/>
  <c r="R36" i="16"/>
  <c r="O36" i="16"/>
  <c r="L36" i="16"/>
  <c r="I36" i="16"/>
  <c r="Q36" i="16" s="1"/>
  <c r="H36" i="16"/>
  <c r="G36" i="16"/>
  <c r="P36" i="16" s="1"/>
  <c r="F36" i="16"/>
  <c r="E36" i="16"/>
  <c r="DF35" i="16"/>
  <c r="DE35" i="16"/>
  <c r="DD35" i="16"/>
  <c r="DC35" i="16"/>
  <c r="DB35" i="16"/>
  <c r="DA35" i="16"/>
  <c r="CY35" i="16"/>
  <c r="CW35" i="16"/>
  <c r="CV35" i="16"/>
  <c r="CZ35" i="16" s="1"/>
  <c r="CU35" i="16"/>
  <c r="CX35" i="16" s="1"/>
  <c r="CT35" i="16"/>
  <c r="CS35" i="16"/>
  <c r="CR35" i="16"/>
  <c r="CQ35" i="16"/>
  <c r="CO35" i="16"/>
  <c r="CN35" i="16"/>
  <c r="CM35" i="16"/>
  <c r="CL35" i="16"/>
  <c r="CP35" i="16" s="1"/>
  <c r="CK35" i="16"/>
  <c r="CJ35" i="16"/>
  <c r="CI35" i="16"/>
  <c r="CH35" i="16"/>
  <c r="CG35" i="16"/>
  <c r="CF35" i="16"/>
  <c r="CE35" i="16"/>
  <c r="CD35" i="16"/>
  <c r="CC35" i="16"/>
  <c r="CB35" i="16"/>
  <c r="CA35" i="16"/>
  <c r="BZ35" i="16"/>
  <c r="BY35" i="16"/>
  <c r="BX35" i="16"/>
  <c r="BW35" i="16"/>
  <c r="BV35" i="16"/>
  <c r="BU35" i="16"/>
  <c r="BS35" i="16"/>
  <c r="BQ35" i="16"/>
  <c r="BP35" i="16"/>
  <c r="BT35" i="16" s="1"/>
  <c r="BO35" i="16"/>
  <c r="BR35" i="16" s="1"/>
  <c r="BN35" i="16"/>
  <c r="BM35" i="16"/>
  <c r="BL35" i="16"/>
  <c r="BK35" i="16"/>
  <c r="BJ35" i="16"/>
  <c r="BI35" i="16"/>
  <c r="BH35" i="16"/>
  <c r="BG35" i="16"/>
  <c r="BF35" i="16"/>
  <c r="BE35" i="16"/>
  <c r="BD35" i="16"/>
  <c r="BC35" i="16"/>
  <c r="BB35" i="16"/>
  <c r="BA35" i="16"/>
  <c r="AY35" i="16"/>
  <c r="AW35" i="16"/>
  <c r="AV35" i="16"/>
  <c r="AZ35" i="16" s="1"/>
  <c r="AU35" i="16"/>
  <c r="AT35" i="16"/>
  <c r="AS35" i="16"/>
  <c r="AR35" i="16"/>
  <c r="AQ35" i="16"/>
  <c r="AP35" i="16"/>
  <c r="AO35" i="16"/>
  <c r="AM35" i="16"/>
  <c r="AK35" i="16"/>
  <c r="AJ35" i="16"/>
  <c r="AI35" i="16"/>
  <c r="AH35" i="16"/>
  <c r="AG35" i="16"/>
  <c r="AF35" i="16"/>
  <c r="AE35" i="16"/>
  <c r="AD35" i="16"/>
  <c r="AC35" i="16"/>
  <c r="AA35" i="16"/>
  <c r="Y35" i="16"/>
  <c r="X35" i="16"/>
  <c r="W35" i="16"/>
  <c r="T35" i="16"/>
  <c r="S35" i="16"/>
  <c r="R35" i="16"/>
  <c r="O35" i="16"/>
  <c r="L35" i="16"/>
  <c r="J35" i="16" s="1"/>
  <c r="I35" i="16"/>
  <c r="Q35" i="16" s="1"/>
  <c r="H35" i="16"/>
  <c r="G35" i="16"/>
  <c r="P35" i="16" s="1"/>
  <c r="F35" i="16"/>
  <c r="E35" i="16"/>
  <c r="DF34" i="16"/>
  <c r="DE34" i="16"/>
  <c r="DD34" i="16"/>
  <c r="DC34" i="16"/>
  <c r="DB34" i="16"/>
  <c r="DA34" i="16"/>
  <c r="CY34" i="16"/>
  <c r="CW34" i="16"/>
  <c r="CV34" i="16"/>
  <c r="CU34" i="16"/>
  <c r="CT34" i="16"/>
  <c r="CS34" i="16"/>
  <c r="CR34" i="16"/>
  <c r="CQ34" i="16"/>
  <c r="CO34" i="16"/>
  <c r="CM34" i="16"/>
  <c r="CL34" i="16"/>
  <c r="CP34" i="16" s="1"/>
  <c r="CK34" i="16"/>
  <c r="CN34" i="16" s="1"/>
  <c r="CJ34" i="16"/>
  <c r="CI34" i="16"/>
  <c r="CH34" i="16"/>
  <c r="CG34" i="16"/>
  <c r="CF34" i="16"/>
  <c r="CE34" i="16"/>
  <c r="CD34" i="16"/>
  <c r="CC34" i="16"/>
  <c r="CB34" i="16"/>
  <c r="CA34" i="16"/>
  <c r="BZ34" i="16"/>
  <c r="BY34" i="16"/>
  <c r="BX34" i="16"/>
  <c r="BW34" i="16"/>
  <c r="BV34" i="16"/>
  <c r="BU34" i="16"/>
  <c r="BS34" i="16"/>
  <c r="BQ34" i="16"/>
  <c r="BP34" i="16"/>
  <c r="BO34" i="16"/>
  <c r="BN34" i="16"/>
  <c r="BM34" i="16"/>
  <c r="BL34" i="16"/>
  <c r="BK34" i="16"/>
  <c r="BJ34" i="16"/>
  <c r="BI34" i="16"/>
  <c r="BH34" i="16"/>
  <c r="BG34" i="16"/>
  <c r="BF34" i="16"/>
  <c r="BE34" i="16"/>
  <c r="BD34" i="16"/>
  <c r="BC34" i="16"/>
  <c r="BB34" i="16"/>
  <c r="BA34" i="16"/>
  <c r="AY34" i="16"/>
  <c r="AW34" i="16"/>
  <c r="AV34" i="16"/>
  <c r="AU34" i="16"/>
  <c r="AT34" i="16"/>
  <c r="AS34" i="16"/>
  <c r="AR34" i="16"/>
  <c r="AQ34" i="16"/>
  <c r="AP34" i="16"/>
  <c r="AO34" i="16"/>
  <c r="AM34" i="16"/>
  <c r="AK34" i="16"/>
  <c r="AJ34" i="16"/>
  <c r="AI34" i="16"/>
  <c r="AH34" i="16"/>
  <c r="AG34" i="16"/>
  <c r="AF34" i="16"/>
  <c r="AE34" i="16"/>
  <c r="AD34" i="16"/>
  <c r="AC34" i="16"/>
  <c r="AA34" i="16"/>
  <c r="Y34" i="16"/>
  <c r="X34" i="16"/>
  <c r="AB34" i="16" s="1"/>
  <c r="W34" i="16"/>
  <c r="T34" i="16"/>
  <c r="S34" i="16"/>
  <c r="R34" i="16"/>
  <c r="O34" i="16"/>
  <c r="L34" i="16"/>
  <c r="I34" i="16"/>
  <c r="Q34" i="16" s="1"/>
  <c r="H34" i="16"/>
  <c r="G34" i="16"/>
  <c r="P34" i="16" s="1"/>
  <c r="F34" i="16"/>
  <c r="E34" i="16"/>
  <c r="D34" i="16" s="1"/>
  <c r="DF33" i="16"/>
  <c r="DE33" i="16"/>
  <c r="DD33" i="16"/>
  <c r="DC33" i="16"/>
  <c r="DB33" i="16"/>
  <c r="DA33" i="16"/>
  <c r="CY33" i="16"/>
  <c r="CW33" i="16"/>
  <c r="CV33" i="16"/>
  <c r="CU33" i="16"/>
  <c r="CX33" i="16" s="1"/>
  <c r="CT33" i="16"/>
  <c r="CS33" i="16"/>
  <c r="CR33" i="16"/>
  <c r="CQ33" i="16"/>
  <c r="CO33" i="16"/>
  <c r="CM33" i="16"/>
  <c r="CL33" i="16"/>
  <c r="CP33" i="16" s="1"/>
  <c r="CK33" i="16"/>
  <c r="CN33" i="16" s="1"/>
  <c r="CJ33" i="16"/>
  <c r="CI33" i="16"/>
  <c r="CH33" i="16"/>
  <c r="CG33" i="16"/>
  <c r="CF33" i="16"/>
  <c r="CE33" i="16"/>
  <c r="CD33" i="16"/>
  <c r="CC33" i="16"/>
  <c r="CB33" i="16"/>
  <c r="CA33" i="16"/>
  <c r="BZ33" i="16"/>
  <c r="BY33" i="16"/>
  <c r="BX33" i="16"/>
  <c r="BW33" i="16"/>
  <c r="BV33" i="16"/>
  <c r="BU33" i="16"/>
  <c r="BS33" i="16"/>
  <c r="BQ33" i="16"/>
  <c r="BP33" i="16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Y33" i="16"/>
  <c r="AW33" i="16"/>
  <c r="AV33" i="16"/>
  <c r="AU33" i="16"/>
  <c r="AT33" i="16"/>
  <c r="AS33" i="16"/>
  <c r="AR33" i="16"/>
  <c r="AQ33" i="16"/>
  <c r="AP33" i="16"/>
  <c r="AO33" i="16"/>
  <c r="AM33" i="16"/>
  <c r="AK33" i="16"/>
  <c r="AJ33" i="16"/>
  <c r="AI33" i="16"/>
  <c r="AH33" i="16"/>
  <c r="AG33" i="16"/>
  <c r="AF33" i="16"/>
  <c r="AE33" i="16"/>
  <c r="AD33" i="16"/>
  <c r="AC33" i="16"/>
  <c r="AA33" i="16"/>
  <c r="Y33" i="16"/>
  <c r="X33" i="16"/>
  <c r="AB33" i="16" s="1"/>
  <c r="W33" i="16"/>
  <c r="T33" i="16"/>
  <c r="S33" i="16"/>
  <c r="R33" i="16"/>
  <c r="O33" i="16"/>
  <c r="L33" i="16"/>
  <c r="J33" i="16"/>
  <c r="I33" i="16"/>
  <c r="Q33" i="16" s="1"/>
  <c r="H33" i="16"/>
  <c r="G33" i="16"/>
  <c r="P33" i="16" s="1"/>
  <c r="F33" i="16"/>
  <c r="E33" i="16"/>
  <c r="D33" i="16"/>
  <c r="DF32" i="16"/>
  <c r="DE32" i="16"/>
  <c r="DD32" i="16"/>
  <c r="DC32" i="16"/>
  <c r="DB32" i="16"/>
  <c r="DA32" i="16"/>
  <c r="CY32" i="16"/>
  <c r="CW32" i="16"/>
  <c r="CV32" i="16"/>
  <c r="CZ32" i="16" s="1"/>
  <c r="CU32" i="16"/>
  <c r="CX32" i="16" s="1"/>
  <c r="CT32" i="16"/>
  <c r="CS32" i="16"/>
  <c r="CR32" i="16"/>
  <c r="CQ32" i="16"/>
  <c r="CO32" i="16"/>
  <c r="CM32" i="16"/>
  <c r="CL32" i="16"/>
  <c r="CK32" i="16"/>
  <c r="CN32" i="16" s="1"/>
  <c r="CJ32" i="16"/>
  <c r="CI32" i="16"/>
  <c r="CH32" i="16"/>
  <c r="CG32" i="16"/>
  <c r="CF32" i="16"/>
  <c r="CE32" i="16"/>
  <c r="CD32" i="16"/>
  <c r="CC32" i="16"/>
  <c r="CB32" i="16"/>
  <c r="CA32" i="16"/>
  <c r="BZ32" i="16"/>
  <c r="BY32" i="16"/>
  <c r="BX32" i="16"/>
  <c r="BW32" i="16"/>
  <c r="BV32" i="16"/>
  <c r="BU32" i="16"/>
  <c r="BS32" i="16"/>
  <c r="BQ32" i="16"/>
  <c r="BP32" i="16"/>
  <c r="BT32" i="16" s="1"/>
  <c r="BO32" i="16"/>
  <c r="BN32" i="16"/>
  <c r="BM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Y32" i="16"/>
  <c r="AW32" i="16"/>
  <c r="AV32" i="16"/>
  <c r="AU32" i="16"/>
  <c r="AT32" i="16"/>
  <c r="AS32" i="16"/>
  <c r="AR32" i="16"/>
  <c r="AQ32" i="16"/>
  <c r="AP32" i="16"/>
  <c r="AO32" i="16"/>
  <c r="AN32" i="16"/>
  <c r="AM32" i="16"/>
  <c r="AK32" i="16"/>
  <c r="AJ32" i="16"/>
  <c r="AI32" i="16"/>
  <c r="AH32" i="16"/>
  <c r="AG32" i="16"/>
  <c r="AF32" i="16"/>
  <c r="AE32" i="16"/>
  <c r="AD32" i="16"/>
  <c r="AC32" i="16"/>
  <c r="AA32" i="16"/>
  <c r="Y32" i="16"/>
  <c r="X32" i="16"/>
  <c r="W32" i="16"/>
  <c r="T32" i="16"/>
  <c r="S32" i="16"/>
  <c r="R32" i="16"/>
  <c r="O32" i="16"/>
  <c r="L32" i="16"/>
  <c r="I32" i="16"/>
  <c r="H32" i="16"/>
  <c r="G32" i="16"/>
  <c r="P32" i="16" s="1"/>
  <c r="F32" i="16"/>
  <c r="F31" i="16" s="1"/>
  <c r="E32" i="16"/>
  <c r="D32" i="16" s="1"/>
  <c r="M32" i="16" s="1"/>
  <c r="DF30" i="16"/>
  <c r="DE30" i="16"/>
  <c r="DD30" i="16"/>
  <c r="DC30" i="16"/>
  <c r="DB30" i="16"/>
  <c r="DA30" i="16"/>
  <c r="CY30" i="16"/>
  <c r="CW30" i="16"/>
  <c r="CV30" i="16"/>
  <c r="CZ30" i="16" s="1"/>
  <c r="CU30" i="16"/>
  <c r="CX30" i="16" s="1"/>
  <c r="CT30" i="16"/>
  <c r="CS30" i="16"/>
  <c r="CR30" i="16"/>
  <c r="CQ30" i="16"/>
  <c r="CO30" i="16"/>
  <c r="CM30" i="16"/>
  <c r="CL30" i="16"/>
  <c r="CP30" i="16" s="1"/>
  <c r="CK30" i="16"/>
  <c r="CN30" i="16" s="1"/>
  <c r="CJ30" i="16"/>
  <c r="CI30" i="16"/>
  <c r="CH30" i="16"/>
  <c r="CG30" i="16"/>
  <c r="CF30" i="16"/>
  <c r="CE30" i="16"/>
  <c r="CD30" i="16"/>
  <c r="CC30" i="16"/>
  <c r="CB30" i="16"/>
  <c r="CA30" i="16"/>
  <c r="BZ30" i="16"/>
  <c r="BY30" i="16"/>
  <c r="BX30" i="16"/>
  <c r="BW30" i="16"/>
  <c r="BV30" i="16"/>
  <c r="BU30" i="16"/>
  <c r="BS30" i="16"/>
  <c r="BQ30" i="16"/>
  <c r="BP30" i="16"/>
  <c r="BT30" i="16" s="1"/>
  <c r="BO30" i="16"/>
  <c r="BN30" i="16"/>
  <c r="BM30" i="16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W30" i="16"/>
  <c r="AV30" i="16"/>
  <c r="AU30" i="16"/>
  <c r="AT30" i="16"/>
  <c r="AS30" i="16"/>
  <c r="AR30" i="16"/>
  <c r="AQ30" i="16"/>
  <c r="AP30" i="16"/>
  <c r="AO30" i="16"/>
  <c r="AM30" i="16"/>
  <c r="AK30" i="16"/>
  <c r="AJ30" i="16"/>
  <c r="AN30" i="16" s="1"/>
  <c r="AI30" i="16"/>
  <c r="AH30" i="16"/>
  <c r="AG30" i="16"/>
  <c r="AF30" i="16"/>
  <c r="AE30" i="16"/>
  <c r="AD30" i="16"/>
  <c r="AC30" i="16"/>
  <c r="AA30" i="16"/>
  <c r="AB30" i="16" s="1"/>
  <c r="Y30" i="16"/>
  <c r="X30" i="16"/>
  <c r="W30" i="16"/>
  <c r="T30" i="16"/>
  <c r="S30" i="16"/>
  <c r="R30" i="16"/>
  <c r="O30" i="16"/>
  <c r="L30" i="16"/>
  <c r="I30" i="16"/>
  <c r="Q30" i="16" s="1"/>
  <c r="H30" i="16"/>
  <c r="N30" i="16" s="1"/>
  <c r="G30" i="16"/>
  <c r="P30" i="16" s="1"/>
  <c r="F30" i="16"/>
  <c r="E30" i="16"/>
  <c r="DF29" i="16"/>
  <c r="DE29" i="16"/>
  <c r="DD29" i="16"/>
  <c r="DC29" i="16"/>
  <c r="DB29" i="16"/>
  <c r="DA29" i="16"/>
  <c r="CY29" i="16"/>
  <c r="CW29" i="16"/>
  <c r="CV29" i="16"/>
  <c r="CZ29" i="16" s="1"/>
  <c r="CU29" i="16"/>
  <c r="CX29" i="16" s="1"/>
  <c r="CT29" i="16"/>
  <c r="CS29" i="16"/>
  <c r="CR29" i="16"/>
  <c r="CQ29" i="16"/>
  <c r="CO29" i="16"/>
  <c r="CM29" i="16"/>
  <c r="CL29" i="16"/>
  <c r="CP29" i="16" s="1"/>
  <c r="CK29" i="16"/>
  <c r="CN29" i="16" s="1"/>
  <c r="CJ29" i="16"/>
  <c r="CI29" i="16"/>
  <c r="CH29" i="16"/>
  <c r="CG29" i="16"/>
  <c r="CF29" i="16"/>
  <c r="CE29" i="16"/>
  <c r="CD29" i="16"/>
  <c r="CC29" i="16"/>
  <c r="CB29" i="16"/>
  <c r="CA29" i="16"/>
  <c r="BZ29" i="16"/>
  <c r="BY29" i="16"/>
  <c r="BX29" i="16"/>
  <c r="BW29" i="16"/>
  <c r="BV29" i="16"/>
  <c r="BU29" i="16"/>
  <c r="BS29" i="16"/>
  <c r="BQ29" i="16"/>
  <c r="BP29" i="16"/>
  <c r="BT29" i="16" s="1"/>
  <c r="BO29" i="16"/>
  <c r="BN29" i="16"/>
  <c r="BM29" i="16"/>
  <c r="BL29" i="16"/>
  <c r="BK29" i="16"/>
  <c r="BJ29" i="16"/>
  <c r="BI29" i="16"/>
  <c r="BH29" i="16"/>
  <c r="BG29" i="16"/>
  <c r="BF29" i="16"/>
  <c r="BE29" i="16"/>
  <c r="BD29" i="16"/>
  <c r="BC29" i="16"/>
  <c r="BB29" i="16"/>
  <c r="BA29" i="16"/>
  <c r="AY29" i="16"/>
  <c r="AW29" i="16"/>
  <c r="AV29" i="16"/>
  <c r="AZ29" i="16" s="1"/>
  <c r="AU29" i="16"/>
  <c r="AX29" i="16" s="1"/>
  <c r="AT29" i="16"/>
  <c r="AS29" i="16"/>
  <c r="AR29" i="16"/>
  <c r="AQ29" i="16"/>
  <c r="AP29" i="16"/>
  <c r="AO29" i="16"/>
  <c r="AM29" i="16"/>
  <c r="AK29" i="16"/>
  <c r="AJ29" i="16"/>
  <c r="AN29" i="16" s="1"/>
  <c r="AI29" i="16"/>
  <c r="AL29" i="16" s="1"/>
  <c r="AH29" i="16"/>
  <c r="AG29" i="16"/>
  <c r="AF29" i="16"/>
  <c r="AE29" i="16"/>
  <c r="AD29" i="16"/>
  <c r="AC29" i="16"/>
  <c r="AA29" i="16"/>
  <c r="Y29" i="16"/>
  <c r="X29" i="16"/>
  <c r="AB29" i="16" s="1"/>
  <c r="W29" i="16"/>
  <c r="Z29" i="16" s="1"/>
  <c r="T29" i="16"/>
  <c r="S29" i="16"/>
  <c r="R29" i="16"/>
  <c r="O29" i="16"/>
  <c r="J29" i="16" s="1"/>
  <c r="L29" i="16"/>
  <c r="I29" i="16"/>
  <c r="Q29" i="16" s="1"/>
  <c r="H29" i="16"/>
  <c r="G29" i="16"/>
  <c r="P29" i="16" s="1"/>
  <c r="F29" i="16"/>
  <c r="E29" i="16"/>
  <c r="D29" i="16" s="1"/>
  <c r="M29" i="16" s="1"/>
  <c r="DF28" i="16"/>
  <c r="DE28" i="16"/>
  <c r="DD28" i="16"/>
  <c r="DC28" i="16"/>
  <c r="DB28" i="16"/>
  <c r="DA28" i="16"/>
  <c r="CY28" i="16"/>
  <c r="CX28" i="16"/>
  <c r="CW28" i="16"/>
  <c r="CV28" i="16"/>
  <c r="CU28" i="16"/>
  <c r="CT28" i="16"/>
  <c r="CS28" i="16"/>
  <c r="CR28" i="16"/>
  <c r="CQ28" i="16"/>
  <c r="CO28" i="16"/>
  <c r="CM28" i="16"/>
  <c r="CL28" i="16"/>
  <c r="CP28" i="16" s="1"/>
  <c r="CK28" i="16"/>
  <c r="CN28" i="16" s="1"/>
  <c r="CJ28" i="16"/>
  <c r="CI28" i="16"/>
  <c r="CH28" i="16"/>
  <c r="CG28" i="16"/>
  <c r="CF28" i="16"/>
  <c r="CE28" i="16"/>
  <c r="CD28" i="16"/>
  <c r="CC28" i="16"/>
  <c r="CB28" i="16"/>
  <c r="CA28" i="16"/>
  <c r="BZ28" i="16"/>
  <c r="BY28" i="16"/>
  <c r="BX28" i="16"/>
  <c r="BW28" i="16"/>
  <c r="BV28" i="16"/>
  <c r="BU28" i="16"/>
  <c r="BS28" i="16"/>
  <c r="BQ28" i="16"/>
  <c r="BP28" i="16"/>
  <c r="BO28" i="16"/>
  <c r="BN28" i="16"/>
  <c r="BM28" i="16"/>
  <c r="BL28" i="16"/>
  <c r="BK28" i="16"/>
  <c r="BJ28" i="16"/>
  <c r="BI28" i="16"/>
  <c r="BH28" i="16"/>
  <c r="BG28" i="16"/>
  <c r="BF28" i="16"/>
  <c r="BE28" i="16"/>
  <c r="BD28" i="16"/>
  <c r="BC28" i="16"/>
  <c r="BB28" i="16"/>
  <c r="BA28" i="16"/>
  <c r="AY28" i="16"/>
  <c r="AW28" i="16"/>
  <c r="AV28" i="16"/>
  <c r="AU28" i="16"/>
  <c r="AT28" i="16"/>
  <c r="AS28" i="16"/>
  <c r="AR28" i="16"/>
  <c r="AQ28" i="16"/>
  <c r="AP28" i="16"/>
  <c r="AO28" i="16"/>
  <c r="AM28" i="16"/>
  <c r="AK28" i="16"/>
  <c r="AJ28" i="16"/>
  <c r="AI28" i="16"/>
  <c r="AH28" i="16"/>
  <c r="AG28" i="16"/>
  <c r="AF28" i="16"/>
  <c r="AE28" i="16"/>
  <c r="AD28" i="16"/>
  <c r="AC28" i="16"/>
  <c r="AA28" i="16"/>
  <c r="Y28" i="16"/>
  <c r="X28" i="16"/>
  <c r="W28" i="16"/>
  <c r="T28" i="16"/>
  <c r="S28" i="16"/>
  <c r="R28" i="16"/>
  <c r="O28" i="16"/>
  <c r="L28" i="16"/>
  <c r="I28" i="16"/>
  <c r="Q28" i="16" s="1"/>
  <c r="H28" i="16"/>
  <c r="N28" i="16" s="1"/>
  <c r="G28" i="16"/>
  <c r="P28" i="16" s="1"/>
  <c r="F28" i="16"/>
  <c r="D28" i="16" s="1"/>
  <c r="M28" i="16" s="1"/>
  <c r="E28" i="16"/>
  <c r="DF27" i="16"/>
  <c r="DE27" i="16"/>
  <c r="DD27" i="16"/>
  <c r="DC27" i="16"/>
  <c r="DB27" i="16"/>
  <c r="DA27" i="16"/>
  <c r="CY27" i="16"/>
  <c r="CW27" i="16"/>
  <c r="CV27" i="16"/>
  <c r="CZ27" i="16" s="1"/>
  <c r="CU27" i="16"/>
  <c r="CT27" i="16"/>
  <c r="CS27" i="16"/>
  <c r="CR27" i="16"/>
  <c r="CQ27" i="16"/>
  <c r="CP27" i="16"/>
  <c r="CO27" i="16"/>
  <c r="CM27" i="16"/>
  <c r="CL27" i="16"/>
  <c r="CK27" i="16"/>
  <c r="CN27" i="16" s="1"/>
  <c r="CJ27" i="16"/>
  <c r="CI27" i="16"/>
  <c r="CH27" i="16"/>
  <c r="CG27" i="16"/>
  <c r="CF27" i="16"/>
  <c r="CE27" i="16"/>
  <c r="CD27" i="16"/>
  <c r="CC27" i="16"/>
  <c r="CB27" i="16"/>
  <c r="CA27" i="16"/>
  <c r="BZ27" i="16"/>
  <c r="BY27" i="16"/>
  <c r="BX27" i="16"/>
  <c r="BW27" i="16"/>
  <c r="BV27" i="16"/>
  <c r="BU27" i="16"/>
  <c r="BS27" i="16"/>
  <c r="BQ27" i="16"/>
  <c r="BP27" i="16"/>
  <c r="BT27" i="16" s="1"/>
  <c r="BO27" i="16"/>
  <c r="BN27" i="16"/>
  <c r="BM27" i="16"/>
  <c r="BL27" i="16"/>
  <c r="BK27" i="16"/>
  <c r="BJ27" i="16"/>
  <c r="BI27" i="16"/>
  <c r="BH27" i="16"/>
  <c r="BG27" i="16"/>
  <c r="BF27" i="16"/>
  <c r="BE27" i="16"/>
  <c r="BD27" i="16"/>
  <c r="BC27" i="16"/>
  <c r="BB27" i="16"/>
  <c r="BA27" i="16"/>
  <c r="AY27" i="16"/>
  <c r="AW27" i="16"/>
  <c r="AV27" i="16"/>
  <c r="AU27" i="16"/>
  <c r="AT27" i="16"/>
  <c r="AS27" i="16"/>
  <c r="AR27" i="16"/>
  <c r="AQ27" i="16"/>
  <c r="AP27" i="16"/>
  <c r="AO27" i="16"/>
  <c r="AM27" i="16"/>
  <c r="AK27" i="16"/>
  <c r="AJ27" i="16"/>
  <c r="AI27" i="16"/>
  <c r="AH27" i="16"/>
  <c r="AG27" i="16"/>
  <c r="AF27" i="16"/>
  <c r="AE27" i="16"/>
  <c r="AD27" i="16"/>
  <c r="AC27" i="16"/>
  <c r="AA27" i="16"/>
  <c r="Y27" i="16"/>
  <c r="X27" i="16"/>
  <c r="W27" i="16"/>
  <c r="T27" i="16"/>
  <c r="S27" i="16"/>
  <c r="R27" i="16"/>
  <c r="U27" i="16" s="1"/>
  <c r="O27" i="16"/>
  <c r="L27" i="16"/>
  <c r="I27" i="16"/>
  <c r="Q27" i="16" s="1"/>
  <c r="H27" i="16"/>
  <c r="G27" i="16"/>
  <c r="P27" i="16" s="1"/>
  <c r="F27" i="16"/>
  <c r="E27" i="16"/>
  <c r="DF26" i="16"/>
  <c r="DE26" i="16"/>
  <c r="DD26" i="16"/>
  <c r="DC26" i="16"/>
  <c r="DB26" i="16"/>
  <c r="DA26" i="16"/>
  <c r="CY26" i="16"/>
  <c r="CW26" i="16"/>
  <c r="CV26" i="16"/>
  <c r="CZ26" i="16" s="1"/>
  <c r="CU26" i="16"/>
  <c r="CX26" i="16" s="1"/>
  <c r="CT26" i="16"/>
  <c r="CS26" i="16"/>
  <c r="CR26" i="16"/>
  <c r="CQ26" i="16"/>
  <c r="CO26" i="16"/>
  <c r="CM26" i="16"/>
  <c r="CL26" i="16"/>
  <c r="CP26" i="16" s="1"/>
  <c r="CK26" i="16"/>
  <c r="CN26" i="16" s="1"/>
  <c r="CJ26" i="16"/>
  <c r="CI26" i="16"/>
  <c r="CH26" i="16"/>
  <c r="CG26" i="16"/>
  <c r="CF26" i="16"/>
  <c r="CE26" i="16"/>
  <c r="CD26" i="16"/>
  <c r="CC26" i="16"/>
  <c r="CB26" i="16"/>
  <c r="CA26" i="16"/>
  <c r="BZ26" i="16"/>
  <c r="BY26" i="16"/>
  <c r="BX26" i="16"/>
  <c r="BW26" i="16"/>
  <c r="BV26" i="16"/>
  <c r="BU26" i="16"/>
  <c r="BS26" i="16"/>
  <c r="BQ26" i="16"/>
  <c r="BP26" i="16"/>
  <c r="BO26" i="16"/>
  <c r="BN26" i="16"/>
  <c r="BM26" i="16"/>
  <c r="BL26" i="16"/>
  <c r="BK26" i="16"/>
  <c r="BJ26" i="16"/>
  <c r="BI26" i="16"/>
  <c r="BH26" i="16"/>
  <c r="BG26" i="16"/>
  <c r="BF26" i="16"/>
  <c r="BE26" i="16"/>
  <c r="BD26" i="16"/>
  <c r="BC26" i="16"/>
  <c r="BB26" i="16"/>
  <c r="BA26" i="16"/>
  <c r="AY26" i="16"/>
  <c r="AW26" i="16"/>
  <c r="AV26" i="16"/>
  <c r="AU26" i="16"/>
  <c r="AT26" i="16"/>
  <c r="AS26" i="16"/>
  <c r="AR26" i="16"/>
  <c r="AQ26" i="16"/>
  <c r="AP26" i="16"/>
  <c r="AO26" i="16"/>
  <c r="AM26" i="16"/>
  <c r="AK26" i="16"/>
  <c r="AJ26" i="16"/>
  <c r="AN26" i="16" s="1"/>
  <c r="AI26" i="16"/>
  <c r="AH26" i="16"/>
  <c r="AG26" i="16"/>
  <c r="AF26" i="16"/>
  <c r="AE26" i="16"/>
  <c r="AD26" i="16"/>
  <c r="AC26" i="16"/>
  <c r="AA26" i="16"/>
  <c r="Y26" i="16"/>
  <c r="X26" i="16"/>
  <c r="W26" i="16"/>
  <c r="T26" i="16"/>
  <c r="S26" i="16"/>
  <c r="R26" i="16"/>
  <c r="O26" i="16"/>
  <c r="J26" i="16" s="1"/>
  <c r="L26" i="16"/>
  <c r="I26" i="16"/>
  <c r="Q26" i="16" s="1"/>
  <c r="H26" i="16"/>
  <c r="G26" i="16"/>
  <c r="P26" i="16" s="1"/>
  <c r="F26" i="16"/>
  <c r="D26" i="16" s="1"/>
  <c r="E26" i="16"/>
  <c r="DF25" i="16"/>
  <c r="DE25" i="16"/>
  <c r="DD25" i="16"/>
  <c r="DC25" i="16"/>
  <c r="DB25" i="16"/>
  <c r="DA25" i="16"/>
  <c r="CY25" i="16"/>
  <c r="CW25" i="16"/>
  <c r="CV25" i="16"/>
  <c r="CZ25" i="16" s="1"/>
  <c r="CU25" i="16"/>
  <c r="CX25" i="16" s="1"/>
  <c r="CT25" i="16"/>
  <c r="CS25" i="16"/>
  <c r="CR25" i="16"/>
  <c r="CQ25" i="16"/>
  <c r="CO25" i="16"/>
  <c r="CM25" i="16"/>
  <c r="CL25" i="16"/>
  <c r="CP25" i="16" s="1"/>
  <c r="CK25" i="16"/>
  <c r="CN25" i="16" s="1"/>
  <c r="CJ25" i="16"/>
  <c r="CI25" i="16"/>
  <c r="CH25" i="16"/>
  <c r="CG25" i="16"/>
  <c r="CF25" i="16"/>
  <c r="CE25" i="16"/>
  <c r="CD25" i="16"/>
  <c r="CC25" i="16"/>
  <c r="CB25" i="16"/>
  <c r="CA25" i="16"/>
  <c r="BZ25" i="16"/>
  <c r="BY25" i="16"/>
  <c r="BX25" i="16"/>
  <c r="BW25" i="16"/>
  <c r="BV25" i="16"/>
  <c r="BU25" i="16"/>
  <c r="BS25" i="16"/>
  <c r="BQ25" i="16"/>
  <c r="BP25" i="16"/>
  <c r="BT25" i="16" s="1"/>
  <c r="BO25" i="16"/>
  <c r="BR25" i="16" s="1"/>
  <c r="BN25" i="16"/>
  <c r="BM25" i="16"/>
  <c r="BL25" i="16"/>
  <c r="BK25" i="16"/>
  <c r="BJ25" i="16"/>
  <c r="BI25" i="16"/>
  <c r="BH25" i="16"/>
  <c r="BG25" i="16"/>
  <c r="BF25" i="16"/>
  <c r="BE25" i="16"/>
  <c r="BD25" i="16"/>
  <c r="BC25" i="16"/>
  <c r="BB25" i="16"/>
  <c r="BA25" i="16"/>
  <c r="AY25" i="16"/>
  <c r="AW25" i="16"/>
  <c r="AV25" i="16"/>
  <c r="AZ25" i="16" s="1"/>
  <c r="AU25" i="16"/>
  <c r="AX25" i="16" s="1"/>
  <c r="AT25" i="16"/>
  <c r="AS25" i="16"/>
  <c r="AR25" i="16"/>
  <c r="AQ25" i="16"/>
  <c r="AP25" i="16"/>
  <c r="AO25" i="16"/>
  <c r="AM25" i="16"/>
  <c r="AK25" i="16"/>
  <c r="AJ25" i="16"/>
  <c r="AN25" i="16" s="1"/>
  <c r="AI25" i="16"/>
  <c r="AL25" i="16" s="1"/>
  <c r="AH25" i="16"/>
  <c r="AG25" i="16"/>
  <c r="AF25" i="16"/>
  <c r="AE25" i="16"/>
  <c r="AD25" i="16"/>
  <c r="AC25" i="16"/>
  <c r="AA25" i="16"/>
  <c r="Y25" i="16"/>
  <c r="X25" i="16"/>
  <c r="AB25" i="16" s="1"/>
  <c r="W25" i="16"/>
  <c r="Z25" i="16" s="1"/>
  <c r="T25" i="16"/>
  <c r="S25" i="16"/>
  <c r="V25" i="16" s="1"/>
  <c r="R25" i="16"/>
  <c r="U25" i="16" s="1"/>
  <c r="O25" i="16"/>
  <c r="L25" i="16"/>
  <c r="I25" i="16"/>
  <c r="Q25" i="16" s="1"/>
  <c r="H25" i="16"/>
  <c r="N25" i="16" s="1"/>
  <c r="G25" i="16"/>
  <c r="P25" i="16" s="1"/>
  <c r="F25" i="16"/>
  <c r="E25" i="16"/>
  <c r="DF24" i="16"/>
  <c r="DE24" i="16"/>
  <c r="DD24" i="16"/>
  <c r="DC24" i="16"/>
  <c r="DB24" i="16"/>
  <c r="DA24" i="16"/>
  <c r="CY24" i="16"/>
  <c r="CW24" i="16"/>
  <c r="CV24" i="16"/>
  <c r="CU24" i="16"/>
  <c r="CX24" i="16" s="1"/>
  <c r="CT24" i="16"/>
  <c r="CS24" i="16"/>
  <c r="CR24" i="16"/>
  <c r="CQ24" i="16"/>
  <c r="CO24" i="16"/>
  <c r="CM24" i="16"/>
  <c r="CL24" i="16"/>
  <c r="CP24" i="16" s="1"/>
  <c r="CK24" i="16"/>
  <c r="CN24" i="16" s="1"/>
  <c r="CJ24" i="16"/>
  <c r="CI24" i="16"/>
  <c r="CH24" i="16"/>
  <c r="CG24" i="16"/>
  <c r="CF24" i="16"/>
  <c r="CE24" i="16"/>
  <c r="CD24" i="16"/>
  <c r="CC24" i="16"/>
  <c r="CB24" i="16"/>
  <c r="CA24" i="16"/>
  <c r="BZ24" i="16"/>
  <c r="BY24" i="16"/>
  <c r="BX24" i="16"/>
  <c r="BW24" i="16"/>
  <c r="BV24" i="16"/>
  <c r="BU24" i="16"/>
  <c r="BS24" i="16"/>
  <c r="BQ24" i="16"/>
  <c r="BP24" i="16"/>
  <c r="BO24" i="16"/>
  <c r="BN24" i="16"/>
  <c r="BM24" i="16"/>
  <c r="BL24" i="16"/>
  <c r="BK24" i="16"/>
  <c r="BJ24" i="16"/>
  <c r="BI24" i="16"/>
  <c r="BH24" i="16"/>
  <c r="BG24" i="16"/>
  <c r="BF24" i="16"/>
  <c r="BE24" i="16"/>
  <c r="BD24" i="16"/>
  <c r="BC24" i="16"/>
  <c r="BB24" i="16"/>
  <c r="BA24" i="16"/>
  <c r="AY24" i="16"/>
  <c r="AW24" i="16"/>
  <c r="AV24" i="16"/>
  <c r="AU24" i="16"/>
  <c r="AT24" i="16"/>
  <c r="AS24" i="16"/>
  <c r="AR24" i="16"/>
  <c r="AQ24" i="16"/>
  <c r="AP24" i="16"/>
  <c r="AO24" i="16"/>
  <c r="AM24" i="16"/>
  <c r="AK24" i="16"/>
  <c r="AJ24" i="16"/>
  <c r="AI24" i="16"/>
  <c r="AH24" i="16"/>
  <c r="AG24" i="16"/>
  <c r="AF24" i="16"/>
  <c r="AE24" i="16"/>
  <c r="AD24" i="16"/>
  <c r="AC24" i="16"/>
  <c r="AA24" i="16"/>
  <c r="Y24" i="16"/>
  <c r="X24" i="16"/>
  <c r="W24" i="16"/>
  <c r="T24" i="16"/>
  <c r="S24" i="16"/>
  <c r="R24" i="16"/>
  <c r="O24" i="16"/>
  <c r="L24" i="16"/>
  <c r="J24" i="16" s="1"/>
  <c r="I24" i="16"/>
  <c r="Q24" i="16" s="1"/>
  <c r="H24" i="16"/>
  <c r="G24" i="16"/>
  <c r="P24" i="16" s="1"/>
  <c r="F24" i="16"/>
  <c r="E24" i="16"/>
  <c r="DF23" i="16"/>
  <c r="DE23" i="16"/>
  <c r="DD23" i="16"/>
  <c r="DC23" i="16"/>
  <c r="DB23" i="16"/>
  <c r="DA23" i="16"/>
  <c r="CY23" i="16"/>
  <c r="CW23" i="16"/>
  <c r="CV23" i="16"/>
  <c r="CZ23" i="16" s="1"/>
  <c r="CU23" i="16"/>
  <c r="CX23" i="16" s="1"/>
  <c r="CT23" i="16"/>
  <c r="CS23" i="16"/>
  <c r="CR23" i="16"/>
  <c r="CQ23" i="16"/>
  <c r="CO23" i="16"/>
  <c r="CM23" i="16"/>
  <c r="CL23" i="16"/>
  <c r="CP23" i="16" s="1"/>
  <c r="CK23" i="16"/>
  <c r="CN23" i="16" s="1"/>
  <c r="CJ23" i="16"/>
  <c r="CI23" i="16"/>
  <c r="CH23" i="16"/>
  <c r="CG23" i="16"/>
  <c r="CF23" i="16"/>
  <c r="CE23" i="16"/>
  <c r="CD23" i="16"/>
  <c r="CC23" i="16"/>
  <c r="CB23" i="16"/>
  <c r="CA23" i="16"/>
  <c r="BZ23" i="16"/>
  <c r="BY23" i="16"/>
  <c r="BX23" i="16"/>
  <c r="BW23" i="16"/>
  <c r="BV23" i="16"/>
  <c r="BU23" i="16"/>
  <c r="BS23" i="16"/>
  <c r="BQ23" i="16"/>
  <c r="BP23" i="16"/>
  <c r="BT23" i="16" s="1"/>
  <c r="BO23" i="16"/>
  <c r="BN23" i="16"/>
  <c r="BM23" i="16"/>
  <c r="BL23" i="16"/>
  <c r="BK23" i="16"/>
  <c r="BJ23" i="16"/>
  <c r="BI23" i="16"/>
  <c r="BH23" i="16"/>
  <c r="BG23" i="16"/>
  <c r="BF23" i="16"/>
  <c r="BE23" i="16"/>
  <c r="BD23" i="16"/>
  <c r="BC23" i="16"/>
  <c r="BB23" i="16"/>
  <c r="BA23" i="16"/>
  <c r="AY23" i="16"/>
  <c r="AW23" i="16"/>
  <c r="AV23" i="16"/>
  <c r="AU23" i="16"/>
  <c r="AT23" i="16"/>
  <c r="AS23" i="16"/>
  <c r="AR23" i="16"/>
  <c r="AQ23" i="16"/>
  <c r="AP23" i="16"/>
  <c r="AO23" i="16"/>
  <c r="AM23" i="16"/>
  <c r="AK23" i="16"/>
  <c r="AJ23" i="16"/>
  <c r="AN23" i="16" s="1"/>
  <c r="AI23" i="16"/>
  <c r="AH23" i="16"/>
  <c r="AG23" i="16"/>
  <c r="AF23" i="16"/>
  <c r="AE23" i="16"/>
  <c r="AD23" i="16"/>
  <c r="AC23" i="16"/>
  <c r="AA23" i="16"/>
  <c r="Y23" i="16"/>
  <c r="X23" i="16"/>
  <c r="W23" i="16"/>
  <c r="T23" i="16"/>
  <c r="S23" i="16"/>
  <c r="R23" i="16"/>
  <c r="O23" i="16"/>
  <c r="L23" i="16"/>
  <c r="I23" i="16"/>
  <c r="Q23" i="16" s="1"/>
  <c r="H23" i="16"/>
  <c r="G23" i="16"/>
  <c r="P23" i="16" s="1"/>
  <c r="F23" i="16"/>
  <c r="E23" i="16"/>
  <c r="DF22" i="16"/>
  <c r="DE22" i="16"/>
  <c r="DD22" i="16"/>
  <c r="DC22" i="16"/>
  <c r="DB22" i="16"/>
  <c r="DA22" i="16"/>
  <c r="CY22" i="16"/>
  <c r="CW22" i="16"/>
  <c r="CV22" i="16"/>
  <c r="CZ22" i="16" s="1"/>
  <c r="CU22" i="16"/>
  <c r="CX22" i="16" s="1"/>
  <c r="CT22" i="16"/>
  <c r="CS22" i="16"/>
  <c r="CR22" i="16"/>
  <c r="CQ22" i="16"/>
  <c r="CO22" i="16"/>
  <c r="CM22" i="16"/>
  <c r="CL22" i="16"/>
  <c r="CP22" i="16" s="1"/>
  <c r="CK22" i="16"/>
  <c r="CN22" i="16" s="1"/>
  <c r="CJ22" i="16"/>
  <c r="CI22" i="16"/>
  <c r="CH22" i="16"/>
  <c r="CG22" i="16"/>
  <c r="CF22" i="16"/>
  <c r="CE22" i="16"/>
  <c r="CD22" i="16"/>
  <c r="CC22" i="16"/>
  <c r="CB22" i="16"/>
  <c r="CA22" i="16"/>
  <c r="BZ22" i="16"/>
  <c r="BY22" i="16"/>
  <c r="BX22" i="16"/>
  <c r="BW22" i="16"/>
  <c r="BV22" i="16"/>
  <c r="BU22" i="16"/>
  <c r="BS22" i="16"/>
  <c r="BQ22" i="16"/>
  <c r="BP22" i="16"/>
  <c r="BO22" i="16"/>
  <c r="BN22" i="16"/>
  <c r="BM22" i="16"/>
  <c r="BL22" i="16"/>
  <c r="BK22" i="16"/>
  <c r="BJ22" i="16"/>
  <c r="BI22" i="16"/>
  <c r="BH22" i="16"/>
  <c r="BG22" i="16"/>
  <c r="BF22" i="16"/>
  <c r="BE22" i="16"/>
  <c r="BD22" i="16"/>
  <c r="BC22" i="16"/>
  <c r="BB22" i="16"/>
  <c r="BA22" i="16"/>
  <c r="AY22" i="16"/>
  <c r="AZ22" i="16" s="1"/>
  <c r="AW22" i="16"/>
  <c r="AV22" i="16"/>
  <c r="AU22" i="16"/>
  <c r="AT22" i="16"/>
  <c r="AS22" i="16"/>
  <c r="AR22" i="16"/>
  <c r="AQ22" i="16"/>
  <c r="AP22" i="16"/>
  <c r="AO22" i="16"/>
  <c r="AM22" i="16"/>
  <c r="AK22" i="16"/>
  <c r="AJ22" i="16"/>
  <c r="AI22" i="16"/>
  <c r="AH22" i="16"/>
  <c r="AG22" i="16"/>
  <c r="AF22" i="16"/>
  <c r="AE22" i="16"/>
  <c r="AD22" i="16"/>
  <c r="AC22" i="16"/>
  <c r="AA22" i="16"/>
  <c r="Y22" i="16"/>
  <c r="X22" i="16"/>
  <c r="AB22" i="16" s="1"/>
  <c r="W22" i="16"/>
  <c r="T22" i="16"/>
  <c r="V22" i="16" s="1"/>
  <c r="S22" i="16"/>
  <c r="R22" i="16"/>
  <c r="O22" i="16"/>
  <c r="L22" i="16"/>
  <c r="I22" i="16"/>
  <c r="Q22" i="16" s="1"/>
  <c r="H22" i="16"/>
  <c r="G22" i="16"/>
  <c r="P22" i="16" s="1"/>
  <c r="F22" i="16"/>
  <c r="E22" i="16"/>
  <c r="D22" i="16" s="1"/>
  <c r="DF21" i="16"/>
  <c r="DE21" i="16"/>
  <c r="DD21" i="16"/>
  <c r="DC21" i="16"/>
  <c r="DB21" i="16"/>
  <c r="DA21" i="16"/>
  <c r="CY21" i="16"/>
  <c r="CW21" i="16"/>
  <c r="CV21" i="16"/>
  <c r="CZ21" i="16" s="1"/>
  <c r="CU21" i="16"/>
  <c r="CX21" i="16" s="1"/>
  <c r="CT21" i="16"/>
  <c r="CS21" i="16"/>
  <c r="CR21" i="16"/>
  <c r="CQ21" i="16"/>
  <c r="CO21" i="16"/>
  <c r="CM21" i="16"/>
  <c r="CL21" i="16"/>
  <c r="CP21" i="16" s="1"/>
  <c r="CK21" i="16"/>
  <c r="CN21" i="16" s="1"/>
  <c r="CJ21" i="16"/>
  <c r="CI21" i="16"/>
  <c r="CH21" i="16"/>
  <c r="CG21" i="16"/>
  <c r="CF21" i="16"/>
  <c r="CE21" i="16"/>
  <c r="CD21" i="16"/>
  <c r="CC21" i="16"/>
  <c r="CB21" i="16"/>
  <c r="CA21" i="16"/>
  <c r="BZ21" i="16"/>
  <c r="BY21" i="16"/>
  <c r="BX21" i="16"/>
  <c r="BW21" i="16"/>
  <c r="BV21" i="16"/>
  <c r="BU21" i="16"/>
  <c r="BS21" i="16"/>
  <c r="BQ21" i="16"/>
  <c r="BP21" i="16"/>
  <c r="BO21" i="16"/>
  <c r="BN21" i="16"/>
  <c r="BM21" i="16"/>
  <c r="BL21" i="16"/>
  <c r="BK21" i="16"/>
  <c r="BJ21" i="16"/>
  <c r="BI21" i="16"/>
  <c r="BH21" i="16"/>
  <c r="BG21" i="16"/>
  <c r="BF21" i="16"/>
  <c r="BE21" i="16"/>
  <c r="BD21" i="16"/>
  <c r="BC21" i="16"/>
  <c r="BB21" i="16"/>
  <c r="BA21" i="16"/>
  <c r="AY21" i="16"/>
  <c r="AW21" i="16"/>
  <c r="AV21" i="16"/>
  <c r="AZ21" i="16" s="1"/>
  <c r="AU21" i="16"/>
  <c r="AX21" i="16" s="1"/>
  <c r="AT21" i="16"/>
  <c r="AS21" i="16"/>
  <c r="AR21" i="16"/>
  <c r="AQ21" i="16"/>
  <c r="AP21" i="16"/>
  <c r="AO21" i="16"/>
  <c r="AM21" i="16"/>
  <c r="AK21" i="16"/>
  <c r="AJ21" i="16"/>
  <c r="AN21" i="16" s="1"/>
  <c r="AI21" i="16"/>
  <c r="AL21" i="16" s="1"/>
  <c r="AH21" i="16"/>
  <c r="AG21" i="16"/>
  <c r="AF21" i="16"/>
  <c r="AE21" i="16"/>
  <c r="AD21" i="16"/>
  <c r="AC21" i="16"/>
  <c r="AB21" i="16"/>
  <c r="AA21" i="16"/>
  <c r="Y21" i="16"/>
  <c r="X21" i="16"/>
  <c r="W21" i="16"/>
  <c r="Z21" i="16" s="1"/>
  <c r="T21" i="16"/>
  <c r="S21" i="16"/>
  <c r="R21" i="16"/>
  <c r="O21" i="16"/>
  <c r="L21" i="16"/>
  <c r="J21" i="16" s="1"/>
  <c r="I21" i="16"/>
  <c r="Q21" i="16" s="1"/>
  <c r="H21" i="16"/>
  <c r="G21" i="16"/>
  <c r="P21" i="16" s="1"/>
  <c r="F21" i="16"/>
  <c r="E21" i="16"/>
  <c r="D21" i="16" s="1"/>
  <c r="C21" i="16" s="1"/>
  <c r="K21" i="16" s="1"/>
  <c r="DF20" i="16"/>
  <c r="DE20" i="16"/>
  <c r="DD20" i="16"/>
  <c r="DC20" i="16"/>
  <c r="DB20" i="16"/>
  <c r="DA20" i="16"/>
  <c r="CY20" i="16"/>
  <c r="CW20" i="16"/>
  <c r="CV20" i="16"/>
  <c r="CZ20" i="16" s="1"/>
  <c r="CU20" i="16"/>
  <c r="CT20" i="16"/>
  <c r="CS20" i="16"/>
  <c r="CR20" i="16"/>
  <c r="CQ20" i="16"/>
  <c r="CO20" i="16"/>
  <c r="CM20" i="16"/>
  <c r="CL20" i="16"/>
  <c r="CP20" i="16" s="1"/>
  <c r="CK20" i="16"/>
  <c r="CN20" i="16" s="1"/>
  <c r="CJ20" i="16"/>
  <c r="CI20" i="16"/>
  <c r="CH20" i="16"/>
  <c r="CG20" i="16"/>
  <c r="CF20" i="16"/>
  <c r="CE20" i="16"/>
  <c r="CD20" i="16"/>
  <c r="CC20" i="16"/>
  <c r="CB20" i="16"/>
  <c r="CA20" i="16"/>
  <c r="BZ20" i="16"/>
  <c r="BY20" i="16"/>
  <c r="BX20" i="16"/>
  <c r="BW20" i="16"/>
  <c r="BV20" i="16"/>
  <c r="BU20" i="16"/>
  <c r="BS20" i="16"/>
  <c r="BQ20" i="16"/>
  <c r="BP20" i="16"/>
  <c r="BT20" i="16" s="1"/>
  <c r="BO20" i="16"/>
  <c r="BN20" i="16"/>
  <c r="BM20" i="16"/>
  <c r="BL20" i="16"/>
  <c r="BK20" i="16"/>
  <c r="BJ20" i="16"/>
  <c r="BI20" i="16"/>
  <c r="BH20" i="16"/>
  <c r="BG20" i="16"/>
  <c r="BF20" i="16"/>
  <c r="BE20" i="16"/>
  <c r="BD20" i="16"/>
  <c r="BC20" i="16"/>
  <c r="BB20" i="16"/>
  <c r="BA20" i="16"/>
  <c r="AY20" i="16"/>
  <c r="AW20" i="16"/>
  <c r="AV20" i="16"/>
  <c r="AU20" i="16"/>
  <c r="AT20" i="16"/>
  <c r="AS20" i="16"/>
  <c r="AR20" i="16"/>
  <c r="AQ20" i="16"/>
  <c r="AP20" i="16"/>
  <c r="AO20" i="16"/>
  <c r="AM20" i="16"/>
  <c r="AK20" i="16"/>
  <c r="AJ20" i="16"/>
  <c r="AI20" i="16"/>
  <c r="AH20" i="16"/>
  <c r="AG20" i="16"/>
  <c r="AF20" i="16"/>
  <c r="AE20" i="16"/>
  <c r="AD20" i="16"/>
  <c r="AC20" i="16"/>
  <c r="AA20" i="16"/>
  <c r="Y20" i="16"/>
  <c r="X20" i="16"/>
  <c r="AB20" i="16" s="1"/>
  <c r="W20" i="16"/>
  <c r="T20" i="16"/>
  <c r="S20" i="16"/>
  <c r="R20" i="16"/>
  <c r="O20" i="16"/>
  <c r="L20" i="16"/>
  <c r="J20" i="16" s="1"/>
  <c r="I20" i="16"/>
  <c r="Q20" i="16" s="1"/>
  <c r="H20" i="16"/>
  <c r="G20" i="16"/>
  <c r="P20" i="16" s="1"/>
  <c r="F20" i="16"/>
  <c r="E20" i="16"/>
  <c r="D20" i="16" s="1"/>
  <c r="DF19" i="16"/>
  <c r="DE19" i="16"/>
  <c r="DD19" i="16"/>
  <c r="DC19" i="16"/>
  <c r="DB19" i="16"/>
  <c r="DA19" i="16"/>
  <c r="CY19" i="16"/>
  <c r="CX19" i="16"/>
  <c r="CW19" i="16"/>
  <c r="CV19" i="16"/>
  <c r="CZ19" i="16" s="1"/>
  <c r="CU19" i="16"/>
  <c r="CT19" i="16"/>
  <c r="CS19" i="16"/>
  <c r="CR19" i="16"/>
  <c r="CQ19" i="16"/>
  <c r="CO19" i="16"/>
  <c r="CM19" i="16"/>
  <c r="CL19" i="16"/>
  <c r="CP19" i="16" s="1"/>
  <c r="CK19" i="16"/>
  <c r="CN19" i="16" s="1"/>
  <c r="CJ19" i="16"/>
  <c r="CI19" i="16"/>
  <c r="CH19" i="16"/>
  <c r="CG19" i="16"/>
  <c r="CF19" i="16"/>
  <c r="CE19" i="16"/>
  <c r="CD19" i="16"/>
  <c r="CC19" i="16"/>
  <c r="CB19" i="16"/>
  <c r="CA19" i="16"/>
  <c r="BZ19" i="16"/>
  <c r="BY19" i="16"/>
  <c r="BX19" i="16"/>
  <c r="BW19" i="16"/>
  <c r="BV19" i="16"/>
  <c r="BU19" i="16"/>
  <c r="BS19" i="16"/>
  <c r="BT19" i="16" s="1"/>
  <c r="BQ19" i="16"/>
  <c r="BP19" i="16"/>
  <c r="BO19" i="16"/>
  <c r="BN19" i="16"/>
  <c r="BM19" i="16"/>
  <c r="BL19" i="16"/>
  <c r="BK19" i="16"/>
  <c r="BJ19" i="16"/>
  <c r="BI19" i="16"/>
  <c r="BH19" i="16"/>
  <c r="BG19" i="16"/>
  <c r="BF19" i="16"/>
  <c r="BE19" i="16"/>
  <c r="BD19" i="16"/>
  <c r="BC19" i="16"/>
  <c r="BB19" i="16"/>
  <c r="BA19" i="16"/>
  <c r="AZ19" i="16"/>
  <c r="AY19" i="16"/>
  <c r="AW19" i="16"/>
  <c r="AV19" i="16"/>
  <c r="AU19" i="16"/>
  <c r="AX19" i="16" s="1"/>
  <c r="AT19" i="16"/>
  <c r="AS19" i="16"/>
  <c r="AR19" i="16"/>
  <c r="AQ19" i="16"/>
  <c r="AP19" i="16"/>
  <c r="AO19" i="16"/>
  <c r="AM19" i="16"/>
  <c r="AK19" i="16"/>
  <c r="AJ19" i="16"/>
  <c r="AN19" i="16" s="1"/>
  <c r="AI19" i="16"/>
  <c r="AL19" i="16" s="1"/>
  <c r="AH19" i="16"/>
  <c r="AG19" i="16"/>
  <c r="AF19" i="16"/>
  <c r="AE19" i="16"/>
  <c r="AD19" i="16"/>
  <c r="AC19" i="16"/>
  <c r="AA19" i="16"/>
  <c r="Y19" i="16"/>
  <c r="X19" i="16"/>
  <c r="AB19" i="16" s="1"/>
  <c r="W19" i="16"/>
  <c r="Z19" i="16" s="1"/>
  <c r="T19" i="16"/>
  <c r="S19" i="16"/>
  <c r="R19" i="16"/>
  <c r="O19" i="16"/>
  <c r="L19" i="16"/>
  <c r="I19" i="16"/>
  <c r="Q19" i="16" s="1"/>
  <c r="H19" i="16"/>
  <c r="G19" i="16"/>
  <c r="P19" i="16" s="1"/>
  <c r="F19" i="16"/>
  <c r="E19" i="16"/>
  <c r="D19" i="16" s="1"/>
  <c r="C19" i="16" s="1"/>
  <c r="DF18" i="16"/>
  <c r="DE18" i="16"/>
  <c r="DD18" i="16"/>
  <c r="DC18" i="16"/>
  <c r="DB18" i="16"/>
  <c r="DA18" i="16"/>
  <c r="CY18" i="16"/>
  <c r="CW18" i="16"/>
  <c r="CV18" i="16"/>
  <c r="CU18" i="16"/>
  <c r="CT18" i="16"/>
  <c r="CS18" i="16"/>
  <c r="CR18" i="16"/>
  <c r="CQ18" i="16"/>
  <c r="CO18" i="16"/>
  <c r="CM18" i="16"/>
  <c r="CL18" i="16"/>
  <c r="CP18" i="16" s="1"/>
  <c r="CK18" i="16"/>
  <c r="CN18" i="16" s="1"/>
  <c r="CJ18" i="16"/>
  <c r="CI18" i="16"/>
  <c r="CH18" i="16"/>
  <c r="CG18" i="16"/>
  <c r="CF18" i="16"/>
  <c r="CE18" i="16"/>
  <c r="CD18" i="16"/>
  <c r="CC18" i="16"/>
  <c r="CB18" i="16"/>
  <c r="CA18" i="16"/>
  <c r="BZ18" i="16"/>
  <c r="BY18" i="16"/>
  <c r="BX18" i="16"/>
  <c r="BW18" i="16"/>
  <c r="BV18" i="16"/>
  <c r="BU18" i="16"/>
  <c r="BS18" i="16"/>
  <c r="BQ18" i="16"/>
  <c r="BP18" i="16"/>
  <c r="BT18" i="16" s="1"/>
  <c r="BO18" i="16"/>
  <c r="BN18" i="16"/>
  <c r="BM18" i="16"/>
  <c r="BL18" i="16"/>
  <c r="BK18" i="16"/>
  <c r="BJ18" i="16"/>
  <c r="BI18" i="16"/>
  <c r="BH18" i="16"/>
  <c r="BG18" i="16"/>
  <c r="BF18" i="16"/>
  <c r="BE18" i="16"/>
  <c r="BD18" i="16"/>
  <c r="BC18" i="16"/>
  <c r="BB18" i="16"/>
  <c r="BA18" i="16"/>
  <c r="AY18" i="16"/>
  <c r="AW18" i="16"/>
  <c r="AV18" i="16"/>
  <c r="AZ18" i="16" s="1"/>
  <c r="AU18" i="16"/>
  <c r="AT18" i="16"/>
  <c r="AS18" i="16"/>
  <c r="AR18" i="16"/>
  <c r="AQ18" i="16"/>
  <c r="AP18" i="16"/>
  <c r="AO18" i="16"/>
  <c r="AN18" i="16"/>
  <c r="AM18" i="16"/>
  <c r="AK18" i="16"/>
  <c r="AJ18" i="16"/>
  <c r="AI18" i="16"/>
  <c r="AH18" i="16"/>
  <c r="AG18" i="16"/>
  <c r="AF18" i="16"/>
  <c r="AE18" i="16"/>
  <c r="AD18" i="16"/>
  <c r="AC18" i="16"/>
  <c r="AA18" i="16"/>
  <c r="AB18" i="16" s="1"/>
  <c r="Y18" i="16"/>
  <c r="X18" i="16"/>
  <c r="W18" i="16"/>
  <c r="T18" i="16"/>
  <c r="S18" i="16"/>
  <c r="V18" i="16" s="1"/>
  <c r="R18" i="16"/>
  <c r="O18" i="16"/>
  <c r="L18" i="16"/>
  <c r="I18" i="16"/>
  <c r="Q18" i="16" s="1"/>
  <c r="H18" i="16"/>
  <c r="G18" i="16"/>
  <c r="P18" i="16" s="1"/>
  <c r="F18" i="16"/>
  <c r="E18" i="16"/>
  <c r="DF17" i="16"/>
  <c r="DE17" i="16"/>
  <c r="DD17" i="16"/>
  <c r="DC17" i="16"/>
  <c r="DB17" i="16"/>
  <c r="DA17" i="16"/>
  <c r="CY17" i="16"/>
  <c r="CW17" i="16"/>
  <c r="CV17" i="16"/>
  <c r="CZ17" i="16" s="1"/>
  <c r="CU17" i="16"/>
  <c r="CX17" i="16" s="1"/>
  <c r="CT17" i="16"/>
  <c r="CS17" i="16"/>
  <c r="CR17" i="16"/>
  <c r="CQ17" i="16"/>
  <c r="CO17" i="16"/>
  <c r="CM17" i="16"/>
  <c r="CL17" i="16"/>
  <c r="CK17" i="16"/>
  <c r="CN17" i="16" s="1"/>
  <c r="CJ17" i="16"/>
  <c r="CI17" i="16"/>
  <c r="CH17" i="16"/>
  <c r="CG17" i="16"/>
  <c r="CF17" i="16"/>
  <c r="CE17" i="16"/>
  <c r="CD17" i="16"/>
  <c r="CC17" i="16"/>
  <c r="CB17" i="16"/>
  <c r="CA17" i="16"/>
  <c r="BZ17" i="16"/>
  <c r="BY17" i="16"/>
  <c r="BX17" i="16"/>
  <c r="BW17" i="16"/>
  <c r="BV17" i="16"/>
  <c r="BU17" i="16"/>
  <c r="BS17" i="16"/>
  <c r="BQ17" i="16"/>
  <c r="BP17" i="16"/>
  <c r="BO17" i="16"/>
  <c r="BN17" i="16"/>
  <c r="BM17" i="16"/>
  <c r="BL17" i="16"/>
  <c r="BK17" i="16"/>
  <c r="BJ17" i="16"/>
  <c r="BI17" i="16"/>
  <c r="BH17" i="16"/>
  <c r="BG17" i="16"/>
  <c r="BF17" i="16"/>
  <c r="BE17" i="16"/>
  <c r="BD17" i="16"/>
  <c r="BC17" i="16"/>
  <c r="BB17" i="16"/>
  <c r="BA17" i="16"/>
  <c r="AY17" i="16"/>
  <c r="AW17" i="16"/>
  <c r="AV17" i="16"/>
  <c r="AU17" i="16"/>
  <c r="AT17" i="16"/>
  <c r="AS17" i="16"/>
  <c r="AR17" i="16"/>
  <c r="AQ17" i="16"/>
  <c r="AP17" i="16"/>
  <c r="AO17" i="16"/>
  <c r="AM17" i="16"/>
  <c r="AK17" i="16"/>
  <c r="AJ17" i="16"/>
  <c r="AI17" i="16"/>
  <c r="AH17" i="16"/>
  <c r="AG17" i="16"/>
  <c r="AF17" i="16"/>
  <c r="AE17" i="16"/>
  <c r="AD17" i="16"/>
  <c r="AC17" i="16"/>
  <c r="AA17" i="16"/>
  <c r="Y17" i="16"/>
  <c r="X17" i="16"/>
  <c r="AB17" i="16" s="1"/>
  <c r="W17" i="16"/>
  <c r="T17" i="16"/>
  <c r="S17" i="16"/>
  <c r="R17" i="16"/>
  <c r="O17" i="16"/>
  <c r="L17" i="16"/>
  <c r="I17" i="16"/>
  <c r="Q17" i="16" s="1"/>
  <c r="H17" i="16"/>
  <c r="G17" i="16"/>
  <c r="P17" i="16" s="1"/>
  <c r="F17" i="16"/>
  <c r="E17" i="16"/>
  <c r="DF16" i="16"/>
  <c r="DE16" i="16"/>
  <c r="DD16" i="16"/>
  <c r="DC16" i="16"/>
  <c r="DB16" i="16"/>
  <c r="DA16" i="16"/>
  <c r="CY16" i="16"/>
  <c r="CW16" i="16"/>
  <c r="CV16" i="16"/>
  <c r="CZ16" i="16" s="1"/>
  <c r="CU16" i="16"/>
  <c r="CX16" i="16" s="1"/>
  <c r="CT16" i="16"/>
  <c r="CS16" i="16"/>
  <c r="CR16" i="16"/>
  <c r="CQ16" i="16"/>
  <c r="CO16" i="16"/>
  <c r="CM16" i="16"/>
  <c r="CL16" i="16"/>
  <c r="CP16" i="16" s="1"/>
  <c r="CK16" i="16"/>
  <c r="CN16" i="16" s="1"/>
  <c r="CJ16" i="16"/>
  <c r="CI16" i="16"/>
  <c r="CH16" i="16"/>
  <c r="CG16" i="16"/>
  <c r="CF16" i="16"/>
  <c r="CE16" i="16"/>
  <c r="CD16" i="16"/>
  <c r="CC16" i="16"/>
  <c r="CB16" i="16"/>
  <c r="CA16" i="16"/>
  <c r="BZ16" i="16"/>
  <c r="BY16" i="16"/>
  <c r="BX16" i="16"/>
  <c r="BW16" i="16"/>
  <c r="BV16" i="16"/>
  <c r="BU16" i="16"/>
  <c r="BS16" i="16"/>
  <c r="BQ16" i="16"/>
  <c r="BP16" i="16"/>
  <c r="BO16" i="16"/>
  <c r="BN16" i="16"/>
  <c r="BM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Y16" i="16"/>
  <c r="AW16" i="16"/>
  <c r="AV16" i="16"/>
  <c r="AZ16" i="16" s="1"/>
  <c r="AU16" i="16"/>
  <c r="AX16" i="16" s="1"/>
  <c r="AT16" i="16"/>
  <c r="AS16" i="16"/>
  <c r="AR16" i="16"/>
  <c r="AQ16" i="16"/>
  <c r="AP16" i="16"/>
  <c r="AO16" i="16"/>
  <c r="AM16" i="16"/>
  <c r="AK16" i="16"/>
  <c r="AJ16" i="16"/>
  <c r="AN16" i="16" s="1"/>
  <c r="AI16" i="16"/>
  <c r="AL16" i="16" s="1"/>
  <c r="AH16" i="16"/>
  <c r="AG16" i="16"/>
  <c r="AF16" i="16"/>
  <c r="AE16" i="16"/>
  <c r="AD16" i="16"/>
  <c r="AC16" i="16"/>
  <c r="AA16" i="16"/>
  <c r="Y16" i="16"/>
  <c r="X16" i="16"/>
  <c r="AB16" i="16" s="1"/>
  <c r="W16" i="16"/>
  <c r="Z16" i="16" s="1"/>
  <c r="T16" i="16"/>
  <c r="V16" i="16" s="1"/>
  <c r="S16" i="16"/>
  <c r="R16" i="16"/>
  <c r="O16" i="16"/>
  <c r="L16" i="16"/>
  <c r="I16" i="16"/>
  <c r="Q16" i="16" s="1"/>
  <c r="H16" i="16"/>
  <c r="N16" i="16" s="1"/>
  <c r="G16" i="16"/>
  <c r="P16" i="16" s="1"/>
  <c r="F16" i="16"/>
  <c r="E16" i="16"/>
  <c r="DF15" i="16"/>
  <c r="DE15" i="16"/>
  <c r="DD15" i="16"/>
  <c r="DC15" i="16"/>
  <c r="DB15" i="16"/>
  <c r="DA15" i="16"/>
  <c r="CY15" i="16"/>
  <c r="CW15" i="16"/>
  <c r="CX15" i="16" s="1"/>
  <c r="CV15" i="16"/>
  <c r="CU15" i="16"/>
  <c r="CT15" i="16"/>
  <c r="CS15" i="16"/>
  <c r="CR15" i="16"/>
  <c r="CQ15" i="16"/>
  <c r="CP15" i="16"/>
  <c r="CO15" i="16"/>
  <c r="CM15" i="16"/>
  <c r="CL15" i="16"/>
  <c r="CK15" i="16"/>
  <c r="CN15" i="16" s="1"/>
  <c r="CJ15" i="16"/>
  <c r="CI15" i="16"/>
  <c r="CH15" i="16"/>
  <c r="CG15" i="16"/>
  <c r="CF15" i="16"/>
  <c r="CE15" i="16"/>
  <c r="CD15" i="16"/>
  <c r="CC15" i="16"/>
  <c r="CB15" i="16"/>
  <c r="CA15" i="16"/>
  <c r="BZ15" i="16"/>
  <c r="BY15" i="16"/>
  <c r="BX15" i="16"/>
  <c r="BW15" i="16"/>
  <c r="BV15" i="16"/>
  <c r="BU15" i="16"/>
  <c r="BS15" i="16"/>
  <c r="BQ15" i="16"/>
  <c r="BP15" i="16"/>
  <c r="BT15" i="16" s="1"/>
  <c r="BO15" i="16"/>
  <c r="BN15" i="16"/>
  <c r="BM15" i="16"/>
  <c r="BL15" i="16"/>
  <c r="BK15" i="16"/>
  <c r="BJ15" i="16"/>
  <c r="BI15" i="16"/>
  <c r="BH15" i="16"/>
  <c r="BG15" i="16"/>
  <c r="BF15" i="16"/>
  <c r="BE15" i="16"/>
  <c r="BD15" i="16"/>
  <c r="BC15" i="16"/>
  <c r="BB15" i="16"/>
  <c r="BA15" i="16"/>
  <c r="AY15" i="16"/>
  <c r="AW15" i="16"/>
  <c r="AV15" i="16"/>
  <c r="AU15" i="16"/>
  <c r="AT15" i="16"/>
  <c r="AS15" i="16"/>
  <c r="AR15" i="16"/>
  <c r="AQ15" i="16"/>
  <c r="AP15" i="16"/>
  <c r="AO15" i="16"/>
  <c r="AM15" i="16"/>
  <c r="AK15" i="16"/>
  <c r="AJ15" i="16"/>
  <c r="AI15" i="16"/>
  <c r="AH15" i="16"/>
  <c r="AG15" i="16"/>
  <c r="AF15" i="16"/>
  <c r="AE15" i="16"/>
  <c r="AD15" i="16"/>
  <c r="AC15" i="16"/>
  <c r="AA15" i="16"/>
  <c r="Y15" i="16"/>
  <c r="X15" i="16"/>
  <c r="W15" i="16"/>
  <c r="T15" i="16"/>
  <c r="S15" i="16"/>
  <c r="R15" i="16"/>
  <c r="U15" i="16" s="1"/>
  <c r="O15" i="16"/>
  <c r="L15" i="16"/>
  <c r="I15" i="16"/>
  <c r="Q15" i="16" s="1"/>
  <c r="H15" i="16"/>
  <c r="G15" i="16"/>
  <c r="P15" i="16" s="1"/>
  <c r="F15" i="16"/>
  <c r="E15" i="16"/>
  <c r="DF14" i="16"/>
  <c r="DE14" i="16"/>
  <c r="DD14" i="16"/>
  <c r="DC14" i="16"/>
  <c r="DB14" i="16"/>
  <c r="DA14" i="16"/>
  <c r="CY14" i="16"/>
  <c r="CW14" i="16"/>
  <c r="CV14" i="16"/>
  <c r="CZ14" i="16" s="1"/>
  <c r="CU14" i="16"/>
  <c r="CX14" i="16" s="1"/>
  <c r="CT14" i="16"/>
  <c r="CS14" i="16"/>
  <c r="CR14" i="16"/>
  <c r="CQ14" i="16"/>
  <c r="CO14" i="16"/>
  <c r="CM14" i="16"/>
  <c r="CL14" i="16"/>
  <c r="CP14" i="16" s="1"/>
  <c r="CK14" i="16"/>
  <c r="CN14" i="16" s="1"/>
  <c r="CJ14" i="16"/>
  <c r="CI14" i="16"/>
  <c r="CH14" i="16"/>
  <c r="CG14" i="16"/>
  <c r="CF14" i="16"/>
  <c r="CE14" i="16"/>
  <c r="CD14" i="16"/>
  <c r="CC14" i="16"/>
  <c r="CB14" i="16"/>
  <c r="CA14" i="16"/>
  <c r="BZ14" i="16"/>
  <c r="BY14" i="16"/>
  <c r="BX14" i="16"/>
  <c r="BW14" i="16"/>
  <c r="BV14" i="16"/>
  <c r="BU14" i="16"/>
  <c r="BS14" i="16"/>
  <c r="BQ14" i="16"/>
  <c r="BP14" i="16"/>
  <c r="BO14" i="16"/>
  <c r="BN14" i="16"/>
  <c r="BM14" i="16"/>
  <c r="BL14" i="16"/>
  <c r="BK14" i="16"/>
  <c r="BJ14" i="16"/>
  <c r="BI14" i="16"/>
  <c r="BH14" i="16"/>
  <c r="BG14" i="16"/>
  <c r="BF14" i="16"/>
  <c r="BE14" i="16"/>
  <c r="BD14" i="16"/>
  <c r="BC14" i="16"/>
  <c r="BB14" i="16"/>
  <c r="BA14" i="16"/>
  <c r="AY14" i="16"/>
  <c r="AY13" i="16" s="1"/>
  <c r="AW14" i="16"/>
  <c r="AV14" i="16"/>
  <c r="AU14" i="16"/>
  <c r="AT14" i="16"/>
  <c r="AS14" i="16"/>
  <c r="AR14" i="16"/>
  <c r="AR13" i="16" s="1"/>
  <c r="AQ14" i="16"/>
  <c r="AP14" i="16"/>
  <c r="AO14" i="16"/>
  <c r="AM14" i="16"/>
  <c r="AK14" i="16"/>
  <c r="AJ14" i="16"/>
  <c r="AI14" i="16"/>
  <c r="AH14" i="16"/>
  <c r="AG14" i="16"/>
  <c r="AF14" i="16"/>
  <c r="AE14" i="16"/>
  <c r="AD14" i="16"/>
  <c r="AD13" i="16" s="1"/>
  <c r="AC14" i="16"/>
  <c r="AA14" i="16"/>
  <c r="Y14" i="16"/>
  <c r="X14" i="16"/>
  <c r="W14" i="16"/>
  <c r="T14" i="16"/>
  <c r="S14" i="16"/>
  <c r="R14" i="16"/>
  <c r="O14" i="16"/>
  <c r="L14" i="16"/>
  <c r="J14" i="16"/>
  <c r="I14" i="16"/>
  <c r="Q14" i="16" s="1"/>
  <c r="H14" i="16"/>
  <c r="G14" i="16"/>
  <c r="P14" i="16" s="1"/>
  <c r="F14" i="16"/>
  <c r="E14" i="16"/>
  <c r="D14" i="16"/>
  <c r="CW13" i="16"/>
  <c r="F13" i="16"/>
  <c r="CT9" i="16"/>
  <c r="CT7" i="16" s="1"/>
  <c r="CS9" i="16"/>
  <c r="CS7" i="16" s="1"/>
  <c r="CR9" i="16"/>
  <c r="CQ9" i="16"/>
  <c r="CO9" i="16"/>
  <c r="CO7" i="16" s="1"/>
  <c r="CM9" i="16"/>
  <c r="CM7" i="16" s="1"/>
  <c r="CL9" i="16"/>
  <c r="CL7" i="16" s="1"/>
  <c r="CP7" i="16" s="1"/>
  <c r="CK9" i="16"/>
  <c r="CK7" i="16" s="1"/>
  <c r="CR7" i="16"/>
  <c r="CQ7" i="16"/>
  <c r="V108" i="15"/>
  <c r="U108" i="15"/>
  <c r="Q108" i="15"/>
  <c r="P108" i="15"/>
  <c r="N108" i="15"/>
  <c r="J108" i="15"/>
  <c r="D108" i="15"/>
  <c r="M108" i="15" s="1"/>
  <c r="V107" i="15"/>
  <c r="U107" i="15"/>
  <c r="Q107" i="15"/>
  <c r="P107" i="15"/>
  <c r="N107" i="15"/>
  <c r="M107" i="15"/>
  <c r="J107" i="15"/>
  <c r="D107" i="15"/>
  <c r="C107" i="15"/>
  <c r="K107" i="15" s="1"/>
  <c r="V106" i="15"/>
  <c r="U106" i="15"/>
  <c r="Q106" i="15"/>
  <c r="P106" i="15"/>
  <c r="N106" i="15"/>
  <c r="J106" i="15"/>
  <c r="D106" i="15"/>
  <c r="C106" i="15" s="1"/>
  <c r="K106" i="15" s="1"/>
  <c r="V105" i="15"/>
  <c r="U105" i="15"/>
  <c r="Q105" i="15"/>
  <c r="P105" i="15"/>
  <c r="N105" i="15"/>
  <c r="J105" i="15"/>
  <c r="D105" i="15"/>
  <c r="M105" i="15" s="1"/>
  <c r="V104" i="15"/>
  <c r="U104" i="15"/>
  <c r="Q104" i="15"/>
  <c r="P104" i="15"/>
  <c r="N104" i="15"/>
  <c r="M104" i="15"/>
  <c r="K104" i="15"/>
  <c r="J104" i="15"/>
  <c r="D104" i="15"/>
  <c r="C104" i="15"/>
  <c r="V103" i="15"/>
  <c r="U103" i="15"/>
  <c r="Q103" i="15"/>
  <c r="P103" i="15"/>
  <c r="N103" i="15"/>
  <c r="M103" i="15"/>
  <c r="J103" i="15"/>
  <c r="D103" i="15"/>
  <c r="C103" i="15" s="1"/>
  <c r="K103" i="15" s="1"/>
  <c r="V102" i="15"/>
  <c r="U102" i="15"/>
  <c r="Q102" i="15"/>
  <c r="P102" i="15"/>
  <c r="N102" i="15"/>
  <c r="J102" i="15"/>
  <c r="D102" i="15"/>
  <c r="M102" i="15" s="1"/>
  <c r="V101" i="15"/>
  <c r="U101" i="15"/>
  <c r="Q101" i="15"/>
  <c r="P101" i="15"/>
  <c r="N101" i="15"/>
  <c r="M101" i="15"/>
  <c r="J101" i="15"/>
  <c r="D101" i="15"/>
  <c r="C101" i="15"/>
  <c r="K101" i="15" s="1"/>
  <c r="V100" i="15"/>
  <c r="U100" i="15"/>
  <c r="Q100" i="15"/>
  <c r="P100" i="15"/>
  <c r="N100" i="15"/>
  <c r="J100" i="15"/>
  <c r="D100" i="15"/>
  <c r="V99" i="15"/>
  <c r="U99" i="15"/>
  <c r="Q99" i="15"/>
  <c r="P99" i="15"/>
  <c r="N99" i="15"/>
  <c r="J99" i="15"/>
  <c r="D99" i="15"/>
  <c r="M99" i="15" s="1"/>
  <c r="T98" i="15"/>
  <c r="T89" i="15" s="1"/>
  <c r="T9" i="15" s="1"/>
  <c r="S98" i="15"/>
  <c r="S89" i="15" s="1"/>
  <c r="R98" i="15"/>
  <c r="R89" i="15" s="1"/>
  <c r="Q98" i="15"/>
  <c r="P98" i="15"/>
  <c r="L98" i="15"/>
  <c r="H98" i="15"/>
  <c r="F98" i="15"/>
  <c r="D98" i="15" s="1"/>
  <c r="V97" i="15"/>
  <c r="U97" i="15"/>
  <c r="Q97" i="15"/>
  <c r="P97" i="15"/>
  <c r="N97" i="15"/>
  <c r="J97" i="15"/>
  <c r="D97" i="15"/>
  <c r="C97" i="15" s="1"/>
  <c r="K97" i="15" s="1"/>
  <c r="V96" i="15"/>
  <c r="U96" i="15"/>
  <c r="Q96" i="15"/>
  <c r="P96" i="15"/>
  <c r="N96" i="15"/>
  <c r="J96" i="15"/>
  <c r="D96" i="15"/>
  <c r="M96" i="15" s="1"/>
  <c r="V95" i="15"/>
  <c r="U95" i="15"/>
  <c r="Q95" i="15"/>
  <c r="P95" i="15"/>
  <c r="P89" i="15" s="1"/>
  <c r="N95" i="15"/>
  <c r="M95" i="15"/>
  <c r="J95" i="15"/>
  <c r="D95" i="15"/>
  <c r="C95" i="15"/>
  <c r="K95" i="15" s="1"/>
  <c r="V94" i="15"/>
  <c r="U94" i="15"/>
  <c r="Q94" i="15"/>
  <c r="P94" i="15"/>
  <c r="N94" i="15"/>
  <c r="M94" i="15"/>
  <c r="J94" i="15"/>
  <c r="D94" i="15"/>
  <c r="C94" i="15" s="1"/>
  <c r="K94" i="15" s="1"/>
  <c r="V93" i="15"/>
  <c r="U93" i="15"/>
  <c r="Q93" i="15"/>
  <c r="P93" i="15"/>
  <c r="N93" i="15"/>
  <c r="J93" i="15"/>
  <c r="D93" i="15"/>
  <c r="M93" i="15" s="1"/>
  <c r="V92" i="15"/>
  <c r="U92" i="15"/>
  <c r="Q92" i="15"/>
  <c r="P92" i="15"/>
  <c r="N92" i="15"/>
  <c r="M92" i="15"/>
  <c r="K92" i="15"/>
  <c r="J92" i="15"/>
  <c r="D92" i="15"/>
  <c r="C92" i="15"/>
  <c r="V91" i="15"/>
  <c r="U91" i="15"/>
  <c r="Q91" i="15"/>
  <c r="P91" i="15"/>
  <c r="N91" i="15"/>
  <c r="M91" i="15"/>
  <c r="J91" i="15"/>
  <c r="D91" i="15"/>
  <c r="C91" i="15" s="1"/>
  <c r="K91" i="15" s="1"/>
  <c r="V90" i="15"/>
  <c r="U90" i="15"/>
  <c r="Q90" i="15"/>
  <c r="Q89" i="15" s="1"/>
  <c r="P90" i="15"/>
  <c r="N90" i="15"/>
  <c r="J90" i="15"/>
  <c r="D90" i="15"/>
  <c r="M90" i="15" s="1"/>
  <c r="O89" i="15"/>
  <c r="I89" i="15"/>
  <c r="G89" i="15"/>
  <c r="G9" i="15" s="1"/>
  <c r="E89" i="15"/>
  <c r="AT88" i="15"/>
  <c r="AR88" i="15"/>
  <c r="AN88" i="15"/>
  <c r="AK88" i="15"/>
  <c r="AI88" i="15"/>
  <c r="AE88" i="15"/>
  <c r="AC88" i="15"/>
  <c r="Y88" i="15"/>
  <c r="Q88" i="15"/>
  <c r="P88" i="15"/>
  <c r="N88" i="15"/>
  <c r="J88" i="15"/>
  <c r="D88" i="15"/>
  <c r="M88" i="15" s="1"/>
  <c r="AT87" i="15"/>
  <c r="AR87" i="15"/>
  <c r="AN87" i="15"/>
  <c r="AK87" i="15"/>
  <c r="AI87" i="15"/>
  <c r="AE87" i="15"/>
  <c r="AC87" i="15"/>
  <c r="Y87" i="15"/>
  <c r="Q87" i="15"/>
  <c r="P87" i="15"/>
  <c r="N87" i="15"/>
  <c r="M87" i="15"/>
  <c r="J87" i="15"/>
  <c r="D87" i="15"/>
  <c r="C87" i="15"/>
  <c r="K87" i="15" s="1"/>
  <c r="AT86" i="15"/>
  <c r="AR86" i="15"/>
  <c r="AN86" i="15"/>
  <c r="AK86" i="15"/>
  <c r="AI86" i="15"/>
  <c r="AE86" i="15"/>
  <c r="AC86" i="15"/>
  <c r="Y86" i="15"/>
  <c r="Q86" i="15"/>
  <c r="P86" i="15"/>
  <c r="N86" i="15"/>
  <c r="J86" i="15"/>
  <c r="D86" i="15"/>
  <c r="AT85" i="15"/>
  <c r="AR85" i="15"/>
  <c r="AN85" i="15"/>
  <c r="AK85" i="15"/>
  <c r="AI85" i="15"/>
  <c r="AE85" i="15"/>
  <c r="AC85" i="15"/>
  <c r="Y85" i="15"/>
  <c r="Q85" i="15"/>
  <c r="P85" i="15"/>
  <c r="N85" i="15"/>
  <c r="J85" i="15"/>
  <c r="D85" i="15"/>
  <c r="M85" i="15" s="1"/>
  <c r="AT84" i="15"/>
  <c r="AR84" i="15"/>
  <c r="AN84" i="15"/>
  <c r="AK84" i="15"/>
  <c r="AI84" i="15"/>
  <c r="AE84" i="15"/>
  <c r="AC84" i="15"/>
  <c r="Y84" i="15"/>
  <c r="Q84" i="15"/>
  <c r="P84" i="15"/>
  <c r="N84" i="15"/>
  <c r="M84" i="15"/>
  <c r="K84" i="15"/>
  <c r="J84" i="15"/>
  <c r="D84" i="15"/>
  <c r="C84" i="15"/>
  <c r="AT83" i="15"/>
  <c r="AR83" i="15"/>
  <c r="AN83" i="15"/>
  <c r="AK83" i="15"/>
  <c r="AI83" i="15"/>
  <c r="AE83" i="15"/>
  <c r="AC83" i="15"/>
  <c r="Y83" i="15"/>
  <c r="Q83" i="15"/>
  <c r="P83" i="15"/>
  <c r="N83" i="15"/>
  <c r="J83" i="15"/>
  <c r="D83" i="15"/>
  <c r="C83" i="15" s="1"/>
  <c r="K83" i="15" s="1"/>
  <c r="AT82" i="15"/>
  <c r="AR82" i="15"/>
  <c r="AN82" i="15"/>
  <c r="AK82" i="15"/>
  <c r="AI82" i="15"/>
  <c r="AE82" i="15"/>
  <c r="AC82" i="15"/>
  <c r="Y82" i="15"/>
  <c r="Q82" i="15"/>
  <c r="P82" i="15"/>
  <c r="N82" i="15"/>
  <c r="J82" i="15"/>
  <c r="D82" i="15"/>
  <c r="M82" i="15" s="1"/>
  <c r="AT81" i="15"/>
  <c r="AR81" i="15"/>
  <c r="AN81" i="15"/>
  <c r="AK81" i="15"/>
  <c r="AI81" i="15"/>
  <c r="AE81" i="15"/>
  <c r="AC81" i="15"/>
  <c r="Y81" i="15"/>
  <c r="Q81" i="15"/>
  <c r="P81" i="15"/>
  <c r="N81" i="15"/>
  <c r="K81" i="15"/>
  <c r="J81" i="15"/>
  <c r="D81" i="15"/>
  <c r="M81" i="15" s="1"/>
  <c r="C81" i="15"/>
  <c r="AT80" i="15"/>
  <c r="AR80" i="15"/>
  <c r="AN80" i="15"/>
  <c r="AK80" i="15"/>
  <c r="AI80" i="15"/>
  <c r="AE80" i="15"/>
  <c r="AC80" i="15"/>
  <c r="Y80" i="15"/>
  <c r="Q80" i="15"/>
  <c r="P80" i="15"/>
  <c r="N80" i="15"/>
  <c r="J80" i="15"/>
  <c r="D80" i="15"/>
  <c r="C80" i="15" s="1"/>
  <c r="K80" i="15" s="1"/>
  <c r="AT79" i="15"/>
  <c r="AR79" i="15"/>
  <c r="AN79" i="15"/>
  <c r="AK79" i="15"/>
  <c r="AI79" i="15"/>
  <c r="AE79" i="15"/>
  <c r="AC79" i="15"/>
  <c r="Y79" i="15"/>
  <c r="Q79" i="15"/>
  <c r="P79" i="15"/>
  <c r="N79" i="15"/>
  <c r="J79" i="15"/>
  <c r="D79" i="15"/>
  <c r="M79" i="15" s="1"/>
  <c r="AT78" i="15"/>
  <c r="AR78" i="15"/>
  <c r="AN78" i="15"/>
  <c r="AK78" i="15"/>
  <c r="AI78" i="15"/>
  <c r="AE78" i="15"/>
  <c r="AC78" i="15"/>
  <c r="Y78" i="15"/>
  <c r="Q78" i="15"/>
  <c r="P78" i="15"/>
  <c r="N78" i="15"/>
  <c r="K78" i="15"/>
  <c r="J78" i="15"/>
  <c r="D78" i="15"/>
  <c r="M78" i="15" s="1"/>
  <c r="C78" i="15"/>
  <c r="AT77" i="15"/>
  <c r="AR77" i="15"/>
  <c r="AN77" i="15"/>
  <c r="AK77" i="15"/>
  <c r="AI77" i="15"/>
  <c r="AE77" i="15"/>
  <c r="AC77" i="15"/>
  <c r="Y77" i="15"/>
  <c r="Q77" i="15"/>
  <c r="P77" i="15"/>
  <c r="N77" i="15"/>
  <c r="J77" i="15"/>
  <c r="D77" i="15"/>
  <c r="C77" i="15" s="1"/>
  <c r="K77" i="15" s="1"/>
  <c r="AT76" i="15"/>
  <c r="AR76" i="15"/>
  <c r="AN76" i="15"/>
  <c r="AK76" i="15"/>
  <c r="AI76" i="15"/>
  <c r="AE76" i="15"/>
  <c r="AC76" i="15"/>
  <c r="Y76" i="15"/>
  <c r="Q76" i="15"/>
  <c r="P76" i="15"/>
  <c r="N76" i="15"/>
  <c r="J76" i="15"/>
  <c r="D76" i="15"/>
  <c r="M76" i="15" s="1"/>
  <c r="AT75" i="15"/>
  <c r="AR75" i="15"/>
  <c r="AN75" i="15"/>
  <c r="AK75" i="15"/>
  <c r="AI75" i="15"/>
  <c r="AE75" i="15"/>
  <c r="AC75" i="15"/>
  <c r="Y75" i="15"/>
  <c r="Q75" i="15"/>
  <c r="P75" i="15"/>
  <c r="N75" i="15"/>
  <c r="K75" i="15"/>
  <c r="J75" i="15"/>
  <c r="D75" i="15"/>
  <c r="M75" i="15" s="1"/>
  <c r="C75" i="15"/>
  <c r="AT74" i="15"/>
  <c r="AS74" i="15"/>
  <c r="AR74" i="15"/>
  <c r="AQ74" i="15"/>
  <c r="AP74" i="15"/>
  <c r="AO74" i="15"/>
  <c r="AN74" i="15"/>
  <c r="AM74" i="15"/>
  <c r="AL74" i="15"/>
  <c r="AJ74" i="15"/>
  <c r="AI74" i="15"/>
  <c r="AH74" i="15"/>
  <c r="AK74" i="15" s="1"/>
  <c r="AG74" i="15"/>
  <c r="AF74" i="15"/>
  <c r="AD74" i="15"/>
  <c r="AB74" i="15"/>
  <c r="AE74" i="15" s="1"/>
  <c r="AA74" i="15"/>
  <c r="Z74" i="15"/>
  <c r="AC74" i="15" s="1"/>
  <c r="X74" i="15"/>
  <c r="W74" i="15"/>
  <c r="Y74" i="15" s="1"/>
  <c r="V74" i="15"/>
  <c r="T74" i="15"/>
  <c r="S74" i="15"/>
  <c r="R74" i="15"/>
  <c r="U74" i="15" s="1"/>
  <c r="Q74" i="15"/>
  <c r="P74" i="15"/>
  <c r="O74" i="15"/>
  <c r="N74" i="15"/>
  <c r="L74" i="15"/>
  <c r="J74" i="15"/>
  <c r="I74" i="15"/>
  <c r="H74" i="15"/>
  <c r="G74" i="15"/>
  <c r="F74" i="15"/>
  <c r="E74" i="15"/>
  <c r="AT73" i="15"/>
  <c r="AR73" i="15"/>
  <c r="AN73" i="15"/>
  <c r="AK73" i="15"/>
  <c r="AI73" i="15"/>
  <c r="AE73" i="15"/>
  <c r="AC73" i="15"/>
  <c r="Y73" i="15"/>
  <c r="Q73" i="15"/>
  <c r="P73" i="15"/>
  <c r="N73" i="15"/>
  <c r="J73" i="15"/>
  <c r="D73" i="15"/>
  <c r="M73" i="15" s="1"/>
  <c r="C73" i="15"/>
  <c r="K73" i="15" s="1"/>
  <c r="AT72" i="15"/>
  <c r="AR72" i="15"/>
  <c r="AN72" i="15"/>
  <c r="AK72" i="15"/>
  <c r="AI72" i="15"/>
  <c r="AE72" i="15"/>
  <c r="AC72" i="15"/>
  <c r="Y72" i="15"/>
  <c r="Q72" i="15"/>
  <c r="P72" i="15"/>
  <c r="N72" i="15"/>
  <c r="M72" i="15"/>
  <c r="J72" i="15"/>
  <c r="D72" i="15"/>
  <c r="C72" i="15" s="1"/>
  <c r="K72" i="15" s="1"/>
  <c r="AT71" i="15"/>
  <c r="AR71" i="15"/>
  <c r="AN71" i="15"/>
  <c r="AK71" i="15"/>
  <c r="AI71" i="15"/>
  <c r="AE71" i="15"/>
  <c r="AC71" i="15"/>
  <c r="Y71" i="15"/>
  <c r="Q71" i="15"/>
  <c r="P71" i="15"/>
  <c r="N71" i="15"/>
  <c r="J71" i="15"/>
  <c r="D71" i="15"/>
  <c r="AT70" i="15"/>
  <c r="AR70" i="15"/>
  <c r="AN70" i="15"/>
  <c r="AK70" i="15"/>
  <c r="AI70" i="15"/>
  <c r="AE70" i="15"/>
  <c r="AC70" i="15"/>
  <c r="Y70" i="15"/>
  <c r="Q70" i="15"/>
  <c r="P70" i="15"/>
  <c r="N70" i="15"/>
  <c r="K70" i="15"/>
  <c r="J70" i="15"/>
  <c r="D70" i="15"/>
  <c r="M70" i="15" s="1"/>
  <c r="C70" i="15"/>
  <c r="AT69" i="15"/>
  <c r="AR69" i="15"/>
  <c r="AN69" i="15"/>
  <c r="AK69" i="15"/>
  <c r="AI69" i="15"/>
  <c r="AE69" i="15"/>
  <c r="AC69" i="15"/>
  <c r="Y69" i="15"/>
  <c r="Q69" i="15"/>
  <c r="P69" i="15"/>
  <c r="N69" i="15"/>
  <c r="K69" i="15"/>
  <c r="J69" i="15"/>
  <c r="D69" i="15"/>
  <c r="C69" i="15" s="1"/>
  <c r="AT68" i="15"/>
  <c r="AR68" i="15"/>
  <c r="AN68" i="15"/>
  <c r="AK68" i="15"/>
  <c r="AI68" i="15"/>
  <c r="AE68" i="15"/>
  <c r="AC68" i="15"/>
  <c r="Y68" i="15"/>
  <c r="Q68" i="15"/>
  <c r="P68" i="15"/>
  <c r="N68" i="15"/>
  <c r="J68" i="15"/>
  <c r="D68" i="15"/>
  <c r="AT67" i="15"/>
  <c r="AR67" i="15"/>
  <c r="AN67" i="15"/>
  <c r="AK67" i="15"/>
  <c r="AI67" i="15"/>
  <c r="AE67" i="15"/>
  <c r="AC67" i="15"/>
  <c r="Y67" i="15"/>
  <c r="Q67" i="15"/>
  <c r="P67" i="15"/>
  <c r="N67" i="15"/>
  <c r="M67" i="15"/>
  <c r="K67" i="15"/>
  <c r="J67" i="15"/>
  <c r="D67" i="15"/>
  <c r="C67" i="15"/>
  <c r="AT66" i="15"/>
  <c r="AR66" i="15"/>
  <c r="AN66" i="15"/>
  <c r="AK66" i="15"/>
  <c r="AI66" i="15"/>
  <c r="AE66" i="15"/>
  <c r="AC66" i="15"/>
  <c r="Y66" i="15"/>
  <c r="Q66" i="15"/>
  <c r="P66" i="15"/>
  <c r="N66" i="15"/>
  <c r="J66" i="15"/>
  <c r="D66" i="15"/>
  <c r="C66" i="15" s="1"/>
  <c r="K66" i="15" s="1"/>
  <c r="AT65" i="15"/>
  <c r="AR65" i="15"/>
  <c r="AN65" i="15"/>
  <c r="AK65" i="15"/>
  <c r="AI65" i="15"/>
  <c r="AE65" i="15"/>
  <c r="AC65" i="15"/>
  <c r="Y65" i="15"/>
  <c r="Q65" i="15"/>
  <c r="P65" i="15"/>
  <c r="N65" i="15"/>
  <c r="J65" i="15"/>
  <c r="D65" i="15"/>
  <c r="AT64" i="15"/>
  <c r="AR64" i="15"/>
  <c r="AN64" i="15"/>
  <c r="AK64" i="15"/>
  <c r="AI64" i="15"/>
  <c r="AE64" i="15"/>
  <c r="AC64" i="15"/>
  <c r="Y64" i="15"/>
  <c r="Q64" i="15"/>
  <c r="P64" i="15"/>
  <c r="N64" i="15"/>
  <c r="M64" i="15"/>
  <c r="K64" i="15"/>
  <c r="J64" i="15"/>
  <c r="D64" i="15"/>
  <c r="C64" i="15"/>
  <c r="AT63" i="15"/>
  <c r="AR63" i="15"/>
  <c r="AN63" i="15"/>
  <c r="AK63" i="15"/>
  <c r="AI63" i="15"/>
  <c r="AE63" i="15"/>
  <c r="AC63" i="15"/>
  <c r="Y63" i="15"/>
  <c r="Q63" i="15"/>
  <c r="P63" i="15"/>
  <c r="N63" i="15"/>
  <c r="J63" i="15"/>
  <c r="D63" i="15"/>
  <c r="AT62" i="15"/>
  <c r="AR62" i="15"/>
  <c r="AN62" i="15"/>
  <c r="AK62" i="15"/>
  <c r="AI62" i="15"/>
  <c r="AE62" i="15"/>
  <c r="AC62" i="15"/>
  <c r="Y62" i="15"/>
  <c r="Q62" i="15"/>
  <c r="P62" i="15"/>
  <c r="N62" i="15"/>
  <c r="J62" i="15"/>
  <c r="D62" i="15"/>
  <c r="AT61" i="15"/>
  <c r="AR61" i="15"/>
  <c r="AN61" i="15"/>
  <c r="AK61" i="15"/>
  <c r="AI61" i="15"/>
  <c r="AE61" i="15"/>
  <c r="AC61" i="15"/>
  <c r="Y61" i="15"/>
  <c r="Q61" i="15"/>
  <c r="P61" i="15"/>
  <c r="N61" i="15"/>
  <c r="J61" i="15"/>
  <c r="D61" i="15"/>
  <c r="M61" i="15" s="1"/>
  <c r="C61" i="15"/>
  <c r="K61" i="15" s="1"/>
  <c r="AT60" i="15"/>
  <c r="AR60" i="15"/>
  <c r="AN60" i="15"/>
  <c r="AK60" i="15"/>
  <c r="AI60" i="15"/>
  <c r="AE60" i="15"/>
  <c r="AC60" i="15"/>
  <c r="Y60" i="15"/>
  <c r="Q60" i="15"/>
  <c r="P60" i="15"/>
  <c r="N60" i="15"/>
  <c r="M60" i="15"/>
  <c r="J60" i="15"/>
  <c r="D60" i="15"/>
  <c r="C60" i="15" s="1"/>
  <c r="K60" i="15" s="1"/>
  <c r="AT59" i="15"/>
  <c r="AR59" i="15"/>
  <c r="AN59" i="15"/>
  <c r="AK59" i="15"/>
  <c r="AI59" i="15"/>
  <c r="AE59" i="15"/>
  <c r="AC59" i="15"/>
  <c r="Y59" i="15"/>
  <c r="Q59" i="15"/>
  <c r="P59" i="15"/>
  <c r="N59" i="15"/>
  <c r="J59" i="15"/>
  <c r="D59" i="15"/>
  <c r="AT58" i="15"/>
  <c r="AR58" i="15"/>
  <c r="AN58" i="15"/>
  <c r="AK58" i="15"/>
  <c r="AI58" i="15"/>
  <c r="AE58" i="15"/>
  <c r="AC58" i="15"/>
  <c r="Y58" i="15"/>
  <c r="Q58" i="15"/>
  <c r="P58" i="15"/>
  <c r="N58" i="15"/>
  <c r="M58" i="15"/>
  <c r="J58" i="15"/>
  <c r="D58" i="15"/>
  <c r="C58" i="15"/>
  <c r="K58" i="15" s="1"/>
  <c r="AT57" i="15"/>
  <c r="AR57" i="15"/>
  <c r="AN57" i="15"/>
  <c r="AK57" i="15"/>
  <c r="AI57" i="15"/>
  <c r="AE57" i="15"/>
  <c r="AC57" i="15"/>
  <c r="Y57" i="15"/>
  <c r="Q57" i="15"/>
  <c r="P57" i="15"/>
  <c r="N57" i="15"/>
  <c r="M57" i="15"/>
  <c r="K57" i="15"/>
  <c r="J57" i="15"/>
  <c r="D57" i="15"/>
  <c r="C57" i="15" s="1"/>
  <c r="AT56" i="15"/>
  <c r="AR56" i="15"/>
  <c r="AN56" i="15"/>
  <c r="AK56" i="15"/>
  <c r="AI56" i="15"/>
  <c r="AE56" i="15"/>
  <c r="AC56" i="15"/>
  <c r="Y56" i="15"/>
  <c r="Q56" i="15"/>
  <c r="P56" i="15"/>
  <c r="N56" i="15"/>
  <c r="J56" i="15"/>
  <c r="D56" i="15"/>
  <c r="AT55" i="15"/>
  <c r="AR55" i="15"/>
  <c r="AN55" i="15"/>
  <c r="AK55" i="15"/>
  <c r="AI55" i="15"/>
  <c r="AE55" i="15"/>
  <c r="AC55" i="15"/>
  <c r="Y55" i="15"/>
  <c r="Q55" i="15"/>
  <c r="P55" i="15"/>
  <c r="N55" i="15"/>
  <c r="K55" i="15"/>
  <c r="J55" i="15"/>
  <c r="D55" i="15"/>
  <c r="M55" i="15" s="1"/>
  <c r="C55" i="15"/>
  <c r="AT54" i="15"/>
  <c r="AR54" i="15"/>
  <c r="AN54" i="15"/>
  <c r="AK54" i="15"/>
  <c r="AI54" i="15"/>
  <c r="AE54" i="15"/>
  <c r="AC54" i="15"/>
  <c r="Y54" i="15"/>
  <c r="Q54" i="15"/>
  <c r="P54" i="15"/>
  <c r="N54" i="15"/>
  <c r="J54" i="15"/>
  <c r="D54" i="15"/>
  <c r="C54" i="15" s="1"/>
  <c r="K54" i="15" s="1"/>
  <c r="AT53" i="15"/>
  <c r="AR53" i="15"/>
  <c r="AN53" i="15"/>
  <c r="AK53" i="15"/>
  <c r="AI53" i="15"/>
  <c r="AE53" i="15"/>
  <c r="AC53" i="15"/>
  <c r="Y53" i="15"/>
  <c r="Q53" i="15"/>
  <c r="P53" i="15"/>
  <c r="N53" i="15"/>
  <c r="J53" i="15"/>
  <c r="D53" i="15"/>
  <c r="AT52" i="15"/>
  <c r="AS52" i="15"/>
  <c r="AQ52" i="15"/>
  <c r="AP52" i="15"/>
  <c r="AO52" i="15"/>
  <c r="AR52" i="15" s="1"/>
  <c r="AN52" i="15"/>
  <c r="AM52" i="15"/>
  <c r="AL52" i="15"/>
  <c r="AJ52" i="15"/>
  <c r="AH52" i="15"/>
  <c r="AK52" i="15" s="1"/>
  <c r="AG52" i="15"/>
  <c r="AF52" i="15"/>
  <c r="AI52" i="15" s="1"/>
  <c r="AE52" i="15"/>
  <c r="AD52" i="15"/>
  <c r="AB52" i="15"/>
  <c r="AA52" i="15"/>
  <c r="Z52" i="15"/>
  <c r="AC52" i="15" s="1"/>
  <c r="Y52" i="15"/>
  <c r="X52" i="15"/>
  <c r="W52" i="15"/>
  <c r="V52" i="15"/>
  <c r="T52" i="15"/>
  <c r="S52" i="15"/>
  <c r="R52" i="15"/>
  <c r="U52" i="15" s="1"/>
  <c r="P52" i="15"/>
  <c r="O52" i="15"/>
  <c r="L52" i="15"/>
  <c r="J52" i="15" s="1"/>
  <c r="I52" i="15"/>
  <c r="Q52" i="15" s="1"/>
  <c r="H52" i="15"/>
  <c r="N52" i="15" s="1"/>
  <c r="G52" i="15"/>
  <c r="F52" i="15"/>
  <c r="E52" i="15"/>
  <c r="AT51" i="15"/>
  <c r="AR51" i="15"/>
  <c r="AN51" i="15"/>
  <c r="AK51" i="15"/>
  <c r="AI51" i="15"/>
  <c r="AE51" i="15"/>
  <c r="AC51" i="15"/>
  <c r="Y51" i="15"/>
  <c r="Q51" i="15"/>
  <c r="P51" i="15"/>
  <c r="N51" i="15"/>
  <c r="J51" i="15"/>
  <c r="D51" i="15"/>
  <c r="AT50" i="15"/>
  <c r="AR50" i="15"/>
  <c r="AN50" i="15"/>
  <c r="AK50" i="15"/>
  <c r="AI50" i="15"/>
  <c r="AE50" i="15"/>
  <c r="AC50" i="15"/>
  <c r="Y50" i="15"/>
  <c r="Q50" i="15"/>
  <c r="P50" i="15"/>
  <c r="N50" i="15"/>
  <c r="K50" i="15"/>
  <c r="J50" i="15"/>
  <c r="D50" i="15"/>
  <c r="M50" i="15" s="1"/>
  <c r="C50" i="15"/>
  <c r="AT49" i="15"/>
  <c r="AR49" i="15"/>
  <c r="AN49" i="15"/>
  <c r="AK49" i="15"/>
  <c r="AI49" i="15"/>
  <c r="AE49" i="15"/>
  <c r="AC49" i="15"/>
  <c r="Y49" i="15"/>
  <c r="Q49" i="15"/>
  <c r="P49" i="15"/>
  <c r="N49" i="15"/>
  <c r="J49" i="15"/>
  <c r="D49" i="15"/>
  <c r="AT48" i="15"/>
  <c r="AR48" i="15"/>
  <c r="AN48" i="15"/>
  <c r="AK48" i="15"/>
  <c r="AI48" i="15"/>
  <c r="AE48" i="15"/>
  <c r="AC48" i="15"/>
  <c r="Y48" i="15"/>
  <c r="Q48" i="15"/>
  <c r="P48" i="15"/>
  <c r="N48" i="15"/>
  <c r="J48" i="15"/>
  <c r="D48" i="15"/>
  <c r="AT47" i="15"/>
  <c r="AR47" i="15"/>
  <c r="AN47" i="15"/>
  <c r="AK47" i="15"/>
  <c r="AI47" i="15"/>
  <c r="AE47" i="15"/>
  <c r="AC47" i="15"/>
  <c r="Y47" i="15"/>
  <c r="Q47" i="15"/>
  <c r="P47" i="15"/>
  <c r="N47" i="15"/>
  <c r="J47" i="15"/>
  <c r="D47" i="15"/>
  <c r="M47" i="15" s="1"/>
  <c r="C47" i="15"/>
  <c r="K47" i="15" s="1"/>
  <c r="AT46" i="15"/>
  <c r="AR46" i="15"/>
  <c r="AN46" i="15"/>
  <c r="AK46" i="15"/>
  <c r="AI46" i="15"/>
  <c r="AE46" i="15"/>
  <c r="AC46" i="15"/>
  <c r="Y46" i="15"/>
  <c r="Q46" i="15"/>
  <c r="P46" i="15"/>
  <c r="N46" i="15"/>
  <c r="M46" i="15"/>
  <c r="J46" i="15"/>
  <c r="D46" i="15"/>
  <c r="C46" i="15" s="1"/>
  <c r="K46" i="15" s="1"/>
  <c r="AT45" i="15"/>
  <c r="AR45" i="15"/>
  <c r="AN45" i="15"/>
  <c r="AK45" i="15"/>
  <c r="AI45" i="15"/>
  <c r="AE45" i="15"/>
  <c r="AC45" i="15"/>
  <c r="Y45" i="15"/>
  <c r="Q45" i="15"/>
  <c r="P45" i="15"/>
  <c r="N45" i="15"/>
  <c r="J45" i="15"/>
  <c r="D45" i="15"/>
  <c r="AT44" i="15"/>
  <c r="AR44" i="15"/>
  <c r="AN44" i="15"/>
  <c r="AK44" i="15"/>
  <c r="AI44" i="15"/>
  <c r="AE44" i="15"/>
  <c r="AC44" i="15"/>
  <c r="Y44" i="15"/>
  <c r="Q44" i="15"/>
  <c r="P44" i="15"/>
  <c r="N44" i="15"/>
  <c r="K44" i="15"/>
  <c r="J44" i="15"/>
  <c r="D44" i="15"/>
  <c r="M44" i="15" s="1"/>
  <c r="C44" i="15"/>
  <c r="AT43" i="15"/>
  <c r="AR43" i="15"/>
  <c r="AN43" i="15"/>
  <c r="AK43" i="15"/>
  <c r="AI43" i="15"/>
  <c r="AE43" i="15"/>
  <c r="AC43" i="15"/>
  <c r="Y43" i="15"/>
  <c r="Q43" i="15"/>
  <c r="P43" i="15"/>
  <c r="N43" i="15"/>
  <c r="K43" i="15"/>
  <c r="J43" i="15"/>
  <c r="D43" i="15"/>
  <c r="C43" i="15" s="1"/>
  <c r="AT42" i="15"/>
  <c r="AR42" i="15"/>
  <c r="AN42" i="15"/>
  <c r="AK42" i="15"/>
  <c r="AI42" i="15"/>
  <c r="AE42" i="15"/>
  <c r="AC42" i="15"/>
  <c r="Y42" i="15"/>
  <c r="Q42" i="15"/>
  <c r="P42" i="15"/>
  <c r="N42" i="15"/>
  <c r="J42" i="15"/>
  <c r="D42" i="15"/>
  <c r="AT41" i="15"/>
  <c r="AR41" i="15"/>
  <c r="AN41" i="15"/>
  <c r="AK41" i="15"/>
  <c r="AI41" i="15"/>
  <c r="AE41" i="15"/>
  <c r="AC41" i="15"/>
  <c r="Y41" i="15"/>
  <c r="Q41" i="15"/>
  <c r="P41" i="15"/>
  <c r="N41" i="15"/>
  <c r="J41" i="15"/>
  <c r="D41" i="15"/>
  <c r="M41" i="15" s="1"/>
  <c r="C41" i="15"/>
  <c r="K41" i="15" s="1"/>
  <c r="AT40" i="15"/>
  <c r="AR40" i="15"/>
  <c r="AN40" i="15"/>
  <c r="AK40" i="15"/>
  <c r="AI40" i="15"/>
  <c r="AE40" i="15"/>
  <c r="AC40" i="15"/>
  <c r="Y40" i="15"/>
  <c r="Q40" i="15"/>
  <c r="P40" i="15"/>
  <c r="N40" i="15"/>
  <c r="M40" i="15"/>
  <c r="K40" i="15"/>
  <c r="J40" i="15"/>
  <c r="D40" i="15"/>
  <c r="C40" i="15" s="1"/>
  <c r="AT39" i="15"/>
  <c r="AR39" i="15"/>
  <c r="AN39" i="15"/>
  <c r="AK39" i="15"/>
  <c r="AI39" i="15"/>
  <c r="AE39" i="15"/>
  <c r="AC39" i="15"/>
  <c r="Y39" i="15"/>
  <c r="Q39" i="15"/>
  <c r="P39" i="15"/>
  <c r="N39" i="15"/>
  <c r="J39" i="15"/>
  <c r="D39" i="15"/>
  <c r="AT38" i="15"/>
  <c r="AR38" i="15"/>
  <c r="AN38" i="15"/>
  <c r="AK38" i="15"/>
  <c r="AI38" i="15"/>
  <c r="AE38" i="15"/>
  <c r="AC38" i="15"/>
  <c r="Y38" i="15"/>
  <c r="Q38" i="15"/>
  <c r="P38" i="15"/>
  <c r="N38" i="15"/>
  <c r="K38" i="15"/>
  <c r="J38" i="15"/>
  <c r="D38" i="15"/>
  <c r="M38" i="15" s="1"/>
  <c r="C38" i="15"/>
  <c r="AT37" i="15"/>
  <c r="AR37" i="15"/>
  <c r="AN37" i="15"/>
  <c r="AK37" i="15"/>
  <c r="AI37" i="15"/>
  <c r="AE37" i="15"/>
  <c r="AC37" i="15"/>
  <c r="Y37" i="15"/>
  <c r="Q37" i="15"/>
  <c r="P37" i="15"/>
  <c r="N37" i="15"/>
  <c r="J37" i="15"/>
  <c r="D37" i="15"/>
  <c r="C37" i="15" s="1"/>
  <c r="K37" i="15" s="1"/>
  <c r="AT36" i="15"/>
  <c r="AR36" i="15"/>
  <c r="AN36" i="15"/>
  <c r="AK36" i="15"/>
  <c r="AI36" i="15"/>
  <c r="AE36" i="15"/>
  <c r="AC36" i="15"/>
  <c r="Y36" i="15"/>
  <c r="Q36" i="15"/>
  <c r="P36" i="15"/>
  <c r="N36" i="15"/>
  <c r="J36" i="15"/>
  <c r="D36" i="15"/>
  <c r="AT35" i="15"/>
  <c r="AR35" i="15"/>
  <c r="AN35" i="15"/>
  <c r="AK35" i="15"/>
  <c r="AI35" i="15"/>
  <c r="AE35" i="15"/>
  <c r="AC35" i="15"/>
  <c r="Y35" i="15"/>
  <c r="Q35" i="15"/>
  <c r="P35" i="15"/>
  <c r="N35" i="15"/>
  <c r="M35" i="15"/>
  <c r="K35" i="15"/>
  <c r="J35" i="15"/>
  <c r="D35" i="15"/>
  <c r="C35" i="15"/>
  <c r="AT34" i="15"/>
  <c r="AR34" i="15"/>
  <c r="AN34" i="15"/>
  <c r="AK34" i="15"/>
  <c r="AI34" i="15"/>
  <c r="AE34" i="15"/>
  <c r="AC34" i="15"/>
  <c r="Y34" i="15"/>
  <c r="Q34" i="15"/>
  <c r="P34" i="15"/>
  <c r="N34" i="15"/>
  <c r="J34" i="15"/>
  <c r="D34" i="15"/>
  <c r="AT33" i="15"/>
  <c r="AR33" i="15"/>
  <c r="AN33" i="15"/>
  <c r="AK33" i="15"/>
  <c r="AI33" i="15"/>
  <c r="AE33" i="15"/>
  <c r="AC33" i="15"/>
  <c r="Y33" i="15"/>
  <c r="Q33" i="15"/>
  <c r="P33" i="15"/>
  <c r="N33" i="15"/>
  <c r="J33" i="15"/>
  <c r="D33" i="15"/>
  <c r="AT32" i="15"/>
  <c r="AR32" i="15"/>
  <c r="AN32" i="15"/>
  <c r="AK32" i="15"/>
  <c r="AI32" i="15"/>
  <c r="AE32" i="15"/>
  <c r="AC32" i="15"/>
  <c r="Y32" i="15"/>
  <c r="Q32" i="15"/>
  <c r="P32" i="15"/>
  <c r="N32" i="15"/>
  <c r="J32" i="15"/>
  <c r="D32" i="15"/>
  <c r="M32" i="15" s="1"/>
  <c r="C32" i="15"/>
  <c r="K32" i="15" s="1"/>
  <c r="AT31" i="15"/>
  <c r="AS31" i="15"/>
  <c r="AQ31" i="15"/>
  <c r="AP31" i="15"/>
  <c r="AO31" i="15"/>
  <c r="AR31" i="15" s="1"/>
  <c r="AM31" i="15"/>
  <c r="AL31" i="15"/>
  <c r="AN31" i="15" s="1"/>
  <c r="AJ31" i="15"/>
  <c r="AH31" i="15"/>
  <c r="AK31" i="15" s="1"/>
  <c r="AG31" i="15"/>
  <c r="AF31" i="15"/>
  <c r="AI31" i="15" s="1"/>
  <c r="AD31" i="15"/>
  <c r="AC31" i="15"/>
  <c r="AB31" i="15"/>
  <c r="AE31" i="15" s="1"/>
  <c r="AA31" i="15"/>
  <c r="Z31" i="15"/>
  <c r="X31" i="15"/>
  <c r="W31" i="15"/>
  <c r="Y31" i="15" s="1"/>
  <c r="V31" i="15"/>
  <c r="T31" i="15"/>
  <c r="S31" i="15"/>
  <c r="R31" i="15"/>
  <c r="U31" i="15" s="1"/>
  <c r="Q31" i="15"/>
  <c r="P31" i="15"/>
  <c r="O31" i="15"/>
  <c r="N31" i="15"/>
  <c r="L31" i="15"/>
  <c r="J31" i="15"/>
  <c r="I31" i="15"/>
  <c r="H31" i="15"/>
  <c r="G31" i="15"/>
  <c r="F31" i="15"/>
  <c r="E31" i="15"/>
  <c r="D31" i="15"/>
  <c r="AT30" i="15"/>
  <c r="AR30" i="15"/>
  <c r="AN30" i="15"/>
  <c r="AK30" i="15"/>
  <c r="AI30" i="15"/>
  <c r="AE30" i="15"/>
  <c r="AC30" i="15"/>
  <c r="Y30" i="15"/>
  <c r="Q30" i="15"/>
  <c r="P30" i="15"/>
  <c r="N30" i="15"/>
  <c r="M30" i="15"/>
  <c r="J30" i="15"/>
  <c r="D30" i="15"/>
  <c r="C30" i="15"/>
  <c r="K30" i="15" s="1"/>
  <c r="AT29" i="15"/>
  <c r="AR29" i="15"/>
  <c r="AN29" i="15"/>
  <c r="AK29" i="15"/>
  <c r="AI29" i="15"/>
  <c r="AE29" i="15"/>
  <c r="AC29" i="15"/>
  <c r="Y29" i="15"/>
  <c r="Q29" i="15"/>
  <c r="P29" i="15"/>
  <c r="N29" i="15"/>
  <c r="M29" i="15"/>
  <c r="J29" i="15"/>
  <c r="D29" i="15"/>
  <c r="C29" i="15" s="1"/>
  <c r="K29" i="15" s="1"/>
  <c r="AT28" i="15"/>
  <c r="AR28" i="15"/>
  <c r="AN28" i="15"/>
  <c r="AK28" i="15"/>
  <c r="AI28" i="15"/>
  <c r="AE28" i="15"/>
  <c r="AC28" i="15"/>
  <c r="Y28" i="15"/>
  <c r="Q28" i="15"/>
  <c r="P28" i="15"/>
  <c r="N28" i="15"/>
  <c r="J28" i="15"/>
  <c r="D28" i="15"/>
  <c r="AT27" i="15"/>
  <c r="AR27" i="15"/>
  <c r="AN27" i="15"/>
  <c r="AK27" i="15"/>
  <c r="AI27" i="15"/>
  <c r="AE27" i="15"/>
  <c r="AC27" i="15"/>
  <c r="Y27" i="15"/>
  <c r="Q27" i="15"/>
  <c r="P27" i="15"/>
  <c r="N27" i="15"/>
  <c r="M27" i="15"/>
  <c r="J27" i="15"/>
  <c r="D27" i="15"/>
  <c r="C27" i="15"/>
  <c r="K27" i="15" s="1"/>
  <c r="AT26" i="15"/>
  <c r="AR26" i="15"/>
  <c r="AN26" i="15"/>
  <c r="AK26" i="15"/>
  <c r="AI26" i="15"/>
  <c r="AE26" i="15"/>
  <c r="AC26" i="15"/>
  <c r="Y26" i="15"/>
  <c r="Q26" i="15"/>
  <c r="P26" i="15"/>
  <c r="N26" i="15"/>
  <c r="M26" i="15"/>
  <c r="K26" i="15"/>
  <c r="J26" i="15"/>
  <c r="D26" i="15"/>
  <c r="C26" i="15" s="1"/>
  <c r="AT25" i="15"/>
  <c r="AR25" i="15"/>
  <c r="AN25" i="15"/>
  <c r="AK25" i="15"/>
  <c r="AI25" i="15"/>
  <c r="AE25" i="15"/>
  <c r="AC25" i="15"/>
  <c r="Y25" i="15"/>
  <c r="Q25" i="15"/>
  <c r="P25" i="15"/>
  <c r="N25" i="15"/>
  <c r="J25" i="15"/>
  <c r="D25" i="15"/>
  <c r="AT24" i="15"/>
  <c r="AR24" i="15"/>
  <c r="AN24" i="15"/>
  <c r="AK24" i="15"/>
  <c r="AI24" i="15"/>
  <c r="AE24" i="15"/>
  <c r="AC24" i="15"/>
  <c r="Y24" i="15"/>
  <c r="Q24" i="15"/>
  <c r="P24" i="15"/>
  <c r="N24" i="15"/>
  <c r="K24" i="15"/>
  <c r="J24" i="15"/>
  <c r="D24" i="15"/>
  <c r="M24" i="15" s="1"/>
  <c r="C24" i="15"/>
  <c r="AT23" i="15"/>
  <c r="AR23" i="15"/>
  <c r="AN23" i="15"/>
  <c r="AK23" i="15"/>
  <c r="AI23" i="15"/>
  <c r="AE23" i="15"/>
  <c r="AC23" i="15"/>
  <c r="Y23" i="15"/>
  <c r="Q23" i="15"/>
  <c r="P23" i="15"/>
  <c r="N23" i="15"/>
  <c r="J23" i="15"/>
  <c r="D23" i="15"/>
  <c r="C23" i="15" s="1"/>
  <c r="K23" i="15" s="1"/>
  <c r="AT22" i="15"/>
  <c r="AR22" i="15"/>
  <c r="AN22" i="15"/>
  <c r="AK22" i="15"/>
  <c r="AI22" i="15"/>
  <c r="AE22" i="15"/>
  <c r="AC22" i="15"/>
  <c r="Y22" i="15"/>
  <c r="Q22" i="15"/>
  <c r="P22" i="15"/>
  <c r="N22" i="15"/>
  <c r="J22" i="15"/>
  <c r="D22" i="15"/>
  <c r="AT21" i="15"/>
  <c r="AR21" i="15"/>
  <c r="AN21" i="15"/>
  <c r="AK21" i="15"/>
  <c r="AI21" i="15"/>
  <c r="AE21" i="15"/>
  <c r="AC21" i="15"/>
  <c r="Y21" i="15"/>
  <c r="Q21" i="15"/>
  <c r="P21" i="15"/>
  <c r="N21" i="15"/>
  <c r="J21" i="15"/>
  <c r="D21" i="15"/>
  <c r="M21" i="15" s="1"/>
  <c r="C21" i="15"/>
  <c r="K21" i="15" s="1"/>
  <c r="AT20" i="15"/>
  <c r="AR20" i="15"/>
  <c r="AN20" i="15"/>
  <c r="AK20" i="15"/>
  <c r="AI20" i="15"/>
  <c r="AE20" i="15"/>
  <c r="AC20" i="15"/>
  <c r="Y20" i="15"/>
  <c r="Q20" i="15"/>
  <c r="P20" i="15"/>
  <c r="N20" i="15"/>
  <c r="M20" i="15"/>
  <c r="K20" i="15"/>
  <c r="J20" i="15"/>
  <c r="D20" i="15"/>
  <c r="C20" i="15" s="1"/>
  <c r="AT19" i="15"/>
  <c r="AR19" i="15"/>
  <c r="AN19" i="15"/>
  <c r="AK19" i="15"/>
  <c r="AI19" i="15"/>
  <c r="AE19" i="15"/>
  <c r="AC19" i="15"/>
  <c r="Y19" i="15"/>
  <c r="Q19" i="15"/>
  <c r="P19" i="15"/>
  <c r="N19" i="15"/>
  <c r="J19" i="15"/>
  <c r="D19" i="15"/>
  <c r="AT18" i="15"/>
  <c r="AR18" i="15"/>
  <c r="AN18" i="15"/>
  <c r="AK18" i="15"/>
  <c r="AI18" i="15"/>
  <c r="AE18" i="15"/>
  <c r="AC18" i="15"/>
  <c r="Y18" i="15"/>
  <c r="Q18" i="15"/>
  <c r="P18" i="15"/>
  <c r="N18" i="15"/>
  <c r="K18" i="15"/>
  <c r="J18" i="15"/>
  <c r="D18" i="15"/>
  <c r="M18" i="15" s="1"/>
  <c r="C18" i="15"/>
  <c r="AT17" i="15"/>
  <c r="AR17" i="15"/>
  <c r="AN17" i="15"/>
  <c r="AK17" i="15"/>
  <c r="AI17" i="15"/>
  <c r="AE17" i="15"/>
  <c r="AC17" i="15"/>
  <c r="Y17" i="15"/>
  <c r="Q17" i="15"/>
  <c r="P17" i="15"/>
  <c r="N17" i="15"/>
  <c r="J17" i="15"/>
  <c r="D17" i="15"/>
  <c r="AT16" i="15"/>
  <c r="AR16" i="15"/>
  <c r="AN16" i="15"/>
  <c r="AK16" i="15"/>
  <c r="AI16" i="15"/>
  <c r="AE16" i="15"/>
  <c r="AC16" i="15"/>
  <c r="Y16" i="15"/>
  <c r="Q16" i="15"/>
  <c r="P16" i="15"/>
  <c r="N16" i="15"/>
  <c r="J16" i="15"/>
  <c r="D16" i="15"/>
  <c r="AT15" i="15"/>
  <c r="AR15" i="15"/>
  <c r="AN15" i="15"/>
  <c r="AK15" i="15"/>
  <c r="AI15" i="15"/>
  <c r="AE15" i="15"/>
  <c r="AC15" i="15"/>
  <c r="Y15" i="15"/>
  <c r="Q15" i="15"/>
  <c r="P15" i="15"/>
  <c r="N15" i="15"/>
  <c r="J15" i="15"/>
  <c r="D15" i="15"/>
  <c r="M15" i="15" s="1"/>
  <c r="C15" i="15"/>
  <c r="K15" i="15" s="1"/>
  <c r="AT14" i="15"/>
  <c r="AR14" i="15"/>
  <c r="AN14" i="15"/>
  <c r="AK14" i="15"/>
  <c r="AI14" i="15"/>
  <c r="AE14" i="15"/>
  <c r="AC14" i="15"/>
  <c r="Y14" i="15"/>
  <c r="Q14" i="15"/>
  <c r="P14" i="15"/>
  <c r="N14" i="15"/>
  <c r="M14" i="15"/>
  <c r="J14" i="15"/>
  <c r="D14" i="15"/>
  <c r="AS13" i="15"/>
  <c r="AS8" i="15" s="1"/>
  <c r="AR13" i="15"/>
  <c r="AQ13" i="15"/>
  <c r="AT13" i="15" s="1"/>
  <c r="AP13" i="15"/>
  <c r="AO13" i="15"/>
  <c r="AO8" i="15" s="1"/>
  <c r="AR8" i="15" s="1"/>
  <c r="AM13" i="15"/>
  <c r="AM8" i="15" s="1"/>
  <c r="AL13" i="15"/>
  <c r="AJ13" i="15"/>
  <c r="AH13" i="15"/>
  <c r="AK13" i="15" s="1"/>
  <c r="AG13" i="15"/>
  <c r="AG8" i="15" s="1"/>
  <c r="AF13" i="15"/>
  <c r="AD13" i="15"/>
  <c r="AB13" i="15"/>
  <c r="AE13" i="15" s="1"/>
  <c r="AA13" i="15"/>
  <c r="AA8" i="15" s="1"/>
  <c r="Z13" i="15"/>
  <c r="X13" i="15"/>
  <c r="W13" i="15"/>
  <c r="Y13" i="15" s="1"/>
  <c r="T13" i="15"/>
  <c r="S13" i="15"/>
  <c r="V13" i="15" s="1"/>
  <c r="R13" i="15"/>
  <c r="U13" i="15" s="1"/>
  <c r="O13" i="15"/>
  <c r="O8" i="15" s="1"/>
  <c r="N13" i="15"/>
  <c r="L13" i="15"/>
  <c r="J13" i="15" s="1"/>
  <c r="I13" i="15"/>
  <c r="H13" i="15"/>
  <c r="H8" i="15" s="1"/>
  <c r="N8" i="15" s="1"/>
  <c r="G13" i="15"/>
  <c r="P13" i="15" s="1"/>
  <c r="F13" i="15"/>
  <c r="E13" i="15"/>
  <c r="E8" i="15" s="1"/>
  <c r="E7" i="15" s="1"/>
  <c r="AS9" i="15"/>
  <c r="AQ9" i="15"/>
  <c r="AQ7" i="15" s="1"/>
  <c r="AP9" i="15"/>
  <c r="AP7" i="15" s="1"/>
  <c r="AO9" i="15"/>
  <c r="AM9" i="15"/>
  <c r="AM7" i="15" s="1"/>
  <c r="AL9" i="15"/>
  <c r="AL7" i="15" s="1"/>
  <c r="AJ9" i="15"/>
  <c r="AH9" i="15"/>
  <c r="AG9" i="15"/>
  <c r="AG7" i="15" s="1"/>
  <c r="AF9" i="15"/>
  <c r="AD9" i="15"/>
  <c r="AD7" i="15" s="1"/>
  <c r="AB9" i="15"/>
  <c r="AA9" i="15"/>
  <c r="Z9" i="15"/>
  <c r="Z7" i="15" s="1"/>
  <c r="X9" i="15"/>
  <c r="X7" i="15" s="1"/>
  <c r="W9" i="15"/>
  <c r="Q9" i="15"/>
  <c r="P9" i="15"/>
  <c r="O9" i="15"/>
  <c r="I9" i="15"/>
  <c r="E9" i="15"/>
  <c r="AQ8" i="15"/>
  <c r="AT8" i="15" s="1"/>
  <c r="AP8" i="15"/>
  <c r="AJ8" i="15"/>
  <c r="AD8" i="15"/>
  <c r="X8" i="15"/>
  <c r="S8" i="15"/>
  <c r="L8" i="15"/>
  <c r="G8" i="15"/>
  <c r="F8" i="15"/>
  <c r="AJ7" i="15"/>
  <c r="AA7" i="15"/>
  <c r="O7" i="15"/>
  <c r="V108" i="14"/>
  <c r="U108" i="14"/>
  <c r="O108" i="14"/>
  <c r="L108" i="14"/>
  <c r="I108" i="14"/>
  <c r="Q108" i="14" s="1"/>
  <c r="H108" i="14"/>
  <c r="N108" i="14" s="1"/>
  <c r="G108" i="14"/>
  <c r="P108" i="14" s="1"/>
  <c r="F108" i="14"/>
  <c r="E108" i="14"/>
  <c r="V107" i="14"/>
  <c r="U107" i="14"/>
  <c r="O107" i="14"/>
  <c r="L107" i="14"/>
  <c r="I107" i="14"/>
  <c r="Q107" i="14" s="1"/>
  <c r="H107" i="14"/>
  <c r="N107" i="14" s="1"/>
  <c r="G107" i="14"/>
  <c r="P107" i="14" s="1"/>
  <c r="F107" i="14"/>
  <c r="E107" i="14"/>
  <c r="V106" i="14"/>
  <c r="U106" i="14"/>
  <c r="O106" i="14"/>
  <c r="L106" i="14"/>
  <c r="I106" i="14"/>
  <c r="Q106" i="14" s="1"/>
  <c r="H106" i="14"/>
  <c r="N106" i="14" s="1"/>
  <c r="G106" i="14"/>
  <c r="P106" i="14" s="1"/>
  <c r="F106" i="14"/>
  <c r="E106" i="14"/>
  <c r="V105" i="14"/>
  <c r="U105" i="14"/>
  <c r="O105" i="14"/>
  <c r="L105" i="14"/>
  <c r="I105" i="14"/>
  <c r="Q105" i="14" s="1"/>
  <c r="H105" i="14"/>
  <c r="N105" i="14" s="1"/>
  <c r="G105" i="14"/>
  <c r="P105" i="14" s="1"/>
  <c r="F105" i="14"/>
  <c r="E105" i="14"/>
  <c r="D105" i="14" s="1"/>
  <c r="V104" i="14"/>
  <c r="U104" i="14"/>
  <c r="O104" i="14"/>
  <c r="L104" i="14"/>
  <c r="I104" i="14"/>
  <c r="Q104" i="14" s="1"/>
  <c r="H104" i="14"/>
  <c r="N104" i="14" s="1"/>
  <c r="G104" i="14"/>
  <c r="P104" i="14" s="1"/>
  <c r="F104" i="14"/>
  <c r="E104" i="14"/>
  <c r="D104" i="14" s="1"/>
  <c r="C104" i="14" s="1"/>
  <c r="V103" i="14"/>
  <c r="U103" i="14"/>
  <c r="O103" i="14"/>
  <c r="L103" i="14"/>
  <c r="I103" i="14"/>
  <c r="Q103" i="14" s="1"/>
  <c r="H103" i="14"/>
  <c r="N103" i="14" s="1"/>
  <c r="G103" i="14"/>
  <c r="P103" i="14" s="1"/>
  <c r="F103" i="14"/>
  <c r="E103" i="14"/>
  <c r="V102" i="14"/>
  <c r="U102" i="14"/>
  <c r="O102" i="14"/>
  <c r="L102" i="14"/>
  <c r="I102" i="14"/>
  <c r="Q102" i="14" s="1"/>
  <c r="H102" i="14"/>
  <c r="N102" i="14" s="1"/>
  <c r="G102" i="14"/>
  <c r="P102" i="14" s="1"/>
  <c r="F102" i="14"/>
  <c r="E102" i="14"/>
  <c r="V101" i="14"/>
  <c r="U101" i="14"/>
  <c r="O101" i="14"/>
  <c r="L101" i="14"/>
  <c r="I101" i="14"/>
  <c r="Q101" i="14" s="1"/>
  <c r="H101" i="14"/>
  <c r="N101" i="14" s="1"/>
  <c r="G101" i="14"/>
  <c r="P101" i="14" s="1"/>
  <c r="F101" i="14"/>
  <c r="E101" i="14"/>
  <c r="T100" i="14"/>
  <c r="U100" i="14" s="1"/>
  <c r="S100" i="14"/>
  <c r="S89" i="14" s="1"/>
  <c r="S9" i="14" s="1"/>
  <c r="R100" i="14"/>
  <c r="O100" i="14"/>
  <c r="L100" i="14"/>
  <c r="I100" i="14"/>
  <c r="Q100" i="14" s="1"/>
  <c r="H100" i="14"/>
  <c r="G100" i="14"/>
  <c r="P100" i="14" s="1"/>
  <c r="F100" i="14"/>
  <c r="E100" i="14"/>
  <c r="D100" i="14" s="1"/>
  <c r="V99" i="14"/>
  <c r="U99" i="14"/>
  <c r="O99" i="14"/>
  <c r="L99" i="14"/>
  <c r="I99" i="14"/>
  <c r="Q99" i="14" s="1"/>
  <c r="H99" i="14"/>
  <c r="N99" i="14" s="1"/>
  <c r="G99" i="14"/>
  <c r="P99" i="14" s="1"/>
  <c r="F99" i="14"/>
  <c r="E99" i="14"/>
  <c r="V98" i="14"/>
  <c r="U98" i="14"/>
  <c r="O98" i="14"/>
  <c r="L98" i="14"/>
  <c r="J98" i="14" s="1"/>
  <c r="I98" i="14"/>
  <c r="Q98" i="14" s="1"/>
  <c r="H98" i="14"/>
  <c r="N98" i="14" s="1"/>
  <c r="G98" i="14"/>
  <c r="P98" i="14" s="1"/>
  <c r="F98" i="14"/>
  <c r="E98" i="14"/>
  <c r="D98" i="14" s="1"/>
  <c r="C98" i="14" s="1"/>
  <c r="K98" i="14" s="1"/>
  <c r="V97" i="14"/>
  <c r="U97" i="14"/>
  <c r="O97" i="14"/>
  <c r="L97" i="14"/>
  <c r="J97" i="14" s="1"/>
  <c r="I97" i="14"/>
  <c r="Q97" i="14" s="1"/>
  <c r="H97" i="14"/>
  <c r="N97" i="14" s="1"/>
  <c r="G97" i="14"/>
  <c r="F97" i="14"/>
  <c r="E97" i="14"/>
  <c r="V96" i="14"/>
  <c r="U96" i="14"/>
  <c r="O96" i="14"/>
  <c r="L96" i="14"/>
  <c r="I96" i="14"/>
  <c r="Q96" i="14" s="1"/>
  <c r="H96" i="14"/>
  <c r="N96" i="14" s="1"/>
  <c r="G96" i="14"/>
  <c r="P96" i="14" s="1"/>
  <c r="F96" i="14"/>
  <c r="E96" i="14"/>
  <c r="V95" i="14"/>
  <c r="U95" i="14"/>
  <c r="O95" i="14"/>
  <c r="L95" i="14"/>
  <c r="J95" i="14" s="1"/>
  <c r="I95" i="14"/>
  <c r="Q95" i="14" s="1"/>
  <c r="H95" i="14"/>
  <c r="N95" i="14" s="1"/>
  <c r="G95" i="14"/>
  <c r="P95" i="14" s="1"/>
  <c r="F95" i="14"/>
  <c r="E95" i="14"/>
  <c r="V94" i="14"/>
  <c r="U94" i="14"/>
  <c r="O94" i="14"/>
  <c r="L94" i="14"/>
  <c r="I94" i="14"/>
  <c r="Q94" i="14" s="1"/>
  <c r="H94" i="14"/>
  <c r="N94" i="14" s="1"/>
  <c r="G94" i="14"/>
  <c r="P94" i="14" s="1"/>
  <c r="F94" i="14"/>
  <c r="E94" i="14"/>
  <c r="V93" i="14"/>
  <c r="U93" i="14"/>
  <c r="O93" i="14"/>
  <c r="L93" i="14"/>
  <c r="I93" i="14"/>
  <c r="Q93" i="14" s="1"/>
  <c r="H93" i="14"/>
  <c r="G93" i="14"/>
  <c r="P93" i="14" s="1"/>
  <c r="F93" i="14"/>
  <c r="E93" i="14"/>
  <c r="V92" i="14"/>
  <c r="U92" i="14"/>
  <c r="O92" i="14"/>
  <c r="L92" i="14"/>
  <c r="J92" i="14" s="1"/>
  <c r="I92" i="14"/>
  <c r="Q92" i="14" s="1"/>
  <c r="H92" i="14"/>
  <c r="N92" i="14" s="1"/>
  <c r="G92" i="14"/>
  <c r="P92" i="14" s="1"/>
  <c r="F92" i="14"/>
  <c r="E92" i="14"/>
  <c r="D92" i="14" s="1"/>
  <c r="V91" i="14"/>
  <c r="U91" i="14"/>
  <c r="O91" i="14"/>
  <c r="L91" i="14"/>
  <c r="I91" i="14"/>
  <c r="Q91" i="14" s="1"/>
  <c r="H91" i="14"/>
  <c r="N91" i="14" s="1"/>
  <c r="G91" i="14"/>
  <c r="P91" i="14" s="1"/>
  <c r="F91" i="14"/>
  <c r="E91" i="14"/>
  <c r="V90" i="14"/>
  <c r="U90" i="14"/>
  <c r="O90" i="14"/>
  <c r="L90" i="14"/>
  <c r="J90" i="14" s="1"/>
  <c r="I90" i="14"/>
  <c r="Q90" i="14" s="1"/>
  <c r="H90" i="14"/>
  <c r="N90" i="14" s="1"/>
  <c r="G90" i="14"/>
  <c r="P90" i="14" s="1"/>
  <c r="F90" i="14"/>
  <c r="E90" i="14"/>
  <c r="D90" i="14" s="1"/>
  <c r="R89" i="14"/>
  <c r="AE88" i="14"/>
  <c r="AD88" i="14"/>
  <c r="AC88" i="14"/>
  <c r="AB88" i="14"/>
  <c r="AA88" i="14"/>
  <c r="Z88" i="14"/>
  <c r="X88" i="14"/>
  <c r="T88" i="14"/>
  <c r="S88" i="14"/>
  <c r="V88" i="14" s="1"/>
  <c r="R88" i="14"/>
  <c r="U88" i="14" s="1"/>
  <c r="O88" i="14"/>
  <c r="L88" i="14"/>
  <c r="J88" i="14" s="1"/>
  <c r="I88" i="14"/>
  <c r="Q88" i="14" s="1"/>
  <c r="H88" i="14"/>
  <c r="N88" i="14" s="1"/>
  <c r="G88" i="14"/>
  <c r="P88" i="14" s="1"/>
  <c r="F88" i="14"/>
  <c r="E88" i="14"/>
  <c r="AE87" i="14"/>
  <c r="AD87" i="14"/>
  <c r="AC87" i="14"/>
  <c r="AB87" i="14"/>
  <c r="AA87" i="14"/>
  <c r="Z87" i="14"/>
  <c r="X87" i="14"/>
  <c r="T87" i="14"/>
  <c r="S87" i="14"/>
  <c r="V87" i="14" s="1"/>
  <c r="R87" i="14"/>
  <c r="O87" i="14"/>
  <c r="L87" i="14"/>
  <c r="J87" i="14" s="1"/>
  <c r="I87" i="14"/>
  <c r="Q87" i="14" s="1"/>
  <c r="H87" i="14"/>
  <c r="N87" i="14" s="1"/>
  <c r="G87" i="14"/>
  <c r="P87" i="14" s="1"/>
  <c r="F87" i="14"/>
  <c r="E87" i="14"/>
  <c r="AE86" i="14"/>
  <c r="AD86" i="14"/>
  <c r="AC86" i="14"/>
  <c r="AB86" i="14"/>
  <c r="AA86" i="14"/>
  <c r="Z86" i="14"/>
  <c r="X86" i="14"/>
  <c r="T86" i="14"/>
  <c r="S86" i="14"/>
  <c r="V86" i="14" s="1"/>
  <c r="R86" i="14"/>
  <c r="O86" i="14"/>
  <c r="L86" i="14"/>
  <c r="I86" i="14"/>
  <c r="Q86" i="14" s="1"/>
  <c r="H86" i="14"/>
  <c r="N86" i="14" s="1"/>
  <c r="G86" i="14"/>
  <c r="P86" i="14" s="1"/>
  <c r="F86" i="14"/>
  <c r="E86" i="14"/>
  <c r="AE85" i="14"/>
  <c r="AD85" i="14"/>
  <c r="AC85" i="14"/>
  <c r="AB85" i="14"/>
  <c r="AA85" i="14"/>
  <c r="Z85" i="14"/>
  <c r="X85" i="14"/>
  <c r="T85" i="14"/>
  <c r="V85" i="14" s="1"/>
  <c r="S85" i="14"/>
  <c r="R85" i="14"/>
  <c r="O85" i="14"/>
  <c r="L85" i="14"/>
  <c r="I85" i="14"/>
  <c r="Q85" i="14" s="1"/>
  <c r="H85" i="14"/>
  <c r="N85" i="14" s="1"/>
  <c r="G85" i="14"/>
  <c r="P85" i="14" s="1"/>
  <c r="F85" i="14"/>
  <c r="E85" i="14"/>
  <c r="AE84" i="14"/>
  <c r="AD84" i="14"/>
  <c r="AC84" i="14"/>
  <c r="AB84" i="14"/>
  <c r="AA84" i="14"/>
  <c r="Z84" i="14"/>
  <c r="X84" i="14"/>
  <c r="T84" i="14"/>
  <c r="S84" i="14"/>
  <c r="R84" i="14"/>
  <c r="O84" i="14"/>
  <c r="L84" i="14"/>
  <c r="J84" i="14" s="1"/>
  <c r="I84" i="14"/>
  <c r="Q84" i="14" s="1"/>
  <c r="H84" i="14"/>
  <c r="N84" i="14" s="1"/>
  <c r="G84" i="14"/>
  <c r="P84" i="14" s="1"/>
  <c r="F84" i="14"/>
  <c r="E84" i="14"/>
  <c r="D84" i="14" s="1"/>
  <c r="M84" i="14" s="1"/>
  <c r="AE83" i="14"/>
  <c r="AD83" i="14"/>
  <c r="AC83" i="14"/>
  <c r="AB83" i="14"/>
  <c r="AA83" i="14"/>
  <c r="Z83" i="14"/>
  <c r="W83" i="14" s="1"/>
  <c r="X83" i="14"/>
  <c r="T83" i="14"/>
  <c r="S83" i="14"/>
  <c r="R83" i="14"/>
  <c r="O83" i="14"/>
  <c r="L83" i="14"/>
  <c r="I83" i="14"/>
  <c r="Q83" i="14" s="1"/>
  <c r="H83" i="14"/>
  <c r="G83" i="14"/>
  <c r="P83" i="14" s="1"/>
  <c r="F83" i="14"/>
  <c r="E83" i="14"/>
  <c r="AE82" i="14"/>
  <c r="AD82" i="14"/>
  <c r="AC82" i="14"/>
  <c r="AB82" i="14"/>
  <c r="AA82" i="14"/>
  <c r="Z82" i="14"/>
  <c r="W82" i="14" s="1"/>
  <c r="Y82" i="14" s="1"/>
  <c r="X82" i="14"/>
  <c r="T82" i="14"/>
  <c r="S82" i="14"/>
  <c r="V82" i="14" s="1"/>
  <c r="R82" i="14"/>
  <c r="U82" i="14" s="1"/>
  <c r="O82" i="14"/>
  <c r="L82" i="14"/>
  <c r="I82" i="14"/>
  <c r="Q82" i="14" s="1"/>
  <c r="H82" i="14"/>
  <c r="N82" i="14" s="1"/>
  <c r="G82" i="14"/>
  <c r="P82" i="14" s="1"/>
  <c r="F82" i="14"/>
  <c r="E82" i="14"/>
  <c r="AE81" i="14"/>
  <c r="AD81" i="14"/>
  <c r="AC81" i="14"/>
  <c r="AB81" i="14"/>
  <c r="AA81" i="14"/>
  <c r="Z81" i="14"/>
  <c r="W81" i="14" s="1"/>
  <c r="X81" i="14"/>
  <c r="T81" i="14"/>
  <c r="S81" i="14"/>
  <c r="R81" i="14"/>
  <c r="O81" i="14"/>
  <c r="L81" i="14"/>
  <c r="I81" i="14"/>
  <c r="Q81" i="14" s="1"/>
  <c r="H81" i="14"/>
  <c r="G81" i="14"/>
  <c r="P81" i="14" s="1"/>
  <c r="F81" i="14"/>
  <c r="E81" i="14"/>
  <c r="AE80" i="14"/>
  <c r="AD80" i="14"/>
  <c r="AC80" i="14"/>
  <c r="AB80" i="14"/>
  <c r="AA80" i="14"/>
  <c r="Z80" i="14"/>
  <c r="W80" i="14" s="1"/>
  <c r="Y80" i="14" s="1"/>
  <c r="X80" i="14"/>
  <c r="T80" i="14"/>
  <c r="S80" i="14"/>
  <c r="R80" i="14"/>
  <c r="O80" i="14"/>
  <c r="L80" i="14"/>
  <c r="I80" i="14"/>
  <c r="Q80" i="14" s="1"/>
  <c r="H80" i="14"/>
  <c r="G80" i="14"/>
  <c r="P80" i="14" s="1"/>
  <c r="F80" i="14"/>
  <c r="E80" i="14"/>
  <c r="AE79" i="14"/>
  <c r="AD79" i="14"/>
  <c r="AC79" i="14"/>
  <c r="AB79" i="14"/>
  <c r="AA79" i="14"/>
  <c r="Z79" i="14"/>
  <c r="X79" i="14"/>
  <c r="T79" i="14"/>
  <c r="S79" i="14"/>
  <c r="V79" i="14" s="1"/>
  <c r="R79" i="14"/>
  <c r="O79" i="14"/>
  <c r="L79" i="14"/>
  <c r="I79" i="14"/>
  <c r="Q79" i="14" s="1"/>
  <c r="H79" i="14"/>
  <c r="N79" i="14" s="1"/>
  <c r="G79" i="14"/>
  <c r="P79" i="14" s="1"/>
  <c r="F79" i="14"/>
  <c r="E79" i="14"/>
  <c r="D79" i="14" s="1"/>
  <c r="AE78" i="14"/>
  <c r="AD78" i="14"/>
  <c r="AC78" i="14"/>
  <c r="AB78" i="14"/>
  <c r="AA78" i="14"/>
  <c r="Z78" i="14"/>
  <c r="W78" i="14" s="1"/>
  <c r="Y78" i="14" s="1"/>
  <c r="X78" i="14"/>
  <c r="T78" i="14"/>
  <c r="S78" i="14"/>
  <c r="V78" i="14" s="1"/>
  <c r="R78" i="14"/>
  <c r="U78" i="14" s="1"/>
  <c r="O78" i="14"/>
  <c r="L78" i="14"/>
  <c r="J78" i="14" s="1"/>
  <c r="I78" i="14"/>
  <c r="Q78" i="14" s="1"/>
  <c r="H78" i="14"/>
  <c r="N78" i="14" s="1"/>
  <c r="G78" i="14"/>
  <c r="P78" i="14" s="1"/>
  <c r="F78" i="14"/>
  <c r="E78" i="14"/>
  <c r="AE77" i="14"/>
  <c r="AD77" i="14"/>
  <c r="AC77" i="14"/>
  <c r="AB77" i="14"/>
  <c r="AA77" i="14"/>
  <c r="Z77" i="14"/>
  <c r="X77" i="14"/>
  <c r="T77" i="14"/>
  <c r="S77" i="14"/>
  <c r="V77" i="14" s="1"/>
  <c r="R77" i="14"/>
  <c r="U77" i="14" s="1"/>
  <c r="O77" i="14"/>
  <c r="L77" i="14"/>
  <c r="I77" i="14"/>
  <c r="Q77" i="14" s="1"/>
  <c r="H77" i="14"/>
  <c r="N77" i="14" s="1"/>
  <c r="G77" i="14"/>
  <c r="P77" i="14" s="1"/>
  <c r="F77" i="14"/>
  <c r="E77" i="14"/>
  <c r="AE76" i="14"/>
  <c r="AD76" i="14"/>
  <c r="AC76" i="14"/>
  <c r="AB76" i="14"/>
  <c r="AA76" i="14"/>
  <c r="Z76" i="14"/>
  <c r="X76" i="14"/>
  <c r="T76" i="14"/>
  <c r="S76" i="14"/>
  <c r="R76" i="14"/>
  <c r="O76" i="14"/>
  <c r="L76" i="14"/>
  <c r="I76" i="14"/>
  <c r="Q76" i="14" s="1"/>
  <c r="H76" i="14"/>
  <c r="G76" i="14"/>
  <c r="P76" i="14" s="1"/>
  <c r="F76" i="14"/>
  <c r="E76" i="14"/>
  <c r="D76" i="14" s="1"/>
  <c r="M76" i="14" s="1"/>
  <c r="AE75" i="14"/>
  <c r="AD75" i="14"/>
  <c r="AC75" i="14"/>
  <c r="AB75" i="14"/>
  <c r="AA75" i="14"/>
  <c r="Z75" i="14"/>
  <c r="W75" i="14" s="1"/>
  <c r="Y75" i="14" s="1"/>
  <c r="X75" i="14"/>
  <c r="T75" i="14"/>
  <c r="S75" i="14"/>
  <c r="R75" i="14"/>
  <c r="O75" i="14"/>
  <c r="L75" i="14"/>
  <c r="J75" i="14" s="1"/>
  <c r="I75" i="14"/>
  <c r="Q75" i="14" s="1"/>
  <c r="H75" i="14"/>
  <c r="G75" i="14"/>
  <c r="F75" i="14"/>
  <c r="D75" i="14" s="1"/>
  <c r="E75" i="14"/>
  <c r="AE73" i="14"/>
  <c r="AD73" i="14"/>
  <c r="AC73" i="14"/>
  <c r="W73" i="14" s="1"/>
  <c r="Y73" i="14" s="1"/>
  <c r="AB73" i="14"/>
  <c r="AA73" i="14"/>
  <c r="Z73" i="14"/>
  <c r="X73" i="14"/>
  <c r="T73" i="14"/>
  <c r="S73" i="14"/>
  <c r="V73" i="14" s="1"/>
  <c r="R73" i="14"/>
  <c r="U73" i="14" s="1"/>
  <c r="O73" i="14"/>
  <c r="L73" i="14"/>
  <c r="J73" i="14" s="1"/>
  <c r="I73" i="14"/>
  <c r="Q73" i="14" s="1"/>
  <c r="H73" i="14"/>
  <c r="N73" i="14" s="1"/>
  <c r="G73" i="14"/>
  <c r="P73" i="14" s="1"/>
  <c r="F73" i="14"/>
  <c r="E73" i="14"/>
  <c r="D73" i="14" s="1"/>
  <c r="AE72" i="14"/>
  <c r="AD72" i="14"/>
  <c r="AC72" i="14"/>
  <c r="AB72" i="14"/>
  <c r="AA72" i="14"/>
  <c r="Z72" i="14"/>
  <c r="W72" i="14" s="1"/>
  <c r="X72" i="14"/>
  <c r="T72" i="14"/>
  <c r="S72" i="14"/>
  <c r="V72" i="14" s="1"/>
  <c r="R72" i="14"/>
  <c r="U72" i="14" s="1"/>
  <c r="O72" i="14"/>
  <c r="L72" i="14"/>
  <c r="I72" i="14"/>
  <c r="Q72" i="14" s="1"/>
  <c r="H72" i="14"/>
  <c r="N72" i="14" s="1"/>
  <c r="G72" i="14"/>
  <c r="P72" i="14" s="1"/>
  <c r="F72" i="14"/>
  <c r="E72" i="14"/>
  <c r="AE71" i="14"/>
  <c r="AD71" i="14"/>
  <c r="AC71" i="14"/>
  <c r="AB71" i="14"/>
  <c r="AA71" i="14"/>
  <c r="Z71" i="14"/>
  <c r="X71" i="14"/>
  <c r="T71" i="14"/>
  <c r="S71" i="14"/>
  <c r="V71" i="14" s="1"/>
  <c r="R71" i="14"/>
  <c r="U71" i="14" s="1"/>
  <c r="O71" i="14"/>
  <c r="L71" i="14"/>
  <c r="I71" i="14"/>
  <c r="Q71" i="14" s="1"/>
  <c r="H71" i="14"/>
  <c r="N71" i="14" s="1"/>
  <c r="G71" i="14"/>
  <c r="P71" i="14" s="1"/>
  <c r="F71" i="14"/>
  <c r="E71" i="14"/>
  <c r="D71" i="14" s="1"/>
  <c r="M71" i="14" s="1"/>
  <c r="AE70" i="14"/>
  <c r="AD70" i="14"/>
  <c r="AC70" i="14"/>
  <c r="AB70" i="14"/>
  <c r="AA70" i="14"/>
  <c r="Z70" i="14"/>
  <c r="X70" i="14"/>
  <c r="T70" i="14"/>
  <c r="V70" i="14" s="1"/>
  <c r="S70" i="14"/>
  <c r="R70" i="14"/>
  <c r="O70" i="14"/>
  <c r="L70" i="14"/>
  <c r="J70" i="14" s="1"/>
  <c r="I70" i="14"/>
  <c r="Q70" i="14" s="1"/>
  <c r="H70" i="14"/>
  <c r="G70" i="14"/>
  <c r="P70" i="14" s="1"/>
  <c r="F70" i="14"/>
  <c r="E70" i="14"/>
  <c r="AE69" i="14"/>
  <c r="AD69" i="14"/>
  <c r="AC69" i="14"/>
  <c r="AB69" i="14"/>
  <c r="AA69" i="14"/>
  <c r="Z69" i="14"/>
  <c r="X69" i="14"/>
  <c r="T69" i="14"/>
  <c r="S69" i="14"/>
  <c r="V69" i="14" s="1"/>
  <c r="R69" i="14"/>
  <c r="U69" i="14" s="1"/>
  <c r="O69" i="14"/>
  <c r="L69" i="14"/>
  <c r="I69" i="14"/>
  <c r="Q69" i="14" s="1"/>
  <c r="H69" i="14"/>
  <c r="N69" i="14" s="1"/>
  <c r="G69" i="14"/>
  <c r="P69" i="14" s="1"/>
  <c r="F69" i="14"/>
  <c r="E69" i="14"/>
  <c r="AE68" i="14"/>
  <c r="AD68" i="14"/>
  <c r="AC68" i="14"/>
  <c r="AB68" i="14"/>
  <c r="AA68" i="14"/>
  <c r="Z68" i="14"/>
  <c r="X68" i="14"/>
  <c r="T68" i="14"/>
  <c r="S68" i="14"/>
  <c r="R68" i="14"/>
  <c r="O68" i="14"/>
  <c r="L68" i="14"/>
  <c r="I68" i="14"/>
  <c r="Q68" i="14" s="1"/>
  <c r="H68" i="14"/>
  <c r="G68" i="14"/>
  <c r="P68" i="14" s="1"/>
  <c r="F68" i="14"/>
  <c r="E68" i="14"/>
  <c r="AE67" i="14"/>
  <c r="AD67" i="14"/>
  <c r="AC67" i="14"/>
  <c r="AB67" i="14"/>
  <c r="AA67" i="14"/>
  <c r="Z67" i="14"/>
  <c r="X67" i="14"/>
  <c r="T67" i="14"/>
  <c r="S67" i="14"/>
  <c r="R67" i="14"/>
  <c r="O67" i="14"/>
  <c r="L67" i="14"/>
  <c r="J67" i="14" s="1"/>
  <c r="I67" i="14"/>
  <c r="Q67" i="14" s="1"/>
  <c r="H67" i="14"/>
  <c r="N67" i="14" s="1"/>
  <c r="G67" i="14"/>
  <c r="P67" i="14" s="1"/>
  <c r="F67" i="14"/>
  <c r="E67" i="14"/>
  <c r="AE66" i="14"/>
  <c r="AD66" i="14"/>
  <c r="AC66" i="14"/>
  <c r="AB66" i="14"/>
  <c r="AA66" i="14"/>
  <c r="Z66" i="14"/>
  <c r="X66" i="14"/>
  <c r="T66" i="14"/>
  <c r="S66" i="14"/>
  <c r="V66" i="14" s="1"/>
  <c r="R66" i="14"/>
  <c r="U66" i="14" s="1"/>
  <c r="O66" i="14"/>
  <c r="L66" i="14"/>
  <c r="I66" i="14"/>
  <c r="Q66" i="14" s="1"/>
  <c r="H66" i="14"/>
  <c r="G66" i="14"/>
  <c r="P66" i="14" s="1"/>
  <c r="F66" i="14"/>
  <c r="E66" i="14"/>
  <c r="AE65" i="14"/>
  <c r="AD65" i="14"/>
  <c r="AC65" i="14"/>
  <c r="AB65" i="14"/>
  <c r="AA65" i="14"/>
  <c r="Z65" i="14"/>
  <c r="W65" i="14" s="1"/>
  <c r="Y65" i="14" s="1"/>
  <c r="X65" i="14"/>
  <c r="T65" i="14"/>
  <c r="S65" i="14"/>
  <c r="V65" i="14" s="1"/>
  <c r="R65" i="14"/>
  <c r="U65" i="14" s="1"/>
  <c r="O65" i="14"/>
  <c r="L65" i="14"/>
  <c r="I65" i="14"/>
  <c r="Q65" i="14" s="1"/>
  <c r="H65" i="14"/>
  <c r="N65" i="14" s="1"/>
  <c r="G65" i="14"/>
  <c r="P65" i="14" s="1"/>
  <c r="F65" i="14"/>
  <c r="E65" i="14"/>
  <c r="AE64" i="14"/>
  <c r="AD64" i="14"/>
  <c r="AC64" i="14"/>
  <c r="AB64" i="14"/>
  <c r="AA64" i="14"/>
  <c r="Z64" i="14"/>
  <c r="X64" i="14"/>
  <c r="T64" i="14"/>
  <c r="S64" i="14"/>
  <c r="V64" i="14" s="1"/>
  <c r="R64" i="14"/>
  <c r="U64" i="14" s="1"/>
  <c r="Q64" i="14"/>
  <c r="O64" i="14"/>
  <c r="L64" i="14"/>
  <c r="I64" i="14"/>
  <c r="H64" i="14"/>
  <c r="N64" i="14" s="1"/>
  <c r="G64" i="14"/>
  <c r="P64" i="14" s="1"/>
  <c r="F64" i="14"/>
  <c r="D64" i="14" s="1"/>
  <c r="M64" i="14" s="1"/>
  <c r="E64" i="14"/>
  <c r="AE63" i="14"/>
  <c r="AD63" i="14"/>
  <c r="AC63" i="14"/>
  <c r="AB63" i="14"/>
  <c r="AA63" i="14"/>
  <c r="Z63" i="14"/>
  <c r="X63" i="14"/>
  <c r="T63" i="14"/>
  <c r="S63" i="14"/>
  <c r="V63" i="14" s="1"/>
  <c r="R63" i="14"/>
  <c r="O63" i="14"/>
  <c r="L63" i="14"/>
  <c r="I63" i="14"/>
  <c r="Q63" i="14" s="1"/>
  <c r="H63" i="14"/>
  <c r="N63" i="14" s="1"/>
  <c r="G63" i="14"/>
  <c r="P63" i="14" s="1"/>
  <c r="F63" i="14"/>
  <c r="E63" i="14"/>
  <c r="AE62" i="14"/>
  <c r="AD62" i="14"/>
  <c r="AC62" i="14"/>
  <c r="AB62" i="14"/>
  <c r="AA62" i="14"/>
  <c r="Z62" i="14"/>
  <c r="X62" i="14"/>
  <c r="T62" i="14"/>
  <c r="S62" i="14"/>
  <c r="R62" i="14"/>
  <c r="O62" i="14"/>
  <c r="L62" i="14"/>
  <c r="I62" i="14"/>
  <c r="Q62" i="14" s="1"/>
  <c r="H62" i="14"/>
  <c r="G62" i="14"/>
  <c r="P62" i="14" s="1"/>
  <c r="F62" i="14"/>
  <c r="E62" i="14"/>
  <c r="AE61" i="14"/>
  <c r="AD61" i="14"/>
  <c r="AC61" i="14"/>
  <c r="AB61" i="14"/>
  <c r="AA61" i="14"/>
  <c r="Z61" i="14"/>
  <c r="W61" i="14" s="1"/>
  <c r="Y61" i="14" s="1"/>
  <c r="X61" i="14"/>
  <c r="T61" i="14"/>
  <c r="S61" i="14"/>
  <c r="V61" i="14" s="1"/>
  <c r="R61" i="14"/>
  <c r="U61" i="14" s="1"/>
  <c r="O61" i="14"/>
  <c r="L61" i="14"/>
  <c r="I61" i="14"/>
  <c r="Q61" i="14" s="1"/>
  <c r="H61" i="14"/>
  <c r="N61" i="14" s="1"/>
  <c r="G61" i="14"/>
  <c r="P61" i="14" s="1"/>
  <c r="F61" i="14"/>
  <c r="E61" i="14"/>
  <c r="AE60" i="14"/>
  <c r="AD60" i="14"/>
  <c r="AC60" i="14"/>
  <c r="AB60" i="14"/>
  <c r="AA60" i="14"/>
  <c r="Z60" i="14"/>
  <c r="X60" i="14"/>
  <c r="T60" i="14"/>
  <c r="S60" i="14"/>
  <c r="V60" i="14" s="1"/>
  <c r="R60" i="14"/>
  <c r="U60" i="14" s="1"/>
  <c r="O60" i="14"/>
  <c r="J60" i="14" s="1"/>
  <c r="L60" i="14"/>
  <c r="I60" i="14"/>
  <c r="Q60" i="14" s="1"/>
  <c r="H60" i="14"/>
  <c r="N60" i="14" s="1"/>
  <c r="G60" i="14"/>
  <c r="P60" i="14" s="1"/>
  <c r="F60" i="14"/>
  <c r="E60" i="14"/>
  <c r="AE59" i="14"/>
  <c r="AD59" i="14"/>
  <c r="AC59" i="14"/>
  <c r="AB59" i="14"/>
  <c r="AA59" i="14"/>
  <c r="Z59" i="14"/>
  <c r="X59" i="14"/>
  <c r="T59" i="14"/>
  <c r="S59" i="14"/>
  <c r="V59" i="14" s="1"/>
  <c r="R59" i="14"/>
  <c r="U59" i="14" s="1"/>
  <c r="O59" i="14"/>
  <c r="L59" i="14"/>
  <c r="I59" i="14"/>
  <c r="Q59" i="14" s="1"/>
  <c r="H59" i="14"/>
  <c r="N59" i="14" s="1"/>
  <c r="G59" i="14"/>
  <c r="P59" i="14" s="1"/>
  <c r="F59" i="14"/>
  <c r="E59" i="14"/>
  <c r="AE58" i="14"/>
  <c r="AD58" i="14"/>
  <c r="AC58" i="14"/>
  <c r="AB58" i="14"/>
  <c r="AA58" i="14"/>
  <c r="Z58" i="14"/>
  <c r="X58" i="14"/>
  <c r="T58" i="14"/>
  <c r="S58" i="14"/>
  <c r="R58" i="14"/>
  <c r="O58" i="14"/>
  <c r="L58" i="14"/>
  <c r="I58" i="14"/>
  <c r="Q58" i="14" s="1"/>
  <c r="H58" i="14"/>
  <c r="N58" i="14" s="1"/>
  <c r="G58" i="14"/>
  <c r="P58" i="14" s="1"/>
  <c r="F58" i="14"/>
  <c r="E58" i="14"/>
  <c r="AE57" i="14"/>
  <c r="AD57" i="14"/>
  <c r="AC57" i="14"/>
  <c r="AB57" i="14"/>
  <c r="AA57" i="14"/>
  <c r="Z57" i="14"/>
  <c r="W57" i="14" s="1"/>
  <c r="Y57" i="14" s="1"/>
  <c r="X57" i="14"/>
  <c r="T57" i="14"/>
  <c r="S57" i="14"/>
  <c r="V57" i="14" s="1"/>
  <c r="R57" i="14"/>
  <c r="U57" i="14" s="1"/>
  <c r="O57" i="14"/>
  <c r="L57" i="14"/>
  <c r="I57" i="14"/>
  <c r="Q57" i="14" s="1"/>
  <c r="H57" i="14"/>
  <c r="N57" i="14" s="1"/>
  <c r="G57" i="14"/>
  <c r="P57" i="14" s="1"/>
  <c r="F57" i="14"/>
  <c r="E57" i="14"/>
  <c r="AE56" i="14"/>
  <c r="AD56" i="14"/>
  <c r="AC56" i="14"/>
  <c r="AB56" i="14"/>
  <c r="AA56" i="14"/>
  <c r="Z56" i="14"/>
  <c r="W56" i="14" s="1"/>
  <c r="X56" i="14"/>
  <c r="T56" i="14"/>
  <c r="S56" i="14"/>
  <c r="R56" i="14"/>
  <c r="O56" i="14"/>
  <c r="L56" i="14"/>
  <c r="I56" i="14"/>
  <c r="Q56" i="14" s="1"/>
  <c r="H56" i="14"/>
  <c r="G56" i="14"/>
  <c r="P56" i="14" s="1"/>
  <c r="F56" i="14"/>
  <c r="E56" i="14"/>
  <c r="AE55" i="14"/>
  <c r="AD55" i="14"/>
  <c r="AC55" i="14"/>
  <c r="AB55" i="14"/>
  <c r="AA55" i="14"/>
  <c r="Z55" i="14"/>
  <c r="X55" i="14"/>
  <c r="T55" i="14"/>
  <c r="S55" i="14"/>
  <c r="R55" i="14"/>
  <c r="O55" i="14"/>
  <c r="L55" i="14"/>
  <c r="J55" i="14" s="1"/>
  <c r="I55" i="14"/>
  <c r="Q55" i="14" s="1"/>
  <c r="H55" i="14"/>
  <c r="N55" i="14" s="1"/>
  <c r="G55" i="14"/>
  <c r="P55" i="14" s="1"/>
  <c r="F55" i="14"/>
  <c r="E55" i="14"/>
  <c r="AE54" i="14"/>
  <c r="AD54" i="14"/>
  <c r="AC54" i="14"/>
  <c r="AB54" i="14"/>
  <c r="AA54" i="14"/>
  <c r="Z54" i="14"/>
  <c r="W54" i="14" s="1"/>
  <c r="X54" i="14"/>
  <c r="V54" i="14"/>
  <c r="T54" i="14"/>
  <c r="S54" i="14"/>
  <c r="R54" i="14"/>
  <c r="U54" i="14" s="1"/>
  <c r="O54" i="14"/>
  <c r="L54" i="14"/>
  <c r="J54" i="14" s="1"/>
  <c r="I54" i="14"/>
  <c r="Q54" i="14" s="1"/>
  <c r="H54" i="14"/>
  <c r="N54" i="14" s="1"/>
  <c r="G54" i="14"/>
  <c r="P54" i="14" s="1"/>
  <c r="F54" i="14"/>
  <c r="E54" i="14"/>
  <c r="AE53" i="14"/>
  <c r="AD53" i="14"/>
  <c r="AC53" i="14"/>
  <c r="AB53" i="14"/>
  <c r="AA53" i="14"/>
  <c r="Z53" i="14"/>
  <c r="X53" i="14"/>
  <c r="T53" i="14"/>
  <c r="S53" i="14"/>
  <c r="V53" i="14" s="1"/>
  <c r="R53" i="14"/>
  <c r="U53" i="14" s="1"/>
  <c r="O53" i="14"/>
  <c r="L53" i="14"/>
  <c r="I53" i="14"/>
  <c r="H53" i="14"/>
  <c r="N53" i="14" s="1"/>
  <c r="G53" i="14"/>
  <c r="P53" i="14" s="1"/>
  <c r="F53" i="14"/>
  <c r="E53" i="14"/>
  <c r="AE51" i="14"/>
  <c r="AD51" i="14"/>
  <c r="AC51" i="14"/>
  <c r="AB51" i="14"/>
  <c r="AA51" i="14"/>
  <c r="Z51" i="14"/>
  <c r="W51" i="14" s="1"/>
  <c r="Y51" i="14" s="1"/>
  <c r="X51" i="14"/>
  <c r="T51" i="14"/>
  <c r="S51" i="14"/>
  <c r="R51" i="14"/>
  <c r="U51" i="14" s="1"/>
  <c r="O51" i="14"/>
  <c r="L51" i="14"/>
  <c r="I51" i="14"/>
  <c r="Q51" i="14" s="1"/>
  <c r="H51" i="14"/>
  <c r="N51" i="14" s="1"/>
  <c r="G51" i="14"/>
  <c r="F51" i="14"/>
  <c r="E51" i="14"/>
  <c r="AE50" i="14"/>
  <c r="AD50" i="14"/>
  <c r="AC50" i="14"/>
  <c r="AB50" i="14"/>
  <c r="AA50" i="14"/>
  <c r="Z50" i="14"/>
  <c r="X50" i="14"/>
  <c r="T50" i="14"/>
  <c r="V50" i="14" s="1"/>
  <c r="S50" i="14"/>
  <c r="R50" i="14"/>
  <c r="O50" i="14"/>
  <c r="L50" i="14"/>
  <c r="J50" i="14" s="1"/>
  <c r="I50" i="14"/>
  <c r="Q50" i="14" s="1"/>
  <c r="H50" i="14"/>
  <c r="G50" i="14"/>
  <c r="P50" i="14" s="1"/>
  <c r="F50" i="14"/>
  <c r="E50" i="14"/>
  <c r="AE49" i="14"/>
  <c r="AD49" i="14"/>
  <c r="AC49" i="14"/>
  <c r="AB49" i="14"/>
  <c r="AA49" i="14"/>
  <c r="Z49" i="14"/>
  <c r="X49" i="14"/>
  <c r="T49" i="14"/>
  <c r="S49" i="14"/>
  <c r="R49" i="14"/>
  <c r="O49" i="14"/>
  <c r="L49" i="14"/>
  <c r="J49" i="14"/>
  <c r="I49" i="14"/>
  <c r="Q49" i="14" s="1"/>
  <c r="H49" i="14"/>
  <c r="G49" i="14"/>
  <c r="P49" i="14" s="1"/>
  <c r="F49" i="14"/>
  <c r="E49" i="14"/>
  <c r="D49" i="14" s="1"/>
  <c r="AE48" i="14"/>
  <c r="AD48" i="14"/>
  <c r="AC48" i="14"/>
  <c r="AB48" i="14"/>
  <c r="AA48" i="14"/>
  <c r="Z48" i="14"/>
  <c r="X48" i="14"/>
  <c r="T48" i="14"/>
  <c r="S48" i="14"/>
  <c r="V48" i="14" s="1"/>
  <c r="R48" i="14"/>
  <c r="O48" i="14"/>
  <c r="L48" i="14"/>
  <c r="I48" i="14"/>
  <c r="Q48" i="14" s="1"/>
  <c r="H48" i="14"/>
  <c r="G48" i="14"/>
  <c r="P48" i="14" s="1"/>
  <c r="F48" i="14"/>
  <c r="E48" i="14"/>
  <c r="AE47" i="14"/>
  <c r="AD47" i="14"/>
  <c r="AC47" i="14"/>
  <c r="AB47" i="14"/>
  <c r="AA47" i="14"/>
  <c r="Z47" i="14"/>
  <c r="X47" i="14"/>
  <c r="T47" i="14"/>
  <c r="S47" i="14"/>
  <c r="R47" i="14"/>
  <c r="U47" i="14" s="1"/>
  <c r="O47" i="14"/>
  <c r="L47" i="14"/>
  <c r="I47" i="14"/>
  <c r="Q47" i="14" s="1"/>
  <c r="H47" i="14"/>
  <c r="G47" i="14"/>
  <c r="P47" i="14" s="1"/>
  <c r="F47" i="14"/>
  <c r="E47" i="14"/>
  <c r="AE46" i="14"/>
  <c r="AD46" i="14"/>
  <c r="AC46" i="14"/>
  <c r="AB46" i="14"/>
  <c r="AA46" i="14"/>
  <c r="Z46" i="14"/>
  <c r="X46" i="14"/>
  <c r="T46" i="14"/>
  <c r="S46" i="14"/>
  <c r="R46" i="14"/>
  <c r="O46" i="14"/>
  <c r="L46" i="14"/>
  <c r="I46" i="14"/>
  <c r="Q46" i="14" s="1"/>
  <c r="H46" i="14"/>
  <c r="N46" i="14" s="1"/>
  <c r="G46" i="14"/>
  <c r="P46" i="14" s="1"/>
  <c r="F46" i="14"/>
  <c r="E46" i="14"/>
  <c r="AE45" i="14"/>
  <c r="AD45" i="14"/>
  <c r="AC45" i="14"/>
  <c r="AB45" i="14"/>
  <c r="AA45" i="14"/>
  <c r="Z45" i="14"/>
  <c r="X45" i="14"/>
  <c r="T45" i="14"/>
  <c r="S45" i="14"/>
  <c r="V45" i="14" s="1"/>
  <c r="R45" i="14"/>
  <c r="O45" i="14"/>
  <c r="J45" i="14" s="1"/>
  <c r="L45" i="14"/>
  <c r="I45" i="14"/>
  <c r="Q45" i="14" s="1"/>
  <c r="H45" i="14"/>
  <c r="N45" i="14" s="1"/>
  <c r="G45" i="14"/>
  <c r="F45" i="14"/>
  <c r="E45" i="14"/>
  <c r="AE44" i="14"/>
  <c r="AD44" i="14"/>
  <c r="AC44" i="14"/>
  <c r="AB44" i="14"/>
  <c r="AA44" i="14"/>
  <c r="Z44" i="14"/>
  <c r="X44" i="14"/>
  <c r="T44" i="14"/>
  <c r="S44" i="14"/>
  <c r="R44" i="14"/>
  <c r="O44" i="14"/>
  <c r="L44" i="14"/>
  <c r="J44" i="14" s="1"/>
  <c r="I44" i="14"/>
  <c r="Q44" i="14" s="1"/>
  <c r="H44" i="14"/>
  <c r="N44" i="14" s="1"/>
  <c r="G44" i="14"/>
  <c r="P44" i="14" s="1"/>
  <c r="F44" i="14"/>
  <c r="E44" i="14"/>
  <c r="AE43" i="14"/>
  <c r="AD43" i="14"/>
  <c r="AC43" i="14"/>
  <c r="W43" i="14" s="1"/>
  <c r="AB43" i="14"/>
  <c r="AA43" i="14"/>
  <c r="Z43" i="14"/>
  <c r="X43" i="14"/>
  <c r="T43" i="14"/>
  <c r="S43" i="14"/>
  <c r="R43" i="14"/>
  <c r="O43" i="14"/>
  <c r="L43" i="14"/>
  <c r="I43" i="14"/>
  <c r="Q43" i="14" s="1"/>
  <c r="H43" i="14"/>
  <c r="N43" i="14" s="1"/>
  <c r="G43" i="14"/>
  <c r="P43" i="14" s="1"/>
  <c r="F43" i="14"/>
  <c r="E43" i="14"/>
  <c r="AE42" i="14"/>
  <c r="AD42" i="14"/>
  <c r="AC42" i="14"/>
  <c r="AB42" i="14"/>
  <c r="AA42" i="14"/>
  <c r="Z42" i="14"/>
  <c r="X42" i="14"/>
  <c r="T42" i="14"/>
  <c r="S42" i="14"/>
  <c r="V42" i="14" s="1"/>
  <c r="R42" i="14"/>
  <c r="U42" i="14" s="1"/>
  <c r="O42" i="14"/>
  <c r="L42" i="14"/>
  <c r="I42" i="14"/>
  <c r="Q42" i="14" s="1"/>
  <c r="H42" i="14"/>
  <c r="N42" i="14" s="1"/>
  <c r="G42" i="14"/>
  <c r="P42" i="14" s="1"/>
  <c r="F42" i="14"/>
  <c r="E42" i="14"/>
  <c r="AE41" i="14"/>
  <c r="AD41" i="14"/>
  <c r="AC41" i="14"/>
  <c r="AB41" i="14"/>
  <c r="AA41" i="14"/>
  <c r="Z41" i="14"/>
  <c r="W41" i="14" s="1"/>
  <c r="X41" i="14"/>
  <c r="T41" i="14"/>
  <c r="S41" i="14"/>
  <c r="V41" i="14" s="1"/>
  <c r="R41" i="14"/>
  <c r="O41" i="14"/>
  <c r="L41" i="14"/>
  <c r="J41" i="14" s="1"/>
  <c r="I41" i="14"/>
  <c r="Q41" i="14" s="1"/>
  <c r="H41" i="14"/>
  <c r="G41" i="14"/>
  <c r="P41" i="14" s="1"/>
  <c r="F41" i="14"/>
  <c r="E41" i="14"/>
  <c r="AE40" i="14"/>
  <c r="AD40" i="14"/>
  <c r="AC40" i="14"/>
  <c r="AB40" i="14"/>
  <c r="AA40" i="14"/>
  <c r="Z40" i="14"/>
  <c r="X40" i="14"/>
  <c r="T40" i="14"/>
  <c r="S40" i="14"/>
  <c r="R40" i="14"/>
  <c r="O40" i="14"/>
  <c r="J40" i="14" s="1"/>
  <c r="L40" i="14"/>
  <c r="I40" i="14"/>
  <c r="Q40" i="14" s="1"/>
  <c r="H40" i="14"/>
  <c r="N40" i="14" s="1"/>
  <c r="G40" i="14"/>
  <c r="P40" i="14" s="1"/>
  <c r="F40" i="14"/>
  <c r="E40" i="14"/>
  <c r="AE39" i="14"/>
  <c r="AD39" i="14"/>
  <c r="AC39" i="14"/>
  <c r="AB39" i="14"/>
  <c r="AA39" i="14"/>
  <c r="Z39" i="14"/>
  <c r="W39" i="14" s="1"/>
  <c r="Y39" i="14" s="1"/>
  <c r="X39" i="14"/>
  <c r="T39" i="14"/>
  <c r="S39" i="14"/>
  <c r="V39" i="14" s="1"/>
  <c r="R39" i="14"/>
  <c r="U39" i="14" s="1"/>
  <c r="O39" i="14"/>
  <c r="L39" i="14"/>
  <c r="I39" i="14"/>
  <c r="Q39" i="14" s="1"/>
  <c r="H39" i="14"/>
  <c r="G39" i="14"/>
  <c r="F39" i="14"/>
  <c r="E39" i="14"/>
  <c r="AE38" i="14"/>
  <c r="AD38" i="14"/>
  <c r="AC38" i="14"/>
  <c r="AB38" i="14"/>
  <c r="AA38" i="14"/>
  <c r="Z38" i="14"/>
  <c r="W38" i="14" s="1"/>
  <c r="X38" i="14"/>
  <c r="T38" i="14"/>
  <c r="S38" i="14"/>
  <c r="R38" i="14"/>
  <c r="O38" i="14"/>
  <c r="L38" i="14"/>
  <c r="I38" i="14"/>
  <c r="Q38" i="14" s="1"/>
  <c r="H38" i="14"/>
  <c r="N38" i="14" s="1"/>
  <c r="G38" i="14"/>
  <c r="P38" i="14" s="1"/>
  <c r="F38" i="14"/>
  <c r="E38" i="14"/>
  <c r="AE37" i="14"/>
  <c r="AD37" i="14"/>
  <c r="AC37" i="14"/>
  <c r="AB37" i="14"/>
  <c r="AA37" i="14"/>
  <c r="Z37" i="14"/>
  <c r="X37" i="14"/>
  <c r="T37" i="14"/>
  <c r="S37" i="14"/>
  <c r="R37" i="14"/>
  <c r="O37" i="14"/>
  <c r="L37" i="14"/>
  <c r="I37" i="14"/>
  <c r="Q37" i="14" s="1"/>
  <c r="H37" i="14"/>
  <c r="N37" i="14" s="1"/>
  <c r="G37" i="14"/>
  <c r="P37" i="14" s="1"/>
  <c r="F37" i="14"/>
  <c r="E37" i="14"/>
  <c r="AE36" i="14"/>
  <c r="AD36" i="14"/>
  <c r="AC36" i="14"/>
  <c r="AB36" i="14"/>
  <c r="AA36" i="14"/>
  <c r="Z36" i="14"/>
  <c r="W36" i="14" s="1"/>
  <c r="X36" i="14"/>
  <c r="T36" i="14"/>
  <c r="S36" i="14"/>
  <c r="R36" i="14"/>
  <c r="U36" i="14" s="1"/>
  <c r="O36" i="14"/>
  <c r="L36" i="14"/>
  <c r="I36" i="14"/>
  <c r="Q36" i="14" s="1"/>
  <c r="H36" i="14"/>
  <c r="N36" i="14" s="1"/>
  <c r="G36" i="14"/>
  <c r="P36" i="14" s="1"/>
  <c r="F36" i="14"/>
  <c r="E36" i="14"/>
  <c r="AE35" i="14"/>
  <c r="AD35" i="14"/>
  <c r="AC35" i="14"/>
  <c r="AB35" i="14"/>
  <c r="AA35" i="14"/>
  <c r="Z35" i="14"/>
  <c r="W35" i="14" s="1"/>
  <c r="X35" i="14"/>
  <c r="T35" i="14"/>
  <c r="S35" i="14"/>
  <c r="R35" i="14"/>
  <c r="O35" i="14"/>
  <c r="L35" i="14"/>
  <c r="I35" i="14"/>
  <c r="Q35" i="14" s="1"/>
  <c r="H35" i="14"/>
  <c r="N35" i="14" s="1"/>
  <c r="G35" i="14"/>
  <c r="P35" i="14" s="1"/>
  <c r="F35" i="14"/>
  <c r="E35" i="14"/>
  <c r="D35" i="14" s="1"/>
  <c r="M35" i="14" s="1"/>
  <c r="AE34" i="14"/>
  <c r="AD34" i="14"/>
  <c r="AC34" i="14"/>
  <c r="AB34" i="14"/>
  <c r="AA34" i="14"/>
  <c r="Z34" i="14"/>
  <c r="X34" i="14"/>
  <c r="V34" i="14"/>
  <c r="T34" i="14"/>
  <c r="S34" i="14"/>
  <c r="R34" i="14"/>
  <c r="U34" i="14" s="1"/>
  <c r="O34" i="14"/>
  <c r="L34" i="14"/>
  <c r="I34" i="14"/>
  <c r="Q34" i="14" s="1"/>
  <c r="H34" i="14"/>
  <c r="N34" i="14" s="1"/>
  <c r="G34" i="14"/>
  <c r="P34" i="14" s="1"/>
  <c r="F34" i="14"/>
  <c r="E34" i="14"/>
  <c r="AE33" i="14"/>
  <c r="AD33" i="14"/>
  <c r="AC33" i="14"/>
  <c r="AB33" i="14"/>
  <c r="AA33" i="14"/>
  <c r="Z33" i="14"/>
  <c r="X33" i="14"/>
  <c r="T33" i="14"/>
  <c r="S33" i="14"/>
  <c r="R33" i="14"/>
  <c r="O33" i="14"/>
  <c r="L33" i="14"/>
  <c r="I33" i="14"/>
  <c r="Q33" i="14" s="1"/>
  <c r="H33" i="14"/>
  <c r="N33" i="14" s="1"/>
  <c r="G33" i="14"/>
  <c r="F33" i="14"/>
  <c r="E33" i="14"/>
  <c r="AE32" i="14"/>
  <c r="AD32" i="14"/>
  <c r="AC32" i="14"/>
  <c r="AB32" i="14"/>
  <c r="AA32" i="14"/>
  <c r="Z32" i="14"/>
  <c r="W32" i="14" s="1"/>
  <c r="X32" i="14"/>
  <c r="T32" i="14"/>
  <c r="S32" i="14"/>
  <c r="R32" i="14"/>
  <c r="O32" i="14"/>
  <c r="L32" i="14"/>
  <c r="I32" i="14"/>
  <c r="Q32" i="14" s="1"/>
  <c r="H32" i="14"/>
  <c r="G32" i="14"/>
  <c r="P32" i="14" s="1"/>
  <c r="F32" i="14"/>
  <c r="E32" i="14"/>
  <c r="AE30" i="14"/>
  <c r="AD30" i="14"/>
  <c r="AC30" i="14"/>
  <c r="AB30" i="14"/>
  <c r="AA30" i="14"/>
  <c r="Z30" i="14"/>
  <c r="X30" i="14"/>
  <c r="T30" i="14"/>
  <c r="S30" i="14"/>
  <c r="R30" i="14"/>
  <c r="O30" i="14"/>
  <c r="L30" i="14"/>
  <c r="J30" i="14" s="1"/>
  <c r="I30" i="14"/>
  <c r="Q30" i="14" s="1"/>
  <c r="H30" i="14"/>
  <c r="N30" i="14" s="1"/>
  <c r="G30" i="14"/>
  <c r="P30" i="14" s="1"/>
  <c r="F30" i="14"/>
  <c r="E30" i="14"/>
  <c r="D30" i="14" s="1"/>
  <c r="AE29" i="14"/>
  <c r="AD29" i="14"/>
  <c r="AC29" i="14"/>
  <c r="AB29" i="14"/>
  <c r="AA29" i="14"/>
  <c r="Z29" i="14"/>
  <c r="W29" i="14" s="1"/>
  <c r="X29" i="14"/>
  <c r="T29" i="14"/>
  <c r="S29" i="14"/>
  <c r="R29" i="14"/>
  <c r="U29" i="14" s="1"/>
  <c r="O29" i="14"/>
  <c r="L29" i="14"/>
  <c r="I29" i="14"/>
  <c r="Q29" i="14" s="1"/>
  <c r="H29" i="14"/>
  <c r="G29" i="14"/>
  <c r="P29" i="14" s="1"/>
  <c r="F29" i="14"/>
  <c r="E29" i="14"/>
  <c r="AE28" i="14"/>
  <c r="AD28" i="14"/>
  <c r="AC28" i="14"/>
  <c r="AB28" i="14"/>
  <c r="AA28" i="14"/>
  <c r="Z28" i="14"/>
  <c r="X28" i="14"/>
  <c r="T28" i="14"/>
  <c r="S28" i="14"/>
  <c r="R28" i="14"/>
  <c r="O28" i="14"/>
  <c r="J28" i="14" s="1"/>
  <c r="L28" i="14"/>
  <c r="I28" i="14"/>
  <c r="Q28" i="14" s="1"/>
  <c r="H28" i="14"/>
  <c r="N28" i="14" s="1"/>
  <c r="G28" i="14"/>
  <c r="P28" i="14" s="1"/>
  <c r="F28" i="14"/>
  <c r="E28" i="14"/>
  <c r="AE27" i="14"/>
  <c r="AD27" i="14"/>
  <c r="AC27" i="14"/>
  <c r="AB27" i="14"/>
  <c r="AA27" i="14"/>
  <c r="Z27" i="14"/>
  <c r="X27" i="14"/>
  <c r="T27" i="14"/>
  <c r="S27" i="14"/>
  <c r="V27" i="14" s="1"/>
  <c r="R27" i="14"/>
  <c r="O27" i="14"/>
  <c r="L27" i="14"/>
  <c r="I27" i="14"/>
  <c r="Q27" i="14" s="1"/>
  <c r="H27" i="14"/>
  <c r="N27" i="14" s="1"/>
  <c r="G27" i="14"/>
  <c r="F27" i="14"/>
  <c r="E27" i="14"/>
  <c r="AE26" i="14"/>
  <c r="AD26" i="14"/>
  <c r="AC26" i="14"/>
  <c r="AB26" i="14"/>
  <c r="AA26" i="14"/>
  <c r="Z26" i="14"/>
  <c r="X26" i="14"/>
  <c r="T26" i="14"/>
  <c r="S26" i="14"/>
  <c r="R26" i="14"/>
  <c r="U26" i="14" s="1"/>
  <c r="O26" i="14"/>
  <c r="L26" i="14"/>
  <c r="I26" i="14"/>
  <c r="Q26" i="14" s="1"/>
  <c r="H26" i="14"/>
  <c r="G26" i="14"/>
  <c r="P26" i="14" s="1"/>
  <c r="F26" i="14"/>
  <c r="E26" i="14"/>
  <c r="AE25" i="14"/>
  <c r="AD25" i="14"/>
  <c r="AC25" i="14"/>
  <c r="AB25" i="14"/>
  <c r="AA25" i="14"/>
  <c r="Z25" i="14"/>
  <c r="X25" i="14"/>
  <c r="T25" i="14"/>
  <c r="S25" i="14"/>
  <c r="V25" i="14" s="1"/>
  <c r="R25" i="14"/>
  <c r="U25" i="14" s="1"/>
  <c r="O25" i="14"/>
  <c r="L25" i="14"/>
  <c r="J25" i="14"/>
  <c r="I25" i="14"/>
  <c r="Q25" i="14" s="1"/>
  <c r="H25" i="14"/>
  <c r="N25" i="14" s="1"/>
  <c r="G25" i="14"/>
  <c r="P25" i="14" s="1"/>
  <c r="F25" i="14"/>
  <c r="E25" i="14"/>
  <c r="AE24" i="14"/>
  <c r="AD24" i="14"/>
  <c r="AC24" i="14"/>
  <c r="AB24" i="14"/>
  <c r="AA24" i="14"/>
  <c r="Z24" i="14"/>
  <c r="X24" i="14"/>
  <c r="T24" i="14"/>
  <c r="S24" i="14"/>
  <c r="V24" i="14" s="1"/>
  <c r="R24" i="14"/>
  <c r="O24" i="14"/>
  <c r="L24" i="14"/>
  <c r="I24" i="14"/>
  <c r="Q24" i="14" s="1"/>
  <c r="H24" i="14"/>
  <c r="N24" i="14" s="1"/>
  <c r="G24" i="14"/>
  <c r="P24" i="14" s="1"/>
  <c r="F24" i="14"/>
  <c r="E24" i="14"/>
  <c r="AE23" i="14"/>
  <c r="AD23" i="14"/>
  <c r="AC23" i="14"/>
  <c r="AB23" i="14"/>
  <c r="AA23" i="14"/>
  <c r="Z23" i="14"/>
  <c r="X23" i="14"/>
  <c r="T23" i="14"/>
  <c r="S23" i="14"/>
  <c r="V23" i="14" s="1"/>
  <c r="R23" i="14"/>
  <c r="U23" i="14" s="1"/>
  <c r="O23" i="14"/>
  <c r="L23" i="14"/>
  <c r="I23" i="14"/>
  <c r="Q23" i="14" s="1"/>
  <c r="H23" i="14"/>
  <c r="N23" i="14" s="1"/>
  <c r="G23" i="14"/>
  <c r="P23" i="14" s="1"/>
  <c r="F23" i="14"/>
  <c r="E23" i="14"/>
  <c r="AE22" i="14"/>
  <c r="AD22" i="14"/>
  <c r="AC22" i="14"/>
  <c r="AB22" i="14"/>
  <c r="AA22" i="14"/>
  <c r="Z22" i="14"/>
  <c r="X22" i="14"/>
  <c r="T22" i="14"/>
  <c r="S22" i="14"/>
  <c r="R22" i="14"/>
  <c r="O22" i="14"/>
  <c r="L22" i="14"/>
  <c r="J22" i="14" s="1"/>
  <c r="I22" i="14"/>
  <c r="Q22" i="14" s="1"/>
  <c r="H22" i="14"/>
  <c r="N22" i="14" s="1"/>
  <c r="G22" i="14"/>
  <c r="P22" i="14" s="1"/>
  <c r="F22" i="14"/>
  <c r="E22" i="14"/>
  <c r="AE21" i="14"/>
  <c r="AD21" i="14"/>
  <c r="AC21" i="14"/>
  <c r="AB21" i="14"/>
  <c r="AA21" i="14"/>
  <c r="Z21" i="14"/>
  <c r="W21" i="14" s="1"/>
  <c r="Y21" i="14" s="1"/>
  <c r="X21" i="14"/>
  <c r="T21" i="14"/>
  <c r="S21" i="14"/>
  <c r="R21" i="14"/>
  <c r="O21" i="14"/>
  <c r="L21" i="14"/>
  <c r="I21" i="14"/>
  <c r="Q21" i="14" s="1"/>
  <c r="H21" i="14"/>
  <c r="N21" i="14" s="1"/>
  <c r="G21" i="14"/>
  <c r="F21" i="14"/>
  <c r="D21" i="14" s="1"/>
  <c r="M21" i="14" s="1"/>
  <c r="E21" i="14"/>
  <c r="AE20" i="14"/>
  <c r="AD20" i="14"/>
  <c r="AC20" i="14"/>
  <c r="AB20" i="14"/>
  <c r="AA20" i="14"/>
  <c r="Z20" i="14"/>
  <c r="X20" i="14"/>
  <c r="T20" i="14"/>
  <c r="S20" i="14"/>
  <c r="R20" i="14"/>
  <c r="O20" i="14"/>
  <c r="L20" i="14"/>
  <c r="I20" i="14"/>
  <c r="Q20" i="14" s="1"/>
  <c r="H20" i="14"/>
  <c r="N20" i="14" s="1"/>
  <c r="G20" i="14"/>
  <c r="P20" i="14" s="1"/>
  <c r="F20" i="14"/>
  <c r="E20" i="14"/>
  <c r="AE19" i="14"/>
  <c r="AD19" i="14"/>
  <c r="AC19" i="14"/>
  <c r="AB19" i="14"/>
  <c r="AA19" i="14"/>
  <c r="Z19" i="14"/>
  <c r="X19" i="14"/>
  <c r="T19" i="14"/>
  <c r="S19" i="14"/>
  <c r="R19" i="14"/>
  <c r="O19" i="14"/>
  <c r="L19" i="14"/>
  <c r="I19" i="14"/>
  <c r="Q19" i="14" s="1"/>
  <c r="H19" i="14"/>
  <c r="N19" i="14" s="1"/>
  <c r="G19" i="14"/>
  <c r="P19" i="14" s="1"/>
  <c r="F19" i="14"/>
  <c r="E19" i="14"/>
  <c r="AE18" i="14"/>
  <c r="AD18" i="14"/>
  <c r="AC18" i="14"/>
  <c r="AB18" i="14"/>
  <c r="AA18" i="14"/>
  <c r="Z18" i="14"/>
  <c r="X18" i="14"/>
  <c r="T18" i="14"/>
  <c r="S18" i="14"/>
  <c r="R18" i="14"/>
  <c r="O18" i="14"/>
  <c r="L18" i="14"/>
  <c r="J18" i="14" s="1"/>
  <c r="I18" i="14"/>
  <c r="Q18" i="14" s="1"/>
  <c r="H18" i="14"/>
  <c r="N18" i="14" s="1"/>
  <c r="G18" i="14"/>
  <c r="P18" i="14" s="1"/>
  <c r="F18" i="14"/>
  <c r="E18" i="14"/>
  <c r="AE17" i="14"/>
  <c r="AD17" i="14"/>
  <c r="AC17" i="14"/>
  <c r="AB17" i="14"/>
  <c r="AA17" i="14"/>
  <c r="Z17" i="14"/>
  <c r="X17" i="14"/>
  <c r="T17" i="14"/>
  <c r="S17" i="14"/>
  <c r="R17" i="14"/>
  <c r="U17" i="14" s="1"/>
  <c r="O17" i="14"/>
  <c r="L17" i="14"/>
  <c r="I17" i="14"/>
  <c r="Q17" i="14" s="1"/>
  <c r="H17" i="14"/>
  <c r="N17" i="14" s="1"/>
  <c r="G17" i="14"/>
  <c r="P17" i="14" s="1"/>
  <c r="F17" i="14"/>
  <c r="E17" i="14"/>
  <c r="AE16" i="14"/>
  <c r="AD16" i="14"/>
  <c r="AC16" i="14"/>
  <c r="AB16" i="14"/>
  <c r="AA16" i="14"/>
  <c r="Z16" i="14"/>
  <c r="X16" i="14"/>
  <c r="T16" i="14"/>
  <c r="S16" i="14"/>
  <c r="R16" i="14"/>
  <c r="O16" i="14"/>
  <c r="L16" i="14"/>
  <c r="J16" i="14" s="1"/>
  <c r="I16" i="14"/>
  <c r="Q16" i="14" s="1"/>
  <c r="H16" i="14"/>
  <c r="G16" i="14"/>
  <c r="P16" i="14" s="1"/>
  <c r="F16" i="14"/>
  <c r="E16" i="14"/>
  <c r="AE15" i="14"/>
  <c r="AD15" i="14"/>
  <c r="AC15" i="14"/>
  <c r="AB15" i="14"/>
  <c r="AA15" i="14"/>
  <c r="Z15" i="14"/>
  <c r="X15" i="14"/>
  <c r="T15" i="14"/>
  <c r="S15" i="14"/>
  <c r="R15" i="14"/>
  <c r="U15" i="14" s="1"/>
  <c r="O15" i="14"/>
  <c r="L15" i="14"/>
  <c r="I15" i="14"/>
  <c r="Q15" i="14" s="1"/>
  <c r="H15" i="14"/>
  <c r="N15" i="14" s="1"/>
  <c r="G15" i="14"/>
  <c r="F15" i="14"/>
  <c r="E15" i="14"/>
  <c r="D15" i="14" s="1"/>
  <c r="M15" i="14" s="1"/>
  <c r="AE14" i="14"/>
  <c r="AD14" i="14"/>
  <c r="AC14" i="14"/>
  <c r="AB14" i="14"/>
  <c r="AA14" i="14"/>
  <c r="Z14" i="14"/>
  <c r="W14" i="14" s="1"/>
  <c r="X14" i="14"/>
  <c r="T14" i="14"/>
  <c r="S14" i="14"/>
  <c r="R14" i="14"/>
  <c r="O14" i="14"/>
  <c r="L14" i="14"/>
  <c r="I14" i="14"/>
  <c r="Q14" i="14" s="1"/>
  <c r="H14" i="14"/>
  <c r="G14" i="14"/>
  <c r="P14" i="14" s="1"/>
  <c r="F14" i="14"/>
  <c r="E14" i="14"/>
  <c r="Y12" i="14"/>
  <c r="Y11" i="14"/>
  <c r="Y10" i="14"/>
  <c r="Y9" i="14"/>
  <c r="O108" i="13"/>
  <c r="L108" i="13"/>
  <c r="J108" i="13" s="1"/>
  <c r="I108" i="13"/>
  <c r="Q108" i="13" s="1"/>
  <c r="H108" i="13"/>
  <c r="N108" i="13" s="1"/>
  <c r="G108" i="13"/>
  <c r="P108" i="13" s="1"/>
  <c r="F108" i="13"/>
  <c r="E108" i="13"/>
  <c r="D108" i="13" s="1"/>
  <c r="M108" i="13" s="1"/>
  <c r="Q107" i="13"/>
  <c r="O107" i="13"/>
  <c r="L107" i="13"/>
  <c r="I107" i="13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J105" i="13" s="1"/>
  <c r="I105" i="13"/>
  <c r="Q105" i="13" s="1"/>
  <c r="H105" i="13"/>
  <c r="N105" i="13" s="1"/>
  <c r="G105" i="13"/>
  <c r="P105" i="13" s="1"/>
  <c r="F105" i="13"/>
  <c r="E105" i="13"/>
  <c r="D105" i="13" s="1"/>
  <c r="O104" i="13"/>
  <c r="L104" i="13"/>
  <c r="I104" i="13"/>
  <c r="Q104" i="13" s="1"/>
  <c r="H104" i="13"/>
  <c r="G104" i="13"/>
  <c r="P104" i="13" s="1"/>
  <c r="F104" i="13"/>
  <c r="E104" i="13"/>
  <c r="O103" i="13"/>
  <c r="J103" i="13" s="1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N101" i="13" s="1"/>
  <c r="G101" i="13"/>
  <c r="P101" i="13" s="1"/>
  <c r="F101" i="13"/>
  <c r="E101" i="13"/>
  <c r="O100" i="13"/>
  <c r="L100" i="13"/>
  <c r="I100" i="13"/>
  <c r="Q100" i="13" s="1"/>
  <c r="H100" i="13"/>
  <c r="N100" i="13" s="1"/>
  <c r="G100" i="13"/>
  <c r="P100" i="13" s="1"/>
  <c r="F100" i="13"/>
  <c r="E100" i="13"/>
  <c r="O99" i="13"/>
  <c r="L99" i="13"/>
  <c r="J99" i="13" s="1"/>
  <c r="I99" i="13"/>
  <c r="Q99" i="13" s="1"/>
  <c r="H99" i="13"/>
  <c r="G99" i="13"/>
  <c r="P99" i="13" s="1"/>
  <c r="F99" i="13"/>
  <c r="E99" i="13"/>
  <c r="D99" i="13" s="1"/>
  <c r="O98" i="13"/>
  <c r="L98" i="13"/>
  <c r="I98" i="13"/>
  <c r="Q98" i="13" s="1"/>
  <c r="H98" i="13"/>
  <c r="N98" i="13" s="1"/>
  <c r="G98" i="13"/>
  <c r="P98" i="13" s="1"/>
  <c r="F98" i="13"/>
  <c r="E98" i="13"/>
  <c r="O97" i="13"/>
  <c r="L97" i="13"/>
  <c r="I97" i="13"/>
  <c r="Q97" i="13" s="1"/>
  <c r="H97" i="13"/>
  <c r="N97" i="13" s="1"/>
  <c r="G97" i="13"/>
  <c r="P97" i="13" s="1"/>
  <c r="F97" i="13"/>
  <c r="E97" i="13"/>
  <c r="O96" i="13"/>
  <c r="L96" i="13"/>
  <c r="I96" i="13"/>
  <c r="Q96" i="13" s="1"/>
  <c r="H96" i="13"/>
  <c r="G96" i="13"/>
  <c r="P96" i="13" s="1"/>
  <c r="F96" i="13"/>
  <c r="E96" i="13"/>
  <c r="O95" i="13"/>
  <c r="L95" i="13"/>
  <c r="I95" i="13"/>
  <c r="Q95" i="13" s="1"/>
  <c r="H95" i="13"/>
  <c r="N95" i="13" s="1"/>
  <c r="G95" i="13"/>
  <c r="P95" i="13" s="1"/>
  <c r="F95" i="13"/>
  <c r="E95" i="13"/>
  <c r="O94" i="13"/>
  <c r="L94" i="13"/>
  <c r="J94" i="13" s="1"/>
  <c r="I94" i="13"/>
  <c r="Q94" i="13" s="1"/>
  <c r="H94" i="13"/>
  <c r="N94" i="13" s="1"/>
  <c r="G94" i="13"/>
  <c r="P94" i="13" s="1"/>
  <c r="F94" i="13"/>
  <c r="E94" i="13"/>
  <c r="O93" i="13"/>
  <c r="L93" i="13"/>
  <c r="I93" i="13"/>
  <c r="Q93" i="13" s="1"/>
  <c r="H93" i="13"/>
  <c r="N93" i="13" s="1"/>
  <c r="G93" i="13"/>
  <c r="P93" i="13" s="1"/>
  <c r="F93" i="13"/>
  <c r="E93" i="13"/>
  <c r="D93" i="13" s="1"/>
  <c r="O92" i="13"/>
  <c r="L92" i="13"/>
  <c r="J92" i="13" s="1"/>
  <c r="I92" i="13"/>
  <c r="Q92" i="13" s="1"/>
  <c r="H92" i="13"/>
  <c r="N92" i="13" s="1"/>
  <c r="G92" i="13"/>
  <c r="P92" i="13" s="1"/>
  <c r="F92" i="13"/>
  <c r="E92" i="13"/>
  <c r="O91" i="13"/>
  <c r="L91" i="13"/>
  <c r="I91" i="13"/>
  <c r="H91" i="13"/>
  <c r="N91" i="13" s="1"/>
  <c r="G91" i="13"/>
  <c r="P91" i="13" s="1"/>
  <c r="F91" i="13"/>
  <c r="E91" i="13"/>
  <c r="O90" i="13"/>
  <c r="L90" i="13"/>
  <c r="I90" i="13"/>
  <c r="Q90" i="13" s="1"/>
  <c r="H90" i="13"/>
  <c r="G90" i="13"/>
  <c r="F90" i="13"/>
  <c r="E90" i="13"/>
  <c r="AG88" i="13"/>
  <c r="AF88" i="13"/>
  <c r="AE88" i="13"/>
  <c r="AD88" i="13"/>
  <c r="AC88" i="13"/>
  <c r="AB88" i="13"/>
  <c r="AA88" i="13"/>
  <c r="Y88" i="13"/>
  <c r="X88" i="13"/>
  <c r="V88" i="13"/>
  <c r="U88" i="13"/>
  <c r="S88" i="13"/>
  <c r="R88" i="13"/>
  <c r="O88" i="13"/>
  <c r="L88" i="13"/>
  <c r="I88" i="13"/>
  <c r="Q88" i="13" s="1"/>
  <c r="H88" i="13"/>
  <c r="G88" i="13"/>
  <c r="P88" i="13" s="1"/>
  <c r="F88" i="13"/>
  <c r="E88" i="13"/>
  <c r="AG87" i="13"/>
  <c r="AF87" i="13"/>
  <c r="AE87" i="13"/>
  <c r="AD87" i="13"/>
  <c r="AC87" i="13"/>
  <c r="AB87" i="13"/>
  <c r="AA87" i="13"/>
  <c r="Y87" i="13"/>
  <c r="X87" i="13"/>
  <c r="V87" i="13"/>
  <c r="U87" i="13"/>
  <c r="W87" i="13" s="1"/>
  <c r="S87" i="13"/>
  <c r="R87" i="13"/>
  <c r="O87" i="13"/>
  <c r="L87" i="13"/>
  <c r="I87" i="13"/>
  <c r="Q87" i="13" s="1"/>
  <c r="H87" i="13"/>
  <c r="N87" i="13" s="1"/>
  <c r="G87" i="13"/>
  <c r="F87" i="13"/>
  <c r="E87" i="13"/>
  <c r="D87" i="13" s="1"/>
  <c r="AG86" i="13"/>
  <c r="AF86" i="13"/>
  <c r="AE86" i="13"/>
  <c r="AD86" i="13"/>
  <c r="AC86" i="13"/>
  <c r="AB86" i="13"/>
  <c r="AA86" i="13"/>
  <c r="Y86" i="13"/>
  <c r="X86" i="13"/>
  <c r="Z86" i="13" s="1"/>
  <c r="V86" i="13"/>
  <c r="U86" i="13"/>
  <c r="W86" i="13" s="1"/>
  <c r="S86" i="13"/>
  <c r="R86" i="13"/>
  <c r="O86" i="13"/>
  <c r="J86" i="13" s="1"/>
  <c r="L86" i="13"/>
  <c r="I86" i="13"/>
  <c r="Q86" i="13" s="1"/>
  <c r="H86" i="13"/>
  <c r="G86" i="13"/>
  <c r="P86" i="13" s="1"/>
  <c r="F86" i="13"/>
  <c r="E86" i="13"/>
  <c r="AG85" i="13"/>
  <c r="AF85" i="13"/>
  <c r="AE85" i="13"/>
  <c r="AD85" i="13"/>
  <c r="AC85" i="13"/>
  <c r="AB85" i="13"/>
  <c r="AA85" i="13"/>
  <c r="Y85" i="13"/>
  <c r="X85" i="13"/>
  <c r="V85" i="13"/>
  <c r="U85" i="13"/>
  <c r="S85" i="13"/>
  <c r="R85" i="13"/>
  <c r="T85" i="13" s="1"/>
  <c r="O85" i="13"/>
  <c r="L85" i="13"/>
  <c r="I85" i="13"/>
  <c r="H85" i="13"/>
  <c r="N85" i="13" s="1"/>
  <c r="G85" i="13"/>
  <c r="F85" i="13"/>
  <c r="E85" i="13"/>
  <c r="AG84" i="13"/>
  <c r="AF84" i="13"/>
  <c r="AE84" i="13"/>
  <c r="AD84" i="13"/>
  <c r="AC84" i="13"/>
  <c r="AB84" i="13"/>
  <c r="AA84" i="13"/>
  <c r="Y84" i="13"/>
  <c r="X84" i="13"/>
  <c r="V84" i="13"/>
  <c r="U84" i="13"/>
  <c r="S84" i="13"/>
  <c r="R84" i="13"/>
  <c r="O84" i="13"/>
  <c r="L84" i="13"/>
  <c r="J84" i="13" s="1"/>
  <c r="I84" i="13"/>
  <c r="Q84" i="13" s="1"/>
  <c r="H84" i="13"/>
  <c r="G84" i="13"/>
  <c r="P84" i="13" s="1"/>
  <c r="F84" i="13"/>
  <c r="E84" i="13"/>
  <c r="AG83" i="13"/>
  <c r="AF83" i="13"/>
  <c r="AE83" i="13"/>
  <c r="AD83" i="13"/>
  <c r="AC83" i="13"/>
  <c r="AB83" i="13"/>
  <c r="AA83" i="13"/>
  <c r="Y83" i="13"/>
  <c r="X83" i="13"/>
  <c r="Z83" i="13" s="1"/>
  <c r="V83" i="13"/>
  <c r="U83" i="13"/>
  <c r="S83" i="13"/>
  <c r="R83" i="13"/>
  <c r="T83" i="13" s="1"/>
  <c r="O83" i="13"/>
  <c r="L83" i="13"/>
  <c r="I83" i="13"/>
  <c r="Q83" i="13" s="1"/>
  <c r="H83" i="13"/>
  <c r="G83" i="13"/>
  <c r="P83" i="13" s="1"/>
  <c r="F83" i="13"/>
  <c r="E83" i="13"/>
  <c r="AG82" i="13"/>
  <c r="AF82" i="13"/>
  <c r="AE82" i="13"/>
  <c r="AD82" i="13"/>
  <c r="AC82" i="13"/>
  <c r="AB82" i="13"/>
  <c r="AA82" i="13"/>
  <c r="Y82" i="13"/>
  <c r="X82" i="13"/>
  <c r="V82" i="13"/>
  <c r="U82" i="13"/>
  <c r="S82" i="13"/>
  <c r="R82" i="13"/>
  <c r="O82" i="13"/>
  <c r="L82" i="13"/>
  <c r="I82" i="13"/>
  <c r="Q82" i="13" s="1"/>
  <c r="H82" i="13"/>
  <c r="G82" i="13"/>
  <c r="P82" i="13" s="1"/>
  <c r="F82" i="13"/>
  <c r="E82" i="13"/>
  <c r="AG81" i="13"/>
  <c r="AF81" i="13"/>
  <c r="AE81" i="13"/>
  <c r="AD81" i="13"/>
  <c r="AC81" i="13"/>
  <c r="AB81" i="13"/>
  <c r="AA81" i="13"/>
  <c r="Y81" i="13"/>
  <c r="X81" i="13"/>
  <c r="V81" i="13"/>
  <c r="U81" i="13"/>
  <c r="S81" i="13"/>
  <c r="R81" i="13"/>
  <c r="O81" i="13"/>
  <c r="L81" i="13"/>
  <c r="J81" i="13" s="1"/>
  <c r="I81" i="13"/>
  <c r="Q81" i="13" s="1"/>
  <c r="H81" i="13"/>
  <c r="G81" i="13"/>
  <c r="P81" i="13" s="1"/>
  <c r="F81" i="13"/>
  <c r="E81" i="13"/>
  <c r="AG80" i="13"/>
  <c r="AF80" i="13"/>
  <c r="AE80" i="13"/>
  <c r="AD80" i="13"/>
  <c r="AC80" i="13"/>
  <c r="AB80" i="13"/>
  <c r="AA80" i="13"/>
  <c r="Y80" i="13"/>
  <c r="X80" i="13"/>
  <c r="Z80" i="13" s="1"/>
  <c r="V80" i="13"/>
  <c r="U80" i="13"/>
  <c r="S80" i="13"/>
  <c r="T80" i="13" s="1"/>
  <c r="R80" i="13"/>
  <c r="O80" i="13"/>
  <c r="L80" i="13"/>
  <c r="I80" i="13"/>
  <c r="Q80" i="13" s="1"/>
  <c r="H80" i="13"/>
  <c r="G80" i="13"/>
  <c r="P80" i="13" s="1"/>
  <c r="F80" i="13"/>
  <c r="E80" i="13"/>
  <c r="AG79" i="13"/>
  <c r="AF79" i="13"/>
  <c r="AE79" i="13"/>
  <c r="AD79" i="13"/>
  <c r="AC79" i="13"/>
  <c r="AB79" i="13"/>
  <c r="AA79" i="13"/>
  <c r="Y79" i="13"/>
  <c r="X79" i="13"/>
  <c r="V79" i="13"/>
  <c r="U79" i="13"/>
  <c r="S79" i="13"/>
  <c r="R79" i="13"/>
  <c r="O79" i="13"/>
  <c r="L79" i="13"/>
  <c r="I79" i="13"/>
  <c r="Q79" i="13" s="1"/>
  <c r="H79" i="13"/>
  <c r="G79" i="13"/>
  <c r="P79" i="13" s="1"/>
  <c r="F79" i="13"/>
  <c r="E79" i="13"/>
  <c r="AG78" i="13"/>
  <c r="AF78" i="13"/>
  <c r="AE78" i="13"/>
  <c r="AD78" i="13"/>
  <c r="AC78" i="13"/>
  <c r="AB78" i="13"/>
  <c r="AA78" i="13"/>
  <c r="Y78" i="13"/>
  <c r="X78" i="13"/>
  <c r="V78" i="13"/>
  <c r="U78" i="13"/>
  <c r="S78" i="13"/>
  <c r="R78" i="13"/>
  <c r="O78" i="13"/>
  <c r="L78" i="13"/>
  <c r="I78" i="13"/>
  <c r="Q78" i="13" s="1"/>
  <c r="H78" i="13"/>
  <c r="G78" i="13"/>
  <c r="P78" i="13" s="1"/>
  <c r="F78" i="13"/>
  <c r="E78" i="13"/>
  <c r="AG77" i="13"/>
  <c r="AF77" i="13"/>
  <c r="AE77" i="13"/>
  <c r="AD77" i="13"/>
  <c r="AC77" i="13"/>
  <c r="AB77" i="13"/>
  <c r="AA77" i="13"/>
  <c r="Y77" i="13"/>
  <c r="X77" i="13"/>
  <c r="V77" i="13"/>
  <c r="U77" i="13"/>
  <c r="W77" i="13" s="1"/>
  <c r="S77" i="13"/>
  <c r="R77" i="13"/>
  <c r="O77" i="13"/>
  <c r="L77" i="13"/>
  <c r="I77" i="13"/>
  <c r="Q77" i="13" s="1"/>
  <c r="H77" i="13"/>
  <c r="G77" i="13"/>
  <c r="P77" i="13" s="1"/>
  <c r="F77" i="13"/>
  <c r="E77" i="13"/>
  <c r="AG76" i="13"/>
  <c r="AF76" i="13"/>
  <c r="AE76" i="13"/>
  <c r="AD76" i="13"/>
  <c r="AC76" i="13"/>
  <c r="AB76" i="13"/>
  <c r="AA76" i="13"/>
  <c r="Y76" i="13"/>
  <c r="X76" i="13"/>
  <c r="V76" i="13"/>
  <c r="U76" i="13"/>
  <c r="S76" i="13"/>
  <c r="R76" i="13"/>
  <c r="O76" i="13"/>
  <c r="L76" i="13"/>
  <c r="I76" i="13"/>
  <c r="Q76" i="13" s="1"/>
  <c r="H76" i="13"/>
  <c r="G76" i="13"/>
  <c r="P76" i="13" s="1"/>
  <c r="F76" i="13"/>
  <c r="E76" i="13"/>
  <c r="AG75" i="13"/>
  <c r="AF75" i="13"/>
  <c r="AE75" i="13"/>
  <c r="AD75" i="13"/>
  <c r="AC75" i="13"/>
  <c r="AB75" i="13"/>
  <c r="AA75" i="13"/>
  <c r="Y75" i="13"/>
  <c r="X75" i="13"/>
  <c r="V75" i="13"/>
  <c r="U75" i="13"/>
  <c r="S75" i="13"/>
  <c r="R75" i="13"/>
  <c r="O75" i="13"/>
  <c r="L75" i="13"/>
  <c r="I75" i="13"/>
  <c r="Q75" i="13" s="1"/>
  <c r="H75" i="13"/>
  <c r="N75" i="13" s="1"/>
  <c r="G75" i="13"/>
  <c r="F75" i="13"/>
  <c r="E75" i="13"/>
  <c r="AG73" i="13"/>
  <c r="AF73" i="13"/>
  <c r="AE73" i="13"/>
  <c r="AD73" i="13"/>
  <c r="AC73" i="13"/>
  <c r="AB73" i="13"/>
  <c r="AA73" i="13"/>
  <c r="Y73" i="13"/>
  <c r="X73" i="13"/>
  <c r="V73" i="13"/>
  <c r="U73" i="13"/>
  <c r="S73" i="13"/>
  <c r="R73" i="13"/>
  <c r="O73" i="13"/>
  <c r="L73" i="13"/>
  <c r="I73" i="13"/>
  <c r="Q73" i="13" s="1"/>
  <c r="H73" i="13"/>
  <c r="G73" i="13"/>
  <c r="P73" i="13" s="1"/>
  <c r="F73" i="13"/>
  <c r="E73" i="13"/>
  <c r="AG72" i="13"/>
  <c r="AF72" i="13"/>
  <c r="AE72" i="13"/>
  <c r="AD72" i="13"/>
  <c r="AC72" i="13"/>
  <c r="AB72" i="13"/>
  <c r="AA72" i="13"/>
  <c r="Y72" i="13"/>
  <c r="X72" i="13"/>
  <c r="V72" i="13"/>
  <c r="U72" i="13"/>
  <c r="S72" i="13"/>
  <c r="R72" i="13"/>
  <c r="O72" i="13"/>
  <c r="L72" i="13"/>
  <c r="I72" i="13"/>
  <c r="Q72" i="13" s="1"/>
  <c r="H72" i="13"/>
  <c r="G72" i="13"/>
  <c r="P72" i="13" s="1"/>
  <c r="F72" i="13"/>
  <c r="E72" i="13"/>
  <c r="AG71" i="13"/>
  <c r="AF71" i="13"/>
  <c r="AE71" i="13"/>
  <c r="AD71" i="13"/>
  <c r="AC71" i="13"/>
  <c r="AB71" i="13"/>
  <c r="AA71" i="13"/>
  <c r="Y71" i="13"/>
  <c r="X71" i="13"/>
  <c r="V71" i="13"/>
  <c r="W71" i="13" s="1"/>
  <c r="U71" i="13"/>
  <c r="S71" i="13"/>
  <c r="R71" i="13"/>
  <c r="T71" i="13" s="1"/>
  <c r="Q71" i="13"/>
  <c r="O71" i="13"/>
  <c r="L71" i="13"/>
  <c r="I71" i="13"/>
  <c r="H71" i="13"/>
  <c r="G71" i="13"/>
  <c r="P71" i="13" s="1"/>
  <c r="F71" i="13"/>
  <c r="E71" i="13"/>
  <c r="AG70" i="13"/>
  <c r="AF70" i="13"/>
  <c r="AE70" i="13"/>
  <c r="AD70" i="13"/>
  <c r="AC70" i="13"/>
  <c r="AB70" i="13"/>
  <c r="AA70" i="13"/>
  <c r="Y70" i="13"/>
  <c r="X70" i="13"/>
  <c r="V70" i="13"/>
  <c r="U70" i="13"/>
  <c r="S70" i="13"/>
  <c r="R70" i="13"/>
  <c r="O70" i="13"/>
  <c r="L70" i="13"/>
  <c r="I70" i="13"/>
  <c r="Q70" i="13" s="1"/>
  <c r="H70" i="13"/>
  <c r="G70" i="13"/>
  <c r="P70" i="13" s="1"/>
  <c r="F70" i="13"/>
  <c r="E70" i="13"/>
  <c r="AG69" i="13"/>
  <c r="AF69" i="13"/>
  <c r="AE69" i="13"/>
  <c r="AD69" i="13"/>
  <c r="AC69" i="13"/>
  <c r="AB69" i="13"/>
  <c r="AA69" i="13"/>
  <c r="Y69" i="13"/>
  <c r="X69" i="13"/>
  <c r="V69" i="13"/>
  <c r="U69" i="13"/>
  <c r="S69" i="13"/>
  <c r="R69" i="13"/>
  <c r="O69" i="13"/>
  <c r="L69" i="13"/>
  <c r="I69" i="13"/>
  <c r="Q69" i="13" s="1"/>
  <c r="H69" i="13"/>
  <c r="G69" i="13"/>
  <c r="P69" i="13" s="1"/>
  <c r="F69" i="13"/>
  <c r="E69" i="13"/>
  <c r="AG68" i="13"/>
  <c r="AF68" i="13"/>
  <c r="AE68" i="13"/>
  <c r="AD68" i="13"/>
  <c r="AC68" i="13"/>
  <c r="AB68" i="13"/>
  <c r="AA68" i="13"/>
  <c r="Y68" i="13"/>
  <c r="X68" i="13"/>
  <c r="V68" i="13"/>
  <c r="U68" i="13"/>
  <c r="S68" i="13"/>
  <c r="R68" i="13"/>
  <c r="O68" i="13"/>
  <c r="L68" i="13"/>
  <c r="I68" i="13"/>
  <c r="Q68" i="13" s="1"/>
  <c r="H68" i="13"/>
  <c r="N68" i="13" s="1"/>
  <c r="G68" i="13"/>
  <c r="P68" i="13" s="1"/>
  <c r="F68" i="13"/>
  <c r="E68" i="13"/>
  <c r="AG67" i="13"/>
  <c r="AF67" i="13"/>
  <c r="AE67" i="13"/>
  <c r="AD67" i="13"/>
  <c r="AC67" i="13"/>
  <c r="AB67" i="13"/>
  <c r="AA67" i="13"/>
  <c r="Y67" i="13"/>
  <c r="X67" i="13"/>
  <c r="V67" i="13"/>
  <c r="U67" i="13"/>
  <c r="S67" i="13"/>
  <c r="R67" i="13"/>
  <c r="O67" i="13"/>
  <c r="L67" i="13"/>
  <c r="I67" i="13"/>
  <c r="Q67" i="13" s="1"/>
  <c r="H67" i="13"/>
  <c r="G67" i="13"/>
  <c r="P67" i="13" s="1"/>
  <c r="F67" i="13"/>
  <c r="E67" i="13"/>
  <c r="AG66" i="13"/>
  <c r="AF66" i="13"/>
  <c r="AE66" i="13"/>
  <c r="AD66" i="13"/>
  <c r="AC66" i="13"/>
  <c r="AB66" i="13"/>
  <c r="AA66" i="13"/>
  <c r="Y66" i="13"/>
  <c r="X66" i="13"/>
  <c r="V66" i="13"/>
  <c r="U66" i="13"/>
  <c r="S66" i="13"/>
  <c r="R66" i="13"/>
  <c r="O66" i="13"/>
  <c r="L66" i="13"/>
  <c r="I66" i="13"/>
  <c r="Q66" i="13" s="1"/>
  <c r="H66" i="13"/>
  <c r="G66" i="13"/>
  <c r="P66" i="13" s="1"/>
  <c r="F66" i="13"/>
  <c r="E66" i="13"/>
  <c r="D66" i="13" s="1"/>
  <c r="C66" i="13" s="1"/>
  <c r="AG65" i="13"/>
  <c r="AF65" i="13"/>
  <c r="AE65" i="13"/>
  <c r="AD65" i="13"/>
  <c r="AC65" i="13"/>
  <c r="AB65" i="13"/>
  <c r="AA65" i="13"/>
  <c r="Y65" i="13"/>
  <c r="X65" i="13"/>
  <c r="V65" i="13"/>
  <c r="U65" i="13"/>
  <c r="S65" i="13"/>
  <c r="R65" i="13"/>
  <c r="O65" i="13"/>
  <c r="L65" i="13"/>
  <c r="I65" i="13"/>
  <c r="Q65" i="13" s="1"/>
  <c r="H65" i="13"/>
  <c r="N65" i="13" s="1"/>
  <c r="G65" i="13"/>
  <c r="P65" i="13" s="1"/>
  <c r="F65" i="13"/>
  <c r="E65" i="13"/>
  <c r="D65" i="13" s="1"/>
  <c r="AG64" i="13"/>
  <c r="AF64" i="13"/>
  <c r="AE64" i="13"/>
  <c r="AD64" i="13"/>
  <c r="AC64" i="13"/>
  <c r="AB64" i="13"/>
  <c r="AA64" i="13"/>
  <c r="Y64" i="13"/>
  <c r="X64" i="13"/>
  <c r="Z64" i="13" s="1"/>
  <c r="V64" i="13"/>
  <c r="U64" i="13"/>
  <c r="S64" i="13"/>
  <c r="R64" i="13"/>
  <c r="O64" i="13"/>
  <c r="L64" i="13"/>
  <c r="I64" i="13"/>
  <c r="Q64" i="13" s="1"/>
  <c r="H64" i="13"/>
  <c r="G64" i="13"/>
  <c r="P64" i="13" s="1"/>
  <c r="F64" i="13"/>
  <c r="E64" i="13"/>
  <c r="AG63" i="13"/>
  <c r="AF63" i="13"/>
  <c r="AE63" i="13"/>
  <c r="AD63" i="13"/>
  <c r="AC63" i="13"/>
  <c r="AB63" i="13"/>
  <c r="AA63" i="13"/>
  <c r="Y63" i="13"/>
  <c r="X63" i="13"/>
  <c r="V63" i="13"/>
  <c r="U63" i="13"/>
  <c r="S63" i="13"/>
  <c r="R63" i="13"/>
  <c r="O63" i="13"/>
  <c r="L63" i="13"/>
  <c r="I63" i="13"/>
  <c r="Q63" i="13" s="1"/>
  <c r="H63" i="13"/>
  <c r="G63" i="13"/>
  <c r="P63" i="13" s="1"/>
  <c r="F63" i="13"/>
  <c r="E63" i="13"/>
  <c r="AG62" i="13"/>
  <c r="AF62" i="13"/>
  <c r="AE62" i="13"/>
  <c r="AD62" i="13"/>
  <c r="AC62" i="13"/>
  <c r="AB62" i="13"/>
  <c r="AA62" i="13"/>
  <c r="Y62" i="13"/>
  <c r="X62" i="13"/>
  <c r="V62" i="13"/>
  <c r="U62" i="13"/>
  <c r="S62" i="13"/>
  <c r="R62" i="13"/>
  <c r="O62" i="13"/>
  <c r="L62" i="13"/>
  <c r="I62" i="13"/>
  <c r="Q62" i="13" s="1"/>
  <c r="H62" i="13"/>
  <c r="G62" i="13"/>
  <c r="P62" i="13" s="1"/>
  <c r="F62" i="13"/>
  <c r="E62" i="13"/>
  <c r="D62" i="13" s="1"/>
  <c r="AG61" i="13"/>
  <c r="AF61" i="13"/>
  <c r="AE61" i="13"/>
  <c r="AD61" i="13"/>
  <c r="AC61" i="13"/>
  <c r="AB61" i="13"/>
  <c r="AA61" i="13"/>
  <c r="Y61" i="13"/>
  <c r="X61" i="13"/>
  <c r="Z61" i="13" s="1"/>
  <c r="V61" i="13"/>
  <c r="U61" i="13"/>
  <c r="S61" i="13"/>
  <c r="R61" i="13"/>
  <c r="O61" i="13"/>
  <c r="L61" i="13"/>
  <c r="I61" i="13"/>
  <c r="Q61" i="13" s="1"/>
  <c r="H61" i="13"/>
  <c r="G61" i="13"/>
  <c r="P61" i="13" s="1"/>
  <c r="F61" i="13"/>
  <c r="E61" i="13"/>
  <c r="AG60" i="13"/>
  <c r="AF60" i="13"/>
  <c r="AE60" i="13"/>
  <c r="AD60" i="13"/>
  <c r="AC60" i="13"/>
  <c r="AB60" i="13"/>
  <c r="AA60" i="13"/>
  <c r="Y60" i="13"/>
  <c r="X60" i="13"/>
  <c r="V60" i="13"/>
  <c r="U60" i="13"/>
  <c r="S60" i="13"/>
  <c r="R60" i="13"/>
  <c r="T60" i="13" s="1"/>
  <c r="O60" i="13"/>
  <c r="L60" i="13"/>
  <c r="I60" i="13"/>
  <c r="Q60" i="13" s="1"/>
  <c r="H60" i="13"/>
  <c r="G60" i="13"/>
  <c r="P60" i="13" s="1"/>
  <c r="F60" i="13"/>
  <c r="E60" i="13"/>
  <c r="AG59" i="13"/>
  <c r="AF59" i="13"/>
  <c r="AE59" i="13"/>
  <c r="AD59" i="13"/>
  <c r="AC59" i="13"/>
  <c r="AB59" i="13"/>
  <c r="AA59" i="13"/>
  <c r="Z59" i="13"/>
  <c r="Y59" i="13"/>
  <c r="X59" i="13"/>
  <c r="V59" i="13"/>
  <c r="U59" i="13"/>
  <c r="S59" i="13"/>
  <c r="R59" i="13"/>
  <c r="O59" i="13"/>
  <c r="L59" i="13"/>
  <c r="I59" i="13"/>
  <c r="Q59" i="13" s="1"/>
  <c r="H59" i="13"/>
  <c r="N59" i="13" s="1"/>
  <c r="G59" i="13"/>
  <c r="P59" i="13" s="1"/>
  <c r="F59" i="13"/>
  <c r="E59" i="13"/>
  <c r="AG58" i="13"/>
  <c r="AF58" i="13"/>
  <c r="AE58" i="13"/>
  <c r="AD58" i="13"/>
  <c r="AC58" i="13"/>
  <c r="AB58" i="13"/>
  <c r="AA58" i="13"/>
  <c r="Y58" i="13"/>
  <c r="X58" i="13"/>
  <c r="V58" i="13"/>
  <c r="U58" i="13"/>
  <c r="S58" i="13"/>
  <c r="R58" i="13"/>
  <c r="O58" i="13"/>
  <c r="L58" i="13"/>
  <c r="I58" i="13"/>
  <c r="Q58" i="13" s="1"/>
  <c r="H58" i="13"/>
  <c r="G58" i="13"/>
  <c r="P58" i="13" s="1"/>
  <c r="F58" i="13"/>
  <c r="E58" i="13"/>
  <c r="AG57" i="13"/>
  <c r="AF57" i="13"/>
  <c r="AE57" i="13"/>
  <c r="AD57" i="13"/>
  <c r="AC57" i="13"/>
  <c r="AB57" i="13"/>
  <c r="AA57" i="13"/>
  <c r="Y57" i="13"/>
  <c r="X57" i="13"/>
  <c r="V57" i="13"/>
  <c r="U57" i="13"/>
  <c r="S57" i="13"/>
  <c r="R57" i="13"/>
  <c r="O57" i="13"/>
  <c r="L57" i="13"/>
  <c r="I57" i="13"/>
  <c r="Q57" i="13" s="1"/>
  <c r="H57" i="13"/>
  <c r="G57" i="13"/>
  <c r="P57" i="13" s="1"/>
  <c r="F57" i="13"/>
  <c r="E57" i="13"/>
  <c r="AG56" i="13"/>
  <c r="AF56" i="13"/>
  <c r="AE56" i="13"/>
  <c r="AD56" i="13"/>
  <c r="AC56" i="13"/>
  <c r="AB56" i="13"/>
  <c r="AA56" i="13"/>
  <c r="Y56" i="13"/>
  <c r="X56" i="13"/>
  <c r="V56" i="13"/>
  <c r="U56" i="13"/>
  <c r="S56" i="13"/>
  <c r="R56" i="13"/>
  <c r="O56" i="13"/>
  <c r="L56" i="13"/>
  <c r="I56" i="13"/>
  <c r="H56" i="13"/>
  <c r="N56" i="13" s="1"/>
  <c r="G56" i="13"/>
  <c r="P56" i="13" s="1"/>
  <c r="F56" i="13"/>
  <c r="E56" i="13"/>
  <c r="AG55" i="13"/>
  <c r="AF55" i="13"/>
  <c r="AE55" i="13"/>
  <c r="AD55" i="13"/>
  <c r="AC55" i="13"/>
  <c r="AB55" i="13"/>
  <c r="AA55" i="13"/>
  <c r="Y55" i="13"/>
  <c r="X55" i="13"/>
  <c r="Z55" i="13" s="1"/>
  <c r="V55" i="13"/>
  <c r="U55" i="13"/>
  <c r="W55" i="13" s="1"/>
  <c r="S55" i="13"/>
  <c r="R55" i="13"/>
  <c r="T55" i="13" s="1"/>
  <c r="O55" i="13"/>
  <c r="L55" i="13"/>
  <c r="I55" i="13"/>
  <c r="Q55" i="13" s="1"/>
  <c r="H55" i="13"/>
  <c r="G55" i="13"/>
  <c r="P55" i="13" s="1"/>
  <c r="F55" i="13"/>
  <c r="E55" i="13"/>
  <c r="AG54" i="13"/>
  <c r="AF54" i="13"/>
  <c r="AE54" i="13"/>
  <c r="AD54" i="13"/>
  <c r="AC54" i="13"/>
  <c r="AB54" i="13"/>
  <c r="AA54" i="13"/>
  <c r="Y54" i="13"/>
  <c r="X54" i="13"/>
  <c r="V54" i="13"/>
  <c r="U54" i="13"/>
  <c r="S54" i="13"/>
  <c r="R54" i="13"/>
  <c r="O54" i="13"/>
  <c r="L54" i="13"/>
  <c r="I54" i="13"/>
  <c r="Q54" i="13" s="1"/>
  <c r="H54" i="13"/>
  <c r="G54" i="13"/>
  <c r="P54" i="13" s="1"/>
  <c r="F54" i="13"/>
  <c r="E54" i="13"/>
  <c r="AG53" i="13"/>
  <c r="AF53" i="13"/>
  <c r="AE53" i="13"/>
  <c r="AD53" i="13"/>
  <c r="AC53" i="13"/>
  <c r="AB53" i="13"/>
  <c r="AA53" i="13"/>
  <c r="Y53" i="13"/>
  <c r="X53" i="13"/>
  <c r="V53" i="13"/>
  <c r="U53" i="13"/>
  <c r="W53" i="13" s="1"/>
  <c r="S53" i="13"/>
  <c r="R53" i="13"/>
  <c r="O53" i="13"/>
  <c r="L53" i="13"/>
  <c r="I53" i="13"/>
  <c r="Q53" i="13" s="1"/>
  <c r="H53" i="13"/>
  <c r="G53" i="13"/>
  <c r="F53" i="13"/>
  <c r="E53" i="13"/>
  <c r="D53" i="13" s="1"/>
  <c r="AG51" i="13"/>
  <c r="AF51" i="13"/>
  <c r="AE51" i="13"/>
  <c r="AD51" i="13"/>
  <c r="AC51" i="13"/>
  <c r="AB51" i="13"/>
  <c r="AA51" i="13"/>
  <c r="Y51" i="13"/>
  <c r="X51" i="13"/>
  <c r="V51" i="13"/>
  <c r="U51" i="13"/>
  <c r="S51" i="13"/>
  <c r="R51" i="13"/>
  <c r="O51" i="13"/>
  <c r="L51" i="13"/>
  <c r="I51" i="13"/>
  <c r="Q51" i="13" s="1"/>
  <c r="H51" i="13"/>
  <c r="G51" i="13"/>
  <c r="P51" i="13" s="1"/>
  <c r="F51" i="13"/>
  <c r="E51" i="13"/>
  <c r="D51" i="13" s="1"/>
  <c r="AG50" i="13"/>
  <c r="AF50" i="13"/>
  <c r="AE50" i="13"/>
  <c r="AD50" i="13"/>
  <c r="AC50" i="13"/>
  <c r="AB50" i="13"/>
  <c r="AA50" i="13"/>
  <c r="Y50" i="13"/>
  <c r="X50" i="13"/>
  <c r="V50" i="13"/>
  <c r="U50" i="13"/>
  <c r="W50" i="13" s="1"/>
  <c r="S50" i="13"/>
  <c r="R50" i="13"/>
  <c r="O50" i="13"/>
  <c r="L50" i="13"/>
  <c r="I50" i="13"/>
  <c r="Q50" i="13" s="1"/>
  <c r="H50" i="13"/>
  <c r="G50" i="13"/>
  <c r="P50" i="13" s="1"/>
  <c r="F50" i="13"/>
  <c r="E50" i="13"/>
  <c r="AG49" i="13"/>
  <c r="AF49" i="13"/>
  <c r="AE49" i="13"/>
  <c r="AD49" i="13"/>
  <c r="AC49" i="13"/>
  <c r="AB49" i="13"/>
  <c r="AA49" i="13"/>
  <c r="Y49" i="13"/>
  <c r="X49" i="13"/>
  <c r="V49" i="13"/>
  <c r="U49" i="13"/>
  <c r="S49" i="13"/>
  <c r="R49" i="13"/>
  <c r="O49" i="13"/>
  <c r="L49" i="13"/>
  <c r="I49" i="13"/>
  <c r="Q49" i="13" s="1"/>
  <c r="H49" i="13"/>
  <c r="G49" i="13"/>
  <c r="P49" i="13" s="1"/>
  <c r="F49" i="13"/>
  <c r="E49" i="13"/>
  <c r="AG48" i="13"/>
  <c r="AF48" i="13"/>
  <c r="AE48" i="13"/>
  <c r="AD48" i="13"/>
  <c r="AC48" i="13"/>
  <c r="AB48" i="13"/>
  <c r="AA48" i="13"/>
  <c r="Y48" i="13"/>
  <c r="X48" i="13"/>
  <c r="V48" i="13"/>
  <c r="U48" i="13"/>
  <c r="W48" i="13" s="1"/>
  <c r="S48" i="13"/>
  <c r="R48" i="13"/>
  <c r="O48" i="13"/>
  <c r="J48" i="13" s="1"/>
  <c r="L48" i="13"/>
  <c r="I48" i="13"/>
  <c r="Q48" i="13" s="1"/>
  <c r="H48" i="13"/>
  <c r="N48" i="13" s="1"/>
  <c r="G48" i="13"/>
  <c r="P48" i="13" s="1"/>
  <c r="F48" i="13"/>
  <c r="E48" i="13"/>
  <c r="AG47" i="13"/>
  <c r="AF47" i="13"/>
  <c r="AE47" i="13"/>
  <c r="AD47" i="13"/>
  <c r="AC47" i="13"/>
  <c r="AB47" i="13"/>
  <c r="AA47" i="13"/>
  <c r="Y47" i="13"/>
  <c r="X47" i="13"/>
  <c r="Z47" i="13" s="1"/>
  <c r="V47" i="13"/>
  <c r="U47" i="13"/>
  <c r="W47" i="13" s="1"/>
  <c r="S47" i="13"/>
  <c r="R47" i="13"/>
  <c r="O47" i="13"/>
  <c r="L47" i="13"/>
  <c r="I47" i="13"/>
  <c r="Q47" i="13" s="1"/>
  <c r="H47" i="13"/>
  <c r="G47" i="13"/>
  <c r="P47" i="13" s="1"/>
  <c r="F47" i="13"/>
  <c r="E47" i="13"/>
  <c r="D47" i="13" s="1"/>
  <c r="AG46" i="13"/>
  <c r="AF46" i="13"/>
  <c r="AE46" i="13"/>
  <c r="AD46" i="13"/>
  <c r="AC46" i="13"/>
  <c r="AB46" i="13"/>
  <c r="AA46" i="13"/>
  <c r="Y46" i="13"/>
  <c r="X46" i="13"/>
  <c r="Z46" i="13" s="1"/>
  <c r="V46" i="13"/>
  <c r="U46" i="13"/>
  <c r="S46" i="13"/>
  <c r="R46" i="13"/>
  <c r="O46" i="13"/>
  <c r="L46" i="13"/>
  <c r="I46" i="13"/>
  <c r="Q46" i="13" s="1"/>
  <c r="H46" i="13"/>
  <c r="G46" i="13"/>
  <c r="P46" i="13" s="1"/>
  <c r="F46" i="13"/>
  <c r="E46" i="13"/>
  <c r="AG45" i="13"/>
  <c r="AF45" i="13"/>
  <c r="AE45" i="13"/>
  <c r="AD45" i="13"/>
  <c r="AC45" i="13"/>
  <c r="AB45" i="13"/>
  <c r="AA45" i="13"/>
  <c r="Y45" i="13"/>
  <c r="X45" i="13"/>
  <c r="V45" i="13"/>
  <c r="U45" i="13"/>
  <c r="S45" i="13"/>
  <c r="R45" i="13"/>
  <c r="O45" i="13"/>
  <c r="L45" i="13"/>
  <c r="I45" i="13"/>
  <c r="Q45" i="13" s="1"/>
  <c r="H45" i="13"/>
  <c r="G45" i="13"/>
  <c r="P45" i="13" s="1"/>
  <c r="F45" i="13"/>
  <c r="E45" i="13"/>
  <c r="AG44" i="13"/>
  <c r="AF44" i="13"/>
  <c r="AE44" i="13"/>
  <c r="AD44" i="13"/>
  <c r="AC44" i="13"/>
  <c r="AB44" i="13"/>
  <c r="AA44" i="13"/>
  <c r="Y44" i="13"/>
  <c r="X44" i="13"/>
  <c r="V44" i="13"/>
  <c r="U44" i="13"/>
  <c r="W44" i="13" s="1"/>
  <c r="S44" i="13"/>
  <c r="R44" i="13"/>
  <c r="O44" i="13"/>
  <c r="L44" i="13"/>
  <c r="I44" i="13"/>
  <c r="Q44" i="13" s="1"/>
  <c r="H44" i="13"/>
  <c r="G44" i="13"/>
  <c r="P44" i="13" s="1"/>
  <c r="F44" i="13"/>
  <c r="E44" i="13"/>
  <c r="AG43" i="13"/>
  <c r="AF43" i="13"/>
  <c r="AE43" i="13"/>
  <c r="AD43" i="13"/>
  <c r="AC43" i="13"/>
  <c r="AB43" i="13"/>
  <c r="AA43" i="13"/>
  <c r="Y43" i="13"/>
  <c r="X43" i="13"/>
  <c r="V43" i="13"/>
  <c r="U43" i="13"/>
  <c r="S43" i="13"/>
  <c r="R43" i="13"/>
  <c r="O43" i="13"/>
  <c r="L43" i="13"/>
  <c r="I43" i="13"/>
  <c r="Q43" i="13" s="1"/>
  <c r="H43" i="13"/>
  <c r="G43" i="13"/>
  <c r="P43" i="13" s="1"/>
  <c r="F43" i="13"/>
  <c r="E43" i="13"/>
  <c r="AG42" i="13"/>
  <c r="AF42" i="13"/>
  <c r="AE42" i="13"/>
  <c r="AD42" i="13"/>
  <c r="AC42" i="13"/>
  <c r="AB42" i="13"/>
  <c r="AA42" i="13"/>
  <c r="Y42" i="13"/>
  <c r="X42" i="13"/>
  <c r="V42" i="13"/>
  <c r="U42" i="13"/>
  <c r="S42" i="13"/>
  <c r="R42" i="13"/>
  <c r="O42" i="13"/>
  <c r="L42" i="13"/>
  <c r="I42" i="13"/>
  <c r="Q42" i="13" s="1"/>
  <c r="H42" i="13"/>
  <c r="G42" i="13"/>
  <c r="P42" i="13" s="1"/>
  <c r="F42" i="13"/>
  <c r="D42" i="13" s="1"/>
  <c r="E42" i="13"/>
  <c r="AG41" i="13"/>
  <c r="AF41" i="13"/>
  <c r="AE41" i="13"/>
  <c r="AD41" i="13"/>
  <c r="AC41" i="13"/>
  <c r="AB41" i="13"/>
  <c r="AA41" i="13"/>
  <c r="Y41" i="13"/>
  <c r="X41" i="13"/>
  <c r="V41" i="13"/>
  <c r="U41" i="13"/>
  <c r="W41" i="13" s="1"/>
  <c r="S41" i="13"/>
  <c r="R41" i="13"/>
  <c r="O41" i="13"/>
  <c r="L41" i="13"/>
  <c r="I41" i="13"/>
  <c r="Q41" i="13" s="1"/>
  <c r="H41" i="13"/>
  <c r="G41" i="13"/>
  <c r="P41" i="13" s="1"/>
  <c r="F41" i="13"/>
  <c r="E41" i="13"/>
  <c r="AG40" i="13"/>
  <c r="AF40" i="13"/>
  <c r="AE40" i="13"/>
  <c r="AD40" i="13"/>
  <c r="AC40" i="13"/>
  <c r="AB40" i="13"/>
  <c r="AA40" i="13"/>
  <c r="Y40" i="13"/>
  <c r="X40" i="13"/>
  <c r="V40" i="13"/>
  <c r="U40" i="13"/>
  <c r="S40" i="13"/>
  <c r="R40" i="13"/>
  <c r="O40" i="13"/>
  <c r="L40" i="13"/>
  <c r="J40" i="13" s="1"/>
  <c r="I40" i="13"/>
  <c r="Q40" i="13" s="1"/>
  <c r="H40" i="13"/>
  <c r="G40" i="13"/>
  <c r="F40" i="13"/>
  <c r="E40" i="13"/>
  <c r="AG39" i="13"/>
  <c r="AF39" i="13"/>
  <c r="AE39" i="13"/>
  <c r="AD39" i="13"/>
  <c r="AC39" i="13"/>
  <c r="AB39" i="13"/>
  <c r="AA39" i="13"/>
  <c r="Y39" i="13"/>
  <c r="X39" i="13"/>
  <c r="V39" i="13"/>
  <c r="U39" i="13"/>
  <c r="S39" i="13"/>
  <c r="R39" i="13"/>
  <c r="O39" i="13"/>
  <c r="L39" i="13"/>
  <c r="I39" i="13"/>
  <c r="Q39" i="13" s="1"/>
  <c r="H39" i="13"/>
  <c r="G39" i="13"/>
  <c r="P39" i="13" s="1"/>
  <c r="F39" i="13"/>
  <c r="E39" i="13"/>
  <c r="AG38" i="13"/>
  <c r="AF38" i="13"/>
  <c r="AE38" i="13"/>
  <c r="AD38" i="13"/>
  <c r="AC38" i="13"/>
  <c r="AB38" i="13"/>
  <c r="AA38" i="13"/>
  <c r="Y38" i="13"/>
  <c r="X38" i="13"/>
  <c r="V38" i="13"/>
  <c r="U38" i="13"/>
  <c r="W38" i="13" s="1"/>
  <c r="S38" i="13"/>
  <c r="R38" i="13"/>
  <c r="O38" i="13"/>
  <c r="L38" i="13"/>
  <c r="I38" i="13"/>
  <c r="Q38" i="13" s="1"/>
  <c r="H38" i="13"/>
  <c r="N38" i="13" s="1"/>
  <c r="G38" i="13"/>
  <c r="P38" i="13" s="1"/>
  <c r="F38" i="13"/>
  <c r="E38" i="13"/>
  <c r="AG37" i="13"/>
  <c r="AF37" i="13"/>
  <c r="AE37" i="13"/>
  <c r="AD37" i="13"/>
  <c r="AC37" i="13"/>
  <c r="AB37" i="13"/>
  <c r="AA37" i="13"/>
  <c r="Y37" i="13"/>
  <c r="X37" i="13"/>
  <c r="V37" i="13"/>
  <c r="U37" i="13"/>
  <c r="S37" i="13"/>
  <c r="R37" i="13"/>
  <c r="O37" i="13"/>
  <c r="L37" i="13"/>
  <c r="I37" i="13"/>
  <c r="Q37" i="13" s="1"/>
  <c r="H37" i="13"/>
  <c r="G37" i="13"/>
  <c r="P37" i="13" s="1"/>
  <c r="F37" i="13"/>
  <c r="E37" i="13"/>
  <c r="AG36" i="13"/>
  <c r="AF36" i="13"/>
  <c r="AE36" i="13"/>
  <c r="AD36" i="13"/>
  <c r="AC36" i="13"/>
  <c r="AB36" i="13"/>
  <c r="AA36" i="13"/>
  <c r="Y36" i="13"/>
  <c r="X36" i="13"/>
  <c r="V36" i="13"/>
  <c r="U36" i="13"/>
  <c r="S36" i="13"/>
  <c r="R36" i="13"/>
  <c r="O36" i="13"/>
  <c r="L36" i="13"/>
  <c r="I36" i="13"/>
  <c r="Q36" i="13" s="1"/>
  <c r="H36" i="13"/>
  <c r="G36" i="13"/>
  <c r="P36" i="13" s="1"/>
  <c r="F36" i="13"/>
  <c r="D36" i="13" s="1"/>
  <c r="M36" i="13" s="1"/>
  <c r="E36" i="13"/>
  <c r="AG35" i="13"/>
  <c r="AF35" i="13"/>
  <c r="AE35" i="13"/>
  <c r="AD35" i="13"/>
  <c r="AC35" i="13"/>
  <c r="AB35" i="13"/>
  <c r="AA35" i="13"/>
  <c r="Y35" i="13"/>
  <c r="X35" i="13"/>
  <c r="V35" i="13"/>
  <c r="U35" i="13"/>
  <c r="W35" i="13" s="1"/>
  <c r="S35" i="13"/>
  <c r="R35" i="13"/>
  <c r="O35" i="13"/>
  <c r="L35" i="13"/>
  <c r="I35" i="13"/>
  <c r="Q35" i="13" s="1"/>
  <c r="H35" i="13"/>
  <c r="G35" i="13"/>
  <c r="P35" i="13" s="1"/>
  <c r="F35" i="13"/>
  <c r="E35" i="13"/>
  <c r="AG34" i="13"/>
  <c r="AF34" i="13"/>
  <c r="AE34" i="13"/>
  <c r="AD34" i="13"/>
  <c r="AC34" i="13"/>
  <c r="AB34" i="13"/>
  <c r="AA34" i="13"/>
  <c r="Y34" i="13"/>
  <c r="X34" i="13"/>
  <c r="V34" i="13"/>
  <c r="U34" i="13"/>
  <c r="S34" i="13"/>
  <c r="R34" i="13"/>
  <c r="O34" i="13"/>
  <c r="L34" i="13"/>
  <c r="I34" i="13"/>
  <c r="H34" i="13"/>
  <c r="G34" i="13"/>
  <c r="P34" i="13" s="1"/>
  <c r="F34" i="13"/>
  <c r="E34" i="13"/>
  <c r="AG33" i="13"/>
  <c r="AF33" i="13"/>
  <c r="AE33" i="13"/>
  <c r="AD33" i="13"/>
  <c r="AC33" i="13"/>
  <c r="AB33" i="13"/>
  <c r="AA33" i="13"/>
  <c r="Y33" i="13"/>
  <c r="X33" i="13"/>
  <c r="V33" i="13"/>
  <c r="U33" i="13"/>
  <c r="S33" i="13"/>
  <c r="R33" i="13"/>
  <c r="T33" i="13" s="1"/>
  <c r="O33" i="13"/>
  <c r="L33" i="13"/>
  <c r="I33" i="13"/>
  <c r="Q33" i="13" s="1"/>
  <c r="H33" i="13"/>
  <c r="G33" i="13"/>
  <c r="P33" i="13" s="1"/>
  <c r="F33" i="13"/>
  <c r="E33" i="13"/>
  <c r="AG32" i="13"/>
  <c r="AF32" i="13"/>
  <c r="AE32" i="13"/>
  <c r="AD32" i="13"/>
  <c r="AC32" i="13"/>
  <c r="AC31" i="13" s="1"/>
  <c r="AB32" i="13"/>
  <c r="AA32" i="13"/>
  <c r="Z32" i="13"/>
  <c r="Y32" i="13"/>
  <c r="X32" i="13"/>
  <c r="W32" i="13"/>
  <c r="V32" i="13"/>
  <c r="U32" i="13"/>
  <c r="T32" i="13"/>
  <c r="S32" i="13"/>
  <c r="R32" i="13"/>
  <c r="Q32" i="13"/>
  <c r="O32" i="13"/>
  <c r="L32" i="13"/>
  <c r="J32" i="13" s="1"/>
  <c r="I32" i="13"/>
  <c r="H32" i="13"/>
  <c r="G32" i="13"/>
  <c r="P32" i="13" s="1"/>
  <c r="F32" i="13"/>
  <c r="E32" i="13"/>
  <c r="AG30" i="13"/>
  <c r="AF30" i="13"/>
  <c r="AE30" i="13"/>
  <c r="AD30" i="13"/>
  <c r="AC30" i="13"/>
  <c r="AB30" i="13"/>
  <c r="AA30" i="13"/>
  <c r="Y30" i="13"/>
  <c r="X30" i="13"/>
  <c r="V30" i="13"/>
  <c r="U30" i="13"/>
  <c r="S30" i="13"/>
  <c r="R30" i="13"/>
  <c r="O30" i="13"/>
  <c r="L30" i="13"/>
  <c r="I30" i="13"/>
  <c r="Q30" i="13" s="1"/>
  <c r="H30" i="13"/>
  <c r="N30" i="13" s="1"/>
  <c r="G30" i="13"/>
  <c r="P30" i="13" s="1"/>
  <c r="F30" i="13"/>
  <c r="E30" i="13"/>
  <c r="AG29" i="13"/>
  <c r="AF29" i="13"/>
  <c r="AE29" i="13"/>
  <c r="AD29" i="13"/>
  <c r="AC29" i="13"/>
  <c r="AB29" i="13"/>
  <c r="AA29" i="13"/>
  <c r="Y29" i="13"/>
  <c r="X29" i="13"/>
  <c r="Z29" i="13" s="1"/>
  <c r="V29" i="13"/>
  <c r="U29" i="13"/>
  <c r="W29" i="13" s="1"/>
  <c r="S29" i="13"/>
  <c r="R29" i="13"/>
  <c r="O29" i="13"/>
  <c r="L29" i="13"/>
  <c r="I29" i="13"/>
  <c r="Q29" i="13" s="1"/>
  <c r="H29" i="13"/>
  <c r="G29" i="13"/>
  <c r="P29" i="13" s="1"/>
  <c r="F29" i="13"/>
  <c r="E29" i="13"/>
  <c r="AG28" i="13"/>
  <c r="AF28" i="13"/>
  <c r="AE28" i="13"/>
  <c r="AD28" i="13"/>
  <c r="AC28" i="13"/>
  <c r="AB28" i="13"/>
  <c r="AA28" i="13"/>
  <c r="Y28" i="13"/>
  <c r="X28" i="13"/>
  <c r="V28" i="13"/>
  <c r="U28" i="13"/>
  <c r="S28" i="13"/>
  <c r="R28" i="13"/>
  <c r="O28" i="13"/>
  <c r="L28" i="13"/>
  <c r="I28" i="13"/>
  <c r="Q28" i="13" s="1"/>
  <c r="H28" i="13"/>
  <c r="G28" i="13"/>
  <c r="P28" i="13" s="1"/>
  <c r="F28" i="13"/>
  <c r="D28" i="13" s="1"/>
  <c r="E28" i="13"/>
  <c r="AG27" i="13"/>
  <c r="AF27" i="13"/>
  <c r="AE27" i="13"/>
  <c r="AD27" i="13"/>
  <c r="AC27" i="13"/>
  <c r="AB27" i="13"/>
  <c r="AA27" i="13"/>
  <c r="Y27" i="13"/>
  <c r="X27" i="13"/>
  <c r="Z27" i="13" s="1"/>
  <c r="V27" i="13"/>
  <c r="U27" i="13"/>
  <c r="S27" i="13"/>
  <c r="R27" i="13"/>
  <c r="T27" i="13" s="1"/>
  <c r="O27" i="13"/>
  <c r="L27" i="13"/>
  <c r="J27" i="13" s="1"/>
  <c r="I27" i="13"/>
  <c r="Q27" i="13" s="1"/>
  <c r="H27" i="13"/>
  <c r="G27" i="13"/>
  <c r="P27" i="13" s="1"/>
  <c r="F27" i="13"/>
  <c r="E27" i="13"/>
  <c r="AG26" i="13"/>
  <c r="AF26" i="13"/>
  <c r="AE26" i="13"/>
  <c r="AD26" i="13"/>
  <c r="AC26" i="13"/>
  <c r="AB26" i="13"/>
  <c r="AA26" i="13"/>
  <c r="Z26" i="13"/>
  <c r="Y26" i="13"/>
  <c r="X26" i="13"/>
  <c r="V26" i="13"/>
  <c r="U26" i="13"/>
  <c r="W26" i="13" s="1"/>
  <c r="T26" i="13"/>
  <c r="S26" i="13"/>
  <c r="R26" i="13"/>
  <c r="O26" i="13"/>
  <c r="L26" i="13"/>
  <c r="I26" i="13"/>
  <c r="Q26" i="13" s="1"/>
  <c r="H26" i="13"/>
  <c r="G26" i="13"/>
  <c r="P26" i="13" s="1"/>
  <c r="F26" i="13"/>
  <c r="E26" i="13"/>
  <c r="AG25" i="13"/>
  <c r="AF25" i="13"/>
  <c r="AE25" i="13"/>
  <c r="AD25" i="13"/>
  <c r="AC25" i="13"/>
  <c r="AB25" i="13"/>
  <c r="AA25" i="13"/>
  <c r="Y25" i="13"/>
  <c r="X25" i="13"/>
  <c r="V25" i="13"/>
  <c r="U25" i="13"/>
  <c r="S25" i="13"/>
  <c r="R25" i="13"/>
  <c r="O25" i="13"/>
  <c r="L25" i="13"/>
  <c r="I25" i="13"/>
  <c r="Q25" i="13" s="1"/>
  <c r="H25" i="13"/>
  <c r="G25" i="13"/>
  <c r="P25" i="13" s="1"/>
  <c r="F25" i="13"/>
  <c r="E25" i="13"/>
  <c r="D25" i="13" s="1"/>
  <c r="AG24" i="13"/>
  <c r="AF24" i="13"/>
  <c r="AE24" i="13"/>
  <c r="AD24" i="13"/>
  <c r="AC24" i="13"/>
  <c r="AB24" i="13"/>
  <c r="AA24" i="13"/>
  <c r="Y24" i="13"/>
  <c r="X24" i="13"/>
  <c r="V24" i="13"/>
  <c r="U24" i="13"/>
  <c r="S24" i="13"/>
  <c r="R24" i="13"/>
  <c r="O24" i="13"/>
  <c r="L24" i="13"/>
  <c r="I24" i="13"/>
  <c r="Q24" i="13" s="1"/>
  <c r="H24" i="13"/>
  <c r="G24" i="13"/>
  <c r="P24" i="13" s="1"/>
  <c r="F24" i="13"/>
  <c r="E24" i="13"/>
  <c r="AG23" i="13"/>
  <c r="AF23" i="13"/>
  <c r="AE23" i="13"/>
  <c r="AD23" i="13"/>
  <c r="AC23" i="13"/>
  <c r="AB23" i="13"/>
  <c r="AA23" i="13"/>
  <c r="Y23" i="13"/>
  <c r="X23" i="13"/>
  <c r="V23" i="13"/>
  <c r="W23" i="13" s="1"/>
  <c r="U23" i="13"/>
  <c r="S23" i="13"/>
  <c r="R23" i="13"/>
  <c r="T23" i="13" s="1"/>
  <c r="Q23" i="13"/>
  <c r="O23" i="13"/>
  <c r="L23" i="13"/>
  <c r="I23" i="13"/>
  <c r="H23" i="13"/>
  <c r="G23" i="13"/>
  <c r="P23" i="13" s="1"/>
  <c r="F23" i="13"/>
  <c r="E23" i="13"/>
  <c r="AG22" i="13"/>
  <c r="AF22" i="13"/>
  <c r="AE22" i="13"/>
  <c r="AD22" i="13"/>
  <c r="AC22" i="13"/>
  <c r="AB22" i="13"/>
  <c r="AA22" i="13"/>
  <c r="Y22" i="13"/>
  <c r="X22" i="13"/>
  <c r="V22" i="13"/>
  <c r="U22" i="13"/>
  <c r="S22" i="13"/>
  <c r="R22" i="13"/>
  <c r="O22" i="13"/>
  <c r="L22" i="13"/>
  <c r="I22" i="13"/>
  <c r="Q22" i="13" s="1"/>
  <c r="H22" i="13"/>
  <c r="G22" i="13"/>
  <c r="P22" i="13" s="1"/>
  <c r="F22" i="13"/>
  <c r="E22" i="13"/>
  <c r="AG21" i="13"/>
  <c r="AF21" i="13"/>
  <c r="AE21" i="13"/>
  <c r="AD21" i="13"/>
  <c r="AC21" i="13"/>
  <c r="AB21" i="13"/>
  <c r="AA21" i="13"/>
  <c r="Y21" i="13"/>
  <c r="X21" i="13"/>
  <c r="V21" i="13"/>
  <c r="U21" i="13"/>
  <c r="S21" i="13"/>
  <c r="R21" i="13"/>
  <c r="O21" i="13"/>
  <c r="L21" i="13"/>
  <c r="I21" i="13"/>
  <c r="Q21" i="13" s="1"/>
  <c r="H21" i="13"/>
  <c r="G21" i="13"/>
  <c r="P21" i="13" s="1"/>
  <c r="F21" i="13"/>
  <c r="E21" i="13"/>
  <c r="D21" i="13" s="1"/>
  <c r="AG20" i="13"/>
  <c r="AF20" i="13"/>
  <c r="AE20" i="13"/>
  <c r="AD20" i="13"/>
  <c r="AC20" i="13"/>
  <c r="AB20" i="13"/>
  <c r="AA20" i="13"/>
  <c r="Y20" i="13"/>
  <c r="X20" i="13"/>
  <c r="V20" i="13"/>
  <c r="U20" i="13"/>
  <c r="S20" i="13"/>
  <c r="R20" i="13"/>
  <c r="O20" i="13"/>
  <c r="L20" i="13"/>
  <c r="I20" i="13"/>
  <c r="Q20" i="13" s="1"/>
  <c r="H20" i="13"/>
  <c r="G20" i="13"/>
  <c r="P20" i="13" s="1"/>
  <c r="F20" i="13"/>
  <c r="E20" i="13"/>
  <c r="AG19" i="13"/>
  <c r="AF19" i="13"/>
  <c r="AE19" i="13"/>
  <c r="AD19" i="13"/>
  <c r="AC19" i="13"/>
  <c r="AB19" i="13"/>
  <c r="AA19" i="13"/>
  <c r="Y19" i="13"/>
  <c r="X19" i="13"/>
  <c r="V19" i="13"/>
  <c r="U19" i="13"/>
  <c r="S19" i="13"/>
  <c r="R19" i="13"/>
  <c r="O19" i="13"/>
  <c r="L19" i="13"/>
  <c r="I19" i="13"/>
  <c r="Q19" i="13" s="1"/>
  <c r="H19" i="13"/>
  <c r="G19" i="13"/>
  <c r="P19" i="13" s="1"/>
  <c r="F19" i="13"/>
  <c r="E19" i="13"/>
  <c r="AG18" i="13"/>
  <c r="AF18" i="13"/>
  <c r="AE18" i="13"/>
  <c r="AD18" i="13"/>
  <c r="AC18" i="13"/>
  <c r="AB18" i="13"/>
  <c r="AA18" i="13"/>
  <c r="Y18" i="13"/>
  <c r="X18" i="13"/>
  <c r="V18" i="13"/>
  <c r="U18" i="13"/>
  <c r="S18" i="13"/>
  <c r="R18" i="13"/>
  <c r="O18" i="13"/>
  <c r="L18" i="13"/>
  <c r="I18" i="13"/>
  <c r="Q18" i="13" s="1"/>
  <c r="H18" i="13"/>
  <c r="G18" i="13"/>
  <c r="P18" i="13" s="1"/>
  <c r="F18" i="13"/>
  <c r="E18" i="13"/>
  <c r="D18" i="13" s="1"/>
  <c r="AG17" i="13"/>
  <c r="AF17" i="13"/>
  <c r="AE17" i="13"/>
  <c r="AD17" i="13"/>
  <c r="AC17" i="13"/>
  <c r="AB17" i="13"/>
  <c r="AA17" i="13"/>
  <c r="Y17" i="13"/>
  <c r="X17" i="13"/>
  <c r="V17" i="13"/>
  <c r="U17" i="13"/>
  <c r="S17" i="13"/>
  <c r="R17" i="13"/>
  <c r="O17" i="13"/>
  <c r="L17" i="13"/>
  <c r="I17" i="13"/>
  <c r="Q17" i="13" s="1"/>
  <c r="H17" i="13"/>
  <c r="N17" i="13" s="1"/>
  <c r="G17" i="13"/>
  <c r="P17" i="13" s="1"/>
  <c r="F17" i="13"/>
  <c r="E17" i="13"/>
  <c r="AG16" i="13"/>
  <c r="AF16" i="13"/>
  <c r="AE16" i="13"/>
  <c r="AD16" i="13"/>
  <c r="AC16" i="13"/>
  <c r="AB16" i="13"/>
  <c r="AA16" i="13"/>
  <c r="Y16" i="13"/>
  <c r="X16" i="13"/>
  <c r="Z16" i="13" s="1"/>
  <c r="V16" i="13"/>
  <c r="U16" i="13"/>
  <c r="S16" i="13"/>
  <c r="R16" i="13"/>
  <c r="O16" i="13"/>
  <c r="L16" i="13"/>
  <c r="J16" i="13" s="1"/>
  <c r="I16" i="13"/>
  <c r="H16" i="13"/>
  <c r="G16" i="13"/>
  <c r="P16" i="13" s="1"/>
  <c r="F16" i="13"/>
  <c r="E16" i="13"/>
  <c r="AG15" i="13"/>
  <c r="AF15" i="13"/>
  <c r="AE15" i="13"/>
  <c r="AD15" i="13"/>
  <c r="AC15" i="13"/>
  <c r="AB15" i="13"/>
  <c r="AA15" i="13"/>
  <c r="Y15" i="13"/>
  <c r="X15" i="13"/>
  <c r="V15" i="13"/>
  <c r="U15" i="13"/>
  <c r="S15" i="13"/>
  <c r="R15" i="13"/>
  <c r="O15" i="13"/>
  <c r="L15" i="13"/>
  <c r="I15" i="13"/>
  <c r="Q15" i="13" s="1"/>
  <c r="H15" i="13"/>
  <c r="G15" i="13"/>
  <c r="P15" i="13" s="1"/>
  <c r="F15" i="13"/>
  <c r="E15" i="13"/>
  <c r="AG14" i="13"/>
  <c r="AF14" i="13"/>
  <c r="AE14" i="13"/>
  <c r="AD14" i="13"/>
  <c r="AC14" i="13"/>
  <c r="AB14" i="13"/>
  <c r="AA14" i="13"/>
  <c r="Y14" i="13"/>
  <c r="X14" i="13"/>
  <c r="V14" i="13"/>
  <c r="U14" i="13"/>
  <c r="W14" i="13" s="1"/>
  <c r="S14" i="13"/>
  <c r="R14" i="13"/>
  <c r="O14" i="13"/>
  <c r="L14" i="13"/>
  <c r="I14" i="13"/>
  <c r="Q14" i="13" s="1"/>
  <c r="H14" i="13"/>
  <c r="N14" i="13" s="1"/>
  <c r="G14" i="13"/>
  <c r="P14" i="13" s="1"/>
  <c r="F14" i="13"/>
  <c r="E14" i="13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J107" i="12" s="1"/>
  <c r="I107" i="12"/>
  <c r="Q107" i="12" s="1"/>
  <c r="H107" i="12"/>
  <c r="N107" i="12" s="1"/>
  <c r="G107" i="12"/>
  <c r="P107" i="12" s="1"/>
  <c r="F107" i="12"/>
  <c r="E107" i="12"/>
  <c r="D107" i="12" s="1"/>
  <c r="O106" i="12"/>
  <c r="J106" i="12" s="1"/>
  <c r="N106" i="12"/>
  <c r="L106" i="12"/>
  <c r="I106" i="12"/>
  <c r="Q106" i="12" s="1"/>
  <c r="H106" i="12"/>
  <c r="G106" i="12"/>
  <c r="P106" i="12" s="1"/>
  <c r="F106" i="12"/>
  <c r="E106" i="12"/>
  <c r="O105" i="12"/>
  <c r="L105" i="12"/>
  <c r="J105" i="12" s="1"/>
  <c r="I105" i="12"/>
  <c r="Q105" i="12" s="1"/>
  <c r="H105" i="12"/>
  <c r="N105" i="12" s="1"/>
  <c r="G105" i="12"/>
  <c r="P105" i="12" s="1"/>
  <c r="F105" i="12"/>
  <c r="E105" i="12"/>
  <c r="O104" i="12"/>
  <c r="L104" i="12"/>
  <c r="I104" i="12"/>
  <c r="Q104" i="12" s="1"/>
  <c r="H104" i="12"/>
  <c r="N104" i="12" s="1"/>
  <c r="G104" i="12"/>
  <c r="P104" i="12" s="1"/>
  <c r="F104" i="12"/>
  <c r="E104" i="12"/>
  <c r="D104" i="12" s="1"/>
  <c r="O103" i="12"/>
  <c r="L103" i="12"/>
  <c r="J103" i="12" s="1"/>
  <c r="I103" i="12"/>
  <c r="Q103" i="12" s="1"/>
  <c r="H103" i="12"/>
  <c r="N103" i="12" s="1"/>
  <c r="G103" i="12"/>
  <c r="P103" i="12" s="1"/>
  <c r="F103" i="12"/>
  <c r="E103" i="12"/>
  <c r="O102" i="12"/>
  <c r="L102" i="12"/>
  <c r="J102" i="12" s="1"/>
  <c r="I102" i="12"/>
  <c r="Q102" i="12" s="1"/>
  <c r="H102" i="12"/>
  <c r="N102" i="12" s="1"/>
  <c r="G102" i="12"/>
  <c r="P102" i="12" s="1"/>
  <c r="F102" i="12"/>
  <c r="E102" i="12"/>
  <c r="O101" i="12"/>
  <c r="J101" i="12" s="1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G100" i="12"/>
  <c r="P100" i="12" s="1"/>
  <c r="F100" i="12"/>
  <c r="E100" i="12"/>
  <c r="O99" i="12"/>
  <c r="L99" i="12"/>
  <c r="J99" i="12" s="1"/>
  <c r="I99" i="12"/>
  <c r="Q99" i="12" s="1"/>
  <c r="H99" i="12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J97" i="12" s="1"/>
  <c r="I97" i="12"/>
  <c r="Q97" i="12" s="1"/>
  <c r="H97" i="12"/>
  <c r="G97" i="12"/>
  <c r="P97" i="12" s="1"/>
  <c r="F97" i="12"/>
  <c r="E97" i="12"/>
  <c r="Q96" i="12"/>
  <c r="O96" i="12"/>
  <c r="L96" i="12"/>
  <c r="I96" i="12"/>
  <c r="H96" i="12"/>
  <c r="G96" i="12"/>
  <c r="P96" i="12" s="1"/>
  <c r="F96" i="12"/>
  <c r="E96" i="12"/>
  <c r="O95" i="12"/>
  <c r="L95" i="12"/>
  <c r="J95" i="12" s="1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D94" i="12" s="1"/>
  <c r="O93" i="12"/>
  <c r="L93" i="12"/>
  <c r="J93" i="12" s="1"/>
  <c r="I93" i="12"/>
  <c r="Q93" i="12" s="1"/>
  <c r="H93" i="12"/>
  <c r="G93" i="12"/>
  <c r="P93" i="12" s="1"/>
  <c r="F93" i="12"/>
  <c r="E93" i="12"/>
  <c r="O92" i="12"/>
  <c r="L92" i="12"/>
  <c r="I92" i="12"/>
  <c r="Q92" i="12" s="1"/>
  <c r="H92" i="12"/>
  <c r="G92" i="12"/>
  <c r="P92" i="12" s="1"/>
  <c r="F92" i="12"/>
  <c r="E92" i="12"/>
  <c r="D92" i="12" s="1"/>
  <c r="O91" i="12"/>
  <c r="L91" i="12"/>
  <c r="J91" i="12" s="1"/>
  <c r="I91" i="12"/>
  <c r="H91" i="12"/>
  <c r="G91" i="12"/>
  <c r="P91" i="12" s="1"/>
  <c r="F91" i="12"/>
  <c r="E91" i="12"/>
  <c r="O90" i="12"/>
  <c r="L90" i="12"/>
  <c r="I90" i="12"/>
  <c r="Q90" i="12" s="1"/>
  <c r="H90" i="12"/>
  <c r="G90" i="12"/>
  <c r="P90" i="12" s="1"/>
  <c r="F90" i="12"/>
  <c r="E90" i="12"/>
  <c r="BH88" i="12"/>
  <c r="BG88" i="12"/>
  <c r="BF88" i="12"/>
  <c r="BD88" i="12"/>
  <c r="BC88" i="12"/>
  <c r="BB88" i="12"/>
  <c r="AZ88" i="12"/>
  <c r="AY88" i="12"/>
  <c r="AX88" i="12"/>
  <c r="AV88" i="12"/>
  <c r="AU88" i="12"/>
  <c r="AT88" i="12"/>
  <c r="AR88" i="12"/>
  <c r="AQ88" i="12"/>
  <c r="AP88" i="12"/>
  <c r="AS88" i="12" s="1"/>
  <c r="AN88" i="12"/>
  <c r="AM88" i="12"/>
  <c r="AL88" i="12"/>
  <c r="AJ88" i="12"/>
  <c r="AI88" i="12"/>
  <c r="AH88" i="12"/>
  <c r="AF88" i="12"/>
  <c r="AE88" i="12"/>
  <c r="AD88" i="12"/>
  <c r="AB88" i="12"/>
  <c r="AA88" i="12"/>
  <c r="Z88" i="12"/>
  <c r="X88" i="12"/>
  <c r="W88" i="12"/>
  <c r="V88" i="12"/>
  <c r="T88" i="12"/>
  <c r="S88" i="12"/>
  <c r="R88" i="12"/>
  <c r="U88" i="12" s="1"/>
  <c r="O88" i="12"/>
  <c r="J88" i="12" s="1"/>
  <c r="L88" i="12"/>
  <c r="I88" i="12"/>
  <c r="Q88" i="12" s="1"/>
  <c r="H88" i="12"/>
  <c r="G88" i="12"/>
  <c r="P88" i="12" s="1"/>
  <c r="F88" i="12"/>
  <c r="E88" i="12"/>
  <c r="BH87" i="12"/>
  <c r="BG87" i="12"/>
  <c r="BF87" i="12"/>
  <c r="BD87" i="12"/>
  <c r="BC87" i="12"/>
  <c r="BB87" i="12"/>
  <c r="BE87" i="12" s="1"/>
  <c r="AZ87" i="12"/>
  <c r="AY87" i="12"/>
  <c r="AX87" i="12"/>
  <c r="AV87" i="12"/>
  <c r="AU87" i="12"/>
  <c r="AT87" i="12"/>
  <c r="AW87" i="12" s="1"/>
  <c r="AR87" i="12"/>
  <c r="AQ87" i="12"/>
  <c r="AP87" i="12"/>
  <c r="AN87" i="12"/>
  <c r="AM87" i="12"/>
  <c r="AL87" i="12"/>
  <c r="AJ87" i="12"/>
  <c r="AI87" i="12"/>
  <c r="AH87" i="12"/>
  <c r="AF87" i="12"/>
  <c r="AE87" i="12"/>
  <c r="AD87" i="12"/>
  <c r="AB87" i="12"/>
  <c r="AA87" i="12"/>
  <c r="Z87" i="12"/>
  <c r="X87" i="12"/>
  <c r="W87" i="12"/>
  <c r="V87" i="12"/>
  <c r="T87" i="12"/>
  <c r="S87" i="12"/>
  <c r="R87" i="12"/>
  <c r="O87" i="12"/>
  <c r="L87" i="12"/>
  <c r="I87" i="12"/>
  <c r="Q87" i="12" s="1"/>
  <c r="H87" i="12"/>
  <c r="G87" i="12"/>
  <c r="P87" i="12" s="1"/>
  <c r="F87" i="12"/>
  <c r="E87" i="12"/>
  <c r="BH86" i="12"/>
  <c r="BG86" i="12"/>
  <c r="BI86" i="12" s="1"/>
  <c r="BF86" i="12"/>
  <c r="BD86" i="12"/>
  <c r="BC86" i="12"/>
  <c r="BB86" i="12"/>
  <c r="AZ86" i="12"/>
  <c r="AY86" i="12"/>
  <c r="AX86" i="12"/>
  <c r="AV86" i="12"/>
  <c r="AU86" i="12"/>
  <c r="AT86" i="12"/>
  <c r="AR86" i="12"/>
  <c r="AQ86" i="12"/>
  <c r="AP86" i="12"/>
  <c r="AN86" i="12"/>
  <c r="AM86" i="12"/>
  <c r="AL86" i="12"/>
  <c r="AJ86" i="12"/>
  <c r="AI86" i="12"/>
  <c r="AK86" i="12" s="1"/>
  <c r="AH86" i="12"/>
  <c r="AF86" i="12"/>
  <c r="AE86" i="12"/>
  <c r="AD86" i="12"/>
  <c r="AB86" i="12"/>
  <c r="AA86" i="12"/>
  <c r="Z86" i="12"/>
  <c r="X86" i="12"/>
  <c r="W86" i="12"/>
  <c r="V86" i="12"/>
  <c r="T86" i="12"/>
  <c r="S86" i="12"/>
  <c r="R86" i="12"/>
  <c r="O86" i="12"/>
  <c r="L86" i="12"/>
  <c r="I86" i="12"/>
  <c r="Q86" i="12" s="1"/>
  <c r="H86" i="12"/>
  <c r="G86" i="12"/>
  <c r="P86" i="12" s="1"/>
  <c r="F86" i="12"/>
  <c r="E86" i="12"/>
  <c r="BH85" i="12"/>
  <c r="BG85" i="12"/>
  <c r="BF85" i="12"/>
  <c r="BD85" i="12"/>
  <c r="BC85" i="12"/>
  <c r="BB85" i="12"/>
  <c r="AZ85" i="12"/>
  <c r="AY85" i="12"/>
  <c r="AX85" i="12"/>
  <c r="BA85" i="12" s="1"/>
  <c r="AV85" i="12"/>
  <c r="AU85" i="12"/>
  <c r="AT85" i="12"/>
  <c r="AR85" i="12"/>
  <c r="AQ85" i="12"/>
  <c r="AP85" i="12"/>
  <c r="AN85" i="12"/>
  <c r="AM85" i="12"/>
  <c r="AL85" i="12"/>
  <c r="AJ85" i="12"/>
  <c r="AI85" i="12"/>
  <c r="AH85" i="12"/>
  <c r="AF85" i="12"/>
  <c r="AE85" i="12"/>
  <c r="AD85" i="12"/>
  <c r="AB85" i="12"/>
  <c r="AA85" i="12"/>
  <c r="Z85" i="12"/>
  <c r="X85" i="12"/>
  <c r="W85" i="12"/>
  <c r="V85" i="12"/>
  <c r="T85" i="12"/>
  <c r="S85" i="12"/>
  <c r="R85" i="12"/>
  <c r="O85" i="12"/>
  <c r="L85" i="12"/>
  <c r="I85" i="12"/>
  <c r="Q85" i="12" s="1"/>
  <c r="H85" i="12"/>
  <c r="G85" i="12"/>
  <c r="P85" i="12" s="1"/>
  <c r="F85" i="12"/>
  <c r="E85" i="12"/>
  <c r="BH84" i="12"/>
  <c r="BG84" i="12"/>
  <c r="BF84" i="12"/>
  <c r="BD84" i="12"/>
  <c r="BC84" i="12"/>
  <c r="BB84" i="12"/>
  <c r="AZ84" i="12"/>
  <c r="AY84" i="12"/>
  <c r="AX84" i="12"/>
  <c r="AV84" i="12"/>
  <c r="AU84" i="12"/>
  <c r="AT84" i="12"/>
  <c r="AR84" i="12"/>
  <c r="AQ84" i="12"/>
  <c r="AP84" i="12"/>
  <c r="AN84" i="12"/>
  <c r="AM84" i="12"/>
  <c r="AL84" i="12"/>
  <c r="AJ84" i="12"/>
  <c r="AI84" i="12"/>
  <c r="AH84" i="12"/>
  <c r="AF84" i="12"/>
  <c r="AE84" i="12"/>
  <c r="AD84" i="12"/>
  <c r="AB84" i="12"/>
  <c r="AA84" i="12"/>
  <c r="Z84" i="12"/>
  <c r="X84" i="12"/>
  <c r="W84" i="12"/>
  <c r="V84" i="12"/>
  <c r="T84" i="12"/>
  <c r="S84" i="12"/>
  <c r="R84" i="12"/>
  <c r="O84" i="12"/>
  <c r="L84" i="12"/>
  <c r="I84" i="12"/>
  <c r="Q84" i="12" s="1"/>
  <c r="H84" i="12"/>
  <c r="G84" i="12"/>
  <c r="P84" i="12" s="1"/>
  <c r="F84" i="12"/>
  <c r="E84" i="12"/>
  <c r="BH83" i="12"/>
  <c r="BG83" i="12"/>
  <c r="BF83" i="12"/>
  <c r="BD83" i="12"/>
  <c r="BC83" i="12"/>
  <c r="BB83" i="12"/>
  <c r="BE83" i="12" s="1"/>
  <c r="AZ83" i="12"/>
  <c r="AY83" i="12"/>
  <c r="AX83" i="12"/>
  <c r="BA83" i="12" s="1"/>
  <c r="AV83" i="12"/>
  <c r="AU83" i="12"/>
  <c r="AT83" i="12"/>
  <c r="AR83" i="12"/>
  <c r="AQ83" i="12"/>
  <c r="AP83" i="12"/>
  <c r="AN83" i="12"/>
  <c r="AM83" i="12"/>
  <c r="AL83" i="12"/>
  <c r="AO83" i="12" s="1"/>
  <c r="AJ83" i="12"/>
  <c r="AI83" i="12"/>
  <c r="AH83" i="12"/>
  <c r="AF83" i="12"/>
  <c r="AE83" i="12"/>
  <c r="AD83" i="12"/>
  <c r="AB83" i="12"/>
  <c r="AA83" i="12"/>
  <c r="Z83" i="12"/>
  <c r="AC83" i="12" s="1"/>
  <c r="X83" i="12"/>
  <c r="W83" i="12"/>
  <c r="V83" i="12"/>
  <c r="Y83" i="12" s="1"/>
  <c r="T83" i="12"/>
  <c r="S83" i="12"/>
  <c r="R83" i="12"/>
  <c r="O83" i="12"/>
  <c r="L83" i="12"/>
  <c r="I83" i="12"/>
  <c r="Q83" i="12" s="1"/>
  <c r="H83" i="12"/>
  <c r="N83" i="12" s="1"/>
  <c r="G83" i="12"/>
  <c r="P83" i="12" s="1"/>
  <c r="F83" i="12"/>
  <c r="E83" i="12"/>
  <c r="BH82" i="12"/>
  <c r="BG82" i="12"/>
  <c r="BF82" i="12"/>
  <c r="BD82" i="12"/>
  <c r="BC82" i="12"/>
  <c r="BB82" i="12"/>
  <c r="AZ82" i="12"/>
  <c r="AY82" i="12"/>
  <c r="AX82" i="12"/>
  <c r="AV82" i="12"/>
  <c r="AU82" i="12"/>
  <c r="AT82" i="12"/>
  <c r="AR82" i="12"/>
  <c r="AQ82" i="12"/>
  <c r="AP82" i="12"/>
  <c r="AN82" i="12"/>
  <c r="AM82" i="12"/>
  <c r="AL82" i="12"/>
  <c r="AJ82" i="12"/>
  <c r="AI82" i="12"/>
  <c r="AH82" i="12"/>
  <c r="AF82" i="12"/>
  <c r="AE82" i="12"/>
  <c r="AD82" i="12"/>
  <c r="AB82" i="12"/>
  <c r="AA82" i="12"/>
  <c r="Z82" i="12"/>
  <c r="X82" i="12"/>
  <c r="W82" i="12"/>
  <c r="V82" i="12"/>
  <c r="T82" i="12"/>
  <c r="S82" i="12"/>
  <c r="R82" i="12"/>
  <c r="O82" i="12"/>
  <c r="L82" i="12"/>
  <c r="J82" i="12" s="1"/>
  <c r="I82" i="12"/>
  <c r="Q82" i="12" s="1"/>
  <c r="H82" i="12"/>
  <c r="G82" i="12"/>
  <c r="P82" i="12" s="1"/>
  <c r="F82" i="12"/>
  <c r="E82" i="12"/>
  <c r="BH81" i="12"/>
  <c r="BG81" i="12"/>
  <c r="BF81" i="12"/>
  <c r="BI81" i="12" s="1"/>
  <c r="BD81" i="12"/>
  <c r="BC81" i="12"/>
  <c r="BB81" i="12"/>
  <c r="AZ81" i="12"/>
  <c r="AY81" i="12"/>
  <c r="AX81" i="12"/>
  <c r="AV81" i="12"/>
  <c r="AU81" i="12"/>
  <c r="AT81" i="12"/>
  <c r="AR81" i="12"/>
  <c r="AQ81" i="12"/>
  <c r="AP81" i="12"/>
  <c r="AS81" i="12" s="1"/>
  <c r="AN81" i="12"/>
  <c r="AM81" i="12"/>
  <c r="AL81" i="12"/>
  <c r="AJ81" i="12"/>
  <c r="AI81" i="12"/>
  <c r="AH81" i="12"/>
  <c r="AF81" i="12"/>
  <c r="AE81" i="12"/>
  <c r="AD81" i="12"/>
  <c r="AB81" i="12"/>
  <c r="AA81" i="12"/>
  <c r="Z81" i="12"/>
  <c r="X81" i="12"/>
  <c r="W81" i="12"/>
  <c r="V81" i="12"/>
  <c r="T81" i="12"/>
  <c r="S81" i="12"/>
  <c r="R81" i="12"/>
  <c r="O81" i="12"/>
  <c r="L81" i="12"/>
  <c r="I81" i="12"/>
  <c r="Q81" i="12" s="1"/>
  <c r="H81" i="12"/>
  <c r="G81" i="12"/>
  <c r="P81" i="12" s="1"/>
  <c r="F81" i="12"/>
  <c r="E81" i="12"/>
  <c r="BH80" i="12"/>
  <c r="BG80" i="12"/>
  <c r="BF80" i="12"/>
  <c r="BD80" i="12"/>
  <c r="BC80" i="12"/>
  <c r="BB80" i="12"/>
  <c r="AZ80" i="12"/>
  <c r="AY80" i="12"/>
  <c r="AX80" i="12"/>
  <c r="AV80" i="12"/>
  <c r="AU80" i="12"/>
  <c r="AT80" i="12"/>
  <c r="AR80" i="12"/>
  <c r="AQ80" i="12"/>
  <c r="AP80" i="12"/>
  <c r="AN80" i="12"/>
  <c r="AM80" i="12"/>
  <c r="AL80" i="12"/>
  <c r="AJ80" i="12"/>
  <c r="AI80" i="12"/>
  <c r="AH80" i="12"/>
  <c r="AF80" i="12"/>
  <c r="AE80" i="12"/>
  <c r="AD80" i="12"/>
  <c r="AB80" i="12"/>
  <c r="AA80" i="12"/>
  <c r="Z80" i="12"/>
  <c r="X80" i="12"/>
  <c r="W80" i="12"/>
  <c r="V80" i="12"/>
  <c r="T80" i="12"/>
  <c r="S80" i="12"/>
  <c r="R80" i="12"/>
  <c r="O80" i="12"/>
  <c r="L80" i="12"/>
  <c r="J80" i="12" s="1"/>
  <c r="I80" i="12"/>
  <c r="Q80" i="12" s="1"/>
  <c r="H80" i="12"/>
  <c r="G80" i="12"/>
  <c r="P80" i="12" s="1"/>
  <c r="F80" i="12"/>
  <c r="E80" i="12"/>
  <c r="BH79" i="12"/>
  <c r="BG79" i="12"/>
  <c r="BF79" i="12"/>
  <c r="BD79" i="12"/>
  <c r="BC79" i="12"/>
  <c r="BB79" i="12"/>
  <c r="AZ79" i="12"/>
  <c r="AY79" i="12"/>
  <c r="AX79" i="12"/>
  <c r="AV79" i="12"/>
  <c r="AU79" i="12"/>
  <c r="AT79" i="12"/>
  <c r="AR79" i="12"/>
  <c r="AQ79" i="12"/>
  <c r="AP79" i="12"/>
  <c r="AN79" i="12"/>
  <c r="AM79" i="12"/>
  <c r="AL79" i="12"/>
  <c r="AJ79" i="12"/>
  <c r="AI79" i="12"/>
  <c r="AH79" i="12"/>
  <c r="AF79" i="12"/>
  <c r="AE79" i="12"/>
  <c r="AD79" i="12"/>
  <c r="AG79" i="12" s="1"/>
  <c r="AC79" i="12"/>
  <c r="AB79" i="12"/>
  <c r="AA79" i="12"/>
  <c r="Z79" i="12"/>
  <c r="X79" i="12"/>
  <c r="W79" i="12"/>
  <c r="V79" i="12"/>
  <c r="Y79" i="12" s="1"/>
  <c r="T79" i="12"/>
  <c r="S79" i="12"/>
  <c r="R79" i="12"/>
  <c r="O79" i="12"/>
  <c r="L79" i="12"/>
  <c r="I79" i="12"/>
  <c r="Q79" i="12" s="1"/>
  <c r="H79" i="12"/>
  <c r="G79" i="12"/>
  <c r="F79" i="12"/>
  <c r="E79" i="12"/>
  <c r="D79" i="12" s="1"/>
  <c r="BH78" i="12"/>
  <c r="BG78" i="12"/>
  <c r="BF78" i="12"/>
  <c r="BD78" i="12"/>
  <c r="BC78" i="12"/>
  <c r="BB78" i="12"/>
  <c r="AZ78" i="12"/>
  <c r="AY78" i="12"/>
  <c r="BA78" i="12" s="1"/>
  <c r="AX78" i="12"/>
  <c r="AV78" i="12"/>
  <c r="AU78" i="12"/>
  <c r="AT78" i="12"/>
  <c r="AR78" i="12"/>
  <c r="AQ78" i="12"/>
  <c r="AP78" i="12"/>
  <c r="AN78" i="12"/>
  <c r="AM78" i="12"/>
  <c r="AL78" i="12"/>
  <c r="AJ78" i="12"/>
  <c r="AI78" i="12"/>
  <c r="AH78" i="12"/>
  <c r="AF78" i="12"/>
  <c r="AE78" i="12"/>
  <c r="AD78" i="12"/>
  <c r="AB78" i="12"/>
  <c r="AA78" i="12"/>
  <c r="AC78" i="12" s="1"/>
  <c r="Z78" i="12"/>
  <c r="X78" i="12"/>
  <c r="W78" i="12"/>
  <c r="V78" i="12"/>
  <c r="T78" i="12"/>
  <c r="S78" i="12"/>
  <c r="R78" i="12"/>
  <c r="O78" i="12"/>
  <c r="L78" i="12"/>
  <c r="I78" i="12"/>
  <c r="Q78" i="12" s="1"/>
  <c r="H78" i="12"/>
  <c r="G78" i="12"/>
  <c r="P78" i="12" s="1"/>
  <c r="F78" i="12"/>
  <c r="E78" i="12"/>
  <c r="BH77" i="12"/>
  <c r="BG77" i="12"/>
  <c r="BF77" i="12"/>
  <c r="BD77" i="12"/>
  <c r="BC77" i="12"/>
  <c r="BB77" i="12"/>
  <c r="BE77" i="12" s="1"/>
  <c r="AZ77" i="12"/>
  <c r="AY77" i="12"/>
  <c r="AX77" i="12"/>
  <c r="BA77" i="12" s="1"/>
  <c r="AV77" i="12"/>
  <c r="AU77" i="12"/>
  <c r="AT77" i="12"/>
  <c r="AR77" i="12"/>
  <c r="AQ77" i="12"/>
  <c r="AP77" i="12"/>
  <c r="AN77" i="12"/>
  <c r="AM77" i="12"/>
  <c r="AL77" i="12"/>
  <c r="AJ77" i="12"/>
  <c r="AI77" i="12"/>
  <c r="AH77" i="12"/>
  <c r="AF77" i="12"/>
  <c r="AE77" i="12"/>
  <c r="AD77" i="12"/>
  <c r="AB77" i="12"/>
  <c r="AA77" i="12"/>
  <c r="AC77" i="12" s="1"/>
  <c r="Z77" i="12"/>
  <c r="X77" i="12"/>
  <c r="W77" i="12"/>
  <c r="V77" i="12"/>
  <c r="T77" i="12"/>
  <c r="S77" i="12"/>
  <c r="R77" i="12"/>
  <c r="O77" i="12"/>
  <c r="L77" i="12"/>
  <c r="I77" i="12"/>
  <c r="Q77" i="12" s="1"/>
  <c r="H77" i="12"/>
  <c r="G77" i="12"/>
  <c r="P77" i="12" s="1"/>
  <c r="F77" i="12"/>
  <c r="E77" i="12"/>
  <c r="BH76" i="12"/>
  <c r="BG76" i="12"/>
  <c r="BF76" i="12"/>
  <c r="BD76" i="12"/>
  <c r="BC76" i="12"/>
  <c r="BB76" i="12"/>
  <c r="AZ76" i="12"/>
  <c r="AY76" i="12"/>
  <c r="AX76" i="12"/>
  <c r="BA76" i="12" s="1"/>
  <c r="AV76" i="12"/>
  <c r="AU76" i="12"/>
  <c r="AT76" i="12"/>
  <c r="AR76" i="12"/>
  <c r="AQ76" i="12"/>
  <c r="AP76" i="12"/>
  <c r="AN76" i="12"/>
  <c r="AM76" i="12"/>
  <c r="AL76" i="12"/>
  <c r="AJ76" i="12"/>
  <c r="AI76" i="12"/>
  <c r="AH76" i="12"/>
  <c r="AF76" i="12"/>
  <c r="AE76" i="12"/>
  <c r="AD76" i="12"/>
  <c r="AB76" i="12"/>
  <c r="AA76" i="12"/>
  <c r="Z76" i="12"/>
  <c r="AC76" i="12" s="1"/>
  <c r="X76" i="12"/>
  <c r="W76" i="12"/>
  <c r="V76" i="12"/>
  <c r="T76" i="12"/>
  <c r="S76" i="12"/>
  <c r="R76" i="12"/>
  <c r="O76" i="12"/>
  <c r="L76" i="12"/>
  <c r="J76" i="12" s="1"/>
  <c r="I76" i="12"/>
  <c r="Q76" i="12" s="1"/>
  <c r="H76" i="12"/>
  <c r="G76" i="12"/>
  <c r="P76" i="12" s="1"/>
  <c r="F76" i="12"/>
  <c r="E76" i="12"/>
  <c r="BH75" i="12"/>
  <c r="BG75" i="12"/>
  <c r="BF75" i="12"/>
  <c r="BD75" i="12"/>
  <c r="BC75" i="12"/>
  <c r="BB75" i="12"/>
  <c r="AZ75" i="12"/>
  <c r="AY75" i="12"/>
  <c r="AX75" i="12"/>
  <c r="AV75" i="12"/>
  <c r="AU75" i="12"/>
  <c r="AT75" i="12"/>
  <c r="AR75" i="12"/>
  <c r="AQ75" i="12"/>
  <c r="AP75" i="12"/>
  <c r="AS75" i="12" s="1"/>
  <c r="AN75" i="12"/>
  <c r="AM75" i="12"/>
  <c r="AL75" i="12"/>
  <c r="AJ75" i="12"/>
  <c r="AI75" i="12"/>
  <c r="AH75" i="12"/>
  <c r="AK75" i="12" s="1"/>
  <c r="AF75" i="12"/>
  <c r="AE75" i="12"/>
  <c r="AD75" i="12"/>
  <c r="AG75" i="12" s="1"/>
  <c r="AB75" i="12"/>
  <c r="AA75" i="12"/>
  <c r="Z75" i="12"/>
  <c r="X75" i="12"/>
  <c r="W75" i="12"/>
  <c r="V75" i="12"/>
  <c r="T75" i="12"/>
  <c r="S75" i="12"/>
  <c r="R75" i="12"/>
  <c r="O75" i="12"/>
  <c r="L75" i="12"/>
  <c r="I75" i="12"/>
  <c r="H75" i="12"/>
  <c r="G75" i="12"/>
  <c r="P75" i="12" s="1"/>
  <c r="F75" i="12"/>
  <c r="E75" i="12"/>
  <c r="BH73" i="12"/>
  <c r="BG73" i="12"/>
  <c r="BF73" i="12"/>
  <c r="BI73" i="12" s="1"/>
  <c r="BD73" i="12"/>
  <c r="BC73" i="12"/>
  <c r="BB73" i="12"/>
  <c r="BE73" i="12" s="1"/>
  <c r="AZ73" i="12"/>
  <c r="AY73" i="12"/>
  <c r="AX73" i="12"/>
  <c r="BA73" i="12" s="1"/>
  <c r="AV73" i="12"/>
  <c r="AU73" i="12"/>
  <c r="AT73" i="12"/>
  <c r="AW73" i="12" s="1"/>
  <c r="AR73" i="12"/>
  <c r="AQ73" i="12"/>
  <c r="AP73" i="12"/>
  <c r="AS73" i="12" s="1"/>
  <c r="AN73" i="12"/>
  <c r="AM73" i="12"/>
  <c r="AL73" i="12"/>
  <c r="AO73" i="12" s="1"/>
  <c r="AK73" i="12"/>
  <c r="AJ73" i="12"/>
  <c r="AI73" i="12"/>
  <c r="AH73" i="12"/>
  <c r="AF73" i="12"/>
  <c r="AE73" i="12"/>
  <c r="AD73" i="12"/>
  <c r="AG73" i="12" s="1"/>
  <c r="AB73" i="12"/>
  <c r="AA73" i="12"/>
  <c r="Z73" i="12"/>
  <c r="AC73" i="12" s="1"/>
  <c r="X73" i="12"/>
  <c r="W73" i="12"/>
  <c r="V73" i="12"/>
  <c r="Y73" i="12" s="1"/>
  <c r="T73" i="12"/>
  <c r="S73" i="12"/>
  <c r="R73" i="12"/>
  <c r="U73" i="12" s="1"/>
  <c r="O73" i="12"/>
  <c r="L73" i="12"/>
  <c r="I73" i="12"/>
  <c r="Q73" i="12" s="1"/>
  <c r="H73" i="12"/>
  <c r="G73" i="12"/>
  <c r="P73" i="12" s="1"/>
  <c r="F73" i="12"/>
  <c r="E73" i="12"/>
  <c r="BH72" i="12"/>
  <c r="BG72" i="12"/>
  <c r="BF72" i="12"/>
  <c r="BD72" i="12"/>
  <c r="BC72" i="12"/>
  <c r="BB72" i="12"/>
  <c r="AZ72" i="12"/>
  <c r="AY72" i="12"/>
  <c r="AX72" i="12"/>
  <c r="BA72" i="12" s="1"/>
  <c r="AV72" i="12"/>
  <c r="AU72" i="12"/>
  <c r="AT72" i="12"/>
  <c r="AR72" i="12"/>
  <c r="AQ72" i="12"/>
  <c r="AP72" i="12"/>
  <c r="AS72" i="12" s="1"/>
  <c r="AN72" i="12"/>
  <c r="AM72" i="12"/>
  <c r="AL72" i="12"/>
  <c r="AJ72" i="12"/>
  <c r="AI72" i="12"/>
  <c r="AH72" i="12"/>
  <c r="AF72" i="12"/>
  <c r="AE72" i="12"/>
  <c r="AD72" i="12"/>
  <c r="AB72" i="12"/>
  <c r="AA72" i="12"/>
  <c r="Z72" i="12"/>
  <c r="AC72" i="12" s="1"/>
  <c r="X72" i="12"/>
  <c r="W72" i="12"/>
  <c r="V72" i="12"/>
  <c r="T72" i="12"/>
  <c r="S72" i="12"/>
  <c r="R72" i="12"/>
  <c r="O72" i="12"/>
  <c r="L72" i="12"/>
  <c r="I72" i="12"/>
  <c r="Q72" i="12" s="1"/>
  <c r="H72" i="12"/>
  <c r="G72" i="12"/>
  <c r="P72" i="12" s="1"/>
  <c r="F72" i="12"/>
  <c r="E72" i="12"/>
  <c r="D72" i="12" s="1"/>
  <c r="BH71" i="12"/>
  <c r="BG71" i="12"/>
  <c r="BF71" i="12"/>
  <c r="BI71" i="12" s="1"/>
  <c r="BD71" i="12"/>
  <c r="BC71" i="12"/>
  <c r="BB71" i="12"/>
  <c r="BE71" i="12" s="1"/>
  <c r="AZ71" i="12"/>
  <c r="AY71" i="12"/>
  <c r="AX71" i="12"/>
  <c r="BA71" i="12" s="1"/>
  <c r="AV71" i="12"/>
  <c r="AU71" i="12"/>
  <c r="AT71" i="12"/>
  <c r="AW71" i="12" s="1"/>
  <c r="AR71" i="12"/>
  <c r="AQ71" i="12"/>
  <c r="AP71" i="12"/>
  <c r="AS71" i="12" s="1"/>
  <c r="AO71" i="12"/>
  <c r="AN71" i="12"/>
  <c r="AM71" i="12"/>
  <c r="AL71" i="12"/>
  <c r="AJ71" i="12"/>
  <c r="AI71" i="12"/>
  <c r="AH71" i="12"/>
  <c r="AK71" i="12" s="1"/>
  <c r="AG71" i="12"/>
  <c r="AF71" i="12"/>
  <c r="AE71" i="12"/>
  <c r="AD71" i="12"/>
  <c r="AB71" i="12"/>
  <c r="AA71" i="12"/>
  <c r="Z71" i="12"/>
  <c r="AC71" i="12" s="1"/>
  <c r="X71" i="12"/>
  <c r="W71" i="12"/>
  <c r="V71" i="12"/>
  <c r="Y71" i="12" s="1"/>
  <c r="T71" i="12"/>
  <c r="S71" i="12"/>
  <c r="R71" i="12"/>
  <c r="U71" i="12" s="1"/>
  <c r="O71" i="12"/>
  <c r="L71" i="12"/>
  <c r="I71" i="12"/>
  <c r="Q71" i="12" s="1"/>
  <c r="H71" i="12"/>
  <c r="G71" i="12"/>
  <c r="P71" i="12" s="1"/>
  <c r="F71" i="12"/>
  <c r="E71" i="12"/>
  <c r="BH70" i="12"/>
  <c r="BG70" i="12"/>
  <c r="BF70" i="12"/>
  <c r="BD70" i="12"/>
  <c r="BC70" i="12"/>
  <c r="BB70" i="12"/>
  <c r="AZ70" i="12"/>
  <c r="AY70" i="12"/>
  <c r="AX70" i="12"/>
  <c r="BA70" i="12" s="1"/>
  <c r="AV70" i="12"/>
  <c r="AU70" i="12"/>
  <c r="AT70" i="12"/>
  <c r="AR70" i="12"/>
  <c r="AQ70" i="12"/>
  <c r="AP70" i="12"/>
  <c r="AS70" i="12" s="1"/>
  <c r="AN70" i="12"/>
  <c r="AM70" i="12"/>
  <c r="AL70" i="12"/>
  <c r="AJ70" i="12"/>
  <c r="AI70" i="12"/>
  <c r="AH70" i="12"/>
  <c r="AK70" i="12" s="1"/>
  <c r="AG70" i="12"/>
  <c r="AF70" i="12"/>
  <c r="AE70" i="12"/>
  <c r="AD70" i="12"/>
  <c r="AB70" i="12"/>
  <c r="AA70" i="12"/>
  <c r="Z70" i="12"/>
  <c r="X70" i="12"/>
  <c r="W70" i="12"/>
  <c r="V70" i="12"/>
  <c r="T70" i="12"/>
  <c r="S70" i="12"/>
  <c r="R70" i="12"/>
  <c r="O70" i="12"/>
  <c r="L70" i="12"/>
  <c r="J70" i="12" s="1"/>
  <c r="I70" i="12"/>
  <c r="Q70" i="12" s="1"/>
  <c r="H70" i="12"/>
  <c r="N70" i="12" s="1"/>
  <c r="G70" i="12"/>
  <c r="P70" i="12" s="1"/>
  <c r="F70" i="12"/>
  <c r="E70" i="12"/>
  <c r="D70" i="12" s="1"/>
  <c r="BH69" i="12"/>
  <c r="BG69" i="12"/>
  <c r="BF69" i="12"/>
  <c r="BD69" i="12"/>
  <c r="BC69" i="12"/>
  <c r="BB69" i="12"/>
  <c r="AZ69" i="12"/>
  <c r="AY69" i="12"/>
  <c r="AX69" i="12"/>
  <c r="AV69" i="12"/>
  <c r="AU69" i="12"/>
  <c r="AW69" i="12" s="1"/>
  <c r="AT69" i="12"/>
  <c r="AR69" i="12"/>
  <c r="AQ69" i="12"/>
  <c r="AP69" i="12"/>
  <c r="AN69" i="12"/>
  <c r="AM69" i="12"/>
  <c r="AL69" i="12"/>
  <c r="AJ69" i="12"/>
  <c r="AI69" i="12"/>
  <c r="AH69" i="12"/>
  <c r="AF69" i="12"/>
  <c r="AE69" i="12"/>
  <c r="AD69" i="12"/>
  <c r="AB69" i="12"/>
  <c r="AA69" i="12"/>
  <c r="Z69" i="12"/>
  <c r="X69" i="12"/>
  <c r="W69" i="12"/>
  <c r="V69" i="12"/>
  <c r="T69" i="12"/>
  <c r="S69" i="12"/>
  <c r="R69" i="12"/>
  <c r="O69" i="12"/>
  <c r="L69" i="12"/>
  <c r="I69" i="12"/>
  <c r="Q69" i="12" s="1"/>
  <c r="H69" i="12"/>
  <c r="G69" i="12"/>
  <c r="P69" i="12" s="1"/>
  <c r="F69" i="12"/>
  <c r="E69" i="12"/>
  <c r="BH68" i="12"/>
  <c r="BG68" i="12"/>
  <c r="BF68" i="12"/>
  <c r="BD68" i="12"/>
  <c r="BC68" i="12"/>
  <c r="BB68" i="12"/>
  <c r="AZ68" i="12"/>
  <c r="AY68" i="12"/>
  <c r="AX68" i="12"/>
  <c r="AV68" i="12"/>
  <c r="AU68" i="12"/>
  <c r="AT68" i="12"/>
  <c r="AR68" i="12"/>
  <c r="AQ68" i="12"/>
  <c r="AP68" i="12"/>
  <c r="AN68" i="12"/>
  <c r="AM68" i="12"/>
  <c r="AL68" i="12"/>
  <c r="AJ68" i="12"/>
  <c r="AI68" i="12"/>
  <c r="AH68" i="12"/>
  <c r="AK68" i="12" s="1"/>
  <c r="AF68" i="12"/>
  <c r="AE68" i="12"/>
  <c r="AD68" i="12"/>
  <c r="AB68" i="12"/>
  <c r="AA68" i="12"/>
  <c r="Z68" i="12"/>
  <c r="AC68" i="12" s="1"/>
  <c r="X68" i="12"/>
  <c r="W68" i="12"/>
  <c r="Y68" i="12" s="1"/>
  <c r="V68" i="12"/>
  <c r="T68" i="12"/>
  <c r="S68" i="12"/>
  <c r="R68" i="12"/>
  <c r="O68" i="12"/>
  <c r="L68" i="12"/>
  <c r="I68" i="12"/>
  <c r="Q68" i="12" s="1"/>
  <c r="H68" i="12"/>
  <c r="N68" i="12" s="1"/>
  <c r="G68" i="12"/>
  <c r="P68" i="12" s="1"/>
  <c r="F68" i="12"/>
  <c r="E68" i="12"/>
  <c r="BH67" i="12"/>
  <c r="BG67" i="12"/>
  <c r="BF67" i="12"/>
  <c r="BI67" i="12" s="1"/>
  <c r="BD67" i="12"/>
  <c r="BC67" i="12"/>
  <c r="BB67" i="12"/>
  <c r="BE67" i="12" s="1"/>
  <c r="AZ67" i="12"/>
  <c r="AY67" i="12"/>
  <c r="AX67" i="12"/>
  <c r="AV67" i="12"/>
  <c r="AU67" i="12"/>
  <c r="AT67" i="12"/>
  <c r="AR67" i="12"/>
  <c r="AQ67" i="12"/>
  <c r="AP67" i="12"/>
  <c r="AN67" i="12"/>
  <c r="AM67" i="12"/>
  <c r="AL67" i="12"/>
  <c r="AJ67" i="12"/>
  <c r="AI67" i="12"/>
  <c r="AH67" i="12"/>
  <c r="AF67" i="12"/>
  <c r="AE67" i="12"/>
  <c r="AD67" i="12"/>
  <c r="AB67" i="12"/>
  <c r="AA67" i="12"/>
  <c r="Z67" i="12"/>
  <c r="X67" i="12"/>
  <c r="W67" i="12"/>
  <c r="V67" i="12"/>
  <c r="Y67" i="12" s="1"/>
  <c r="T67" i="12"/>
  <c r="S67" i="12"/>
  <c r="R67" i="12"/>
  <c r="O67" i="12"/>
  <c r="L67" i="12"/>
  <c r="I67" i="12"/>
  <c r="Q67" i="12" s="1"/>
  <c r="H67" i="12"/>
  <c r="G67" i="12"/>
  <c r="P67" i="12" s="1"/>
  <c r="F67" i="12"/>
  <c r="E67" i="12"/>
  <c r="BH66" i="12"/>
  <c r="BG66" i="12"/>
  <c r="BF66" i="12"/>
  <c r="BD66" i="12"/>
  <c r="BC66" i="12"/>
  <c r="BB66" i="12"/>
  <c r="BE66" i="12" s="1"/>
  <c r="AZ66" i="12"/>
  <c r="AY66" i="12"/>
  <c r="BA66" i="12" s="1"/>
  <c r="AX66" i="12"/>
  <c r="AV66" i="12"/>
  <c r="AU66" i="12"/>
  <c r="AT66" i="12"/>
  <c r="AR66" i="12"/>
  <c r="AQ66" i="12"/>
  <c r="AP66" i="12"/>
  <c r="AN66" i="12"/>
  <c r="AM66" i="12"/>
  <c r="AL66" i="12"/>
  <c r="AJ66" i="12"/>
  <c r="AI66" i="12"/>
  <c r="AH66" i="12"/>
  <c r="AF66" i="12"/>
  <c r="AE66" i="12"/>
  <c r="AD66" i="12"/>
  <c r="AB66" i="12"/>
  <c r="AA66" i="12"/>
  <c r="Z66" i="12"/>
  <c r="X66" i="12"/>
  <c r="W66" i="12"/>
  <c r="V66" i="12"/>
  <c r="T66" i="12"/>
  <c r="S66" i="12"/>
  <c r="R66" i="12"/>
  <c r="Q66" i="12"/>
  <c r="O66" i="12"/>
  <c r="L66" i="12"/>
  <c r="I66" i="12"/>
  <c r="H66" i="12"/>
  <c r="G66" i="12"/>
  <c r="P66" i="12" s="1"/>
  <c r="F66" i="12"/>
  <c r="E66" i="12"/>
  <c r="BH65" i="12"/>
  <c r="BG65" i="12"/>
  <c r="BF65" i="12"/>
  <c r="BD65" i="12"/>
  <c r="BC65" i="12"/>
  <c r="BB65" i="12"/>
  <c r="BE65" i="12" s="1"/>
  <c r="AZ65" i="12"/>
  <c r="AY65" i="12"/>
  <c r="AX65" i="12"/>
  <c r="AV65" i="12"/>
  <c r="AU65" i="12"/>
  <c r="AT65" i="12"/>
  <c r="AR65" i="12"/>
  <c r="AQ65" i="12"/>
  <c r="AP65" i="12"/>
  <c r="AO65" i="12"/>
  <c r="AN65" i="12"/>
  <c r="AM65" i="12"/>
  <c r="AL65" i="12"/>
  <c r="AJ65" i="12"/>
  <c r="AI65" i="12"/>
  <c r="AH65" i="12"/>
  <c r="AF65" i="12"/>
  <c r="AE65" i="12"/>
  <c r="AD65" i="12"/>
  <c r="AB65" i="12"/>
  <c r="AA65" i="12"/>
  <c r="Z65" i="12"/>
  <c r="X65" i="12"/>
  <c r="W65" i="12"/>
  <c r="V65" i="12"/>
  <c r="T65" i="12"/>
  <c r="S65" i="12"/>
  <c r="R65" i="12"/>
  <c r="O65" i="12"/>
  <c r="L65" i="12"/>
  <c r="J65" i="12" s="1"/>
  <c r="I65" i="12"/>
  <c r="Q65" i="12" s="1"/>
  <c r="H65" i="12"/>
  <c r="G65" i="12"/>
  <c r="P65" i="12" s="1"/>
  <c r="F65" i="12"/>
  <c r="E65" i="12"/>
  <c r="BH64" i="12"/>
  <c r="BG64" i="12"/>
  <c r="BF64" i="12"/>
  <c r="BD64" i="12"/>
  <c r="BC64" i="12"/>
  <c r="BB64" i="12"/>
  <c r="BE64" i="12" s="1"/>
  <c r="AZ64" i="12"/>
  <c r="AY64" i="12"/>
  <c r="AX64" i="12"/>
  <c r="BA64" i="12" s="1"/>
  <c r="AV64" i="12"/>
  <c r="AU64" i="12"/>
  <c r="AT64" i="12"/>
  <c r="AW64" i="12" s="1"/>
  <c r="AR64" i="12"/>
  <c r="AQ64" i="12"/>
  <c r="AP64" i="12"/>
  <c r="AS64" i="12" s="1"/>
  <c r="AN64" i="12"/>
  <c r="AM64" i="12"/>
  <c r="AL64" i="12"/>
  <c r="AO64" i="12" s="1"/>
  <c r="AJ64" i="12"/>
  <c r="AI64" i="12"/>
  <c r="AH64" i="12"/>
  <c r="AK64" i="12" s="1"/>
  <c r="AF64" i="12"/>
  <c r="AE64" i="12"/>
  <c r="AD64" i="12"/>
  <c r="AG64" i="12" s="1"/>
  <c r="AB64" i="12"/>
  <c r="AA64" i="12"/>
  <c r="Z64" i="12"/>
  <c r="AC64" i="12" s="1"/>
  <c r="X64" i="12"/>
  <c r="W64" i="12"/>
  <c r="V64" i="12"/>
  <c r="T64" i="12"/>
  <c r="S64" i="12"/>
  <c r="R64" i="12"/>
  <c r="U64" i="12" s="1"/>
  <c r="O64" i="12"/>
  <c r="J64" i="12" s="1"/>
  <c r="L64" i="12"/>
  <c r="I64" i="12"/>
  <c r="Q64" i="12" s="1"/>
  <c r="H64" i="12"/>
  <c r="N64" i="12" s="1"/>
  <c r="G64" i="12"/>
  <c r="P64" i="12" s="1"/>
  <c r="F64" i="12"/>
  <c r="D64" i="12" s="1"/>
  <c r="E64" i="12"/>
  <c r="BH63" i="12"/>
  <c r="BG63" i="12"/>
  <c r="BI63" i="12" s="1"/>
  <c r="BF63" i="12"/>
  <c r="BD63" i="12"/>
  <c r="BC63" i="12"/>
  <c r="BB63" i="12"/>
  <c r="BE63" i="12" s="1"/>
  <c r="AZ63" i="12"/>
  <c r="AY63" i="12"/>
  <c r="AX63" i="12"/>
  <c r="AV63" i="12"/>
  <c r="AU63" i="12"/>
  <c r="AT63" i="12"/>
  <c r="AR63" i="12"/>
  <c r="AQ63" i="12"/>
  <c r="AP63" i="12"/>
  <c r="AN63" i="12"/>
  <c r="AM63" i="12"/>
  <c r="AL63" i="12"/>
  <c r="AJ63" i="12"/>
  <c r="AI63" i="12"/>
  <c r="AH63" i="12"/>
  <c r="AF63" i="12"/>
  <c r="AG63" i="12" s="1"/>
  <c r="AE63" i="12"/>
  <c r="AD63" i="12"/>
  <c r="AB63" i="12"/>
  <c r="AA63" i="12"/>
  <c r="Z63" i="12"/>
  <c r="X63" i="12"/>
  <c r="W63" i="12"/>
  <c r="V63" i="12"/>
  <c r="T63" i="12"/>
  <c r="S63" i="12"/>
  <c r="R63" i="12"/>
  <c r="U63" i="12" s="1"/>
  <c r="O63" i="12"/>
  <c r="L63" i="12"/>
  <c r="I63" i="12"/>
  <c r="Q63" i="12" s="1"/>
  <c r="H63" i="12"/>
  <c r="G63" i="12"/>
  <c r="P63" i="12" s="1"/>
  <c r="F63" i="12"/>
  <c r="E63" i="12"/>
  <c r="BH62" i="12"/>
  <c r="BG62" i="12"/>
  <c r="BF62" i="12"/>
  <c r="BD62" i="12"/>
  <c r="BC62" i="12"/>
  <c r="BB62" i="12"/>
  <c r="AZ62" i="12"/>
  <c r="AY62" i="12"/>
  <c r="AX62" i="12"/>
  <c r="AV62" i="12"/>
  <c r="AU62" i="12"/>
  <c r="AT62" i="12"/>
  <c r="AR62" i="12"/>
  <c r="AQ62" i="12"/>
  <c r="AP62" i="12"/>
  <c r="AN62" i="12"/>
  <c r="AM62" i="12"/>
  <c r="AL62" i="12"/>
  <c r="AJ62" i="12"/>
  <c r="AI62" i="12"/>
  <c r="AH62" i="12"/>
  <c r="AF62" i="12"/>
  <c r="AE62" i="12"/>
  <c r="AD62" i="12"/>
  <c r="AB62" i="12"/>
  <c r="AA62" i="12"/>
  <c r="Z62" i="12"/>
  <c r="X62" i="12"/>
  <c r="W62" i="12"/>
  <c r="V62" i="12"/>
  <c r="T62" i="12"/>
  <c r="S62" i="12"/>
  <c r="R62" i="12"/>
  <c r="O62" i="12"/>
  <c r="L62" i="12"/>
  <c r="I62" i="12"/>
  <c r="Q62" i="12" s="1"/>
  <c r="H62" i="12"/>
  <c r="G62" i="12"/>
  <c r="P62" i="12" s="1"/>
  <c r="F62" i="12"/>
  <c r="E62" i="12"/>
  <c r="BH61" i="12"/>
  <c r="BG61" i="12"/>
  <c r="BF61" i="12"/>
  <c r="BI61" i="12" s="1"/>
  <c r="BD61" i="12"/>
  <c r="BC61" i="12"/>
  <c r="BB61" i="12"/>
  <c r="BE61" i="12" s="1"/>
  <c r="AZ61" i="12"/>
  <c r="AY61" i="12"/>
  <c r="AX61" i="12"/>
  <c r="BA61" i="12" s="1"/>
  <c r="AV61" i="12"/>
  <c r="AU61" i="12"/>
  <c r="AT61" i="12"/>
  <c r="AW61" i="12" s="1"/>
  <c r="AR61" i="12"/>
  <c r="AQ61" i="12"/>
  <c r="AP61" i="12"/>
  <c r="AS61" i="12" s="1"/>
  <c r="AN61" i="12"/>
  <c r="AM61" i="12"/>
  <c r="AL61" i="12"/>
  <c r="AO61" i="12" s="1"/>
  <c r="AJ61" i="12"/>
  <c r="AI61" i="12"/>
  <c r="AH61" i="12"/>
  <c r="AK61" i="12" s="1"/>
  <c r="AF61" i="12"/>
  <c r="AE61" i="12"/>
  <c r="AD61" i="12"/>
  <c r="AG61" i="12" s="1"/>
  <c r="AB61" i="12"/>
  <c r="AA61" i="12"/>
  <c r="Z61" i="12"/>
  <c r="AC61" i="12" s="1"/>
  <c r="X61" i="12"/>
  <c r="W61" i="12"/>
  <c r="V61" i="12"/>
  <c r="Y61" i="12" s="1"/>
  <c r="T61" i="12"/>
  <c r="S61" i="12"/>
  <c r="R61" i="12"/>
  <c r="U61" i="12" s="1"/>
  <c r="O61" i="12"/>
  <c r="L61" i="12"/>
  <c r="I61" i="12"/>
  <c r="Q61" i="12" s="1"/>
  <c r="H61" i="12"/>
  <c r="G61" i="12"/>
  <c r="P61" i="12" s="1"/>
  <c r="F61" i="12"/>
  <c r="E61" i="12"/>
  <c r="BH60" i="12"/>
  <c r="BG60" i="12"/>
  <c r="BF60" i="12"/>
  <c r="BI60" i="12" s="1"/>
  <c r="BD60" i="12"/>
  <c r="BC60" i="12"/>
  <c r="BB60" i="12"/>
  <c r="BE60" i="12" s="1"/>
  <c r="AZ60" i="12"/>
  <c r="AY60" i="12"/>
  <c r="AX60" i="12"/>
  <c r="BA60" i="12" s="1"/>
  <c r="AV60" i="12"/>
  <c r="AU60" i="12"/>
  <c r="AT60" i="12"/>
  <c r="AW60" i="12" s="1"/>
  <c r="AR60" i="12"/>
  <c r="AQ60" i="12"/>
  <c r="AP60" i="12"/>
  <c r="AS60" i="12" s="1"/>
  <c r="AN60" i="12"/>
  <c r="AM60" i="12"/>
  <c r="AL60" i="12"/>
  <c r="AO60" i="12" s="1"/>
  <c r="AJ60" i="12"/>
  <c r="AI60" i="12"/>
  <c r="AH60" i="12"/>
  <c r="AK60" i="12" s="1"/>
  <c r="AF60" i="12"/>
  <c r="AE60" i="12"/>
  <c r="AD60" i="12"/>
  <c r="AG60" i="12" s="1"/>
  <c r="AB60" i="12"/>
  <c r="AA60" i="12"/>
  <c r="Z60" i="12"/>
  <c r="AC60" i="12" s="1"/>
  <c r="X60" i="12"/>
  <c r="W60" i="12"/>
  <c r="V60" i="12"/>
  <c r="Y60" i="12" s="1"/>
  <c r="T60" i="12"/>
  <c r="S60" i="12"/>
  <c r="R60" i="12"/>
  <c r="U60" i="12" s="1"/>
  <c r="O60" i="12"/>
  <c r="L60" i="12"/>
  <c r="I60" i="12"/>
  <c r="Q60" i="12" s="1"/>
  <c r="H60" i="12"/>
  <c r="G60" i="12"/>
  <c r="P60" i="12" s="1"/>
  <c r="F60" i="12"/>
  <c r="E60" i="12"/>
  <c r="BH59" i="12"/>
  <c r="BG59" i="12"/>
  <c r="BF59" i="12"/>
  <c r="BI59" i="12" s="1"/>
  <c r="BD59" i="12"/>
  <c r="BC59" i="12"/>
  <c r="BB59" i="12"/>
  <c r="BE59" i="12" s="1"/>
  <c r="AZ59" i="12"/>
  <c r="AY59" i="12"/>
  <c r="AX59" i="12"/>
  <c r="BA59" i="12" s="1"/>
  <c r="AV59" i="12"/>
  <c r="AU59" i="12"/>
  <c r="AT59" i="12"/>
  <c r="AW59" i="12" s="1"/>
  <c r="AR59" i="12"/>
  <c r="AQ59" i="12"/>
  <c r="AP59" i="12"/>
  <c r="AS59" i="12" s="1"/>
  <c r="AN59" i="12"/>
  <c r="AM59" i="12"/>
  <c r="AL59" i="12"/>
  <c r="AO59" i="12" s="1"/>
  <c r="AJ59" i="12"/>
  <c r="AI59" i="12"/>
  <c r="AH59" i="12"/>
  <c r="AK59" i="12" s="1"/>
  <c r="AF59" i="12"/>
  <c r="AE59" i="12"/>
  <c r="AD59" i="12"/>
  <c r="AG59" i="12" s="1"/>
  <c r="AB59" i="12"/>
  <c r="AA59" i="12"/>
  <c r="Z59" i="12"/>
  <c r="AC59" i="12" s="1"/>
  <c r="X59" i="12"/>
  <c r="W59" i="12"/>
  <c r="V59" i="12"/>
  <c r="Y59" i="12" s="1"/>
  <c r="T59" i="12"/>
  <c r="S59" i="12"/>
  <c r="R59" i="12"/>
  <c r="U59" i="12" s="1"/>
  <c r="O59" i="12"/>
  <c r="J59" i="12" s="1"/>
  <c r="L59" i="12"/>
  <c r="I59" i="12"/>
  <c r="Q59" i="12" s="1"/>
  <c r="H59" i="12"/>
  <c r="G59" i="12"/>
  <c r="P59" i="12" s="1"/>
  <c r="F59" i="12"/>
  <c r="E59" i="12"/>
  <c r="BH58" i="12"/>
  <c r="BG58" i="12"/>
  <c r="BF58" i="12"/>
  <c r="BD58" i="12"/>
  <c r="BC58" i="12"/>
  <c r="BB58" i="12"/>
  <c r="AZ58" i="12"/>
  <c r="AY58" i="12"/>
  <c r="AX58" i="12"/>
  <c r="AV58" i="12"/>
  <c r="AU58" i="12"/>
  <c r="AT58" i="12"/>
  <c r="AR58" i="12"/>
  <c r="AQ58" i="12"/>
  <c r="AP58" i="12"/>
  <c r="AN58" i="12"/>
  <c r="AM58" i="12"/>
  <c r="AL58" i="12"/>
  <c r="AJ58" i="12"/>
  <c r="AI58" i="12"/>
  <c r="AH58" i="12"/>
  <c r="AF58" i="12"/>
  <c r="AE58" i="12"/>
  <c r="AD58" i="12"/>
  <c r="AB58" i="12"/>
  <c r="AA58" i="12"/>
  <c r="Z58" i="12"/>
  <c r="X58" i="12"/>
  <c r="W58" i="12"/>
  <c r="V58" i="12"/>
  <c r="T58" i="12"/>
  <c r="S58" i="12"/>
  <c r="R58" i="12"/>
  <c r="Q58" i="12"/>
  <c r="O58" i="12"/>
  <c r="L58" i="12"/>
  <c r="I58" i="12"/>
  <c r="H58" i="12"/>
  <c r="N58" i="12" s="1"/>
  <c r="G58" i="12"/>
  <c r="P58" i="12" s="1"/>
  <c r="F58" i="12"/>
  <c r="E58" i="12"/>
  <c r="D58" i="12" s="1"/>
  <c r="BH57" i="12"/>
  <c r="BG57" i="12"/>
  <c r="BF57" i="12"/>
  <c r="BD57" i="12"/>
  <c r="BC57" i="12"/>
  <c r="BB57" i="12"/>
  <c r="BE57" i="12" s="1"/>
  <c r="AZ57" i="12"/>
  <c r="AY57" i="12"/>
  <c r="AX57" i="12"/>
  <c r="AV57" i="12"/>
  <c r="AU57" i="12"/>
  <c r="AT57" i="12"/>
  <c r="AR57" i="12"/>
  <c r="AQ57" i="12"/>
  <c r="AP57" i="12"/>
  <c r="AS57" i="12" s="1"/>
  <c r="AN57" i="12"/>
  <c r="AM57" i="12"/>
  <c r="AL57" i="12"/>
  <c r="AJ57" i="12"/>
  <c r="AI57" i="12"/>
  <c r="AH57" i="12"/>
  <c r="AF57" i="12"/>
  <c r="AE57" i="12"/>
  <c r="AD57" i="12"/>
  <c r="AB57" i="12"/>
  <c r="AA57" i="12"/>
  <c r="Z57" i="12"/>
  <c r="X57" i="12"/>
  <c r="W57" i="12"/>
  <c r="Y57" i="12" s="1"/>
  <c r="V57" i="12"/>
  <c r="T57" i="12"/>
  <c r="S57" i="12"/>
  <c r="R57" i="12"/>
  <c r="U57" i="12" s="1"/>
  <c r="O57" i="12"/>
  <c r="L57" i="12"/>
  <c r="I57" i="12"/>
  <c r="Q57" i="12" s="1"/>
  <c r="H57" i="12"/>
  <c r="G57" i="12"/>
  <c r="P57" i="12" s="1"/>
  <c r="F57" i="12"/>
  <c r="E57" i="12"/>
  <c r="BH56" i="12"/>
  <c r="BG56" i="12"/>
  <c r="BF56" i="12"/>
  <c r="BD56" i="12"/>
  <c r="BC56" i="12"/>
  <c r="BB56" i="12"/>
  <c r="AZ56" i="12"/>
  <c r="AY56" i="12"/>
  <c r="AX56" i="12"/>
  <c r="AV56" i="12"/>
  <c r="AU56" i="12"/>
  <c r="AT56" i="12"/>
  <c r="AR56" i="12"/>
  <c r="AQ56" i="12"/>
  <c r="AP56" i="12"/>
  <c r="AN56" i="12"/>
  <c r="AM56" i="12"/>
  <c r="AL56" i="12"/>
  <c r="AJ56" i="12"/>
  <c r="AI56" i="12"/>
  <c r="AH56" i="12"/>
  <c r="AF56" i="12"/>
  <c r="AE56" i="12"/>
  <c r="AD56" i="12"/>
  <c r="AB56" i="12"/>
  <c r="AA56" i="12"/>
  <c r="Z56" i="12"/>
  <c r="X56" i="12"/>
  <c r="W56" i="12"/>
  <c r="V56" i="12"/>
  <c r="T56" i="12"/>
  <c r="S56" i="12"/>
  <c r="R56" i="12"/>
  <c r="O56" i="12"/>
  <c r="L56" i="12"/>
  <c r="I56" i="12"/>
  <c r="Q56" i="12" s="1"/>
  <c r="H56" i="12"/>
  <c r="G56" i="12"/>
  <c r="P56" i="12" s="1"/>
  <c r="F56" i="12"/>
  <c r="E56" i="12"/>
  <c r="BH55" i="12"/>
  <c r="BG55" i="12"/>
  <c r="BF55" i="12"/>
  <c r="BD55" i="12"/>
  <c r="BC55" i="12"/>
  <c r="BB55" i="12"/>
  <c r="AZ55" i="12"/>
  <c r="AY55" i="12"/>
  <c r="AX55" i="12"/>
  <c r="AV55" i="12"/>
  <c r="AU55" i="12"/>
  <c r="AW55" i="12" s="1"/>
  <c r="AT55" i="12"/>
  <c r="AR55" i="12"/>
  <c r="AQ55" i="12"/>
  <c r="AP55" i="12"/>
  <c r="AN55" i="12"/>
  <c r="AM55" i="12"/>
  <c r="AL55" i="12"/>
  <c r="AJ55" i="12"/>
  <c r="AI55" i="12"/>
  <c r="AH55" i="12"/>
  <c r="AF55" i="12"/>
  <c r="AE55" i="12"/>
  <c r="AD55" i="12"/>
  <c r="AB55" i="12"/>
  <c r="AA55" i="12"/>
  <c r="Z55" i="12"/>
  <c r="X55" i="12"/>
  <c r="W55" i="12"/>
  <c r="V55" i="12"/>
  <c r="T55" i="12"/>
  <c r="S55" i="12"/>
  <c r="R55" i="12"/>
  <c r="O55" i="12"/>
  <c r="L55" i="12"/>
  <c r="I55" i="12"/>
  <c r="Q55" i="12" s="1"/>
  <c r="H55" i="12"/>
  <c r="N55" i="12" s="1"/>
  <c r="G55" i="12"/>
  <c r="P55" i="12" s="1"/>
  <c r="F55" i="12"/>
  <c r="E55" i="12"/>
  <c r="BH54" i="12"/>
  <c r="BG54" i="12"/>
  <c r="BF54" i="12"/>
  <c r="BI54" i="12" s="1"/>
  <c r="BD54" i="12"/>
  <c r="BC54" i="12"/>
  <c r="BB54" i="12"/>
  <c r="AZ54" i="12"/>
  <c r="AY54" i="12"/>
  <c r="AX54" i="12"/>
  <c r="BA54" i="12" s="1"/>
  <c r="AV54" i="12"/>
  <c r="AU54" i="12"/>
  <c r="AT54" i="12"/>
  <c r="AR54" i="12"/>
  <c r="AQ54" i="12"/>
  <c r="AP54" i="12"/>
  <c r="AN54" i="12"/>
  <c r="AM54" i="12"/>
  <c r="AL54" i="12"/>
  <c r="AJ54" i="12"/>
  <c r="AI54" i="12"/>
  <c r="AH54" i="12"/>
  <c r="AK54" i="12" s="1"/>
  <c r="AF54" i="12"/>
  <c r="AE54" i="12"/>
  <c r="AD54" i="12"/>
  <c r="AB54" i="12"/>
  <c r="AA54" i="12"/>
  <c r="Z54" i="12"/>
  <c r="AC54" i="12" s="1"/>
  <c r="X54" i="12"/>
  <c r="W54" i="12"/>
  <c r="V54" i="12"/>
  <c r="T54" i="12"/>
  <c r="S54" i="12"/>
  <c r="R54" i="12"/>
  <c r="O54" i="12"/>
  <c r="L54" i="12"/>
  <c r="I54" i="12"/>
  <c r="Q54" i="12" s="1"/>
  <c r="H54" i="12"/>
  <c r="G54" i="12"/>
  <c r="P54" i="12" s="1"/>
  <c r="F54" i="12"/>
  <c r="E54" i="12"/>
  <c r="BH53" i="12"/>
  <c r="BG53" i="12"/>
  <c r="BF53" i="12"/>
  <c r="BD53" i="12"/>
  <c r="BC53" i="12"/>
  <c r="BB53" i="12"/>
  <c r="AZ53" i="12"/>
  <c r="AY53" i="12"/>
  <c r="AX53" i="12"/>
  <c r="BA53" i="12" s="1"/>
  <c r="AV53" i="12"/>
  <c r="AU53" i="12"/>
  <c r="AT53" i="12"/>
  <c r="AR53" i="12"/>
  <c r="AQ53" i="12"/>
  <c r="AP53" i="12"/>
  <c r="AS53" i="12" s="1"/>
  <c r="AN53" i="12"/>
  <c r="AM53" i="12"/>
  <c r="AO53" i="12" s="1"/>
  <c r="AL53" i="12"/>
  <c r="AJ53" i="12"/>
  <c r="AI53" i="12"/>
  <c r="AH53" i="12"/>
  <c r="AF53" i="12"/>
  <c r="AE53" i="12"/>
  <c r="AD53" i="12"/>
  <c r="AB53" i="12"/>
  <c r="AA53" i="12"/>
  <c r="Z53" i="12"/>
  <c r="AC53" i="12" s="1"/>
  <c r="X53" i="12"/>
  <c r="W53" i="12"/>
  <c r="V53" i="12"/>
  <c r="T53" i="12"/>
  <c r="S53" i="12"/>
  <c r="R53" i="12"/>
  <c r="U53" i="12" s="1"/>
  <c r="O53" i="12"/>
  <c r="L53" i="12"/>
  <c r="I53" i="12"/>
  <c r="Q53" i="12" s="1"/>
  <c r="H53" i="12"/>
  <c r="G53" i="12"/>
  <c r="P53" i="12" s="1"/>
  <c r="F53" i="12"/>
  <c r="E53" i="12"/>
  <c r="BH51" i="12"/>
  <c r="BG51" i="12"/>
  <c r="BF51" i="12"/>
  <c r="BD51" i="12"/>
  <c r="BC51" i="12"/>
  <c r="BB51" i="12"/>
  <c r="AZ51" i="12"/>
  <c r="AY51" i="12"/>
  <c r="AX51" i="12"/>
  <c r="AV51" i="12"/>
  <c r="AU51" i="12"/>
  <c r="AT51" i="12"/>
  <c r="AR51" i="12"/>
  <c r="AQ51" i="12"/>
  <c r="AP51" i="12"/>
  <c r="AN51" i="12"/>
  <c r="AM51" i="12"/>
  <c r="AL51" i="12"/>
  <c r="AJ51" i="12"/>
  <c r="AI51" i="12"/>
  <c r="AH51" i="12"/>
  <c r="AF51" i="12"/>
  <c r="AE51" i="12"/>
  <c r="AD51" i="12"/>
  <c r="AG51" i="12" s="1"/>
  <c r="AB51" i="12"/>
  <c r="AA51" i="12"/>
  <c r="Z51" i="12"/>
  <c r="X51" i="12"/>
  <c r="W51" i="12"/>
  <c r="V51" i="12"/>
  <c r="T51" i="12"/>
  <c r="S51" i="12"/>
  <c r="R51" i="12"/>
  <c r="O51" i="12"/>
  <c r="L51" i="12"/>
  <c r="I51" i="12"/>
  <c r="Q51" i="12" s="1"/>
  <c r="H51" i="12"/>
  <c r="G51" i="12"/>
  <c r="P51" i="12" s="1"/>
  <c r="F51" i="12"/>
  <c r="E51" i="12"/>
  <c r="BH50" i="12"/>
  <c r="BG50" i="12"/>
  <c r="BF50" i="12"/>
  <c r="BD50" i="12"/>
  <c r="BC50" i="12"/>
  <c r="BB50" i="12"/>
  <c r="AZ50" i="12"/>
  <c r="AY50" i="12"/>
  <c r="AX50" i="12"/>
  <c r="AV50" i="12"/>
  <c r="AU50" i="12"/>
  <c r="AT50" i="12"/>
  <c r="AR50" i="12"/>
  <c r="AQ50" i="12"/>
  <c r="AP50" i="12"/>
  <c r="AN50" i="12"/>
  <c r="AM50" i="12"/>
  <c r="AL50" i="12"/>
  <c r="AJ50" i="12"/>
  <c r="AI50" i="12"/>
  <c r="AH50" i="12"/>
  <c r="AF50" i="12"/>
  <c r="AE50" i="12"/>
  <c r="AD50" i="12"/>
  <c r="AB50" i="12"/>
  <c r="AA50" i="12"/>
  <c r="Z50" i="12"/>
  <c r="X50" i="12"/>
  <c r="W50" i="12"/>
  <c r="V50" i="12"/>
  <c r="T50" i="12"/>
  <c r="S50" i="12"/>
  <c r="R50" i="12"/>
  <c r="O50" i="12"/>
  <c r="L50" i="12"/>
  <c r="I50" i="12"/>
  <c r="Q50" i="12" s="1"/>
  <c r="H50" i="12"/>
  <c r="N50" i="12" s="1"/>
  <c r="G50" i="12"/>
  <c r="P50" i="12" s="1"/>
  <c r="F50" i="12"/>
  <c r="E50" i="12"/>
  <c r="BH49" i="12"/>
  <c r="BG49" i="12"/>
  <c r="BF49" i="12"/>
  <c r="BD49" i="12"/>
  <c r="BC49" i="12"/>
  <c r="BB49" i="12"/>
  <c r="AZ49" i="12"/>
  <c r="AY49" i="12"/>
  <c r="BA49" i="12" s="1"/>
  <c r="AX49" i="12"/>
  <c r="AV49" i="12"/>
  <c r="AU49" i="12"/>
  <c r="AT49" i="12"/>
  <c r="AR49" i="12"/>
  <c r="AQ49" i="12"/>
  <c r="AP49" i="12"/>
  <c r="AS49" i="12" s="1"/>
  <c r="AN49" i="12"/>
  <c r="AM49" i="12"/>
  <c r="AL49" i="12"/>
  <c r="AJ49" i="12"/>
  <c r="AI49" i="12"/>
  <c r="AH49" i="12"/>
  <c r="AK49" i="12" s="1"/>
  <c r="AF49" i="12"/>
  <c r="AG49" i="12" s="1"/>
  <c r="AE49" i="12"/>
  <c r="AD49" i="12"/>
  <c r="AB49" i="12"/>
  <c r="AA49" i="12"/>
  <c r="Z49" i="12"/>
  <c r="X49" i="12"/>
  <c r="W49" i="12"/>
  <c r="V49" i="12"/>
  <c r="T49" i="12"/>
  <c r="S49" i="12"/>
  <c r="R49" i="12"/>
  <c r="O49" i="12"/>
  <c r="J49" i="12" s="1"/>
  <c r="L49" i="12"/>
  <c r="I49" i="12"/>
  <c r="Q49" i="12" s="1"/>
  <c r="H49" i="12"/>
  <c r="N49" i="12" s="1"/>
  <c r="G49" i="12"/>
  <c r="P49" i="12" s="1"/>
  <c r="F49" i="12"/>
  <c r="E49" i="12"/>
  <c r="BH48" i="12"/>
  <c r="BG48" i="12"/>
  <c r="BF48" i="12"/>
  <c r="BD48" i="12"/>
  <c r="BC48" i="12"/>
  <c r="BB48" i="12"/>
  <c r="AZ48" i="12"/>
  <c r="AY48" i="12"/>
  <c r="AX48" i="12"/>
  <c r="AV48" i="12"/>
  <c r="AU48" i="12"/>
  <c r="AT48" i="12"/>
  <c r="AR48" i="12"/>
  <c r="AQ48" i="12"/>
  <c r="AP48" i="12"/>
  <c r="AS48" i="12" s="1"/>
  <c r="AN48" i="12"/>
  <c r="AM48" i="12"/>
  <c r="AL48" i="12"/>
  <c r="AJ48" i="12"/>
  <c r="AI48" i="12"/>
  <c r="AH48" i="12"/>
  <c r="AF48" i="12"/>
  <c r="AE48" i="12"/>
  <c r="AD48" i="12"/>
  <c r="AB48" i="12"/>
  <c r="AA48" i="12"/>
  <c r="Z48" i="12"/>
  <c r="X48" i="12"/>
  <c r="W48" i="12"/>
  <c r="V48" i="12"/>
  <c r="T48" i="12"/>
  <c r="S48" i="12"/>
  <c r="R48" i="12"/>
  <c r="U48" i="12" s="1"/>
  <c r="O48" i="12"/>
  <c r="L48" i="12"/>
  <c r="I48" i="12"/>
  <c r="Q48" i="12" s="1"/>
  <c r="H48" i="12"/>
  <c r="G48" i="12"/>
  <c r="P48" i="12" s="1"/>
  <c r="F48" i="12"/>
  <c r="E48" i="12"/>
  <c r="BH47" i="12"/>
  <c r="BG47" i="12"/>
  <c r="BI47" i="12" s="1"/>
  <c r="BF47" i="12"/>
  <c r="BD47" i="12"/>
  <c r="BC47" i="12"/>
  <c r="BE47" i="12" s="1"/>
  <c r="BB47" i="12"/>
  <c r="AZ47" i="12"/>
  <c r="AY47" i="12"/>
  <c r="AX47" i="12"/>
  <c r="AV47" i="12"/>
  <c r="AU47" i="12"/>
  <c r="AW47" i="12" s="1"/>
  <c r="AT47" i="12"/>
  <c r="AR47" i="12"/>
  <c r="AQ47" i="12"/>
  <c r="AP47" i="12"/>
  <c r="AN47" i="12"/>
  <c r="AM47" i="12"/>
  <c r="AL47" i="12"/>
  <c r="AJ47" i="12"/>
  <c r="AI47" i="12"/>
  <c r="AH47" i="12"/>
  <c r="AF47" i="12"/>
  <c r="AE47" i="12"/>
  <c r="AD47" i="12"/>
  <c r="AB47" i="12"/>
  <c r="AA47" i="12"/>
  <c r="Z47" i="12"/>
  <c r="X47" i="12"/>
  <c r="W47" i="12"/>
  <c r="V47" i="12"/>
  <c r="T47" i="12"/>
  <c r="S47" i="12"/>
  <c r="R47" i="12"/>
  <c r="O47" i="12"/>
  <c r="L47" i="12"/>
  <c r="I47" i="12"/>
  <c r="Q47" i="12" s="1"/>
  <c r="H47" i="12"/>
  <c r="N47" i="12" s="1"/>
  <c r="G47" i="12"/>
  <c r="P47" i="12" s="1"/>
  <c r="F47" i="12"/>
  <c r="E47" i="12"/>
  <c r="BH46" i="12"/>
  <c r="BG46" i="12"/>
  <c r="BF46" i="12"/>
  <c r="BD46" i="12"/>
  <c r="BC46" i="12"/>
  <c r="BB46" i="12"/>
  <c r="AZ46" i="12"/>
  <c r="AY46" i="12"/>
  <c r="AX46" i="12"/>
  <c r="AV46" i="12"/>
  <c r="AU46" i="12"/>
  <c r="AT46" i="12"/>
  <c r="AR46" i="12"/>
  <c r="AQ46" i="12"/>
  <c r="AP46" i="12"/>
  <c r="AS46" i="12" s="1"/>
  <c r="AN46" i="12"/>
  <c r="AM46" i="12"/>
  <c r="AL46" i="12"/>
  <c r="AJ46" i="12"/>
  <c r="AI46" i="12"/>
  <c r="AH46" i="12"/>
  <c r="AF46" i="12"/>
  <c r="AE46" i="12"/>
  <c r="AD46" i="12"/>
  <c r="AB46" i="12"/>
  <c r="AA46" i="12"/>
  <c r="Z46" i="12"/>
  <c r="X46" i="12"/>
  <c r="W46" i="12"/>
  <c r="V46" i="12"/>
  <c r="T46" i="12"/>
  <c r="S46" i="12"/>
  <c r="R46" i="12"/>
  <c r="U46" i="12" s="1"/>
  <c r="O46" i="12"/>
  <c r="L46" i="12"/>
  <c r="I46" i="12"/>
  <c r="Q46" i="12" s="1"/>
  <c r="H46" i="12"/>
  <c r="G46" i="12"/>
  <c r="P46" i="12" s="1"/>
  <c r="F46" i="12"/>
  <c r="E46" i="12"/>
  <c r="BH45" i="12"/>
  <c r="BG45" i="12"/>
  <c r="BF45" i="12"/>
  <c r="BD45" i="12"/>
  <c r="BC45" i="12"/>
  <c r="BB45" i="12"/>
  <c r="AZ45" i="12"/>
  <c r="AY45" i="12"/>
  <c r="AX45" i="12"/>
  <c r="AV45" i="12"/>
  <c r="AU45" i="12"/>
  <c r="AW45" i="12" s="1"/>
  <c r="AT45" i="12"/>
  <c r="AR45" i="12"/>
  <c r="AQ45" i="12"/>
  <c r="AP45" i="12"/>
  <c r="AS45" i="12" s="1"/>
  <c r="AN45" i="12"/>
  <c r="AM45" i="12"/>
  <c r="AL45" i="12"/>
  <c r="AJ45" i="12"/>
  <c r="AI45" i="12"/>
  <c r="AK45" i="12" s="1"/>
  <c r="AH45" i="12"/>
  <c r="AF45" i="12"/>
  <c r="AE45" i="12"/>
  <c r="AD45" i="12"/>
  <c r="AB45" i="12"/>
  <c r="AA45" i="12"/>
  <c r="AC45" i="12" s="1"/>
  <c r="Z45" i="12"/>
  <c r="X45" i="12"/>
  <c r="W45" i="12"/>
  <c r="Y45" i="12" s="1"/>
  <c r="V45" i="12"/>
  <c r="T45" i="12"/>
  <c r="S45" i="12"/>
  <c r="R45" i="12"/>
  <c r="U45" i="12" s="1"/>
  <c r="O45" i="12"/>
  <c r="L45" i="12"/>
  <c r="I45" i="12"/>
  <c r="Q45" i="12" s="1"/>
  <c r="H45" i="12"/>
  <c r="G45" i="12"/>
  <c r="P45" i="12" s="1"/>
  <c r="F45" i="12"/>
  <c r="E45" i="12"/>
  <c r="D45" i="12" s="1"/>
  <c r="M45" i="12" s="1"/>
  <c r="BH44" i="12"/>
  <c r="BG44" i="12"/>
  <c r="BF44" i="12"/>
  <c r="BD44" i="12"/>
  <c r="BC44" i="12"/>
  <c r="BB44" i="12"/>
  <c r="BE44" i="12" s="1"/>
  <c r="AZ44" i="12"/>
  <c r="AY44" i="12"/>
  <c r="AX44" i="12"/>
  <c r="AV44" i="12"/>
  <c r="AU44" i="12"/>
  <c r="AT44" i="12"/>
  <c r="AW44" i="12" s="1"/>
  <c r="AR44" i="12"/>
  <c r="AQ44" i="12"/>
  <c r="AP44" i="12"/>
  <c r="AN44" i="12"/>
  <c r="AM44" i="12"/>
  <c r="AL44" i="12"/>
  <c r="AO44" i="12" s="1"/>
  <c r="AJ44" i="12"/>
  <c r="AI44" i="12"/>
  <c r="AH44" i="12"/>
  <c r="AF44" i="12"/>
  <c r="AE44" i="12"/>
  <c r="AD44" i="12"/>
  <c r="AG44" i="12" s="1"/>
  <c r="AB44" i="12"/>
  <c r="AA44" i="12"/>
  <c r="Z44" i="12"/>
  <c r="X44" i="12"/>
  <c r="W44" i="12"/>
  <c r="V44" i="12"/>
  <c r="Y44" i="12" s="1"/>
  <c r="T44" i="12"/>
  <c r="S44" i="12"/>
  <c r="R44" i="12"/>
  <c r="O44" i="12"/>
  <c r="L44" i="12"/>
  <c r="I44" i="12"/>
  <c r="Q44" i="12" s="1"/>
  <c r="H44" i="12"/>
  <c r="G44" i="12"/>
  <c r="P44" i="12" s="1"/>
  <c r="F44" i="12"/>
  <c r="E44" i="12"/>
  <c r="BH43" i="12"/>
  <c r="BG43" i="12"/>
  <c r="BF43" i="12"/>
  <c r="BI43" i="12" s="1"/>
  <c r="BD43" i="12"/>
  <c r="BC43" i="12"/>
  <c r="BB43" i="12"/>
  <c r="AZ43" i="12"/>
  <c r="AY43" i="12"/>
  <c r="AX43" i="12"/>
  <c r="AV43" i="12"/>
  <c r="AU43" i="12"/>
  <c r="AW43" i="12" s="1"/>
  <c r="AT43" i="12"/>
  <c r="AR43" i="12"/>
  <c r="AQ43" i="12"/>
  <c r="AP43" i="12"/>
  <c r="AN43" i="12"/>
  <c r="AM43" i="12"/>
  <c r="AL43" i="12"/>
  <c r="AJ43" i="12"/>
  <c r="AI43" i="12"/>
  <c r="AH43" i="12"/>
  <c r="AF43" i="12"/>
  <c r="AE43" i="12"/>
  <c r="AD43" i="12"/>
  <c r="AB43" i="12"/>
  <c r="AA43" i="12"/>
  <c r="Z43" i="12"/>
  <c r="AC43" i="12" s="1"/>
  <c r="X43" i="12"/>
  <c r="W43" i="12"/>
  <c r="V43" i="12"/>
  <c r="Y43" i="12" s="1"/>
  <c r="T43" i="12"/>
  <c r="S43" i="12"/>
  <c r="R43" i="12"/>
  <c r="O43" i="12"/>
  <c r="L43" i="12"/>
  <c r="I43" i="12"/>
  <c r="Q43" i="12" s="1"/>
  <c r="H43" i="12"/>
  <c r="N43" i="12" s="1"/>
  <c r="G43" i="12"/>
  <c r="P43" i="12" s="1"/>
  <c r="F43" i="12"/>
  <c r="E43" i="12"/>
  <c r="BH42" i="12"/>
  <c r="BG42" i="12"/>
  <c r="BF42" i="12"/>
  <c r="BD42" i="12"/>
  <c r="BC42" i="12"/>
  <c r="BB42" i="12"/>
  <c r="AZ42" i="12"/>
  <c r="AY42" i="12"/>
  <c r="AX42" i="12"/>
  <c r="AV42" i="12"/>
  <c r="AU42" i="12"/>
  <c r="AT42" i="12"/>
  <c r="AR42" i="12"/>
  <c r="AQ42" i="12"/>
  <c r="AP42" i="12"/>
  <c r="AS42" i="12" s="1"/>
  <c r="AN42" i="12"/>
  <c r="AM42" i="12"/>
  <c r="AL42" i="12"/>
  <c r="AJ42" i="12"/>
  <c r="AI42" i="12"/>
  <c r="AH42" i="12"/>
  <c r="AF42" i="12"/>
  <c r="AE42" i="12"/>
  <c r="AD42" i="12"/>
  <c r="AB42" i="12"/>
  <c r="AA42" i="12"/>
  <c r="Z42" i="12"/>
  <c r="X42" i="12"/>
  <c r="W42" i="12"/>
  <c r="V42" i="12"/>
  <c r="T42" i="12"/>
  <c r="S42" i="12"/>
  <c r="R42" i="12"/>
  <c r="U42" i="12" s="1"/>
  <c r="O42" i="12"/>
  <c r="L42" i="12"/>
  <c r="I42" i="12"/>
  <c r="Q42" i="12" s="1"/>
  <c r="H42" i="12"/>
  <c r="G42" i="12"/>
  <c r="P42" i="12" s="1"/>
  <c r="F42" i="12"/>
  <c r="E42" i="12"/>
  <c r="BH41" i="12"/>
  <c r="BG41" i="12"/>
  <c r="BI41" i="12" s="1"/>
  <c r="BF41" i="12"/>
  <c r="BD41" i="12"/>
  <c r="BC41" i="12"/>
  <c r="BB41" i="12"/>
  <c r="AZ41" i="12"/>
  <c r="AY41" i="12"/>
  <c r="AX41" i="12"/>
  <c r="AV41" i="12"/>
  <c r="AU41" i="12"/>
  <c r="AT41" i="12"/>
  <c r="AR41" i="12"/>
  <c r="AQ41" i="12"/>
  <c r="AP41" i="12"/>
  <c r="AS41" i="12" s="1"/>
  <c r="AN41" i="12"/>
  <c r="AM41" i="12"/>
  <c r="AL41" i="12"/>
  <c r="AJ41" i="12"/>
  <c r="AI41" i="12"/>
  <c r="AH41" i="12"/>
  <c r="AF41" i="12"/>
  <c r="AE41" i="12"/>
  <c r="AD41" i="12"/>
  <c r="AB41" i="12"/>
  <c r="AA41" i="12"/>
  <c r="Z41" i="12"/>
  <c r="AC41" i="12" s="1"/>
  <c r="X41" i="12"/>
  <c r="W41" i="12"/>
  <c r="V41" i="12"/>
  <c r="T41" i="12"/>
  <c r="S41" i="12"/>
  <c r="R41" i="12"/>
  <c r="U41" i="12" s="1"/>
  <c r="Q41" i="12"/>
  <c r="O41" i="12"/>
  <c r="L41" i="12"/>
  <c r="I41" i="12"/>
  <c r="H41" i="12"/>
  <c r="G41" i="12"/>
  <c r="P41" i="12" s="1"/>
  <c r="F41" i="12"/>
  <c r="E41" i="12"/>
  <c r="BH40" i="12"/>
  <c r="BG40" i="12"/>
  <c r="BF40" i="12"/>
  <c r="BD40" i="12"/>
  <c r="BC40" i="12"/>
  <c r="BB40" i="12"/>
  <c r="AZ40" i="12"/>
  <c r="AY40" i="12"/>
  <c r="AX40" i="12"/>
  <c r="AV40" i="12"/>
  <c r="AU40" i="12"/>
  <c r="AT40" i="12"/>
  <c r="AR40" i="12"/>
  <c r="AQ40" i="12"/>
  <c r="AP40" i="12"/>
  <c r="AN40" i="12"/>
  <c r="AM40" i="12"/>
  <c r="AL40" i="12"/>
  <c r="AJ40" i="12"/>
  <c r="AI40" i="12"/>
  <c r="AH40" i="12"/>
  <c r="AF40" i="12"/>
  <c r="AE40" i="12"/>
  <c r="AD40" i="12"/>
  <c r="AB40" i="12"/>
  <c r="AA40" i="12"/>
  <c r="Z40" i="12"/>
  <c r="X40" i="12"/>
  <c r="W40" i="12"/>
  <c r="V40" i="12"/>
  <c r="T40" i="12"/>
  <c r="S40" i="12"/>
  <c r="R40" i="12"/>
  <c r="O40" i="12"/>
  <c r="L40" i="12"/>
  <c r="I40" i="12"/>
  <c r="Q40" i="12" s="1"/>
  <c r="H40" i="12"/>
  <c r="G40" i="12"/>
  <c r="P40" i="12" s="1"/>
  <c r="F40" i="12"/>
  <c r="E40" i="12"/>
  <c r="D40" i="12" s="1"/>
  <c r="BH39" i="12"/>
  <c r="BG39" i="12"/>
  <c r="BF39" i="12"/>
  <c r="BD39" i="12"/>
  <c r="BC39" i="12"/>
  <c r="BB39" i="12"/>
  <c r="BE39" i="12" s="1"/>
  <c r="AZ39" i="12"/>
  <c r="AY39" i="12"/>
  <c r="BA39" i="12" s="1"/>
  <c r="AX39" i="12"/>
  <c r="AV39" i="12"/>
  <c r="AU39" i="12"/>
  <c r="AT39" i="12"/>
  <c r="AR39" i="12"/>
  <c r="AQ39" i="12"/>
  <c r="AP39" i="12"/>
  <c r="AS39" i="12" s="1"/>
  <c r="AN39" i="12"/>
  <c r="AM39" i="12"/>
  <c r="AL39" i="12"/>
  <c r="AJ39" i="12"/>
  <c r="AI39" i="12"/>
  <c r="AH39" i="12"/>
  <c r="AF39" i="12"/>
  <c r="AE39" i="12"/>
  <c r="AD39" i="12"/>
  <c r="AG39" i="12" s="1"/>
  <c r="AB39" i="12"/>
  <c r="AA39" i="12"/>
  <c r="Z39" i="12"/>
  <c r="X39" i="12"/>
  <c r="W39" i="12"/>
  <c r="V39" i="12"/>
  <c r="T39" i="12"/>
  <c r="S39" i="12"/>
  <c r="R39" i="12"/>
  <c r="O39" i="12"/>
  <c r="L39" i="12"/>
  <c r="I39" i="12"/>
  <c r="Q39" i="12" s="1"/>
  <c r="H39" i="12"/>
  <c r="G39" i="12"/>
  <c r="P39" i="12" s="1"/>
  <c r="F39" i="12"/>
  <c r="E39" i="12"/>
  <c r="BH38" i="12"/>
  <c r="BG38" i="12"/>
  <c r="BF38" i="12"/>
  <c r="BD38" i="12"/>
  <c r="BC38" i="12"/>
  <c r="BB38" i="12"/>
  <c r="AZ38" i="12"/>
  <c r="AY38" i="12"/>
  <c r="AX38" i="12"/>
  <c r="AV38" i="12"/>
  <c r="AU38" i="12"/>
  <c r="AT38" i="12"/>
  <c r="AR38" i="12"/>
  <c r="AQ38" i="12"/>
  <c r="AP38" i="12"/>
  <c r="AN38" i="12"/>
  <c r="AM38" i="12"/>
  <c r="AL38" i="12"/>
  <c r="AJ38" i="12"/>
  <c r="AI38" i="12"/>
  <c r="AH38" i="12"/>
  <c r="AF38" i="12"/>
  <c r="AE38" i="12"/>
  <c r="AD38" i="12"/>
  <c r="AB38" i="12"/>
  <c r="AA38" i="12"/>
  <c r="Z38" i="12"/>
  <c r="X38" i="12"/>
  <c r="W38" i="12"/>
  <c r="V38" i="12"/>
  <c r="T38" i="12"/>
  <c r="S38" i="12"/>
  <c r="R38" i="12"/>
  <c r="O38" i="12"/>
  <c r="L38" i="12"/>
  <c r="I38" i="12"/>
  <c r="Q38" i="12" s="1"/>
  <c r="H38" i="12"/>
  <c r="N38" i="12" s="1"/>
  <c r="G38" i="12"/>
  <c r="P38" i="12" s="1"/>
  <c r="F38" i="12"/>
  <c r="E38" i="12"/>
  <c r="BH37" i="12"/>
  <c r="BG37" i="12"/>
  <c r="BF37" i="12"/>
  <c r="BD37" i="12"/>
  <c r="BC37" i="12"/>
  <c r="BE37" i="12" s="1"/>
  <c r="BB37" i="12"/>
  <c r="AZ37" i="12"/>
  <c r="AY37" i="12"/>
  <c r="AX37" i="12"/>
  <c r="BA37" i="12" s="1"/>
  <c r="AW37" i="12"/>
  <c r="AV37" i="12"/>
  <c r="AU37" i="12"/>
  <c r="AT37" i="12"/>
  <c r="AR37" i="12"/>
  <c r="AQ37" i="12"/>
  <c r="AP37" i="12"/>
  <c r="AS37" i="12" s="1"/>
  <c r="AN37" i="12"/>
  <c r="AM37" i="12"/>
  <c r="AL37" i="12"/>
  <c r="AO37" i="12" s="1"/>
  <c r="AJ37" i="12"/>
  <c r="AI37" i="12"/>
  <c r="AH37" i="12"/>
  <c r="AK37" i="12" s="1"/>
  <c r="AF37" i="12"/>
  <c r="AE37" i="12"/>
  <c r="AD37" i="12"/>
  <c r="AG37" i="12" s="1"/>
  <c r="AC37" i="12"/>
  <c r="AB37" i="12"/>
  <c r="AA37" i="12"/>
  <c r="Z37" i="12"/>
  <c r="X37" i="12"/>
  <c r="W37" i="12"/>
  <c r="V37" i="12"/>
  <c r="T37" i="12"/>
  <c r="S37" i="12"/>
  <c r="R37" i="12"/>
  <c r="O37" i="12"/>
  <c r="L37" i="12"/>
  <c r="J37" i="12" s="1"/>
  <c r="I37" i="12"/>
  <c r="Q37" i="12" s="1"/>
  <c r="H37" i="12"/>
  <c r="G37" i="12"/>
  <c r="F37" i="12"/>
  <c r="E37" i="12"/>
  <c r="D37" i="12" s="1"/>
  <c r="BH36" i="12"/>
  <c r="BG36" i="12"/>
  <c r="BF36" i="12"/>
  <c r="BD36" i="12"/>
  <c r="BC36" i="12"/>
  <c r="BB36" i="12"/>
  <c r="AZ36" i="12"/>
  <c r="AY36" i="12"/>
  <c r="AX36" i="12"/>
  <c r="AV36" i="12"/>
  <c r="AU36" i="12"/>
  <c r="AT36" i="12"/>
  <c r="AR36" i="12"/>
  <c r="AQ36" i="12"/>
  <c r="AP36" i="12"/>
  <c r="AS36" i="12" s="1"/>
  <c r="AN36" i="12"/>
  <c r="AM36" i="12"/>
  <c r="AL36" i="12"/>
  <c r="AJ36" i="12"/>
  <c r="AI36" i="12"/>
  <c r="AH36" i="12"/>
  <c r="AF36" i="12"/>
  <c r="AE36" i="12"/>
  <c r="AD36" i="12"/>
  <c r="AB36" i="12"/>
  <c r="AA36" i="12"/>
  <c r="Z36" i="12"/>
  <c r="X36" i="12"/>
  <c r="W36" i="12"/>
  <c r="V36" i="12"/>
  <c r="T36" i="12"/>
  <c r="S36" i="12"/>
  <c r="R36" i="12"/>
  <c r="O36" i="12"/>
  <c r="L36" i="12"/>
  <c r="I36" i="12"/>
  <c r="Q36" i="12" s="1"/>
  <c r="H36" i="12"/>
  <c r="G36" i="12"/>
  <c r="P36" i="12" s="1"/>
  <c r="F36" i="12"/>
  <c r="E36" i="12"/>
  <c r="BH35" i="12"/>
  <c r="BG35" i="12"/>
  <c r="BF35" i="12"/>
  <c r="BD35" i="12"/>
  <c r="BC35" i="12"/>
  <c r="BB35" i="12"/>
  <c r="AZ35" i="12"/>
  <c r="AY35" i="12"/>
  <c r="BA35" i="12" s="1"/>
  <c r="AX35" i="12"/>
  <c r="AV35" i="12"/>
  <c r="AU35" i="12"/>
  <c r="AT35" i="12"/>
  <c r="AR35" i="12"/>
  <c r="AS35" i="12" s="1"/>
  <c r="AQ35" i="12"/>
  <c r="AP35" i="12"/>
  <c r="AN35" i="12"/>
  <c r="AM35" i="12"/>
  <c r="AL35" i="12"/>
  <c r="AO35" i="12" s="1"/>
  <c r="AJ35" i="12"/>
  <c r="AI35" i="12"/>
  <c r="AH35" i="12"/>
  <c r="AF35" i="12"/>
  <c r="AE35" i="12"/>
  <c r="AD35" i="12"/>
  <c r="AB35" i="12"/>
  <c r="AA35" i="12"/>
  <c r="Z35" i="12"/>
  <c r="X35" i="12"/>
  <c r="W35" i="12"/>
  <c r="V35" i="12"/>
  <c r="T35" i="12"/>
  <c r="S35" i="12"/>
  <c r="R35" i="12"/>
  <c r="O35" i="12"/>
  <c r="L35" i="12"/>
  <c r="I35" i="12"/>
  <c r="Q35" i="12" s="1"/>
  <c r="H35" i="12"/>
  <c r="G35" i="12"/>
  <c r="P35" i="12" s="1"/>
  <c r="F35" i="12"/>
  <c r="E35" i="12"/>
  <c r="BH34" i="12"/>
  <c r="BG34" i="12"/>
  <c r="BF34" i="12"/>
  <c r="BD34" i="12"/>
  <c r="BC34" i="12"/>
  <c r="BB34" i="12"/>
  <c r="AZ34" i="12"/>
  <c r="AY34" i="12"/>
  <c r="AX34" i="12"/>
  <c r="AV34" i="12"/>
  <c r="AU34" i="12"/>
  <c r="AT34" i="12"/>
  <c r="AR34" i="12"/>
  <c r="AQ34" i="12"/>
  <c r="AP34" i="12"/>
  <c r="AN34" i="12"/>
  <c r="AM34" i="12"/>
  <c r="AL34" i="12"/>
  <c r="AJ34" i="12"/>
  <c r="AI34" i="12"/>
  <c r="AH34" i="12"/>
  <c r="AF34" i="12"/>
  <c r="AE34" i="12"/>
  <c r="AD34" i="12"/>
  <c r="AB34" i="12"/>
  <c r="AA34" i="12"/>
  <c r="Z34" i="12"/>
  <c r="X34" i="12"/>
  <c r="W34" i="12"/>
  <c r="V34" i="12"/>
  <c r="T34" i="12"/>
  <c r="S34" i="12"/>
  <c r="R34" i="12"/>
  <c r="O34" i="12"/>
  <c r="L34" i="12"/>
  <c r="I34" i="12"/>
  <c r="Q34" i="12" s="1"/>
  <c r="H34" i="12"/>
  <c r="G34" i="12"/>
  <c r="P34" i="12" s="1"/>
  <c r="F34" i="12"/>
  <c r="E34" i="12"/>
  <c r="D34" i="12" s="1"/>
  <c r="BH33" i="12"/>
  <c r="BG33" i="12"/>
  <c r="BF33" i="12"/>
  <c r="BD33" i="12"/>
  <c r="BC33" i="12"/>
  <c r="BB33" i="12"/>
  <c r="BE33" i="12" s="1"/>
  <c r="AZ33" i="12"/>
  <c r="AY33" i="12"/>
  <c r="AX33" i="12"/>
  <c r="AV33" i="12"/>
  <c r="AU33" i="12"/>
  <c r="AT33" i="12"/>
  <c r="AW33" i="12" s="1"/>
  <c r="AR33" i="12"/>
  <c r="AQ33" i="12"/>
  <c r="AP33" i="12"/>
  <c r="AN33" i="12"/>
  <c r="AM33" i="12"/>
  <c r="AL33" i="12"/>
  <c r="AJ33" i="12"/>
  <c r="AI33" i="12"/>
  <c r="AH33" i="12"/>
  <c r="AK33" i="12" s="1"/>
  <c r="AF33" i="12"/>
  <c r="AG33" i="12" s="1"/>
  <c r="AE33" i="12"/>
  <c r="AD33" i="12"/>
  <c r="AB33" i="12"/>
  <c r="AA33" i="12"/>
  <c r="Z33" i="12"/>
  <c r="X33" i="12"/>
  <c r="W33" i="12"/>
  <c r="Y33" i="12" s="1"/>
  <c r="V33" i="12"/>
  <c r="T33" i="12"/>
  <c r="S33" i="12"/>
  <c r="R33" i="12"/>
  <c r="O33" i="12"/>
  <c r="L33" i="12"/>
  <c r="I33" i="12"/>
  <c r="H33" i="12"/>
  <c r="G33" i="12"/>
  <c r="P33" i="12" s="1"/>
  <c r="F33" i="12"/>
  <c r="E33" i="12"/>
  <c r="BH32" i="12"/>
  <c r="BG32" i="12"/>
  <c r="BF32" i="12"/>
  <c r="BD32" i="12"/>
  <c r="BC32" i="12"/>
  <c r="BB32" i="12"/>
  <c r="AZ32" i="12"/>
  <c r="AY32" i="12"/>
  <c r="AX32" i="12"/>
  <c r="AV32" i="12"/>
  <c r="AU32" i="12"/>
  <c r="AT32" i="12"/>
  <c r="AW32" i="12" s="1"/>
  <c r="AR32" i="12"/>
  <c r="AQ32" i="12"/>
  <c r="AP32" i="12"/>
  <c r="AN32" i="12"/>
  <c r="AM32" i="12"/>
  <c r="AL32" i="12"/>
  <c r="AJ32" i="12"/>
  <c r="AI32" i="12"/>
  <c r="AH32" i="12"/>
  <c r="AF32" i="12"/>
  <c r="AE32" i="12"/>
  <c r="AD32" i="12"/>
  <c r="AB32" i="12"/>
  <c r="AA32" i="12"/>
  <c r="Z32" i="12"/>
  <c r="X32" i="12"/>
  <c r="W32" i="12"/>
  <c r="V32" i="12"/>
  <c r="Y32" i="12" s="1"/>
  <c r="T32" i="12"/>
  <c r="S32" i="12"/>
  <c r="R32" i="12"/>
  <c r="O32" i="12"/>
  <c r="L32" i="12"/>
  <c r="I32" i="12"/>
  <c r="Q32" i="12" s="1"/>
  <c r="H32" i="12"/>
  <c r="G32" i="12"/>
  <c r="P32" i="12" s="1"/>
  <c r="F32" i="12"/>
  <c r="E32" i="12"/>
  <c r="BH30" i="12"/>
  <c r="BG30" i="12"/>
  <c r="BF30" i="12"/>
  <c r="BD30" i="12"/>
  <c r="BC30" i="12"/>
  <c r="BB30" i="12"/>
  <c r="BE30" i="12" s="1"/>
  <c r="AZ30" i="12"/>
  <c r="AY30" i="12"/>
  <c r="AX30" i="12"/>
  <c r="AV30" i="12"/>
  <c r="AU30" i="12"/>
  <c r="AT30" i="12"/>
  <c r="AW30" i="12" s="1"/>
  <c r="AR30" i="12"/>
  <c r="AQ30" i="12"/>
  <c r="AP30" i="12"/>
  <c r="AN30" i="12"/>
  <c r="AM30" i="12"/>
  <c r="AL30" i="12"/>
  <c r="AO30" i="12" s="1"/>
  <c r="AJ30" i="12"/>
  <c r="AI30" i="12"/>
  <c r="AH30" i="12"/>
  <c r="AF30" i="12"/>
  <c r="AE30" i="12"/>
  <c r="AD30" i="12"/>
  <c r="AB30" i="12"/>
  <c r="AA30" i="12"/>
  <c r="Z30" i="12"/>
  <c r="X30" i="12"/>
  <c r="W30" i="12"/>
  <c r="V30" i="12"/>
  <c r="Y30" i="12" s="1"/>
  <c r="T30" i="12"/>
  <c r="S30" i="12"/>
  <c r="R30" i="12"/>
  <c r="O30" i="12"/>
  <c r="L30" i="12"/>
  <c r="I30" i="12"/>
  <c r="Q30" i="12" s="1"/>
  <c r="H30" i="12"/>
  <c r="G30" i="12"/>
  <c r="P30" i="12" s="1"/>
  <c r="F30" i="12"/>
  <c r="E30" i="12"/>
  <c r="BH29" i="12"/>
  <c r="BG29" i="12"/>
  <c r="BF29" i="12"/>
  <c r="BD29" i="12"/>
  <c r="BC29" i="12"/>
  <c r="BB29" i="12"/>
  <c r="AZ29" i="12"/>
  <c r="AY29" i="12"/>
  <c r="AX29" i="12"/>
  <c r="AV29" i="12"/>
  <c r="AU29" i="12"/>
  <c r="AT29" i="12"/>
  <c r="AR29" i="12"/>
  <c r="AQ29" i="12"/>
  <c r="AP29" i="12"/>
  <c r="AN29" i="12"/>
  <c r="AM29" i="12"/>
  <c r="AL29" i="12"/>
  <c r="AJ29" i="12"/>
  <c r="AI29" i="12"/>
  <c r="AH29" i="12"/>
  <c r="AF29" i="12"/>
  <c r="AE29" i="12"/>
  <c r="AD29" i="12"/>
  <c r="AB29" i="12"/>
  <c r="AA29" i="12"/>
  <c r="Z29" i="12"/>
  <c r="X29" i="12"/>
  <c r="W29" i="12"/>
  <c r="V29" i="12"/>
  <c r="T29" i="12"/>
  <c r="S29" i="12"/>
  <c r="R29" i="12"/>
  <c r="O29" i="12"/>
  <c r="L29" i="12"/>
  <c r="I29" i="12"/>
  <c r="Q29" i="12" s="1"/>
  <c r="H29" i="12"/>
  <c r="N29" i="12" s="1"/>
  <c r="G29" i="12"/>
  <c r="P29" i="12" s="1"/>
  <c r="F29" i="12"/>
  <c r="E29" i="12"/>
  <c r="BH28" i="12"/>
  <c r="BG28" i="12"/>
  <c r="BF28" i="12"/>
  <c r="BD28" i="12"/>
  <c r="BC28" i="12"/>
  <c r="BB28" i="12"/>
  <c r="AZ28" i="12"/>
  <c r="AY28" i="12"/>
  <c r="AX28" i="12"/>
  <c r="AV28" i="12"/>
  <c r="AU28" i="12"/>
  <c r="AT28" i="12"/>
  <c r="AR28" i="12"/>
  <c r="AQ28" i="12"/>
  <c r="AP28" i="12"/>
  <c r="AS28" i="12" s="1"/>
  <c r="AN28" i="12"/>
  <c r="AM28" i="12"/>
  <c r="AL28" i="12"/>
  <c r="AJ28" i="12"/>
  <c r="AI28" i="12"/>
  <c r="AH28" i="12"/>
  <c r="AF28" i="12"/>
  <c r="AE28" i="12"/>
  <c r="AD28" i="12"/>
  <c r="AB28" i="12"/>
  <c r="AA28" i="12"/>
  <c r="Z28" i="12"/>
  <c r="X28" i="12"/>
  <c r="W28" i="12"/>
  <c r="V28" i="12"/>
  <c r="T28" i="12"/>
  <c r="S28" i="12"/>
  <c r="R28" i="12"/>
  <c r="U28" i="12" s="1"/>
  <c r="O28" i="12"/>
  <c r="L28" i="12"/>
  <c r="I28" i="12"/>
  <c r="Q28" i="12" s="1"/>
  <c r="H28" i="12"/>
  <c r="G28" i="12"/>
  <c r="P28" i="12" s="1"/>
  <c r="F28" i="12"/>
  <c r="E28" i="12"/>
  <c r="D28" i="12" s="1"/>
  <c r="BH27" i="12"/>
  <c r="BG27" i="12"/>
  <c r="BF27" i="12"/>
  <c r="BD27" i="12"/>
  <c r="BC27" i="12"/>
  <c r="BB27" i="12"/>
  <c r="BE27" i="12" s="1"/>
  <c r="AZ27" i="12"/>
  <c r="AY27" i="12"/>
  <c r="AX27" i="12"/>
  <c r="AV27" i="12"/>
  <c r="AU27" i="12"/>
  <c r="AT27" i="12"/>
  <c r="AR27" i="12"/>
  <c r="AQ27" i="12"/>
  <c r="AP27" i="12"/>
  <c r="AS27" i="12" s="1"/>
  <c r="AN27" i="12"/>
  <c r="AM27" i="12"/>
  <c r="AL27" i="12"/>
  <c r="AJ27" i="12"/>
  <c r="AI27" i="12"/>
  <c r="AH27" i="12"/>
  <c r="AF27" i="12"/>
  <c r="AE27" i="12"/>
  <c r="AD27" i="12"/>
  <c r="AG27" i="12" s="1"/>
  <c r="AB27" i="12"/>
  <c r="AA27" i="12"/>
  <c r="Z27" i="12"/>
  <c r="X27" i="12"/>
  <c r="W27" i="12"/>
  <c r="V27" i="12"/>
  <c r="T27" i="12"/>
  <c r="S27" i="12"/>
  <c r="R27" i="12"/>
  <c r="U27" i="12" s="1"/>
  <c r="O27" i="12"/>
  <c r="L27" i="12"/>
  <c r="I27" i="12"/>
  <c r="Q27" i="12" s="1"/>
  <c r="H27" i="12"/>
  <c r="G27" i="12"/>
  <c r="P27" i="12" s="1"/>
  <c r="F27" i="12"/>
  <c r="E27" i="12"/>
  <c r="BH26" i="12"/>
  <c r="BG26" i="12"/>
  <c r="BF26" i="12"/>
  <c r="BD26" i="12"/>
  <c r="BC26" i="12"/>
  <c r="BB26" i="12"/>
  <c r="AZ26" i="12"/>
  <c r="AY26" i="12"/>
  <c r="AX26" i="12"/>
  <c r="AV26" i="12"/>
  <c r="AU26" i="12"/>
  <c r="AT26" i="12"/>
  <c r="AR26" i="12"/>
  <c r="AQ26" i="12"/>
  <c r="AP26" i="12"/>
  <c r="AN26" i="12"/>
  <c r="AM26" i="12"/>
  <c r="AL26" i="12"/>
  <c r="AJ26" i="12"/>
  <c r="AI26" i="12"/>
  <c r="AH26" i="12"/>
  <c r="AF26" i="12"/>
  <c r="AE26" i="12"/>
  <c r="AD26" i="12"/>
  <c r="AG26" i="12" s="1"/>
  <c r="AB26" i="12"/>
  <c r="AA26" i="12"/>
  <c r="Z26" i="12"/>
  <c r="X26" i="12"/>
  <c r="W26" i="12"/>
  <c r="V26" i="12"/>
  <c r="T26" i="12"/>
  <c r="S26" i="12"/>
  <c r="R26" i="12"/>
  <c r="O26" i="12"/>
  <c r="L26" i="12"/>
  <c r="I26" i="12"/>
  <c r="Q26" i="12" s="1"/>
  <c r="H26" i="12"/>
  <c r="G26" i="12"/>
  <c r="P26" i="12" s="1"/>
  <c r="F26" i="12"/>
  <c r="E26" i="12"/>
  <c r="BH25" i="12"/>
  <c r="BG25" i="12"/>
  <c r="BF25" i="12"/>
  <c r="BD25" i="12"/>
  <c r="BC25" i="12"/>
  <c r="BB25" i="12"/>
  <c r="AZ25" i="12"/>
  <c r="AY25" i="12"/>
  <c r="AX25" i="12"/>
  <c r="AV25" i="12"/>
  <c r="AU25" i="12"/>
  <c r="AT25" i="12"/>
  <c r="AW25" i="12" s="1"/>
  <c r="AR25" i="12"/>
  <c r="AQ25" i="12"/>
  <c r="AP25" i="12"/>
  <c r="AN25" i="12"/>
  <c r="AM25" i="12"/>
  <c r="AL25" i="12"/>
  <c r="AJ25" i="12"/>
  <c r="AI25" i="12"/>
  <c r="AK25" i="12" s="1"/>
  <c r="AH25" i="12"/>
  <c r="AF25" i="12"/>
  <c r="AE25" i="12"/>
  <c r="AD25" i="12"/>
  <c r="AG25" i="12" s="1"/>
  <c r="AB25" i="12"/>
  <c r="AA25" i="12"/>
  <c r="AC25" i="12" s="1"/>
  <c r="Z25" i="12"/>
  <c r="X25" i="12"/>
  <c r="W25" i="12"/>
  <c r="V25" i="12"/>
  <c r="T25" i="12"/>
  <c r="S25" i="12"/>
  <c r="R25" i="12"/>
  <c r="O25" i="12"/>
  <c r="L25" i="12"/>
  <c r="I25" i="12"/>
  <c r="Q25" i="12" s="1"/>
  <c r="H25" i="12"/>
  <c r="N25" i="12" s="1"/>
  <c r="G25" i="12"/>
  <c r="P25" i="12" s="1"/>
  <c r="F25" i="12"/>
  <c r="E25" i="12"/>
  <c r="BH24" i="12"/>
  <c r="BG24" i="12"/>
  <c r="BF24" i="12"/>
  <c r="BI24" i="12" s="1"/>
  <c r="BD24" i="12"/>
  <c r="BC24" i="12"/>
  <c r="BB24" i="12"/>
  <c r="AZ24" i="12"/>
  <c r="AY24" i="12"/>
  <c r="AX24" i="12"/>
  <c r="BA24" i="12" s="1"/>
  <c r="AV24" i="12"/>
  <c r="AU24" i="12"/>
  <c r="AT24" i="12"/>
  <c r="AR24" i="12"/>
  <c r="AQ24" i="12"/>
  <c r="AP24" i="12"/>
  <c r="AS24" i="12" s="1"/>
  <c r="AN24" i="12"/>
  <c r="AM24" i="12"/>
  <c r="AL24" i="12"/>
  <c r="AJ24" i="12"/>
  <c r="AI24" i="12"/>
  <c r="AH24" i="12"/>
  <c r="AK24" i="12" s="1"/>
  <c r="AF24" i="12"/>
  <c r="AE24" i="12"/>
  <c r="AD24" i="12"/>
  <c r="AB24" i="12"/>
  <c r="AA24" i="12"/>
  <c r="Z24" i="12"/>
  <c r="AC24" i="12" s="1"/>
  <c r="X24" i="12"/>
  <c r="W24" i="12"/>
  <c r="V24" i="12"/>
  <c r="T24" i="12"/>
  <c r="S24" i="12"/>
  <c r="R24" i="12"/>
  <c r="U24" i="12" s="1"/>
  <c r="O24" i="12"/>
  <c r="L24" i="12"/>
  <c r="I24" i="12"/>
  <c r="Q24" i="12" s="1"/>
  <c r="H24" i="12"/>
  <c r="G24" i="12"/>
  <c r="P24" i="12" s="1"/>
  <c r="F24" i="12"/>
  <c r="D24" i="12" s="1"/>
  <c r="E24" i="12"/>
  <c r="BH23" i="12"/>
  <c r="BG23" i="12"/>
  <c r="BF23" i="12"/>
  <c r="BD23" i="12"/>
  <c r="BC23" i="12"/>
  <c r="BE23" i="12" s="1"/>
  <c r="BB23" i="12"/>
  <c r="AZ23" i="12"/>
  <c r="AY23" i="12"/>
  <c r="AX23" i="12"/>
  <c r="AV23" i="12"/>
  <c r="AU23" i="12"/>
  <c r="AW23" i="12" s="1"/>
  <c r="AT23" i="12"/>
  <c r="AR23" i="12"/>
  <c r="AQ23" i="12"/>
  <c r="AP23" i="12"/>
  <c r="AN23" i="12"/>
  <c r="AM23" i="12"/>
  <c r="AL23" i="12"/>
  <c r="AO23" i="12" s="1"/>
  <c r="AJ23" i="12"/>
  <c r="AI23" i="12"/>
  <c r="AH23" i="12"/>
  <c r="AF23" i="12"/>
  <c r="AG23" i="12" s="1"/>
  <c r="AE23" i="12"/>
  <c r="AD23" i="12"/>
  <c r="AB23" i="12"/>
  <c r="AA23" i="12"/>
  <c r="Z23" i="12"/>
  <c r="X23" i="12"/>
  <c r="W23" i="12"/>
  <c r="V23" i="12"/>
  <c r="T23" i="12"/>
  <c r="S23" i="12"/>
  <c r="R23" i="12"/>
  <c r="O23" i="12"/>
  <c r="L23" i="12"/>
  <c r="I23" i="12"/>
  <c r="Q23" i="12" s="1"/>
  <c r="H23" i="12"/>
  <c r="N23" i="12" s="1"/>
  <c r="G23" i="12"/>
  <c r="P23" i="12" s="1"/>
  <c r="F23" i="12"/>
  <c r="E23" i="12"/>
  <c r="BH22" i="12"/>
  <c r="BG22" i="12"/>
  <c r="BF22" i="12"/>
  <c r="BI22" i="12" s="1"/>
  <c r="BD22" i="12"/>
  <c r="BC22" i="12"/>
  <c r="BB22" i="12"/>
  <c r="AZ22" i="12"/>
  <c r="AY22" i="12"/>
  <c r="AX22" i="12"/>
  <c r="BA22" i="12" s="1"/>
  <c r="AV22" i="12"/>
  <c r="AU22" i="12"/>
  <c r="AT22" i="12"/>
  <c r="AR22" i="12"/>
  <c r="AQ22" i="12"/>
  <c r="AP22" i="12"/>
  <c r="AS22" i="12" s="1"/>
  <c r="AN22" i="12"/>
  <c r="AM22" i="12"/>
  <c r="AL22" i="12"/>
  <c r="AJ22" i="12"/>
  <c r="AI22" i="12"/>
  <c r="AH22" i="12"/>
  <c r="AK22" i="12" s="1"/>
  <c r="AF22" i="12"/>
  <c r="AE22" i="12"/>
  <c r="AD22" i="12"/>
  <c r="AB22" i="12"/>
  <c r="AA22" i="12"/>
  <c r="Z22" i="12"/>
  <c r="AC22" i="12" s="1"/>
  <c r="X22" i="12"/>
  <c r="W22" i="12"/>
  <c r="V22" i="12"/>
  <c r="T22" i="12"/>
  <c r="S22" i="12"/>
  <c r="R22" i="12"/>
  <c r="U22" i="12" s="1"/>
  <c r="O22" i="12"/>
  <c r="L22" i="12"/>
  <c r="I22" i="12"/>
  <c r="Q22" i="12" s="1"/>
  <c r="H22" i="12"/>
  <c r="G22" i="12"/>
  <c r="P22" i="12" s="1"/>
  <c r="F22" i="12"/>
  <c r="E22" i="12"/>
  <c r="BH21" i="12"/>
  <c r="BG21" i="12"/>
  <c r="BF21" i="12"/>
  <c r="BD21" i="12"/>
  <c r="BC21" i="12"/>
  <c r="BB21" i="12"/>
  <c r="AZ21" i="12"/>
  <c r="AY21" i="12"/>
  <c r="AX21" i="12"/>
  <c r="AV21" i="12"/>
  <c r="AU21" i="12"/>
  <c r="AT21" i="12"/>
  <c r="AR21" i="12"/>
  <c r="AQ21" i="12"/>
  <c r="AP21" i="12"/>
  <c r="AS21" i="12" s="1"/>
  <c r="AN21" i="12"/>
  <c r="AM21" i="12"/>
  <c r="AL21" i="12"/>
  <c r="AJ21" i="12"/>
  <c r="AI21" i="12"/>
  <c r="AH21" i="12"/>
  <c r="AF21" i="12"/>
  <c r="AE21" i="12"/>
  <c r="AD21" i="12"/>
  <c r="AB21" i="12"/>
  <c r="AA21" i="12"/>
  <c r="Z21" i="12"/>
  <c r="X21" i="12"/>
  <c r="W21" i="12"/>
  <c r="Y21" i="12" s="1"/>
  <c r="V21" i="12"/>
  <c r="T21" i="12"/>
  <c r="S21" i="12"/>
  <c r="R21" i="12"/>
  <c r="U21" i="12" s="1"/>
  <c r="O21" i="12"/>
  <c r="L21" i="12"/>
  <c r="I21" i="12"/>
  <c r="Q21" i="12" s="1"/>
  <c r="H21" i="12"/>
  <c r="G21" i="12"/>
  <c r="P21" i="12" s="1"/>
  <c r="F21" i="12"/>
  <c r="E21" i="12"/>
  <c r="D21" i="12" s="1"/>
  <c r="M21" i="12" s="1"/>
  <c r="BH20" i="12"/>
  <c r="BG20" i="12"/>
  <c r="BF20" i="12"/>
  <c r="BI20" i="12" s="1"/>
  <c r="BD20" i="12"/>
  <c r="BC20" i="12"/>
  <c r="BB20" i="12"/>
  <c r="BE20" i="12" s="1"/>
  <c r="AZ20" i="12"/>
  <c r="AY20" i="12"/>
  <c r="AX20" i="12"/>
  <c r="BA20" i="12" s="1"/>
  <c r="AV20" i="12"/>
  <c r="AU20" i="12"/>
  <c r="AT20" i="12"/>
  <c r="AW20" i="12" s="1"/>
  <c r="AR20" i="12"/>
  <c r="AQ20" i="12"/>
  <c r="AP20" i="12"/>
  <c r="AN20" i="12"/>
  <c r="AM20" i="12"/>
  <c r="AL20" i="12"/>
  <c r="AO20" i="12" s="1"/>
  <c r="AJ20" i="12"/>
  <c r="AI20" i="12"/>
  <c r="AH20" i="12"/>
  <c r="AK20" i="12" s="1"/>
  <c r="AF20" i="12"/>
  <c r="AE20" i="12"/>
  <c r="AD20" i="12"/>
  <c r="AB20" i="12"/>
  <c r="AA20" i="12"/>
  <c r="Z20" i="12"/>
  <c r="AC20" i="12" s="1"/>
  <c r="X20" i="12"/>
  <c r="W20" i="12"/>
  <c r="V20" i="12"/>
  <c r="Y20" i="12" s="1"/>
  <c r="T20" i="12"/>
  <c r="S20" i="12"/>
  <c r="R20" i="12"/>
  <c r="O20" i="12"/>
  <c r="J20" i="12" s="1"/>
  <c r="L20" i="12"/>
  <c r="I20" i="12"/>
  <c r="Q20" i="12" s="1"/>
  <c r="H20" i="12"/>
  <c r="N20" i="12" s="1"/>
  <c r="G20" i="12"/>
  <c r="P20" i="12" s="1"/>
  <c r="F20" i="12"/>
  <c r="E20" i="12"/>
  <c r="BH19" i="12"/>
  <c r="BG19" i="12"/>
  <c r="BF19" i="12"/>
  <c r="BD19" i="12"/>
  <c r="BC19" i="12"/>
  <c r="BB19" i="12"/>
  <c r="AZ19" i="12"/>
  <c r="AY19" i="12"/>
  <c r="AX19" i="12"/>
  <c r="AV19" i="12"/>
  <c r="AU19" i="12"/>
  <c r="AT19" i="12"/>
  <c r="AW19" i="12" s="1"/>
  <c r="AR19" i="12"/>
  <c r="AQ19" i="12"/>
  <c r="AP19" i="12"/>
  <c r="AN19" i="12"/>
  <c r="AM19" i="12"/>
  <c r="AL19" i="12"/>
  <c r="AJ19" i="12"/>
  <c r="AI19" i="12"/>
  <c r="AK19" i="12" s="1"/>
  <c r="AH19" i="12"/>
  <c r="AF19" i="12"/>
  <c r="AE19" i="12"/>
  <c r="AD19" i="12"/>
  <c r="AB19" i="12"/>
  <c r="AA19" i="12"/>
  <c r="Z19" i="12"/>
  <c r="X19" i="12"/>
  <c r="W19" i="12"/>
  <c r="V19" i="12"/>
  <c r="Y19" i="12" s="1"/>
  <c r="T19" i="12"/>
  <c r="S19" i="12"/>
  <c r="R19" i="12"/>
  <c r="O19" i="12"/>
  <c r="L19" i="12"/>
  <c r="J19" i="12"/>
  <c r="I19" i="12"/>
  <c r="Q19" i="12" s="1"/>
  <c r="H19" i="12"/>
  <c r="G19" i="12"/>
  <c r="F19" i="12"/>
  <c r="E19" i="12"/>
  <c r="D19" i="12"/>
  <c r="M19" i="12" s="1"/>
  <c r="BH18" i="12"/>
  <c r="BG18" i="12"/>
  <c r="BF18" i="12"/>
  <c r="BD18" i="12"/>
  <c r="BC18" i="12"/>
  <c r="BB18" i="12"/>
  <c r="BE18" i="12" s="1"/>
  <c r="AZ18" i="12"/>
  <c r="AY18" i="12"/>
  <c r="AX18" i="12"/>
  <c r="AV18" i="12"/>
  <c r="AU18" i="12"/>
  <c r="AT18" i="12"/>
  <c r="AW18" i="12" s="1"/>
  <c r="AR18" i="12"/>
  <c r="AQ18" i="12"/>
  <c r="AP18" i="12"/>
  <c r="AN18" i="12"/>
  <c r="AM18" i="12"/>
  <c r="AL18" i="12"/>
  <c r="AO18" i="12" s="1"/>
  <c r="AJ18" i="12"/>
  <c r="AI18" i="12"/>
  <c r="AH18" i="12"/>
  <c r="AF18" i="12"/>
  <c r="AE18" i="12"/>
  <c r="AD18" i="12"/>
  <c r="AG18" i="12" s="1"/>
  <c r="AB18" i="12"/>
  <c r="AA18" i="12"/>
  <c r="Z18" i="12"/>
  <c r="X18" i="12"/>
  <c r="W18" i="12"/>
  <c r="V18" i="12"/>
  <c r="Y18" i="12" s="1"/>
  <c r="T18" i="12"/>
  <c r="S18" i="12"/>
  <c r="R18" i="12"/>
  <c r="O18" i="12"/>
  <c r="L18" i="12"/>
  <c r="I18" i="12"/>
  <c r="Q18" i="12" s="1"/>
  <c r="H18" i="12"/>
  <c r="G18" i="12"/>
  <c r="P18" i="12" s="1"/>
  <c r="F18" i="12"/>
  <c r="E18" i="12"/>
  <c r="BH17" i="12"/>
  <c r="BG17" i="12"/>
  <c r="BF17" i="12"/>
  <c r="BD17" i="12"/>
  <c r="BC17" i="12"/>
  <c r="BB17" i="12"/>
  <c r="AZ17" i="12"/>
  <c r="AY17" i="12"/>
  <c r="AX17" i="12"/>
  <c r="AV17" i="12"/>
  <c r="AU17" i="12"/>
  <c r="AT17" i="12"/>
  <c r="AR17" i="12"/>
  <c r="AQ17" i="12"/>
  <c r="AP17" i="12"/>
  <c r="AN17" i="12"/>
  <c r="AM17" i="12"/>
  <c r="AL17" i="12"/>
  <c r="AJ17" i="12"/>
  <c r="AI17" i="12"/>
  <c r="AH17" i="12"/>
  <c r="AF17" i="12"/>
  <c r="AE17" i="12"/>
  <c r="AD17" i="12"/>
  <c r="AB17" i="12"/>
  <c r="AA17" i="12"/>
  <c r="AC17" i="12" s="1"/>
  <c r="Z17" i="12"/>
  <c r="X17" i="12"/>
  <c r="W17" i="12"/>
  <c r="V17" i="12"/>
  <c r="T17" i="12"/>
  <c r="S17" i="12"/>
  <c r="R17" i="12"/>
  <c r="O17" i="12"/>
  <c r="L17" i="12"/>
  <c r="I17" i="12"/>
  <c r="Q17" i="12" s="1"/>
  <c r="H17" i="12"/>
  <c r="G17" i="12"/>
  <c r="P17" i="12" s="1"/>
  <c r="F17" i="12"/>
  <c r="E17" i="12"/>
  <c r="BH16" i="12"/>
  <c r="BG16" i="12"/>
  <c r="BF16" i="12"/>
  <c r="BD16" i="12"/>
  <c r="BC16" i="12"/>
  <c r="BB16" i="12"/>
  <c r="BE16" i="12" s="1"/>
  <c r="AZ16" i="12"/>
  <c r="AY16" i="12"/>
  <c r="AX16" i="12"/>
  <c r="AV16" i="12"/>
  <c r="AU16" i="12"/>
  <c r="AT16" i="12"/>
  <c r="AR16" i="12"/>
  <c r="AQ16" i="12"/>
  <c r="AP16" i="12"/>
  <c r="AN16" i="12"/>
  <c r="AM16" i="12"/>
  <c r="AL16" i="12"/>
  <c r="AO16" i="12" s="1"/>
  <c r="AJ16" i="12"/>
  <c r="AI16" i="12"/>
  <c r="AH16" i="12"/>
  <c r="AF16" i="12"/>
  <c r="AE16" i="12"/>
  <c r="AD16" i="12"/>
  <c r="AB16" i="12"/>
  <c r="AA16" i="12"/>
  <c r="Z16" i="12"/>
  <c r="X16" i="12"/>
  <c r="W16" i="12"/>
  <c r="V16" i="12"/>
  <c r="T16" i="12"/>
  <c r="S16" i="12"/>
  <c r="R16" i="12"/>
  <c r="O16" i="12"/>
  <c r="J16" i="12" s="1"/>
  <c r="L16" i="12"/>
  <c r="I16" i="12"/>
  <c r="Q16" i="12" s="1"/>
  <c r="H16" i="12"/>
  <c r="G16" i="12"/>
  <c r="P16" i="12" s="1"/>
  <c r="F16" i="12"/>
  <c r="E16" i="12"/>
  <c r="BH15" i="12"/>
  <c r="BG15" i="12"/>
  <c r="BF15" i="12"/>
  <c r="BD15" i="12"/>
  <c r="BC15" i="12"/>
  <c r="BB15" i="12"/>
  <c r="BE15" i="12" s="1"/>
  <c r="AZ15" i="12"/>
  <c r="AY15" i="12"/>
  <c r="AX15" i="12"/>
  <c r="AV15" i="12"/>
  <c r="AU15" i="12"/>
  <c r="AT15" i="12"/>
  <c r="AR15" i="12"/>
  <c r="AQ15" i="12"/>
  <c r="AP15" i="12"/>
  <c r="AS15" i="12" s="1"/>
  <c r="AN15" i="12"/>
  <c r="AM15" i="12"/>
  <c r="AL15" i="12"/>
  <c r="AJ15" i="12"/>
  <c r="AI15" i="12"/>
  <c r="AH15" i="12"/>
  <c r="AF15" i="12"/>
  <c r="AE15" i="12"/>
  <c r="AD15" i="12"/>
  <c r="AG15" i="12" s="1"/>
  <c r="AB15" i="12"/>
  <c r="AA15" i="12"/>
  <c r="Z15" i="12"/>
  <c r="X15" i="12"/>
  <c r="W15" i="12"/>
  <c r="V15" i="12"/>
  <c r="T15" i="12"/>
  <c r="S15" i="12"/>
  <c r="R15" i="12"/>
  <c r="O15" i="12"/>
  <c r="L15" i="12"/>
  <c r="I15" i="12"/>
  <c r="H15" i="12"/>
  <c r="G15" i="12"/>
  <c r="P15" i="12" s="1"/>
  <c r="F15" i="12"/>
  <c r="E15" i="12"/>
  <c r="BH14" i="12"/>
  <c r="BG14" i="12"/>
  <c r="BF14" i="12"/>
  <c r="BD14" i="12"/>
  <c r="BC14" i="12"/>
  <c r="BB14" i="12"/>
  <c r="AZ14" i="12"/>
  <c r="AY14" i="12"/>
  <c r="AX14" i="12"/>
  <c r="AV14" i="12"/>
  <c r="AU14" i="12"/>
  <c r="AT14" i="12"/>
  <c r="AR14" i="12"/>
  <c r="AQ14" i="12"/>
  <c r="AP14" i="12"/>
  <c r="AN14" i="12"/>
  <c r="AM14" i="12"/>
  <c r="AL14" i="12"/>
  <c r="AJ14" i="12"/>
  <c r="AI14" i="12"/>
  <c r="AH14" i="12"/>
  <c r="AF14" i="12"/>
  <c r="AE14" i="12"/>
  <c r="AD14" i="12"/>
  <c r="AB14" i="12"/>
  <c r="AA14" i="12"/>
  <c r="Z14" i="12"/>
  <c r="X14" i="12"/>
  <c r="W14" i="12"/>
  <c r="V14" i="12"/>
  <c r="T14" i="12"/>
  <c r="S14" i="12"/>
  <c r="R14" i="12"/>
  <c r="O14" i="12"/>
  <c r="J14" i="12" s="1"/>
  <c r="L14" i="12"/>
  <c r="I14" i="12"/>
  <c r="Q14" i="12" s="1"/>
  <c r="H14" i="12"/>
  <c r="N14" i="12" s="1"/>
  <c r="G14" i="12"/>
  <c r="P14" i="12" s="1"/>
  <c r="F14" i="12"/>
  <c r="D14" i="12" s="1"/>
  <c r="M14" i="12" s="1"/>
  <c r="E14" i="12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N105" i="11" s="1"/>
  <c r="G105" i="11"/>
  <c r="P105" i="11" s="1"/>
  <c r="F105" i="11"/>
  <c r="E105" i="11"/>
  <c r="O104" i="11"/>
  <c r="L104" i="11"/>
  <c r="I104" i="11"/>
  <c r="Q104" i="11" s="1"/>
  <c r="H104" i="11"/>
  <c r="G104" i="11"/>
  <c r="P104" i="11" s="1"/>
  <c r="F104" i="11"/>
  <c r="E104" i="11"/>
  <c r="O103" i="11"/>
  <c r="L103" i="11"/>
  <c r="I103" i="11"/>
  <c r="Q103" i="11" s="1"/>
  <c r="H103" i="11"/>
  <c r="N103" i="11" s="1"/>
  <c r="G103" i="11"/>
  <c r="P103" i="11" s="1"/>
  <c r="F103" i="11"/>
  <c r="E103" i="11"/>
  <c r="D103" i="11" s="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E101" i="11"/>
  <c r="D101" i="11" s="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D99" i="11" s="1"/>
  <c r="O98" i="11"/>
  <c r="L98" i="11"/>
  <c r="I98" i="11"/>
  <c r="Q98" i="11" s="1"/>
  <c r="H98" i="11"/>
  <c r="G98" i="11"/>
  <c r="P98" i="11" s="1"/>
  <c r="F98" i="11"/>
  <c r="E98" i="11"/>
  <c r="O97" i="11"/>
  <c r="L97" i="11"/>
  <c r="J97" i="11" s="1"/>
  <c r="I97" i="11"/>
  <c r="Q97" i="11" s="1"/>
  <c r="H97" i="11"/>
  <c r="N97" i="11" s="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D96" i="11" s="1"/>
  <c r="O95" i="11"/>
  <c r="L95" i="11"/>
  <c r="J95" i="11" s="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D94" i="11" s="1"/>
  <c r="O93" i="11"/>
  <c r="L93" i="11"/>
  <c r="J93" i="11" s="1"/>
  <c r="I93" i="11"/>
  <c r="Q93" i="11" s="1"/>
  <c r="H93" i="11"/>
  <c r="G93" i="11"/>
  <c r="P93" i="11" s="1"/>
  <c r="F93" i="11"/>
  <c r="E93" i="11"/>
  <c r="O92" i="11"/>
  <c r="L92" i="11"/>
  <c r="I92" i="11"/>
  <c r="Q92" i="11" s="1"/>
  <c r="H92" i="11"/>
  <c r="N92" i="11" s="1"/>
  <c r="G92" i="11"/>
  <c r="P92" i="11" s="1"/>
  <c r="F92" i="11"/>
  <c r="E92" i="11"/>
  <c r="D92" i="11" s="1"/>
  <c r="O91" i="11"/>
  <c r="L91" i="11"/>
  <c r="I91" i="11"/>
  <c r="Q91" i="11" s="1"/>
  <c r="H91" i="11"/>
  <c r="N91" i="11" s="1"/>
  <c r="G91" i="11"/>
  <c r="P91" i="11" s="1"/>
  <c r="F91" i="11"/>
  <c r="E91" i="11"/>
  <c r="O90" i="11"/>
  <c r="L90" i="11"/>
  <c r="J90" i="11" s="1"/>
  <c r="I90" i="11"/>
  <c r="Q90" i="11" s="1"/>
  <c r="H90" i="11"/>
  <c r="N90" i="11" s="1"/>
  <c r="G90" i="11"/>
  <c r="P90" i="11" s="1"/>
  <c r="F90" i="11"/>
  <c r="E90" i="11"/>
  <c r="S88" i="11"/>
  <c r="R88" i="11"/>
  <c r="T88" i="11" s="1"/>
  <c r="Q88" i="11"/>
  <c r="O88" i="11"/>
  <c r="L88" i="11"/>
  <c r="I88" i="11"/>
  <c r="H88" i="11"/>
  <c r="G88" i="11"/>
  <c r="P88" i="11" s="1"/>
  <c r="F88" i="11"/>
  <c r="E88" i="11"/>
  <c r="S87" i="11"/>
  <c r="R87" i="11"/>
  <c r="T87" i="11" s="1"/>
  <c r="O87" i="11"/>
  <c r="L87" i="11"/>
  <c r="J87" i="11" s="1"/>
  <c r="I87" i="11"/>
  <c r="Q87" i="11" s="1"/>
  <c r="H87" i="11"/>
  <c r="N87" i="11" s="1"/>
  <c r="G87" i="11"/>
  <c r="P87" i="11" s="1"/>
  <c r="F87" i="11"/>
  <c r="E87" i="11"/>
  <c r="D87" i="11" s="1"/>
  <c r="S86" i="11"/>
  <c r="R86" i="11"/>
  <c r="O86" i="11"/>
  <c r="L86" i="11"/>
  <c r="I86" i="11"/>
  <c r="Q86" i="11" s="1"/>
  <c r="H86" i="11"/>
  <c r="N86" i="11" s="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D85" i="11" s="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D79" i="11" s="1"/>
  <c r="S78" i="11"/>
  <c r="R78" i="11"/>
  <c r="O78" i="11"/>
  <c r="L78" i="11"/>
  <c r="I78" i="11"/>
  <c r="Q78" i="11" s="1"/>
  <c r="H78" i="11"/>
  <c r="N78" i="11" s="1"/>
  <c r="G78" i="11"/>
  <c r="F78" i="11"/>
  <c r="E78" i="11"/>
  <c r="S77" i="11"/>
  <c r="R77" i="11"/>
  <c r="T77" i="11" s="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H76" i="11"/>
  <c r="N76" i="11" s="1"/>
  <c r="G76" i="11"/>
  <c r="F76" i="11"/>
  <c r="E76" i="11"/>
  <c r="S75" i="11"/>
  <c r="R75" i="11"/>
  <c r="T75" i="11" s="1"/>
  <c r="O75" i="11"/>
  <c r="L75" i="11"/>
  <c r="I75" i="11"/>
  <c r="H75" i="11"/>
  <c r="G75" i="11"/>
  <c r="P75" i="11" s="1"/>
  <c r="F75" i="11"/>
  <c r="E75" i="11"/>
  <c r="S73" i="11"/>
  <c r="R73" i="11"/>
  <c r="T73" i="11" s="1"/>
  <c r="O73" i="11"/>
  <c r="L73" i="11"/>
  <c r="J73" i="11" s="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J71" i="11" s="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N69" i="11" s="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J67" i="11" s="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J65" i="11" s="1"/>
  <c r="I65" i="11"/>
  <c r="Q65" i="11" s="1"/>
  <c r="H65" i="11"/>
  <c r="N65" i="11" s="1"/>
  <c r="G65" i="11"/>
  <c r="P65" i="11" s="1"/>
  <c r="F65" i="11"/>
  <c r="E65" i="11"/>
  <c r="D65" i="11" s="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J63" i="11" s="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J62" i="11" s="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J61" i="11" s="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D60" i="11" s="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D58" i="11" s="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T56" i="11" s="1"/>
  <c r="O56" i="11"/>
  <c r="L56" i="11"/>
  <c r="I56" i="11"/>
  <c r="Q56" i="11" s="1"/>
  <c r="H56" i="11"/>
  <c r="G56" i="11"/>
  <c r="P56" i="11" s="1"/>
  <c r="F56" i="11"/>
  <c r="E56" i="11"/>
  <c r="D56" i="11" s="1"/>
  <c r="S55" i="11"/>
  <c r="R55" i="11"/>
  <c r="T55" i="11" s="1"/>
  <c r="O55" i="11"/>
  <c r="L55" i="11"/>
  <c r="I55" i="11"/>
  <c r="Q55" i="11" s="1"/>
  <c r="H55" i="11"/>
  <c r="N55" i="11" s="1"/>
  <c r="G55" i="1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H53" i="11"/>
  <c r="N53" i="11" s="1"/>
  <c r="G53" i="1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D51" i="11" s="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D50" i="11" s="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D47" i="11" s="1"/>
  <c r="C47" i="11" s="1"/>
  <c r="K47" i="11" s="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O44" i="11"/>
  <c r="L44" i="11"/>
  <c r="I44" i="11"/>
  <c r="Q44" i="11" s="1"/>
  <c r="H44" i="11"/>
  <c r="G44" i="11"/>
  <c r="P44" i="11" s="1"/>
  <c r="F44" i="11"/>
  <c r="E44" i="11"/>
  <c r="D44" i="11" s="1"/>
  <c r="M44" i="11" s="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J38" i="11" s="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J36" i="11" s="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T33" i="11" s="1"/>
  <c r="O33" i="11"/>
  <c r="L33" i="11"/>
  <c r="I33" i="11"/>
  <c r="Q33" i="11" s="1"/>
  <c r="H33" i="11"/>
  <c r="N33" i="11" s="1"/>
  <c r="G33" i="11"/>
  <c r="P33" i="11" s="1"/>
  <c r="F33" i="11"/>
  <c r="E33" i="11"/>
  <c r="S32" i="11"/>
  <c r="R32" i="11"/>
  <c r="O32" i="11"/>
  <c r="L32" i="11"/>
  <c r="I32" i="11"/>
  <c r="Q32" i="11" s="1"/>
  <c r="H32" i="11"/>
  <c r="G32" i="11"/>
  <c r="P32" i="11" s="1"/>
  <c r="F32" i="11"/>
  <c r="E32" i="11"/>
  <c r="S30" i="11"/>
  <c r="R30" i="11"/>
  <c r="T30" i="11" s="1"/>
  <c r="O30" i="11"/>
  <c r="L30" i="11"/>
  <c r="J30" i="11" s="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J27" i="11" s="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D25" i="11" s="1"/>
  <c r="M25" i="11" s="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J23" i="11" s="1"/>
  <c r="I23" i="11"/>
  <c r="Q23" i="11" s="1"/>
  <c r="H23" i="11"/>
  <c r="N23" i="11" s="1"/>
  <c r="G23" i="11"/>
  <c r="P23" i="11" s="1"/>
  <c r="F23" i="11"/>
  <c r="E23" i="11"/>
  <c r="T22" i="11"/>
  <c r="S22" i="11"/>
  <c r="R22" i="1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O21" i="11"/>
  <c r="L21" i="11"/>
  <c r="I21" i="11"/>
  <c r="H21" i="11"/>
  <c r="N21" i="11" s="1"/>
  <c r="G21" i="11"/>
  <c r="P21" i="11" s="1"/>
  <c r="F21" i="11"/>
  <c r="E21" i="11"/>
  <c r="D21" i="11" s="1"/>
  <c r="M21" i="11" s="1"/>
  <c r="S20" i="11"/>
  <c r="R20" i="11"/>
  <c r="T20" i="11" s="1"/>
  <c r="O20" i="11"/>
  <c r="L20" i="11"/>
  <c r="I20" i="11"/>
  <c r="Q20" i="11" s="1"/>
  <c r="H20" i="11"/>
  <c r="G20" i="11"/>
  <c r="P20" i="11" s="1"/>
  <c r="F20" i="11"/>
  <c r="E20" i="11"/>
  <c r="S19" i="11"/>
  <c r="R19" i="11"/>
  <c r="T19" i="11" s="1"/>
  <c r="Q19" i="11"/>
  <c r="O19" i="11"/>
  <c r="L19" i="11"/>
  <c r="I19" i="1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D18" i="11" s="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N16" i="11" s="1"/>
  <c r="G16" i="11"/>
  <c r="P16" i="11" s="1"/>
  <c r="F16" i="11"/>
  <c r="E16" i="11"/>
  <c r="D16" i="11" s="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Q14" i="11" s="1"/>
  <c r="H14" i="11"/>
  <c r="N14" i="11" s="1"/>
  <c r="G14" i="11"/>
  <c r="P14" i="11" s="1"/>
  <c r="F14" i="11"/>
  <c r="E14" i="11"/>
  <c r="D14" i="11" s="1"/>
  <c r="O108" i="10"/>
  <c r="L108" i="10"/>
  <c r="J108" i="10" s="1"/>
  <c r="I108" i="10"/>
  <c r="Q108" i="10" s="1"/>
  <c r="H108" i="10"/>
  <c r="N108" i="10" s="1"/>
  <c r="G108" i="10"/>
  <c r="P108" i="10" s="1"/>
  <c r="F108" i="10"/>
  <c r="E108" i="10"/>
  <c r="D108" i="10" s="1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J106" i="10" s="1"/>
  <c r="I106" i="10"/>
  <c r="Q106" i="10" s="1"/>
  <c r="H106" i="10"/>
  <c r="N106" i="10" s="1"/>
  <c r="G106" i="10"/>
  <c r="P106" i="10" s="1"/>
  <c r="F106" i="10"/>
  <c r="E106" i="10"/>
  <c r="O105" i="10"/>
  <c r="L105" i="10"/>
  <c r="I105" i="10"/>
  <c r="Q105" i="10" s="1"/>
  <c r="H105" i="10"/>
  <c r="N105" i="10" s="1"/>
  <c r="G105" i="10"/>
  <c r="P105" i="10" s="1"/>
  <c r="F105" i="10"/>
  <c r="E105" i="10"/>
  <c r="O104" i="10"/>
  <c r="L104" i="10"/>
  <c r="I104" i="10"/>
  <c r="Q104" i="10" s="1"/>
  <c r="H104" i="10"/>
  <c r="N104" i="10" s="1"/>
  <c r="G104" i="10"/>
  <c r="P104" i="10" s="1"/>
  <c r="F104" i="10"/>
  <c r="E104" i="10"/>
  <c r="O103" i="10"/>
  <c r="L103" i="10"/>
  <c r="J103" i="10" s="1"/>
  <c r="I103" i="10"/>
  <c r="Q103" i="10" s="1"/>
  <c r="H103" i="10"/>
  <c r="N103" i="10" s="1"/>
  <c r="G103" i="10"/>
  <c r="P103" i="10" s="1"/>
  <c r="F103" i="10"/>
  <c r="D103" i="10" s="1"/>
  <c r="M103" i="10" s="1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D102" i="10" s="1"/>
  <c r="O101" i="10"/>
  <c r="L101" i="10"/>
  <c r="J101" i="10" s="1"/>
  <c r="I101" i="10"/>
  <c r="Q101" i="10" s="1"/>
  <c r="H101" i="10"/>
  <c r="G101" i="10"/>
  <c r="P101" i="10" s="1"/>
  <c r="F101" i="10"/>
  <c r="D101" i="10" s="1"/>
  <c r="E101" i="10"/>
  <c r="P100" i="10"/>
  <c r="O100" i="10"/>
  <c r="L100" i="10"/>
  <c r="I100" i="10"/>
  <c r="Q100" i="10" s="1"/>
  <c r="H100" i="10"/>
  <c r="N100" i="10" s="1"/>
  <c r="G100" i="10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J98" i="10" s="1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J96" i="10" s="1"/>
  <c r="I96" i="10"/>
  <c r="Q96" i="10" s="1"/>
  <c r="H96" i="10"/>
  <c r="N96" i="10" s="1"/>
  <c r="G96" i="10"/>
  <c r="P96" i="10" s="1"/>
  <c r="F96" i="10"/>
  <c r="E96" i="10"/>
  <c r="D96" i="10" s="1"/>
  <c r="O95" i="10"/>
  <c r="L95" i="10"/>
  <c r="I95" i="10"/>
  <c r="Q95" i="10" s="1"/>
  <c r="H95" i="10"/>
  <c r="G95" i="10"/>
  <c r="P95" i="10" s="1"/>
  <c r="F95" i="10"/>
  <c r="E95" i="10"/>
  <c r="O94" i="10"/>
  <c r="L94" i="10"/>
  <c r="J94" i="10" s="1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G93" i="10"/>
  <c r="P93" i="10" s="1"/>
  <c r="F93" i="10"/>
  <c r="E93" i="10"/>
  <c r="O92" i="10"/>
  <c r="L92" i="10"/>
  <c r="I92" i="10"/>
  <c r="Q92" i="10" s="1"/>
  <c r="H92" i="10"/>
  <c r="N92" i="10" s="1"/>
  <c r="G92" i="10"/>
  <c r="P92" i="10" s="1"/>
  <c r="F92" i="10"/>
  <c r="E92" i="10"/>
  <c r="O91" i="10"/>
  <c r="L91" i="10"/>
  <c r="J91" i="10" s="1"/>
  <c r="I91" i="10"/>
  <c r="Q91" i="10" s="1"/>
  <c r="H91" i="10"/>
  <c r="N91" i="10" s="1"/>
  <c r="G91" i="10"/>
  <c r="P91" i="10" s="1"/>
  <c r="F91" i="10"/>
  <c r="E91" i="10"/>
  <c r="O90" i="10"/>
  <c r="L90" i="10"/>
  <c r="I90" i="10"/>
  <c r="Q90" i="10" s="1"/>
  <c r="H90" i="10"/>
  <c r="N90" i="10" s="1"/>
  <c r="G90" i="10"/>
  <c r="P90" i="10" s="1"/>
  <c r="F90" i="10"/>
  <c r="E90" i="10"/>
  <c r="AF88" i="10"/>
  <c r="AD88" i="10"/>
  <c r="AC88" i="10"/>
  <c r="AA88" i="10"/>
  <c r="Y88" i="10"/>
  <c r="X88" i="10"/>
  <c r="V88" i="10"/>
  <c r="U88" i="10"/>
  <c r="S88" i="10"/>
  <c r="R88" i="10"/>
  <c r="T88" i="10" s="1"/>
  <c r="O88" i="10"/>
  <c r="L88" i="10"/>
  <c r="I88" i="10"/>
  <c r="Q88" i="10" s="1"/>
  <c r="H88" i="10"/>
  <c r="N88" i="10" s="1"/>
  <c r="G88" i="10"/>
  <c r="P88" i="10" s="1"/>
  <c r="F88" i="10"/>
  <c r="E88" i="10"/>
  <c r="D88" i="10" s="1"/>
  <c r="M88" i="10" s="1"/>
  <c r="AF87" i="10"/>
  <c r="AD87" i="10"/>
  <c r="AC87" i="10"/>
  <c r="AE87" i="10" s="1"/>
  <c r="AA87" i="10"/>
  <c r="Y87" i="10"/>
  <c r="X87" i="10"/>
  <c r="V87" i="10"/>
  <c r="U87" i="10"/>
  <c r="W87" i="10" s="1"/>
  <c r="S87" i="10"/>
  <c r="R87" i="10"/>
  <c r="T87" i="10" s="1"/>
  <c r="O87" i="10"/>
  <c r="L87" i="10"/>
  <c r="I87" i="10"/>
  <c r="Q87" i="10" s="1"/>
  <c r="H87" i="10"/>
  <c r="N87" i="10" s="1"/>
  <c r="G87" i="10"/>
  <c r="P87" i="10" s="1"/>
  <c r="F87" i="10"/>
  <c r="E87" i="10"/>
  <c r="AF86" i="10"/>
  <c r="AD86" i="10"/>
  <c r="AC86" i="10"/>
  <c r="AA86" i="10"/>
  <c r="Y86" i="10"/>
  <c r="X86" i="10"/>
  <c r="V86" i="10"/>
  <c r="U86" i="10"/>
  <c r="W86" i="10" s="1"/>
  <c r="S86" i="10"/>
  <c r="R86" i="10"/>
  <c r="T86" i="10" s="1"/>
  <c r="O86" i="10"/>
  <c r="L86" i="10"/>
  <c r="I86" i="10"/>
  <c r="Q86" i="10" s="1"/>
  <c r="H86" i="10"/>
  <c r="N86" i="10" s="1"/>
  <c r="G86" i="10"/>
  <c r="P86" i="10" s="1"/>
  <c r="F86" i="10"/>
  <c r="D86" i="10" s="1"/>
  <c r="E86" i="10"/>
  <c r="AF85" i="10"/>
  <c r="AD85" i="10"/>
  <c r="AC85" i="10"/>
  <c r="AA85" i="10"/>
  <c r="Y85" i="10"/>
  <c r="X85" i="10"/>
  <c r="Z85" i="10" s="1"/>
  <c r="V85" i="10"/>
  <c r="U85" i="10"/>
  <c r="W85" i="10" s="1"/>
  <c r="S85" i="10"/>
  <c r="R85" i="10"/>
  <c r="T85" i="10" s="1"/>
  <c r="O85" i="10"/>
  <c r="L85" i="10"/>
  <c r="J85" i="10" s="1"/>
  <c r="I85" i="10"/>
  <c r="Q85" i="10" s="1"/>
  <c r="H85" i="10"/>
  <c r="N85" i="10" s="1"/>
  <c r="G85" i="10"/>
  <c r="P85" i="10" s="1"/>
  <c r="F85" i="10"/>
  <c r="E85" i="10"/>
  <c r="AF84" i="10"/>
  <c r="AD84" i="10"/>
  <c r="AC84" i="10"/>
  <c r="AG84" i="10" s="1"/>
  <c r="AA84" i="10"/>
  <c r="Y84" i="10"/>
  <c r="X84" i="10"/>
  <c r="V84" i="10"/>
  <c r="U84" i="10"/>
  <c r="W84" i="10" s="1"/>
  <c r="S84" i="10"/>
  <c r="R84" i="10"/>
  <c r="T84" i="10" s="1"/>
  <c r="O84" i="10"/>
  <c r="L84" i="10"/>
  <c r="I84" i="10"/>
  <c r="Q84" i="10" s="1"/>
  <c r="H84" i="10"/>
  <c r="N84" i="10" s="1"/>
  <c r="G84" i="10"/>
  <c r="P84" i="10" s="1"/>
  <c r="F84" i="10"/>
  <c r="E84" i="10"/>
  <c r="AF83" i="10"/>
  <c r="AD83" i="10"/>
  <c r="AC83" i="10"/>
  <c r="AA83" i="10"/>
  <c r="Y83" i="10"/>
  <c r="X83" i="10"/>
  <c r="AB83" i="10" s="1"/>
  <c r="V83" i="10"/>
  <c r="U83" i="10"/>
  <c r="W83" i="10" s="1"/>
  <c r="S83" i="10"/>
  <c r="R83" i="10"/>
  <c r="T83" i="10" s="1"/>
  <c r="O83" i="10"/>
  <c r="L83" i="10"/>
  <c r="I83" i="10"/>
  <c r="Q83" i="10" s="1"/>
  <c r="H83" i="10"/>
  <c r="N83" i="10" s="1"/>
  <c r="G83" i="10"/>
  <c r="P83" i="10" s="1"/>
  <c r="F83" i="10"/>
  <c r="D83" i="10" s="1"/>
  <c r="M83" i="10" s="1"/>
  <c r="E83" i="10"/>
  <c r="AF82" i="10"/>
  <c r="AD82" i="10"/>
  <c r="AC82" i="10"/>
  <c r="AB82" i="10"/>
  <c r="AA82" i="10"/>
  <c r="Y82" i="10"/>
  <c r="X82" i="10"/>
  <c r="Z82" i="10" s="1"/>
  <c r="V82" i="10"/>
  <c r="U82" i="10"/>
  <c r="W82" i="10" s="1"/>
  <c r="S82" i="10"/>
  <c r="R82" i="10"/>
  <c r="T82" i="10" s="1"/>
  <c r="O82" i="10"/>
  <c r="L82" i="10"/>
  <c r="I82" i="10"/>
  <c r="Q82" i="10" s="1"/>
  <c r="H82" i="10"/>
  <c r="N82" i="10" s="1"/>
  <c r="G82" i="10"/>
  <c r="P82" i="10" s="1"/>
  <c r="F82" i="10"/>
  <c r="D82" i="10" s="1"/>
  <c r="M82" i="10" s="1"/>
  <c r="E82" i="10"/>
  <c r="AF81" i="10"/>
  <c r="AD81" i="10"/>
  <c r="AC81" i="10"/>
  <c r="AA81" i="10"/>
  <c r="Y81" i="10"/>
  <c r="X81" i="10"/>
  <c r="AB81" i="10" s="1"/>
  <c r="V81" i="10"/>
  <c r="U81" i="10"/>
  <c r="W81" i="10" s="1"/>
  <c r="S81" i="10"/>
  <c r="R81" i="10"/>
  <c r="T81" i="10" s="1"/>
  <c r="O81" i="10"/>
  <c r="L81" i="10"/>
  <c r="I81" i="10"/>
  <c r="Q81" i="10" s="1"/>
  <c r="H81" i="10"/>
  <c r="N81" i="10" s="1"/>
  <c r="G81" i="10"/>
  <c r="P81" i="10" s="1"/>
  <c r="F81" i="10"/>
  <c r="E81" i="10"/>
  <c r="AF80" i="10"/>
  <c r="AD80" i="10"/>
  <c r="AC80" i="10"/>
  <c r="AG80" i="10" s="1"/>
  <c r="AA80" i="10"/>
  <c r="Y80" i="10"/>
  <c r="X80" i="10"/>
  <c r="Z80" i="10" s="1"/>
  <c r="V80" i="10"/>
  <c r="U80" i="10"/>
  <c r="W80" i="10" s="1"/>
  <c r="S80" i="10"/>
  <c r="R80" i="10"/>
  <c r="T80" i="10" s="1"/>
  <c r="O80" i="10"/>
  <c r="L80" i="10"/>
  <c r="I80" i="10"/>
  <c r="Q80" i="10" s="1"/>
  <c r="H80" i="10"/>
  <c r="N80" i="10" s="1"/>
  <c r="G80" i="10"/>
  <c r="P80" i="10" s="1"/>
  <c r="F80" i="10"/>
  <c r="E80" i="10"/>
  <c r="AF79" i="10"/>
  <c r="AD79" i="10"/>
  <c r="AC79" i="10"/>
  <c r="AA79" i="10"/>
  <c r="Y79" i="10"/>
  <c r="X79" i="10"/>
  <c r="Z79" i="10" s="1"/>
  <c r="V79" i="10"/>
  <c r="U79" i="10"/>
  <c r="W79" i="10" s="1"/>
  <c r="S79" i="10"/>
  <c r="R79" i="10"/>
  <c r="T79" i="10" s="1"/>
  <c r="O79" i="10"/>
  <c r="L79" i="10"/>
  <c r="I79" i="10"/>
  <c r="Q79" i="10" s="1"/>
  <c r="H79" i="10"/>
  <c r="N79" i="10" s="1"/>
  <c r="G79" i="10"/>
  <c r="P79" i="10" s="1"/>
  <c r="F79" i="10"/>
  <c r="E79" i="10"/>
  <c r="AF78" i="10"/>
  <c r="AD78" i="10"/>
  <c r="AC78" i="10"/>
  <c r="AG78" i="10" s="1"/>
  <c r="AA78" i="10"/>
  <c r="Y78" i="10"/>
  <c r="X78" i="10"/>
  <c r="V78" i="10"/>
  <c r="U78" i="10"/>
  <c r="W78" i="10" s="1"/>
  <c r="S78" i="10"/>
  <c r="R78" i="10"/>
  <c r="O78" i="10"/>
  <c r="L78" i="10"/>
  <c r="I78" i="10"/>
  <c r="Q78" i="10" s="1"/>
  <c r="H78" i="10"/>
  <c r="N78" i="10" s="1"/>
  <c r="G78" i="10"/>
  <c r="P78" i="10" s="1"/>
  <c r="F78" i="10"/>
  <c r="E78" i="10"/>
  <c r="AF77" i="10"/>
  <c r="AD77" i="10"/>
  <c r="AC77" i="10"/>
  <c r="AE77" i="10" s="1"/>
  <c r="AA77" i="10"/>
  <c r="Y77" i="10"/>
  <c r="X77" i="10"/>
  <c r="AB77" i="10" s="1"/>
  <c r="V77" i="10"/>
  <c r="U77" i="10"/>
  <c r="W77" i="10" s="1"/>
  <c r="S77" i="10"/>
  <c r="R77" i="10"/>
  <c r="T77" i="10" s="1"/>
  <c r="O77" i="10"/>
  <c r="L77" i="10"/>
  <c r="I77" i="10"/>
  <c r="Q77" i="10" s="1"/>
  <c r="H77" i="10"/>
  <c r="N77" i="10" s="1"/>
  <c r="G77" i="10"/>
  <c r="P77" i="10" s="1"/>
  <c r="F77" i="10"/>
  <c r="E77" i="10"/>
  <c r="AF76" i="10"/>
  <c r="AD76" i="10"/>
  <c r="AC76" i="10"/>
  <c r="AG76" i="10" s="1"/>
  <c r="AA76" i="10"/>
  <c r="Y76" i="10"/>
  <c r="X76" i="10"/>
  <c r="AB76" i="10" s="1"/>
  <c r="V76" i="10"/>
  <c r="U76" i="10"/>
  <c r="W76" i="10" s="1"/>
  <c r="S76" i="10"/>
  <c r="R76" i="10"/>
  <c r="T76" i="10" s="1"/>
  <c r="O76" i="10"/>
  <c r="L76" i="10"/>
  <c r="I76" i="10"/>
  <c r="Q76" i="10" s="1"/>
  <c r="H76" i="10"/>
  <c r="N76" i="10" s="1"/>
  <c r="G76" i="10"/>
  <c r="P76" i="10" s="1"/>
  <c r="F76" i="10"/>
  <c r="E76" i="10"/>
  <c r="D76" i="10" s="1"/>
  <c r="M76" i="10" s="1"/>
  <c r="AF75" i="10"/>
  <c r="AD75" i="10"/>
  <c r="AC75" i="10"/>
  <c r="AE75" i="10" s="1"/>
  <c r="AA75" i="10"/>
  <c r="Y75" i="10"/>
  <c r="X75" i="10"/>
  <c r="AB75" i="10" s="1"/>
  <c r="V75" i="10"/>
  <c r="U75" i="10"/>
  <c r="S75" i="10"/>
  <c r="R75" i="10"/>
  <c r="T75" i="10" s="1"/>
  <c r="O75" i="10"/>
  <c r="L75" i="10"/>
  <c r="I75" i="10"/>
  <c r="H75" i="10"/>
  <c r="N75" i="10" s="1"/>
  <c r="G75" i="10"/>
  <c r="P75" i="10" s="1"/>
  <c r="F75" i="10"/>
  <c r="E75" i="10"/>
  <c r="AF73" i="10"/>
  <c r="AD73" i="10"/>
  <c r="AC73" i="10"/>
  <c r="AA73" i="10"/>
  <c r="Y73" i="10"/>
  <c r="X73" i="10"/>
  <c r="Z73" i="10" s="1"/>
  <c r="V73" i="10"/>
  <c r="U73" i="10"/>
  <c r="W73" i="10" s="1"/>
  <c r="S73" i="10"/>
  <c r="R73" i="10"/>
  <c r="T73" i="10" s="1"/>
  <c r="O73" i="10"/>
  <c r="L73" i="10"/>
  <c r="I73" i="10"/>
  <c r="Q73" i="10" s="1"/>
  <c r="H73" i="10"/>
  <c r="N73" i="10" s="1"/>
  <c r="G73" i="10"/>
  <c r="P73" i="10" s="1"/>
  <c r="F73" i="10"/>
  <c r="E73" i="10"/>
  <c r="AF72" i="10"/>
  <c r="AD72" i="10"/>
  <c r="AC72" i="10"/>
  <c r="AG72" i="10" s="1"/>
  <c r="AA72" i="10"/>
  <c r="Y72" i="10"/>
  <c r="X72" i="10"/>
  <c r="V72" i="10"/>
  <c r="U72" i="10"/>
  <c r="S72" i="10"/>
  <c r="R72" i="10"/>
  <c r="Q72" i="10"/>
  <c r="O72" i="10"/>
  <c r="L72" i="10"/>
  <c r="I72" i="10"/>
  <c r="H72" i="10"/>
  <c r="G72" i="10"/>
  <c r="P72" i="10" s="1"/>
  <c r="F72" i="10"/>
  <c r="E72" i="10"/>
  <c r="AF71" i="10"/>
  <c r="AD71" i="10"/>
  <c r="AC71" i="10"/>
  <c r="AE71" i="10" s="1"/>
  <c r="AA71" i="10"/>
  <c r="Y71" i="10"/>
  <c r="X71" i="10"/>
  <c r="AB71" i="10" s="1"/>
  <c r="V71" i="10"/>
  <c r="U71" i="10"/>
  <c r="W71" i="10" s="1"/>
  <c r="S71" i="10"/>
  <c r="R71" i="10"/>
  <c r="T71" i="10" s="1"/>
  <c r="O71" i="10"/>
  <c r="L71" i="10"/>
  <c r="I71" i="10"/>
  <c r="Q71" i="10" s="1"/>
  <c r="H71" i="10"/>
  <c r="N71" i="10" s="1"/>
  <c r="G71" i="10"/>
  <c r="P71" i="10" s="1"/>
  <c r="F71" i="10"/>
  <c r="D71" i="10" s="1"/>
  <c r="M71" i="10" s="1"/>
  <c r="E71" i="10"/>
  <c r="AF70" i="10"/>
  <c r="AD70" i="10"/>
  <c r="AC70" i="10"/>
  <c r="AB70" i="10"/>
  <c r="AA70" i="10"/>
  <c r="Y70" i="10"/>
  <c r="X70" i="10"/>
  <c r="Z70" i="10" s="1"/>
  <c r="V70" i="10"/>
  <c r="U70" i="10"/>
  <c r="W70" i="10" s="1"/>
  <c r="S70" i="10"/>
  <c r="R70" i="10"/>
  <c r="T70" i="10" s="1"/>
  <c r="O70" i="10"/>
  <c r="L70" i="10"/>
  <c r="J70" i="10" s="1"/>
  <c r="I70" i="10"/>
  <c r="Q70" i="10" s="1"/>
  <c r="H70" i="10"/>
  <c r="N70" i="10" s="1"/>
  <c r="G70" i="10"/>
  <c r="P70" i="10" s="1"/>
  <c r="F70" i="10"/>
  <c r="E70" i="10"/>
  <c r="AF69" i="10"/>
  <c r="AD69" i="10"/>
  <c r="AC69" i="10"/>
  <c r="AA69" i="10"/>
  <c r="Y69" i="10"/>
  <c r="X69" i="10"/>
  <c r="V69" i="10"/>
  <c r="U69" i="10"/>
  <c r="S69" i="10"/>
  <c r="R69" i="10"/>
  <c r="O69" i="10"/>
  <c r="L69" i="10"/>
  <c r="I69" i="10"/>
  <c r="Q69" i="10" s="1"/>
  <c r="H69" i="10"/>
  <c r="N69" i="10" s="1"/>
  <c r="G69" i="10"/>
  <c r="P69" i="10" s="1"/>
  <c r="F69" i="10"/>
  <c r="E69" i="10"/>
  <c r="AF68" i="10"/>
  <c r="AD68" i="10"/>
  <c r="AC68" i="10"/>
  <c r="AA68" i="10"/>
  <c r="Y68" i="10"/>
  <c r="X68" i="10"/>
  <c r="V68" i="10"/>
  <c r="U68" i="10"/>
  <c r="S68" i="10"/>
  <c r="R68" i="10"/>
  <c r="O68" i="10"/>
  <c r="L68" i="10"/>
  <c r="I68" i="10"/>
  <c r="Q68" i="10" s="1"/>
  <c r="H68" i="10"/>
  <c r="G68" i="10"/>
  <c r="P68" i="10" s="1"/>
  <c r="F68" i="10"/>
  <c r="E68" i="10"/>
  <c r="AF67" i="10"/>
  <c r="AD67" i="10"/>
  <c r="AC67" i="10"/>
  <c r="AA67" i="10"/>
  <c r="AB67" i="10" s="1"/>
  <c r="Y67" i="10"/>
  <c r="X67" i="10"/>
  <c r="V67" i="10"/>
  <c r="U67" i="10"/>
  <c r="S67" i="10"/>
  <c r="R67" i="10"/>
  <c r="O67" i="10"/>
  <c r="J67" i="10" s="1"/>
  <c r="L67" i="10"/>
  <c r="I67" i="10"/>
  <c r="Q67" i="10" s="1"/>
  <c r="H67" i="10"/>
  <c r="N67" i="10" s="1"/>
  <c r="G67" i="10"/>
  <c r="P67" i="10" s="1"/>
  <c r="F67" i="10"/>
  <c r="E67" i="10"/>
  <c r="AF66" i="10"/>
  <c r="AD66" i="10"/>
  <c r="AC66" i="10"/>
  <c r="AG66" i="10" s="1"/>
  <c r="AA66" i="10"/>
  <c r="Y66" i="10"/>
  <c r="X66" i="10"/>
  <c r="V66" i="10"/>
  <c r="U66" i="10"/>
  <c r="W66" i="10" s="1"/>
  <c r="S66" i="10"/>
  <c r="R66" i="10"/>
  <c r="T66" i="10" s="1"/>
  <c r="O66" i="10"/>
  <c r="L66" i="10"/>
  <c r="I66" i="10"/>
  <c r="Q66" i="10" s="1"/>
  <c r="H66" i="10"/>
  <c r="N66" i="10" s="1"/>
  <c r="G66" i="10"/>
  <c r="P66" i="10" s="1"/>
  <c r="F66" i="10"/>
  <c r="E66" i="10"/>
  <c r="AF65" i="10"/>
  <c r="AD65" i="10"/>
  <c r="AC65" i="10"/>
  <c r="AA65" i="10"/>
  <c r="Y65" i="10"/>
  <c r="X65" i="10"/>
  <c r="AB65" i="10" s="1"/>
  <c r="V65" i="10"/>
  <c r="U65" i="10"/>
  <c r="W65" i="10" s="1"/>
  <c r="S65" i="10"/>
  <c r="R65" i="10"/>
  <c r="T65" i="10" s="1"/>
  <c r="O65" i="10"/>
  <c r="L65" i="10"/>
  <c r="I65" i="10"/>
  <c r="Q65" i="10" s="1"/>
  <c r="H65" i="10"/>
  <c r="N65" i="10" s="1"/>
  <c r="G65" i="10"/>
  <c r="P65" i="10" s="1"/>
  <c r="F65" i="10"/>
  <c r="E65" i="10"/>
  <c r="AF64" i="10"/>
  <c r="AD64" i="10"/>
  <c r="AC64" i="10"/>
  <c r="AA64" i="10"/>
  <c r="Y64" i="10"/>
  <c r="X64" i="10"/>
  <c r="AB64" i="10" s="1"/>
  <c r="V64" i="10"/>
  <c r="U64" i="10"/>
  <c r="W64" i="10" s="1"/>
  <c r="S64" i="10"/>
  <c r="R64" i="10"/>
  <c r="T64" i="10" s="1"/>
  <c r="O64" i="10"/>
  <c r="L64" i="10"/>
  <c r="J64" i="10"/>
  <c r="I64" i="10"/>
  <c r="Q64" i="10" s="1"/>
  <c r="H64" i="10"/>
  <c r="N64" i="10" s="1"/>
  <c r="G64" i="10"/>
  <c r="P64" i="10" s="1"/>
  <c r="F64" i="10"/>
  <c r="E64" i="10"/>
  <c r="D64" i="10"/>
  <c r="M64" i="10" s="1"/>
  <c r="AF63" i="10"/>
  <c r="AD63" i="10"/>
  <c r="AC63" i="10"/>
  <c r="AE63" i="10" s="1"/>
  <c r="AA63" i="10"/>
  <c r="Y63" i="10"/>
  <c r="X63" i="10"/>
  <c r="V63" i="10"/>
  <c r="U63" i="10"/>
  <c r="W63" i="10" s="1"/>
  <c r="T63" i="10"/>
  <c r="S63" i="10"/>
  <c r="R63" i="10"/>
  <c r="P63" i="10"/>
  <c r="O63" i="10"/>
  <c r="L63" i="10"/>
  <c r="I63" i="10"/>
  <c r="Q63" i="10" s="1"/>
  <c r="H63" i="10"/>
  <c r="N63" i="10" s="1"/>
  <c r="G63" i="10"/>
  <c r="F63" i="10"/>
  <c r="E63" i="10"/>
  <c r="AF62" i="10"/>
  <c r="AD62" i="10"/>
  <c r="AC62" i="10"/>
  <c r="AE62" i="10" s="1"/>
  <c r="AA62" i="10"/>
  <c r="Y62" i="10"/>
  <c r="X62" i="10"/>
  <c r="V62" i="10"/>
  <c r="U62" i="10"/>
  <c r="W62" i="10" s="1"/>
  <c r="S62" i="10"/>
  <c r="R62" i="10"/>
  <c r="T62" i="10" s="1"/>
  <c r="O62" i="10"/>
  <c r="L62" i="10"/>
  <c r="I62" i="10"/>
  <c r="Q62" i="10" s="1"/>
  <c r="H62" i="10"/>
  <c r="N62" i="10" s="1"/>
  <c r="G62" i="10"/>
  <c r="P62" i="10" s="1"/>
  <c r="F62" i="10"/>
  <c r="E62" i="10"/>
  <c r="AF61" i="10"/>
  <c r="AD61" i="10"/>
  <c r="AC61" i="10"/>
  <c r="AA61" i="10"/>
  <c r="Y61" i="10"/>
  <c r="X61" i="10"/>
  <c r="AB61" i="10" s="1"/>
  <c r="V61" i="10"/>
  <c r="U61" i="10"/>
  <c r="W61" i="10" s="1"/>
  <c r="S61" i="10"/>
  <c r="R61" i="10"/>
  <c r="T61" i="10" s="1"/>
  <c r="O61" i="10"/>
  <c r="L61" i="10"/>
  <c r="I61" i="10"/>
  <c r="Q61" i="10" s="1"/>
  <c r="H61" i="10"/>
  <c r="N61" i="10" s="1"/>
  <c r="G61" i="10"/>
  <c r="P61" i="10" s="1"/>
  <c r="F61" i="10"/>
  <c r="E61" i="10"/>
  <c r="AF60" i="10"/>
  <c r="AD60" i="10"/>
  <c r="AC60" i="10"/>
  <c r="AG60" i="10" s="1"/>
  <c r="AA60" i="10"/>
  <c r="Y60" i="10"/>
  <c r="X60" i="10"/>
  <c r="V60" i="10"/>
  <c r="U60" i="10"/>
  <c r="W60" i="10" s="1"/>
  <c r="S60" i="10"/>
  <c r="R60" i="10"/>
  <c r="T60" i="10" s="1"/>
  <c r="O60" i="10"/>
  <c r="L60" i="10"/>
  <c r="I60" i="10"/>
  <c r="Q60" i="10" s="1"/>
  <c r="H60" i="10"/>
  <c r="N60" i="10" s="1"/>
  <c r="G60" i="10"/>
  <c r="P60" i="10" s="1"/>
  <c r="F60" i="10"/>
  <c r="E60" i="10"/>
  <c r="AF59" i="10"/>
  <c r="AD59" i="10"/>
  <c r="AC59" i="10"/>
  <c r="AA59" i="10"/>
  <c r="Y59" i="10"/>
  <c r="X59" i="10"/>
  <c r="AB59" i="10" s="1"/>
  <c r="V59" i="10"/>
  <c r="U59" i="10"/>
  <c r="W59" i="10" s="1"/>
  <c r="S59" i="10"/>
  <c r="R59" i="10"/>
  <c r="T59" i="10" s="1"/>
  <c r="O59" i="10"/>
  <c r="L59" i="10"/>
  <c r="I59" i="10"/>
  <c r="Q59" i="10" s="1"/>
  <c r="H59" i="10"/>
  <c r="N59" i="10" s="1"/>
  <c r="G59" i="10"/>
  <c r="P59" i="10" s="1"/>
  <c r="F59" i="10"/>
  <c r="E59" i="10"/>
  <c r="AF58" i="10"/>
  <c r="AD58" i="10"/>
  <c r="AC58" i="10"/>
  <c r="AG58" i="10" s="1"/>
  <c r="AA58" i="10"/>
  <c r="Y58" i="10"/>
  <c r="X58" i="10"/>
  <c r="V58" i="10"/>
  <c r="U58" i="10"/>
  <c r="W58" i="10" s="1"/>
  <c r="S58" i="10"/>
  <c r="R58" i="10"/>
  <c r="T58" i="10" s="1"/>
  <c r="O58" i="10"/>
  <c r="L58" i="10"/>
  <c r="I58" i="10"/>
  <c r="Q58" i="10" s="1"/>
  <c r="H58" i="10"/>
  <c r="N58" i="10" s="1"/>
  <c r="G58" i="10"/>
  <c r="P58" i="10" s="1"/>
  <c r="F58" i="10"/>
  <c r="E58" i="10"/>
  <c r="AF57" i="10"/>
  <c r="AD57" i="10"/>
  <c r="AC57" i="10"/>
  <c r="AE57" i="10" s="1"/>
  <c r="AA57" i="10"/>
  <c r="Y57" i="10"/>
  <c r="X57" i="10"/>
  <c r="AB57" i="10" s="1"/>
  <c r="V57" i="10"/>
  <c r="U57" i="10"/>
  <c r="W57" i="10" s="1"/>
  <c r="S57" i="10"/>
  <c r="R57" i="10"/>
  <c r="T57" i="10" s="1"/>
  <c r="O57" i="10"/>
  <c r="L57" i="10"/>
  <c r="I57" i="10"/>
  <c r="Q57" i="10" s="1"/>
  <c r="H57" i="10"/>
  <c r="N57" i="10" s="1"/>
  <c r="G57" i="10"/>
  <c r="P57" i="10" s="1"/>
  <c r="F57" i="10"/>
  <c r="E57" i="10"/>
  <c r="D57" i="10" s="1"/>
  <c r="M57" i="10" s="1"/>
  <c r="AF56" i="10"/>
  <c r="AE56" i="10"/>
  <c r="AD56" i="10"/>
  <c r="AC56" i="10"/>
  <c r="AG56" i="10" s="1"/>
  <c r="AA56" i="10"/>
  <c r="Y56" i="10"/>
  <c r="X56" i="10"/>
  <c r="V56" i="10"/>
  <c r="U56" i="10"/>
  <c r="W56" i="10" s="1"/>
  <c r="S56" i="10"/>
  <c r="R56" i="10"/>
  <c r="T56" i="10" s="1"/>
  <c r="O56" i="10"/>
  <c r="L56" i="10"/>
  <c r="J56" i="10" s="1"/>
  <c r="I56" i="10"/>
  <c r="Q56" i="10" s="1"/>
  <c r="H56" i="10"/>
  <c r="N56" i="10" s="1"/>
  <c r="G56" i="10"/>
  <c r="P56" i="10" s="1"/>
  <c r="F56" i="10"/>
  <c r="E56" i="10"/>
  <c r="AF55" i="10"/>
  <c r="AD55" i="10"/>
  <c r="AC55" i="10"/>
  <c r="AA55" i="10"/>
  <c r="Y55" i="10"/>
  <c r="X55" i="10"/>
  <c r="V55" i="10"/>
  <c r="U55" i="10"/>
  <c r="S55" i="10"/>
  <c r="R55" i="10"/>
  <c r="O55" i="10"/>
  <c r="L55" i="10"/>
  <c r="J55" i="10" s="1"/>
  <c r="I55" i="10"/>
  <c r="Q55" i="10" s="1"/>
  <c r="H55" i="10"/>
  <c r="G55" i="10"/>
  <c r="P55" i="10" s="1"/>
  <c r="F55" i="10"/>
  <c r="E55" i="10"/>
  <c r="AF54" i="10"/>
  <c r="AD54" i="10"/>
  <c r="AC54" i="10"/>
  <c r="AG54" i="10" s="1"/>
  <c r="AA54" i="10"/>
  <c r="Y54" i="10"/>
  <c r="X54" i="10"/>
  <c r="V54" i="10"/>
  <c r="U54" i="10"/>
  <c r="W54" i="10" s="1"/>
  <c r="S54" i="10"/>
  <c r="R54" i="10"/>
  <c r="T54" i="10" s="1"/>
  <c r="O54" i="10"/>
  <c r="L54" i="10"/>
  <c r="I54" i="10"/>
  <c r="Q54" i="10" s="1"/>
  <c r="H54" i="10"/>
  <c r="N54" i="10" s="1"/>
  <c r="G54" i="10"/>
  <c r="P54" i="10" s="1"/>
  <c r="F54" i="10"/>
  <c r="E54" i="10"/>
  <c r="AF53" i="10"/>
  <c r="AD53" i="10"/>
  <c r="AE53" i="10" s="1"/>
  <c r="AC53" i="10"/>
  <c r="AA53" i="10"/>
  <c r="Y53" i="10"/>
  <c r="X53" i="10"/>
  <c r="V53" i="10"/>
  <c r="U53" i="10"/>
  <c r="S53" i="10"/>
  <c r="R53" i="10"/>
  <c r="O53" i="10"/>
  <c r="L53" i="10"/>
  <c r="I53" i="10"/>
  <c r="Q53" i="10" s="1"/>
  <c r="H53" i="10"/>
  <c r="G53" i="10"/>
  <c r="F53" i="10"/>
  <c r="E53" i="10"/>
  <c r="AF51" i="10"/>
  <c r="AD51" i="10"/>
  <c r="AC51" i="10"/>
  <c r="AA51" i="10"/>
  <c r="Y51" i="10"/>
  <c r="X51" i="10"/>
  <c r="AB51" i="10" s="1"/>
  <c r="V51" i="10"/>
  <c r="U51" i="10"/>
  <c r="W51" i="10" s="1"/>
  <c r="S51" i="10"/>
  <c r="T51" i="10" s="1"/>
  <c r="R51" i="10"/>
  <c r="O51" i="10"/>
  <c r="L51" i="10"/>
  <c r="I51" i="10"/>
  <c r="Q51" i="10" s="1"/>
  <c r="H51" i="10"/>
  <c r="G51" i="10"/>
  <c r="P51" i="10" s="1"/>
  <c r="F51" i="10"/>
  <c r="E51" i="10"/>
  <c r="AF50" i="10"/>
  <c r="AD50" i="10"/>
  <c r="AC50" i="10"/>
  <c r="AA50" i="10"/>
  <c r="Y50" i="10"/>
  <c r="X50" i="10"/>
  <c r="AB50" i="10" s="1"/>
  <c r="V50" i="10"/>
  <c r="U50" i="10"/>
  <c r="S50" i="10"/>
  <c r="R50" i="10"/>
  <c r="O50" i="10"/>
  <c r="L50" i="10"/>
  <c r="I50" i="10"/>
  <c r="Q50" i="10" s="1"/>
  <c r="H50" i="10"/>
  <c r="G50" i="10"/>
  <c r="P50" i="10" s="1"/>
  <c r="F50" i="10"/>
  <c r="E50" i="10"/>
  <c r="D50" i="10" s="1"/>
  <c r="AF49" i="10"/>
  <c r="AD49" i="10"/>
  <c r="AC49" i="10"/>
  <c r="AA49" i="10"/>
  <c r="Y49" i="10"/>
  <c r="X49" i="10"/>
  <c r="Z49" i="10" s="1"/>
  <c r="V49" i="10"/>
  <c r="U49" i="10"/>
  <c r="W49" i="10" s="1"/>
  <c r="S49" i="10"/>
  <c r="R49" i="10"/>
  <c r="T49" i="10" s="1"/>
  <c r="O49" i="10"/>
  <c r="L49" i="10"/>
  <c r="I49" i="10"/>
  <c r="Q49" i="10" s="1"/>
  <c r="H49" i="10"/>
  <c r="N49" i="10" s="1"/>
  <c r="G49" i="10"/>
  <c r="P49" i="10" s="1"/>
  <c r="F49" i="10"/>
  <c r="E49" i="10"/>
  <c r="AF48" i="10"/>
  <c r="AD48" i="10"/>
  <c r="AC48" i="10"/>
  <c r="AG48" i="10" s="1"/>
  <c r="AA48" i="10"/>
  <c r="Y48" i="10"/>
  <c r="X48" i="10"/>
  <c r="V48" i="10"/>
  <c r="U48" i="10"/>
  <c r="S48" i="10"/>
  <c r="R48" i="10"/>
  <c r="O48" i="10"/>
  <c r="L48" i="10"/>
  <c r="J48" i="10" s="1"/>
  <c r="I48" i="10"/>
  <c r="Q48" i="10" s="1"/>
  <c r="H48" i="10"/>
  <c r="G48" i="10"/>
  <c r="P48" i="10" s="1"/>
  <c r="F48" i="10"/>
  <c r="E48" i="10"/>
  <c r="AF47" i="10"/>
  <c r="AE47" i="10"/>
  <c r="AD47" i="10"/>
  <c r="AC47" i="10"/>
  <c r="AG47" i="10" s="1"/>
  <c r="AA47" i="10"/>
  <c r="Y47" i="10"/>
  <c r="X47" i="10"/>
  <c r="AB47" i="10" s="1"/>
  <c r="V47" i="10"/>
  <c r="U47" i="10"/>
  <c r="W47" i="10" s="1"/>
  <c r="S47" i="10"/>
  <c r="R47" i="10"/>
  <c r="T47" i="10" s="1"/>
  <c r="O47" i="10"/>
  <c r="L47" i="10"/>
  <c r="I47" i="10"/>
  <c r="Q47" i="10" s="1"/>
  <c r="H47" i="10"/>
  <c r="N47" i="10" s="1"/>
  <c r="G47" i="10"/>
  <c r="P47" i="10" s="1"/>
  <c r="F47" i="10"/>
  <c r="E47" i="10"/>
  <c r="AF46" i="10"/>
  <c r="AD46" i="10"/>
  <c r="AE46" i="10" s="1"/>
  <c r="AC46" i="10"/>
  <c r="AA46" i="10"/>
  <c r="Y46" i="10"/>
  <c r="X46" i="10"/>
  <c r="V46" i="10"/>
  <c r="U46" i="10"/>
  <c r="S46" i="10"/>
  <c r="R46" i="10"/>
  <c r="O46" i="10"/>
  <c r="L46" i="10"/>
  <c r="J46" i="10"/>
  <c r="I46" i="10"/>
  <c r="Q46" i="10" s="1"/>
  <c r="H46" i="10"/>
  <c r="G46" i="10"/>
  <c r="P46" i="10" s="1"/>
  <c r="F46" i="10"/>
  <c r="E46" i="10"/>
  <c r="D46" i="10" s="1"/>
  <c r="AF45" i="10"/>
  <c r="AD45" i="10"/>
  <c r="AC45" i="10"/>
  <c r="AE45" i="10" s="1"/>
  <c r="AA45" i="10"/>
  <c r="Y45" i="10"/>
  <c r="Z45" i="10" s="1"/>
  <c r="X45" i="10"/>
  <c r="AB45" i="10" s="1"/>
  <c r="V45" i="10"/>
  <c r="U45" i="10"/>
  <c r="S45" i="10"/>
  <c r="R45" i="10"/>
  <c r="O45" i="10"/>
  <c r="L45" i="10"/>
  <c r="I45" i="10"/>
  <c r="Q45" i="10" s="1"/>
  <c r="H45" i="10"/>
  <c r="G45" i="10"/>
  <c r="P45" i="10" s="1"/>
  <c r="F45" i="10"/>
  <c r="E45" i="10"/>
  <c r="AF44" i="10"/>
  <c r="AD44" i="10"/>
  <c r="AC44" i="10"/>
  <c r="AG44" i="10" s="1"/>
  <c r="AA44" i="10"/>
  <c r="Y44" i="10"/>
  <c r="X44" i="10"/>
  <c r="Z44" i="10" s="1"/>
  <c r="V44" i="10"/>
  <c r="U44" i="10"/>
  <c r="W44" i="10" s="1"/>
  <c r="S44" i="10"/>
  <c r="R44" i="10"/>
  <c r="T44" i="10" s="1"/>
  <c r="O44" i="10"/>
  <c r="L44" i="10"/>
  <c r="J44" i="10" s="1"/>
  <c r="I44" i="10"/>
  <c r="Q44" i="10" s="1"/>
  <c r="H44" i="10"/>
  <c r="N44" i="10" s="1"/>
  <c r="G44" i="10"/>
  <c r="P44" i="10" s="1"/>
  <c r="F44" i="10"/>
  <c r="E44" i="10"/>
  <c r="AF43" i="10"/>
  <c r="AD43" i="10"/>
  <c r="AC43" i="10"/>
  <c r="AA43" i="10"/>
  <c r="Y43" i="10"/>
  <c r="X43" i="10"/>
  <c r="V43" i="10"/>
  <c r="U43" i="10"/>
  <c r="S43" i="10"/>
  <c r="R43" i="10"/>
  <c r="O43" i="10"/>
  <c r="L43" i="10"/>
  <c r="I43" i="10"/>
  <c r="Q43" i="10" s="1"/>
  <c r="H43" i="10"/>
  <c r="N43" i="10" s="1"/>
  <c r="G43" i="10"/>
  <c r="P43" i="10" s="1"/>
  <c r="F43" i="10"/>
  <c r="E43" i="10"/>
  <c r="AF42" i="10"/>
  <c r="AD42" i="10"/>
  <c r="AC42" i="10"/>
  <c r="AG42" i="10" s="1"/>
  <c r="AA42" i="10"/>
  <c r="Y42" i="10"/>
  <c r="X42" i="10"/>
  <c r="V42" i="10"/>
  <c r="U42" i="10"/>
  <c r="W42" i="10" s="1"/>
  <c r="S42" i="10"/>
  <c r="R42" i="10"/>
  <c r="O42" i="10"/>
  <c r="L42" i="10"/>
  <c r="I42" i="10"/>
  <c r="Q42" i="10" s="1"/>
  <c r="H42" i="10"/>
  <c r="G42" i="10"/>
  <c r="P42" i="10" s="1"/>
  <c r="F42" i="10"/>
  <c r="E42" i="10"/>
  <c r="AF41" i="10"/>
  <c r="AD41" i="10"/>
  <c r="AC41" i="10"/>
  <c r="AE41" i="10" s="1"/>
  <c r="AA41" i="10"/>
  <c r="Y41" i="10"/>
  <c r="X41" i="10"/>
  <c r="AB41" i="10" s="1"/>
  <c r="V41" i="10"/>
  <c r="U41" i="10"/>
  <c r="W41" i="10" s="1"/>
  <c r="S41" i="10"/>
  <c r="R41" i="10"/>
  <c r="T41" i="10" s="1"/>
  <c r="O41" i="10"/>
  <c r="L41" i="10"/>
  <c r="I41" i="10"/>
  <c r="Q41" i="10" s="1"/>
  <c r="H41" i="10"/>
  <c r="N41" i="10" s="1"/>
  <c r="G41" i="10"/>
  <c r="P41" i="10" s="1"/>
  <c r="F41" i="10"/>
  <c r="D41" i="10" s="1"/>
  <c r="C41" i="10" s="1"/>
  <c r="K41" i="10" s="1"/>
  <c r="E41" i="10"/>
  <c r="AF40" i="10"/>
  <c r="AD40" i="10"/>
  <c r="AC40" i="10"/>
  <c r="AE40" i="10" s="1"/>
  <c r="AA40" i="10"/>
  <c r="Y40" i="10"/>
  <c r="X40" i="10"/>
  <c r="V40" i="10"/>
  <c r="U40" i="10"/>
  <c r="S40" i="10"/>
  <c r="R40" i="10"/>
  <c r="O40" i="10"/>
  <c r="L40" i="10"/>
  <c r="I40" i="10"/>
  <c r="Q40" i="10" s="1"/>
  <c r="H40" i="10"/>
  <c r="G40" i="10"/>
  <c r="P40" i="10" s="1"/>
  <c r="F40" i="10"/>
  <c r="E40" i="10"/>
  <c r="D40" i="10" s="1"/>
  <c r="AF39" i="10"/>
  <c r="AD39" i="10"/>
  <c r="AC39" i="10"/>
  <c r="AG39" i="10" s="1"/>
  <c r="AA39" i="10"/>
  <c r="Y39" i="10"/>
  <c r="X39" i="10"/>
  <c r="V39" i="10"/>
  <c r="U39" i="10"/>
  <c r="S39" i="10"/>
  <c r="R39" i="10"/>
  <c r="O39" i="10"/>
  <c r="J39" i="10" s="1"/>
  <c r="L39" i="10"/>
  <c r="I39" i="10"/>
  <c r="Q39" i="10" s="1"/>
  <c r="H39" i="10"/>
  <c r="G39" i="10"/>
  <c r="P39" i="10" s="1"/>
  <c r="F39" i="10"/>
  <c r="E39" i="10"/>
  <c r="D39" i="10" s="1"/>
  <c r="AF38" i="10"/>
  <c r="AD38" i="10"/>
  <c r="AC38" i="10"/>
  <c r="AG38" i="10" s="1"/>
  <c r="AA38" i="10"/>
  <c r="Y38" i="10"/>
  <c r="X38" i="10"/>
  <c r="V38" i="10"/>
  <c r="U38" i="10"/>
  <c r="S38" i="10"/>
  <c r="R38" i="10"/>
  <c r="O38" i="10"/>
  <c r="L38" i="10"/>
  <c r="I38" i="10"/>
  <c r="Q38" i="10" s="1"/>
  <c r="H38" i="10"/>
  <c r="G38" i="10"/>
  <c r="P38" i="10" s="1"/>
  <c r="F38" i="10"/>
  <c r="E38" i="10"/>
  <c r="AF37" i="10"/>
  <c r="AD37" i="10"/>
  <c r="AC37" i="10"/>
  <c r="AA37" i="10"/>
  <c r="Y37" i="10"/>
  <c r="X37" i="10"/>
  <c r="V37" i="10"/>
  <c r="U37" i="10"/>
  <c r="W37" i="10" s="1"/>
  <c r="S37" i="10"/>
  <c r="R37" i="10"/>
  <c r="O37" i="10"/>
  <c r="J37" i="10" s="1"/>
  <c r="L37" i="10"/>
  <c r="I37" i="10"/>
  <c r="Q37" i="10" s="1"/>
  <c r="H37" i="10"/>
  <c r="N37" i="10" s="1"/>
  <c r="G37" i="10"/>
  <c r="P37" i="10" s="1"/>
  <c r="F37" i="10"/>
  <c r="E37" i="10"/>
  <c r="AF36" i="10"/>
  <c r="AD36" i="10"/>
  <c r="AC36" i="10"/>
  <c r="AG36" i="10" s="1"/>
  <c r="AA36" i="10"/>
  <c r="Y36" i="10"/>
  <c r="X36" i="10"/>
  <c r="V36" i="10"/>
  <c r="U36" i="10"/>
  <c r="S36" i="10"/>
  <c r="R36" i="10"/>
  <c r="O36" i="10"/>
  <c r="L36" i="10"/>
  <c r="I36" i="10"/>
  <c r="Q36" i="10" s="1"/>
  <c r="H36" i="10"/>
  <c r="G36" i="10"/>
  <c r="P36" i="10" s="1"/>
  <c r="F36" i="10"/>
  <c r="E36" i="10"/>
  <c r="AF35" i="10"/>
  <c r="AD35" i="10"/>
  <c r="AE35" i="10" s="1"/>
  <c r="AC35" i="10"/>
  <c r="AA35" i="10"/>
  <c r="Y35" i="10"/>
  <c r="X35" i="10"/>
  <c r="V35" i="10"/>
  <c r="U35" i="10"/>
  <c r="W35" i="10" s="1"/>
  <c r="S35" i="10"/>
  <c r="R35" i="10"/>
  <c r="O35" i="10"/>
  <c r="L35" i="10"/>
  <c r="I35" i="10"/>
  <c r="Q35" i="10" s="1"/>
  <c r="H35" i="10"/>
  <c r="G35" i="10"/>
  <c r="F35" i="10"/>
  <c r="D35" i="10" s="1"/>
  <c r="C35" i="10" s="1"/>
  <c r="E35" i="10"/>
  <c r="AF34" i="10"/>
  <c r="AD34" i="10"/>
  <c r="AC34" i="10"/>
  <c r="AA34" i="10"/>
  <c r="Y34" i="10"/>
  <c r="X34" i="10"/>
  <c r="Z34" i="10" s="1"/>
  <c r="V34" i="10"/>
  <c r="U34" i="10"/>
  <c r="S34" i="10"/>
  <c r="R34" i="10"/>
  <c r="O34" i="10"/>
  <c r="L34" i="10"/>
  <c r="I34" i="10"/>
  <c r="Q34" i="10" s="1"/>
  <c r="H34" i="10"/>
  <c r="G34" i="10"/>
  <c r="P34" i="10" s="1"/>
  <c r="F34" i="10"/>
  <c r="E34" i="10"/>
  <c r="AF33" i="10"/>
  <c r="AD33" i="10"/>
  <c r="AC33" i="10"/>
  <c r="AA33" i="10"/>
  <c r="AB33" i="10" s="1"/>
  <c r="Y33" i="10"/>
  <c r="X33" i="10"/>
  <c r="V33" i="10"/>
  <c r="U33" i="10"/>
  <c r="S33" i="10"/>
  <c r="R33" i="10"/>
  <c r="O33" i="10"/>
  <c r="J33" i="10" s="1"/>
  <c r="L33" i="10"/>
  <c r="I33" i="10"/>
  <c r="Q33" i="10" s="1"/>
  <c r="H33" i="10"/>
  <c r="G33" i="10"/>
  <c r="P33" i="10" s="1"/>
  <c r="F33" i="10"/>
  <c r="E33" i="10"/>
  <c r="AF32" i="10"/>
  <c r="AD32" i="10"/>
  <c r="AC32" i="10"/>
  <c r="AG32" i="10" s="1"/>
  <c r="AB32" i="10"/>
  <c r="AA32" i="10"/>
  <c r="Y32" i="10"/>
  <c r="X32" i="10"/>
  <c r="V32" i="10"/>
  <c r="U32" i="10"/>
  <c r="S32" i="10"/>
  <c r="R32" i="10"/>
  <c r="O32" i="10"/>
  <c r="L32" i="10"/>
  <c r="I32" i="10"/>
  <c r="H32" i="10"/>
  <c r="G32" i="10"/>
  <c r="P32" i="10" s="1"/>
  <c r="F32" i="10"/>
  <c r="E32" i="10"/>
  <c r="AF30" i="10"/>
  <c r="AD30" i="10"/>
  <c r="AC30" i="10"/>
  <c r="AA30" i="10"/>
  <c r="Y30" i="10"/>
  <c r="X30" i="10"/>
  <c r="V30" i="10"/>
  <c r="U30" i="10"/>
  <c r="S30" i="10"/>
  <c r="R30" i="10"/>
  <c r="O30" i="10"/>
  <c r="L30" i="10"/>
  <c r="I30" i="10"/>
  <c r="Q30" i="10" s="1"/>
  <c r="H30" i="10"/>
  <c r="N30" i="10" s="1"/>
  <c r="G30" i="10"/>
  <c r="P30" i="10" s="1"/>
  <c r="F30" i="10"/>
  <c r="E30" i="10"/>
  <c r="AF29" i="10"/>
  <c r="AD29" i="10"/>
  <c r="AC29" i="10"/>
  <c r="AA29" i="10"/>
  <c r="Y29" i="10"/>
  <c r="X29" i="10"/>
  <c r="V29" i="10"/>
  <c r="U29" i="10"/>
  <c r="S29" i="10"/>
  <c r="R29" i="10"/>
  <c r="O29" i="10"/>
  <c r="L29" i="10"/>
  <c r="I29" i="10"/>
  <c r="Q29" i="10" s="1"/>
  <c r="H29" i="10"/>
  <c r="G29" i="10"/>
  <c r="P29" i="10" s="1"/>
  <c r="F29" i="10"/>
  <c r="E29" i="10"/>
  <c r="AF28" i="10"/>
  <c r="AD28" i="10"/>
  <c r="AC28" i="10"/>
  <c r="AB28" i="10"/>
  <c r="AA28" i="10"/>
  <c r="Y28" i="10"/>
  <c r="X28" i="10"/>
  <c r="Z28" i="10" s="1"/>
  <c r="V28" i="10"/>
  <c r="U28" i="10"/>
  <c r="S28" i="10"/>
  <c r="R28" i="10"/>
  <c r="O28" i="10"/>
  <c r="L28" i="10"/>
  <c r="I28" i="10"/>
  <c r="Q28" i="10" s="1"/>
  <c r="H28" i="10"/>
  <c r="G28" i="10"/>
  <c r="P28" i="10" s="1"/>
  <c r="F28" i="10"/>
  <c r="E28" i="10"/>
  <c r="D28" i="10" s="1"/>
  <c r="AF27" i="10"/>
  <c r="AD27" i="10"/>
  <c r="AC27" i="10"/>
  <c r="AA27" i="10"/>
  <c r="Y27" i="10"/>
  <c r="X27" i="10"/>
  <c r="V27" i="10"/>
  <c r="U27" i="10"/>
  <c r="S27" i="10"/>
  <c r="R27" i="10"/>
  <c r="O27" i="10"/>
  <c r="L27" i="10"/>
  <c r="I27" i="10"/>
  <c r="Q27" i="10" s="1"/>
  <c r="H27" i="10"/>
  <c r="G27" i="10"/>
  <c r="P27" i="10" s="1"/>
  <c r="F27" i="10"/>
  <c r="E27" i="10"/>
  <c r="AF26" i="10"/>
  <c r="AD26" i="10"/>
  <c r="AC26" i="10"/>
  <c r="AA26" i="10"/>
  <c r="Y26" i="10"/>
  <c r="X26" i="10"/>
  <c r="V26" i="10"/>
  <c r="U26" i="10"/>
  <c r="W26" i="10" s="1"/>
  <c r="S26" i="10"/>
  <c r="R26" i="10"/>
  <c r="O26" i="10"/>
  <c r="L26" i="10"/>
  <c r="I26" i="10"/>
  <c r="Q26" i="10" s="1"/>
  <c r="H26" i="10"/>
  <c r="N26" i="10" s="1"/>
  <c r="G26" i="10"/>
  <c r="P26" i="10" s="1"/>
  <c r="F26" i="10"/>
  <c r="E26" i="10"/>
  <c r="D26" i="10" s="1"/>
  <c r="AF25" i="10"/>
  <c r="AD25" i="10"/>
  <c r="AC25" i="10"/>
  <c r="AA25" i="10"/>
  <c r="Y25" i="10"/>
  <c r="X25" i="10"/>
  <c r="AB25" i="10" s="1"/>
  <c r="V25" i="10"/>
  <c r="U25" i="10"/>
  <c r="S25" i="10"/>
  <c r="R25" i="10"/>
  <c r="O25" i="10"/>
  <c r="L25" i="10"/>
  <c r="J25" i="10" s="1"/>
  <c r="I25" i="10"/>
  <c r="Q25" i="10" s="1"/>
  <c r="H25" i="10"/>
  <c r="G25" i="10"/>
  <c r="P25" i="10" s="1"/>
  <c r="F25" i="10"/>
  <c r="E25" i="10"/>
  <c r="AF24" i="10"/>
  <c r="AD24" i="10"/>
  <c r="AC24" i="10"/>
  <c r="AA24" i="10"/>
  <c r="Y24" i="10"/>
  <c r="X24" i="10"/>
  <c r="V24" i="10"/>
  <c r="U24" i="10"/>
  <c r="S24" i="10"/>
  <c r="R24" i="10"/>
  <c r="O24" i="10"/>
  <c r="L24" i="10"/>
  <c r="I24" i="10"/>
  <c r="Q24" i="10" s="1"/>
  <c r="H24" i="10"/>
  <c r="G24" i="10"/>
  <c r="P24" i="10" s="1"/>
  <c r="F24" i="10"/>
  <c r="E24" i="10"/>
  <c r="AF23" i="10"/>
  <c r="AD23" i="10"/>
  <c r="AC23" i="10"/>
  <c r="AA23" i="10"/>
  <c r="Y23" i="10"/>
  <c r="X23" i="10"/>
  <c r="V23" i="10"/>
  <c r="U23" i="10"/>
  <c r="S23" i="10"/>
  <c r="R23" i="10"/>
  <c r="O23" i="10"/>
  <c r="L23" i="10"/>
  <c r="I23" i="10"/>
  <c r="Q23" i="10" s="1"/>
  <c r="H23" i="10"/>
  <c r="G23" i="10"/>
  <c r="P23" i="10" s="1"/>
  <c r="F23" i="10"/>
  <c r="E23" i="10"/>
  <c r="AF22" i="10"/>
  <c r="AD22" i="10"/>
  <c r="AC22" i="10"/>
  <c r="AA22" i="10"/>
  <c r="Y22" i="10"/>
  <c r="X22" i="10"/>
  <c r="V22" i="10"/>
  <c r="U22" i="10"/>
  <c r="S22" i="10"/>
  <c r="R22" i="10"/>
  <c r="O22" i="10"/>
  <c r="L22" i="10"/>
  <c r="I22" i="10"/>
  <c r="Q22" i="10" s="1"/>
  <c r="H22" i="10"/>
  <c r="G22" i="10"/>
  <c r="P22" i="10" s="1"/>
  <c r="F22" i="10"/>
  <c r="E22" i="10"/>
  <c r="AF21" i="10"/>
  <c r="AG21" i="10" s="1"/>
  <c r="AD21" i="10"/>
  <c r="AC21" i="10"/>
  <c r="AA21" i="10"/>
  <c r="Y21" i="10"/>
  <c r="X21" i="10"/>
  <c r="V21" i="10"/>
  <c r="U21" i="10"/>
  <c r="S21" i="10"/>
  <c r="R21" i="10"/>
  <c r="T21" i="10" s="1"/>
  <c r="O21" i="10"/>
  <c r="L21" i="10"/>
  <c r="I21" i="10"/>
  <c r="Q21" i="10" s="1"/>
  <c r="H21" i="10"/>
  <c r="G21" i="10"/>
  <c r="P21" i="10" s="1"/>
  <c r="F21" i="10"/>
  <c r="E21" i="10"/>
  <c r="AF20" i="10"/>
  <c r="AD20" i="10"/>
  <c r="AC20" i="10"/>
  <c r="AA20" i="10"/>
  <c r="Y20" i="10"/>
  <c r="X20" i="10"/>
  <c r="V20" i="10"/>
  <c r="U20" i="10"/>
  <c r="S20" i="10"/>
  <c r="R20" i="10"/>
  <c r="T20" i="10" s="1"/>
  <c r="O20" i="10"/>
  <c r="L20" i="10"/>
  <c r="I20" i="10"/>
  <c r="Q20" i="10" s="1"/>
  <c r="H20" i="10"/>
  <c r="G20" i="10"/>
  <c r="P20" i="10" s="1"/>
  <c r="F20" i="10"/>
  <c r="E20" i="10"/>
  <c r="AF19" i="10"/>
  <c r="AD19" i="10"/>
  <c r="AC19" i="10"/>
  <c r="AA19" i="10"/>
  <c r="Y19" i="10"/>
  <c r="X19" i="10"/>
  <c r="AB19" i="10" s="1"/>
  <c r="V19" i="10"/>
  <c r="U19" i="10"/>
  <c r="S19" i="10"/>
  <c r="R19" i="10"/>
  <c r="O19" i="10"/>
  <c r="L19" i="10"/>
  <c r="J19" i="10" s="1"/>
  <c r="I19" i="10"/>
  <c r="Q19" i="10" s="1"/>
  <c r="H19" i="10"/>
  <c r="G19" i="10"/>
  <c r="P19" i="10" s="1"/>
  <c r="F19" i="10"/>
  <c r="E19" i="10"/>
  <c r="AF18" i="10"/>
  <c r="AD18" i="10"/>
  <c r="AC18" i="10"/>
  <c r="AA18" i="10"/>
  <c r="Y18" i="10"/>
  <c r="X18" i="10"/>
  <c r="V18" i="10"/>
  <c r="U18" i="10"/>
  <c r="S18" i="10"/>
  <c r="R18" i="10"/>
  <c r="O18" i="10"/>
  <c r="L18" i="10"/>
  <c r="J18" i="10" s="1"/>
  <c r="I18" i="10"/>
  <c r="Q18" i="10" s="1"/>
  <c r="H18" i="10"/>
  <c r="G18" i="10"/>
  <c r="P18" i="10" s="1"/>
  <c r="F18" i="10"/>
  <c r="E18" i="10"/>
  <c r="AF17" i="10"/>
  <c r="AD17" i="10"/>
  <c r="AC17" i="10"/>
  <c r="AA17" i="10"/>
  <c r="Y17" i="10"/>
  <c r="X17" i="10"/>
  <c r="V17" i="10"/>
  <c r="U17" i="10"/>
  <c r="S17" i="10"/>
  <c r="R17" i="10"/>
  <c r="O17" i="10"/>
  <c r="L17" i="10"/>
  <c r="I17" i="10"/>
  <c r="Q17" i="10" s="1"/>
  <c r="H17" i="10"/>
  <c r="G17" i="10"/>
  <c r="P17" i="10" s="1"/>
  <c r="F17" i="10"/>
  <c r="E17" i="10"/>
  <c r="AF16" i="10"/>
  <c r="AD16" i="10"/>
  <c r="AC16" i="10"/>
  <c r="AA16" i="10"/>
  <c r="AB16" i="10" s="1"/>
  <c r="Y16" i="10"/>
  <c r="X16" i="10"/>
  <c r="V16" i="10"/>
  <c r="U16" i="10"/>
  <c r="S16" i="10"/>
  <c r="R16" i="10"/>
  <c r="O16" i="10"/>
  <c r="L16" i="10"/>
  <c r="J16" i="10" s="1"/>
  <c r="I16" i="10"/>
  <c r="Q16" i="10" s="1"/>
  <c r="H16" i="10"/>
  <c r="N16" i="10" s="1"/>
  <c r="G16" i="10"/>
  <c r="P16" i="10" s="1"/>
  <c r="F16" i="10"/>
  <c r="E16" i="10"/>
  <c r="AF15" i="10"/>
  <c r="AD15" i="10"/>
  <c r="AC15" i="10"/>
  <c r="AA15" i="10"/>
  <c r="Y15" i="10"/>
  <c r="X15" i="10"/>
  <c r="V15" i="10"/>
  <c r="U15" i="10"/>
  <c r="S15" i="10"/>
  <c r="R15" i="10"/>
  <c r="O15" i="10"/>
  <c r="L15" i="10"/>
  <c r="I15" i="10"/>
  <c r="Q15" i="10" s="1"/>
  <c r="H15" i="10"/>
  <c r="G15" i="10"/>
  <c r="P15" i="10" s="1"/>
  <c r="F15" i="10"/>
  <c r="E15" i="10"/>
  <c r="AF14" i="10"/>
  <c r="AD14" i="10"/>
  <c r="AC14" i="10"/>
  <c r="AA14" i="10"/>
  <c r="Y14" i="10"/>
  <c r="X14" i="10"/>
  <c r="V14" i="10"/>
  <c r="U14" i="10"/>
  <c r="S14" i="10"/>
  <c r="R14" i="10"/>
  <c r="T14" i="10" s="1"/>
  <c r="O14" i="10"/>
  <c r="J14" i="10" s="1"/>
  <c r="L14" i="10"/>
  <c r="I14" i="10"/>
  <c r="H14" i="10"/>
  <c r="N14" i="10" s="1"/>
  <c r="G14" i="10"/>
  <c r="P14" i="10" s="1"/>
  <c r="F14" i="10"/>
  <c r="E14" i="10"/>
  <c r="AG9" i="10"/>
  <c r="AB9" i="10"/>
  <c r="V108" i="9"/>
  <c r="U108" i="9"/>
  <c r="O108" i="9"/>
  <c r="J108" i="9" s="1"/>
  <c r="L108" i="9"/>
  <c r="I108" i="9"/>
  <c r="Q108" i="9" s="1"/>
  <c r="H108" i="9"/>
  <c r="N108" i="9" s="1"/>
  <c r="G108" i="9"/>
  <c r="P108" i="9" s="1"/>
  <c r="F108" i="9"/>
  <c r="E108" i="9"/>
  <c r="V107" i="9"/>
  <c r="U107" i="9"/>
  <c r="O107" i="9"/>
  <c r="L107" i="9"/>
  <c r="I107" i="9"/>
  <c r="Q107" i="9" s="1"/>
  <c r="H107" i="9"/>
  <c r="N107" i="9" s="1"/>
  <c r="G107" i="9"/>
  <c r="P107" i="9" s="1"/>
  <c r="F107" i="9"/>
  <c r="E107" i="9"/>
  <c r="V106" i="9"/>
  <c r="U106" i="9"/>
  <c r="O106" i="9"/>
  <c r="L106" i="9"/>
  <c r="I106" i="9"/>
  <c r="Q106" i="9" s="1"/>
  <c r="H106" i="9"/>
  <c r="N106" i="9" s="1"/>
  <c r="G106" i="9"/>
  <c r="P106" i="9" s="1"/>
  <c r="F106" i="9"/>
  <c r="E106" i="9"/>
  <c r="V105" i="9"/>
  <c r="U105" i="9"/>
  <c r="O105" i="9"/>
  <c r="L105" i="9"/>
  <c r="J105" i="9"/>
  <c r="I105" i="9"/>
  <c r="Q105" i="9" s="1"/>
  <c r="H105" i="9"/>
  <c r="N105" i="9" s="1"/>
  <c r="G105" i="9"/>
  <c r="P105" i="9" s="1"/>
  <c r="F105" i="9"/>
  <c r="E105" i="9"/>
  <c r="D105" i="9" s="1"/>
  <c r="C105" i="9" s="1"/>
  <c r="K105" i="9" s="1"/>
  <c r="V104" i="9"/>
  <c r="U104" i="9"/>
  <c r="O104" i="9"/>
  <c r="L104" i="9"/>
  <c r="I104" i="9"/>
  <c r="Q104" i="9" s="1"/>
  <c r="H104" i="9"/>
  <c r="N104" i="9" s="1"/>
  <c r="G104" i="9"/>
  <c r="P104" i="9" s="1"/>
  <c r="F104" i="9"/>
  <c r="E104" i="9"/>
  <c r="V103" i="9"/>
  <c r="U103" i="9"/>
  <c r="O103" i="9"/>
  <c r="L103" i="9"/>
  <c r="I103" i="9"/>
  <c r="Q103" i="9" s="1"/>
  <c r="H103" i="9"/>
  <c r="N103" i="9" s="1"/>
  <c r="G103" i="9"/>
  <c r="P103" i="9" s="1"/>
  <c r="F103" i="9"/>
  <c r="E103" i="9"/>
  <c r="V102" i="9"/>
  <c r="U102" i="9"/>
  <c r="O102" i="9"/>
  <c r="L102" i="9"/>
  <c r="I102" i="9"/>
  <c r="Q102" i="9" s="1"/>
  <c r="H102" i="9"/>
  <c r="N102" i="9" s="1"/>
  <c r="G102" i="9"/>
  <c r="P102" i="9" s="1"/>
  <c r="F102" i="9"/>
  <c r="E102" i="9"/>
  <c r="T101" i="9"/>
  <c r="T89" i="9" s="1"/>
  <c r="T9" i="9" s="1"/>
  <c r="S101" i="9"/>
  <c r="R101" i="9"/>
  <c r="R89" i="9" s="1"/>
  <c r="O101" i="9"/>
  <c r="L101" i="9"/>
  <c r="I101" i="9"/>
  <c r="Q101" i="9" s="1"/>
  <c r="H101" i="9"/>
  <c r="N101" i="9" s="1"/>
  <c r="G101" i="9"/>
  <c r="P101" i="9" s="1"/>
  <c r="F101" i="9"/>
  <c r="E101" i="9"/>
  <c r="V100" i="9"/>
  <c r="U100" i="9"/>
  <c r="O100" i="9"/>
  <c r="L100" i="9"/>
  <c r="J100" i="9" s="1"/>
  <c r="I100" i="9"/>
  <c r="Q100" i="9" s="1"/>
  <c r="H100" i="9"/>
  <c r="N100" i="9" s="1"/>
  <c r="G100" i="9"/>
  <c r="P100" i="9" s="1"/>
  <c r="F100" i="9"/>
  <c r="E100" i="9"/>
  <c r="V99" i="9"/>
  <c r="U99" i="9"/>
  <c r="O99" i="9"/>
  <c r="L99" i="9"/>
  <c r="I99" i="9"/>
  <c r="Q99" i="9" s="1"/>
  <c r="H99" i="9"/>
  <c r="N99" i="9" s="1"/>
  <c r="G99" i="9"/>
  <c r="P99" i="9" s="1"/>
  <c r="F99" i="9"/>
  <c r="E99" i="9"/>
  <c r="V98" i="9"/>
  <c r="U98" i="9"/>
  <c r="O98" i="9"/>
  <c r="L98" i="9"/>
  <c r="I98" i="9"/>
  <c r="Q98" i="9" s="1"/>
  <c r="H98" i="9"/>
  <c r="N98" i="9" s="1"/>
  <c r="G98" i="9"/>
  <c r="P98" i="9" s="1"/>
  <c r="F98" i="9"/>
  <c r="E98" i="9"/>
  <c r="V97" i="9"/>
  <c r="U97" i="9"/>
  <c r="O97" i="9"/>
  <c r="L97" i="9"/>
  <c r="I97" i="9"/>
  <c r="Q97" i="9" s="1"/>
  <c r="H97" i="9"/>
  <c r="N97" i="9" s="1"/>
  <c r="G97" i="9"/>
  <c r="P97" i="9" s="1"/>
  <c r="F97" i="9"/>
  <c r="E97" i="9"/>
  <c r="V96" i="9"/>
  <c r="U96" i="9"/>
  <c r="O96" i="9"/>
  <c r="L96" i="9"/>
  <c r="J96" i="9"/>
  <c r="I96" i="9"/>
  <c r="Q96" i="9" s="1"/>
  <c r="H96" i="9"/>
  <c r="N96" i="9" s="1"/>
  <c r="G96" i="9"/>
  <c r="P96" i="9" s="1"/>
  <c r="F96" i="9"/>
  <c r="E96" i="9"/>
  <c r="D96" i="9"/>
  <c r="V95" i="9"/>
  <c r="U95" i="9"/>
  <c r="O95" i="9"/>
  <c r="L95" i="9"/>
  <c r="I95" i="9"/>
  <c r="Q95" i="9" s="1"/>
  <c r="H95" i="9"/>
  <c r="N95" i="9" s="1"/>
  <c r="G95" i="9"/>
  <c r="P95" i="9" s="1"/>
  <c r="F95" i="9"/>
  <c r="E95" i="9"/>
  <c r="V94" i="9"/>
  <c r="U94" i="9"/>
  <c r="O94" i="9"/>
  <c r="L94" i="9"/>
  <c r="I94" i="9"/>
  <c r="Q94" i="9" s="1"/>
  <c r="H94" i="9"/>
  <c r="N94" i="9" s="1"/>
  <c r="G94" i="9"/>
  <c r="P94" i="9" s="1"/>
  <c r="F94" i="9"/>
  <c r="E94" i="9"/>
  <c r="V93" i="9"/>
  <c r="U93" i="9"/>
  <c r="O93" i="9"/>
  <c r="L93" i="9"/>
  <c r="I93" i="9"/>
  <c r="Q93" i="9" s="1"/>
  <c r="H93" i="9"/>
  <c r="N93" i="9" s="1"/>
  <c r="G93" i="9"/>
  <c r="P93" i="9" s="1"/>
  <c r="F93" i="9"/>
  <c r="E93" i="9"/>
  <c r="V92" i="9"/>
  <c r="U92" i="9"/>
  <c r="O92" i="9"/>
  <c r="L92" i="9"/>
  <c r="I92" i="9"/>
  <c r="Q92" i="9" s="1"/>
  <c r="H92" i="9"/>
  <c r="N92" i="9" s="1"/>
  <c r="G92" i="9"/>
  <c r="P92" i="9" s="1"/>
  <c r="F92" i="9"/>
  <c r="E92" i="9"/>
  <c r="V91" i="9"/>
  <c r="U91" i="9"/>
  <c r="O91" i="9"/>
  <c r="L91" i="9"/>
  <c r="I91" i="9"/>
  <c r="H91" i="9"/>
  <c r="N91" i="9" s="1"/>
  <c r="G91" i="9"/>
  <c r="P91" i="9" s="1"/>
  <c r="F91" i="9"/>
  <c r="E91" i="9"/>
  <c r="V90" i="9"/>
  <c r="U90" i="9"/>
  <c r="O90" i="9"/>
  <c r="L90" i="9"/>
  <c r="I90" i="9"/>
  <c r="Q90" i="9" s="1"/>
  <c r="H90" i="9"/>
  <c r="G90" i="9"/>
  <c r="F90" i="9"/>
  <c r="E90" i="9"/>
  <c r="D90" i="9" s="1"/>
  <c r="AH88" i="9"/>
  <c r="AG88" i="9"/>
  <c r="AE88" i="9"/>
  <c r="AD88" i="9"/>
  <c r="AB88" i="9"/>
  <c r="AA88" i="9"/>
  <c r="Y88" i="9"/>
  <c r="X88" i="9"/>
  <c r="AC88" i="9" s="1"/>
  <c r="W88" i="9"/>
  <c r="T88" i="9"/>
  <c r="S88" i="9"/>
  <c r="R88" i="9"/>
  <c r="U88" i="9" s="1"/>
  <c r="O88" i="9"/>
  <c r="L88" i="9"/>
  <c r="I88" i="9"/>
  <c r="Q88" i="9" s="1"/>
  <c r="H88" i="9"/>
  <c r="G88" i="9"/>
  <c r="P88" i="9" s="1"/>
  <c r="F88" i="9"/>
  <c r="E88" i="9"/>
  <c r="AH87" i="9"/>
  <c r="AG87" i="9"/>
  <c r="AE87" i="9"/>
  <c r="AD87" i="9"/>
  <c r="AB87" i="9"/>
  <c r="AA87" i="9"/>
  <c r="Y87" i="9"/>
  <c r="X87" i="9"/>
  <c r="W87" i="9"/>
  <c r="T87" i="9"/>
  <c r="S87" i="9"/>
  <c r="V87" i="9" s="1"/>
  <c r="R87" i="9"/>
  <c r="O87" i="9"/>
  <c r="L87" i="9"/>
  <c r="J87" i="9" s="1"/>
  <c r="I87" i="9"/>
  <c r="Q87" i="9" s="1"/>
  <c r="H87" i="9"/>
  <c r="N87" i="9" s="1"/>
  <c r="G87" i="9"/>
  <c r="P87" i="9" s="1"/>
  <c r="F87" i="9"/>
  <c r="D87" i="9" s="1"/>
  <c r="E87" i="9"/>
  <c r="AH86" i="9"/>
  <c r="AG86" i="9"/>
  <c r="AE86" i="9"/>
  <c r="AD86" i="9"/>
  <c r="AB86" i="9"/>
  <c r="AA86" i="9"/>
  <c r="Y86" i="9"/>
  <c r="X86" i="9"/>
  <c r="W86" i="9"/>
  <c r="T86" i="9"/>
  <c r="S86" i="9"/>
  <c r="R86" i="9"/>
  <c r="U86" i="9" s="1"/>
  <c r="O86" i="9"/>
  <c r="L86" i="9"/>
  <c r="I86" i="9"/>
  <c r="Q86" i="9" s="1"/>
  <c r="H86" i="9"/>
  <c r="N86" i="9" s="1"/>
  <c r="G86" i="9"/>
  <c r="P86" i="9" s="1"/>
  <c r="F86" i="9"/>
  <c r="D86" i="9" s="1"/>
  <c r="M86" i="9" s="1"/>
  <c r="E86" i="9"/>
  <c r="AH85" i="9"/>
  <c r="AG85" i="9"/>
  <c r="AE85" i="9"/>
  <c r="AD85" i="9"/>
  <c r="AB85" i="9"/>
  <c r="AA85" i="9"/>
  <c r="AF85" i="9" s="1"/>
  <c r="Y85" i="9"/>
  <c r="X85" i="9"/>
  <c r="Z85" i="9" s="1"/>
  <c r="W85" i="9"/>
  <c r="T85" i="9"/>
  <c r="S85" i="9"/>
  <c r="V85" i="9" s="1"/>
  <c r="R85" i="9"/>
  <c r="U85" i="9" s="1"/>
  <c r="O85" i="9"/>
  <c r="L85" i="9"/>
  <c r="I85" i="9"/>
  <c r="Q85" i="9" s="1"/>
  <c r="H85" i="9"/>
  <c r="N85" i="9" s="1"/>
  <c r="G85" i="9"/>
  <c r="P85" i="9" s="1"/>
  <c r="F85" i="9"/>
  <c r="E85" i="9"/>
  <c r="AH84" i="9"/>
  <c r="AG84" i="9"/>
  <c r="AE84" i="9"/>
  <c r="AD84" i="9"/>
  <c r="AB84" i="9"/>
  <c r="AA84" i="9"/>
  <c r="Y84" i="9"/>
  <c r="X84" i="9"/>
  <c r="W84" i="9"/>
  <c r="T84" i="9"/>
  <c r="S84" i="9"/>
  <c r="V84" i="9" s="1"/>
  <c r="R84" i="9"/>
  <c r="O84" i="9"/>
  <c r="L84" i="9"/>
  <c r="I84" i="9"/>
  <c r="Q84" i="9" s="1"/>
  <c r="H84" i="9"/>
  <c r="N84" i="9" s="1"/>
  <c r="G84" i="9"/>
  <c r="P84" i="9" s="1"/>
  <c r="F84" i="9"/>
  <c r="E84" i="9"/>
  <c r="AH83" i="9"/>
  <c r="AG83" i="9"/>
  <c r="AE83" i="9"/>
  <c r="AD83" i="9"/>
  <c r="AB83" i="9"/>
  <c r="AA83" i="9"/>
  <c r="Y83" i="9"/>
  <c r="X83" i="9"/>
  <c r="Z83" i="9" s="1"/>
  <c r="W83" i="9"/>
  <c r="V83" i="9"/>
  <c r="T83" i="9"/>
  <c r="S83" i="9"/>
  <c r="R83" i="9"/>
  <c r="U83" i="9" s="1"/>
  <c r="O83" i="9"/>
  <c r="L83" i="9"/>
  <c r="J83" i="9" s="1"/>
  <c r="I83" i="9"/>
  <c r="Q83" i="9" s="1"/>
  <c r="H83" i="9"/>
  <c r="N83" i="9" s="1"/>
  <c r="G83" i="9"/>
  <c r="P83" i="9" s="1"/>
  <c r="F83" i="9"/>
  <c r="E83" i="9"/>
  <c r="D83" i="9" s="1"/>
  <c r="AH82" i="9"/>
  <c r="AG82" i="9"/>
  <c r="AE82" i="9"/>
  <c r="AD82" i="9"/>
  <c r="AB82" i="9"/>
  <c r="AA82" i="9"/>
  <c r="Y82" i="9"/>
  <c r="X82" i="9"/>
  <c r="W82" i="9"/>
  <c r="T82" i="9"/>
  <c r="S82" i="9"/>
  <c r="V82" i="9" s="1"/>
  <c r="R82" i="9"/>
  <c r="O82" i="9"/>
  <c r="L82" i="9"/>
  <c r="I82" i="9"/>
  <c r="Q82" i="9" s="1"/>
  <c r="H82" i="9"/>
  <c r="G82" i="9"/>
  <c r="P82" i="9" s="1"/>
  <c r="F82" i="9"/>
  <c r="E82" i="9"/>
  <c r="AH81" i="9"/>
  <c r="AG81" i="9"/>
  <c r="AE81" i="9"/>
  <c r="AD81" i="9"/>
  <c r="AB81" i="9"/>
  <c r="AA81" i="9"/>
  <c r="Y81" i="9"/>
  <c r="X81" i="9"/>
  <c r="W81" i="9"/>
  <c r="T81" i="9"/>
  <c r="S81" i="9"/>
  <c r="V81" i="9" s="1"/>
  <c r="R81" i="9"/>
  <c r="U81" i="9" s="1"/>
  <c r="O81" i="9"/>
  <c r="L81" i="9"/>
  <c r="I81" i="9"/>
  <c r="Q81" i="9" s="1"/>
  <c r="H81" i="9"/>
  <c r="N81" i="9" s="1"/>
  <c r="G81" i="9"/>
  <c r="P81" i="9" s="1"/>
  <c r="F81" i="9"/>
  <c r="D81" i="9" s="1"/>
  <c r="E81" i="9"/>
  <c r="AH80" i="9"/>
  <c r="AG80" i="9"/>
  <c r="AE80" i="9"/>
  <c r="AD80" i="9"/>
  <c r="AB80" i="9"/>
  <c r="AA80" i="9"/>
  <c r="Y80" i="9"/>
  <c r="X80" i="9"/>
  <c r="W80" i="9"/>
  <c r="T80" i="9"/>
  <c r="S80" i="9"/>
  <c r="R80" i="9"/>
  <c r="O80" i="9"/>
  <c r="L80" i="9"/>
  <c r="I80" i="9"/>
  <c r="Q80" i="9" s="1"/>
  <c r="H80" i="9"/>
  <c r="N80" i="9" s="1"/>
  <c r="G80" i="9"/>
  <c r="P80" i="9" s="1"/>
  <c r="F80" i="9"/>
  <c r="E80" i="9"/>
  <c r="AH79" i="9"/>
  <c r="AG79" i="9"/>
  <c r="AE79" i="9"/>
  <c r="AD79" i="9"/>
  <c r="AB79" i="9"/>
  <c r="AA79" i="9"/>
  <c r="Y79" i="9"/>
  <c r="X79" i="9"/>
  <c r="Z79" i="9" s="1"/>
  <c r="W79" i="9"/>
  <c r="T79" i="9"/>
  <c r="S79" i="9"/>
  <c r="V79" i="9" s="1"/>
  <c r="R79" i="9"/>
  <c r="U79" i="9" s="1"/>
  <c r="O79" i="9"/>
  <c r="L79" i="9"/>
  <c r="J79" i="9" s="1"/>
  <c r="I79" i="9"/>
  <c r="Q79" i="9" s="1"/>
  <c r="H79" i="9"/>
  <c r="N79" i="9" s="1"/>
  <c r="G79" i="9"/>
  <c r="P79" i="9" s="1"/>
  <c r="F79" i="9"/>
  <c r="E79" i="9"/>
  <c r="AH78" i="9"/>
  <c r="AG78" i="9"/>
  <c r="AE78" i="9"/>
  <c r="AD78" i="9"/>
  <c r="AB78" i="9"/>
  <c r="AA78" i="9"/>
  <c r="Y78" i="9"/>
  <c r="X78" i="9"/>
  <c r="AC78" i="9" s="1"/>
  <c r="W78" i="9"/>
  <c r="T78" i="9"/>
  <c r="S78" i="9"/>
  <c r="R78" i="9"/>
  <c r="O78" i="9"/>
  <c r="L78" i="9"/>
  <c r="J78" i="9" s="1"/>
  <c r="I78" i="9"/>
  <c r="Q78" i="9" s="1"/>
  <c r="H78" i="9"/>
  <c r="N78" i="9" s="1"/>
  <c r="G78" i="9"/>
  <c r="P78" i="9" s="1"/>
  <c r="F78" i="9"/>
  <c r="E78" i="9"/>
  <c r="AH77" i="9"/>
  <c r="AG77" i="9"/>
  <c r="AE77" i="9"/>
  <c r="AD77" i="9"/>
  <c r="AB77" i="9"/>
  <c r="AA77" i="9"/>
  <c r="Y77" i="9"/>
  <c r="X77" i="9"/>
  <c r="W77" i="9"/>
  <c r="T77" i="9"/>
  <c r="S77" i="9"/>
  <c r="V77" i="9" s="1"/>
  <c r="R77" i="9"/>
  <c r="U77" i="9" s="1"/>
  <c r="O77" i="9"/>
  <c r="L77" i="9"/>
  <c r="I77" i="9"/>
  <c r="Q77" i="9" s="1"/>
  <c r="H77" i="9"/>
  <c r="N77" i="9" s="1"/>
  <c r="G77" i="9"/>
  <c r="P77" i="9" s="1"/>
  <c r="F77" i="9"/>
  <c r="E77" i="9"/>
  <c r="AH76" i="9"/>
  <c r="AG76" i="9"/>
  <c r="AE76" i="9"/>
  <c r="AD76" i="9"/>
  <c r="AB76" i="9"/>
  <c r="AA76" i="9"/>
  <c r="AF76" i="9" s="1"/>
  <c r="Y76" i="9"/>
  <c r="X76" i="9"/>
  <c r="W76" i="9"/>
  <c r="T76" i="9"/>
  <c r="S76" i="9"/>
  <c r="R76" i="9"/>
  <c r="O76" i="9"/>
  <c r="L76" i="9"/>
  <c r="I76" i="9"/>
  <c r="Q76" i="9" s="1"/>
  <c r="H76" i="9"/>
  <c r="N76" i="9" s="1"/>
  <c r="G76" i="9"/>
  <c r="F76" i="9"/>
  <c r="E76" i="9"/>
  <c r="AH75" i="9"/>
  <c r="AG75" i="9"/>
  <c r="AE75" i="9"/>
  <c r="AD75" i="9"/>
  <c r="AB75" i="9"/>
  <c r="AA75" i="9"/>
  <c r="Y75" i="9"/>
  <c r="X75" i="9"/>
  <c r="Z75" i="9" s="1"/>
  <c r="W75" i="9"/>
  <c r="U75" i="9"/>
  <c r="T75" i="9"/>
  <c r="S75" i="9"/>
  <c r="V75" i="9" s="1"/>
  <c r="R75" i="9"/>
  <c r="O75" i="9"/>
  <c r="L75" i="9"/>
  <c r="I75" i="9"/>
  <c r="H75" i="9"/>
  <c r="N75" i="9" s="1"/>
  <c r="G75" i="9"/>
  <c r="P75" i="9" s="1"/>
  <c r="F75" i="9"/>
  <c r="E75" i="9"/>
  <c r="AH73" i="9"/>
  <c r="AG73" i="9"/>
  <c r="AE73" i="9"/>
  <c r="AD73" i="9"/>
  <c r="AI73" i="9" s="1"/>
  <c r="AB73" i="9"/>
  <c r="AA73" i="9"/>
  <c r="Y73" i="9"/>
  <c r="X73" i="9"/>
  <c r="Z73" i="9" s="1"/>
  <c r="W73" i="9"/>
  <c r="V73" i="9"/>
  <c r="T73" i="9"/>
  <c r="S73" i="9"/>
  <c r="R73" i="9"/>
  <c r="U73" i="9" s="1"/>
  <c r="O73" i="9"/>
  <c r="L73" i="9"/>
  <c r="J73" i="9" s="1"/>
  <c r="I73" i="9"/>
  <c r="Q73" i="9" s="1"/>
  <c r="H73" i="9"/>
  <c r="N73" i="9" s="1"/>
  <c r="G73" i="9"/>
  <c r="P73" i="9" s="1"/>
  <c r="F73" i="9"/>
  <c r="E73" i="9"/>
  <c r="AH72" i="9"/>
  <c r="AG72" i="9"/>
  <c r="AE72" i="9"/>
  <c r="AD72" i="9"/>
  <c r="AB72" i="9"/>
  <c r="AA72" i="9"/>
  <c r="Y72" i="9"/>
  <c r="X72" i="9"/>
  <c r="W72" i="9"/>
  <c r="T72" i="9"/>
  <c r="S72" i="9"/>
  <c r="R72" i="9"/>
  <c r="O72" i="9"/>
  <c r="L72" i="9"/>
  <c r="I72" i="9"/>
  <c r="Q72" i="9" s="1"/>
  <c r="H72" i="9"/>
  <c r="G72" i="9"/>
  <c r="P72" i="9" s="1"/>
  <c r="F72" i="9"/>
  <c r="E72" i="9"/>
  <c r="AH71" i="9"/>
  <c r="AG71" i="9"/>
  <c r="AE71" i="9"/>
  <c r="AD71" i="9"/>
  <c r="AB71" i="9"/>
  <c r="AA71" i="9"/>
  <c r="Y71" i="9"/>
  <c r="X71" i="9"/>
  <c r="Z71" i="9" s="1"/>
  <c r="W71" i="9"/>
  <c r="T71" i="9"/>
  <c r="S71" i="9"/>
  <c r="V71" i="9" s="1"/>
  <c r="R71" i="9"/>
  <c r="U71" i="9" s="1"/>
  <c r="O71" i="9"/>
  <c r="L71" i="9"/>
  <c r="I71" i="9"/>
  <c r="Q71" i="9" s="1"/>
  <c r="H71" i="9"/>
  <c r="N71" i="9" s="1"/>
  <c r="G71" i="9"/>
  <c r="P71" i="9" s="1"/>
  <c r="F71" i="9"/>
  <c r="D71" i="9" s="1"/>
  <c r="E71" i="9"/>
  <c r="AH70" i="9"/>
  <c r="AG70" i="9"/>
  <c r="AE70" i="9"/>
  <c r="AD70" i="9"/>
  <c r="AI70" i="9" s="1"/>
  <c r="AB70" i="9"/>
  <c r="AA70" i="9"/>
  <c r="Y70" i="9"/>
  <c r="X70" i="9"/>
  <c r="W70" i="9"/>
  <c r="T70" i="9"/>
  <c r="S70" i="9"/>
  <c r="R70" i="9"/>
  <c r="O70" i="9"/>
  <c r="L70" i="9"/>
  <c r="I70" i="9"/>
  <c r="Q70" i="9" s="1"/>
  <c r="H70" i="9"/>
  <c r="G70" i="9"/>
  <c r="P70" i="9" s="1"/>
  <c r="F70" i="9"/>
  <c r="E70" i="9"/>
  <c r="AH69" i="9"/>
  <c r="AG69" i="9"/>
  <c r="AE69" i="9"/>
  <c r="AD69" i="9"/>
  <c r="AB69" i="9"/>
  <c r="AA69" i="9"/>
  <c r="Y69" i="9"/>
  <c r="X69" i="9"/>
  <c r="Z69" i="9" s="1"/>
  <c r="W69" i="9"/>
  <c r="T69" i="9"/>
  <c r="S69" i="9"/>
  <c r="V69" i="9" s="1"/>
  <c r="R69" i="9"/>
  <c r="U69" i="9" s="1"/>
  <c r="O69" i="9"/>
  <c r="L69" i="9"/>
  <c r="J69" i="9"/>
  <c r="I69" i="9"/>
  <c r="Q69" i="9" s="1"/>
  <c r="H69" i="9"/>
  <c r="N69" i="9" s="1"/>
  <c r="G69" i="9"/>
  <c r="P69" i="9" s="1"/>
  <c r="F69" i="9"/>
  <c r="E69" i="9"/>
  <c r="D69" i="9"/>
  <c r="AH68" i="9"/>
  <c r="AG68" i="9"/>
  <c r="AE68" i="9"/>
  <c r="AD68" i="9"/>
  <c r="AB68" i="9"/>
  <c r="AA68" i="9"/>
  <c r="AF68" i="9" s="1"/>
  <c r="Y68" i="9"/>
  <c r="X68" i="9"/>
  <c r="AC68" i="9" s="1"/>
  <c r="W68" i="9"/>
  <c r="T68" i="9"/>
  <c r="S68" i="9"/>
  <c r="R68" i="9"/>
  <c r="U68" i="9" s="1"/>
  <c r="O68" i="9"/>
  <c r="L68" i="9"/>
  <c r="I68" i="9"/>
  <c r="Q68" i="9" s="1"/>
  <c r="H68" i="9"/>
  <c r="G68" i="9"/>
  <c r="P68" i="9" s="1"/>
  <c r="F68" i="9"/>
  <c r="E68" i="9"/>
  <c r="AH67" i="9"/>
  <c r="AG67" i="9"/>
  <c r="AE67" i="9"/>
  <c r="AD67" i="9"/>
  <c r="AB67" i="9"/>
  <c r="AA67" i="9"/>
  <c r="AF67" i="9" s="1"/>
  <c r="Y67" i="9"/>
  <c r="X67" i="9"/>
  <c r="W67" i="9"/>
  <c r="T67" i="9"/>
  <c r="S67" i="9"/>
  <c r="R67" i="9"/>
  <c r="O67" i="9"/>
  <c r="L67" i="9"/>
  <c r="I67" i="9"/>
  <c r="Q67" i="9" s="1"/>
  <c r="H67" i="9"/>
  <c r="N67" i="9" s="1"/>
  <c r="G67" i="9"/>
  <c r="P67" i="9" s="1"/>
  <c r="F67" i="9"/>
  <c r="E67" i="9"/>
  <c r="AH66" i="9"/>
  <c r="AG66" i="9"/>
  <c r="AE66" i="9"/>
  <c r="AD66" i="9"/>
  <c r="AB66" i="9"/>
  <c r="AA66" i="9"/>
  <c r="Y66" i="9"/>
  <c r="X66" i="9"/>
  <c r="W66" i="9"/>
  <c r="T66" i="9"/>
  <c r="S66" i="9"/>
  <c r="R66" i="9"/>
  <c r="O66" i="9"/>
  <c r="L66" i="9"/>
  <c r="I66" i="9"/>
  <c r="Q66" i="9" s="1"/>
  <c r="H66" i="9"/>
  <c r="G66" i="9"/>
  <c r="P66" i="9" s="1"/>
  <c r="F66" i="9"/>
  <c r="E66" i="9"/>
  <c r="AH65" i="9"/>
  <c r="AG65" i="9"/>
  <c r="AE65" i="9"/>
  <c r="AD65" i="9"/>
  <c r="AI65" i="9" s="1"/>
  <c r="AB65" i="9"/>
  <c r="AA65" i="9"/>
  <c r="Y65" i="9"/>
  <c r="X65" i="9"/>
  <c r="Z65" i="9" s="1"/>
  <c r="W65" i="9"/>
  <c r="V65" i="9"/>
  <c r="T65" i="9"/>
  <c r="S65" i="9"/>
  <c r="R65" i="9"/>
  <c r="U65" i="9" s="1"/>
  <c r="O65" i="9"/>
  <c r="L65" i="9"/>
  <c r="I65" i="9"/>
  <c r="Q65" i="9" s="1"/>
  <c r="H65" i="9"/>
  <c r="G65" i="9"/>
  <c r="P65" i="9" s="1"/>
  <c r="F65" i="9"/>
  <c r="E65" i="9"/>
  <c r="D65" i="9" s="1"/>
  <c r="AH64" i="9"/>
  <c r="AG64" i="9"/>
  <c r="AE64" i="9"/>
  <c r="AD64" i="9"/>
  <c r="AI64" i="9" s="1"/>
  <c r="AB64" i="9"/>
  <c r="AA64" i="9"/>
  <c r="Y64" i="9"/>
  <c r="X64" i="9"/>
  <c r="W64" i="9"/>
  <c r="T64" i="9"/>
  <c r="S64" i="9"/>
  <c r="R64" i="9"/>
  <c r="O64" i="9"/>
  <c r="L64" i="9"/>
  <c r="I64" i="9"/>
  <c r="Q64" i="9" s="1"/>
  <c r="H64" i="9"/>
  <c r="G64" i="9"/>
  <c r="P64" i="9" s="1"/>
  <c r="F64" i="9"/>
  <c r="E64" i="9"/>
  <c r="AH63" i="9"/>
  <c r="AG63" i="9"/>
  <c r="AE63" i="9"/>
  <c r="AD63" i="9"/>
  <c r="AB63" i="9"/>
  <c r="AA63" i="9"/>
  <c r="Y63" i="9"/>
  <c r="X63" i="9"/>
  <c r="W63" i="9"/>
  <c r="T63" i="9"/>
  <c r="S63" i="9"/>
  <c r="V63" i="9" s="1"/>
  <c r="R63" i="9"/>
  <c r="O63" i="9"/>
  <c r="L63" i="9"/>
  <c r="I63" i="9"/>
  <c r="Q63" i="9" s="1"/>
  <c r="H63" i="9"/>
  <c r="G63" i="9"/>
  <c r="P63" i="9" s="1"/>
  <c r="F63" i="9"/>
  <c r="E63" i="9"/>
  <c r="AH62" i="9"/>
  <c r="AG62" i="9"/>
  <c r="AE62" i="9"/>
  <c r="AD62" i="9"/>
  <c r="AB62" i="9"/>
  <c r="AA62" i="9"/>
  <c r="AF62" i="9" s="1"/>
  <c r="Y62" i="9"/>
  <c r="X62" i="9"/>
  <c r="W62" i="9"/>
  <c r="T62" i="9"/>
  <c r="S62" i="9"/>
  <c r="R62" i="9"/>
  <c r="O62" i="9"/>
  <c r="L62" i="9"/>
  <c r="I62" i="9"/>
  <c r="Q62" i="9" s="1"/>
  <c r="H62" i="9"/>
  <c r="N62" i="9" s="1"/>
  <c r="G62" i="9"/>
  <c r="P62" i="9" s="1"/>
  <c r="F62" i="9"/>
  <c r="E62" i="9"/>
  <c r="AH61" i="9"/>
  <c r="AG61" i="9"/>
  <c r="AE61" i="9"/>
  <c r="AD61" i="9"/>
  <c r="AB61" i="9"/>
  <c r="AA61" i="9"/>
  <c r="Y61" i="9"/>
  <c r="X61" i="9"/>
  <c r="W61" i="9"/>
  <c r="T61" i="9"/>
  <c r="S61" i="9"/>
  <c r="R61" i="9"/>
  <c r="O61" i="9"/>
  <c r="L61" i="9"/>
  <c r="J61" i="9" s="1"/>
  <c r="I61" i="9"/>
  <c r="Q61" i="9" s="1"/>
  <c r="H61" i="9"/>
  <c r="N61" i="9" s="1"/>
  <c r="G61" i="9"/>
  <c r="P61" i="9" s="1"/>
  <c r="F61" i="9"/>
  <c r="E61" i="9"/>
  <c r="AH60" i="9"/>
  <c r="AG60" i="9"/>
  <c r="AE60" i="9"/>
  <c r="AD60" i="9"/>
  <c r="AB60" i="9"/>
  <c r="AA60" i="9"/>
  <c r="Y60" i="9"/>
  <c r="X60" i="9"/>
  <c r="AC60" i="9" s="1"/>
  <c r="W60" i="9"/>
  <c r="T60" i="9"/>
  <c r="S60" i="9"/>
  <c r="V60" i="9" s="1"/>
  <c r="R60" i="9"/>
  <c r="U60" i="9" s="1"/>
  <c r="O60" i="9"/>
  <c r="L60" i="9"/>
  <c r="I60" i="9"/>
  <c r="Q60" i="9" s="1"/>
  <c r="H60" i="9"/>
  <c r="N60" i="9" s="1"/>
  <c r="G60" i="9"/>
  <c r="P60" i="9" s="1"/>
  <c r="F60" i="9"/>
  <c r="E60" i="9"/>
  <c r="AH59" i="9"/>
  <c r="AG59" i="9"/>
  <c r="AE59" i="9"/>
  <c r="AD59" i="9"/>
  <c r="AI59" i="9" s="1"/>
  <c r="AB59" i="9"/>
  <c r="AA59" i="9"/>
  <c r="Y59" i="9"/>
  <c r="X59" i="9"/>
  <c r="Z59" i="9" s="1"/>
  <c r="W59" i="9"/>
  <c r="T59" i="9"/>
  <c r="V59" i="9" s="1"/>
  <c r="S59" i="9"/>
  <c r="R59" i="9"/>
  <c r="O59" i="9"/>
  <c r="L59" i="9"/>
  <c r="J59" i="9" s="1"/>
  <c r="I59" i="9"/>
  <c r="Q59" i="9" s="1"/>
  <c r="H59" i="9"/>
  <c r="G59" i="9"/>
  <c r="P59" i="9" s="1"/>
  <c r="F59" i="9"/>
  <c r="E59" i="9"/>
  <c r="D59" i="9" s="1"/>
  <c r="AH58" i="9"/>
  <c r="AG58" i="9"/>
  <c r="AE58" i="9"/>
  <c r="AD58" i="9"/>
  <c r="AB58" i="9"/>
  <c r="AA58" i="9"/>
  <c r="Y58" i="9"/>
  <c r="X58" i="9"/>
  <c r="AC58" i="9" s="1"/>
  <c r="W58" i="9"/>
  <c r="T58" i="9"/>
  <c r="S58" i="9"/>
  <c r="V58" i="9" s="1"/>
  <c r="R58" i="9"/>
  <c r="U58" i="9" s="1"/>
  <c r="O58" i="9"/>
  <c r="L58" i="9"/>
  <c r="I58" i="9"/>
  <c r="Q58" i="9" s="1"/>
  <c r="H58" i="9"/>
  <c r="N58" i="9" s="1"/>
  <c r="G58" i="9"/>
  <c r="P58" i="9" s="1"/>
  <c r="F58" i="9"/>
  <c r="E58" i="9"/>
  <c r="AH57" i="9"/>
  <c r="AG57" i="9"/>
  <c r="AE57" i="9"/>
  <c r="AD57" i="9"/>
  <c r="AB57" i="9"/>
  <c r="AA57" i="9"/>
  <c r="AF57" i="9" s="1"/>
  <c r="Y57" i="9"/>
  <c r="X57" i="9"/>
  <c r="Z57" i="9" s="1"/>
  <c r="W57" i="9"/>
  <c r="T57" i="9"/>
  <c r="S57" i="9"/>
  <c r="R57" i="9"/>
  <c r="O57" i="9"/>
  <c r="L57" i="9"/>
  <c r="J57" i="9" s="1"/>
  <c r="I57" i="9"/>
  <c r="Q57" i="9" s="1"/>
  <c r="H57" i="9"/>
  <c r="N57" i="9" s="1"/>
  <c r="G57" i="9"/>
  <c r="P57" i="9" s="1"/>
  <c r="F57" i="9"/>
  <c r="E57" i="9"/>
  <c r="AH56" i="9"/>
  <c r="AG56" i="9"/>
  <c r="AE56" i="9"/>
  <c r="AD56" i="9"/>
  <c r="AB56" i="9"/>
  <c r="AA56" i="9"/>
  <c r="Y56" i="9"/>
  <c r="X56" i="9"/>
  <c r="W56" i="9"/>
  <c r="T56" i="9"/>
  <c r="S56" i="9"/>
  <c r="R56" i="9"/>
  <c r="O56" i="9"/>
  <c r="L56" i="9"/>
  <c r="J56" i="9" s="1"/>
  <c r="I56" i="9"/>
  <c r="Q56" i="9" s="1"/>
  <c r="H56" i="9"/>
  <c r="G56" i="9"/>
  <c r="P56" i="9" s="1"/>
  <c r="F56" i="9"/>
  <c r="E56" i="9"/>
  <c r="AH55" i="9"/>
  <c r="AG55" i="9"/>
  <c r="AE55" i="9"/>
  <c r="AD55" i="9"/>
  <c r="AB55" i="9"/>
  <c r="AA55" i="9"/>
  <c r="Y55" i="9"/>
  <c r="X55" i="9"/>
  <c r="W55" i="9"/>
  <c r="T55" i="9"/>
  <c r="S55" i="9"/>
  <c r="R55" i="9"/>
  <c r="O55" i="9"/>
  <c r="L55" i="9"/>
  <c r="I55" i="9"/>
  <c r="Q55" i="9" s="1"/>
  <c r="H55" i="9"/>
  <c r="G55" i="9"/>
  <c r="P55" i="9" s="1"/>
  <c r="F55" i="9"/>
  <c r="E55" i="9"/>
  <c r="AH54" i="9"/>
  <c r="AG54" i="9"/>
  <c r="AE54" i="9"/>
  <c r="AD54" i="9"/>
  <c r="AB54" i="9"/>
  <c r="AA54" i="9"/>
  <c r="Y54" i="9"/>
  <c r="X54" i="9"/>
  <c r="W54" i="9"/>
  <c r="T54" i="9"/>
  <c r="S54" i="9"/>
  <c r="V54" i="9" s="1"/>
  <c r="R54" i="9"/>
  <c r="U54" i="9" s="1"/>
  <c r="O54" i="9"/>
  <c r="L54" i="9"/>
  <c r="I54" i="9"/>
  <c r="Q54" i="9" s="1"/>
  <c r="H54" i="9"/>
  <c r="N54" i="9" s="1"/>
  <c r="G54" i="9"/>
  <c r="P54" i="9" s="1"/>
  <c r="F54" i="9"/>
  <c r="E54" i="9"/>
  <c r="AH53" i="9"/>
  <c r="AG53" i="9"/>
  <c r="AE53" i="9"/>
  <c r="AD53" i="9"/>
  <c r="AB53" i="9"/>
  <c r="AA53" i="9"/>
  <c r="Y53" i="9"/>
  <c r="X53" i="9"/>
  <c r="W53" i="9"/>
  <c r="T53" i="9"/>
  <c r="S53" i="9"/>
  <c r="V53" i="9" s="1"/>
  <c r="R53" i="9"/>
  <c r="O53" i="9"/>
  <c r="L53" i="9"/>
  <c r="I53" i="9"/>
  <c r="H53" i="9"/>
  <c r="N53" i="9" s="1"/>
  <c r="G53" i="9"/>
  <c r="P53" i="9" s="1"/>
  <c r="F53" i="9"/>
  <c r="E53" i="9"/>
  <c r="AH51" i="9"/>
  <c r="AG51" i="9"/>
  <c r="AE51" i="9"/>
  <c r="AD51" i="9"/>
  <c r="AB51" i="9"/>
  <c r="AA51" i="9"/>
  <c r="Y51" i="9"/>
  <c r="X51" i="9"/>
  <c r="Z51" i="9" s="1"/>
  <c r="W51" i="9"/>
  <c r="T51" i="9"/>
  <c r="V51" i="9" s="1"/>
  <c r="S51" i="9"/>
  <c r="R51" i="9"/>
  <c r="O51" i="9"/>
  <c r="L51" i="9"/>
  <c r="J51" i="9" s="1"/>
  <c r="I51" i="9"/>
  <c r="Q51" i="9" s="1"/>
  <c r="H51" i="9"/>
  <c r="N51" i="9" s="1"/>
  <c r="G51" i="9"/>
  <c r="P51" i="9" s="1"/>
  <c r="F51" i="9"/>
  <c r="E51" i="9"/>
  <c r="AH50" i="9"/>
  <c r="AG50" i="9"/>
  <c r="AE50" i="9"/>
  <c r="AD50" i="9"/>
  <c r="AI50" i="9" s="1"/>
  <c r="AB50" i="9"/>
  <c r="AA50" i="9"/>
  <c r="Y50" i="9"/>
  <c r="X50" i="9"/>
  <c r="W50" i="9"/>
  <c r="T50" i="9"/>
  <c r="S50" i="9"/>
  <c r="R50" i="9"/>
  <c r="O50" i="9"/>
  <c r="L50" i="9"/>
  <c r="I50" i="9"/>
  <c r="Q50" i="9" s="1"/>
  <c r="H50" i="9"/>
  <c r="N50" i="9" s="1"/>
  <c r="G50" i="9"/>
  <c r="P50" i="9" s="1"/>
  <c r="F50" i="9"/>
  <c r="E50" i="9"/>
  <c r="AH49" i="9"/>
  <c r="AG49" i="9"/>
  <c r="AE49" i="9"/>
  <c r="AD49" i="9"/>
  <c r="AB49" i="9"/>
  <c r="AA49" i="9"/>
  <c r="Y49" i="9"/>
  <c r="X49" i="9"/>
  <c r="Z49" i="9" s="1"/>
  <c r="W49" i="9"/>
  <c r="T49" i="9"/>
  <c r="S49" i="9"/>
  <c r="R49" i="9"/>
  <c r="O49" i="9"/>
  <c r="L49" i="9"/>
  <c r="J49" i="9" s="1"/>
  <c r="I49" i="9"/>
  <c r="Q49" i="9" s="1"/>
  <c r="H49" i="9"/>
  <c r="N49" i="9" s="1"/>
  <c r="G49" i="9"/>
  <c r="P49" i="9" s="1"/>
  <c r="F49" i="9"/>
  <c r="E49" i="9"/>
  <c r="D49" i="9" s="1"/>
  <c r="AH48" i="9"/>
  <c r="AG48" i="9"/>
  <c r="AE48" i="9"/>
  <c r="AD48" i="9"/>
  <c r="AB48" i="9"/>
  <c r="AA48" i="9"/>
  <c r="AF48" i="9" s="1"/>
  <c r="Y48" i="9"/>
  <c r="X48" i="9"/>
  <c r="AC48" i="9" s="1"/>
  <c r="W48" i="9"/>
  <c r="T48" i="9"/>
  <c r="S48" i="9"/>
  <c r="V48" i="9" s="1"/>
  <c r="R48" i="9"/>
  <c r="U48" i="9" s="1"/>
  <c r="O48" i="9"/>
  <c r="L48" i="9"/>
  <c r="I48" i="9"/>
  <c r="Q48" i="9" s="1"/>
  <c r="H48" i="9"/>
  <c r="N48" i="9" s="1"/>
  <c r="G48" i="9"/>
  <c r="F48" i="9"/>
  <c r="E48" i="9"/>
  <c r="AH47" i="9"/>
  <c r="AG47" i="9"/>
  <c r="AE47" i="9"/>
  <c r="AD47" i="9"/>
  <c r="AB47" i="9"/>
  <c r="AA47" i="9"/>
  <c r="Y47" i="9"/>
  <c r="X47" i="9"/>
  <c r="Z47" i="9" s="1"/>
  <c r="W47" i="9"/>
  <c r="T47" i="9"/>
  <c r="S47" i="9"/>
  <c r="V47" i="9" s="1"/>
  <c r="R47" i="9"/>
  <c r="U47" i="9" s="1"/>
  <c r="O47" i="9"/>
  <c r="L47" i="9"/>
  <c r="J47" i="9" s="1"/>
  <c r="I47" i="9"/>
  <c r="Q47" i="9" s="1"/>
  <c r="H47" i="9"/>
  <c r="N47" i="9" s="1"/>
  <c r="G47" i="9"/>
  <c r="P47" i="9" s="1"/>
  <c r="F47" i="9"/>
  <c r="E47" i="9"/>
  <c r="AH46" i="9"/>
  <c r="AG46" i="9"/>
  <c r="AE46" i="9"/>
  <c r="AD46" i="9"/>
  <c r="AB46" i="9"/>
  <c r="AA46" i="9"/>
  <c r="Y46" i="9"/>
  <c r="X46" i="9"/>
  <c r="W46" i="9"/>
  <c r="T46" i="9"/>
  <c r="S46" i="9"/>
  <c r="R46" i="9"/>
  <c r="O46" i="9"/>
  <c r="L46" i="9"/>
  <c r="I46" i="9"/>
  <c r="Q46" i="9" s="1"/>
  <c r="H46" i="9"/>
  <c r="G46" i="9"/>
  <c r="P46" i="9" s="1"/>
  <c r="F46" i="9"/>
  <c r="E46" i="9"/>
  <c r="AH45" i="9"/>
  <c r="AG45" i="9"/>
  <c r="AE45" i="9"/>
  <c r="AD45" i="9"/>
  <c r="AI45" i="9" s="1"/>
  <c r="AB45" i="9"/>
  <c r="AA45" i="9"/>
  <c r="Y45" i="9"/>
  <c r="X45" i="9"/>
  <c r="W45" i="9"/>
  <c r="V45" i="9"/>
  <c r="T45" i="9"/>
  <c r="S45" i="9"/>
  <c r="R45" i="9"/>
  <c r="O45" i="9"/>
  <c r="L45" i="9"/>
  <c r="I45" i="9"/>
  <c r="Q45" i="9" s="1"/>
  <c r="H45" i="9"/>
  <c r="G45" i="9"/>
  <c r="P45" i="9" s="1"/>
  <c r="F45" i="9"/>
  <c r="E45" i="9"/>
  <c r="AH44" i="9"/>
  <c r="AG44" i="9"/>
  <c r="AE44" i="9"/>
  <c r="AD44" i="9"/>
  <c r="AB44" i="9"/>
  <c r="AA44" i="9"/>
  <c r="Y44" i="9"/>
  <c r="X44" i="9"/>
  <c r="AC44" i="9" s="1"/>
  <c r="W44" i="9"/>
  <c r="T44" i="9"/>
  <c r="S44" i="9"/>
  <c r="R44" i="9"/>
  <c r="O44" i="9"/>
  <c r="L44" i="9"/>
  <c r="I44" i="9"/>
  <c r="Q44" i="9" s="1"/>
  <c r="H44" i="9"/>
  <c r="N44" i="9" s="1"/>
  <c r="G44" i="9"/>
  <c r="P44" i="9" s="1"/>
  <c r="F44" i="9"/>
  <c r="E44" i="9"/>
  <c r="AH43" i="9"/>
  <c r="AG43" i="9"/>
  <c r="AE43" i="9"/>
  <c r="AD43" i="9"/>
  <c r="AB43" i="9"/>
  <c r="AA43" i="9"/>
  <c r="AF43" i="9" s="1"/>
  <c r="Y43" i="9"/>
  <c r="X43" i="9"/>
  <c r="W43" i="9"/>
  <c r="T43" i="9"/>
  <c r="S43" i="9"/>
  <c r="R43" i="9"/>
  <c r="U43" i="9" s="1"/>
  <c r="O43" i="9"/>
  <c r="L43" i="9"/>
  <c r="I43" i="9"/>
  <c r="Q43" i="9" s="1"/>
  <c r="H43" i="9"/>
  <c r="N43" i="9" s="1"/>
  <c r="G43" i="9"/>
  <c r="P43" i="9" s="1"/>
  <c r="F43" i="9"/>
  <c r="E43" i="9"/>
  <c r="D43" i="9" s="1"/>
  <c r="AH42" i="9"/>
  <c r="AG42" i="9"/>
  <c r="AE42" i="9"/>
  <c r="AD42" i="9"/>
  <c r="AI42" i="9" s="1"/>
  <c r="AB42" i="9"/>
  <c r="AA42" i="9"/>
  <c r="Y42" i="9"/>
  <c r="X42" i="9"/>
  <c r="W42" i="9"/>
  <c r="T42" i="9"/>
  <c r="S42" i="9"/>
  <c r="R42" i="9"/>
  <c r="O42" i="9"/>
  <c r="L42" i="9"/>
  <c r="I42" i="9"/>
  <c r="Q42" i="9" s="1"/>
  <c r="H42" i="9"/>
  <c r="N42" i="9" s="1"/>
  <c r="G42" i="9"/>
  <c r="P42" i="9" s="1"/>
  <c r="F42" i="9"/>
  <c r="E42" i="9"/>
  <c r="AH41" i="9"/>
  <c r="AG41" i="9"/>
  <c r="AE41" i="9"/>
  <c r="AD41" i="9"/>
  <c r="AB41" i="9"/>
  <c r="AA41" i="9"/>
  <c r="Y41" i="9"/>
  <c r="X41" i="9"/>
  <c r="W41" i="9"/>
  <c r="T41" i="9"/>
  <c r="S41" i="9"/>
  <c r="R41" i="9"/>
  <c r="P41" i="9"/>
  <c r="O41" i="9"/>
  <c r="L41" i="9"/>
  <c r="I41" i="9"/>
  <c r="Q41" i="9" s="1"/>
  <c r="H41" i="9"/>
  <c r="N41" i="9" s="1"/>
  <c r="G41" i="9"/>
  <c r="F41" i="9"/>
  <c r="E41" i="9"/>
  <c r="AH40" i="9"/>
  <c r="AG40" i="9"/>
  <c r="AE40" i="9"/>
  <c r="AD40" i="9"/>
  <c r="AB40" i="9"/>
  <c r="AA40" i="9"/>
  <c r="Y40" i="9"/>
  <c r="X40" i="9"/>
  <c r="W40" i="9"/>
  <c r="T40" i="9"/>
  <c r="S40" i="9"/>
  <c r="R40" i="9"/>
  <c r="O40" i="9"/>
  <c r="L40" i="9"/>
  <c r="I40" i="9"/>
  <c r="Q40" i="9" s="1"/>
  <c r="H40" i="9"/>
  <c r="G40" i="9"/>
  <c r="P40" i="9" s="1"/>
  <c r="F40" i="9"/>
  <c r="E40" i="9"/>
  <c r="AH39" i="9"/>
  <c r="AG39" i="9"/>
  <c r="AE39" i="9"/>
  <c r="AD39" i="9"/>
  <c r="AB39" i="9"/>
  <c r="AA39" i="9"/>
  <c r="Y39" i="9"/>
  <c r="X39" i="9"/>
  <c r="W39" i="9"/>
  <c r="T39" i="9"/>
  <c r="V39" i="9" s="1"/>
  <c r="S39" i="9"/>
  <c r="R39" i="9"/>
  <c r="O39" i="9"/>
  <c r="L39" i="9"/>
  <c r="J39" i="9" s="1"/>
  <c r="I39" i="9"/>
  <c r="Q39" i="9" s="1"/>
  <c r="H39" i="9"/>
  <c r="N39" i="9" s="1"/>
  <c r="G39" i="9"/>
  <c r="P39" i="9" s="1"/>
  <c r="F39" i="9"/>
  <c r="E39" i="9"/>
  <c r="D39" i="9" s="1"/>
  <c r="AH38" i="9"/>
  <c r="AG38" i="9"/>
  <c r="AE38" i="9"/>
  <c r="AD38" i="9"/>
  <c r="AB38" i="9"/>
  <c r="AA38" i="9"/>
  <c r="Y38" i="9"/>
  <c r="X38" i="9"/>
  <c r="W38" i="9"/>
  <c r="T38" i="9"/>
  <c r="S38" i="9"/>
  <c r="R38" i="9"/>
  <c r="O38" i="9"/>
  <c r="L38" i="9"/>
  <c r="I38" i="9"/>
  <c r="Q38" i="9" s="1"/>
  <c r="H38" i="9"/>
  <c r="N38" i="9" s="1"/>
  <c r="G38" i="9"/>
  <c r="P38" i="9" s="1"/>
  <c r="F38" i="9"/>
  <c r="E38" i="9"/>
  <c r="AH37" i="9"/>
  <c r="AG37" i="9"/>
  <c r="AE37" i="9"/>
  <c r="AD37" i="9"/>
  <c r="AB37" i="9"/>
  <c r="AA37" i="9"/>
  <c r="Y37" i="9"/>
  <c r="X37" i="9"/>
  <c r="W37" i="9"/>
  <c r="T37" i="9"/>
  <c r="S37" i="9"/>
  <c r="V37" i="9" s="1"/>
  <c r="R37" i="9"/>
  <c r="U37" i="9" s="1"/>
  <c r="O37" i="9"/>
  <c r="L37" i="9"/>
  <c r="J37" i="9" s="1"/>
  <c r="I37" i="9"/>
  <c r="Q37" i="9" s="1"/>
  <c r="H37" i="9"/>
  <c r="N37" i="9" s="1"/>
  <c r="G37" i="9"/>
  <c r="P37" i="9" s="1"/>
  <c r="F37" i="9"/>
  <c r="E37" i="9"/>
  <c r="AH36" i="9"/>
  <c r="AG36" i="9"/>
  <c r="AE36" i="9"/>
  <c r="AD36" i="9"/>
  <c r="AB36" i="9"/>
  <c r="AA36" i="9"/>
  <c r="Y36" i="9"/>
  <c r="X36" i="9"/>
  <c r="W36" i="9"/>
  <c r="T36" i="9"/>
  <c r="S36" i="9"/>
  <c r="R36" i="9"/>
  <c r="O36" i="9"/>
  <c r="L36" i="9"/>
  <c r="I36" i="9"/>
  <c r="Q36" i="9" s="1"/>
  <c r="H36" i="9"/>
  <c r="G36" i="9"/>
  <c r="P36" i="9" s="1"/>
  <c r="F36" i="9"/>
  <c r="E36" i="9"/>
  <c r="AH35" i="9"/>
  <c r="AG35" i="9"/>
  <c r="AE35" i="9"/>
  <c r="AD35" i="9"/>
  <c r="AB35" i="9"/>
  <c r="AA35" i="9"/>
  <c r="Y35" i="9"/>
  <c r="X35" i="9"/>
  <c r="W35" i="9"/>
  <c r="T35" i="9"/>
  <c r="S35" i="9"/>
  <c r="V35" i="9" s="1"/>
  <c r="R35" i="9"/>
  <c r="U35" i="9" s="1"/>
  <c r="O35" i="9"/>
  <c r="L35" i="9"/>
  <c r="I35" i="9"/>
  <c r="Q35" i="9" s="1"/>
  <c r="H35" i="9"/>
  <c r="G35" i="9"/>
  <c r="P35" i="9" s="1"/>
  <c r="F35" i="9"/>
  <c r="E35" i="9"/>
  <c r="AH34" i="9"/>
  <c r="AG34" i="9"/>
  <c r="AE34" i="9"/>
  <c r="AD34" i="9"/>
  <c r="AB34" i="9"/>
  <c r="AA34" i="9"/>
  <c r="Y34" i="9"/>
  <c r="X34" i="9"/>
  <c r="W34" i="9"/>
  <c r="T34" i="9"/>
  <c r="S34" i="9"/>
  <c r="R34" i="9"/>
  <c r="O34" i="9"/>
  <c r="L34" i="9"/>
  <c r="I34" i="9"/>
  <c r="Q34" i="9" s="1"/>
  <c r="H34" i="9"/>
  <c r="N34" i="9" s="1"/>
  <c r="G34" i="9"/>
  <c r="P34" i="9" s="1"/>
  <c r="F34" i="9"/>
  <c r="E34" i="9"/>
  <c r="AH33" i="9"/>
  <c r="AG33" i="9"/>
  <c r="AE33" i="9"/>
  <c r="AD33" i="9"/>
  <c r="AB33" i="9"/>
  <c r="AA33" i="9"/>
  <c r="Y33" i="9"/>
  <c r="X33" i="9"/>
  <c r="W33" i="9"/>
  <c r="T33" i="9"/>
  <c r="U33" i="9" s="1"/>
  <c r="S33" i="9"/>
  <c r="R33" i="9"/>
  <c r="O33" i="9"/>
  <c r="L33" i="9"/>
  <c r="J33" i="9" s="1"/>
  <c r="I33" i="9"/>
  <c r="Q33" i="9" s="1"/>
  <c r="H33" i="9"/>
  <c r="N33" i="9" s="1"/>
  <c r="G33" i="9"/>
  <c r="P33" i="9" s="1"/>
  <c r="F33" i="9"/>
  <c r="E33" i="9"/>
  <c r="AH32" i="9"/>
  <c r="AG32" i="9"/>
  <c r="AE32" i="9"/>
  <c r="AD32" i="9"/>
  <c r="AB32" i="9"/>
  <c r="AA32" i="9"/>
  <c r="Y32" i="9"/>
  <c r="X32" i="9"/>
  <c r="W32" i="9"/>
  <c r="T32" i="9"/>
  <c r="S32" i="9"/>
  <c r="V32" i="9" s="1"/>
  <c r="R32" i="9"/>
  <c r="U32" i="9" s="1"/>
  <c r="O32" i="9"/>
  <c r="L32" i="9"/>
  <c r="I32" i="9"/>
  <c r="Q32" i="9" s="1"/>
  <c r="H32" i="9"/>
  <c r="G32" i="9"/>
  <c r="P32" i="9" s="1"/>
  <c r="F32" i="9"/>
  <c r="E32" i="9"/>
  <c r="AH30" i="9"/>
  <c r="AG30" i="9"/>
  <c r="AE30" i="9"/>
  <c r="AD30" i="9"/>
  <c r="AB30" i="9"/>
  <c r="AA30" i="9"/>
  <c r="Y30" i="9"/>
  <c r="X30" i="9"/>
  <c r="W30" i="9"/>
  <c r="T30" i="9"/>
  <c r="S30" i="9"/>
  <c r="R30" i="9"/>
  <c r="O30" i="9"/>
  <c r="L30" i="9"/>
  <c r="I30" i="9"/>
  <c r="Q30" i="9" s="1"/>
  <c r="H30" i="9"/>
  <c r="G30" i="9"/>
  <c r="P30" i="9" s="1"/>
  <c r="F30" i="9"/>
  <c r="E30" i="9"/>
  <c r="AH29" i="9"/>
  <c r="AG29" i="9"/>
  <c r="AE29" i="9"/>
  <c r="AD29" i="9"/>
  <c r="AB29" i="9"/>
  <c r="AA29" i="9"/>
  <c r="Y29" i="9"/>
  <c r="X29" i="9"/>
  <c r="W29" i="9"/>
  <c r="T29" i="9"/>
  <c r="S29" i="9"/>
  <c r="R29" i="9"/>
  <c r="O29" i="9"/>
  <c r="L29" i="9"/>
  <c r="I29" i="9"/>
  <c r="Q29" i="9" s="1"/>
  <c r="H29" i="9"/>
  <c r="G29" i="9"/>
  <c r="P29" i="9" s="1"/>
  <c r="F29" i="9"/>
  <c r="E29" i="9"/>
  <c r="AH28" i="9"/>
  <c r="AG28" i="9"/>
  <c r="AE28" i="9"/>
  <c r="AD28" i="9"/>
  <c r="AI28" i="9" s="1"/>
  <c r="AB28" i="9"/>
  <c r="AA28" i="9"/>
  <c r="Y28" i="9"/>
  <c r="X28" i="9"/>
  <c r="W28" i="9"/>
  <c r="T28" i="9"/>
  <c r="V28" i="9" s="1"/>
  <c r="S28" i="9"/>
  <c r="R28" i="9"/>
  <c r="O28" i="9"/>
  <c r="L28" i="9"/>
  <c r="I28" i="9"/>
  <c r="Q28" i="9" s="1"/>
  <c r="H28" i="9"/>
  <c r="N28" i="9" s="1"/>
  <c r="G28" i="9"/>
  <c r="P28" i="9" s="1"/>
  <c r="F28" i="9"/>
  <c r="E28" i="9"/>
  <c r="AH27" i="9"/>
  <c r="AG27" i="9"/>
  <c r="AE27" i="9"/>
  <c r="AD27" i="9"/>
  <c r="AB27" i="9"/>
  <c r="AA27" i="9"/>
  <c r="Y27" i="9"/>
  <c r="X27" i="9"/>
  <c r="W27" i="9"/>
  <c r="T27" i="9"/>
  <c r="S27" i="9"/>
  <c r="R27" i="9"/>
  <c r="O27" i="9"/>
  <c r="L27" i="9"/>
  <c r="I27" i="9"/>
  <c r="Q27" i="9" s="1"/>
  <c r="H27" i="9"/>
  <c r="N27" i="9" s="1"/>
  <c r="G27" i="9"/>
  <c r="P27" i="9" s="1"/>
  <c r="F27" i="9"/>
  <c r="E27" i="9"/>
  <c r="D27" i="9" s="1"/>
  <c r="AH26" i="9"/>
  <c r="AG26" i="9"/>
  <c r="AE26" i="9"/>
  <c r="AD26" i="9"/>
  <c r="AB26" i="9"/>
  <c r="AA26" i="9"/>
  <c r="Y26" i="9"/>
  <c r="X26" i="9"/>
  <c r="W26" i="9"/>
  <c r="T26" i="9"/>
  <c r="S26" i="9"/>
  <c r="R26" i="9"/>
  <c r="O26" i="9"/>
  <c r="L26" i="9"/>
  <c r="I26" i="9"/>
  <c r="Q26" i="9" s="1"/>
  <c r="H26" i="9"/>
  <c r="N26" i="9" s="1"/>
  <c r="G26" i="9"/>
  <c r="P26" i="9" s="1"/>
  <c r="F26" i="9"/>
  <c r="E26" i="9"/>
  <c r="AH25" i="9"/>
  <c r="AG25" i="9"/>
  <c r="AE25" i="9"/>
  <c r="AD25" i="9"/>
  <c r="AB25" i="9"/>
  <c r="AA25" i="9"/>
  <c r="Y25" i="9"/>
  <c r="X25" i="9"/>
  <c r="W25" i="9"/>
  <c r="T25" i="9"/>
  <c r="S25" i="9"/>
  <c r="R25" i="9"/>
  <c r="U25" i="9" s="1"/>
  <c r="O25" i="9"/>
  <c r="L25" i="9"/>
  <c r="I25" i="9"/>
  <c r="Q25" i="9" s="1"/>
  <c r="H25" i="9"/>
  <c r="N25" i="9" s="1"/>
  <c r="G25" i="9"/>
  <c r="P25" i="9" s="1"/>
  <c r="F25" i="9"/>
  <c r="D25" i="9" s="1"/>
  <c r="E25" i="9"/>
  <c r="AH24" i="9"/>
  <c r="AG24" i="9"/>
  <c r="AE24" i="9"/>
  <c r="AD24" i="9"/>
  <c r="AB24" i="9"/>
  <c r="AA24" i="9"/>
  <c r="Y24" i="9"/>
  <c r="X24" i="9"/>
  <c r="W24" i="9"/>
  <c r="T24" i="9"/>
  <c r="S24" i="9"/>
  <c r="R24" i="9"/>
  <c r="O24" i="9"/>
  <c r="L24" i="9"/>
  <c r="J24" i="9" s="1"/>
  <c r="I24" i="9"/>
  <c r="Q24" i="9" s="1"/>
  <c r="H24" i="9"/>
  <c r="N24" i="9" s="1"/>
  <c r="G24" i="9"/>
  <c r="P24" i="9" s="1"/>
  <c r="F24" i="9"/>
  <c r="E24" i="9"/>
  <c r="AH23" i="9"/>
  <c r="AG23" i="9"/>
  <c r="AE23" i="9"/>
  <c r="AD23" i="9"/>
  <c r="AB23" i="9"/>
  <c r="AA23" i="9"/>
  <c r="Y23" i="9"/>
  <c r="X23" i="9"/>
  <c r="W23" i="9"/>
  <c r="T23" i="9"/>
  <c r="S23" i="9"/>
  <c r="R23" i="9"/>
  <c r="O23" i="9"/>
  <c r="L23" i="9"/>
  <c r="I23" i="9"/>
  <c r="Q23" i="9" s="1"/>
  <c r="H23" i="9"/>
  <c r="G23" i="9"/>
  <c r="P23" i="9" s="1"/>
  <c r="F23" i="9"/>
  <c r="E23" i="9"/>
  <c r="AH22" i="9"/>
  <c r="AG22" i="9"/>
  <c r="AE22" i="9"/>
  <c r="AD22" i="9"/>
  <c r="AI22" i="9" s="1"/>
  <c r="AB22" i="9"/>
  <c r="AA22" i="9"/>
  <c r="Y22" i="9"/>
  <c r="X22" i="9"/>
  <c r="W22" i="9"/>
  <c r="V22" i="9"/>
  <c r="T22" i="9"/>
  <c r="S22" i="9"/>
  <c r="R22" i="9"/>
  <c r="O22" i="9"/>
  <c r="L22" i="9"/>
  <c r="I22" i="9"/>
  <c r="Q22" i="9" s="1"/>
  <c r="H22" i="9"/>
  <c r="N22" i="9" s="1"/>
  <c r="G22" i="9"/>
  <c r="P22" i="9" s="1"/>
  <c r="F22" i="9"/>
  <c r="E22" i="9"/>
  <c r="AH21" i="9"/>
  <c r="AG21" i="9"/>
  <c r="AE21" i="9"/>
  <c r="AD21" i="9"/>
  <c r="AB21" i="9"/>
  <c r="AA21" i="9"/>
  <c r="Y21" i="9"/>
  <c r="X21" i="9"/>
  <c r="W21" i="9"/>
  <c r="T21" i="9"/>
  <c r="S21" i="9"/>
  <c r="R21" i="9"/>
  <c r="U21" i="9" s="1"/>
  <c r="O21" i="9"/>
  <c r="L21" i="9"/>
  <c r="I21" i="9"/>
  <c r="Q21" i="9" s="1"/>
  <c r="H21" i="9"/>
  <c r="N21" i="9" s="1"/>
  <c r="G21" i="9"/>
  <c r="P21" i="9" s="1"/>
  <c r="F21" i="9"/>
  <c r="E21" i="9"/>
  <c r="AH20" i="9"/>
  <c r="AG20" i="9"/>
  <c r="AE20" i="9"/>
  <c r="AD20" i="9"/>
  <c r="AB20" i="9"/>
  <c r="AA20" i="9"/>
  <c r="Y20" i="9"/>
  <c r="X20" i="9"/>
  <c r="W20" i="9"/>
  <c r="T20" i="9"/>
  <c r="S20" i="9"/>
  <c r="R20" i="9"/>
  <c r="O20" i="9"/>
  <c r="L20" i="9"/>
  <c r="I20" i="9"/>
  <c r="Q20" i="9" s="1"/>
  <c r="H20" i="9"/>
  <c r="G20" i="9"/>
  <c r="P20" i="9" s="1"/>
  <c r="F20" i="9"/>
  <c r="E20" i="9"/>
  <c r="AH19" i="9"/>
  <c r="AG19" i="9"/>
  <c r="AE19" i="9"/>
  <c r="AD19" i="9"/>
  <c r="AB19" i="9"/>
  <c r="AA19" i="9"/>
  <c r="Y19" i="9"/>
  <c r="X19" i="9"/>
  <c r="W19" i="9"/>
  <c r="T19" i="9"/>
  <c r="S19" i="9"/>
  <c r="V19" i="9" s="1"/>
  <c r="R19" i="9"/>
  <c r="O19" i="9"/>
  <c r="L19" i="9"/>
  <c r="I19" i="9"/>
  <c r="Q19" i="9" s="1"/>
  <c r="H19" i="9"/>
  <c r="N19" i="9" s="1"/>
  <c r="G19" i="9"/>
  <c r="P19" i="9" s="1"/>
  <c r="F19" i="9"/>
  <c r="E19" i="9"/>
  <c r="AH18" i="9"/>
  <c r="AG18" i="9"/>
  <c r="AE18" i="9"/>
  <c r="AD18" i="9"/>
  <c r="AB18" i="9"/>
  <c r="AA18" i="9"/>
  <c r="Y18" i="9"/>
  <c r="X18" i="9"/>
  <c r="W18" i="9"/>
  <c r="T18" i="9"/>
  <c r="S18" i="9"/>
  <c r="R18" i="9"/>
  <c r="O18" i="9"/>
  <c r="L18" i="9"/>
  <c r="I18" i="9"/>
  <c r="Q18" i="9" s="1"/>
  <c r="H18" i="9"/>
  <c r="G18" i="9"/>
  <c r="F18" i="9"/>
  <c r="E18" i="9"/>
  <c r="D18" i="9" s="1"/>
  <c r="AH17" i="9"/>
  <c r="AG17" i="9"/>
  <c r="AE17" i="9"/>
  <c r="AD17" i="9"/>
  <c r="AB17" i="9"/>
  <c r="AA17" i="9"/>
  <c r="Y17" i="9"/>
  <c r="X17" i="9"/>
  <c r="W17" i="9"/>
  <c r="T17" i="9"/>
  <c r="S17" i="9"/>
  <c r="R17" i="9"/>
  <c r="U17" i="9" s="1"/>
  <c r="O17" i="9"/>
  <c r="L17" i="9"/>
  <c r="I17" i="9"/>
  <c r="Q17" i="9" s="1"/>
  <c r="H17" i="9"/>
  <c r="G17" i="9"/>
  <c r="P17" i="9" s="1"/>
  <c r="F17" i="9"/>
  <c r="E17" i="9"/>
  <c r="AH16" i="9"/>
  <c r="AG16" i="9"/>
  <c r="AE16" i="9"/>
  <c r="AD16" i="9"/>
  <c r="AB16" i="9"/>
  <c r="AA16" i="9"/>
  <c r="Y16" i="9"/>
  <c r="X16" i="9"/>
  <c r="W16" i="9"/>
  <c r="T16" i="9"/>
  <c r="S16" i="9"/>
  <c r="R16" i="9"/>
  <c r="O16" i="9"/>
  <c r="L16" i="9"/>
  <c r="I16" i="9"/>
  <c r="Q16" i="9" s="1"/>
  <c r="H16" i="9"/>
  <c r="G16" i="9"/>
  <c r="P16" i="9" s="1"/>
  <c r="F16" i="9"/>
  <c r="E16" i="9"/>
  <c r="AH15" i="9"/>
  <c r="AG15" i="9"/>
  <c r="AE15" i="9"/>
  <c r="AD15" i="9"/>
  <c r="AB15" i="9"/>
  <c r="AA15" i="9"/>
  <c r="Y15" i="9"/>
  <c r="X15" i="9"/>
  <c r="W15" i="9"/>
  <c r="T15" i="9"/>
  <c r="S15" i="9"/>
  <c r="R15" i="9"/>
  <c r="O15" i="9"/>
  <c r="J15" i="9" s="1"/>
  <c r="L15" i="9"/>
  <c r="I15" i="9"/>
  <c r="Q15" i="9" s="1"/>
  <c r="H15" i="9"/>
  <c r="G15" i="9"/>
  <c r="P15" i="9" s="1"/>
  <c r="F15" i="9"/>
  <c r="E15" i="9"/>
  <c r="AH14" i="9"/>
  <c r="AG14" i="9"/>
  <c r="AE14" i="9"/>
  <c r="AD14" i="9"/>
  <c r="AB14" i="9"/>
  <c r="AA14" i="9"/>
  <c r="AF14" i="9" s="1"/>
  <c r="Y14" i="9"/>
  <c r="X14" i="9"/>
  <c r="W14" i="9"/>
  <c r="T14" i="9"/>
  <c r="S14" i="9"/>
  <c r="R14" i="9"/>
  <c r="O14" i="9"/>
  <c r="L14" i="9"/>
  <c r="J14" i="9"/>
  <c r="I14" i="9"/>
  <c r="Q14" i="9" s="1"/>
  <c r="H14" i="9"/>
  <c r="G14" i="9"/>
  <c r="P14" i="9" s="1"/>
  <c r="F14" i="9"/>
  <c r="E14" i="9"/>
  <c r="V108" i="8"/>
  <c r="U108" i="8"/>
  <c r="O108" i="8"/>
  <c r="L108" i="8"/>
  <c r="I108" i="8"/>
  <c r="Q108" i="8" s="1"/>
  <c r="H108" i="8"/>
  <c r="N108" i="8" s="1"/>
  <c r="G108" i="8"/>
  <c r="P108" i="8" s="1"/>
  <c r="F108" i="8"/>
  <c r="E108" i="8"/>
  <c r="V107" i="8"/>
  <c r="U107" i="8"/>
  <c r="O107" i="8"/>
  <c r="L107" i="8"/>
  <c r="I107" i="8"/>
  <c r="Q107" i="8" s="1"/>
  <c r="H107" i="8"/>
  <c r="N107" i="8" s="1"/>
  <c r="G107" i="8"/>
  <c r="P107" i="8" s="1"/>
  <c r="F107" i="8"/>
  <c r="E107" i="8"/>
  <c r="V106" i="8"/>
  <c r="U106" i="8"/>
  <c r="O106" i="8"/>
  <c r="L106" i="8"/>
  <c r="I106" i="8"/>
  <c r="Q106" i="8" s="1"/>
  <c r="H106" i="8"/>
  <c r="N106" i="8" s="1"/>
  <c r="G106" i="8"/>
  <c r="P106" i="8" s="1"/>
  <c r="F106" i="8"/>
  <c r="E106" i="8"/>
  <c r="D106" i="8" s="1"/>
  <c r="V105" i="8"/>
  <c r="U105" i="8"/>
  <c r="O105" i="8"/>
  <c r="L105" i="8"/>
  <c r="I105" i="8"/>
  <c r="Q105" i="8" s="1"/>
  <c r="H105" i="8"/>
  <c r="N105" i="8" s="1"/>
  <c r="G105" i="8"/>
  <c r="P105" i="8" s="1"/>
  <c r="F105" i="8"/>
  <c r="E105" i="8"/>
  <c r="V104" i="8"/>
  <c r="U104" i="8"/>
  <c r="O104" i="8"/>
  <c r="L104" i="8"/>
  <c r="J104" i="8" s="1"/>
  <c r="I104" i="8"/>
  <c r="Q104" i="8" s="1"/>
  <c r="H104" i="8"/>
  <c r="N104" i="8" s="1"/>
  <c r="G104" i="8"/>
  <c r="P104" i="8" s="1"/>
  <c r="F104" i="8"/>
  <c r="E104" i="8"/>
  <c r="V103" i="8"/>
  <c r="U103" i="8"/>
  <c r="O103" i="8"/>
  <c r="L103" i="8"/>
  <c r="I103" i="8"/>
  <c r="Q103" i="8" s="1"/>
  <c r="H103" i="8"/>
  <c r="N103" i="8" s="1"/>
  <c r="G103" i="8"/>
  <c r="P103" i="8" s="1"/>
  <c r="F103" i="8"/>
  <c r="E103" i="8"/>
  <c r="V102" i="8"/>
  <c r="U102" i="8"/>
  <c r="O102" i="8"/>
  <c r="L102" i="8"/>
  <c r="I102" i="8"/>
  <c r="Q102" i="8" s="1"/>
  <c r="H102" i="8"/>
  <c r="N102" i="8" s="1"/>
  <c r="G102" i="8"/>
  <c r="P102" i="8" s="1"/>
  <c r="F102" i="8"/>
  <c r="E102" i="8"/>
  <c r="D102" i="8" s="1"/>
  <c r="M102" i="8" s="1"/>
  <c r="V101" i="8"/>
  <c r="U101" i="8"/>
  <c r="O101" i="8"/>
  <c r="L101" i="8"/>
  <c r="I101" i="8"/>
  <c r="Q101" i="8" s="1"/>
  <c r="H101" i="8"/>
  <c r="G101" i="8"/>
  <c r="P101" i="8" s="1"/>
  <c r="F101" i="8"/>
  <c r="E101" i="8"/>
  <c r="V100" i="8"/>
  <c r="U100" i="8"/>
  <c r="O100" i="8"/>
  <c r="L100" i="8"/>
  <c r="J100" i="8" s="1"/>
  <c r="I100" i="8"/>
  <c r="Q100" i="8" s="1"/>
  <c r="H100" i="8"/>
  <c r="N100" i="8" s="1"/>
  <c r="G100" i="8"/>
  <c r="P100" i="8" s="1"/>
  <c r="F100" i="8"/>
  <c r="E100" i="8"/>
  <c r="V99" i="8"/>
  <c r="U99" i="8"/>
  <c r="O99" i="8"/>
  <c r="L99" i="8"/>
  <c r="I99" i="8"/>
  <c r="Q99" i="8" s="1"/>
  <c r="H99" i="8"/>
  <c r="N99" i="8" s="1"/>
  <c r="G99" i="8"/>
  <c r="P99" i="8" s="1"/>
  <c r="F99" i="8"/>
  <c r="E99" i="8"/>
  <c r="V98" i="8"/>
  <c r="U98" i="8"/>
  <c r="O98" i="8"/>
  <c r="L98" i="8"/>
  <c r="J98" i="8" s="1"/>
  <c r="I98" i="8"/>
  <c r="Q98" i="8" s="1"/>
  <c r="H98" i="8"/>
  <c r="N98" i="8" s="1"/>
  <c r="G98" i="8"/>
  <c r="P98" i="8" s="1"/>
  <c r="F98" i="8"/>
  <c r="E98" i="8"/>
  <c r="V97" i="8"/>
  <c r="U97" i="8"/>
  <c r="O97" i="8"/>
  <c r="J97" i="8" s="1"/>
  <c r="L97" i="8"/>
  <c r="I97" i="8"/>
  <c r="Q97" i="8" s="1"/>
  <c r="H97" i="8"/>
  <c r="N97" i="8" s="1"/>
  <c r="G97" i="8"/>
  <c r="P97" i="8" s="1"/>
  <c r="F97" i="8"/>
  <c r="D97" i="8" s="1"/>
  <c r="E97" i="8"/>
  <c r="V96" i="8"/>
  <c r="U96" i="8"/>
  <c r="O96" i="8"/>
  <c r="L96" i="8"/>
  <c r="I96" i="8"/>
  <c r="Q96" i="8" s="1"/>
  <c r="H96" i="8"/>
  <c r="N96" i="8" s="1"/>
  <c r="G96" i="8"/>
  <c r="P96" i="8" s="1"/>
  <c r="F96" i="8"/>
  <c r="E96" i="8"/>
  <c r="V95" i="8"/>
  <c r="U95" i="8"/>
  <c r="O95" i="8"/>
  <c r="L95" i="8"/>
  <c r="I95" i="8"/>
  <c r="Q95" i="8" s="1"/>
  <c r="H95" i="8"/>
  <c r="N95" i="8" s="1"/>
  <c r="G95" i="8"/>
  <c r="P95" i="8" s="1"/>
  <c r="F95" i="8"/>
  <c r="E95" i="8"/>
  <c r="V94" i="8"/>
  <c r="U94" i="8"/>
  <c r="O94" i="8"/>
  <c r="L94" i="8"/>
  <c r="I94" i="8"/>
  <c r="Q94" i="8" s="1"/>
  <c r="H94" i="8"/>
  <c r="N94" i="8" s="1"/>
  <c r="G94" i="8"/>
  <c r="P94" i="8" s="1"/>
  <c r="F94" i="8"/>
  <c r="E94" i="8"/>
  <c r="D94" i="8" s="1"/>
  <c r="V93" i="8"/>
  <c r="U93" i="8"/>
  <c r="O93" i="8"/>
  <c r="L93" i="8"/>
  <c r="I93" i="8"/>
  <c r="Q93" i="8" s="1"/>
  <c r="H93" i="8"/>
  <c r="N93" i="8" s="1"/>
  <c r="G93" i="8"/>
  <c r="P93" i="8" s="1"/>
  <c r="F93" i="8"/>
  <c r="E93" i="8"/>
  <c r="V92" i="8"/>
  <c r="U92" i="8"/>
  <c r="O92" i="8"/>
  <c r="L92" i="8"/>
  <c r="I92" i="8"/>
  <c r="Q92" i="8" s="1"/>
  <c r="H92" i="8"/>
  <c r="N92" i="8" s="1"/>
  <c r="G92" i="8"/>
  <c r="P92" i="8" s="1"/>
  <c r="F92" i="8"/>
  <c r="E92" i="8"/>
  <c r="V91" i="8"/>
  <c r="U91" i="8"/>
  <c r="O91" i="8"/>
  <c r="L91" i="8"/>
  <c r="I91" i="8"/>
  <c r="Q91" i="8" s="1"/>
  <c r="H91" i="8"/>
  <c r="N91" i="8" s="1"/>
  <c r="G91" i="8"/>
  <c r="P91" i="8" s="1"/>
  <c r="F91" i="8"/>
  <c r="E91" i="8"/>
  <c r="D91" i="8" s="1"/>
  <c r="V90" i="8"/>
  <c r="U90" i="8"/>
  <c r="O90" i="8"/>
  <c r="L90" i="8"/>
  <c r="I90" i="8"/>
  <c r="H90" i="8"/>
  <c r="N90" i="8" s="1"/>
  <c r="G90" i="8"/>
  <c r="F90" i="8"/>
  <c r="E90" i="8"/>
  <c r="D90" i="8" s="1"/>
  <c r="V89" i="8"/>
  <c r="U89" i="8"/>
  <c r="T89" i="8"/>
  <c r="S89" i="8"/>
  <c r="R89" i="8"/>
  <c r="X88" i="8"/>
  <c r="W88" i="8"/>
  <c r="T88" i="8"/>
  <c r="V88" i="8" s="1"/>
  <c r="S88" i="8"/>
  <c r="R88" i="8"/>
  <c r="O88" i="8"/>
  <c r="L88" i="8"/>
  <c r="J88" i="8" s="1"/>
  <c r="I88" i="8"/>
  <c r="Q88" i="8" s="1"/>
  <c r="H88" i="8"/>
  <c r="G88" i="8"/>
  <c r="P88" i="8" s="1"/>
  <c r="F88" i="8"/>
  <c r="E88" i="8"/>
  <c r="D88" i="8" s="1"/>
  <c r="X87" i="8"/>
  <c r="W87" i="8"/>
  <c r="T87" i="8"/>
  <c r="S87" i="8"/>
  <c r="R87" i="8"/>
  <c r="O87" i="8"/>
  <c r="L87" i="8"/>
  <c r="I87" i="8"/>
  <c r="Q87" i="8" s="1"/>
  <c r="H87" i="8"/>
  <c r="G87" i="8"/>
  <c r="P87" i="8" s="1"/>
  <c r="F87" i="8"/>
  <c r="E87" i="8"/>
  <c r="X86" i="8"/>
  <c r="W86" i="8"/>
  <c r="Y86" i="8" s="1"/>
  <c r="T86" i="8"/>
  <c r="S86" i="8"/>
  <c r="R86" i="8"/>
  <c r="O86" i="8"/>
  <c r="L86" i="8"/>
  <c r="I86" i="8"/>
  <c r="Q86" i="8" s="1"/>
  <c r="H86" i="8"/>
  <c r="G86" i="8"/>
  <c r="P86" i="8" s="1"/>
  <c r="F86" i="8"/>
  <c r="E86" i="8"/>
  <c r="X85" i="8"/>
  <c r="W85" i="8"/>
  <c r="Y85" i="8" s="1"/>
  <c r="T85" i="8"/>
  <c r="S85" i="8"/>
  <c r="V85" i="8" s="1"/>
  <c r="R85" i="8"/>
  <c r="O85" i="8"/>
  <c r="L85" i="8"/>
  <c r="J85" i="8" s="1"/>
  <c r="I85" i="8"/>
  <c r="Q85" i="8" s="1"/>
  <c r="H85" i="8"/>
  <c r="G85" i="8"/>
  <c r="P85" i="8" s="1"/>
  <c r="F85" i="8"/>
  <c r="E85" i="8"/>
  <c r="X84" i="8"/>
  <c r="W84" i="8"/>
  <c r="T84" i="8"/>
  <c r="S84" i="8"/>
  <c r="R84" i="8"/>
  <c r="O84" i="8"/>
  <c r="L84" i="8"/>
  <c r="I84" i="8"/>
  <c r="Q84" i="8" s="1"/>
  <c r="H84" i="8"/>
  <c r="N84" i="8" s="1"/>
  <c r="G84" i="8"/>
  <c r="P84" i="8" s="1"/>
  <c r="F84" i="8"/>
  <c r="E84" i="8"/>
  <c r="X83" i="8"/>
  <c r="W83" i="8"/>
  <c r="T83" i="8"/>
  <c r="S83" i="8"/>
  <c r="R83" i="8"/>
  <c r="O83" i="8"/>
  <c r="L83" i="8"/>
  <c r="J83" i="8"/>
  <c r="I83" i="8"/>
  <c r="Q83" i="8" s="1"/>
  <c r="H83" i="8"/>
  <c r="N83" i="8" s="1"/>
  <c r="G83" i="8"/>
  <c r="P83" i="8" s="1"/>
  <c r="F83" i="8"/>
  <c r="E83" i="8"/>
  <c r="X82" i="8"/>
  <c r="W82" i="8"/>
  <c r="T82" i="8"/>
  <c r="S82" i="8"/>
  <c r="R82" i="8"/>
  <c r="O82" i="8"/>
  <c r="L82" i="8"/>
  <c r="J82" i="8" s="1"/>
  <c r="I82" i="8"/>
  <c r="Q82" i="8" s="1"/>
  <c r="H82" i="8"/>
  <c r="G82" i="8"/>
  <c r="P82" i="8" s="1"/>
  <c r="F82" i="8"/>
  <c r="E82" i="8"/>
  <c r="D82" i="8" s="1"/>
  <c r="X81" i="8"/>
  <c r="W81" i="8"/>
  <c r="T81" i="8"/>
  <c r="S81" i="8"/>
  <c r="R81" i="8"/>
  <c r="O81" i="8"/>
  <c r="L81" i="8"/>
  <c r="I81" i="8"/>
  <c r="Q81" i="8" s="1"/>
  <c r="H81" i="8"/>
  <c r="G81" i="8"/>
  <c r="P81" i="8" s="1"/>
  <c r="F81" i="8"/>
  <c r="E81" i="8"/>
  <c r="Y80" i="8"/>
  <c r="X80" i="8"/>
  <c r="W80" i="8"/>
  <c r="T80" i="8"/>
  <c r="S80" i="8"/>
  <c r="R80" i="8"/>
  <c r="U80" i="8" s="1"/>
  <c r="Q80" i="8"/>
  <c r="O80" i="8"/>
  <c r="L80" i="8"/>
  <c r="I80" i="8"/>
  <c r="H80" i="8"/>
  <c r="N80" i="8" s="1"/>
  <c r="G80" i="8"/>
  <c r="P80" i="8" s="1"/>
  <c r="F80" i="8"/>
  <c r="E80" i="8"/>
  <c r="X79" i="8"/>
  <c r="W79" i="8"/>
  <c r="Y79" i="8" s="1"/>
  <c r="T79" i="8"/>
  <c r="S79" i="8"/>
  <c r="R79" i="8"/>
  <c r="O79" i="8"/>
  <c r="L79" i="8"/>
  <c r="I79" i="8"/>
  <c r="Q79" i="8" s="1"/>
  <c r="H79" i="8"/>
  <c r="N79" i="8" s="1"/>
  <c r="G79" i="8"/>
  <c r="F79" i="8"/>
  <c r="E79" i="8"/>
  <c r="X78" i="8"/>
  <c r="W78" i="8"/>
  <c r="T78" i="8"/>
  <c r="S78" i="8"/>
  <c r="V78" i="8" s="1"/>
  <c r="R78" i="8"/>
  <c r="O78" i="8"/>
  <c r="L78" i="8"/>
  <c r="I78" i="8"/>
  <c r="Q78" i="8" s="1"/>
  <c r="H78" i="8"/>
  <c r="G78" i="8"/>
  <c r="P78" i="8" s="1"/>
  <c r="F78" i="8"/>
  <c r="E78" i="8"/>
  <c r="X77" i="8"/>
  <c r="W77" i="8"/>
  <c r="T77" i="8"/>
  <c r="U77" i="8" s="1"/>
  <c r="S77" i="8"/>
  <c r="V77" i="8" s="1"/>
  <c r="R77" i="8"/>
  <c r="O77" i="8"/>
  <c r="L77" i="8"/>
  <c r="J77" i="8" s="1"/>
  <c r="I77" i="8"/>
  <c r="Q77" i="8" s="1"/>
  <c r="H77" i="8"/>
  <c r="G77" i="8"/>
  <c r="P77" i="8" s="1"/>
  <c r="F77" i="8"/>
  <c r="E77" i="8"/>
  <c r="X76" i="8"/>
  <c r="W76" i="8"/>
  <c r="Y76" i="8" s="1"/>
  <c r="T76" i="8"/>
  <c r="S76" i="8"/>
  <c r="R76" i="8"/>
  <c r="O76" i="8"/>
  <c r="L76" i="8"/>
  <c r="J76" i="8" s="1"/>
  <c r="I76" i="8"/>
  <c r="Q76" i="8" s="1"/>
  <c r="H76" i="8"/>
  <c r="G76" i="8"/>
  <c r="P76" i="8" s="1"/>
  <c r="F76" i="8"/>
  <c r="E76" i="8"/>
  <c r="X75" i="8"/>
  <c r="W75" i="8"/>
  <c r="T75" i="8"/>
  <c r="S75" i="8"/>
  <c r="R75" i="8"/>
  <c r="O75" i="8"/>
  <c r="L75" i="8"/>
  <c r="I75" i="8"/>
  <c r="H75" i="8"/>
  <c r="N75" i="8" s="1"/>
  <c r="G75" i="8"/>
  <c r="P75" i="8" s="1"/>
  <c r="F75" i="8"/>
  <c r="E75" i="8"/>
  <c r="X73" i="8"/>
  <c r="W73" i="8"/>
  <c r="T73" i="8"/>
  <c r="S73" i="8"/>
  <c r="R73" i="8"/>
  <c r="O73" i="8"/>
  <c r="L73" i="8"/>
  <c r="I73" i="8"/>
  <c r="Q73" i="8" s="1"/>
  <c r="H73" i="8"/>
  <c r="G73" i="8"/>
  <c r="P73" i="8" s="1"/>
  <c r="F73" i="8"/>
  <c r="E73" i="8"/>
  <c r="X72" i="8"/>
  <c r="W72" i="8"/>
  <c r="T72" i="8"/>
  <c r="S72" i="8"/>
  <c r="R72" i="8"/>
  <c r="O72" i="8"/>
  <c r="L72" i="8"/>
  <c r="I72" i="8"/>
  <c r="Q72" i="8" s="1"/>
  <c r="H72" i="8"/>
  <c r="G72" i="8"/>
  <c r="P72" i="8" s="1"/>
  <c r="F72" i="8"/>
  <c r="E72" i="8"/>
  <c r="X71" i="8"/>
  <c r="W71" i="8"/>
  <c r="Y71" i="8" s="1"/>
  <c r="U71" i="8"/>
  <c r="T71" i="8"/>
  <c r="S71" i="8"/>
  <c r="R71" i="8"/>
  <c r="O71" i="8"/>
  <c r="L71" i="8"/>
  <c r="I71" i="8"/>
  <c r="Q71" i="8" s="1"/>
  <c r="H71" i="8"/>
  <c r="G71" i="8"/>
  <c r="P71" i="8" s="1"/>
  <c r="F71" i="8"/>
  <c r="E71" i="8"/>
  <c r="X70" i="8"/>
  <c r="W70" i="8"/>
  <c r="T70" i="8"/>
  <c r="S70" i="8"/>
  <c r="R70" i="8"/>
  <c r="O70" i="8"/>
  <c r="L70" i="8"/>
  <c r="J70" i="8" s="1"/>
  <c r="I70" i="8"/>
  <c r="Q70" i="8" s="1"/>
  <c r="H70" i="8"/>
  <c r="G70" i="8"/>
  <c r="P70" i="8" s="1"/>
  <c r="F70" i="8"/>
  <c r="E70" i="8"/>
  <c r="X69" i="8"/>
  <c r="W69" i="8"/>
  <c r="T69" i="8"/>
  <c r="S69" i="8"/>
  <c r="R69" i="8"/>
  <c r="O69" i="8"/>
  <c r="L69" i="8"/>
  <c r="I69" i="8"/>
  <c r="Q69" i="8" s="1"/>
  <c r="H69" i="8"/>
  <c r="G69" i="8"/>
  <c r="P69" i="8" s="1"/>
  <c r="F69" i="8"/>
  <c r="E69" i="8"/>
  <c r="X68" i="8"/>
  <c r="W68" i="8"/>
  <c r="T68" i="8"/>
  <c r="S68" i="8"/>
  <c r="R68" i="8"/>
  <c r="O68" i="8"/>
  <c r="L68" i="8"/>
  <c r="J68" i="8" s="1"/>
  <c r="I68" i="8"/>
  <c r="Q68" i="8" s="1"/>
  <c r="H68" i="8"/>
  <c r="G68" i="8"/>
  <c r="P68" i="8" s="1"/>
  <c r="F68" i="8"/>
  <c r="E68" i="8"/>
  <c r="X67" i="8"/>
  <c r="W67" i="8"/>
  <c r="T67" i="8"/>
  <c r="S67" i="8"/>
  <c r="R67" i="8"/>
  <c r="O67" i="8"/>
  <c r="L67" i="8"/>
  <c r="I67" i="8"/>
  <c r="Q67" i="8" s="1"/>
  <c r="H67" i="8"/>
  <c r="G67" i="8"/>
  <c r="P67" i="8" s="1"/>
  <c r="F67" i="8"/>
  <c r="E67" i="8"/>
  <c r="X66" i="8"/>
  <c r="W66" i="8"/>
  <c r="T66" i="8"/>
  <c r="S66" i="8"/>
  <c r="V66" i="8" s="1"/>
  <c r="R66" i="8"/>
  <c r="O66" i="8"/>
  <c r="L66" i="8"/>
  <c r="I66" i="8"/>
  <c r="Q66" i="8" s="1"/>
  <c r="H66" i="8"/>
  <c r="G66" i="8"/>
  <c r="P66" i="8" s="1"/>
  <c r="F66" i="8"/>
  <c r="E66" i="8"/>
  <c r="X65" i="8"/>
  <c r="W65" i="8"/>
  <c r="T65" i="8"/>
  <c r="S65" i="8"/>
  <c r="V65" i="8" s="1"/>
  <c r="R65" i="8"/>
  <c r="U65" i="8" s="1"/>
  <c r="O65" i="8"/>
  <c r="L65" i="8"/>
  <c r="J65" i="8" s="1"/>
  <c r="I65" i="8"/>
  <c r="Q65" i="8" s="1"/>
  <c r="H65" i="8"/>
  <c r="G65" i="8"/>
  <c r="P65" i="8" s="1"/>
  <c r="F65" i="8"/>
  <c r="E65" i="8"/>
  <c r="X64" i="8"/>
  <c r="W64" i="8"/>
  <c r="T64" i="8"/>
  <c r="S64" i="8"/>
  <c r="R64" i="8"/>
  <c r="U64" i="8" s="1"/>
  <c r="O64" i="8"/>
  <c r="L64" i="8"/>
  <c r="I64" i="8"/>
  <c r="Q64" i="8" s="1"/>
  <c r="H64" i="8"/>
  <c r="N64" i="8" s="1"/>
  <c r="G64" i="8"/>
  <c r="P64" i="8" s="1"/>
  <c r="F64" i="8"/>
  <c r="E64" i="8"/>
  <c r="X63" i="8"/>
  <c r="W63" i="8"/>
  <c r="T63" i="8"/>
  <c r="S63" i="8"/>
  <c r="R63" i="8"/>
  <c r="O63" i="8"/>
  <c r="L63" i="8"/>
  <c r="I63" i="8"/>
  <c r="Q63" i="8" s="1"/>
  <c r="H63" i="8"/>
  <c r="G63" i="8"/>
  <c r="P63" i="8" s="1"/>
  <c r="F63" i="8"/>
  <c r="E63" i="8"/>
  <c r="X62" i="8"/>
  <c r="W62" i="8"/>
  <c r="Y62" i="8" s="1"/>
  <c r="T62" i="8"/>
  <c r="S62" i="8"/>
  <c r="R62" i="8"/>
  <c r="U62" i="8" s="1"/>
  <c r="O62" i="8"/>
  <c r="L62" i="8"/>
  <c r="I62" i="8"/>
  <c r="Q62" i="8" s="1"/>
  <c r="H62" i="8"/>
  <c r="N62" i="8" s="1"/>
  <c r="G62" i="8"/>
  <c r="P62" i="8" s="1"/>
  <c r="F62" i="8"/>
  <c r="E62" i="8"/>
  <c r="X61" i="8"/>
  <c r="W61" i="8"/>
  <c r="Y61" i="8" s="1"/>
  <c r="T61" i="8"/>
  <c r="S61" i="8"/>
  <c r="V61" i="8" s="1"/>
  <c r="R61" i="8"/>
  <c r="U61" i="8" s="1"/>
  <c r="O61" i="8"/>
  <c r="L61" i="8"/>
  <c r="I61" i="8"/>
  <c r="Q61" i="8" s="1"/>
  <c r="H61" i="8"/>
  <c r="G61" i="8"/>
  <c r="P61" i="8" s="1"/>
  <c r="F61" i="8"/>
  <c r="E61" i="8"/>
  <c r="X60" i="8"/>
  <c r="W60" i="8"/>
  <c r="T60" i="8"/>
  <c r="S60" i="8"/>
  <c r="V60" i="8" s="1"/>
  <c r="R60" i="8"/>
  <c r="O60" i="8"/>
  <c r="L60" i="8"/>
  <c r="I60" i="8"/>
  <c r="Q60" i="8" s="1"/>
  <c r="H60" i="8"/>
  <c r="N60" i="8" s="1"/>
  <c r="G60" i="8"/>
  <c r="P60" i="8" s="1"/>
  <c r="F60" i="8"/>
  <c r="E60" i="8"/>
  <c r="X59" i="8"/>
  <c r="W59" i="8"/>
  <c r="Y59" i="8" s="1"/>
  <c r="T59" i="8"/>
  <c r="S59" i="8"/>
  <c r="V59" i="8" s="1"/>
  <c r="R59" i="8"/>
  <c r="U59" i="8" s="1"/>
  <c r="O59" i="8"/>
  <c r="L59" i="8"/>
  <c r="I59" i="8"/>
  <c r="Q59" i="8" s="1"/>
  <c r="H59" i="8"/>
  <c r="G59" i="8"/>
  <c r="P59" i="8" s="1"/>
  <c r="F59" i="8"/>
  <c r="E59" i="8"/>
  <c r="X58" i="8"/>
  <c r="W58" i="8"/>
  <c r="T58" i="8"/>
  <c r="S58" i="8"/>
  <c r="V58" i="8" s="1"/>
  <c r="R58" i="8"/>
  <c r="U58" i="8" s="1"/>
  <c r="O58" i="8"/>
  <c r="L58" i="8"/>
  <c r="J58" i="8" s="1"/>
  <c r="I58" i="8"/>
  <c r="Q58" i="8" s="1"/>
  <c r="H58" i="8"/>
  <c r="G58" i="8"/>
  <c r="P58" i="8" s="1"/>
  <c r="F58" i="8"/>
  <c r="E58" i="8"/>
  <c r="X57" i="8"/>
  <c r="W57" i="8"/>
  <c r="Y57" i="8" s="1"/>
  <c r="T57" i="8"/>
  <c r="S57" i="8"/>
  <c r="R57" i="8"/>
  <c r="O57" i="8"/>
  <c r="L57" i="8"/>
  <c r="I57" i="8"/>
  <c r="H57" i="8"/>
  <c r="N57" i="8" s="1"/>
  <c r="G57" i="8"/>
  <c r="P57" i="8" s="1"/>
  <c r="F57" i="8"/>
  <c r="E57" i="8"/>
  <c r="X56" i="8"/>
  <c r="W56" i="8"/>
  <c r="T56" i="8"/>
  <c r="S56" i="8"/>
  <c r="V56" i="8" s="1"/>
  <c r="R56" i="8"/>
  <c r="U56" i="8" s="1"/>
  <c r="O56" i="8"/>
  <c r="L56" i="8"/>
  <c r="I56" i="8"/>
  <c r="Q56" i="8" s="1"/>
  <c r="H56" i="8"/>
  <c r="N56" i="8" s="1"/>
  <c r="G56" i="8"/>
  <c r="P56" i="8" s="1"/>
  <c r="F56" i="8"/>
  <c r="E56" i="8"/>
  <c r="X55" i="8"/>
  <c r="W55" i="8"/>
  <c r="Y55" i="8" s="1"/>
  <c r="T55" i="8"/>
  <c r="S55" i="8"/>
  <c r="R55" i="8"/>
  <c r="U55" i="8" s="1"/>
  <c r="O55" i="8"/>
  <c r="L55" i="8"/>
  <c r="I55" i="8"/>
  <c r="Q55" i="8" s="1"/>
  <c r="H55" i="8"/>
  <c r="N55" i="8" s="1"/>
  <c r="G55" i="8"/>
  <c r="F55" i="8"/>
  <c r="E55" i="8"/>
  <c r="X54" i="8"/>
  <c r="W54" i="8"/>
  <c r="T54" i="8"/>
  <c r="S54" i="8"/>
  <c r="R54" i="8"/>
  <c r="O54" i="8"/>
  <c r="L54" i="8"/>
  <c r="I54" i="8"/>
  <c r="Q54" i="8" s="1"/>
  <c r="H54" i="8"/>
  <c r="G54" i="8"/>
  <c r="P54" i="8" s="1"/>
  <c r="F54" i="8"/>
  <c r="E54" i="8"/>
  <c r="X53" i="8"/>
  <c r="W53" i="8"/>
  <c r="T53" i="8"/>
  <c r="S53" i="8"/>
  <c r="V53" i="8" s="1"/>
  <c r="R53" i="8"/>
  <c r="U53" i="8" s="1"/>
  <c r="O53" i="8"/>
  <c r="L53" i="8"/>
  <c r="I53" i="8"/>
  <c r="Q53" i="8" s="1"/>
  <c r="H53" i="8"/>
  <c r="G53" i="8"/>
  <c r="P53" i="8" s="1"/>
  <c r="F53" i="8"/>
  <c r="E53" i="8"/>
  <c r="X51" i="8"/>
  <c r="W51" i="8"/>
  <c r="Y51" i="8" s="1"/>
  <c r="T51" i="8"/>
  <c r="S51" i="8"/>
  <c r="R51" i="8"/>
  <c r="U51" i="8" s="1"/>
  <c r="O51" i="8"/>
  <c r="L51" i="8"/>
  <c r="I51" i="8"/>
  <c r="Q51" i="8" s="1"/>
  <c r="H51" i="8"/>
  <c r="N51" i="8" s="1"/>
  <c r="G51" i="8"/>
  <c r="P51" i="8" s="1"/>
  <c r="F51" i="8"/>
  <c r="E51" i="8"/>
  <c r="X50" i="8"/>
  <c r="W50" i="8"/>
  <c r="Y50" i="8" s="1"/>
  <c r="T50" i="8"/>
  <c r="S50" i="8"/>
  <c r="R50" i="8"/>
  <c r="O50" i="8"/>
  <c r="L50" i="8"/>
  <c r="I50" i="8"/>
  <c r="Q50" i="8" s="1"/>
  <c r="H50" i="8"/>
  <c r="N50" i="8" s="1"/>
  <c r="G50" i="8"/>
  <c r="P50" i="8" s="1"/>
  <c r="F50" i="8"/>
  <c r="E50" i="8"/>
  <c r="X49" i="8"/>
  <c r="W49" i="8"/>
  <c r="T49" i="8"/>
  <c r="S49" i="8"/>
  <c r="V49" i="8" s="1"/>
  <c r="R49" i="8"/>
  <c r="O49" i="8"/>
  <c r="L49" i="8"/>
  <c r="I49" i="8"/>
  <c r="Q49" i="8" s="1"/>
  <c r="H49" i="8"/>
  <c r="N49" i="8" s="1"/>
  <c r="G49" i="8"/>
  <c r="P49" i="8" s="1"/>
  <c r="F49" i="8"/>
  <c r="E49" i="8"/>
  <c r="X48" i="8"/>
  <c r="W48" i="8"/>
  <c r="Y48" i="8" s="1"/>
  <c r="T48" i="8"/>
  <c r="S48" i="8"/>
  <c r="R48" i="8"/>
  <c r="O48" i="8"/>
  <c r="L48" i="8"/>
  <c r="I48" i="8"/>
  <c r="Q48" i="8" s="1"/>
  <c r="H48" i="8"/>
  <c r="G48" i="8"/>
  <c r="P48" i="8" s="1"/>
  <c r="F48" i="8"/>
  <c r="E48" i="8"/>
  <c r="X47" i="8"/>
  <c r="W47" i="8"/>
  <c r="T47" i="8"/>
  <c r="S47" i="8"/>
  <c r="V47" i="8" s="1"/>
  <c r="R47" i="8"/>
  <c r="O47" i="8"/>
  <c r="L47" i="8"/>
  <c r="J47" i="8" s="1"/>
  <c r="I47" i="8"/>
  <c r="Q47" i="8" s="1"/>
  <c r="H47" i="8"/>
  <c r="G47" i="8"/>
  <c r="P47" i="8" s="1"/>
  <c r="F47" i="8"/>
  <c r="E47" i="8"/>
  <c r="D47" i="8" s="1"/>
  <c r="X46" i="8"/>
  <c r="W46" i="8"/>
  <c r="T46" i="8"/>
  <c r="S46" i="8"/>
  <c r="R46" i="8"/>
  <c r="O46" i="8"/>
  <c r="J46" i="8" s="1"/>
  <c r="L46" i="8"/>
  <c r="I46" i="8"/>
  <c r="Q46" i="8" s="1"/>
  <c r="H46" i="8"/>
  <c r="N46" i="8" s="1"/>
  <c r="G46" i="8"/>
  <c r="P46" i="8" s="1"/>
  <c r="F46" i="8"/>
  <c r="E46" i="8"/>
  <c r="X45" i="8"/>
  <c r="W45" i="8"/>
  <c r="T45" i="8"/>
  <c r="S45" i="8"/>
  <c r="R45" i="8"/>
  <c r="O45" i="8"/>
  <c r="L45" i="8"/>
  <c r="I45" i="8"/>
  <c r="Q45" i="8" s="1"/>
  <c r="H45" i="8"/>
  <c r="N45" i="8" s="1"/>
  <c r="G45" i="8"/>
  <c r="P45" i="8" s="1"/>
  <c r="F45" i="8"/>
  <c r="E45" i="8"/>
  <c r="X44" i="8"/>
  <c r="W44" i="8"/>
  <c r="T44" i="8"/>
  <c r="S44" i="8"/>
  <c r="R44" i="8"/>
  <c r="O44" i="8"/>
  <c r="L44" i="8"/>
  <c r="I44" i="8"/>
  <c r="Q44" i="8" s="1"/>
  <c r="H44" i="8"/>
  <c r="N44" i="8" s="1"/>
  <c r="G44" i="8"/>
  <c r="P44" i="8" s="1"/>
  <c r="F44" i="8"/>
  <c r="E44" i="8"/>
  <c r="X43" i="8"/>
  <c r="W43" i="8"/>
  <c r="Y43" i="8" s="1"/>
  <c r="T43" i="8"/>
  <c r="S43" i="8"/>
  <c r="R43" i="8"/>
  <c r="O43" i="8"/>
  <c r="L43" i="8"/>
  <c r="J43" i="8" s="1"/>
  <c r="I43" i="8"/>
  <c r="Q43" i="8" s="1"/>
  <c r="H43" i="8"/>
  <c r="N43" i="8" s="1"/>
  <c r="G43" i="8"/>
  <c r="P43" i="8" s="1"/>
  <c r="F43" i="8"/>
  <c r="E43" i="8"/>
  <c r="X42" i="8"/>
  <c r="W42" i="8"/>
  <c r="T42" i="8"/>
  <c r="V42" i="8" s="1"/>
  <c r="S42" i="8"/>
  <c r="R42" i="8"/>
  <c r="O42" i="8"/>
  <c r="L42" i="8"/>
  <c r="I42" i="8"/>
  <c r="Q42" i="8" s="1"/>
  <c r="H42" i="8"/>
  <c r="G42" i="8"/>
  <c r="P42" i="8" s="1"/>
  <c r="F42" i="8"/>
  <c r="E42" i="8"/>
  <c r="X41" i="8"/>
  <c r="W41" i="8"/>
  <c r="T41" i="8"/>
  <c r="S41" i="8"/>
  <c r="R41" i="8"/>
  <c r="O41" i="8"/>
  <c r="L41" i="8"/>
  <c r="J41" i="8" s="1"/>
  <c r="I41" i="8"/>
  <c r="Q41" i="8" s="1"/>
  <c r="H41" i="8"/>
  <c r="G41" i="8"/>
  <c r="P41" i="8" s="1"/>
  <c r="F41" i="8"/>
  <c r="E41" i="8"/>
  <c r="X40" i="8"/>
  <c r="W40" i="8"/>
  <c r="Y40" i="8" s="1"/>
  <c r="T40" i="8"/>
  <c r="U40" i="8" s="1"/>
  <c r="S40" i="8"/>
  <c r="R40" i="8"/>
  <c r="O40" i="8"/>
  <c r="L40" i="8"/>
  <c r="J40" i="8" s="1"/>
  <c r="I40" i="8"/>
  <c r="Q40" i="8" s="1"/>
  <c r="H40" i="8"/>
  <c r="G40" i="8"/>
  <c r="P40" i="8" s="1"/>
  <c r="F40" i="8"/>
  <c r="E40" i="8"/>
  <c r="X39" i="8"/>
  <c r="W39" i="8"/>
  <c r="Y39" i="8" s="1"/>
  <c r="T39" i="8"/>
  <c r="S39" i="8"/>
  <c r="R39" i="8"/>
  <c r="O39" i="8"/>
  <c r="L39" i="8"/>
  <c r="I39" i="8"/>
  <c r="Q39" i="8" s="1"/>
  <c r="H39" i="8"/>
  <c r="N39" i="8" s="1"/>
  <c r="G39" i="8"/>
  <c r="P39" i="8" s="1"/>
  <c r="F39" i="8"/>
  <c r="E39" i="8"/>
  <c r="X38" i="8"/>
  <c r="W38" i="8"/>
  <c r="Y38" i="8" s="1"/>
  <c r="T38" i="8"/>
  <c r="S38" i="8"/>
  <c r="R38" i="8"/>
  <c r="O38" i="8"/>
  <c r="L38" i="8"/>
  <c r="I38" i="8"/>
  <c r="Q38" i="8" s="1"/>
  <c r="H38" i="8"/>
  <c r="G38" i="8"/>
  <c r="P38" i="8" s="1"/>
  <c r="F38" i="8"/>
  <c r="E38" i="8"/>
  <c r="X37" i="8"/>
  <c r="W37" i="8"/>
  <c r="T37" i="8"/>
  <c r="S37" i="8"/>
  <c r="R37" i="8"/>
  <c r="O37" i="8"/>
  <c r="L37" i="8"/>
  <c r="I37" i="8"/>
  <c r="Q37" i="8" s="1"/>
  <c r="H37" i="8"/>
  <c r="G37" i="8"/>
  <c r="P37" i="8" s="1"/>
  <c r="F37" i="8"/>
  <c r="E37" i="8"/>
  <c r="X36" i="8"/>
  <c r="W36" i="8"/>
  <c r="T36" i="8"/>
  <c r="S36" i="8"/>
  <c r="R36" i="8"/>
  <c r="O36" i="8"/>
  <c r="L36" i="8"/>
  <c r="I36" i="8"/>
  <c r="Q36" i="8" s="1"/>
  <c r="H36" i="8"/>
  <c r="G36" i="8"/>
  <c r="P36" i="8" s="1"/>
  <c r="F36" i="8"/>
  <c r="E36" i="8"/>
  <c r="D36" i="8" s="1"/>
  <c r="X35" i="8"/>
  <c r="W35" i="8"/>
  <c r="T35" i="8"/>
  <c r="S35" i="8"/>
  <c r="R35" i="8"/>
  <c r="O35" i="8"/>
  <c r="J35" i="8" s="1"/>
  <c r="L35" i="8"/>
  <c r="I35" i="8"/>
  <c r="Q35" i="8" s="1"/>
  <c r="H35" i="8"/>
  <c r="G35" i="8"/>
  <c r="P35" i="8" s="1"/>
  <c r="F35" i="8"/>
  <c r="E35" i="8"/>
  <c r="X34" i="8"/>
  <c r="W34" i="8"/>
  <c r="T34" i="8"/>
  <c r="S34" i="8"/>
  <c r="V34" i="8" s="1"/>
  <c r="R34" i="8"/>
  <c r="O34" i="8"/>
  <c r="L34" i="8"/>
  <c r="I34" i="8"/>
  <c r="Q34" i="8" s="1"/>
  <c r="H34" i="8"/>
  <c r="N34" i="8" s="1"/>
  <c r="G34" i="8"/>
  <c r="P34" i="8" s="1"/>
  <c r="F34" i="8"/>
  <c r="E34" i="8"/>
  <c r="X33" i="8"/>
  <c r="W33" i="8"/>
  <c r="T33" i="8"/>
  <c r="U33" i="8" s="1"/>
  <c r="S33" i="8"/>
  <c r="R33" i="8"/>
  <c r="O33" i="8"/>
  <c r="L33" i="8"/>
  <c r="I33" i="8"/>
  <c r="H33" i="8"/>
  <c r="N33" i="8" s="1"/>
  <c r="G33" i="8"/>
  <c r="P33" i="8" s="1"/>
  <c r="F33" i="8"/>
  <c r="E33" i="8"/>
  <c r="D33" i="8" s="1"/>
  <c r="M33" i="8" s="1"/>
  <c r="X32" i="8"/>
  <c r="W32" i="8"/>
  <c r="Y32" i="8" s="1"/>
  <c r="T32" i="8"/>
  <c r="S32" i="8"/>
  <c r="R32" i="8"/>
  <c r="O32" i="8"/>
  <c r="L32" i="8"/>
  <c r="I32" i="8"/>
  <c r="Q32" i="8" s="1"/>
  <c r="H32" i="8"/>
  <c r="N32" i="8" s="1"/>
  <c r="G32" i="8"/>
  <c r="P32" i="8" s="1"/>
  <c r="F32" i="8"/>
  <c r="E32" i="8"/>
  <c r="X30" i="8"/>
  <c r="W30" i="8"/>
  <c r="Y30" i="8" s="1"/>
  <c r="T30" i="8"/>
  <c r="S30" i="8"/>
  <c r="R30" i="8"/>
  <c r="O30" i="8"/>
  <c r="L30" i="8"/>
  <c r="I30" i="8"/>
  <c r="Q30" i="8" s="1"/>
  <c r="H30" i="8"/>
  <c r="G30" i="8"/>
  <c r="P30" i="8" s="1"/>
  <c r="F30" i="8"/>
  <c r="E30" i="8"/>
  <c r="X29" i="8"/>
  <c r="W29" i="8"/>
  <c r="T29" i="8"/>
  <c r="S29" i="8"/>
  <c r="R29" i="8"/>
  <c r="O29" i="8"/>
  <c r="L29" i="8"/>
  <c r="I29" i="8"/>
  <c r="Q29" i="8" s="1"/>
  <c r="H29" i="8"/>
  <c r="G29" i="8"/>
  <c r="P29" i="8" s="1"/>
  <c r="F29" i="8"/>
  <c r="E29" i="8"/>
  <c r="D29" i="8" s="1"/>
  <c r="X28" i="8"/>
  <c r="W28" i="8"/>
  <c r="T28" i="8"/>
  <c r="V28" i="8" s="1"/>
  <c r="S28" i="8"/>
  <c r="R28" i="8"/>
  <c r="U28" i="8" s="1"/>
  <c r="O28" i="8"/>
  <c r="L28" i="8"/>
  <c r="I28" i="8"/>
  <c r="Q28" i="8" s="1"/>
  <c r="H28" i="8"/>
  <c r="G28" i="8"/>
  <c r="P28" i="8" s="1"/>
  <c r="F28" i="8"/>
  <c r="E28" i="8"/>
  <c r="D28" i="8" s="1"/>
  <c r="X27" i="8"/>
  <c r="W27" i="8"/>
  <c r="T27" i="8"/>
  <c r="S27" i="8"/>
  <c r="V27" i="8" s="1"/>
  <c r="R27" i="8"/>
  <c r="U27" i="8" s="1"/>
  <c r="O27" i="8"/>
  <c r="L27" i="8"/>
  <c r="I27" i="8"/>
  <c r="Q27" i="8" s="1"/>
  <c r="H27" i="8"/>
  <c r="G27" i="8"/>
  <c r="P27" i="8" s="1"/>
  <c r="F27" i="8"/>
  <c r="E27" i="8"/>
  <c r="X26" i="8"/>
  <c r="W26" i="8"/>
  <c r="T26" i="8"/>
  <c r="S26" i="8"/>
  <c r="R26" i="8"/>
  <c r="O26" i="8"/>
  <c r="L26" i="8"/>
  <c r="I26" i="8"/>
  <c r="Q26" i="8" s="1"/>
  <c r="H26" i="8"/>
  <c r="N26" i="8" s="1"/>
  <c r="G26" i="8"/>
  <c r="P26" i="8" s="1"/>
  <c r="F26" i="8"/>
  <c r="E26" i="8"/>
  <c r="X25" i="8"/>
  <c r="W25" i="8"/>
  <c r="T25" i="8"/>
  <c r="S25" i="8"/>
  <c r="R25" i="8"/>
  <c r="O25" i="8"/>
  <c r="L25" i="8"/>
  <c r="I25" i="8"/>
  <c r="Q25" i="8" s="1"/>
  <c r="H25" i="8"/>
  <c r="N25" i="8" s="1"/>
  <c r="G25" i="8"/>
  <c r="P25" i="8" s="1"/>
  <c r="F25" i="8"/>
  <c r="E25" i="8"/>
  <c r="X24" i="8"/>
  <c r="W24" i="8"/>
  <c r="Y24" i="8" s="1"/>
  <c r="T24" i="8"/>
  <c r="S24" i="8"/>
  <c r="R24" i="8"/>
  <c r="O24" i="8"/>
  <c r="L24" i="8"/>
  <c r="I24" i="8"/>
  <c r="Q24" i="8" s="1"/>
  <c r="H24" i="8"/>
  <c r="G24" i="8"/>
  <c r="P24" i="8" s="1"/>
  <c r="F24" i="8"/>
  <c r="E24" i="8"/>
  <c r="X23" i="8"/>
  <c r="W23" i="8"/>
  <c r="T23" i="8"/>
  <c r="V23" i="8" s="1"/>
  <c r="S23" i="8"/>
  <c r="R23" i="8"/>
  <c r="O23" i="8"/>
  <c r="L23" i="8"/>
  <c r="J23" i="8" s="1"/>
  <c r="I23" i="8"/>
  <c r="Q23" i="8" s="1"/>
  <c r="H23" i="8"/>
  <c r="G23" i="8"/>
  <c r="P23" i="8" s="1"/>
  <c r="F23" i="8"/>
  <c r="E23" i="8"/>
  <c r="D23" i="8" s="1"/>
  <c r="X22" i="8"/>
  <c r="W22" i="8"/>
  <c r="T22" i="8"/>
  <c r="S22" i="8"/>
  <c r="V22" i="8" s="1"/>
  <c r="R22" i="8"/>
  <c r="U22" i="8" s="1"/>
  <c r="O22" i="8"/>
  <c r="J22" i="8" s="1"/>
  <c r="L22" i="8"/>
  <c r="I22" i="8"/>
  <c r="Q22" i="8" s="1"/>
  <c r="H22" i="8"/>
  <c r="G22" i="8"/>
  <c r="P22" i="8" s="1"/>
  <c r="F22" i="8"/>
  <c r="E22" i="8"/>
  <c r="X21" i="8"/>
  <c r="W21" i="8"/>
  <c r="T21" i="8"/>
  <c r="S21" i="8"/>
  <c r="V21" i="8" s="1"/>
  <c r="R21" i="8"/>
  <c r="U21" i="8" s="1"/>
  <c r="O21" i="8"/>
  <c r="L21" i="8"/>
  <c r="I21" i="8"/>
  <c r="Q21" i="8" s="1"/>
  <c r="H21" i="8"/>
  <c r="G21" i="8"/>
  <c r="P21" i="8" s="1"/>
  <c r="F21" i="8"/>
  <c r="E21" i="8"/>
  <c r="X20" i="8"/>
  <c r="W20" i="8"/>
  <c r="Y20" i="8" s="1"/>
  <c r="T20" i="8"/>
  <c r="S20" i="8"/>
  <c r="R20" i="8"/>
  <c r="O20" i="8"/>
  <c r="L20" i="8"/>
  <c r="I20" i="8"/>
  <c r="Q20" i="8" s="1"/>
  <c r="H20" i="8"/>
  <c r="G20" i="8"/>
  <c r="P20" i="8" s="1"/>
  <c r="F20" i="8"/>
  <c r="E20" i="8"/>
  <c r="X19" i="8"/>
  <c r="W19" i="8"/>
  <c r="T19" i="8"/>
  <c r="S19" i="8"/>
  <c r="R19" i="8"/>
  <c r="O19" i="8"/>
  <c r="L19" i="8"/>
  <c r="I19" i="8"/>
  <c r="Q19" i="8" s="1"/>
  <c r="H19" i="8"/>
  <c r="G19" i="8"/>
  <c r="P19" i="8" s="1"/>
  <c r="F19" i="8"/>
  <c r="E19" i="8"/>
  <c r="X18" i="8"/>
  <c r="W18" i="8"/>
  <c r="T18" i="8"/>
  <c r="S18" i="8"/>
  <c r="R18" i="8"/>
  <c r="O18" i="8"/>
  <c r="L18" i="8"/>
  <c r="I18" i="8"/>
  <c r="Q18" i="8" s="1"/>
  <c r="H18" i="8"/>
  <c r="G18" i="8"/>
  <c r="P18" i="8" s="1"/>
  <c r="F18" i="8"/>
  <c r="E18" i="8"/>
  <c r="X17" i="8"/>
  <c r="W17" i="8"/>
  <c r="T17" i="8"/>
  <c r="S17" i="8"/>
  <c r="R17" i="8"/>
  <c r="O17" i="8"/>
  <c r="L17" i="8"/>
  <c r="I17" i="8"/>
  <c r="Q17" i="8" s="1"/>
  <c r="H17" i="8"/>
  <c r="G17" i="8"/>
  <c r="P17" i="8" s="1"/>
  <c r="F17" i="8"/>
  <c r="E17" i="8"/>
  <c r="X16" i="8"/>
  <c r="W16" i="8"/>
  <c r="T16" i="8"/>
  <c r="S16" i="8"/>
  <c r="R16" i="8"/>
  <c r="O16" i="8"/>
  <c r="L16" i="8"/>
  <c r="I16" i="8"/>
  <c r="Q16" i="8" s="1"/>
  <c r="H16" i="8"/>
  <c r="G16" i="8"/>
  <c r="P16" i="8" s="1"/>
  <c r="F16" i="8"/>
  <c r="E16" i="8"/>
  <c r="D16" i="8" s="1"/>
  <c r="X15" i="8"/>
  <c r="W15" i="8"/>
  <c r="T15" i="8"/>
  <c r="S15" i="8"/>
  <c r="R15" i="8"/>
  <c r="O15" i="8"/>
  <c r="L15" i="8"/>
  <c r="I15" i="8"/>
  <c r="H15" i="8"/>
  <c r="G15" i="8"/>
  <c r="P15" i="8" s="1"/>
  <c r="F15" i="8"/>
  <c r="E15" i="8"/>
  <c r="D15" i="8" s="1"/>
  <c r="M15" i="8" s="1"/>
  <c r="X14" i="8"/>
  <c r="W14" i="8"/>
  <c r="Y14" i="8" s="1"/>
  <c r="T14" i="8"/>
  <c r="S14" i="8"/>
  <c r="R14" i="8"/>
  <c r="O14" i="8"/>
  <c r="L14" i="8"/>
  <c r="I14" i="8"/>
  <c r="Q14" i="8" s="1"/>
  <c r="H14" i="8"/>
  <c r="N14" i="8" s="1"/>
  <c r="G14" i="8"/>
  <c r="P14" i="8" s="1"/>
  <c r="F14" i="8"/>
  <c r="E14" i="8"/>
  <c r="AA9" i="8"/>
  <c r="AA7" i="8" s="1"/>
  <c r="Z9" i="8"/>
  <c r="Z7" i="8" s="1"/>
  <c r="AB7" i="8" s="1"/>
  <c r="T9" i="8"/>
  <c r="S9" i="8"/>
  <c r="V9" i="8" s="1"/>
  <c r="R9" i="8"/>
  <c r="U9" i="8" s="1"/>
  <c r="AA8" i="8"/>
  <c r="Z8" i="8"/>
  <c r="AB8" i="8" s="1"/>
  <c r="V108" i="7"/>
  <c r="U108" i="7"/>
  <c r="O108" i="7"/>
  <c r="L108" i="7"/>
  <c r="I108" i="7"/>
  <c r="Q108" i="7" s="1"/>
  <c r="H108" i="7"/>
  <c r="N108" i="7" s="1"/>
  <c r="G108" i="7"/>
  <c r="P108" i="7" s="1"/>
  <c r="F108" i="7"/>
  <c r="E108" i="7"/>
  <c r="V107" i="7"/>
  <c r="U107" i="7"/>
  <c r="O107" i="7"/>
  <c r="L107" i="7"/>
  <c r="I107" i="7"/>
  <c r="Q107" i="7" s="1"/>
  <c r="H107" i="7"/>
  <c r="N107" i="7" s="1"/>
  <c r="G107" i="7"/>
  <c r="P107" i="7" s="1"/>
  <c r="F107" i="7"/>
  <c r="E107" i="7"/>
  <c r="V106" i="7"/>
  <c r="U106" i="7"/>
  <c r="O106" i="7"/>
  <c r="L106" i="7"/>
  <c r="J106" i="7" s="1"/>
  <c r="I106" i="7"/>
  <c r="Q106" i="7" s="1"/>
  <c r="H106" i="7"/>
  <c r="N106" i="7" s="1"/>
  <c r="G106" i="7"/>
  <c r="P106" i="7" s="1"/>
  <c r="F106" i="7"/>
  <c r="E106" i="7"/>
  <c r="V105" i="7"/>
  <c r="U105" i="7"/>
  <c r="O105" i="7"/>
  <c r="L105" i="7"/>
  <c r="I105" i="7"/>
  <c r="Q105" i="7" s="1"/>
  <c r="H105" i="7"/>
  <c r="N105" i="7" s="1"/>
  <c r="G105" i="7"/>
  <c r="P105" i="7" s="1"/>
  <c r="F105" i="7"/>
  <c r="E105" i="7"/>
  <c r="V104" i="7"/>
  <c r="U104" i="7"/>
  <c r="O104" i="7"/>
  <c r="L104" i="7"/>
  <c r="I104" i="7"/>
  <c r="Q104" i="7" s="1"/>
  <c r="H104" i="7"/>
  <c r="G104" i="7"/>
  <c r="P104" i="7" s="1"/>
  <c r="F104" i="7"/>
  <c r="E104" i="7"/>
  <c r="T103" i="7"/>
  <c r="S103" i="7"/>
  <c r="R103" i="7"/>
  <c r="R89" i="7" s="1"/>
  <c r="O103" i="7"/>
  <c r="L103" i="7"/>
  <c r="I103" i="7"/>
  <c r="Q103" i="7" s="1"/>
  <c r="H103" i="7"/>
  <c r="N103" i="7" s="1"/>
  <c r="G103" i="7"/>
  <c r="P103" i="7" s="1"/>
  <c r="F103" i="7"/>
  <c r="E103" i="7"/>
  <c r="V102" i="7"/>
  <c r="U102" i="7"/>
  <c r="O102" i="7"/>
  <c r="L102" i="7"/>
  <c r="I102" i="7"/>
  <c r="Q102" i="7" s="1"/>
  <c r="H102" i="7"/>
  <c r="N102" i="7" s="1"/>
  <c r="G102" i="7"/>
  <c r="P102" i="7" s="1"/>
  <c r="F102" i="7"/>
  <c r="E102" i="7"/>
  <c r="V101" i="7"/>
  <c r="U101" i="7"/>
  <c r="O101" i="7"/>
  <c r="L101" i="7"/>
  <c r="I101" i="7"/>
  <c r="Q101" i="7" s="1"/>
  <c r="H101" i="7"/>
  <c r="N101" i="7" s="1"/>
  <c r="G101" i="7"/>
  <c r="P101" i="7" s="1"/>
  <c r="F101" i="7"/>
  <c r="E101" i="7"/>
  <c r="V100" i="7"/>
  <c r="U100" i="7"/>
  <c r="O100" i="7"/>
  <c r="L100" i="7"/>
  <c r="I100" i="7"/>
  <c r="Q100" i="7" s="1"/>
  <c r="H100" i="7"/>
  <c r="N100" i="7" s="1"/>
  <c r="G100" i="7"/>
  <c r="P100" i="7" s="1"/>
  <c r="F100" i="7"/>
  <c r="E100" i="7"/>
  <c r="D100" i="7" s="1"/>
  <c r="V99" i="7"/>
  <c r="U99" i="7"/>
  <c r="O99" i="7"/>
  <c r="L99" i="7"/>
  <c r="J99" i="7" s="1"/>
  <c r="I99" i="7"/>
  <c r="Q99" i="7" s="1"/>
  <c r="H99" i="7"/>
  <c r="G99" i="7"/>
  <c r="P99" i="7" s="1"/>
  <c r="F99" i="7"/>
  <c r="E99" i="7"/>
  <c r="D99" i="7" s="1"/>
  <c r="M99" i="7" s="1"/>
  <c r="V98" i="7"/>
  <c r="U98" i="7"/>
  <c r="O98" i="7"/>
  <c r="L98" i="7"/>
  <c r="I98" i="7"/>
  <c r="Q98" i="7" s="1"/>
  <c r="H98" i="7"/>
  <c r="N98" i="7" s="1"/>
  <c r="G98" i="7"/>
  <c r="P98" i="7" s="1"/>
  <c r="F98" i="7"/>
  <c r="E98" i="7"/>
  <c r="V97" i="7"/>
  <c r="U97" i="7"/>
  <c r="O97" i="7"/>
  <c r="L97" i="7"/>
  <c r="I97" i="7"/>
  <c r="Q97" i="7" s="1"/>
  <c r="H97" i="7"/>
  <c r="N97" i="7" s="1"/>
  <c r="G97" i="7"/>
  <c r="P97" i="7" s="1"/>
  <c r="F97" i="7"/>
  <c r="E97" i="7"/>
  <c r="V96" i="7"/>
  <c r="U96" i="7"/>
  <c r="O96" i="7"/>
  <c r="L96" i="7"/>
  <c r="J96" i="7" s="1"/>
  <c r="I96" i="7"/>
  <c r="Q96" i="7" s="1"/>
  <c r="H96" i="7"/>
  <c r="N96" i="7" s="1"/>
  <c r="G96" i="7"/>
  <c r="P96" i="7" s="1"/>
  <c r="F96" i="7"/>
  <c r="E96" i="7"/>
  <c r="V95" i="7"/>
  <c r="U95" i="7"/>
  <c r="O95" i="7"/>
  <c r="L95" i="7"/>
  <c r="J95" i="7" s="1"/>
  <c r="I95" i="7"/>
  <c r="Q95" i="7" s="1"/>
  <c r="H95" i="7"/>
  <c r="N95" i="7" s="1"/>
  <c r="G95" i="7"/>
  <c r="P95" i="7" s="1"/>
  <c r="F95" i="7"/>
  <c r="E95" i="7"/>
  <c r="V94" i="7"/>
  <c r="U94" i="7"/>
  <c r="O94" i="7"/>
  <c r="L94" i="7"/>
  <c r="I94" i="7"/>
  <c r="Q94" i="7" s="1"/>
  <c r="H94" i="7"/>
  <c r="N94" i="7" s="1"/>
  <c r="G94" i="7"/>
  <c r="P94" i="7" s="1"/>
  <c r="F94" i="7"/>
  <c r="E94" i="7"/>
  <c r="D94" i="7" s="1"/>
  <c r="V93" i="7"/>
  <c r="U93" i="7"/>
  <c r="O93" i="7"/>
  <c r="L93" i="7"/>
  <c r="I93" i="7"/>
  <c r="Q93" i="7" s="1"/>
  <c r="H93" i="7"/>
  <c r="N93" i="7" s="1"/>
  <c r="G93" i="7"/>
  <c r="P93" i="7" s="1"/>
  <c r="F93" i="7"/>
  <c r="E93" i="7"/>
  <c r="D93" i="7" s="1"/>
  <c r="V92" i="7"/>
  <c r="U92" i="7"/>
  <c r="O92" i="7"/>
  <c r="L92" i="7"/>
  <c r="I92" i="7"/>
  <c r="Q92" i="7" s="1"/>
  <c r="H92" i="7"/>
  <c r="N92" i="7" s="1"/>
  <c r="G92" i="7"/>
  <c r="P92" i="7" s="1"/>
  <c r="F92" i="7"/>
  <c r="E92" i="7"/>
  <c r="V91" i="7"/>
  <c r="U91" i="7"/>
  <c r="O91" i="7"/>
  <c r="L91" i="7"/>
  <c r="I91" i="7"/>
  <c r="Q91" i="7" s="1"/>
  <c r="H91" i="7"/>
  <c r="N91" i="7" s="1"/>
  <c r="G91" i="7"/>
  <c r="F91" i="7"/>
  <c r="E91" i="7"/>
  <c r="V90" i="7"/>
  <c r="U90" i="7"/>
  <c r="O90" i="7"/>
  <c r="L90" i="7"/>
  <c r="I90" i="7"/>
  <c r="Q90" i="7" s="1"/>
  <c r="H90" i="7"/>
  <c r="N90" i="7" s="1"/>
  <c r="G90" i="7"/>
  <c r="P90" i="7" s="1"/>
  <c r="F90" i="7"/>
  <c r="E90" i="7"/>
  <c r="T89" i="7"/>
  <c r="CW88" i="7"/>
  <c r="CV88" i="7"/>
  <c r="CT88" i="7"/>
  <c r="CS88" i="7"/>
  <c r="CU88" i="7" s="1"/>
  <c r="CQ88" i="7"/>
  <c r="CP88" i="7"/>
  <c r="CR88" i="7" s="1"/>
  <c r="CN88" i="7"/>
  <c r="CM88" i="7"/>
  <c r="CO88" i="7" s="1"/>
  <c r="CK88" i="7"/>
  <c r="CJ88" i="7"/>
  <c r="CH88" i="7"/>
  <c r="CG88" i="7"/>
  <c r="CI88" i="7" s="1"/>
  <c r="CE88" i="7"/>
  <c r="CD88" i="7"/>
  <c r="CF88" i="7" s="1"/>
  <c r="CB88" i="7"/>
  <c r="CA88" i="7"/>
  <c r="CC88" i="7" s="1"/>
  <c r="BY88" i="7"/>
  <c r="BX88" i="7"/>
  <c r="BV88" i="7"/>
  <c r="BU88" i="7"/>
  <c r="BS88" i="7"/>
  <c r="BR88" i="7"/>
  <c r="BP88" i="7"/>
  <c r="BO88" i="7"/>
  <c r="BM88" i="7"/>
  <c r="BL88" i="7"/>
  <c r="BN88" i="7" s="1"/>
  <c r="BJ88" i="7"/>
  <c r="BI88" i="7"/>
  <c r="BK88" i="7" s="1"/>
  <c r="BG88" i="7"/>
  <c r="BF88" i="7"/>
  <c r="BH88" i="7" s="1"/>
  <c r="BD88" i="7"/>
  <c r="BC88" i="7"/>
  <c r="BE88" i="7" s="1"/>
  <c r="BA88" i="7"/>
  <c r="AZ88" i="7"/>
  <c r="BB88" i="7" s="1"/>
  <c r="AX88" i="7"/>
  <c r="AW88" i="7"/>
  <c r="AY88" i="7" s="1"/>
  <c r="AV88" i="7"/>
  <c r="AU88" i="7"/>
  <c r="AS88" i="7"/>
  <c r="AR88" i="7"/>
  <c r="AT88" i="7" s="1"/>
  <c r="AP88" i="7"/>
  <c r="AO88" i="7"/>
  <c r="AM88" i="7"/>
  <c r="AN88" i="7" s="1"/>
  <c r="AL88" i="7"/>
  <c r="AJ88" i="7"/>
  <c r="AI88" i="7"/>
  <c r="AK88" i="7" s="1"/>
  <c r="AG88" i="7"/>
  <c r="AF88" i="7"/>
  <c r="AH88" i="7" s="1"/>
  <c r="AE88" i="7"/>
  <c r="AD88" i="7"/>
  <c r="AC88" i="7"/>
  <c r="AA88" i="7"/>
  <c r="Z88" i="7"/>
  <c r="AB88" i="7" s="1"/>
  <c r="X88" i="7"/>
  <c r="W88" i="7"/>
  <c r="T88" i="7"/>
  <c r="S88" i="7"/>
  <c r="R88" i="7"/>
  <c r="U88" i="7" s="1"/>
  <c r="O88" i="7"/>
  <c r="L88" i="7"/>
  <c r="I88" i="7"/>
  <c r="Q88" i="7" s="1"/>
  <c r="H88" i="7"/>
  <c r="G88" i="7"/>
  <c r="P88" i="7" s="1"/>
  <c r="F88" i="7"/>
  <c r="E88" i="7"/>
  <c r="CW87" i="7"/>
  <c r="CV87" i="7"/>
  <c r="CT87" i="7"/>
  <c r="CS87" i="7"/>
  <c r="CU87" i="7" s="1"/>
  <c r="CQ87" i="7"/>
  <c r="CP87" i="7"/>
  <c r="CR87" i="7" s="1"/>
  <c r="CN87" i="7"/>
  <c r="CM87" i="7"/>
  <c r="CO87" i="7" s="1"/>
  <c r="CK87" i="7"/>
  <c r="CJ87" i="7"/>
  <c r="CL87" i="7" s="1"/>
  <c r="CH87" i="7"/>
  <c r="CG87" i="7"/>
  <c r="CI87" i="7" s="1"/>
  <c r="CE87" i="7"/>
  <c r="CD87" i="7"/>
  <c r="CF87" i="7" s="1"/>
  <c r="CB87" i="7"/>
  <c r="CA87" i="7"/>
  <c r="CC87" i="7" s="1"/>
  <c r="BY87" i="7"/>
  <c r="BX87" i="7"/>
  <c r="BV87" i="7"/>
  <c r="BU87" i="7"/>
  <c r="BS87" i="7"/>
  <c r="BR87" i="7"/>
  <c r="BT87" i="7" s="1"/>
  <c r="BP87" i="7"/>
  <c r="BO87" i="7"/>
  <c r="BM87" i="7"/>
  <c r="BL87" i="7"/>
  <c r="BN87" i="7" s="1"/>
  <c r="BJ87" i="7"/>
  <c r="BI87" i="7"/>
  <c r="BK87" i="7" s="1"/>
  <c r="BG87" i="7"/>
  <c r="BF87" i="7"/>
  <c r="BH87" i="7" s="1"/>
  <c r="BD87" i="7"/>
  <c r="BC87" i="7"/>
  <c r="BE87" i="7" s="1"/>
  <c r="BA87" i="7"/>
  <c r="AZ87" i="7"/>
  <c r="BB87" i="7" s="1"/>
  <c r="AX87" i="7"/>
  <c r="AW87" i="7"/>
  <c r="AY87" i="7" s="1"/>
  <c r="AV87" i="7"/>
  <c r="AU87" i="7"/>
  <c r="AS87" i="7"/>
  <c r="AR87" i="7"/>
  <c r="AP87" i="7"/>
  <c r="AO87" i="7"/>
  <c r="AM87" i="7"/>
  <c r="AL87" i="7"/>
  <c r="AJ87" i="7"/>
  <c r="AI87" i="7"/>
  <c r="AK87" i="7" s="1"/>
  <c r="AG87" i="7"/>
  <c r="AF87" i="7"/>
  <c r="AE87" i="7"/>
  <c r="AD87" i="7"/>
  <c r="AC87" i="7"/>
  <c r="AA87" i="7"/>
  <c r="Z87" i="7"/>
  <c r="AB87" i="7" s="1"/>
  <c r="X87" i="7"/>
  <c r="Y87" i="7" s="1"/>
  <c r="W87" i="7"/>
  <c r="T87" i="7"/>
  <c r="S87" i="7"/>
  <c r="R87" i="7"/>
  <c r="Q87" i="7"/>
  <c r="O87" i="7"/>
  <c r="L87" i="7"/>
  <c r="I87" i="7"/>
  <c r="H87" i="7"/>
  <c r="G87" i="7"/>
  <c r="P87" i="7" s="1"/>
  <c r="F87" i="7"/>
  <c r="E87" i="7"/>
  <c r="CW86" i="7"/>
  <c r="CV86" i="7"/>
  <c r="CT86" i="7"/>
  <c r="CS86" i="7"/>
  <c r="CU86" i="7" s="1"/>
  <c r="CQ86" i="7"/>
  <c r="CP86" i="7"/>
  <c r="CN86" i="7"/>
  <c r="CM86" i="7"/>
  <c r="CO86" i="7" s="1"/>
  <c r="CK86" i="7"/>
  <c r="CJ86" i="7"/>
  <c r="CL86" i="7" s="1"/>
  <c r="CH86" i="7"/>
  <c r="CG86" i="7"/>
  <c r="CI86" i="7" s="1"/>
  <c r="CE86" i="7"/>
  <c r="CD86" i="7"/>
  <c r="CF86" i="7" s="1"/>
  <c r="CB86" i="7"/>
  <c r="CA86" i="7"/>
  <c r="CC86" i="7" s="1"/>
  <c r="BY86" i="7"/>
  <c r="BX86" i="7"/>
  <c r="BV86" i="7"/>
  <c r="BU86" i="7"/>
  <c r="BW86" i="7" s="1"/>
  <c r="BS86" i="7"/>
  <c r="BR86" i="7"/>
  <c r="BT86" i="7" s="1"/>
  <c r="BP86" i="7"/>
  <c r="BO86" i="7"/>
  <c r="BM86" i="7"/>
  <c r="BL86" i="7"/>
  <c r="BJ86" i="7"/>
  <c r="BI86" i="7"/>
  <c r="BK86" i="7" s="1"/>
  <c r="BG86" i="7"/>
  <c r="BF86" i="7"/>
  <c r="BD86" i="7"/>
  <c r="BC86" i="7"/>
  <c r="BE86" i="7" s="1"/>
  <c r="BA86" i="7"/>
  <c r="AZ86" i="7"/>
  <c r="AY86" i="7"/>
  <c r="AX86" i="7"/>
  <c r="AW86" i="7"/>
  <c r="AV86" i="7"/>
  <c r="AU86" i="7"/>
  <c r="AS86" i="7"/>
  <c r="AR86" i="7"/>
  <c r="AP86" i="7"/>
  <c r="AO86" i="7"/>
  <c r="AM86" i="7"/>
  <c r="AL86" i="7"/>
  <c r="AJ86" i="7"/>
  <c r="AI86" i="7"/>
  <c r="AK86" i="7" s="1"/>
  <c r="AG86" i="7"/>
  <c r="AF86" i="7"/>
  <c r="AE86" i="7"/>
  <c r="AD86" i="7"/>
  <c r="AC86" i="7"/>
  <c r="AA86" i="7"/>
  <c r="Z86" i="7"/>
  <c r="X86" i="7"/>
  <c r="W86" i="7"/>
  <c r="T86" i="7"/>
  <c r="S86" i="7"/>
  <c r="R86" i="7"/>
  <c r="U86" i="7" s="1"/>
  <c r="O86" i="7"/>
  <c r="L86" i="7"/>
  <c r="I86" i="7"/>
  <c r="Q86" i="7" s="1"/>
  <c r="H86" i="7"/>
  <c r="G86" i="7"/>
  <c r="P86" i="7" s="1"/>
  <c r="F86" i="7"/>
  <c r="E86" i="7"/>
  <c r="CW85" i="7"/>
  <c r="CV85" i="7"/>
  <c r="CT85" i="7"/>
  <c r="CS85" i="7"/>
  <c r="CU85" i="7" s="1"/>
  <c r="CQ85" i="7"/>
  <c r="CP85" i="7"/>
  <c r="CR85" i="7" s="1"/>
  <c r="CN85" i="7"/>
  <c r="CM85" i="7"/>
  <c r="CO85" i="7" s="1"/>
  <c r="CK85" i="7"/>
  <c r="CJ85" i="7"/>
  <c r="CL85" i="7" s="1"/>
  <c r="CH85" i="7"/>
  <c r="CG85" i="7"/>
  <c r="CI85" i="7" s="1"/>
  <c r="CE85" i="7"/>
  <c r="CD85" i="7"/>
  <c r="CF85" i="7" s="1"/>
  <c r="CB85" i="7"/>
  <c r="CA85" i="7"/>
  <c r="CC85" i="7" s="1"/>
  <c r="BZ85" i="7"/>
  <c r="BY85" i="7"/>
  <c r="BX85" i="7"/>
  <c r="BV85" i="7"/>
  <c r="BU85" i="7"/>
  <c r="BS85" i="7"/>
  <c r="BR85" i="7"/>
  <c r="BP85" i="7"/>
  <c r="BO85" i="7"/>
  <c r="BM85" i="7"/>
  <c r="BL85" i="7"/>
  <c r="BN85" i="7" s="1"/>
  <c r="BJ85" i="7"/>
  <c r="BI85" i="7"/>
  <c r="BK85" i="7" s="1"/>
  <c r="BG85" i="7"/>
  <c r="BF85" i="7"/>
  <c r="BH85" i="7" s="1"/>
  <c r="BD85" i="7"/>
  <c r="BC85" i="7"/>
  <c r="BE85" i="7" s="1"/>
  <c r="BA85" i="7"/>
  <c r="AZ85" i="7"/>
  <c r="BB85" i="7" s="1"/>
  <c r="AX85" i="7"/>
  <c r="AW85" i="7"/>
  <c r="AY85" i="7" s="1"/>
  <c r="AV85" i="7"/>
  <c r="AU85" i="7"/>
  <c r="AS85" i="7"/>
  <c r="AR85" i="7"/>
  <c r="AP85" i="7"/>
  <c r="AQ85" i="7" s="1"/>
  <c r="AO85" i="7"/>
  <c r="AM85" i="7"/>
  <c r="AL85" i="7"/>
  <c r="AJ85" i="7"/>
  <c r="AI85" i="7"/>
  <c r="AK85" i="7" s="1"/>
  <c r="AG85" i="7"/>
  <c r="AF85" i="7"/>
  <c r="AE85" i="7"/>
  <c r="AD85" i="7"/>
  <c r="AC85" i="7"/>
  <c r="AA85" i="7"/>
  <c r="Z85" i="7"/>
  <c r="X85" i="7"/>
  <c r="W85" i="7"/>
  <c r="Y85" i="7" s="1"/>
  <c r="T85" i="7"/>
  <c r="S85" i="7"/>
  <c r="R85" i="7"/>
  <c r="O85" i="7"/>
  <c r="L85" i="7"/>
  <c r="I85" i="7"/>
  <c r="Q85" i="7" s="1"/>
  <c r="H85" i="7"/>
  <c r="N85" i="7" s="1"/>
  <c r="G85" i="7"/>
  <c r="P85" i="7" s="1"/>
  <c r="F85" i="7"/>
  <c r="E85" i="7"/>
  <c r="CW84" i="7"/>
  <c r="CV84" i="7"/>
  <c r="CT84" i="7"/>
  <c r="CS84" i="7"/>
  <c r="CU84" i="7" s="1"/>
  <c r="CQ84" i="7"/>
  <c r="CP84" i="7"/>
  <c r="CR84" i="7" s="1"/>
  <c r="CN84" i="7"/>
  <c r="CM84" i="7"/>
  <c r="CO84" i="7" s="1"/>
  <c r="CK84" i="7"/>
  <c r="CJ84" i="7"/>
  <c r="CL84" i="7" s="1"/>
  <c r="CH84" i="7"/>
  <c r="CG84" i="7"/>
  <c r="CI84" i="7" s="1"/>
  <c r="CE84" i="7"/>
  <c r="CD84" i="7"/>
  <c r="CF84" i="7" s="1"/>
  <c r="CB84" i="7"/>
  <c r="CA84" i="7"/>
  <c r="CC84" i="7" s="1"/>
  <c r="BY84" i="7"/>
  <c r="BX84" i="7"/>
  <c r="BV84" i="7"/>
  <c r="BU84" i="7"/>
  <c r="BS84" i="7"/>
  <c r="BR84" i="7"/>
  <c r="BP84" i="7"/>
  <c r="BO84" i="7"/>
  <c r="BM84" i="7"/>
  <c r="BL84" i="7"/>
  <c r="BN84" i="7" s="1"/>
  <c r="BJ84" i="7"/>
  <c r="BI84" i="7"/>
  <c r="BK84" i="7" s="1"/>
  <c r="BG84" i="7"/>
  <c r="BF84" i="7"/>
  <c r="BH84" i="7" s="1"/>
  <c r="BD84" i="7"/>
  <c r="BC84" i="7"/>
  <c r="BE84" i="7" s="1"/>
  <c r="BA84" i="7"/>
  <c r="AZ84" i="7"/>
  <c r="BB84" i="7" s="1"/>
  <c r="AX84" i="7"/>
  <c r="AW84" i="7"/>
  <c r="AY84" i="7" s="1"/>
  <c r="AV84" i="7"/>
  <c r="AU84" i="7"/>
  <c r="AS84" i="7"/>
  <c r="AR84" i="7"/>
  <c r="AT84" i="7" s="1"/>
  <c r="AP84" i="7"/>
  <c r="AO84" i="7"/>
  <c r="AM84" i="7"/>
  <c r="AL84" i="7"/>
  <c r="AJ84" i="7"/>
  <c r="AI84" i="7"/>
  <c r="AK84" i="7" s="1"/>
  <c r="AG84" i="7"/>
  <c r="AF84" i="7"/>
  <c r="AE84" i="7"/>
  <c r="AD84" i="7"/>
  <c r="AC84" i="7"/>
  <c r="AA84" i="7"/>
  <c r="Z84" i="7"/>
  <c r="X84" i="7"/>
  <c r="W84" i="7"/>
  <c r="T84" i="7"/>
  <c r="S84" i="7"/>
  <c r="V84" i="7" s="1"/>
  <c r="R84" i="7"/>
  <c r="U84" i="7" s="1"/>
  <c r="O84" i="7"/>
  <c r="L84" i="7"/>
  <c r="I84" i="7"/>
  <c r="Q84" i="7" s="1"/>
  <c r="H84" i="7"/>
  <c r="N84" i="7" s="1"/>
  <c r="G84" i="7"/>
  <c r="P84" i="7" s="1"/>
  <c r="F84" i="7"/>
  <c r="E84" i="7"/>
  <c r="CW83" i="7"/>
  <c r="CV83" i="7"/>
  <c r="CT83" i="7"/>
  <c r="CS83" i="7"/>
  <c r="CU83" i="7" s="1"/>
  <c r="CQ83" i="7"/>
  <c r="CP83" i="7"/>
  <c r="CR83" i="7" s="1"/>
  <c r="CN83" i="7"/>
  <c r="CM83" i="7"/>
  <c r="CO83" i="7" s="1"/>
  <c r="CK83" i="7"/>
  <c r="CJ83" i="7"/>
  <c r="CL83" i="7" s="1"/>
  <c r="CH83" i="7"/>
  <c r="CG83" i="7"/>
  <c r="CI83" i="7" s="1"/>
  <c r="CE83" i="7"/>
  <c r="CD83" i="7"/>
  <c r="CF83" i="7" s="1"/>
  <c r="CB83" i="7"/>
  <c r="CA83" i="7"/>
  <c r="CC83" i="7" s="1"/>
  <c r="BY83" i="7"/>
  <c r="BX83" i="7"/>
  <c r="BZ83" i="7" s="1"/>
  <c r="BV83" i="7"/>
  <c r="BU83" i="7"/>
  <c r="BW83" i="7" s="1"/>
  <c r="BS83" i="7"/>
  <c r="BR83" i="7"/>
  <c r="BT83" i="7" s="1"/>
  <c r="BP83" i="7"/>
  <c r="BO83" i="7"/>
  <c r="BQ83" i="7" s="1"/>
  <c r="BM83" i="7"/>
  <c r="BL83" i="7"/>
  <c r="BN83" i="7" s="1"/>
  <c r="BJ83" i="7"/>
  <c r="BI83" i="7"/>
  <c r="BK83" i="7" s="1"/>
  <c r="BG83" i="7"/>
  <c r="BF83" i="7"/>
  <c r="BH83" i="7" s="1"/>
  <c r="BD83" i="7"/>
  <c r="BC83" i="7"/>
  <c r="BE83" i="7" s="1"/>
  <c r="BA83" i="7"/>
  <c r="AZ83" i="7"/>
  <c r="BB83" i="7" s="1"/>
  <c r="AX83" i="7"/>
  <c r="AW83" i="7"/>
  <c r="AY83" i="7" s="1"/>
  <c r="AV83" i="7"/>
  <c r="AU83" i="7"/>
  <c r="AS83" i="7"/>
  <c r="AR83" i="7"/>
  <c r="AT83" i="7" s="1"/>
  <c r="AP83" i="7"/>
  <c r="AO83" i="7"/>
  <c r="AM83" i="7"/>
  <c r="AL83" i="7"/>
  <c r="AN83" i="7" s="1"/>
  <c r="AJ83" i="7"/>
  <c r="AI83" i="7"/>
  <c r="AK83" i="7" s="1"/>
  <c r="AG83" i="7"/>
  <c r="AF83" i="7"/>
  <c r="AH83" i="7" s="1"/>
  <c r="AE83" i="7"/>
  <c r="AD83" i="7"/>
  <c r="AC83" i="7"/>
  <c r="AA83" i="7"/>
  <c r="Z83" i="7"/>
  <c r="X83" i="7"/>
  <c r="W83" i="7"/>
  <c r="T83" i="7"/>
  <c r="S83" i="7"/>
  <c r="V83" i="7" s="1"/>
  <c r="R83" i="7"/>
  <c r="U83" i="7" s="1"/>
  <c r="O83" i="7"/>
  <c r="L83" i="7"/>
  <c r="J83" i="7" s="1"/>
  <c r="I83" i="7"/>
  <c r="Q83" i="7" s="1"/>
  <c r="H83" i="7"/>
  <c r="N83" i="7" s="1"/>
  <c r="G83" i="7"/>
  <c r="P83" i="7" s="1"/>
  <c r="F83" i="7"/>
  <c r="E83" i="7"/>
  <c r="CW82" i="7"/>
  <c r="CV82" i="7"/>
  <c r="CU82" i="7"/>
  <c r="CT82" i="7"/>
  <c r="CS82" i="7"/>
  <c r="CQ82" i="7"/>
  <c r="CP82" i="7"/>
  <c r="CR82" i="7" s="1"/>
  <c r="CN82" i="7"/>
  <c r="CM82" i="7"/>
  <c r="CO82" i="7" s="1"/>
  <c r="CK82" i="7"/>
  <c r="CJ82" i="7"/>
  <c r="CL82" i="7" s="1"/>
  <c r="CH82" i="7"/>
  <c r="CG82" i="7"/>
  <c r="CI82" i="7" s="1"/>
  <c r="CE82" i="7"/>
  <c r="CD82" i="7"/>
  <c r="CF82" i="7" s="1"/>
  <c r="CB82" i="7"/>
  <c r="CA82" i="7"/>
  <c r="CC82" i="7" s="1"/>
  <c r="BY82" i="7"/>
  <c r="BX82" i="7"/>
  <c r="BV82" i="7"/>
  <c r="BU82" i="7"/>
  <c r="BS82" i="7"/>
  <c r="BR82" i="7"/>
  <c r="BP82" i="7"/>
  <c r="BO82" i="7"/>
  <c r="BM82" i="7"/>
  <c r="BL82" i="7"/>
  <c r="BN82" i="7" s="1"/>
  <c r="BJ82" i="7"/>
  <c r="BI82" i="7"/>
  <c r="BK82" i="7" s="1"/>
  <c r="BG82" i="7"/>
  <c r="BF82" i="7"/>
  <c r="BH82" i="7" s="1"/>
  <c r="BE82" i="7"/>
  <c r="BD82" i="7"/>
  <c r="BC82" i="7"/>
  <c r="BA82" i="7"/>
  <c r="AZ82" i="7"/>
  <c r="BB82" i="7" s="1"/>
  <c r="AX82" i="7"/>
  <c r="AW82" i="7"/>
  <c r="AY82" i="7" s="1"/>
  <c r="AV82" i="7"/>
  <c r="AU82" i="7"/>
  <c r="AS82" i="7"/>
  <c r="AR82" i="7"/>
  <c r="AT82" i="7" s="1"/>
  <c r="AP82" i="7"/>
  <c r="AO82" i="7"/>
  <c r="AM82" i="7"/>
  <c r="AL82" i="7"/>
  <c r="AJ82" i="7"/>
  <c r="AI82" i="7"/>
  <c r="AK82" i="7" s="1"/>
  <c r="AG82" i="7"/>
  <c r="AF82" i="7"/>
  <c r="AE82" i="7"/>
  <c r="AD82" i="7"/>
  <c r="AC82" i="7"/>
  <c r="AA82" i="7"/>
  <c r="Z82" i="7"/>
  <c r="AB82" i="7" s="1"/>
  <c r="X82" i="7"/>
  <c r="W82" i="7"/>
  <c r="T82" i="7"/>
  <c r="S82" i="7"/>
  <c r="V82" i="7" s="1"/>
  <c r="R82" i="7"/>
  <c r="U82" i="7" s="1"/>
  <c r="O82" i="7"/>
  <c r="L82" i="7"/>
  <c r="J82" i="7" s="1"/>
  <c r="I82" i="7"/>
  <c r="Q82" i="7" s="1"/>
  <c r="H82" i="7"/>
  <c r="G82" i="7"/>
  <c r="P82" i="7" s="1"/>
  <c r="F82" i="7"/>
  <c r="E82" i="7"/>
  <c r="CW81" i="7"/>
  <c r="CV81" i="7"/>
  <c r="CT81" i="7"/>
  <c r="CS81" i="7"/>
  <c r="CU81" i="7" s="1"/>
  <c r="CQ81" i="7"/>
  <c r="CP81" i="7"/>
  <c r="CR81" i="7" s="1"/>
  <c r="CN81" i="7"/>
  <c r="CM81" i="7"/>
  <c r="CO81" i="7" s="1"/>
  <c r="CK81" i="7"/>
  <c r="CJ81" i="7"/>
  <c r="CL81" i="7" s="1"/>
  <c r="CH81" i="7"/>
  <c r="CG81" i="7"/>
  <c r="CI81" i="7" s="1"/>
  <c r="CE81" i="7"/>
  <c r="CD81" i="7"/>
  <c r="CF81" i="7" s="1"/>
  <c r="CB81" i="7"/>
  <c r="CA81" i="7"/>
  <c r="CC81" i="7" s="1"/>
  <c r="BY81" i="7"/>
  <c r="BX81" i="7"/>
  <c r="BV81" i="7"/>
  <c r="BU81" i="7"/>
  <c r="BS81" i="7"/>
  <c r="BR81" i="7"/>
  <c r="BP81" i="7"/>
  <c r="BO81" i="7"/>
  <c r="BM81" i="7"/>
  <c r="BL81" i="7"/>
  <c r="BN81" i="7" s="1"/>
  <c r="BJ81" i="7"/>
  <c r="BI81" i="7"/>
  <c r="BK81" i="7" s="1"/>
  <c r="BG81" i="7"/>
  <c r="BF81" i="7"/>
  <c r="BH81" i="7" s="1"/>
  <c r="BD81" i="7"/>
  <c r="BC81" i="7"/>
  <c r="BE81" i="7" s="1"/>
  <c r="BA81" i="7"/>
  <c r="AZ81" i="7"/>
  <c r="BB81" i="7" s="1"/>
  <c r="AX81" i="7"/>
  <c r="AW81" i="7"/>
  <c r="AY81" i="7" s="1"/>
  <c r="AV81" i="7"/>
  <c r="AU81" i="7"/>
  <c r="AS81" i="7"/>
  <c r="AR81" i="7"/>
  <c r="AP81" i="7"/>
  <c r="AO81" i="7"/>
  <c r="AM81" i="7"/>
  <c r="AL81" i="7"/>
  <c r="AJ81" i="7"/>
  <c r="AI81" i="7"/>
  <c r="AK81" i="7" s="1"/>
  <c r="AG81" i="7"/>
  <c r="AF81" i="7"/>
  <c r="AE81" i="7"/>
  <c r="AD81" i="7"/>
  <c r="AC81" i="7"/>
  <c r="AA81" i="7"/>
  <c r="Z81" i="7"/>
  <c r="X81" i="7"/>
  <c r="W81" i="7"/>
  <c r="T81" i="7"/>
  <c r="S81" i="7"/>
  <c r="V81" i="7" s="1"/>
  <c r="R81" i="7"/>
  <c r="O81" i="7"/>
  <c r="L81" i="7"/>
  <c r="I81" i="7"/>
  <c r="Q81" i="7" s="1"/>
  <c r="H81" i="7"/>
  <c r="G81" i="7"/>
  <c r="P81" i="7" s="1"/>
  <c r="F81" i="7"/>
  <c r="E81" i="7"/>
  <c r="CW80" i="7"/>
  <c r="CV80" i="7"/>
  <c r="CT80" i="7"/>
  <c r="CS80" i="7"/>
  <c r="CU80" i="7" s="1"/>
  <c r="CQ80" i="7"/>
  <c r="CP80" i="7"/>
  <c r="CR80" i="7" s="1"/>
  <c r="CN80" i="7"/>
  <c r="CM80" i="7"/>
  <c r="CO80" i="7" s="1"/>
  <c r="CK80" i="7"/>
  <c r="CJ80" i="7"/>
  <c r="CL80" i="7" s="1"/>
  <c r="CH80" i="7"/>
  <c r="CG80" i="7"/>
  <c r="CI80" i="7" s="1"/>
  <c r="CE80" i="7"/>
  <c r="CD80" i="7"/>
  <c r="CF80" i="7" s="1"/>
  <c r="CB80" i="7"/>
  <c r="CA80" i="7"/>
  <c r="CC80" i="7" s="1"/>
  <c r="BY80" i="7"/>
  <c r="BX80" i="7"/>
  <c r="BW80" i="7"/>
  <c r="BV80" i="7"/>
  <c r="BU80" i="7"/>
  <c r="BS80" i="7"/>
  <c r="BR80" i="7"/>
  <c r="BP80" i="7"/>
  <c r="BO80" i="7"/>
  <c r="BM80" i="7"/>
  <c r="BL80" i="7"/>
  <c r="BN80" i="7" s="1"/>
  <c r="BJ80" i="7"/>
  <c r="BI80" i="7"/>
  <c r="BK80" i="7" s="1"/>
  <c r="BG80" i="7"/>
  <c r="BF80" i="7"/>
  <c r="BH80" i="7" s="1"/>
  <c r="BD80" i="7"/>
  <c r="BC80" i="7"/>
  <c r="BE80" i="7" s="1"/>
  <c r="BA80" i="7"/>
  <c r="AZ80" i="7"/>
  <c r="BB80" i="7" s="1"/>
  <c r="AX80" i="7"/>
  <c r="AW80" i="7"/>
  <c r="AY80" i="7" s="1"/>
  <c r="AV80" i="7"/>
  <c r="AU80" i="7"/>
  <c r="AS80" i="7"/>
  <c r="AR80" i="7"/>
  <c r="AP80" i="7"/>
  <c r="AO80" i="7"/>
  <c r="AM80" i="7"/>
  <c r="AL80" i="7"/>
  <c r="AN80" i="7" s="1"/>
  <c r="AJ80" i="7"/>
  <c r="AI80" i="7"/>
  <c r="AK80" i="7" s="1"/>
  <c r="AG80" i="7"/>
  <c r="AH80" i="7" s="1"/>
  <c r="AF80" i="7"/>
  <c r="AE80" i="7"/>
  <c r="AD80" i="7"/>
  <c r="AC80" i="7"/>
  <c r="AA80" i="7"/>
  <c r="Z80" i="7"/>
  <c r="X80" i="7"/>
  <c r="W80" i="7"/>
  <c r="T80" i="7"/>
  <c r="S80" i="7"/>
  <c r="V80" i="7" s="1"/>
  <c r="R80" i="7"/>
  <c r="U80" i="7" s="1"/>
  <c r="O80" i="7"/>
  <c r="L80" i="7"/>
  <c r="I80" i="7"/>
  <c r="Q80" i="7" s="1"/>
  <c r="H80" i="7"/>
  <c r="G80" i="7"/>
  <c r="P80" i="7" s="1"/>
  <c r="F80" i="7"/>
  <c r="E80" i="7"/>
  <c r="CW79" i="7"/>
  <c r="CV79" i="7"/>
  <c r="CT79" i="7"/>
  <c r="CS79" i="7"/>
  <c r="CU79" i="7" s="1"/>
  <c r="CQ79" i="7"/>
  <c r="CP79" i="7"/>
  <c r="CR79" i="7" s="1"/>
  <c r="CN79" i="7"/>
  <c r="CM79" i="7"/>
  <c r="CO79" i="7" s="1"/>
  <c r="CK79" i="7"/>
  <c r="CJ79" i="7"/>
  <c r="CL79" i="7" s="1"/>
  <c r="CH79" i="7"/>
  <c r="CG79" i="7"/>
  <c r="CI79" i="7" s="1"/>
  <c r="CE79" i="7"/>
  <c r="CD79" i="7"/>
  <c r="CF79" i="7" s="1"/>
  <c r="CB79" i="7"/>
  <c r="CA79" i="7"/>
  <c r="CC79" i="7" s="1"/>
  <c r="BY79" i="7"/>
  <c r="BX79" i="7"/>
  <c r="BV79" i="7"/>
  <c r="BU79" i="7"/>
  <c r="BS79" i="7"/>
  <c r="BR79" i="7"/>
  <c r="BP79" i="7"/>
  <c r="BO79" i="7"/>
  <c r="BN79" i="7"/>
  <c r="BM79" i="7"/>
  <c r="BL79" i="7"/>
  <c r="BJ79" i="7"/>
  <c r="BI79" i="7"/>
  <c r="BK79" i="7" s="1"/>
  <c r="BG79" i="7"/>
  <c r="BF79" i="7"/>
  <c r="BH79" i="7" s="1"/>
  <c r="BD79" i="7"/>
  <c r="BC79" i="7"/>
  <c r="BE79" i="7" s="1"/>
  <c r="BA79" i="7"/>
  <c r="AZ79" i="7"/>
  <c r="BB79" i="7" s="1"/>
  <c r="AX79" i="7"/>
  <c r="AW79" i="7"/>
  <c r="AY79" i="7" s="1"/>
  <c r="AV79" i="7"/>
  <c r="AU79" i="7"/>
  <c r="AS79" i="7"/>
  <c r="AR79" i="7"/>
  <c r="AT79" i="7" s="1"/>
  <c r="AP79" i="7"/>
  <c r="AO79" i="7"/>
  <c r="AQ79" i="7" s="1"/>
  <c r="AM79" i="7"/>
  <c r="AL79" i="7"/>
  <c r="AN79" i="7" s="1"/>
  <c r="AJ79" i="7"/>
  <c r="AI79" i="7"/>
  <c r="AK79" i="7" s="1"/>
  <c r="AG79" i="7"/>
  <c r="AF79" i="7"/>
  <c r="AH79" i="7" s="1"/>
  <c r="AE79" i="7"/>
  <c r="AD79" i="7"/>
  <c r="AC79" i="7"/>
  <c r="AA79" i="7"/>
  <c r="Z79" i="7"/>
  <c r="X79" i="7"/>
  <c r="W79" i="7"/>
  <c r="T79" i="7"/>
  <c r="S79" i="7"/>
  <c r="V79" i="7" s="1"/>
  <c r="R79" i="7"/>
  <c r="U79" i="7" s="1"/>
  <c r="O79" i="7"/>
  <c r="L79" i="7"/>
  <c r="I79" i="7"/>
  <c r="H79" i="7"/>
  <c r="G79" i="7"/>
  <c r="P79" i="7" s="1"/>
  <c r="F79" i="7"/>
  <c r="E79" i="7"/>
  <c r="CW78" i="7"/>
  <c r="CV78" i="7"/>
  <c r="CT78" i="7"/>
  <c r="CS78" i="7"/>
  <c r="CQ78" i="7"/>
  <c r="CP78" i="7"/>
  <c r="CO78" i="7"/>
  <c r="CN78" i="7"/>
  <c r="CM78" i="7"/>
  <c r="CK78" i="7"/>
  <c r="CJ78" i="7"/>
  <c r="CH78" i="7"/>
  <c r="CG78" i="7"/>
  <c r="CE78" i="7"/>
  <c r="CD78" i="7"/>
  <c r="CB78" i="7"/>
  <c r="CA78" i="7"/>
  <c r="CC78" i="7" s="1"/>
  <c r="BY78" i="7"/>
  <c r="BX78" i="7"/>
  <c r="BV78" i="7"/>
  <c r="BU78" i="7"/>
  <c r="BS78" i="7"/>
  <c r="BR78" i="7"/>
  <c r="BP78" i="7"/>
  <c r="BO78" i="7"/>
  <c r="BM78" i="7"/>
  <c r="BL78" i="7"/>
  <c r="BJ78" i="7"/>
  <c r="BI78" i="7"/>
  <c r="BG78" i="7"/>
  <c r="BF78" i="7"/>
  <c r="BD78" i="7"/>
  <c r="BC78" i="7"/>
  <c r="BE78" i="7" s="1"/>
  <c r="BA78" i="7"/>
  <c r="AZ78" i="7"/>
  <c r="AX78" i="7"/>
  <c r="AW78" i="7"/>
  <c r="AV78" i="7"/>
  <c r="AU78" i="7"/>
  <c r="AS78" i="7"/>
  <c r="AR78" i="7"/>
  <c r="AP78" i="7"/>
  <c r="AO78" i="7"/>
  <c r="AM78" i="7"/>
  <c r="AL78" i="7"/>
  <c r="AJ78" i="7"/>
  <c r="AI78" i="7"/>
  <c r="AK78" i="7" s="1"/>
  <c r="AG78" i="7"/>
  <c r="AF78" i="7"/>
  <c r="AE78" i="7"/>
  <c r="AD78" i="7"/>
  <c r="AC78" i="7"/>
  <c r="AA78" i="7"/>
  <c r="Z78" i="7"/>
  <c r="X78" i="7"/>
  <c r="W78" i="7"/>
  <c r="T78" i="7"/>
  <c r="S78" i="7"/>
  <c r="R78" i="7"/>
  <c r="O78" i="7"/>
  <c r="L78" i="7"/>
  <c r="I78" i="7"/>
  <c r="Q78" i="7" s="1"/>
  <c r="H78" i="7"/>
  <c r="G78" i="7"/>
  <c r="P78" i="7" s="1"/>
  <c r="F78" i="7"/>
  <c r="E78" i="7"/>
  <c r="CW77" i="7"/>
  <c r="CV77" i="7"/>
  <c r="CT77" i="7"/>
  <c r="CS77" i="7"/>
  <c r="CU77" i="7" s="1"/>
  <c r="CQ77" i="7"/>
  <c r="CP77" i="7"/>
  <c r="CR77" i="7" s="1"/>
  <c r="CN77" i="7"/>
  <c r="CM77" i="7"/>
  <c r="CO77" i="7" s="1"/>
  <c r="CK77" i="7"/>
  <c r="CJ77" i="7"/>
  <c r="CL77" i="7" s="1"/>
  <c r="CH77" i="7"/>
  <c r="CG77" i="7"/>
  <c r="CI77" i="7" s="1"/>
  <c r="CF77" i="7"/>
  <c r="CE77" i="7"/>
  <c r="CD77" i="7"/>
  <c r="CB77" i="7"/>
  <c r="CA77" i="7"/>
  <c r="CC77" i="7" s="1"/>
  <c r="BY77" i="7"/>
  <c r="BX77" i="7"/>
  <c r="BV77" i="7"/>
  <c r="BU77" i="7"/>
  <c r="BS77" i="7"/>
  <c r="BR77" i="7"/>
  <c r="BP77" i="7"/>
  <c r="BO77" i="7"/>
  <c r="BM77" i="7"/>
  <c r="BL77" i="7"/>
  <c r="BN77" i="7" s="1"/>
  <c r="BJ77" i="7"/>
  <c r="BI77" i="7"/>
  <c r="BK77" i="7" s="1"/>
  <c r="BG77" i="7"/>
  <c r="BF77" i="7"/>
  <c r="BH77" i="7" s="1"/>
  <c r="BD77" i="7"/>
  <c r="BC77" i="7"/>
  <c r="BE77" i="7" s="1"/>
  <c r="BA77" i="7"/>
  <c r="AZ77" i="7"/>
  <c r="BB77" i="7" s="1"/>
  <c r="AX77" i="7"/>
  <c r="AW77" i="7"/>
  <c r="AY77" i="7" s="1"/>
  <c r="AV77" i="7"/>
  <c r="AU77" i="7"/>
  <c r="AS77" i="7"/>
  <c r="AR77" i="7"/>
  <c r="AP77" i="7"/>
  <c r="AO77" i="7"/>
  <c r="AM77" i="7"/>
  <c r="AL77" i="7"/>
  <c r="AJ77" i="7"/>
  <c r="AI77" i="7"/>
  <c r="AK77" i="7" s="1"/>
  <c r="AG77" i="7"/>
  <c r="AF77" i="7"/>
  <c r="AE77" i="7"/>
  <c r="AD77" i="7"/>
  <c r="AC77" i="7"/>
  <c r="AA77" i="7"/>
  <c r="Z77" i="7"/>
  <c r="X77" i="7"/>
  <c r="W77" i="7"/>
  <c r="T77" i="7"/>
  <c r="S77" i="7"/>
  <c r="R77" i="7"/>
  <c r="O77" i="7"/>
  <c r="L77" i="7"/>
  <c r="I77" i="7"/>
  <c r="Q77" i="7" s="1"/>
  <c r="H77" i="7"/>
  <c r="N77" i="7" s="1"/>
  <c r="G77" i="7"/>
  <c r="P77" i="7" s="1"/>
  <c r="F77" i="7"/>
  <c r="E77" i="7"/>
  <c r="CW76" i="7"/>
  <c r="CV76" i="7"/>
  <c r="CT76" i="7"/>
  <c r="CS76" i="7"/>
  <c r="CU76" i="7" s="1"/>
  <c r="CQ76" i="7"/>
  <c r="CP76" i="7"/>
  <c r="CR76" i="7" s="1"/>
  <c r="CN76" i="7"/>
  <c r="CM76" i="7"/>
  <c r="CO76" i="7" s="1"/>
  <c r="CK76" i="7"/>
  <c r="CJ76" i="7"/>
  <c r="CL76" i="7" s="1"/>
  <c r="CH76" i="7"/>
  <c r="CG76" i="7"/>
  <c r="CI76" i="7" s="1"/>
  <c r="CE76" i="7"/>
  <c r="CD76" i="7"/>
  <c r="CF76" i="7" s="1"/>
  <c r="CB76" i="7"/>
  <c r="CA76" i="7"/>
  <c r="CC76" i="7" s="1"/>
  <c r="BY76" i="7"/>
  <c r="BX76" i="7"/>
  <c r="BV76" i="7"/>
  <c r="BU76" i="7"/>
  <c r="BS76" i="7"/>
  <c r="BR76" i="7"/>
  <c r="BP76" i="7"/>
  <c r="BO76" i="7"/>
  <c r="BM76" i="7"/>
  <c r="BL76" i="7"/>
  <c r="BJ76" i="7"/>
  <c r="BK76" i="7" s="1"/>
  <c r="BI76" i="7"/>
  <c r="BG76" i="7"/>
  <c r="BF76" i="7"/>
  <c r="BD76" i="7"/>
  <c r="BC76" i="7"/>
  <c r="BE76" i="7" s="1"/>
  <c r="BA76" i="7"/>
  <c r="AZ76" i="7"/>
  <c r="AX76" i="7"/>
  <c r="AW76" i="7"/>
  <c r="AV76" i="7"/>
  <c r="AU76" i="7"/>
  <c r="AS76" i="7"/>
  <c r="AR76" i="7"/>
  <c r="AP76" i="7"/>
  <c r="AO76" i="7"/>
  <c r="AM76" i="7"/>
  <c r="AL76" i="7"/>
  <c r="AN76" i="7" s="1"/>
  <c r="AJ76" i="7"/>
  <c r="AI76" i="7"/>
  <c r="AK76" i="7" s="1"/>
  <c r="AG76" i="7"/>
  <c r="AF76" i="7"/>
  <c r="AE76" i="7"/>
  <c r="AD76" i="7"/>
  <c r="AC76" i="7"/>
  <c r="AA76" i="7"/>
  <c r="Z76" i="7"/>
  <c r="AB76" i="7" s="1"/>
  <c r="X76" i="7"/>
  <c r="W76" i="7"/>
  <c r="T76" i="7"/>
  <c r="V76" i="7" s="1"/>
  <c r="S76" i="7"/>
  <c r="R76" i="7"/>
  <c r="O76" i="7"/>
  <c r="L76" i="7"/>
  <c r="I76" i="7"/>
  <c r="Q76" i="7" s="1"/>
  <c r="H76" i="7"/>
  <c r="G76" i="7"/>
  <c r="P76" i="7" s="1"/>
  <c r="F76" i="7"/>
  <c r="E76" i="7"/>
  <c r="CW75" i="7"/>
  <c r="CV75" i="7"/>
  <c r="CT75" i="7"/>
  <c r="CS75" i="7"/>
  <c r="CQ75" i="7"/>
  <c r="CP75" i="7"/>
  <c r="CR75" i="7" s="1"/>
  <c r="CN75" i="7"/>
  <c r="CM75" i="7"/>
  <c r="CL75" i="7"/>
  <c r="CK75" i="7"/>
  <c r="CJ75" i="7"/>
  <c r="CH75" i="7"/>
  <c r="CG75" i="7"/>
  <c r="CF75" i="7"/>
  <c r="CE75" i="7"/>
  <c r="CD75" i="7"/>
  <c r="CB75" i="7"/>
  <c r="CA75" i="7"/>
  <c r="BY75" i="7"/>
  <c r="BX75" i="7"/>
  <c r="BV75" i="7"/>
  <c r="BU75" i="7"/>
  <c r="BS75" i="7"/>
  <c r="BR75" i="7"/>
  <c r="BP75" i="7"/>
  <c r="BO75" i="7"/>
  <c r="BN75" i="7"/>
  <c r="BM75" i="7"/>
  <c r="BL75" i="7"/>
  <c r="BJ75" i="7"/>
  <c r="BI75" i="7"/>
  <c r="BH75" i="7"/>
  <c r="BG75" i="7"/>
  <c r="BF75" i="7"/>
  <c r="BD75" i="7"/>
  <c r="BC75" i="7"/>
  <c r="BA75" i="7"/>
  <c r="AZ75" i="7"/>
  <c r="AX75" i="7"/>
  <c r="AW75" i="7"/>
  <c r="AV75" i="7"/>
  <c r="AU75" i="7"/>
  <c r="AS75" i="7"/>
  <c r="AR75" i="7"/>
  <c r="AP75" i="7"/>
  <c r="AO75" i="7"/>
  <c r="AM75" i="7"/>
  <c r="AL75" i="7"/>
  <c r="AJ75" i="7"/>
  <c r="AI75" i="7"/>
  <c r="AK75" i="7" s="1"/>
  <c r="AG75" i="7"/>
  <c r="AF75" i="7"/>
  <c r="AE75" i="7"/>
  <c r="AD75" i="7"/>
  <c r="AC75" i="7"/>
  <c r="AA75" i="7"/>
  <c r="Z75" i="7"/>
  <c r="X75" i="7"/>
  <c r="W75" i="7"/>
  <c r="T75" i="7"/>
  <c r="S75" i="7"/>
  <c r="R75" i="7"/>
  <c r="O75" i="7"/>
  <c r="L75" i="7"/>
  <c r="I75" i="7"/>
  <c r="Q75" i="7" s="1"/>
  <c r="H75" i="7"/>
  <c r="G75" i="7"/>
  <c r="F75" i="7"/>
  <c r="E75" i="7"/>
  <c r="CW73" i="7"/>
  <c r="CV73" i="7"/>
  <c r="CT73" i="7"/>
  <c r="CS73" i="7"/>
  <c r="CU73" i="7" s="1"/>
  <c r="CQ73" i="7"/>
  <c r="CP73" i="7"/>
  <c r="CR73" i="7" s="1"/>
  <c r="CN73" i="7"/>
  <c r="CM73" i="7"/>
  <c r="CO73" i="7" s="1"/>
  <c r="CK73" i="7"/>
  <c r="CJ73" i="7"/>
  <c r="CL73" i="7" s="1"/>
  <c r="CH73" i="7"/>
  <c r="CG73" i="7"/>
  <c r="CI73" i="7" s="1"/>
  <c r="CE73" i="7"/>
  <c r="CD73" i="7"/>
  <c r="CF73" i="7" s="1"/>
  <c r="CB73" i="7"/>
  <c r="CA73" i="7"/>
  <c r="CC73" i="7" s="1"/>
  <c r="BY73" i="7"/>
  <c r="BX73" i="7"/>
  <c r="BV73" i="7"/>
  <c r="BU73" i="7"/>
  <c r="BS73" i="7"/>
  <c r="BR73" i="7"/>
  <c r="BP73" i="7"/>
  <c r="BO73" i="7"/>
  <c r="BQ73" i="7" s="1"/>
  <c r="BN73" i="7"/>
  <c r="BM73" i="7"/>
  <c r="BL73" i="7"/>
  <c r="BJ73" i="7"/>
  <c r="BI73" i="7"/>
  <c r="BK73" i="7" s="1"/>
  <c r="BG73" i="7"/>
  <c r="BF73" i="7"/>
  <c r="BH73" i="7" s="1"/>
  <c r="BD73" i="7"/>
  <c r="BC73" i="7"/>
  <c r="BE73" i="7" s="1"/>
  <c r="BA73" i="7"/>
  <c r="AZ73" i="7"/>
  <c r="BB73" i="7" s="1"/>
  <c r="AX73" i="7"/>
  <c r="AW73" i="7"/>
  <c r="AY73" i="7" s="1"/>
  <c r="AV73" i="7"/>
  <c r="AU73" i="7"/>
  <c r="AS73" i="7"/>
  <c r="AR73" i="7"/>
  <c r="AT73" i="7" s="1"/>
  <c r="AP73" i="7"/>
  <c r="AO73" i="7"/>
  <c r="AQ73" i="7" s="1"/>
  <c r="AM73" i="7"/>
  <c r="AL73" i="7"/>
  <c r="AN73" i="7" s="1"/>
  <c r="AJ73" i="7"/>
  <c r="AI73" i="7"/>
  <c r="AK73" i="7" s="1"/>
  <c r="AG73" i="7"/>
  <c r="AF73" i="7"/>
  <c r="AH73" i="7" s="1"/>
  <c r="AE73" i="7"/>
  <c r="AD73" i="7"/>
  <c r="AC73" i="7"/>
  <c r="AA73" i="7"/>
  <c r="Z73" i="7"/>
  <c r="X73" i="7"/>
  <c r="W73" i="7"/>
  <c r="T73" i="7"/>
  <c r="S73" i="7"/>
  <c r="V73" i="7" s="1"/>
  <c r="R73" i="7"/>
  <c r="U73" i="7" s="1"/>
  <c r="O73" i="7"/>
  <c r="L73" i="7"/>
  <c r="I73" i="7"/>
  <c r="Q73" i="7" s="1"/>
  <c r="H73" i="7"/>
  <c r="G73" i="7"/>
  <c r="P73" i="7" s="1"/>
  <c r="F73" i="7"/>
  <c r="E73" i="7"/>
  <c r="CW72" i="7"/>
  <c r="CV72" i="7"/>
  <c r="CT72" i="7"/>
  <c r="CS72" i="7"/>
  <c r="CU72" i="7" s="1"/>
  <c r="CQ72" i="7"/>
  <c r="CP72" i="7"/>
  <c r="CR72" i="7" s="1"/>
  <c r="CO72" i="7"/>
  <c r="CN72" i="7"/>
  <c r="CM72" i="7"/>
  <c r="CK72" i="7"/>
  <c r="CJ72" i="7"/>
  <c r="CL72" i="7" s="1"/>
  <c r="CH72" i="7"/>
  <c r="CG72" i="7"/>
  <c r="CI72" i="7" s="1"/>
  <c r="CE72" i="7"/>
  <c r="CD72" i="7"/>
  <c r="CF72" i="7" s="1"/>
  <c r="CC72" i="7"/>
  <c r="CB72" i="7"/>
  <c r="CA72" i="7"/>
  <c r="BY72" i="7"/>
  <c r="BX72" i="7"/>
  <c r="BV72" i="7"/>
  <c r="BU72" i="7"/>
  <c r="BS72" i="7"/>
  <c r="BR72" i="7"/>
  <c r="BP72" i="7"/>
  <c r="BQ72" i="7" s="1"/>
  <c r="BO72" i="7"/>
  <c r="BM72" i="7"/>
  <c r="BL72" i="7"/>
  <c r="BN72" i="7" s="1"/>
  <c r="BJ72" i="7"/>
  <c r="BI72" i="7"/>
  <c r="BK72" i="7" s="1"/>
  <c r="BG72" i="7"/>
  <c r="BF72" i="7"/>
  <c r="BH72" i="7" s="1"/>
  <c r="BD72" i="7"/>
  <c r="BC72" i="7"/>
  <c r="BE72" i="7" s="1"/>
  <c r="BA72" i="7"/>
  <c r="AZ72" i="7"/>
  <c r="BB72" i="7" s="1"/>
  <c r="AX72" i="7"/>
  <c r="AW72" i="7"/>
  <c r="AY72" i="7" s="1"/>
  <c r="AV72" i="7"/>
  <c r="AU72" i="7"/>
  <c r="AS72" i="7"/>
  <c r="AR72" i="7"/>
  <c r="AP72" i="7"/>
  <c r="AO72" i="7"/>
  <c r="AQ72" i="7" s="1"/>
  <c r="AM72" i="7"/>
  <c r="AL72" i="7"/>
  <c r="AN72" i="7" s="1"/>
  <c r="AJ72" i="7"/>
  <c r="AI72" i="7"/>
  <c r="AK72" i="7" s="1"/>
  <c r="AG72" i="7"/>
  <c r="AF72" i="7"/>
  <c r="AE72" i="7"/>
  <c r="AD72" i="7"/>
  <c r="AC72" i="7"/>
  <c r="AA72" i="7"/>
  <c r="Z72" i="7"/>
  <c r="X72" i="7"/>
  <c r="W72" i="7"/>
  <c r="T72" i="7"/>
  <c r="S72" i="7"/>
  <c r="R72" i="7"/>
  <c r="O72" i="7"/>
  <c r="L72" i="7"/>
  <c r="I72" i="7"/>
  <c r="Q72" i="7" s="1"/>
  <c r="H72" i="7"/>
  <c r="G72" i="7"/>
  <c r="P72" i="7" s="1"/>
  <c r="F72" i="7"/>
  <c r="D72" i="7" s="1"/>
  <c r="E72" i="7"/>
  <c r="CW71" i="7"/>
  <c r="CV71" i="7"/>
  <c r="CT71" i="7"/>
  <c r="CS71" i="7"/>
  <c r="CU71" i="7" s="1"/>
  <c r="CQ71" i="7"/>
  <c r="CP71" i="7"/>
  <c r="CR71" i="7" s="1"/>
  <c r="CN71" i="7"/>
  <c r="CM71" i="7"/>
  <c r="CO71" i="7" s="1"/>
  <c r="CK71" i="7"/>
  <c r="CJ71" i="7"/>
  <c r="CL71" i="7" s="1"/>
  <c r="CH71" i="7"/>
  <c r="CG71" i="7"/>
  <c r="CI71" i="7" s="1"/>
  <c r="CE71" i="7"/>
  <c r="CD71" i="7"/>
  <c r="CF71" i="7" s="1"/>
  <c r="CB71" i="7"/>
  <c r="CA71" i="7"/>
  <c r="CC71" i="7" s="1"/>
  <c r="BY71" i="7"/>
  <c r="BX71" i="7"/>
  <c r="BV71" i="7"/>
  <c r="BU71" i="7"/>
  <c r="BW71" i="7" s="1"/>
  <c r="BS71" i="7"/>
  <c r="BR71" i="7"/>
  <c r="BP71" i="7"/>
  <c r="BO71" i="7"/>
  <c r="BM71" i="7"/>
  <c r="BL71" i="7"/>
  <c r="BN71" i="7" s="1"/>
  <c r="BJ71" i="7"/>
  <c r="BI71" i="7"/>
  <c r="BK71" i="7" s="1"/>
  <c r="BG71" i="7"/>
  <c r="BF71" i="7"/>
  <c r="BH71" i="7" s="1"/>
  <c r="BD71" i="7"/>
  <c r="BC71" i="7"/>
  <c r="BE71" i="7" s="1"/>
  <c r="BB71" i="7"/>
  <c r="BA71" i="7"/>
  <c r="AZ71" i="7"/>
  <c r="AX71" i="7"/>
  <c r="AW71" i="7"/>
  <c r="AY71" i="7" s="1"/>
  <c r="AV71" i="7"/>
  <c r="AU71" i="7"/>
  <c r="AS71" i="7"/>
  <c r="AR71" i="7"/>
  <c r="AT71" i="7" s="1"/>
  <c r="AP71" i="7"/>
  <c r="AO71" i="7"/>
  <c r="AQ71" i="7" s="1"/>
  <c r="AM71" i="7"/>
  <c r="AL71" i="7"/>
  <c r="AN71" i="7" s="1"/>
  <c r="AJ71" i="7"/>
  <c r="AI71" i="7"/>
  <c r="AK71" i="7" s="1"/>
  <c r="AG71" i="7"/>
  <c r="AF71" i="7"/>
  <c r="AH71" i="7" s="1"/>
  <c r="AE71" i="7"/>
  <c r="AD71" i="7"/>
  <c r="AC71" i="7"/>
  <c r="AA71" i="7"/>
  <c r="Z71" i="7"/>
  <c r="X71" i="7"/>
  <c r="W71" i="7"/>
  <c r="Y71" i="7" s="1"/>
  <c r="T71" i="7"/>
  <c r="S71" i="7"/>
  <c r="V71" i="7" s="1"/>
  <c r="R71" i="7"/>
  <c r="U71" i="7" s="1"/>
  <c r="O71" i="7"/>
  <c r="L71" i="7"/>
  <c r="I71" i="7"/>
  <c r="Q71" i="7" s="1"/>
  <c r="H71" i="7"/>
  <c r="G71" i="7"/>
  <c r="P71" i="7" s="1"/>
  <c r="F71" i="7"/>
  <c r="E71" i="7"/>
  <c r="CW70" i="7"/>
  <c r="CV70" i="7"/>
  <c r="CT70" i="7"/>
  <c r="CS70" i="7"/>
  <c r="CU70" i="7" s="1"/>
  <c r="CQ70" i="7"/>
  <c r="CP70" i="7"/>
  <c r="CR70" i="7" s="1"/>
  <c r="CN70" i="7"/>
  <c r="CM70" i="7"/>
  <c r="CO70" i="7" s="1"/>
  <c r="CK70" i="7"/>
  <c r="CJ70" i="7"/>
  <c r="CL70" i="7" s="1"/>
  <c r="CH70" i="7"/>
  <c r="CG70" i="7"/>
  <c r="CI70" i="7" s="1"/>
  <c r="CE70" i="7"/>
  <c r="CD70" i="7"/>
  <c r="CF70" i="7" s="1"/>
  <c r="CB70" i="7"/>
  <c r="CA70" i="7"/>
  <c r="CC70" i="7" s="1"/>
  <c r="BY70" i="7"/>
  <c r="BX70" i="7"/>
  <c r="BV70" i="7"/>
  <c r="BU70" i="7"/>
  <c r="BS70" i="7"/>
  <c r="BR70" i="7"/>
  <c r="BP70" i="7"/>
  <c r="BQ70" i="7" s="1"/>
  <c r="BO70" i="7"/>
  <c r="BM70" i="7"/>
  <c r="BL70" i="7"/>
  <c r="BN70" i="7" s="1"/>
  <c r="BJ70" i="7"/>
  <c r="BI70" i="7"/>
  <c r="BK70" i="7" s="1"/>
  <c r="BG70" i="7"/>
  <c r="BF70" i="7"/>
  <c r="BH70" i="7" s="1"/>
  <c r="BD70" i="7"/>
  <c r="BC70" i="7"/>
  <c r="BE70" i="7" s="1"/>
  <c r="BA70" i="7"/>
  <c r="AZ70" i="7"/>
  <c r="BB70" i="7" s="1"/>
  <c r="AX70" i="7"/>
  <c r="AW70" i="7"/>
  <c r="AY70" i="7" s="1"/>
  <c r="AV70" i="7"/>
  <c r="AU70" i="7"/>
  <c r="AS70" i="7"/>
  <c r="AR70" i="7"/>
  <c r="AP70" i="7"/>
  <c r="AO70" i="7"/>
  <c r="AM70" i="7"/>
  <c r="AL70" i="7"/>
  <c r="AN70" i="7" s="1"/>
  <c r="AJ70" i="7"/>
  <c r="AI70" i="7"/>
  <c r="AK70" i="7" s="1"/>
  <c r="AG70" i="7"/>
  <c r="AH70" i="7" s="1"/>
  <c r="AF70" i="7"/>
  <c r="AE70" i="7"/>
  <c r="AD70" i="7"/>
  <c r="AC70" i="7"/>
  <c r="AA70" i="7"/>
  <c r="Z70" i="7"/>
  <c r="X70" i="7"/>
  <c r="W70" i="7"/>
  <c r="T70" i="7"/>
  <c r="U70" i="7" s="1"/>
  <c r="S70" i="7"/>
  <c r="R70" i="7"/>
  <c r="O70" i="7"/>
  <c r="L70" i="7"/>
  <c r="I70" i="7"/>
  <c r="Q70" i="7" s="1"/>
  <c r="H70" i="7"/>
  <c r="G70" i="7"/>
  <c r="P70" i="7" s="1"/>
  <c r="F70" i="7"/>
  <c r="E70" i="7"/>
  <c r="CW69" i="7"/>
  <c r="CV69" i="7"/>
  <c r="CT69" i="7"/>
  <c r="CS69" i="7"/>
  <c r="CQ69" i="7"/>
  <c r="CR69" i="7" s="1"/>
  <c r="CP69" i="7"/>
  <c r="CN69" i="7"/>
  <c r="CM69" i="7"/>
  <c r="CO69" i="7" s="1"/>
  <c r="CK69" i="7"/>
  <c r="CJ69" i="7"/>
  <c r="CH69" i="7"/>
  <c r="CG69" i="7"/>
  <c r="CE69" i="7"/>
  <c r="CD69" i="7"/>
  <c r="CB69" i="7"/>
  <c r="CA69" i="7"/>
  <c r="CC69" i="7" s="1"/>
  <c r="BY69" i="7"/>
  <c r="BZ69" i="7" s="1"/>
  <c r="BX69" i="7"/>
  <c r="BV69" i="7"/>
  <c r="BU69" i="7"/>
  <c r="BS69" i="7"/>
  <c r="BR69" i="7"/>
  <c r="BP69" i="7"/>
  <c r="BO69" i="7"/>
  <c r="BM69" i="7"/>
  <c r="BL69" i="7"/>
  <c r="BJ69" i="7"/>
  <c r="BI69" i="7"/>
  <c r="BG69" i="7"/>
  <c r="BH69" i="7" s="1"/>
  <c r="BF69" i="7"/>
  <c r="BD69" i="7"/>
  <c r="BC69" i="7"/>
  <c r="BE69" i="7" s="1"/>
  <c r="BA69" i="7"/>
  <c r="AZ69" i="7"/>
  <c r="AX69" i="7"/>
  <c r="AW69" i="7"/>
  <c r="AV69" i="7"/>
  <c r="AU69" i="7"/>
  <c r="AS69" i="7"/>
  <c r="AR69" i="7"/>
  <c r="AP69" i="7"/>
  <c r="AO69" i="7"/>
  <c r="AM69" i="7"/>
  <c r="AL69" i="7"/>
  <c r="AJ69" i="7"/>
  <c r="AI69" i="7"/>
  <c r="AK69" i="7" s="1"/>
  <c r="AG69" i="7"/>
  <c r="AF69" i="7"/>
  <c r="AE69" i="7"/>
  <c r="AD69" i="7"/>
  <c r="AC69" i="7"/>
  <c r="AA69" i="7"/>
  <c r="Z69" i="7"/>
  <c r="X69" i="7"/>
  <c r="W69" i="7"/>
  <c r="T69" i="7"/>
  <c r="S69" i="7"/>
  <c r="R69" i="7"/>
  <c r="O69" i="7"/>
  <c r="L69" i="7"/>
  <c r="I69" i="7"/>
  <c r="Q69" i="7" s="1"/>
  <c r="H69" i="7"/>
  <c r="G69" i="7"/>
  <c r="P69" i="7" s="1"/>
  <c r="F69" i="7"/>
  <c r="E69" i="7"/>
  <c r="CW68" i="7"/>
  <c r="CV68" i="7"/>
  <c r="CT68" i="7"/>
  <c r="CS68" i="7"/>
  <c r="CU68" i="7" s="1"/>
  <c r="CQ68" i="7"/>
  <c r="CP68" i="7"/>
  <c r="CR68" i="7" s="1"/>
  <c r="CN68" i="7"/>
  <c r="CM68" i="7"/>
  <c r="CO68" i="7" s="1"/>
  <c r="CK68" i="7"/>
  <c r="CJ68" i="7"/>
  <c r="CL68" i="7" s="1"/>
  <c r="CH68" i="7"/>
  <c r="CG68" i="7"/>
  <c r="CI68" i="7" s="1"/>
  <c r="CE68" i="7"/>
  <c r="CD68" i="7"/>
  <c r="CF68" i="7" s="1"/>
  <c r="CC68" i="7"/>
  <c r="CB68" i="7"/>
  <c r="CA68" i="7"/>
  <c r="BY68" i="7"/>
  <c r="BX68" i="7"/>
  <c r="BV68" i="7"/>
  <c r="BU68" i="7"/>
  <c r="BS68" i="7"/>
  <c r="BR68" i="7"/>
  <c r="BP68" i="7"/>
  <c r="BQ68" i="7" s="1"/>
  <c r="BO68" i="7"/>
  <c r="BM68" i="7"/>
  <c r="BL68" i="7"/>
  <c r="BN68" i="7" s="1"/>
  <c r="BJ68" i="7"/>
  <c r="BI68" i="7"/>
  <c r="BK68" i="7" s="1"/>
  <c r="BG68" i="7"/>
  <c r="BF68" i="7"/>
  <c r="BH68" i="7" s="1"/>
  <c r="BD68" i="7"/>
  <c r="BC68" i="7"/>
  <c r="BE68" i="7" s="1"/>
  <c r="BA68" i="7"/>
  <c r="AZ68" i="7"/>
  <c r="BB68" i="7" s="1"/>
  <c r="AX68" i="7"/>
  <c r="AW68" i="7"/>
  <c r="AY68" i="7" s="1"/>
  <c r="AV68" i="7"/>
  <c r="AU68" i="7"/>
  <c r="AS68" i="7"/>
  <c r="AR68" i="7"/>
  <c r="AP68" i="7"/>
  <c r="AO68" i="7"/>
  <c r="AM68" i="7"/>
  <c r="AN68" i="7" s="1"/>
  <c r="AL68" i="7"/>
  <c r="AJ68" i="7"/>
  <c r="AI68" i="7"/>
  <c r="AK68" i="7" s="1"/>
  <c r="AG68" i="7"/>
  <c r="AF68" i="7"/>
  <c r="AE68" i="7"/>
  <c r="AD68" i="7"/>
  <c r="AC68" i="7"/>
  <c r="AA68" i="7"/>
  <c r="Z68" i="7"/>
  <c r="X68" i="7"/>
  <c r="W68" i="7"/>
  <c r="T68" i="7"/>
  <c r="S68" i="7"/>
  <c r="R68" i="7"/>
  <c r="O68" i="7"/>
  <c r="L68" i="7"/>
  <c r="J68" i="7" s="1"/>
  <c r="I68" i="7"/>
  <c r="Q68" i="7" s="1"/>
  <c r="H68" i="7"/>
  <c r="G68" i="7"/>
  <c r="P68" i="7" s="1"/>
  <c r="F68" i="7"/>
  <c r="E68" i="7"/>
  <c r="CW67" i="7"/>
  <c r="CV67" i="7"/>
  <c r="CT67" i="7"/>
  <c r="CS67" i="7"/>
  <c r="CU67" i="7" s="1"/>
  <c r="CQ67" i="7"/>
  <c r="CP67" i="7"/>
  <c r="CR67" i="7" s="1"/>
  <c r="CN67" i="7"/>
  <c r="CM67" i="7"/>
  <c r="CO67" i="7" s="1"/>
  <c r="CK67" i="7"/>
  <c r="CJ67" i="7"/>
  <c r="CL67" i="7" s="1"/>
  <c r="CH67" i="7"/>
  <c r="CG67" i="7"/>
  <c r="CI67" i="7" s="1"/>
  <c r="CE67" i="7"/>
  <c r="CD67" i="7"/>
  <c r="CF67" i="7" s="1"/>
  <c r="CB67" i="7"/>
  <c r="CA67" i="7"/>
  <c r="CC67" i="7" s="1"/>
  <c r="BY67" i="7"/>
  <c r="BX67" i="7"/>
  <c r="BV67" i="7"/>
  <c r="BU67" i="7"/>
  <c r="BS67" i="7"/>
  <c r="BR67" i="7"/>
  <c r="BP67" i="7"/>
  <c r="BO67" i="7"/>
  <c r="BM67" i="7"/>
  <c r="BL67" i="7"/>
  <c r="BN67" i="7" s="1"/>
  <c r="BJ67" i="7"/>
  <c r="BI67" i="7"/>
  <c r="BK67" i="7" s="1"/>
  <c r="BG67" i="7"/>
  <c r="BF67" i="7"/>
  <c r="BH67" i="7" s="1"/>
  <c r="BD67" i="7"/>
  <c r="BC67" i="7"/>
  <c r="BE67" i="7" s="1"/>
  <c r="BB67" i="7"/>
  <c r="BA67" i="7"/>
  <c r="AZ67" i="7"/>
  <c r="AX67" i="7"/>
  <c r="AW67" i="7"/>
  <c r="AY67" i="7" s="1"/>
  <c r="AV67" i="7"/>
  <c r="AU67" i="7"/>
  <c r="AS67" i="7"/>
  <c r="AR67" i="7"/>
  <c r="AP67" i="7"/>
  <c r="AO67" i="7"/>
  <c r="AM67" i="7"/>
  <c r="AL67" i="7"/>
  <c r="AN67" i="7" s="1"/>
  <c r="AJ67" i="7"/>
  <c r="AI67" i="7"/>
  <c r="AK67" i="7" s="1"/>
  <c r="AG67" i="7"/>
  <c r="AF67" i="7"/>
  <c r="AE67" i="7"/>
  <c r="AD67" i="7"/>
  <c r="AC67" i="7"/>
  <c r="AA67" i="7"/>
  <c r="Z67" i="7"/>
  <c r="X67" i="7"/>
  <c r="W67" i="7"/>
  <c r="T67" i="7"/>
  <c r="S67" i="7"/>
  <c r="R67" i="7"/>
  <c r="O67" i="7"/>
  <c r="L67" i="7"/>
  <c r="I67" i="7"/>
  <c r="Q67" i="7" s="1"/>
  <c r="H67" i="7"/>
  <c r="G67" i="7"/>
  <c r="P67" i="7" s="1"/>
  <c r="F67" i="7"/>
  <c r="E67" i="7"/>
  <c r="CW66" i="7"/>
  <c r="CV66" i="7"/>
  <c r="CT66" i="7"/>
  <c r="CS66" i="7"/>
  <c r="CQ66" i="7"/>
  <c r="CP66" i="7"/>
  <c r="CN66" i="7"/>
  <c r="CM66" i="7"/>
  <c r="CO66" i="7" s="1"/>
  <c r="CK66" i="7"/>
  <c r="CJ66" i="7"/>
  <c r="CH66" i="7"/>
  <c r="CG66" i="7"/>
  <c r="CE66" i="7"/>
  <c r="CD66" i="7"/>
  <c r="CF66" i="7" s="1"/>
  <c r="CB66" i="7"/>
  <c r="CA66" i="7"/>
  <c r="CC66" i="7" s="1"/>
  <c r="BY66" i="7"/>
  <c r="BX66" i="7"/>
  <c r="BV66" i="7"/>
  <c r="BU66" i="7"/>
  <c r="BS66" i="7"/>
  <c r="BR66" i="7"/>
  <c r="BP66" i="7"/>
  <c r="BO66" i="7"/>
  <c r="BM66" i="7"/>
  <c r="BL66" i="7"/>
  <c r="BN66" i="7" s="1"/>
  <c r="BK66" i="7"/>
  <c r="BJ66" i="7"/>
  <c r="BI66" i="7"/>
  <c r="BG66" i="7"/>
  <c r="BF66" i="7"/>
  <c r="BD66" i="7"/>
  <c r="BC66" i="7"/>
  <c r="BE66" i="7" s="1"/>
  <c r="BA66" i="7"/>
  <c r="AZ66" i="7"/>
  <c r="BB66" i="7" s="1"/>
  <c r="AX66" i="7"/>
  <c r="AW66" i="7"/>
  <c r="AY66" i="7" s="1"/>
  <c r="AV66" i="7"/>
  <c r="AU66" i="7"/>
  <c r="AS66" i="7"/>
  <c r="AR66" i="7"/>
  <c r="AP66" i="7"/>
  <c r="AO66" i="7"/>
  <c r="AM66" i="7"/>
  <c r="AL66" i="7"/>
  <c r="AJ66" i="7"/>
  <c r="AI66" i="7"/>
  <c r="AK66" i="7" s="1"/>
  <c r="AG66" i="7"/>
  <c r="AF66" i="7"/>
  <c r="AE66" i="7"/>
  <c r="AD66" i="7"/>
  <c r="AC66" i="7"/>
  <c r="AA66" i="7"/>
  <c r="Z66" i="7"/>
  <c r="X66" i="7"/>
  <c r="W66" i="7"/>
  <c r="T66" i="7"/>
  <c r="S66" i="7"/>
  <c r="R66" i="7"/>
  <c r="O66" i="7"/>
  <c r="L66" i="7"/>
  <c r="I66" i="7"/>
  <c r="Q66" i="7" s="1"/>
  <c r="H66" i="7"/>
  <c r="G66" i="7"/>
  <c r="P66" i="7" s="1"/>
  <c r="F66" i="7"/>
  <c r="E66" i="7"/>
  <c r="CW65" i="7"/>
  <c r="CV65" i="7"/>
  <c r="CT65" i="7"/>
  <c r="CS65" i="7"/>
  <c r="CU65" i="7" s="1"/>
  <c r="CQ65" i="7"/>
  <c r="CP65" i="7"/>
  <c r="CR65" i="7" s="1"/>
  <c r="CN65" i="7"/>
  <c r="CM65" i="7"/>
  <c r="CO65" i="7" s="1"/>
  <c r="CK65" i="7"/>
  <c r="CJ65" i="7"/>
  <c r="CL65" i="7" s="1"/>
  <c r="CH65" i="7"/>
  <c r="CG65" i="7"/>
  <c r="CI65" i="7" s="1"/>
  <c r="CE65" i="7"/>
  <c r="CD65" i="7"/>
  <c r="CF65" i="7" s="1"/>
  <c r="CB65" i="7"/>
  <c r="CA65" i="7"/>
  <c r="CC65" i="7" s="1"/>
  <c r="BY65" i="7"/>
  <c r="BX65" i="7"/>
  <c r="BV65" i="7"/>
  <c r="BU65" i="7"/>
  <c r="BW65" i="7" s="1"/>
  <c r="BS65" i="7"/>
  <c r="BR65" i="7"/>
  <c r="BP65" i="7"/>
  <c r="BO65" i="7"/>
  <c r="BM65" i="7"/>
  <c r="BL65" i="7"/>
  <c r="BN65" i="7" s="1"/>
  <c r="BJ65" i="7"/>
  <c r="BI65" i="7"/>
  <c r="BK65" i="7" s="1"/>
  <c r="BH65" i="7"/>
  <c r="BG65" i="7"/>
  <c r="BF65" i="7"/>
  <c r="BD65" i="7"/>
  <c r="BC65" i="7"/>
  <c r="BE65" i="7" s="1"/>
  <c r="BA65" i="7"/>
  <c r="AZ65" i="7"/>
  <c r="BB65" i="7" s="1"/>
  <c r="AX65" i="7"/>
  <c r="AW65" i="7"/>
  <c r="AY65" i="7" s="1"/>
  <c r="AV65" i="7"/>
  <c r="AU65" i="7"/>
  <c r="AS65" i="7"/>
  <c r="AR65" i="7"/>
  <c r="AP65" i="7"/>
  <c r="AO65" i="7"/>
  <c r="AQ65" i="7" s="1"/>
  <c r="AM65" i="7"/>
  <c r="AL65" i="7"/>
  <c r="AJ65" i="7"/>
  <c r="AI65" i="7"/>
  <c r="AK65" i="7" s="1"/>
  <c r="AG65" i="7"/>
  <c r="AF65" i="7"/>
  <c r="AH65" i="7" s="1"/>
  <c r="AE65" i="7"/>
  <c r="AD65" i="7"/>
  <c r="AC65" i="7"/>
  <c r="AA65" i="7"/>
  <c r="Z65" i="7"/>
  <c r="X65" i="7"/>
  <c r="W65" i="7"/>
  <c r="T65" i="7"/>
  <c r="S65" i="7"/>
  <c r="R65" i="7"/>
  <c r="O65" i="7"/>
  <c r="L65" i="7"/>
  <c r="I65" i="7"/>
  <c r="Q65" i="7" s="1"/>
  <c r="H65" i="7"/>
  <c r="G65" i="7"/>
  <c r="P65" i="7" s="1"/>
  <c r="F65" i="7"/>
  <c r="E65" i="7"/>
  <c r="CW64" i="7"/>
  <c r="CV64" i="7"/>
  <c r="CT64" i="7"/>
  <c r="CS64" i="7"/>
  <c r="CQ64" i="7"/>
  <c r="CP64" i="7"/>
  <c r="CN64" i="7"/>
  <c r="CM64" i="7"/>
  <c r="CO64" i="7" s="1"/>
  <c r="CK64" i="7"/>
  <c r="CJ64" i="7"/>
  <c r="CL64" i="7" s="1"/>
  <c r="CH64" i="7"/>
  <c r="CG64" i="7"/>
  <c r="CE64" i="7"/>
  <c r="CD64" i="7"/>
  <c r="CB64" i="7"/>
  <c r="CA64" i="7"/>
  <c r="CC64" i="7" s="1"/>
  <c r="BY64" i="7"/>
  <c r="BX64" i="7"/>
  <c r="BV64" i="7"/>
  <c r="BU64" i="7"/>
  <c r="BS64" i="7"/>
  <c r="BR64" i="7"/>
  <c r="BP64" i="7"/>
  <c r="BO64" i="7"/>
  <c r="BM64" i="7"/>
  <c r="BL64" i="7"/>
  <c r="BN64" i="7" s="1"/>
  <c r="BJ64" i="7"/>
  <c r="BI64" i="7"/>
  <c r="BK64" i="7" s="1"/>
  <c r="BG64" i="7"/>
  <c r="BF64" i="7"/>
  <c r="BH64" i="7" s="1"/>
  <c r="BD64" i="7"/>
  <c r="BC64" i="7"/>
  <c r="BE64" i="7" s="1"/>
  <c r="BA64" i="7"/>
  <c r="AZ64" i="7"/>
  <c r="BB64" i="7" s="1"/>
  <c r="AX64" i="7"/>
  <c r="AW64" i="7"/>
  <c r="AY64" i="7" s="1"/>
  <c r="AV64" i="7"/>
  <c r="AU64" i="7"/>
  <c r="AS64" i="7"/>
  <c r="AR64" i="7"/>
  <c r="AT64" i="7" s="1"/>
  <c r="AP64" i="7"/>
  <c r="AO64" i="7"/>
  <c r="AQ64" i="7" s="1"/>
  <c r="AM64" i="7"/>
  <c r="AL64" i="7"/>
  <c r="AN64" i="7" s="1"/>
  <c r="AJ64" i="7"/>
  <c r="AI64" i="7"/>
  <c r="AK64" i="7" s="1"/>
  <c r="AG64" i="7"/>
  <c r="AF64" i="7"/>
  <c r="AH64" i="7" s="1"/>
  <c r="AE64" i="7"/>
  <c r="AD64" i="7"/>
  <c r="AC64" i="7"/>
  <c r="AA64" i="7"/>
  <c r="Z64" i="7"/>
  <c r="X64" i="7"/>
  <c r="W64" i="7"/>
  <c r="T64" i="7"/>
  <c r="S64" i="7"/>
  <c r="R64" i="7"/>
  <c r="O64" i="7"/>
  <c r="L64" i="7"/>
  <c r="I64" i="7"/>
  <c r="H64" i="7"/>
  <c r="N64" i="7" s="1"/>
  <c r="G64" i="7"/>
  <c r="F64" i="7"/>
  <c r="E64" i="7"/>
  <c r="CW63" i="7"/>
  <c r="CV63" i="7"/>
  <c r="CT63" i="7"/>
  <c r="CS63" i="7"/>
  <c r="CQ63" i="7"/>
  <c r="CR63" i="7" s="1"/>
  <c r="CP63" i="7"/>
  <c r="CN63" i="7"/>
  <c r="CM63" i="7"/>
  <c r="CO63" i="7" s="1"/>
  <c r="CK63" i="7"/>
  <c r="CJ63" i="7"/>
  <c r="CH63" i="7"/>
  <c r="CG63" i="7"/>
  <c r="CE63" i="7"/>
  <c r="CD63" i="7"/>
  <c r="CB63" i="7"/>
  <c r="CA63" i="7"/>
  <c r="CC63" i="7" s="1"/>
  <c r="BY63" i="7"/>
  <c r="BZ63" i="7" s="1"/>
  <c r="BX63" i="7"/>
  <c r="BV63" i="7"/>
  <c r="BU63" i="7"/>
  <c r="BW63" i="7" s="1"/>
  <c r="BS63" i="7"/>
  <c r="BT63" i="7" s="1"/>
  <c r="BR63" i="7"/>
  <c r="BP63" i="7"/>
  <c r="BO63" i="7"/>
  <c r="BM63" i="7"/>
  <c r="BL63" i="7"/>
  <c r="BN63" i="7" s="1"/>
  <c r="BJ63" i="7"/>
  <c r="BI63" i="7"/>
  <c r="BK63" i="7" s="1"/>
  <c r="BG63" i="7"/>
  <c r="BF63" i="7"/>
  <c r="BH63" i="7" s="1"/>
  <c r="BD63" i="7"/>
  <c r="BC63" i="7"/>
  <c r="BE63" i="7" s="1"/>
  <c r="BA63" i="7"/>
  <c r="AZ63" i="7"/>
  <c r="BB63" i="7" s="1"/>
  <c r="AX63" i="7"/>
  <c r="AW63" i="7"/>
  <c r="AY63" i="7" s="1"/>
  <c r="AV63" i="7"/>
  <c r="AU63" i="7"/>
  <c r="AS63" i="7"/>
  <c r="AR63" i="7"/>
  <c r="AP63" i="7"/>
  <c r="AO63" i="7"/>
  <c r="AM63" i="7"/>
  <c r="AL63" i="7"/>
  <c r="AJ63" i="7"/>
  <c r="AI63" i="7"/>
  <c r="AK63" i="7" s="1"/>
  <c r="AG63" i="7"/>
  <c r="AF63" i="7"/>
  <c r="AE63" i="7"/>
  <c r="AD63" i="7"/>
  <c r="AC63" i="7"/>
  <c r="AA63" i="7"/>
  <c r="Z63" i="7"/>
  <c r="X63" i="7"/>
  <c r="W63" i="7"/>
  <c r="T63" i="7"/>
  <c r="S63" i="7"/>
  <c r="R63" i="7"/>
  <c r="O63" i="7"/>
  <c r="L63" i="7"/>
  <c r="I63" i="7"/>
  <c r="Q63" i="7" s="1"/>
  <c r="H63" i="7"/>
  <c r="G63" i="7"/>
  <c r="P63" i="7" s="1"/>
  <c r="F63" i="7"/>
  <c r="E63" i="7"/>
  <c r="CW62" i="7"/>
  <c r="CV62" i="7"/>
  <c r="CT62" i="7"/>
  <c r="CS62" i="7"/>
  <c r="CU62" i="7" s="1"/>
  <c r="CQ62" i="7"/>
  <c r="CP62" i="7"/>
  <c r="CR62" i="7" s="1"/>
  <c r="CN62" i="7"/>
  <c r="CM62" i="7"/>
  <c r="CO62" i="7" s="1"/>
  <c r="CK62" i="7"/>
  <c r="CJ62" i="7"/>
  <c r="CL62" i="7" s="1"/>
  <c r="CI62" i="7"/>
  <c r="CH62" i="7"/>
  <c r="CG62" i="7"/>
  <c r="CE62" i="7"/>
  <c r="CD62" i="7"/>
  <c r="CF62" i="7" s="1"/>
  <c r="CB62" i="7"/>
  <c r="CA62" i="7"/>
  <c r="CC62" i="7" s="1"/>
  <c r="BY62" i="7"/>
  <c r="BX62" i="7"/>
  <c r="BZ62" i="7" s="1"/>
  <c r="BV62" i="7"/>
  <c r="BU62" i="7"/>
  <c r="BS62" i="7"/>
  <c r="BR62" i="7"/>
  <c r="BP62" i="7"/>
  <c r="BO62" i="7"/>
  <c r="BM62" i="7"/>
  <c r="BL62" i="7"/>
  <c r="BN62" i="7" s="1"/>
  <c r="BJ62" i="7"/>
  <c r="BI62" i="7"/>
  <c r="BK62" i="7" s="1"/>
  <c r="BG62" i="7"/>
  <c r="BF62" i="7"/>
  <c r="BH62" i="7" s="1"/>
  <c r="BD62" i="7"/>
  <c r="BC62" i="7"/>
  <c r="BE62" i="7" s="1"/>
  <c r="BA62" i="7"/>
  <c r="AZ62" i="7"/>
  <c r="BB62" i="7" s="1"/>
  <c r="AX62" i="7"/>
  <c r="AW62" i="7"/>
  <c r="AY62" i="7" s="1"/>
  <c r="AV62" i="7"/>
  <c r="AU62" i="7"/>
  <c r="AS62" i="7"/>
  <c r="AR62" i="7"/>
  <c r="AP62" i="7"/>
  <c r="AO62" i="7"/>
  <c r="AM62" i="7"/>
  <c r="AL62" i="7"/>
  <c r="AJ62" i="7"/>
  <c r="AI62" i="7"/>
  <c r="AK62" i="7" s="1"/>
  <c r="AG62" i="7"/>
  <c r="AF62" i="7"/>
  <c r="AE62" i="7"/>
  <c r="AD62" i="7"/>
  <c r="AC62" i="7"/>
  <c r="AA62" i="7"/>
  <c r="Z62" i="7"/>
  <c r="X62" i="7"/>
  <c r="W62" i="7"/>
  <c r="T62" i="7"/>
  <c r="S62" i="7"/>
  <c r="R62" i="7"/>
  <c r="O62" i="7"/>
  <c r="L62" i="7"/>
  <c r="I62" i="7"/>
  <c r="Q62" i="7" s="1"/>
  <c r="H62" i="7"/>
  <c r="G62" i="7"/>
  <c r="P62" i="7" s="1"/>
  <c r="F62" i="7"/>
  <c r="E62" i="7"/>
  <c r="CW61" i="7"/>
  <c r="CV61" i="7"/>
  <c r="CT61" i="7"/>
  <c r="CS61" i="7"/>
  <c r="CQ61" i="7"/>
  <c r="CP61" i="7"/>
  <c r="CN61" i="7"/>
  <c r="CM61" i="7"/>
  <c r="CO61" i="7" s="1"/>
  <c r="CK61" i="7"/>
  <c r="CJ61" i="7"/>
  <c r="CH61" i="7"/>
  <c r="CG61" i="7"/>
  <c r="CE61" i="7"/>
  <c r="CD61" i="7"/>
  <c r="CB61" i="7"/>
  <c r="CA61" i="7"/>
  <c r="CC61" i="7" s="1"/>
  <c r="BY61" i="7"/>
  <c r="BX61" i="7"/>
  <c r="BV61" i="7"/>
  <c r="BU61" i="7"/>
  <c r="BS61" i="7"/>
  <c r="BR61" i="7"/>
  <c r="BP61" i="7"/>
  <c r="BO61" i="7"/>
  <c r="BM61" i="7"/>
  <c r="BL61" i="7"/>
  <c r="BN61" i="7" s="1"/>
  <c r="BJ61" i="7"/>
  <c r="BI61" i="7"/>
  <c r="BK61" i="7" s="1"/>
  <c r="BG61" i="7"/>
  <c r="BF61" i="7"/>
  <c r="BH61" i="7" s="1"/>
  <c r="BD61" i="7"/>
  <c r="BC61" i="7"/>
  <c r="BE61" i="7" s="1"/>
  <c r="BA61" i="7"/>
  <c r="AZ61" i="7"/>
  <c r="BB61" i="7" s="1"/>
  <c r="AX61" i="7"/>
  <c r="AW61" i="7"/>
  <c r="AY61" i="7" s="1"/>
  <c r="AV61" i="7"/>
  <c r="AU61" i="7"/>
  <c r="AS61" i="7"/>
  <c r="AR61" i="7"/>
  <c r="AP61" i="7"/>
  <c r="AO61" i="7"/>
  <c r="AM61" i="7"/>
  <c r="AL61" i="7"/>
  <c r="AN61" i="7" s="1"/>
  <c r="AJ61" i="7"/>
  <c r="AI61" i="7"/>
  <c r="AG61" i="7"/>
  <c r="AF61" i="7"/>
  <c r="AE61" i="7"/>
  <c r="AD61" i="7"/>
  <c r="AC61" i="7"/>
  <c r="AA61" i="7"/>
  <c r="Z61" i="7"/>
  <c r="X61" i="7"/>
  <c r="W61" i="7"/>
  <c r="T61" i="7"/>
  <c r="S61" i="7"/>
  <c r="V61" i="7" s="1"/>
  <c r="R61" i="7"/>
  <c r="U61" i="7" s="1"/>
  <c r="O61" i="7"/>
  <c r="L61" i="7"/>
  <c r="I61" i="7"/>
  <c r="Q61" i="7" s="1"/>
  <c r="H61" i="7"/>
  <c r="N61" i="7" s="1"/>
  <c r="G61" i="7"/>
  <c r="P61" i="7" s="1"/>
  <c r="F61" i="7"/>
  <c r="E61" i="7"/>
  <c r="CW60" i="7"/>
  <c r="CV60" i="7"/>
  <c r="CT60" i="7"/>
  <c r="CS60" i="7"/>
  <c r="CQ60" i="7"/>
  <c r="CP60" i="7"/>
  <c r="CN60" i="7"/>
  <c r="CM60" i="7"/>
  <c r="CO60" i="7" s="1"/>
  <c r="CK60" i="7"/>
  <c r="CJ60" i="7"/>
  <c r="CH60" i="7"/>
  <c r="CG60" i="7"/>
  <c r="CE60" i="7"/>
  <c r="CD60" i="7"/>
  <c r="CB60" i="7"/>
  <c r="CA60" i="7"/>
  <c r="CC60" i="7" s="1"/>
  <c r="BY60" i="7"/>
  <c r="BX60" i="7"/>
  <c r="BV60" i="7"/>
  <c r="BU60" i="7"/>
  <c r="BS60" i="7"/>
  <c r="BR60" i="7"/>
  <c r="BP60" i="7"/>
  <c r="BO60" i="7"/>
  <c r="BM60" i="7"/>
  <c r="BL60" i="7"/>
  <c r="BN60" i="7" s="1"/>
  <c r="BJ60" i="7"/>
  <c r="BI60" i="7"/>
  <c r="BK60" i="7" s="1"/>
  <c r="BG60" i="7"/>
  <c r="BF60" i="7"/>
  <c r="BH60" i="7" s="1"/>
  <c r="BD60" i="7"/>
  <c r="BC60" i="7"/>
  <c r="BE60" i="7" s="1"/>
  <c r="BA60" i="7"/>
  <c r="AZ60" i="7"/>
  <c r="BB60" i="7" s="1"/>
  <c r="AX60" i="7"/>
  <c r="AW60" i="7"/>
  <c r="AY60" i="7" s="1"/>
  <c r="AV60" i="7"/>
  <c r="AU60" i="7"/>
  <c r="AS60" i="7"/>
  <c r="AR60" i="7"/>
  <c r="AP60" i="7"/>
  <c r="AO60" i="7"/>
  <c r="AQ60" i="7" s="1"/>
  <c r="AM60" i="7"/>
  <c r="AL60" i="7"/>
  <c r="AN60" i="7" s="1"/>
  <c r="AJ60" i="7"/>
  <c r="AI60" i="7"/>
  <c r="AK60" i="7" s="1"/>
  <c r="AG60" i="7"/>
  <c r="AF60" i="7"/>
  <c r="AH60" i="7" s="1"/>
  <c r="AE60" i="7"/>
  <c r="AD60" i="7"/>
  <c r="AC60" i="7"/>
  <c r="AA60" i="7"/>
  <c r="Z60" i="7"/>
  <c r="X60" i="7"/>
  <c r="W60" i="7"/>
  <c r="Y60" i="7" s="1"/>
  <c r="T60" i="7"/>
  <c r="S60" i="7"/>
  <c r="V60" i="7" s="1"/>
  <c r="R60" i="7"/>
  <c r="U60" i="7" s="1"/>
  <c r="O60" i="7"/>
  <c r="N60" i="7"/>
  <c r="L60" i="7"/>
  <c r="I60" i="7"/>
  <c r="Q60" i="7" s="1"/>
  <c r="H60" i="7"/>
  <c r="G60" i="7"/>
  <c r="P60" i="7" s="1"/>
  <c r="F60" i="7"/>
  <c r="E60" i="7"/>
  <c r="D60" i="7" s="1"/>
  <c r="CW59" i="7"/>
  <c r="CV59" i="7"/>
  <c r="CT59" i="7"/>
  <c r="CS59" i="7"/>
  <c r="CQ59" i="7"/>
  <c r="CP59" i="7"/>
  <c r="CR59" i="7" s="1"/>
  <c r="CN59" i="7"/>
  <c r="CM59" i="7"/>
  <c r="CO59" i="7" s="1"/>
  <c r="CK59" i="7"/>
  <c r="CL59" i="7" s="1"/>
  <c r="CJ59" i="7"/>
  <c r="CH59" i="7"/>
  <c r="CG59" i="7"/>
  <c r="CI59" i="7" s="1"/>
  <c r="CE59" i="7"/>
  <c r="CD59" i="7"/>
  <c r="CB59" i="7"/>
  <c r="CA59" i="7"/>
  <c r="CC59" i="7" s="1"/>
  <c r="BY59" i="7"/>
  <c r="BX59" i="7"/>
  <c r="BV59" i="7"/>
  <c r="BU59" i="7"/>
  <c r="BS59" i="7"/>
  <c r="BT59" i="7" s="1"/>
  <c r="BR59" i="7"/>
  <c r="BP59" i="7"/>
  <c r="BO59" i="7"/>
  <c r="BQ59" i="7" s="1"/>
  <c r="BM59" i="7"/>
  <c r="BL59" i="7"/>
  <c r="BN59" i="7" s="1"/>
  <c r="BJ59" i="7"/>
  <c r="BI59" i="7"/>
  <c r="BK59" i="7" s="1"/>
  <c r="BG59" i="7"/>
  <c r="BF59" i="7"/>
  <c r="BH59" i="7" s="1"/>
  <c r="BD59" i="7"/>
  <c r="BC59" i="7"/>
  <c r="BE59" i="7" s="1"/>
  <c r="BA59" i="7"/>
  <c r="AZ59" i="7"/>
  <c r="BB59" i="7" s="1"/>
  <c r="AX59" i="7"/>
  <c r="AW59" i="7"/>
  <c r="AY59" i="7" s="1"/>
  <c r="AV59" i="7"/>
  <c r="AU59" i="7"/>
  <c r="AS59" i="7"/>
  <c r="AR59" i="7"/>
  <c r="AP59" i="7"/>
  <c r="AO59" i="7"/>
  <c r="AM59" i="7"/>
  <c r="AL59" i="7"/>
  <c r="AJ59" i="7"/>
  <c r="AI59" i="7"/>
  <c r="AK59" i="7" s="1"/>
  <c r="AG59" i="7"/>
  <c r="AF59" i="7"/>
  <c r="AE59" i="7"/>
  <c r="AD59" i="7"/>
  <c r="AC59" i="7"/>
  <c r="AA59" i="7"/>
  <c r="Z59" i="7"/>
  <c r="X59" i="7"/>
  <c r="W59" i="7"/>
  <c r="T59" i="7"/>
  <c r="S59" i="7"/>
  <c r="R59" i="7"/>
  <c r="O59" i="7"/>
  <c r="L59" i="7"/>
  <c r="I59" i="7"/>
  <c r="Q59" i="7" s="1"/>
  <c r="H59" i="7"/>
  <c r="G59" i="7"/>
  <c r="P59" i="7" s="1"/>
  <c r="F59" i="7"/>
  <c r="E59" i="7"/>
  <c r="CW58" i="7"/>
  <c r="CV58" i="7"/>
  <c r="CT58" i="7"/>
  <c r="CS58" i="7"/>
  <c r="CU58" i="7" s="1"/>
  <c r="CQ58" i="7"/>
  <c r="CP58" i="7"/>
  <c r="CR58" i="7" s="1"/>
  <c r="CN58" i="7"/>
  <c r="CM58" i="7"/>
  <c r="CO58" i="7" s="1"/>
  <c r="CK58" i="7"/>
  <c r="CJ58" i="7"/>
  <c r="CL58" i="7" s="1"/>
  <c r="CH58" i="7"/>
  <c r="CG58" i="7"/>
  <c r="CI58" i="7" s="1"/>
  <c r="CE58" i="7"/>
  <c r="CD58" i="7"/>
  <c r="CF58" i="7" s="1"/>
  <c r="CB58" i="7"/>
  <c r="CA58" i="7"/>
  <c r="CC58" i="7" s="1"/>
  <c r="BY58" i="7"/>
  <c r="BX58" i="7"/>
  <c r="BV58" i="7"/>
  <c r="BU58" i="7"/>
  <c r="BS58" i="7"/>
  <c r="BR58" i="7"/>
  <c r="BP58" i="7"/>
  <c r="BO58" i="7"/>
  <c r="BQ58" i="7" s="1"/>
  <c r="BM58" i="7"/>
  <c r="BL58" i="7"/>
  <c r="BJ58" i="7"/>
  <c r="BI58" i="7"/>
  <c r="BG58" i="7"/>
  <c r="BF58" i="7"/>
  <c r="BD58" i="7"/>
  <c r="BC58" i="7"/>
  <c r="BE58" i="7" s="1"/>
  <c r="BA58" i="7"/>
  <c r="AZ58" i="7"/>
  <c r="AX58" i="7"/>
  <c r="AW58" i="7"/>
  <c r="AV58" i="7"/>
  <c r="AU58" i="7"/>
  <c r="AS58" i="7"/>
  <c r="AR58" i="7"/>
  <c r="AP58" i="7"/>
  <c r="AO58" i="7"/>
  <c r="AM58" i="7"/>
  <c r="AL58" i="7"/>
  <c r="AN58" i="7" s="1"/>
  <c r="AJ58" i="7"/>
  <c r="AI58" i="7"/>
  <c r="AG58" i="7"/>
  <c r="AF58" i="7"/>
  <c r="AH58" i="7" s="1"/>
  <c r="AE58" i="7"/>
  <c r="AD58" i="7"/>
  <c r="AC58" i="7"/>
  <c r="AA58" i="7"/>
  <c r="Z58" i="7"/>
  <c r="X58" i="7"/>
  <c r="W58" i="7"/>
  <c r="T58" i="7"/>
  <c r="S58" i="7"/>
  <c r="R58" i="7"/>
  <c r="O58" i="7"/>
  <c r="L58" i="7"/>
  <c r="I58" i="7"/>
  <c r="Q58" i="7" s="1"/>
  <c r="H58" i="7"/>
  <c r="G58" i="7"/>
  <c r="F58" i="7"/>
  <c r="D58" i="7" s="1"/>
  <c r="E58" i="7"/>
  <c r="CW57" i="7"/>
  <c r="CV57" i="7"/>
  <c r="CT57" i="7"/>
  <c r="CS57" i="7"/>
  <c r="CU57" i="7" s="1"/>
  <c r="CQ57" i="7"/>
  <c r="CP57" i="7"/>
  <c r="CR57" i="7" s="1"/>
  <c r="CN57" i="7"/>
  <c r="CM57" i="7"/>
  <c r="CO57" i="7" s="1"/>
  <c r="CK57" i="7"/>
  <c r="CJ57" i="7"/>
  <c r="CL57" i="7" s="1"/>
  <c r="CH57" i="7"/>
  <c r="CG57" i="7"/>
  <c r="CI57" i="7" s="1"/>
  <c r="CE57" i="7"/>
  <c r="CD57" i="7"/>
  <c r="CF57" i="7" s="1"/>
  <c r="CB57" i="7"/>
  <c r="CA57" i="7"/>
  <c r="CC57" i="7" s="1"/>
  <c r="BY57" i="7"/>
  <c r="BX57" i="7"/>
  <c r="BZ57" i="7" s="1"/>
  <c r="BV57" i="7"/>
  <c r="BU57" i="7"/>
  <c r="BS57" i="7"/>
  <c r="BR57" i="7"/>
  <c r="BP57" i="7"/>
  <c r="BO57" i="7"/>
  <c r="BM57" i="7"/>
  <c r="BL57" i="7"/>
  <c r="BJ57" i="7"/>
  <c r="BI57" i="7"/>
  <c r="BK57" i="7" s="1"/>
  <c r="BG57" i="7"/>
  <c r="BF57" i="7"/>
  <c r="BH57" i="7" s="1"/>
  <c r="BD57" i="7"/>
  <c r="BC57" i="7"/>
  <c r="BE57" i="7" s="1"/>
  <c r="BA57" i="7"/>
  <c r="AZ57" i="7"/>
  <c r="AX57" i="7"/>
  <c r="AW57" i="7"/>
  <c r="AY57" i="7" s="1"/>
  <c r="AV57" i="7"/>
  <c r="AU57" i="7"/>
  <c r="AS57" i="7"/>
  <c r="AR57" i="7"/>
  <c r="AP57" i="7"/>
  <c r="AO57" i="7"/>
  <c r="AQ57" i="7" s="1"/>
  <c r="AM57" i="7"/>
  <c r="AL57" i="7"/>
  <c r="AK57" i="7"/>
  <c r="AJ57" i="7"/>
  <c r="AI57" i="7"/>
  <c r="AG57" i="7"/>
  <c r="AF57" i="7"/>
  <c r="AE57" i="7"/>
  <c r="AD57" i="7"/>
  <c r="AC57" i="7"/>
  <c r="AA57" i="7"/>
  <c r="Z57" i="7"/>
  <c r="X57" i="7"/>
  <c r="W57" i="7"/>
  <c r="T57" i="7"/>
  <c r="S57" i="7"/>
  <c r="R57" i="7"/>
  <c r="O57" i="7"/>
  <c r="L57" i="7"/>
  <c r="I57" i="7"/>
  <c r="Q57" i="7" s="1"/>
  <c r="H57" i="7"/>
  <c r="G57" i="7"/>
  <c r="P57" i="7" s="1"/>
  <c r="F57" i="7"/>
  <c r="E57" i="7"/>
  <c r="CW56" i="7"/>
  <c r="CV56" i="7"/>
  <c r="CT56" i="7"/>
  <c r="CS56" i="7"/>
  <c r="CQ56" i="7"/>
  <c r="CP56" i="7"/>
  <c r="CR56" i="7" s="1"/>
  <c r="CN56" i="7"/>
  <c r="CM56" i="7"/>
  <c r="CO56" i="7" s="1"/>
  <c r="CK56" i="7"/>
  <c r="CJ56" i="7"/>
  <c r="CH56" i="7"/>
  <c r="CG56" i="7"/>
  <c r="CI56" i="7" s="1"/>
  <c r="CE56" i="7"/>
  <c r="CD56" i="7"/>
  <c r="CB56" i="7"/>
  <c r="CA56" i="7"/>
  <c r="CC56" i="7" s="1"/>
  <c r="BY56" i="7"/>
  <c r="BX56" i="7"/>
  <c r="BZ56" i="7" s="1"/>
  <c r="BV56" i="7"/>
  <c r="BU56" i="7"/>
  <c r="BW56" i="7" s="1"/>
  <c r="BS56" i="7"/>
  <c r="BR56" i="7"/>
  <c r="BP56" i="7"/>
  <c r="BO56" i="7"/>
  <c r="BM56" i="7"/>
  <c r="BL56" i="7"/>
  <c r="BN56" i="7" s="1"/>
  <c r="BJ56" i="7"/>
  <c r="BI56" i="7"/>
  <c r="BK56" i="7" s="1"/>
  <c r="BG56" i="7"/>
  <c r="BF56" i="7"/>
  <c r="BH56" i="7" s="1"/>
  <c r="BD56" i="7"/>
  <c r="BC56" i="7"/>
  <c r="BE56" i="7" s="1"/>
  <c r="BA56" i="7"/>
  <c r="AZ56" i="7"/>
  <c r="BB56" i="7" s="1"/>
  <c r="AX56" i="7"/>
  <c r="AW56" i="7"/>
  <c r="AY56" i="7" s="1"/>
  <c r="AV56" i="7"/>
  <c r="AU56" i="7"/>
  <c r="AS56" i="7"/>
  <c r="AR56" i="7"/>
  <c r="AP56" i="7"/>
  <c r="AO56" i="7"/>
  <c r="AM56" i="7"/>
  <c r="AL56" i="7"/>
  <c r="AJ56" i="7"/>
  <c r="AI56" i="7"/>
  <c r="AG56" i="7"/>
  <c r="AF56" i="7"/>
  <c r="AE56" i="7"/>
  <c r="AD56" i="7"/>
  <c r="AC56" i="7"/>
  <c r="AA56" i="7"/>
  <c r="Z56" i="7"/>
  <c r="X56" i="7"/>
  <c r="W56" i="7"/>
  <c r="T56" i="7"/>
  <c r="S56" i="7"/>
  <c r="R56" i="7"/>
  <c r="O56" i="7"/>
  <c r="J56" i="7" s="1"/>
  <c r="L56" i="7"/>
  <c r="I56" i="7"/>
  <c r="Q56" i="7" s="1"/>
  <c r="H56" i="7"/>
  <c r="G56" i="7"/>
  <c r="P56" i="7" s="1"/>
  <c r="F56" i="7"/>
  <c r="E56" i="7"/>
  <c r="CW55" i="7"/>
  <c r="CV55" i="7"/>
  <c r="CT55" i="7"/>
  <c r="CS55" i="7"/>
  <c r="CQ55" i="7"/>
  <c r="CP55" i="7"/>
  <c r="CN55" i="7"/>
  <c r="CM55" i="7"/>
  <c r="CO55" i="7" s="1"/>
  <c r="CK55" i="7"/>
  <c r="CJ55" i="7"/>
  <c r="CL55" i="7" s="1"/>
  <c r="CH55" i="7"/>
  <c r="CG55" i="7"/>
  <c r="CE55" i="7"/>
  <c r="CD55" i="7"/>
  <c r="CF55" i="7" s="1"/>
  <c r="CB55" i="7"/>
  <c r="CA55" i="7"/>
  <c r="CC55" i="7" s="1"/>
  <c r="BY55" i="7"/>
  <c r="BX55" i="7"/>
  <c r="BV55" i="7"/>
  <c r="BU55" i="7"/>
  <c r="BW55" i="7" s="1"/>
  <c r="BS55" i="7"/>
  <c r="BR55" i="7"/>
  <c r="BP55" i="7"/>
  <c r="BO55" i="7"/>
  <c r="BM55" i="7"/>
  <c r="BL55" i="7"/>
  <c r="BN55" i="7" s="1"/>
  <c r="BJ55" i="7"/>
  <c r="BI55" i="7"/>
  <c r="BG55" i="7"/>
  <c r="BF55" i="7"/>
  <c r="BD55" i="7"/>
  <c r="BC55" i="7"/>
  <c r="BE55" i="7" s="1"/>
  <c r="BA55" i="7"/>
  <c r="AZ55" i="7"/>
  <c r="BB55" i="7" s="1"/>
  <c r="AX55" i="7"/>
  <c r="AW55" i="7"/>
  <c r="AV55" i="7"/>
  <c r="AU55" i="7"/>
  <c r="AS55" i="7"/>
  <c r="AR55" i="7"/>
  <c r="AP55" i="7"/>
  <c r="AO55" i="7"/>
  <c r="AM55" i="7"/>
  <c r="AL55" i="7"/>
  <c r="AJ55" i="7"/>
  <c r="AI55" i="7"/>
  <c r="AK55" i="7" s="1"/>
  <c r="AG55" i="7"/>
  <c r="AF55" i="7"/>
  <c r="AE55" i="7"/>
  <c r="AD55" i="7"/>
  <c r="AC55" i="7"/>
  <c r="AA55" i="7"/>
  <c r="Z55" i="7"/>
  <c r="X55" i="7"/>
  <c r="W55" i="7"/>
  <c r="T55" i="7"/>
  <c r="S55" i="7"/>
  <c r="R55" i="7"/>
  <c r="O55" i="7"/>
  <c r="L55" i="7"/>
  <c r="I55" i="7"/>
  <c r="Q55" i="7" s="1"/>
  <c r="H55" i="7"/>
  <c r="G55" i="7"/>
  <c r="P55" i="7" s="1"/>
  <c r="F55" i="7"/>
  <c r="E55" i="7"/>
  <c r="D55" i="7" s="1"/>
  <c r="CW54" i="7"/>
  <c r="CV54" i="7"/>
  <c r="CT54" i="7"/>
  <c r="CS54" i="7"/>
  <c r="CQ54" i="7"/>
  <c r="CP54" i="7"/>
  <c r="CN54" i="7"/>
  <c r="CM54" i="7"/>
  <c r="CO54" i="7" s="1"/>
  <c r="CK54" i="7"/>
  <c r="CJ54" i="7"/>
  <c r="CH54" i="7"/>
  <c r="CG54" i="7"/>
  <c r="CI54" i="7" s="1"/>
  <c r="CE54" i="7"/>
  <c r="CD54" i="7"/>
  <c r="CB54" i="7"/>
  <c r="CA54" i="7"/>
  <c r="CC54" i="7" s="1"/>
  <c r="BY54" i="7"/>
  <c r="BX54" i="7"/>
  <c r="BV54" i="7"/>
  <c r="BU54" i="7"/>
  <c r="BW54" i="7" s="1"/>
  <c r="BS54" i="7"/>
  <c r="BR54" i="7"/>
  <c r="BT54" i="7" s="1"/>
  <c r="BP54" i="7"/>
  <c r="BQ54" i="7" s="1"/>
  <c r="BO54" i="7"/>
  <c r="BM54" i="7"/>
  <c r="BL54" i="7"/>
  <c r="BJ54" i="7"/>
  <c r="BI54" i="7"/>
  <c r="BK54" i="7" s="1"/>
  <c r="BG54" i="7"/>
  <c r="BF54" i="7"/>
  <c r="BD54" i="7"/>
  <c r="BC54" i="7"/>
  <c r="BE54" i="7" s="1"/>
  <c r="BA54" i="7"/>
  <c r="AZ54" i="7"/>
  <c r="BB54" i="7" s="1"/>
  <c r="AX54" i="7"/>
  <c r="AW54" i="7"/>
  <c r="AV54" i="7"/>
  <c r="AU54" i="7"/>
  <c r="AS54" i="7"/>
  <c r="AR54" i="7"/>
  <c r="AP54" i="7"/>
  <c r="AO54" i="7"/>
  <c r="AQ54" i="7" s="1"/>
  <c r="AM54" i="7"/>
  <c r="AL54" i="7"/>
  <c r="AJ54" i="7"/>
  <c r="AI54" i="7"/>
  <c r="AG54" i="7"/>
  <c r="AF54" i="7"/>
  <c r="AH54" i="7" s="1"/>
  <c r="AE54" i="7"/>
  <c r="AD54" i="7"/>
  <c r="AC54" i="7"/>
  <c r="AA54" i="7"/>
  <c r="Z54" i="7"/>
  <c r="X54" i="7"/>
  <c r="W54" i="7"/>
  <c r="T54" i="7"/>
  <c r="S54" i="7"/>
  <c r="R54" i="7"/>
  <c r="O54" i="7"/>
  <c r="L54" i="7"/>
  <c r="I54" i="7"/>
  <c r="H54" i="7"/>
  <c r="G54" i="7"/>
  <c r="P54" i="7" s="1"/>
  <c r="F54" i="7"/>
  <c r="E54" i="7"/>
  <c r="CW53" i="7"/>
  <c r="CV53" i="7"/>
  <c r="CT53" i="7"/>
  <c r="CS53" i="7"/>
  <c r="CQ53" i="7"/>
  <c r="CP53" i="7"/>
  <c r="CN53" i="7"/>
  <c r="CM53" i="7"/>
  <c r="CK53" i="7"/>
  <c r="CJ53" i="7"/>
  <c r="CH53" i="7"/>
  <c r="CG53" i="7"/>
  <c r="CE53" i="7"/>
  <c r="CD53" i="7"/>
  <c r="CF53" i="7" s="1"/>
  <c r="CB53" i="7"/>
  <c r="CA53" i="7"/>
  <c r="BY53" i="7"/>
  <c r="BX53" i="7"/>
  <c r="BV53" i="7"/>
  <c r="BU53" i="7"/>
  <c r="BS53" i="7"/>
  <c r="BR53" i="7"/>
  <c r="BT53" i="7" s="1"/>
  <c r="BP53" i="7"/>
  <c r="BO53" i="7"/>
  <c r="BM53" i="7"/>
  <c r="BN53" i="7" s="1"/>
  <c r="BL53" i="7"/>
  <c r="BJ53" i="7"/>
  <c r="BI53" i="7"/>
  <c r="BG53" i="7"/>
  <c r="BF53" i="7"/>
  <c r="BD53" i="7"/>
  <c r="BC53" i="7"/>
  <c r="BA53" i="7"/>
  <c r="AZ53" i="7"/>
  <c r="BB53" i="7" s="1"/>
  <c r="AX53" i="7"/>
  <c r="AW53" i="7"/>
  <c r="AV53" i="7"/>
  <c r="AU53" i="7"/>
  <c r="AS53" i="7"/>
  <c r="AR53" i="7"/>
  <c r="AT53" i="7" s="1"/>
  <c r="AP53" i="7"/>
  <c r="AO53" i="7"/>
  <c r="AM53" i="7"/>
  <c r="AL53" i="7"/>
  <c r="AJ53" i="7"/>
  <c r="AI53" i="7"/>
  <c r="AG53" i="7"/>
  <c r="AF53" i="7"/>
  <c r="AE53" i="7"/>
  <c r="AD53" i="7"/>
  <c r="AC53" i="7"/>
  <c r="AA53" i="7"/>
  <c r="Z53" i="7"/>
  <c r="X53" i="7"/>
  <c r="W53" i="7"/>
  <c r="T53" i="7"/>
  <c r="S53" i="7"/>
  <c r="R53" i="7"/>
  <c r="O53" i="7"/>
  <c r="L53" i="7"/>
  <c r="I53" i="7"/>
  <c r="Q53" i="7" s="1"/>
  <c r="H53" i="7"/>
  <c r="G53" i="7"/>
  <c r="P53" i="7" s="1"/>
  <c r="F53" i="7"/>
  <c r="E53" i="7"/>
  <c r="CW51" i="7"/>
  <c r="CV51" i="7"/>
  <c r="CT51" i="7"/>
  <c r="CS51" i="7"/>
  <c r="CQ51" i="7"/>
  <c r="CP51" i="7"/>
  <c r="CN51" i="7"/>
  <c r="CM51" i="7"/>
  <c r="CO51" i="7" s="1"/>
  <c r="CK51" i="7"/>
  <c r="CJ51" i="7"/>
  <c r="CL51" i="7" s="1"/>
  <c r="CH51" i="7"/>
  <c r="CG51" i="7"/>
  <c r="CE51" i="7"/>
  <c r="CD51" i="7"/>
  <c r="CB51" i="7"/>
  <c r="CA51" i="7"/>
  <c r="CC51" i="7" s="1"/>
  <c r="BY51" i="7"/>
  <c r="BX51" i="7"/>
  <c r="BZ51" i="7" s="1"/>
  <c r="BV51" i="7"/>
  <c r="BU51" i="7"/>
  <c r="BS51" i="7"/>
  <c r="BR51" i="7"/>
  <c r="BP51" i="7"/>
  <c r="BO51" i="7"/>
  <c r="BM51" i="7"/>
  <c r="BL51" i="7"/>
  <c r="BJ51" i="7"/>
  <c r="BI51" i="7"/>
  <c r="BG51" i="7"/>
  <c r="BF51" i="7"/>
  <c r="BH51" i="7" s="1"/>
  <c r="BD51" i="7"/>
  <c r="BC51" i="7"/>
  <c r="BE51" i="7" s="1"/>
  <c r="BA51" i="7"/>
  <c r="AZ51" i="7"/>
  <c r="BB51" i="7" s="1"/>
  <c r="AX51" i="7"/>
  <c r="AW51" i="7"/>
  <c r="AV51" i="7"/>
  <c r="AU51" i="7"/>
  <c r="AS51" i="7"/>
  <c r="AR51" i="7"/>
  <c r="AT51" i="7" s="1"/>
  <c r="AP51" i="7"/>
  <c r="AO51" i="7"/>
  <c r="AM51" i="7"/>
  <c r="AL51" i="7"/>
  <c r="AJ51" i="7"/>
  <c r="AI51" i="7"/>
  <c r="AK51" i="7" s="1"/>
  <c r="AG51" i="7"/>
  <c r="AF51" i="7"/>
  <c r="AE51" i="7"/>
  <c r="AD51" i="7"/>
  <c r="AC51" i="7"/>
  <c r="AA51" i="7"/>
  <c r="Z51" i="7"/>
  <c r="X51" i="7"/>
  <c r="W51" i="7"/>
  <c r="Y51" i="7" s="1"/>
  <c r="T51" i="7"/>
  <c r="S51" i="7"/>
  <c r="R51" i="7"/>
  <c r="O51" i="7"/>
  <c r="L51" i="7"/>
  <c r="J51" i="7" s="1"/>
  <c r="I51" i="7"/>
  <c r="Q51" i="7" s="1"/>
  <c r="H51" i="7"/>
  <c r="G51" i="7"/>
  <c r="P51" i="7" s="1"/>
  <c r="F51" i="7"/>
  <c r="E51" i="7"/>
  <c r="CW50" i="7"/>
  <c r="CV50" i="7"/>
  <c r="CT50" i="7"/>
  <c r="CS50" i="7"/>
  <c r="CU50" i="7" s="1"/>
  <c r="CQ50" i="7"/>
  <c r="CP50" i="7"/>
  <c r="CR50" i="7" s="1"/>
  <c r="CN50" i="7"/>
  <c r="CM50" i="7"/>
  <c r="CO50" i="7" s="1"/>
  <c r="CK50" i="7"/>
  <c r="CJ50" i="7"/>
  <c r="CL50" i="7" s="1"/>
  <c r="CH50" i="7"/>
  <c r="CG50" i="7"/>
  <c r="CI50" i="7" s="1"/>
  <c r="CE50" i="7"/>
  <c r="CD50" i="7"/>
  <c r="CF50" i="7" s="1"/>
  <c r="CB50" i="7"/>
  <c r="CA50" i="7"/>
  <c r="CC50" i="7" s="1"/>
  <c r="BY50" i="7"/>
  <c r="BX50" i="7"/>
  <c r="BV50" i="7"/>
  <c r="BW50" i="7" s="1"/>
  <c r="BU50" i="7"/>
  <c r="BS50" i="7"/>
  <c r="BR50" i="7"/>
  <c r="BP50" i="7"/>
  <c r="BO50" i="7"/>
  <c r="BQ50" i="7" s="1"/>
  <c r="BM50" i="7"/>
  <c r="BL50" i="7"/>
  <c r="BJ50" i="7"/>
  <c r="BI50" i="7"/>
  <c r="BG50" i="7"/>
  <c r="BF50" i="7"/>
  <c r="BD50" i="7"/>
  <c r="BC50" i="7"/>
  <c r="BE50" i="7" s="1"/>
  <c r="BA50" i="7"/>
  <c r="AZ50" i="7"/>
  <c r="AX50" i="7"/>
  <c r="AW50" i="7"/>
  <c r="AV50" i="7"/>
  <c r="AU50" i="7"/>
  <c r="AS50" i="7"/>
  <c r="AR50" i="7"/>
  <c r="AP50" i="7"/>
  <c r="AO50" i="7"/>
  <c r="AM50" i="7"/>
  <c r="AL50" i="7"/>
  <c r="AJ50" i="7"/>
  <c r="AI50" i="7"/>
  <c r="AK50" i="7" s="1"/>
  <c r="AG50" i="7"/>
  <c r="AF50" i="7"/>
  <c r="AE50" i="7"/>
  <c r="AD50" i="7"/>
  <c r="AC50" i="7"/>
  <c r="AA50" i="7"/>
  <c r="Z50" i="7"/>
  <c r="X50" i="7"/>
  <c r="W50" i="7"/>
  <c r="T50" i="7"/>
  <c r="S50" i="7"/>
  <c r="R50" i="7"/>
  <c r="O50" i="7"/>
  <c r="L50" i="7"/>
  <c r="I50" i="7"/>
  <c r="Q50" i="7" s="1"/>
  <c r="H50" i="7"/>
  <c r="G50" i="7"/>
  <c r="P50" i="7" s="1"/>
  <c r="F50" i="7"/>
  <c r="E50" i="7"/>
  <c r="CW49" i="7"/>
  <c r="CV49" i="7"/>
  <c r="CT49" i="7"/>
  <c r="CS49" i="7"/>
  <c r="CU49" i="7" s="1"/>
  <c r="CQ49" i="7"/>
  <c r="CP49" i="7"/>
  <c r="CR49" i="7" s="1"/>
  <c r="CN49" i="7"/>
  <c r="CM49" i="7"/>
  <c r="CO49" i="7" s="1"/>
  <c r="CL49" i="7"/>
  <c r="CK49" i="7"/>
  <c r="CJ49" i="7"/>
  <c r="CH49" i="7"/>
  <c r="CG49" i="7"/>
  <c r="CI49" i="7" s="1"/>
  <c r="CE49" i="7"/>
  <c r="CD49" i="7"/>
  <c r="CF49" i="7" s="1"/>
  <c r="CB49" i="7"/>
  <c r="CA49" i="7"/>
  <c r="CC49" i="7" s="1"/>
  <c r="BY49" i="7"/>
  <c r="BX49" i="7"/>
  <c r="BV49" i="7"/>
  <c r="BU49" i="7"/>
  <c r="BS49" i="7"/>
  <c r="BR49" i="7"/>
  <c r="BT49" i="7" s="1"/>
  <c r="BP49" i="7"/>
  <c r="BO49" i="7"/>
  <c r="BM49" i="7"/>
  <c r="BL49" i="7"/>
  <c r="BJ49" i="7"/>
  <c r="BI49" i="7"/>
  <c r="BK49" i="7" s="1"/>
  <c r="BG49" i="7"/>
  <c r="BF49" i="7"/>
  <c r="BH49" i="7" s="1"/>
  <c r="BD49" i="7"/>
  <c r="BC49" i="7"/>
  <c r="BE49" i="7" s="1"/>
  <c r="BA49" i="7"/>
  <c r="BB49" i="7" s="1"/>
  <c r="AZ49" i="7"/>
  <c r="AX49" i="7"/>
  <c r="AW49" i="7"/>
  <c r="AV49" i="7"/>
  <c r="AU49" i="7"/>
  <c r="AS49" i="7"/>
  <c r="AR49" i="7"/>
  <c r="AP49" i="7"/>
  <c r="AO49" i="7"/>
  <c r="AM49" i="7"/>
  <c r="AL49" i="7"/>
  <c r="AN49" i="7" s="1"/>
  <c r="AJ49" i="7"/>
  <c r="AI49" i="7"/>
  <c r="AK49" i="7" s="1"/>
  <c r="AG49" i="7"/>
  <c r="AF49" i="7"/>
  <c r="AE49" i="7"/>
  <c r="AD49" i="7"/>
  <c r="AC49" i="7"/>
  <c r="AA49" i="7"/>
  <c r="Z49" i="7"/>
  <c r="X49" i="7"/>
  <c r="W49" i="7"/>
  <c r="T49" i="7"/>
  <c r="S49" i="7"/>
  <c r="R49" i="7"/>
  <c r="O49" i="7"/>
  <c r="L49" i="7"/>
  <c r="I49" i="7"/>
  <c r="Q49" i="7" s="1"/>
  <c r="H49" i="7"/>
  <c r="G49" i="7"/>
  <c r="P49" i="7" s="1"/>
  <c r="F49" i="7"/>
  <c r="E49" i="7"/>
  <c r="CW48" i="7"/>
  <c r="CV48" i="7"/>
  <c r="CT48" i="7"/>
  <c r="CS48" i="7"/>
  <c r="CU48" i="7" s="1"/>
  <c r="CQ48" i="7"/>
  <c r="CP48" i="7"/>
  <c r="CR48" i="7" s="1"/>
  <c r="CN48" i="7"/>
  <c r="CM48" i="7"/>
  <c r="CO48" i="7" s="1"/>
  <c r="CK48" i="7"/>
  <c r="CJ48" i="7"/>
  <c r="CL48" i="7" s="1"/>
  <c r="CH48" i="7"/>
  <c r="CG48" i="7"/>
  <c r="CI48" i="7" s="1"/>
  <c r="CE48" i="7"/>
  <c r="CD48" i="7"/>
  <c r="CF48" i="7" s="1"/>
  <c r="CB48" i="7"/>
  <c r="CA48" i="7"/>
  <c r="CC48" i="7" s="1"/>
  <c r="BY48" i="7"/>
  <c r="BX48" i="7"/>
  <c r="BV48" i="7"/>
  <c r="BU48" i="7"/>
  <c r="BS48" i="7"/>
  <c r="BR48" i="7"/>
  <c r="BP48" i="7"/>
  <c r="BO48" i="7"/>
  <c r="BQ48" i="7" s="1"/>
  <c r="BM48" i="7"/>
  <c r="BL48" i="7"/>
  <c r="BN48" i="7" s="1"/>
  <c r="BJ48" i="7"/>
  <c r="BI48" i="7"/>
  <c r="BG48" i="7"/>
  <c r="BF48" i="7"/>
  <c r="BD48" i="7"/>
  <c r="BC48" i="7"/>
  <c r="BE48" i="7" s="1"/>
  <c r="BA48" i="7"/>
  <c r="AZ48" i="7"/>
  <c r="AX48" i="7"/>
  <c r="AW48" i="7"/>
  <c r="AV48" i="7"/>
  <c r="AU48" i="7"/>
  <c r="AS48" i="7"/>
  <c r="AR48" i="7"/>
  <c r="AP48" i="7"/>
  <c r="AO48" i="7"/>
  <c r="AM48" i="7"/>
  <c r="AL48" i="7"/>
  <c r="AJ48" i="7"/>
  <c r="AI48" i="7"/>
  <c r="AK48" i="7" s="1"/>
  <c r="AG48" i="7"/>
  <c r="AF48" i="7"/>
  <c r="AE48" i="7"/>
  <c r="AD48" i="7"/>
  <c r="AC48" i="7"/>
  <c r="AA48" i="7"/>
  <c r="Z48" i="7"/>
  <c r="X48" i="7"/>
  <c r="W48" i="7"/>
  <c r="T48" i="7"/>
  <c r="S48" i="7"/>
  <c r="R48" i="7"/>
  <c r="O48" i="7"/>
  <c r="L48" i="7"/>
  <c r="I48" i="7"/>
  <c r="Q48" i="7" s="1"/>
  <c r="H48" i="7"/>
  <c r="G48" i="7"/>
  <c r="P48" i="7" s="1"/>
  <c r="F48" i="7"/>
  <c r="E48" i="7"/>
  <c r="CW47" i="7"/>
  <c r="CV47" i="7"/>
  <c r="CT47" i="7"/>
  <c r="CS47" i="7"/>
  <c r="CU47" i="7" s="1"/>
  <c r="CQ47" i="7"/>
  <c r="CP47" i="7"/>
  <c r="CR47" i="7" s="1"/>
  <c r="CN47" i="7"/>
  <c r="CM47" i="7"/>
  <c r="CO47" i="7" s="1"/>
  <c r="CK47" i="7"/>
  <c r="CJ47" i="7"/>
  <c r="CL47" i="7" s="1"/>
  <c r="CH47" i="7"/>
  <c r="CG47" i="7"/>
  <c r="CI47" i="7" s="1"/>
  <c r="CE47" i="7"/>
  <c r="CD47" i="7"/>
  <c r="CF47" i="7" s="1"/>
  <c r="CB47" i="7"/>
  <c r="CA47" i="7"/>
  <c r="CC47" i="7" s="1"/>
  <c r="BY47" i="7"/>
  <c r="BX47" i="7"/>
  <c r="BZ47" i="7" s="1"/>
  <c r="BV47" i="7"/>
  <c r="BU47" i="7"/>
  <c r="BS47" i="7"/>
  <c r="BR47" i="7"/>
  <c r="BT47" i="7" s="1"/>
  <c r="BP47" i="7"/>
  <c r="BO47" i="7"/>
  <c r="BM47" i="7"/>
  <c r="BL47" i="7"/>
  <c r="BJ47" i="7"/>
  <c r="BI47" i="7"/>
  <c r="BG47" i="7"/>
  <c r="BF47" i="7"/>
  <c r="BH47" i="7" s="1"/>
  <c r="BD47" i="7"/>
  <c r="BC47" i="7"/>
  <c r="BE47" i="7" s="1"/>
  <c r="BA47" i="7"/>
  <c r="AZ47" i="7"/>
  <c r="BB47" i="7" s="1"/>
  <c r="AX47" i="7"/>
  <c r="AW47" i="7"/>
  <c r="AV47" i="7"/>
  <c r="AU47" i="7"/>
  <c r="AS47" i="7"/>
  <c r="AR47" i="7"/>
  <c r="AP47" i="7"/>
  <c r="AO47" i="7"/>
  <c r="AM47" i="7"/>
  <c r="AL47" i="7"/>
  <c r="AJ47" i="7"/>
  <c r="AI47" i="7"/>
  <c r="AK47" i="7" s="1"/>
  <c r="AG47" i="7"/>
  <c r="AF47" i="7"/>
  <c r="AH47" i="7" s="1"/>
  <c r="AE47" i="7"/>
  <c r="AD47" i="7"/>
  <c r="AC47" i="7"/>
  <c r="AA47" i="7"/>
  <c r="Z47" i="7"/>
  <c r="AB47" i="7" s="1"/>
  <c r="X47" i="7"/>
  <c r="W47" i="7"/>
  <c r="T47" i="7"/>
  <c r="S47" i="7"/>
  <c r="R47" i="7"/>
  <c r="O47" i="7"/>
  <c r="L47" i="7"/>
  <c r="J47" i="7" s="1"/>
  <c r="I47" i="7"/>
  <c r="Q47" i="7" s="1"/>
  <c r="H47" i="7"/>
  <c r="G47" i="7"/>
  <c r="P47" i="7" s="1"/>
  <c r="F47" i="7"/>
  <c r="E47" i="7"/>
  <c r="CW46" i="7"/>
  <c r="CV46" i="7"/>
  <c r="CT46" i="7"/>
  <c r="CS46" i="7"/>
  <c r="CU46" i="7" s="1"/>
  <c r="CQ46" i="7"/>
  <c r="CP46" i="7"/>
  <c r="CR46" i="7" s="1"/>
  <c r="CN46" i="7"/>
  <c r="CM46" i="7"/>
  <c r="CO46" i="7" s="1"/>
  <c r="CK46" i="7"/>
  <c r="CJ46" i="7"/>
  <c r="CL46" i="7" s="1"/>
  <c r="CI46" i="7"/>
  <c r="CH46" i="7"/>
  <c r="CG46" i="7"/>
  <c r="CE46" i="7"/>
  <c r="CD46" i="7"/>
  <c r="CF46" i="7" s="1"/>
  <c r="CB46" i="7"/>
  <c r="CA46" i="7"/>
  <c r="CC46" i="7" s="1"/>
  <c r="BY46" i="7"/>
  <c r="BX46" i="7"/>
  <c r="BV46" i="7"/>
  <c r="BU46" i="7"/>
  <c r="BS46" i="7"/>
  <c r="BR46" i="7"/>
  <c r="BP46" i="7"/>
  <c r="BO46" i="7"/>
  <c r="BM46" i="7"/>
  <c r="BL46" i="7"/>
  <c r="BJ46" i="7"/>
  <c r="BI46" i="7"/>
  <c r="BG46" i="7"/>
  <c r="BF46" i="7"/>
  <c r="BD46" i="7"/>
  <c r="BC46" i="7"/>
  <c r="BE46" i="7" s="1"/>
  <c r="BA46" i="7"/>
  <c r="AZ46" i="7"/>
  <c r="BB46" i="7" s="1"/>
  <c r="AX46" i="7"/>
  <c r="AW46" i="7"/>
  <c r="AV46" i="7"/>
  <c r="AU46" i="7"/>
  <c r="AS46" i="7"/>
  <c r="AR46" i="7"/>
  <c r="AP46" i="7"/>
  <c r="AO46" i="7"/>
  <c r="AM46" i="7"/>
  <c r="AL46" i="7"/>
  <c r="AJ46" i="7"/>
  <c r="AI46" i="7"/>
  <c r="AK46" i="7" s="1"/>
  <c r="AG46" i="7"/>
  <c r="AF46" i="7"/>
  <c r="AE46" i="7"/>
  <c r="AD46" i="7"/>
  <c r="AC46" i="7"/>
  <c r="AA46" i="7"/>
  <c r="Z46" i="7"/>
  <c r="X46" i="7"/>
  <c r="W46" i="7"/>
  <c r="T46" i="7"/>
  <c r="S46" i="7"/>
  <c r="R46" i="7"/>
  <c r="O46" i="7"/>
  <c r="L46" i="7"/>
  <c r="I46" i="7"/>
  <c r="Q46" i="7" s="1"/>
  <c r="H46" i="7"/>
  <c r="G46" i="7"/>
  <c r="P46" i="7" s="1"/>
  <c r="F46" i="7"/>
  <c r="E46" i="7"/>
  <c r="CW45" i="7"/>
  <c r="CV45" i="7"/>
  <c r="CT45" i="7"/>
  <c r="CS45" i="7"/>
  <c r="CQ45" i="7"/>
  <c r="CP45" i="7"/>
  <c r="CN45" i="7"/>
  <c r="CM45" i="7"/>
  <c r="CK45" i="7"/>
  <c r="CJ45" i="7"/>
  <c r="CL45" i="7" s="1"/>
  <c r="CH45" i="7"/>
  <c r="CG45" i="7"/>
  <c r="CI45" i="7" s="1"/>
  <c r="CE45" i="7"/>
  <c r="CF45" i="7" s="1"/>
  <c r="CD45" i="7"/>
  <c r="CB45" i="7"/>
  <c r="CA45" i="7"/>
  <c r="CC45" i="7" s="1"/>
  <c r="BY45" i="7"/>
  <c r="BX45" i="7"/>
  <c r="BV45" i="7"/>
  <c r="BU45" i="7"/>
  <c r="BS45" i="7"/>
  <c r="BR45" i="7"/>
  <c r="BT45" i="7" s="1"/>
  <c r="BP45" i="7"/>
  <c r="BO45" i="7"/>
  <c r="BM45" i="7"/>
  <c r="BL45" i="7"/>
  <c r="BN45" i="7" s="1"/>
  <c r="BJ45" i="7"/>
  <c r="BI45" i="7"/>
  <c r="BK45" i="7" s="1"/>
  <c r="BG45" i="7"/>
  <c r="BF45" i="7"/>
  <c r="BH45" i="7" s="1"/>
  <c r="BD45" i="7"/>
  <c r="BC45" i="7"/>
  <c r="BE45" i="7" s="1"/>
  <c r="BB45" i="7"/>
  <c r="BA45" i="7"/>
  <c r="AZ45" i="7"/>
  <c r="AX45" i="7"/>
  <c r="AW45" i="7"/>
  <c r="AY45" i="7" s="1"/>
  <c r="AV45" i="7"/>
  <c r="AU45" i="7"/>
  <c r="AS45" i="7"/>
  <c r="AR45" i="7"/>
  <c r="AP45" i="7"/>
  <c r="AO45" i="7"/>
  <c r="AM45" i="7"/>
  <c r="AL45" i="7"/>
  <c r="AJ45" i="7"/>
  <c r="AI45" i="7"/>
  <c r="AK45" i="7" s="1"/>
  <c r="AG45" i="7"/>
  <c r="AF45" i="7"/>
  <c r="AE45" i="7"/>
  <c r="AD45" i="7"/>
  <c r="AC45" i="7"/>
  <c r="AA45" i="7"/>
  <c r="Z45" i="7"/>
  <c r="X45" i="7"/>
  <c r="W45" i="7"/>
  <c r="T45" i="7"/>
  <c r="S45" i="7"/>
  <c r="R45" i="7"/>
  <c r="O45" i="7"/>
  <c r="L45" i="7"/>
  <c r="I45" i="7"/>
  <c r="Q45" i="7" s="1"/>
  <c r="H45" i="7"/>
  <c r="G45" i="7"/>
  <c r="P45" i="7" s="1"/>
  <c r="F45" i="7"/>
  <c r="E45" i="7"/>
  <c r="D45" i="7" s="1"/>
  <c r="CW44" i="7"/>
  <c r="CV44" i="7"/>
  <c r="CU44" i="7"/>
  <c r="CT44" i="7"/>
  <c r="CS44" i="7"/>
  <c r="CQ44" i="7"/>
  <c r="CP44" i="7"/>
  <c r="CR44" i="7" s="1"/>
  <c r="CN44" i="7"/>
  <c r="CM44" i="7"/>
  <c r="CO44" i="7" s="1"/>
  <c r="CK44" i="7"/>
  <c r="CJ44" i="7"/>
  <c r="CL44" i="7" s="1"/>
  <c r="CH44" i="7"/>
  <c r="CG44" i="7"/>
  <c r="CI44" i="7" s="1"/>
  <c r="CE44" i="7"/>
  <c r="CD44" i="7"/>
  <c r="CF44" i="7" s="1"/>
  <c r="CB44" i="7"/>
  <c r="CA44" i="7"/>
  <c r="CC44" i="7" s="1"/>
  <c r="BY44" i="7"/>
  <c r="BX44" i="7"/>
  <c r="BV44" i="7"/>
  <c r="BU44" i="7"/>
  <c r="BS44" i="7"/>
  <c r="BR44" i="7"/>
  <c r="BP44" i="7"/>
  <c r="BO44" i="7"/>
  <c r="BM44" i="7"/>
  <c r="BL44" i="7"/>
  <c r="BJ44" i="7"/>
  <c r="BI44" i="7"/>
  <c r="BK44" i="7" s="1"/>
  <c r="BG44" i="7"/>
  <c r="BF44" i="7"/>
  <c r="BD44" i="7"/>
  <c r="BC44" i="7"/>
  <c r="BE44" i="7" s="1"/>
  <c r="BA44" i="7"/>
  <c r="AZ44" i="7"/>
  <c r="BB44" i="7" s="1"/>
  <c r="AX44" i="7"/>
  <c r="AW44" i="7"/>
  <c r="AY44" i="7" s="1"/>
  <c r="AV44" i="7"/>
  <c r="AU44" i="7"/>
  <c r="AS44" i="7"/>
  <c r="AR44" i="7"/>
  <c r="AP44" i="7"/>
  <c r="AO44" i="7"/>
  <c r="AM44" i="7"/>
  <c r="AL44" i="7"/>
  <c r="AJ44" i="7"/>
  <c r="AI44" i="7"/>
  <c r="AK44" i="7" s="1"/>
  <c r="AG44" i="7"/>
  <c r="AF44" i="7"/>
  <c r="AE44" i="7"/>
  <c r="AD44" i="7"/>
  <c r="AC44" i="7"/>
  <c r="AA44" i="7"/>
  <c r="Z44" i="7"/>
  <c r="X44" i="7"/>
  <c r="W44" i="7"/>
  <c r="T44" i="7"/>
  <c r="S44" i="7"/>
  <c r="R44" i="7"/>
  <c r="O44" i="7"/>
  <c r="L44" i="7"/>
  <c r="I44" i="7"/>
  <c r="Q44" i="7" s="1"/>
  <c r="H44" i="7"/>
  <c r="G44" i="7"/>
  <c r="P44" i="7" s="1"/>
  <c r="F44" i="7"/>
  <c r="E44" i="7"/>
  <c r="CW43" i="7"/>
  <c r="CV43" i="7"/>
  <c r="CT43" i="7"/>
  <c r="CS43" i="7"/>
  <c r="CU43" i="7" s="1"/>
  <c r="CQ43" i="7"/>
  <c r="CP43" i="7"/>
  <c r="CR43" i="7" s="1"/>
  <c r="CN43" i="7"/>
  <c r="CM43" i="7"/>
  <c r="CO43" i="7" s="1"/>
  <c r="CL43" i="7"/>
  <c r="CK43" i="7"/>
  <c r="CJ43" i="7"/>
  <c r="CH43" i="7"/>
  <c r="CG43" i="7"/>
  <c r="CI43" i="7" s="1"/>
  <c r="CE43" i="7"/>
  <c r="CD43" i="7"/>
  <c r="CF43" i="7" s="1"/>
  <c r="CB43" i="7"/>
  <c r="CA43" i="7"/>
  <c r="CC43" i="7" s="1"/>
  <c r="BY43" i="7"/>
  <c r="BX43" i="7"/>
  <c r="BV43" i="7"/>
  <c r="BU43" i="7"/>
  <c r="BS43" i="7"/>
  <c r="BR43" i="7"/>
  <c r="BT43" i="7" s="1"/>
  <c r="BP43" i="7"/>
  <c r="BO43" i="7"/>
  <c r="BM43" i="7"/>
  <c r="BL43" i="7"/>
  <c r="BN43" i="7" s="1"/>
  <c r="BJ43" i="7"/>
  <c r="BI43" i="7"/>
  <c r="BG43" i="7"/>
  <c r="BF43" i="7"/>
  <c r="BD43" i="7"/>
  <c r="BC43" i="7"/>
  <c r="BE43" i="7" s="1"/>
  <c r="BA43" i="7"/>
  <c r="AZ43" i="7"/>
  <c r="BB43" i="7" s="1"/>
  <c r="AX43" i="7"/>
  <c r="AW43" i="7"/>
  <c r="AY43" i="7" s="1"/>
  <c r="AV43" i="7"/>
  <c r="AU43" i="7"/>
  <c r="AS43" i="7"/>
  <c r="AR43" i="7"/>
  <c r="AP43" i="7"/>
  <c r="AO43" i="7"/>
  <c r="AM43" i="7"/>
  <c r="AL43" i="7"/>
  <c r="AJ43" i="7"/>
  <c r="AI43" i="7"/>
  <c r="AK43" i="7" s="1"/>
  <c r="AG43" i="7"/>
  <c r="AF43" i="7"/>
  <c r="AH43" i="7" s="1"/>
  <c r="AE43" i="7"/>
  <c r="AD43" i="7"/>
  <c r="AC43" i="7"/>
  <c r="AA43" i="7"/>
  <c r="Z43" i="7"/>
  <c r="X43" i="7"/>
  <c r="W43" i="7"/>
  <c r="T43" i="7"/>
  <c r="S43" i="7"/>
  <c r="R43" i="7"/>
  <c r="O43" i="7"/>
  <c r="L43" i="7"/>
  <c r="J43" i="7" s="1"/>
  <c r="I43" i="7"/>
  <c r="Q43" i="7" s="1"/>
  <c r="H43" i="7"/>
  <c r="G43" i="7"/>
  <c r="P43" i="7" s="1"/>
  <c r="F43" i="7"/>
  <c r="E43" i="7"/>
  <c r="CW42" i="7"/>
  <c r="CV42" i="7"/>
  <c r="CT42" i="7"/>
  <c r="CS42" i="7"/>
  <c r="CU42" i="7" s="1"/>
  <c r="CQ42" i="7"/>
  <c r="CP42" i="7"/>
  <c r="CR42" i="7" s="1"/>
  <c r="CN42" i="7"/>
  <c r="CM42" i="7"/>
  <c r="CO42" i="7" s="1"/>
  <c r="CK42" i="7"/>
  <c r="CJ42" i="7"/>
  <c r="CL42" i="7" s="1"/>
  <c r="CH42" i="7"/>
  <c r="CG42" i="7"/>
  <c r="CI42" i="7" s="1"/>
  <c r="CE42" i="7"/>
  <c r="CD42" i="7"/>
  <c r="CF42" i="7" s="1"/>
  <c r="CB42" i="7"/>
  <c r="CA42" i="7"/>
  <c r="CC42" i="7" s="1"/>
  <c r="BY42" i="7"/>
  <c r="BX42" i="7"/>
  <c r="BV42" i="7"/>
  <c r="BU42" i="7"/>
  <c r="BW42" i="7" s="1"/>
  <c r="BS42" i="7"/>
  <c r="BR42" i="7"/>
  <c r="BP42" i="7"/>
  <c r="BO42" i="7"/>
  <c r="BQ42" i="7" s="1"/>
  <c r="BM42" i="7"/>
  <c r="BL42" i="7"/>
  <c r="BN42" i="7" s="1"/>
  <c r="BK42" i="7"/>
  <c r="BJ42" i="7"/>
  <c r="BI42" i="7"/>
  <c r="BG42" i="7"/>
  <c r="BF42" i="7"/>
  <c r="BH42" i="7" s="1"/>
  <c r="BD42" i="7"/>
  <c r="BC42" i="7"/>
  <c r="BE42" i="7" s="1"/>
  <c r="BA42" i="7"/>
  <c r="AZ42" i="7"/>
  <c r="BB42" i="7" s="1"/>
  <c r="AX42" i="7"/>
  <c r="AW42" i="7"/>
  <c r="AY42" i="7" s="1"/>
  <c r="AV42" i="7"/>
  <c r="AU42" i="7"/>
  <c r="AS42" i="7"/>
  <c r="AR42" i="7"/>
  <c r="AP42" i="7"/>
  <c r="AO42" i="7"/>
  <c r="AM42" i="7"/>
  <c r="AL42" i="7"/>
  <c r="AJ42" i="7"/>
  <c r="AI42" i="7"/>
  <c r="AK42" i="7" s="1"/>
  <c r="AG42" i="7"/>
  <c r="AF42" i="7"/>
  <c r="AE42" i="7"/>
  <c r="AD42" i="7"/>
  <c r="AC42" i="7"/>
  <c r="AA42" i="7"/>
  <c r="Z42" i="7"/>
  <c r="X42" i="7"/>
  <c r="W42" i="7"/>
  <c r="T42" i="7"/>
  <c r="S42" i="7"/>
  <c r="R42" i="7"/>
  <c r="O42" i="7"/>
  <c r="L42" i="7"/>
  <c r="I42" i="7"/>
  <c r="Q42" i="7" s="1"/>
  <c r="H42" i="7"/>
  <c r="G42" i="7"/>
  <c r="P42" i="7" s="1"/>
  <c r="F42" i="7"/>
  <c r="E42" i="7"/>
  <c r="CW41" i="7"/>
  <c r="CV41" i="7"/>
  <c r="CT41" i="7"/>
  <c r="CS41" i="7"/>
  <c r="CU41" i="7" s="1"/>
  <c r="CQ41" i="7"/>
  <c r="CP41" i="7"/>
  <c r="CR41" i="7" s="1"/>
  <c r="CN41" i="7"/>
  <c r="CM41" i="7"/>
  <c r="CO41" i="7" s="1"/>
  <c r="CK41" i="7"/>
  <c r="CJ41" i="7"/>
  <c r="CL41" i="7" s="1"/>
  <c r="CH41" i="7"/>
  <c r="CG41" i="7"/>
  <c r="CI41" i="7" s="1"/>
  <c r="CE41" i="7"/>
  <c r="CD41" i="7"/>
  <c r="CF41" i="7" s="1"/>
  <c r="CB41" i="7"/>
  <c r="CA41" i="7"/>
  <c r="CC41" i="7" s="1"/>
  <c r="BY41" i="7"/>
  <c r="BZ41" i="7" s="1"/>
  <c r="BX41" i="7"/>
  <c r="BV41" i="7"/>
  <c r="BU41" i="7"/>
  <c r="BS41" i="7"/>
  <c r="BR41" i="7"/>
  <c r="BP41" i="7"/>
  <c r="BO41" i="7"/>
  <c r="BM41" i="7"/>
  <c r="BL41" i="7"/>
  <c r="BJ41" i="7"/>
  <c r="BI41" i="7"/>
  <c r="BG41" i="7"/>
  <c r="BF41" i="7"/>
  <c r="BD41" i="7"/>
  <c r="BC41" i="7"/>
  <c r="BE41" i="7" s="1"/>
  <c r="BA41" i="7"/>
  <c r="AZ41" i="7"/>
  <c r="BB41" i="7" s="1"/>
  <c r="AX41" i="7"/>
  <c r="AW41" i="7"/>
  <c r="AV41" i="7"/>
  <c r="AU41" i="7"/>
  <c r="AS41" i="7"/>
  <c r="AR41" i="7"/>
  <c r="AP41" i="7"/>
  <c r="AO41" i="7"/>
  <c r="AM41" i="7"/>
  <c r="AL41" i="7"/>
  <c r="AJ41" i="7"/>
  <c r="AI41" i="7"/>
  <c r="AK41" i="7" s="1"/>
  <c r="AG41" i="7"/>
  <c r="AF41" i="7"/>
  <c r="AE41" i="7"/>
  <c r="AD41" i="7"/>
  <c r="AC41" i="7"/>
  <c r="AA41" i="7"/>
  <c r="Z41" i="7"/>
  <c r="X41" i="7"/>
  <c r="W41" i="7"/>
  <c r="T41" i="7"/>
  <c r="S41" i="7"/>
  <c r="R41" i="7"/>
  <c r="O41" i="7"/>
  <c r="L41" i="7"/>
  <c r="I41" i="7"/>
  <c r="Q41" i="7" s="1"/>
  <c r="H41" i="7"/>
  <c r="G41" i="7"/>
  <c r="P41" i="7" s="1"/>
  <c r="F41" i="7"/>
  <c r="E41" i="7"/>
  <c r="CW40" i="7"/>
  <c r="CV40" i="7"/>
  <c r="CT40" i="7"/>
  <c r="CS40" i="7"/>
  <c r="CU40" i="7" s="1"/>
  <c r="CQ40" i="7"/>
  <c r="CP40" i="7"/>
  <c r="CR40" i="7" s="1"/>
  <c r="CN40" i="7"/>
  <c r="CM40" i="7"/>
  <c r="CO40" i="7" s="1"/>
  <c r="CK40" i="7"/>
  <c r="CJ40" i="7"/>
  <c r="CL40" i="7" s="1"/>
  <c r="CH40" i="7"/>
  <c r="CG40" i="7"/>
  <c r="CI40" i="7" s="1"/>
  <c r="CE40" i="7"/>
  <c r="CD40" i="7"/>
  <c r="CF40" i="7" s="1"/>
  <c r="CB40" i="7"/>
  <c r="CA40" i="7"/>
  <c r="CC40" i="7" s="1"/>
  <c r="BY40" i="7"/>
  <c r="BX40" i="7"/>
  <c r="BV40" i="7"/>
  <c r="BU40" i="7"/>
  <c r="BS40" i="7"/>
  <c r="BR40" i="7"/>
  <c r="BP40" i="7"/>
  <c r="BO40" i="7"/>
  <c r="BQ40" i="7" s="1"/>
  <c r="BM40" i="7"/>
  <c r="BL40" i="7"/>
  <c r="BJ40" i="7"/>
  <c r="BI40" i="7"/>
  <c r="BK40" i="7" s="1"/>
  <c r="BG40" i="7"/>
  <c r="BF40" i="7"/>
  <c r="BE40" i="7"/>
  <c r="BD40" i="7"/>
  <c r="BC40" i="7"/>
  <c r="BA40" i="7"/>
  <c r="AZ40" i="7"/>
  <c r="AX40" i="7"/>
  <c r="AW40" i="7"/>
  <c r="AV40" i="7"/>
  <c r="AU40" i="7"/>
  <c r="AS40" i="7"/>
  <c r="AR40" i="7"/>
  <c r="AP40" i="7"/>
  <c r="AO40" i="7"/>
  <c r="AM40" i="7"/>
  <c r="AL40" i="7"/>
  <c r="AJ40" i="7"/>
  <c r="AI40" i="7"/>
  <c r="AK40" i="7" s="1"/>
  <c r="AG40" i="7"/>
  <c r="AF40" i="7"/>
  <c r="AE40" i="7"/>
  <c r="AD40" i="7"/>
  <c r="AC40" i="7"/>
  <c r="AA40" i="7"/>
  <c r="Z40" i="7"/>
  <c r="X40" i="7"/>
  <c r="W40" i="7"/>
  <c r="T40" i="7"/>
  <c r="S40" i="7"/>
  <c r="R40" i="7"/>
  <c r="O40" i="7"/>
  <c r="L40" i="7"/>
  <c r="I40" i="7"/>
  <c r="Q40" i="7" s="1"/>
  <c r="H40" i="7"/>
  <c r="G40" i="7"/>
  <c r="P40" i="7" s="1"/>
  <c r="F40" i="7"/>
  <c r="E40" i="7"/>
  <c r="CW39" i="7"/>
  <c r="CV39" i="7"/>
  <c r="CT39" i="7"/>
  <c r="CS39" i="7"/>
  <c r="CU39" i="7" s="1"/>
  <c r="CQ39" i="7"/>
  <c r="CP39" i="7"/>
  <c r="CR39" i="7" s="1"/>
  <c r="CN39" i="7"/>
  <c r="CM39" i="7"/>
  <c r="CO39" i="7" s="1"/>
  <c r="CL39" i="7"/>
  <c r="CK39" i="7"/>
  <c r="CJ39" i="7"/>
  <c r="CH39" i="7"/>
  <c r="CG39" i="7"/>
  <c r="CI39" i="7" s="1"/>
  <c r="CE39" i="7"/>
  <c r="CD39" i="7"/>
  <c r="CF39" i="7" s="1"/>
  <c r="CB39" i="7"/>
  <c r="CA39" i="7"/>
  <c r="CC39" i="7" s="1"/>
  <c r="BY39" i="7"/>
  <c r="BZ39" i="7" s="1"/>
  <c r="BX39" i="7"/>
  <c r="BV39" i="7"/>
  <c r="BU39" i="7"/>
  <c r="BS39" i="7"/>
  <c r="BR39" i="7"/>
  <c r="BP39" i="7"/>
  <c r="BO39" i="7"/>
  <c r="BM39" i="7"/>
  <c r="BL39" i="7"/>
  <c r="BN39" i="7" s="1"/>
  <c r="BJ39" i="7"/>
  <c r="BI39" i="7"/>
  <c r="BK39" i="7" s="1"/>
  <c r="BG39" i="7"/>
  <c r="BF39" i="7"/>
  <c r="BH39" i="7" s="1"/>
  <c r="BD39" i="7"/>
  <c r="BC39" i="7"/>
  <c r="BE39" i="7" s="1"/>
  <c r="BA39" i="7"/>
  <c r="AZ39" i="7"/>
  <c r="BB39" i="7" s="1"/>
  <c r="AX39" i="7"/>
  <c r="AW39" i="7"/>
  <c r="AY39" i="7" s="1"/>
  <c r="AV39" i="7"/>
  <c r="AU39" i="7"/>
  <c r="AS39" i="7"/>
  <c r="AR39" i="7"/>
  <c r="AP39" i="7"/>
  <c r="AO39" i="7"/>
  <c r="AM39" i="7"/>
  <c r="AL39" i="7"/>
  <c r="AJ39" i="7"/>
  <c r="AI39" i="7"/>
  <c r="AK39" i="7" s="1"/>
  <c r="AG39" i="7"/>
  <c r="AF39" i="7"/>
  <c r="AE39" i="7"/>
  <c r="AD39" i="7"/>
  <c r="AC39" i="7"/>
  <c r="AA39" i="7"/>
  <c r="Z39" i="7"/>
  <c r="X39" i="7"/>
  <c r="W39" i="7"/>
  <c r="T39" i="7"/>
  <c r="S39" i="7"/>
  <c r="R39" i="7"/>
  <c r="O39" i="7"/>
  <c r="L39" i="7"/>
  <c r="I39" i="7"/>
  <c r="Q39" i="7" s="1"/>
  <c r="H39" i="7"/>
  <c r="G39" i="7"/>
  <c r="P39" i="7" s="1"/>
  <c r="F39" i="7"/>
  <c r="E39" i="7"/>
  <c r="CW38" i="7"/>
  <c r="CV38" i="7"/>
  <c r="CT38" i="7"/>
  <c r="CS38" i="7"/>
  <c r="CU38" i="7" s="1"/>
  <c r="CQ38" i="7"/>
  <c r="CP38" i="7"/>
  <c r="CR38" i="7" s="1"/>
  <c r="CN38" i="7"/>
  <c r="CM38" i="7"/>
  <c r="CO38" i="7" s="1"/>
  <c r="CK38" i="7"/>
  <c r="CJ38" i="7"/>
  <c r="CL38" i="7" s="1"/>
  <c r="CH38" i="7"/>
  <c r="CG38" i="7"/>
  <c r="CI38" i="7" s="1"/>
  <c r="CE38" i="7"/>
  <c r="CD38" i="7"/>
  <c r="CF38" i="7" s="1"/>
  <c r="CB38" i="7"/>
  <c r="CA38" i="7"/>
  <c r="CC38" i="7" s="1"/>
  <c r="BY38" i="7"/>
  <c r="BX38" i="7"/>
  <c r="BZ38" i="7" s="1"/>
  <c r="BV38" i="7"/>
  <c r="BU38" i="7"/>
  <c r="BS38" i="7"/>
  <c r="BR38" i="7"/>
  <c r="BP38" i="7"/>
  <c r="BO38" i="7"/>
  <c r="BQ38" i="7" s="1"/>
  <c r="BM38" i="7"/>
  <c r="BL38" i="7"/>
  <c r="BJ38" i="7"/>
  <c r="BI38" i="7"/>
  <c r="BG38" i="7"/>
  <c r="BF38" i="7"/>
  <c r="BE38" i="7"/>
  <c r="BD38" i="7"/>
  <c r="BC38" i="7"/>
  <c r="BA38" i="7"/>
  <c r="AZ38" i="7"/>
  <c r="AX38" i="7"/>
  <c r="AW38" i="7"/>
  <c r="AV38" i="7"/>
  <c r="AU38" i="7"/>
  <c r="AS38" i="7"/>
  <c r="AR38" i="7"/>
  <c r="AP38" i="7"/>
  <c r="AO38" i="7"/>
  <c r="AM38" i="7"/>
  <c r="AL38" i="7"/>
  <c r="AJ38" i="7"/>
  <c r="AI38" i="7"/>
  <c r="AK38" i="7" s="1"/>
  <c r="AG38" i="7"/>
  <c r="AF38" i="7"/>
  <c r="AE38" i="7"/>
  <c r="AD38" i="7"/>
  <c r="AC38" i="7"/>
  <c r="AA38" i="7"/>
  <c r="Z38" i="7"/>
  <c r="X38" i="7"/>
  <c r="W38" i="7"/>
  <c r="T38" i="7"/>
  <c r="S38" i="7"/>
  <c r="R38" i="7"/>
  <c r="O38" i="7"/>
  <c r="L38" i="7"/>
  <c r="I38" i="7"/>
  <c r="Q38" i="7" s="1"/>
  <c r="H38" i="7"/>
  <c r="G38" i="7"/>
  <c r="P38" i="7" s="1"/>
  <c r="F38" i="7"/>
  <c r="E38" i="7"/>
  <c r="D38" i="7" s="1"/>
  <c r="CW37" i="7"/>
  <c r="CV37" i="7"/>
  <c r="CT37" i="7"/>
  <c r="CS37" i="7"/>
  <c r="CU37" i="7" s="1"/>
  <c r="CQ37" i="7"/>
  <c r="CP37" i="7"/>
  <c r="CN37" i="7"/>
  <c r="CM37" i="7"/>
  <c r="CO37" i="7" s="1"/>
  <c r="CK37" i="7"/>
  <c r="CJ37" i="7"/>
  <c r="CL37" i="7" s="1"/>
  <c r="CH37" i="7"/>
  <c r="CG37" i="7"/>
  <c r="CI37" i="7" s="1"/>
  <c r="CE37" i="7"/>
  <c r="CD37" i="7"/>
  <c r="CF37" i="7" s="1"/>
  <c r="CB37" i="7"/>
  <c r="CA37" i="7"/>
  <c r="CC37" i="7" s="1"/>
  <c r="BY37" i="7"/>
  <c r="BX37" i="7"/>
  <c r="BV37" i="7"/>
  <c r="BU37" i="7"/>
  <c r="BS37" i="7"/>
  <c r="BT37" i="7" s="1"/>
  <c r="BR37" i="7"/>
  <c r="BP37" i="7"/>
  <c r="BO37" i="7"/>
  <c r="BM37" i="7"/>
  <c r="BL37" i="7"/>
  <c r="BJ37" i="7"/>
  <c r="BI37" i="7"/>
  <c r="BG37" i="7"/>
  <c r="BF37" i="7"/>
  <c r="BD37" i="7"/>
  <c r="BC37" i="7"/>
  <c r="BE37" i="7" s="1"/>
  <c r="BA37" i="7"/>
  <c r="AZ37" i="7"/>
  <c r="AX37" i="7"/>
  <c r="AW37" i="7"/>
  <c r="AV37" i="7"/>
  <c r="AU37" i="7"/>
  <c r="AS37" i="7"/>
  <c r="AR37" i="7"/>
  <c r="AP37" i="7"/>
  <c r="AO37" i="7"/>
  <c r="AM37" i="7"/>
  <c r="AL37" i="7"/>
  <c r="AJ37" i="7"/>
  <c r="AI37" i="7"/>
  <c r="AK37" i="7" s="1"/>
  <c r="AG37" i="7"/>
  <c r="AF37" i="7"/>
  <c r="AE37" i="7"/>
  <c r="AD37" i="7"/>
  <c r="AC37" i="7"/>
  <c r="AA37" i="7"/>
  <c r="Z37" i="7"/>
  <c r="AB37" i="7" s="1"/>
  <c r="X37" i="7"/>
  <c r="W37" i="7"/>
  <c r="T37" i="7"/>
  <c r="S37" i="7"/>
  <c r="V37" i="7" s="1"/>
  <c r="R37" i="7"/>
  <c r="O37" i="7"/>
  <c r="L37" i="7"/>
  <c r="I37" i="7"/>
  <c r="Q37" i="7" s="1"/>
  <c r="H37" i="7"/>
  <c r="G37" i="7"/>
  <c r="P37" i="7" s="1"/>
  <c r="F37" i="7"/>
  <c r="E37" i="7"/>
  <c r="CW36" i="7"/>
  <c r="CV36" i="7"/>
  <c r="CT36" i="7"/>
  <c r="CS36" i="7"/>
  <c r="CU36" i="7" s="1"/>
  <c r="CQ36" i="7"/>
  <c r="CP36" i="7"/>
  <c r="CR36" i="7" s="1"/>
  <c r="CN36" i="7"/>
  <c r="CM36" i="7"/>
  <c r="CO36" i="7" s="1"/>
  <c r="CK36" i="7"/>
  <c r="CJ36" i="7"/>
  <c r="CL36" i="7" s="1"/>
  <c r="CH36" i="7"/>
  <c r="CG36" i="7"/>
  <c r="CI36" i="7" s="1"/>
  <c r="CE36" i="7"/>
  <c r="CD36" i="7"/>
  <c r="CF36" i="7" s="1"/>
  <c r="CB36" i="7"/>
  <c r="CA36" i="7"/>
  <c r="CC36" i="7" s="1"/>
  <c r="BY36" i="7"/>
  <c r="BX36" i="7"/>
  <c r="BZ36" i="7" s="1"/>
  <c r="BV36" i="7"/>
  <c r="BU36" i="7"/>
  <c r="BW36" i="7" s="1"/>
  <c r="BS36" i="7"/>
  <c r="BR36" i="7"/>
  <c r="BP36" i="7"/>
  <c r="BO36" i="7"/>
  <c r="BM36" i="7"/>
  <c r="BL36" i="7"/>
  <c r="BN36" i="7" s="1"/>
  <c r="BJ36" i="7"/>
  <c r="BI36" i="7"/>
  <c r="BK36" i="7" s="1"/>
  <c r="BG36" i="7"/>
  <c r="BF36" i="7"/>
  <c r="BH36" i="7" s="1"/>
  <c r="BD36" i="7"/>
  <c r="BC36" i="7"/>
  <c r="BE36" i="7" s="1"/>
  <c r="BA36" i="7"/>
  <c r="AZ36" i="7"/>
  <c r="BB36" i="7" s="1"/>
  <c r="AY36" i="7"/>
  <c r="AX36" i="7"/>
  <c r="AW36" i="7"/>
  <c r="AV36" i="7"/>
  <c r="AU36" i="7"/>
  <c r="AS36" i="7"/>
  <c r="AR36" i="7"/>
  <c r="AP36" i="7"/>
  <c r="AO36" i="7"/>
  <c r="AM36" i="7"/>
  <c r="AL36" i="7"/>
  <c r="AJ36" i="7"/>
  <c r="AI36" i="7"/>
  <c r="AK36" i="7" s="1"/>
  <c r="AG36" i="7"/>
  <c r="AF36" i="7"/>
  <c r="AE36" i="7"/>
  <c r="AD36" i="7"/>
  <c r="AC36" i="7"/>
  <c r="AA36" i="7"/>
  <c r="Z36" i="7"/>
  <c r="X36" i="7"/>
  <c r="W36" i="7"/>
  <c r="Y36" i="7" s="1"/>
  <c r="T36" i="7"/>
  <c r="S36" i="7"/>
  <c r="R36" i="7"/>
  <c r="U36" i="7" s="1"/>
  <c r="O36" i="7"/>
  <c r="L36" i="7"/>
  <c r="I36" i="7"/>
  <c r="Q36" i="7" s="1"/>
  <c r="H36" i="7"/>
  <c r="G36" i="7"/>
  <c r="P36" i="7" s="1"/>
  <c r="F36" i="7"/>
  <c r="E36" i="7"/>
  <c r="CW35" i="7"/>
  <c r="CV35" i="7"/>
  <c r="CT35" i="7"/>
  <c r="CS35" i="7"/>
  <c r="CU35" i="7" s="1"/>
  <c r="CQ35" i="7"/>
  <c r="CP35" i="7"/>
  <c r="CR35" i="7" s="1"/>
  <c r="CN35" i="7"/>
  <c r="CM35" i="7"/>
  <c r="CO35" i="7" s="1"/>
  <c r="CK35" i="7"/>
  <c r="CJ35" i="7"/>
  <c r="CL35" i="7" s="1"/>
  <c r="CH35" i="7"/>
  <c r="CG35" i="7"/>
  <c r="CI35" i="7" s="1"/>
  <c r="CE35" i="7"/>
  <c r="CD35" i="7"/>
  <c r="CF35" i="7" s="1"/>
  <c r="CB35" i="7"/>
  <c r="CA35" i="7"/>
  <c r="CC35" i="7" s="1"/>
  <c r="BY35" i="7"/>
  <c r="BX35" i="7"/>
  <c r="BV35" i="7"/>
  <c r="BU35" i="7"/>
  <c r="BW35" i="7" s="1"/>
  <c r="BS35" i="7"/>
  <c r="BR35" i="7"/>
  <c r="BT35" i="7" s="1"/>
  <c r="BP35" i="7"/>
  <c r="BO35" i="7"/>
  <c r="BQ35" i="7" s="1"/>
  <c r="BM35" i="7"/>
  <c r="BN35" i="7" s="1"/>
  <c r="BL35" i="7"/>
  <c r="BJ35" i="7"/>
  <c r="BI35" i="7"/>
  <c r="BG35" i="7"/>
  <c r="BF35" i="7"/>
  <c r="BD35" i="7"/>
  <c r="BC35" i="7"/>
  <c r="BE35" i="7" s="1"/>
  <c r="BA35" i="7"/>
  <c r="AZ35" i="7"/>
  <c r="AX35" i="7"/>
  <c r="AW35" i="7"/>
  <c r="AV35" i="7"/>
  <c r="AU35" i="7"/>
  <c r="AS35" i="7"/>
  <c r="AR35" i="7"/>
  <c r="AP35" i="7"/>
  <c r="AO35" i="7"/>
  <c r="AM35" i="7"/>
  <c r="AL35" i="7"/>
  <c r="AJ35" i="7"/>
  <c r="AI35" i="7"/>
  <c r="AK35" i="7" s="1"/>
  <c r="AG35" i="7"/>
  <c r="AF35" i="7"/>
  <c r="AE35" i="7"/>
  <c r="AD35" i="7"/>
  <c r="AC35" i="7"/>
  <c r="AA35" i="7"/>
  <c r="Z35" i="7"/>
  <c r="X35" i="7"/>
  <c r="W35" i="7"/>
  <c r="T35" i="7"/>
  <c r="S35" i="7"/>
  <c r="V35" i="7" s="1"/>
  <c r="R35" i="7"/>
  <c r="U35" i="7" s="1"/>
  <c r="Q35" i="7"/>
  <c r="O35" i="7"/>
  <c r="L35" i="7"/>
  <c r="I35" i="7"/>
  <c r="H35" i="7"/>
  <c r="G35" i="7"/>
  <c r="P35" i="7" s="1"/>
  <c r="F35" i="7"/>
  <c r="E35" i="7"/>
  <c r="CW34" i="7"/>
  <c r="CV34" i="7"/>
  <c r="CT34" i="7"/>
  <c r="CS34" i="7"/>
  <c r="CU34" i="7" s="1"/>
  <c r="CQ34" i="7"/>
  <c r="CP34" i="7"/>
  <c r="CR34" i="7" s="1"/>
  <c r="CN34" i="7"/>
  <c r="CM34" i="7"/>
  <c r="CO34" i="7" s="1"/>
  <c r="CK34" i="7"/>
  <c r="CJ34" i="7"/>
  <c r="CL34" i="7" s="1"/>
  <c r="CH34" i="7"/>
  <c r="CG34" i="7"/>
  <c r="CI34" i="7" s="1"/>
  <c r="CE34" i="7"/>
  <c r="CD34" i="7"/>
  <c r="CF34" i="7" s="1"/>
  <c r="CC34" i="7"/>
  <c r="CB34" i="7"/>
  <c r="CA34" i="7"/>
  <c r="BY34" i="7"/>
  <c r="BX34" i="7"/>
  <c r="BV34" i="7"/>
  <c r="BU34" i="7"/>
  <c r="BW34" i="7" s="1"/>
  <c r="BS34" i="7"/>
  <c r="BR34" i="7"/>
  <c r="BP34" i="7"/>
  <c r="BQ34" i="7" s="1"/>
  <c r="BO34" i="7"/>
  <c r="BM34" i="7"/>
  <c r="BL34" i="7"/>
  <c r="BN34" i="7" s="1"/>
  <c r="BJ34" i="7"/>
  <c r="BI34" i="7"/>
  <c r="BK34" i="7" s="1"/>
  <c r="BG34" i="7"/>
  <c r="BF34" i="7"/>
  <c r="BH34" i="7" s="1"/>
  <c r="BD34" i="7"/>
  <c r="BC34" i="7"/>
  <c r="BE34" i="7" s="1"/>
  <c r="BA34" i="7"/>
  <c r="AZ34" i="7"/>
  <c r="BB34" i="7" s="1"/>
  <c r="AX34" i="7"/>
  <c r="AW34" i="7"/>
  <c r="AY34" i="7" s="1"/>
  <c r="AV34" i="7"/>
  <c r="AU34" i="7"/>
  <c r="AS34" i="7"/>
  <c r="AR34" i="7"/>
  <c r="AP34" i="7"/>
  <c r="AO34" i="7"/>
  <c r="AM34" i="7"/>
  <c r="AL34" i="7"/>
  <c r="AJ34" i="7"/>
  <c r="AI34" i="7"/>
  <c r="AK34" i="7" s="1"/>
  <c r="AG34" i="7"/>
  <c r="AF34" i="7"/>
  <c r="AE34" i="7"/>
  <c r="AD34" i="7"/>
  <c r="AC34" i="7"/>
  <c r="AA34" i="7"/>
  <c r="Z34" i="7"/>
  <c r="X34" i="7"/>
  <c r="W34" i="7"/>
  <c r="T34" i="7"/>
  <c r="S34" i="7"/>
  <c r="R34" i="7"/>
  <c r="P34" i="7"/>
  <c r="O34" i="7"/>
  <c r="L34" i="7"/>
  <c r="I34" i="7"/>
  <c r="Q34" i="7" s="1"/>
  <c r="H34" i="7"/>
  <c r="G34" i="7"/>
  <c r="F34" i="7"/>
  <c r="E34" i="7"/>
  <c r="CW33" i="7"/>
  <c r="CV33" i="7"/>
  <c r="CT33" i="7"/>
  <c r="CS33" i="7"/>
  <c r="CU33" i="7" s="1"/>
  <c r="CQ33" i="7"/>
  <c r="CP33" i="7"/>
  <c r="CR33" i="7" s="1"/>
  <c r="CN33" i="7"/>
  <c r="CM33" i="7"/>
  <c r="CO33" i="7" s="1"/>
  <c r="CK33" i="7"/>
  <c r="CJ33" i="7"/>
  <c r="CL33" i="7" s="1"/>
  <c r="CH33" i="7"/>
  <c r="CG33" i="7"/>
  <c r="CI33" i="7" s="1"/>
  <c r="CE33" i="7"/>
  <c r="CD33" i="7"/>
  <c r="CF33" i="7" s="1"/>
  <c r="CB33" i="7"/>
  <c r="CA33" i="7"/>
  <c r="CC33" i="7" s="1"/>
  <c r="BZ33" i="7"/>
  <c r="BY33" i="7"/>
  <c r="BX33" i="7"/>
  <c r="BV33" i="7"/>
  <c r="BU33" i="7"/>
  <c r="BS33" i="7"/>
  <c r="BR33" i="7"/>
  <c r="BT33" i="7" s="1"/>
  <c r="BP33" i="7"/>
  <c r="BO33" i="7"/>
  <c r="BQ33" i="7" s="1"/>
  <c r="BN33" i="7"/>
  <c r="BM33" i="7"/>
  <c r="BL33" i="7"/>
  <c r="BJ33" i="7"/>
  <c r="BI33" i="7"/>
  <c r="BK33" i="7" s="1"/>
  <c r="BG33" i="7"/>
  <c r="BF33" i="7"/>
  <c r="BH33" i="7" s="1"/>
  <c r="BD33" i="7"/>
  <c r="BC33" i="7"/>
  <c r="BE33" i="7" s="1"/>
  <c r="BA33" i="7"/>
  <c r="AZ33" i="7"/>
  <c r="BB33" i="7" s="1"/>
  <c r="AX33" i="7"/>
  <c r="AW33" i="7"/>
  <c r="AY33" i="7" s="1"/>
  <c r="AV33" i="7"/>
  <c r="AU33" i="7"/>
  <c r="AS33" i="7"/>
  <c r="AR33" i="7"/>
  <c r="AP33" i="7"/>
  <c r="AO33" i="7"/>
  <c r="AM33" i="7"/>
  <c r="AL33" i="7"/>
  <c r="AJ33" i="7"/>
  <c r="AI33" i="7"/>
  <c r="AG33" i="7"/>
  <c r="AF33" i="7"/>
  <c r="AE33" i="7"/>
  <c r="AD33" i="7"/>
  <c r="AC33" i="7"/>
  <c r="AA33" i="7"/>
  <c r="Z33" i="7"/>
  <c r="X33" i="7"/>
  <c r="W33" i="7"/>
  <c r="T33" i="7"/>
  <c r="S33" i="7"/>
  <c r="R33" i="7"/>
  <c r="Q33" i="7"/>
  <c r="O33" i="7"/>
  <c r="L33" i="7"/>
  <c r="I33" i="7"/>
  <c r="H33" i="7"/>
  <c r="N33" i="7" s="1"/>
  <c r="G33" i="7"/>
  <c r="F33" i="7"/>
  <c r="E33" i="7"/>
  <c r="CW32" i="7"/>
  <c r="CV32" i="7"/>
  <c r="CT32" i="7"/>
  <c r="CS32" i="7"/>
  <c r="CU32" i="7" s="1"/>
  <c r="CQ32" i="7"/>
  <c r="CP32" i="7"/>
  <c r="CR32" i="7" s="1"/>
  <c r="CN32" i="7"/>
  <c r="CM32" i="7"/>
  <c r="CK32" i="7"/>
  <c r="CJ32" i="7"/>
  <c r="CL32" i="7" s="1"/>
  <c r="CH32" i="7"/>
  <c r="CG32" i="7"/>
  <c r="CI32" i="7" s="1"/>
  <c r="CE32" i="7"/>
  <c r="CD32" i="7"/>
  <c r="CF32" i="7" s="1"/>
  <c r="CB32" i="7"/>
  <c r="CA32" i="7"/>
  <c r="CC32" i="7" s="1"/>
  <c r="BY32" i="7"/>
  <c r="BX32" i="7"/>
  <c r="BV32" i="7"/>
  <c r="BU32" i="7"/>
  <c r="BW32" i="7" s="1"/>
  <c r="BS32" i="7"/>
  <c r="BR32" i="7"/>
  <c r="BP32" i="7"/>
  <c r="BO32" i="7"/>
  <c r="BM32" i="7"/>
  <c r="BL32" i="7"/>
  <c r="BN32" i="7" s="1"/>
  <c r="BJ32" i="7"/>
  <c r="BI32" i="7"/>
  <c r="BK32" i="7" s="1"/>
  <c r="BG32" i="7"/>
  <c r="BF32" i="7"/>
  <c r="BH32" i="7" s="1"/>
  <c r="BD32" i="7"/>
  <c r="BC32" i="7"/>
  <c r="BA32" i="7"/>
  <c r="AZ32" i="7"/>
  <c r="BB32" i="7" s="1"/>
  <c r="AX32" i="7"/>
  <c r="AW32" i="7"/>
  <c r="AY32" i="7" s="1"/>
  <c r="AV32" i="7"/>
  <c r="AU32" i="7"/>
  <c r="AS32" i="7"/>
  <c r="AR32" i="7"/>
  <c r="AP32" i="7"/>
  <c r="AO32" i="7"/>
  <c r="AM32" i="7"/>
  <c r="AL32" i="7"/>
  <c r="AJ32" i="7"/>
  <c r="AI32" i="7"/>
  <c r="AK32" i="7" s="1"/>
  <c r="AG32" i="7"/>
  <c r="AF32" i="7"/>
  <c r="AE32" i="7"/>
  <c r="AD32" i="7"/>
  <c r="AC32" i="7"/>
  <c r="AC31" i="7" s="1"/>
  <c r="AA32" i="7"/>
  <c r="Z32" i="7"/>
  <c r="X32" i="7"/>
  <c r="W32" i="7"/>
  <c r="T32" i="7"/>
  <c r="S32" i="7"/>
  <c r="R32" i="7"/>
  <c r="O32" i="7"/>
  <c r="L32" i="7"/>
  <c r="I32" i="7"/>
  <c r="H32" i="7"/>
  <c r="G32" i="7"/>
  <c r="P32" i="7" s="1"/>
  <c r="F32" i="7"/>
  <c r="E32" i="7"/>
  <c r="CW30" i="7"/>
  <c r="CV30" i="7"/>
  <c r="CT30" i="7"/>
  <c r="CS30" i="7"/>
  <c r="CU30" i="7" s="1"/>
  <c r="CQ30" i="7"/>
  <c r="CP30" i="7"/>
  <c r="CR30" i="7" s="1"/>
  <c r="CN30" i="7"/>
  <c r="CM30" i="7"/>
  <c r="CO30" i="7" s="1"/>
  <c r="CK30" i="7"/>
  <c r="CJ30" i="7"/>
  <c r="CL30" i="7" s="1"/>
  <c r="CH30" i="7"/>
  <c r="CG30" i="7"/>
  <c r="CI30" i="7" s="1"/>
  <c r="CE30" i="7"/>
  <c r="CD30" i="7"/>
  <c r="CF30" i="7" s="1"/>
  <c r="CB30" i="7"/>
  <c r="CA30" i="7"/>
  <c r="CC30" i="7" s="1"/>
  <c r="BY30" i="7"/>
  <c r="BX30" i="7"/>
  <c r="BV30" i="7"/>
  <c r="BU30" i="7"/>
  <c r="BS30" i="7"/>
  <c r="BR30" i="7"/>
  <c r="BP30" i="7"/>
  <c r="BO30" i="7"/>
  <c r="BQ30" i="7" s="1"/>
  <c r="BM30" i="7"/>
  <c r="BL30" i="7"/>
  <c r="BN30" i="7" s="1"/>
  <c r="BK30" i="7"/>
  <c r="BJ30" i="7"/>
  <c r="BI30" i="7"/>
  <c r="BG30" i="7"/>
  <c r="BF30" i="7"/>
  <c r="BH30" i="7" s="1"/>
  <c r="BD30" i="7"/>
  <c r="BC30" i="7"/>
  <c r="BE30" i="7" s="1"/>
  <c r="BA30" i="7"/>
  <c r="AZ30" i="7"/>
  <c r="BB30" i="7" s="1"/>
  <c r="AX30" i="7"/>
  <c r="AW30" i="7"/>
  <c r="AY30" i="7" s="1"/>
  <c r="AV30" i="7"/>
  <c r="AU30" i="7"/>
  <c r="AS30" i="7"/>
  <c r="AR30" i="7"/>
  <c r="AP30" i="7"/>
  <c r="AO30" i="7"/>
  <c r="AM30" i="7"/>
  <c r="AL30" i="7"/>
  <c r="AJ30" i="7"/>
  <c r="AI30" i="7"/>
  <c r="AK30" i="7" s="1"/>
  <c r="AG30" i="7"/>
  <c r="AF30" i="7"/>
  <c r="AE30" i="7"/>
  <c r="AD30" i="7"/>
  <c r="AC30" i="7"/>
  <c r="AA30" i="7"/>
  <c r="Z30" i="7"/>
  <c r="X30" i="7"/>
  <c r="W30" i="7"/>
  <c r="T30" i="7"/>
  <c r="U30" i="7" s="1"/>
  <c r="S30" i="7"/>
  <c r="R30" i="7"/>
  <c r="O30" i="7"/>
  <c r="L30" i="7"/>
  <c r="I30" i="7"/>
  <c r="Q30" i="7" s="1"/>
  <c r="H30" i="7"/>
  <c r="G30" i="7"/>
  <c r="P30" i="7" s="1"/>
  <c r="F30" i="7"/>
  <c r="E30" i="7"/>
  <c r="CW29" i="7"/>
  <c r="CV29" i="7"/>
  <c r="CT29" i="7"/>
  <c r="CS29" i="7"/>
  <c r="CU29" i="7" s="1"/>
  <c r="CQ29" i="7"/>
  <c r="CP29" i="7"/>
  <c r="CR29" i="7" s="1"/>
  <c r="CN29" i="7"/>
  <c r="CM29" i="7"/>
  <c r="CO29" i="7" s="1"/>
  <c r="CL29" i="7"/>
  <c r="CK29" i="7"/>
  <c r="CJ29" i="7"/>
  <c r="CH29" i="7"/>
  <c r="CG29" i="7"/>
  <c r="CI29" i="7" s="1"/>
  <c r="CE29" i="7"/>
  <c r="CD29" i="7"/>
  <c r="CF29" i="7" s="1"/>
  <c r="CB29" i="7"/>
  <c r="CA29" i="7"/>
  <c r="CC29" i="7" s="1"/>
  <c r="BY29" i="7"/>
  <c r="BX29" i="7"/>
  <c r="BV29" i="7"/>
  <c r="BU29" i="7"/>
  <c r="BS29" i="7"/>
  <c r="BT29" i="7" s="1"/>
  <c r="BR29" i="7"/>
  <c r="BP29" i="7"/>
  <c r="BO29" i="7"/>
  <c r="BM29" i="7"/>
  <c r="BL29" i="7"/>
  <c r="BJ29" i="7"/>
  <c r="BI29" i="7"/>
  <c r="BG29" i="7"/>
  <c r="BF29" i="7"/>
  <c r="BH29" i="7" s="1"/>
  <c r="BD29" i="7"/>
  <c r="BC29" i="7"/>
  <c r="BE29" i="7" s="1"/>
  <c r="BA29" i="7"/>
  <c r="AZ29" i="7"/>
  <c r="BB29" i="7" s="1"/>
  <c r="AX29" i="7"/>
  <c r="AW29" i="7"/>
  <c r="AV29" i="7"/>
  <c r="AU29" i="7"/>
  <c r="AS29" i="7"/>
  <c r="AR29" i="7"/>
  <c r="AP29" i="7"/>
  <c r="AO29" i="7"/>
  <c r="AM29" i="7"/>
  <c r="AL29" i="7"/>
  <c r="AJ29" i="7"/>
  <c r="AI29" i="7"/>
  <c r="AK29" i="7" s="1"/>
  <c r="AG29" i="7"/>
  <c r="AF29" i="7"/>
  <c r="AE29" i="7"/>
  <c r="AD29" i="7"/>
  <c r="AC29" i="7"/>
  <c r="AA29" i="7"/>
  <c r="Z29" i="7"/>
  <c r="X29" i="7"/>
  <c r="W29" i="7"/>
  <c r="T29" i="7"/>
  <c r="S29" i="7"/>
  <c r="R29" i="7"/>
  <c r="O29" i="7"/>
  <c r="L29" i="7"/>
  <c r="I29" i="7"/>
  <c r="Q29" i="7" s="1"/>
  <c r="H29" i="7"/>
  <c r="G29" i="7"/>
  <c r="P29" i="7" s="1"/>
  <c r="F29" i="7"/>
  <c r="E29" i="7"/>
  <c r="CW28" i="7"/>
  <c r="CV28" i="7"/>
  <c r="CT28" i="7"/>
  <c r="CS28" i="7"/>
  <c r="CU28" i="7" s="1"/>
  <c r="CQ28" i="7"/>
  <c r="CP28" i="7"/>
  <c r="CR28" i="7" s="1"/>
  <c r="CN28" i="7"/>
  <c r="CM28" i="7"/>
  <c r="CO28" i="7" s="1"/>
  <c r="CK28" i="7"/>
  <c r="CJ28" i="7"/>
  <c r="CL28" i="7" s="1"/>
  <c r="CH28" i="7"/>
  <c r="CG28" i="7"/>
  <c r="CI28" i="7" s="1"/>
  <c r="CE28" i="7"/>
  <c r="CD28" i="7"/>
  <c r="CF28" i="7" s="1"/>
  <c r="CB28" i="7"/>
  <c r="CA28" i="7"/>
  <c r="CC28" i="7" s="1"/>
  <c r="BY28" i="7"/>
  <c r="BX28" i="7"/>
  <c r="BV28" i="7"/>
  <c r="BU28" i="7"/>
  <c r="BS28" i="7"/>
  <c r="BR28" i="7"/>
  <c r="BP28" i="7"/>
  <c r="BO28" i="7"/>
  <c r="BM28" i="7"/>
  <c r="BL28" i="7"/>
  <c r="BN28" i="7" s="1"/>
  <c r="BJ28" i="7"/>
  <c r="BI28" i="7"/>
  <c r="BK28" i="7" s="1"/>
  <c r="BG28" i="7"/>
  <c r="BF28" i="7"/>
  <c r="BH28" i="7" s="1"/>
  <c r="BD28" i="7"/>
  <c r="BC28" i="7"/>
  <c r="BE28" i="7" s="1"/>
  <c r="BA28" i="7"/>
  <c r="AZ28" i="7"/>
  <c r="BB28" i="7" s="1"/>
  <c r="AX28" i="7"/>
  <c r="AW28" i="7"/>
  <c r="AY28" i="7" s="1"/>
  <c r="AV28" i="7"/>
  <c r="AU28" i="7"/>
  <c r="AS28" i="7"/>
  <c r="AR28" i="7"/>
  <c r="AP28" i="7"/>
  <c r="AO28" i="7"/>
  <c r="AM28" i="7"/>
  <c r="AL28" i="7"/>
  <c r="AJ28" i="7"/>
  <c r="AI28" i="7"/>
  <c r="AK28" i="7" s="1"/>
  <c r="AG28" i="7"/>
  <c r="AF28" i="7"/>
  <c r="AE28" i="7"/>
  <c r="AD28" i="7"/>
  <c r="AC28" i="7"/>
  <c r="AA28" i="7"/>
  <c r="Z28" i="7"/>
  <c r="X28" i="7"/>
  <c r="W28" i="7"/>
  <c r="T28" i="7"/>
  <c r="V28" i="7" s="1"/>
  <c r="S28" i="7"/>
  <c r="R28" i="7"/>
  <c r="U28" i="7" s="1"/>
  <c r="O28" i="7"/>
  <c r="J28" i="7" s="1"/>
  <c r="L28" i="7"/>
  <c r="I28" i="7"/>
  <c r="Q28" i="7" s="1"/>
  <c r="H28" i="7"/>
  <c r="G28" i="7"/>
  <c r="P28" i="7" s="1"/>
  <c r="F28" i="7"/>
  <c r="E28" i="7"/>
  <c r="CW27" i="7"/>
  <c r="CV27" i="7"/>
  <c r="CT27" i="7"/>
  <c r="CS27" i="7"/>
  <c r="CQ27" i="7"/>
  <c r="CR27" i="7" s="1"/>
  <c r="CP27" i="7"/>
  <c r="CN27" i="7"/>
  <c r="CM27" i="7"/>
  <c r="CO27" i="7" s="1"/>
  <c r="CK27" i="7"/>
  <c r="CJ27" i="7"/>
  <c r="CH27" i="7"/>
  <c r="CG27" i="7"/>
  <c r="CE27" i="7"/>
  <c r="CD27" i="7"/>
  <c r="CB27" i="7"/>
  <c r="CA27" i="7"/>
  <c r="CC27" i="7" s="1"/>
  <c r="BY27" i="7"/>
  <c r="BX27" i="7"/>
  <c r="BV27" i="7"/>
  <c r="BU27" i="7"/>
  <c r="BS27" i="7"/>
  <c r="BR27" i="7"/>
  <c r="BP27" i="7"/>
  <c r="BO27" i="7"/>
  <c r="BM27" i="7"/>
  <c r="BL27" i="7"/>
  <c r="BN27" i="7" s="1"/>
  <c r="BJ27" i="7"/>
  <c r="BI27" i="7"/>
  <c r="BK27" i="7" s="1"/>
  <c r="BG27" i="7"/>
  <c r="BF27" i="7"/>
  <c r="BH27" i="7" s="1"/>
  <c r="BD27" i="7"/>
  <c r="BC27" i="7"/>
  <c r="BE27" i="7" s="1"/>
  <c r="BA27" i="7"/>
  <c r="AZ27" i="7"/>
  <c r="BB27" i="7" s="1"/>
  <c r="AX27" i="7"/>
  <c r="AW27" i="7"/>
  <c r="AY27" i="7" s="1"/>
  <c r="AV27" i="7"/>
  <c r="AU27" i="7"/>
  <c r="AS27" i="7"/>
  <c r="AR27" i="7"/>
  <c r="AP27" i="7"/>
  <c r="AO27" i="7"/>
  <c r="AM27" i="7"/>
  <c r="AL27" i="7"/>
  <c r="AJ27" i="7"/>
  <c r="AI27" i="7"/>
  <c r="AK27" i="7" s="1"/>
  <c r="AG27" i="7"/>
  <c r="AF27" i="7"/>
  <c r="AE27" i="7"/>
  <c r="AD27" i="7"/>
  <c r="AC27" i="7"/>
  <c r="AA27" i="7"/>
  <c r="Z27" i="7"/>
  <c r="X27" i="7"/>
  <c r="W27" i="7"/>
  <c r="T27" i="7"/>
  <c r="S27" i="7"/>
  <c r="R27" i="7"/>
  <c r="O27" i="7"/>
  <c r="L27" i="7"/>
  <c r="I27" i="7"/>
  <c r="Q27" i="7" s="1"/>
  <c r="H27" i="7"/>
  <c r="G27" i="7"/>
  <c r="P27" i="7" s="1"/>
  <c r="F27" i="7"/>
  <c r="E27" i="7"/>
  <c r="CW26" i="7"/>
  <c r="CV26" i="7"/>
  <c r="CT26" i="7"/>
  <c r="CS26" i="7"/>
  <c r="CU26" i="7" s="1"/>
  <c r="CQ26" i="7"/>
  <c r="CP26" i="7"/>
  <c r="CR26" i="7" s="1"/>
  <c r="CN26" i="7"/>
  <c r="CM26" i="7"/>
  <c r="CO26" i="7" s="1"/>
  <c r="CK26" i="7"/>
  <c r="CJ26" i="7"/>
  <c r="CL26" i="7" s="1"/>
  <c r="CI26" i="7"/>
  <c r="CH26" i="7"/>
  <c r="CG26" i="7"/>
  <c r="CE26" i="7"/>
  <c r="CD26" i="7"/>
  <c r="CF26" i="7" s="1"/>
  <c r="CB26" i="7"/>
  <c r="CA26" i="7"/>
  <c r="CC26" i="7" s="1"/>
  <c r="BY26" i="7"/>
  <c r="BX26" i="7"/>
  <c r="BV26" i="7"/>
  <c r="BU26" i="7"/>
  <c r="BS26" i="7"/>
  <c r="BR26" i="7"/>
  <c r="BP26" i="7"/>
  <c r="BO26" i="7"/>
  <c r="BM26" i="7"/>
  <c r="BL26" i="7"/>
  <c r="BN26" i="7" s="1"/>
  <c r="BK26" i="7"/>
  <c r="BJ26" i="7"/>
  <c r="BI26" i="7"/>
  <c r="BG26" i="7"/>
  <c r="BF26" i="7"/>
  <c r="BH26" i="7" s="1"/>
  <c r="BD26" i="7"/>
  <c r="BC26" i="7"/>
  <c r="BE26" i="7" s="1"/>
  <c r="BA26" i="7"/>
  <c r="AZ26" i="7"/>
  <c r="BB26" i="7" s="1"/>
  <c r="AX26" i="7"/>
  <c r="AW26" i="7"/>
  <c r="AY26" i="7" s="1"/>
  <c r="AV26" i="7"/>
  <c r="AU26" i="7"/>
  <c r="AS26" i="7"/>
  <c r="AR26" i="7"/>
  <c r="AP26" i="7"/>
  <c r="AO26" i="7"/>
  <c r="AM26" i="7"/>
  <c r="AL26" i="7"/>
  <c r="AJ26" i="7"/>
  <c r="AI26" i="7"/>
  <c r="AK26" i="7" s="1"/>
  <c r="AG26" i="7"/>
  <c r="AF26" i="7"/>
  <c r="AE26" i="7"/>
  <c r="AD26" i="7"/>
  <c r="AC26" i="7"/>
  <c r="AA26" i="7"/>
  <c r="Z26" i="7"/>
  <c r="X26" i="7"/>
  <c r="W26" i="7"/>
  <c r="T26" i="7"/>
  <c r="S26" i="7"/>
  <c r="R26" i="7"/>
  <c r="O26" i="7"/>
  <c r="L26" i="7"/>
  <c r="I26" i="7"/>
  <c r="Q26" i="7" s="1"/>
  <c r="H26" i="7"/>
  <c r="G26" i="7"/>
  <c r="P26" i="7" s="1"/>
  <c r="F26" i="7"/>
  <c r="E26" i="7"/>
  <c r="CW25" i="7"/>
  <c r="CV25" i="7"/>
  <c r="CT25" i="7"/>
  <c r="CS25" i="7"/>
  <c r="CU25" i="7" s="1"/>
  <c r="CQ25" i="7"/>
  <c r="CP25" i="7"/>
  <c r="CR25" i="7" s="1"/>
  <c r="CN25" i="7"/>
  <c r="CM25" i="7"/>
  <c r="CO25" i="7" s="1"/>
  <c r="CK25" i="7"/>
  <c r="CJ25" i="7"/>
  <c r="CL25" i="7" s="1"/>
  <c r="CH25" i="7"/>
  <c r="CG25" i="7"/>
  <c r="CI25" i="7" s="1"/>
  <c r="CE25" i="7"/>
  <c r="CD25" i="7"/>
  <c r="CF25" i="7" s="1"/>
  <c r="CB25" i="7"/>
  <c r="CA25" i="7"/>
  <c r="CC25" i="7" s="1"/>
  <c r="BY25" i="7"/>
  <c r="BX25" i="7"/>
  <c r="BV25" i="7"/>
  <c r="BU25" i="7"/>
  <c r="BS25" i="7"/>
  <c r="BR25" i="7"/>
  <c r="BP25" i="7"/>
  <c r="BO25" i="7"/>
  <c r="BM25" i="7"/>
  <c r="BL25" i="7"/>
  <c r="BN25" i="7" s="1"/>
  <c r="BJ25" i="7"/>
  <c r="BI25" i="7"/>
  <c r="BK25" i="7" s="1"/>
  <c r="BG25" i="7"/>
  <c r="BF25" i="7"/>
  <c r="BH25" i="7" s="1"/>
  <c r="BD25" i="7"/>
  <c r="BC25" i="7"/>
  <c r="BE25" i="7" s="1"/>
  <c r="BA25" i="7"/>
  <c r="AZ25" i="7"/>
  <c r="BB25" i="7" s="1"/>
  <c r="AX25" i="7"/>
  <c r="AW25" i="7"/>
  <c r="AY25" i="7" s="1"/>
  <c r="AV25" i="7"/>
  <c r="AU25" i="7"/>
  <c r="AS25" i="7"/>
  <c r="AR25" i="7"/>
  <c r="AP25" i="7"/>
  <c r="AO25" i="7"/>
  <c r="AQ25" i="7" s="1"/>
  <c r="AM25" i="7"/>
  <c r="AL25" i="7"/>
  <c r="AJ25" i="7"/>
  <c r="AI25" i="7"/>
  <c r="AG25" i="7"/>
  <c r="AF25" i="7"/>
  <c r="AH25" i="7" s="1"/>
  <c r="AE25" i="7"/>
  <c r="AD25" i="7"/>
  <c r="AC25" i="7"/>
  <c r="AA25" i="7"/>
  <c r="Z25" i="7"/>
  <c r="X25" i="7"/>
  <c r="W25" i="7"/>
  <c r="T25" i="7"/>
  <c r="S25" i="7"/>
  <c r="R25" i="7"/>
  <c r="O25" i="7"/>
  <c r="L25" i="7"/>
  <c r="J25" i="7" s="1"/>
  <c r="I25" i="7"/>
  <c r="Q25" i="7" s="1"/>
  <c r="H25" i="7"/>
  <c r="G25" i="7"/>
  <c r="P25" i="7" s="1"/>
  <c r="F25" i="7"/>
  <c r="E25" i="7"/>
  <c r="CW24" i="7"/>
  <c r="CV24" i="7"/>
  <c r="CT24" i="7"/>
  <c r="CS24" i="7"/>
  <c r="CU24" i="7" s="1"/>
  <c r="CQ24" i="7"/>
  <c r="CP24" i="7"/>
  <c r="CR24" i="7" s="1"/>
  <c r="CO24" i="7"/>
  <c r="CN24" i="7"/>
  <c r="CM24" i="7"/>
  <c r="CK24" i="7"/>
  <c r="CJ24" i="7"/>
  <c r="CL24" i="7" s="1"/>
  <c r="CH24" i="7"/>
  <c r="CG24" i="7"/>
  <c r="CI24" i="7" s="1"/>
  <c r="CE24" i="7"/>
  <c r="CD24" i="7"/>
  <c r="CF24" i="7" s="1"/>
  <c r="CB24" i="7"/>
  <c r="CA24" i="7"/>
  <c r="CC24" i="7" s="1"/>
  <c r="BY24" i="7"/>
  <c r="BX24" i="7"/>
  <c r="BV24" i="7"/>
  <c r="BU24" i="7"/>
  <c r="BS24" i="7"/>
  <c r="BR24" i="7"/>
  <c r="BQ24" i="7"/>
  <c r="BP24" i="7"/>
  <c r="BO24" i="7"/>
  <c r="BM24" i="7"/>
  <c r="BL24" i="7"/>
  <c r="BN24" i="7" s="1"/>
  <c r="BJ24" i="7"/>
  <c r="BI24" i="7"/>
  <c r="BK24" i="7" s="1"/>
  <c r="BG24" i="7"/>
  <c r="BF24" i="7"/>
  <c r="BH24" i="7" s="1"/>
  <c r="BD24" i="7"/>
  <c r="BC24" i="7"/>
  <c r="BE24" i="7" s="1"/>
  <c r="BA24" i="7"/>
  <c r="AZ24" i="7"/>
  <c r="BB24" i="7" s="1"/>
  <c r="AX24" i="7"/>
  <c r="AW24" i="7"/>
  <c r="AY24" i="7" s="1"/>
  <c r="AV24" i="7"/>
  <c r="AU24" i="7"/>
  <c r="AS24" i="7"/>
  <c r="AR24" i="7"/>
  <c r="AP24" i="7"/>
  <c r="AO24" i="7"/>
  <c r="AM24" i="7"/>
  <c r="AL24" i="7"/>
  <c r="AJ24" i="7"/>
  <c r="AI24" i="7"/>
  <c r="AK24" i="7" s="1"/>
  <c r="AG24" i="7"/>
  <c r="AF24" i="7"/>
  <c r="AE24" i="7"/>
  <c r="AD24" i="7"/>
  <c r="AC24" i="7"/>
  <c r="AA24" i="7"/>
  <c r="Z24" i="7"/>
  <c r="X24" i="7"/>
  <c r="W24" i="7"/>
  <c r="T24" i="7"/>
  <c r="S24" i="7"/>
  <c r="R24" i="7"/>
  <c r="O24" i="7"/>
  <c r="L24" i="7"/>
  <c r="I24" i="7"/>
  <c r="Q24" i="7" s="1"/>
  <c r="H24" i="7"/>
  <c r="G24" i="7"/>
  <c r="P24" i="7" s="1"/>
  <c r="F24" i="7"/>
  <c r="E24" i="7"/>
  <c r="CW23" i="7"/>
  <c r="CV23" i="7"/>
  <c r="CT23" i="7"/>
  <c r="CS23" i="7"/>
  <c r="CU23" i="7" s="1"/>
  <c r="CQ23" i="7"/>
  <c r="CP23" i="7"/>
  <c r="CR23" i="7" s="1"/>
  <c r="CN23" i="7"/>
  <c r="CM23" i="7"/>
  <c r="CO23" i="7" s="1"/>
  <c r="CK23" i="7"/>
  <c r="CJ23" i="7"/>
  <c r="CL23" i="7" s="1"/>
  <c r="CH23" i="7"/>
  <c r="CG23" i="7"/>
  <c r="CI23" i="7" s="1"/>
  <c r="CE23" i="7"/>
  <c r="CD23" i="7"/>
  <c r="CF23" i="7" s="1"/>
  <c r="CB23" i="7"/>
  <c r="CA23" i="7"/>
  <c r="CC23" i="7" s="1"/>
  <c r="BY23" i="7"/>
  <c r="BX23" i="7"/>
  <c r="BV23" i="7"/>
  <c r="BU23" i="7"/>
  <c r="BS23" i="7"/>
  <c r="BR23" i="7"/>
  <c r="BP23" i="7"/>
  <c r="BO23" i="7"/>
  <c r="BM23" i="7"/>
  <c r="BL23" i="7"/>
  <c r="BJ23" i="7"/>
  <c r="BI23" i="7"/>
  <c r="BG23" i="7"/>
  <c r="BF23" i="7"/>
  <c r="BD23" i="7"/>
  <c r="BC23" i="7"/>
  <c r="BE23" i="7" s="1"/>
  <c r="BA23" i="7"/>
  <c r="AZ23" i="7"/>
  <c r="AX23" i="7"/>
  <c r="AW23" i="7"/>
  <c r="AV23" i="7"/>
  <c r="AU23" i="7"/>
  <c r="AS23" i="7"/>
  <c r="AR23" i="7"/>
  <c r="AP23" i="7"/>
  <c r="AO23" i="7"/>
  <c r="AM23" i="7"/>
  <c r="AL23" i="7"/>
  <c r="AJ23" i="7"/>
  <c r="AI23" i="7"/>
  <c r="AK23" i="7" s="1"/>
  <c r="AG23" i="7"/>
  <c r="AF23" i="7"/>
  <c r="AE23" i="7"/>
  <c r="AD23" i="7"/>
  <c r="AC23" i="7"/>
  <c r="AA23" i="7"/>
  <c r="Z23" i="7"/>
  <c r="X23" i="7"/>
  <c r="W23" i="7"/>
  <c r="T23" i="7"/>
  <c r="S23" i="7"/>
  <c r="V23" i="7" s="1"/>
  <c r="R23" i="7"/>
  <c r="U23" i="7" s="1"/>
  <c r="Q23" i="7"/>
  <c r="O23" i="7"/>
  <c r="L23" i="7"/>
  <c r="I23" i="7"/>
  <c r="H23" i="7"/>
  <c r="G23" i="7"/>
  <c r="P23" i="7" s="1"/>
  <c r="F23" i="7"/>
  <c r="E23" i="7"/>
  <c r="CW22" i="7"/>
  <c r="CV22" i="7"/>
  <c r="CT22" i="7"/>
  <c r="CS22" i="7"/>
  <c r="CU22" i="7" s="1"/>
  <c r="CQ22" i="7"/>
  <c r="CP22" i="7"/>
  <c r="CR22" i="7" s="1"/>
  <c r="CN22" i="7"/>
  <c r="CM22" i="7"/>
  <c r="CO22" i="7" s="1"/>
  <c r="CK22" i="7"/>
  <c r="CJ22" i="7"/>
  <c r="CL22" i="7" s="1"/>
  <c r="CH22" i="7"/>
  <c r="CG22" i="7"/>
  <c r="CI22" i="7" s="1"/>
  <c r="CE22" i="7"/>
  <c r="CD22" i="7"/>
  <c r="CF22" i="7" s="1"/>
  <c r="CC22" i="7"/>
  <c r="CB22" i="7"/>
  <c r="CA22" i="7"/>
  <c r="BY22" i="7"/>
  <c r="BX22" i="7"/>
  <c r="BV22" i="7"/>
  <c r="BU22" i="7"/>
  <c r="BS22" i="7"/>
  <c r="BR22" i="7"/>
  <c r="BP22" i="7"/>
  <c r="BO22" i="7"/>
  <c r="BM22" i="7"/>
  <c r="BL22" i="7"/>
  <c r="BN22" i="7" s="1"/>
  <c r="BJ22" i="7"/>
  <c r="BI22" i="7"/>
  <c r="BK22" i="7" s="1"/>
  <c r="BG22" i="7"/>
  <c r="BF22" i="7"/>
  <c r="BH22" i="7" s="1"/>
  <c r="BE22" i="7"/>
  <c r="BD22" i="7"/>
  <c r="BC22" i="7"/>
  <c r="BA22" i="7"/>
  <c r="AZ22" i="7"/>
  <c r="BB22" i="7" s="1"/>
  <c r="AX22" i="7"/>
  <c r="AW22" i="7"/>
  <c r="AY22" i="7" s="1"/>
  <c r="AV22" i="7"/>
  <c r="AU22" i="7"/>
  <c r="AS22" i="7"/>
  <c r="AR22" i="7"/>
  <c r="AP22" i="7"/>
  <c r="AO22" i="7"/>
  <c r="AM22" i="7"/>
  <c r="AL22" i="7"/>
  <c r="AJ22" i="7"/>
  <c r="AI22" i="7"/>
  <c r="AK22" i="7" s="1"/>
  <c r="AG22" i="7"/>
  <c r="AF22" i="7"/>
  <c r="AE22" i="7"/>
  <c r="AD22" i="7"/>
  <c r="AC22" i="7"/>
  <c r="AA22" i="7"/>
  <c r="Z22" i="7"/>
  <c r="X22" i="7"/>
  <c r="W22" i="7"/>
  <c r="T22" i="7"/>
  <c r="S22" i="7"/>
  <c r="R22" i="7"/>
  <c r="O22" i="7"/>
  <c r="L22" i="7"/>
  <c r="I22" i="7"/>
  <c r="Q22" i="7" s="1"/>
  <c r="H22" i="7"/>
  <c r="G22" i="7"/>
  <c r="P22" i="7" s="1"/>
  <c r="F22" i="7"/>
  <c r="E22" i="7"/>
  <c r="CW21" i="7"/>
  <c r="CV21" i="7"/>
  <c r="CT21" i="7"/>
  <c r="CS21" i="7"/>
  <c r="CU21" i="7" s="1"/>
  <c r="CQ21" i="7"/>
  <c r="CP21" i="7"/>
  <c r="CR21" i="7" s="1"/>
  <c r="CN21" i="7"/>
  <c r="CM21" i="7"/>
  <c r="CO21" i="7" s="1"/>
  <c r="CK21" i="7"/>
  <c r="CJ21" i="7"/>
  <c r="CL21" i="7" s="1"/>
  <c r="CH21" i="7"/>
  <c r="CG21" i="7"/>
  <c r="CE21" i="7"/>
  <c r="CD21" i="7"/>
  <c r="CF21" i="7" s="1"/>
  <c r="CB21" i="7"/>
  <c r="CA21" i="7"/>
  <c r="CC21" i="7" s="1"/>
  <c r="BY21" i="7"/>
  <c r="BZ21" i="7" s="1"/>
  <c r="BX21" i="7"/>
  <c r="BV21" i="7"/>
  <c r="BU21" i="7"/>
  <c r="BS21" i="7"/>
  <c r="BR21" i="7"/>
  <c r="BT21" i="7" s="1"/>
  <c r="BP21" i="7"/>
  <c r="BO21" i="7"/>
  <c r="BM21" i="7"/>
  <c r="BL21" i="7"/>
  <c r="BN21" i="7" s="1"/>
  <c r="BJ21" i="7"/>
  <c r="BI21" i="7"/>
  <c r="BK21" i="7" s="1"/>
  <c r="BH21" i="7"/>
  <c r="BG21" i="7"/>
  <c r="BF21" i="7"/>
  <c r="BD21" i="7"/>
  <c r="BC21" i="7"/>
  <c r="BE21" i="7" s="1"/>
  <c r="BB21" i="7"/>
  <c r="BA21" i="7"/>
  <c r="AZ21" i="7"/>
  <c r="AX21" i="7"/>
  <c r="AW21" i="7"/>
  <c r="AY21" i="7" s="1"/>
  <c r="AV21" i="7"/>
  <c r="AU21" i="7"/>
  <c r="AS21" i="7"/>
  <c r="AR21" i="7"/>
  <c r="AP21" i="7"/>
  <c r="AO21" i="7"/>
  <c r="AM21" i="7"/>
  <c r="AL21" i="7"/>
  <c r="AJ21" i="7"/>
  <c r="AI21" i="7"/>
  <c r="AK21" i="7" s="1"/>
  <c r="AG21" i="7"/>
  <c r="AF21" i="7"/>
  <c r="AE21" i="7"/>
  <c r="AD21" i="7"/>
  <c r="AC21" i="7"/>
  <c r="AA21" i="7"/>
  <c r="Z21" i="7"/>
  <c r="X21" i="7"/>
  <c r="W21" i="7"/>
  <c r="T21" i="7"/>
  <c r="S21" i="7"/>
  <c r="R21" i="7"/>
  <c r="O21" i="7"/>
  <c r="L21" i="7"/>
  <c r="I21" i="7"/>
  <c r="Q21" i="7" s="1"/>
  <c r="H21" i="7"/>
  <c r="G21" i="7"/>
  <c r="P21" i="7" s="1"/>
  <c r="F21" i="7"/>
  <c r="E21" i="7"/>
  <c r="CW20" i="7"/>
  <c r="CV20" i="7"/>
  <c r="CT20" i="7"/>
  <c r="CU20" i="7" s="1"/>
  <c r="CS20" i="7"/>
  <c r="CQ20" i="7"/>
  <c r="CP20" i="7"/>
  <c r="CN20" i="7"/>
  <c r="CM20" i="7"/>
  <c r="CK20" i="7"/>
  <c r="CJ20" i="7"/>
  <c r="CL20" i="7" s="1"/>
  <c r="CH20" i="7"/>
  <c r="CG20" i="7"/>
  <c r="CE20" i="7"/>
  <c r="CD20" i="7"/>
  <c r="CB20" i="7"/>
  <c r="CA20" i="7"/>
  <c r="CC20" i="7" s="1"/>
  <c r="BY20" i="7"/>
  <c r="BX20" i="7"/>
  <c r="BV20" i="7"/>
  <c r="BU20" i="7"/>
  <c r="BS20" i="7"/>
  <c r="BR20" i="7"/>
  <c r="BP20" i="7"/>
  <c r="BO20" i="7"/>
  <c r="BQ20" i="7" s="1"/>
  <c r="BM20" i="7"/>
  <c r="BL20" i="7"/>
  <c r="BN20" i="7" s="1"/>
  <c r="BJ20" i="7"/>
  <c r="BI20" i="7"/>
  <c r="BK20" i="7" s="1"/>
  <c r="BG20" i="7"/>
  <c r="BF20" i="7"/>
  <c r="BH20" i="7" s="1"/>
  <c r="BD20" i="7"/>
  <c r="BC20" i="7"/>
  <c r="BE20" i="7" s="1"/>
  <c r="BA20" i="7"/>
  <c r="AZ20" i="7"/>
  <c r="BB20" i="7" s="1"/>
  <c r="AX20" i="7"/>
  <c r="AW20" i="7"/>
  <c r="AY20" i="7" s="1"/>
  <c r="AV20" i="7"/>
  <c r="AU20" i="7"/>
  <c r="AS20" i="7"/>
  <c r="AR20" i="7"/>
  <c r="AP20" i="7"/>
  <c r="AO20" i="7"/>
  <c r="AQ20" i="7" s="1"/>
  <c r="AM20" i="7"/>
  <c r="AL20" i="7"/>
  <c r="AJ20" i="7"/>
  <c r="AI20" i="7"/>
  <c r="AK20" i="7" s="1"/>
  <c r="AG20" i="7"/>
  <c r="AF20" i="7"/>
  <c r="AH20" i="7" s="1"/>
  <c r="AE20" i="7"/>
  <c r="AD20" i="7"/>
  <c r="AC20" i="7"/>
  <c r="AA20" i="7"/>
  <c r="Z20" i="7"/>
  <c r="X20" i="7"/>
  <c r="W20" i="7"/>
  <c r="T20" i="7"/>
  <c r="V20" i="7" s="1"/>
  <c r="S20" i="7"/>
  <c r="R20" i="7"/>
  <c r="O20" i="7"/>
  <c r="L20" i="7"/>
  <c r="I20" i="7"/>
  <c r="Q20" i="7" s="1"/>
  <c r="H20" i="7"/>
  <c r="G20" i="7"/>
  <c r="P20" i="7" s="1"/>
  <c r="F20" i="7"/>
  <c r="E20" i="7"/>
  <c r="CW19" i="7"/>
  <c r="CV19" i="7"/>
  <c r="CT19" i="7"/>
  <c r="CS19" i="7"/>
  <c r="CQ19" i="7"/>
  <c r="CP19" i="7"/>
  <c r="CN19" i="7"/>
  <c r="CM19" i="7"/>
  <c r="CK19" i="7"/>
  <c r="CJ19" i="7"/>
  <c r="CH19" i="7"/>
  <c r="CG19" i="7"/>
  <c r="CE19" i="7"/>
  <c r="CF19" i="7" s="1"/>
  <c r="CD19" i="7"/>
  <c r="CB19" i="7"/>
  <c r="CA19" i="7"/>
  <c r="CC19" i="7" s="1"/>
  <c r="BY19" i="7"/>
  <c r="BX19" i="7"/>
  <c r="BV19" i="7"/>
  <c r="BU19" i="7"/>
  <c r="BS19" i="7"/>
  <c r="BR19" i="7"/>
  <c r="BP19" i="7"/>
  <c r="BO19" i="7"/>
  <c r="BM19" i="7"/>
  <c r="BL19" i="7"/>
  <c r="BN19" i="7" s="1"/>
  <c r="BJ19" i="7"/>
  <c r="BI19" i="7"/>
  <c r="BK19" i="7" s="1"/>
  <c r="BG19" i="7"/>
  <c r="BF19" i="7"/>
  <c r="BH19" i="7" s="1"/>
  <c r="BD19" i="7"/>
  <c r="BC19" i="7"/>
  <c r="BE19" i="7" s="1"/>
  <c r="BA19" i="7"/>
  <c r="AZ19" i="7"/>
  <c r="BB19" i="7" s="1"/>
  <c r="AX19" i="7"/>
  <c r="AW19" i="7"/>
  <c r="AY19" i="7" s="1"/>
  <c r="AV19" i="7"/>
  <c r="AU19" i="7"/>
  <c r="AS19" i="7"/>
  <c r="AR19" i="7"/>
  <c r="AP19" i="7"/>
  <c r="AO19" i="7"/>
  <c r="AM19" i="7"/>
  <c r="AL19" i="7"/>
  <c r="AJ19" i="7"/>
  <c r="AI19" i="7"/>
  <c r="AK19" i="7" s="1"/>
  <c r="AG19" i="7"/>
  <c r="AF19" i="7"/>
  <c r="AE19" i="7"/>
  <c r="AD19" i="7"/>
  <c r="AC19" i="7"/>
  <c r="AA19" i="7"/>
  <c r="Z19" i="7"/>
  <c r="X19" i="7"/>
  <c r="W19" i="7"/>
  <c r="T19" i="7"/>
  <c r="S19" i="7"/>
  <c r="R19" i="7"/>
  <c r="O19" i="7"/>
  <c r="L19" i="7"/>
  <c r="I19" i="7"/>
  <c r="Q19" i="7" s="1"/>
  <c r="H19" i="7"/>
  <c r="G19" i="7"/>
  <c r="P19" i="7" s="1"/>
  <c r="F19" i="7"/>
  <c r="E19" i="7"/>
  <c r="CW18" i="7"/>
  <c r="CV18" i="7"/>
  <c r="CT18" i="7"/>
  <c r="CS18" i="7"/>
  <c r="CU18" i="7" s="1"/>
  <c r="CQ18" i="7"/>
  <c r="CP18" i="7"/>
  <c r="CN18" i="7"/>
  <c r="CM18" i="7"/>
  <c r="CO18" i="7" s="1"/>
  <c r="CK18" i="7"/>
  <c r="CJ18" i="7"/>
  <c r="CL18" i="7" s="1"/>
  <c r="CH18" i="7"/>
  <c r="CG18" i="7"/>
  <c r="CI18" i="7" s="1"/>
  <c r="CE18" i="7"/>
  <c r="CD18" i="7"/>
  <c r="CF18" i="7" s="1"/>
  <c r="CB18" i="7"/>
  <c r="CA18" i="7"/>
  <c r="CC18" i="7" s="1"/>
  <c r="BY18" i="7"/>
  <c r="BX18" i="7"/>
  <c r="BV18" i="7"/>
  <c r="BU18" i="7"/>
  <c r="BS18" i="7"/>
  <c r="BR18" i="7"/>
  <c r="BP18" i="7"/>
  <c r="BO18" i="7"/>
  <c r="BM18" i="7"/>
  <c r="BL18" i="7"/>
  <c r="BN18" i="7" s="1"/>
  <c r="BK18" i="7"/>
  <c r="BJ18" i="7"/>
  <c r="BI18" i="7"/>
  <c r="BG18" i="7"/>
  <c r="BF18" i="7"/>
  <c r="BH18" i="7" s="1"/>
  <c r="BD18" i="7"/>
  <c r="BC18" i="7"/>
  <c r="BE18" i="7" s="1"/>
  <c r="BA18" i="7"/>
  <c r="AZ18" i="7"/>
  <c r="BB18" i="7" s="1"/>
  <c r="AX18" i="7"/>
  <c r="AW18" i="7"/>
  <c r="AY18" i="7" s="1"/>
  <c r="AV18" i="7"/>
  <c r="AU18" i="7"/>
  <c r="AS18" i="7"/>
  <c r="AR18" i="7"/>
  <c r="AP18" i="7"/>
  <c r="AO18" i="7"/>
  <c r="AM18" i="7"/>
  <c r="AL18" i="7"/>
  <c r="AJ18" i="7"/>
  <c r="AI18" i="7"/>
  <c r="AK18" i="7" s="1"/>
  <c r="AG18" i="7"/>
  <c r="AF18" i="7"/>
  <c r="AE18" i="7"/>
  <c r="AD18" i="7"/>
  <c r="AC18" i="7"/>
  <c r="AA18" i="7"/>
  <c r="Z18" i="7"/>
  <c r="X18" i="7"/>
  <c r="W18" i="7"/>
  <c r="T18" i="7"/>
  <c r="S18" i="7"/>
  <c r="R18" i="7"/>
  <c r="O18" i="7"/>
  <c r="L18" i="7"/>
  <c r="I18" i="7"/>
  <c r="Q18" i="7" s="1"/>
  <c r="H18" i="7"/>
  <c r="N18" i="7" s="1"/>
  <c r="G18" i="7"/>
  <c r="P18" i="7" s="1"/>
  <c r="F18" i="7"/>
  <c r="E18" i="7"/>
  <c r="CW17" i="7"/>
  <c r="CV17" i="7"/>
  <c r="CT17" i="7"/>
  <c r="CS17" i="7"/>
  <c r="CU17" i="7" s="1"/>
  <c r="CQ17" i="7"/>
  <c r="CP17" i="7"/>
  <c r="CR17" i="7" s="1"/>
  <c r="CN17" i="7"/>
  <c r="CM17" i="7"/>
  <c r="CO17" i="7" s="1"/>
  <c r="CL17" i="7"/>
  <c r="CK17" i="7"/>
  <c r="CJ17" i="7"/>
  <c r="CH17" i="7"/>
  <c r="CG17" i="7"/>
  <c r="CI17" i="7" s="1"/>
  <c r="CE17" i="7"/>
  <c r="CD17" i="7"/>
  <c r="CF17" i="7" s="1"/>
  <c r="CB17" i="7"/>
  <c r="CA17" i="7"/>
  <c r="CC17" i="7" s="1"/>
  <c r="BY17" i="7"/>
  <c r="BX17" i="7"/>
  <c r="BV17" i="7"/>
  <c r="BU17" i="7"/>
  <c r="BS17" i="7"/>
  <c r="BR17" i="7"/>
  <c r="BP17" i="7"/>
  <c r="BO17" i="7"/>
  <c r="BN17" i="7"/>
  <c r="BM17" i="7"/>
  <c r="BL17" i="7"/>
  <c r="BJ17" i="7"/>
  <c r="BI17" i="7"/>
  <c r="BK17" i="7" s="1"/>
  <c r="BG17" i="7"/>
  <c r="BF17" i="7"/>
  <c r="BH17" i="7" s="1"/>
  <c r="BD17" i="7"/>
  <c r="BC17" i="7"/>
  <c r="BE17" i="7" s="1"/>
  <c r="BA17" i="7"/>
  <c r="AZ17" i="7"/>
  <c r="BB17" i="7" s="1"/>
  <c r="AX17" i="7"/>
  <c r="AW17" i="7"/>
  <c r="AY17" i="7" s="1"/>
  <c r="AV17" i="7"/>
  <c r="AU17" i="7"/>
  <c r="AS17" i="7"/>
  <c r="AR17" i="7"/>
  <c r="AP17" i="7"/>
  <c r="AO17" i="7"/>
  <c r="AM17" i="7"/>
  <c r="AL17" i="7"/>
  <c r="AJ17" i="7"/>
  <c r="AI17" i="7"/>
  <c r="AG17" i="7"/>
  <c r="AF17" i="7"/>
  <c r="AE17" i="7"/>
  <c r="AD17" i="7"/>
  <c r="AC17" i="7"/>
  <c r="AA17" i="7"/>
  <c r="Z17" i="7"/>
  <c r="X17" i="7"/>
  <c r="W17" i="7"/>
  <c r="T17" i="7"/>
  <c r="S17" i="7"/>
  <c r="V17" i="7" s="1"/>
  <c r="R17" i="7"/>
  <c r="O17" i="7"/>
  <c r="L17" i="7"/>
  <c r="I17" i="7"/>
  <c r="Q17" i="7" s="1"/>
  <c r="H17" i="7"/>
  <c r="G17" i="7"/>
  <c r="P17" i="7" s="1"/>
  <c r="F17" i="7"/>
  <c r="E17" i="7"/>
  <c r="CW16" i="7"/>
  <c r="CV16" i="7"/>
  <c r="CT16" i="7"/>
  <c r="CS16" i="7"/>
  <c r="CU16" i="7" s="1"/>
  <c r="CQ16" i="7"/>
  <c r="CP16" i="7"/>
  <c r="CN16" i="7"/>
  <c r="CM16" i="7"/>
  <c r="CK16" i="7"/>
  <c r="CJ16" i="7"/>
  <c r="CL16" i="7" s="1"/>
  <c r="CH16" i="7"/>
  <c r="CI16" i="7" s="1"/>
  <c r="CG16" i="7"/>
  <c r="CE16" i="7"/>
  <c r="CD16" i="7"/>
  <c r="CB16" i="7"/>
  <c r="CA16" i="7"/>
  <c r="CC16" i="7" s="1"/>
  <c r="BY16" i="7"/>
  <c r="BX16" i="7"/>
  <c r="BV16" i="7"/>
  <c r="BW16" i="7" s="1"/>
  <c r="BU16" i="7"/>
  <c r="BS16" i="7"/>
  <c r="BR16" i="7"/>
  <c r="BP16" i="7"/>
  <c r="BO16" i="7"/>
  <c r="BM16" i="7"/>
  <c r="BL16" i="7"/>
  <c r="BJ16" i="7"/>
  <c r="BI16" i="7"/>
  <c r="BK16" i="7" s="1"/>
  <c r="BG16" i="7"/>
  <c r="BF16" i="7"/>
  <c r="BD16" i="7"/>
  <c r="BC16" i="7"/>
  <c r="BE16" i="7" s="1"/>
  <c r="BA16" i="7"/>
  <c r="AZ16" i="7"/>
  <c r="AX16" i="7"/>
  <c r="AY16" i="7" s="1"/>
  <c r="AW16" i="7"/>
  <c r="AV16" i="7"/>
  <c r="AU16" i="7"/>
  <c r="AS16" i="7"/>
  <c r="AR16" i="7"/>
  <c r="AR13" i="7" s="1"/>
  <c r="AP16" i="7"/>
  <c r="AO16" i="7"/>
  <c r="AM16" i="7"/>
  <c r="AL16" i="7"/>
  <c r="AJ16" i="7"/>
  <c r="AI16" i="7"/>
  <c r="AK16" i="7" s="1"/>
  <c r="AG16" i="7"/>
  <c r="AF16" i="7"/>
  <c r="AE16" i="7"/>
  <c r="AD16" i="7"/>
  <c r="AC16" i="7"/>
  <c r="AA16" i="7"/>
  <c r="Z16" i="7"/>
  <c r="X16" i="7"/>
  <c r="W16" i="7"/>
  <c r="T16" i="7"/>
  <c r="S16" i="7"/>
  <c r="R16" i="7"/>
  <c r="Q16" i="7"/>
  <c r="O16" i="7"/>
  <c r="L16" i="7"/>
  <c r="I16" i="7"/>
  <c r="H16" i="7"/>
  <c r="G16" i="7"/>
  <c r="P16" i="7" s="1"/>
  <c r="F16" i="7"/>
  <c r="E16" i="7"/>
  <c r="CW15" i="7"/>
  <c r="CV15" i="7"/>
  <c r="CT15" i="7"/>
  <c r="CS15" i="7"/>
  <c r="CR15" i="7"/>
  <c r="CQ15" i="7"/>
  <c r="CP15" i="7"/>
  <c r="CN15" i="7"/>
  <c r="CM15" i="7"/>
  <c r="CO15" i="7" s="1"/>
  <c r="CL15" i="7"/>
  <c r="CK15" i="7"/>
  <c r="CJ15" i="7"/>
  <c r="CH15" i="7"/>
  <c r="CG15" i="7"/>
  <c r="CI15" i="7" s="1"/>
  <c r="CE15" i="7"/>
  <c r="CD15" i="7"/>
  <c r="CF15" i="7" s="1"/>
  <c r="CB15" i="7"/>
  <c r="CA15" i="7"/>
  <c r="CC15" i="7" s="1"/>
  <c r="BY15" i="7"/>
  <c r="BX15" i="7"/>
  <c r="BZ15" i="7" s="1"/>
  <c r="BV15" i="7"/>
  <c r="BU15" i="7"/>
  <c r="BS15" i="7"/>
  <c r="BR15" i="7"/>
  <c r="BP15" i="7"/>
  <c r="BO15" i="7"/>
  <c r="BM15" i="7"/>
  <c r="BL15" i="7"/>
  <c r="BN15" i="7" s="1"/>
  <c r="BJ15" i="7"/>
  <c r="BI15" i="7"/>
  <c r="BK15" i="7" s="1"/>
  <c r="BG15" i="7"/>
  <c r="BF15" i="7"/>
  <c r="BD15" i="7"/>
  <c r="BC15" i="7"/>
  <c r="BE15" i="7" s="1"/>
  <c r="BB15" i="7"/>
  <c r="BA15" i="7"/>
  <c r="AZ15" i="7"/>
  <c r="AX15" i="7"/>
  <c r="AW15" i="7"/>
  <c r="AY15" i="7" s="1"/>
  <c r="AV15" i="7"/>
  <c r="AU15" i="7"/>
  <c r="AS15" i="7"/>
  <c r="AR15" i="7"/>
  <c r="AP15" i="7"/>
  <c r="AO15" i="7"/>
  <c r="AM15" i="7"/>
  <c r="AL15" i="7"/>
  <c r="AJ15" i="7"/>
  <c r="AI15" i="7"/>
  <c r="AK15" i="7" s="1"/>
  <c r="AG15" i="7"/>
  <c r="AF15" i="7"/>
  <c r="AE15" i="7"/>
  <c r="AD15" i="7"/>
  <c r="AC15" i="7"/>
  <c r="AA15" i="7"/>
  <c r="Z15" i="7"/>
  <c r="X15" i="7"/>
  <c r="W15" i="7"/>
  <c r="T15" i="7"/>
  <c r="S15" i="7"/>
  <c r="R15" i="7"/>
  <c r="O15" i="7"/>
  <c r="L15" i="7"/>
  <c r="I15" i="7"/>
  <c r="Q15" i="7" s="1"/>
  <c r="H15" i="7"/>
  <c r="G15" i="7"/>
  <c r="P15" i="7" s="1"/>
  <c r="F15" i="7"/>
  <c r="E15" i="7"/>
  <c r="D15" i="7" s="1"/>
  <c r="CW14" i="7"/>
  <c r="CV14" i="7"/>
  <c r="CT14" i="7"/>
  <c r="CS14" i="7"/>
  <c r="CU14" i="7" s="1"/>
  <c r="CQ14" i="7"/>
  <c r="CP14" i="7"/>
  <c r="CR14" i="7" s="1"/>
  <c r="CN14" i="7"/>
  <c r="CM14" i="7"/>
  <c r="CO14" i="7" s="1"/>
  <c r="CK14" i="7"/>
  <c r="CJ14" i="7"/>
  <c r="CH14" i="7"/>
  <c r="CG14" i="7"/>
  <c r="CI14" i="7" s="1"/>
  <c r="CE14" i="7"/>
  <c r="CD14" i="7"/>
  <c r="CF14" i="7" s="1"/>
  <c r="CB14" i="7"/>
  <c r="CA14" i="7"/>
  <c r="BY14" i="7"/>
  <c r="BX14" i="7"/>
  <c r="BV14" i="7"/>
  <c r="BU14" i="7"/>
  <c r="BS14" i="7"/>
  <c r="BR14" i="7"/>
  <c r="BP14" i="7"/>
  <c r="BO14" i="7"/>
  <c r="BQ14" i="7" s="1"/>
  <c r="BM14" i="7"/>
  <c r="BL14" i="7"/>
  <c r="BN14" i="7" s="1"/>
  <c r="BJ14" i="7"/>
  <c r="BI14" i="7"/>
  <c r="BK14" i="7" s="1"/>
  <c r="BG14" i="7"/>
  <c r="BF14" i="7"/>
  <c r="BH14" i="7" s="1"/>
  <c r="BD14" i="7"/>
  <c r="BC14" i="7"/>
  <c r="BE14" i="7" s="1"/>
  <c r="BA14" i="7"/>
  <c r="AZ14" i="7"/>
  <c r="BB14" i="7" s="1"/>
  <c r="AX14" i="7"/>
  <c r="AW14" i="7"/>
  <c r="AY14" i="7" s="1"/>
  <c r="AV14" i="7"/>
  <c r="AU14" i="7"/>
  <c r="AS14" i="7"/>
  <c r="AR14" i="7"/>
  <c r="AP14" i="7"/>
  <c r="AO14" i="7"/>
  <c r="AM14" i="7"/>
  <c r="AL14" i="7"/>
  <c r="AN14" i="7" s="1"/>
  <c r="AJ14" i="7"/>
  <c r="AI14" i="7"/>
  <c r="AG14" i="7"/>
  <c r="AF14" i="7"/>
  <c r="AE14" i="7"/>
  <c r="AD14" i="7"/>
  <c r="AC14" i="7"/>
  <c r="AA14" i="7"/>
  <c r="Z14" i="7"/>
  <c r="X14" i="7"/>
  <c r="W14" i="7"/>
  <c r="T14" i="7"/>
  <c r="S14" i="7"/>
  <c r="R14" i="7"/>
  <c r="U14" i="7" s="1"/>
  <c r="O14" i="7"/>
  <c r="L14" i="7"/>
  <c r="I14" i="7"/>
  <c r="Q14" i="7" s="1"/>
  <c r="H14" i="7"/>
  <c r="G14" i="7"/>
  <c r="P14" i="7" s="1"/>
  <c r="F14" i="7"/>
  <c r="E14" i="7"/>
  <c r="T9" i="7"/>
  <c r="R9" i="7"/>
  <c r="V108" i="6"/>
  <c r="U108" i="6"/>
  <c r="O108" i="6"/>
  <c r="L108" i="6"/>
  <c r="I108" i="6"/>
  <c r="Q108" i="6" s="1"/>
  <c r="H108" i="6"/>
  <c r="N108" i="6" s="1"/>
  <c r="G108" i="6"/>
  <c r="P108" i="6" s="1"/>
  <c r="F108" i="6"/>
  <c r="E108" i="6"/>
  <c r="V107" i="6"/>
  <c r="U107" i="6"/>
  <c r="O107" i="6"/>
  <c r="L107" i="6"/>
  <c r="I107" i="6"/>
  <c r="Q107" i="6" s="1"/>
  <c r="H107" i="6"/>
  <c r="N107" i="6" s="1"/>
  <c r="G107" i="6"/>
  <c r="P107" i="6" s="1"/>
  <c r="F107" i="6"/>
  <c r="E107" i="6"/>
  <c r="V106" i="6"/>
  <c r="U106" i="6"/>
  <c r="O106" i="6"/>
  <c r="L106" i="6"/>
  <c r="I106" i="6"/>
  <c r="Q106" i="6" s="1"/>
  <c r="H106" i="6"/>
  <c r="G106" i="6"/>
  <c r="P106" i="6" s="1"/>
  <c r="F106" i="6"/>
  <c r="E106" i="6"/>
  <c r="V105" i="6"/>
  <c r="U105" i="6"/>
  <c r="O105" i="6"/>
  <c r="L105" i="6"/>
  <c r="I105" i="6"/>
  <c r="Q105" i="6" s="1"/>
  <c r="H105" i="6"/>
  <c r="N105" i="6" s="1"/>
  <c r="G105" i="6"/>
  <c r="P105" i="6" s="1"/>
  <c r="F105" i="6"/>
  <c r="E105" i="6"/>
  <c r="V104" i="6"/>
  <c r="U104" i="6"/>
  <c r="O104" i="6"/>
  <c r="L104" i="6"/>
  <c r="I104" i="6"/>
  <c r="Q104" i="6" s="1"/>
  <c r="H104" i="6"/>
  <c r="G104" i="6"/>
  <c r="P104" i="6" s="1"/>
  <c r="F104" i="6"/>
  <c r="E104" i="6"/>
  <c r="V103" i="6"/>
  <c r="U103" i="6"/>
  <c r="O103" i="6"/>
  <c r="L103" i="6"/>
  <c r="I103" i="6"/>
  <c r="Q103" i="6" s="1"/>
  <c r="H103" i="6"/>
  <c r="N103" i="6" s="1"/>
  <c r="G103" i="6"/>
  <c r="P103" i="6" s="1"/>
  <c r="F103" i="6"/>
  <c r="E103" i="6"/>
  <c r="V102" i="6"/>
  <c r="U102" i="6"/>
  <c r="O102" i="6"/>
  <c r="L102" i="6"/>
  <c r="I102" i="6"/>
  <c r="Q102" i="6" s="1"/>
  <c r="H102" i="6"/>
  <c r="N102" i="6" s="1"/>
  <c r="G102" i="6"/>
  <c r="P102" i="6" s="1"/>
  <c r="F102" i="6"/>
  <c r="E102" i="6"/>
  <c r="T101" i="6"/>
  <c r="T89" i="6" s="1"/>
  <c r="S101" i="6"/>
  <c r="R101" i="6"/>
  <c r="O101" i="6"/>
  <c r="L101" i="6"/>
  <c r="I101" i="6"/>
  <c r="H101" i="6"/>
  <c r="G101" i="6"/>
  <c r="F101" i="6"/>
  <c r="E101" i="6"/>
  <c r="V100" i="6"/>
  <c r="U100" i="6"/>
  <c r="O100" i="6"/>
  <c r="J100" i="6" s="1"/>
  <c r="L100" i="6"/>
  <c r="I100" i="6"/>
  <c r="Q100" i="6" s="1"/>
  <c r="H100" i="6"/>
  <c r="N100" i="6" s="1"/>
  <c r="G100" i="6"/>
  <c r="P100" i="6" s="1"/>
  <c r="F100" i="6"/>
  <c r="D100" i="6" s="1"/>
  <c r="E100" i="6"/>
  <c r="V99" i="6"/>
  <c r="U99" i="6"/>
  <c r="O99" i="6"/>
  <c r="L99" i="6"/>
  <c r="I99" i="6"/>
  <c r="Q99" i="6" s="1"/>
  <c r="H99" i="6"/>
  <c r="N99" i="6" s="1"/>
  <c r="G99" i="6"/>
  <c r="P99" i="6" s="1"/>
  <c r="F99" i="6"/>
  <c r="E99" i="6"/>
  <c r="V98" i="6"/>
  <c r="U98" i="6"/>
  <c r="O98" i="6"/>
  <c r="L98" i="6"/>
  <c r="I98" i="6"/>
  <c r="Q98" i="6" s="1"/>
  <c r="H98" i="6"/>
  <c r="G98" i="6"/>
  <c r="P98" i="6" s="1"/>
  <c r="F98" i="6"/>
  <c r="E98" i="6"/>
  <c r="V97" i="6"/>
  <c r="U97" i="6"/>
  <c r="O97" i="6"/>
  <c r="L97" i="6"/>
  <c r="J97" i="6" s="1"/>
  <c r="I97" i="6"/>
  <c r="Q97" i="6" s="1"/>
  <c r="H97" i="6"/>
  <c r="N97" i="6" s="1"/>
  <c r="G97" i="6"/>
  <c r="P97" i="6" s="1"/>
  <c r="F97" i="6"/>
  <c r="E97" i="6"/>
  <c r="V96" i="6"/>
  <c r="U96" i="6"/>
  <c r="O96" i="6"/>
  <c r="L96" i="6"/>
  <c r="I96" i="6"/>
  <c r="Q96" i="6" s="1"/>
  <c r="H96" i="6"/>
  <c r="N96" i="6" s="1"/>
  <c r="G96" i="6"/>
  <c r="P96" i="6" s="1"/>
  <c r="F96" i="6"/>
  <c r="E96" i="6"/>
  <c r="D96" i="6" s="1"/>
  <c r="M96" i="6" s="1"/>
  <c r="V95" i="6"/>
  <c r="U95" i="6"/>
  <c r="O95" i="6"/>
  <c r="L95" i="6"/>
  <c r="I95" i="6"/>
  <c r="Q95" i="6" s="1"/>
  <c r="H95" i="6"/>
  <c r="N95" i="6" s="1"/>
  <c r="G95" i="6"/>
  <c r="P95" i="6" s="1"/>
  <c r="F95" i="6"/>
  <c r="E95" i="6"/>
  <c r="V94" i="6"/>
  <c r="U94" i="6"/>
  <c r="O94" i="6"/>
  <c r="L94" i="6"/>
  <c r="I94" i="6"/>
  <c r="Q94" i="6" s="1"/>
  <c r="H94" i="6"/>
  <c r="N94" i="6" s="1"/>
  <c r="G94" i="6"/>
  <c r="P94" i="6" s="1"/>
  <c r="F94" i="6"/>
  <c r="E94" i="6"/>
  <c r="V93" i="6"/>
  <c r="U93" i="6"/>
  <c r="O93" i="6"/>
  <c r="L93" i="6"/>
  <c r="I93" i="6"/>
  <c r="Q93" i="6" s="1"/>
  <c r="H93" i="6"/>
  <c r="G93" i="6"/>
  <c r="P93" i="6" s="1"/>
  <c r="F93" i="6"/>
  <c r="E93" i="6"/>
  <c r="V92" i="6"/>
  <c r="U92" i="6"/>
  <c r="O92" i="6"/>
  <c r="L92" i="6"/>
  <c r="I92" i="6"/>
  <c r="Q92" i="6" s="1"/>
  <c r="H92" i="6"/>
  <c r="N92" i="6" s="1"/>
  <c r="G92" i="6"/>
  <c r="P92" i="6" s="1"/>
  <c r="F92" i="6"/>
  <c r="E92" i="6"/>
  <c r="V91" i="6"/>
  <c r="U91" i="6"/>
  <c r="Q91" i="6"/>
  <c r="O91" i="6"/>
  <c r="L91" i="6"/>
  <c r="I91" i="6"/>
  <c r="H91" i="6"/>
  <c r="N91" i="6" s="1"/>
  <c r="G91" i="6"/>
  <c r="P91" i="6" s="1"/>
  <c r="F91" i="6"/>
  <c r="E91" i="6"/>
  <c r="V90" i="6"/>
  <c r="U90" i="6"/>
  <c r="O90" i="6"/>
  <c r="L90" i="6"/>
  <c r="I90" i="6"/>
  <c r="H90" i="6"/>
  <c r="N90" i="6" s="1"/>
  <c r="G90" i="6"/>
  <c r="P90" i="6" s="1"/>
  <c r="F90" i="6"/>
  <c r="E90" i="6"/>
  <c r="S89" i="6"/>
  <c r="R89" i="6"/>
  <c r="X88" i="6"/>
  <c r="W88" i="6"/>
  <c r="T88" i="6"/>
  <c r="S88" i="6"/>
  <c r="R88" i="6"/>
  <c r="U88" i="6" s="1"/>
  <c r="O88" i="6"/>
  <c r="L88" i="6"/>
  <c r="I88" i="6"/>
  <c r="Q88" i="6" s="1"/>
  <c r="H88" i="6"/>
  <c r="G88" i="6"/>
  <c r="P88" i="6" s="1"/>
  <c r="F88" i="6"/>
  <c r="E88" i="6"/>
  <c r="X87" i="6"/>
  <c r="W87" i="6"/>
  <c r="T87" i="6"/>
  <c r="S87" i="6"/>
  <c r="V87" i="6" s="1"/>
  <c r="R87" i="6"/>
  <c r="U87" i="6" s="1"/>
  <c r="O87" i="6"/>
  <c r="L87" i="6"/>
  <c r="I87" i="6"/>
  <c r="Q87" i="6" s="1"/>
  <c r="H87" i="6"/>
  <c r="G87" i="6"/>
  <c r="P87" i="6" s="1"/>
  <c r="F87" i="6"/>
  <c r="D87" i="6" s="1"/>
  <c r="E87" i="6"/>
  <c r="X86" i="6"/>
  <c r="W86" i="6"/>
  <c r="T86" i="6"/>
  <c r="S86" i="6"/>
  <c r="V86" i="6" s="1"/>
  <c r="R86" i="6"/>
  <c r="U86" i="6" s="1"/>
  <c r="O86" i="6"/>
  <c r="L86" i="6"/>
  <c r="I86" i="6"/>
  <c r="Q86" i="6" s="1"/>
  <c r="H86" i="6"/>
  <c r="N86" i="6" s="1"/>
  <c r="G86" i="6"/>
  <c r="P86" i="6" s="1"/>
  <c r="F86" i="6"/>
  <c r="E86" i="6"/>
  <c r="X85" i="6"/>
  <c r="W85" i="6"/>
  <c r="T85" i="6"/>
  <c r="S85" i="6"/>
  <c r="V85" i="6" s="1"/>
  <c r="R85" i="6"/>
  <c r="U85" i="6" s="1"/>
  <c r="O85" i="6"/>
  <c r="L85" i="6"/>
  <c r="J85" i="6" s="1"/>
  <c r="I85" i="6"/>
  <c r="Q85" i="6" s="1"/>
  <c r="H85" i="6"/>
  <c r="N85" i="6" s="1"/>
  <c r="G85" i="6"/>
  <c r="P85" i="6" s="1"/>
  <c r="F85" i="6"/>
  <c r="E85" i="6"/>
  <c r="X84" i="6"/>
  <c r="Y84" i="6" s="1"/>
  <c r="W84" i="6"/>
  <c r="T84" i="6"/>
  <c r="S84" i="6"/>
  <c r="V84" i="6" s="1"/>
  <c r="R84" i="6"/>
  <c r="U84" i="6" s="1"/>
  <c r="O84" i="6"/>
  <c r="L84" i="6"/>
  <c r="I84" i="6"/>
  <c r="Q84" i="6" s="1"/>
  <c r="H84" i="6"/>
  <c r="G84" i="6"/>
  <c r="P84" i="6" s="1"/>
  <c r="F84" i="6"/>
  <c r="E84" i="6"/>
  <c r="X83" i="6"/>
  <c r="W83" i="6"/>
  <c r="Y83" i="6" s="1"/>
  <c r="T83" i="6"/>
  <c r="S83" i="6"/>
  <c r="V83" i="6" s="1"/>
  <c r="R83" i="6"/>
  <c r="U83" i="6" s="1"/>
  <c r="O83" i="6"/>
  <c r="L83" i="6"/>
  <c r="I83" i="6"/>
  <c r="Q83" i="6" s="1"/>
  <c r="H83" i="6"/>
  <c r="G83" i="6"/>
  <c r="P83" i="6" s="1"/>
  <c r="F83" i="6"/>
  <c r="E83" i="6"/>
  <c r="X82" i="6"/>
  <c r="W82" i="6"/>
  <c r="Y82" i="6" s="1"/>
  <c r="T82" i="6"/>
  <c r="S82" i="6"/>
  <c r="V82" i="6" s="1"/>
  <c r="R82" i="6"/>
  <c r="U82" i="6" s="1"/>
  <c r="O82" i="6"/>
  <c r="L82" i="6"/>
  <c r="I82" i="6"/>
  <c r="Q82" i="6" s="1"/>
  <c r="H82" i="6"/>
  <c r="N82" i="6" s="1"/>
  <c r="G82" i="6"/>
  <c r="P82" i="6" s="1"/>
  <c r="F82" i="6"/>
  <c r="E82" i="6"/>
  <c r="X81" i="6"/>
  <c r="W81" i="6"/>
  <c r="Y81" i="6" s="1"/>
  <c r="T81" i="6"/>
  <c r="S81" i="6"/>
  <c r="V81" i="6" s="1"/>
  <c r="R81" i="6"/>
  <c r="U81" i="6" s="1"/>
  <c r="O81" i="6"/>
  <c r="J81" i="6" s="1"/>
  <c r="L81" i="6"/>
  <c r="I81" i="6"/>
  <c r="Q81" i="6" s="1"/>
  <c r="H81" i="6"/>
  <c r="N81" i="6" s="1"/>
  <c r="G81" i="6"/>
  <c r="P81" i="6" s="1"/>
  <c r="F81" i="6"/>
  <c r="E81" i="6"/>
  <c r="X80" i="6"/>
  <c r="W80" i="6"/>
  <c r="U80" i="6"/>
  <c r="T80" i="6"/>
  <c r="S80" i="6"/>
  <c r="R80" i="6"/>
  <c r="O80" i="6"/>
  <c r="L80" i="6"/>
  <c r="I80" i="6"/>
  <c r="Q80" i="6" s="1"/>
  <c r="H80" i="6"/>
  <c r="G80" i="6"/>
  <c r="P80" i="6" s="1"/>
  <c r="F80" i="6"/>
  <c r="E80" i="6"/>
  <c r="X79" i="6"/>
  <c r="Y79" i="6" s="1"/>
  <c r="W79" i="6"/>
  <c r="T79" i="6"/>
  <c r="S79" i="6"/>
  <c r="V79" i="6" s="1"/>
  <c r="R79" i="6"/>
  <c r="U79" i="6" s="1"/>
  <c r="O79" i="6"/>
  <c r="L79" i="6"/>
  <c r="J79" i="6" s="1"/>
  <c r="I79" i="6"/>
  <c r="Q79" i="6" s="1"/>
  <c r="H79" i="6"/>
  <c r="G79" i="6"/>
  <c r="P79" i="6" s="1"/>
  <c r="F79" i="6"/>
  <c r="E79" i="6"/>
  <c r="X78" i="6"/>
  <c r="Y78" i="6" s="1"/>
  <c r="W78" i="6"/>
  <c r="T78" i="6"/>
  <c r="S78" i="6"/>
  <c r="R78" i="6"/>
  <c r="O78" i="6"/>
  <c r="L78" i="6"/>
  <c r="I78" i="6"/>
  <c r="Q78" i="6" s="1"/>
  <c r="H78" i="6"/>
  <c r="G78" i="6"/>
  <c r="P78" i="6" s="1"/>
  <c r="F78" i="6"/>
  <c r="E78" i="6"/>
  <c r="X77" i="6"/>
  <c r="W77" i="6"/>
  <c r="T77" i="6"/>
  <c r="S77" i="6"/>
  <c r="V77" i="6" s="1"/>
  <c r="R77" i="6"/>
  <c r="U77" i="6" s="1"/>
  <c r="O77" i="6"/>
  <c r="L77" i="6"/>
  <c r="I77" i="6"/>
  <c r="Q77" i="6" s="1"/>
  <c r="H77" i="6"/>
  <c r="G77" i="6"/>
  <c r="P77" i="6" s="1"/>
  <c r="F77" i="6"/>
  <c r="E77" i="6"/>
  <c r="X76" i="6"/>
  <c r="W76" i="6"/>
  <c r="Y76" i="6" s="1"/>
  <c r="T76" i="6"/>
  <c r="S76" i="6"/>
  <c r="V76" i="6" s="1"/>
  <c r="R76" i="6"/>
  <c r="U76" i="6" s="1"/>
  <c r="O76" i="6"/>
  <c r="L76" i="6"/>
  <c r="I76" i="6"/>
  <c r="H76" i="6"/>
  <c r="N76" i="6" s="1"/>
  <c r="G76" i="6"/>
  <c r="F76" i="6"/>
  <c r="E76" i="6"/>
  <c r="X75" i="6"/>
  <c r="W75" i="6"/>
  <c r="T75" i="6"/>
  <c r="S75" i="6"/>
  <c r="V75" i="6" s="1"/>
  <c r="R75" i="6"/>
  <c r="O75" i="6"/>
  <c r="J75" i="6" s="1"/>
  <c r="L75" i="6"/>
  <c r="I75" i="6"/>
  <c r="Q75" i="6" s="1"/>
  <c r="H75" i="6"/>
  <c r="N75" i="6" s="1"/>
  <c r="G75" i="6"/>
  <c r="P75" i="6" s="1"/>
  <c r="F75" i="6"/>
  <c r="E75" i="6"/>
  <c r="X73" i="6"/>
  <c r="W73" i="6"/>
  <c r="T73" i="6"/>
  <c r="S73" i="6"/>
  <c r="V73" i="6" s="1"/>
  <c r="R73" i="6"/>
  <c r="U73" i="6" s="1"/>
  <c r="O73" i="6"/>
  <c r="L73" i="6"/>
  <c r="I73" i="6"/>
  <c r="Q73" i="6" s="1"/>
  <c r="H73" i="6"/>
  <c r="G73" i="6"/>
  <c r="P73" i="6" s="1"/>
  <c r="F73" i="6"/>
  <c r="E73" i="6"/>
  <c r="X72" i="6"/>
  <c r="W72" i="6"/>
  <c r="T72" i="6"/>
  <c r="S72" i="6"/>
  <c r="V72" i="6" s="1"/>
  <c r="R72" i="6"/>
  <c r="U72" i="6" s="1"/>
  <c r="O72" i="6"/>
  <c r="L72" i="6"/>
  <c r="I72" i="6"/>
  <c r="Q72" i="6" s="1"/>
  <c r="H72" i="6"/>
  <c r="G72" i="6"/>
  <c r="P72" i="6" s="1"/>
  <c r="F72" i="6"/>
  <c r="E72" i="6"/>
  <c r="X71" i="6"/>
  <c r="W71" i="6"/>
  <c r="T71" i="6"/>
  <c r="S71" i="6"/>
  <c r="V71" i="6" s="1"/>
  <c r="R71" i="6"/>
  <c r="U71" i="6" s="1"/>
  <c r="O71" i="6"/>
  <c r="L71" i="6"/>
  <c r="J71" i="6" s="1"/>
  <c r="I71" i="6"/>
  <c r="Q71" i="6" s="1"/>
  <c r="H71" i="6"/>
  <c r="N71" i="6" s="1"/>
  <c r="G71" i="6"/>
  <c r="P71" i="6" s="1"/>
  <c r="F71" i="6"/>
  <c r="E71" i="6"/>
  <c r="X70" i="6"/>
  <c r="W70" i="6"/>
  <c r="T70" i="6"/>
  <c r="S70" i="6"/>
  <c r="R70" i="6"/>
  <c r="O70" i="6"/>
  <c r="L70" i="6"/>
  <c r="I70" i="6"/>
  <c r="Q70" i="6" s="1"/>
  <c r="H70" i="6"/>
  <c r="G70" i="6"/>
  <c r="P70" i="6" s="1"/>
  <c r="F70" i="6"/>
  <c r="E70" i="6"/>
  <c r="X69" i="6"/>
  <c r="W69" i="6"/>
  <c r="T69" i="6"/>
  <c r="S69" i="6"/>
  <c r="R69" i="6"/>
  <c r="O69" i="6"/>
  <c r="L69" i="6"/>
  <c r="I69" i="6"/>
  <c r="Q69" i="6" s="1"/>
  <c r="H69" i="6"/>
  <c r="G69" i="6"/>
  <c r="P69" i="6" s="1"/>
  <c r="F69" i="6"/>
  <c r="E69" i="6"/>
  <c r="X68" i="6"/>
  <c r="W68" i="6"/>
  <c r="T68" i="6"/>
  <c r="S68" i="6"/>
  <c r="R68" i="6"/>
  <c r="O68" i="6"/>
  <c r="L68" i="6"/>
  <c r="I68" i="6"/>
  <c r="Q68" i="6" s="1"/>
  <c r="H68" i="6"/>
  <c r="N68" i="6" s="1"/>
  <c r="G68" i="6"/>
  <c r="P68" i="6" s="1"/>
  <c r="F68" i="6"/>
  <c r="E68" i="6"/>
  <c r="X67" i="6"/>
  <c r="W67" i="6"/>
  <c r="V67" i="6"/>
  <c r="T67" i="6"/>
  <c r="S67" i="6"/>
  <c r="R67" i="6"/>
  <c r="O67" i="6"/>
  <c r="L67" i="6"/>
  <c r="I67" i="6"/>
  <c r="Q67" i="6" s="1"/>
  <c r="H67" i="6"/>
  <c r="G67" i="6"/>
  <c r="P67" i="6" s="1"/>
  <c r="F67" i="6"/>
  <c r="E67" i="6"/>
  <c r="X66" i="6"/>
  <c r="W66" i="6"/>
  <c r="T66" i="6"/>
  <c r="S66" i="6"/>
  <c r="V66" i="6" s="1"/>
  <c r="R66" i="6"/>
  <c r="U66" i="6" s="1"/>
  <c r="O66" i="6"/>
  <c r="L66" i="6"/>
  <c r="I66" i="6"/>
  <c r="Q66" i="6" s="1"/>
  <c r="H66" i="6"/>
  <c r="G66" i="6"/>
  <c r="P66" i="6" s="1"/>
  <c r="F66" i="6"/>
  <c r="E66" i="6"/>
  <c r="X65" i="6"/>
  <c r="W65" i="6"/>
  <c r="Y65" i="6" s="1"/>
  <c r="T65" i="6"/>
  <c r="S65" i="6"/>
  <c r="V65" i="6" s="1"/>
  <c r="R65" i="6"/>
  <c r="U65" i="6" s="1"/>
  <c r="O65" i="6"/>
  <c r="L65" i="6"/>
  <c r="I65" i="6"/>
  <c r="Q65" i="6" s="1"/>
  <c r="H65" i="6"/>
  <c r="N65" i="6" s="1"/>
  <c r="G65" i="6"/>
  <c r="P65" i="6" s="1"/>
  <c r="F65" i="6"/>
  <c r="E65" i="6"/>
  <c r="X64" i="6"/>
  <c r="W64" i="6"/>
  <c r="T64" i="6"/>
  <c r="S64" i="6"/>
  <c r="R64" i="6"/>
  <c r="U64" i="6" s="1"/>
  <c r="O64" i="6"/>
  <c r="L64" i="6"/>
  <c r="I64" i="6"/>
  <c r="Q64" i="6" s="1"/>
  <c r="H64" i="6"/>
  <c r="G64" i="6"/>
  <c r="P64" i="6" s="1"/>
  <c r="F64" i="6"/>
  <c r="E64" i="6"/>
  <c r="X63" i="6"/>
  <c r="W63" i="6"/>
  <c r="T63" i="6"/>
  <c r="S63" i="6"/>
  <c r="R63" i="6"/>
  <c r="U63" i="6" s="1"/>
  <c r="O63" i="6"/>
  <c r="L63" i="6"/>
  <c r="I63" i="6"/>
  <c r="Q63" i="6" s="1"/>
  <c r="H63" i="6"/>
  <c r="G63" i="6"/>
  <c r="P63" i="6" s="1"/>
  <c r="F63" i="6"/>
  <c r="E63" i="6"/>
  <c r="X62" i="6"/>
  <c r="W62" i="6"/>
  <c r="T62" i="6"/>
  <c r="S62" i="6"/>
  <c r="V62" i="6" s="1"/>
  <c r="R62" i="6"/>
  <c r="U62" i="6" s="1"/>
  <c r="O62" i="6"/>
  <c r="L62" i="6"/>
  <c r="I62" i="6"/>
  <c r="Q62" i="6" s="1"/>
  <c r="H62" i="6"/>
  <c r="G62" i="6"/>
  <c r="P62" i="6" s="1"/>
  <c r="F62" i="6"/>
  <c r="E62" i="6"/>
  <c r="X61" i="6"/>
  <c r="W61" i="6"/>
  <c r="T61" i="6"/>
  <c r="S61" i="6"/>
  <c r="V61" i="6" s="1"/>
  <c r="R61" i="6"/>
  <c r="U61" i="6" s="1"/>
  <c r="O61" i="6"/>
  <c r="L61" i="6"/>
  <c r="J61" i="6" s="1"/>
  <c r="I61" i="6"/>
  <c r="Q61" i="6" s="1"/>
  <c r="H61" i="6"/>
  <c r="G61" i="6"/>
  <c r="P61" i="6" s="1"/>
  <c r="F61" i="6"/>
  <c r="E61" i="6"/>
  <c r="X60" i="6"/>
  <c r="W60" i="6"/>
  <c r="T60" i="6"/>
  <c r="S60" i="6"/>
  <c r="V60" i="6" s="1"/>
  <c r="R60" i="6"/>
  <c r="U60" i="6" s="1"/>
  <c r="O60" i="6"/>
  <c r="L60" i="6"/>
  <c r="I60" i="6"/>
  <c r="Q60" i="6" s="1"/>
  <c r="H60" i="6"/>
  <c r="G60" i="6"/>
  <c r="P60" i="6" s="1"/>
  <c r="F60" i="6"/>
  <c r="E60" i="6"/>
  <c r="X59" i="6"/>
  <c r="W59" i="6"/>
  <c r="Y59" i="6" s="1"/>
  <c r="T59" i="6"/>
  <c r="S59" i="6"/>
  <c r="V59" i="6" s="1"/>
  <c r="R59" i="6"/>
  <c r="U59" i="6" s="1"/>
  <c r="O59" i="6"/>
  <c r="N59" i="6"/>
  <c r="L59" i="6"/>
  <c r="I59" i="6"/>
  <c r="Q59" i="6" s="1"/>
  <c r="H59" i="6"/>
  <c r="G59" i="6"/>
  <c r="P59" i="6" s="1"/>
  <c r="F59" i="6"/>
  <c r="E59" i="6"/>
  <c r="X58" i="6"/>
  <c r="W58" i="6"/>
  <c r="T58" i="6"/>
  <c r="S58" i="6"/>
  <c r="V58" i="6" s="1"/>
  <c r="R58" i="6"/>
  <c r="U58" i="6" s="1"/>
  <c r="O58" i="6"/>
  <c r="J58" i="6" s="1"/>
  <c r="L58" i="6"/>
  <c r="I58" i="6"/>
  <c r="Q58" i="6" s="1"/>
  <c r="H58" i="6"/>
  <c r="N58" i="6" s="1"/>
  <c r="G58" i="6"/>
  <c r="F58" i="6"/>
  <c r="E58" i="6"/>
  <c r="X57" i="6"/>
  <c r="W57" i="6"/>
  <c r="T57" i="6"/>
  <c r="V57" i="6" s="1"/>
  <c r="S57" i="6"/>
  <c r="R57" i="6"/>
  <c r="O57" i="6"/>
  <c r="L57" i="6"/>
  <c r="I57" i="6"/>
  <c r="Q57" i="6" s="1"/>
  <c r="H57" i="6"/>
  <c r="G57" i="6"/>
  <c r="P57" i="6" s="1"/>
  <c r="F57" i="6"/>
  <c r="D57" i="6" s="1"/>
  <c r="E57" i="6"/>
  <c r="X56" i="6"/>
  <c r="W56" i="6"/>
  <c r="Y56" i="6" s="1"/>
  <c r="T56" i="6"/>
  <c r="S56" i="6"/>
  <c r="V56" i="6" s="1"/>
  <c r="R56" i="6"/>
  <c r="U56" i="6" s="1"/>
  <c r="O56" i="6"/>
  <c r="L56" i="6"/>
  <c r="I56" i="6"/>
  <c r="Q56" i="6" s="1"/>
  <c r="H56" i="6"/>
  <c r="N56" i="6" s="1"/>
  <c r="G56" i="6"/>
  <c r="P56" i="6" s="1"/>
  <c r="F56" i="6"/>
  <c r="E56" i="6"/>
  <c r="X55" i="6"/>
  <c r="W55" i="6"/>
  <c r="T55" i="6"/>
  <c r="S55" i="6"/>
  <c r="R55" i="6"/>
  <c r="U55" i="6" s="1"/>
  <c r="O55" i="6"/>
  <c r="L55" i="6"/>
  <c r="I55" i="6"/>
  <c r="Q55" i="6" s="1"/>
  <c r="H55" i="6"/>
  <c r="G55" i="6"/>
  <c r="P55" i="6" s="1"/>
  <c r="F55" i="6"/>
  <c r="E55" i="6"/>
  <c r="X54" i="6"/>
  <c r="W54" i="6"/>
  <c r="T54" i="6"/>
  <c r="S54" i="6"/>
  <c r="R54" i="6"/>
  <c r="O54" i="6"/>
  <c r="L54" i="6"/>
  <c r="I54" i="6"/>
  <c r="H54" i="6"/>
  <c r="N54" i="6" s="1"/>
  <c r="G54" i="6"/>
  <c r="P54" i="6" s="1"/>
  <c r="F54" i="6"/>
  <c r="E54" i="6"/>
  <c r="X53" i="6"/>
  <c r="W53" i="6"/>
  <c r="T53" i="6"/>
  <c r="S53" i="6"/>
  <c r="V53" i="6" s="1"/>
  <c r="R53" i="6"/>
  <c r="O53" i="6"/>
  <c r="L53" i="6"/>
  <c r="I53" i="6"/>
  <c r="Q53" i="6" s="1"/>
  <c r="H53" i="6"/>
  <c r="G53" i="6"/>
  <c r="P53" i="6" s="1"/>
  <c r="F53" i="6"/>
  <c r="E53" i="6"/>
  <c r="X51" i="6"/>
  <c r="W51" i="6"/>
  <c r="T51" i="6"/>
  <c r="S51" i="6"/>
  <c r="R51" i="6"/>
  <c r="O51" i="6"/>
  <c r="L51" i="6"/>
  <c r="I51" i="6"/>
  <c r="Q51" i="6" s="1"/>
  <c r="H51" i="6"/>
  <c r="G51" i="6"/>
  <c r="P51" i="6" s="1"/>
  <c r="F51" i="6"/>
  <c r="E51" i="6"/>
  <c r="X50" i="6"/>
  <c r="W50" i="6"/>
  <c r="T50" i="6"/>
  <c r="S50" i="6"/>
  <c r="R50" i="6"/>
  <c r="O50" i="6"/>
  <c r="L50" i="6"/>
  <c r="I50" i="6"/>
  <c r="Q50" i="6" s="1"/>
  <c r="H50" i="6"/>
  <c r="G50" i="6"/>
  <c r="P50" i="6" s="1"/>
  <c r="F50" i="6"/>
  <c r="E50" i="6"/>
  <c r="X49" i="6"/>
  <c r="W49" i="6"/>
  <c r="T49" i="6"/>
  <c r="V49" i="6" s="1"/>
  <c r="S49" i="6"/>
  <c r="R49" i="6"/>
  <c r="O49" i="6"/>
  <c r="L49" i="6"/>
  <c r="I49" i="6"/>
  <c r="Q49" i="6" s="1"/>
  <c r="H49" i="6"/>
  <c r="N49" i="6" s="1"/>
  <c r="G49" i="6"/>
  <c r="P49" i="6" s="1"/>
  <c r="F49" i="6"/>
  <c r="E49" i="6"/>
  <c r="X48" i="6"/>
  <c r="W48" i="6"/>
  <c r="U48" i="6"/>
  <c r="T48" i="6"/>
  <c r="S48" i="6"/>
  <c r="V48" i="6" s="1"/>
  <c r="R48" i="6"/>
  <c r="O48" i="6"/>
  <c r="L48" i="6"/>
  <c r="I48" i="6"/>
  <c r="Q48" i="6" s="1"/>
  <c r="H48" i="6"/>
  <c r="G48" i="6"/>
  <c r="P48" i="6" s="1"/>
  <c r="F48" i="6"/>
  <c r="E48" i="6"/>
  <c r="X47" i="6"/>
  <c r="W47" i="6"/>
  <c r="T47" i="6"/>
  <c r="S47" i="6"/>
  <c r="R47" i="6"/>
  <c r="O47" i="6"/>
  <c r="L47" i="6"/>
  <c r="I47" i="6"/>
  <c r="Q47" i="6" s="1"/>
  <c r="H47" i="6"/>
  <c r="G47" i="6"/>
  <c r="P47" i="6" s="1"/>
  <c r="F47" i="6"/>
  <c r="E47" i="6"/>
  <c r="X46" i="6"/>
  <c r="W46" i="6"/>
  <c r="T46" i="6"/>
  <c r="S46" i="6"/>
  <c r="R46" i="6"/>
  <c r="O46" i="6"/>
  <c r="L46" i="6"/>
  <c r="I46" i="6"/>
  <c r="Q46" i="6" s="1"/>
  <c r="H46" i="6"/>
  <c r="G46" i="6"/>
  <c r="P46" i="6" s="1"/>
  <c r="F46" i="6"/>
  <c r="E46" i="6"/>
  <c r="X45" i="6"/>
  <c r="W45" i="6"/>
  <c r="T45" i="6"/>
  <c r="S45" i="6"/>
  <c r="V45" i="6" s="1"/>
  <c r="R45" i="6"/>
  <c r="U45" i="6" s="1"/>
  <c r="O45" i="6"/>
  <c r="L45" i="6"/>
  <c r="I45" i="6"/>
  <c r="Q45" i="6" s="1"/>
  <c r="H45" i="6"/>
  <c r="G45" i="6"/>
  <c r="P45" i="6" s="1"/>
  <c r="F45" i="6"/>
  <c r="E45" i="6"/>
  <c r="X44" i="6"/>
  <c r="W44" i="6"/>
  <c r="T44" i="6"/>
  <c r="S44" i="6"/>
  <c r="V44" i="6" s="1"/>
  <c r="R44" i="6"/>
  <c r="U44" i="6" s="1"/>
  <c r="O44" i="6"/>
  <c r="L44" i="6"/>
  <c r="I44" i="6"/>
  <c r="Q44" i="6" s="1"/>
  <c r="H44" i="6"/>
  <c r="G44" i="6"/>
  <c r="P44" i="6" s="1"/>
  <c r="F44" i="6"/>
  <c r="E44" i="6"/>
  <c r="X43" i="6"/>
  <c r="W43" i="6"/>
  <c r="T43" i="6"/>
  <c r="S43" i="6"/>
  <c r="R43" i="6"/>
  <c r="U43" i="6" s="1"/>
  <c r="O43" i="6"/>
  <c r="L43" i="6"/>
  <c r="I43" i="6"/>
  <c r="Q43" i="6" s="1"/>
  <c r="H43" i="6"/>
  <c r="G43" i="6"/>
  <c r="P43" i="6" s="1"/>
  <c r="F43" i="6"/>
  <c r="E43" i="6"/>
  <c r="X42" i="6"/>
  <c r="W42" i="6"/>
  <c r="T42" i="6"/>
  <c r="S42" i="6"/>
  <c r="V42" i="6" s="1"/>
  <c r="R42" i="6"/>
  <c r="U42" i="6" s="1"/>
  <c r="O42" i="6"/>
  <c r="L42" i="6"/>
  <c r="J42" i="6" s="1"/>
  <c r="I42" i="6"/>
  <c r="Q42" i="6" s="1"/>
  <c r="H42" i="6"/>
  <c r="G42" i="6"/>
  <c r="P42" i="6" s="1"/>
  <c r="F42" i="6"/>
  <c r="E42" i="6"/>
  <c r="X41" i="6"/>
  <c r="W41" i="6"/>
  <c r="T41" i="6"/>
  <c r="S41" i="6"/>
  <c r="V41" i="6" s="1"/>
  <c r="R41" i="6"/>
  <c r="U41" i="6" s="1"/>
  <c r="O41" i="6"/>
  <c r="L41" i="6"/>
  <c r="I41" i="6"/>
  <c r="Q41" i="6" s="1"/>
  <c r="H41" i="6"/>
  <c r="G41" i="6"/>
  <c r="P41" i="6" s="1"/>
  <c r="F41" i="6"/>
  <c r="E41" i="6"/>
  <c r="X40" i="6"/>
  <c r="W40" i="6"/>
  <c r="T40" i="6"/>
  <c r="S40" i="6"/>
  <c r="V40" i="6" s="1"/>
  <c r="R40" i="6"/>
  <c r="U40" i="6" s="1"/>
  <c r="O40" i="6"/>
  <c r="L40" i="6"/>
  <c r="J40" i="6" s="1"/>
  <c r="I40" i="6"/>
  <c r="Q40" i="6" s="1"/>
  <c r="H40" i="6"/>
  <c r="G40" i="6"/>
  <c r="P40" i="6" s="1"/>
  <c r="F40" i="6"/>
  <c r="E40" i="6"/>
  <c r="D40" i="6" s="1"/>
  <c r="X39" i="6"/>
  <c r="W39" i="6"/>
  <c r="T39" i="6"/>
  <c r="S39" i="6"/>
  <c r="V39" i="6" s="1"/>
  <c r="R39" i="6"/>
  <c r="U39" i="6" s="1"/>
  <c r="O39" i="6"/>
  <c r="L39" i="6"/>
  <c r="I39" i="6"/>
  <c r="Q39" i="6" s="1"/>
  <c r="H39" i="6"/>
  <c r="G39" i="6"/>
  <c r="P39" i="6" s="1"/>
  <c r="F39" i="6"/>
  <c r="E39" i="6"/>
  <c r="X38" i="6"/>
  <c r="W38" i="6"/>
  <c r="T38" i="6"/>
  <c r="S38" i="6"/>
  <c r="V38" i="6" s="1"/>
  <c r="R38" i="6"/>
  <c r="U38" i="6" s="1"/>
  <c r="O38" i="6"/>
  <c r="L38" i="6"/>
  <c r="I38" i="6"/>
  <c r="Q38" i="6" s="1"/>
  <c r="H38" i="6"/>
  <c r="G38" i="6"/>
  <c r="P38" i="6" s="1"/>
  <c r="F38" i="6"/>
  <c r="E38" i="6"/>
  <c r="X37" i="6"/>
  <c r="W37" i="6"/>
  <c r="T37" i="6"/>
  <c r="S37" i="6"/>
  <c r="V37" i="6" s="1"/>
  <c r="R37" i="6"/>
  <c r="U37" i="6" s="1"/>
  <c r="O37" i="6"/>
  <c r="L37" i="6"/>
  <c r="I37" i="6"/>
  <c r="Q37" i="6" s="1"/>
  <c r="H37" i="6"/>
  <c r="N37" i="6" s="1"/>
  <c r="G37" i="6"/>
  <c r="P37" i="6" s="1"/>
  <c r="F37" i="6"/>
  <c r="E37" i="6"/>
  <c r="X36" i="6"/>
  <c r="W36" i="6"/>
  <c r="T36" i="6"/>
  <c r="S36" i="6"/>
  <c r="R36" i="6"/>
  <c r="U36" i="6" s="1"/>
  <c r="O36" i="6"/>
  <c r="L36" i="6"/>
  <c r="I36" i="6"/>
  <c r="Q36" i="6" s="1"/>
  <c r="H36" i="6"/>
  <c r="G36" i="6"/>
  <c r="P36" i="6" s="1"/>
  <c r="F36" i="6"/>
  <c r="E36" i="6"/>
  <c r="X35" i="6"/>
  <c r="W35" i="6"/>
  <c r="T35" i="6"/>
  <c r="S35" i="6"/>
  <c r="V35" i="6" s="1"/>
  <c r="R35" i="6"/>
  <c r="U35" i="6" s="1"/>
  <c r="O35" i="6"/>
  <c r="L35" i="6"/>
  <c r="I35" i="6"/>
  <c r="Q35" i="6" s="1"/>
  <c r="H35" i="6"/>
  <c r="G35" i="6"/>
  <c r="P35" i="6" s="1"/>
  <c r="F35" i="6"/>
  <c r="E35" i="6"/>
  <c r="X34" i="6"/>
  <c r="W34" i="6"/>
  <c r="T34" i="6"/>
  <c r="S34" i="6"/>
  <c r="V34" i="6" s="1"/>
  <c r="R34" i="6"/>
  <c r="U34" i="6" s="1"/>
  <c r="O34" i="6"/>
  <c r="L34" i="6"/>
  <c r="I34" i="6"/>
  <c r="Q34" i="6" s="1"/>
  <c r="H34" i="6"/>
  <c r="G34" i="6"/>
  <c r="P34" i="6" s="1"/>
  <c r="F34" i="6"/>
  <c r="E34" i="6"/>
  <c r="X33" i="6"/>
  <c r="W33" i="6"/>
  <c r="T33" i="6"/>
  <c r="S33" i="6"/>
  <c r="V33" i="6" s="1"/>
  <c r="R33" i="6"/>
  <c r="O33" i="6"/>
  <c r="L33" i="6"/>
  <c r="I33" i="6"/>
  <c r="Q33" i="6" s="1"/>
  <c r="H33" i="6"/>
  <c r="G33" i="6"/>
  <c r="P33" i="6" s="1"/>
  <c r="F33" i="6"/>
  <c r="E33" i="6"/>
  <c r="X32" i="6"/>
  <c r="W32" i="6"/>
  <c r="T32" i="6"/>
  <c r="S32" i="6"/>
  <c r="R32" i="6"/>
  <c r="O32" i="6"/>
  <c r="L32" i="6"/>
  <c r="I32" i="6"/>
  <c r="H32" i="6"/>
  <c r="G32" i="6"/>
  <c r="P32" i="6" s="1"/>
  <c r="F32" i="6"/>
  <c r="E32" i="6"/>
  <c r="X30" i="6"/>
  <c r="Y30" i="6" s="1"/>
  <c r="W30" i="6"/>
  <c r="T30" i="6"/>
  <c r="S30" i="6"/>
  <c r="V30" i="6" s="1"/>
  <c r="R30" i="6"/>
  <c r="U30" i="6" s="1"/>
  <c r="O30" i="6"/>
  <c r="L30" i="6"/>
  <c r="I30" i="6"/>
  <c r="Q30" i="6" s="1"/>
  <c r="H30" i="6"/>
  <c r="G30" i="6"/>
  <c r="P30" i="6" s="1"/>
  <c r="F30" i="6"/>
  <c r="E30" i="6"/>
  <c r="X29" i="6"/>
  <c r="W29" i="6"/>
  <c r="T29" i="6"/>
  <c r="S29" i="6"/>
  <c r="V29" i="6" s="1"/>
  <c r="R29" i="6"/>
  <c r="U29" i="6" s="1"/>
  <c r="O29" i="6"/>
  <c r="L29" i="6"/>
  <c r="I29" i="6"/>
  <c r="Q29" i="6" s="1"/>
  <c r="H29" i="6"/>
  <c r="N29" i="6" s="1"/>
  <c r="G29" i="6"/>
  <c r="P29" i="6" s="1"/>
  <c r="F29" i="6"/>
  <c r="E29" i="6"/>
  <c r="X28" i="6"/>
  <c r="W28" i="6"/>
  <c r="Y28" i="6" s="1"/>
  <c r="T28" i="6"/>
  <c r="S28" i="6"/>
  <c r="R28" i="6"/>
  <c r="O28" i="6"/>
  <c r="L28" i="6"/>
  <c r="I28" i="6"/>
  <c r="Q28" i="6" s="1"/>
  <c r="H28" i="6"/>
  <c r="N28" i="6" s="1"/>
  <c r="G28" i="6"/>
  <c r="P28" i="6" s="1"/>
  <c r="F28" i="6"/>
  <c r="E28" i="6"/>
  <c r="X27" i="6"/>
  <c r="W27" i="6"/>
  <c r="Y27" i="6" s="1"/>
  <c r="T27" i="6"/>
  <c r="S27" i="6"/>
  <c r="R27" i="6"/>
  <c r="O27" i="6"/>
  <c r="L27" i="6"/>
  <c r="I27" i="6"/>
  <c r="Q27" i="6" s="1"/>
  <c r="H27" i="6"/>
  <c r="G27" i="6"/>
  <c r="P27" i="6" s="1"/>
  <c r="F27" i="6"/>
  <c r="E27" i="6"/>
  <c r="D27" i="6" s="1"/>
  <c r="X26" i="6"/>
  <c r="W26" i="6"/>
  <c r="T26" i="6"/>
  <c r="S26" i="6"/>
  <c r="R26" i="6"/>
  <c r="O26" i="6"/>
  <c r="L26" i="6"/>
  <c r="I26" i="6"/>
  <c r="Q26" i="6" s="1"/>
  <c r="H26" i="6"/>
  <c r="N26" i="6" s="1"/>
  <c r="G26" i="6"/>
  <c r="P26" i="6" s="1"/>
  <c r="F26" i="6"/>
  <c r="E26" i="6"/>
  <c r="D26" i="6" s="1"/>
  <c r="X25" i="6"/>
  <c r="W25" i="6"/>
  <c r="T25" i="6"/>
  <c r="S25" i="6"/>
  <c r="R25" i="6"/>
  <c r="O25" i="6"/>
  <c r="L25" i="6"/>
  <c r="I25" i="6"/>
  <c r="Q25" i="6" s="1"/>
  <c r="H25" i="6"/>
  <c r="N25" i="6" s="1"/>
  <c r="G25" i="6"/>
  <c r="P25" i="6" s="1"/>
  <c r="F25" i="6"/>
  <c r="E25" i="6"/>
  <c r="D25" i="6" s="1"/>
  <c r="M25" i="6" s="1"/>
  <c r="X24" i="6"/>
  <c r="W24" i="6"/>
  <c r="Y24" i="6" s="1"/>
  <c r="U24" i="6"/>
  <c r="T24" i="6"/>
  <c r="S24" i="6"/>
  <c r="V24" i="6" s="1"/>
  <c r="R24" i="6"/>
  <c r="O24" i="6"/>
  <c r="L24" i="6"/>
  <c r="J24" i="6" s="1"/>
  <c r="I24" i="6"/>
  <c r="Q24" i="6" s="1"/>
  <c r="H24" i="6"/>
  <c r="G24" i="6"/>
  <c r="P24" i="6" s="1"/>
  <c r="F24" i="6"/>
  <c r="E24" i="6"/>
  <c r="X23" i="6"/>
  <c r="W23" i="6"/>
  <c r="T23" i="6"/>
  <c r="S23" i="6"/>
  <c r="R23" i="6"/>
  <c r="O23" i="6"/>
  <c r="L23" i="6"/>
  <c r="I23" i="6"/>
  <c r="Q23" i="6" s="1"/>
  <c r="H23" i="6"/>
  <c r="G23" i="6"/>
  <c r="P23" i="6" s="1"/>
  <c r="F23" i="6"/>
  <c r="E23" i="6"/>
  <c r="D23" i="6" s="1"/>
  <c r="X22" i="6"/>
  <c r="W22" i="6"/>
  <c r="T22" i="6"/>
  <c r="S22" i="6"/>
  <c r="V22" i="6" s="1"/>
  <c r="R22" i="6"/>
  <c r="U22" i="6" s="1"/>
  <c r="Q22" i="6"/>
  <c r="O22" i="6"/>
  <c r="J22" i="6" s="1"/>
  <c r="L22" i="6"/>
  <c r="I22" i="6"/>
  <c r="H22" i="6"/>
  <c r="N22" i="6" s="1"/>
  <c r="G22" i="6"/>
  <c r="P22" i="6" s="1"/>
  <c r="F22" i="6"/>
  <c r="E22" i="6"/>
  <c r="X21" i="6"/>
  <c r="W21" i="6"/>
  <c r="T21" i="6"/>
  <c r="S21" i="6"/>
  <c r="V21" i="6" s="1"/>
  <c r="R21" i="6"/>
  <c r="U21" i="6" s="1"/>
  <c r="O21" i="6"/>
  <c r="L21" i="6"/>
  <c r="I21" i="6"/>
  <c r="Q21" i="6" s="1"/>
  <c r="H21" i="6"/>
  <c r="G21" i="6"/>
  <c r="P21" i="6" s="1"/>
  <c r="F21" i="6"/>
  <c r="E21" i="6"/>
  <c r="X20" i="6"/>
  <c r="W20" i="6"/>
  <c r="T20" i="6"/>
  <c r="S20" i="6"/>
  <c r="R20" i="6"/>
  <c r="U20" i="6" s="1"/>
  <c r="O20" i="6"/>
  <c r="L20" i="6"/>
  <c r="I20" i="6"/>
  <c r="Q20" i="6" s="1"/>
  <c r="H20" i="6"/>
  <c r="G20" i="6"/>
  <c r="P20" i="6" s="1"/>
  <c r="F20" i="6"/>
  <c r="E20" i="6"/>
  <c r="X19" i="6"/>
  <c r="W19" i="6"/>
  <c r="T19" i="6"/>
  <c r="S19" i="6"/>
  <c r="R19" i="6"/>
  <c r="O19" i="6"/>
  <c r="L19" i="6"/>
  <c r="I19" i="6"/>
  <c r="Q19" i="6" s="1"/>
  <c r="H19" i="6"/>
  <c r="G19" i="6"/>
  <c r="P19" i="6" s="1"/>
  <c r="F19" i="6"/>
  <c r="E19" i="6"/>
  <c r="X18" i="6"/>
  <c r="W18" i="6"/>
  <c r="Y18" i="6" s="1"/>
  <c r="T18" i="6"/>
  <c r="S18" i="6"/>
  <c r="R18" i="6"/>
  <c r="O18" i="6"/>
  <c r="L18" i="6"/>
  <c r="I18" i="6"/>
  <c r="Q18" i="6" s="1"/>
  <c r="H18" i="6"/>
  <c r="G18" i="6"/>
  <c r="P18" i="6" s="1"/>
  <c r="F18" i="6"/>
  <c r="D18" i="6" s="1"/>
  <c r="E18" i="6"/>
  <c r="X17" i="6"/>
  <c r="W17" i="6"/>
  <c r="Y17" i="6" s="1"/>
  <c r="T17" i="6"/>
  <c r="S17" i="6"/>
  <c r="V17" i="6" s="1"/>
  <c r="R17" i="6"/>
  <c r="U17" i="6" s="1"/>
  <c r="O17" i="6"/>
  <c r="L17" i="6"/>
  <c r="I17" i="6"/>
  <c r="Q17" i="6" s="1"/>
  <c r="H17" i="6"/>
  <c r="G17" i="6"/>
  <c r="P17" i="6" s="1"/>
  <c r="F17" i="6"/>
  <c r="E17" i="6"/>
  <c r="X16" i="6"/>
  <c r="W16" i="6"/>
  <c r="T16" i="6"/>
  <c r="S16" i="6"/>
  <c r="V16" i="6" s="1"/>
  <c r="R16" i="6"/>
  <c r="O16" i="6"/>
  <c r="L16" i="6"/>
  <c r="J16" i="6" s="1"/>
  <c r="I16" i="6"/>
  <c r="Q16" i="6" s="1"/>
  <c r="H16" i="6"/>
  <c r="G16" i="6"/>
  <c r="P16" i="6" s="1"/>
  <c r="F16" i="6"/>
  <c r="E16" i="6"/>
  <c r="X15" i="6"/>
  <c r="W15" i="6"/>
  <c r="T15" i="6"/>
  <c r="S15" i="6"/>
  <c r="V15" i="6" s="1"/>
  <c r="R15" i="6"/>
  <c r="O15" i="6"/>
  <c r="L15" i="6"/>
  <c r="I15" i="6"/>
  <c r="Q15" i="6" s="1"/>
  <c r="H15" i="6"/>
  <c r="G15" i="6"/>
  <c r="P15" i="6" s="1"/>
  <c r="F15" i="6"/>
  <c r="E15" i="6"/>
  <c r="X14" i="6"/>
  <c r="W14" i="6"/>
  <c r="T14" i="6"/>
  <c r="S14" i="6"/>
  <c r="V14" i="6" s="1"/>
  <c r="R14" i="6"/>
  <c r="U14" i="6" s="1"/>
  <c r="O14" i="6"/>
  <c r="L14" i="6"/>
  <c r="I14" i="6"/>
  <c r="H14" i="6"/>
  <c r="G14" i="6"/>
  <c r="P14" i="6" s="1"/>
  <c r="F14" i="6"/>
  <c r="E14" i="6"/>
  <c r="AA9" i="6"/>
  <c r="AB9" i="6" s="1"/>
  <c r="Y9" i="6"/>
  <c r="S9" i="6"/>
  <c r="AA8" i="6"/>
  <c r="Z8" i="6"/>
  <c r="Z7" i="6" s="1"/>
  <c r="V108" i="5"/>
  <c r="U108" i="5"/>
  <c r="O108" i="5"/>
  <c r="L108" i="5"/>
  <c r="I108" i="5"/>
  <c r="Q108" i="5" s="1"/>
  <c r="H108" i="5"/>
  <c r="N108" i="5" s="1"/>
  <c r="G108" i="5"/>
  <c r="P108" i="5" s="1"/>
  <c r="F108" i="5"/>
  <c r="E108" i="5"/>
  <c r="V107" i="5"/>
  <c r="U107" i="5"/>
  <c r="O107" i="5"/>
  <c r="L107" i="5"/>
  <c r="I107" i="5"/>
  <c r="Q107" i="5" s="1"/>
  <c r="H107" i="5"/>
  <c r="N107" i="5" s="1"/>
  <c r="G107" i="5"/>
  <c r="P107" i="5" s="1"/>
  <c r="F107" i="5"/>
  <c r="E107" i="5"/>
  <c r="V106" i="5"/>
  <c r="U106" i="5"/>
  <c r="O106" i="5"/>
  <c r="J106" i="5" s="1"/>
  <c r="L106" i="5"/>
  <c r="I106" i="5"/>
  <c r="Q106" i="5" s="1"/>
  <c r="H106" i="5"/>
  <c r="N106" i="5" s="1"/>
  <c r="G106" i="5"/>
  <c r="P106" i="5" s="1"/>
  <c r="F106" i="5"/>
  <c r="E106" i="5"/>
  <c r="V105" i="5"/>
  <c r="U105" i="5"/>
  <c r="O105" i="5"/>
  <c r="L105" i="5"/>
  <c r="I105" i="5"/>
  <c r="Q105" i="5" s="1"/>
  <c r="H105" i="5"/>
  <c r="N105" i="5" s="1"/>
  <c r="G105" i="5"/>
  <c r="P105" i="5" s="1"/>
  <c r="F105" i="5"/>
  <c r="E105" i="5"/>
  <c r="V104" i="5"/>
  <c r="U104" i="5"/>
  <c r="O104" i="5"/>
  <c r="L104" i="5"/>
  <c r="I104" i="5"/>
  <c r="Q104" i="5" s="1"/>
  <c r="H104" i="5"/>
  <c r="G104" i="5"/>
  <c r="P104" i="5" s="1"/>
  <c r="F104" i="5"/>
  <c r="E104" i="5"/>
  <c r="V103" i="5"/>
  <c r="U103" i="5"/>
  <c r="O103" i="5"/>
  <c r="J103" i="5" s="1"/>
  <c r="L103" i="5"/>
  <c r="I103" i="5"/>
  <c r="Q103" i="5" s="1"/>
  <c r="H103" i="5"/>
  <c r="N103" i="5" s="1"/>
  <c r="G103" i="5"/>
  <c r="P103" i="5" s="1"/>
  <c r="F103" i="5"/>
  <c r="E103" i="5"/>
  <c r="V102" i="5"/>
  <c r="U102" i="5"/>
  <c r="O102" i="5"/>
  <c r="L102" i="5"/>
  <c r="I102" i="5"/>
  <c r="Q102" i="5" s="1"/>
  <c r="H102" i="5"/>
  <c r="N102" i="5" s="1"/>
  <c r="G102" i="5"/>
  <c r="P102" i="5" s="1"/>
  <c r="F102" i="5"/>
  <c r="E102" i="5"/>
  <c r="D102" i="5" s="1"/>
  <c r="T101" i="5"/>
  <c r="T89" i="5" s="1"/>
  <c r="T9" i="5" s="1"/>
  <c r="S101" i="5"/>
  <c r="S89" i="5" s="1"/>
  <c r="R101" i="5"/>
  <c r="O101" i="5"/>
  <c r="L101" i="5"/>
  <c r="I101" i="5"/>
  <c r="Q101" i="5" s="1"/>
  <c r="H101" i="5"/>
  <c r="G101" i="5"/>
  <c r="P101" i="5" s="1"/>
  <c r="F101" i="5"/>
  <c r="E101" i="5"/>
  <c r="V100" i="5"/>
  <c r="U100" i="5"/>
  <c r="O100" i="5"/>
  <c r="L100" i="5"/>
  <c r="I100" i="5"/>
  <c r="Q100" i="5" s="1"/>
  <c r="H100" i="5"/>
  <c r="N100" i="5" s="1"/>
  <c r="G100" i="5"/>
  <c r="P100" i="5" s="1"/>
  <c r="F100" i="5"/>
  <c r="E100" i="5"/>
  <c r="V99" i="5"/>
  <c r="U99" i="5"/>
  <c r="O99" i="5"/>
  <c r="L99" i="5"/>
  <c r="I99" i="5"/>
  <c r="Q99" i="5" s="1"/>
  <c r="H99" i="5"/>
  <c r="N99" i="5" s="1"/>
  <c r="G99" i="5"/>
  <c r="P99" i="5" s="1"/>
  <c r="F99" i="5"/>
  <c r="E99" i="5"/>
  <c r="V98" i="5"/>
  <c r="U98" i="5"/>
  <c r="O98" i="5"/>
  <c r="L98" i="5"/>
  <c r="I98" i="5"/>
  <c r="Q98" i="5" s="1"/>
  <c r="H98" i="5"/>
  <c r="N98" i="5" s="1"/>
  <c r="G98" i="5"/>
  <c r="P98" i="5" s="1"/>
  <c r="F98" i="5"/>
  <c r="E98" i="5"/>
  <c r="V97" i="5"/>
  <c r="U97" i="5"/>
  <c r="O97" i="5"/>
  <c r="L97" i="5"/>
  <c r="I97" i="5"/>
  <c r="Q97" i="5" s="1"/>
  <c r="H97" i="5"/>
  <c r="N97" i="5" s="1"/>
  <c r="G97" i="5"/>
  <c r="P97" i="5" s="1"/>
  <c r="F97" i="5"/>
  <c r="E97" i="5"/>
  <c r="V96" i="5"/>
  <c r="U96" i="5"/>
  <c r="O96" i="5"/>
  <c r="L96" i="5"/>
  <c r="I96" i="5"/>
  <c r="Q96" i="5" s="1"/>
  <c r="H96" i="5"/>
  <c r="N96" i="5" s="1"/>
  <c r="G96" i="5"/>
  <c r="P96" i="5" s="1"/>
  <c r="F96" i="5"/>
  <c r="E96" i="5"/>
  <c r="V95" i="5"/>
  <c r="U95" i="5"/>
  <c r="O95" i="5"/>
  <c r="L95" i="5"/>
  <c r="I95" i="5"/>
  <c r="Q95" i="5" s="1"/>
  <c r="H95" i="5"/>
  <c r="G95" i="5"/>
  <c r="P95" i="5" s="1"/>
  <c r="F95" i="5"/>
  <c r="E95" i="5"/>
  <c r="V94" i="5"/>
  <c r="U94" i="5"/>
  <c r="O94" i="5"/>
  <c r="L94" i="5"/>
  <c r="I94" i="5"/>
  <c r="Q94" i="5" s="1"/>
  <c r="H94" i="5"/>
  <c r="N94" i="5" s="1"/>
  <c r="G94" i="5"/>
  <c r="P94" i="5" s="1"/>
  <c r="F94" i="5"/>
  <c r="E94" i="5"/>
  <c r="V93" i="5"/>
  <c r="U93" i="5"/>
  <c r="O93" i="5"/>
  <c r="J93" i="5" s="1"/>
  <c r="L93" i="5"/>
  <c r="I93" i="5"/>
  <c r="Q93" i="5" s="1"/>
  <c r="H93" i="5"/>
  <c r="N93" i="5" s="1"/>
  <c r="G93" i="5"/>
  <c r="P93" i="5" s="1"/>
  <c r="F93" i="5"/>
  <c r="E93" i="5"/>
  <c r="V92" i="5"/>
  <c r="U92" i="5"/>
  <c r="O92" i="5"/>
  <c r="L92" i="5"/>
  <c r="I92" i="5"/>
  <c r="Q92" i="5" s="1"/>
  <c r="H92" i="5"/>
  <c r="N92" i="5" s="1"/>
  <c r="G92" i="5"/>
  <c r="P92" i="5" s="1"/>
  <c r="F92" i="5"/>
  <c r="E92" i="5"/>
  <c r="V91" i="5"/>
  <c r="U91" i="5"/>
  <c r="O91" i="5"/>
  <c r="L91" i="5"/>
  <c r="I91" i="5"/>
  <c r="Q91" i="5" s="1"/>
  <c r="H91" i="5"/>
  <c r="G91" i="5"/>
  <c r="P91" i="5" s="1"/>
  <c r="F91" i="5"/>
  <c r="E91" i="5"/>
  <c r="V90" i="5"/>
  <c r="U90" i="5"/>
  <c r="O90" i="5"/>
  <c r="L90" i="5"/>
  <c r="I90" i="5"/>
  <c r="H90" i="5"/>
  <c r="N90" i="5" s="1"/>
  <c r="G90" i="5"/>
  <c r="F90" i="5"/>
  <c r="E90" i="5"/>
  <c r="X88" i="5"/>
  <c r="W88" i="5"/>
  <c r="T88" i="5"/>
  <c r="S88" i="5"/>
  <c r="V88" i="5" s="1"/>
  <c r="R88" i="5"/>
  <c r="U88" i="5" s="1"/>
  <c r="O88" i="5"/>
  <c r="L88" i="5"/>
  <c r="I88" i="5"/>
  <c r="Q88" i="5" s="1"/>
  <c r="H88" i="5"/>
  <c r="G88" i="5"/>
  <c r="P88" i="5" s="1"/>
  <c r="F88" i="5"/>
  <c r="E88" i="5"/>
  <c r="X87" i="5"/>
  <c r="W87" i="5"/>
  <c r="Y87" i="5" s="1"/>
  <c r="U87" i="5"/>
  <c r="T87" i="5"/>
  <c r="S87" i="5"/>
  <c r="V87" i="5" s="1"/>
  <c r="R87" i="5"/>
  <c r="O87" i="5"/>
  <c r="L87" i="5"/>
  <c r="I87" i="5"/>
  <c r="Q87" i="5" s="1"/>
  <c r="H87" i="5"/>
  <c r="N87" i="5" s="1"/>
  <c r="G87" i="5"/>
  <c r="P87" i="5" s="1"/>
  <c r="F87" i="5"/>
  <c r="E87" i="5"/>
  <c r="D87" i="5" s="1"/>
  <c r="X86" i="5"/>
  <c r="W86" i="5"/>
  <c r="Y86" i="5" s="1"/>
  <c r="T86" i="5"/>
  <c r="S86" i="5"/>
  <c r="V86" i="5" s="1"/>
  <c r="R86" i="5"/>
  <c r="U86" i="5" s="1"/>
  <c r="Q86" i="5"/>
  <c r="O86" i="5"/>
  <c r="L86" i="5"/>
  <c r="I86" i="5"/>
  <c r="H86" i="5"/>
  <c r="N86" i="5" s="1"/>
  <c r="G86" i="5"/>
  <c r="P86" i="5" s="1"/>
  <c r="F86" i="5"/>
  <c r="E86" i="5"/>
  <c r="X85" i="5"/>
  <c r="W85" i="5"/>
  <c r="Y85" i="5" s="1"/>
  <c r="T85" i="5"/>
  <c r="S85" i="5"/>
  <c r="V85" i="5" s="1"/>
  <c r="R85" i="5"/>
  <c r="U85" i="5" s="1"/>
  <c r="Q85" i="5"/>
  <c r="O85" i="5"/>
  <c r="L85" i="5"/>
  <c r="I85" i="5"/>
  <c r="H85" i="5"/>
  <c r="N85" i="5" s="1"/>
  <c r="G85" i="5"/>
  <c r="P85" i="5" s="1"/>
  <c r="F85" i="5"/>
  <c r="E85" i="5"/>
  <c r="X84" i="5"/>
  <c r="W84" i="5"/>
  <c r="Y84" i="5" s="1"/>
  <c r="T84" i="5"/>
  <c r="S84" i="5"/>
  <c r="V84" i="5" s="1"/>
  <c r="R84" i="5"/>
  <c r="U84" i="5" s="1"/>
  <c r="O84" i="5"/>
  <c r="L84" i="5"/>
  <c r="J84" i="5" s="1"/>
  <c r="I84" i="5"/>
  <c r="Q84" i="5" s="1"/>
  <c r="H84" i="5"/>
  <c r="N84" i="5" s="1"/>
  <c r="G84" i="5"/>
  <c r="P84" i="5" s="1"/>
  <c r="F84" i="5"/>
  <c r="E84" i="5"/>
  <c r="D84" i="5" s="1"/>
  <c r="X83" i="5"/>
  <c r="W83" i="5"/>
  <c r="Y83" i="5" s="1"/>
  <c r="T83" i="5"/>
  <c r="S83" i="5"/>
  <c r="V83" i="5" s="1"/>
  <c r="R83" i="5"/>
  <c r="U83" i="5" s="1"/>
  <c r="O83" i="5"/>
  <c r="L83" i="5"/>
  <c r="I83" i="5"/>
  <c r="Q83" i="5" s="1"/>
  <c r="H83" i="5"/>
  <c r="N83" i="5" s="1"/>
  <c r="G83" i="5"/>
  <c r="P83" i="5" s="1"/>
  <c r="F83" i="5"/>
  <c r="E83" i="5"/>
  <c r="X82" i="5"/>
  <c r="W82" i="5"/>
  <c r="Y82" i="5" s="1"/>
  <c r="T82" i="5"/>
  <c r="S82" i="5"/>
  <c r="V82" i="5" s="1"/>
  <c r="R82" i="5"/>
  <c r="U82" i="5" s="1"/>
  <c r="O82" i="5"/>
  <c r="L82" i="5"/>
  <c r="I82" i="5"/>
  <c r="Q82" i="5" s="1"/>
  <c r="H82" i="5"/>
  <c r="N82" i="5" s="1"/>
  <c r="G82" i="5"/>
  <c r="P82" i="5" s="1"/>
  <c r="F82" i="5"/>
  <c r="E82" i="5"/>
  <c r="X81" i="5"/>
  <c r="W81" i="5"/>
  <c r="Y81" i="5" s="1"/>
  <c r="T81" i="5"/>
  <c r="S81" i="5"/>
  <c r="V81" i="5" s="1"/>
  <c r="R81" i="5"/>
  <c r="U81" i="5" s="1"/>
  <c r="O81" i="5"/>
  <c r="L81" i="5"/>
  <c r="I81" i="5"/>
  <c r="Q81" i="5" s="1"/>
  <c r="H81" i="5"/>
  <c r="N81" i="5" s="1"/>
  <c r="G81" i="5"/>
  <c r="P81" i="5" s="1"/>
  <c r="F81" i="5"/>
  <c r="E81" i="5"/>
  <c r="D81" i="5" s="1"/>
  <c r="X80" i="5"/>
  <c r="W80" i="5"/>
  <c r="Y80" i="5" s="1"/>
  <c r="T80" i="5"/>
  <c r="S80" i="5"/>
  <c r="V80" i="5" s="1"/>
  <c r="R80" i="5"/>
  <c r="U80" i="5" s="1"/>
  <c r="Q80" i="5"/>
  <c r="O80" i="5"/>
  <c r="L80" i="5"/>
  <c r="I80" i="5"/>
  <c r="H80" i="5"/>
  <c r="N80" i="5" s="1"/>
  <c r="G80" i="5"/>
  <c r="P80" i="5" s="1"/>
  <c r="F80" i="5"/>
  <c r="D80" i="5" s="1"/>
  <c r="E80" i="5"/>
  <c r="X79" i="5"/>
  <c r="W79" i="5"/>
  <c r="Y79" i="5" s="1"/>
  <c r="T79" i="5"/>
  <c r="S79" i="5"/>
  <c r="V79" i="5" s="1"/>
  <c r="R79" i="5"/>
  <c r="U79" i="5" s="1"/>
  <c r="O79" i="5"/>
  <c r="L79" i="5"/>
  <c r="I79" i="5"/>
  <c r="Q79" i="5" s="1"/>
  <c r="H79" i="5"/>
  <c r="N79" i="5" s="1"/>
  <c r="G79" i="5"/>
  <c r="P79" i="5" s="1"/>
  <c r="F79" i="5"/>
  <c r="E79" i="5"/>
  <c r="X78" i="5"/>
  <c r="W78" i="5"/>
  <c r="Y78" i="5" s="1"/>
  <c r="T78" i="5"/>
  <c r="S78" i="5"/>
  <c r="V78" i="5" s="1"/>
  <c r="R78" i="5"/>
  <c r="U78" i="5" s="1"/>
  <c r="O78" i="5"/>
  <c r="L78" i="5"/>
  <c r="I78" i="5"/>
  <c r="Q78" i="5" s="1"/>
  <c r="H78" i="5"/>
  <c r="N78" i="5" s="1"/>
  <c r="G78" i="5"/>
  <c r="P78" i="5" s="1"/>
  <c r="F78" i="5"/>
  <c r="E78" i="5"/>
  <c r="X77" i="5"/>
  <c r="W77" i="5"/>
  <c r="T77" i="5"/>
  <c r="S77" i="5"/>
  <c r="V77" i="5" s="1"/>
  <c r="R77" i="5"/>
  <c r="U77" i="5" s="1"/>
  <c r="O77" i="5"/>
  <c r="L77" i="5"/>
  <c r="I77" i="5"/>
  <c r="Q77" i="5" s="1"/>
  <c r="H77" i="5"/>
  <c r="N77" i="5" s="1"/>
  <c r="G77" i="5"/>
  <c r="P77" i="5" s="1"/>
  <c r="F77" i="5"/>
  <c r="E77" i="5"/>
  <c r="X76" i="5"/>
  <c r="W76" i="5"/>
  <c r="T76" i="5"/>
  <c r="S76" i="5"/>
  <c r="V76" i="5" s="1"/>
  <c r="R76" i="5"/>
  <c r="U76" i="5" s="1"/>
  <c r="O76" i="5"/>
  <c r="L76" i="5"/>
  <c r="I76" i="5"/>
  <c r="Q76" i="5" s="1"/>
  <c r="H76" i="5"/>
  <c r="G76" i="5"/>
  <c r="P76" i="5" s="1"/>
  <c r="F76" i="5"/>
  <c r="E76" i="5"/>
  <c r="X75" i="5"/>
  <c r="W75" i="5"/>
  <c r="Y75" i="5" s="1"/>
  <c r="T75" i="5"/>
  <c r="S75" i="5"/>
  <c r="R75" i="5"/>
  <c r="U75" i="5" s="1"/>
  <c r="O75" i="5"/>
  <c r="L75" i="5"/>
  <c r="J75" i="5" s="1"/>
  <c r="I75" i="5"/>
  <c r="Q75" i="5" s="1"/>
  <c r="H75" i="5"/>
  <c r="N75" i="5" s="1"/>
  <c r="G75" i="5"/>
  <c r="F75" i="5"/>
  <c r="E75" i="5"/>
  <c r="X73" i="5"/>
  <c r="W73" i="5"/>
  <c r="Y73" i="5" s="1"/>
  <c r="T73" i="5"/>
  <c r="S73" i="5"/>
  <c r="V73" i="5" s="1"/>
  <c r="R73" i="5"/>
  <c r="U73" i="5" s="1"/>
  <c r="O73" i="5"/>
  <c r="L73" i="5"/>
  <c r="I73" i="5"/>
  <c r="Q73" i="5" s="1"/>
  <c r="H73" i="5"/>
  <c r="N73" i="5" s="1"/>
  <c r="G73" i="5"/>
  <c r="P73" i="5" s="1"/>
  <c r="F73" i="5"/>
  <c r="E73" i="5"/>
  <c r="X72" i="5"/>
  <c r="Y72" i="5" s="1"/>
  <c r="W72" i="5"/>
  <c r="T72" i="5"/>
  <c r="S72" i="5"/>
  <c r="V72" i="5" s="1"/>
  <c r="R72" i="5"/>
  <c r="U72" i="5" s="1"/>
  <c r="O72" i="5"/>
  <c r="L72" i="5"/>
  <c r="I72" i="5"/>
  <c r="Q72" i="5" s="1"/>
  <c r="H72" i="5"/>
  <c r="G72" i="5"/>
  <c r="P72" i="5" s="1"/>
  <c r="F72" i="5"/>
  <c r="E72" i="5"/>
  <c r="X71" i="5"/>
  <c r="W71" i="5"/>
  <c r="Y71" i="5" s="1"/>
  <c r="T71" i="5"/>
  <c r="S71" i="5"/>
  <c r="V71" i="5" s="1"/>
  <c r="R71" i="5"/>
  <c r="U71" i="5" s="1"/>
  <c r="O71" i="5"/>
  <c r="L71" i="5"/>
  <c r="I71" i="5"/>
  <c r="Q71" i="5" s="1"/>
  <c r="H71" i="5"/>
  <c r="N71" i="5" s="1"/>
  <c r="G71" i="5"/>
  <c r="P71" i="5" s="1"/>
  <c r="F71" i="5"/>
  <c r="E71" i="5"/>
  <c r="X70" i="5"/>
  <c r="W70" i="5"/>
  <c r="T70" i="5"/>
  <c r="S70" i="5"/>
  <c r="V70" i="5" s="1"/>
  <c r="R70" i="5"/>
  <c r="U70" i="5" s="1"/>
  <c r="O70" i="5"/>
  <c r="L70" i="5"/>
  <c r="J70" i="5" s="1"/>
  <c r="I70" i="5"/>
  <c r="Q70" i="5" s="1"/>
  <c r="H70" i="5"/>
  <c r="N70" i="5" s="1"/>
  <c r="G70" i="5"/>
  <c r="P70" i="5" s="1"/>
  <c r="F70" i="5"/>
  <c r="E70" i="5"/>
  <c r="X69" i="5"/>
  <c r="W69" i="5"/>
  <c r="Y69" i="5" s="1"/>
  <c r="T69" i="5"/>
  <c r="S69" i="5"/>
  <c r="V69" i="5" s="1"/>
  <c r="R69" i="5"/>
  <c r="U69" i="5" s="1"/>
  <c r="O69" i="5"/>
  <c r="L69" i="5"/>
  <c r="J69" i="5" s="1"/>
  <c r="I69" i="5"/>
  <c r="Q69" i="5" s="1"/>
  <c r="H69" i="5"/>
  <c r="N69" i="5" s="1"/>
  <c r="G69" i="5"/>
  <c r="P69" i="5" s="1"/>
  <c r="F69" i="5"/>
  <c r="E69" i="5"/>
  <c r="X68" i="5"/>
  <c r="W68" i="5"/>
  <c r="T68" i="5"/>
  <c r="S68" i="5"/>
  <c r="V68" i="5" s="1"/>
  <c r="R68" i="5"/>
  <c r="U68" i="5" s="1"/>
  <c r="O68" i="5"/>
  <c r="L68" i="5"/>
  <c r="I68" i="5"/>
  <c r="Q68" i="5" s="1"/>
  <c r="H68" i="5"/>
  <c r="G68" i="5"/>
  <c r="P68" i="5" s="1"/>
  <c r="F68" i="5"/>
  <c r="E68" i="5"/>
  <c r="X67" i="5"/>
  <c r="W67" i="5"/>
  <c r="V67" i="5"/>
  <c r="T67" i="5"/>
  <c r="S67" i="5"/>
  <c r="R67" i="5"/>
  <c r="U67" i="5" s="1"/>
  <c r="O67" i="5"/>
  <c r="L67" i="5"/>
  <c r="I67" i="5"/>
  <c r="Q67" i="5" s="1"/>
  <c r="H67" i="5"/>
  <c r="G67" i="5"/>
  <c r="P67" i="5" s="1"/>
  <c r="F67" i="5"/>
  <c r="E67" i="5"/>
  <c r="X66" i="5"/>
  <c r="W66" i="5"/>
  <c r="Y66" i="5" s="1"/>
  <c r="U66" i="5"/>
  <c r="T66" i="5"/>
  <c r="S66" i="5"/>
  <c r="V66" i="5" s="1"/>
  <c r="R66" i="5"/>
  <c r="O66" i="5"/>
  <c r="L66" i="5"/>
  <c r="I66" i="5"/>
  <c r="Q66" i="5" s="1"/>
  <c r="H66" i="5"/>
  <c r="N66" i="5" s="1"/>
  <c r="G66" i="5"/>
  <c r="P66" i="5" s="1"/>
  <c r="F66" i="5"/>
  <c r="E66" i="5"/>
  <c r="D66" i="5" s="1"/>
  <c r="X65" i="5"/>
  <c r="W65" i="5"/>
  <c r="T65" i="5"/>
  <c r="S65" i="5"/>
  <c r="V65" i="5" s="1"/>
  <c r="R65" i="5"/>
  <c r="U65" i="5" s="1"/>
  <c r="O65" i="5"/>
  <c r="L65" i="5"/>
  <c r="I65" i="5"/>
  <c r="Q65" i="5" s="1"/>
  <c r="H65" i="5"/>
  <c r="G65" i="5"/>
  <c r="P65" i="5" s="1"/>
  <c r="F65" i="5"/>
  <c r="E65" i="5"/>
  <c r="X64" i="5"/>
  <c r="Y64" i="5" s="1"/>
  <c r="W64" i="5"/>
  <c r="T64" i="5"/>
  <c r="S64" i="5"/>
  <c r="V64" i="5" s="1"/>
  <c r="R64" i="5"/>
  <c r="U64" i="5" s="1"/>
  <c r="O64" i="5"/>
  <c r="L64" i="5"/>
  <c r="I64" i="5"/>
  <c r="Q64" i="5" s="1"/>
  <c r="H64" i="5"/>
  <c r="G64" i="5"/>
  <c r="P64" i="5" s="1"/>
  <c r="F64" i="5"/>
  <c r="E64" i="5"/>
  <c r="X63" i="5"/>
  <c r="W63" i="5"/>
  <c r="Y63" i="5" s="1"/>
  <c r="T63" i="5"/>
  <c r="S63" i="5"/>
  <c r="V63" i="5" s="1"/>
  <c r="R63" i="5"/>
  <c r="U63" i="5" s="1"/>
  <c r="O63" i="5"/>
  <c r="L63" i="5"/>
  <c r="I63" i="5"/>
  <c r="Q63" i="5" s="1"/>
  <c r="H63" i="5"/>
  <c r="G63" i="5"/>
  <c r="P63" i="5" s="1"/>
  <c r="F63" i="5"/>
  <c r="E63" i="5"/>
  <c r="X62" i="5"/>
  <c r="W62" i="5"/>
  <c r="T62" i="5"/>
  <c r="S62" i="5"/>
  <c r="V62" i="5" s="1"/>
  <c r="R62" i="5"/>
  <c r="U62" i="5" s="1"/>
  <c r="O62" i="5"/>
  <c r="L62" i="5"/>
  <c r="I62" i="5"/>
  <c r="Q62" i="5" s="1"/>
  <c r="H62" i="5"/>
  <c r="G62" i="5"/>
  <c r="P62" i="5" s="1"/>
  <c r="F62" i="5"/>
  <c r="E62" i="5"/>
  <c r="X61" i="5"/>
  <c r="W61" i="5"/>
  <c r="Y61" i="5" s="1"/>
  <c r="T61" i="5"/>
  <c r="S61" i="5"/>
  <c r="V61" i="5" s="1"/>
  <c r="R61" i="5"/>
  <c r="U61" i="5" s="1"/>
  <c r="O61" i="5"/>
  <c r="L61" i="5"/>
  <c r="I61" i="5"/>
  <c r="Q61" i="5" s="1"/>
  <c r="H61" i="5"/>
  <c r="N61" i="5" s="1"/>
  <c r="G61" i="5"/>
  <c r="P61" i="5" s="1"/>
  <c r="F61" i="5"/>
  <c r="E61" i="5"/>
  <c r="D61" i="5" s="1"/>
  <c r="X60" i="5"/>
  <c r="W60" i="5"/>
  <c r="Y60" i="5" s="1"/>
  <c r="V60" i="5"/>
  <c r="T60" i="5"/>
  <c r="S60" i="5"/>
  <c r="R60" i="5"/>
  <c r="U60" i="5" s="1"/>
  <c r="O60" i="5"/>
  <c r="L60" i="5"/>
  <c r="J60" i="5" s="1"/>
  <c r="I60" i="5"/>
  <c r="Q60" i="5" s="1"/>
  <c r="H60" i="5"/>
  <c r="N60" i="5" s="1"/>
  <c r="G60" i="5"/>
  <c r="P60" i="5" s="1"/>
  <c r="F60" i="5"/>
  <c r="E60" i="5"/>
  <c r="X59" i="5"/>
  <c r="W59" i="5"/>
  <c r="Y59" i="5" s="1"/>
  <c r="T59" i="5"/>
  <c r="S59" i="5"/>
  <c r="V59" i="5" s="1"/>
  <c r="R59" i="5"/>
  <c r="U59" i="5" s="1"/>
  <c r="P59" i="5"/>
  <c r="O59" i="5"/>
  <c r="L59" i="5"/>
  <c r="I59" i="5"/>
  <c r="Q59" i="5" s="1"/>
  <c r="H59" i="5"/>
  <c r="G59" i="5"/>
  <c r="F59" i="5"/>
  <c r="E59" i="5"/>
  <c r="X58" i="5"/>
  <c r="W58" i="5"/>
  <c r="Y58" i="5" s="1"/>
  <c r="T58" i="5"/>
  <c r="S58" i="5"/>
  <c r="V58" i="5" s="1"/>
  <c r="R58" i="5"/>
  <c r="U58" i="5" s="1"/>
  <c r="O58" i="5"/>
  <c r="L58" i="5"/>
  <c r="I58" i="5"/>
  <c r="Q58" i="5" s="1"/>
  <c r="H58" i="5"/>
  <c r="N58" i="5" s="1"/>
  <c r="G58" i="5"/>
  <c r="P58" i="5" s="1"/>
  <c r="F58" i="5"/>
  <c r="E58" i="5"/>
  <c r="X57" i="5"/>
  <c r="W57" i="5"/>
  <c r="T57" i="5"/>
  <c r="S57" i="5"/>
  <c r="R57" i="5"/>
  <c r="U57" i="5" s="1"/>
  <c r="O57" i="5"/>
  <c r="L57" i="5"/>
  <c r="I57" i="5"/>
  <c r="Q57" i="5" s="1"/>
  <c r="H57" i="5"/>
  <c r="G57" i="5"/>
  <c r="F57" i="5"/>
  <c r="E57" i="5"/>
  <c r="X56" i="5"/>
  <c r="W56" i="5"/>
  <c r="Y56" i="5" s="1"/>
  <c r="T56" i="5"/>
  <c r="S56" i="5"/>
  <c r="V56" i="5" s="1"/>
  <c r="R56" i="5"/>
  <c r="U56" i="5" s="1"/>
  <c r="O56" i="5"/>
  <c r="L56" i="5"/>
  <c r="I56" i="5"/>
  <c r="Q56" i="5" s="1"/>
  <c r="H56" i="5"/>
  <c r="G56" i="5"/>
  <c r="P56" i="5" s="1"/>
  <c r="F56" i="5"/>
  <c r="E56" i="5"/>
  <c r="X55" i="5"/>
  <c r="W55" i="5"/>
  <c r="T55" i="5"/>
  <c r="S55" i="5"/>
  <c r="V55" i="5" s="1"/>
  <c r="R55" i="5"/>
  <c r="U55" i="5" s="1"/>
  <c r="O55" i="5"/>
  <c r="L55" i="5"/>
  <c r="J55" i="5" s="1"/>
  <c r="I55" i="5"/>
  <c r="Q55" i="5" s="1"/>
  <c r="H55" i="5"/>
  <c r="G55" i="5"/>
  <c r="P55" i="5" s="1"/>
  <c r="F55" i="5"/>
  <c r="E55" i="5"/>
  <c r="X54" i="5"/>
  <c r="W54" i="5"/>
  <c r="Y54" i="5" s="1"/>
  <c r="T54" i="5"/>
  <c r="S54" i="5"/>
  <c r="V54" i="5" s="1"/>
  <c r="R54" i="5"/>
  <c r="O54" i="5"/>
  <c r="L54" i="5"/>
  <c r="J54" i="5" s="1"/>
  <c r="I54" i="5"/>
  <c r="Q54" i="5" s="1"/>
  <c r="H54" i="5"/>
  <c r="N54" i="5" s="1"/>
  <c r="G54" i="5"/>
  <c r="P54" i="5" s="1"/>
  <c r="F54" i="5"/>
  <c r="E54" i="5"/>
  <c r="X53" i="5"/>
  <c r="W53" i="5"/>
  <c r="T53" i="5"/>
  <c r="S53" i="5"/>
  <c r="V53" i="5" s="1"/>
  <c r="R53" i="5"/>
  <c r="U53" i="5" s="1"/>
  <c r="O53" i="5"/>
  <c r="L53" i="5"/>
  <c r="I53" i="5"/>
  <c r="H53" i="5"/>
  <c r="G53" i="5"/>
  <c r="P53" i="5" s="1"/>
  <c r="F53" i="5"/>
  <c r="E53" i="5"/>
  <c r="X51" i="5"/>
  <c r="W51" i="5"/>
  <c r="Y51" i="5" s="1"/>
  <c r="T51" i="5"/>
  <c r="S51" i="5"/>
  <c r="V51" i="5" s="1"/>
  <c r="R51" i="5"/>
  <c r="U51" i="5" s="1"/>
  <c r="O51" i="5"/>
  <c r="L51" i="5"/>
  <c r="J51" i="5" s="1"/>
  <c r="I51" i="5"/>
  <c r="Q51" i="5" s="1"/>
  <c r="H51" i="5"/>
  <c r="N51" i="5" s="1"/>
  <c r="G51" i="5"/>
  <c r="P51" i="5" s="1"/>
  <c r="F51" i="5"/>
  <c r="E51" i="5"/>
  <c r="X50" i="5"/>
  <c r="W50" i="5"/>
  <c r="T50" i="5"/>
  <c r="S50" i="5"/>
  <c r="V50" i="5" s="1"/>
  <c r="R50" i="5"/>
  <c r="U50" i="5" s="1"/>
  <c r="O50" i="5"/>
  <c r="L50" i="5"/>
  <c r="I50" i="5"/>
  <c r="Q50" i="5" s="1"/>
  <c r="H50" i="5"/>
  <c r="G50" i="5"/>
  <c r="P50" i="5" s="1"/>
  <c r="F50" i="5"/>
  <c r="E50" i="5"/>
  <c r="X49" i="5"/>
  <c r="W49" i="5"/>
  <c r="Y49" i="5" s="1"/>
  <c r="T49" i="5"/>
  <c r="S49" i="5"/>
  <c r="V49" i="5" s="1"/>
  <c r="R49" i="5"/>
  <c r="U49" i="5" s="1"/>
  <c r="O49" i="5"/>
  <c r="L49" i="5"/>
  <c r="J49" i="5" s="1"/>
  <c r="I49" i="5"/>
  <c r="Q49" i="5" s="1"/>
  <c r="H49" i="5"/>
  <c r="N49" i="5" s="1"/>
  <c r="G49" i="5"/>
  <c r="P49" i="5" s="1"/>
  <c r="F49" i="5"/>
  <c r="E49" i="5"/>
  <c r="X48" i="5"/>
  <c r="W48" i="5"/>
  <c r="Y48" i="5" s="1"/>
  <c r="T48" i="5"/>
  <c r="S48" i="5"/>
  <c r="V48" i="5" s="1"/>
  <c r="R48" i="5"/>
  <c r="U48" i="5" s="1"/>
  <c r="O48" i="5"/>
  <c r="L48" i="5"/>
  <c r="I48" i="5"/>
  <c r="Q48" i="5" s="1"/>
  <c r="H48" i="5"/>
  <c r="N48" i="5" s="1"/>
  <c r="G48" i="5"/>
  <c r="P48" i="5" s="1"/>
  <c r="F48" i="5"/>
  <c r="E48" i="5"/>
  <c r="D48" i="5" s="1"/>
  <c r="X47" i="5"/>
  <c r="W47" i="5"/>
  <c r="Y47" i="5" s="1"/>
  <c r="T47" i="5"/>
  <c r="S47" i="5"/>
  <c r="V47" i="5" s="1"/>
  <c r="R47" i="5"/>
  <c r="U47" i="5" s="1"/>
  <c r="O47" i="5"/>
  <c r="L47" i="5"/>
  <c r="I47" i="5"/>
  <c r="Q47" i="5" s="1"/>
  <c r="H47" i="5"/>
  <c r="N47" i="5" s="1"/>
  <c r="G47" i="5"/>
  <c r="P47" i="5" s="1"/>
  <c r="F47" i="5"/>
  <c r="E47" i="5"/>
  <c r="D47" i="5" s="1"/>
  <c r="M47" i="5" s="1"/>
  <c r="X46" i="5"/>
  <c r="W46" i="5"/>
  <c r="Y46" i="5" s="1"/>
  <c r="V46" i="5"/>
  <c r="T46" i="5"/>
  <c r="S46" i="5"/>
  <c r="R46" i="5"/>
  <c r="U46" i="5" s="1"/>
  <c r="O46" i="5"/>
  <c r="J46" i="5" s="1"/>
  <c r="L46" i="5"/>
  <c r="I46" i="5"/>
  <c r="Q46" i="5" s="1"/>
  <c r="H46" i="5"/>
  <c r="N46" i="5" s="1"/>
  <c r="G46" i="5"/>
  <c r="P46" i="5" s="1"/>
  <c r="F46" i="5"/>
  <c r="E46" i="5"/>
  <c r="X45" i="5"/>
  <c r="W45" i="5"/>
  <c r="T45" i="5"/>
  <c r="S45" i="5"/>
  <c r="V45" i="5" s="1"/>
  <c r="R45" i="5"/>
  <c r="U45" i="5" s="1"/>
  <c r="O45" i="5"/>
  <c r="L45" i="5"/>
  <c r="I45" i="5"/>
  <c r="Q45" i="5" s="1"/>
  <c r="H45" i="5"/>
  <c r="N45" i="5" s="1"/>
  <c r="G45" i="5"/>
  <c r="P45" i="5" s="1"/>
  <c r="F45" i="5"/>
  <c r="E45" i="5"/>
  <c r="X44" i="5"/>
  <c r="W44" i="5"/>
  <c r="Y44" i="5" s="1"/>
  <c r="V44" i="5"/>
  <c r="T44" i="5"/>
  <c r="S44" i="5"/>
  <c r="R44" i="5"/>
  <c r="U44" i="5" s="1"/>
  <c r="O44" i="5"/>
  <c r="L44" i="5"/>
  <c r="I44" i="5"/>
  <c r="Q44" i="5" s="1"/>
  <c r="H44" i="5"/>
  <c r="G44" i="5"/>
  <c r="P44" i="5" s="1"/>
  <c r="F44" i="5"/>
  <c r="E44" i="5"/>
  <c r="X43" i="5"/>
  <c r="W43" i="5"/>
  <c r="Y43" i="5" s="1"/>
  <c r="T43" i="5"/>
  <c r="S43" i="5"/>
  <c r="V43" i="5" s="1"/>
  <c r="R43" i="5"/>
  <c r="U43" i="5" s="1"/>
  <c r="O43" i="5"/>
  <c r="L43" i="5"/>
  <c r="J43" i="5" s="1"/>
  <c r="I43" i="5"/>
  <c r="Q43" i="5" s="1"/>
  <c r="H43" i="5"/>
  <c r="G43" i="5"/>
  <c r="P43" i="5" s="1"/>
  <c r="F43" i="5"/>
  <c r="E43" i="5"/>
  <c r="X42" i="5"/>
  <c r="W42" i="5"/>
  <c r="T42" i="5"/>
  <c r="S42" i="5"/>
  <c r="V42" i="5" s="1"/>
  <c r="R42" i="5"/>
  <c r="U42" i="5" s="1"/>
  <c r="O42" i="5"/>
  <c r="L42" i="5"/>
  <c r="J42" i="5" s="1"/>
  <c r="I42" i="5"/>
  <c r="Q42" i="5" s="1"/>
  <c r="H42" i="5"/>
  <c r="G42" i="5"/>
  <c r="P42" i="5" s="1"/>
  <c r="F42" i="5"/>
  <c r="E42" i="5"/>
  <c r="X41" i="5"/>
  <c r="W41" i="5"/>
  <c r="Y41" i="5" s="1"/>
  <c r="T41" i="5"/>
  <c r="S41" i="5"/>
  <c r="V41" i="5" s="1"/>
  <c r="R41" i="5"/>
  <c r="U41" i="5" s="1"/>
  <c r="O41" i="5"/>
  <c r="L41" i="5"/>
  <c r="I41" i="5"/>
  <c r="Q41" i="5" s="1"/>
  <c r="H41" i="5"/>
  <c r="G41" i="5"/>
  <c r="P41" i="5" s="1"/>
  <c r="F41" i="5"/>
  <c r="E41" i="5"/>
  <c r="X40" i="5"/>
  <c r="W40" i="5"/>
  <c r="Y40" i="5" s="1"/>
  <c r="T40" i="5"/>
  <c r="S40" i="5"/>
  <c r="V40" i="5" s="1"/>
  <c r="R40" i="5"/>
  <c r="U40" i="5" s="1"/>
  <c r="O40" i="5"/>
  <c r="L40" i="5"/>
  <c r="J40" i="5" s="1"/>
  <c r="I40" i="5"/>
  <c r="Q40" i="5" s="1"/>
  <c r="H40" i="5"/>
  <c r="N40" i="5" s="1"/>
  <c r="G40" i="5"/>
  <c r="P40" i="5" s="1"/>
  <c r="F40" i="5"/>
  <c r="D40" i="5" s="1"/>
  <c r="M40" i="5" s="1"/>
  <c r="E40" i="5"/>
  <c r="X39" i="5"/>
  <c r="W39" i="5"/>
  <c r="Y39" i="5" s="1"/>
  <c r="T39" i="5"/>
  <c r="S39" i="5"/>
  <c r="V39" i="5" s="1"/>
  <c r="R39" i="5"/>
  <c r="U39" i="5" s="1"/>
  <c r="O39" i="5"/>
  <c r="L39" i="5"/>
  <c r="I39" i="5"/>
  <c r="Q39" i="5" s="1"/>
  <c r="H39" i="5"/>
  <c r="G39" i="5"/>
  <c r="P39" i="5" s="1"/>
  <c r="F39" i="5"/>
  <c r="E39" i="5"/>
  <c r="X38" i="5"/>
  <c r="W38" i="5"/>
  <c r="T38" i="5"/>
  <c r="S38" i="5"/>
  <c r="V38" i="5" s="1"/>
  <c r="R38" i="5"/>
  <c r="U38" i="5" s="1"/>
  <c r="O38" i="5"/>
  <c r="L38" i="5"/>
  <c r="I38" i="5"/>
  <c r="Q38" i="5" s="1"/>
  <c r="H38" i="5"/>
  <c r="G38" i="5"/>
  <c r="P38" i="5" s="1"/>
  <c r="F38" i="5"/>
  <c r="E38" i="5"/>
  <c r="X37" i="5"/>
  <c r="W37" i="5"/>
  <c r="T37" i="5"/>
  <c r="S37" i="5"/>
  <c r="V37" i="5" s="1"/>
  <c r="R37" i="5"/>
  <c r="U37" i="5" s="1"/>
  <c r="O37" i="5"/>
  <c r="L37" i="5"/>
  <c r="I37" i="5"/>
  <c r="Q37" i="5" s="1"/>
  <c r="H37" i="5"/>
  <c r="G37" i="5"/>
  <c r="P37" i="5" s="1"/>
  <c r="F37" i="5"/>
  <c r="E37" i="5"/>
  <c r="X36" i="5"/>
  <c r="W36" i="5"/>
  <c r="T36" i="5"/>
  <c r="S36" i="5"/>
  <c r="V36" i="5" s="1"/>
  <c r="R36" i="5"/>
  <c r="U36" i="5" s="1"/>
  <c r="O36" i="5"/>
  <c r="J36" i="5" s="1"/>
  <c r="L36" i="5"/>
  <c r="I36" i="5"/>
  <c r="Q36" i="5" s="1"/>
  <c r="H36" i="5"/>
  <c r="G36" i="5"/>
  <c r="P36" i="5" s="1"/>
  <c r="F36" i="5"/>
  <c r="E36" i="5"/>
  <c r="X35" i="5"/>
  <c r="W35" i="5"/>
  <c r="Y35" i="5" s="1"/>
  <c r="T35" i="5"/>
  <c r="S35" i="5"/>
  <c r="V35" i="5" s="1"/>
  <c r="R35" i="5"/>
  <c r="U35" i="5" s="1"/>
  <c r="O35" i="5"/>
  <c r="L35" i="5"/>
  <c r="I35" i="5"/>
  <c r="Q35" i="5" s="1"/>
  <c r="H35" i="5"/>
  <c r="N35" i="5" s="1"/>
  <c r="G35" i="5"/>
  <c r="P35" i="5" s="1"/>
  <c r="F35" i="5"/>
  <c r="E35" i="5"/>
  <c r="X34" i="5"/>
  <c r="W34" i="5"/>
  <c r="Y34" i="5" s="1"/>
  <c r="T34" i="5"/>
  <c r="S34" i="5"/>
  <c r="V34" i="5" s="1"/>
  <c r="R34" i="5"/>
  <c r="U34" i="5" s="1"/>
  <c r="O34" i="5"/>
  <c r="L34" i="5"/>
  <c r="I34" i="5"/>
  <c r="Q34" i="5" s="1"/>
  <c r="H34" i="5"/>
  <c r="G34" i="5"/>
  <c r="P34" i="5" s="1"/>
  <c r="F34" i="5"/>
  <c r="E34" i="5"/>
  <c r="X33" i="5"/>
  <c r="W33" i="5"/>
  <c r="Y33" i="5" s="1"/>
  <c r="T33" i="5"/>
  <c r="S33" i="5"/>
  <c r="R33" i="5"/>
  <c r="U33" i="5" s="1"/>
  <c r="O33" i="5"/>
  <c r="L33" i="5"/>
  <c r="I33" i="5"/>
  <c r="Q33" i="5" s="1"/>
  <c r="H33" i="5"/>
  <c r="N33" i="5" s="1"/>
  <c r="G33" i="5"/>
  <c r="F33" i="5"/>
  <c r="E33" i="5"/>
  <c r="X32" i="5"/>
  <c r="W32" i="5"/>
  <c r="T32" i="5"/>
  <c r="S32" i="5"/>
  <c r="V32" i="5" s="1"/>
  <c r="R32" i="5"/>
  <c r="O32" i="5"/>
  <c r="L32" i="5"/>
  <c r="I32" i="5"/>
  <c r="Q32" i="5" s="1"/>
  <c r="H32" i="5"/>
  <c r="G32" i="5"/>
  <c r="P32" i="5" s="1"/>
  <c r="F32" i="5"/>
  <c r="E32" i="5"/>
  <c r="X30" i="5"/>
  <c r="W30" i="5"/>
  <c r="T30" i="5"/>
  <c r="S30" i="5"/>
  <c r="V30" i="5" s="1"/>
  <c r="R30" i="5"/>
  <c r="U30" i="5" s="1"/>
  <c r="O30" i="5"/>
  <c r="L30" i="5"/>
  <c r="J30" i="5" s="1"/>
  <c r="I30" i="5"/>
  <c r="Q30" i="5" s="1"/>
  <c r="H30" i="5"/>
  <c r="G30" i="5"/>
  <c r="P30" i="5" s="1"/>
  <c r="F30" i="5"/>
  <c r="E30" i="5"/>
  <c r="X29" i="5"/>
  <c r="W29" i="5"/>
  <c r="Y29" i="5" s="1"/>
  <c r="T29" i="5"/>
  <c r="S29" i="5"/>
  <c r="V29" i="5" s="1"/>
  <c r="R29" i="5"/>
  <c r="U29" i="5" s="1"/>
  <c r="O29" i="5"/>
  <c r="L29" i="5"/>
  <c r="I29" i="5"/>
  <c r="Q29" i="5" s="1"/>
  <c r="H29" i="5"/>
  <c r="G29" i="5"/>
  <c r="P29" i="5" s="1"/>
  <c r="F29" i="5"/>
  <c r="E29" i="5"/>
  <c r="D29" i="5" s="1"/>
  <c r="X28" i="5"/>
  <c r="W28" i="5"/>
  <c r="T28" i="5"/>
  <c r="S28" i="5"/>
  <c r="V28" i="5" s="1"/>
  <c r="R28" i="5"/>
  <c r="U28" i="5" s="1"/>
  <c r="O28" i="5"/>
  <c r="L28" i="5"/>
  <c r="J28" i="5" s="1"/>
  <c r="I28" i="5"/>
  <c r="Q28" i="5" s="1"/>
  <c r="H28" i="5"/>
  <c r="G28" i="5"/>
  <c r="P28" i="5" s="1"/>
  <c r="F28" i="5"/>
  <c r="E28" i="5"/>
  <c r="X27" i="5"/>
  <c r="W27" i="5"/>
  <c r="T27" i="5"/>
  <c r="S27" i="5"/>
  <c r="V27" i="5" s="1"/>
  <c r="R27" i="5"/>
  <c r="U27" i="5" s="1"/>
  <c r="O27" i="5"/>
  <c r="L27" i="5"/>
  <c r="I27" i="5"/>
  <c r="Q27" i="5" s="1"/>
  <c r="H27" i="5"/>
  <c r="G27" i="5"/>
  <c r="P27" i="5" s="1"/>
  <c r="F27" i="5"/>
  <c r="E27" i="5"/>
  <c r="X26" i="5"/>
  <c r="W26" i="5"/>
  <c r="Y26" i="5" s="1"/>
  <c r="T26" i="5"/>
  <c r="S26" i="5"/>
  <c r="V26" i="5" s="1"/>
  <c r="R26" i="5"/>
  <c r="U26" i="5" s="1"/>
  <c r="O26" i="5"/>
  <c r="L26" i="5"/>
  <c r="I26" i="5"/>
  <c r="Q26" i="5" s="1"/>
  <c r="H26" i="5"/>
  <c r="G26" i="5"/>
  <c r="P26" i="5" s="1"/>
  <c r="F26" i="5"/>
  <c r="E26" i="5"/>
  <c r="X25" i="5"/>
  <c r="W25" i="5"/>
  <c r="T25" i="5"/>
  <c r="S25" i="5"/>
  <c r="V25" i="5" s="1"/>
  <c r="R25" i="5"/>
  <c r="U25" i="5" s="1"/>
  <c r="O25" i="5"/>
  <c r="L25" i="5"/>
  <c r="I25" i="5"/>
  <c r="Q25" i="5" s="1"/>
  <c r="H25" i="5"/>
  <c r="G25" i="5"/>
  <c r="P25" i="5" s="1"/>
  <c r="F25" i="5"/>
  <c r="E25" i="5"/>
  <c r="X24" i="5"/>
  <c r="W24" i="5"/>
  <c r="Y24" i="5" s="1"/>
  <c r="T24" i="5"/>
  <c r="S24" i="5"/>
  <c r="V24" i="5" s="1"/>
  <c r="R24" i="5"/>
  <c r="U24" i="5" s="1"/>
  <c r="O24" i="5"/>
  <c r="L24" i="5"/>
  <c r="I24" i="5"/>
  <c r="Q24" i="5" s="1"/>
  <c r="H24" i="5"/>
  <c r="G24" i="5"/>
  <c r="P24" i="5" s="1"/>
  <c r="F24" i="5"/>
  <c r="E24" i="5"/>
  <c r="D24" i="5" s="1"/>
  <c r="X23" i="5"/>
  <c r="W23" i="5"/>
  <c r="T23" i="5"/>
  <c r="S23" i="5"/>
  <c r="V23" i="5" s="1"/>
  <c r="R23" i="5"/>
  <c r="U23" i="5" s="1"/>
  <c r="O23" i="5"/>
  <c r="L23" i="5"/>
  <c r="I23" i="5"/>
  <c r="Q23" i="5" s="1"/>
  <c r="H23" i="5"/>
  <c r="G23" i="5"/>
  <c r="P23" i="5" s="1"/>
  <c r="F23" i="5"/>
  <c r="E23" i="5"/>
  <c r="X22" i="5"/>
  <c r="W22" i="5"/>
  <c r="Y22" i="5" s="1"/>
  <c r="T22" i="5"/>
  <c r="S22" i="5"/>
  <c r="V22" i="5" s="1"/>
  <c r="R22" i="5"/>
  <c r="U22" i="5" s="1"/>
  <c r="O22" i="5"/>
  <c r="L22" i="5"/>
  <c r="J22" i="5" s="1"/>
  <c r="I22" i="5"/>
  <c r="Q22" i="5" s="1"/>
  <c r="H22" i="5"/>
  <c r="N22" i="5" s="1"/>
  <c r="G22" i="5"/>
  <c r="P22" i="5" s="1"/>
  <c r="F22" i="5"/>
  <c r="E22" i="5"/>
  <c r="D22" i="5" s="1"/>
  <c r="M22" i="5" s="1"/>
  <c r="X21" i="5"/>
  <c r="W21" i="5"/>
  <c r="Y21" i="5" s="1"/>
  <c r="T21" i="5"/>
  <c r="S21" i="5"/>
  <c r="V21" i="5" s="1"/>
  <c r="R21" i="5"/>
  <c r="U21" i="5" s="1"/>
  <c r="O21" i="5"/>
  <c r="L21" i="5"/>
  <c r="J21" i="5" s="1"/>
  <c r="I21" i="5"/>
  <c r="Q21" i="5" s="1"/>
  <c r="H21" i="5"/>
  <c r="G21" i="5"/>
  <c r="P21" i="5" s="1"/>
  <c r="F21" i="5"/>
  <c r="E21" i="5"/>
  <c r="X20" i="5"/>
  <c r="W20" i="5"/>
  <c r="T20" i="5"/>
  <c r="S20" i="5"/>
  <c r="V20" i="5" s="1"/>
  <c r="R20" i="5"/>
  <c r="U20" i="5" s="1"/>
  <c r="O20" i="5"/>
  <c r="L20" i="5"/>
  <c r="I20" i="5"/>
  <c r="Q20" i="5" s="1"/>
  <c r="H20" i="5"/>
  <c r="G20" i="5"/>
  <c r="P20" i="5" s="1"/>
  <c r="F20" i="5"/>
  <c r="E20" i="5"/>
  <c r="X19" i="5"/>
  <c r="W19" i="5"/>
  <c r="Y19" i="5" s="1"/>
  <c r="T19" i="5"/>
  <c r="S19" i="5"/>
  <c r="V19" i="5" s="1"/>
  <c r="R19" i="5"/>
  <c r="U19" i="5" s="1"/>
  <c r="O19" i="5"/>
  <c r="L19" i="5"/>
  <c r="J19" i="5" s="1"/>
  <c r="I19" i="5"/>
  <c r="Q19" i="5" s="1"/>
  <c r="H19" i="5"/>
  <c r="G19" i="5"/>
  <c r="P19" i="5" s="1"/>
  <c r="F19" i="5"/>
  <c r="E19" i="5"/>
  <c r="X18" i="5"/>
  <c r="W18" i="5"/>
  <c r="T18" i="5"/>
  <c r="S18" i="5"/>
  <c r="V18" i="5" s="1"/>
  <c r="R18" i="5"/>
  <c r="U18" i="5" s="1"/>
  <c r="O18" i="5"/>
  <c r="L18" i="5"/>
  <c r="I18" i="5"/>
  <c r="Q18" i="5" s="1"/>
  <c r="H18" i="5"/>
  <c r="G18" i="5"/>
  <c r="P18" i="5" s="1"/>
  <c r="F18" i="5"/>
  <c r="E18" i="5"/>
  <c r="X17" i="5"/>
  <c r="W17" i="5"/>
  <c r="T17" i="5"/>
  <c r="S17" i="5"/>
  <c r="V17" i="5" s="1"/>
  <c r="R17" i="5"/>
  <c r="U17" i="5" s="1"/>
  <c r="O17" i="5"/>
  <c r="L17" i="5"/>
  <c r="I17" i="5"/>
  <c r="Q17" i="5" s="1"/>
  <c r="H17" i="5"/>
  <c r="G17" i="5"/>
  <c r="P17" i="5" s="1"/>
  <c r="F17" i="5"/>
  <c r="E17" i="5"/>
  <c r="X16" i="5"/>
  <c r="W16" i="5"/>
  <c r="Y16" i="5" s="1"/>
  <c r="T16" i="5"/>
  <c r="S16" i="5"/>
  <c r="V16" i="5" s="1"/>
  <c r="R16" i="5"/>
  <c r="U16" i="5" s="1"/>
  <c r="O16" i="5"/>
  <c r="L16" i="5"/>
  <c r="I16" i="5"/>
  <c r="Q16" i="5" s="1"/>
  <c r="H16" i="5"/>
  <c r="N16" i="5" s="1"/>
  <c r="G16" i="5"/>
  <c r="P16" i="5" s="1"/>
  <c r="F16" i="5"/>
  <c r="E16" i="5"/>
  <c r="X15" i="5"/>
  <c r="W15" i="5"/>
  <c r="Y15" i="5" s="1"/>
  <c r="T15" i="5"/>
  <c r="S15" i="5"/>
  <c r="R15" i="5"/>
  <c r="U15" i="5" s="1"/>
  <c r="O15" i="5"/>
  <c r="L15" i="5"/>
  <c r="I15" i="5"/>
  <c r="Q15" i="5" s="1"/>
  <c r="H15" i="5"/>
  <c r="G15" i="5"/>
  <c r="F15" i="5"/>
  <c r="E15" i="5"/>
  <c r="X14" i="5"/>
  <c r="W14" i="5"/>
  <c r="Y14" i="5" s="1"/>
  <c r="T14" i="5"/>
  <c r="S14" i="5"/>
  <c r="V14" i="5" s="1"/>
  <c r="R14" i="5"/>
  <c r="O14" i="5"/>
  <c r="L14" i="5"/>
  <c r="I14" i="5"/>
  <c r="Q14" i="5" s="1"/>
  <c r="H14" i="5"/>
  <c r="G14" i="5"/>
  <c r="P14" i="5" s="1"/>
  <c r="F14" i="5"/>
  <c r="E14" i="5"/>
  <c r="AD9" i="5"/>
  <c r="AD7" i="5" s="1"/>
  <c r="AC9" i="5"/>
  <c r="AA9" i="5"/>
  <c r="AA7" i="5" s="1"/>
  <c r="Z9" i="5"/>
  <c r="Z7" i="5" s="1"/>
  <c r="AD8" i="5"/>
  <c r="AC8" i="5"/>
  <c r="AE8" i="5" s="1"/>
  <c r="AA8" i="5"/>
  <c r="Z8" i="5"/>
  <c r="AB8" i="5" s="1"/>
  <c r="V108" i="4"/>
  <c r="U108" i="4"/>
  <c r="O108" i="4"/>
  <c r="L108" i="4"/>
  <c r="I108" i="4"/>
  <c r="Q108" i="4" s="1"/>
  <c r="H108" i="4"/>
  <c r="N108" i="4" s="1"/>
  <c r="G108" i="4"/>
  <c r="P108" i="4" s="1"/>
  <c r="F108" i="4"/>
  <c r="E108" i="4"/>
  <c r="D108" i="4" s="1"/>
  <c r="V107" i="4"/>
  <c r="U107" i="4"/>
  <c r="O107" i="4"/>
  <c r="L107" i="4"/>
  <c r="I107" i="4"/>
  <c r="Q107" i="4" s="1"/>
  <c r="H107" i="4"/>
  <c r="N107" i="4" s="1"/>
  <c r="G107" i="4"/>
  <c r="P107" i="4" s="1"/>
  <c r="F107" i="4"/>
  <c r="E107" i="4"/>
  <c r="V106" i="4"/>
  <c r="U106" i="4"/>
  <c r="O106" i="4"/>
  <c r="L106" i="4"/>
  <c r="I106" i="4"/>
  <c r="Q106" i="4" s="1"/>
  <c r="H106" i="4"/>
  <c r="N106" i="4" s="1"/>
  <c r="G106" i="4"/>
  <c r="P106" i="4" s="1"/>
  <c r="F106" i="4"/>
  <c r="E106" i="4"/>
  <c r="D106" i="4" s="1"/>
  <c r="C106" i="4" s="1"/>
  <c r="K106" i="4" s="1"/>
  <c r="V105" i="4"/>
  <c r="U105" i="4"/>
  <c r="O105" i="4"/>
  <c r="L105" i="4"/>
  <c r="J105" i="4" s="1"/>
  <c r="I105" i="4"/>
  <c r="Q105" i="4" s="1"/>
  <c r="H105" i="4"/>
  <c r="N105" i="4" s="1"/>
  <c r="G105" i="4"/>
  <c r="P105" i="4" s="1"/>
  <c r="F105" i="4"/>
  <c r="E105" i="4"/>
  <c r="V104" i="4"/>
  <c r="U104" i="4"/>
  <c r="Q104" i="4"/>
  <c r="O104" i="4"/>
  <c r="L104" i="4"/>
  <c r="I104" i="4"/>
  <c r="H104" i="4"/>
  <c r="N104" i="4" s="1"/>
  <c r="G104" i="4"/>
  <c r="P104" i="4" s="1"/>
  <c r="F104" i="4"/>
  <c r="E104" i="4"/>
  <c r="V103" i="4"/>
  <c r="U103" i="4"/>
  <c r="O103" i="4"/>
  <c r="L103" i="4"/>
  <c r="J103" i="4" s="1"/>
  <c r="I103" i="4"/>
  <c r="Q103" i="4" s="1"/>
  <c r="H103" i="4"/>
  <c r="N103" i="4" s="1"/>
  <c r="G103" i="4"/>
  <c r="P103" i="4" s="1"/>
  <c r="F103" i="4"/>
  <c r="E103" i="4"/>
  <c r="V102" i="4"/>
  <c r="U102" i="4"/>
  <c r="O102" i="4"/>
  <c r="L102" i="4"/>
  <c r="I102" i="4"/>
  <c r="Q102" i="4" s="1"/>
  <c r="H102" i="4"/>
  <c r="N102" i="4" s="1"/>
  <c r="G102" i="4"/>
  <c r="P102" i="4" s="1"/>
  <c r="F102" i="4"/>
  <c r="E102" i="4"/>
  <c r="T101" i="4"/>
  <c r="T89" i="4" s="1"/>
  <c r="T9" i="4" s="1"/>
  <c r="S101" i="4"/>
  <c r="R101" i="4"/>
  <c r="O101" i="4"/>
  <c r="L101" i="4"/>
  <c r="I101" i="4"/>
  <c r="Q101" i="4" s="1"/>
  <c r="H101" i="4"/>
  <c r="G101" i="4"/>
  <c r="P101" i="4" s="1"/>
  <c r="F101" i="4"/>
  <c r="E101" i="4"/>
  <c r="V100" i="4"/>
  <c r="U100" i="4"/>
  <c r="O100" i="4"/>
  <c r="J100" i="4" s="1"/>
  <c r="L100" i="4"/>
  <c r="I100" i="4"/>
  <c r="Q100" i="4" s="1"/>
  <c r="H100" i="4"/>
  <c r="N100" i="4" s="1"/>
  <c r="G100" i="4"/>
  <c r="P100" i="4" s="1"/>
  <c r="F100" i="4"/>
  <c r="E100" i="4"/>
  <c r="V99" i="4"/>
  <c r="U99" i="4"/>
  <c r="O99" i="4"/>
  <c r="L99" i="4"/>
  <c r="I99" i="4"/>
  <c r="Q99" i="4" s="1"/>
  <c r="H99" i="4"/>
  <c r="N99" i="4" s="1"/>
  <c r="G99" i="4"/>
  <c r="P99" i="4" s="1"/>
  <c r="F99" i="4"/>
  <c r="E99" i="4"/>
  <c r="V98" i="4"/>
  <c r="U98" i="4"/>
  <c r="O98" i="4"/>
  <c r="L98" i="4"/>
  <c r="I98" i="4"/>
  <c r="Q98" i="4" s="1"/>
  <c r="H98" i="4"/>
  <c r="N98" i="4" s="1"/>
  <c r="G98" i="4"/>
  <c r="P98" i="4" s="1"/>
  <c r="F98" i="4"/>
  <c r="E98" i="4"/>
  <c r="D98" i="4" s="1"/>
  <c r="V97" i="4"/>
  <c r="U97" i="4"/>
  <c r="O97" i="4"/>
  <c r="L97" i="4"/>
  <c r="I97" i="4"/>
  <c r="Q97" i="4" s="1"/>
  <c r="H97" i="4"/>
  <c r="N97" i="4" s="1"/>
  <c r="G97" i="4"/>
  <c r="P97" i="4" s="1"/>
  <c r="F97" i="4"/>
  <c r="E97" i="4"/>
  <c r="D97" i="4" s="1"/>
  <c r="V96" i="4"/>
  <c r="U96" i="4"/>
  <c r="O96" i="4"/>
  <c r="L96" i="4"/>
  <c r="I96" i="4"/>
  <c r="H96" i="4"/>
  <c r="N96" i="4" s="1"/>
  <c r="G96" i="4"/>
  <c r="P96" i="4" s="1"/>
  <c r="F96" i="4"/>
  <c r="E96" i="4"/>
  <c r="V95" i="4"/>
  <c r="U95" i="4"/>
  <c r="O95" i="4"/>
  <c r="L95" i="4"/>
  <c r="I95" i="4"/>
  <c r="Q95" i="4" s="1"/>
  <c r="H95" i="4"/>
  <c r="N95" i="4" s="1"/>
  <c r="G95" i="4"/>
  <c r="P95" i="4" s="1"/>
  <c r="F95" i="4"/>
  <c r="E95" i="4"/>
  <c r="V94" i="4"/>
  <c r="U94" i="4"/>
  <c r="O94" i="4"/>
  <c r="L94" i="4"/>
  <c r="I94" i="4"/>
  <c r="Q94" i="4" s="1"/>
  <c r="H94" i="4"/>
  <c r="N94" i="4" s="1"/>
  <c r="G94" i="4"/>
  <c r="P94" i="4" s="1"/>
  <c r="F94" i="4"/>
  <c r="E94" i="4"/>
  <c r="V93" i="4"/>
  <c r="U93" i="4"/>
  <c r="O93" i="4"/>
  <c r="L93" i="4"/>
  <c r="I93" i="4"/>
  <c r="Q93" i="4" s="1"/>
  <c r="H93" i="4"/>
  <c r="G93" i="4"/>
  <c r="P93" i="4" s="1"/>
  <c r="F93" i="4"/>
  <c r="E93" i="4"/>
  <c r="D93" i="4" s="1"/>
  <c r="V92" i="4"/>
  <c r="U92" i="4"/>
  <c r="O92" i="4"/>
  <c r="L92" i="4"/>
  <c r="I92" i="4"/>
  <c r="Q92" i="4" s="1"/>
  <c r="H92" i="4"/>
  <c r="N92" i="4" s="1"/>
  <c r="G92" i="4"/>
  <c r="P92" i="4" s="1"/>
  <c r="F92" i="4"/>
  <c r="E92" i="4"/>
  <c r="D92" i="4" s="1"/>
  <c r="M92" i="4" s="1"/>
  <c r="V91" i="4"/>
  <c r="U91" i="4"/>
  <c r="O91" i="4"/>
  <c r="L91" i="4"/>
  <c r="I91" i="4"/>
  <c r="Q91" i="4" s="1"/>
  <c r="H91" i="4"/>
  <c r="N91" i="4" s="1"/>
  <c r="G91" i="4"/>
  <c r="P91" i="4" s="1"/>
  <c r="F91" i="4"/>
  <c r="E91" i="4"/>
  <c r="D91" i="4" s="1"/>
  <c r="V90" i="4"/>
  <c r="U90" i="4"/>
  <c r="O90" i="4"/>
  <c r="L90" i="4"/>
  <c r="I90" i="4"/>
  <c r="Q90" i="4" s="1"/>
  <c r="H90" i="4"/>
  <c r="N90" i="4" s="1"/>
  <c r="G90" i="4"/>
  <c r="F90" i="4"/>
  <c r="E90" i="4"/>
  <c r="D90" i="4" s="1"/>
  <c r="S89" i="4"/>
  <c r="AL88" i="4"/>
  <c r="AK88" i="4"/>
  <c r="AJ88" i="4"/>
  <c r="AH88" i="4"/>
  <c r="AF88" i="4"/>
  <c r="AE88" i="4"/>
  <c r="AD88" i="4"/>
  <c r="AG88" i="4" s="1"/>
  <c r="AB88" i="4"/>
  <c r="Z88" i="4"/>
  <c r="Y88" i="4"/>
  <c r="AC88" i="4" s="1"/>
  <c r="X88" i="4"/>
  <c r="AA88" i="4" s="1"/>
  <c r="W88" i="4"/>
  <c r="T88" i="4"/>
  <c r="S88" i="4"/>
  <c r="R88" i="4"/>
  <c r="U88" i="4" s="1"/>
  <c r="O88" i="4"/>
  <c r="L88" i="4"/>
  <c r="I88" i="4"/>
  <c r="Q88" i="4" s="1"/>
  <c r="H88" i="4"/>
  <c r="G88" i="4"/>
  <c r="P88" i="4" s="1"/>
  <c r="F88" i="4"/>
  <c r="E88" i="4"/>
  <c r="AK87" i="4"/>
  <c r="AJ87" i="4"/>
  <c r="AL87" i="4" s="1"/>
  <c r="AH87" i="4"/>
  <c r="AF87" i="4"/>
  <c r="AE87" i="4"/>
  <c r="AI87" i="4" s="1"/>
  <c r="AD87" i="4"/>
  <c r="AG87" i="4" s="1"/>
  <c r="AB87" i="4"/>
  <c r="Z87" i="4"/>
  <c r="Y87" i="4"/>
  <c r="AC87" i="4" s="1"/>
  <c r="X87" i="4"/>
  <c r="AA87" i="4" s="1"/>
  <c r="W87" i="4"/>
  <c r="T87" i="4"/>
  <c r="S87" i="4"/>
  <c r="V87" i="4" s="1"/>
  <c r="R87" i="4"/>
  <c r="U87" i="4" s="1"/>
  <c r="O87" i="4"/>
  <c r="L87" i="4"/>
  <c r="I87" i="4"/>
  <c r="Q87" i="4" s="1"/>
  <c r="H87" i="4"/>
  <c r="N87" i="4" s="1"/>
  <c r="G87" i="4"/>
  <c r="P87" i="4" s="1"/>
  <c r="F87" i="4"/>
  <c r="E87" i="4"/>
  <c r="AK86" i="4"/>
  <c r="AJ86" i="4"/>
  <c r="AL86" i="4" s="1"/>
  <c r="AH86" i="4"/>
  <c r="AF86" i="4"/>
  <c r="AE86" i="4"/>
  <c r="AD86" i="4"/>
  <c r="AB86" i="4"/>
  <c r="Z86" i="4"/>
  <c r="Y86" i="4"/>
  <c r="AC86" i="4" s="1"/>
  <c r="X86" i="4"/>
  <c r="AA86" i="4" s="1"/>
  <c r="W86" i="4"/>
  <c r="T86" i="4"/>
  <c r="S86" i="4"/>
  <c r="R86" i="4"/>
  <c r="O86" i="4"/>
  <c r="L86" i="4"/>
  <c r="I86" i="4"/>
  <c r="Q86" i="4" s="1"/>
  <c r="H86" i="4"/>
  <c r="G86" i="4"/>
  <c r="P86" i="4" s="1"/>
  <c r="F86" i="4"/>
  <c r="E86" i="4"/>
  <c r="AK85" i="4"/>
  <c r="AJ85" i="4"/>
  <c r="AH85" i="4"/>
  <c r="AF85" i="4"/>
  <c r="AE85" i="4"/>
  <c r="AD85" i="4"/>
  <c r="AB85" i="4"/>
  <c r="Z85" i="4"/>
  <c r="Y85" i="4"/>
  <c r="X85" i="4"/>
  <c r="W85" i="4"/>
  <c r="T85" i="4"/>
  <c r="S85" i="4"/>
  <c r="R85" i="4"/>
  <c r="O85" i="4"/>
  <c r="L85" i="4"/>
  <c r="I85" i="4"/>
  <c r="Q85" i="4" s="1"/>
  <c r="H85" i="4"/>
  <c r="G85" i="4"/>
  <c r="P85" i="4" s="1"/>
  <c r="F85" i="4"/>
  <c r="E85" i="4"/>
  <c r="AK84" i="4"/>
  <c r="AJ84" i="4"/>
  <c r="AL84" i="4" s="1"/>
  <c r="AH84" i="4"/>
  <c r="AF84" i="4"/>
  <c r="AE84" i="4"/>
  <c r="AI84" i="4" s="1"/>
  <c r="AD84" i="4"/>
  <c r="AG84" i="4" s="1"/>
  <c r="AB84" i="4"/>
  <c r="Z84" i="4"/>
  <c r="Y84" i="4"/>
  <c r="AC84" i="4" s="1"/>
  <c r="X84" i="4"/>
  <c r="AA84" i="4" s="1"/>
  <c r="W84" i="4"/>
  <c r="T84" i="4"/>
  <c r="S84" i="4"/>
  <c r="V84" i="4" s="1"/>
  <c r="R84" i="4"/>
  <c r="U84" i="4" s="1"/>
  <c r="O84" i="4"/>
  <c r="L84" i="4"/>
  <c r="I84" i="4"/>
  <c r="Q84" i="4" s="1"/>
  <c r="H84" i="4"/>
  <c r="N84" i="4" s="1"/>
  <c r="G84" i="4"/>
  <c r="P84" i="4" s="1"/>
  <c r="F84" i="4"/>
  <c r="E84" i="4"/>
  <c r="D84" i="4" s="1"/>
  <c r="M84" i="4" s="1"/>
  <c r="AK83" i="4"/>
  <c r="AJ83" i="4"/>
  <c r="AL83" i="4" s="1"/>
  <c r="AH83" i="4"/>
  <c r="AF83" i="4"/>
  <c r="AE83" i="4"/>
  <c r="AI83" i="4" s="1"/>
  <c r="AD83" i="4"/>
  <c r="AG83" i="4" s="1"/>
  <c r="AB83" i="4"/>
  <c r="Z83" i="4"/>
  <c r="Y83" i="4"/>
  <c r="AC83" i="4" s="1"/>
  <c r="X83" i="4"/>
  <c r="AA83" i="4" s="1"/>
  <c r="W83" i="4"/>
  <c r="T83" i="4"/>
  <c r="S83" i="4"/>
  <c r="V83" i="4" s="1"/>
  <c r="R83" i="4"/>
  <c r="U83" i="4" s="1"/>
  <c r="O83" i="4"/>
  <c r="L83" i="4"/>
  <c r="I83" i="4"/>
  <c r="Q83" i="4" s="1"/>
  <c r="H83" i="4"/>
  <c r="N83" i="4" s="1"/>
  <c r="G83" i="4"/>
  <c r="P83" i="4" s="1"/>
  <c r="F83" i="4"/>
  <c r="E83" i="4"/>
  <c r="AK82" i="4"/>
  <c r="AJ82" i="4"/>
  <c r="AH82" i="4"/>
  <c r="AF82" i="4"/>
  <c r="AE82" i="4"/>
  <c r="AD82" i="4"/>
  <c r="AB82" i="4"/>
  <c r="Z82" i="4"/>
  <c r="Y82" i="4"/>
  <c r="X82" i="4"/>
  <c r="W82" i="4"/>
  <c r="T82" i="4"/>
  <c r="S82" i="4"/>
  <c r="R82" i="4"/>
  <c r="U82" i="4" s="1"/>
  <c r="O82" i="4"/>
  <c r="L82" i="4"/>
  <c r="I82" i="4"/>
  <c r="Q82" i="4" s="1"/>
  <c r="H82" i="4"/>
  <c r="G82" i="4"/>
  <c r="P82" i="4" s="1"/>
  <c r="F82" i="4"/>
  <c r="E82" i="4"/>
  <c r="AK81" i="4"/>
  <c r="AJ81" i="4"/>
  <c r="AL81" i="4" s="1"/>
  <c r="AH81" i="4"/>
  <c r="AG81" i="4"/>
  <c r="AF81" i="4"/>
  <c r="AE81" i="4"/>
  <c r="AI81" i="4" s="1"/>
  <c r="AD81" i="4"/>
  <c r="AB81" i="4"/>
  <c r="Z81" i="4"/>
  <c r="Y81" i="4"/>
  <c r="AC81" i="4" s="1"/>
  <c r="X81" i="4"/>
  <c r="AA81" i="4" s="1"/>
  <c r="W81" i="4"/>
  <c r="T81" i="4"/>
  <c r="S81" i="4"/>
  <c r="V81" i="4" s="1"/>
  <c r="R81" i="4"/>
  <c r="U81" i="4" s="1"/>
  <c r="O81" i="4"/>
  <c r="L81" i="4"/>
  <c r="I81" i="4"/>
  <c r="Q81" i="4" s="1"/>
  <c r="H81" i="4"/>
  <c r="N81" i="4" s="1"/>
  <c r="G81" i="4"/>
  <c r="P81" i="4" s="1"/>
  <c r="F81" i="4"/>
  <c r="E81" i="4"/>
  <c r="AK80" i="4"/>
  <c r="AJ80" i="4"/>
  <c r="AL80" i="4" s="1"/>
  <c r="AH80" i="4"/>
  <c r="AF80" i="4"/>
  <c r="AE80" i="4"/>
  <c r="AD80" i="4"/>
  <c r="AG80" i="4" s="1"/>
  <c r="AB80" i="4"/>
  <c r="Z80" i="4"/>
  <c r="Y80" i="4"/>
  <c r="X80" i="4"/>
  <c r="AA80" i="4" s="1"/>
  <c r="W80" i="4"/>
  <c r="T80" i="4"/>
  <c r="S80" i="4"/>
  <c r="V80" i="4" s="1"/>
  <c r="R80" i="4"/>
  <c r="O80" i="4"/>
  <c r="L80" i="4"/>
  <c r="I80" i="4"/>
  <c r="Q80" i="4" s="1"/>
  <c r="H80" i="4"/>
  <c r="N80" i="4" s="1"/>
  <c r="G80" i="4"/>
  <c r="P80" i="4" s="1"/>
  <c r="F80" i="4"/>
  <c r="E80" i="4"/>
  <c r="AK79" i="4"/>
  <c r="AJ79" i="4"/>
  <c r="AL79" i="4" s="1"/>
  <c r="AH79" i="4"/>
  <c r="AF79" i="4"/>
  <c r="AE79" i="4"/>
  <c r="AI79" i="4" s="1"/>
  <c r="AD79" i="4"/>
  <c r="AG79" i="4" s="1"/>
  <c r="AB79" i="4"/>
  <c r="Z79" i="4"/>
  <c r="Y79" i="4"/>
  <c r="AC79" i="4" s="1"/>
  <c r="X79" i="4"/>
  <c r="AA79" i="4" s="1"/>
  <c r="W79" i="4"/>
  <c r="T79" i="4"/>
  <c r="S79" i="4"/>
  <c r="V79" i="4" s="1"/>
  <c r="R79" i="4"/>
  <c r="U79" i="4" s="1"/>
  <c r="O79" i="4"/>
  <c r="L79" i="4"/>
  <c r="I79" i="4"/>
  <c r="Q79" i="4" s="1"/>
  <c r="H79" i="4"/>
  <c r="N79" i="4" s="1"/>
  <c r="G79" i="4"/>
  <c r="P79" i="4" s="1"/>
  <c r="F79" i="4"/>
  <c r="E79" i="4"/>
  <c r="AK78" i="4"/>
  <c r="AJ78" i="4"/>
  <c r="AL78" i="4" s="1"/>
  <c r="AH78" i="4"/>
  <c r="AF78" i="4"/>
  <c r="AE78" i="4"/>
  <c r="AI78" i="4" s="1"/>
  <c r="AD78" i="4"/>
  <c r="AB78" i="4"/>
  <c r="Z78" i="4"/>
  <c r="Y78" i="4"/>
  <c r="AC78" i="4" s="1"/>
  <c r="X78" i="4"/>
  <c r="AA78" i="4" s="1"/>
  <c r="W78" i="4"/>
  <c r="T78" i="4"/>
  <c r="S78" i="4"/>
  <c r="R78" i="4"/>
  <c r="O78" i="4"/>
  <c r="L78" i="4"/>
  <c r="I78" i="4"/>
  <c r="Q78" i="4" s="1"/>
  <c r="H78" i="4"/>
  <c r="G78" i="4"/>
  <c r="P78" i="4" s="1"/>
  <c r="F78" i="4"/>
  <c r="E78" i="4"/>
  <c r="AL77" i="4"/>
  <c r="AK77" i="4"/>
  <c r="AJ77" i="4"/>
  <c r="AH77" i="4"/>
  <c r="AF77" i="4"/>
  <c r="AE77" i="4"/>
  <c r="AD77" i="4"/>
  <c r="AB77" i="4"/>
  <c r="Z77" i="4"/>
  <c r="Y77" i="4"/>
  <c r="X77" i="4"/>
  <c r="W77" i="4"/>
  <c r="T77" i="4"/>
  <c r="S77" i="4"/>
  <c r="R77" i="4"/>
  <c r="O77" i="4"/>
  <c r="L77" i="4"/>
  <c r="I77" i="4"/>
  <c r="Q77" i="4" s="1"/>
  <c r="H77" i="4"/>
  <c r="G77" i="4"/>
  <c r="P77" i="4" s="1"/>
  <c r="F77" i="4"/>
  <c r="E77" i="4"/>
  <c r="AK76" i="4"/>
  <c r="AJ76" i="4"/>
  <c r="AL76" i="4" s="1"/>
  <c r="AH76" i="4"/>
  <c r="AI76" i="4" s="1"/>
  <c r="AF76" i="4"/>
  <c r="AE76" i="4"/>
  <c r="AD76" i="4"/>
  <c r="AB76" i="4"/>
  <c r="Z76" i="4"/>
  <c r="Y76" i="4"/>
  <c r="AC76" i="4" s="1"/>
  <c r="X76" i="4"/>
  <c r="AA76" i="4" s="1"/>
  <c r="W76" i="4"/>
  <c r="T76" i="4"/>
  <c r="S76" i="4"/>
  <c r="R76" i="4"/>
  <c r="O76" i="4"/>
  <c r="L76" i="4"/>
  <c r="I76" i="4"/>
  <c r="Q76" i="4" s="1"/>
  <c r="H76" i="4"/>
  <c r="G76" i="4"/>
  <c r="P76" i="4" s="1"/>
  <c r="F76" i="4"/>
  <c r="E76" i="4"/>
  <c r="AK75" i="4"/>
  <c r="AJ75" i="4"/>
  <c r="AH75" i="4"/>
  <c r="AF75" i="4"/>
  <c r="AE75" i="4"/>
  <c r="AI75" i="4" s="1"/>
  <c r="AD75" i="4"/>
  <c r="AB75" i="4"/>
  <c r="Z75" i="4"/>
  <c r="Y75" i="4"/>
  <c r="AC75" i="4" s="1"/>
  <c r="X75" i="4"/>
  <c r="W75" i="4"/>
  <c r="T75" i="4"/>
  <c r="S75" i="4"/>
  <c r="V75" i="4" s="1"/>
  <c r="R75" i="4"/>
  <c r="U75" i="4" s="1"/>
  <c r="O75" i="4"/>
  <c r="L75" i="4"/>
  <c r="I75" i="4"/>
  <c r="Q75" i="4" s="1"/>
  <c r="H75" i="4"/>
  <c r="N75" i="4" s="1"/>
  <c r="G75" i="4"/>
  <c r="P75" i="4" s="1"/>
  <c r="F75" i="4"/>
  <c r="E75" i="4"/>
  <c r="AK73" i="4"/>
  <c r="AJ73" i="4"/>
  <c r="AL73" i="4" s="1"/>
  <c r="AI73" i="4"/>
  <c r="AH73" i="4"/>
  <c r="AF73" i="4"/>
  <c r="AE73" i="4"/>
  <c r="AD73" i="4"/>
  <c r="AG73" i="4" s="1"/>
  <c r="AB73" i="4"/>
  <c r="Z73" i="4"/>
  <c r="Y73" i="4"/>
  <c r="AC73" i="4" s="1"/>
  <c r="X73" i="4"/>
  <c r="AA73" i="4" s="1"/>
  <c r="W73" i="4"/>
  <c r="T73" i="4"/>
  <c r="S73" i="4"/>
  <c r="V73" i="4" s="1"/>
  <c r="R73" i="4"/>
  <c r="U73" i="4" s="1"/>
  <c r="O73" i="4"/>
  <c r="L73" i="4"/>
  <c r="J73" i="4" s="1"/>
  <c r="I73" i="4"/>
  <c r="Q73" i="4" s="1"/>
  <c r="H73" i="4"/>
  <c r="N73" i="4" s="1"/>
  <c r="G73" i="4"/>
  <c r="P73" i="4" s="1"/>
  <c r="F73" i="4"/>
  <c r="E73" i="4"/>
  <c r="AK72" i="4"/>
  <c r="AJ72" i="4"/>
  <c r="AL72" i="4" s="1"/>
  <c r="AH72" i="4"/>
  <c r="AF72" i="4"/>
  <c r="AE72" i="4"/>
  <c r="AI72" i="4" s="1"/>
  <c r="AD72" i="4"/>
  <c r="AG72" i="4" s="1"/>
  <c r="AB72" i="4"/>
  <c r="Z72" i="4"/>
  <c r="Y72" i="4"/>
  <c r="AC72" i="4" s="1"/>
  <c r="X72" i="4"/>
  <c r="AA72" i="4" s="1"/>
  <c r="W72" i="4"/>
  <c r="T72" i="4"/>
  <c r="S72" i="4"/>
  <c r="V72" i="4" s="1"/>
  <c r="R72" i="4"/>
  <c r="U72" i="4" s="1"/>
  <c r="O72" i="4"/>
  <c r="L72" i="4"/>
  <c r="I72" i="4"/>
  <c r="Q72" i="4" s="1"/>
  <c r="H72" i="4"/>
  <c r="N72" i="4" s="1"/>
  <c r="G72" i="4"/>
  <c r="P72" i="4" s="1"/>
  <c r="F72" i="4"/>
  <c r="E72" i="4"/>
  <c r="AK71" i="4"/>
  <c r="AJ71" i="4"/>
  <c r="AL71" i="4" s="1"/>
  <c r="AH71" i="4"/>
  <c r="AF71" i="4"/>
  <c r="AE71" i="4"/>
  <c r="AI71" i="4" s="1"/>
  <c r="AD71" i="4"/>
  <c r="AG71" i="4" s="1"/>
  <c r="AC71" i="4"/>
  <c r="AB71" i="4"/>
  <c r="Z71" i="4"/>
  <c r="Y71" i="4"/>
  <c r="X71" i="4"/>
  <c r="AA71" i="4" s="1"/>
  <c r="W71" i="4"/>
  <c r="U71" i="4"/>
  <c r="T71" i="4"/>
  <c r="S71" i="4"/>
  <c r="V71" i="4" s="1"/>
  <c r="R71" i="4"/>
  <c r="O71" i="4"/>
  <c r="L71" i="4"/>
  <c r="I71" i="4"/>
  <c r="Q71" i="4" s="1"/>
  <c r="H71" i="4"/>
  <c r="N71" i="4" s="1"/>
  <c r="G71" i="4"/>
  <c r="P71" i="4" s="1"/>
  <c r="F71" i="4"/>
  <c r="E71" i="4"/>
  <c r="D71" i="4" s="1"/>
  <c r="M71" i="4" s="1"/>
  <c r="AK70" i="4"/>
  <c r="AJ70" i="4"/>
  <c r="AL70" i="4" s="1"/>
  <c r="AH70" i="4"/>
  <c r="AF70" i="4"/>
  <c r="AE70" i="4"/>
  <c r="AD70" i="4"/>
  <c r="AG70" i="4" s="1"/>
  <c r="AB70" i="4"/>
  <c r="Z70" i="4"/>
  <c r="Y70" i="4"/>
  <c r="AC70" i="4" s="1"/>
  <c r="X70" i="4"/>
  <c r="AA70" i="4" s="1"/>
  <c r="W70" i="4"/>
  <c r="T70" i="4"/>
  <c r="S70" i="4"/>
  <c r="R70" i="4"/>
  <c r="O70" i="4"/>
  <c r="L70" i="4"/>
  <c r="I70" i="4"/>
  <c r="Q70" i="4" s="1"/>
  <c r="H70" i="4"/>
  <c r="N70" i="4" s="1"/>
  <c r="G70" i="4"/>
  <c r="P70" i="4" s="1"/>
  <c r="F70" i="4"/>
  <c r="E70" i="4"/>
  <c r="AK69" i="4"/>
  <c r="AJ69" i="4"/>
  <c r="AL69" i="4" s="1"/>
  <c r="AH69" i="4"/>
  <c r="AF69" i="4"/>
  <c r="AE69" i="4"/>
  <c r="AI69" i="4" s="1"/>
  <c r="AD69" i="4"/>
  <c r="AG69" i="4" s="1"/>
  <c r="AB69" i="4"/>
  <c r="Z69" i="4"/>
  <c r="Y69" i="4"/>
  <c r="AC69" i="4" s="1"/>
  <c r="X69" i="4"/>
  <c r="AA69" i="4" s="1"/>
  <c r="W69" i="4"/>
  <c r="T69" i="4"/>
  <c r="S69" i="4"/>
  <c r="V69" i="4" s="1"/>
  <c r="R69" i="4"/>
  <c r="U69" i="4" s="1"/>
  <c r="O69" i="4"/>
  <c r="L69" i="4"/>
  <c r="I69" i="4"/>
  <c r="Q69" i="4" s="1"/>
  <c r="H69" i="4"/>
  <c r="N69" i="4" s="1"/>
  <c r="G69" i="4"/>
  <c r="P69" i="4" s="1"/>
  <c r="F69" i="4"/>
  <c r="E69" i="4"/>
  <c r="AK68" i="4"/>
  <c r="AJ68" i="4"/>
  <c r="AL68" i="4" s="1"/>
  <c r="AH68" i="4"/>
  <c r="AF68" i="4"/>
  <c r="AE68" i="4"/>
  <c r="AI68" i="4" s="1"/>
  <c r="AD68" i="4"/>
  <c r="AG68" i="4" s="1"/>
  <c r="AB68" i="4"/>
  <c r="Z68" i="4"/>
  <c r="Y68" i="4"/>
  <c r="AC68" i="4" s="1"/>
  <c r="X68" i="4"/>
  <c r="AA68" i="4" s="1"/>
  <c r="W68" i="4"/>
  <c r="T68" i="4"/>
  <c r="S68" i="4"/>
  <c r="V68" i="4" s="1"/>
  <c r="R68" i="4"/>
  <c r="U68" i="4" s="1"/>
  <c r="O68" i="4"/>
  <c r="L68" i="4"/>
  <c r="I68" i="4"/>
  <c r="Q68" i="4" s="1"/>
  <c r="H68" i="4"/>
  <c r="N68" i="4" s="1"/>
  <c r="G68" i="4"/>
  <c r="P68" i="4" s="1"/>
  <c r="F68" i="4"/>
  <c r="E68" i="4"/>
  <c r="AK67" i="4"/>
  <c r="AJ67" i="4"/>
  <c r="AH67" i="4"/>
  <c r="AF67" i="4"/>
  <c r="AE67" i="4"/>
  <c r="AD67" i="4"/>
  <c r="AB67" i="4"/>
  <c r="Z67" i="4"/>
  <c r="Y67" i="4"/>
  <c r="X67" i="4"/>
  <c r="W67" i="4"/>
  <c r="T67" i="4"/>
  <c r="S67" i="4"/>
  <c r="V67" i="4" s="1"/>
  <c r="R67" i="4"/>
  <c r="U67" i="4" s="1"/>
  <c r="O67" i="4"/>
  <c r="L67" i="4"/>
  <c r="I67" i="4"/>
  <c r="Q67" i="4" s="1"/>
  <c r="H67" i="4"/>
  <c r="G67" i="4"/>
  <c r="P67" i="4" s="1"/>
  <c r="F67" i="4"/>
  <c r="E67" i="4"/>
  <c r="AL66" i="4"/>
  <c r="AK66" i="4"/>
  <c r="AJ66" i="4"/>
  <c r="AH66" i="4"/>
  <c r="AG66" i="4"/>
  <c r="AF66" i="4"/>
  <c r="AE66" i="4"/>
  <c r="AI66" i="4" s="1"/>
  <c r="AD66" i="4"/>
  <c r="AB66" i="4"/>
  <c r="AA66" i="4"/>
  <c r="Z66" i="4"/>
  <c r="Y66" i="4"/>
  <c r="AC66" i="4" s="1"/>
  <c r="X66" i="4"/>
  <c r="W66" i="4"/>
  <c r="T66" i="4"/>
  <c r="S66" i="4"/>
  <c r="V66" i="4" s="1"/>
  <c r="R66" i="4"/>
  <c r="U66" i="4" s="1"/>
  <c r="O66" i="4"/>
  <c r="L66" i="4"/>
  <c r="I66" i="4"/>
  <c r="Q66" i="4" s="1"/>
  <c r="H66" i="4"/>
  <c r="N66" i="4" s="1"/>
  <c r="G66" i="4"/>
  <c r="P66" i="4" s="1"/>
  <c r="F66" i="4"/>
  <c r="E66" i="4"/>
  <c r="AK65" i="4"/>
  <c r="AJ65" i="4"/>
  <c r="AL65" i="4" s="1"/>
  <c r="AH65" i="4"/>
  <c r="AF65" i="4"/>
  <c r="AE65" i="4"/>
  <c r="AD65" i="4"/>
  <c r="AB65" i="4"/>
  <c r="Z65" i="4"/>
  <c r="Y65" i="4"/>
  <c r="X65" i="4"/>
  <c r="AA65" i="4" s="1"/>
  <c r="W65" i="4"/>
  <c r="T65" i="4"/>
  <c r="S65" i="4"/>
  <c r="R65" i="4"/>
  <c r="O65" i="4"/>
  <c r="L65" i="4"/>
  <c r="I65" i="4"/>
  <c r="Q65" i="4" s="1"/>
  <c r="H65" i="4"/>
  <c r="G65" i="4"/>
  <c r="P65" i="4" s="1"/>
  <c r="F65" i="4"/>
  <c r="E65" i="4"/>
  <c r="AL64" i="4"/>
  <c r="AK64" i="4"/>
  <c r="AJ64" i="4"/>
  <c r="AH64" i="4"/>
  <c r="AF64" i="4"/>
  <c r="AE64" i="4"/>
  <c r="AI64" i="4" s="1"/>
  <c r="AD64" i="4"/>
  <c r="AG64" i="4" s="1"/>
  <c r="AB64" i="4"/>
  <c r="Z64" i="4"/>
  <c r="Y64" i="4"/>
  <c r="AC64" i="4" s="1"/>
  <c r="X64" i="4"/>
  <c r="AA64" i="4" s="1"/>
  <c r="W64" i="4"/>
  <c r="T64" i="4"/>
  <c r="S64" i="4"/>
  <c r="V64" i="4" s="1"/>
  <c r="R64" i="4"/>
  <c r="U64" i="4" s="1"/>
  <c r="O64" i="4"/>
  <c r="L64" i="4"/>
  <c r="I64" i="4"/>
  <c r="Q64" i="4" s="1"/>
  <c r="H64" i="4"/>
  <c r="N64" i="4" s="1"/>
  <c r="G64" i="4"/>
  <c r="P64" i="4" s="1"/>
  <c r="F64" i="4"/>
  <c r="E64" i="4"/>
  <c r="AK63" i="4"/>
  <c r="AJ63" i="4"/>
  <c r="AL63" i="4" s="1"/>
  <c r="AH63" i="4"/>
  <c r="AF63" i="4"/>
  <c r="AE63" i="4"/>
  <c r="AD63" i="4"/>
  <c r="AG63" i="4" s="1"/>
  <c r="AB63" i="4"/>
  <c r="AA63" i="4"/>
  <c r="Z63" i="4"/>
  <c r="Y63" i="4"/>
  <c r="AC63" i="4" s="1"/>
  <c r="X63" i="4"/>
  <c r="W63" i="4"/>
  <c r="T63" i="4"/>
  <c r="S63" i="4"/>
  <c r="R63" i="4"/>
  <c r="O63" i="4"/>
  <c r="L63" i="4"/>
  <c r="I63" i="4"/>
  <c r="Q63" i="4" s="1"/>
  <c r="H63" i="4"/>
  <c r="N63" i="4" s="1"/>
  <c r="G63" i="4"/>
  <c r="P63" i="4" s="1"/>
  <c r="F63" i="4"/>
  <c r="E63" i="4"/>
  <c r="AK62" i="4"/>
  <c r="AJ62" i="4"/>
  <c r="AL62" i="4" s="1"/>
  <c r="AI62" i="4"/>
  <c r="AH62" i="4"/>
  <c r="AF62" i="4"/>
  <c r="AE62" i="4"/>
  <c r="AD62" i="4"/>
  <c r="AG62" i="4" s="1"/>
  <c r="AB62" i="4"/>
  <c r="Z62" i="4"/>
  <c r="Y62" i="4"/>
  <c r="AC62" i="4" s="1"/>
  <c r="X62" i="4"/>
  <c r="AA62" i="4" s="1"/>
  <c r="W62" i="4"/>
  <c r="T62" i="4"/>
  <c r="S62" i="4"/>
  <c r="V62" i="4" s="1"/>
  <c r="R62" i="4"/>
  <c r="U62" i="4" s="1"/>
  <c r="O62" i="4"/>
  <c r="L62" i="4"/>
  <c r="I62" i="4"/>
  <c r="Q62" i="4" s="1"/>
  <c r="H62" i="4"/>
  <c r="N62" i="4" s="1"/>
  <c r="G62" i="4"/>
  <c r="P62" i="4" s="1"/>
  <c r="F62" i="4"/>
  <c r="E62" i="4"/>
  <c r="AK61" i="4"/>
  <c r="AJ61" i="4"/>
  <c r="AL61" i="4" s="1"/>
  <c r="AH61" i="4"/>
  <c r="AF61" i="4"/>
  <c r="AE61" i="4"/>
  <c r="AI61" i="4" s="1"/>
  <c r="AD61" i="4"/>
  <c r="AG61" i="4" s="1"/>
  <c r="AB61" i="4"/>
  <c r="Z61" i="4"/>
  <c r="Y61" i="4"/>
  <c r="AC61" i="4" s="1"/>
  <c r="X61" i="4"/>
  <c r="AA61" i="4" s="1"/>
  <c r="W61" i="4"/>
  <c r="T61" i="4"/>
  <c r="S61" i="4"/>
  <c r="V61" i="4" s="1"/>
  <c r="R61" i="4"/>
  <c r="U61" i="4" s="1"/>
  <c r="O61" i="4"/>
  <c r="L61" i="4"/>
  <c r="I61" i="4"/>
  <c r="Q61" i="4" s="1"/>
  <c r="H61" i="4"/>
  <c r="N61" i="4" s="1"/>
  <c r="G61" i="4"/>
  <c r="P61" i="4" s="1"/>
  <c r="F61" i="4"/>
  <c r="E61" i="4"/>
  <c r="AK60" i="4"/>
  <c r="AJ60" i="4"/>
  <c r="AL60" i="4" s="1"/>
  <c r="AH60" i="4"/>
  <c r="AF60" i="4"/>
  <c r="AE60" i="4"/>
  <c r="AI60" i="4" s="1"/>
  <c r="AD60" i="4"/>
  <c r="AG60" i="4" s="1"/>
  <c r="AB60" i="4"/>
  <c r="Z60" i="4"/>
  <c r="Y60" i="4"/>
  <c r="AC60" i="4" s="1"/>
  <c r="X60" i="4"/>
  <c r="AA60" i="4" s="1"/>
  <c r="W60" i="4"/>
  <c r="T60" i="4"/>
  <c r="S60" i="4"/>
  <c r="V60" i="4" s="1"/>
  <c r="R60" i="4"/>
  <c r="U60" i="4" s="1"/>
  <c r="O60" i="4"/>
  <c r="L60" i="4"/>
  <c r="I60" i="4"/>
  <c r="Q60" i="4" s="1"/>
  <c r="H60" i="4"/>
  <c r="N60" i="4" s="1"/>
  <c r="G60" i="4"/>
  <c r="P60" i="4" s="1"/>
  <c r="F60" i="4"/>
  <c r="E60" i="4"/>
  <c r="AK59" i="4"/>
  <c r="AJ59" i="4"/>
  <c r="AL59" i="4" s="1"/>
  <c r="AH59" i="4"/>
  <c r="AF59" i="4"/>
  <c r="AE59" i="4"/>
  <c r="AI59" i="4" s="1"/>
  <c r="AD59" i="4"/>
  <c r="AG59" i="4" s="1"/>
  <c r="AB59" i="4"/>
  <c r="Z59" i="4"/>
  <c r="Y59" i="4"/>
  <c r="AC59" i="4" s="1"/>
  <c r="X59" i="4"/>
  <c r="AA59" i="4" s="1"/>
  <c r="W59" i="4"/>
  <c r="T59" i="4"/>
  <c r="S59" i="4"/>
  <c r="V59" i="4" s="1"/>
  <c r="R59" i="4"/>
  <c r="U59" i="4" s="1"/>
  <c r="O59" i="4"/>
  <c r="L59" i="4"/>
  <c r="I59" i="4"/>
  <c r="Q59" i="4" s="1"/>
  <c r="H59" i="4"/>
  <c r="N59" i="4" s="1"/>
  <c r="G59" i="4"/>
  <c r="P59" i="4" s="1"/>
  <c r="F59" i="4"/>
  <c r="E59" i="4"/>
  <c r="AK58" i="4"/>
  <c r="AJ58" i="4"/>
  <c r="AL58" i="4" s="1"/>
  <c r="AH58" i="4"/>
  <c r="AF58" i="4"/>
  <c r="AE58" i="4"/>
  <c r="AD58" i="4"/>
  <c r="AG58" i="4" s="1"/>
  <c r="AB58" i="4"/>
  <c r="Z58" i="4"/>
  <c r="Y58" i="4"/>
  <c r="X58" i="4"/>
  <c r="AA58" i="4" s="1"/>
  <c r="W58" i="4"/>
  <c r="T58" i="4"/>
  <c r="S58" i="4"/>
  <c r="V58" i="4" s="1"/>
  <c r="R58" i="4"/>
  <c r="O58" i="4"/>
  <c r="L58" i="4"/>
  <c r="I58" i="4"/>
  <c r="Q58" i="4" s="1"/>
  <c r="H58" i="4"/>
  <c r="N58" i="4" s="1"/>
  <c r="G58" i="4"/>
  <c r="P58" i="4" s="1"/>
  <c r="F58" i="4"/>
  <c r="E58" i="4"/>
  <c r="AK57" i="4"/>
  <c r="AJ57" i="4"/>
  <c r="AL57" i="4" s="1"/>
  <c r="AI57" i="4"/>
  <c r="AH57" i="4"/>
  <c r="AF57" i="4"/>
  <c r="AE57" i="4"/>
  <c r="AD57" i="4"/>
  <c r="AG57" i="4" s="1"/>
  <c r="AC57" i="4"/>
  <c r="AB57" i="4"/>
  <c r="Z57" i="4"/>
  <c r="Y57" i="4"/>
  <c r="X57" i="4"/>
  <c r="AA57" i="4" s="1"/>
  <c r="W57" i="4"/>
  <c r="U57" i="4"/>
  <c r="T57" i="4"/>
  <c r="S57" i="4"/>
  <c r="V57" i="4" s="1"/>
  <c r="R57" i="4"/>
  <c r="O57" i="4"/>
  <c r="L57" i="4"/>
  <c r="I57" i="4"/>
  <c r="Q57" i="4" s="1"/>
  <c r="H57" i="4"/>
  <c r="N57" i="4" s="1"/>
  <c r="G57" i="4"/>
  <c r="P57" i="4" s="1"/>
  <c r="F57" i="4"/>
  <c r="E57" i="4"/>
  <c r="D57" i="4" s="1"/>
  <c r="M57" i="4" s="1"/>
  <c r="AL56" i="4"/>
  <c r="AK56" i="4"/>
  <c r="AJ56" i="4"/>
  <c r="AH56" i="4"/>
  <c r="AF56" i="4"/>
  <c r="AE56" i="4"/>
  <c r="AI56" i="4" s="1"/>
  <c r="AD56" i="4"/>
  <c r="AB56" i="4"/>
  <c r="Z56" i="4"/>
  <c r="Y56" i="4"/>
  <c r="AC56" i="4" s="1"/>
  <c r="X56" i="4"/>
  <c r="AA56" i="4" s="1"/>
  <c r="W56" i="4"/>
  <c r="T56" i="4"/>
  <c r="S56" i="4"/>
  <c r="R56" i="4"/>
  <c r="O56" i="4"/>
  <c r="L56" i="4"/>
  <c r="I56" i="4"/>
  <c r="Q56" i="4" s="1"/>
  <c r="H56" i="4"/>
  <c r="G56" i="4"/>
  <c r="P56" i="4" s="1"/>
  <c r="F56" i="4"/>
  <c r="E56" i="4"/>
  <c r="AK55" i="4"/>
  <c r="AJ55" i="4"/>
  <c r="AL55" i="4" s="1"/>
  <c r="AH55" i="4"/>
  <c r="AF55" i="4"/>
  <c r="AG55" i="4" s="1"/>
  <c r="AE55" i="4"/>
  <c r="AD55" i="4"/>
  <c r="AB55" i="4"/>
  <c r="Z55" i="4"/>
  <c r="Y55" i="4"/>
  <c r="AC55" i="4" s="1"/>
  <c r="X55" i="4"/>
  <c r="W55" i="4"/>
  <c r="T55" i="4"/>
  <c r="S55" i="4"/>
  <c r="V55" i="4" s="1"/>
  <c r="R55" i="4"/>
  <c r="U55" i="4" s="1"/>
  <c r="O55" i="4"/>
  <c r="L55" i="4"/>
  <c r="I55" i="4"/>
  <c r="Q55" i="4" s="1"/>
  <c r="H55" i="4"/>
  <c r="G55" i="4"/>
  <c r="P55" i="4" s="1"/>
  <c r="F55" i="4"/>
  <c r="E55" i="4"/>
  <c r="AK54" i="4"/>
  <c r="AJ54" i="4"/>
  <c r="AL54" i="4" s="1"/>
  <c r="AH54" i="4"/>
  <c r="AF54" i="4"/>
  <c r="AE54" i="4"/>
  <c r="AI54" i="4" s="1"/>
  <c r="AD54" i="4"/>
  <c r="AG54" i="4" s="1"/>
  <c r="AB54" i="4"/>
  <c r="Z54" i="4"/>
  <c r="Y54" i="4"/>
  <c r="AC54" i="4" s="1"/>
  <c r="X54" i="4"/>
  <c r="AA54" i="4" s="1"/>
  <c r="W54" i="4"/>
  <c r="T54" i="4"/>
  <c r="S54" i="4"/>
  <c r="V54" i="4" s="1"/>
  <c r="R54" i="4"/>
  <c r="U54" i="4" s="1"/>
  <c r="O54" i="4"/>
  <c r="L54" i="4"/>
  <c r="I54" i="4"/>
  <c r="Q54" i="4" s="1"/>
  <c r="H54" i="4"/>
  <c r="N54" i="4" s="1"/>
  <c r="G54" i="4"/>
  <c r="P54" i="4" s="1"/>
  <c r="F54" i="4"/>
  <c r="E54" i="4"/>
  <c r="AK53" i="4"/>
  <c r="AJ53" i="4"/>
  <c r="AH53" i="4"/>
  <c r="AF53" i="4"/>
  <c r="AE53" i="4"/>
  <c r="AD53" i="4"/>
  <c r="AB53" i="4"/>
  <c r="Z53" i="4"/>
  <c r="Y53" i="4"/>
  <c r="AC53" i="4" s="1"/>
  <c r="X53" i="4"/>
  <c r="W53" i="4"/>
  <c r="T53" i="4"/>
  <c r="S53" i="4"/>
  <c r="R53" i="4"/>
  <c r="O53" i="4"/>
  <c r="L53" i="4"/>
  <c r="I53" i="4"/>
  <c r="Q53" i="4" s="1"/>
  <c r="H53" i="4"/>
  <c r="G53" i="4"/>
  <c r="F53" i="4"/>
  <c r="E53" i="4"/>
  <c r="AK51" i="4"/>
  <c r="AJ51" i="4"/>
  <c r="AL51" i="4" s="1"/>
  <c r="AH51" i="4"/>
  <c r="AF51" i="4"/>
  <c r="AG51" i="4" s="1"/>
  <c r="AE51" i="4"/>
  <c r="AD51" i="4"/>
  <c r="AB51" i="4"/>
  <c r="AA51" i="4"/>
  <c r="Z51" i="4"/>
  <c r="Y51" i="4"/>
  <c r="AC51" i="4" s="1"/>
  <c r="X51" i="4"/>
  <c r="W51" i="4"/>
  <c r="T51" i="4"/>
  <c r="S51" i="4"/>
  <c r="V51" i="4" s="1"/>
  <c r="R51" i="4"/>
  <c r="U51" i="4" s="1"/>
  <c r="O51" i="4"/>
  <c r="L51" i="4"/>
  <c r="I51" i="4"/>
  <c r="Q51" i="4" s="1"/>
  <c r="H51" i="4"/>
  <c r="G51" i="4"/>
  <c r="P51" i="4" s="1"/>
  <c r="F51" i="4"/>
  <c r="E51" i="4"/>
  <c r="AK50" i="4"/>
  <c r="AJ50" i="4"/>
  <c r="AL50" i="4" s="1"/>
  <c r="AH50" i="4"/>
  <c r="AF50" i="4"/>
  <c r="AE50" i="4"/>
  <c r="AI50" i="4" s="1"/>
  <c r="AD50" i="4"/>
  <c r="AG50" i="4" s="1"/>
  <c r="AB50" i="4"/>
  <c r="Z50" i="4"/>
  <c r="Y50" i="4"/>
  <c r="AC50" i="4" s="1"/>
  <c r="X50" i="4"/>
  <c r="AA50" i="4" s="1"/>
  <c r="W50" i="4"/>
  <c r="T50" i="4"/>
  <c r="S50" i="4"/>
  <c r="V50" i="4" s="1"/>
  <c r="R50" i="4"/>
  <c r="U50" i="4" s="1"/>
  <c r="O50" i="4"/>
  <c r="L50" i="4"/>
  <c r="I50" i="4"/>
  <c r="Q50" i="4" s="1"/>
  <c r="H50" i="4"/>
  <c r="N50" i="4" s="1"/>
  <c r="G50" i="4"/>
  <c r="P50" i="4" s="1"/>
  <c r="F50" i="4"/>
  <c r="E50" i="4"/>
  <c r="AK49" i="4"/>
  <c r="AJ49" i="4"/>
  <c r="AL49" i="4" s="1"/>
  <c r="AH49" i="4"/>
  <c r="AF49" i="4"/>
  <c r="AE49" i="4"/>
  <c r="AI49" i="4" s="1"/>
  <c r="AD49" i="4"/>
  <c r="AG49" i="4" s="1"/>
  <c r="AB49" i="4"/>
  <c r="Z49" i="4"/>
  <c r="Y49" i="4"/>
  <c r="AC49" i="4" s="1"/>
  <c r="X49" i="4"/>
  <c r="AA49" i="4" s="1"/>
  <c r="W49" i="4"/>
  <c r="T49" i="4"/>
  <c r="S49" i="4"/>
  <c r="V49" i="4" s="1"/>
  <c r="R49" i="4"/>
  <c r="U49" i="4" s="1"/>
  <c r="O49" i="4"/>
  <c r="L49" i="4"/>
  <c r="I49" i="4"/>
  <c r="Q49" i="4" s="1"/>
  <c r="H49" i="4"/>
  <c r="N49" i="4" s="1"/>
  <c r="G49" i="4"/>
  <c r="P49" i="4" s="1"/>
  <c r="F49" i="4"/>
  <c r="E49" i="4"/>
  <c r="AK48" i="4"/>
  <c r="AJ48" i="4"/>
  <c r="AL48" i="4" s="1"/>
  <c r="AH48" i="4"/>
  <c r="AF48" i="4"/>
  <c r="AE48" i="4"/>
  <c r="AI48" i="4" s="1"/>
  <c r="AD48" i="4"/>
  <c r="AG48" i="4" s="1"/>
  <c r="AB48" i="4"/>
  <c r="Z48" i="4"/>
  <c r="Y48" i="4"/>
  <c r="AC48" i="4" s="1"/>
  <c r="X48" i="4"/>
  <c r="AA48" i="4" s="1"/>
  <c r="W48" i="4"/>
  <c r="T48" i="4"/>
  <c r="S48" i="4"/>
  <c r="V48" i="4" s="1"/>
  <c r="R48" i="4"/>
  <c r="U48" i="4" s="1"/>
  <c r="O48" i="4"/>
  <c r="L48" i="4"/>
  <c r="I48" i="4"/>
  <c r="Q48" i="4" s="1"/>
  <c r="H48" i="4"/>
  <c r="N48" i="4" s="1"/>
  <c r="G48" i="4"/>
  <c r="P48" i="4" s="1"/>
  <c r="F48" i="4"/>
  <c r="E48" i="4"/>
  <c r="D48" i="4" s="1"/>
  <c r="M48" i="4" s="1"/>
  <c r="AK47" i="4"/>
  <c r="AJ47" i="4"/>
  <c r="AL47" i="4" s="1"/>
  <c r="AH47" i="4"/>
  <c r="AF47" i="4"/>
  <c r="AE47" i="4"/>
  <c r="AD47" i="4"/>
  <c r="AG47" i="4" s="1"/>
  <c r="AB47" i="4"/>
  <c r="Z47" i="4"/>
  <c r="Y47" i="4"/>
  <c r="AC47" i="4" s="1"/>
  <c r="X47" i="4"/>
  <c r="AA47" i="4" s="1"/>
  <c r="W47" i="4"/>
  <c r="T47" i="4"/>
  <c r="S47" i="4"/>
  <c r="R47" i="4"/>
  <c r="O47" i="4"/>
  <c r="L47" i="4"/>
  <c r="I47" i="4"/>
  <c r="Q47" i="4" s="1"/>
  <c r="H47" i="4"/>
  <c r="G47" i="4"/>
  <c r="P47" i="4" s="1"/>
  <c r="F47" i="4"/>
  <c r="E47" i="4"/>
  <c r="AK46" i="4"/>
  <c r="AJ46" i="4"/>
  <c r="AL46" i="4" s="1"/>
  <c r="AH46" i="4"/>
  <c r="AF46" i="4"/>
  <c r="AE46" i="4"/>
  <c r="AI46" i="4" s="1"/>
  <c r="AD46" i="4"/>
  <c r="AG46" i="4" s="1"/>
  <c r="AB46" i="4"/>
  <c r="Z46" i="4"/>
  <c r="Y46" i="4"/>
  <c r="AC46" i="4" s="1"/>
  <c r="X46" i="4"/>
  <c r="AA46" i="4" s="1"/>
  <c r="W46" i="4"/>
  <c r="T46" i="4"/>
  <c r="S46" i="4"/>
  <c r="V46" i="4" s="1"/>
  <c r="R46" i="4"/>
  <c r="U46" i="4" s="1"/>
  <c r="O46" i="4"/>
  <c r="L46" i="4"/>
  <c r="I46" i="4"/>
  <c r="Q46" i="4" s="1"/>
  <c r="H46" i="4"/>
  <c r="N46" i="4" s="1"/>
  <c r="G46" i="4"/>
  <c r="P46" i="4" s="1"/>
  <c r="F46" i="4"/>
  <c r="E46" i="4"/>
  <c r="D46" i="4" s="1"/>
  <c r="M46" i="4" s="1"/>
  <c r="AK45" i="4"/>
  <c r="AJ45" i="4"/>
  <c r="AL45" i="4" s="1"/>
  <c r="AH45" i="4"/>
  <c r="AF45" i="4"/>
  <c r="AE45" i="4"/>
  <c r="AD45" i="4"/>
  <c r="AB45" i="4"/>
  <c r="Z45" i="4"/>
  <c r="Y45" i="4"/>
  <c r="AC45" i="4" s="1"/>
  <c r="X45" i="4"/>
  <c r="AA45" i="4" s="1"/>
  <c r="W45" i="4"/>
  <c r="T45" i="4"/>
  <c r="S45" i="4"/>
  <c r="R45" i="4"/>
  <c r="U45" i="4" s="1"/>
  <c r="O45" i="4"/>
  <c r="L45" i="4"/>
  <c r="I45" i="4"/>
  <c r="Q45" i="4" s="1"/>
  <c r="H45" i="4"/>
  <c r="G45" i="4"/>
  <c r="P45" i="4" s="1"/>
  <c r="F45" i="4"/>
  <c r="E45" i="4"/>
  <c r="AK44" i="4"/>
  <c r="AJ44" i="4"/>
  <c r="AL44" i="4" s="1"/>
  <c r="AH44" i="4"/>
  <c r="AF44" i="4"/>
  <c r="AE44" i="4"/>
  <c r="AI44" i="4" s="1"/>
  <c r="AD44" i="4"/>
  <c r="AG44" i="4" s="1"/>
  <c r="AB44" i="4"/>
  <c r="Z44" i="4"/>
  <c r="Y44" i="4"/>
  <c r="AC44" i="4" s="1"/>
  <c r="X44" i="4"/>
  <c r="AA44" i="4" s="1"/>
  <c r="W44" i="4"/>
  <c r="T44" i="4"/>
  <c r="S44" i="4"/>
  <c r="V44" i="4" s="1"/>
  <c r="R44" i="4"/>
  <c r="U44" i="4" s="1"/>
  <c r="O44" i="4"/>
  <c r="L44" i="4"/>
  <c r="I44" i="4"/>
  <c r="Q44" i="4" s="1"/>
  <c r="H44" i="4"/>
  <c r="N44" i="4" s="1"/>
  <c r="G44" i="4"/>
  <c r="P44" i="4" s="1"/>
  <c r="F44" i="4"/>
  <c r="E44" i="4"/>
  <c r="AK43" i="4"/>
  <c r="AJ43" i="4"/>
  <c r="AL43" i="4" s="1"/>
  <c r="AH43" i="4"/>
  <c r="AF43" i="4"/>
  <c r="AE43" i="4"/>
  <c r="AD43" i="4"/>
  <c r="AG43" i="4" s="1"/>
  <c r="AB43" i="4"/>
  <c r="Z43" i="4"/>
  <c r="Y43" i="4"/>
  <c r="AC43" i="4" s="1"/>
  <c r="X43" i="4"/>
  <c r="AA43" i="4" s="1"/>
  <c r="W43" i="4"/>
  <c r="T43" i="4"/>
  <c r="S43" i="4"/>
  <c r="R43" i="4"/>
  <c r="O43" i="4"/>
  <c r="L43" i="4"/>
  <c r="I43" i="4"/>
  <c r="Q43" i="4" s="1"/>
  <c r="H43" i="4"/>
  <c r="G43" i="4"/>
  <c r="P43" i="4" s="1"/>
  <c r="F43" i="4"/>
  <c r="E43" i="4"/>
  <c r="AK42" i="4"/>
  <c r="AJ42" i="4"/>
  <c r="AL42" i="4" s="1"/>
  <c r="AH42" i="4"/>
  <c r="AG42" i="4"/>
  <c r="AF42" i="4"/>
  <c r="AE42" i="4"/>
  <c r="AI42" i="4" s="1"/>
  <c r="AD42" i="4"/>
  <c r="AB42" i="4"/>
  <c r="AA42" i="4"/>
  <c r="Z42" i="4"/>
  <c r="Y42" i="4"/>
  <c r="AC42" i="4" s="1"/>
  <c r="X42" i="4"/>
  <c r="W42" i="4"/>
  <c r="T42" i="4"/>
  <c r="S42" i="4"/>
  <c r="V42" i="4" s="1"/>
  <c r="R42" i="4"/>
  <c r="U42" i="4" s="1"/>
  <c r="O42" i="4"/>
  <c r="L42" i="4"/>
  <c r="I42" i="4"/>
  <c r="Q42" i="4" s="1"/>
  <c r="H42" i="4"/>
  <c r="N42" i="4" s="1"/>
  <c r="G42" i="4"/>
  <c r="P42" i="4" s="1"/>
  <c r="F42" i="4"/>
  <c r="E42" i="4"/>
  <c r="AK41" i="4"/>
  <c r="AJ41" i="4"/>
  <c r="AL41" i="4" s="1"/>
  <c r="AH41" i="4"/>
  <c r="AF41" i="4"/>
  <c r="AE41" i="4"/>
  <c r="AD41" i="4"/>
  <c r="AB41" i="4"/>
  <c r="Z41" i="4"/>
  <c r="Y41" i="4"/>
  <c r="AC41" i="4" s="1"/>
  <c r="X41" i="4"/>
  <c r="AA41" i="4" s="1"/>
  <c r="W41" i="4"/>
  <c r="T41" i="4"/>
  <c r="S41" i="4"/>
  <c r="R41" i="4"/>
  <c r="U41" i="4" s="1"/>
  <c r="O41" i="4"/>
  <c r="L41" i="4"/>
  <c r="I41" i="4"/>
  <c r="Q41" i="4" s="1"/>
  <c r="H41" i="4"/>
  <c r="G41" i="4"/>
  <c r="P41" i="4" s="1"/>
  <c r="F41" i="4"/>
  <c r="E41" i="4"/>
  <c r="AK40" i="4"/>
  <c r="AJ40" i="4"/>
  <c r="AL40" i="4" s="1"/>
  <c r="AH40" i="4"/>
  <c r="AF40" i="4"/>
  <c r="AE40" i="4"/>
  <c r="AD40" i="4"/>
  <c r="AB40" i="4"/>
  <c r="Z40" i="4"/>
  <c r="Y40" i="4"/>
  <c r="AC40" i="4" s="1"/>
  <c r="X40" i="4"/>
  <c r="AA40" i="4" s="1"/>
  <c r="W40" i="4"/>
  <c r="T40" i="4"/>
  <c r="S40" i="4"/>
  <c r="V40" i="4" s="1"/>
  <c r="R40" i="4"/>
  <c r="U40" i="4" s="1"/>
  <c r="O40" i="4"/>
  <c r="L40" i="4"/>
  <c r="J40" i="4" s="1"/>
  <c r="I40" i="4"/>
  <c r="Q40" i="4" s="1"/>
  <c r="H40" i="4"/>
  <c r="G40" i="4"/>
  <c r="P40" i="4" s="1"/>
  <c r="F40" i="4"/>
  <c r="E40" i="4"/>
  <c r="AK39" i="4"/>
  <c r="AJ39" i="4"/>
  <c r="AL39" i="4" s="1"/>
  <c r="AH39" i="4"/>
  <c r="AF39" i="4"/>
  <c r="AE39" i="4"/>
  <c r="AD39" i="4"/>
  <c r="AB39" i="4"/>
  <c r="Z39" i="4"/>
  <c r="Y39" i="4"/>
  <c r="AC39" i="4" s="1"/>
  <c r="X39" i="4"/>
  <c r="AA39" i="4" s="1"/>
  <c r="W39" i="4"/>
  <c r="T39" i="4"/>
  <c r="S39" i="4"/>
  <c r="R39" i="4"/>
  <c r="O39" i="4"/>
  <c r="L39" i="4"/>
  <c r="I39" i="4"/>
  <c r="Q39" i="4" s="1"/>
  <c r="H39" i="4"/>
  <c r="G39" i="4"/>
  <c r="P39" i="4" s="1"/>
  <c r="F39" i="4"/>
  <c r="E39" i="4"/>
  <c r="AL38" i="4"/>
  <c r="AK38" i="4"/>
  <c r="AJ38" i="4"/>
  <c r="AH38" i="4"/>
  <c r="AF38" i="4"/>
  <c r="AE38" i="4"/>
  <c r="AI38" i="4" s="1"/>
  <c r="AD38" i="4"/>
  <c r="AG38" i="4" s="1"/>
  <c r="AB38" i="4"/>
  <c r="Z38" i="4"/>
  <c r="Y38" i="4"/>
  <c r="AC38" i="4" s="1"/>
  <c r="X38" i="4"/>
  <c r="AA38" i="4" s="1"/>
  <c r="W38" i="4"/>
  <c r="T38" i="4"/>
  <c r="S38" i="4"/>
  <c r="R38" i="4"/>
  <c r="U38" i="4" s="1"/>
  <c r="O38" i="4"/>
  <c r="L38" i="4"/>
  <c r="I38" i="4"/>
  <c r="Q38" i="4" s="1"/>
  <c r="H38" i="4"/>
  <c r="N38" i="4" s="1"/>
  <c r="G38" i="4"/>
  <c r="F38" i="4"/>
  <c r="E38" i="4"/>
  <c r="AK37" i="4"/>
  <c r="AJ37" i="4"/>
  <c r="AL37" i="4" s="1"/>
  <c r="AH37" i="4"/>
  <c r="AF37" i="4"/>
  <c r="AE37" i="4"/>
  <c r="AD37" i="4"/>
  <c r="AG37" i="4" s="1"/>
  <c r="AB37" i="4"/>
  <c r="AA37" i="4"/>
  <c r="Z37" i="4"/>
  <c r="Y37" i="4"/>
  <c r="AC37" i="4" s="1"/>
  <c r="X37" i="4"/>
  <c r="W37" i="4"/>
  <c r="T37" i="4"/>
  <c r="S37" i="4"/>
  <c r="R37" i="4"/>
  <c r="U37" i="4" s="1"/>
  <c r="O37" i="4"/>
  <c r="L37" i="4"/>
  <c r="I37" i="4"/>
  <c r="Q37" i="4" s="1"/>
  <c r="H37" i="4"/>
  <c r="G37" i="4"/>
  <c r="P37" i="4" s="1"/>
  <c r="F37" i="4"/>
  <c r="E37" i="4"/>
  <c r="AK36" i="4"/>
  <c r="AJ36" i="4"/>
  <c r="AH36" i="4"/>
  <c r="AF36" i="4"/>
  <c r="AE36" i="4"/>
  <c r="AI36" i="4" s="1"/>
  <c r="AD36" i="4"/>
  <c r="AB36" i="4"/>
  <c r="Z36" i="4"/>
  <c r="Y36" i="4"/>
  <c r="X36" i="4"/>
  <c r="W36" i="4"/>
  <c r="T36" i="4"/>
  <c r="S36" i="4"/>
  <c r="V36" i="4" s="1"/>
  <c r="R36" i="4"/>
  <c r="U36" i="4" s="1"/>
  <c r="O36" i="4"/>
  <c r="L36" i="4"/>
  <c r="I36" i="4"/>
  <c r="Q36" i="4" s="1"/>
  <c r="H36" i="4"/>
  <c r="G36" i="4"/>
  <c r="P36" i="4" s="1"/>
  <c r="F36" i="4"/>
  <c r="E36" i="4"/>
  <c r="AK35" i="4"/>
  <c r="AJ35" i="4"/>
  <c r="AL35" i="4" s="1"/>
  <c r="AH35" i="4"/>
  <c r="AF35" i="4"/>
  <c r="AE35" i="4"/>
  <c r="AD35" i="4"/>
  <c r="AG35" i="4" s="1"/>
  <c r="AB35" i="4"/>
  <c r="Z35" i="4"/>
  <c r="Y35" i="4"/>
  <c r="AC35" i="4" s="1"/>
  <c r="X35" i="4"/>
  <c r="W35" i="4"/>
  <c r="T35" i="4"/>
  <c r="S35" i="4"/>
  <c r="R35" i="4"/>
  <c r="U35" i="4" s="1"/>
  <c r="O35" i="4"/>
  <c r="L35" i="4"/>
  <c r="I35" i="4"/>
  <c r="Q35" i="4" s="1"/>
  <c r="H35" i="4"/>
  <c r="N35" i="4" s="1"/>
  <c r="G35" i="4"/>
  <c r="P35" i="4" s="1"/>
  <c r="F35" i="4"/>
  <c r="E35" i="4"/>
  <c r="AK34" i="4"/>
  <c r="AJ34" i="4"/>
  <c r="AL34" i="4" s="1"/>
  <c r="AH34" i="4"/>
  <c r="AF34" i="4"/>
  <c r="AE34" i="4"/>
  <c r="AI34" i="4" s="1"/>
  <c r="AD34" i="4"/>
  <c r="AG34" i="4" s="1"/>
  <c r="AB34" i="4"/>
  <c r="Z34" i="4"/>
  <c r="Y34" i="4"/>
  <c r="AC34" i="4" s="1"/>
  <c r="X34" i="4"/>
  <c r="AA34" i="4" s="1"/>
  <c r="W34" i="4"/>
  <c r="T34" i="4"/>
  <c r="S34" i="4"/>
  <c r="V34" i="4" s="1"/>
  <c r="R34" i="4"/>
  <c r="U34" i="4" s="1"/>
  <c r="O34" i="4"/>
  <c r="L34" i="4"/>
  <c r="I34" i="4"/>
  <c r="Q34" i="4" s="1"/>
  <c r="H34" i="4"/>
  <c r="N34" i="4" s="1"/>
  <c r="G34" i="4"/>
  <c r="P34" i="4" s="1"/>
  <c r="F34" i="4"/>
  <c r="E34" i="4"/>
  <c r="AK33" i="4"/>
  <c r="AJ33" i="4"/>
  <c r="AL33" i="4" s="1"/>
  <c r="AH33" i="4"/>
  <c r="AF33" i="4"/>
  <c r="AE33" i="4"/>
  <c r="AD33" i="4"/>
  <c r="AG33" i="4" s="1"/>
  <c r="AB33" i="4"/>
  <c r="AA33" i="4"/>
  <c r="Z33" i="4"/>
  <c r="Y33" i="4"/>
  <c r="AC33" i="4" s="1"/>
  <c r="X33" i="4"/>
  <c r="W33" i="4"/>
  <c r="T33" i="4"/>
  <c r="S33" i="4"/>
  <c r="R33" i="4"/>
  <c r="O33" i="4"/>
  <c r="L33" i="4"/>
  <c r="I33" i="4"/>
  <c r="Q33" i="4" s="1"/>
  <c r="H33" i="4"/>
  <c r="G33" i="4"/>
  <c r="P33" i="4" s="1"/>
  <c r="F33" i="4"/>
  <c r="E33" i="4"/>
  <c r="AK32" i="4"/>
  <c r="AJ32" i="4"/>
  <c r="AH32" i="4"/>
  <c r="AF32" i="4"/>
  <c r="AE32" i="4"/>
  <c r="AI32" i="4" s="1"/>
  <c r="AD32" i="4"/>
  <c r="AG32" i="4" s="1"/>
  <c r="AB32" i="4"/>
  <c r="Z32" i="4"/>
  <c r="Y32" i="4"/>
  <c r="AC32" i="4" s="1"/>
  <c r="X32" i="4"/>
  <c r="AA32" i="4" s="1"/>
  <c r="W32" i="4"/>
  <c r="T32" i="4"/>
  <c r="S32" i="4"/>
  <c r="V32" i="4" s="1"/>
  <c r="R32" i="4"/>
  <c r="U32" i="4" s="1"/>
  <c r="O32" i="4"/>
  <c r="L32" i="4"/>
  <c r="I32" i="4"/>
  <c r="Q32" i="4" s="1"/>
  <c r="H32" i="4"/>
  <c r="N32" i="4" s="1"/>
  <c r="G32" i="4"/>
  <c r="P32" i="4" s="1"/>
  <c r="F32" i="4"/>
  <c r="E32" i="4"/>
  <c r="AK30" i="4"/>
  <c r="AJ30" i="4"/>
  <c r="AH30" i="4"/>
  <c r="AF30" i="4"/>
  <c r="AE30" i="4"/>
  <c r="AD30" i="4"/>
  <c r="AB30" i="4"/>
  <c r="Z30" i="4"/>
  <c r="Y30" i="4"/>
  <c r="X30" i="4"/>
  <c r="AA30" i="4" s="1"/>
  <c r="W30" i="4"/>
  <c r="U30" i="4"/>
  <c r="T30" i="4"/>
  <c r="S30" i="4"/>
  <c r="R30" i="4"/>
  <c r="O30" i="4"/>
  <c r="L30" i="4"/>
  <c r="I30" i="4"/>
  <c r="Q30" i="4" s="1"/>
  <c r="H30" i="4"/>
  <c r="G30" i="4"/>
  <c r="P30" i="4" s="1"/>
  <c r="F30" i="4"/>
  <c r="E30" i="4"/>
  <c r="D30" i="4" s="1"/>
  <c r="AK29" i="4"/>
  <c r="AJ29" i="4"/>
  <c r="AH29" i="4"/>
  <c r="AF29" i="4"/>
  <c r="AE29" i="4"/>
  <c r="AI29" i="4" s="1"/>
  <c r="AD29" i="4"/>
  <c r="AB29" i="4"/>
  <c r="Z29" i="4"/>
  <c r="Y29" i="4"/>
  <c r="X29" i="4"/>
  <c r="W29" i="4"/>
  <c r="T29" i="4"/>
  <c r="S29" i="4"/>
  <c r="R29" i="4"/>
  <c r="U29" i="4" s="1"/>
  <c r="O29" i="4"/>
  <c r="L29" i="4"/>
  <c r="I29" i="4"/>
  <c r="Q29" i="4" s="1"/>
  <c r="H29" i="4"/>
  <c r="G29" i="4"/>
  <c r="P29" i="4" s="1"/>
  <c r="F29" i="4"/>
  <c r="E29" i="4"/>
  <c r="AK28" i="4"/>
  <c r="AJ28" i="4"/>
  <c r="AL28" i="4" s="1"/>
  <c r="AH28" i="4"/>
  <c r="AG28" i="4"/>
  <c r="AF28" i="4"/>
  <c r="AE28" i="4"/>
  <c r="AI28" i="4" s="1"/>
  <c r="AD28" i="4"/>
  <c r="AB28" i="4"/>
  <c r="Z28" i="4"/>
  <c r="Y28" i="4"/>
  <c r="AC28" i="4" s="1"/>
  <c r="X28" i="4"/>
  <c r="AA28" i="4" s="1"/>
  <c r="W28" i="4"/>
  <c r="T28" i="4"/>
  <c r="S28" i="4"/>
  <c r="V28" i="4" s="1"/>
  <c r="R28" i="4"/>
  <c r="U28" i="4" s="1"/>
  <c r="O28" i="4"/>
  <c r="L28" i="4"/>
  <c r="I28" i="4"/>
  <c r="Q28" i="4" s="1"/>
  <c r="H28" i="4"/>
  <c r="N28" i="4" s="1"/>
  <c r="G28" i="4"/>
  <c r="P28" i="4" s="1"/>
  <c r="F28" i="4"/>
  <c r="E28" i="4"/>
  <c r="AK27" i="4"/>
  <c r="AJ27" i="4"/>
  <c r="AL27" i="4" s="1"/>
  <c r="AH27" i="4"/>
  <c r="AF27" i="4"/>
  <c r="AE27" i="4"/>
  <c r="AI27" i="4" s="1"/>
  <c r="AD27" i="4"/>
  <c r="AG27" i="4" s="1"/>
  <c r="AB27" i="4"/>
  <c r="Z27" i="4"/>
  <c r="Y27" i="4"/>
  <c r="AC27" i="4" s="1"/>
  <c r="X27" i="4"/>
  <c r="AA27" i="4" s="1"/>
  <c r="W27" i="4"/>
  <c r="T27" i="4"/>
  <c r="S27" i="4"/>
  <c r="V27" i="4" s="1"/>
  <c r="R27" i="4"/>
  <c r="U27" i="4" s="1"/>
  <c r="O27" i="4"/>
  <c r="L27" i="4"/>
  <c r="I27" i="4"/>
  <c r="Q27" i="4" s="1"/>
  <c r="H27" i="4"/>
  <c r="N27" i="4" s="1"/>
  <c r="G27" i="4"/>
  <c r="P27" i="4" s="1"/>
  <c r="F27" i="4"/>
  <c r="E27" i="4"/>
  <c r="D27" i="4" s="1"/>
  <c r="M27" i="4" s="1"/>
  <c r="AK26" i="4"/>
  <c r="AJ26" i="4"/>
  <c r="AH26" i="4"/>
  <c r="AF26" i="4"/>
  <c r="AE26" i="4"/>
  <c r="AD26" i="4"/>
  <c r="AB26" i="4"/>
  <c r="Z26" i="4"/>
  <c r="Y26" i="4"/>
  <c r="X26" i="4"/>
  <c r="W26" i="4"/>
  <c r="T26" i="4"/>
  <c r="S26" i="4"/>
  <c r="R26" i="4"/>
  <c r="U26" i="4" s="1"/>
  <c r="O26" i="4"/>
  <c r="L26" i="4"/>
  <c r="I26" i="4"/>
  <c r="Q26" i="4" s="1"/>
  <c r="H26" i="4"/>
  <c r="G26" i="4"/>
  <c r="P26" i="4" s="1"/>
  <c r="F26" i="4"/>
  <c r="E26" i="4"/>
  <c r="AK25" i="4"/>
  <c r="AJ25" i="4"/>
  <c r="AL25" i="4" s="1"/>
  <c r="AH25" i="4"/>
  <c r="AF25" i="4"/>
  <c r="AE25" i="4"/>
  <c r="AI25" i="4" s="1"/>
  <c r="AD25" i="4"/>
  <c r="AG25" i="4" s="1"/>
  <c r="AB25" i="4"/>
  <c r="Z25" i="4"/>
  <c r="Y25" i="4"/>
  <c r="AC25" i="4" s="1"/>
  <c r="X25" i="4"/>
  <c r="AA25" i="4" s="1"/>
  <c r="W25" i="4"/>
  <c r="T25" i="4"/>
  <c r="S25" i="4"/>
  <c r="V25" i="4" s="1"/>
  <c r="R25" i="4"/>
  <c r="U25" i="4" s="1"/>
  <c r="O25" i="4"/>
  <c r="L25" i="4"/>
  <c r="J25" i="4" s="1"/>
  <c r="I25" i="4"/>
  <c r="Q25" i="4" s="1"/>
  <c r="H25" i="4"/>
  <c r="N25" i="4" s="1"/>
  <c r="G25" i="4"/>
  <c r="P25" i="4" s="1"/>
  <c r="F25" i="4"/>
  <c r="E25" i="4"/>
  <c r="AK24" i="4"/>
  <c r="AJ24" i="4"/>
  <c r="AH24" i="4"/>
  <c r="AF24" i="4"/>
  <c r="AE24" i="4"/>
  <c r="AD24" i="4"/>
  <c r="AB24" i="4"/>
  <c r="Z24" i="4"/>
  <c r="Y24" i="4"/>
  <c r="X24" i="4"/>
  <c r="W24" i="4"/>
  <c r="T24" i="4"/>
  <c r="S24" i="4"/>
  <c r="V24" i="4" s="1"/>
  <c r="R24" i="4"/>
  <c r="O24" i="4"/>
  <c r="L24" i="4"/>
  <c r="I24" i="4"/>
  <c r="Q24" i="4" s="1"/>
  <c r="H24" i="4"/>
  <c r="G24" i="4"/>
  <c r="P24" i="4" s="1"/>
  <c r="F24" i="4"/>
  <c r="E24" i="4"/>
  <c r="AK23" i="4"/>
  <c r="AJ23" i="4"/>
  <c r="AL23" i="4" s="1"/>
  <c r="AH23" i="4"/>
  <c r="AF23" i="4"/>
  <c r="AE23" i="4"/>
  <c r="AD23" i="4"/>
  <c r="AB23" i="4"/>
  <c r="Z23" i="4"/>
  <c r="Y23" i="4"/>
  <c r="AC23" i="4" s="1"/>
  <c r="X23" i="4"/>
  <c r="AA23" i="4" s="1"/>
  <c r="W23" i="4"/>
  <c r="T23" i="4"/>
  <c r="S23" i="4"/>
  <c r="R23" i="4"/>
  <c r="O23" i="4"/>
  <c r="L23" i="4"/>
  <c r="I23" i="4"/>
  <c r="Q23" i="4" s="1"/>
  <c r="H23" i="4"/>
  <c r="G23" i="4"/>
  <c r="P23" i="4" s="1"/>
  <c r="F23" i="4"/>
  <c r="E23" i="4"/>
  <c r="AK22" i="4"/>
  <c r="AJ22" i="4"/>
  <c r="AL22" i="4" s="1"/>
  <c r="AH22" i="4"/>
  <c r="AF22" i="4"/>
  <c r="AE22" i="4"/>
  <c r="AI22" i="4" s="1"/>
  <c r="AD22" i="4"/>
  <c r="AG22" i="4" s="1"/>
  <c r="AB22" i="4"/>
  <c r="Z22" i="4"/>
  <c r="Y22" i="4"/>
  <c r="AC22" i="4" s="1"/>
  <c r="X22" i="4"/>
  <c r="AA22" i="4" s="1"/>
  <c r="W22" i="4"/>
  <c r="T22" i="4"/>
  <c r="S22" i="4"/>
  <c r="V22" i="4" s="1"/>
  <c r="R22" i="4"/>
  <c r="U22" i="4" s="1"/>
  <c r="O22" i="4"/>
  <c r="L22" i="4"/>
  <c r="J22" i="4" s="1"/>
  <c r="I22" i="4"/>
  <c r="Q22" i="4" s="1"/>
  <c r="H22" i="4"/>
  <c r="N22" i="4" s="1"/>
  <c r="G22" i="4"/>
  <c r="P22" i="4" s="1"/>
  <c r="F22" i="4"/>
  <c r="E22" i="4"/>
  <c r="AK21" i="4"/>
  <c r="AJ21" i="4"/>
  <c r="AL21" i="4" s="1"/>
  <c r="AH21" i="4"/>
  <c r="AF21" i="4"/>
  <c r="AE21" i="4"/>
  <c r="AI21" i="4" s="1"/>
  <c r="AD21" i="4"/>
  <c r="AG21" i="4" s="1"/>
  <c r="AB21" i="4"/>
  <c r="Z21" i="4"/>
  <c r="Y21" i="4"/>
  <c r="AC21" i="4" s="1"/>
  <c r="X21" i="4"/>
  <c r="AA21" i="4" s="1"/>
  <c r="W21" i="4"/>
  <c r="T21" i="4"/>
  <c r="S21" i="4"/>
  <c r="V21" i="4" s="1"/>
  <c r="R21" i="4"/>
  <c r="U21" i="4" s="1"/>
  <c r="O21" i="4"/>
  <c r="L21" i="4"/>
  <c r="I21" i="4"/>
  <c r="Q21" i="4" s="1"/>
  <c r="H21" i="4"/>
  <c r="G21" i="4"/>
  <c r="P21" i="4" s="1"/>
  <c r="F21" i="4"/>
  <c r="E21" i="4"/>
  <c r="AK20" i="4"/>
  <c r="AJ20" i="4"/>
  <c r="AH20" i="4"/>
  <c r="AF20" i="4"/>
  <c r="AE20" i="4"/>
  <c r="AD20" i="4"/>
  <c r="AB20" i="4"/>
  <c r="Z20" i="4"/>
  <c r="Y20" i="4"/>
  <c r="X20" i="4"/>
  <c r="W20" i="4"/>
  <c r="T20" i="4"/>
  <c r="S20" i="4"/>
  <c r="R20" i="4"/>
  <c r="O20" i="4"/>
  <c r="L20" i="4"/>
  <c r="I20" i="4"/>
  <c r="Q20" i="4" s="1"/>
  <c r="H20" i="4"/>
  <c r="N20" i="4" s="1"/>
  <c r="G20" i="4"/>
  <c r="P20" i="4" s="1"/>
  <c r="F20" i="4"/>
  <c r="E20" i="4"/>
  <c r="AK19" i="4"/>
  <c r="AJ19" i="4"/>
  <c r="AH19" i="4"/>
  <c r="AF19" i="4"/>
  <c r="AE19" i="4"/>
  <c r="AD19" i="4"/>
  <c r="AB19" i="4"/>
  <c r="Z19" i="4"/>
  <c r="Y19" i="4"/>
  <c r="X19" i="4"/>
  <c r="AA19" i="4" s="1"/>
  <c r="W19" i="4"/>
  <c r="T19" i="4"/>
  <c r="S19" i="4"/>
  <c r="R19" i="4"/>
  <c r="O19" i="4"/>
  <c r="L19" i="4"/>
  <c r="I19" i="4"/>
  <c r="Q19" i="4" s="1"/>
  <c r="H19" i="4"/>
  <c r="G19" i="4"/>
  <c r="P19" i="4" s="1"/>
  <c r="F19" i="4"/>
  <c r="E19" i="4"/>
  <c r="AK18" i="4"/>
  <c r="AJ18" i="4"/>
  <c r="AL18" i="4" s="1"/>
  <c r="AH18" i="4"/>
  <c r="AF18" i="4"/>
  <c r="AE18" i="4"/>
  <c r="AD18" i="4"/>
  <c r="AB18" i="4"/>
  <c r="Z18" i="4"/>
  <c r="Y18" i="4"/>
  <c r="AC18" i="4" s="1"/>
  <c r="X18" i="4"/>
  <c r="AA18" i="4" s="1"/>
  <c r="W18" i="4"/>
  <c r="T18" i="4"/>
  <c r="S18" i="4"/>
  <c r="R18" i="4"/>
  <c r="O18" i="4"/>
  <c r="L18" i="4"/>
  <c r="I18" i="4"/>
  <c r="Q18" i="4" s="1"/>
  <c r="H18" i="4"/>
  <c r="G18" i="4"/>
  <c r="P18" i="4" s="1"/>
  <c r="F18" i="4"/>
  <c r="E18" i="4"/>
  <c r="AK17" i="4"/>
  <c r="AJ17" i="4"/>
  <c r="AL17" i="4" s="1"/>
  <c r="AH17" i="4"/>
  <c r="AF17" i="4"/>
  <c r="AE17" i="4"/>
  <c r="AD17" i="4"/>
  <c r="AB17" i="4"/>
  <c r="Z17" i="4"/>
  <c r="Y17" i="4"/>
  <c r="AC17" i="4" s="1"/>
  <c r="X17" i="4"/>
  <c r="AA17" i="4" s="1"/>
  <c r="W17" i="4"/>
  <c r="T17" i="4"/>
  <c r="S17" i="4"/>
  <c r="R17" i="4"/>
  <c r="O17" i="4"/>
  <c r="L17" i="4"/>
  <c r="I17" i="4"/>
  <c r="Q17" i="4" s="1"/>
  <c r="H17" i="4"/>
  <c r="G17" i="4"/>
  <c r="P17" i="4" s="1"/>
  <c r="F17" i="4"/>
  <c r="E17" i="4"/>
  <c r="D17" i="4" s="1"/>
  <c r="M17" i="4" s="1"/>
  <c r="AK16" i="4"/>
  <c r="AJ16" i="4"/>
  <c r="AH16" i="4"/>
  <c r="AF16" i="4"/>
  <c r="AE16" i="4"/>
  <c r="AD16" i="4"/>
  <c r="AG16" i="4" s="1"/>
  <c r="AB16" i="4"/>
  <c r="Z16" i="4"/>
  <c r="Y16" i="4"/>
  <c r="X16" i="4"/>
  <c r="W16" i="4"/>
  <c r="T16" i="4"/>
  <c r="S16" i="4"/>
  <c r="R16" i="4"/>
  <c r="O16" i="4"/>
  <c r="L16" i="4"/>
  <c r="I16" i="4"/>
  <c r="Q16" i="4" s="1"/>
  <c r="H16" i="4"/>
  <c r="N16" i="4" s="1"/>
  <c r="G16" i="4"/>
  <c r="P16" i="4" s="1"/>
  <c r="F16" i="4"/>
  <c r="E16" i="4"/>
  <c r="AK15" i="4"/>
  <c r="AJ15" i="4"/>
  <c r="AL15" i="4" s="1"/>
  <c r="AH15" i="4"/>
  <c r="AH13" i="4" s="1"/>
  <c r="AF15" i="4"/>
  <c r="AE15" i="4"/>
  <c r="AD15" i="4"/>
  <c r="AB15" i="4"/>
  <c r="Z15" i="4"/>
  <c r="Y15" i="4"/>
  <c r="X15" i="4"/>
  <c r="W15" i="4"/>
  <c r="T15" i="4"/>
  <c r="S15" i="4"/>
  <c r="R15" i="4"/>
  <c r="O15" i="4"/>
  <c r="L15" i="4"/>
  <c r="I15" i="4"/>
  <c r="Q15" i="4" s="1"/>
  <c r="H15" i="4"/>
  <c r="G15" i="4"/>
  <c r="P15" i="4" s="1"/>
  <c r="F15" i="4"/>
  <c r="E15" i="4"/>
  <c r="AK14" i="4"/>
  <c r="AJ14" i="4"/>
  <c r="AL14" i="4" s="1"/>
  <c r="AH14" i="4"/>
  <c r="AF14" i="4"/>
  <c r="AE14" i="4"/>
  <c r="AI14" i="4" s="1"/>
  <c r="AD14" i="4"/>
  <c r="AG14" i="4" s="1"/>
  <c r="AB14" i="4"/>
  <c r="Z14" i="4"/>
  <c r="Y14" i="4"/>
  <c r="AC14" i="4" s="1"/>
  <c r="X14" i="4"/>
  <c r="AA14" i="4" s="1"/>
  <c r="W14" i="4"/>
  <c r="T14" i="4"/>
  <c r="T13" i="4" s="1"/>
  <c r="S14" i="4"/>
  <c r="R14" i="4"/>
  <c r="U14" i="4" s="1"/>
  <c r="O14" i="4"/>
  <c r="L14" i="4"/>
  <c r="J14" i="4" s="1"/>
  <c r="I14" i="4"/>
  <c r="Q14" i="4" s="1"/>
  <c r="H14" i="4"/>
  <c r="N14" i="4" s="1"/>
  <c r="G14" i="4"/>
  <c r="P14" i="4" s="1"/>
  <c r="F14" i="4"/>
  <c r="E14" i="4"/>
  <c r="S9" i="4"/>
  <c r="V108" i="3"/>
  <c r="U108" i="3"/>
  <c r="O108" i="3"/>
  <c r="L108" i="3"/>
  <c r="I108" i="3"/>
  <c r="Q108" i="3" s="1"/>
  <c r="H108" i="3"/>
  <c r="N108" i="3" s="1"/>
  <c r="G108" i="3"/>
  <c r="P108" i="3" s="1"/>
  <c r="F108" i="3"/>
  <c r="E108" i="3"/>
  <c r="D108" i="3" s="1"/>
  <c r="V107" i="3"/>
  <c r="U107" i="3"/>
  <c r="O107" i="3"/>
  <c r="L107" i="3"/>
  <c r="I107" i="3"/>
  <c r="Q107" i="3" s="1"/>
  <c r="H107" i="3"/>
  <c r="N107" i="3" s="1"/>
  <c r="G107" i="3"/>
  <c r="P107" i="3" s="1"/>
  <c r="F107" i="3"/>
  <c r="E107" i="3"/>
  <c r="D107" i="3" s="1"/>
  <c r="M107" i="3" s="1"/>
  <c r="V106" i="3"/>
  <c r="U106" i="3"/>
  <c r="O106" i="3"/>
  <c r="L106" i="3"/>
  <c r="J106" i="3" s="1"/>
  <c r="I106" i="3"/>
  <c r="Q106" i="3" s="1"/>
  <c r="H106" i="3"/>
  <c r="N106" i="3" s="1"/>
  <c r="G106" i="3"/>
  <c r="P106" i="3" s="1"/>
  <c r="F106" i="3"/>
  <c r="E106" i="3"/>
  <c r="V105" i="3"/>
  <c r="U105" i="3"/>
  <c r="O105" i="3"/>
  <c r="L105" i="3"/>
  <c r="I105" i="3"/>
  <c r="Q105" i="3" s="1"/>
  <c r="H105" i="3"/>
  <c r="N105" i="3" s="1"/>
  <c r="G105" i="3"/>
  <c r="P105" i="3" s="1"/>
  <c r="F105" i="3"/>
  <c r="E105" i="3"/>
  <c r="V104" i="3"/>
  <c r="U104" i="3"/>
  <c r="O104" i="3"/>
  <c r="L104" i="3"/>
  <c r="I104" i="3"/>
  <c r="Q104" i="3" s="1"/>
  <c r="H104" i="3"/>
  <c r="N104" i="3" s="1"/>
  <c r="G104" i="3"/>
  <c r="P104" i="3" s="1"/>
  <c r="F104" i="3"/>
  <c r="E104" i="3"/>
  <c r="V103" i="3"/>
  <c r="U103" i="3"/>
  <c r="O103" i="3"/>
  <c r="L103" i="3"/>
  <c r="I103" i="3"/>
  <c r="Q103" i="3" s="1"/>
  <c r="H103" i="3"/>
  <c r="N103" i="3" s="1"/>
  <c r="G103" i="3"/>
  <c r="P103" i="3" s="1"/>
  <c r="F103" i="3"/>
  <c r="E103" i="3"/>
  <c r="D103" i="3" s="1"/>
  <c r="V102" i="3"/>
  <c r="U102" i="3"/>
  <c r="O102" i="3"/>
  <c r="L102" i="3"/>
  <c r="J102" i="3" s="1"/>
  <c r="I102" i="3"/>
  <c r="Q102" i="3" s="1"/>
  <c r="H102" i="3"/>
  <c r="N102" i="3" s="1"/>
  <c r="G102" i="3"/>
  <c r="P102" i="3" s="1"/>
  <c r="F102" i="3"/>
  <c r="E102" i="3"/>
  <c r="D102" i="3" s="1"/>
  <c r="T101" i="3"/>
  <c r="S101" i="3"/>
  <c r="R101" i="3"/>
  <c r="O101" i="3"/>
  <c r="L101" i="3"/>
  <c r="I101" i="3"/>
  <c r="Q101" i="3" s="1"/>
  <c r="H101" i="3"/>
  <c r="G101" i="3"/>
  <c r="P101" i="3" s="1"/>
  <c r="F101" i="3"/>
  <c r="E101" i="3"/>
  <c r="V100" i="3"/>
  <c r="U100" i="3"/>
  <c r="O100" i="3"/>
  <c r="L100" i="3"/>
  <c r="J100" i="3" s="1"/>
  <c r="I100" i="3"/>
  <c r="Q100" i="3" s="1"/>
  <c r="H100" i="3"/>
  <c r="N100" i="3" s="1"/>
  <c r="G100" i="3"/>
  <c r="P100" i="3" s="1"/>
  <c r="F100" i="3"/>
  <c r="E100" i="3"/>
  <c r="V99" i="3"/>
  <c r="U99" i="3"/>
  <c r="O99" i="3"/>
  <c r="L99" i="3"/>
  <c r="J99" i="3" s="1"/>
  <c r="I99" i="3"/>
  <c r="Q99" i="3" s="1"/>
  <c r="H99" i="3"/>
  <c r="N99" i="3" s="1"/>
  <c r="G99" i="3"/>
  <c r="P99" i="3" s="1"/>
  <c r="F99" i="3"/>
  <c r="E99" i="3"/>
  <c r="D99" i="3" s="1"/>
  <c r="V98" i="3"/>
  <c r="U98" i="3"/>
  <c r="O98" i="3"/>
  <c r="L98" i="3"/>
  <c r="I98" i="3"/>
  <c r="Q98" i="3" s="1"/>
  <c r="H98" i="3"/>
  <c r="N98" i="3" s="1"/>
  <c r="G98" i="3"/>
  <c r="P98" i="3" s="1"/>
  <c r="F98" i="3"/>
  <c r="E98" i="3"/>
  <c r="V97" i="3"/>
  <c r="U97" i="3"/>
  <c r="O97" i="3"/>
  <c r="L97" i="3"/>
  <c r="J97" i="3" s="1"/>
  <c r="I97" i="3"/>
  <c r="Q97" i="3" s="1"/>
  <c r="H97" i="3"/>
  <c r="N97" i="3" s="1"/>
  <c r="G97" i="3"/>
  <c r="P97" i="3" s="1"/>
  <c r="F97" i="3"/>
  <c r="E97" i="3"/>
  <c r="V96" i="3"/>
  <c r="U96" i="3"/>
  <c r="O96" i="3"/>
  <c r="L96" i="3"/>
  <c r="I96" i="3"/>
  <c r="Q96" i="3" s="1"/>
  <c r="H96" i="3"/>
  <c r="N96" i="3" s="1"/>
  <c r="G96" i="3"/>
  <c r="P96" i="3" s="1"/>
  <c r="F96" i="3"/>
  <c r="E96" i="3"/>
  <c r="V95" i="3"/>
  <c r="U95" i="3"/>
  <c r="O95" i="3"/>
  <c r="L95" i="3"/>
  <c r="I95" i="3"/>
  <c r="Q95" i="3" s="1"/>
  <c r="H95" i="3"/>
  <c r="N95" i="3" s="1"/>
  <c r="G95" i="3"/>
  <c r="P95" i="3" s="1"/>
  <c r="F95" i="3"/>
  <c r="E95" i="3"/>
  <c r="V94" i="3"/>
  <c r="U94" i="3"/>
  <c r="O94" i="3"/>
  <c r="L94" i="3"/>
  <c r="I94" i="3"/>
  <c r="Q94" i="3" s="1"/>
  <c r="H94" i="3"/>
  <c r="N94" i="3" s="1"/>
  <c r="G94" i="3"/>
  <c r="P94" i="3" s="1"/>
  <c r="F94" i="3"/>
  <c r="E94" i="3"/>
  <c r="V93" i="3"/>
  <c r="U93" i="3"/>
  <c r="O93" i="3"/>
  <c r="L93" i="3"/>
  <c r="J93" i="3" s="1"/>
  <c r="I93" i="3"/>
  <c r="Q93" i="3" s="1"/>
  <c r="H93" i="3"/>
  <c r="G93" i="3"/>
  <c r="P93" i="3" s="1"/>
  <c r="F93" i="3"/>
  <c r="E93" i="3"/>
  <c r="V92" i="3"/>
  <c r="U92" i="3"/>
  <c r="O92" i="3"/>
  <c r="L92" i="3"/>
  <c r="I92" i="3"/>
  <c r="Q92" i="3" s="1"/>
  <c r="H92" i="3"/>
  <c r="N92" i="3" s="1"/>
  <c r="G92" i="3"/>
  <c r="P92" i="3" s="1"/>
  <c r="F92" i="3"/>
  <c r="E92" i="3"/>
  <c r="V91" i="3"/>
  <c r="U91" i="3"/>
  <c r="O91" i="3"/>
  <c r="L91" i="3"/>
  <c r="J91" i="3" s="1"/>
  <c r="I91" i="3"/>
  <c r="Q91" i="3" s="1"/>
  <c r="H91" i="3"/>
  <c r="G91" i="3"/>
  <c r="P91" i="3" s="1"/>
  <c r="F91" i="3"/>
  <c r="E91" i="3"/>
  <c r="V90" i="3"/>
  <c r="U90" i="3"/>
  <c r="Q90" i="3"/>
  <c r="O90" i="3"/>
  <c r="L90" i="3"/>
  <c r="J90" i="3" s="1"/>
  <c r="I90" i="3"/>
  <c r="H90" i="3"/>
  <c r="N90" i="3" s="1"/>
  <c r="G90" i="3"/>
  <c r="F90" i="3"/>
  <c r="E90" i="3"/>
  <c r="T89" i="3"/>
  <c r="T9" i="3" s="1"/>
  <c r="AD88" i="3"/>
  <c r="AB88" i="3"/>
  <c r="AA88" i="3"/>
  <c r="Z88" i="3"/>
  <c r="X88" i="3"/>
  <c r="W88" i="3"/>
  <c r="T88" i="3"/>
  <c r="S88" i="3"/>
  <c r="R88" i="3"/>
  <c r="O88" i="3"/>
  <c r="L88" i="3"/>
  <c r="I88" i="3"/>
  <c r="Q88" i="3" s="1"/>
  <c r="H88" i="3"/>
  <c r="N88" i="3" s="1"/>
  <c r="G88" i="3"/>
  <c r="P88" i="3" s="1"/>
  <c r="F88" i="3"/>
  <c r="E88" i="3"/>
  <c r="D88" i="3" s="1"/>
  <c r="M88" i="3" s="1"/>
  <c r="AD87" i="3"/>
  <c r="AB87" i="3"/>
  <c r="AA87" i="3"/>
  <c r="Z87" i="3"/>
  <c r="X87" i="3"/>
  <c r="W87" i="3"/>
  <c r="T87" i="3"/>
  <c r="S87" i="3"/>
  <c r="R87" i="3"/>
  <c r="O87" i="3"/>
  <c r="L87" i="3"/>
  <c r="J87" i="3" s="1"/>
  <c r="I87" i="3"/>
  <c r="Q87" i="3" s="1"/>
  <c r="H87" i="3"/>
  <c r="N87" i="3" s="1"/>
  <c r="G87" i="3"/>
  <c r="P87" i="3" s="1"/>
  <c r="F87" i="3"/>
  <c r="E87" i="3"/>
  <c r="AD86" i="3"/>
  <c r="AB86" i="3"/>
  <c r="AA86" i="3"/>
  <c r="Z86" i="3"/>
  <c r="X86" i="3"/>
  <c r="W86" i="3"/>
  <c r="T86" i="3"/>
  <c r="S86" i="3"/>
  <c r="R86" i="3"/>
  <c r="U86" i="3" s="1"/>
  <c r="O86" i="3"/>
  <c r="L86" i="3"/>
  <c r="I86" i="3"/>
  <c r="Q86" i="3" s="1"/>
  <c r="H86" i="3"/>
  <c r="N86" i="3" s="1"/>
  <c r="G86" i="3"/>
  <c r="P86" i="3" s="1"/>
  <c r="F86" i="3"/>
  <c r="E86" i="3"/>
  <c r="AD85" i="3"/>
  <c r="AB85" i="3"/>
  <c r="AA85" i="3"/>
  <c r="Z85" i="3"/>
  <c r="X85" i="3"/>
  <c r="W85" i="3"/>
  <c r="T85" i="3"/>
  <c r="S85" i="3"/>
  <c r="R85" i="3"/>
  <c r="O85" i="3"/>
  <c r="L85" i="3"/>
  <c r="I85" i="3"/>
  <c r="Q85" i="3" s="1"/>
  <c r="H85" i="3"/>
  <c r="N85" i="3" s="1"/>
  <c r="G85" i="3"/>
  <c r="P85" i="3" s="1"/>
  <c r="F85" i="3"/>
  <c r="E85" i="3"/>
  <c r="AD84" i="3"/>
  <c r="AB84" i="3"/>
  <c r="AA84" i="3"/>
  <c r="AC84" i="3" s="1"/>
  <c r="Z84" i="3"/>
  <c r="X84" i="3"/>
  <c r="W84" i="3"/>
  <c r="Y84" i="3" s="1"/>
  <c r="T84" i="3"/>
  <c r="S84" i="3"/>
  <c r="R84" i="3"/>
  <c r="O84" i="3"/>
  <c r="L84" i="3"/>
  <c r="I84" i="3"/>
  <c r="Q84" i="3" s="1"/>
  <c r="H84" i="3"/>
  <c r="N84" i="3" s="1"/>
  <c r="G84" i="3"/>
  <c r="P84" i="3" s="1"/>
  <c r="F84" i="3"/>
  <c r="E84" i="3"/>
  <c r="AD83" i="3"/>
  <c r="AB83" i="3"/>
  <c r="AA83" i="3"/>
  <c r="Z83" i="3"/>
  <c r="X83" i="3"/>
  <c r="W83" i="3"/>
  <c r="T83" i="3"/>
  <c r="S83" i="3"/>
  <c r="R83" i="3"/>
  <c r="O83" i="3"/>
  <c r="L83" i="3"/>
  <c r="I83" i="3"/>
  <c r="Q83" i="3" s="1"/>
  <c r="H83" i="3"/>
  <c r="N83" i="3" s="1"/>
  <c r="G83" i="3"/>
  <c r="P83" i="3" s="1"/>
  <c r="F83" i="3"/>
  <c r="E83" i="3"/>
  <c r="AD82" i="3"/>
  <c r="AB82" i="3"/>
  <c r="AA82" i="3"/>
  <c r="Z82" i="3"/>
  <c r="X82" i="3"/>
  <c r="W82" i="3"/>
  <c r="Y82" i="3" s="1"/>
  <c r="T82" i="3"/>
  <c r="S82" i="3"/>
  <c r="R82" i="3"/>
  <c r="O82" i="3"/>
  <c r="L82" i="3"/>
  <c r="I82" i="3"/>
  <c r="Q82" i="3" s="1"/>
  <c r="H82" i="3"/>
  <c r="N82" i="3" s="1"/>
  <c r="G82" i="3"/>
  <c r="P82" i="3" s="1"/>
  <c r="F82" i="3"/>
  <c r="E82" i="3"/>
  <c r="AD81" i="3"/>
  <c r="AC81" i="3"/>
  <c r="AB81" i="3"/>
  <c r="AA81" i="3"/>
  <c r="Z81" i="3"/>
  <c r="X81" i="3"/>
  <c r="W81" i="3"/>
  <c r="T81" i="3"/>
  <c r="V81" i="3" s="1"/>
  <c r="S81" i="3"/>
  <c r="R81" i="3"/>
  <c r="O81" i="3"/>
  <c r="L81" i="3"/>
  <c r="J81" i="3" s="1"/>
  <c r="I81" i="3"/>
  <c r="Q81" i="3" s="1"/>
  <c r="H81" i="3"/>
  <c r="N81" i="3" s="1"/>
  <c r="G81" i="3"/>
  <c r="P81" i="3" s="1"/>
  <c r="F81" i="3"/>
  <c r="E81" i="3"/>
  <c r="AD80" i="3"/>
  <c r="AB80" i="3"/>
  <c r="AA80" i="3"/>
  <c r="Z80" i="3"/>
  <c r="X80" i="3"/>
  <c r="W80" i="3"/>
  <c r="T80" i="3"/>
  <c r="S80" i="3"/>
  <c r="R80" i="3"/>
  <c r="O80" i="3"/>
  <c r="L80" i="3"/>
  <c r="I80" i="3"/>
  <c r="H80" i="3"/>
  <c r="N80" i="3" s="1"/>
  <c r="G80" i="3"/>
  <c r="P80" i="3" s="1"/>
  <c r="F80" i="3"/>
  <c r="E80" i="3"/>
  <c r="AD79" i="3"/>
  <c r="AB79" i="3"/>
  <c r="AA79" i="3"/>
  <c r="Z79" i="3"/>
  <c r="X79" i="3"/>
  <c r="W79" i="3"/>
  <c r="T79" i="3"/>
  <c r="S79" i="3"/>
  <c r="R79" i="3"/>
  <c r="O79" i="3"/>
  <c r="L79" i="3"/>
  <c r="I79" i="3"/>
  <c r="Q79" i="3" s="1"/>
  <c r="H79" i="3"/>
  <c r="N79" i="3" s="1"/>
  <c r="G79" i="3"/>
  <c r="P79" i="3" s="1"/>
  <c r="F79" i="3"/>
  <c r="E79" i="3"/>
  <c r="AD78" i="3"/>
  <c r="AB78" i="3"/>
  <c r="AA78" i="3"/>
  <c r="Z78" i="3"/>
  <c r="X78" i="3"/>
  <c r="W78" i="3"/>
  <c r="T78" i="3"/>
  <c r="S78" i="3"/>
  <c r="R78" i="3"/>
  <c r="O78" i="3"/>
  <c r="L78" i="3"/>
  <c r="I78" i="3"/>
  <c r="Q78" i="3" s="1"/>
  <c r="H78" i="3"/>
  <c r="N78" i="3" s="1"/>
  <c r="G78" i="3"/>
  <c r="P78" i="3" s="1"/>
  <c r="F78" i="3"/>
  <c r="E78" i="3"/>
  <c r="AD77" i="3"/>
  <c r="AB77" i="3"/>
  <c r="AA77" i="3"/>
  <c r="Z77" i="3"/>
  <c r="X77" i="3"/>
  <c r="W77" i="3"/>
  <c r="T77" i="3"/>
  <c r="S77" i="3"/>
  <c r="R77" i="3"/>
  <c r="O77" i="3"/>
  <c r="L77" i="3"/>
  <c r="I77" i="3"/>
  <c r="Q77" i="3" s="1"/>
  <c r="H77" i="3"/>
  <c r="N77" i="3" s="1"/>
  <c r="G77" i="3"/>
  <c r="P77" i="3" s="1"/>
  <c r="F77" i="3"/>
  <c r="E77" i="3"/>
  <c r="AD76" i="3"/>
  <c r="AB76" i="3"/>
  <c r="AA76" i="3"/>
  <c r="Z76" i="3"/>
  <c r="X76" i="3"/>
  <c r="W76" i="3"/>
  <c r="Y76" i="3" s="1"/>
  <c r="T76" i="3"/>
  <c r="S76" i="3"/>
  <c r="R76" i="3"/>
  <c r="U76" i="3" s="1"/>
  <c r="O76" i="3"/>
  <c r="L76" i="3"/>
  <c r="I76" i="3"/>
  <c r="H76" i="3"/>
  <c r="N76" i="3" s="1"/>
  <c r="G76" i="3"/>
  <c r="F76" i="3"/>
  <c r="E76" i="3"/>
  <c r="AD75" i="3"/>
  <c r="AB75" i="3"/>
  <c r="AA75" i="3"/>
  <c r="Z75" i="3"/>
  <c r="X75" i="3"/>
  <c r="W75" i="3"/>
  <c r="T75" i="3"/>
  <c r="S75" i="3"/>
  <c r="R75" i="3"/>
  <c r="O75" i="3"/>
  <c r="L75" i="3"/>
  <c r="I75" i="3"/>
  <c r="Q75" i="3" s="1"/>
  <c r="H75" i="3"/>
  <c r="G75" i="3"/>
  <c r="P75" i="3" s="1"/>
  <c r="F75" i="3"/>
  <c r="E75" i="3"/>
  <c r="AD73" i="3"/>
  <c r="AB73" i="3"/>
  <c r="AA73" i="3"/>
  <c r="AC73" i="3" s="1"/>
  <c r="Z73" i="3"/>
  <c r="X73" i="3"/>
  <c r="W73" i="3"/>
  <c r="Y73" i="3" s="1"/>
  <c r="T73" i="3"/>
  <c r="S73" i="3"/>
  <c r="V73" i="3" s="1"/>
  <c r="R73" i="3"/>
  <c r="U73" i="3" s="1"/>
  <c r="O73" i="3"/>
  <c r="L73" i="3"/>
  <c r="I73" i="3"/>
  <c r="Q73" i="3" s="1"/>
  <c r="H73" i="3"/>
  <c r="N73" i="3" s="1"/>
  <c r="G73" i="3"/>
  <c r="P73" i="3" s="1"/>
  <c r="F73" i="3"/>
  <c r="E73" i="3"/>
  <c r="AD72" i="3"/>
  <c r="AB72" i="3"/>
  <c r="AA72" i="3"/>
  <c r="Z72" i="3"/>
  <c r="X72" i="3"/>
  <c r="W72" i="3"/>
  <c r="T72" i="3"/>
  <c r="S72" i="3"/>
  <c r="R72" i="3"/>
  <c r="Q72" i="3"/>
  <c r="O72" i="3"/>
  <c r="L72" i="3"/>
  <c r="I72" i="3"/>
  <c r="H72" i="3"/>
  <c r="N72" i="3" s="1"/>
  <c r="G72" i="3"/>
  <c r="P72" i="3" s="1"/>
  <c r="F72" i="3"/>
  <c r="E72" i="3"/>
  <c r="AD71" i="3"/>
  <c r="AB71" i="3"/>
  <c r="AA71" i="3"/>
  <c r="AC71" i="3" s="1"/>
  <c r="Z71" i="3"/>
  <c r="X71" i="3"/>
  <c r="W71" i="3"/>
  <c r="T71" i="3"/>
  <c r="S71" i="3"/>
  <c r="R71" i="3"/>
  <c r="O71" i="3"/>
  <c r="L71" i="3"/>
  <c r="I71" i="3"/>
  <c r="Q71" i="3" s="1"/>
  <c r="H71" i="3"/>
  <c r="N71" i="3" s="1"/>
  <c r="G71" i="3"/>
  <c r="P71" i="3" s="1"/>
  <c r="F71" i="3"/>
  <c r="E71" i="3"/>
  <c r="D71" i="3" s="1"/>
  <c r="M71" i="3" s="1"/>
  <c r="AD70" i="3"/>
  <c r="AB70" i="3"/>
  <c r="AC70" i="3" s="1"/>
  <c r="AA70" i="3"/>
  <c r="Z70" i="3"/>
  <c r="X70" i="3"/>
  <c r="W70" i="3"/>
  <c r="T70" i="3"/>
  <c r="S70" i="3"/>
  <c r="R70" i="3"/>
  <c r="U70" i="3" s="1"/>
  <c r="O70" i="3"/>
  <c r="L70" i="3"/>
  <c r="J70" i="3" s="1"/>
  <c r="I70" i="3"/>
  <c r="Q70" i="3" s="1"/>
  <c r="H70" i="3"/>
  <c r="N70" i="3" s="1"/>
  <c r="G70" i="3"/>
  <c r="P70" i="3" s="1"/>
  <c r="F70" i="3"/>
  <c r="E70" i="3"/>
  <c r="AD69" i="3"/>
  <c r="AB69" i="3"/>
  <c r="AC69" i="3" s="1"/>
  <c r="AA69" i="3"/>
  <c r="Z69" i="3"/>
  <c r="X69" i="3"/>
  <c r="W69" i="3"/>
  <c r="T69" i="3"/>
  <c r="S69" i="3"/>
  <c r="R69" i="3"/>
  <c r="O69" i="3"/>
  <c r="J69" i="3" s="1"/>
  <c r="L69" i="3"/>
  <c r="I69" i="3"/>
  <c r="Q69" i="3" s="1"/>
  <c r="H69" i="3"/>
  <c r="N69" i="3" s="1"/>
  <c r="G69" i="3"/>
  <c r="P69" i="3" s="1"/>
  <c r="F69" i="3"/>
  <c r="E69" i="3"/>
  <c r="AD68" i="3"/>
  <c r="AB68" i="3"/>
  <c r="AA68" i="3"/>
  <c r="AC68" i="3" s="1"/>
  <c r="Z68" i="3"/>
  <c r="X68" i="3"/>
  <c r="W68" i="3"/>
  <c r="T68" i="3"/>
  <c r="S68" i="3"/>
  <c r="V68" i="3" s="1"/>
  <c r="R68" i="3"/>
  <c r="U68" i="3" s="1"/>
  <c r="O68" i="3"/>
  <c r="L68" i="3"/>
  <c r="I68" i="3"/>
  <c r="Q68" i="3" s="1"/>
  <c r="H68" i="3"/>
  <c r="N68" i="3" s="1"/>
  <c r="G68" i="3"/>
  <c r="P68" i="3" s="1"/>
  <c r="F68" i="3"/>
  <c r="E68" i="3"/>
  <c r="AD67" i="3"/>
  <c r="AB67" i="3"/>
  <c r="AC67" i="3" s="1"/>
  <c r="AA67" i="3"/>
  <c r="Z67" i="3"/>
  <c r="X67" i="3"/>
  <c r="W67" i="3"/>
  <c r="T67" i="3"/>
  <c r="S67" i="3"/>
  <c r="R67" i="3"/>
  <c r="O67" i="3"/>
  <c r="L67" i="3"/>
  <c r="J67" i="3" s="1"/>
  <c r="I67" i="3"/>
  <c r="Q67" i="3" s="1"/>
  <c r="H67" i="3"/>
  <c r="N67" i="3" s="1"/>
  <c r="G67" i="3"/>
  <c r="P67" i="3" s="1"/>
  <c r="F67" i="3"/>
  <c r="E67" i="3"/>
  <c r="D67" i="3" s="1"/>
  <c r="AD66" i="3"/>
  <c r="AB66" i="3"/>
  <c r="AA66" i="3"/>
  <c r="Z66" i="3"/>
  <c r="X66" i="3"/>
  <c r="W66" i="3"/>
  <c r="Y66" i="3" s="1"/>
  <c r="T66" i="3"/>
  <c r="S66" i="3"/>
  <c r="R66" i="3"/>
  <c r="O66" i="3"/>
  <c r="J66" i="3" s="1"/>
  <c r="L66" i="3"/>
  <c r="I66" i="3"/>
  <c r="Q66" i="3" s="1"/>
  <c r="H66" i="3"/>
  <c r="N66" i="3" s="1"/>
  <c r="G66" i="3"/>
  <c r="P66" i="3" s="1"/>
  <c r="F66" i="3"/>
  <c r="E66" i="3"/>
  <c r="AD65" i="3"/>
  <c r="AB65" i="3"/>
  <c r="AA65" i="3"/>
  <c r="Z65" i="3"/>
  <c r="X65" i="3"/>
  <c r="W65" i="3"/>
  <c r="T65" i="3"/>
  <c r="S65" i="3"/>
  <c r="R65" i="3"/>
  <c r="U65" i="3" s="1"/>
  <c r="O65" i="3"/>
  <c r="L65" i="3"/>
  <c r="I65" i="3"/>
  <c r="Q65" i="3" s="1"/>
  <c r="H65" i="3"/>
  <c r="N65" i="3" s="1"/>
  <c r="G65" i="3"/>
  <c r="P65" i="3" s="1"/>
  <c r="F65" i="3"/>
  <c r="E65" i="3"/>
  <c r="AD64" i="3"/>
  <c r="AB64" i="3"/>
  <c r="AA64" i="3"/>
  <c r="Z64" i="3"/>
  <c r="X64" i="3"/>
  <c r="W64" i="3"/>
  <c r="T64" i="3"/>
  <c r="S64" i="3"/>
  <c r="R64" i="3"/>
  <c r="O64" i="3"/>
  <c r="L64" i="3"/>
  <c r="I64" i="3"/>
  <c r="Q64" i="3" s="1"/>
  <c r="H64" i="3"/>
  <c r="N64" i="3" s="1"/>
  <c r="G64" i="3"/>
  <c r="P64" i="3" s="1"/>
  <c r="F64" i="3"/>
  <c r="E64" i="3"/>
  <c r="AD63" i="3"/>
  <c r="AB63" i="3"/>
  <c r="AC63" i="3" s="1"/>
  <c r="AA63" i="3"/>
  <c r="Z63" i="3"/>
  <c r="X63" i="3"/>
  <c r="W63" i="3"/>
  <c r="T63" i="3"/>
  <c r="S63" i="3"/>
  <c r="R63" i="3"/>
  <c r="O63" i="3"/>
  <c r="J63" i="3" s="1"/>
  <c r="L63" i="3"/>
  <c r="I63" i="3"/>
  <c r="Q63" i="3" s="1"/>
  <c r="H63" i="3"/>
  <c r="N63" i="3" s="1"/>
  <c r="G63" i="3"/>
  <c r="P63" i="3" s="1"/>
  <c r="F63" i="3"/>
  <c r="E63" i="3"/>
  <c r="AD62" i="3"/>
  <c r="AB62" i="3"/>
  <c r="AA62" i="3"/>
  <c r="Z62" i="3"/>
  <c r="X62" i="3"/>
  <c r="W62" i="3"/>
  <c r="T62" i="3"/>
  <c r="S62" i="3"/>
  <c r="V62" i="3" s="1"/>
  <c r="R62" i="3"/>
  <c r="U62" i="3" s="1"/>
  <c r="O62" i="3"/>
  <c r="L62" i="3"/>
  <c r="I62" i="3"/>
  <c r="Q62" i="3" s="1"/>
  <c r="H62" i="3"/>
  <c r="N62" i="3" s="1"/>
  <c r="G62" i="3"/>
  <c r="P62" i="3" s="1"/>
  <c r="F62" i="3"/>
  <c r="E62" i="3"/>
  <c r="AD61" i="3"/>
  <c r="AB61" i="3"/>
  <c r="AC61" i="3" s="1"/>
  <c r="AA61" i="3"/>
  <c r="Z61" i="3"/>
  <c r="X61" i="3"/>
  <c r="W61" i="3"/>
  <c r="T61" i="3"/>
  <c r="S61" i="3"/>
  <c r="R61" i="3"/>
  <c r="U61" i="3" s="1"/>
  <c r="O61" i="3"/>
  <c r="L61" i="3"/>
  <c r="I61" i="3"/>
  <c r="Q61" i="3" s="1"/>
  <c r="H61" i="3"/>
  <c r="N61" i="3" s="1"/>
  <c r="G61" i="3"/>
  <c r="P61" i="3" s="1"/>
  <c r="F61" i="3"/>
  <c r="E61" i="3"/>
  <c r="D61" i="3" s="1"/>
  <c r="AD60" i="3"/>
  <c r="AB60" i="3"/>
  <c r="AA60" i="3"/>
  <c r="Z60" i="3"/>
  <c r="X60" i="3"/>
  <c r="W60" i="3"/>
  <c r="Y60" i="3" s="1"/>
  <c r="T60" i="3"/>
  <c r="S60" i="3"/>
  <c r="R60" i="3"/>
  <c r="O60" i="3"/>
  <c r="L60" i="3"/>
  <c r="I60" i="3"/>
  <c r="Q60" i="3" s="1"/>
  <c r="H60" i="3"/>
  <c r="N60" i="3" s="1"/>
  <c r="G60" i="3"/>
  <c r="P60" i="3" s="1"/>
  <c r="F60" i="3"/>
  <c r="E60" i="3"/>
  <c r="AD59" i="3"/>
  <c r="AB59" i="3"/>
  <c r="AA59" i="3"/>
  <c r="Z59" i="3"/>
  <c r="X59" i="3"/>
  <c r="Y59" i="3" s="1"/>
  <c r="W59" i="3"/>
  <c r="U59" i="3"/>
  <c r="T59" i="3"/>
  <c r="S59" i="3"/>
  <c r="R59" i="3"/>
  <c r="O59" i="3"/>
  <c r="L59" i="3"/>
  <c r="I59" i="3"/>
  <c r="Q59" i="3" s="1"/>
  <c r="H59" i="3"/>
  <c r="N59" i="3" s="1"/>
  <c r="G59" i="3"/>
  <c r="P59" i="3" s="1"/>
  <c r="F59" i="3"/>
  <c r="E59" i="3"/>
  <c r="AD58" i="3"/>
  <c r="AB58" i="3"/>
  <c r="AA58" i="3"/>
  <c r="Z58" i="3"/>
  <c r="X58" i="3"/>
  <c r="W58" i="3"/>
  <c r="Y58" i="3" s="1"/>
  <c r="T58" i="3"/>
  <c r="S58" i="3"/>
  <c r="R58" i="3"/>
  <c r="O58" i="3"/>
  <c r="L58" i="3"/>
  <c r="I58" i="3"/>
  <c r="Q58" i="3" s="1"/>
  <c r="H58" i="3"/>
  <c r="N58" i="3" s="1"/>
  <c r="G58" i="3"/>
  <c r="P58" i="3" s="1"/>
  <c r="F58" i="3"/>
  <c r="E58" i="3"/>
  <c r="AD57" i="3"/>
  <c r="AB57" i="3"/>
  <c r="AA57" i="3"/>
  <c r="Z57" i="3"/>
  <c r="X57" i="3"/>
  <c r="W57" i="3"/>
  <c r="T57" i="3"/>
  <c r="S57" i="3"/>
  <c r="R57" i="3"/>
  <c r="O57" i="3"/>
  <c r="L57" i="3"/>
  <c r="I57" i="3"/>
  <c r="Q57" i="3" s="1"/>
  <c r="H57" i="3"/>
  <c r="N57" i="3" s="1"/>
  <c r="G57" i="3"/>
  <c r="P57" i="3" s="1"/>
  <c r="F57" i="3"/>
  <c r="E57" i="3"/>
  <c r="AD56" i="3"/>
  <c r="AB56" i="3"/>
  <c r="AA56" i="3"/>
  <c r="Z56" i="3"/>
  <c r="X56" i="3"/>
  <c r="W56" i="3"/>
  <c r="T56" i="3"/>
  <c r="S56" i="3"/>
  <c r="R56" i="3"/>
  <c r="O56" i="3"/>
  <c r="L56" i="3"/>
  <c r="I56" i="3"/>
  <c r="Q56" i="3" s="1"/>
  <c r="H56" i="3"/>
  <c r="N56" i="3" s="1"/>
  <c r="G56" i="3"/>
  <c r="P56" i="3" s="1"/>
  <c r="F56" i="3"/>
  <c r="E56" i="3"/>
  <c r="AD55" i="3"/>
  <c r="AB55" i="3"/>
  <c r="AA55" i="3"/>
  <c r="Z55" i="3"/>
  <c r="X55" i="3"/>
  <c r="W55" i="3"/>
  <c r="T55" i="3"/>
  <c r="S55" i="3"/>
  <c r="R55" i="3"/>
  <c r="O55" i="3"/>
  <c r="L55" i="3"/>
  <c r="I55" i="3"/>
  <c r="Q55" i="3" s="1"/>
  <c r="H55" i="3"/>
  <c r="N55" i="3" s="1"/>
  <c r="G55" i="3"/>
  <c r="P55" i="3" s="1"/>
  <c r="F55" i="3"/>
  <c r="E55" i="3"/>
  <c r="AD54" i="3"/>
  <c r="AB54" i="3"/>
  <c r="AC54" i="3" s="1"/>
  <c r="AA54" i="3"/>
  <c r="Z54" i="3"/>
  <c r="X54" i="3"/>
  <c r="W54" i="3"/>
  <c r="T54" i="3"/>
  <c r="S54" i="3"/>
  <c r="R54" i="3"/>
  <c r="O54" i="3"/>
  <c r="J54" i="3" s="1"/>
  <c r="L54" i="3"/>
  <c r="I54" i="3"/>
  <c r="Q54" i="3" s="1"/>
  <c r="H54" i="3"/>
  <c r="N54" i="3" s="1"/>
  <c r="G54" i="3"/>
  <c r="P54" i="3" s="1"/>
  <c r="F54" i="3"/>
  <c r="E54" i="3"/>
  <c r="AD53" i="3"/>
  <c r="AB53" i="3"/>
  <c r="AA53" i="3"/>
  <c r="Z53" i="3"/>
  <c r="X53" i="3"/>
  <c r="W53" i="3"/>
  <c r="T53" i="3"/>
  <c r="S53" i="3"/>
  <c r="R53" i="3"/>
  <c r="U53" i="3" s="1"/>
  <c r="O53" i="3"/>
  <c r="L53" i="3"/>
  <c r="I53" i="3"/>
  <c r="H53" i="3"/>
  <c r="N53" i="3" s="1"/>
  <c r="G53" i="3"/>
  <c r="F53" i="3"/>
  <c r="E53" i="3"/>
  <c r="AD51" i="3"/>
  <c r="AB51" i="3"/>
  <c r="AA51" i="3"/>
  <c r="Z51" i="3"/>
  <c r="X51" i="3"/>
  <c r="W51" i="3"/>
  <c r="T51" i="3"/>
  <c r="S51" i="3"/>
  <c r="R51" i="3"/>
  <c r="O51" i="3"/>
  <c r="J51" i="3" s="1"/>
  <c r="L51" i="3"/>
  <c r="I51" i="3"/>
  <c r="Q51" i="3" s="1"/>
  <c r="H51" i="3"/>
  <c r="N51" i="3" s="1"/>
  <c r="G51" i="3"/>
  <c r="P51" i="3" s="1"/>
  <c r="F51" i="3"/>
  <c r="E51" i="3"/>
  <c r="AD50" i="3"/>
  <c r="AB50" i="3"/>
  <c r="AA50" i="3"/>
  <c r="Z50" i="3"/>
  <c r="X50" i="3"/>
  <c r="W50" i="3"/>
  <c r="T50" i="3"/>
  <c r="S50" i="3"/>
  <c r="R50" i="3"/>
  <c r="O50" i="3"/>
  <c r="L50" i="3"/>
  <c r="I50" i="3"/>
  <c r="Q50" i="3" s="1"/>
  <c r="H50" i="3"/>
  <c r="N50" i="3" s="1"/>
  <c r="G50" i="3"/>
  <c r="P50" i="3" s="1"/>
  <c r="F50" i="3"/>
  <c r="E50" i="3"/>
  <c r="AD49" i="3"/>
  <c r="AB49" i="3"/>
  <c r="AA49" i="3"/>
  <c r="Z49" i="3"/>
  <c r="X49" i="3"/>
  <c r="W49" i="3"/>
  <c r="Y49" i="3" s="1"/>
  <c r="T49" i="3"/>
  <c r="S49" i="3"/>
  <c r="R49" i="3"/>
  <c r="O49" i="3"/>
  <c r="J49" i="3" s="1"/>
  <c r="L49" i="3"/>
  <c r="I49" i="3"/>
  <c r="Q49" i="3" s="1"/>
  <c r="H49" i="3"/>
  <c r="N49" i="3" s="1"/>
  <c r="G49" i="3"/>
  <c r="P49" i="3" s="1"/>
  <c r="F49" i="3"/>
  <c r="E49" i="3"/>
  <c r="AD48" i="3"/>
  <c r="AB48" i="3"/>
  <c r="AA48" i="3"/>
  <c r="Z48" i="3"/>
  <c r="X48" i="3"/>
  <c r="W48" i="3"/>
  <c r="T48" i="3"/>
  <c r="S48" i="3"/>
  <c r="R48" i="3"/>
  <c r="O48" i="3"/>
  <c r="L48" i="3"/>
  <c r="I48" i="3"/>
  <c r="Q48" i="3" s="1"/>
  <c r="H48" i="3"/>
  <c r="N48" i="3" s="1"/>
  <c r="G48" i="3"/>
  <c r="P48" i="3" s="1"/>
  <c r="F48" i="3"/>
  <c r="E48" i="3"/>
  <c r="D48" i="3" s="1"/>
  <c r="AD47" i="3"/>
  <c r="AB47" i="3"/>
  <c r="AA47" i="3"/>
  <c r="Z47" i="3"/>
  <c r="X47" i="3"/>
  <c r="W47" i="3"/>
  <c r="T47" i="3"/>
  <c r="S47" i="3"/>
  <c r="R47" i="3"/>
  <c r="O47" i="3"/>
  <c r="L47" i="3"/>
  <c r="I47" i="3"/>
  <c r="Q47" i="3" s="1"/>
  <c r="H47" i="3"/>
  <c r="N47" i="3" s="1"/>
  <c r="G47" i="3"/>
  <c r="P47" i="3" s="1"/>
  <c r="F47" i="3"/>
  <c r="E47" i="3"/>
  <c r="AD46" i="3"/>
  <c r="AB46" i="3"/>
  <c r="AC46" i="3" s="1"/>
  <c r="AA46" i="3"/>
  <c r="Z46" i="3"/>
  <c r="X46" i="3"/>
  <c r="W46" i="3"/>
  <c r="T46" i="3"/>
  <c r="S46" i="3"/>
  <c r="R46" i="3"/>
  <c r="O46" i="3"/>
  <c r="L46" i="3"/>
  <c r="I46" i="3"/>
  <c r="Q46" i="3" s="1"/>
  <c r="H46" i="3"/>
  <c r="N46" i="3" s="1"/>
  <c r="G46" i="3"/>
  <c r="P46" i="3" s="1"/>
  <c r="F46" i="3"/>
  <c r="E46" i="3"/>
  <c r="D46" i="3" s="1"/>
  <c r="M46" i="3" s="1"/>
  <c r="AD45" i="3"/>
  <c r="AB45" i="3"/>
  <c r="AA45" i="3"/>
  <c r="Z45" i="3"/>
  <c r="X45" i="3"/>
  <c r="W45" i="3"/>
  <c r="Y45" i="3" s="1"/>
  <c r="T45" i="3"/>
  <c r="S45" i="3"/>
  <c r="R45" i="3"/>
  <c r="O45" i="3"/>
  <c r="L45" i="3"/>
  <c r="J45" i="3"/>
  <c r="I45" i="3"/>
  <c r="Q45" i="3" s="1"/>
  <c r="H45" i="3"/>
  <c r="N45" i="3" s="1"/>
  <c r="G45" i="3"/>
  <c r="P45" i="3" s="1"/>
  <c r="F45" i="3"/>
  <c r="E45" i="3"/>
  <c r="AD44" i="3"/>
  <c r="AB44" i="3"/>
  <c r="AA44" i="3"/>
  <c r="AC44" i="3" s="1"/>
  <c r="Z44" i="3"/>
  <c r="X44" i="3"/>
  <c r="W44" i="3"/>
  <c r="T44" i="3"/>
  <c r="S44" i="3"/>
  <c r="V44" i="3" s="1"/>
  <c r="R44" i="3"/>
  <c r="U44" i="3" s="1"/>
  <c r="O44" i="3"/>
  <c r="L44" i="3"/>
  <c r="I44" i="3"/>
  <c r="Q44" i="3" s="1"/>
  <c r="H44" i="3"/>
  <c r="N44" i="3" s="1"/>
  <c r="G44" i="3"/>
  <c r="P44" i="3" s="1"/>
  <c r="F44" i="3"/>
  <c r="E44" i="3"/>
  <c r="AD43" i="3"/>
  <c r="AB43" i="3"/>
  <c r="AA43" i="3"/>
  <c r="Z43" i="3"/>
  <c r="X43" i="3"/>
  <c r="W43" i="3"/>
  <c r="T43" i="3"/>
  <c r="S43" i="3"/>
  <c r="V43" i="3" s="1"/>
  <c r="R43" i="3"/>
  <c r="O43" i="3"/>
  <c r="L43" i="3"/>
  <c r="I43" i="3"/>
  <c r="Q43" i="3" s="1"/>
  <c r="H43" i="3"/>
  <c r="N43" i="3" s="1"/>
  <c r="G43" i="3"/>
  <c r="P43" i="3" s="1"/>
  <c r="F43" i="3"/>
  <c r="E43" i="3"/>
  <c r="AD42" i="3"/>
  <c r="AB42" i="3"/>
  <c r="AA42" i="3"/>
  <c r="Z42" i="3"/>
  <c r="X42" i="3"/>
  <c r="W42" i="3"/>
  <c r="T42" i="3"/>
  <c r="S42" i="3"/>
  <c r="R42" i="3"/>
  <c r="O42" i="3"/>
  <c r="L42" i="3"/>
  <c r="I42" i="3"/>
  <c r="Q42" i="3" s="1"/>
  <c r="H42" i="3"/>
  <c r="N42" i="3" s="1"/>
  <c r="G42" i="3"/>
  <c r="P42" i="3" s="1"/>
  <c r="F42" i="3"/>
  <c r="E42" i="3"/>
  <c r="AD41" i="3"/>
  <c r="AB41" i="3"/>
  <c r="AA41" i="3"/>
  <c r="Z41" i="3"/>
  <c r="X41" i="3"/>
  <c r="W41" i="3"/>
  <c r="T41" i="3"/>
  <c r="S41" i="3"/>
  <c r="R41" i="3"/>
  <c r="O41" i="3"/>
  <c r="L41" i="3"/>
  <c r="I41" i="3"/>
  <c r="Q41" i="3" s="1"/>
  <c r="H41" i="3"/>
  <c r="N41" i="3" s="1"/>
  <c r="G41" i="3"/>
  <c r="P41" i="3" s="1"/>
  <c r="F41" i="3"/>
  <c r="E41" i="3"/>
  <c r="AD40" i="3"/>
  <c r="AB40" i="3"/>
  <c r="AA40" i="3"/>
  <c r="Z40" i="3"/>
  <c r="X40" i="3"/>
  <c r="W40" i="3"/>
  <c r="T40" i="3"/>
  <c r="S40" i="3"/>
  <c r="R40" i="3"/>
  <c r="O40" i="3"/>
  <c r="L40" i="3"/>
  <c r="I40" i="3"/>
  <c r="Q40" i="3" s="1"/>
  <c r="H40" i="3"/>
  <c r="N40" i="3" s="1"/>
  <c r="G40" i="3"/>
  <c r="P40" i="3" s="1"/>
  <c r="F40" i="3"/>
  <c r="E40" i="3"/>
  <c r="AD39" i="3"/>
  <c r="AB39" i="3"/>
  <c r="AA39" i="3"/>
  <c r="Z39" i="3"/>
  <c r="X39" i="3"/>
  <c r="W39" i="3"/>
  <c r="T39" i="3"/>
  <c r="S39" i="3"/>
  <c r="R39" i="3"/>
  <c r="O39" i="3"/>
  <c r="J39" i="3" s="1"/>
  <c r="L39" i="3"/>
  <c r="I39" i="3"/>
  <c r="Q39" i="3" s="1"/>
  <c r="H39" i="3"/>
  <c r="N39" i="3" s="1"/>
  <c r="G39" i="3"/>
  <c r="P39" i="3" s="1"/>
  <c r="F39" i="3"/>
  <c r="E39" i="3"/>
  <c r="AD38" i="3"/>
  <c r="AB38" i="3"/>
  <c r="AA38" i="3"/>
  <c r="Z38" i="3"/>
  <c r="X38" i="3"/>
  <c r="W38" i="3"/>
  <c r="T38" i="3"/>
  <c r="S38" i="3"/>
  <c r="R38" i="3"/>
  <c r="U38" i="3" s="1"/>
  <c r="O38" i="3"/>
  <c r="L38" i="3"/>
  <c r="I38" i="3"/>
  <c r="Q38" i="3" s="1"/>
  <c r="H38" i="3"/>
  <c r="N38" i="3" s="1"/>
  <c r="G38" i="3"/>
  <c r="P38" i="3" s="1"/>
  <c r="F38" i="3"/>
  <c r="E38" i="3"/>
  <c r="AD37" i="3"/>
  <c r="AB37" i="3"/>
  <c r="AA37" i="3"/>
  <c r="Z37" i="3"/>
  <c r="X37" i="3"/>
  <c r="Y37" i="3" s="1"/>
  <c r="W37" i="3"/>
  <c r="T37" i="3"/>
  <c r="S37" i="3"/>
  <c r="R37" i="3"/>
  <c r="O37" i="3"/>
  <c r="L37" i="3"/>
  <c r="I37" i="3"/>
  <c r="Q37" i="3" s="1"/>
  <c r="H37" i="3"/>
  <c r="N37" i="3" s="1"/>
  <c r="G37" i="3"/>
  <c r="P37" i="3" s="1"/>
  <c r="F37" i="3"/>
  <c r="E37" i="3"/>
  <c r="D37" i="3" s="1"/>
  <c r="M37" i="3" s="1"/>
  <c r="AD36" i="3"/>
  <c r="AB36" i="3"/>
  <c r="AA36" i="3"/>
  <c r="Z36" i="3"/>
  <c r="X36" i="3"/>
  <c r="W36" i="3"/>
  <c r="T36" i="3"/>
  <c r="V36" i="3" s="1"/>
  <c r="S36" i="3"/>
  <c r="R36" i="3"/>
  <c r="O36" i="3"/>
  <c r="L36" i="3"/>
  <c r="I36" i="3"/>
  <c r="H36" i="3"/>
  <c r="N36" i="3" s="1"/>
  <c r="G36" i="3"/>
  <c r="F36" i="3"/>
  <c r="E36" i="3"/>
  <c r="D36" i="3" s="1"/>
  <c r="AD35" i="3"/>
  <c r="AB35" i="3"/>
  <c r="AA35" i="3"/>
  <c r="Z35" i="3"/>
  <c r="X35" i="3"/>
  <c r="W35" i="3"/>
  <c r="T35" i="3"/>
  <c r="S35" i="3"/>
  <c r="R35" i="3"/>
  <c r="U35" i="3" s="1"/>
  <c r="O35" i="3"/>
  <c r="L35" i="3"/>
  <c r="I35" i="3"/>
  <c r="Q35" i="3" s="1"/>
  <c r="H35" i="3"/>
  <c r="N35" i="3" s="1"/>
  <c r="G35" i="3"/>
  <c r="P35" i="3" s="1"/>
  <c r="F35" i="3"/>
  <c r="D35" i="3" s="1"/>
  <c r="E35" i="3"/>
  <c r="AD34" i="3"/>
  <c r="AB34" i="3"/>
  <c r="AC34" i="3" s="1"/>
  <c r="AA34" i="3"/>
  <c r="Z34" i="3"/>
  <c r="X34" i="3"/>
  <c r="Y34" i="3" s="1"/>
  <c r="W34" i="3"/>
  <c r="T34" i="3"/>
  <c r="S34" i="3"/>
  <c r="R34" i="3"/>
  <c r="U34" i="3" s="1"/>
  <c r="O34" i="3"/>
  <c r="L34" i="3"/>
  <c r="I34" i="3"/>
  <c r="Q34" i="3" s="1"/>
  <c r="H34" i="3"/>
  <c r="N34" i="3" s="1"/>
  <c r="G34" i="3"/>
  <c r="P34" i="3" s="1"/>
  <c r="F34" i="3"/>
  <c r="E34" i="3"/>
  <c r="D34" i="3" s="1"/>
  <c r="M34" i="3" s="1"/>
  <c r="AD33" i="3"/>
  <c r="AB33" i="3"/>
  <c r="AA33" i="3"/>
  <c r="Z33" i="3"/>
  <c r="X33" i="3"/>
  <c r="W33" i="3"/>
  <c r="T33" i="3"/>
  <c r="U33" i="3" s="1"/>
  <c r="S33" i="3"/>
  <c r="R33" i="3"/>
  <c r="O33" i="3"/>
  <c r="L33" i="3"/>
  <c r="I33" i="3"/>
  <c r="Q33" i="3" s="1"/>
  <c r="H33" i="3"/>
  <c r="N33" i="3" s="1"/>
  <c r="G33" i="3"/>
  <c r="P33" i="3" s="1"/>
  <c r="F33" i="3"/>
  <c r="E33" i="3"/>
  <c r="AD32" i="3"/>
  <c r="AB32" i="3"/>
  <c r="AA32" i="3"/>
  <c r="Z32" i="3"/>
  <c r="X32" i="3"/>
  <c r="W32" i="3"/>
  <c r="T32" i="3"/>
  <c r="S32" i="3"/>
  <c r="R32" i="3"/>
  <c r="O32" i="3"/>
  <c r="L32" i="3"/>
  <c r="I32" i="3"/>
  <c r="H32" i="3"/>
  <c r="N32" i="3" s="1"/>
  <c r="G32" i="3"/>
  <c r="P32" i="3" s="1"/>
  <c r="F32" i="3"/>
  <c r="E32" i="3"/>
  <c r="AD30" i="3"/>
  <c r="AB30" i="3"/>
  <c r="AA30" i="3"/>
  <c r="Z30" i="3"/>
  <c r="X30" i="3"/>
  <c r="W30" i="3"/>
  <c r="T30" i="3"/>
  <c r="S30" i="3"/>
  <c r="V30" i="3" s="1"/>
  <c r="R30" i="3"/>
  <c r="O30" i="3"/>
  <c r="L30" i="3"/>
  <c r="I30" i="3"/>
  <c r="Q30" i="3" s="1"/>
  <c r="H30" i="3"/>
  <c r="N30" i="3" s="1"/>
  <c r="G30" i="3"/>
  <c r="P30" i="3" s="1"/>
  <c r="F30" i="3"/>
  <c r="E30" i="3"/>
  <c r="D30" i="3" s="1"/>
  <c r="AD29" i="3"/>
  <c r="AB29" i="3"/>
  <c r="AA29" i="3"/>
  <c r="Z29" i="3"/>
  <c r="X29" i="3"/>
  <c r="W29" i="3"/>
  <c r="T29" i="3"/>
  <c r="S29" i="3"/>
  <c r="R29" i="3"/>
  <c r="O29" i="3"/>
  <c r="L29" i="3"/>
  <c r="I29" i="3"/>
  <c r="Q29" i="3" s="1"/>
  <c r="H29" i="3"/>
  <c r="N29" i="3" s="1"/>
  <c r="G29" i="3"/>
  <c r="P29" i="3" s="1"/>
  <c r="F29" i="3"/>
  <c r="E29" i="3"/>
  <c r="AD28" i="3"/>
  <c r="AB28" i="3"/>
  <c r="AA28" i="3"/>
  <c r="Z28" i="3"/>
  <c r="X28" i="3"/>
  <c r="W28" i="3"/>
  <c r="Y28" i="3" s="1"/>
  <c r="T28" i="3"/>
  <c r="S28" i="3"/>
  <c r="R28" i="3"/>
  <c r="O28" i="3"/>
  <c r="L28" i="3"/>
  <c r="I28" i="3"/>
  <c r="Q28" i="3" s="1"/>
  <c r="H28" i="3"/>
  <c r="N28" i="3" s="1"/>
  <c r="G28" i="3"/>
  <c r="P28" i="3" s="1"/>
  <c r="F28" i="3"/>
  <c r="E28" i="3"/>
  <c r="AD27" i="3"/>
  <c r="AB27" i="3"/>
  <c r="AC27" i="3" s="1"/>
  <c r="AA27" i="3"/>
  <c r="Z27" i="3"/>
  <c r="X27" i="3"/>
  <c r="W27" i="3"/>
  <c r="T27" i="3"/>
  <c r="U27" i="3" s="1"/>
  <c r="S27" i="3"/>
  <c r="R27" i="3"/>
  <c r="O27" i="3"/>
  <c r="L27" i="3"/>
  <c r="I27" i="3"/>
  <c r="Q27" i="3" s="1"/>
  <c r="H27" i="3"/>
  <c r="N27" i="3" s="1"/>
  <c r="G27" i="3"/>
  <c r="P27" i="3" s="1"/>
  <c r="F27" i="3"/>
  <c r="E27" i="3"/>
  <c r="AD26" i="3"/>
  <c r="AB26" i="3"/>
  <c r="AA26" i="3"/>
  <c r="Z26" i="3"/>
  <c r="X26" i="3"/>
  <c r="W26" i="3"/>
  <c r="T26" i="3"/>
  <c r="U26" i="3" s="1"/>
  <c r="S26" i="3"/>
  <c r="R26" i="3"/>
  <c r="O26" i="3"/>
  <c r="L26" i="3"/>
  <c r="I26" i="3"/>
  <c r="Q26" i="3" s="1"/>
  <c r="H26" i="3"/>
  <c r="N26" i="3" s="1"/>
  <c r="G26" i="3"/>
  <c r="P26" i="3" s="1"/>
  <c r="F26" i="3"/>
  <c r="E26" i="3"/>
  <c r="AD25" i="3"/>
  <c r="AB25" i="3"/>
  <c r="AA25" i="3"/>
  <c r="Z25" i="3"/>
  <c r="X25" i="3"/>
  <c r="W25" i="3"/>
  <c r="Y25" i="3" s="1"/>
  <c r="T25" i="3"/>
  <c r="S25" i="3"/>
  <c r="V25" i="3" s="1"/>
  <c r="R25" i="3"/>
  <c r="U25" i="3" s="1"/>
  <c r="O25" i="3"/>
  <c r="L25" i="3"/>
  <c r="I25" i="3"/>
  <c r="Q25" i="3" s="1"/>
  <c r="H25" i="3"/>
  <c r="N25" i="3" s="1"/>
  <c r="G25" i="3"/>
  <c r="P25" i="3" s="1"/>
  <c r="F25" i="3"/>
  <c r="D25" i="3" s="1"/>
  <c r="E25" i="3"/>
  <c r="AD24" i="3"/>
  <c r="AB24" i="3"/>
  <c r="AA24" i="3"/>
  <c r="Z24" i="3"/>
  <c r="X24" i="3"/>
  <c r="W24" i="3"/>
  <c r="T24" i="3"/>
  <c r="S24" i="3"/>
  <c r="R24" i="3"/>
  <c r="O24" i="3"/>
  <c r="L24" i="3"/>
  <c r="I24" i="3"/>
  <c r="Q24" i="3" s="1"/>
  <c r="H24" i="3"/>
  <c r="N24" i="3" s="1"/>
  <c r="G24" i="3"/>
  <c r="P24" i="3" s="1"/>
  <c r="F24" i="3"/>
  <c r="E24" i="3"/>
  <c r="AD23" i="3"/>
  <c r="AB23" i="3"/>
  <c r="AA23" i="3"/>
  <c r="Z23" i="3"/>
  <c r="X23" i="3"/>
  <c r="W23" i="3"/>
  <c r="T23" i="3"/>
  <c r="S23" i="3"/>
  <c r="R23" i="3"/>
  <c r="O23" i="3"/>
  <c r="L23" i="3"/>
  <c r="I23" i="3"/>
  <c r="Q23" i="3" s="1"/>
  <c r="H23" i="3"/>
  <c r="N23" i="3" s="1"/>
  <c r="G23" i="3"/>
  <c r="P23" i="3" s="1"/>
  <c r="F23" i="3"/>
  <c r="E23" i="3"/>
  <c r="AD22" i="3"/>
  <c r="AB22" i="3"/>
  <c r="AC22" i="3" s="1"/>
  <c r="AA22" i="3"/>
  <c r="Z22" i="3"/>
  <c r="X22" i="3"/>
  <c r="W22" i="3"/>
  <c r="T22" i="3"/>
  <c r="S22" i="3"/>
  <c r="R22" i="3"/>
  <c r="O22" i="3"/>
  <c r="L22" i="3"/>
  <c r="J22" i="3" s="1"/>
  <c r="I22" i="3"/>
  <c r="Q22" i="3" s="1"/>
  <c r="H22" i="3"/>
  <c r="N22" i="3" s="1"/>
  <c r="G22" i="3"/>
  <c r="P22" i="3" s="1"/>
  <c r="F22" i="3"/>
  <c r="D22" i="3" s="1"/>
  <c r="E22" i="3"/>
  <c r="AD21" i="3"/>
  <c r="AB21" i="3"/>
  <c r="AA21" i="3"/>
  <c r="Z21" i="3"/>
  <c r="X21" i="3"/>
  <c r="W21" i="3"/>
  <c r="T21" i="3"/>
  <c r="U21" i="3" s="1"/>
  <c r="S21" i="3"/>
  <c r="R21" i="3"/>
  <c r="O21" i="3"/>
  <c r="L21" i="3"/>
  <c r="I21" i="3"/>
  <c r="Q21" i="3" s="1"/>
  <c r="H21" i="3"/>
  <c r="N21" i="3" s="1"/>
  <c r="G21" i="3"/>
  <c r="P21" i="3" s="1"/>
  <c r="F21" i="3"/>
  <c r="E21" i="3"/>
  <c r="AD20" i="3"/>
  <c r="AB20" i="3"/>
  <c r="AA20" i="3"/>
  <c r="Z20" i="3"/>
  <c r="X20" i="3"/>
  <c r="W20" i="3"/>
  <c r="T20" i="3"/>
  <c r="S20" i="3"/>
  <c r="R20" i="3"/>
  <c r="U20" i="3" s="1"/>
  <c r="O20" i="3"/>
  <c r="L20" i="3"/>
  <c r="I20" i="3"/>
  <c r="Q20" i="3" s="1"/>
  <c r="H20" i="3"/>
  <c r="N20" i="3" s="1"/>
  <c r="G20" i="3"/>
  <c r="P20" i="3" s="1"/>
  <c r="F20" i="3"/>
  <c r="E20" i="3"/>
  <c r="AD19" i="3"/>
  <c r="AB19" i="3"/>
  <c r="AA19" i="3"/>
  <c r="Z19" i="3"/>
  <c r="X19" i="3"/>
  <c r="Y19" i="3" s="1"/>
  <c r="W19" i="3"/>
  <c r="T19" i="3"/>
  <c r="S19" i="3"/>
  <c r="R19" i="3"/>
  <c r="O19" i="3"/>
  <c r="L19" i="3"/>
  <c r="I19" i="3"/>
  <c r="Q19" i="3" s="1"/>
  <c r="H19" i="3"/>
  <c r="N19" i="3" s="1"/>
  <c r="G19" i="3"/>
  <c r="P19" i="3" s="1"/>
  <c r="F19" i="3"/>
  <c r="E19" i="3"/>
  <c r="AD18" i="3"/>
  <c r="AB18" i="3"/>
  <c r="AA18" i="3"/>
  <c r="Z18" i="3"/>
  <c r="X18" i="3"/>
  <c r="W18" i="3"/>
  <c r="T18" i="3"/>
  <c r="S18" i="3"/>
  <c r="R18" i="3"/>
  <c r="O18" i="3"/>
  <c r="L18" i="3"/>
  <c r="I18" i="3"/>
  <c r="Q18" i="3" s="1"/>
  <c r="H18" i="3"/>
  <c r="N18" i="3" s="1"/>
  <c r="G18" i="3"/>
  <c r="P18" i="3" s="1"/>
  <c r="F18" i="3"/>
  <c r="E18" i="3"/>
  <c r="AD17" i="3"/>
  <c r="AB17" i="3"/>
  <c r="AA17" i="3"/>
  <c r="Z17" i="3"/>
  <c r="X17" i="3"/>
  <c r="Y17" i="3" s="1"/>
  <c r="W17" i="3"/>
  <c r="T17" i="3"/>
  <c r="S17" i="3"/>
  <c r="V17" i="3" s="1"/>
  <c r="R17" i="3"/>
  <c r="U17" i="3" s="1"/>
  <c r="O17" i="3"/>
  <c r="L17" i="3"/>
  <c r="I17" i="3"/>
  <c r="Q17" i="3" s="1"/>
  <c r="H17" i="3"/>
  <c r="N17" i="3" s="1"/>
  <c r="G17" i="3"/>
  <c r="P17" i="3" s="1"/>
  <c r="F17" i="3"/>
  <c r="E17" i="3"/>
  <c r="AD16" i="3"/>
  <c r="AB16" i="3"/>
  <c r="AA16" i="3"/>
  <c r="Z16" i="3"/>
  <c r="X16" i="3"/>
  <c r="W16" i="3"/>
  <c r="T16" i="3"/>
  <c r="S16" i="3"/>
  <c r="R16" i="3"/>
  <c r="O16" i="3"/>
  <c r="L16" i="3"/>
  <c r="I16" i="3"/>
  <c r="Q16" i="3" s="1"/>
  <c r="H16" i="3"/>
  <c r="N16" i="3" s="1"/>
  <c r="G16" i="3"/>
  <c r="P16" i="3" s="1"/>
  <c r="F16" i="3"/>
  <c r="D16" i="3" s="1"/>
  <c r="M16" i="3" s="1"/>
  <c r="E16" i="3"/>
  <c r="AD15" i="3"/>
  <c r="AB15" i="3"/>
  <c r="AA15" i="3"/>
  <c r="Z15" i="3"/>
  <c r="X15" i="3"/>
  <c r="W15" i="3"/>
  <c r="T15" i="3"/>
  <c r="S15" i="3"/>
  <c r="R15" i="3"/>
  <c r="O15" i="3"/>
  <c r="L15" i="3"/>
  <c r="I15" i="3"/>
  <c r="Q15" i="3" s="1"/>
  <c r="H15" i="3"/>
  <c r="N15" i="3" s="1"/>
  <c r="G15" i="3"/>
  <c r="P15" i="3" s="1"/>
  <c r="F15" i="3"/>
  <c r="E15" i="3"/>
  <c r="AD14" i="3"/>
  <c r="AB14" i="3"/>
  <c r="AA14" i="3"/>
  <c r="Z14" i="3"/>
  <c r="X14" i="3"/>
  <c r="W14" i="3"/>
  <c r="T14" i="3"/>
  <c r="S14" i="3"/>
  <c r="R14" i="3"/>
  <c r="O14" i="3"/>
  <c r="L14" i="3"/>
  <c r="I14" i="3"/>
  <c r="H14" i="3"/>
  <c r="N14" i="3" s="1"/>
  <c r="G14" i="3"/>
  <c r="P14" i="3" s="1"/>
  <c r="F14" i="3"/>
  <c r="E14" i="3"/>
  <c r="AF9" i="3"/>
  <c r="AF7" i="3" s="1"/>
  <c r="AE9" i="3"/>
  <c r="AF8" i="3"/>
  <c r="AE8" i="3"/>
  <c r="AG8" i="3" s="1"/>
  <c r="AE7" i="3"/>
  <c r="V108" i="2"/>
  <c r="U108" i="2"/>
  <c r="O108" i="2"/>
  <c r="L108" i="2"/>
  <c r="I108" i="2"/>
  <c r="Q108" i="2" s="1"/>
  <c r="H108" i="2"/>
  <c r="N108" i="2" s="1"/>
  <c r="G108" i="2"/>
  <c r="P108" i="2" s="1"/>
  <c r="F108" i="2"/>
  <c r="E108" i="2"/>
  <c r="V107" i="2"/>
  <c r="U107" i="2"/>
  <c r="Q107" i="2"/>
  <c r="O107" i="2"/>
  <c r="L107" i="2"/>
  <c r="I107" i="2"/>
  <c r="H107" i="2"/>
  <c r="N107" i="2" s="1"/>
  <c r="G107" i="2"/>
  <c r="P107" i="2" s="1"/>
  <c r="F107" i="2"/>
  <c r="E107" i="2"/>
  <c r="V106" i="2"/>
  <c r="U106" i="2"/>
  <c r="O106" i="2"/>
  <c r="L106" i="2"/>
  <c r="I106" i="2"/>
  <c r="Q106" i="2" s="1"/>
  <c r="H106" i="2"/>
  <c r="N106" i="2" s="1"/>
  <c r="G106" i="2"/>
  <c r="P106" i="2" s="1"/>
  <c r="F106" i="2"/>
  <c r="E106" i="2"/>
  <c r="V105" i="2"/>
  <c r="U105" i="2"/>
  <c r="O105" i="2"/>
  <c r="L105" i="2"/>
  <c r="I105" i="2"/>
  <c r="Q105" i="2" s="1"/>
  <c r="H105" i="2"/>
  <c r="N105" i="2" s="1"/>
  <c r="G105" i="2"/>
  <c r="P105" i="2" s="1"/>
  <c r="F105" i="2"/>
  <c r="E105" i="2"/>
  <c r="D105" i="2" s="1"/>
  <c r="V104" i="2"/>
  <c r="U104" i="2"/>
  <c r="O104" i="2"/>
  <c r="L104" i="2"/>
  <c r="I104" i="2"/>
  <c r="Q104" i="2" s="1"/>
  <c r="H104" i="2"/>
  <c r="G104" i="2"/>
  <c r="P104" i="2" s="1"/>
  <c r="F104" i="2"/>
  <c r="E104" i="2"/>
  <c r="V103" i="2"/>
  <c r="U103" i="2"/>
  <c r="O103" i="2"/>
  <c r="L103" i="2"/>
  <c r="I103" i="2"/>
  <c r="Q103" i="2" s="1"/>
  <c r="H103" i="2"/>
  <c r="N103" i="2" s="1"/>
  <c r="G103" i="2"/>
  <c r="P103" i="2" s="1"/>
  <c r="F103" i="2"/>
  <c r="E103" i="2"/>
  <c r="V102" i="2"/>
  <c r="U102" i="2"/>
  <c r="O102" i="2"/>
  <c r="L102" i="2"/>
  <c r="I102" i="2"/>
  <c r="Q102" i="2" s="1"/>
  <c r="H102" i="2"/>
  <c r="N102" i="2" s="1"/>
  <c r="G102" i="2"/>
  <c r="P102" i="2" s="1"/>
  <c r="F102" i="2"/>
  <c r="E102" i="2"/>
  <c r="T101" i="2"/>
  <c r="T89" i="2" s="1"/>
  <c r="T9" i="2" s="1"/>
  <c r="S101" i="2"/>
  <c r="R101" i="2"/>
  <c r="O101" i="2"/>
  <c r="L101" i="2"/>
  <c r="I101" i="2"/>
  <c r="Q101" i="2" s="1"/>
  <c r="H101" i="2"/>
  <c r="G101" i="2"/>
  <c r="P101" i="2" s="1"/>
  <c r="F101" i="2"/>
  <c r="E101" i="2"/>
  <c r="V100" i="2"/>
  <c r="U100" i="2"/>
  <c r="O100" i="2"/>
  <c r="L100" i="2"/>
  <c r="I100" i="2"/>
  <c r="Q100" i="2" s="1"/>
  <c r="H100" i="2"/>
  <c r="N100" i="2" s="1"/>
  <c r="G100" i="2"/>
  <c r="P100" i="2" s="1"/>
  <c r="F100" i="2"/>
  <c r="E100" i="2"/>
  <c r="D100" i="2" s="1"/>
  <c r="V99" i="2"/>
  <c r="U99" i="2"/>
  <c r="O99" i="2"/>
  <c r="L99" i="2"/>
  <c r="I99" i="2"/>
  <c r="Q99" i="2" s="1"/>
  <c r="H99" i="2"/>
  <c r="N99" i="2" s="1"/>
  <c r="G99" i="2"/>
  <c r="P99" i="2" s="1"/>
  <c r="F99" i="2"/>
  <c r="E99" i="2"/>
  <c r="V98" i="2"/>
  <c r="U98" i="2"/>
  <c r="O98" i="2"/>
  <c r="L98" i="2"/>
  <c r="I98" i="2"/>
  <c r="Q98" i="2" s="1"/>
  <c r="H98" i="2"/>
  <c r="N98" i="2" s="1"/>
  <c r="G98" i="2"/>
  <c r="P98" i="2" s="1"/>
  <c r="F98" i="2"/>
  <c r="E98" i="2"/>
  <c r="D98" i="2" s="1"/>
  <c r="V97" i="2"/>
  <c r="U97" i="2"/>
  <c r="O97" i="2"/>
  <c r="L97" i="2"/>
  <c r="I97" i="2"/>
  <c r="Q97" i="2" s="1"/>
  <c r="H97" i="2"/>
  <c r="N97" i="2" s="1"/>
  <c r="G97" i="2"/>
  <c r="P97" i="2" s="1"/>
  <c r="F97" i="2"/>
  <c r="E97" i="2"/>
  <c r="V96" i="2"/>
  <c r="U96" i="2"/>
  <c r="O96" i="2"/>
  <c r="L96" i="2"/>
  <c r="I96" i="2"/>
  <c r="Q96" i="2" s="1"/>
  <c r="H96" i="2"/>
  <c r="N96" i="2" s="1"/>
  <c r="G96" i="2"/>
  <c r="P96" i="2" s="1"/>
  <c r="F96" i="2"/>
  <c r="E96" i="2"/>
  <c r="D96" i="2" s="1"/>
  <c r="V95" i="2"/>
  <c r="U95" i="2"/>
  <c r="O95" i="2"/>
  <c r="L95" i="2"/>
  <c r="I95" i="2"/>
  <c r="Q95" i="2" s="1"/>
  <c r="H95" i="2"/>
  <c r="N95" i="2" s="1"/>
  <c r="G95" i="2"/>
  <c r="P95" i="2" s="1"/>
  <c r="F95" i="2"/>
  <c r="E95" i="2"/>
  <c r="V94" i="2"/>
  <c r="U94" i="2"/>
  <c r="O94" i="2"/>
  <c r="L94" i="2"/>
  <c r="I94" i="2"/>
  <c r="Q94" i="2" s="1"/>
  <c r="H94" i="2"/>
  <c r="N94" i="2" s="1"/>
  <c r="G94" i="2"/>
  <c r="P94" i="2" s="1"/>
  <c r="F94" i="2"/>
  <c r="E94" i="2"/>
  <c r="V93" i="2"/>
  <c r="U93" i="2"/>
  <c r="O93" i="2"/>
  <c r="L93" i="2"/>
  <c r="I93" i="2"/>
  <c r="Q93" i="2" s="1"/>
  <c r="H93" i="2"/>
  <c r="G93" i="2"/>
  <c r="P93" i="2" s="1"/>
  <c r="F93" i="2"/>
  <c r="E93" i="2"/>
  <c r="V92" i="2"/>
  <c r="U92" i="2"/>
  <c r="O92" i="2"/>
  <c r="L92" i="2"/>
  <c r="I92" i="2"/>
  <c r="Q92" i="2" s="1"/>
  <c r="H92" i="2"/>
  <c r="N92" i="2" s="1"/>
  <c r="G92" i="2"/>
  <c r="P92" i="2" s="1"/>
  <c r="F92" i="2"/>
  <c r="E92" i="2"/>
  <c r="V91" i="2"/>
  <c r="U91" i="2"/>
  <c r="O91" i="2"/>
  <c r="L91" i="2"/>
  <c r="I91" i="2"/>
  <c r="Q91" i="2" s="1"/>
  <c r="H91" i="2"/>
  <c r="N91" i="2" s="1"/>
  <c r="G91" i="2"/>
  <c r="P91" i="2" s="1"/>
  <c r="F91" i="2"/>
  <c r="E91" i="2"/>
  <c r="V90" i="2"/>
  <c r="U90" i="2"/>
  <c r="O90" i="2"/>
  <c r="L90" i="2"/>
  <c r="I90" i="2"/>
  <c r="H90" i="2"/>
  <c r="N90" i="2" s="1"/>
  <c r="G90" i="2"/>
  <c r="P90" i="2" s="1"/>
  <c r="F90" i="2"/>
  <c r="E90" i="2"/>
  <c r="D90" i="2" s="1"/>
  <c r="S89" i="2"/>
  <c r="AG88" i="2"/>
  <c r="AF88" i="2"/>
  <c r="AH88" i="2" s="1"/>
  <c r="AD88" i="2"/>
  <c r="AC88" i="2"/>
  <c r="AA88" i="2"/>
  <c r="Z88" i="2"/>
  <c r="X88" i="2"/>
  <c r="W88" i="2"/>
  <c r="Y88" i="2" s="1"/>
  <c r="T88" i="2"/>
  <c r="S88" i="2"/>
  <c r="R88" i="2"/>
  <c r="O88" i="2"/>
  <c r="L88" i="2"/>
  <c r="I88" i="2"/>
  <c r="Q88" i="2" s="1"/>
  <c r="H88" i="2"/>
  <c r="G88" i="2"/>
  <c r="P88" i="2" s="1"/>
  <c r="F88" i="2"/>
  <c r="E88" i="2"/>
  <c r="AG87" i="2"/>
  <c r="AF87" i="2"/>
  <c r="AD87" i="2"/>
  <c r="AC87" i="2"/>
  <c r="AE87" i="2" s="1"/>
  <c r="AB87" i="2"/>
  <c r="AA87" i="2"/>
  <c r="Z87" i="2"/>
  <c r="X87" i="2"/>
  <c r="W87" i="2"/>
  <c r="T87" i="2"/>
  <c r="S87" i="2"/>
  <c r="V87" i="2" s="1"/>
  <c r="R87" i="2"/>
  <c r="O87" i="2"/>
  <c r="L87" i="2"/>
  <c r="I87" i="2"/>
  <c r="Q87" i="2" s="1"/>
  <c r="H87" i="2"/>
  <c r="G87" i="2"/>
  <c r="P87" i="2" s="1"/>
  <c r="F87" i="2"/>
  <c r="E87" i="2"/>
  <c r="AG86" i="2"/>
  <c r="AF86" i="2"/>
  <c r="AD86" i="2"/>
  <c r="AC86" i="2"/>
  <c r="AA86" i="2"/>
  <c r="Z86" i="2"/>
  <c r="X86" i="2"/>
  <c r="W86" i="2"/>
  <c r="Y86" i="2" s="1"/>
  <c r="T86" i="2"/>
  <c r="S86" i="2"/>
  <c r="R86" i="2"/>
  <c r="O86" i="2"/>
  <c r="L86" i="2"/>
  <c r="I86" i="2"/>
  <c r="Q86" i="2" s="1"/>
  <c r="H86" i="2"/>
  <c r="G86" i="2"/>
  <c r="P86" i="2" s="1"/>
  <c r="F86" i="2"/>
  <c r="E86" i="2"/>
  <c r="AG85" i="2"/>
  <c r="AF85" i="2"/>
  <c r="AH85" i="2" s="1"/>
  <c r="AD85" i="2"/>
  <c r="AC85" i="2"/>
  <c r="AE85" i="2" s="1"/>
  <c r="AA85" i="2"/>
  <c r="Z85" i="2"/>
  <c r="AB85" i="2" s="1"/>
  <c r="X85" i="2"/>
  <c r="W85" i="2"/>
  <c r="Y85" i="2" s="1"/>
  <c r="T85" i="2"/>
  <c r="S85" i="2"/>
  <c r="V85" i="2" s="1"/>
  <c r="R85" i="2"/>
  <c r="U85" i="2" s="1"/>
  <c r="O85" i="2"/>
  <c r="L85" i="2"/>
  <c r="I85" i="2"/>
  <c r="Q85" i="2" s="1"/>
  <c r="H85" i="2"/>
  <c r="N85" i="2" s="1"/>
  <c r="G85" i="2"/>
  <c r="P85" i="2" s="1"/>
  <c r="F85" i="2"/>
  <c r="E85" i="2"/>
  <c r="AG84" i="2"/>
  <c r="AF84" i="2"/>
  <c r="AH84" i="2" s="1"/>
  <c r="AD84" i="2"/>
  <c r="AC84" i="2"/>
  <c r="AE84" i="2" s="1"/>
  <c r="AA84" i="2"/>
  <c r="Z84" i="2"/>
  <c r="AB84" i="2" s="1"/>
  <c r="X84" i="2"/>
  <c r="W84" i="2"/>
  <c r="Y84" i="2" s="1"/>
  <c r="V84" i="2"/>
  <c r="T84" i="2"/>
  <c r="S84" i="2"/>
  <c r="R84" i="2"/>
  <c r="U84" i="2" s="1"/>
  <c r="O84" i="2"/>
  <c r="L84" i="2"/>
  <c r="I84" i="2"/>
  <c r="Q84" i="2" s="1"/>
  <c r="H84" i="2"/>
  <c r="N84" i="2" s="1"/>
  <c r="G84" i="2"/>
  <c r="P84" i="2" s="1"/>
  <c r="F84" i="2"/>
  <c r="E84" i="2"/>
  <c r="AG83" i="2"/>
  <c r="AF83" i="2"/>
  <c r="AH83" i="2" s="1"/>
  <c r="AD83" i="2"/>
  <c r="AC83" i="2"/>
  <c r="AE83" i="2" s="1"/>
  <c r="AA83" i="2"/>
  <c r="Z83" i="2"/>
  <c r="AB83" i="2" s="1"/>
  <c r="X83" i="2"/>
  <c r="W83" i="2"/>
  <c r="Y83" i="2" s="1"/>
  <c r="T83" i="2"/>
  <c r="S83" i="2"/>
  <c r="V83" i="2" s="1"/>
  <c r="R83" i="2"/>
  <c r="U83" i="2" s="1"/>
  <c r="O83" i="2"/>
  <c r="L83" i="2"/>
  <c r="I83" i="2"/>
  <c r="Q83" i="2" s="1"/>
  <c r="H83" i="2"/>
  <c r="N83" i="2" s="1"/>
  <c r="G83" i="2"/>
  <c r="P83" i="2" s="1"/>
  <c r="F83" i="2"/>
  <c r="E83" i="2"/>
  <c r="AG82" i="2"/>
  <c r="AF82" i="2"/>
  <c r="AD82" i="2"/>
  <c r="AC82" i="2"/>
  <c r="AE82" i="2" s="1"/>
  <c r="AA82" i="2"/>
  <c r="Z82" i="2"/>
  <c r="X82" i="2"/>
  <c r="Y82" i="2" s="1"/>
  <c r="W82" i="2"/>
  <c r="T82" i="2"/>
  <c r="S82" i="2"/>
  <c r="R82" i="2"/>
  <c r="Q82" i="2"/>
  <c r="O82" i="2"/>
  <c r="L82" i="2"/>
  <c r="I82" i="2"/>
  <c r="H82" i="2"/>
  <c r="N82" i="2" s="1"/>
  <c r="G82" i="2"/>
  <c r="P82" i="2" s="1"/>
  <c r="F82" i="2"/>
  <c r="E82" i="2"/>
  <c r="AG81" i="2"/>
  <c r="AF81" i="2"/>
  <c r="AD81" i="2"/>
  <c r="AC81" i="2"/>
  <c r="AA81" i="2"/>
  <c r="Z81" i="2"/>
  <c r="AB81" i="2" s="1"/>
  <c r="X81" i="2"/>
  <c r="W81" i="2"/>
  <c r="T81" i="2"/>
  <c r="S81" i="2"/>
  <c r="R81" i="2"/>
  <c r="O81" i="2"/>
  <c r="L81" i="2"/>
  <c r="I81" i="2"/>
  <c r="Q81" i="2" s="1"/>
  <c r="H81" i="2"/>
  <c r="G81" i="2"/>
  <c r="P81" i="2" s="1"/>
  <c r="F81" i="2"/>
  <c r="E81" i="2"/>
  <c r="AG80" i="2"/>
  <c r="AF80" i="2"/>
  <c r="AH80" i="2" s="1"/>
  <c r="AD80" i="2"/>
  <c r="AC80" i="2"/>
  <c r="AE80" i="2" s="1"/>
  <c r="AA80" i="2"/>
  <c r="Z80" i="2"/>
  <c r="AB80" i="2" s="1"/>
  <c r="X80" i="2"/>
  <c r="W80" i="2"/>
  <c r="Y80" i="2" s="1"/>
  <c r="T80" i="2"/>
  <c r="S80" i="2"/>
  <c r="V80" i="2" s="1"/>
  <c r="R80" i="2"/>
  <c r="U80" i="2" s="1"/>
  <c r="O80" i="2"/>
  <c r="L80" i="2"/>
  <c r="I80" i="2"/>
  <c r="Q80" i="2" s="1"/>
  <c r="H80" i="2"/>
  <c r="N80" i="2" s="1"/>
  <c r="G80" i="2"/>
  <c r="P80" i="2" s="1"/>
  <c r="F80" i="2"/>
  <c r="E80" i="2"/>
  <c r="AG79" i="2"/>
  <c r="AF79" i="2"/>
  <c r="AD79" i="2"/>
  <c r="AC79" i="2"/>
  <c r="AE79" i="2" s="1"/>
  <c r="AA79" i="2"/>
  <c r="Z79" i="2"/>
  <c r="X79" i="2"/>
  <c r="W79" i="2"/>
  <c r="Y79" i="2" s="1"/>
  <c r="T79" i="2"/>
  <c r="S79" i="2"/>
  <c r="R79" i="2"/>
  <c r="O79" i="2"/>
  <c r="L79" i="2"/>
  <c r="I79" i="2"/>
  <c r="Q79" i="2" s="1"/>
  <c r="H79" i="2"/>
  <c r="N79" i="2" s="1"/>
  <c r="G79" i="2"/>
  <c r="P79" i="2" s="1"/>
  <c r="F79" i="2"/>
  <c r="E79" i="2"/>
  <c r="AG78" i="2"/>
  <c r="AF78" i="2"/>
  <c r="AH78" i="2" s="1"/>
  <c r="AD78" i="2"/>
  <c r="AC78" i="2"/>
  <c r="AE78" i="2" s="1"/>
  <c r="AA78" i="2"/>
  <c r="Z78" i="2"/>
  <c r="AB78" i="2" s="1"/>
  <c r="X78" i="2"/>
  <c r="W78" i="2"/>
  <c r="Y78" i="2" s="1"/>
  <c r="T78" i="2"/>
  <c r="S78" i="2"/>
  <c r="V78" i="2" s="1"/>
  <c r="R78" i="2"/>
  <c r="U78" i="2" s="1"/>
  <c r="O78" i="2"/>
  <c r="L78" i="2"/>
  <c r="J78" i="2"/>
  <c r="I78" i="2"/>
  <c r="Q78" i="2" s="1"/>
  <c r="H78" i="2"/>
  <c r="N78" i="2" s="1"/>
  <c r="G78" i="2"/>
  <c r="P78" i="2" s="1"/>
  <c r="F78" i="2"/>
  <c r="E78" i="2"/>
  <c r="D78" i="2" s="1"/>
  <c r="AG77" i="2"/>
  <c r="AF77" i="2"/>
  <c r="AH77" i="2" s="1"/>
  <c r="AD77" i="2"/>
  <c r="AC77" i="2"/>
  <c r="AE77" i="2" s="1"/>
  <c r="AA77" i="2"/>
  <c r="Z77" i="2"/>
  <c r="AB77" i="2" s="1"/>
  <c r="X77" i="2"/>
  <c r="W77" i="2"/>
  <c r="Y77" i="2" s="1"/>
  <c r="T77" i="2"/>
  <c r="S77" i="2"/>
  <c r="V77" i="2" s="1"/>
  <c r="R77" i="2"/>
  <c r="U77" i="2" s="1"/>
  <c r="O77" i="2"/>
  <c r="L77" i="2"/>
  <c r="I77" i="2"/>
  <c r="Q77" i="2" s="1"/>
  <c r="H77" i="2"/>
  <c r="N77" i="2" s="1"/>
  <c r="G77" i="2"/>
  <c r="P77" i="2" s="1"/>
  <c r="F77" i="2"/>
  <c r="E77" i="2"/>
  <c r="AG76" i="2"/>
  <c r="AF76" i="2"/>
  <c r="AD76" i="2"/>
  <c r="AC76" i="2"/>
  <c r="AA76" i="2"/>
  <c r="Z76" i="2"/>
  <c r="X76" i="2"/>
  <c r="W76" i="2"/>
  <c r="T76" i="2"/>
  <c r="S76" i="2"/>
  <c r="R76" i="2"/>
  <c r="O76" i="2"/>
  <c r="L76" i="2"/>
  <c r="J76" i="2" s="1"/>
  <c r="I76" i="2"/>
  <c r="Q76" i="2" s="1"/>
  <c r="H76" i="2"/>
  <c r="G76" i="2"/>
  <c r="P76" i="2" s="1"/>
  <c r="F76" i="2"/>
  <c r="E76" i="2"/>
  <c r="D76" i="2" s="1"/>
  <c r="AG75" i="2"/>
  <c r="AF75" i="2"/>
  <c r="AH75" i="2" s="1"/>
  <c r="AD75" i="2"/>
  <c r="AC75" i="2"/>
  <c r="AE75" i="2" s="1"/>
  <c r="AA75" i="2"/>
  <c r="Z75" i="2"/>
  <c r="AB75" i="2" s="1"/>
  <c r="X75" i="2"/>
  <c r="W75" i="2"/>
  <c r="T75" i="2"/>
  <c r="S75" i="2"/>
  <c r="V75" i="2" s="1"/>
  <c r="R75" i="2"/>
  <c r="U75" i="2" s="1"/>
  <c r="O75" i="2"/>
  <c r="L75" i="2"/>
  <c r="I75" i="2"/>
  <c r="H75" i="2"/>
  <c r="N75" i="2" s="1"/>
  <c r="G75" i="2"/>
  <c r="F75" i="2"/>
  <c r="E75" i="2"/>
  <c r="AG73" i="2"/>
  <c r="AF73" i="2"/>
  <c r="AH73" i="2" s="1"/>
  <c r="AD73" i="2"/>
  <c r="AC73" i="2"/>
  <c r="AE73" i="2" s="1"/>
  <c r="AA73" i="2"/>
  <c r="Z73" i="2"/>
  <c r="AB73" i="2" s="1"/>
  <c r="X73" i="2"/>
  <c r="W73" i="2"/>
  <c r="Y73" i="2" s="1"/>
  <c r="T73" i="2"/>
  <c r="S73" i="2"/>
  <c r="V73" i="2" s="1"/>
  <c r="R73" i="2"/>
  <c r="U73" i="2" s="1"/>
  <c r="O73" i="2"/>
  <c r="L73" i="2"/>
  <c r="J73" i="2" s="1"/>
  <c r="I73" i="2"/>
  <c r="Q73" i="2" s="1"/>
  <c r="H73" i="2"/>
  <c r="N73" i="2" s="1"/>
  <c r="G73" i="2"/>
  <c r="P73" i="2" s="1"/>
  <c r="F73" i="2"/>
  <c r="E73" i="2"/>
  <c r="AG72" i="2"/>
  <c r="AF72" i="2"/>
  <c r="AH72" i="2" s="1"/>
  <c r="AD72" i="2"/>
  <c r="AC72" i="2"/>
  <c r="AE72" i="2" s="1"/>
  <c r="AA72" i="2"/>
  <c r="Z72" i="2"/>
  <c r="AB72" i="2" s="1"/>
  <c r="X72" i="2"/>
  <c r="W72" i="2"/>
  <c r="Y72" i="2" s="1"/>
  <c r="T72" i="2"/>
  <c r="S72" i="2"/>
  <c r="V72" i="2" s="1"/>
  <c r="R72" i="2"/>
  <c r="U72" i="2" s="1"/>
  <c r="O72" i="2"/>
  <c r="L72" i="2"/>
  <c r="I72" i="2"/>
  <c r="Q72" i="2" s="1"/>
  <c r="H72" i="2"/>
  <c r="N72" i="2" s="1"/>
  <c r="G72" i="2"/>
  <c r="P72" i="2" s="1"/>
  <c r="F72" i="2"/>
  <c r="E72" i="2"/>
  <c r="D72" i="2" s="1"/>
  <c r="AG71" i="2"/>
  <c r="AF71" i="2"/>
  <c r="AH71" i="2" s="1"/>
  <c r="AD71" i="2"/>
  <c r="AC71" i="2"/>
  <c r="AE71" i="2" s="1"/>
  <c r="AA71" i="2"/>
  <c r="Z71" i="2"/>
  <c r="AB71" i="2" s="1"/>
  <c r="X71" i="2"/>
  <c r="W71" i="2"/>
  <c r="Y71" i="2" s="1"/>
  <c r="T71" i="2"/>
  <c r="S71" i="2"/>
  <c r="V71" i="2" s="1"/>
  <c r="R71" i="2"/>
  <c r="U71" i="2" s="1"/>
  <c r="O71" i="2"/>
  <c r="L71" i="2"/>
  <c r="I71" i="2"/>
  <c r="Q71" i="2" s="1"/>
  <c r="H71" i="2"/>
  <c r="N71" i="2" s="1"/>
  <c r="G71" i="2"/>
  <c r="P71" i="2" s="1"/>
  <c r="F71" i="2"/>
  <c r="E71" i="2"/>
  <c r="AG70" i="2"/>
  <c r="AF70" i="2"/>
  <c r="AH70" i="2" s="1"/>
  <c r="AD70" i="2"/>
  <c r="AC70" i="2"/>
  <c r="AE70" i="2" s="1"/>
  <c r="AA70" i="2"/>
  <c r="Z70" i="2"/>
  <c r="AB70" i="2" s="1"/>
  <c r="X70" i="2"/>
  <c r="W70" i="2"/>
  <c r="Y70" i="2" s="1"/>
  <c r="T70" i="2"/>
  <c r="S70" i="2"/>
  <c r="V70" i="2" s="1"/>
  <c r="R70" i="2"/>
  <c r="U70" i="2" s="1"/>
  <c r="O70" i="2"/>
  <c r="L70" i="2"/>
  <c r="I70" i="2"/>
  <c r="Q70" i="2" s="1"/>
  <c r="H70" i="2"/>
  <c r="N70" i="2" s="1"/>
  <c r="G70" i="2"/>
  <c r="P70" i="2" s="1"/>
  <c r="F70" i="2"/>
  <c r="E70" i="2"/>
  <c r="AG69" i="2"/>
  <c r="AF69" i="2"/>
  <c r="AH69" i="2" s="1"/>
  <c r="AE69" i="2"/>
  <c r="AD69" i="2"/>
  <c r="AC69" i="2"/>
  <c r="AA69" i="2"/>
  <c r="Z69" i="2"/>
  <c r="AB69" i="2" s="1"/>
  <c r="Y69" i="2"/>
  <c r="X69" i="2"/>
  <c r="W69" i="2"/>
  <c r="T69" i="2"/>
  <c r="S69" i="2"/>
  <c r="V69" i="2" s="1"/>
  <c r="R69" i="2"/>
  <c r="U69" i="2" s="1"/>
  <c r="O69" i="2"/>
  <c r="L69" i="2"/>
  <c r="I69" i="2"/>
  <c r="Q69" i="2" s="1"/>
  <c r="H69" i="2"/>
  <c r="N69" i="2" s="1"/>
  <c r="G69" i="2"/>
  <c r="P69" i="2" s="1"/>
  <c r="F69" i="2"/>
  <c r="E69" i="2"/>
  <c r="AG68" i="2"/>
  <c r="AF68" i="2"/>
  <c r="AD68" i="2"/>
  <c r="AC68" i="2"/>
  <c r="AA68" i="2"/>
  <c r="Z68" i="2"/>
  <c r="X68" i="2"/>
  <c r="W68" i="2"/>
  <c r="T68" i="2"/>
  <c r="S68" i="2"/>
  <c r="R68" i="2"/>
  <c r="O68" i="2"/>
  <c r="L68" i="2"/>
  <c r="I68" i="2"/>
  <c r="Q68" i="2" s="1"/>
  <c r="H68" i="2"/>
  <c r="G68" i="2"/>
  <c r="P68" i="2" s="1"/>
  <c r="F68" i="2"/>
  <c r="E68" i="2"/>
  <c r="AG67" i="2"/>
  <c r="AF67" i="2"/>
  <c r="AD67" i="2"/>
  <c r="AC67" i="2"/>
  <c r="AA67" i="2"/>
  <c r="Z67" i="2"/>
  <c r="X67" i="2"/>
  <c r="W67" i="2"/>
  <c r="T67" i="2"/>
  <c r="S67" i="2"/>
  <c r="R67" i="2"/>
  <c r="O67" i="2"/>
  <c r="L67" i="2"/>
  <c r="J67" i="2" s="1"/>
  <c r="I67" i="2"/>
  <c r="Q67" i="2" s="1"/>
  <c r="H67" i="2"/>
  <c r="G67" i="2"/>
  <c r="P67" i="2" s="1"/>
  <c r="F67" i="2"/>
  <c r="E67" i="2"/>
  <c r="AG66" i="2"/>
  <c r="AF66" i="2"/>
  <c r="AH66" i="2" s="1"/>
  <c r="AD66" i="2"/>
  <c r="AC66" i="2"/>
  <c r="AE66" i="2" s="1"/>
  <c r="AA66" i="2"/>
  <c r="Z66" i="2"/>
  <c r="AB66" i="2" s="1"/>
  <c r="X66" i="2"/>
  <c r="W66" i="2"/>
  <c r="Y66" i="2" s="1"/>
  <c r="T66" i="2"/>
  <c r="S66" i="2"/>
  <c r="V66" i="2" s="1"/>
  <c r="R66" i="2"/>
  <c r="U66" i="2" s="1"/>
  <c r="O66" i="2"/>
  <c r="L66" i="2"/>
  <c r="I66" i="2"/>
  <c r="Q66" i="2" s="1"/>
  <c r="H66" i="2"/>
  <c r="N66" i="2" s="1"/>
  <c r="G66" i="2"/>
  <c r="P66" i="2" s="1"/>
  <c r="F66" i="2"/>
  <c r="E66" i="2"/>
  <c r="D66" i="2" s="1"/>
  <c r="AG65" i="2"/>
  <c r="AF65" i="2"/>
  <c r="AH65" i="2" s="1"/>
  <c r="AD65" i="2"/>
  <c r="AC65" i="2"/>
  <c r="AA65" i="2"/>
  <c r="Z65" i="2"/>
  <c r="X65" i="2"/>
  <c r="W65" i="2"/>
  <c r="Y65" i="2" s="1"/>
  <c r="T65" i="2"/>
  <c r="S65" i="2"/>
  <c r="R65" i="2"/>
  <c r="U65" i="2" s="1"/>
  <c r="O65" i="2"/>
  <c r="L65" i="2"/>
  <c r="I65" i="2"/>
  <c r="Q65" i="2" s="1"/>
  <c r="H65" i="2"/>
  <c r="G65" i="2"/>
  <c r="P65" i="2" s="1"/>
  <c r="F65" i="2"/>
  <c r="E65" i="2"/>
  <c r="AG64" i="2"/>
  <c r="AF64" i="2"/>
  <c r="AH64" i="2" s="1"/>
  <c r="AD64" i="2"/>
  <c r="AC64" i="2"/>
  <c r="AE64" i="2" s="1"/>
  <c r="AA64" i="2"/>
  <c r="Z64" i="2"/>
  <c r="AB64" i="2" s="1"/>
  <c r="X64" i="2"/>
  <c r="W64" i="2"/>
  <c r="Y64" i="2" s="1"/>
  <c r="T64" i="2"/>
  <c r="S64" i="2"/>
  <c r="V64" i="2" s="1"/>
  <c r="R64" i="2"/>
  <c r="U64" i="2" s="1"/>
  <c r="O64" i="2"/>
  <c r="J64" i="2" s="1"/>
  <c r="L64" i="2"/>
  <c r="I64" i="2"/>
  <c r="Q64" i="2" s="1"/>
  <c r="H64" i="2"/>
  <c r="N64" i="2" s="1"/>
  <c r="G64" i="2"/>
  <c r="P64" i="2" s="1"/>
  <c r="F64" i="2"/>
  <c r="E64" i="2"/>
  <c r="AG63" i="2"/>
  <c r="AF63" i="2"/>
  <c r="AD63" i="2"/>
  <c r="AC63" i="2"/>
  <c r="AA63" i="2"/>
  <c r="Z63" i="2"/>
  <c r="X63" i="2"/>
  <c r="W63" i="2"/>
  <c r="T63" i="2"/>
  <c r="V63" i="2" s="1"/>
  <c r="S63" i="2"/>
  <c r="R63" i="2"/>
  <c r="U63" i="2" s="1"/>
  <c r="O63" i="2"/>
  <c r="L63" i="2"/>
  <c r="J63" i="2" s="1"/>
  <c r="I63" i="2"/>
  <c r="Q63" i="2" s="1"/>
  <c r="H63" i="2"/>
  <c r="N63" i="2" s="1"/>
  <c r="G63" i="2"/>
  <c r="P63" i="2" s="1"/>
  <c r="F63" i="2"/>
  <c r="E63" i="2"/>
  <c r="AG62" i="2"/>
  <c r="AF62" i="2"/>
  <c r="AD62" i="2"/>
  <c r="AC62" i="2"/>
  <c r="AA62" i="2"/>
  <c r="Z62" i="2"/>
  <c r="X62" i="2"/>
  <c r="W62" i="2"/>
  <c r="Y62" i="2" s="1"/>
  <c r="T62" i="2"/>
  <c r="S62" i="2"/>
  <c r="R62" i="2"/>
  <c r="O62" i="2"/>
  <c r="L62" i="2"/>
  <c r="J62" i="2" s="1"/>
  <c r="I62" i="2"/>
  <c r="Q62" i="2" s="1"/>
  <c r="H62" i="2"/>
  <c r="G62" i="2"/>
  <c r="P62" i="2" s="1"/>
  <c r="F62" i="2"/>
  <c r="E62" i="2"/>
  <c r="AG61" i="2"/>
  <c r="AF61" i="2"/>
  <c r="AD61" i="2"/>
  <c r="AC61" i="2"/>
  <c r="AA61" i="2"/>
  <c r="Z61" i="2"/>
  <c r="X61" i="2"/>
  <c r="W61" i="2"/>
  <c r="Y61" i="2" s="1"/>
  <c r="T61" i="2"/>
  <c r="S61" i="2"/>
  <c r="R61" i="2"/>
  <c r="O61" i="2"/>
  <c r="L61" i="2"/>
  <c r="J61" i="2"/>
  <c r="I61" i="2"/>
  <c r="Q61" i="2" s="1"/>
  <c r="H61" i="2"/>
  <c r="G61" i="2"/>
  <c r="P61" i="2" s="1"/>
  <c r="F61" i="2"/>
  <c r="E61" i="2"/>
  <c r="D61" i="2" s="1"/>
  <c r="AG60" i="2"/>
  <c r="AF60" i="2"/>
  <c r="AH60" i="2" s="1"/>
  <c r="AE60" i="2"/>
  <c r="AD60" i="2"/>
  <c r="AC60" i="2"/>
  <c r="AA60" i="2"/>
  <c r="Z60" i="2"/>
  <c r="AB60" i="2" s="1"/>
  <c r="Y60" i="2"/>
  <c r="X60" i="2"/>
  <c r="W60" i="2"/>
  <c r="T60" i="2"/>
  <c r="S60" i="2"/>
  <c r="V60" i="2" s="1"/>
  <c r="R60" i="2"/>
  <c r="U60" i="2" s="1"/>
  <c r="O60" i="2"/>
  <c r="L60" i="2"/>
  <c r="I60" i="2"/>
  <c r="Q60" i="2" s="1"/>
  <c r="H60" i="2"/>
  <c r="N60" i="2" s="1"/>
  <c r="G60" i="2"/>
  <c r="P60" i="2" s="1"/>
  <c r="F60" i="2"/>
  <c r="E60" i="2"/>
  <c r="D60" i="2" s="1"/>
  <c r="AG59" i="2"/>
  <c r="AF59" i="2"/>
  <c r="AH59" i="2" s="1"/>
  <c r="AD59" i="2"/>
  <c r="AC59" i="2"/>
  <c r="AE59" i="2" s="1"/>
  <c r="AA59" i="2"/>
  <c r="Z59" i="2"/>
  <c r="AB59" i="2" s="1"/>
  <c r="X59" i="2"/>
  <c r="W59" i="2"/>
  <c r="Y59" i="2" s="1"/>
  <c r="T59" i="2"/>
  <c r="S59" i="2"/>
  <c r="V59" i="2" s="1"/>
  <c r="R59" i="2"/>
  <c r="U59" i="2" s="1"/>
  <c r="O59" i="2"/>
  <c r="L59" i="2"/>
  <c r="I59" i="2"/>
  <c r="Q59" i="2" s="1"/>
  <c r="H59" i="2"/>
  <c r="N59" i="2" s="1"/>
  <c r="G59" i="2"/>
  <c r="P59" i="2" s="1"/>
  <c r="F59" i="2"/>
  <c r="E59" i="2"/>
  <c r="D59" i="2" s="1"/>
  <c r="AG58" i="2"/>
  <c r="AF58" i="2"/>
  <c r="AH58" i="2" s="1"/>
  <c r="AD58" i="2"/>
  <c r="AC58" i="2"/>
  <c r="AE58" i="2" s="1"/>
  <c r="AA58" i="2"/>
  <c r="Z58" i="2"/>
  <c r="AB58" i="2" s="1"/>
  <c r="X58" i="2"/>
  <c r="W58" i="2"/>
  <c r="Y58" i="2" s="1"/>
  <c r="T58" i="2"/>
  <c r="S58" i="2"/>
  <c r="V58" i="2" s="1"/>
  <c r="R58" i="2"/>
  <c r="U58" i="2" s="1"/>
  <c r="O58" i="2"/>
  <c r="L58" i="2"/>
  <c r="J58" i="2" s="1"/>
  <c r="I58" i="2"/>
  <c r="Q58" i="2" s="1"/>
  <c r="H58" i="2"/>
  <c r="N58" i="2" s="1"/>
  <c r="G58" i="2"/>
  <c r="P58" i="2" s="1"/>
  <c r="F58" i="2"/>
  <c r="E58" i="2"/>
  <c r="AG57" i="2"/>
  <c r="AF57" i="2"/>
  <c r="AH57" i="2" s="1"/>
  <c r="AD57" i="2"/>
  <c r="AC57" i="2"/>
  <c r="AA57" i="2"/>
  <c r="Z57" i="2"/>
  <c r="AB57" i="2" s="1"/>
  <c r="X57" i="2"/>
  <c r="W57" i="2"/>
  <c r="T57" i="2"/>
  <c r="S57" i="2"/>
  <c r="R57" i="2"/>
  <c r="O57" i="2"/>
  <c r="L57" i="2"/>
  <c r="I57" i="2"/>
  <c r="Q57" i="2" s="1"/>
  <c r="H57" i="2"/>
  <c r="G57" i="2"/>
  <c r="P57" i="2" s="1"/>
  <c r="F57" i="2"/>
  <c r="E57" i="2"/>
  <c r="AG56" i="2"/>
  <c r="AF56" i="2"/>
  <c r="AH56" i="2" s="1"/>
  <c r="AD56" i="2"/>
  <c r="AC56" i="2"/>
  <c r="AE56" i="2" s="1"/>
  <c r="AA56" i="2"/>
  <c r="Z56" i="2"/>
  <c r="AB56" i="2" s="1"/>
  <c r="X56" i="2"/>
  <c r="W56" i="2"/>
  <c r="Y56" i="2" s="1"/>
  <c r="T56" i="2"/>
  <c r="S56" i="2"/>
  <c r="V56" i="2" s="1"/>
  <c r="R56" i="2"/>
  <c r="U56" i="2" s="1"/>
  <c r="O56" i="2"/>
  <c r="L56" i="2"/>
  <c r="I56" i="2"/>
  <c r="Q56" i="2" s="1"/>
  <c r="H56" i="2"/>
  <c r="N56" i="2" s="1"/>
  <c r="G56" i="2"/>
  <c r="P56" i="2" s="1"/>
  <c r="F56" i="2"/>
  <c r="E56" i="2"/>
  <c r="AG55" i="2"/>
  <c r="AF55" i="2"/>
  <c r="AH55" i="2" s="1"/>
  <c r="AD55" i="2"/>
  <c r="AC55" i="2"/>
  <c r="AE55" i="2" s="1"/>
  <c r="AA55" i="2"/>
  <c r="Z55" i="2"/>
  <c r="AB55" i="2" s="1"/>
  <c r="X55" i="2"/>
  <c r="W55" i="2"/>
  <c r="Y55" i="2" s="1"/>
  <c r="T55" i="2"/>
  <c r="S55" i="2"/>
  <c r="V55" i="2" s="1"/>
  <c r="R55" i="2"/>
  <c r="U55" i="2" s="1"/>
  <c r="O55" i="2"/>
  <c r="L55" i="2"/>
  <c r="J55" i="2" s="1"/>
  <c r="I55" i="2"/>
  <c r="Q55" i="2" s="1"/>
  <c r="H55" i="2"/>
  <c r="N55" i="2" s="1"/>
  <c r="G55" i="2"/>
  <c r="P55" i="2" s="1"/>
  <c r="F55" i="2"/>
  <c r="E55" i="2"/>
  <c r="AG54" i="2"/>
  <c r="AF54" i="2"/>
  <c r="AH54" i="2" s="1"/>
  <c r="AD54" i="2"/>
  <c r="AC54" i="2"/>
  <c r="AE54" i="2" s="1"/>
  <c r="AA54" i="2"/>
  <c r="Z54" i="2"/>
  <c r="X54" i="2"/>
  <c r="W54" i="2"/>
  <c r="Y54" i="2" s="1"/>
  <c r="T54" i="2"/>
  <c r="S54" i="2"/>
  <c r="R54" i="2"/>
  <c r="O54" i="2"/>
  <c r="L54" i="2"/>
  <c r="J54" i="2"/>
  <c r="I54" i="2"/>
  <c r="Q54" i="2" s="1"/>
  <c r="H54" i="2"/>
  <c r="G54" i="2"/>
  <c r="P54" i="2" s="1"/>
  <c r="F54" i="2"/>
  <c r="E54" i="2"/>
  <c r="D54" i="2" s="1"/>
  <c r="AG53" i="2"/>
  <c r="AF53" i="2"/>
  <c r="AD53" i="2"/>
  <c r="AC53" i="2"/>
  <c r="AA53" i="2"/>
  <c r="Z53" i="2"/>
  <c r="X53" i="2"/>
  <c r="W53" i="2"/>
  <c r="T53" i="2"/>
  <c r="S53" i="2"/>
  <c r="R53" i="2"/>
  <c r="O53" i="2"/>
  <c r="L53" i="2"/>
  <c r="I53" i="2"/>
  <c r="Q53" i="2" s="1"/>
  <c r="H53" i="2"/>
  <c r="N53" i="2" s="1"/>
  <c r="G53" i="2"/>
  <c r="P53" i="2" s="1"/>
  <c r="F53" i="2"/>
  <c r="E53" i="2"/>
  <c r="AG51" i="2"/>
  <c r="AF51" i="2"/>
  <c r="AH51" i="2" s="1"/>
  <c r="AD51" i="2"/>
  <c r="AC51" i="2"/>
  <c r="AE51" i="2" s="1"/>
  <c r="AA51" i="2"/>
  <c r="Z51" i="2"/>
  <c r="AB51" i="2" s="1"/>
  <c r="X51" i="2"/>
  <c r="W51" i="2"/>
  <c r="Y51" i="2" s="1"/>
  <c r="T51" i="2"/>
  <c r="S51" i="2"/>
  <c r="V51" i="2" s="1"/>
  <c r="R51" i="2"/>
  <c r="U51" i="2" s="1"/>
  <c r="O51" i="2"/>
  <c r="L51" i="2"/>
  <c r="J51" i="2" s="1"/>
  <c r="I51" i="2"/>
  <c r="Q51" i="2" s="1"/>
  <c r="H51" i="2"/>
  <c r="N51" i="2" s="1"/>
  <c r="G51" i="2"/>
  <c r="P51" i="2" s="1"/>
  <c r="F51" i="2"/>
  <c r="E51" i="2"/>
  <c r="AG50" i="2"/>
  <c r="AF50" i="2"/>
  <c r="AH50" i="2" s="1"/>
  <c r="AD50" i="2"/>
  <c r="AC50" i="2"/>
  <c r="AE50" i="2" s="1"/>
  <c r="AA50" i="2"/>
  <c r="Z50" i="2"/>
  <c r="AB50" i="2" s="1"/>
  <c r="X50" i="2"/>
  <c r="W50" i="2"/>
  <c r="Y50" i="2" s="1"/>
  <c r="T50" i="2"/>
  <c r="S50" i="2"/>
  <c r="V50" i="2" s="1"/>
  <c r="R50" i="2"/>
  <c r="U50" i="2" s="1"/>
  <c r="O50" i="2"/>
  <c r="L50" i="2"/>
  <c r="I50" i="2"/>
  <c r="Q50" i="2" s="1"/>
  <c r="H50" i="2"/>
  <c r="N50" i="2" s="1"/>
  <c r="G50" i="2"/>
  <c r="P50" i="2" s="1"/>
  <c r="F50" i="2"/>
  <c r="E50" i="2"/>
  <c r="AG49" i="2"/>
  <c r="AF49" i="2"/>
  <c r="AD49" i="2"/>
  <c r="AC49" i="2"/>
  <c r="AA49" i="2"/>
  <c r="Z49" i="2"/>
  <c r="X49" i="2"/>
  <c r="W49" i="2"/>
  <c r="T49" i="2"/>
  <c r="S49" i="2"/>
  <c r="R49" i="2"/>
  <c r="O49" i="2"/>
  <c r="L49" i="2"/>
  <c r="I49" i="2"/>
  <c r="Q49" i="2" s="1"/>
  <c r="H49" i="2"/>
  <c r="N49" i="2" s="1"/>
  <c r="G49" i="2"/>
  <c r="P49" i="2" s="1"/>
  <c r="F49" i="2"/>
  <c r="E49" i="2"/>
  <c r="D49" i="2" s="1"/>
  <c r="AG48" i="2"/>
  <c r="AF48" i="2"/>
  <c r="AD48" i="2"/>
  <c r="AC48" i="2"/>
  <c r="AA48" i="2"/>
  <c r="Z48" i="2"/>
  <c r="AB48" i="2" s="1"/>
  <c r="X48" i="2"/>
  <c r="W48" i="2"/>
  <c r="T48" i="2"/>
  <c r="S48" i="2"/>
  <c r="R48" i="2"/>
  <c r="O48" i="2"/>
  <c r="L48" i="2"/>
  <c r="I48" i="2"/>
  <c r="Q48" i="2" s="1"/>
  <c r="H48" i="2"/>
  <c r="N48" i="2" s="1"/>
  <c r="G48" i="2"/>
  <c r="P48" i="2" s="1"/>
  <c r="F48" i="2"/>
  <c r="E48" i="2"/>
  <c r="AG47" i="2"/>
  <c r="AF47" i="2"/>
  <c r="AH47" i="2" s="1"/>
  <c r="AD47" i="2"/>
  <c r="AC47" i="2"/>
  <c r="AE47" i="2" s="1"/>
  <c r="AA47" i="2"/>
  <c r="Z47" i="2"/>
  <c r="AB47" i="2" s="1"/>
  <c r="X47" i="2"/>
  <c r="W47" i="2"/>
  <c r="Y47" i="2" s="1"/>
  <c r="T47" i="2"/>
  <c r="S47" i="2"/>
  <c r="V47" i="2" s="1"/>
  <c r="R47" i="2"/>
  <c r="U47" i="2" s="1"/>
  <c r="O47" i="2"/>
  <c r="L47" i="2"/>
  <c r="I47" i="2"/>
  <c r="Q47" i="2" s="1"/>
  <c r="H47" i="2"/>
  <c r="N47" i="2" s="1"/>
  <c r="G47" i="2"/>
  <c r="P47" i="2" s="1"/>
  <c r="F47" i="2"/>
  <c r="E47" i="2"/>
  <c r="AG46" i="2"/>
  <c r="AF46" i="2"/>
  <c r="AH46" i="2" s="1"/>
  <c r="AD46" i="2"/>
  <c r="AC46" i="2"/>
  <c r="AE46" i="2" s="1"/>
  <c r="AA46" i="2"/>
  <c r="Z46" i="2"/>
  <c r="AB46" i="2" s="1"/>
  <c r="Y46" i="2"/>
  <c r="X46" i="2"/>
  <c r="W46" i="2"/>
  <c r="T46" i="2"/>
  <c r="S46" i="2"/>
  <c r="V46" i="2" s="1"/>
  <c r="R46" i="2"/>
  <c r="U46" i="2" s="1"/>
  <c r="O46" i="2"/>
  <c r="L46" i="2"/>
  <c r="J46" i="2" s="1"/>
  <c r="I46" i="2"/>
  <c r="Q46" i="2" s="1"/>
  <c r="H46" i="2"/>
  <c r="N46" i="2" s="1"/>
  <c r="G46" i="2"/>
  <c r="P46" i="2" s="1"/>
  <c r="F46" i="2"/>
  <c r="E46" i="2"/>
  <c r="AG45" i="2"/>
  <c r="AF45" i="2"/>
  <c r="AH45" i="2" s="1"/>
  <c r="AD45" i="2"/>
  <c r="AC45" i="2"/>
  <c r="AE45" i="2" s="1"/>
  <c r="AA45" i="2"/>
  <c r="Z45" i="2"/>
  <c r="AB45" i="2" s="1"/>
  <c r="X45" i="2"/>
  <c r="W45" i="2"/>
  <c r="Y45" i="2" s="1"/>
  <c r="T45" i="2"/>
  <c r="S45" i="2"/>
  <c r="V45" i="2" s="1"/>
  <c r="R45" i="2"/>
  <c r="U45" i="2" s="1"/>
  <c r="O45" i="2"/>
  <c r="L45" i="2"/>
  <c r="I45" i="2"/>
  <c r="Q45" i="2" s="1"/>
  <c r="H45" i="2"/>
  <c r="N45" i="2" s="1"/>
  <c r="G45" i="2"/>
  <c r="P45" i="2" s="1"/>
  <c r="F45" i="2"/>
  <c r="E45" i="2"/>
  <c r="AG44" i="2"/>
  <c r="AF44" i="2"/>
  <c r="AH44" i="2" s="1"/>
  <c r="AD44" i="2"/>
  <c r="AC44" i="2"/>
  <c r="AE44" i="2" s="1"/>
  <c r="AA44" i="2"/>
  <c r="Z44" i="2"/>
  <c r="AB44" i="2" s="1"/>
  <c r="X44" i="2"/>
  <c r="W44" i="2"/>
  <c r="Y44" i="2" s="1"/>
  <c r="T44" i="2"/>
  <c r="S44" i="2"/>
  <c r="V44" i="2" s="1"/>
  <c r="R44" i="2"/>
  <c r="U44" i="2" s="1"/>
  <c r="O44" i="2"/>
  <c r="L44" i="2"/>
  <c r="I44" i="2"/>
  <c r="Q44" i="2" s="1"/>
  <c r="H44" i="2"/>
  <c r="N44" i="2" s="1"/>
  <c r="G44" i="2"/>
  <c r="P44" i="2" s="1"/>
  <c r="F44" i="2"/>
  <c r="E44" i="2"/>
  <c r="AG43" i="2"/>
  <c r="AF43" i="2"/>
  <c r="AH43" i="2" s="1"/>
  <c r="AD43" i="2"/>
  <c r="AC43" i="2"/>
  <c r="AE43" i="2" s="1"/>
  <c r="AA43" i="2"/>
  <c r="Z43" i="2"/>
  <c r="AB43" i="2" s="1"/>
  <c r="X43" i="2"/>
  <c r="W43" i="2"/>
  <c r="Y43" i="2" s="1"/>
  <c r="T43" i="2"/>
  <c r="S43" i="2"/>
  <c r="V43" i="2" s="1"/>
  <c r="R43" i="2"/>
  <c r="U43" i="2" s="1"/>
  <c r="O43" i="2"/>
  <c r="L43" i="2"/>
  <c r="I43" i="2"/>
  <c r="Q43" i="2" s="1"/>
  <c r="H43" i="2"/>
  <c r="N43" i="2" s="1"/>
  <c r="G43" i="2"/>
  <c r="P43" i="2" s="1"/>
  <c r="F43" i="2"/>
  <c r="E43" i="2"/>
  <c r="AG42" i="2"/>
  <c r="AF42" i="2"/>
  <c r="AH42" i="2" s="1"/>
  <c r="AD42" i="2"/>
  <c r="AC42" i="2"/>
  <c r="AE42" i="2" s="1"/>
  <c r="AA42" i="2"/>
  <c r="Z42" i="2"/>
  <c r="AB42" i="2" s="1"/>
  <c r="X42" i="2"/>
  <c r="W42" i="2"/>
  <c r="Y42" i="2" s="1"/>
  <c r="T42" i="2"/>
  <c r="S42" i="2"/>
  <c r="V42" i="2" s="1"/>
  <c r="R42" i="2"/>
  <c r="U42" i="2" s="1"/>
  <c r="O42" i="2"/>
  <c r="L42" i="2"/>
  <c r="J42" i="2" s="1"/>
  <c r="I42" i="2"/>
  <c r="Q42" i="2" s="1"/>
  <c r="H42" i="2"/>
  <c r="N42" i="2" s="1"/>
  <c r="G42" i="2"/>
  <c r="P42" i="2" s="1"/>
  <c r="F42" i="2"/>
  <c r="E42" i="2"/>
  <c r="AG41" i="2"/>
  <c r="AF41" i="2"/>
  <c r="AD41" i="2"/>
  <c r="AC41" i="2"/>
  <c r="AA41" i="2"/>
  <c r="Z41" i="2"/>
  <c r="X41" i="2"/>
  <c r="W41" i="2"/>
  <c r="T41" i="2"/>
  <c r="S41" i="2"/>
  <c r="R41" i="2"/>
  <c r="U41" i="2" s="1"/>
  <c r="O41" i="2"/>
  <c r="L41" i="2"/>
  <c r="I41" i="2"/>
  <c r="Q41" i="2" s="1"/>
  <c r="H41" i="2"/>
  <c r="G41" i="2"/>
  <c r="P41" i="2" s="1"/>
  <c r="F41" i="2"/>
  <c r="E41" i="2"/>
  <c r="AG40" i="2"/>
  <c r="AF40" i="2"/>
  <c r="AD40" i="2"/>
  <c r="AC40" i="2"/>
  <c r="AA40" i="2"/>
  <c r="Z40" i="2"/>
  <c r="X40" i="2"/>
  <c r="W40" i="2"/>
  <c r="T40" i="2"/>
  <c r="S40" i="2"/>
  <c r="R40" i="2"/>
  <c r="O40" i="2"/>
  <c r="N40" i="2"/>
  <c r="L40" i="2"/>
  <c r="I40" i="2"/>
  <c r="Q40" i="2" s="1"/>
  <c r="H40" i="2"/>
  <c r="G40" i="2"/>
  <c r="P40" i="2" s="1"/>
  <c r="F40" i="2"/>
  <c r="E40" i="2"/>
  <c r="AG39" i="2"/>
  <c r="AF39" i="2"/>
  <c r="AH39" i="2" s="1"/>
  <c r="AD39" i="2"/>
  <c r="AC39" i="2"/>
  <c r="AE39" i="2" s="1"/>
  <c r="AA39" i="2"/>
  <c r="Z39" i="2"/>
  <c r="X39" i="2"/>
  <c r="W39" i="2"/>
  <c r="Y39" i="2" s="1"/>
  <c r="T39" i="2"/>
  <c r="S39" i="2"/>
  <c r="R39" i="2"/>
  <c r="O39" i="2"/>
  <c r="J39" i="2" s="1"/>
  <c r="L39" i="2"/>
  <c r="I39" i="2"/>
  <c r="Q39" i="2" s="1"/>
  <c r="H39" i="2"/>
  <c r="G39" i="2"/>
  <c r="P39" i="2" s="1"/>
  <c r="F39" i="2"/>
  <c r="E39" i="2"/>
  <c r="AG38" i="2"/>
  <c r="AF38" i="2"/>
  <c r="AH38" i="2" s="1"/>
  <c r="AD38" i="2"/>
  <c r="AC38" i="2"/>
  <c r="AA38" i="2"/>
  <c r="Z38" i="2"/>
  <c r="AB38" i="2" s="1"/>
  <c r="X38" i="2"/>
  <c r="W38" i="2"/>
  <c r="Y38" i="2" s="1"/>
  <c r="T38" i="2"/>
  <c r="S38" i="2"/>
  <c r="R38" i="2"/>
  <c r="O38" i="2"/>
  <c r="L38" i="2"/>
  <c r="I38" i="2"/>
  <c r="Q38" i="2" s="1"/>
  <c r="H38" i="2"/>
  <c r="G38" i="2"/>
  <c r="P38" i="2" s="1"/>
  <c r="F38" i="2"/>
  <c r="E38" i="2"/>
  <c r="AG37" i="2"/>
  <c r="AF37" i="2"/>
  <c r="AH37" i="2" s="1"/>
  <c r="AD37" i="2"/>
  <c r="AC37" i="2"/>
  <c r="AA37" i="2"/>
  <c r="Z37" i="2"/>
  <c r="AB37" i="2" s="1"/>
  <c r="X37" i="2"/>
  <c r="W37" i="2"/>
  <c r="Y37" i="2" s="1"/>
  <c r="T37" i="2"/>
  <c r="U37" i="2" s="1"/>
  <c r="S37" i="2"/>
  <c r="R37" i="2"/>
  <c r="O37" i="2"/>
  <c r="L37" i="2"/>
  <c r="I37" i="2"/>
  <c r="Q37" i="2" s="1"/>
  <c r="H37" i="2"/>
  <c r="G37" i="2"/>
  <c r="P37" i="2" s="1"/>
  <c r="F37" i="2"/>
  <c r="E37" i="2"/>
  <c r="AG36" i="2"/>
  <c r="AF36" i="2"/>
  <c r="AD36" i="2"/>
  <c r="AC36" i="2"/>
  <c r="AA36" i="2"/>
  <c r="Z36" i="2"/>
  <c r="X36" i="2"/>
  <c r="W36" i="2"/>
  <c r="T36" i="2"/>
  <c r="S36" i="2"/>
  <c r="V36" i="2" s="1"/>
  <c r="R36" i="2"/>
  <c r="O36" i="2"/>
  <c r="L36" i="2"/>
  <c r="I36" i="2"/>
  <c r="Q36" i="2" s="1"/>
  <c r="H36" i="2"/>
  <c r="G36" i="2"/>
  <c r="P36" i="2" s="1"/>
  <c r="F36" i="2"/>
  <c r="E36" i="2"/>
  <c r="D36" i="2" s="1"/>
  <c r="AG35" i="2"/>
  <c r="AF35" i="2"/>
  <c r="AD35" i="2"/>
  <c r="AC35" i="2"/>
  <c r="AA35" i="2"/>
  <c r="Z35" i="2"/>
  <c r="X35" i="2"/>
  <c r="W35" i="2"/>
  <c r="T35" i="2"/>
  <c r="S35" i="2"/>
  <c r="R35" i="2"/>
  <c r="O35" i="2"/>
  <c r="L35" i="2"/>
  <c r="I35" i="2"/>
  <c r="Q35" i="2" s="1"/>
  <c r="H35" i="2"/>
  <c r="G35" i="2"/>
  <c r="P35" i="2" s="1"/>
  <c r="F35" i="2"/>
  <c r="E35" i="2"/>
  <c r="D35" i="2" s="1"/>
  <c r="AG34" i="2"/>
  <c r="AF34" i="2"/>
  <c r="AH34" i="2" s="1"/>
  <c r="AD34" i="2"/>
  <c r="AC34" i="2"/>
  <c r="AE34" i="2" s="1"/>
  <c r="AA34" i="2"/>
  <c r="Z34" i="2"/>
  <c r="AB34" i="2" s="1"/>
  <c r="X34" i="2"/>
  <c r="W34" i="2"/>
  <c r="Y34" i="2" s="1"/>
  <c r="T34" i="2"/>
  <c r="S34" i="2"/>
  <c r="R34" i="2"/>
  <c r="U34" i="2" s="1"/>
  <c r="O34" i="2"/>
  <c r="J34" i="2" s="1"/>
  <c r="L34" i="2"/>
  <c r="I34" i="2"/>
  <c r="H34" i="2"/>
  <c r="G34" i="2"/>
  <c r="P34" i="2" s="1"/>
  <c r="F34" i="2"/>
  <c r="E34" i="2"/>
  <c r="AG33" i="2"/>
  <c r="AF33" i="2"/>
  <c r="AD33" i="2"/>
  <c r="AC33" i="2"/>
  <c r="AA33" i="2"/>
  <c r="Z33" i="2"/>
  <c r="X33" i="2"/>
  <c r="W33" i="2"/>
  <c r="T33" i="2"/>
  <c r="S33" i="2"/>
  <c r="R33" i="2"/>
  <c r="O33" i="2"/>
  <c r="L33" i="2"/>
  <c r="I33" i="2"/>
  <c r="Q33" i="2" s="1"/>
  <c r="H33" i="2"/>
  <c r="G33" i="2"/>
  <c r="P33" i="2" s="1"/>
  <c r="F33" i="2"/>
  <c r="E33" i="2"/>
  <c r="AG32" i="2"/>
  <c r="AF32" i="2"/>
  <c r="AH32" i="2" s="1"/>
  <c r="AD32" i="2"/>
  <c r="AC32" i="2"/>
  <c r="AA32" i="2"/>
  <c r="Z32" i="2"/>
  <c r="AB32" i="2" s="1"/>
  <c r="X32" i="2"/>
  <c r="W32" i="2"/>
  <c r="T32" i="2"/>
  <c r="S32" i="2"/>
  <c r="V32" i="2" s="1"/>
  <c r="R32" i="2"/>
  <c r="Q32" i="2"/>
  <c r="O32" i="2"/>
  <c r="L32" i="2"/>
  <c r="I32" i="2"/>
  <c r="H32" i="2"/>
  <c r="N32" i="2" s="1"/>
  <c r="G32" i="2"/>
  <c r="F32" i="2"/>
  <c r="E32" i="2"/>
  <c r="AG30" i="2"/>
  <c r="AF30" i="2"/>
  <c r="AH30" i="2" s="1"/>
  <c r="AD30" i="2"/>
  <c r="AC30" i="2"/>
  <c r="AE30" i="2" s="1"/>
  <c r="AA30" i="2"/>
  <c r="Z30" i="2"/>
  <c r="AB30" i="2" s="1"/>
  <c r="X30" i="2"/>
  <c r="W30" i="2"/>
  <c r="Y30" i="2" s="1"/>
  <c r="T30" i="2"/>
  <c r="S30" i="2"/>
  <c r="V30" i="2" s="1"/>
  <c r="R30" i="2"/>
  <c r="U30" i="2" s="1"/>
  <c r="O30" i="2"/>
  <c r="L30" i="2"/>
  <c r="J30" i="2" s="1"/>
  <c r="I30" i="2"/>
  <c r="Q30" i="2" s="1"/>
  <c r="H30" i="2"/>
  <c r="N30" i="2" s="1"/>
  <c r="G30" i="2"/>
  <c r="P30" i="2" s="1"/>
  <c r="F30" i="2"/>
  <c r="E30" i="2"/>
  <c r="AG29" i="2"/>
  <c r="AF29" i="2"/>
  <c r="AH29" i="2" s="1"/>
  <c r="AD29" i="2"/>
  <c r="AC29" i="2"/>
  <c r="AE29" i="2" s="1"/>
  <c r="AA29" i="2"/>
  <c r="Z29" i="2"/>
  <c r="AB29" i="2" s="1"/>
  <c r="X29" i="2"/>
  <c r="W29" i="2"/>
  <c r="Y29" i="2" s="1"/>
  <c r="T29" i="2"/>
  <c r="S29" i="2"/>
  <c r="V29" i="2" s="1"/>
  <c r="R29" i="2"/>
  <c r="U29" i="2" s="1"/>
  <c r="O29" i="2"/>
  <c r="L29" i="2"/>
  <c r="J29" i="2" s="1"/>
  <c r="I29" i="2"/>
  <c r="Q29" i="2" s="1"/>
  <c r="H29" i="2"/>
  <c r="N29" i="2" s="1"/>
  <c r="G29" i="2"/>
  <c r="P29" i="2" s="1"/>
  <c r="F29" i="2"/>
  <c r="E29" i="2"/>
  <c r="AG28" i="2"/>
  <c r="AF28" i="2"/>
  <c r="AH28" i="2" s="1"/>
  <c r="AD28" i="2"/>
  <c r="AC28" i="2"/>
  <c r="AE28" i="2" s="1"/>
  <c r="AA28" i="2"/>
  <c r="Z28" i="2"/>
  <c r="AB28" i="2" s="1"/>
  <c r="X28" i="2"/>
  <c r="W28" i="2"/>
  <c r="Y28" i="2" s="1"/>
  <c r="T28" i="2"/>
  <c r="S28" i="2"/>
  <c r="V28" i="2" s="1"/>
  <c r="R28" i="2"/>
  <c r="U28" i="2" s="1"/>
  <c r="O28" i="2"/>
  <c r="L28" i="2"/>
  <c r="I28" i="2"/>
  <c r="Q28" i="2" s="1"/>
  <c r="H28" i="2"/>
  <c r="N28" i="2" s="1"/>
  <c r="G28" i="2"/>
  <c r="P28" i="2" s="1"/>
  <c r="F28" i="2"/>
  <c r="E28" i="2"/>
  <c r="AG27" i="2"/>
  <c r="AF27" i="2"/>
  <c r="AD27" i="2"/>
  <c r="AC27" i="2"/>
  <c r="AA27" i="2"/>
  <c r="Z27" i="2"/>
  <c r="X27" i="2"/>
  <c r="W27" i="2"/>
  <c r="T27" i="2"/>
  <c r="S27" i="2"/>
  <c r="R27" i="2"/>
  <c r="O27" i="2"/>
  <c r="L27" i="2"/>
  <c r="I27" i="2"/>
  <c r="Q27" i="2" s="1"/>
  <c r="H27" i="2"/>
  <c r="N27" i="2" s="1"/>
  <c r="G27" i="2"/>
  <c r="P27" i="2" s="1"/>
  <c r="F27" i="2"/>
  <c r="E27" i="2"/>
  <c r="AG26" i="2"/>
  <c r="AF26" i="2"/>
  <c r="AD26" i="2"/>
  <c r="AC26" i="2"/>
  <c r="AA26" i="2"/>
  <c r="Z26" i="2"/>
  <c r="X26" i="2"/>
  <c r="W26" i="2"/>
  <c r="T26" i="2"/>
  <c r="S26" i="2"/>
  <c r="R26" i="2"/>
  <c r="O26" i="2"/>
  <c r="L26" i="2"/>
  <c r="J26" i="2" s="1"/>
  <c r="I26" i="2"/>
  <c r="Q26" i="2" s="1"/>
  <c r="H26" i="2"/>
  <c r="G26" i="2"/>
  <c r="P26" i="2" s="1"/>
  <c r="F26" i="2"/>
  <c r="E26" i="2"/>
  <c r="D26" i="2" s="1"/>
  <c r="AG25" i="2"/>
  <c r="AF25" i="2"/>
  <c r="AE25" i="2"/>
  <c r="AD25" i="2"/>
  <c r="AC25" i="2"/>
  <c r="AA25" i="2"/>
  <c r="Z25" i="2"/>
  <c r="AB25" i="2" s="1"/>
  <c r="X25" i="2"/>
  <c r="W25" i="2"/>
  <c r="Y25" i="2" s="1"/>
  <c r="T25" i="2"/>
  <c r="S25" i="2"/>
  <c r="R25" i="2"/>
  <c r="O25" i="2"/>
  <c r="L25" i="2"/>
  <c r="I25" i="2"/>
  <c r="Q25" i="2" s="1"/>
  <c r="H25" i="2"/>
  <c r="G25" i="2"/>
  <c r="P25" i="2" s="1"/>
  <c r="F25" i="2"/>
  <c r="E25" i="2"/>
  <c r="D25" i="2" s="1"/>
  <c r="AG24" i="2"/>
  <c r="AF24" i="2"/>
  <c r="AH24" i="2" s="1"/>
  <c r="AD24" i="2"/>
  <c r="AC24" i="2"/>
  <c r="AE24" i="2" s="1"/>
  <c r="AA24" i="2"/>
  <c r="Z24" i="2"/>
  <c r="AB24" i="2" s="1"/>
  <c r="X24" i="2"/>
  <c r="W24" i="2"/>
  <c r="Y24" i="2" s="1"/>
  <c r="T24" i="2"/>
  <c r="S24" i="2"/>
  <c r="V24" i="2" s="1"/>
  <c r="R24" i="2"/>
  <c r="U24" i="2" s="1"/>
  <c r="O24" i="2"/>
  <c r="L24" i="2"/>
  <c r="I24" i="2"/>
  <c r="Q24" i="2" s="1"/>
  <c r="H24" i="2"/>
  <c r="N24" i="2" s="1"/>
  <c r="G24" i="2"/>
  <c r="P24" i="2" s="1"/>
  <c r="F24" i="2"/>
  <c r="E24" i="2"/>
  <c r="D24" i="2" s="1"/>
  <c r="AG23" i="2"/>
  <c r="AF23" i="2"/>
  <c r="AD23" i="2"/>
  <c r="AC23" i="2"/>
  <c r="AA23" i="2"/>
  <c r="Z23" i="2"/>
  <c r="X23" i="2"/>
  <c r="W23" i="2"/>
  <c r="T23" i="2"/>
  <c r="S23" i="2"/>
  <c r="R23" i="2"/>
  <c r="O23" i="2"/>
  <c r="L23" i="2"/>
  <c r="I23" i="2"/>
  <c r="Q23" i="2" s="1"/>
  <c r="H23" i="2"/>
  <c r="G23" i="2"/>
  <c r="P23" i="2" s="1"/>
  <c r="F23" i="2"/>
  <c r="E23" i="2"/>
  <c r="AG22" i="2"/>
  <c r="AF22" i="2"/>
  <c r="AD22" i="2"/>
  <c r="AC22" i="2"/>
  <c r="AE22" i="2" s="1"/>
  <c r="AA22" i="2"/>
  <c r="Z22" i="2"/>
  <c r="AB22" i="2" s="1"/>
  <c r="X22" i="2"/>
  <c r="W22" i="2"/>
  <c r="T22" i="2"/>
  <c r="S22" i="2"/>
  <c r="R22" i="2"/>
  <c r="O22" i="2"/>
  <c r="J22" i="2" s="1"/>
  <c r="L22" i="2"/>
  <c r="I22" i="2"/>
  <c r="Q22" i="2" s="1"/>
  <c r="H22" i="2"/>
  <c r="G22" i="2"/>
  <c r="P22" i="2" s="1"/>
  <c r="F22" i="2"/>
  <c r="E22" i="2"/>
  <c r="AG21" i="2"/>
  <c r="AF21" i="2"/>
  <c r="AH21" i="2" s="1"/>
  <c r="AD21" i="2"/>
  <c r="AC21" i="2"/>
  <c r="AA21" i="2"/>
  <c r="Z21" i="2"/>
  <c r="X21" i="2"/>
  <c r="W21" i="2"/>
  <c r="Y21" i="2" s="1"/>
  <c r="T21" i="2"/>
  <c r="S21" i="2"/>
  <c r="V21" i="2" s="1"/>
  <c r="R21" i="2"/>
  <c r="U21" i="2" s="1"/>
  <c r="O21" i="2"/>
  <c r="L21" i="2"/>
  <c r="I21" i="2"/>
  <c r="Q21" i="2" s="1"/>
  <c r="H21" i="2"/>
  <c r="G21" i="2"/>
  <c r="P21" i="2" s="1"/>
  <c r="F21" i="2"/>
  <c r="E21" i="2"/>
  <c r="AG20" i="2"/>
  <c r="AF20" i="2"/>
  <c r="AH20" i="2" s="1"/>
  <c r="AD20" i="2"/>
  <c r="AC20" i="2"/>
  <c r="AE20" i="2" s="1"/>
  <c r="AA20" i="2"/>
  <c r="Z20" i="2"/>
  <c r="AB20" i="2" s="1"/>
  <c r="X20" i="2"/>
  <c r="W20" i="2"/>
  <c r="Y20" i="2" s="1"/>
  <c r="T20" i="2"/>
  <c r="S20" i="2"/>
  <c r="V20" i="2" s="1"/>
  <c r="R20" i="2"/>
  <c r="U20" i="2" s="1"/>
  <c r="O20" i="2"/>
  <c r="L20" i="2"/>
  <c r="I20" i="2"/>
  <c r="Q20" i="2" s="1"/>
  <c r="H20" i="2"/>
  <c r="N20" i="2" s="1"/>
  <c r="G20" i="2"/>
  <c r="P20" i="2" s="1"/>
  <c r="F20" i="2"/>
  <c r="E20" i="2"/>
  <c r="AG19" i="2"/>
  <c r="AF19" i="2"/>
  <c r="AD19" i="2"/>
  <c r="AC19" i="2"/>
  <c r="AA19" i="2"/>
  <c r="Z19" i="2"/>
  <c r="AB19" i="2" s="1"/>
  <c r="X19" i="2"/>
  <c r="W19" i="2"/>
  <c r="T19" i="2"/>
  <c r="S19" i="2"/>
  <c r="R19" i="2"/>
  <c r="O19" i="2"/>
  <c r="L19" i="2"/>
  <c r="I19" i="2"/>
  <c r="Q19" i="2" s="1"/>
  <c r="H19" i="2"/>
  <c r="G19" i="2"/>
  <c r="P19" i="2" s="1"/>
  <c r="F19" i="2"/>
  <c r="E19" i="2"/>
  <c r="AG18" i="2"/>
  <c r="AF18" i="2"/>
  <c r="AD18" i="2"/>
  <c r="AC18" i="2"/>
  <c r="AE18" i="2" s="1"/>
  <c r="AA18" i="2"/>
  <c r="Z18" i="2"/>
  <c r="AB18" i="2" s="1"/>
  <c r="X18" i="2"/>
  <c r="W18" i="2"/>
  <c r="T18" i="2"/>
  <c r="S18" i="2"/>
  <c r="R18" i="2"/>
  <c r="U18" i="2" s="1"/>
  <c r="O18" i="2"/>
  <c r="L18" i="2"/>
  <c r="I18" i="2"/>
  <c r="Q18" i="2" s="1"/>
  <c r="H18" i="2"/>
  <c r="G18" i="2"/>
  <c r="P18" i="2" s="1"/>
  <c r="F18" i="2"/>
  <c r="E18" i="2"/>
  <c r="D18" i="2" s="1"/>
  <c r="AG17" i="2"/>
  <c r="AF17" i="2"/>
  <c r="AH17" i="2" s="1"/>
  <c r="AD17" i="2"/>
  <c r="AC17" i="2"/>
  <c r="AE17" i="2" s="1"/>
  <c r="AA17" i="2"/>
  <c r="Z17" i="2"/>
  <c r="AB17" i="2" s="1"/>
  <c r="X17" i="2"/>
  <c r="W17" i="2"/>
  <c r="Y17" i="2" s="1"/>
  <c r="T17" i="2"/>
  <c r="S17" i="2"/>
  <c r="V17" i="2" s="1"/>
  <c r="R17" i="2"/>
  <c r="U17" i="2" s="1"/>
  <c r="O17" i="2"/>
  <c r="L17" i="2"/>
  <c r="I17" i="2"/>
  <c r="Q17" i="2" s="1"/>
  <c r="H17" i="2"/>
  <c r="N17" i="2" s="1"/>
  <c r="G17" i="2"/>
  <c r="P17" i="2" s="1"/>
  <c r="F17" i="2"/>
  <c r="E17" i="2"/>
  <c r="AG16" i="2"/>
  <c r="AF16" i="2"/>
  <c r="AD16" i="2"/>
  <c r="AC16" i="2"/>
  <c r="AA16" i="2"/>
  <c r="Z16" i="2"/>
  <c r="X16" i="2"/>
  <c r="W16" i="2"/>
  <c r="T16" i="2"/>
  <c r="S16" i="2"/>
  <c r="R16" i="2"/>
  <c r="O16" i="2"/>
  <c r="L16" i="2"/>
  <c r="I16" i="2"/>
  <c r="Q16" i="2" s="1"/>
  <c r="H16" i="2"/>
  <c r="G16" i="2"/>
  <c r="P16" i="2" s="1"/>
  <c r="F16" i="2"/>
  <c r="E16" i="2"/>
  <c r="AG15" i="2"/>
  <c r="AF15" i="2"/>
  <c r="AH15" i="2" s="1"/>
  <c r="AD15" i="2"/>
  <c r="AC15" i="2"/>
  <c r="AE15" i="2" s="1"/>
  <c r="AA15" i="2"/>
  <c r="Z15" i="2"/>
  <c r="AB15" i="2" s="1"/>
  <c r="X15" i="2"/>
  <c r="W15" i="2"/>
  <c r="Y15" i="2" s="1"/>
  <c r="T15" i="2"/>
  <c r="S15" i="2"/>
  <c r="V15" i="2" s="1"/>
  <c r="R15" i="2"/>
  <c r="U15" i="2" s="1"/>
  <c r="O15" i="2"/>
  <c r="L15" i="2"/>
  <c r="I15" i="2"/>
  <c r="Q15" i="2" s="1"/>
  <c r="H15" i="2"/>
  <c r="N15" i="2" s="1"/>
  <c r="G15" i="2"/>
  <c r="P15" i="2" s="1"/>
  <c r="F15" i="2"/>
  <c r="E15" i="2"/>
  <c r="AG14" i="2"/>
  <c r="AF14" i="2"/>
  <c r="AH14" i="2" s="1"/>
  <c r="AD14" i="2"/>
  <c r="AC14" i="2"/>
  <c r="AE14" i="2" s="1"/>
  <c r="AA14" i="2"/>
  <c r="Z14" i="2"/>
  <c r="AB14" i="2" s="1"/>
  <c r="X14" i="2"/>
  <c r="W14" i="2"/>
  <c r="Y14" i="2" s="1"/>
  <c r="T14" i="2"/>
  <c r="S14" i="2"/>
  <c r="V14" i="2" s="1"/>
  <c r="R14" i="2"/>
  <c r="O14" i="2"/>
  <c r="L14" i="2"/>
  <c r="I14" i="2"/>
  <c r="Q14" i="2" s="1"/>
  <c r="H14" i="2"/>
  <c r="N14" i="2" s="1"/>
  <c r="G14" i="2"/>
  <c r="P14" i="2" s="1"/>
  <c r="F14" i="2"/>
  <c r="E14" i="2"/>
  <c r="S9" i="2"/>
  <c r="V9" i="2" s="1"/>
  <c r="V108" i="1"/>
  <c r="U108" i="1"/>
  <c r="O108" i="1"/>
  <c r="L108" i="1"/>
  <c r="I108" i="1"/>
  <c r="Q108" i="1" s="1"/>
  <c r="H108" i="1"/>
  <c r="N108" i="1" s="1"/>
  <c r="G108" i="1"/>
  <c r="P108" i="1" s="1"/>
  <c r="F108" i="1"/>
  <c r="E108" i="1"/>
  <c r="V107" i="1"/>
  <c r="U107" i="1"/>
  <c r="O107" i="1"/>
  <c r="L107" i="1"/>
  <c r="I107" i="1"/>
  <c r="Q107" i="1" s="1"/>
  <c r="H107" i="1"/>
  <c r="N107" i="1" s="1"/>
  <c r="G107" i="1"/>
  <c r="P107" i="1" s="1"/>
  <c r="F107" i="1"/>
  <c r="E107" i="1"/>
  <c r="V106" i="1"/>
  <c r="U106" i="1"/>
  <c r="O106" i="1"/>
  <c r="L106" i="1"/>
  <c r="I106" i="1"/>
  <c r="Q106" i="1" s="1"/>
  <c r="H106" i="1"/>
  <c r="N106" i="1" s="1"/>
  <c r="G106" i="1"/>
  <c r="P106" i="1" s="1"/>
  <c r="F106" i="1"/>
  <c r="E106" i="1"/>
  <c r="V105" i="1"/>
  <c r="U105" i="1"/>
  <c r="O105" i="1"/>
  <c r="L105" i="1"/>
  <c r="J105" i="1" s="1"/>
  <c r="I105" i="1"/>
  <c r="Q105" i="1" s="1"/>
  <c r="H105" i="1"/>
  <c r="N105" i="1" s="1"/>
  <c r="G105" i="1"/>
  <c r="P105" i="1" s="1"/>
  <c r="F105" i="1"/>
  <c r="E105" i="1"/>
  <c r="V104" i="1"/>
  <c r="U104" i="1"/>
  <c r="O104" i="1"/>
  <c r="L104" i="1"/>
  <c r="I104" i="1"/>
  <c r="Q104" i="1" s="1"/>
  <c r="H104" i="1"/>
  <c r="G104" i="1"/>
  <c r="P104" i="1" s="1"/>
  <c r="F104" i="1"/>
  <c r="E104" i="1"/>
  <c r="V103" i="1"/>
  <c r="U103" i="1"/>
  <c r="O103" i="1"/>
  <c r="L103" i="1"/>
  <c r="I103" i="1"/>
  <c r="Q103" i="1" s="1"/>
  <c r="H103" i="1"/>
  <c r="N103" i="1" s="1"/>
  <c r="G103" i="1"/>
  <c r="P103" i="1" s="1"/>
  <c r="F103" i="1"/>
  <c r="E103" i="1"/>
  <c r="V102" i="1"/>
  <c r="U102" i="1"/>
  <c r="O102" i="1"/>
  <c r="L102" i="1"/>
  <c r="I102" i="1"/>
  <c r="Q102" i="1" s="1"/>
  <c r="H102" i="1"/>
  <c r="N102" i="1" s="1"/>
  <c r="G102" i="1"/>
  <c r="P102" i="1" s="1"/>
  <c r="F102" i="1"/>
  <c r="E102" i="1"/>
  <c r="T101" i="1"/>
  <c r="T89" i="1" s="1"/>
  <c r="T9" i="1" s="1"/>
  <c r="S101" i="1"/>
  <c r="R101" i="1"/>
  <c r="R89" i="1" s="1"/>
  <c r="O101" i="1"/>
  <c r="L101" i="1"/>
  <c r="I101" i="1"/>
  <c r="Q101" i="1" s="1"/>
  <c r="H101" i="1"/>
  <c r="G101" i="1"/>
  <c r="P101" i="1" s="1"/>
  <c r="F101" i="1"/>
  <c r="E101" i="1"/>
  <c r="V100" i="1"/>
  <c r="U100" i="1"/>
  <c r="O100" i="1"/>
  <c r="L100" i="1"/>
  <c r="I100" i="1"/>
  <c r="Q100" i="1" s="1"/>
  <c r="H100" i="1"/>
  <c r="N100" i="1" s="1"/>
  <c r="G100" i="1"/>
  <c r="P100" i="1" s="1"/>
  <c r="F100" i="1"/>
  <c r="E100" i="1"/>
  <c r="V99" i="1"/>
  <c r="U99" i="1"/>
  <c r="O99" i="1"/>
  <c r="L99" i="1"/>
  <c r="I99" i="1"/>
  <c r="Q99" i="1" s="1"/>
  <c r="H99" i="1"/>
  <c r="N99" i="1" s="1"/>
  <c r="G99" i="1"/>
  <c r="P99" i="1" s="1"/>
  <c r="F99" i="1"/>
  <c r="E99" i="1"/>
  <c r="D99" i="1" s="1"/>
  <c r="V98" i="1"/>
  <c r="U98" i="1"/>
  <c r="O98" i="1"/>
  <c r="L98" i="1"/>
  <c r="I98" i="1"/>
  <c r="Q98" i="1" s="1"/>
  <c r="H98" i="1"/>
  <c r="N98" i="1" s="1"/>
  <c r="G98" i="1"/>
  <c r="P98" i="1" s="1"/>
  <c r="F98" i="1"/>
  <c r="E98" i="1"/>
  <c r="V97" i="1"/>
  <c r="U97" i="1"/>
  <c r="O97" i="1"/>
  <c r="L97" i="1"/>
  <c r="I97" i="1"/>
  <c r="Q97" i="1" s="1"/>
  <c r="H97" i="1"/>
  <c r="N97" i="1" s="1"/>
  <c r="G97" i="1"/>
  <c r="P97" i="1" s="1"/>
  <c r="F97" i="1"/>
  <c r="E97" i="1"/>
  <c r="V96" i="1"/>
  <c r="U96" i="1"/>
  <c r="O96" i="1"/>
  <c r="L96" i="1"/>
  <c r="J96" i="1" s="1"/>
  <c r="I96" i="1"/>
  <c r="Q96" i="1" s="1"/>
  <c r="H96" i="1"/>
  <c r="N96" i="1" s="1"/>
  <c r="G96" i="1"/>
  <c r="P96" i="1" s="1"/>
  <c r="F96" i="1"/>
  <c r="E96" i="1"/>
  <c r="V95" i="1"/>
  <c r="U95" i="1"/>
  <c r="O95" i="1"/>
  <c r="L95" i="1"/>
  <c r="I95" i="1"/>
  <c r="H95" i="1"/>
  <c r="N95" i="1" s="1"/>
  <c r="G95" i="1"/>
  <c r="P95" i="1" s="1"/>
  <c r="F95" i="1"/>
  <c r="E95" i="1"/>
  <c r="V94" i="1"/>
  <c r="U94" i="1"/>
  <c r="O94" i="1"/>
  <c r="L94" i="1"/>
  <c r="I94" i="1"/>
  <c r="Q94" i="1" s="1"/>
  <c r="H94" i="1"/>
  <c r="G94" i="1"/>
  <c r="P94" i="1" s="1"/>
  <c r="F94" i="1"/>
  <c r="E94" i="1"/>
  <c r="V93" i="1"/>
  <c r="U93" i="1"/>
  <c r="O93" i="1"/>
  <c r="L93" i="1"/>
  <c r="I93" i="1"/>
  <c r="Q93" i="1" s="1"/>
  <c r="H93" i="1"/>
  <c r="G93" i="1"/>
  <c r="F93" i="1"/>
  <c r="E93" i="1"/>
  <c r="V92" i="1"/>
  <c r="U92" i="1"/>
  <c r="O92" i="1"/>
  <c r="L92" i="1"/>
  <c r="I92" i="1"/>
  <c r="Q92" i="1" s="1"/>
  <c r="H92" i="1"/>
  <c r="N92" i="1" s="1"/>
  <c r="G92" i="1"/>
  <c r="P92" i="1" s="1"/>
  <c r="F92" i="1"/>
  <c r="E92" i="1"/>
  <c r="D92" i="1" s="1"/>
  <c r="V91" i="1"/>
  <c r="U91" i="1"/>
  <c r="O91" i="1"/>
  <c r="L91" i="1"/>
  <c r="I91" i="1"/>
  <c r="Q91" i="1" s="1"/>
  <c r="H91" i="1"/>
  <c r="N91" i="1" s="1"/>
  <c r="G91" i="1"/>
  <c r="P91" i="1" s="1"/>
  <c r="F91" i="1"/>
  <c r="E91" i="1"/>
  <c r="V90" i="1"/>
  <c r="U90" i="1"/>
  <c r="O90" i="1"/>
  <c r="L90" i="1"/>
  <c r="I90" i="1"/>
  <c r="Q90" i="1" s="1"/>
  <c r="H90" i="1"/>
  <c r="N90" i="1" s="1"/>
  <c r="G90" i="1"/>
  <c r="P90" i="1" s="1"/>
  <c r="F90" i="1"/>
  <c r="E90" i="1"/>
  <c r="S89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T88" i="1"/>
  <c r="S88" i="1"/>
  <c r="R88" i="1"/>
  <c r="O88" i="1"/>
  <c r="L88" i="1"/>
  <c r="I88" i="1"/>
  <c r="Q88" i="1" s="1"/>
  <c r="H88" i="1"/>
  <c r="G88" i="1"/>
  <c r="P88" i="1" s="1"/>
  <c r="F88" i="1"/>
  <c r="E88" i="1"/>
  <c r="AP87" i="1"/>
  <c r="AO87" i="1"/>
  <c r="AQ87" i="1" s="1"/>
  <c r="AN87" i="1"/>
  <c r="AM87" i="1"/>
  <c r="AL87" i="1"/>
  <c r="AK87" i="1"/>
  <c r="AJ87" i="1"/>
  <c r="AI87" i="1"/>
  <c r="AH87" i="1"/>
  <c r="AG87" i="1"/>
  <c r="AF87" i="1"/>
  <c r="AE87" i="1"/>
  <c r="AD87" i="1"/>
  <c r="AC87" i="1"/>
  <c r="W87" i="1" s="1"/>
  <c r="Z87" i="1" s="1"/>
  <c r="T87" i="1"/>
  <c r="S87" i="1"/>
  <c r="V87" i="1" s="1"/>
  <c r="R87" i="1"/>
  <c r="U87" i="1" s="1"/>
  <c r="O87" i="1"/>
  <c r="L87" i="1"/>
  <c r="I87" i="1"/>
  <c r="Q87" i="1" s="1"/>
  <c r="H87" i="1"/>
  <c r="N87" i="1" s="1"/>
  <c r="G87" i="1"/>
  <c r="P87" i="1" s="1"/>
  <c r="F87" i="1"/>
  <c r="E87" i="1"/>
  <c r="D87" i="1" s="1"/>
  <c r="C87" i="1" s="1"/>
  <c r="K87" i="1" s="1"/>
  <c r="AP86" i="1"/>
  <c r="AO86" i="1"/>
  <c r="AQ86" i="1" s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A86" i="1"/>
  <c r="T86" i="1"/>
  <c r="S86" i="1"/>
  <c r="V86" i="1" s="1"/>
  <c r="R86" i="1"/>
  <c r="U86" i="1" s="1"/>
  <c r="O86" i="1"/>
  <c r="J86" i="1" s="1"/>
  <c r="L86" i="1"/>
  <c r="I86" i="1"/>
  <c r="Q86" i="1" s="1"/>
  <c r="H86" i="1"/>
  <c r="N86" i="1" s="1"/>
  <c r="G86" i="1"/>
  <c r="P86" i="1" s="1"/>
  <c r="F86" i="1"/>
  <c r="E86" i="1"/>
  <c r="AP85" i="1"/>
  <c r="AO85" i="1"/>
  <c r="AQ85" i="1" s="1"/>
  <c r="AN85" i="1"/>
  <c r="AM85" i="1"/>
  <c r="AL85" i="1"/>
  <c r="AK85" i="1"/>
  <c r="AJ85" i="1"/>
  <c r="AI85" i="1"/>
  <c r="AH85" i="1"/>
  <c r="AG85" i="1"/>
  <c r="AF85" i="1"/>
  <c r="AE85" i="1"/>
  <c r="AD85" i="1"/>
  <c r="AC85" i="1"/>
  <c r="T85" i="1"/>
  <c r="S85" i="1"/>
  <c r="V85" i="1" s="1"/>
  <c r="R85" i="1"/>
  <c r="U85" i="1" s="1"/>
  <c r="O85" i="1"/>
  <c r="L85" i="1"/>
  <c r="I85" i="1"/>
  <c r="Q85" i="1" s="1"/>
  <c r="H85" i="1"/>
  <c r="N85" i="1" s="1"/>
  <c r="G85" i="1"/>
  <c r="P85" i="1" s="1"/>
  <c r="F85" i="1"/>
  <c r="E85" i="1"/>
  <c r="AP84" i="1"/>
  <c r="AO84" i="1"/>
  <c r="AQ84" i="1" s="1"/>
  <c r="AN84" i="1"/>
  <c r="AM84" i="1"/>
  <c r="AL84" i="1"/>
  <c r="AK84" i="1"/>
  <c r="AJ84" i="1"/>
  <c r="AI84" i="1"/>
  <c r="AH84" i="1"/>
  <c r="AG84" i="1"/>
  <c r="AF84" i="1"/>
  <c r="AE84" i="1"/>
  <c r="AD84" i="1"/>
  <c r="AC84" i="1"/>
  <c r="T84" i="1"/>
  <c r="S84" i="1"/>
  <c r="V84" i="1" s="1"/>
  <c r="R84" i="1"/>
  <c r="U84" i="1" s="1"/>
  <c r="O84" i="1"/>
  <c r="L84" i="1"/>
  <c r="I84" i="1"/>
  <c r="Q84" i="1" s="1"/>
  <c r="H84" i="1"/>
  <c r="N84" i="1" s="1"/>
  <c r="G84" i="1"/>
  <c r="P84" i="1" s="1"/>
  <c r="F84" i="1"/>
  <c r="E84" i="1"/>
  <c r="AP83" i="1"/>
  <c r="AO83" i="1"/>
  <c r="AQ83" i="1" s="1"/>
  <c r="AN83" i="1"/>
  <c r="AM83" i="1"/>
  <c r="AL83" i="1"/>
  <c r="AK83" i="1"/>
  <c r="AJ83" i="1"/>
  <c r="AI83" i="1"/>
  <c r="AH83" i="1"/>
  <c r="AG83" i="1"/>
  <c r="AF83" i="1"/>
  <c r="AE83" i="1"/>
  <c r="AD83" i="1"/>
  <c r="X83" i="1" s="1"/>
  <c r="AB83" i="1" s="1"/>
  <c r="AC83" i="1"/>
  <c r="T83" i="1"/>
  <c r="S83" i="1"/>
  <c r="V83" i="1" s="1"/>
  <c r="R83" i="1"/>
  <c r="U83" i="1" s="1"/>
  <c r="O83" i="1"/>
  <c r="L83" i="1"/>
  <c r="J83" i="1" s="1"/>
  <c r="I83" i="1"/>
  <c r="Q83" i="1" s="1"/>
  <c r="H83" i="1"/>
  <c r="N83" i="1" s="1"/>
  <c r="G83" i="1"/>
  <c r="P83" i="1" s="1"/>
  <c r="F83" i="1"/>
  <c r="D83" i="1" s="1"/>
  <c r="E83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X82" i="1" s="1"/>
  <c r="AC82" i="1"/>
  <c r="T82" i="1"/>
  <c r="S82" i="1"/>
  <c r="R82" i="1"/>
  <c r="O82" i="1"/>
  <c r="L82" i="1"/>
  <c r="I82" i="1"/>
  <c r="Q82" i="1" s="1"/>
  <c r="H82" i="1"/>
  <c r="G82" i="1"/>
  <c r="P82" i="1" s="1"/>
  <c r="F82" i="1"/>
  <c r="E82" i="1"/>
  <c r="AP81" i="1"/>
  <c r="AO81" i="1"/>
  <c r="AQ81" i="1" s="1"/>
  <c r="AN81" i="1"/>
  <c r="AM81" i="1"/>
  <c r="AL81" i="1"/>
  <c r="AK81" i="1"/>
  <c r="AJ81" i="1"/>
  <c r="AI81" i="1"/>
  <c r="AH81" i="1"/>
  <c r="AG81" i="1"/>
  <c r="AF81" i="1"/>
  <c r="AE81" i="1"/>
  <c r="AD81" i="1"/>
  <c r="AC81" i="1"/>
  <c r="T81" i="1"/>
  <c r="S81" i="1"/>
  <c r="V81" i="1" s="1"/>
  <c r="R81" i="1"/>
  <c r="U81" i="1" s="1"/>
  <c r="O81" i="1"/>
  <c r="L81" i="1"/>
  <c r="J81" i="1" s="1"/>
  <c r="I81" i="1"/>
  <c r="Q81" i="1" s="1"/>
  <c r="H81" i="1"/>
  <c r="N81" i="1" s="1"/>
  <c r="G81" i="1"/>
  <c r="P81" i="1" s="1"/>
  <c r="F81" i="1"/>
  <c r="E81" i="1"/>
  <c r="AP80" i="1"/>
  <c r="AO80" i="1"/>
  <c r="AQ80" i="1" s="1"/>
  <c r="AN80" i="1"/>
  <c r="AM80" i="1"/>
  <c r="AL80" i="1"/>
  <c r="AK80" i="1"/>
  <c r="AJ80" i="1"/>
  <c r="AI80" i="1"/>
  <c r="AH80" i="1"/>
  <c r="AG80" i="1"/>
  <c r="AF80" i="1"/>
  <c r="AE80" i="1"/>
  <c r="AD80" i="1"/>
  <c r="AC80" i="1"/>
  <c r="V80" i="1"/>
  <c r="T80" i="1"/>
  <c r="S80" i="1"/>
  <c r="R80" i="1"/>
  <c r="U80" i="1" s="1"/>
  <c r="O80" i="1"/>
  <c r="L80" i="1"/>
  <c r="I80" i="1"/>
  <c r="Q80" i="1" s="1"/>
  <c r="H80" i="1"/>
  <c r="N80" i="1" s="1"/>
  <c r="G80" i="1"/>
  <c r="P80" i="1" s="1"/>
  <c r="F80" i="1"/>
  <c r="E80" i="1"/>
  <c r="D80" i="1" s="1"/>
  <c r="M80" i="1" s="1"/>
  <c r="AP79" i="1"/>
  <c r="AO79" i="1"/>
  <c r="AQ79" i="1" s="1"/>
  <c r="AN79" i="1"/>
  <c r="AM79" i="1"/>
  <c r="AL79" i="1"/>
  <c r="AK79" i="1"/>
  <c r="AJ79" i="1"/>
  <c r="AI79" i="1"/>
  <c r="AH79" i="1"/>
  <c r="AG79" i="1"/>
  <c r="AF79" i="1"/>
  <c r="AE79" i="1"/>
  <c r="AD79" i="1"/>
  <c r="AC79" i="1"/>
  <c r="T79" i="1"/>
  <c r="S79" i="1"/>
  <c r="V79" i="1" s="1"/>
  <c r="R79" i="1"/>
  <c r="U79" i="1" s="1"/>
  <c r="O79" i="1"/>
  <c r="L79" i="1"/>
  <c r="I79" i="1"/>
  <c r="Q79" i="1" s="1"/>
  <c r="H79" i="1"/>
  <c r="N79" i="1" s="1"/>
  <c r="G79" i="1"/>
  <c r="P79" i="1" s="1"/>
  <c r="F79" i="1"/>
  <c r="E79" i="1"/>
  <c r="AP78" i="1"/>
  <c r="AO78" i="1"/>
  <c r="AQ78" i="1" s="1"/>
  <c r="AN78" i="1"/>
  <c r="AM78" i="1"/>
  <c r="AL78" i="1"/>
  <c r="AK78" i="1"/>
  <c r="AJ78" i="1"/>
  <c r="AI78" i="1"/>
  <c r="AH78" i="1"/>
  <c r="AG78" i="1"/>
  <c r="AF78" i="1"/>
  <c r="AE78" i="1"/>
  <c r="Y78" i="1" s="1"/>
  <c r="AD78" i="1"/>
  <c r="AC78" i="1"/>
  <c r="T78" i="1"/>
  <c r="S78" i="1"/>
  <c r="V78" i="1" s="1"/>
  <c r="R78" i="1"/>
  <c r="U78" i="1" s="1"/>
  <c r="O78" i="1"/>
  <c r="L78" i="1"/>
  <c r="I78" i="1"/>
  <c r="Q78" i="1" s="1"/>
  <c r="H78" i="1"/>
  <c r="N78" i="1" s="1"/>
  <c r="G78" i="1"/>
  <c r="P78" i="1" s="1"/>
  <c r="F78" i="1"/>
  <c r="E78" i="1"/>
  <c r="AP77" i="1"/>
  <c r="AO77" i="1"/>
  <c r="AQ77" i="1" s="1"/>
  <c r="AN77" i="1"/>
  <c r="AM77" i="1"/>
  <c r="AL77" i="1"/>
  <c r="AK77" i="1"/>
  <c r="AJ77" i="1"/>
  <c r="AI77" i="1"/>
  <c r="AH77" i="1"/>
  <c r="AG77" i="1"/>
  <c r="AF77" i="1"/>
  <c r="AE77" i="1"/>
  <c r="AD77" i="1"/>
  <c r="AC77" i="1"/>
  <c r="T77" i="1"/>
  <c r="S77" i="1"/>
  <c r="V77" i="1" s="1"/>
  <c r="R77" i="1"/>
  <c r="U77" i="1" s="1"/>
  <c r="O77" i="1"/>
  <c r="L77" i="1"/>
  <c r="I77" i="1"/>
  <c r="Q77" i="1" s="1"/>
  <c r="H77" i="1"/>
  <c r="N77" i="1" s="1"/>
  <c r="G77" i="1"/>
  <c r="P77" i="1" s="1"/>
  <c r="F77" i="1"/>
  <c r="E77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T76" i="1"/>
  <c r="S76" i="1"/>
  <c r="R76" i="1"/>
  <c r="O76" i="1"/>
  <c r="L76" i="1"/>
  <c r="I76" i="1"/>
  <c r="Q76" i="1" s="1"/>
  <c r="H76" i="1"/>
  <c r="G76" i="1"/>
  <c r="P76" i="1" s="1"/>
  <c r="F76" i="1"/>
  <c r="E76" i="1"/>
  <c r="AP75" i="1"/>
  <c r="AO75" i="1"/>
  <c r="AQ75" i="1" s="1"/>
  <c r="AN75" i="1"/>
  <c r="AM75" i="1"/>
  <c r="AL75" i="1"/>
  <c r="AK75" i="1"/>
  <c r="AJ75" i="1"/>
  <c r="AI75" i="1"/>
  <c r="AH75" i="1"/>
  <c r="AG75" i="1"/>
  <c r="AF75" i="1"/>
  <c r="AE75" i="1"/>
  <c r="AD75" i="1"/>
  <c r="AC75" i="1"/>
  <c r="V75" i="1"/>
  <c r="T75" i="1"/>
  <c r="S75" i="1"/>
  <c r="R75" i="1"/>
  <c r="U75" i="1" s="1"/>
  <c r="O75" i="1"/>
  <c r="L75" i="1"/>
  <c r="I75" i="1"/>
  <c r="Q75" i="1" s="1"/>
  <c r="H75" i="1"/>
  <c r="G75" i="1"/>
  <c r="P75" i="1" s="1"/>
  <c r="F75" i="1"/>
  <c r="E75" i="1"/>
  <c r="AP73" i="1"/>
  <c r="AO73" i="1"/>
  <c r="AQ73" i="1" s="1"/>
  <c r="AN73" i="1"/>
  <c r="AM73" i="1"/>
  <c r="AL73" i="1"/>
  <c r="AK73" i="1"/>
  <c r="AJ73" i="1"/>
  <c r="AI73" i="1"/>
  <c r="AH73" i="1"/>
  <c r="AG73" i="1"/>
  <c r="AF73" i="1"/>
  <c r="AE73" i="1"/>
  <c r="AD73" i="1"/>
  <c r="AC73" i="1"/>
  <c r="T73" i="1"/>
  <c r="S73" i="1"/>
  <c r="V73" i="1" s="1"/>
  <c r="R73" i="1"/>
  <c r="U73" i="1" s="1"/>
  <c r="O73" i="1"/>
  <c r="L73" i="1"/>
  <c r="J73" i="1" s="1"/>
  <c r="I73" i="1"/>
  <c r="Q73" i="1" s="1"/>
  <c r="H73" i="1"/>
  <c r="N73" i="1" s="1"/>
  <c r="G73" i="1"/>
  <c r="P73" i="1" s="1"/>
  <c r="F73" i="1"/>
  <c r="E73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T72" i="1"/>
  <c r="S72" i="1"/>
  <c r="R72" i="1"/>
  <c r="O72" i="1"/>
  <c r="L72" i="1"/>
  <c r="I72" i="1"/>
  <c r="Q72" i="1" s="1"/>
  <c r="H72" i="1"/>
  <c r="G72" i="1"/>
  <c r="P72" i="1" s="1"/>
  <c r="F72" i="1"/>
  <c r="E72" i="1"/>
  <c r="AP71" i="1"/>
  <c r="AO71" i="1"/>
  <c r="AQ71" i="1" s="1"/>
  <c r="AN71" i="1"/>
  <c r="AM71" i="1"/>
  <c r="AL71" i="1"/>
  <c r="AK71" i="1"/>
  <c r="AJ71" i="1"/>
  <c r="AI71" i="1"/>
  <c r="AH71" i="1"/>
  <c r="AG71" i="1"/>
  <c r="AF71" i="1"/>
  <c r="AE71" i="1"/>
  <c r="AD71" i="1"/>
  <c r="AC71" i="1"/>
  <c r="T71" i="1"/>
  <c r="S71" i="1"/>
  <c r="V71" i="1" s="1"/>
  <c r="R71" i="1"/>
  <c r="U71" i="1" s="1"/>
  <c r="O71" i="1"/>
  <c r="L71" i="1"/>
  <c r="J71" i="1" s="1"/>
  <c r="I71" i="1"/>
  <c r="Q71" i="1" s="1"/>
  <c r="H71" i="1"/>
  <c r="N71" i="1" s="1"/>
  <c r="G71" i="1"/>
  <c r="P71" i="1" s="1"/>
  <c r="F71" i="1"/>
  <c r="D71" i="1" s="1"/>
  <c r="E71" i="1"/>
  <c r="AP70" i="1"/>
  <c r="AO70" i="1"/>
  <c r="AQ70" i="1" s="1"/>
  <c r="AN70" i="1"/>
  <c r="AM70" i="1"/>
  <c r="AL70" i="1"/>
  <c r="AK70" i="1"/>
  <c r="AJ70" i="1"/>
  <c r="AI70" i="1"/>
  <c r="Y70" i="1" s="1"/>
  <c r="AH70" i="1"/>
  <c r="AG70" i="1"/>
  <c r="AF70" i="1"/>
  <c r="AE70" i="1"/>
  <c r="AD70" i="1"/>
  <c r="AC70" i="1"/>
  <c r="W70" i="1" s="1"/>
  <c r="Z70" i="1" s="1"/>
  <c r="T70" i="1"/>
  <c r="S70" i="1"/>
  <c r="V70" i="1" s="1"/>
  <c r="R70" i="1"/>
  <c r="U70" i="1" s="1"/>
  <c r="O70" i="1"/>
  <c r="L70" i="1"/>
  <c r="J70" i="1" s="1"/>
  <c r="I70" i="1"/>
  <c r="Q70" i="1" s="1"/>
  <c r="H70" i="1"/>
  <c r="N70" i="1" s="1"/>
  <c r="G70" i="1"/>
  <c r="P70" i="1" s="1"/>
  <c r="F70" i="1"/>
  <c r="E70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T69" i="1"/>
  <c r="V69" i="1" s="1"/>
  <c r="S69" i="1"/>
  <c r="R69" i="1"/>
  <c r="O69" i="1"/>
  <c r="L69" i="1"/>
  <c r="I69" i="1"/>
  <c r="Q69" i="1" s="1"/>
  <c r="H69" i="1"/>
  <c r="G69" i="1"/>
  <c r="P69" i="1" s="1"/>
  <c r="F69" i="1"/>
  <c r="E69" i="1"/>
  <c r="AP68" i="1"/>
  <c r="AO68" i="1"/>
  <c r="AQ68" i="1" s="1"/>
  <c r="AN68" i="1"/>
  <c r="AM68" i="1"/>
  <c r="AL68" i="1"/>
  <c r="AK68" i="1"/>
  <c r="AJ68" i="1"/>
  <c r="AI68" i="1"/>
  <c r="AH68" i="1"/>
  <c r="AG68" i="1"/>
  <c r="AF68" i="1"/>
  <c r="AA68" i="1" s="1"/>
  <c r="AE68" i="1"/>
  <c r="AD68" i="1"/>
  <c r="AC68" i="1"/>
  <c r="T68" i="1"/>
  <c r="V68" i="1" s="1"/>
  <c r="S68" i="1"/>
  <c r="R68" i="1"/>
  <c r="O68" i="1"/>
  <c r="L68" i="1"/>
  <c r="I68" i="1"/>
  <c r="Q68" i="1" s="1"/>
  <c r="H68" i="1"/>
  <c r="G68" i="1"/>
  <c r="P68" i="1" s="1"/>
  <c r="F68" i="1"/>
  <c r="E68" i="1"/>
  <c r="AP67" i="1"/>
  <c r="AO67" i="1"/>
  <c r="AQ67" i="1" s="1"/>
  <c r="AN67" i="1"/>
  <c r="AM67" i="1"/>
  <c r="AL67" i="1"/>
  <c r="AK67" i="1"/>
  <c r="AJ67" i="1"/>
  <c r="AI67" i="1"/>
  <c r="AH67" i="1"/>
  <c r="AG67" i="1"/>
  <c r="AF67" i="1"/>
  <c r="AE67" i="1"/>
  <c r="AD67" i="1"/>
  <c r="AC67" i="1"/>
  <c r="T67" i="1"/>
  <c r="S67" i="1"/>
  <c r="V67" i="1" s="1"/>
  <c r="R67" i="1"/>
  <c r="U67" i="1" s="1"/>
  <c r="O67" i="1"/>
  <c r="L67" i="1"/>
  <c r="I67" i="1"/>
  <c r="Q67" i="1" s="1"/>
  <c r="H67" i="1"/>
  <c r="N67" i="1" s="1"/>
  <c r="G67" i="1"/>
  <c r="P67" i="1" s="1"/>
  <c r="F67" i="1"/>
  <c r="E67" i="1"/>
  <c r="AP66" i="1"/>
  <c r="AO66" i="1"/>
  <c r="AQ66" i="1" s="1"/>
  <c r="AN66" i="1"/>
  <c r="AM66" i="1"/>
  <c r="AL66" i="1"/>
  <c r="AK66" i="1"/>
  <c r="AJ66" i="1"/>
  <c r="AI66" i="1"/>
  <c r="AH66" i="1"/>
  <c r="AG66" i="1"/>
  <c r="AF66" i="1"/>
  <c r="AE66" i="1"/>
  <c r="AD66" i="1"/>
  <c r="AC66" i="1"/>
  <c r="T66" i="1"/>
  <c r="S66" i="1"/>
  <c r="V66" i="1" s="1"/>
  <c r="R66" i="1"/>
  <c r="U66" i="1" s="1"/>
  <c r="O66" i="1"/>
  <c r="L66" i="1"/>
  <c r="I66" i="1"/>
  <c r="Q66" i="1" s="1"/>
  <c r="H66" i="1"/>
  <c r="N66" i="1" s="1"/>
  <c r="G66" i="1"/>
  <c r="P66" i="1" s="1"/>
  <c r="F66" i="1"/>
  <c r="E66" i="1"/>
  <c r="AP65" i="1"/>
  <c r="AO65" i="1"/>
  <c r="AQ65" i="1" s="1"/>
  <c r="AN65" i="1"/>
  <c r="AM65" i="1"/>
  <c r="AL65" i="1"/>
  <c r="AK65" i="1"/>
  <c r="AJ65" i="1"/>
  <c r="AI65" i="1"/>
  <c r="AH65" i="1"/>
  <c r="AG65" i="1"/>
  <c r="AF65" i="1"/>
  <c r="AE65" i="1"/>
  <c r="AD65" i="1"/>
  <c r="AC65" i="1"/>
  <c r="T65" i="1"/>
  <c r="S65" i="1"/>
  <c r="V65" i="1" s="1"/>
  <c r="R65" i="1"/>
  <c r="U65" i="1" s="1"/>
  <c r="O65" i="1"/>
  <c r="L65" i="1"/>
  <c r="I65" i="1"/>
  <c r="Q65" i="1" s="1"/>
  <c r="H65" i="1"/>
  <c r="N65" i="1" s="1"/>
  <c r="G65" i="1"/>
  <c r="P65" i="1" s="1"/>
  <c r="F65" i="1"/>
  <c r="E65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W64" i="1" s="1"/>
  <c r="T64" i="1"/>
  <c r="S64" i="1"/>
  <c r="R64" i="1"/>
  <c r="O64" i="1"/>
  <c r="L64" i="1"/>
  <c r="I64" i="1"/>
  <c r="Q64" i="1" s="1"/>
  <c r="H64" i="1"/>
  <c r="G64" i="1"/>
  <c r="P64" i="1" s="1"/>
  <c r="F64" i="1"/>
  <c r="E64" i="1"/>
  <c r="AP63" i="1"/>
  <c r="AO63" i="1"/>
  <c r="AQ63" i="1" s="1"/>
  <c r="AN63" i="1"/>
  <c r="AM63" i="1"/>
  <c r="AL63" i="1"/>
  <c r="AK63" i="1"/>
  <c r="AJ63" i="1"/>
  <c r="AI63" i="1"/>
  <c r="AH63" i="1"/>
  <c r="AG63" i="1"/>
  <c r="AF63" i="1"/>
  <c r="AE63" i="1"/>
  <c r="AD63" i="1"/>
  <c r="AC63" i="1"/>
  <c r="T63" i="1"/>
  <c r="S63" i="1"/>
  <c r="V63" i="1" s="1"/>
  <c r="R63" i="1"/>
  <c r="U63" i="1" s="1"/>
  <c r="O63" i="1"/>
  <c r="L63" i="1"/>
  <c r="I63" i="1"/>
  <c r="Q63" i="1" s="1"/>
  <c r="H63" i="1"/>
  <c r="N63" i="1" s="1"/>
  <c r="G63" i="1"/>
  <c r="P63" i="1" s="1"/>
  <c r="F63" i="1"/>
  <c r="E63" i="1"/>
  <c r="D63" i="1" s="1"/>
  <c r="C63" i="1" s="1"/>
  <c r="K63" i="1" s="1"/>
  <c r="AP62" i="1"/>
  <c r="AO62" i="1"/>
  <c r="AQ62" i="1" s="1"/>
  <c r="AN62" i="1"/>
  <c r="AM62" i="1"/>
  <c r="AL62" i="1"/>
  <c r="AK62" i="1"/>
  <c r="AJ62" i="1"/>
  <c r="AI62" i="1"/>
  <c r="AH62" i="1"/>
  <c r="AG62" i="1"/>
  <c r="AF62" i="1"/>
  <c r="AE62" i="1"/>
  <c r="AD62" i="1"/>
  <c r="AC62" i="1"/>
  <c r="T62" i="1"/>
  <c r="S62" i="1"/>
  <c r="V62" i="1" s="1"/>
  <c r="R62" i="1"/>
  <c r="U62" i="1" s="1"/>
  <c r="O62" i="1"/>
  <c r="L62" i="1"/>
  <c r="I62" i="1"/>
  <c r="Q62" i="1" s="1"/>
  <c r="H62" i="1"/>
  <c r="N62" i="1" s="1"/>
  <c r="G62" i="1"/>
  <c r="P62" i="1" s="1"/>
  <c r="F62" i="1"/>
  <c r="E62" i="1"/>
  <c r="AP61" i="1"/>
  <c r="AO61" i="1"/>
  <c r="AQ61" i="1" s="1"/>
  <c r="AN61" i="1"/>
  <c r="AM61" i="1"/>
  <c r="AL61" i="1"/>
  <c r="AK61" i="1"/>
  <c r="AJ61" i="1"/>
  <c r="AI61" i="1"/>
  <c r="AH61" i="1"/>
  <c r="AG61" i="1"/>
  <c r="AF61" i="1"/>
  <c r="AE61" i="1"/>
  <c r="AD61" i="1"/>
  <c r="AC61" i="1"/>
  <c r="T61" i="1"/>
  <c r="S61" i="1"/>
  <c r="V61" i="1" s="1"/>
  <c r="R61" i="1"/>
  <c r="U61" i="1" s="1"/>
  <c r="O61" i="1"/>
  <c r="L61" i="1"/>
  <c r="I61" i="1"/>
  <c r="Q61" i="1" s="1"/>
  <c r="H61" i="1"/>
  <c r="N61" i="1" s="1"/>
  <c r="G61" i="1"/>
  <c r="P61" i="1" s="1"/>
  <c r="F61" i="1"/>
  <c r="E61" i="1"/>
  <c r="AP60" i="1"/>
  <c r="AO60" i="1"/>
  <c r="AQ60" i="1" s="1"/>
  <c r="AN60" i="1"/>
  <c r="AM60" i="1"/>
  <c r="AL60" i="1"/>
  <c r="AK60" i="1"/>
  <c r="AJ60" i="1"/>
  <c r="AI60" i="1"/>
  <c r="AH60" i="1"/>
  <c r="AG60" i="1"/>
  <c r="AF60" i="1"/>
  <c r="AE60" i="1"/>
  <c r="AD60" i="1"/>
  <c r="AC60" i="1"/>
  <c r="T60" i="1"/>
  <c r="S60" i="1"/>
  <c r="V60" i="1" s="1"/>
  <c r="R60" i="1"/>
  <c r="U60" i="1" s="1"/>
  <c r="O60" i="1"/>
  <c r="L60" i="1"/>
  <c r="I60" i="1"/>
  <c r="Q60" i="1" s="1"/>
  <c r="H60" i="1"/>
  <c r="N60" i="1" s="1"/>
  <c r="G60" i="1"/>
  <c r="P60" i="1" s="1"/>
  <c r="F60" i="1"/>
  <c r="E60" i="1"/>
  <c r="AP59" i="1"/>
  <c r="AO59" i="1"/>
  <c r="AQ59" i="1" s="1"/>
  <c r="AN59" i="1"/>
  <c r="AM59" i="1"/>
  <c r="AL59" i="1"/>
  <c r="AK59" i="1"/>
  <c r="AJ59" i="1"/>
  <c r="AI59" i="1"/>
  <c r="AH59" i="1"/>
  <c r="AG59" i="1"/>
  <c r="AF59" i="1"/>
  <c r="AE59" i="1"/>
  <c r="AD59" i="1"/>
  <c r="X59" i="1" s="1"/>
  <c r="AB59" i="1" s="1"/>
  <c r="AC59" i="1"/>
  <c r="T59" i="1"/>
  <c r="S59" i="1"/>
  <c r="V59" i="1" s="1"/>
  <c r="R59" i="1"/>
  <c r="U59" i="1" s="1"/>
  <c r="O59" i="1"/>
  <c r="L59" i="1"/>
  <c r="I59" i="1"/>
  <c r="Q59" i="1" s="1"/>
  <c r="H59" i="1"/>
  <c r="N59" i="1" s="1"/>
  <c r="G59" i="1"/>
  <c r="P59" i="1" s="1"/>
  <c r="F59" i="1"/>
  <c r="E59" i="1"/>
  <c r="AP58" i="1"/>
  <c r="AO58" i="1"/>
  <c r="AQ58" i="1" s="1"/>
  <c r="AN58" i="1"/>
  <c r="AM58" i="1"/>
  <c r="AL58" i="1"/>
  <c r="AK58" i="1"/>
  <c r="AJ58" i="1"/>
  <c r="AI58" i="1"/>
  <c r="AH58" i="1"/>
  <c r="AG58" i="1"/>
  <c r="AF58" i="1"/>
  <c r="AE58" i="1"/>
  <c r="AD58" i="1"/>
  <c r="AC58" i="1"/>
  <c r="W58" i="1" s="1"/>
  <c r="Z58" i="1" s="1"/>
  <c r="T58" i="1"/>
  <c r="S58" i="1"/>
  <c r="V58" i="1" s="1"/>
  <c r="R58" i="1"/>
  <c r="U58" i="1" s="1"/>
  <c r="O58" i="1"/>
  <c r="L58" i="1"/>
  <c r="I58" i="1"/>
  <c r="Q58" i="1" s="1"/>
  <c r="H58" i="1"/>
  <c r="N58" i="1" s="1"/>
  <c r="G58" i="1"/>
  <c r="P58" i="1" s="1"/>
  <c r="F58" i="1"/>
  <c r="E58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W57" i="1" s="1"/>
  <c r="T57" i="1"/>
  <c r="S57" i="1"/>
  <c r="R57" i="1"/>
  <c r="O57" i="1"/>
  <c r="L57" i="1"/>
  <c r="I57" i="1"/>
  <c r="Q57" i="1" s="1"/>
  <c r="H57" i="1"/>
  <c r="G57" i="1"/>
  <c r="P57" i="1" s="1"/>
  <c r="F57" i="1"/>
  <c r="E57" i="1"/>
  <c r="D57" i="1" s="1"/>
  <c r="C57" i="1" s="1"/>
  <c r="AP56" i="1"/>
  <c r="AO56" i="1"/>
  <c r="AQ56" i="1" s="1"/>
  <c r="AN56" i="1"/>
  <c r="AM56" i="1"/>
  <c r="AL56" i="1"/>
  <c r="AK56" i="1"/>
  <c r="AJ56" i="1"/>
  <c r="AI56" i="1"/>
  <c r="AH56" i="1"/>
  <c r="AG56" i="1"/>
  <c r="AF56" i="1"/>
  <c r="AA56" i="1" s="1"/>
  <c r="AE56" i="1"/>
  <c r="AD56" i="1"/>
  <c r="AC56" i="1"/>
  <c r="T56" i="1"/>
  <c r="S56" i="1"/>
  <c r="V56" i="1" s="1"/>
  <c r="R56" i="1"/>
  <c r="U56" i="1" s="1"/>
  <c r="O56" i="1"/>
  <c r="J56" i="1" s="1"/>
  <c r="L56" i="1"/>
  <c r="I56" i="1"/>
  <c r="Q56" i="1" s="1"/>
  <c r="H56" i="1"/>
  <c r="N56" i="1" s="1"/>
  <c r="G56" i="1"/>
  <c r="P56" i="1" s="1"/>
  <c r="F56" i="1"/>
  <c r="E56" i="1"/>
  <c r="AP55" i="1"/>
  <c r="AO55" i="1"/>
  <c r="AQ55" i="1" s="1"/>
  <c r="AN55" i="1"/>
  <c r="AM55" i="1"/>
  <c r="AL55" i="1"/>
  <c r="AK55" i="1"/>
  <c r="AJ55" i="1"/>
  <c r="AI55" i="1"/>
  <c r="AH55" i="1"/>
  <c r="AG55" i="1"/>
  <c r="AF55" i="1"/>
  <c r="AE55" i="1"/>
  <c r="AD55" i="1"/>
  <c r="AC55" i="1"/>
  <c r="V55" i="1"/>
  <c r="T55" i="1"/>
  <c r="S55" i="1"/>
  <c r="R55" i="1"/>
  <c r="U55" i="1" s="1"/>
  <c r="O55" i="1"/>
  <c r="L55" i="1"/>
  <c r="I55" i="1"/>
  <c r="H55" i="1"/>
  <c r="N55" i="1" s="1"/>
  <c r="G55" i="1"/>
  <c r="P55" i="1" s="1"/>
  <c r="F55" i="1"/>
  <c r="E55" i="1"/>
  <c r="AP54" i="1"/>
  <c r="AO54" i="1"/>
  <c r="AQ54" i="1" s="1"/>
  <c r="AN54" i="1"/>
  <c r="AM54" i="1"/>
  <c r="AL54" i="1"/>
  <c r="X54" i="1" s="1"/>
  <c r="AB54" i="1" s="1"/>
  <c r="AK54" i="1"/>
  <c r="AJ54" i="1"/>
  <c r="AI54" i="1"/>
  <c r="AH54" i="1"/>
  <c r="AG54" i="1"/>
  <c r="AF54" i="1"/>
  <c r="AA54" i="1" s="1"/>
  <c r="AE54" i="1"/>
  <c r="AD54" i="1"/>
  <c r="AC54" i="1"/>
  <c r="T54" i="1"/>
  <c r="S54" i="1"/>
  <c r="V54" i="1" s="1"/>
  <c r="R54" i="1"/>
  <c r="U54" i="1" s="1"/>
  <c r="O54" i="1"/>
  <c r="L54" i="1"/>
  <c r="I54" i="1"/>
  <c r="Q54" i="1" s="1"/>
  <c r="H54" i="1"/>
  <c r="N54" i="1" s="1"/>
  <c r="G54" i="1"/>
  <c r="P54" i="1" s="1"/>
  <c r="F54" i="1"/>
  <c r="E54" i="1"/>
  <c r="AP53" i="1"/>
  <c r="AO53" i="1"/>
  <c r="AQ53" i="1" s="1"/>
  <c r="AN53" i="1"/>
  <c r="AM53" i="1"/>
  <c r="AL53" i="1"/>
  <c r="AK53" i="1"/>
  <c r="AJ53" i="1"/>
  <c r="AI53" i="1"/>
  <c r="AH53" i="1"/>
  <c r="AG53" i="1"/>
  <c r="AF53" i="1"/>
  <c r="AE53" i="1"/>
  <c r="AD53" i="1"/>
  <c r="AC53" i="1"/>
  <c r="T53" i="1"/>
  <c r="S53" i="1"/>
  <c r="V53" i="1" s="1"/>
  <c r="R53" i="1"/>
  <c r="U53" i="1" s="1"/>
  <c r="Q53" i="1"/>
  <c r="O53" i="1"/>
  <c r="L53" i="1"/>
  <c r="I53" i="1"/>
  <c r="H53" i="1"/>
  <c r="G53" i="1"/>
  <c r="P53" i="1" s="1"/>
  <c r="F53" i="1"/>
  <c r="D53" i="1" s="1"/>
  <c r="E53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T51" i="1"/>
  <c r="S51" i="1"/>
  <c r="V51" i="1" s="1"/>
  <c r="R51" i="1"/>
  <c r="O51" i="1"/>
  <c r="L51" i="1"/>
  <c r="J51" i="1" s="1"/>
  <c r="I51" i="1"/>
  <c r="Q51" i="1" s="1"/>
  <c r="H51" i="1"/>
  <c r="N51" i="1" s="1"/>
  <c r="G51" i="1"/>
  <c r="P51" i="1" s="1"/>
  <c r="F51" i="1"/>
  <c r="E51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T50" i="1"/>
  <c r="S50" i="1"/>
  <c r="R50" i="1"/>
  <c r="U50" i="1" s="1"/>
  <c r="O50" i="1"/>
  <c r="L50" i="1"/>
  <c r="I50" i="1"/>
  <c r="Q50" i="1" s="1"/>
  <c r="H50" i="1"/>
  <c r="G50" i="1"/>
  <c r="P50" i="1" s="1"/>
  <c r="F50" i="1"/>
  <c r="D50" i="1" s="1"/>
  <c r="M50" i="1" s="1"/>
  <c r="E50" i="1"/>
  <c r="AP49" i="1"/>
  <c r="AO49" i="1"/>
  <c r="AN49" i="1"/>
  <c r="AM49" i="1"/>
  <c r="AL49" i="1"/>
  <c r="AK49" i="1"/>
  <c r="AJ49" i="1"/>
  <c r="AI49" i="1"/>
  <c r="AH49" i="1"/>
  <c r="AG49" i="1"/>
  <c r="AF49" i="1"/>
  <c r="AA49" i="1" s="1"/>
  <c r="AE49" i="1"/>
  <c r="AD49" i="1"/>
  <c r="AC49" i="1"/>
  <c r="T49" i="1"/>
  <c r="S49" i="1"/>
  <c r="R49" i="1"/>
  <c r="O49" i="1"/>
  <c r="L49" i="1"/>
  <c r="I49" i="1"/>
  <c r="Q49" i="1" s="1"/>
  <c r="H49" i="1"/>
  <c r="G49" i="1"/>
  <c r="P49" i="1" s="1"/>
  <c r="F49" i="1"/>
  <c r="E49" i="1"/>
  <c r="AP48" i="1"/>
  <c r="AO48" i="1"/>
  <c r="AQ48" i="1" s="1"/>
  <c r="AN48" i="1"/>
  <c r="AM48" i="1"/>
  <c r="AL48" i="1"/>
  <c r="AK48" i="1"/>
  <c r="AJ48" i="1"/>
  <c r="AI48" i="1"/>
  <c r="AH48" i="1"/>
  <c r="AG48" i="1"/>
  <c r="AF48" i="1"/>
  <c r="AE48" i="1"/>
  <c r="AD48" i="1"/>
  <c r="AC48" i="1"/>
  <c r="T48" i="1"/>
  <c r="S48" i="1"/>
  <c r="R48" i="1"/>
  <c r="O48" i="1"/>
  <c r="L48" i="1"/>
  <c r="J48" i="1" s="1"/>
  <c r="I48" i="1"/>
  <c r="Q48" i="1" s="1"/>
  <c r="H48" i="1"/>
  <c r="G48" i="1"/>
  <c r="P48" i="1" s="1"/>
  <c r="F48" i="1"/>
  <c r="E48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T47" i="1"/>
  <c r="S47" i="1"/>
  <c r="R47" i="1"/>
  <c r="O47" i="1"/>
  <c r="L47" i="1"/>
  <c r="I47" i="1"/>
  <c r="Q47" i="1" s="1"/>
  <c r="H47" i="1"/>
  <c r="G47" i="1"/>
  <c r="P47" i="1" s="1"/>
  <c r="F47" i="1"/>
  <c r="E47" i="1"/>
  <c r="AP46" i="1"/>
  <c r="AO46" i="1"/>
  <c r="AQ46" i="1" s="1"/>
  <c r="AN46" i="1"/>
  <c r="AM46" i="1"/>
  <c r="AL46" i="1"/>
  <c r="AK46" i="1"/>
  <c r="AJ46" i="1"/>
  <c r="AI46" i="1"/>
  <c r="AH46" i="1"/>
  <c r="AG46" i="1"/>
  <c r="AF46" i="1"/>
  <c r="AE46" i="1"/>
  <c r="AD46" i="1"/>
  <c r="AC46" i="1"/>
  <c r="T46" i="1"/>
  <c r="S46" i="1"/>
  <c r="V46" i="1" s="1"/>
  <c r="R46" i="1"/>
  <c r="U46" i="1" s="1"/>
  <c r="O46" i="1"/>
  <c r="L46" i="1"/>
  <c r="J46" i="1" s="1"/>
  <c r="I46" i="1"/>
  <c r="Q46" i="1" s="1"/>
  <c r="H46" i="1"/>
  <c r="N46" i="1" s="1"/>
  <c r="G46" i="1"/>
  <c r="P46" i="1" s="1"/>
  <c r="F46" i="1"/>
  <c r="E46" i="1"/>
  <c r="AP45" i="1"/>
  <c r="AO45" i="1"/>
  <c r="AN45" i="1"/>
  <c r="AM45" i="1"/>
  <c r="AL45" i="1"/>
  <c r="AK45" i="1"/>
  <c r="AJ45" i="1"/>
  <c r="AI45" i="1"/>
  <c r="Y45" i="1" s="1"/>
  <c r="AH45" i="1"/>
  <c r="AG45" i="1"/>
  <c r="AF45" i="1"/>
  <c r="AE45" i="1"/>
  <c r="AD45" i="1"/>
  <c r="AC45" i="1"/>
  <c r="W45" i="1" s="1"/>
  <c r="Z45" i="1" s="1"/>
  <c r="T45" i="1"/>
  <c r="S45" i="1"/>
  <c r="R45" i="1"/>
  <c r="O45" i="1"/>
  <c r="L45" i="1"/>
  <c r="J45" i="1" s="1"/>
  <c r="I45" i="1"/>
  <c r="Q45" i="1" s="1"/>
  <c r="H45" i="1"/>
  <c r="G45" i="1"/>
  <c r="P45" i="1" s="1"/>
  <c r="F45" i="1"/>
  <c r="E45" i="1"/>
  <c r="AQ44" i="1"/>
  <c r="AP44" i="1"/>
  <c r="AO44" i="1"/>
  <c r="AN44" i="1"/>
  <c r="AM44" i="1"/>
  <c r="AL44" i="1"/>
  <c r="AK44" i="1"/>
  <c r="AJ44" i="1"/>
  <c r="AA44" i="1" s="1"/>
  <c r="AI44" i="1"/>
  <c r="AH44" i="1"/>
  <c r="AG44" i="1"/>
  <c r="AF44" i="1"/>
  <c r="AE44" i="1"/>
  <c r="AD44" i="1"/>
  <c r="AC44" i="1"/>
  <c r="T44" i="1"/>
  <c r="S44" i="1"/>
  <c r="V44" i="1" s="1"/>
  <c r="R44" i="1"/>
  <c r="U44" i="1" s="1"/>
  <c r="O44" i="1"/>
  <c r="J44" i="1" s="1"/>
  <c r="L44" i="1"/>
  <c r="I44" i="1"/>
  <c r="Q44" i="1" s="1"/>
  <c r="H44" i="1"/>
  <c r="N44" i="1" s="1"/>
  <c r="G44" i="1"/>
  <c r="P44" i="1" s="1"/>
  <c r="F44" i="1"/>
  <c r="E44" i="1"/>
  <c r="D44" i="1" s="1"/>
  <c r="AP43" i="1"/>
  <c r="AO43" i="1"/>
  <c r="AQ43" i="1" s="1"/>
  <c r="AN43" i="1"/>
  <c r="AM43" i="1"/>
  <c r="AL43" i="1"/>
  <c r="AK43" i="1"/>
  <c r="AJ43" i="1"/>
  <c r="AI43" i="1"/>
  <c r="AH43" i="1"/>
  <c r="AG43" i="1"/>
  <c r="AF43" i="1"/>
  <c r="AE43" i="1"/>
  <c r="AD43" i="1"/>
  <c r="AC43" i="1"/>
  <c r="T43" i="1"/>
  <c r="S43" i="1"/>
  <c r="V43" i="1" s="1"/>
  <c r="R43" i="1"/>
  <c r="U43" i="1" s="1"/>
  <c r="O43" i="1"/>
  <c r="L43" i="1"/>
  <c r="I43" i="1"/>
  <c r="Q43" i="1" s="1"/>
  <c r="H43" i="1"/>
  <c r="G43" i="1"/>
  <c r="P43" i="1" s="1"/>
  <c r="F43" i="1"/>
  <c r="E43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T42" i="1"/>
  <c r="U42" i="1" s="1"/>
  <c r="S42" i="1"/>
  <c r="R42" i="1"/>
  <c r="O42" i="1"/>
  <c r="L42" i="1"/>
  <c r="I42" i="1"/>
  <c r="Q42" i="1" s="1"/>
  <c r="H42" i="1"/>
  <c r="G42" i="1"/>
  <c r="P42" i="1" s="1"/>
  <c r="F42" i="1"/>
  <c r="E42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X41" i="1" s="1"/>
  <c r="AC41" i="1"/>
  <c r="T41" i="1"/>
  <c r="S41" i="1"/>
  <c r="R41" i="1"/>
  <c r="O41" i="1"/>
  <c r="L41" i="1"/>
  <c r="I41" i="1"/>
  <c r="Q41" i="1" s="1"/>
  <c r="H41" i="1"/>
  <c r="G41" i="1"/>
  <c r="P41" i="1" s="1"/>
  <c r="F41" i="1"/>
  <c r="E41" i="1"/>
  <c r="AP40" i="1"/>
  <c r="AO40" i="1"/>
  <c r="AN40" i="1"/>
  <c r="AM40" i="1"/>
  <c r="AL40" i="1"/>
  <c r="AK40" i="1"/>
  <c r="W40" i="1" s="1"/>
  <c r="AJ40" i="1"/>
  <c r="AA40" i="1" s="1"/>
  <c r="AI40" i="1"/>
  <c r="AH40" i="1"/>
  <c r="AG40" i="1"/>
  <c r="AF40" i="1"/>
  <c r="AE40" i="1"/>
  <c r="AD40" i="1"/>
  <c r="X40" i="1" s="1"/>
  <c r="AB40" i="1" s="1"/>
  <c r="AC40" i="1"/>
  <c r="T40" i="1"/>
  <c r="S40" i="1"/>
  <c r="R40" i="1"/>
  <c r="O40" i="1"/>
  <c r="L40" i="1"/>
  <c r="I40" i="1"/>
  <c r="Q40" i="1" s="1"/>
  <c r="H40" i="1"/>
  <c r="G40" i="1"/>
  <c r="P40" i="1" s="1"/>
  <c r="F40" i="1"/>
  <c r="E40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T39" i="1"/>
  <c r="S39" i="1"/>
  <c r="V39" i="1" s="1"/>
  <c r="R39" i="1"/>
  <c r="O39" i="1"/>
  <c r="L39" i="1"/>
  <c r="I39" i="1"/>
  <c r="Q39" i="1" s="1"/>
  <c r="H39" i="1"/>
  <c r="N39" i="1" s="1"/>
  <c r="G39" i="1"/>
  <c r="P39" i="1" s="1"/>
  <c r="F39" i="1"/>
  <c r="E39" i="1"/>
  <c r="D39" i="1" s="1"/>
  <c r="AP38" i="1"/>
  <c r="AO38" i="1"/>
  <c r="AQ38" i="1" s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A38" i="1"/>
  <c r="T38" i="1"/>
  <c r="S38" i="1"/>
  <c r="R38" i="1"/>
  <c r="O38" i="1"/>
  <c r="L38" i="1"/>
  <c r="I38" i="1"/>
  <c r="Q38" i="1" s="1"/>
  <c r="H38" i="1"/>
  <c r="G38" i="1"/>
  <c r="P38" i="1" s="1"/>
  <c r="F38" i="1"/>
  <c r="E38" i="1"/>
  <c r="AP37" i="1"/>
  <c r="AO37" i="1"/>
  <c r="AQ37" i="1" s="1"/>
  <c r="AN37" i="1"/>
  <c r="AM37" i="1"/>
  <c r="AL37" i="1"/>
  <c r="AK37" i="1"/>
  <c r="AJ37" i="1"/>
  <c r="AI37" i="1"/>
  <c r="AH37" i="1"/>
  <c r="AG37" i="1"/>
  <c r="AF37" i="1"/>
  <c r="AE37" i="1"/>
  <c r="AD37" i="1"/>
  <c r="AC37" i="1"/>
  <c r="T37" i="1"/>
  <c r="S37" i="1"/>
  <c r="V37" i="1" s="1"/>
  <c r="R37" i="1"/>
  <c r="U37" i="1" s="1"/>
  <c r="O37" i="1"/>
  <c r="L37" i="1"/>
  <c r="J37" i="1" s="1"/>
  <c r="I37" i="1"/>
  <c r="Q37" i="1" s="1"/>
  <c r="H37" i="1"/>
  <c r="N37" i="1" s="1"/>
  <c r="G37" i="1"/>
  <c r="P37" i="1" s="1"/>
  <c r="F37" i="1"/>
  <c r="D37" i="1" s="1"/>
  <c r="E37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T36" i="1"/>
  <c r="S36" i="1"/>
  <c r="R36" i="1"/>
  <c r="O36" i="1"/>
  <c r="L36" i="1"/>
  <c r="I36" i="1"/>
  <c r="Q36" i="1" s="1"/>
  <c r="H36" i="1"/>
  <c r="G36" i="1"/>
  <c r="P36" i="1" s="1"/>
  <c r="F36" i="1"/>
  <c r="E36" i="1"/>
  <c r="AP35" i="1"/>
  <c r="AO35" i="1"/>
  <c r="AQ35" i="1" s="1"/>
  <c r="AN35" i="1"/>
  <c r="AM35" i="1"/>
  <c r="AL35" i="1"/>
  <c r="AK35" i="1"/>
  <c r="AJ35" i="1"/>
  <c r="AI35" i="1"/>
  <c r="AH35" i="1"/>
  <c r="AG35" i="1"/>
  <c r="AF35" i="1"/>
  <c r="AA35" i="1" s="1"/>
  <c r="AE35" i="1"/>
  <c r="AD35" i="1"/>
  <c r="AC35" i="1"/>
  <c r="T35" i="1"/>
  <c r="S35" i="1"/>
  <c r="V35" i="1" s="1"/>
  <c r="R35" i="1"/>
  <c r="U35" i="1" s="1"/>
  <c r="O35" i="1"/>
  <c r="L35" i="1"/>
  <c r="I35" i="1"/>
  <c r="Q35" i="1" s="1"/>
  <c r="H35" i="1"/>
  <c r="N35" i="1" s="1"/>
  <c r="G35" i="1"/>
  <c r="P35" i="1" s="1"/>
  <c r="F35" i="1"/>
  <c r="E35" i="1"/>
  <c r="AP34" i="1"/>
  <c r="AO34" i="1"/>
  <c r="AQ34" i="1" s="1"/>
  <c r="AN34" i="1"/>
  <c r="AM34" i="1"/>
  <c r="AL34" i="1"/>
  <c r="AK34" i="1"/>
  <c r="AJ34" i="1"/>
  <c r="AI34" i="1"/>
  <c r="AH34" i="1"/>
  <c r="AG34" i="1"/>
  <c r="AF34" i="1"/>
  <c r="AE34" i="1"/>
  <c r="AD34" i="1"/>
  <c r="AC34" i="1"/>
  <c r="T34" i="1"/>
  <c r="S34" i="1"/>
  <c r="V34" i="1" s="1"/>
  <c r="R34" i="1"/>
  <c r="U34" i="1" s="1"/>
  <c r="O34" i="1"/>
  <c r="L34" i="1"/>
  <c r="I34" i="1"/>
  <c r="Q34" i="1" s="1"/>
  <c r="H34" i="1"/>
  <c r="N34" i="1" s="1"/>
  <c r="G34" i="1"/>
  <c r="P34" i="1" s="1"/>
  <c r="F34" i="1"/>
  <c r="E34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T33" i="1"/>
  <c r="S33" i="1"/>
  <c r="V33" i="1" s="1"/>
  <c r="R33" i="1"/>
  <c r="O33" i="1"/>
  <c r="L33" i="1"/>
  <c r="I33" i="1"/>
  <c r="Q33" i="1" s="1"/>
  <c r="H33" i="1"/>
  <c r="G33" i="1"/>
  <c r="P33" i="1" s="1"/>
  <c r="F33" i="1"/>
  <c r="E33" i="1"/>
  <c r="D33" i="1" s="1"/>
  <c r="AP32" i="1"/>
  <c r="AO32" i="1"/>
  <c r="AQ32" i="1" s="1"/>
  <c r="AN32" i="1"/>
  <c r="AM32" i="1"/>
  <c r="AL32" i="1"/>
  <c r="AK32" i="1"/>
  <c r="AJ32" i="1"/>
  <c r="AI32" i="1"/>
  <c r="AH32" i="1"/>
  <c r="AG32" i="1"/>
  <c r="AF32" i="1"/>
  <c r="AE32" i="1"/>
  <c r="AD32" i="1"/>
  <c r="AC32" i="1"/>
  <c r="T32" i="1"/>
  <c r="S32" i="1"/>
  <c r="V32" i="1" s="1"/>
  <c r="R32" i="1"/>
  <c r="U32" i="1" s="1"/>
  <c r="O32" i="1"/>
  <c r="L32" i="1"/>
  <c r="I32" i="1"/>
  <c r="H32" i="1"/>
  <c r="N32" i="1" s="1"/>
  <c r="G32" i="1"/>
  <c r="G31" i="1" s="1"/>
  <c r="P31" i="1" s="1"/>
  <c r="F32" i="1"/>
  <c r="E32" i="1"/>
  <c r="D32" i="1" s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T30" i="1"/>
  <c r="S30" i="1"/>
  <c r="R30" i="1"/>
  <c r="O30" i="1"/>
  <c r="L30" i="1"/>
  <c r="I30" i="1"/>
  <c r="Q30" i="1" s="1"/>
  <c r="H30" i="1"/>
  <c r="G30" i="1"/>
  <c r="P30" i="1" s="1"/>
  <c r="F30" i="1"/>
  <c r="E30" i="1"/>
  <c r="AP29" i="1"/>
  <c r="AO29" i="1"/>
  <c r="AQ29" i="1" s="1"/>
  <c r="AN29" i="1"/>
  <c r="AM29" i="1"/>
  <c r="AL29" i="1"/>
  <c r="AK29" i="1"/>
  <c r="AJ29" i="1"/>
  <c r="AI29" i="1"/>
  <c r="AH29" i="1"/>
  <c r="AG29" i="1"/>
  <c r="AF29" i="1"/>
  <c r="AE29" i="1"/>
  <c r="AD29" i="1"/>
  <c r="AC29" i="1"/>
  <c r="T29" i="1"/>
  <c r="S29" i="1"/>
  <c r="V29" i="1" s="1"/>
  <c r="R29" i="1"/>
  <c r="U29" i="1" s="1"/>
  <c r="O29" i="1"/>
  <c r="L29" i="1"/>
  <c r="I29" i="1"/>
  <c r="Q29" i="1" s="1"/>
  <c r="H29" i="1"/>
  <c r="N29" i="1" s="1"/>
  <c r="G29" i="1"/>
  <c r="P29" i="1" s="1"/>
  <c r="F29" i="1"/>
  <c r="E29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T28" i="1"/>
  <c r="S28" i="1"/>
  <c r="R28" i="1"/>
  <c r="O28" i="1"/>
  <c r="L28" i="1"/>
  <c r="I28" i="1"/>
  <c r="Q28" i="1" s="1"/>
  <c r="H28" i="1"/>
  <c r="G28" i="1"/>
  <c r="P28" i="1" s="1"/>
  <c r="F28" i="1"/>
  <c r="E28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T27" i="1"/>
  <c r="S27" i="1"/>
  <c r="V27" i="1" s="1"/>
  <c r="R27" i="1"/>
  <c r="U27" i="1" s="1"/>
  <c r="O27" i="1"/>
  <c r="L27" i="1"/>
  <c r="I27" i="1"/>
  <c r="Q27" i="1" s="1"/>
  <c r="H27" i="1"/>
  <c r="G27" i="1"/>
  <c r="P27" i="1" s="1"/>
  <c r="F27" i="1"/>
  <c r="E27" i="1"/>
  <c r="AP26" i="1"/>
  <c r="AQ26" i="1" s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T26" i="1"/>
  <c r="S26" i="1"/>
  <c r="V26" i="1" s="1"/>
  <c r="R26" i="1"/>
  <c r="U26" i="1" s="1"/>
  <c r="O26" i="1"/>
  <c r="L26" i="1"/>
  <c r="I26" i="1"/>
  <c r="Q26" i="1" s="1"/>
  <c r="H26" i="1"/>
  <c r="G26" i="1"/>
  <c r="P26" i="1" s="1"/>
  <c r="F26" i="1"/>
  <c r="D26" i="1" s="1"/>
  <c r="M26" i="1" s="1"/>
  <c r="E26" i="1"/>
  <c r="AP25" i="1"/>
  <c r="AO25" i="1"/>
  <c r="AQ25" i="1" s="1"/>
  <c r="AN25" i="1"/>
  <c r="AM25" i="1"/>
  <c r="AL25" i="1"/>
  <c r="AK25" i="1"/>
  <c r="AJ25" i="1"/>
  <c r="AI25" i="1"/>
  <c r="AH25" i="1"/>
  <c r="AG25" i="1"/>
  <c r="AF25" i="1"/>
  <c r="AA25" i="1" s="1"/>
  <c r="AE25" i="1"/>
  <c r="AD25" i="1"/>
  <c r="AC25" i="1"/>
  <c r="T25" i="1"/>
  <c r="S25" i="1"/>
  <c r="V25" i="1" s="1"/>
  <c r="R25" i="1"/>
  <c r="U25" i="1" s="1"/>
  <c r="O25" i="1"/>
  <c r="L25" i="1"/>
  <c r="J25" i="1" s="1"/>
  <c r="I25" i="1"/>
  <c r="Q25" i="1" s="1"/>
  <c r="H25" i="1"/>
  <c r="N25" i="1" s="1"/>
  <c r="G25" i="1"/>
  <c r="F25" i="1"/>
  <c r="D25" i="1" s="1"/>
  <c r="M25" i="1" s="1"/>
  <c r="E25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T24" i="1"/>
  <c r="S24" i="1"/>
  <c r="R24" i="1"/>
  <c r="O24" i="1"/>
  <c r="L24" i="1"/>
  <c r="I24" i="1"/>
  <c r="Q24" i="1" s="1"/>
  <c r="H24" i="1"/>
  <c r="G24" i="1"/>
  <c r="P24" i="1" s="1"/>
  <c r="F24" i="1"/>
  <c r="E24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T23" i="1"/>
  <c r="S23" i="1"/>
  <c r="R23" i="1"/>
  <c r="O23" i="1"/>
  <c r="L23" i="1"/>
  <c r="I23" i="1"/>
  <c r="Q23" i="1" s="1"/>
  <c r="H23" i="1"/>
  <c r="G23" i="1"/>
  <c r="P23" i="1" s="1"/>
  <c r="F23" i="1"/>
  <c r="D23" i="1" s="1"/>
  <c r="M23" i="1" s="1"/>
  <c r="E23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T22" i="1"/>
  <c r="S22" i="1"/>
  <c r="R22" i="1"/>
  <c r="O22" i="1"/>
  <c r="L22" i="1"/>
  <c r="I22" i="1"/>
  <c r="Q22" i="1" s="1"/>
  <c r="H22" i="1"/>
  <c r="G22" i="1"/>
  <c r="P22" i="1" s="1"/>
  <c r="F22" i="1"/>
  <c r="E22" i="1"/>
  <c r="AP21" i="1"/>
  <c r="AO21" i="1"/>
  <c r="AQ21" i="1" s="1"/>
  <c r="AN21" i="1"/>
  <c r="AM21" i="1"/>
  <c r="AL21" i="1"/>
  <c r="AK21" i="1"/>
  <c r="AJ21" i="1"/>
  <c r="AI21" i="1"/>
  <c r="AH21" i="1"/>
  <c r="AG21" i="1"/>
  <c r="AF21" i="1"/>
  <c r="AE21" i="1"/>
  <c r="AD21" i="1"/>
  <c r="AC21" i="1"/>
  <c r="V21" i="1"/>
  <c r="T21" i="1"/>
  <c r="S21" i="1"/>
  <c r="R21" i="1"/>
  <c r="U21" i="1" s="1"/>
  <c r="O21" i="1"/>
  <c r="L21" i="1"/>
  <c r="I21" i="1"/>
  <c r="Q21" i="1" s="1"/>
  <c r="H21" i="1"/>
  <c r="N21" i="1" s="1"/>
  <c r="G21" i="1"/>
  <c r="P21" i="1" s="1"/>
  <c r="F21" i="1"/>
  <c r="E21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T20" i="1"/>
  <c r="S20" i="1"/>
  <c r="R20" i="1"/>
  <c r="O20" i="1"/>
  <c r="J20" i="1" s="1"/>
  <c r="L20" i="1"/>
  <c r="I20" i="1"/>
  <c r="Q20" i="1" s="1"/>
  <c r="H20" i="1"/>
  <c r="G20" i="1"/>
  <c r="P20" i="1" s="1"/>
  <c r="F20" i="1"/>
  <c r="E20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T19" i="1"/>
  <c r="V19" i="1" s="1"/>
  <c r="S19" i="1"/>
  <c r="R19" i="1"/>
  <c r="O19" i="1"/>
  <c r="L19" i="1"/>
  <c r="I19" i="1"/>
  <c r="Q19" i="1" s="1"/>
  <c r="H19" i="1"/>
  <c r="G19" i="1"/>
  <c r="P19" i="1" s="1"/>
  <c r="F19" i="1"/>
  <c r="E19" i="1"/>
  <c r="AP18" i="1"/>
  <c r="AO18" i="1"/>
  <c r="AQ18" i="1" s="1"/>
  <c r="AN18" i="1"/>
  <c r="AM18" i="1"/>
  <c r="AL18" i="1"/>
  <c r="AK18" i="1"/>
  <c r="AJ18" i="1"/>
  <c r="AI18" i="1"/>
  <c r="AH18" i="1"/>
  <c r="AG18" i="1"/>
  <c r="AF18" i="1"/>
  <c r="AE18" i="1"/>
  <c r="AD18" i="1"/>
  <c r="AC18" i="1"/>
  <c r="T18" i="1"/>
  <c r="U18" i="1" s="1"/>
  <c r="S18" i="1"/>
  <c r="R18" i="1"/>
  <c r="O18" i="1"/>
  <c r="L18" i="1"/>
  <c r="I18" i="1"/>
  <c r="Q18" i="1" s="1"/>
  <c r="H18" i="1"/>
  <c r="G18" i="1"/>
  <c r="P18" i="1" s="1"/>
  <c r="F18" i="1"/>
  <c r="E18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T17" i="1"/>
  <c r="S17" i="1"/>
  <c r="R17" i="1"/>
  <c r="U17" i="1" s="1"/>
  <c r="O17" i="1"/>
  <c r="L17" i="1"/>
  <c r="I17" i="1"/>
  <c r="Q17" i="1" s="1"/>
  <c r="H17" i="1"/>
  <c r="N17" i="1" s="1"/>
  <c r="G17" i="1"/>
  <c r="F17" i="1"/>
  <c r="E17" i="1"/>
  <c r="D17" i="1" s="1"/>
  <c r="AP16" i="1"/>
  <c r="AO16" i="1"/>
  <c r="AQ16" i="1" s="1"/>
  <c r="AN16" i="1"/>
  <c r="AM16" i="1"/>
  <c r="AL16" i="1"/>
  <c r="AK16" i="1"/>
  <c r="AJ16" i="1"/>
  <c r="AI16" i="1"/>
  <c r="AH16" i="1"/>
  <c r="AG16" i="1"/>
  <c r="AF16" i="1"/>
  <c r="AE16" i="1"/>
  <c r="AD16" i="1"/>
  <c r="AC16" i="1"/>
  <c r="T16" i="1"/>
  <c r="S16" i="1"/>
  <c r="V16" i="1" s="1"/>
  <c r="R16" i="1"/>
  <c r="Q16" i="1"/>
  <c r="O16" i="1"/>
  <c r="L16" i="1"/>
  <c r="I16" i="1"/>
  <c r="H16" i="1"/>
  <c r="G16" i="1"/>
  <c r="P16" i="1" s="1"/>
  <c r="F16" i="1"/>
  <c r="E16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W15" i="1" s="1"/>
  <c r="T15" i="1"/>
  <c r="S15" i="1"/>
  <c r="R15" i="1"/>
  <c r="O15" i="1"/>
  <c r="L15" i="1"/>
  <c r="I15" i="1"/>
  <c r="Q15" i="1" s="1"/>
  <c r="H15" i="1"/>
  <c r="G15" i="1"/>
  <c r="P15" i="1" s="1"/>
  <c r="F15" i="1"/>
  <c r="E15" i="1"/>
  <c r="AP14" i="1"/>
  <c r="AO14" i="1"/>
  <c r="AQ14" i="1" s="1"/>
  <c r="AN14" i="1"/>
  <c r="AM14" i="1"/>
  <c r="AL14" i="1"/>
  <c r="AK14" i="1"/>
  <c r="AJ14" i="1"/>
  <c r="AI14" i="1"/>
  <c r="AH14" i="1"/>
  <c r="AG14" i="1"/>
  <c r="AF14" i="1"/>
  <c r="AE14" i="1"/>
  <c r="AD14" i="1"/>
  <c r="AC14" i="1"/>
  <c r="T14" i="1"/>
  <c r="S14" i="1"/>
  <c r="V14" i="1" s="1"/>
  <c r="R14" i="1"/>
  <c r="U14" i="1" s="1"/>
  <c r="O14" i="1"/>
  <c r="L14" i="1"/>
  <c r="I14" i="1"/>
  <c r="Q14" i="1" s="1"/>
  <c r="H14" i="1"/>
  <c r="N14" i="1" s="1"/>
  <c r="G14" i="1"/>
  <c r="P14" i="1" s="1"/>
  <c r="F14" i="1"/>
  <c r="E14" i="1"/>
  <c r="D14" i="1" s="1"/>
  <c r="H13" i="1"/>
  <c r="S9" i="1"/>
  <c r="J14" i="1" l="1"/>
  <c r="X15" i="1"/>
  <c r="N16" i="1"/>
  <c r="D20" i="1"/>
  <c r="D21" i="1"/>
  <c r="W21" i="1"/>
  <c r="Z21" i="1" s="1"/>
  <c r="Y21" i="1"/>
  <c r="AQ22" i="1"/>
  <c r="AQ23" i="1"/>
  <c r="W28" i="1"/>
  <c r="Z28" i="1" s="1"/>
  <c r="Y28" i="1"/>
  <c r="AQ30" i="1"/>
  <c r="U39" i="1"/>
  <c r="U40" i="1"/>
  <c r="D45" i="1"/>
  <c r="Y48" i="1"/>
  <c r="AQ50" i="1"/>
  <c r="J57" i="1"/>
  <c r="J58" i="1"/>
  <c r="AA66" i="1"/>
  <c r="X66" i="1"/>
  <c r="AB66" i="1" s="1"/>
  <c r="D69" i="1"/>
  <c r="C69" i="1" s="1"/>
  <c r="X76" i="1"/>
  <c r="AA76" i="1"/>
  <c r="W82" i="1"/>
  <c r="N16" i="2"/>
  <c r="N22" i="2"/>
  <c r="V27" i="2"/>
  <c r="AE27" i="2"/>
  <c r="U33" i="2"/>
  <c r="U36" i="2"/>
  <c r="D39" i="2"/>
  <c r="U39" i="2"/>
  <c r="AB40" i="2"/>
  <c r="D42" i="2"/>
  <c r="J44" i="2"/>
  <c r="J45" i="2"/>
  <c r="AE49" i="2"/>
  <c r="U54" i="2"/>
  <c r="D55" i="2"/>
  <c r="J15" i="1"/>
  <c r="U20" i="1"/>
  <c r="AA32" i="1"/>
  <c r="N38" i="1"/>
  <c r="V40" i="1"/>
  <c r="V41" i="1"/>
  <c r="D27" i="1"/>
  <c r="D28" i="1"/>
  <c r="D51" i="1"/>
  <c r="C51" i="1" s="1"/>
  <c r="K51" i="1" s="1"/>
  <c r="D59" i="1"/>
  <c r="J62" i="1"/>
  <c r="W63" i="1"/>
  <c r="Z63" i="1" s="1"/>
  <c r="Y63" i="1"/>
  <c r="W68" i="1"/>
  <c r="Z68" i="1" s="1"/>
  <c r="Y68" i="1"/>
  <c r="V72" i="1"/>
  <c r="U76" i="1"/>
  <c r="D81" i="1"/>
  <c r="C81" i="1" s="1"/>
  <c r="K81" i="1" s="1"/>
  <c r="X87" i="1"/>
  <c r="AB87" i="1" s="1"/>
  <c r="N88" i="1"/>
  <c r="N104" i="1"/>
  <c r="J18" i="2"/>
  <c r="J23" i="2"/>
  <c r="J24" i="2"/>
  <c r="AH25" i="2"/>
  <c r="Y26" i="2"/>
  <c r="Y27" i="2"/>
  <c r="AE33" i="2"/>
  <c r="N39" i="2"/>
  <c r="V41" i="2"/>
  <c r="Y48" i="2"/>
  <c r="AH48" i="2"/>
  <c r="Y49" i="2"/>
  <c r="V57" i="2"/>
  <c r="AG23" i="4"/>
  <c r="W39" i="1"/>
  <c r="AQ42" i="1"/>
  <c r="U48" i="1"/>
  <c r="N49" i="1"/>
  <c r="D54" i="1"/>
  <c r="Y54" i="1"/>
  <c r="W54" i="1"/>
  <c r="Z54" i="1" s="1"/>
  <c r="V57" i="1"/>
  <c r="J63" i="1"/>
  <c r="J64" i="1"/>
  <c r="X71" i="1"/>
  <c r="AB71" i="1" s="1"/>
  <c r="N72" i="1"/>
  <c r="V76" i="1"/>
  <c r="P53" i="4"/>
  <c r="G52" i="4"/>
  <c r="P52" i="4" s="1"/>
  <c r="V9" i="4"/>
  <c r="AF31" i="1"/>
  <c r="D35" i="1"/>
  <c r="W46" i="1"/>
  <c r="Z46" i="1" s="1"/>
  <c r="Y47" i="1"/>
  <c r="O74" i="1"/>
  <c r="J88" i="1"/>
  <c r="D93" i="1"/>
  <c r="M93" i="1" s="1"/>
  <c r="J97" i="1"/>
  <c r="D102" i="1"/>
  <c r="J106" i="1"/>
  <c r="J108" i="1"/>
  <c r="D15" i="2"/>
  <c r="D27" i="2"/>
  <c r="D30" i="2"/>
  <c r="Y33" i="2"/>
  <c r="J35" i="2"/>
  <c r="J36" i="2"/>
  <c r="AH36" i="2"/>
  <c r="J48" i="2"/>
  <c r="AA19" i="1"/>
  <c r="X21" i="1"/>
  <c r="AB21" i="1" s="1"/>
  <c r="N23" i="1"/>
  <c r="Y58" i="1"/>
  <c r="X70" i="1"/>
  <c r="AB70" i="1" s="1"/>
  <c r="AA70" i="1"/>
  <c r="W75" i="1"/>
  <c r="Z75" i="1" s="1"/>
  <c r="Y77" i="1"/>
  <c r="V89" i="1"/>
  <c r="D48" i="2"/>
  <c r="AH62" i="2"/>
  <c r="AH63" i="2"/>
  <c r="V65" i="2"/>
  <c r="AE67" i="2"/>
  <c r="R74" i="2"/>
  <c r="D95" i="2"/>
  <c r="M95" i="2" s="1"/>
  <c r="J97" i="2"/>
  <c r="AC16" i="3"/>
  <c r="D20" i="3"/>
  <c r="M20" i="3" s="1"/>
  <c r="D23" i="3"/>
  <c r="M23" i="3" s="1"/>
  <c r="J28" i="3"/>
  <c r="U29" i="3"/>
  <c r="J35" i="3"/>
  <c r="AC36" i="3"/>
  <c r="Y41" i="3"/>
  <c r="AC42" i="3"/>
  <c r="U47" i="3"/>
  <c r="D49" i="3"/>
  <c r="M49" i="3" s="1"/>
  <c r="U50" i="3"/>
  <c r="Y56" i="3"/>
  <c r="J72" i="3"/>
  <c r="D73" i="3"/>
  <c r="Y77" i="3"/>
  <c r="V86" i="3"/>
  <c r="D14" i="4"/>
  <c r="AC16" i="4"/>
  <c r="N17" i="4"/>
  <c r="AG17" i="4"/>
  <c r="D18" i="4"/>
  <c r="C18" i="4" s="1"/>
  <c r="V23" i="4"/>
  <c r="AA29" i="4"/>
  <c r="AI47" i="4"/>
  <c r="AI55" i="4"/>
  <c r="D63" i="4"/>
  <c r="M63" i="4" s="1"/>
  <c r="AA67" i="4"/>
  <c r="D73" i="4"/>
  <c r="AC77" i="4"/>
  <c r="T74" i="4"/>
  <c r="AC85" i="4"/>
  <c r="AI88" i="4"/>
  <c r="O89" i="4"/>
  <c r="O9" i="4" s="1"/>
  <c r="D16" i="5"/>
  <c r="M16" i="5" s="1"/>
  <c r="D18" i="5"/>
  <c r="D46" i="5"/>
  <c r="M46" i="5" s="1"/>
  <c r="Y57" i="5"/>
  <c r="D73" i="5"/>
  <c r="J73" i="5"/>
  <c r="Y19" i="6"/>
  <c r="V23" i="6"/>
  <c r="U28" i="6"/>
  <c r="J34" i="6"/>
  <c r="Y37" i="6"/>
  <c r="V43" i="6"/>
  <c r="V46" i="6"/>
  <c r="D49" i="6"/>
  <c r="J55" i="6"/>
  <c r="Y55" i="6"/>
  <c r="V63" i="6"/>
  <c r="U67" i="6"/>
  <c r="Y72" i="6"/>
  <c r="J73" i="6"/>
  <c r="Y73" i="6"/>
  <c r="N77" i="6"/>
  <c r="D85" i="6"/>
  <c r="Y86" i="6"/>
  <c r="D94" i="6"/>
  <c r="J94" i="6"/>
  <c r="J96" i="6"/>
  <c r="N104" i="6"/>
  <c r="N17" i="7"/>
  <c r="AN17" i="7"/>
  <c r="BT17" i="7"/>
  <c r="BQ18" i="7"/>
  <c r="D21" i="7"/>
  <c r="AT26" i="7"/>
  <c r="BQ26" i="7"/>
  <c r="CF27" i="7"/>
  <c r="N29" i="7"/>
  <c r="BK29" i="7"/>
  <c r="N67" i="2"/>
  <c r="Y81" i="2"/>
  <c r="AH81" i="2"/>
  <c r="J87" i="2"/>
  <c r="AH87" i="2"/>
  <c r="N104" i="2"/>
  <c r="J107" i="2"/>
  <c r="J18" i="3"/>
  <c r="D72" i="3"/>
  <c r="AC78" i="3"/>
  <c r="D101" i="3"/>
  <c r="AL16" i="4"/>
  <c r="U20" i="4"/>
  <c r="AA24" i="4"/>
  <c r="AA26" i="4"/>
  <c r="D35" i="4"/>
  <c r="M35" i="4" s="1"/>
  <c r="N41" i="4"/>
  <c r="AG41" i="4"/>
  <c r="U56" i="4"/>
  <c r="AC67" i="4"/>
  <c r="U77" i="4"/>
  <c r="AC82" i="4"/>
  <c r="U85" i="4"/>
  <c r="AL85" i="4"/>
  <c r="V101" i="4"/>
  <c r="D105" i="4"/>
  <c r="D34" i="5"/>
  <c r="M34" i="5" s="1"/>
  <c r="D54" i="5"/>
  <c r="J58" i="5"/>
  <c r="D63" i="5"/>
  <c r="C63" i="5" s="1"/>
  <c r="K63" i="5" s="1"/>
  <c r="N88" i="5"/>
  <c r="D91" i="5"/>
  <c r="M91" i="5" s="1"/>
  <c r="D97" i="5"/>
  <c r="M97" i="5" s="1"/>
  <c r="D99" i="5"/>
  <c r="J18" i="6"/>
  <c r="J21" i="6"/>
  <c r="V28" i="6"/>
  <c r="N42" i="6"/>
  <c r="N45" i="6"/>
  <c r="D55" i="6"/>
  <c r="C55" i="6" s="1"/>
  <c r="N60" i="6"/>
  <c r="N61" i="6"/>
  <c r="N63" i="6"/>
  <c r="U70" i="6"/>
  <c r="N80" i="6"/>
  <c r="J86" i="6"/>
  <c r="J88" i="6"/>
  <c r="N101" i="6"/>
  <c r="AB23" i="7"/>
  <c r="J27" i="7"/>
  <c r="AG70" i="10"/>
  <c r="AE70" i="10"/>
  <c r="D57" i="2"/>
  <c r="AB63" i="2"/>
  <c r="J65" i="2"/>
  <c r="Y67" i="2"/>
  <c r="J79" i="2"/>
  <c r="AH82" i="2"/>
  <c r="D88" i="2"/>
  <c r="AB88" i="2"/>
  <c r="V89" i="2"/>
  <c r="J90" i="2"/>
  <c r="J96" i="2"/>
  <c r="J98" i="2"/>
  <c r="V101" i="2"/>
  <c r="Z13" i="3"/>
  <c r="Y16" i="3"/>
  <c r="J37" i="3"/>
  <c r="AC38" i="3"/>
  <c r="J40" i="3"/>
  <c r="J43" i="3"/>
  <c r="AC48" i="3"/>
  <c r="V49" i="3"/>
  <c r="J55" i="3"/>
  <c r="Y55" i="3"/>
  <c r="U56" i="3"/>
  <c r="J58" i="3"/>
  <c r="Y65" i="3"/>
  <c r="J76" i="3"/>
  <c r="Y79" i="3"/>
  <c r="AC82" i="3"/>
  <c r="AC85" i="3"/>
  <c r="D90" i="3"/>
  <c r="J105" i="3"/>
  <c r="V18" i="4"/>
  <c r="V20" i="4"/>
  <c r="AL29" i="4"/>
  <c r="D47" i="4"/>
  <c r="D49" i="4"/>
  <c r="M49" i="4" s="1"/>
  <c r="D55" i="4"/>
  <c r="C55" i="4" s="1"/>
  <c r="D62" i="4"/>
  <c r="M62" i="4" s="1"/>
  <c r="D72" i="4"/>
  <c r="M72" i="4" s="1"/>
  <c r="AL82" i="4"/>
  <c r="V85" i="4"/>
  <c r="J88" i="4"/>
  <c r="J91" i="4"/>
  <c r="J95" i="4"/>
  <c r="J99" i="4"/>
  <c r="J37" i="5"/>
  <c r="J38" i="5"/>
  <c r="J66" i="5"/>
  <c r="J87" i="5"/>
  <c r="Y40" i="6"/>
  <c r="Y41" i="6"/>
  <c r="Y42" i="6"/>
  <c r="Y44" i="6"/>
  <c r="Y45" i="6"/>
  <c r="V51" i="6"/>
  <c r="Y61" i="6"/>
  <c r="Y62" i="6"/>
  <c r="V70" i="6"/>
  <c r="BZ16" i="7"/>
  <c r="CL19" i="7"/>
  <c r="AT23" i="7"/>
  <c r="BB23" i="7"/>
  <c r="AB27" i="7"/>
  <c r="AB28" i="7"/>
  <c r="BQ28" i="7"/>
  <c r="BN29" i="7"/>
  <c r="BT30" i="7"/>
  <c r="BZ37" i="7"/>
  <c r="M38" i="7"/>
  <c r="J38" i="7"/>
  <c r="AY38" i="7"/>
  <c r="CF51" i="7"/>
  <c r="U20" i="9"/>
  <c r="AE63" i="2"/>
  <c r="J77" i="2"/>
  <c r="D81" i="2"/>
  <c r="U81" i="2"/>
  <c r="AB82" i="2"/>
  <c r="D84" i="2"/>
  <c r="N87" i="2"/>
  <c r="L13" i="3"/>
  <c r="J20" i="3"/>
  <c r="J23" i="3"/>
  <c r="AC24" i="3"/>
  <c r="J42" i="3"/>
  <c r="D43" i="3"/>
  <c r="M43" i="3" s="1"/>
  <c r="J46" i="3"/>
  <c r="J57" i="3"/>
  <c r="Y61" i="3"/>
  <c r="J64" i="3"/>
  <c r="Y64" i="3"/>
  <c r="J79" i="3"/>
  <c r="V80" i="3"/>
  <c r="D96" i="3"/>
  <c r="M96" i="3" s="1"/>
  <c r="J96" i="3"/>
  <c r="D98" i="3"/>
  <c r="M98" i="3" s="1"/>
  <c r="N101" i="3"/>
  <c r="U17" i="4"/>
  <c r="D36" i="4"/>
  <c r="AI43" i="4"/>
  <c r="D64" i="4"/>
  <c r="M64" i="4" s="1"/>
  <c r="AC65" i="4"/>
  <c r="AI70" i="4"/>
  <c r="U76" i="4"/>
  <c r="AI77" i="4"/>
  <c r="AI85" i="4"/>
  <c r="D102" i="4"/>
  <c r="Y28" i="5"/>
  <c r="D42" i="5"/>
  <c r="D43" i="5"/>
  <c r="Y45" i="5"/>
  <c r="J61" i="5"/>
  <c r="Y67" i="5"/>
  <c r="J102" i="5"/>
  <c r="J108" i="5"/>
  <c r="V20" i="6"/>
  <c r="J27" i="6"/>
  <c r="J28" i="6"/>
  <c r="J45" i="6"/>
  <c r="J48" i="6"/>
  <c r="Y48" i="6"/>
  <c r="Y50" i="6"/>
  <c r="J63" i="6"/>
  <c r="D64" i="6"/>
  <c r="M64" i="6" s="1"/>
  <c r="J67" i="6"/>
  <c r="Y67" i="6"/>
  <c r="D79" i="6"/>
  <c r="D80" i="6"/>
  <c r="J82" i="6"/>
  <c r="Y85" i="6"/>
  <c r="AH18" i="7"/>
  <c r="AQ18" i="7"/>
  <c r="Y20" i="7"/>
  <c r="Y21" i="7"/>
  <c r="BN23" i="7"/>
  <c r="V24" i="7"/>
  <c r="D25" i="7"/>
  <c r="BW26" i="7"/>
  <c r="CL27" i="7"/>
  <c r="BW30" i="7"/>
  <c r="U32" i="7"/>
  <c r="AE81" i="2"/>
  <c r="AH86" i="2"/>
  <c r="D102" i="2"/>
  <c r="M102" i="2" s="1"/>
  <c r="AC58" i="3"/>
  <c r="O74" i="3"/>
  <c r="D79" i="3"/>
  <c r="M79" i="3" s="1"/>
  <c r="J108" i="3"/>
  <c r="U23" i="4"/>
  <c r="N24" i="4"/>
  <c r="U47" i="4"/>
  <c r="AI53" i="4"/>
  <c r="U65" i="4"/>
  <c r="AI67" i="4"/>
  <c r="AG77" i="4"/>
  <c r="AI82" i="4"/>
  <c r="J16" i="5"/>
  <c r="AG65" i="10"/>
  <c r="AE65" i="10"/>
  <c r="N38" i="7"/>
  <c r="V38" i="7"/>
  <c r="BK46" i="7"/>
  <c r="N49" i="7"/>
  <c r="AY50" i="7"/>
  <c r="AY54" i="7"/>
  <c r="V62" i="7"/>
  <c r="AT63" i="7"/>
  <c r="AN65" i="7"/>
  <c r="CI66" i="7"/>
  <c r="BN69" i="7"/>
  <c r="CF69" i="7"/>
  <c r="BZ71" i="7"/>
  <c r="J72" i="7"/>
  <c r="CV74" i="7"/>
  <c r="BW76" i="7"/>
  <c r="Y77" i="7"/>
  <c r="AB80" i="7"/>
  <c r="BQ80" i="7"/>
  <c r="V85" i="7"/>
  <c r="AT86" i="7"/>
  <c r="BQ88" i="7"/>
  <c r="D97" i="7"/>
  <c r="J104" i="7"/>
  <c r="J24" i="8"/>
  <c r="J28" i="8"/>
  <c r="J29" i="8"/>
  <c r="J30" i="8"/>
  <c r="Y33" i="8"/>
  <c r="J34" i="8"/>
  <c r="U63" i="8"/>
  <c r="D64" i="8"/>
  <c r="D65" i="8"/>
  <c r="Y87" i="8"/>
  <c r="Y88" i="8"/>
  <c r="J92" i="8"/>
  <c r="J19" i="9"/>
  <c r="D26" i="9"/>
  <c r="C26" i="9" s="1"/>
  <c r="K26" i="9" s="1"/>
  <c r="D32" i="9"/>
  <c r="D41" i="9"/>
  <c r="M41" i="9" s="1"/>
  <c r="V43" i="9"/>
  <c r="D45" i="9"/>
  <c r="U45" i="9"/>
  <c r="AC56" i="9"/>
  <c r="D73" i="9"/>
  <c r="D80" i="9"/>
  <c r="M80" i="9" s="1"/>
  <c r="D84" i="9"/>
  <c r="M84" i="9" s="1"/>
  <c r="U84" i="9"/>
  <c r="J86" i="9"/>
  <c r="AC86" i="9"/>
  <c r="D101" i="9"/>
  <c r="D14" i="10"/>
  <c r="AG23" i="10"/>
  <c r="J24" i="10"/>
  <c r="AE28" i="10"/>
  <c r="J49" i="10"/>
  <c r="AE50" i="10"/>
  <c r="AG53" i="10"/>
  <c r="J58" i="10"/>
  <c r="T67" i="10"/>
  <c r="W72" i="10"/>
  <c r="AG75" i="10"/>
  <c r="AB80" i="10"/>
  <c r="J88" i="10"/>
  <c r="D93" i="10"/>
  <c r="M93" i="10" s="1"/>
  <c r="D99" i="10"/>
  <c r="M99" i="10" s="1"/>
  <c r="D100" i="10"/>
  <c r="J105" i="10"/>
  <c r="D68" i="11"/>
  <c r="D72" i="11"/>
  <c r="T86" i="11"/>
  <c r="J108" i="11"/>
  <c r="D16" i="12"/>
  <c r="U17" i="12"/>
  <c r="J22" i="12"/>
  <c r="J26" i="12"/>
  <c r="AC30" i="12"/>
  <c r="AK30" i="12"/>
  <c r="BA30" i="12"/>
  <c r="AS33" i="12"/>
  <c r="J34" i="12"/>
  <c r="Y37" i="12"/>
  <c r="BI37" i="12"/>
  <c r="Y38" i="12"/>
  <c r="AO38" i="12"/>
  <c r="AW38" i="12"/>
  <c r="BE38" i="12"/>
  <c r="D39" i="12"/>
  <c r="M39" i="12" s="1"/>
  <c r="AW39" i="12"/>
  <c r="N44" i="12"/>
  <c r="AO47" i="12"/>
  <c r="BT34" i="7"/>
  <c r="BZ35" i="7"/>
  <c r="Y38" i="7"/>
  <c r="AU31" i="7"/>
  <c r="AH41" i="7"/>
  <c r="AQ41" i="7"/>
  <c r="AY41" i="7"/>
  <c r="U44" i="7"/>
  <c r="BQ44" i="7"/>
  <c r="BW46" i="7"/>
  <c r="BW48" i="7"/>
  <c r="BN49" i="7"/>
  <c r="CR53" i="7"/>
  <c r="BQ56" i="7"/>
  <c r="J57" i="7"/>
  <c r="AH57" i="7"/>
  <c r="BT66" i="7"/>
  <c r="AB68" i="7"/>
  <c r="AQ68" i="7"/>
  <c r="J70" i="7"/>
  <c r="Y73" i="7"/>
  <c r="BZ75" i="7"/>
  <c r="CW74" i="7"/>
  <c r="AB77" i="7"/>
  <c r="Y78" i="7"/>
  <c r="Y79" i="7"/>
  <c r="BW79" i="7"/>
  <c r="AT81" i="7"/>
  <c r="BQ82" i="7"/>
  <c r="Y83" i="7"/>
  <c r="AN86" i="7"/>
  <c r="C99" i="7"/>
  <c r="K99" i="7" s="1"/>
  <c r="N38" i="8"/>
  <c r="Y45" i="8"/>
  <c r="Y46" i="8"/>
  <c r="V54" i="8"/>
  <c r="V63" i="8"/>
  <c r="U66" i="8"/>
  <c r="U70" i="8"/>
  <c r="Y75" i="8"/>
  <c r="U82" i="8"/>
  <c r="AF26" i="9"/>
  <c r="AI35" i="9"/>
  <c r="U55" i="9"/>
  <c r="D64" i="9"/>
  <c r="M64" i="9" s="1"/>
  <c r="AE14" i="10"/>
  <c r="AB17" i="10"/>
  <c r="AB23" i="10"/>
  <c r="T25" i="10"/>
  <c r="AG50" i="10"/>
  <c r="D54" i="10"/>
  <c r="AB55" i="10"/>
  <c r="D58" i="10"/>
  <c r="M58" i="10" s="1"/>
  <c r="E89" i="10"/>
  <c r="E9" i="10" s="1"/>
  <c r="O89" i="10"/>
  <c r="O9" i="10" s="1"/>
  <c r="J40" i="11"/>
  <c r="J48" i="11"/>
  <c r="J105" i="11"/>
  <c r="U15" i="12"/>
  <c r="AO17" i="12"/>
  <c r="D22" i="12"/>
  <c r="N24" i="12"/>
  <c r="J25" i="12"/>
  <c r="U49" i="12"/>
  <c r="D103" i="7"/>
  <c r="V16" i="8"/>
  <c r="V17" i="8"/>
  <c r="N21" i="8"/>
  <c r="N22" i="8"/>
  <c r="U29" i="8"/>
  <c r="U35" i="8"/>
  <c r="D37" i="8"/>
  <c r="D38" i="8"/>
  <c r="D40" i="8"/>
  <c r="D42" i="8"/>
  <c r="U85" i="8"/>
  <c r="U87" i="8"/>
  <c r="Z14" i="9"/>
  <c r="D19" i="9"/>
  <c r="U19" i="9"/>
  <c r="AF33" i="9"/>
  <c r="D38" i="9"/>
  <c r="M38" i="9" s="1"/>
  <c r="U38" i="9"/>
  <c r="AF38" i="9"/>
  <c r="AI40" i="9"/>
  <c r="U41" i="9"/>
  <c r="U50" i="9"/>
  <c r="D51" i="9"/>
  <c r="V55" i="9"/>
  <c r="D57" i="9"/>
  <c r="AC62" i="9"/>
  <c r="J70" i="9"/>
  <c r="AI75" i="9"/>
  <c r="AF77" i="9"/>
  <c r="AI80" i="9"/>
  <c r="J102" i="9"/>
  <c r="J29" i="10"/>
  <c r="T33" i="10"/>
  <c r="AB34" i="10"/>
  <c r="T45" i="10"/>
  <c r="J83" i="10"/>
  <c r="J86" i="10"/>
  <c r="Z88" i="10"/>
  <c r="J92" i="10"/>
  <c r="D106" i="10"/>
  <c r="J107" i="10"/>
  <c r="T32" i="11"/>
  <c r="N56" i="11"/>
  <c r="J91" i="11"/>
  <c r="J28" i="12"/>
  <c r="AC29" i="12"/>
  <c r="BA29" i="12"/>
  <c r="U37" i="12"/>
  <c r="AC39" i="12"/>
  <c r="N40" i="12"/>
  <c r="V40" i="7"/>
  <c r="U42" i="7"/>
  <c r="AY46" i="7"/>
  <c r="BQ46" i="7"/>
  <c r="U48" i="7"/>
  <c r="BT51" i="7"/>
  <c r="AK56" i="7"/>
  <c r="AQ58" i="7"/>
  <c r="CF61" i="7"/>
  <c r="AB73" i="7"/>
  <c r="D76" i="7"/>
  <c r="AG74" i="7"/>
  <c r="AY78" i="7"/>
  <c r="CI78" i="7"/>
  <c r="Y80" i="7"/>
  <c r="J86" i="7"/>
  <c r="AH86" i="7"/>
  <c r="J98" i="7"/>
  <c r="J105" i="7"/>
  <c r="V35" i="8"/>
  <c r="U37" i="8"/>
  <c r="U41" i="8"/>
  <c r="U43" i="8"/>
  <c r="U45" i="8"/>
  <c r="U46" i="8"/>
  <c r="J48" i="8"/>
  <c r="Y49" i="8"/>
  <c r="Y63" i="8"/>
  <c r="N69" i="8"/>
  <c r="N71" i="8"/>
  <c r="U76" i="8"/>
  <c r="U14" i="9"/>
  <c r="J21" i="9"/>
  <c r="U26" i="9"/>
  <c r="U28" i="9"/>
  <c r="J30" i="9"/>
  <c r="V41" i="9"/>
  <c r="V46" i="9"/>
  <c r="V49" i="9"/>
  <c r="U57" i="9"/>
  <c r="U61" i="9"/>
  <c r="N64" i="9"/>
  <c r="J67" i="9"/>
  <c r="D95" i="9"/>
  <c r="Z21" i="10"/>
  <c r="D22" i="10"/>
  <c r="AG33" i="10"/>
  <c r="AB44" i="10"/>
  <c r="T46" i="10"/>
  <c r="J68" i="10"/>
  <c r="D69" i="10"/>
  <c r="J80" i="10"/>
  <c r="AB88" i="10"/>
  <c r="J84" i="11"/>
  <c r="J86" i="11"/>
  <c r="J88" i="11"/>
  <c r="N104" i="11"/>
  <c r="N15" i="12"/>
  <c r="AG21" i="12"/>
  <c r="BI25" i="12"/>
  <c r="AG30" i="12"/>
  <c r="D32" i="12"/>
  <c r="BE35" i="12"/>
  <c r="U38" i="12"/>
  <c r="AC38" i="12"/>
  <c r="AK38" i="12"/>
  <c r="AS38" i="12"/>
  <c r="BA38" i="12"/>
  <c r="N39" i="12"/>
  <c r="U39" i="12"/>
  <c r="Y40" i="12"/>
  <c r="AK43" i="12"/>
  <c r="BA43" i="12"/>
  <c r="D46" i="12"/>
  <c r="U47" i="12"/>
  <c r="AC47" i="12"/>
  <c r="AS47" i="12"/>
  <c r="N48" i="12"/>
  <c r="BA31" i="7"/>
  <c r="J34" i="7"/>
  <c r="AH34" i="7"/>
  <c r="AQ34" i="7"/>
  <c r="D39" i="7"/>
  <c r="AB39" i="7"/>
  <c r="BW40" i="7"/>
  <c r="BH43" i="7"/>
  <c r="BZ43" i="7"/>
  <c r="CR45" i="7"/>
  <c r="BK48" i="7"/>
  <c r="BZ49" i="7"/>
  <c r="Y50" i="7"/>
  <c r="BN51" i="7"/>
  <c r="BW51" i="7"/>
  <c r="CL53" i="7"/>
  <c r="V54" i="7"/>
  <c r="AT57" i="7"/>
  <c r="M58" i="7"/>
  <c r="AK58" i="7"/>
  <c r="AT58" i="7"/>
  <c r="BB58" i="7"/>
  <c r="BK58" i="7"/>
  <c r="BT58" i="7"/>
  <c r="D61" i="7"/>
  <c r="M61" i="7" s="1"/>
  <c r="D62" i="7"/>
  <c r="AB62" i="7"/>
  <c r="BQ65" i="7"/>
  <c r="AT68" i="7"/>
  <c r="U72" i="7"/>
  <c r="AQ75" i="7"/>
  <c r="AN77" i="7"/>
  <c r="AT78" i="7"/>
  <c r="BT78" i="7"/>
  <c r="Y81" i="7"/>
  <c r="AM74" i="7"/>
  <c r="AB84" i="7"/>
  <c r="BQ84" i="7"/>
  <c r="AQ87" i="7"/>
  <c r="J88" i="7"/>
  <c r="Y88" i="7"/>
  <c r="J91" i="7"/>
  <c r="J100" i="7"/>
  <c r="J102" i="7"/>
  <c r="J14" i="8"/>
  <c r="J16" i="8"/>
  <c r="J17" i="8"/>
  <c r="Y19" i="8"/>
  <c r="J20" i="8"/>
  <c r="Y21" i="8"/>
  <c r="Y22" i="8"/>
  <c r="V24" i="8"/>
  <c r="V29" i="8"/>
  <c r="V37" i="8"/>
  <c r="V41" i="8"/>
  <c r="V43" i="8"/>
  <c r="V45" i="8"/>
  <c r="V46" i="8"/>
  <c r="U47" i="8"/>
  <c r="D48" i="8"/>
  <c r="D49" i="8"/>
  <c r="D50" i="8"/>
  <c r="D55" i="8"/>
  <c r="J61" i="8"/>
  <c r="J62" i="8"/>
  <c r="J63" i="8"/>
  <c r="Y64" i="8"/>
  <c r="Y67" i="8"/>
  <c r="Y68" i="8"/>
  <c r="Y69" i="8"/>
  <c r="V76" i="8"/>
  <c r="Y82" i="8"/>
  <c r="N85" i="8"/>
  <c r="N86" i="8"/>
  <c r="N87" i="8"/>
  <c r="N88" i="8"/>
  <c r="D95" i="8"/>
  <c r="D103" i="8"/>
  <c r="J105" i="8"/>
  <c r="D108" i="8"/>
  <c r="M108" i="8" s="1"/>
  <c r="V14" i="9"/>
  <c r="V24" i="9"/>
  <c r="J26" i="9"/>
  <c r="J40" i="9"/>
  <c r="V61" i="9"/>
  <c r="J71" i="9"/>
  <c r="V78" i="9"/>
  <c r="J80" i="9"/>
  <c r="AF87" i="9"/>
  <c r="J90" i="9"/>
  <c r="D104" i="9"/>
  <c r="M104" i="9" s="1"/>
  <c r="D106" i="9"/>
  <c r="M106" i="9" s="1"/>
  <c r="W18" i="10"/>
  <c r="J20" i="10"/>
  <c r="D21" i="10"/>
  <c r="T22" i="10"/>
  <c r="J26" i="10"/>
  <c r="Z26" i="10"/>
  <c r="D27" i="10"/>
  <c r="M27" i="10" s="1"/>
  <c r="J27" i="10"/>
  <c r="D29" i="10"/>
  <c r="W45" i="10"/>
  <c r="J60" i="10"/>
  <c r="J61" i="10"/>
  <c r="J62" i="10"/>
  <c r="Z64" i="10"/>
  <c r="T69" i="10"/>
  <c r="AB85" i="10"/>
  <c r="AE88" i="10"/>
  <c r="J93" i="10"/>
  <c r="D98" i="10"/>
  <c r="J99" i="10"/>
  <c r="J104" i="10"/>
  <c r="D107" i="10"/>
  <c r="M107" i="10" s="1"/>
  <c r="D15" i="11"/>
  <c r="D17" i="11"/>
  <c r="D19" i="11"/>
  <c r="J49" i="11"/>
  <c r="J51" i="11"/>
  <c r="J60" i="11"/>
  <c r="T76" i="11"/>
  <c r="D82" i="11"/>
  <c r="D84" i="11"/>
  <c r="D86" i="11"/>
  <c r="F89" i="11"/>
  <c r="F9" i="11" s="1"/>
  <c r="J92" i="11"/>
  <c r="J103" i="11"/>
  <c r="AO49" i="12"/>
  <c r="AK51" i="12"/>
  <c r="BI55" i="12"/>
  <c r="BI69" i="12"/>
  <c r="BI72" i="12"/>
  <c r="U77" i="12"/>
  <c r="AO79" i="12"/>
  <c r="AW79" i="12"/>
  <c r="AK81" i="12"/>
  <c r="D88" i="12"/>
  <c r="J108" i="12"/>
  <c r="W17" i="13"/>
  <c r="T18" i="13"/>
  <c r="W20" i="13"/>
  <c r="J24" i="13"/>
  <c r="J33" i="13"/>
  <c r="T35" i="13"/>
  <c r="Z36" i="13"/>
  <c r="W37" i="13"/>
  <c r="T38" i="13"/>
  <c r="J39" i="13"/>
  <c r="T41" i="13"/>
  <c r="Z42" i="13"/>
  <c r="W43" i="13"/>
  <c r="T44" i="13"/>
  <c r="J45" i="13"/>
  <c r="Z45" i="13"/>
  <c r="W46" i="13"/>
  <c r="N53" i="13"/>
  <c r="D54" i="13"/>
  <c r="C54" i="13" s="1"/>
  <c r="W58" i="13"/>
  <c r="N61" i="13"/>
  <c r="T65" i="13"/>
  <c r="J66" i="13"/>
  <c r="W67" i="13"/>
  <c r="J71" i="13"/>
  <c r="Z71" i="13"/>
  <c r="J75" i="13"/>
  <c r="D83" i="13"/>
  <c r="D86" i="13"/>
  <c r="W15" i="14"/>
  <c r="Y15" i="14" s="1"/>
  <c r="V16" i="14"/>
  <c r="D24" i="14"/>
  <c r="J33" i="14"/>
  <c r="W34" i="14"/>
  <c r="Y34" i="14" s="1"/>
  <c r="D36" i="14"/>
  <c r="U41" i="14"/>
  <c r="J46" i="14"/>
  <c r="W47" i="14"/>
  <c r="Y47" i="14" s="1"/>
  <c r="V51" i="14"/>
  <c r="V55" i="14"/>
  <c r="W58" i="14"/>
  <c r="Y58" i="14" s="1"/>
  <c r="D60" i="14"/>
  <c r="W66" i="14"/>
  <c r="D80" i="14"/>
  <c r="C80" i="14" s="1"/>
  <c r="W87" i="14"/>
  <c r="Y87" i="14" s="1"/>
  <c r="J108" i="14"/>
  <c r="CX27" i="16"/>
  <c r="J34" i="16"/>
  <c r="BV31" i="16"/>
  <c r="CX34" i="16"/>
  <c r="D38" i="16"/>
  <c r="M38" i="16" s="1"/>
  <c r="AZ50" i="16"/>
  <c r="AB51" i="16"/>
  <c r="CZ51" i="16"/>
  <c r="U53" i="16"/>
  <c r="U54" i="16"/>
  <c r="N69" i="12"/>
  <c r="U69" i="12"/>
  <c r="BI75" i="12"/>
  <c r="AG83" i="12"/>
  <c r="Y86" i="12"/>
  <c r="AW86" i="12"/>
  <c r="AS87" i="12"/>
  <c r="N96" i="12"/>
  <c r="D98" i="12"/>
  <c r="J104" i="12"/>
  <c r="Z14" i="13"/>
  <c r="J17" i="13"/>
  <c r="Z17" i="13"/>
  <c r="D60" i="13"/>
  <c r="M60" i="13" s="1"/>
  <c r="J104" i="13"/>
  <c r="U20" i="14"/>
  <c r="U33" i="14"/>
  <c r="U35" i="14"/>
  <c r="V38" i="14"/>
  <c r="W45" i="14"/>
  <c r="Y45" i="14" s="1"/>
  <c r="D46" i="14"/>
  <c r="M46" i="14" s="1"/>
  <c r="U68" i="14"/>
  <c r="N75" i="14"/>
  <c r="J77" i="14"/>
  <c r="V80" i="14"/>
  <c r="Y83" i="14"/>
  <c r="D86" i="14"/>
  <c r="C86" i="14" s="1"/>
  <c r="K86" i="14" s="1"/>
  <c r="N100" i="14"/>
  <c r="BQ13" i="16"/>
  <c r="AN22" i="16"/>
  <c r="AB24" i="16"/>
  <c r="CZ24" i="16"/>
  <c r="Z26" i="16"/>
  <c r="Y31" i="16"/>
  <c r="BR34" i="16"/>
  <c r="DD31" i="16"/>
  <c r="AZ38" i="16"/>
  <c r="BT38" i="16"/>
  <c r="DF31" i="16"/>
  <c r="J39" i="16"/>
  <c r="AB39" i="16"/>
  <c r="D41" i="16"/>
  <c r="BT47" i="16"/>
  <c r="D51" i="16"/>
  <c r="J58" i="16"/>
  <c r="Z77" i="16"/>
  <c r="J81" i="16"/>
  <c r="J83" i="16"/>
  <c r="D101" i="16"/>
  <c r="J26" i="17"/>
  <c r="J38" i="17"/>
  <c r="D47" i="17"/>
  <c r="BI49" i="12"/>
  <c r="Y55" i="12"/>
  <c r="AG55" i="12"/>
  <c r="J62" i="12"/>
  <c r="Y62" i="12"/>
  <c r="AO62" i="12"/>
  <c r="AW62" i="12"/>
  <c r="BE62" i="12"/>
  <c r="AW63" i="12"/>
  <c r="BE69" i="12"/>
  <c r="J71" i="12"/>
  <c r="AO85" i="12"/>
  <c r="D86" i="12"/>
  <c r="D17" i="13"/>
  <c r="Z20" i="13"/>
  <c r="T22" i="13"/>
  <c r="N44" i="13"/>
  <c r="N47" i="13"/>
  <c r="D84" i="13"/>
  <c r="J95" i="13"/>
  <c r="D104" i="13"/>
  <c r="M104" i="13" s="1"/>
  <c r="D17" i="14"/>
  <c r="M17" i="14" s="1"/>
  <c r="W17" i="14"/>
  <c r="Y17" i="14" s="1"/>
  <c r="W23" i="14"/>
  <c r="Y23" i="14" s="1"/>
  <c r="W28" i="14"/>
  <c r="W40" i="14"/>
  <c r="Y40" i="14" s="1"/>
  <c r="J42" i="14"/>
  <c r="J64" i="14"/>
  <c r="V67" i="14"/>
  <c r="X74" i="14"/>
  <c r="J83" i="14"/>
  <c r="W88" i="14"/>
  <c r="Y88" i="14" s="1"/>
  <c r="J105" i="14"/>
  <c r="D15" i="16"/>
  <c r="C15" i="16" s="1"/>
  <c r="O13" i="16"/>
  <c r="BT21" i="16"/>
  <c r="D24" i="16"/>
  <c r="C24" i="16" s="1"/>
  <c r="J28" i="16"/>
  <c r="N29" i="16"/>
  <c r="BT33" i="16"/>
  <c r="D67" i="16"/>
  <c r="C67" i="16" s="1"/>
  <c r="U76" i="16"/>
  <c r="AQ74" i="16"/>
  <c r="V84" i="16"/>
  <c r="J91" i="16"/>
  <c r="D28" i="17"/>
  <c r="AE31" i="17"/>
  <c r="BE76" i="12"/>
  <c r="AW81" i="12"/>
  <c r="J85" i="12"/>
  <c r="J53" i="13"/>
  <c r="Z56" i="13"/>
  <c r="T58" i="13"/>
  <c r="T69" i="13"/>
  <c r="Z70" i="13"/>
  <c r="V22" i="14"/>
  <c r="W27" i="14"/>
  <c r="D41" i="14"/>
  <c r="C41" i="14" s="1"/>
  <c r="K41" i="14" s="1"/>
  <c r="U83" i="14"/>
  <c r="CX18" i="16"/>
  <c r="AN20" i="16"/>
  <c r="AZ28" i="16"/>
  <c r="V36" i="17"/>
  <c r="Y49" i="12"/>
  <c r="D56" i="12"/>
  <c r="D61" i="12"/>
  <c r="M61" i="12" s="1"/>
  <c r="AC66" i="12"/>
  <c r="BA67" i="12"/>
  <c r="AO72" i="12"/>
  <c r="D73" i="12"/>
  <c r="Y75" i="12"/>
  <c r="D76" i="12"/>
  <c r="AC82" i="12"/>
  <c r="AK82" i="12"/>
  <c r="BA82" i="12"/>
  <c r="BI82" i="12"/>
  <c r="J84" i="12"/>
  <c r="AC85" i="12"/>
  <c r="Y87" i="12"/>
  <c r="AG87" i="12"/>
  <c r="D96" i="12"/>
  <c r="D15" i="13"/>
  <c r="T20" i="13"/>
  <c r="J21" i="13"/>
  <c r="Z23" i="13"/>
  <c r="J26" i="13"/>
  <c r="J50" i="13"/>
  <c r="Z50" i="13"/>
  <c r="T61" i="13"/>
  <c r="J65" i="13"/>
  <c r="Z65" i="13"/>
  <c r="J77" i="13"/>
  <c r="Z77" i="13"/>
  <c r="M87" i="13"/>
  <c r="J87" i="13"/>
  <c r="J91" i="13"/>
  <c r="J101" i="13"/>
  <c r="J102" i="13"/>
  <c r="W24" i="14"/>
  <c r="D25" i="14"/>
  <c r="J34" i="14"/>
  <c r="D51" i="14"/>
  <c r="M51" i="14" s="1"/>
  <c r="D54" i="14"/>
  <c r="D63" i="14"/>
  <c r="W69" i="14"/>
  <c r="Y69" i="14" s="1"/>
  <c r="D70" i="14"/>
  <c r="M70" i="14" s="1"/>
  <c r="V83" i="14"/>
  <c r="U86" i="14"/>
  <c r="AI9" i="15"/>
  <c r="AZ17" i="16"/>
  <c r="D23" i="16"/>
  <c r="V28" i="16"/>
  <c r="D40" i="16"/>
  <c r="V46" i="16"/>
  <c r="J54" i="16"/>
  <c r="V58" i="16"/>
  <c r="U61" i="16"/>
  <c r="J62" i="16"/>
  <c r="U69" i="16"/>
  <c r="AZ69" i="16"/>
  <c r="BT69" i="16"/>
  <c r="U77" i="16"/>
  <c r="N81" i="16"/>
  <c r="V87" i="16"/>
  <c r="J102" i="16"/>
  <c r="D18" i="17"/>
  <c r="M18" i="17" s="1"/>
  <c r="D42" i="17"/>
  <c r="U51" i="12"/>
  <c r="AS51" i="12"/>
  <c r="J38" i="13"/>
  <c r="J44" i="13"/>
  <c r="Z88" i="13"/>
  <c r="D92" i="13"/>
  <c r="M92" i="13" s="1"/>
  <c r="D97" i="13"/>
  <c r="J107" i="13"/>
  <c r="W20" i="14"/>
  <c r="Y35" i="14"/>
  <c r="J36" i="14"/>
  <c r="V43" i="14"/>
  <c r="V46" i="14"/>
  <c r="W59" i="14"/>
  <c r="Y59" i="14" s="1"/>
  <c r="D97" i="14"/>
  <c r="M97" i="14" s="1"/>
  <c r="U67" i="16"/>
  <c r="BR68" i="16"/>
  <c r="Z69" i="16"/>
  <c r="V70" i="16"/>
  <c r="BR78" i="16"/>
  <c r="CZ88" i="16"/>
  <c r="J90" i="16"/>
  <c r="J104" i="16"/>
  <c r="J23" i="17"/>
  <c r="D35" i="17"/>
  <c r="M35" i="17" s="1"/>
  <c r="D80" i="17"/>
  <c r="C80" i="17" s="1"/>
  <c r="K80" i="17" s="1"/>
  <c r="J102" i="17"/>
  <c r="J83" i="19"/>
  <c r="D100" i="19"/>
  <c r="D106" i="19"/>
  <c r="M106" i="19" s="1"/>
  <c r="J16" i="20"/>
  <c r="J21" i="20"/>
  <c r="J29" i="20"/>
  <c r="Q32" i="20"/>
  <c r="D34" i="20"/>
  <c r="D36" i="20"/>
  <c r="Q65" i="20"/>
  <c r="J67" i="20"/>
  <c r="J72" i="20"/>
  <c r="D93" i="20"/>
  <c r="J95" i="20"/>
  <c r="J43" i="22"/>
  <c r="D48" i="22"/>
  <c r="N56" i="22"/>
  <c r="D57" i="22"/>
  <c r="J59" i="22"/>
  <c r="D77" i="22"/>
  <c r="J104" i="22"/>
  <c r="J106" i="22"/>
  <c r="G14" i="23"/>
  <c r="F30" i="23"/>
  <c r="V34" i="23"/>
  <c r="G39" i="23"/>
  <c r="M41" i="23"/>
  <c r="F45" i="23"/>
  <c r="F49" i="23"/>
  <c r="G56" i="23"/>
  <c r="P56" i="23"/>
  <c r="X57" i="23"/>
  <c r="V61" i="23"/>
  <c r="G63" i="23"/>
  <c r="G66" i="23"/>
  <c r="V67" i="23"/>
  <c r="P75" i="23"/>
  <c r="P76" i="23"/>
  <c r="F87" i="23"/>
  <c r="F27" i="24"/>
  <c r="G38" i="24"/>
  <c r="BE38" i="24"/>
  <c r="AV74" i="24"/>
  <c r="BB74" i="24"/>
  <c r="BI74" i="24"/>
  <c r="G16" i="25"/>
  <c r="R16" i="25"/>
  <c r="Z16" i="25"/>
  <c r="G22" i="25"/>
  <c r="R24" i="25"/>
  <c r="Z24" i="25"/>
  <c r="AD33" i="25"/>
  <c r="K18" i="28"/>
  <c r="AE23" i="28"/>
  <c r="AH37" i="28"/>
  <c r="P45" i="28"/>
  <c r="J91" i="17"/>
  <c r="J108" i="17"/>
  <c r="J43" i="19"/>
  <c r="D45" i="19"/>
  <c r="J54" i="19"/>
  <c r="D58" i="19"/>
  <c r="C58" i="19" s="1"/>
  <c r="K58" i="19" s="1"/>
  <c r="J65" i="19"/>
  <c r="D57" i="20"/>
  <c r="M57" i="20" s="1"/>
  <c r="J79" i="21"/>
  <c r="D106" i="22"/>
  <c r="R51" i="23"/>
  <c r="F54" i="23"/>
  <c r="F62" i="23"/>
  <c r="T71" i="23"/>
  <c r="M78" i="23"/>
  <c r="T84" i="23"/>
  <c r="G87" i="23"/>
  <c r="G27" i="24"/>
  <c r="BE55" i="24"/>
  <c r="F57" i="24"/>
  <c r="G63" i="24"/>
  <c r="AR63" i="24"/>
  <c r="G68" i="24"/>
  <c r="U56" i="17"/>
  <c r="D65" i="17"/>
  <c r="D83" i="19"/>
  <c r="D90" i="19"/>
  <c r="D45" i="20"/>
  <c r="M45" i="20" s="1"/>
  <c r="J58" i="20"/>
  <c r="D62" i="20"/>
  <c r="M62" i="20" s="1"/>
  <c r="J70" i="20"/>
  <c r="D77" i="20"/>
  <c r="D101" i="20"/>
  <c r="T18" i="21"/>
  <c r="D25" i="21"/>
  <c r="W26" i="21"/>
  <c r="J35" i="21"/>
  <c r="J65" i="21"/>
  <c r="N88" i="21"/>
  <c r="D99" i="21"/>
  <c r="M99" i="21" s="1"/>
  <c r="J100" i="21"/>
  <c r="D22" i="22"/>
  <c r="C22" i="22" s="1"/>
  <c r="K22" i="22" s="1"/>
  <c r="J26" i="22"/>
  <c r="J69" i="22"/>
  <c r="D85" i="22"/>
  <c r="J51" i="23"/>
  <c r="G58" i="23"/>
  <c r="G65" i="23"/>
  <c r="G78" i="23"/>
  <c r="AP63" i="24"/>
  <c r="T37" i="28"/>
  <c r="AA43" i="28"/>
  <c r="J50" i="19"/>
  <c r="J60" i="19"/>
  <c r="D76" i="22"/>
  <c r="J86" i="22"/>
  <c r="D90" i="22"/>
  <c r="M90" i="22" s="1"/>
  <c r="M37" i="23"/>
  <c r="F60" i="23"/>
  <c r="AR21" i="24"/>
  <c r="AP34" i="24"/>
  <c r="F80" i="24"/>
  <c r="F26" i="25"/>
  <c r="J49" i="17"/>
  <c r="J50" i="17"/>
  <c r="V69" i="17"/>
  <c r="J86" i="17"/>
  <c r="J17" i="19"/>
  <c r="D79" i="19"/>
  <c r="J82" i="19"/>
  <c r="D92" i="19"/>
  <c r="M92" i="19" s="1"/>
  <c r="J92" i="19"/>
  <c r="J20" i="20"/>
  <c r="Q34" i="20"/>
  <c r="J41" i="20"/>
  <c r="D51" i="20"/>
  <c r="P65" i="20"/>
  <c r="D91" i="20"/>
  <c r="T25" i="21"/>
  <c r="D27" i="21"/>
  <c r="D30" i="21"/>
  <c r="D58" i="22"/>
  <c r="M58" i="22" s="1"/>
  <c r="J62" i="22"/>
  <c r="D99" i="22"/>
  <c r="M99" i="22" s="1"/>
  <c r="D101" i="22"/>
  <c r="M101" i="22" s="1"/>
  <c r="J101" i="22"/>
  <c r="D103" i="22"/>
  <c r="J107" i="22"/>
  <c r="G22" i="23"/>
  <c r="F24" i="23"/>
  <c r="G34" i="23"/>
  <c r="J49" i="23"/>
  <c r="M56" i="23"/>
  <c r="G64" i="23"/>
  <c r="AL16" i="24"/>
  <c r="AL21" i="24"/>
  <c r="F28" i="24"/>
  <c r="AR32" i="24"/>
  <c r="F34" i="24"/>
  <c r="AR34" i="24"/>
  <c r="BE50" i="24"/>
  <c r="F71" i="24"/>
  <c r="V14" i="25"/>
  <c r="F16" i="25"/>
  <c r="N19" i="25"/>
  <c r="J20" i="25"/>
  <c r="G21" i="25"/>
  <c r="R23" i="25"/>
  <c r="G37" i="27"/>
  <c r="AA36" i="28"/>
  <c r="AH42" i="28"/>
  <c r="N69" i="17"/>
  <c r="J58" i="19"/>
  <c r="Q19" i="20"/>
  <c r="J44" i="20"/>
  <c r="J55" i="20"/>
  <c r="J32" i="21"/>
  <c r="J40" i="21"/>
  <c r="J47" i="21"/>
  <c r="J66" i="21"/>
  <c r="D91" i="21"/>
  <c r="M91" i="21" s="1"/>
  <c r="D82" i="22"/>
  <c r="D96" i="22"/>
  <c r="M96" i="22" s="1"/>
  <c r="J55" i="23"/>
  <c r="V73" i="23"/>
  <c r="AP61" i="24"/>
  <c r="BE61" i="24"/>
  <c r="J67" i="24"/>
  <c r="N36" i="25"/>
  <c r="AD36" i="25"/>
  <c r="J37" i="25"/>
  <c r="N43" i="25"/>
  <c r="N45" i="25"/>
  <c r="N48" i="25"/>
  <c r="AD51" i="25"/>
  <c r="AD59" i="25"/>
  <c r="F63" i="25"/>
  <c r="N77" i="25"/>
  <c r="G85" i="25"/>
  <c r="T37" i="27"/>
  <c r="M41" i="27"/>
  <c r="G46" i="27"/>
  <c r="G48" i="27"/>
  <c r="F49" i="27"/>
  <c r="G50" i="27"/>
  <c r="M55" i="27"/>
  <c r="T55" i="27"/>
  <c r="F68" i="27"/>
  <c r="G82" i="27"/>
  <c r="M14" i="28"/>
  <c r="F16" i="28"/>
  <c r="F23" i="28"/>
  <c r="AA24" i="28"/>
  <c r="AE25" i="28"/>
  <c r="P26" i="28"/>
  <c r="AA27" i="28"/>
  <c r="G28" i="28"/>
  <c r="P28" i="28"/>
  <c r="F29" i="28"/>
  <c r="AL30" i="28"/>
  <c r="F32" i="28"/>
  <c r="F35" i="28"/>
  <c r="M38" i="28"/>
  <c r="AE38" i="28"/>
  <c r="F44" i="28"/>
  <c r="AE44" i="28"/>
  <c r="G47" i="28"/>
  <c r="G49" i="28"/>
  <c r="M50" i="28"/>
  <c r="F51" i="28"/>
  <c r="W63" i="28"/>
  <c r="AE63" i="28"/>
  <c r="F65" i="28"/>
  <c r="AE65" i="28"/>
  <c r="F69" i="28"/>
  <c r="G70" i="28"/>
  <c r="AL72" i="28"/>
  <c r="AA75" i="28"/>
  <c r="AH75" i="28"/>
  <c r="F76" i="28"/>
  <c r="AE76" i="28"/>
  <c r="W78" i="28"/>
  <c r="AE80" i="28"/>
  <c r="G83" i="28"/>
  <c r="P83" i="28"/>
  <c r="M86" i="28"/>
  <c r="T86" i="28"/>
  <c r="F87" i="25"/>
  <c r="K24" i="28"/>
  <c r="V32" i="25"/>
  <c r="V37" i="25"/>
  <c r="F38" i="25"/>
  <c r="Z38" i="25"/>
  <c r="Z43" i="25"/>
  <c r="Z45" i="25"/>
  <c r="R48" i="25"/>
  <c r="Z48" i="25"/>
  <c r="Z54" i="25"/>
  <c r="F55" i="25"/>
  <c r="R56" i="25"/>
  <c r="G57" i="25"/>
  <c r="V65" i="25"/>
  <c r="G69" i="25"/>
  <c r="AD77" i="25"/>
  <c r="V84" i="25"/>
  <c r="G86" i="25"/>
  <c r="F43" i="27"/>
  <c r="F44" i="27"/>
  <c r="T66" i="27"/>
  <c r="M75" i="27"/>
  <c r="G20" i="28"/>
  <c r="W20" i="28"/>
  <c r="AE20" i="28"/>
  <c r="W24" i="28"/>
  <c r="AE24" i="28"/>
  <c r="AA25" i="28"/>
  <c r="P30" i="28"/>
  <c r="T33" i="28"/>
  <c r="G36" i="28"/>
  <c r="P36" i="28"/>
  <c r="AL36" i="28"/>
  <c r="AL37" i="28"/>
  <c r="G40" i="28"/>
  <c r="P42" i="28"/>
  <c r="AH45" i="28"/>
  <c r="AE46" i="28"/>
  <c r="F48" i="28"/>
  <c r="AA49" i="28"/>
  <c r="AH49" i="28"/>
  <c r="F50" i="28"/>
  <c r="T55" i="28"/>
  <c r="G56" i="28"/>
  <c r="F62" i="28"/>
  <c r="G67" i="28"/>
  <c r="W69" i="28"/>
  <c r="AH80" i="28"/>
  <c r="K85" i="28"/>
  <c r="F86" i="28"/>
  <c r="W88" i="28"/>
  <c r="N35" i="25"/>
  <c r="F36" i="25"/>
  <c r="F41" i="25"/>
  <c r="G44" i="25"/>
  <c r="AD50" i="25"/>
  <c r="J51" i="25"/>
  <c r="AD53" i="25"/>
  <c r="G55" i="25"/>
  <c r="V63" i="25"/>
  <c r="G75" i="25"/>
  <c r="F84" i="25"/>
  <c r="V88" i="25"/>
  <c r="F35" i="27"/>
  <c r="P35" i="27"/>
  <c r="F37" i="27"/>
  <c r="G43" i="27"/>
  <c r="V66" i="27"/>
  <c r="F30" i="28"/>
  <c r="AL35" i="28"/>
  <c r="K37" i="28"/>
  <c r="AL39" i="28"/>
  <c r="AH40" i="28"/>
  <c r="F45" i="28"/>
  <c r="P48" i="28"/>
  <c r="G50" i="28"/>
  <c r="K53" i="28"/>
  <c r="K63" i="28"/>
  <c r="W66" i="28"/>
  <c r="K67" i="28"/>
  <c r="AA67" i="28"/>
  <c r="AE68" i="28"/>
  <c r="AL70" i="28"/>
  <c r="K72" i="28"/>
  <c r="W75" i="28"/>
  <c r="AA76" i="28"/>
  <c r="AE77" i="28"/>
  <c r="AA80" i="28"/>
  <c r="T83" i="28"/>
  <c r="T85" i="28"/>
  <c r="G37" i="25"/>
  <c r="N59" i="25"/>
  <c r="V61" i="25"/>
  <c r="G70" i="25"/>
  <c r="Z72" i="25"/>
  <c r="N85" i="25"/>
  <c r="G94" i="25"/>
  <c r="G35" i="27"/>
  <c r="P47" i="27"/>
  <c r="M66" i="27"/>
  <c r="M70" i="27"/>
  <c r="M73" i="27"/>
  <c r="AA16" i="28"/>
  <c r="AA30" i="28"/>
  <c r="W33" i="28"/>
  <c r="W35" i="28"/>
  <c r="AE35" i="28"/>
  <c r="W39" i="28"/>
  <c r="AL47" i="28"/>
  <c r="AL49" i="28"/>
  <c r="W55" i="28"/>
  <c r="T63" i="28"/>
  <c r="T65" i="28"/>
  <c r="G66" i="28"/>
  <c r="P66" i="28"/>
  <c r="G68" i="28"/>
  <c r="P68" i="28"/>
  <c r="AH84" i="28"/>
  <c r="AA20" i="1"/>
  <c r="X22" i="1"/>
  <c r="AQ24" i="1"/>
  <c r="U33" i="1"/>
  <c r="D34" i="1"/>
  <c r="Y36" i="1"/>
  <c r="AQ36" i="1"/>
  <c r="X38" i="1"/>
  <c r="U41" i="1"/>
  <c r="D43" i="1"/>
  <c r="V49" i="1"/>
  <c r="O52" i="1"/>
  <c r="D76" i="1"/>
  <c r="J78" i="1"/>
  <c r="Y83" i="1"/>
  <c r="W83" i="1"/>
  <c r="Z83" i="1" s="1"/>
  <c r="J84" i="1"/>
  <c r="W88" i="1"/>
  <c r="Z88" i="1" s="1"/>
  <c r="Y88" i="1"/>
  <c r="D96" i="1"/>
  <c r="U16" i="2"/>
  <c r="J19" i="2"/>
  <c r="D20" i="2"/>
  <c r="J21" i="2"/>
  <c r="Y22" i="2"/>
  <c r="AH26" i="2"/>
  <c r="J37" i="2"/>
  <c r="G52" i="2"/>
  <c r="P52" i="2" s="1"/>
  <c r="N54" i="2"/>
  <c r="V54" i="2"/>
  <c r="U57" i="2"/>
  <c r="J66" i="2"/>
  <c r="N76" i="2"/>
  <c r="V81" i="2"/>
  <c r="D93" i="2"/>
  <c r="M93" i="2" s="1"/>
  <c r="N101" i="2"/>
  <c r="U15" i="3"/>
  <c r="J16" i="3"/>
  <c r="U19" i="3"/>
  <c r="Y21" i="3"/>
  <c r="Y24" i="3"/>
  <c r="Y26" i="3"/>
  <c r="D29" i="3"/>
  <c r="M29" i="3" s="1"/>
  <c r="J32" i="3"/>
  <c r="AC39" i="3"/>
  <c r="D47" i="3"/>
  <c r="V48" i="3"/>
  <c r="Y51" i="3"/>
  <c r="Y62" i="3"/>
  <c r="AC64" i="3"/>
  <c r="Y70" i="3"/>
  <c r="U71" i="3"/>
  <c r="V75" i="3"/>
  <c r="AD74" i="3"/>
  <c r="U79" i="3"/>
  <c r="AA74" i="3"/>
  <c r="Y83" i="3"/>
  <c r="J88" i="3"/>
  <c r="AB13" i="4"/>
  <c r="T31" i="4"/>
  <c r="AK31" i="4"/>
  <c r="CU15" i="7"/>
  <c r="CS13" i="7"/>
  <c r="BJ31" i="7"/>
  <c r="D15" i="1"/>
  <c r="V20" i="1"/>
  <c r="Y23" i="1"/>
  <c r="W23" i="1"/>
  <c r="Y25" i="1"/>
  <c r="N26" i="1"/>
  <c r="U28" i="1"/>
  <c r="Y30" i="1"/>
  <c r="Z30" i="1" s="1"/>
  <c r="W30" i="1"/>
  <c r="Y35" i="1"/>
  <c r="W35" i="1"/>
  <c r="Z35" i="1" s="1"/>
  <c r="U45" i="1"/>
  <c r="X47" i="1"/>
  <c r="AQ47" i="1"/>
  <c r="V50" i="1"/>
  <c r="AA50" i="1"/>
  <c r="W51" i="1"/>
  <c r="W56" i="1"/>
  <c r="Z56" i="1" s="1"/>
  <c r="Y56" i="1"/>
  <c r="X58" i="1"/>
  <c r="AB58" i="1" s="1"/>
  <c r="AA58" i="1"/>
  <c r="J59" i="1"/>
  <c r="X64" i="1"/>
  <c r="J65" i="1"/>
  <c r="D68" i="1"/>
  <c r="J68" i="1"/>
  <c r="X68" i="1"/>
  <c r="AA69" i="1"/>
  <c r="AQ72" i="1"/>
  <c r="J79" i="1"/>
  <c r="AA80" i="1"/>
  <c r="W81" i="1"/>
  <c r="Z81" i="1" s="1"/>
  <c r="D84" i="1"/>
  <c r="X88" i="1"/>
  <c r="J93" i="1"/>
  <c r="J98" i="1"/>
  <c r="E13" i="2"/>
  <c r="Y16" i="2"/>
  <c r="AH16" i="2"/>
  <c r="N18" i="2"/>
  <c r="D21" i="2"/>
  <c r="AB21" i="2"/>
  <c r="AH27" i="2"/>
  <c r="V33" i="2"/>
  <c r="U35" i="2"/>
  <c r="AB36" i="2"/>
  <c r="J38" i="2"/>
  <c r="V39" i="2"/>
  <c r="J43" i="2"/>
  <c r="D45" i="2"/>
  <c r="C45" i="2" s="1"/>
  <c r="K45" i="2" s="1"/>
  <c r="J49" i="2"/>
  <c r="J60" i="2"/>
  <c r="AB61" i="2"/>
  <c r="D63" i="2"/>
  <c r="N81" i="2"/>
  <c r="U82" i="2"/>
  <c r="D85" i="2"/>
  <c r="J86" i="2"/>
  <c r="Y87" i="2"/>
  <c r="D97" i="2"/>
  <c r="J104" i="2"/>
  <c r="F89" i="2"/>
  <c r="F9" i="2" s="1"/>
  <c r="AC17" i="3"/>
  <c r="AC18" i="3"/>
  <c r="V19" i="3"/>
  <c r="J21" i="3"/>
  <c r="C22" i="3"/>
  <c r="K22" i="3" s="1"/>
  <c r="J24" i="3"/>
  <c r="C25" i="3"/>
  <c r="K25" i="3" s="1"/>
  <c r="U28" i="3"/>
  <c r="Y30" i="3"/>
  <c r="P36" i="3"/>
  <c r="U37" i="3"/>
  <c r="V38" i="3"/>
  <c r="Y40" i="3"/>
  <c r="D41" i="3"/>
  <c r="M41" i="3" s="1"/>
  <c r="V42" i="3"/>
  <c r="Y43" i="3"/>
  <c r="Y44" i="3"/>
  <c r="Y57" i="3"/>
  <c r="D58" i="3"/>
  <c r="V59" i="3"/>
  <c r="AC59" i="3"/>
  <c r="AC60" i="3"/>
  <c r="D62" i="3"/>
  <c r="M62" i="3" s="1"/>
  <c r="U67" i="3"/>
  <c r="Y69" i="3"/>
  <c r="D70" i="3"/>
  <c r="V71" i="3"/>
  <c r="AC72" i="3"/>
  <c r="D76" i="3"/>
  <c r="M76" i="3" s="1"/>
  <c r="U77" i="3"/>
  <c r="AC77" i="3"/>
  <c r="V79" i="3"/>
  <c r="Q80" i="3"/>
  <c r="D81" i="3"/>
  <c r="D82" i="3"/>
  <c r="M82" i="3" s="1"/>
  <c r="D83" i="3"/>
  <c r="M83" i="3" s="1"/>
  <c r="Y85" i="3"/>
  <c r="D86" i="3"/>
  <c r="M86" i="3" s="1"/>
  <c r="Y86" i="3"/>
  <c r="U88" i="3"/>
  <c r="Q89" i="3"/>
  <c r="H89" i="3"/>
  <c r="H9" i="3" s="1"/>
  <c r="D92" i="3"/>
  <c r="M92" i="3" s="1"/>
  <c r="D100" i="3"/>
  <c r="V15" i="4"/>
  <c r="U19" i="4"/>
  <c r="AG20" i="4"/>
  <c r="D21" i="4"/>
  <c r="M21" i="4" s="1"/>
  <c r="AI24" i="4"/>
  <c r="N26" i="4"/>
  <c r="AL26" i="4"/>
  <c r="D29" i="4"/>
  <c r="M29" i="4" s="1"/>
  <c r="AC29" i="4"/>
  <c r="V30" i="4"/>
  <c r="AL30" i="4"/>
  <c r="AG36" i="4"/>
  <c r="D37" i="4"/>
  <c r="M37" i="4" s="1"/>
  <c r="U39" i="4"/>
  <c r="D54" i="4"/>
  <c r="M54" i="4" s="1"/>
  <c r="Y27" i="5"/>
  <c r="X16" i="1"/>
  <c r="AB16" i="1" s="1"/>
  <c r="X17" i="1"/>
  <c r="AB17" i="1" s="1"/>
  <c r="N20" i="1"/>
  <c r="U23" i="1"/>
  <c r="AA23" i="1"/>
  <c r="D24" i="1"/>
  <c r="C24" i="1" s="1"/>
  <c r="N27" i="1"/>
  <c r="AA30" i="1"/>
  <c r="X30" i="1"/>
  <c r="X32" i="1"/>
  <c r="AB32" i="1" s="1"/>
  <c r="AL31" i="1"/>
  <c r="D36" i="1"/>
  <c r="C36" i="1" s="1"/>
  <c r="D38" i="1"/>
  <c r="J38" i="1"/>
  <c r="J39" i="1"/>
  <c r="X39" i="1"/>
  <c r="N40" i="1"/>
  <c r="X42" i="1"/>
  <c r="V45" i="1"/>
  <c r="X46" i="1"/>
  <c r="AB46" i="1" s="1"/>
  <c r="D47" i="1"/>
  <c r="D56" i="1"/>
  <c r="X56" i="1"/>
  <c r="AB56" i="1" s="1"/>
  <c r="AA57" i="1"/>
  <c r="Y60" i="1"/>
  <c r="X65" i="1"/>
  <c r="AB65" i="1" s="1"/>
  <c r="Y71" i="1"/>
  <c r="AG74" i="1"/>
  <c r="AM74" i="1"/>
  <c r="X86" i="1"/>
  <c r="AB86" i="1" s="1"/>
  <c r="D104" i="1"/>
  <c r="M104" i="1" s="1"/>
  <c r="D108" i="1"/>
  <c r="AC13" i="2"/>
  <c r="AG13" i="2"/>
  <c r="O31" i="2"/>
  <c r="U62" i="2"/>
  <c r="Y76" i="2"/>
  <c r="AH79" i="2"/>
  <c r="D82" i="2"/>
  <c r="AB86" i="2"/>
  <c r="D92" i="2"/>
  <c r="D94" i="2"/>
  <c r="M94" i="2" s="1"/>
  <c r="J99" i="2"/>
  <c r="D104" i="2"/>
  <c r="M104" i="2" s="1"/>
  <c r="J15" i="3"/>
  <c r="D21" i="3"/>
  <c r="D24" i="3"/>
  <c r="V26" i="3"/>
  <c r="AC26" i="3"/>
  <c r="V28" i="3"/>
  <c r="J30" i="3"/>
  <c r="AD31" i="3"/>
  <c r="J34" i="3"/>
  <c r="V37" i="3"/>
  <c r="Y39" i="3"/>
  <c r="D40" i="3"/>
  <c r="M40" i="3" s="1"/>
  <c r="J48" i="3"/>
  <c r="Y50" i="3"/>
  <c r="J61" i="3"/>
  <c r="AC62" i="3"/>
  <c r="D65" i="3"/>
  <c r="M65" i="3" s="1"/>
  <c r="J73" i="3"/>
  <c r="J75" i="3"/>
  <c r="V77" i="3"/>
  <c r="J80" i="3"/>
  <c r="J85" i="3"/>
  <c r="V88" i="3"/>
  <c r="V101" i="3"/>
  <c r="J103" i="3"/>
  <c r="O13" i="4"/>
  <c r="V19" i="4"/>
  <c r="J20" i="4"/>
  <c r="AG24" i="4"/>
  <c r="D33" i="4"/>
  <c r="M33" i="4" s="1"/>
  <c r="Z31" i="4"/>
  <c r="V39" i="4"/>
  <c r="D42" i="4"/>
  <c r="M42" i="4" s="1"/>
  <c r="J72" i="5"/>
  <c r="Y14" i="1"/>
  <c r="N30" i="1"/>
  <c r="X33" i="1"/>
  <c r="U38" i="1"/>
  <c r="Y41" i="1"/>
  <c r="N45" i="1"/>
  <c r="U47" i="1"/>
  <c r="AI52" i="1"/>
  <c r="Y59" i="1"/>
  <c r="J61" i="1"/>
  <c r="D65" i="1"/>
  <c r="Y65" i="1"/>
  <c r="W67" i="1"/>
  <c r="Z67" i="1" s="1"/>
  <c r="U68" i="1"/>
  <c r="AA71" i="1"/>
  <c r="Y72" i="1"/>
  <c r="J75" i="1"/>
  <c r="X75" i="1"/>
  <c r="AB75" i="1" s="1"/>
  <c r="AN74" i="1"/>
  <c r="N76" i="1"/>
  <c r="D79" i="1"/>
  <c r="D82" i="1"/>
  <c r="AA84" i="1"/>
  <c r="X84" i="1"/>
  <c r="AB84" i="1" s="1"/>
  <c r="D85" i="1"/>
  <c r="U88" i="1"/>
  <c r="J90" i="1"/>
  <c r="J15" i="2"/>
  <c r="AB16" i="2"/>
  <c r="D17" i="2"/>
  <c r="C17" i="2" s="1"/>
  <c r="K17" i="2" s="1"/>
  <c r="N19" i="2"/>
  <c r="U19" i="2"/>
  <c r="N21" i="2"/>
  <c r="AE21" i="2"/>
  <c r="D23" i="2"/>
  <c r="AB23" i="2"/>
  <c r="V25" i="2"/>
  <c r="U27" i="2"/>
  <c r="AB27" i="2"/>
  <c r="J28" i="2"/>
  <c r="J33" i="2"/>
  <c r="N36" i="2"/>
  <c r="Y40" i="2"/>
  <c r="J50" i="2"/>
  <c r="D56" i="2"/>
  <c r="J57" i="2"/>
  <c r="AE61" i="2"/>
  <c r="U67" i="2"/>
  <c r="J69" i="2"/>
  <c r="U86" i="2"/>
  <c r="U87" i="2"/>
  <c r="Q36" i="3"/>
  <c r="G13" i="4"/>
  <c r="U16" i="4"/>
  <c r="AI17" i="4"/>
  <c r="AG19" i="4"/>
  <c r="AA20" i="4"/>
  <c r="AC24" i="4"/>
  <c r="AG26" i="4"/>
  <c r="AG30" i="4"/>
  <c r="U33" i="4"/>
  <c r="F31" i="4"/>
  <c r="AA36" i="4"/>
  <c r="AG39" i="4"/>
  <c r="W31" i="4"/>
  <c r="AG40" i="4"/>
  <c r="U43" i="4"/>
  <c r="AI51" i="4"/>
  <c r="AK52" i="4"/>
  <c r="M98" i="4"/>
  <c r="C98" i="4"/>
  <c r="K98" i="4" s="1"/>
  <c r="V50" i="7"/>
  <c r="U50" i="7"/>
  <c r="W14" i="1"/>
  <c r="Z14" i="1" s="1"/>
  <c r="O13" i="1"/>
  <c r="E52" i="1"/>
  <c r="AC52" i="1"/>
  <c r="V9" i="1"/>
  <c r="V15" i="1"/>
  <c r="J21" i="1"/>
  <c r="C25" i="1"/>
  <c r="K25" i="1" s="1"/>
  <c r="J27" i="1"/>
  <c r="AQ28" i="1"/>
  <c r="J33" i="1"/>
  <c r="Y33" i="1"/>
  <c r="AQ33" i="1"/>
  <c r="W34" i="1"/>
  <c r="Z34" i="1" s="1"/>
  <c r="V38" i="1"/>
  <c r="J40" i="1"/>
  <c r="AQ41" i="1"/>
  <c r="J42" i="1"/>
  <c r="J43" i="1"/>
  <c r="N47" i="1"/>
  <c r="D49" i="1"/>
  <c r="X49" i="1"/>
  <c r="U51" i="1"/>
  <c r="AD52" i="1"/>
  <c r="AJ52" i="1"/>
  <c r="AP52" i="1"/>
  <c r="AA59" i="1"/>
  <c r="D62" i="1"/>
  <c r="AA62" i="1"/>
  <c r="Y66" i="1"/>
  <c r="W66" i="1"/>
  <c r="Z66" i="1" s="1"/>
  <c r="N68" i="1"/>
  <c r="J69" i="1"/>
  <c r="W69" i="1"/>
  <c r="AA73" i="1"/>
  <c r="X73" i="1"/>
  <c r="AB73" i="1" s="1"/>
  <c r="D75" i="1"/>
  <c r="C75" i="1" s="1"/>
  <c r="K75" i="1" s="1"/>
  <c r="W76" i="1"/>
  <c r="X77" i="1"/>
  <c r="AB77" i="1" s="1"/>
  <c r="AA79" i="1"/>
  <c r="X79" i="1"/>
  <c r="AB79" i="1" s="1"/>
  <c r="AQ82" i="1"/>
  <c r="Y84" i="1"/>
  <c r="D86" i="1"/>
  <c r="J87" i="1"/>
  <c r="V88" i="1"/>
  <c r="D90" i="1"/>
  <c r="C90" i="1" s="1"/>
  <c r="J92" i="1"/>
  <c r="D97" i="1"/>
  <c r="J99" i="1"/>
  <c r="J102" i="1"/>
  <c r="D105" i="1"/>
  <c r="J107" i="1"/>
  <c r="Y18" i="2"/>
  <c r="AH18" i="2"/>
  <c r="V26" i="2"/>
  <c r="D33" i="2"/>
  <c r="AH35" i="2"/>
  <c r="Y36" i="2"/>
  <c r="AE37" i="2"/>
  <c r="AB39" i="2"/>
  <c r="D40" i="2"/>
  <c r="J41" i="2"/>
  <c r="AH41" i="2"/>
  <c r="AE48" i="2"/>
  <c r="AB49" i="2"/>
  <c r="D51" i="2"/>
  <c r="V53" i="2"/>
  <c r="AE53" i="2"/>
  <c r="AB54" i="2"/>
  <c r="V67" i="2"/>
  <c r="D68" i="2"/>
  <c r="D69" i="2"/>
  <c r="J72" i="2"/>
  <c r="J75" i="2"/>
  <c r="E74" i="2"/>
  <c r="J81" i="2"/>
  <c r="J83" i="2"/>
  <c r="J84" i="2"/>
  <c r="V86" i="2"/>
  <c r="AE86" i="2"/>
  <c r="J88" i="2"/>
  <c r="J91" i="2"/>
  <c r="J93" i="2"/>
  <c r="D99" i="2"/>
  <c r="C99" i="2" s="1"/>
  <c r="K99" i="2" s="1"/>
  <c r="J103" i="2"/>
  <c r="J105" i="2"/>
  <c r="J14" i="3"/>
  <c r="AC21" i="3"/>
  <c r="Y22" i="3"/>
  <c r="V24" i="3"/>
  <c r="J27" i="3"/>
  <c r="V27" i="3"/>
  <c r="AC30" i="3"/>
  <c r="J33" i="3"/>
  <c r="J36" i="3"/>
  <c r="Y38" i="3"/>
  <c r="AC40" i="3"/>
  <c r="J47" i="3"/>
  <c r="V50" i="3"/>
  <c r="AC50" i="3"/>
  <c r="AC51" i="3"/>
  <c r="D55" i="3"/>
  <c r="V56" i="3"/>
  <c r="AC56" i="3"/>
  <c r="J60" i="3"/>
  <c r="Y63" i="3"/>
  <c r="D64" i="3"/>
  <c r="V65" i="3"/>
  <c r="AC65" i="3"/>
  <c r="D68" i="3"/>
  <c r="M68" i="3" s="1"/>
  <c r="Y68" i="3"/>
  <c r="Y71" i="3"/>
  <c r="F74" i="3"/>
  <c r="AC75" i="3"/>
  <c r="J78" i="3"/>
  <c r="X74" i="3"/>
  <c r="U80" i="3"/>
  <c r="AC80" i="3"/>
  <c r="U83" i="3"/>
  <c r="J84" i="3"/>
  <c r="Y88" i="3"/>
  <c r="S89" i="3"/>
  <c r="D91" i="3"/>
  <c r="D93" i="3"/>
  <c r="C93" i="3" s="1"/>
  <c r="K93" i="3" s="1"/>
  <c r="D105" i="3"/>
  <c r="M105" i="3" s="1"/>
  <c r="J15" i="4"/>
  <c r="AA15" i="4"/>
  <c r="U18" i="4"/>
  <c r="U24" i="4"/>
  <c r="AL24" i="4"/>
  <c r="N29" i="4"/>
  <c r="AG29" i="4"/>
  <c r="AI30" i="4"/>
  <c r="N37" i="4"/>
  <c r="AI39" i="4"/>
  <c r="D40" i="4"/>
  <c r="C40" i="4" s="1"/>
  <c r="K40" i="4" s="1"/>
  <c r="V43" i="4"/>
  <c r="C49" i="4"/>
  <c r="K49" i="4" s="1"/>
  <c r="J49" i="4"/>
  <c r="AI86" i="4"/>
  <c r="V27" i="6"/>
  <c r="V45" i="4"/>
  <c r="M47" i="4"/>
  <c r="AA55" i="4"/>
  <c r="Z52" i="4"/>
  <c r="AH74" i="4"/>
  <c r="V77" i="4"/>
  <c r="AA77" i="4"/>
  <c r="U78" i="4"/>
  <c r="D85" i="4"/>
  <c r="M85" i="4" s="1"/>
  <c r="J97" i="4"/>
  <c r="D103" i="4"/>
  <c r="N17" i="5"/>
  <c r="D19" i="5"/>
  <c r="C19" i="5" s="1"/>
  <c r="K19" i="5" s="1"/>
  <c r="N30" i="5"/>
  <c r="N37" i="5"/>
  <c r="J50" i="5"/>
  <c r="J64" i="5"/>
  <c r="D75" i="5"/>
  <c r="Y76" i="5"/>
  <c r="D86" i="5"/>
  <c r="J95" i="5"/>
  <c r="J97" i="5"/>
  <c r="J99" i="5"/>
  <c r="J101" i="5"/>
  <c r="D16" i="6"/>
  <c r="C16" i="6" s="1"/>
  <c r="K16" i="6" s="1"/>
  <c r="U18" i="6"/>
  <c r="Y26" i="6"/>
  <c r="D34" i="6"/>
  <c r="Y36" i="6"/>
  <c r="D58" i="6"/>
  <c r="M58" i="6" s="1"/>
  <c r="V69" i="6"/>
  <c r="J105" i="6"/>
  <c r="X13" i="7"/>
  <c r="AH15" i="7"/>
  <c r="BD13" i="7"/>
  <c r="BW28" i="7"/>
  <c r="AG52" i="7"/>
  <c r="CU60" i="7"/>
  <c r="BT61" i="7"/>
  <c r="CL61" i="7"/>
  <c r="BT65" i="7"/>
  <c r="D68" i="7"/>
  <c r="BW70" i="7"/>
  <c r="AH72" i="7"/>
  <c r="AQ80" i="7"/>
  <c r="J81" i="7"/>
  <c r="AG45" i="4"/>
  <c r="T52" i="4"/>
  <c r="AI63" i="4"/>
  <c r="C64" i="4"/>
  <c r="K64" i="4" s="1"/>
  <c r="J64" i="4"/>
  <c r="V65" i="4"/>
  <c r="AL67" i="4"/>
  <c r="D70" i="4"/>
  <c r="M70" i="4" s="1"/>
  <c r="AB74" i="4"/>
  <c r="V78" i="4"/>
  <c r="F74" i="4"/>
  <c r="U86" i="4"/>
  <c r="H13" i="5"/>
  <c r="D28" i="5"/>
  <c r="M28" i="5" s="1"/>
  <c r="Y36" i="5"/>
  <c r="D44" i="5"/>
  <c r="J45" i="5"/>
  <c r="D60" i="5"/>
  <c r="D64" i="5"/>
  <c r="D65" i="5"/>
  <c r="C65" i="5" s="1"/>
  <c r="N67" i="5"/>
  <c r="N72" i="5"/>
  <c r="CA13" i="7"/>
  <c r="CC13" i="7" s="1"/>
  <c r="CC14" i="7"/>
  <c r="BH15" i="7"/>
  <c r="BF13" i="7"/>
  <c r="BA13" i="7"/>
  <c r="J22" i="7"/>
  <c r="U89" i="9"/>
  <c r="R9" i="9"/>
  <c r="AI45" i="4"/>
  <c r="D51" i="4"/>
  <c r="N53" i="4"/>
  <c r="U53" i="4"/>
  <c r="AH52" i="4"/>
  <c r="AK74" i="4"/>
  <c r="AG82" i="4"/>
  <c r="AG86" i="4"/>
  <c r="J94" i="4"/>
  <c r="N18" i="5"/>
  <c r="N24" i="5"/>
  <c r="N34" i="5"/>
  <c r="N39" i="5"/>
  <c r="N42" i="5"/>
  <c r="D70" i="5"/>
  <c r="M70" i="5" s="1"/>
  <c r="J88" i="5"/>
  <c r="D93" i="5"/>
  <c r="D106" i="5"/>
  <c r="M106" i="5" s="1"/>
  <c r="T13" i="6"/>
  <c r="M26" i="6"/>
  <c r="J26" i="6"/>
  <c r="N39" i="6"/>
  <c r="D41" i="6"/>
  <c r="Y43" i="6"/>
  <c r="N47" i="6"/>
  <c r="U101" i="6"/>
  <c r="BT67" i="7"/>
  <c r="V48" i="8"/>
  <c r="N47" i="4"/>
  <c r="AG56" i="4"/>
  <c r="D61" i="4"/>
  <c r="M61" i="4" s="1"/>
  <c r="AI65" i="4"/>
  <c r="D66" i="4"/>
  <c r="M66" i="4" s="1"/>
  <c r="AG67" i="4"/>
  <c r="L74" i="4"/>
  <c r="W74" i="4"/>
  <c r="J76" i="4"/>
  <c r="AA82" i="4"/>
  <c r="N85" i="4"/>
  <c r="D87" i="4"/>
  <c r="M87" i="4" s="1"/>
  <c r="J96" i="4"/>
  <c r="J101" i="4"/>
  <c r="J102" i="4"/>
  <c r="D17" i="5"/>
  <c r="Y17" i="5"/>
  <c r="N27" i="5"/>
  <c r="D30" i="5"/>
  <c r="D36" i="5"/>
  <c r="D51" i="5"/>
  <c r="D58" i="5"/>
  <c r="J62" i="5"/>
  <c r="N64" i="5"/>
  <c r="J67" i="5"/>
  <c r="D79" i="5"/>
  <c r="D88" i="5"/>
  <c r="M88" i="5" s="1"/>
  <c r="J90" i="5"/>
  <c r="J100" i="5"/>
  <c r="D103" i="5"/>
  <c r="D108" i="5"/>
  <c r="Y14" i="6"/>
  <c r="N16" i="6"/>
  <c r="N17" i="6"/>
  <c r="D21" i="6"/>
  <c r="C21" i="6" s="1"/>
  <c r="K21" i="6" s="1"/>
  <c r="U26" i="6"/>
  <c r="D28" i="6"/>
  <c r="Y32" i="6"/>
  <c r="N34" i="6"/>
  <c r="V36" i="6"/>
  <c r="Y38" i="6"/>
  <c r="D43" i="6"/>
  <c r="M43" i="6" s="1"/>
  <c r="J43" i="6"/>
  <c r="J46" i="6"/>
  <c r="Y46" i="6"/>
  <c r="D51" i="6"/>
  <c r="M51" i="6" s="1"/>
  <c r="D63" i="6"/>
  <c r="M63" i="6" s="1"/>
  <c r="J70" i="6"/>
  <c r="V88" i="6"/>
  <c r="J26" i="7"/>
  <c r="BZ29" i="7"/>
  <c r="V34" i="7"/>
  <c r="U34" i="7"/>
  <c r="BQ36" i="7"/>
  <c r="AY40" i="7"/>
  <c r="BB48" i="7"/>
  <c r="BZ50" i="7"/>
  <c r="D64" i="7"/>
  <c r="AB64" i="7"/>
  <c r="J66" i="7"/>
  <c r="AH66" i="7"/>
  <c r="AQ66" i="7"/>
  <c r="BW66" i="7"/>
  <c r="AB22" i="10"/>
  <c r="Z22" i="10"/>
  <c r="AB46" i="10"/>
  <c r="Z46" i="10"/>
  <c r="O74" i="4"/>
  <c r="AF74" i="4"/>
  <c r="D77" i="4"/>
  <c r="J79" i="4"/>
  <c r="D82" i="4"/>
  <c r="D86" i="4"/>
  <c r="V89" i="4"/>
  <c r="J93" i="4"/>
  <c r="J98" i="4"/>
  <c r="J106" i="4"/>
  <c r="J108" i="4"/>
  <c r="E13" i="5"/>
  <c r="J15" i="5"/>
  <c r="J18" i="5"/>
  <c r="D23" i="5"/>
  <c r="M23" i="5" s="1"/>
  <c r="J24" i="5"/>
  <c r="J25" i="5"/>
  <c r="J26" i="5"/>
  <c r="F31" i="5"/>
  <c r="D33" i="5"/>
  <c r="C33" i="5" s="1"/>
  <c r="K33" i="5" s="1"/>
  <c r="O31" i="5"/>
  <c r="J34" i="5"/>
  <c r="J39" i="5"/>
  <c r="J48" i="5"/>
  <c r="D72" i="5"/>
  <c r="J81" i="5"/>
  <c r="D90" i="5"/>
  <c r="D96" i="5"/>
  <c r="C96" i="5" s="1"/>
  <c r="K96" i="5" s="1"/>
  <c r="D100" i="5"/>
  <c r="D105" i="5"/>
  <c r="Y16" i="6"/>
  <c r="C18" i="6"/>
  <c r="J33" i="6"/>
  <c r="Y33" i="6"/>
  <c r="D38" i="6"/>
  <c r="J39" i="6"/>
  <c r="D70" i="6"/>
  <c r="M70" i="6" s="1"/>
  <c r="BS13" i="7"/>
  <c r="BQ23" i="7"/>
  <c r="BT25" i="7"/>
  <c r="BT32" i="7"/>
  <c r="BR31" i="7"/>
  <c r="BN47" i="7"/>
  <c r="BK50" i="7"/>
  <c r="BZ53" i="7"/>
  <c r="BW57" i="7"/>
  <c r="D63" i="7"/>
  <c r="D66" i="7"/>
  <c r="V77" i="7"/>
  <c r="D78" i="7"/>
  <c r="AB78" i="7"/>
  <c r="CR78" i="7"/>
  <c r="D79" i="7"/>
  <c r="AB79" i="7"/>
  <c r="J103" i="8"/>
  <c r="E74" i="9"/>
  <c r="D75" i="9"/>
  <c r="AR33" i="24"/>
  <c r="AN31" i="24"/>
  <c r="D89" i="24"/>
  <c r="D9" i="24"/>
  <c r="BW52" i="16"/>
  <c r="T89" i="22"/>
  <c r="V98" i="22"/>
  <c r="G89" i="28"/>
  <c r="D9" i="28"/>
  <c r="D67" i="6"/>
  <c r="J87" i="6"/>
  <c r="U9" i="7"/>
  <c r="BU13" i="7"/>
  <c r="CT13" i="7"/>
  <c r="N16" i="7"/>
  <c r="BZ19" i="7"/>
  <c r="BW20" i="7"/>
  <c r="CO20" i="7"/>
  <c r="R13" i="7"/>
  <c r="BW22" i="7"/>
  <c r="J24" i="7"/>
  <c r="U26" i="7"/>
  <c r="J30" i="7"/>
  <c r="Y32" i="7"/>
  <c r="AE31" i="7"/>
  <c r="U33" i="7"/>
  <c r="AT33" i="7"/>
  <c r="V36" i="7"/>
  <c r="AJ31" i="7"/>
  <c r="BT36" i="7"/>
  <c r="BB38" i="7"/>
  <c r="J42" i="7"/>
  <c r="N44" i="7"/>
  <c r="J46" i="7"/>
  <c r="N48" i="7"/>
  <c r="J54" i="7"/>
  <c r="AT56" i="7"/>
  <c r="U58" i="7"/>
  <c r="U59" i="7"/>
  <c r="BW60" i="7"/>
  <c r="Y62" i="7"/>
  <c r="P64" i="7"/>
  <c r="AT66" i="7"/>
  <c r="BZ66" i="7"/>
  <c r="CR66" i="7"/>
  <c r="D67" i="7"/>
  <c r="Y67" i="7"/>
  <c r="BW67" i="7"/>
  <c r="BW68" i="7"/>
  <c r="N69" i="7"/>
  <c r="BT69" i="7"/>
  <c r="CL69" i="7"/>
  <c r="N70" i="7"/>
  <c r="AB70" i="7"/>
  <c r="N71" i="7"/>
  <c r="N72" i="7"/>
  <c r="AB72" i="7"/>
  <c r="BW72" i="7"/>
  <c r="J75" i="7"/>
  <c r="Y75" i="7"/>
  <c r="V78" i="7"/>
  <c r="AT80" i="7"/>
  <c r="AH81" i="7"/>
  <c r="AQ81" i="7"/>
  <c r="N82" i="7"/>
  <c r="J84" i="7"/>
  <c r="BW84" i="7"/>
  <c r="AN87" i="7"/>
  <c r="U15" i="8"/>
  <c r="D22" i="8"/>
  <c r="T31" i="8"/>
  <c r="D15" i="9"/>
  <c r="D21" i="9"/>
  <c r="C21" i="9" s="1"/>
  <c r="K21" i="9" s="1"/>
  <c r="J34" i="9"/>
  <c r="U67" i="9"/>
  <c r="J21" i="10"/>
  <c r="N50" i="6"/>
  <c r="V50" i="6"/>
  <c r="D61" i="6"/>
  <c r="C61" i="6" s="1"/>
  <c r="K61" i="6" s="1"/>
  <c r="N70" i="6"/>
  <c r="Y88" i="6"/>
  <c r="J101" i="6"/>
  <c r="AA13" i="7"/>
  <c r="AK14" i="7"/>
  <c r="BT15" i="7"/>
  <c r="J18" i="7"/>
  <c r="D20" i="7"/>
  <c r="C20" i="7" s="1"/>
  <c r="CR20" i="7"/>
  <c r="J21" i="7"/>
  <c r="AH21" i="7"/>
  <c r="BZ22" i="7"/>
  <c r="BT23" i="7"/>
  <c r="AB24" i="7"/>
  <c r="BZ27" i="7"/>
  <c r="AH29" i="7"/>
  <c r="AY29" i="7"/>
  <c r="AH30" i="7"/>
  <c r="AQ30" i="7"/>
  <c r="AQ32" i="7"/>
  <c r="BO31" i="7"/>
  <c r="CT31" i="7"/>
  <c r="V33" i="7"/>
  <c r="D34" i="7"/>
  <c r="C34" i="7" s="1"/>
  <c r="K34" i="7" s="1"/>
  <c r="Y34" i="7"/>
  <c r="AT35" i="7"/>
  <c r="BB35" i="7"/>
  <c r="BK35" i="7"/>
  <c r="AN36" i="7"/>
  <c r="BH37" i="7"/>
  <c r="BQ37" i="7"/>
  <c r="AN38" i="7"/>
  <c r="BK38" i="7"/>
  <c r="AH39" i="7"/>
  <c r="BB40" i="7"/>
  <c r="BN41" i="7"/>
  <c r="AT42" i="7"/>
  <c r="J45" i="7"/>
  <c r="AH45" i="7"/>
  <c r="AQ45" i="7"/>
  <c r="U46" i="7"/>
  <c r="AT46" i="7"/>
  <c r="BH46" i="7"/>
  <c r="D50" i="7"/>
  <c r="J50" i="7"/>
  <c r="AQ50" i="7"/>
  <c r="BQ51" i="7"/>
  <c r="AE52" i="7"/>
  <c r="AM52" i="7"/>
  <c r="AV52" i="7"/>
  <c r="AN55" i="7"/>
  <c r="Y58" i="7"/>
  <c r="V59" i="7"/>
  <c r="BZ60" i="7"/>
  <c r="J62" i="7"/>
  <c r="AN63" i="7"/>
  <c r="O52" i="7"/>
  <c r="AB65" i="7"/>
  <c r="N66" i="7"/>
  <c r="N68" i="7"/>
  <c r="V68" i="7"/>
  <c r="Y69" i="7"/>
  <c r="AN69" i="7"/>
  <c r="V70" i="7"/>
  <c r="AT70" i="7"/>
  <c r="V72" i="7"/>
  <c r="AT72" i="7"/>
  <c r="N73" i="7"/>
  <c r="AH76" i="7"/>
  <c r="AQ77" i="7"/>
  <c r="AN78" i="7"/>
  <c r="J80" i="7"/>
  <c r="U81" i="7"/>
  <c r="AB81" i="7"/>
  <c r="BZ81" i="7"/>
  <c r="AN82" i="7"/>
  <c r="AH84" i="7"/>
  <c r="AQ84" i="7"/>
  <c r="J87" i="7"/>
  <c r="V15" i="8"/>
  <c r="Y28" i="8"/>
  <c r="V40" i="8"/>
  <c r="D46" i="8"/>
  <c r="J53" i="8"/>
  <c r="D87" i="8"/>
  <c r="M87" i="8" s="1"/>
  <c r="J96" i="8"/>
  <c r="D34" i="9"/>
  <c r="J43" i="9"/>
  <c r="J48" i="9"/>
  <c r="D55" i="9"/>
  <c r="C55" i="9" s="1"/>
  <c r="J65" i="9"/>
  <c r="V67" i="9"/>
  <c r="D68" i="9"/>
  <c r="D85" i="9"/>
  <c r="D92" i="9"/>
  <c r="J103" i="9"/>
  <c r="T15" i="10"/>
  <c r="AE16" i="10"/>
  <c r="AB38" i="10"/>
  <c r="Z39" i="10"/>
  <c r="T42" i="10"/>
  <c r="T43" i="10"/>
  <c r="D85" i="12"/>
  <c r="J100" i="12"/>
  <c r="T17" i="13"/>
  <c r="N55" i="6"/>
  <c r="U57" i="6"/>
  <c r="J68" i="6"/>
  <c r="J69" i="6"/>
  <c r="D75" i="6"/>
  <c r="N83" i="6"/>
  <c r="J91" i="6"/>
  <c r="N93" i="6"/>
  <c r="J103" i="6"/>
  <c r="AD13" i="7"/>
  <c r="N22" i="7"/>
  <c r="N26" i="7"/>
  <c r="BG31" i="7"/>
  <c r="BS31" i="7"/>
  <c r="N35" i="7"/>
  <c r="F31" i="7"/>
  <c r="AP31" i="7"/>
  <c r="N40" i="7"/>
  <c r="S31" i="7"/>
  <c r="U51" i="7"/>
  <c r="Q64" i="7"/>
  <c r="U67" i="7"/>
  <c r="N81" i="7"/>
  <c r="N20" i="8"/>
  <c r="AG29" i="10"/>
  <c r="AE29" i="10"/>
  <c r="D38" i="10"/>
  <c r="M38" i="10" s="1"/>
  <c r="J82" i="11"/>
  <c r="BI19" i="12"/>
  <c r="J51" i="6"/>
  <c r="Y53" i="6"/>
  <c r="D62" i="6"/>
  <c r="C62" i="6" s="1"/>
  <c r="J64" i="6"/>
  <c r="N66" i="6"/>
  <c r="D69" i="6"/>
  <c r="U69" i="6"/>
  <c r="N87" i="6"/>
  <c r="D103" i="6"/>
  <c r="CV13" i="7"/>
  <c r="J16" i="7"/>
  <c r="CK13" i="7"/>
  <c r="U17" i="7"/>
  <c r="BQ17" i="7"/>
  <c r="J19" i="7"/>
  <c r="AH19" i="7"/>
  <c r="AQ19" i="7"/>
  <c r="BT20" i="7"/>
  <c r="Y27" i="7"/>
  <c r="BT27" i="7"/>
  <c r="BQ32" i="7"/>
  <c r="BZ32" i="7"/>
  <c r="D36" i="7"/>
  <c r="C36" i="7" s="1"/>
  <c r="AQ36" i="7"/>
  <c r="U37" i="7"/>
  <c r="BB37" i="7"/>
  <c r="D41" i="7"/>
  <c r="AB41" i="7"/>
  <c r="BH41" i="7"/>
  <c r="N42" i="7"/>
  <c r="Y43" i="7"/>
  <c r="J44" i="7"/>
  <c r="BW44" i="7"/>
  <c r="CO45" i="7"/>
  <c r="N46" i="7"/>
  <c r="Y47" i="7"/>
  <c r="J48" i="7"/>
  <c r="AB48" i="7"/>
  <c r="BH48" i="7"/>
  <c r="V51" i="7"/>
  <c r="BH53" i="7"/>
  <c r="N54" i="7"/>
  <c r="J55" i="7"/>
  <c r="AH55" i="7"/>
  <c r="AQ55" i="7"/>
  <c r="Y57" i="7"/>
  <c r="AN57" i="7"/>
  <c r="BW58" i="7"/>
  <c r="J60" i="7"/>
  <c r="CI60" i="7"/>
  <c r="AK61" i="7"/>
  <c r="AT61" i="7"/>
  <c r="BZ61" i="7"/>
  <c r="CR61" i="7"/>
  <c r="AH63" i="7"/>
  <c r="AQ63" i="7"/>
  <c r="J64" i="7"/>
  <c r="Y66" i="7"/>
  <c r="CU66" i="7"/>
  <c r="N67" i="7"/>
  <c r="V67" i="7"/>
  <c r="Y68" i="7"/>
  <c r="AB69" i="7"/>
  <c r="AQ69" i="7"/>
  <c r="D70" i="7"/>
  <c r="BT71" i="7"/>
  <c r="U75" i="7"/>
  <c r="BG74" i="7"/>
  <c r="N76" i="7"/>
  <c r="AT76" i="7"/>
  <c r="BB76" i="7"/>
  <c r="BQ76" i="7"/>
  <c r="U77" i="7"/>
  <c r="BQ77" i="7"/>
  <c r="J78" i="7"/>
  <c r="AH78" i="7"/>
  <c r="AQ78" i="7"/>
  <c r="BT81" i="7"/>
  <c r="D82" i="7"/>
  <c r="AH82" i="7"/>
  <c r="BW82" i="7"/>
  <c r="AT85" i="7"/>
  <c r="BZ87" i="7"/>
  <c r="Y18" i="8"/>
  <c r="V25" i="8"/>
  <c r="Y37" i="8"/>
  <c r="Y41" i="8"/>
  <c r="J59" i="8"/>
  <c r="Y65" i="8"/>
  <c r="V83" i="8"/>
  <c r="V84" i="8"/>
  <c r="J91" i="8"/>
  <c r="J20" i="9"/>
  <c r="J27" i="9"/>
  <c r="V30" i="9"/>
  <c r="J62" i="9"/>
  <c r="J75" i="9"/>
  <c r="V76" i="9"/>
  <c r="D98" i="9"/>
  <c r="AG27" i="10"/>
  <c r="W28" i="10"/>
  <c r="T36" i="10"/>
  <c r="Z62" i="10"/>
  <c r="AB62" i="10"/>
  <c r="AG86" i="10"/>
  <c r="AE86" i="10"/>
  <c r="D50" i="12"/>
  <c r="M50" i="12" s="1"/>
  <c r="AC55" i="12"/>
  <c r="AK55" i="12"/>
  <c r="BA69" i="12"/>
  <c r="V86" i="7"/>
  <c r="AQ88" i="7"/>
  <c r="BW88" i="7"/>
  <c r="N104" i="7"/>
  <c r="D19" i="8"/>
  <c r="D20" i="8"/>
  <c r="N27" i="8"/>
  <c r="J60" i="8"/>
  <c r="V64" i="8"/>
  <c r="U69" i="8"/>
  <c r="V70" i="8"/>
  <c r="J73" i="8"/>
  <c r="Y73" i="8"/>
  <c r="V80" i="8"/>
  <c r="U81" i="8"/>
  <c r="Y83" i="8"/>
  <c r="V87" i="8"/>
  <c r="U16" i="9"/>
  <c r="J18" i="9"/>
  <c r="D20" i="9"/>
  <c r="C20" i="9" s="1"/>
  <c r="U22" i="9"/>
  <c r="V25" i="9"/>
  <c r="Z39" i="9"/>
  <c r="J42" i="9"/>
  <c r="J45" i="9"/>
  <c r="Z45" i="9"/>
  <c r="D48" i="9"/>
  <c r="M48" i="9" s="1"/>
  <c r="V57" i="9"/>
  <c r="D62" i="9"/>
  <c r="M62" i="9" s="1"/>
  <c r="J63" i="9"/>
  <c r="Z63" i="9"/>
  <c r="D78" i="9"/>
  <c r="M78" i="9" s="1"/>
  <c r="D79" i="9"/>
  <c r="V88" i="9"/>
  <c r="U9" i="9"/>
  <c r="W15" i="10"/>
  <c r="D19" i="10"/>
  <c r="D25" i="10"/>
  <c r="C25" i="10" s="1"/>
  <c r="K25" i="10" s="1"/>
  <c r="J28" i="10"/>
  <c r="W30" i="10"/>
  <c r="W34" i="10"/>
  <c r="W36" i="10"/>
  <c r="T39" i="10"/>
  <c r="AB39" i="10"/>
  <c r="T40" i="10"/>
  <c r="J47" i="10"/>
  <c r="W48" i="10"/>
  <c r="AB49" i="10"/>
  <c r="Z55" i="10"/>
  <c r="AG57" i="10"/>
  <c r="T68" i="10"/>
  <c r="D79" i="10"/>
  <c r="AE83" i="10"/>
  <c r="AG83" i="10"/>
  <c r="J68" i="11"/>
  <c r="J72" i="11"/>
  <c r="P76" i="11"/>
  <c r="BA17" i="12"/>
  <c r="M37" i="12"/>
  <c r="BE53" i="12"/>
  <c r="T13" i="16"/>
  <c r="AC13" i="16"/>
  <c r="M34" i="16"/>
  <c r="T25" i="20"/>
  <c r="R13" i="20"/>
  <c r="BY74" i="7"/>
  <c r="J85" i="7"/>
  <c r="N88" i="7"/>
  <c r="BZ88" i="7"/>
  <c r="D14" i="8"/>
  <c r="Y15" i="8"/>
  <c r="N16" i="8"/>
  <c r="U23" i="8"/>
  <c r="Y26" i="8"/>
  <c r="N41" i="8"/>
  <c r="N53" i="8"/>
  <c r="N65" i="8"/>
  <c r="J93" i="8"/>
  <c r="N15" i="9"/>
  <c r="AI38" i="9"/>
  <c r="U51" i="9"/>
  <c r="AF51" i="9"/>
  <c r="Z53" i="9"/>
  <c r="D56" i="9"/>
  <c r="M56" i="9" s="1"/>
  <c r="U56" i="9"/>
  <c r="AF56" i="9"/>
  <c r="AI58" i="9"/>
  <c r="D63" i="9"/>
  <c r="U63" i="9"/>
  <c r="AC64" i="9"/>
  <c r="N65" i="9"/>
  <c r="AF65" i="9"/>
  <c r="AC70" i="9"/>
  <c r="AI71" i="9"/>
  <c r="V72" i="9"/>
  <c r="AC80" i="9"/>
  <c r="AI81" i="9"/>
  <c r="AF86" i="9"/>
  <c r="J93" i="9"/>
  <c r="AB21" i="10"/>
  <c r="AG28" i="10"/>
  <c r="AB29" i="10"/>
  <c r="N45" i="10"/>
  <c r="AC49" i="12"/>
  <c r="AN52" i="12"/>
  <c r="T74" i="12"/>
  <c r="AR74" i="12"/>
  <c r="BH74" i="12"/>
  <c r="W83" i="13"/>
  <c r="K24" i="16"/>
  <c r="BT82" i="7"/>
  <c r="D83" i="7"/>
  <c r="AB83" i="7"/>
  <c r="AN84" i="7"/>
  <c r="D85" i="7"/>
  <c r="AH85" i="7"/>
  <c r="N87" i="7"/>
  <c r="V88" i="7"/>
  <c r="V18" i="8"/>
  <c r="D25" i="8"/>
  <c r="C25" i="8" s="1"/>
  <c r="D26" i="8"/>
  <c r="N28" i="8"/>
  <c r="Y34" i="8"/>
  <c r="U39" i="8"/>
  <c r="U42" i="8"/>
  <c r="D43" i="8"/>
  <c r="C43" i="8" s="1"/>
  <c r="K43" i="8" s="1"/>
  <c r="C55" i="8"/>
  <c r="Y56" i="8"/>
  <c r="N59" i="8"/>
  <c r="U67" i="8"/>
  <c r="Y70" i="8"/>
  <c r="V71" i="8"/>
  <c r="U72" i="8"/>
  <c r="X74" i="8"/>
  <c r="J79" i="8"/>
  <c r="J80" i="8"/>
  <c r="N82" i="8"/>
  <c r="V82" i="8"/>
  <c r="C90" i="8"/>
  <c r="N101" i="8"/>
  <c r="J107" i="8"/>
  <c r="N16" i="9"/>
  <c r="AI16" i="9"/>
  <c r="V20" i="9"/>
  <c r="AF20" i="9"/>
  <c r="U23" i="9"/>
  <c r="D24" i="9"/>
  <c r="J25" i="9"/>
  <c r="U29" i="9"/>
  <c r="D30" i="9"/>
  <c r="C30" i="9" s="1"/>
  <c r="K30" i="9" s="1"/>
  <c r="J32" i="9"/>
  <c r="AF39" i="9"/>
  <c r="D42" i="9"/>
  <c r="M42" i="9" s="1"/>
  <c r="U42" i="9"/>
  <c r="AF42" i="9"/>
  <c r="AI44" i="9"/>
  <c r="AF45" i="9"/>
  <c r="AI48" i="9"/>
  <c r="J50" i="9"/>
  <c r="AC50" i="9"/>
  <c r="U53" i="9"/>
  <c r="U59" i="9"/>
  <c r="AF59" i="9"/>
  <c r="T52" i="9"/>
  <c r="AI62" i="9"/>
  <c r="AF63" i="9"/>
  <c r="U66" i="9"/>
  <c r="D67" i="9"/>
  <c r="C67" i="9" s="1"/>
  <c r="K67" i="9" s="1"/>
  <c r="AF69" i="9"/>
  <c r="N72" i="9"/>
  <c r="AI72" i="9"/>
  <c r="T74" i="9"/>
  <c r="AF75" i="9"/>
  <c r="J77" i="9"/>
  <c r="N82" i="9"/>
  <c r="AI82" i="9"/>
  <c r="Z87" i="9"/>
  <c r="J95" i="9"/>
  <c r="J101" i="9"/>
  <c r="J107" i="9"/>
  <c r="Z15" i="10"/>
  <c r="D16" i="10"/>
  <c r="C16" i="10" s="1"/>
  <c r="K16" i="10" s="1"/>
  <c r="Z16" i="10"/>
  <c r="AE20" i="10"/>
  <c r="N21" i="10"/>
  <c r="AE23" i="10"/>
  <c r="T27" i="10"/>
  <c r="AB27" i="10"/>
  <c r="T28" i="10"/>
  <c r="J30" i="10"/>
  <c r="Z33" i="10"/>
  <c r="J34" i="10"/>
  <c r="AE34" i="10"/>
  <c r="W40" i="10"/>
  <c r="J43" i="10"/>
  <c r="AB43" i="10"/>
  <c r="D44" i="10"/>
  <c r="AE44" i="10"/>
  <c r="N46" i="10"/>
  <c r="D47" i="10"/>
  <c r="M47" i="10" s="1"/>
  <c r="D49" i="10"/>
  <c r="N55" i="10"/>
  <c r="T55" i="10"/>
  <c r="AB87" i="10"/>
  <c r="Z87" i="10"/>
  <c r="Y27" i="12"/>
  <c r="AO27" i="12"/>
  <c r="AK29" i="12"/>
  <c r="BI29" i="12"/>
  <c r="BI38" i="12"/>
  <c r="BI39" i="12"/>
  <c r="J41" i="12"/>
  <c r="Y41" i="12"/>
  <c r="J46" i="12"/>
  <c r="AC65" i="12"/>
  <c r="Y72" i="12"/>
  <c r="AW72" i="12"/>
  <c r="M79" i="12"/>
  <c r="J79" i="12"/>
  <c r="Y82" i="12"/>
  <c r="AO82" i="12"/>
  <c r="AW82" i="12"/>
  <c r="D83" i="12"/>
  <c r="AW85" i="12"/>
  <c r="AC87" i="12"/>
  <c r="AK87" i="12"/>
  <c r="T28" i="13"/>
  <c r="J51" i="14"/>
  <c r="Y54" i="14"/>
  <c r="D84" i="7"/>
  <c r="Y84" i="7"/>
  <c r="D86" i="7"/>
  <c r="AB86" i="7"/>
  <c r="BQ86" i="7"/>
  <c r="BQ87" i="7"/>
  <c r="CQ74" i="7"/>
  <c r="J94" i="7"/>
  <c r="D98" i="7"/>
  <c r="J101" i="7"/>
  <c r="D106" i="7"/>
  <c r="C106" i="7" s="1"/>
  <c r="K106" i="7" s="1"/>
  <c r="D108" i="7"/>
  <c r="M108" i="7" s="1"/>
  <c r="Y16" i="8"/>
  <c r="N19" i="8"/>
  <c r="D21" i="8"/>
  <c r="M21" i="8" s="1"/>
  <c r="U24" i="8"/>
  <c r="U25" i="8"/>
  <c r="D27" i="8"/>
  <c r="V30" i="8"/>
  <c r="U34" i="8"/>
  <c r="V36" i="8"/>
  <c r="N37" i="8"/>
  <c r="D45" i="8"/>
  <c r="M45" i="8" s="1"/>
  <c r="U48" i="8"/>
  <c r="U49" i="8"/>
  <c r="N54" i="8"/>
  <c r="D57" i="8"/>
  <c r="M57" i="8" s="1"/>
  <c r="D58" i="8"/>
  <c r="Y58" i="8"/>
  <c r="U60" i="8"/>
  <c r="D62" i="8"/>
  <c r="J64" i="8"/>
  <c r="N66" i="8"/>
  <c r="N67" i="8"/>
  <c r="V67" i="8"/>
  <c r="D69" i="8"/>
  <c r="D70" i="8"/>
  <c r="N72" i="8"/>
  <c r="V72" i="8"/>
  <c r="U75" i="8"/>
  <c r="D76" i="8"/>
  <c r="C76" i="8" s="1"/>
  <c r="K76" i="8" s="1"/>
  <c r="Y81" i="8"/>
  <c r="U83" i="8"/>
  <c r="U84" i="8"/>
  <c r="J86" i="8"/>
  <c r="D107" i="8"/>
  <c r="X13" i="9"/>
  <c r="V18" i="9"/>
  <c r="U24" i="9"/>
  <c r="V26" i="9"/>
  <c r="W31" i="9"/>
  <c r="AE31" i="9"/>
  <c r="V33" i="9"/>
  <c r="N35" i="9"/>
  <c r="U36" i="9"/>
  <c r="D37" i="9"/>
  <c r="U40" i="9"/>
  <c r="Z43" i="9"/>
  <c r="N45" i="9"/>
  <c r="U46" i="9"/>
  <c r="D47" i="9"/>
  <c r="U49" i="9"/>
  <c r="AF49" i="9"/>
  <c r="AI51" i="9"/>
  <c r="AF53" i="9"/>
  <c r="N56" i="9"/>
  <c r="AI56" i="9"/>
  <c r="J58" i="9"/>
  <c r="N59" i="9"/>
  <c r="D61" i="9"/>
  <c r="N63" i="9"/>
  <c r="U64" i="9"/>
  <c r="V66" i="9"/>
  <c r="J68" i="9"/>
  <c r="U76" i="9"/>
  <c r="D77" i="9"/>
  <c r="W74" i="9"/>
  <c r="AE74" i="9"/>
  <c r="J81" i="9"/>
  <c r="Z81" i="9"/>
  <c r="J85" i="9"/>
  <c r="J92" i="9"/>
  <c r="J98" i="9"/>
  <c r="D107" i="9"/>
  <c r="T16" i="10"/>
  <c r="W19" i="10"/>
  <c r="N20" i="10"/>
  <c r="AE22" i="10"/>
  <c r="AG24" i="10"/>
  <c r="W25" i="10"/>
  <c r="T26" i="10"/>
  <c r="D33" i="10"/>
  <c r="M33" i="10" s="1"/>
  <c r="D34" i="10"/>
  <c r="AG34" i="10"/>
  <c r="J35" i="10"/>
  <c r="K35" i="10" s="1"/>
  <c r="AB35" i="10"/>
  <c r="J38" i="10"/>
  <c r="AG40" i="10"/>
  <c r="J41" i="10"/>
  <c r="J45" i="10"/>
  <c r="J50" i="10"/>
  <c r="N53" i="10"/>
  <c r="W53" i="10"/>
  <c r="W55" i="10"/>
  <c r="D73" i="10"/>
  <c r="D95" i="10"/>
  <c r="M95" i="10" s="1"/>
  <c r="D57" i="11"/>
  <c r="C57" i="11" s="1"/>
  <c r="K57" i="11" s="1"/>
  <c r="J101" i="11"/>
  <c r="BE21" i="12"/>
  <c r="BE45" i="12"/>
  <c r="J60" i="12"/>
  <c r="J72" i="12"/>
  <c r="BE75" i="12"/>
  <c r="BE81" i="12"/>
  <c r="J20" i="13"/>
  <c r="T24" i="13"/>
  <c r="J59" i="10"/>
  <c r="D61" i="10"/>
  <c r="D62" i="10"/>
  <c r="C62" i="10" s="1"/>
  <c r="K62" i="10" s="1"/>
  <c r="J65" i="10"/>
  <c r="W67" i="10"/>
  <c r="N68" i="10"/>
  <c r="AG69" i="10"/>
  <c r="T72" i="10"/>
  <c r="D91" i="10"/>
  <c r="M91" i="10" s="1"/>
  <c r="D92" i="10"/>
  <c r="J97" i="10"/>
  <c r="J102" i="10"/>
  <c r="D105" i="10"/>
  <c r="M105" i="10" s="1"/>
  <c r="J16" i="11"/>
  <c r="J18" i="11"/>
  <c r="J25" i="11"/>
  <c r="T36" i="11"/>
  <c r="J42" i="11"/>
  <c r="S52" i="11"/>
  <c r="J58" i="11"/>
  <c r="D63" i="11"/>
  <c r="M63" i="11" s="1"/>
  <c r="D75" i="11"/>
  <c r="J79" i="11"/>
  <c r="D93" i="11"/>
  <c r="D98" i="11"/>
  <c r="J99" i="11"/>
  <c r="D102" i="11"/>
  <c r="C102" i="11" s="1"/>
  <c r="K102" i="11" s="1"/>
  <c r="R13" i="12"/>
  <c r="AK14" i="12"/>
  <c r="AP13" i="12"/>
  <c r="BI14" i="12"/>
  <c r="BI15" i="12"/>
  <c r="AS17" i="12"/>
  <c r="J18" i="12"/>
  <c r="AS19" i="12"/>
  <c r="AC23" i="12"/>
  <c r="BA23" i="12"/>
  <c r="Y25" i="12"/>
  <c r="U29" i="12"/>
  <c r="J30" i="12"/>
  <c r="D36" i="12"/>
  <c r="AC36" i="12"/>
  <c r="AK36" i="12"/>
  <c r="BA36" i="12"/>
  <c r="BI36" i="12"/>
  <c r="Y39" i="12"/>
  <c r="J40" i="12"/>
  <c r="AW41" i="12"/>
  <c r="BE41" i="12"/>
  <c r="D42" i="12"/>
  <c r="D44" i="12"/>
  <c r="M44" i="12" s="1"/>
  <c r="AC46" i="12"/>
  <c r="AK46" i="12"/>
  <c r="BA46" i="12"/>
  <c r="BI46" i="12"/>
  <c r="AK47" i="12"/>
  <c r="BA47" i="12"/>
  <c r="BI50" i="12"/>
  <c r="BA51" i="12"/>
  <c r="BI51" i="12"/>
  <c r="BA55" i="12"/>
  <c r="AC57" i="12"/>
  <c r="AK57" i="12"/>
  <c r="AC58" i="12"/>
  <c r="AK58" i="12"/>
  <c r="BA58" i="12"/>
  <c r="BI58" i="12"/>
  <c r="D60" i="12"/>
  <c r="N61" i="12"/>
  <c r="Y63" i="12"/>
  <c r="BI65" i="12"/>
  <c r="AS66" i="12"/>
  <c r="AC67" i="12"/>
  <c r="AK67" i="12"/>
  <c r="BI68" i="12"/>
  <c r="Y69" i="12"/>
  <c r="AG69" i="12"/>
  <c r="AG76" i="12"/>
  <c r="AN74" i="12"/>
  <c r="AO78" i="12"/>
  <c r="U79" i="12"/>
  <c r="Y80" i="12"/>
  <c r="AW80" i="12"/>
  <c r="D81" i="12"/>
  <c r="U81" i="12"/>
  <c r="D82" i="12"/>
  <c r="D84" i="12"/>
  <c r="C84" i="12" s="1"/>
  <c r="K84" i="12" s="1"/>
  <c r="U84" i="12"/>
  <c r="AK84" i="12"/>
  <c r="AS84" i="12"/>
  <c r="BI84" i="12"/>
  <c r="AK85" i="12"/>
  <c r="AS85" i="12"/>
  <c r="N87" i="12"/>
  <c r="U87" i="12"/>
  <c r="BI87" i="12"/>
  <c r="N88" i="12"/>
  <c r="N91" i="12"/>
  <c r="D93" i="12"/>
  <c r="M93" i="12" s="1"/>
  <c r="D97" i="12"/>
  <c r="J98" i="12"/>
  <c r="N99" i="12"/>
  <c r="J14" i="13"/>
  <c r="J18" i="13"/>
  <c r="N24" i="13"/>
  <c r="T29" i="13"/>
  <c r="K66" i="13"/>
  <c r="D95" i="13"/>
  <c r="Y27" i="14"/>
  <c r="Y41" i="14"/>
  <c r="Y43" i="14"/>
  <c r="J48" i="14"/>
  <c r="AO7" i="15"/>
  <c r="AR7" i="15" s="1"/>
  <c r="AR9" i="15"/>
  <c r="W13" i="16"/>
  <c r="AS13" i="16"/>
  <c r="BH13" i="16"/>
  <c r="BN13" i="16"/>
  <c r="J23" i="16"/>
  <c r="D44" i="16"/>
  <c r="C44" i="16" s="1"/>
  <c r="D46" i="16"/>
  <c r="C46" i="16" s="1"/>
  <c r="D66" i="20"/>
  <c r="Q76" i="11"/>
  <c r="AB13" i="12"/>
  <c r="AE13" i="12"/>
  <c r="U23" i="12"/>
  <c r="AG35" i="12"/>
  <c r="N37" i="12"/>
  <c r="U52" i="13"/>
  <c r="W52" i="13" s="1"/>
  <c r="W86" i="14"/>
  <c r="Y86" i="14" s="1"/>
  <c r="AH13" i="16"/>
  <c r="AO13" i="16"/>
  <c r="BY13" i="16"/>
  <c r="AK31" i="16"/>
  <c r="BW31" i="16"/>
  <c r="AS31" i="16"/>
  <c r="D59" i="10"/>
  <c r="M59" i="10" s="1"/>
  <c r="D65" i="10"/>
  <c r="M65" i="10" s="1"/>
  <c r="M69" i="10"/>
  <c r="AD74" i="10"/>
  <c r="J82" i="10"/>
  <c r="D84" i="10"/>
  <c r="H89" i="10"/>
  <c r="H9" i="10" s="1"/>
  <c r="D97" i="10"/>
  <c r="M97" i="10" s="1"/>
  <c r="T14" i="11"/>
  <c r="O13" i="11"/>
  <c r="J29" i="11"/>
  <c r="N36" i="11"/>
  <c r="C50" i="11"/>
  <c r="K50" i="11" s="1"/>
  <c r="D67" i="11"/>
  <c r="D69" i="11"/>
  <c r="J76" i="11"/>
  <c r="F74" i="11"/>
  <c r="J83" i="11"/>
  <c r="J107" i="11"/>
  <c r="Y15" i="12"/>
  <c r="AG16" i="12"/>
  <c r="BE17" i="12"/>
  <c r="D18" i="12"/>
  <c r="C18" i="12" s="1"/>
  <c r="K18" i="12" s="1"/>
  <c r="U19" i="12"/>
  <c r="AG19" i="12"/>
  <c r="BA21" i="12"/>
  <c r="BI21" i="12"/>
  <c r="N22" i="12"/>
  <c r="D25" i="12"/>
  <c r="C25" i="12" s="1"/>
  <c r="K25" i="12" s="1"/>
  <c r="AO25" i="12"/>
  <c r="BE25" i="12"/>
  <c r="AC27" i="12"/>
  <c r="AK27" i="12"/>
  <c r="Y29" i="12"/>
  <c r="AO29" i="12"/>
  <c r="U30" i="12"/>
  <c r="AS30" i="12"/>
  <c r="BI30" i="12"/>
  <c r="AK32" i="12"/>
  <c r="BI32" i="12"/>
  <c r="N33" i="12"/>
  <c r="AC35" i="12"/>
  <c r="U40" i="12"/>
  <c r="AC40" i="12"/>
  <c r="AK40" i="12"/>
  <c r="AS40" i="12"/>
  <c r="BA40" i="12"/>
  <c r="BI40" i="12"/>
  <c r="N41" i="12"/>
  <c r="AK41" i="12"/>
  <c r="BA41" i="12"/>
  <c r="N42" i="12"/>
  <c r="AG43" i="12"/>
  <c r="BA45" i="12"/>
  <c r="N46" i="12"/>
  <c r="AG47" i="12"/>
  <c r="Y51" i="12"/>
  <c r="AO51" i="12"/>
  <c r="BE51" i="12"/>
  <c r="J55" i="12"/>
  <c r="AO55" i="12"/>
  <c r="AG57" i="12"/>
  <c r="BI57" i="12"/>
  <c r="N60" i="12"/>
  <c r="D62" i="12"/>
  <c r="C62" i="12" s="1"/>
  <c r="K62" i="12" s="1"/>
  <c r="J66" i="12"/>
  <c r="AG68" i="12"/>
  <c r="AW68" i="12"/>
  <c r="AO70" i="12"/>
  <c r="BE70" i="12"/>
  <c r="N79" i="12"/>
  <c r="N86" i="12"/>
  <c r="O89" i="12"/>
  <c r="O9" i="12" s="1"/>
  <c r="F13" i="13"/>
  <c r="D22" i="13"/>
  <c r="D30" i="13"/>
  <c r="M30" i="13" s="1"/>
  <c r="D35" i="13"/>
  <c r="D41" i="13"/>
  <c r="AC74" i="13"/>
  <c r="J98" i="13"/>
  <c r="J27" i="14"/>
  <c r="D40" i="14"/>
  <c r="M40" i="14" s="1"/>
  <c r="AA74" i="14"/>
  <c r="J81" i="14"/>
  <c r="Y81" i="14"/>
  <c r="J104" i="14"/>
  <c r="BA13" i="16"/>
  <c r="BG13" i="16"/>
  <c r="BM13" i="16"/>
  <c r="J32" i="16"/>
  <c r="BZ31" i="16"/>
  <c r="CF31" i="16"/>
  <c r="D35" i="16"/>
  <c r="M35" i="16" s="1"/>
  <c r="D108" i="16"/>
  <c r="D27" i="17"/>
  <c r="M27" i="17" s="1"/>
  <c r="J65" i="20"/>
  <c r="N65" i="20"/>
  <c r="D68" i="10"/>
  <c r="Z69" i="10"/>
  <c r="D70" i="10"/>
  <c r="M70" i="10" s="1"/>
  <c r="AG71" i="10"/>
  <c r="J72" i="10"/>
  <c r="J73" i="10"/>
  <c r="D75" i="10"/>
  <c r="M75" i="10" s="1"/>
  <c r="J76" i="10"/>
  <c r="AG77" i="10"/>
  <c r="J79" i="10"/>
  <c r="D80" i="10"/>
  <c r="D81" i="10"/>
  <c r="M81" i="10" s="1"/>
  <c r="J90" i="10"/>
  <c r="D94" i="10"/>
  <c r="J95" i="10"/>
  <c r="J100" i="10"/>
  <c r="D104" i="10"/>
  <c r="J15" i="11"/>
  <c r="J17" i="11"/>
  <c r="J19" i="11"/>
  <c r="I13" i="11"/>
  <c r="D29" i="11"/>
  <c r="M29" i="11" s="1"/>
  <c r="N30" i="11"/>
  <c r="J32" i="11"/>
  <c r="J34" i="11"/>
  <c r="J43" i="11"/>
  <c r="J59" i="11"/>
  <c r="J64" i="11"/>
  <c r="T69" i="11"/>
  <c r="D73" i="11"/>
  <c r="N75" i="11"/>
  <c r="J78" i="11"/>
  <c r="D83" i="11"/>
  <c r="D88" i="11"/>
  <c r="C88" i="11" s="1"/>
  <c r="K88" i="11" s="1"/>
  <c r="N93" i="11"/>
  <c r="D15" i="12"/>
  <c r="C15" i="12" s="1"/>
  <c r="AW15" i="12"/>
  <c r="N19" i="12"/>
  <c r="U25" i="12"/>
  <c r="U26" i="12"/>
  <c r="AC26" i="12"/>
  <c r="AK26" i="12"/>
  <c r="AS26" i="12"/>
  <c r="BA26" i="12"/>
  <c r="BI26" i="12"/>
  <c r="N27" i="12"/>
  <c r="BI27" i="12"/>
  <c r="AG28" i="12"/>
  <c r="J29" i="12"/>
  <c r="AG29" i="12"/>
  <c r="BI33" i="12"/>
  <c r="AC34" i="12"/>
  <c r="BA34" i="12"/>
  <c r="Y36" i="12"/>
  <c r="AO36" i="12"/>
  <c r="AW36" i="12"/>
  <c r="BE36" i="12"/>
  <c r="D38" i="12"/>
  <c r="M38" i="12" s="1"/>
  <c r="AO43" i="12"/>
  <c r="AG45" i="12"/>
  <c r="BI45" i="12"/>
  <c r="J47" i="12"/>
  <c r="AW49" i="12"/>
  <c r="J50" i="12"/>
  <c r="AG53" i="12"/>
  <c r="J56" i="12"/>
  <c r="AG56" i="12"/>
  <c r="D57" i="12"/>
  <c r="J58" i="12"/>
  <c r="Y58" i="12"/>
  <c r="AO58" i="12"/>
  <c r="AW58" i="12"/>
  <c r="BE58" i="12"/>
  <c r="D59" i="12"/>
  <c r="J61" i="12"/>
  <c r="AS63" i="12"/>
  <c r="AG65" i="12"/>
  <c r="AG66" i="12"/>
  <c r="J67" i="12"/>
  <c r="AG67" i="12"/>
  <c r="AO67" i="12"/>
  <c r="AC69" i="12"/>
  <c r="AK69" i="12"/>
  <c r="AS69" i="12"/>
  <c r="J73" i="12"/>
  <c r="AC75" i="12"/>
  <c r="AW75" i="12"/>
  <c r="U76" i="12"/>
  <c r="AS76" i="12"/>
  <c r="N78" i="12"/>
  <c r="AK79" i="12"/>
  <c r="BA79" i="12"/>
  <c r="BI79" i="12"/>
  <c r="AK80" i="12"/>
  <c r="BI80" i="12"/>
  <c r="Y81" i="12"/>
  <c r="AG81" i="12"/>
  <c r="Y84" i="12"/>
  <c r="AG84" i="12"/>
  <c r="AW84" i="12"/>
  <c r="BE84" i="12"/>
  <c r="BI85" i="12"/>
  <c r="AG86" i="12"/>
  <c r="J92" i="12"/>
  <c r="D95" i="12"/>
  <c r="T14" i="13"/>
  <c r="Z15" i="13"/>
  <c r="W18" i="13"/>
  <c r="T19" i="13"/>
  <c r="D23" i="13"/>
  <c r="D24" i="13"/>
  <c r="M24" i="13" s="1"/>
  <c r="N37" i="13"/>
  <c r="N43" i="13"/>
  <c r="N46" i="13"/>
  <c r="T56" i="13"/>
  <c r="J57" i="13"/>
  <c r="Z57" i="13"/>
  <c r="C62" i="13"/>
  <c r="O52" i="13"/>
  <c r="Z62" i="13"/>
  <c r="N63" i="13"/>
  <c r="D72" i="13"/>
  <c r="D98" i="13"/>
  <c r="M98" i="13" s="1"/>
  <c r="V18" i="14"/>
  <c r="Y20" i="14"/>
  <c r="D66" i="14"/>
  <c r="R74" i="14"/>
  <c r="D81" i="14"/>
  <c r="P97" i="14"/>
  <c r="C97" i="14"/>
  <c r="K97" i="14" s="1"/>
  <c r="D99" i="14"/>
  <c r="M99" i="14" s="1"/>
  <c r="U89" i="15"/>
  <c r="J17" i="16"/>
  <c r="BB13" i="16"/>
  <c r="CO13" i="16"/>
  <c r="J19" i="16"/>
  <c r="K19" i="16" s="1"/>
  <c r="R31" i="16"/>
  <c r="J14" i="20"/>
  <c r="D39" i="20"/>
  <c r="M39" i="20" s="1"/>
  <c r="D88" i="20"/>
  <c r="J29" i="21"/>
  <c r="D26" i="13"/>
  <c r="C26" i="13" s="1"/>
  <c r="K26" i="13" s="1"/>
  <c r="D27" i="13"/>
  <c r="W28" i="13"/>
  <c r="D33" i="13"/>
  <c r="J36" i="13"/>
  <c r="J42" i="13"/>
  <c r="T47" i="13"/>
  <c r="W49" i="13"/>
  <c r="T50" i="13"/>
  <c r="Z51" i="13"/>
  <c r="T53" i="13"/>
  <c r="J54" i="13"/>
  <c r="K54" i="13" s="1"/>
  <c r="W56" i="13"/>
  <c r="J58" i="13"/>
  <c r="J60" i="13"/>
  <c r="T62" i="13"/>
  <c r="W63" i="13"/>
  <c r="W65" i="13"/>
  <c r="T66" i="13"/>
  <c r="J67" i="13"/>
  <c r="Z67" i="13"/>
  <c r="D69" i="13"/>
  <c r="M69" i="13" s="1"/>
  <c r="D77" i="13"/>
  <c r="D79" i="13"/>
  <c r="W80" i="13"/>
  <c r="D81" i="13"/>
  <c r="D88" i="13"/>
  <c r="D96" i="13"/>
  <c r="M96" i="13" s="1"/>
  <c r="J97" i="13"/>
  <c r="D102" i="13"/>
  <c r="M102" i="13" s="1"/>
  <c r="N104" i="13"/>
  <c r="J19" i="14"/>
  <c r="D20" i="14"/>
  <c r="D23" i="14"/>
  <c r="M23" i="14" s="1"/>
  <c r="J24" i="14"/>
  <c r="D27" i="14"/>
  <c r="M27" i="14" s="1"/>
  <c r="U27" i="14"/>
  <c r="D28" i="14"/>
  <c r="M28" i="14" s="1"/>
  <c r="U28" i="14"/>
  <c r="V29" i="14"/>
  <c r="W33" i="14"/>
  <c r="Y33" i="14" s="1"/>
  <c r="V36" i="14"/>
  <c r="D42" i="14"/>
  <c r="C42" i="14" s="1"/>
  <c r="K42" i="14" s="1"/>
  <c r="W42" i="14"/>
  <c r="Y42" i="14" s="1"/>
  <c r="D45" i="14"/>
  <c r="M45" i="14" s="1"/>
  <c r="U45" i="14"/>
  <c r="D47" i="14"/>
  <c r="M47" i="14" s="1"/>
  <c r="V62" i="14"/>
  <c r="U75" i="14"/>
  <c r="W85" i="14"/>
  <c r="J93" i="14"/>
  <c r="D95" i="14"/>
  <c r="CP9" i="16"/>
  <c r="E13" i="16"/>
  <c r="L13" i="16"/>
  <c r="J13" i="16" s="1"/>
  <c r="AB14" i="16"/>
  <c r="BK13" i="16"/>
  <c r="U17" i="16"/>
  <c r="U22" i="16"/>
  <c r="AX22" i="16"/>
  <c r="U23" i="16"/>
  <c r="AB23" i="16"/>
  <c r="BR23" i="16"/>
  <c r="BR24" i="16"/>
  <c r="AB26" i="16"/>
  <c r="V27" i="16"/>
  <c r="BT28" i="16"/>
  <c r="J30" i="16"/>
  <c r="U32" i="16"/>
  <c r="AB32" i="16"/>
  <c r="AN33" i="16"/>
  <c r="AZ34" i="16"/>
  <c r="BT34" i="16"/>
  <c r="AX35" i="16"/>
  <c r="J36" i="16"/>
  <c r="AB36" i="16"/>
  <c r="AX37" i="16"/>
  <c r="AN38" i="16"/>
  <c r="D39" i="16"/>
  <c r="M39" i="16" s="1"/>
  <c r="V40" i="16"/>
  <c r="AL40" i="16"/>
  <c r="V41" i="16"/>
  <c r="AL41" i="16"/>
  <c r="V62" i="16"/>
  <c r="D63" i="16"/>
  <c r="C63" i="16" s="1"/>
  <c r="K63" i="16" s="1"/>
  <c r="D102" i="16"/>
  <c r="M102" i="16" s="1"/>
  <c r="U53" i="17"/>
  <c r="J55" i="17"/>
  <c r="D64" i="17"/>
  <c r="D70" i="17"/>
  <c r="M70" i="17" s="1"/>
  <c r="D71" i="17"/>
  <c r="M71" i="17" s="1"/>
  <c r="J97" i="17"/>
  <c r="J46" i="19"/>
  <c r="D48" i="19"/>
  <c r="J100" i="19"/>
  <c r="J106" i="19"/>
  <c r="J24" i="20"/>
  <c r="J35" i="20"/>
  <c r="D72" i="20"/>
  <c r="J101" i="20"/>
  <c r="T78" i="21"/>
  <c r="W16" i="14"/>
  <c r="W18" i="14"/>
  <c r="Y18" i="14" s="1"/>
  <c r="U37" i="14"/>
  <c r="W63" i="14"/>
  <c r="Y63" i="14" s="1"/>
  <c r="W67" i="14"/>
  <c r="Y67" i="14" s="1"/>
  <c r="AD74" i="14"/>
  <c r="U79" i="14"/>
  <c r="W79" i="14"/>
  <c r="Y79" i="14" s="1"/>
  <c r="BW13" i="16"/>
  <c r="CC13" i="16"/>
  <c r="CI13" i="16"/>
  <c r="AN15" i="16"/>
  <c r="AZ15" i="16"/>
  <c r="D16" i="16"/>
  <c r="C16" i="16" s="1"/>
  <c r="N19" i="16"/>
  <c r="U19" i="16"/>
  <c r="CH13" i="16"/>
  <c r="N22" i="16"/>
  <c r="BT22" i="16"/>
  <c r="N23" i="16"/>
  <c r="V23" i="16"/>
  <c r="AL23" i="16"/>
  <c r="AZ23" i="16"/>
  <c r="N24" i="16"/>
  <c r="V24" i="16"/>
  <c r="AZ24" i="16"/>
  <c r="BT24" i="16"/>
  <c r="J25" i="16"/>
  <c r="BR26" i="16"/>
  <c r="AN27" i="16"/>
  <c r="AZ27" i="16"/>
  <c r="AB28" i="16"/>
  <c r="AN28" i="16"/>
  <c r="D30" i="16"/>
  <c r="V32" i="16"/>
  <c r="AZ32" i="16"/>
  <c r="AO31" i="16"/>
  <c r="AX33" i="16"/>
  <c r="AL34" i="16"/>
  <c r="AN35" i="16"/>
  <c r="D36" i="16"/>
  <c r="M36" i="16" s="1"/>
  <c r="BR36" i="16"/>
  <c r="AN37" i="16"/>
  <c r="DC74" i="16"/>
  <c r="J21" i="17"/>
  <c r="D45" i="17"/>
  <c r="P23" i="19"/>
  <c r="N29" i="13"/>
  <c r="AD31" i="13"/>
  <c r="D48" i="13"/>
  <c r="C48" i="13" s="1"/>
  <c r="K48" i="13" s="1"/>
  <c r="N50" i="13"/>
  <c r="D58" i="13"/>
  <c r="C65" i="13"/>
  <c r="J68" i="13"/>
  <c r="W68" i="13"/>
  <c r="D70" i="13"/>
  <c r="D75" i="13"/>
  <c r="M75" i="13" s="1"/>
  <c r="T77" i="13"/>
  <c r="J82" i="13"/>
  <c r="Z82" i="13"/>
  <c r="N83" i="13"/>
  <c r="N86" i="13"/>
  <c r="T86" i="13"/>
  <c r="D94" i="13"/>
  <c r="M94" i="13" s="1"/>
  <c r="D18" i="14"/>
  <c r="N49" i="14"/>
  <c r="W49" i="14"/>
  <c r="Y49" i="14" s="1"/>
  <c r="N50" i="14"/>
  <c r="W53" i="14"/>
  <c r="Y53" i="14" s="1"/>
  <c r="U55" i="14"/>
  <c r="J61" i="14"/>
  <c r="J62" i="14"/>
  <c r="U67" i="14"/>
  <c r="V81" i="14"/>
  <c r="U85" i="14"/>
  <c r="J96" i="14"/>
  <c r="AP13" i="16"/>
  <c r="AZ14" i="16"/>
  <c r="BJ13" i="16"/>
  <c r="BX13" i="16"/>
  <c r="CD13" i="16"/>
  <c r="CJ13" i="16"/>
  <c r="CQ13" i="16"/>
  <c r="AE13" i="16"/>
  <c r="AK13" i="16"/>
  <c r="DF13" i="16"/>
  <c r="J18" i="16"/>
  <c r="V19" i="16"/>
  <c r="N20" i="16"/>
  <c r="V20" i="16"/>
  <c r="AU13" i="16"/>
  <c r="BR20" i="16"/>
  <c r="BR21" i="16"/>
  <c r="D25" i="16"/>
  <c r="AZ26" i="16"/>
  <c r="BT26" i="16"/>
  <c r="C28" i="16"/>
  <c r="K28" i="16" s="1"/>
  <c r="U29" i="16"/>
  <c r="U30" i="16"/>
  <c r="AX30" i="16"/>
  <c r="BR30" i="16"/>
  <c r="N33" i="16"/>
  <c r="V33" i="16"/>
  <c r="BX31" i="16"/>
  <c r="CJ31" i="16"/>
  <c r="T31" i="16"/>
  <c r="AN34" i="16"/>
  <c r="BF31" i="16"/>
  <c r="BL31" i="16"/>
  <c r="AZ36" i="16"/>
  <c r="BT36" i="16"/>
  <c r="AB38" i="16"/>
  <c r="CX38" i="16"/>
  <c r="AZ39" i="16"/>
  <c r="CD31" i="16"/>
  <c r="CX41" i="16"/>
  <c r="DF52" i="16"/>
  <c r="U75" i="16"/>
  <c r="BK74" i="16"/>
  <c r="M76" i="17"/>
  <c r="C76" i="17"/>
  <c r="D67" i="19"/>
  <c r="C67" i="19" s="1"/>
  <c r="K67" i="19" s="1"/>
  <c r="J47" i="20"/>
  <c r="D70" i="20"/>
  <c r="M70" i="20" s="1"/>
  <c r="D83" i="20"/>
  <c r="D16" i="21"/>
  <c r="T17" i="21"/>
  <c r="W20" i="21"/>
  <c r="J42" i="21"/>
  <c r="M68" i="21"/>
  <c r="T72" i="21"/>
  <c r="R15" i="23"/>
  <c r="J25" i="13"/>
  <c r="Z25" i="13"/>
  <c r="N26" i="13"/>
  <c r="J30" i="13"/>
  <c r="N32" i="13"/>
  <c r="D34" i="13"/>
  <c r="T34" i="13"/>
  <c r="Z35" i="13"/>
  <c r="N36" i="13"/>
  <c r="W36" i="13"/>
  <c r="T37" i="13"/>
  <c r="Z38" i="13"/>
  <c r="D40" i="13"/>
  <c r="T40" i="13"/>
  <c r="Z41" i="13"/>
  <c r="N42" i="13"/>
  <c r="W42" i="13"/>
  <c r="T43" i="13"/>
  <c r="Z44" i="13"/>
  <c r="D49" i="13"/>
  <c r="C49" i="13" s="1"/>
  <c r="D55" i="13"/>
  <c r="C55" i="13" s="1"/>
  <c r="J56" i="13"/>
  <c r="D59" i="13"/>
  <c r="J59" i="13"/>
  <c r="D63" i="13"/>
  <c r="W64" i="13"/>
  <c r="D68" i="13"/>
  <c r="N69" i="13"/>
  <c r="J72" i="13"/>
  <c r="Z72" i="13"/>
  <c r="W73" i="13"/>
  <c r="Z76" i="13"/>
  <c r="N77" i="13"/>
  <c r="J78" i="13"/>
  <c r="N79" i="13"/>
  <c r="W79" i="13"/>
  <c r="N81" i="13"/>
  <c r="W81" i="13"/>
  <c r="D82" i="13"/>
  <c r="C82" i="13" s="1"/>
  <c r="Z87" i="13"/>
  <c r="N88" i="13"/>
  <c r="W88" i="13"/>
  <c r="D100" i="13"/>
  <c r="M100" i="13" s="1"/>
  <c r="V17" i="14"/>
  <c r="U18" i="14"/>
  <c r="V19" i="14"/>
  <c r="U21" i="14"/>
  <c r="D34" i="14"/>
  <c r="M34" i="14" s="1"/>
  <c r="J37" i="14"/>
  <c r="D39" i="14"/>
  <c r="M39" i="14" s="1"/>
  <c r="U43" i="14"/>
  <c r="V44" i="14"/>
  <c r="N47" i="14"/>
  <c r="U49" i="14"/>
  <c r="D58" i="14"/>
  <c r="M58" i="14" s="1"/>
  <c r="D59" i="14"/>
  <c r="M59" i="14" s="1"/>
  <c r="C63" i="14"/>
  <c r="K63" i="14" s="1"/>
  <c r="U63" i="14"/>
  <c r="D65" i="14"/>
  <c r="J68" i="14"/>
  <c r="W71" i="14"/>
  <c r="Y71" i="14" s="1"/>
  <c r="D78" i="14"/>
  <c r="J79" i="14"/>
  <c r="V84" i="14"/>
  <c r="N93" i="14"/>
  <c r="D96" i="14"/>
  <c r="J99" i="14"/>
  <c r="J107" i="14"/>
  <c r="BE13" i="16"/>
  <c r="AB15" i="16"/>
  <c r="BT16" i="16"/>
  <c r="D18" i="16"/>
  <c r="C18" i="16" s="1"/>
  <c r="CF13" i="16"/>
  <c r="DA13" i="16"/>
  <c r="AL20" i="16"/>
  <c r="AZ20" i="16"/>
  <c r="J22" i="16"/>
  <c r="Z24" i="16"/>
  <c r="AN24" i="16"/>
  <c r="J27" i="16"/>
  <c r="AB27" i="16"/>
  <c r="U28" i="16"/>
  <c r="BR29" i="16"/>
  <c r="V30" i="16"/>
  <c r="AL30" i="16"/>
  <c r="AZ30" i="16"/>
  <c r="Z32" i="16"/>
  <c r="CS31" i="16"/>
  <c r="CY31" i="16"/>
  <c r="AL33" i="16"/>
  <c r="Z34" i="16"/>
  <c r="AB35" i="16"/>
  <c r="J37" i="16"/>
  <c r="AB37" i="16"/>
  <c r="CX37" i="16"/>
  <c r="BR38" i="16"/>
  <c r="CR31" i="16"/>
  <c r="J40" i="16"/>
  <c r="AB41" i="16"/>
  <c r="CN53" i="16"/>
  <c r="CK52" i="16"/>
  <c r="CN52" i="16" s="1"/>
  <c r="AG52" i="16"/>
  <c r="AO52" i="16"/>
  <c r="CQ52" i="16"/>
  <c r="AY52" i="16"/>
  <c r="AY8" i="16" s="1"/>
  <c r="V72" i="16"/>
  <c r="J103" i="16"/>
  <c r="D48" i="17"/>
  <c r="J88" i="17"/>
  <c r="J98" i="17"/>
  <c r="D105" i="17"/>
  <c r="M105" i="17" s="1"/>
  <c r="J107" i="17"/>
  <c r="D19" i="19"/>
  <c r="D40" i="19"/>
  <c r="D50" i="19"/>
  <c r="D96" i="19"/>
  <c r="M96" i="19" s="1"/>
  <c r="D108" i="19"/>
  <c r="M108" i="19" s="1"/>
  <c r="D29" i="20"/>
  <c r="D44" i="20"/>
  <c r="M44" i="20" s="1"/>
  <c r="M77" i="20"/>
  <c r="C77" i="20"/>
  <c r="K77" i="20" s="1"/>
  <c r="C79" i="20"/>
  <c r="K79" i="20" s="1"/>
  <c r="J88" i="20"/>
  <c r="J94" i="20"/>
  <c r="J98" i="20"/>
  <c r="D61" i="21"/>
  <c r="J102" i="22"/>
  <c r="T21" i="23"/>
  <c r="R21" i="23"/>
  <c r="J21" i="23"/>
  <c r="X21" i="23"/>
  <c r="V44" i="16"/>
  <c r="D45" i="16"/>
  <c r="V48" i="16"/>
  <c r="D49" i="16"/>
  <c r="C49" i="16" s="1"/>
  <c r="AD52" i="16"/>
  <c r="AR52" i="16"/>
  <c r="CT52" i="16"/>
  <c r="DB52" i="16"/>
  <c r="V56" i="16"/>
  <c r="D61" i="16"/>
  <c r="C61" i="16" s="1"/>
  <c r="K61" i="16" s="1"/>
  <c r="J67" i="16"/>
  <c r="K69" i="16"/>
  <c r="J69" i="16"/>
  <c r="X74" i="16"/>
  <c r="J79" i="16"/>
  <c r="AX79" i="16"/>
  <c r="BT81" i="16"/>
  <c r="D83" i="16"/>
  <c r="M83" i="16" s="1"/>
  <c r="BT84" i="16"/>
  <c r="J86" i="16"/>
  <c r="V100" i="16"/>
  <c r="J101" i="16"/>
  <c r="V30" i="17"/>
  <c r="J34" i="17"/>
  <c r="D41" i="17"/>
  <c r="J41" i="17"/>
  <c r="D49" i="17"/>
  <c r="C49" i="17" s="1"/>
  <c r="K49" i="17" s="1"/>
  <c r="J53" i="17"/>
  <c r="J56" i="17"/>
  <c r="C58" i="17"/>
  <c r="K58" i="17" s="1"/>
  <c r="J61" i="17"/>
  <c r="J65" i="17"/>
  <c r="J73" i="17"/>
  <c r="J79" i="17"/>
  <c r="D83" i="17"/>
  <c r="D86" i="17"/>
  <c r="M86" i="17" s="1"/>
  <c r="U88" i="17"/>
  <c r="J99" i="17"/>
  <c r="J104" i="17"/>
  <c r="T19" i="19"/>
  <c r="D22" i="19"/>
  <c r="D28" i="19"/>
  <c r="D38" i="19"/>
  <c r="C38" i="19" s="1"/>
  <c r="K38" i="19" s="1"/>
  <c r="Q43" i="19"/>
  <c r="J44" i="19"/>
  <c r="D49" i="19"/>
  <c r="M49" i="19" s="1"/>
  <c r="J56" i="19"/>
  <c r="D63" i="19"/>
  <c r="J71" i="19"/>
  <c r="J73" i="19"/>
  <c r="D75" i="19"/>
  <c r="C75" i="19" s="1"/>
  <c r="K75" i="19" s="1"/>
  <c r="J80" i="19"/>
  <c r="J87" i="19"/>
  <c r="J90" i="19"/>
  <c r="D98" i="19"/>
  <c r="M98" i="19" s="1"/>
  <c r="J98" i="19"/>
  <c r="D102" i="19"/>
  <c r="M102" i="19" s="1"/>
  <c r="J103" i="19"/>
  <c r="J107" i="19"/>
  <c r="J19" i="20"/>
  <c r="T20" i="20"/>
  <c r="Q25" i="20"/>
  <c r="D28" i="20"/>
  <c r="M28" i="20" s="1"/>
  <c r="J38" i="20"/>
  <c r="J43" i="20"/>
  <c r="J50" i="20"/>
  <c r="P53" i="20"/>
  <c r="D55" i="20"/>
  <c r="M55" i="20" s="1"/>
  <c r="D56" i="20"/>
  <c r="C56" i="20" s="1"/>
  <c r="K56" i="20" s="1"/>
  <c r="J60" i="20"/>
  <c r="J62" i="20"/>
  <c r="J75" i="20"/>
  <c r="J80" i="20"/>
  <c r="D85" i="20"/>
  <c r="J85" i="20"/>
  <c r="D95" i="20"/>
  <c r="M95" i="20" s="1"/>
  <c r="D99" i="20"/>
  <c r="J99" i="20"/>
  <c r="D103" i="20"/>
  <c r="H13" i="21"/>
  <c r="J19" i="21"/>
  <c r="D21" i="21"/>
  <c r="C21" i="21" s="1"/>
  <c r="K21" i="21" s="1"/>
  <c r="J27" i="21"/>
  <c r="W36" i="21"/>
  <c r="D44" i="21"/>
  <c r="D47" i="21"/>
  <c r="D51" i="21"/>
  <c r="M51" i="21" s="1"/>
  <c r="D54" i="21"/>
  <c r="C54" i="21" s="1"/>
  <c r="K54" i="21" s="1"/>
  <c r="J58" i="21"/>
  <c r="V52" i="21"/>
  <c r="J59" i="21"/>
  <c r="W72" i="21"/>
  <c r="D77" i="21"/>
  <c r="M77" i="21" s="1"/>
  <c r="J77" i="21"/>
  <c r="J82" i="21"/>
  <c r="D107" i="21"/>
  <c r="M107" i="21" s="1"/>
  <c r="J108" i="21"/>
  <c r="J17" i="22"/>
  <c r="J19" i="22"/>
  <c r="J37" i="22"/>
  <c r="Y43" i="24"/>
  <c r="AA33" i="28"/>
  <c r="AE34" i="28"/>
  <c r="U42" i="16"/>
  <c r="AZ42" i="16"/>
  <c r="BT42" i="16"/>
  <c r="AE52" i="16"/>
  <c r="AK52" i="16"/>
  <c r="AS52" i="16"/>
  <c r="BA52" i="16"/>
  <c r="BG52" i="16"/>
  <c r="BM52" i="16"/>
  <c r="BU52" i="16"/>
  <c r="CA52" i="16"/>
  <c r="CG52" i="16"/>
  <c r="CM52" i="16"/>
  <c r="DC52" i="16"/>
  <c r="V54" i="16"/>
  <c r="BR57" i="16"/>
  <c r="AP52" i="16"/>
  <c r="BX52" i="16"/>
  <c r="CD52" i="16"/>
  <c r="DD52" i="16"/>
  <c r="BT66" i="16"/>
  <c r="BF52" i="16"/>
  <c r="BT68" i="16"/>
  <c r="BF74" i="16"/>
  <c r="DA74" i="16"/>
  <c r="D76" i="16"/>
  <c r="AB77" i="16"/>
  <c r="AP74" i="16"/>
  <c r="CQ74" i="16"/>
  <c r="AZ78" i="16"/>
  <c r="BL74" i="16"/>
  <c r="BT78" i="16"/>
  <c r="DB74" i="16"/>
  <c r="F74" i="16"/>
  <c r="AE13" i="17"/>
  <c r="Z13" i="17"/>
  <c r="J36" i="17"/>
  <c r="U76" i="17"/>
  <c r="N88" i="17"/>
  <c r="O13" i="19"/>
  <c r="F13" i="19"/>
  <c r="J34" i="19"/>
  <c r="N18" i="21"/>
  <c r="V31" i="21"/>
  <c r="D43" i="16"/>
  <c r="C43" i="16" s="1"/>
  <c r="K43" i="16" s="1"/>
  <c r="CX43" i="16"/>
  <c r="CX44" i="16"/>
  <c r="CX45" i="16"/>
  <c r="Z46" i="16"/>
  <c r="CX48" i="16"/>
  <c r="V49" i="16"/>
  <c r="J50" i="16"/>
  <c r="U51" i="16"/>
  <c r="BR55" i="16"/>
  <c r="AF52" i="16"/>
  <c r="BN52" i="16"/>
  <c r="BQ52" i="16"/>
  <c r="C62" i="16"/>
  <c r="V67" i="16"/>
  <c r="D70" i="16"/>
  <c r="C70" i="16" s="1"/>
  <c r="J70" i="16"/>
  <c r="Z78" i="16"/>
  <c r="AL79" i="16"/>
  <c r="U82" i="16"/>
  <c r="D93" i="16"/>
  <c r="C93" i="16" s="1"/>
  <c r="K93" i="16" s="1"/>
  <c r="J95" i="16"/>
  <c r="D104" i="16"/>
  <c r="D106" i="16"/>
  <c r="M106" i="16" s="1"/>
  <c r="D14" i="17"/>
  <c r="C14" i="17" s="1"/>
  <c r="K14" i="17" s="1"/>
  <c r="J17" i="17"/>
  <c r="D20" i="17"/>
  <c r="D26" i="17"/>
  <c r="Y30" i="17"/>
  <c r="J66" i="17"/>
  <c r="U75" i="17"/>
  <c r="Y76" i="17"/>
  <c r="D81" i="17"/>
  <c r="J84" i="17"/>
  <c r="V88" i="17"/>
  <c r="D91" i="17"/>
  <c r="M91" i="17" s="1"/>
  <c r="J101" i="17"/>
  <c r="D106" i="17"/>
  <c r="J106" i="17"/>
  <c r="J16" i="19"/>
  <c r="D18" i="19"/>
  <c r="M18" i="19" s="1"/>
  <c r="T26" i="19"/>
  <c r="J35" i="19"/>
  <c r="J57" i="19"/>
  <c r="D59" i="19"/>
  <c r="J69" i="19"/>
  <c r="J76" i="19"/>
  <c r="D78" i="19"/>
  <c r="M78" i="19" s="1"/>
  <c r="D80" i="19"/>
  <c r="M80" i="19" s="1"/>
  <c r="J81" i="19"/>
  <c r="J91" i="19"/>
  <c r="D103" i="19"/>
  <c r="J104" i="19"/>
  <c r="J17" i="20"/>
  <c r="T19" i="20"/>
  <c r="J27" i="20"/>
  <c r="J32" i="20"/>
  <c r="D33" i="20"/>
  <c r="J33" i="20"/>
  <c r="T34" i="20"/>
  <c r="J54" i="20"/>
  <c r="D69" i="20"/>
  <c r="J81" i="20"/>
  <c r="J91" i="20"/>
  <c r="J92" i="20"/>
  <c r="D15" i="21"/>
  <c r="J17" i="21"/>
  <c r="D18" i="21"/>
  <c r="C18" i="21" s="1"/>
  <c r="T20" i="21"/>
  <c r="N24" i="21"/>
  <c r="W24" i="21"/>
  <c r="D37" i="21"/>
  <c r="M37" i="21" s="1"/>
  <c r="J37" i="21"/>
  <c r="T38" i="21"/>
  <c r="D43" i="21"/>
  <c r="D46" i="21"/>
  <c r="M46" i="21" s="1"/>
  <c r="J50" i="21"/>
  <c r="N68" i="21"/>
  <c r="W68" i="21"/>
  <c r="D73" i="21"/>
  <c r="S74" i="21"/>
  <c r="J78" i="21"/>
  <c r="T82" i="21"/>
  <c r="D97" i="21"/>
  <c r="M97" i="21" s="1"/>
  <c r="J98" i="21"/>
  <c r="J34" i="22"/>
  <c r="J50" i="22"/>
  <c r="C91" i="22"/>
  <c r="K91" i="22" s="1"/>
  <c r="F18" i="23"/>
  <c r="V30" i="23"/>
  <c r="J30" i="23"/>
  <c r="J39" i="23"/>
  <c r="R59" i="23"/>
  <c r="M77" i="23"/>
  <c r="U74" i="23"/>
  <c r="N78" i="25"/>
  <c r="V78" i="25"/>
  <c r="AD82" i="25"/>
  <c r="AZ43" i="16"/>
  <c r="BT43" i="16"/>
  <c r="AB44" i="16"/>
  <c r="J46" i="16"/>
  <c r="AB46" i="16"/>
  <c r="CX46" i="16"/>
  <c r="U47" i="16"/>
  <c r="J48" i="16"/>
  <c r="CX51" i="16"/>
  <c r="AX53" i="16"/>
  <c r="BR53" i="16"/>
  <c r="V55" i="16"/>
  <c r="J56" i="16"/>
  <c r="BR58" i="16"/>
  <c r="N61" i="16"/>
  <c r="J63" i="16"/>
  <c r="U66" i="16"/>
  <c r="U68" i="16"/>
  <c r="N69" i="16"/>
  <c r="U70" i="16"/>
  <c r="U72" i="16"/>
  <c r="N77" i="16"/>
  <c r="N79" i="16"/>
  <c r="U81" i="16"/>
  <c r="V82" i="16"/>
  <c r="D88" i="16"/>
  <c r="U96" i="16"/>
  <c r="D98" i="16"/>
  <c r="M98" i="16" s="1"/>
  <c r="D17" i="17"/>
  <c r="C17" i="17" s="1"/>
  <c r="K17" i="17" s="1"/>
  <c r="J19" i="17"/>
  <c r="J28" i="17"/>
  <c r="J29" i="17"/>
  <c r="D39" i="17"/>
  <c r="M39" i="17" s="1"/>
  <c r="J45" i="17"/>
  <c r="N56" i="17"/>
  <c r="J59" i="17"/>
  <c r="J62" i="17"/>
  <c r="D63" i="17"/>
  <c r="V75" i="17"/>
  <c r="J77" i="17"/>
  <c r="N86" i="17"/>
  <c r="Y88" i="17"/>
  <c r="D95" i="17"/>
  <c r="M95" i="17" s="1"/>
  <c r="U101" i="17"/>
  <c r="J21" i="19"/>
  <c r="P26" i="19"/>
  <c r="S13" i="19"/>
  <c r="S8" i="19" s="1"/>
  <c r="S7" i="19" s="1"/>
  <c r="D35" i="19"/>
  <c r="J48" i="19"/>
  <c r="D57" i="19"/>
  <c r="J62" i="19"/>
  <c r="J67" i="19"/>
  <c r="J79" i="19"/>
  <c r="C83" i="19"/>
  <c r="K83" i="19" s="1"/>
  <c r="D88" i="19"/>
  <c r="C90" i="19"/>
  <c r="J105" i="19"/>
  <c r="D17" i="20"/>
  <c r="D32" i="20"/>
  <c r="M32" i="20" s="1"/>
  <c r="R31" i="20"/>
  <c r="D35" i="20"/>
  <c r="M35" i="20" s="1"/>
  <c r="D49" i="20"/>
  <c r="J57" i="20"/>
  <c r="J61" i="20"/>
  <c r="D86" i="20"/>
  <c r="C86" i="20" s="1"/>
  <c r="K86" i="20" s="1"/>
  <c r="D105" i="20"/>
  <c r="D14" i="21"/>
  <c r="M14" i="21" s="1"/>
  <c r="D22" i="21"/>
  <c r="J25" i="21"/>
  <c r="N28" i="21"/>
  <c r="W28" i="21"/>
  <c r="D50" i="21"/>
  <c r="J57" i="21"/>
  <c r="D72" i="21"/>
  <c r="D78" i="21"/>
  <c r="M17" i="23"/>
  <c r="G37" i="23"/>
  <c r="G72" i="23"/>
  <c r="M81" i="23"/>
  <c r="G9" i="24"/>
  <c r="Y18" i="24"/>
  <c r="C89" i="24"/>
  <c r="C9" i="24"/>
  <c r="F9" i="24" s="1"/>
  <c r="N20" i="25"/>
  <c r="V20" i="25"/>
  <c r="AD20" i="25"/>
  <c r="V29" i="25"/>
  <c r="AD29" i="25"/>
  <c r="D31" i="25"/>
  <c r="R44" i="25"/>
  <c r="Z46" i="25"/>
  <c r="V56" i="25"/>
  <c r="AD56" i="25"/>
  <c r="G58" i="25"/>
  <c r="W88" i="21"/>
  <c r="J24" i="22"/>
  <c r="N30" i="22"/>
  <c r="J36" i="22"/>
  <c r="D60" i="22"/>
  <c r="N66" i="22"/>
  <c r="J67" i="22"/>
  <c r="C70" i="22"/>
  <c r="K70" i="22" s="1"/>
  <c r="J70" i="22"/>
  <c r="J72" i="22"/>
  <c r="J83" i="22"/>
  <c r="D86" i="22"/>
  <c r="M86" i="22" s="1"/>
  <c r="J98" i="22"/>
  <c r="D102" i="22"/>
  <c r="V15" i="23"/>
  <c r="V24" i="23"/>
  <c r="R27" i="23"/>
  <c r="J28" i="23"/>
  <c r="I31" i="23"/>
  <c r="T38" i="23"/>
  <c r="V42" i="23"/>
  <c r="V43" i="23"/>
  <c r="G54" i="23"/>
  <c r="X54" i="23"/>
  <c r="M58" i="23"/>
  <c r="G60" i="23"/>
  <c r="M61" i="23"/>
  <c r="M62" i="23"/>
  <c r="F65" i="23"/>
  <c r="J69" i="23"/>
  <c r="R69" i="23"/>
  <c r="G76" i="23"/>
  <c r="F78" i="23"/>
  <c r="J84" i="23"/>
  <c r="R84" i="23"/>
  <c r="AY13" i="24"/>
  <c r="BF13" i="24"/>
  <c r="M18" i="24"/>
  <c r="M20" i="24"/>
  <c r="Y21" i="24"/>
  <c r="Y27" i="24"/>
  <c r="M32" i="24"/>
  <c r="O31" i="24"/>
  <c r="F42" i="24"/>
  <c r="F51" i="24"/>
  <c r="M51" i="24"/>
  <c r="P60" i="24"/>
  <c r="M80" i="24"/>
  <c r="V26" i="25"/>
  <c r="AD26" i="25"/>
  <c r="N34" i="25"/>
  <c r="V34" i="25"/>
  <c r="Z42" i="25"/>
  <c r="J55" i="25"/>
  <c r="N62" i="25"/>
  <c r="Z63" i="25"/>
  <c r="G78" i="25"/>
  <c r="F85" i="25"/>
  <c r="V85" i="25"/>
  <c r="AH20" i="28"/>
  <c r="W42" i="28"/>
  <c r="AH47" i="28"/>
  <c r="AA55" i="28"/>
  <c r="O89" i="21"/>
  <c r="O9" i="21" s="1"/>
  <c r="J30" i="22"/>
  <c r="D36" i="22"/>
  <c r="M36" i="22" s="1"/>
  <c r="J46" i="22"/>
  <c r="D79" i="22"/>
  <c r="D94" i="22"/>
  <c r="M94" i="22" s="1"/>
  <c r="J103" i="22"/>
  <c r="X15" i="23"/>
  <c r="F17" i="23"/>
  <c r="J27" i="23"/>
  <c r="V39" i="23"/>
  <c r="F41" i="23"/>
  <c r="V48" i="23"/>
  <c r="F53" i="23"/>
  <c r="F56" i="23"/>
  <c r="X59" i="23"/>
  <c r="AL59" i="24"/>
  <c r="J92" i="21"/>
  <c r="J20" i="22"/>
  <c r="J29" i="22"/>
  <c r="J35" i="22"/>
  <c r="D46" i="22"/>
  <c r="M46" i="22" s="1"/>
  <c r="J48" i="22"/>
  <c r="J54" i="22"/>
  <c r="N63" i="22"/>
  <c r="D64" i="22"/>
  <c r="N73" i="22"/>
  <c r="J85" i="22"/>
  <c r="V27" i="23"/>
  <c r="F28" i="23"/>
  <c r="J36" i="23"/>
  <c r="G38" i="23"/>
  <c r="X39" i="23"/>
  <c r="G40" i="23"/>
  <c r="J45" i="23"/>
  <c r="X48" i="23"/>
  <c r="G49" i="23"/>
  <c r="V49" i="23"/>
  <c r="F51" i="23"/>
  <c r="X60" i="23"/>
  <c r="F69" i="23"/>
  <c r="V76" i="23"/>
  <c r="T77" i="23"/>
  <c r="J78" i="23"/>
  <c r="J79" i="23"/>
  <c r="F84" i="23"/>
  <c r="F86" i="23"/>
  <c r="P87" i="23"/>
  <c r="AR14" i="24"/>
  <c r="AP23" i="24"/>
  <c r="AP27" i="24"/>
  <c r="AR29" i="24"/>
  <c r="F46" i="24"/>
  <c r="AR47" i="24"/>
  <c r="F50" i="24"/>
  <c r="AU74" i="24"/>
  <c r="BA74" i="24"/>
  <c r="AD69" i="25"/>
  <c r="T88" i="21"/>
  <c r="D20" i="22"/>
  <c r="J22" i="22"/>
  <c r="N26" i="22"/>
  <c r="D27" i="22"/>
  <c r="C27" i="22" s="1"/>
  <c r="D29" i="22"/>
  <c r="M29" i="22" s="1"/>
  <c r="J40" i="22"/>
  <c r="N42" i="22"/>
  <c r="D43" i="22"/>
  <c r="D54" i="22"/>
  <c r="D59" i="22"/>
  <c r="M59" i="22" s="1"/>
  <c r="D62" i="22"/>
  <c r="M62" i="22" s="1"/>
  <c r="N65" i="22"/>
  <c r="J71" i="22"/>
  <c r="D80" i="22"/>
  <c r="C80" i="22" s="1"/>
  <c r="K80" i="22" s="1"/>
  <c r="J92" i="22"/>
  <c r="D95" i="22"/>
  <c r="M95" i="22" s="1"/>
  <c r="D97" i="22"/>
  <c r="M97" i="22" s="1"/>
  <c r="J97" i="22"/>
  <c r="M18" i="23"/>
  <c r="F21" i="23"/>
  <c r="F22" i="23"/>
  <c r="F27" i="23"/>
  <c r="X27" i="23"/>
  <c r="T35" i="23"/>
  <c r="F38" i="23"/>
  <c r="T41" i="23"/>
  <c r="T42" i="23"/>
  <c r="T44" i="23"/>
  <c r="V45" i="23"/>
  <c r="F46" i="23"/>
  <c r="J63" i="23"/>
  <c r="R63" i="23"/>
  <c r="F72" i="23"/>
  <c r="J73" i="23"/>
  <c r="M83" i="23"/>
  <c r="G84" i="23"/>
  <c r="G86" i="23"/>
  <c r="M88" i="23"/>
  <c r="P18" i="24"/>
  <c r="AR23" i="24"/>
  <c r="P27" i="24"/>
  <c r="AP28" i="24"/>
  <c r="P29" i="24"/>
  <c r="BE30" i="24"/>
  <c r="AL33" i="24"/>
  <c r="AP38" i="24"/>
  <c r="P47" i="24"/>
  <c r="AL47" i="24"/>
  <c r="J54" i="24"/>
  <c r="Y54" i="24"/>
  <c r="M55" i="24"/>
  <c r="R21" i="25"/>
  <c r="R30" i="25"/>
  <c r="Z30" i="25"/>
  <c r="AD32" i="25"/>
  <c r="Z36" i="25"/>
  <c r="N40" i="25"/>
  <c r="AD47" i="25"/>
  <c r="V53" i="25"/>
  <c r="N66" i="25"/>
  <c r="J67" i="25"/>
  <c r="AD75" i="25"/>
  <c r="N84" i="25"/>
  <c r="AL34" i="28"/>
  <c r="AP57" i="24"/>
  <c r="AR59" i="24"/>
  <c r="G60" i="24"/>
  <c r="AR68" i="24"/>
  <c r="AR70" i="24"/>
  <c r="AR73" i="24"/>
  <c r="G80" i="24"/>
  <c r="R17" i="25"/>
  <c r="G18" i="25"/>
  <c r="Z19" i="25"/>
  <c r="G20" i="25"/>
  <c r="N21" i="25"/>
  <c r="N28" i="25"/>
  <c r="V28" i="25"/>
  <c r="G40" i="25"/>
  <c r="V42" i="25"/>
  <c r="F47" i="25"/>
  <c r="Z47" i="25"/>
  <c r="R49" i="25"/>
  <c r="F51" i="25"/>
  <c r="R54" i="25"/>
  <c r="N55" i="25"/>
  <c r="V55" i="25"/>
  <c r="AD65" i="25"/>
  <c r="Z67" i="25"/>
  <c r="G68" i="25"/>
  <c r="F100" i="26"/>
  <c r="G15" i="27"/>
  <c r="G16" i="27"/>
  <c r="G18" i="27"/>
  <c r="G19" i="27"/>
  <c r="G20" i="27"/>
  <c r="G21" i="27"/>
  <c r="G23" i="27"/>
  <c r="G24" i="27"/>
  <c r="G25" i="27"/>
  <c r="G26" i="27"/>
  <c r="G27" i="27"/>
  <c r="G28" i="27"/>
  <c r="G29" i="27"/>
  <c r="G30" i="27"/>
  <c r="V40" i="27"/>
  <c r="F45" i="27"/>
  <c r="F46" i="27"/>
  <c r="P46" i="27"/>
  <c r="AL16" i="28"/>
  <c r="G19" i="28"/>
  <c r="P19" i="28"/>
  <c r="W29" i="28"/>
  <c r="AE29" i="28"/>
  <c r="F33" i="28"/>
  <c r="P34" i="28"/>
  <c r="O31" i="28"/>
  <c r="T49" i="28"/>
  <c r="AF52" i="28"/>
  <c r="Z74" i="28"/>
  <c r="T79" i="28"/>
  <c r="G80" i="28"/>
  <c r="AH83" i="28"/>
  <c r="AL67" i="24"/>
  <c r="AP70" i="24"/>
  <c r="F24" i="25"/>
  <c r="AB31" i="25"/>
  <c r="Z66" i="25"/>
  <c r="V76" i="25"/>
  <c r="N86" i="25"/>
  <c r="G87" i="25"/>
  <c r="AD88" i="25"/>
  <c r="G96" i="25"/>
  <c r="M40" i="27"/>
  <c r="G45" i="27"/>
  <c r="M63" i="27"/>
  <c r="P76" i="27"/>
  <c r="P77" i="27"/>
  <c r="AE14" i="28"/>
  <c r="AL18" i="28"/>
  <c r="AE26" i="28"/>
  <c r="G29" i="28"/>
  <c r="G32" i="28"/>
  <c r="G33" i="28"/>
  <c r="T44" i="28"/>
  <c r="AL45" i="28"/>
  <c r="AH46" i="28"/>
  <c r="AH48" i="28"/>
  <c r="AE57" i="28"/>
  <c r="AH67" i="28"/>
  <c r="T70" i="28"/>
  <c r="AH78" i="28"/>
  <c r="AA83" i="28"/>
  <c r="AL63" i="24"/>
  <c r="Y64" i="24"/>
  <c r="AR65" i="24"/>
  <c r="F70" i="24"/>
  <c r="AL72" i="24"/>
  <c r="F17" i="25"/>
  <c r="R26" i="25"/>
  <c r="V38" i="25"/>
  <c r="AD42" i="25"/>
  <c r="Z49" i="25"/>
  <c r="F61" i="25"/>
  <c r="N63" i="25"/>
  <c r="V14" i="27"/>
  <c r="V15" i="27"/>
  <c r="V16" i="27"/>
  <c r="V18" i="27"/>
  <c r="V19" i="27"/>
  <c r="V20" i="27"/>
  <c r="V21" i="27"/>
  <c r="V23" i="27"/>
  <c r="T47" i="27"/>
  <c r="T48" i="27"/>
  <c r="T49" i="27"/>
  <c r="K21" i="28"/>
  <c r="K23" i="28"/>
  <c r="F38" i="28"/>
  <c r="AP64" i="24"/>
  <c r="G65" i="24"/>
  <c r="F68" i="24"/>
  <c r="G70" i="24"/>
  <c r="AP71" i="24"/>
  <c r="G15" i="25"/>
  <c r="J16" i="25"/>
  <c r="G17" i="25"/>
  <c r="Z18" i="25"/>
  <c r="F21" i="25"/>
  <c r="Z22" i="25"/>
  <c r="G27" i="25"/>
  <c r="R28" i="25"/>
  <c r="Z28" i="25"/>
  <c r="G30" i="25"/>
  <c r="AD35" i="25"/>
  <c r="R36" i="25"/>
  <c r="R42" i="25"/>
  <c r="N49" i="25"/>
  <c r="N51" i="25"/>
  <c r="C52" i="25"/>
  <c r="N56" i="25"/>
  <c r="R57" i="25"/>
  <c r="Z57" i="25"/>
  <c r="F58" i="25"/>
  <c r="N58" i="25"/>
  <c r="V58" i="25"/>
  <c r="G61" i="25"/>
  <c r="N61" i="25"/>
  <c r="G63" i="25"/>
  <c r="F65" i="25"/>
  <c r="V69" i="25"/>
  <c r="F78" i="25"/>
  <c r="Z84" i="25"/>
  <c r="V43" i="27"/>
  <c r="P51" i="27"/>
  <c r="M68" i="27"/>
  <c r="G101" i="27"/>
  <c r="F14" i="28"/>
  <c r="K15" i="28"/>
  <c r="AA21" i="28"/>
  <c r="AL24" i="28"/>
  <c r="P25" i="28"/>
  <c r="W36" i="28"/>
  <c r="G37" i="28"/>
  <c r="P37" i="28"/>
  <c r="G38" i="28"/>
  <c r="K45" i="28"/>
  <c r="G77" i="28"/>
  <c r="AH86" i="28"/>
  <c r="V24" i="27"/>
  <c r="V25" i="27"/>
  <c r="V26" i="27"/>
  <c r="V27" i="27"/>
  <c r="F39" i="27"/>
  <c r="V46" i="27"/>
  <c r="V47" i="27"/>
  <c r="M50" i="27"/>
  <c r="P85" i="27"/>
  <c r="F88" i="27"/>
  <c r="AH14" i="28"/>
  <c r="T17" i="28"/>
  <c r="P18" i="28"/>
  <c r="T19" i="28"/>
  <c r="W21" i="28"/>
  <c r="AA22" i="28"/>
  <c r="M23" i="28"/>
  <c r="P24" i="28"/>
  <c r="M25" i="28"/>
  <c r="AL28" i="28"/>
  <c r="T30" i="28"/>
  <c r="AE32" i="28"/>
  <c r="AE33" i="28"/>
  <c r="AA34" i="28"/>
  <c r="M41" i="28"/>
  <c r="W41" i="28"/>
  <c r="AL41" i="28"/>
  <c r="AE42" i="28"/>
  <c r="AL42" i="28"/>
  <c r="P43" i="28"/>
  <c r="AE43" i="28"/>
  <c r="AL43" i="28"/>
  <c r="G45" i="28"/>
  <c r="T45" i="28"/>
  <c r="T51" i="28"/>
  <c r="AA54" i="28"/>
  <c r="F56" i="28"/>
  <c r="K56" i="28"/>
  <c r="M58" i="28"/>
  <c r="M62" i="28"/>
  <c r="AA62" i="28"/>
  <c r="AH62" i="28"/>
  <c r="AL65" i="28"/>
  <c r="M67" i="28"/>
  <c r="T67" i="28"/>
  <c r="K68" i="28"/>
  <c r="K75" i="28"/>
  <c r="P77" i="28"/>
  <c r="AA78" i="28"/>
  <c r="W80" i="28"/>
  <c r="K81" i="28"/>
  <c r="M82" i="28"/>
  <c r="F83" i="28"/>
  <c r="P87" i="28"/>
  <c r="W87" i="28"/>
  <c r="G39" i="29"/>
  <c r="E31" i="27"/>
  <c r="F38" i="27"/>
  <c r="T38" i="27"/>
  <c r="F41" i="27"/>
  <c r="F42" i="27"/>
  <c r="T45" i="27"/>
  <c r="F48" i="27"/>
  <c r="V49" i="27"/>
  <c r="V59" i="27"/>
  <c r="T61" i="27"/>
  <c r="T68" i="27"/>
  <c r="F70" i="27"/>
  <c r="F73" i="27"/>
  <c r="T85" i="27"/>
  <c r="M17" i="28"/>
  <c r="P21" i="28"/>
  <c r="M22" i="28"/>
  <c r="T22" i="28"/>
  <c r="G23" i="28"/>
  <c r="AH24" i="28"/>
  <c r="T26" i="28"/>
  <c r="K29" i="28"/>
  <c r="M33" i="28"/>
  <c r="M34" i="28"/>
  <c r="K38" i="28"/>
  <c r="M40" i="28"/>
  <c r="M42" i="28"/>
  <c r="K43" i="28"/>
  <c r="AJ52" i="28"/>
  <c r="M56" i="28"/>
  <c r="M68" i="28"/>
  <c r="M77" i="28"/>
  <c r="AN74" i="28"/>
  <c r="K88" i="28"/>
  <c r="G31" i="29"/>
  <c r="G33" i="27"/>
  <c r="V33" i="27"/>
  <c r="P37" i="27"/>
  <c r="T40" i="27"/>
  <c r="G41" i="27"/>
  <c r="V42" i="27"/>
  <c r="G49" i="27"/>
  <c r="M51" i="27"/>
  <c r="T51" i="27"/>
  <c r="F66" i="27"/>
  <c r="V70" i="27"/>
  <c r="G73" i="27"/>
  <c r="P17" i="28"/>
  <c r="AL22" i="28"/>
  <c r="M24" i="28"/>
  <c r="F27" i="28"/>
  <c r="W30" i="28"/>
  <c r="AH33" i="28"/>
  <c r="AH35" i="28"/>
  <c r="M36" i="28"/>
  <c r="T36" i="28"/>
  <c r="AL40" i="28"/>
  <c r="K44" i="28"/>
  <c r="AE48" i="28"/>
  <c r="AL48" i="28"/>
  <c r="AE49" i="28"/>
  <c r="AL51" i="28"/>
  <c r="AH53" i="28"/>
  <c r="F54" i="28"/>
  <c r="M69" i="28"/>
  <c r="AH72" i="28"/>
  <c r="M80" i="28"/>
  <c r="K84" i="28"/>
  <c r="M85" i="28"/>
  <c r="F88" i="28"/>
  <c r="F37" i="28"/>
  <c r="T38" i="28"/>
  <c r="T39" i="28"/>
  <c r="AA39" i="28"/>
  <c r="W40" i="28"/>
  <c r="AE40" i="28"/>
  <c r="AA41" i="28"/>
  <c r="F42" i="28"/>
  <c r="AE47" i="28"/>
  <c r="P50" i="28"/>
  <c r="M53" i="28"/>
  <c r="W54" i="28"/>
  <c r="AL54" i="28"/>
  <c r="K55" i="28"/>
  <c r="AL55" i="28"/>
  <c r="W58" i="28"/>
  <c r="K66" i="28"/>
  <c r="P67" i="28"/>
  <c r="AE67" i="28"/>
  <c r="AH68" i="28"/>
  <c r="AH69" i="28"/>
  <c r="K70" i="28"/>
  <c r="AA70" i="28"/>
  <c r="P75" i="28"/>
  <c r="K79" i="28"/>
  <c r="AA79" i="28"/>
  <c r="G82" i="28"/>
  <c r="M84" i="28"/>
  <c r="T84" i="28"/>
  <c r="AL85" i="28"/>
  <c r="G86" i="28"/>
  <c r="M87" i="28"/>
  <c r="T87" i="28"/>
  <c r="G88" i="28"/>
  <c r="AE88" i="28"/>
  <c r="M20" i="1"/>
  <c r="C20" i="1"/>
  <c r="M44" i="1"/>
  <c r="C44" i="1"/>
  <c r="K44" i="1" s="1"/>
  <c r="K69" i="1"/>
  <c r="C99" i="1"/>
  <c r="K99" i="1" s="1"/>
  <c r="M99" i="1"/>
  <c r="C102" i="1"/>
  <c r="K102" i="1" s="1"/>
  <c r="M102" i="1"/>
  <c r="K57" i="1"/>
  <c r="M68" i="1"/>
  <c r="C68" i="1"/>
  <c r="M62" i="1"/>
  <c r="C62" i="1"/>
  <c r="K62" i="1" s="1"/>
  <c r="M38" i="1"/>
  <c r="C38" i="1"/>
  <c r="M56" i="1"/>
  <c r="C56" i="1"/>
  <c r="K56" i="1" s="1"/>
  <c r="U89" i="1"/>
  <c r="R9" i="1"/>
  <c r="U9" i="1" s="1"/>
  <c r="C108" i="1"/>
  <c r="K108" i="1" s="1"/>
  <c r="M108" i="1"/>
  <c r="M86" i="1"/>
  <c r="C86" i="1"/>
  <c r="K86" i="1" s="1"/>
  <c r="M32" i="1"/>
  <c r="C32" i="1"/>
  <c r="K32" i="1" s="1"/>
  <c r="AG13" i="1"/>
  <c r="AA18" i="1"/>
  <c r="AL13" i="1"/>
  <c r="J19" i="1"/>
  <c r="W20" i="1"/>
  <c r="Y20" i="1"/>
  <c r="AA21" i="1"/>
  <c r="AA22" i="1"/>
  <c r="AB22" i="1" s="1"/>
  <c r="J23" i="1"/>
  <c r="N24" i="1"/>
  <c r="X25" i="1"/>
  <c r="AB25" i="1" s="1"/>
  <c r="J26" i="1"/>
  <c r="X26" i="1"/>
  <c r="AA26" i="1"/>
  <c r="X27" i="1"/>
  <c r="V28" i="1"/>
  <c r="D29" i="1"/>
  <c r="Y29" i="1"/>
  <c r="W29" i="1"/>
  <c r="Z29" i="1" s="1"/>
  <c r="J30" i="1"/>
  <c r="AA34" i="1"/>
  <c r="J35" i="1"/>
  <c r="N36" i="1"/>
  <c r="V36" i="1"/>
  <c r="AA36" i="1"/>
  <c r="X36" i="1"/>
  <c r="AA37" i="1"/>
  <c r="X37" i="1"/>
  <c r="AB37" i="1" s="1"/>
  <c r="D40" i="1"/>
  <c r="N41" i="1"/>
  <c r="AA42" i="1"/>
  <c r="X44" i="1"/>
  <c r="AB44" i="1" s="1"/>
  <c r="AA46" i="1"/>
  <c r="J47" i="1"/>
  <c r="W48" i="1"/>
  <c r="Z48" i="1" s="1"/>
  <c r="J49" i="1"/>
  <c r="AQ49" i="1"/>
  <c r="X51" i="1"/>
  <c r="AO52" i="1"/>
  <c r="AQ52" i="1" s="1"/>
  <c r="J53" i="1"/>
  <c r="X53" i="1"/>
  <c r="AB53" i="1" s="1"/>
  <c r="U57" i="1"/>
  <c r="AA60" i="1"/>
  <c r="X60" i="1"/>
  <c r="AB60" i="1" s="1"/>
  <c r="X62" i="1"/>
  <c r="AB62" i="1" s="1"/>
  <c r="U64" i="1"/>
  <c r="AA64" i="1"/>
  <c r="AB64" i="1" s="1"/>
  <c r="U69" i="1"/>
  <c r="U72" i="1"/>
  <c r="D73" i="1"/>
  <c r="AE74" i="1"/>
  <c r="W77" i="1"/>
  <c r="Z77" i="1" s="1"/>
  <c r="X81" i="1"/>
  <c r="AB81" i="1" s="1"/>
  <c r="N82" i="1"/>
  <c r="V82" i="1"/>
  <c r="AA85" i="1"/>
  <c r="X85" i="1"/>
  <c r="AB85" i="1" s="1"/>
  <c r="D88" i="1"/>
  <c r="C88" i="1" s="1"/>
  <c r="K88" i="1" s="1"/>
  <c r="J91" i="1"/>
  <c r="N93" i="1"/>
  <c r="J95" i="1"/>
  <c r="U101" i="1"/>
  <c r="J103" i="1"/>
  <c r="S13" i="2"/>
  <c r="AG31" i="2"/>
  <c r="U48" i="2"/>
  <c r="Y57" i="2"/>
  <c r="W52" i="2"/>
  <c r="D32" i="3"/>
  <c r="C32" i="3" s="1"/>
  <c r="K32" i="3" s="1"/>
  <c r="F31" i="3"/>
  <c r="R31" i="3"/>
  <c r="U32" i="3"/>
  <c r="Q76" i="3"/>
  <c r="I74" i="3"/>
  <c r="Q74" i="3" s="1"/>
  <c r="AC15" i="4"/>
  <c r="Y13" i="4"/>
  <c r="AC13" i="4" s="1"/>
  <c r="AK13" i="4"/>
  <c r="AK8" i="4" s="1"/>
  <c r="AK7" i="4" s="1"/>
  <c r="AL20" i="4"/>
  <c r="AJ13" i="4"/>
  <c r="AL32" i="4"/>
  <c r="AJ31" i="4"/>
  <c r="AL31" i="4" s="1"/>
  <c r="V56" i="4"/>
  <c r="S52" i="4"/>
  <c r="V52" i="4" s="1"/>
  <c r="D75" i="4"/>
  <c r="C75" i="4" s="1"/>
  <c r="K75" i="4" s="1"/>
  <c r="E74" i="4"/>
  <c r="AA75" i="4"/>
  <c r="X74" i="4"/>
  <c r="AI80" i="4"/>
  <c r="AE74" i="4"/>
  <c r="AI74" i="4" s="1"/>
  <c r="M82" i="4"/>
  <c r="C82" i="4"/>
  <c r="C64" i="5"/>
  <c r="K64" i="5" s="1"/>
  <c r="M64" i="5"/>
  <c r="F13" i="1"/>
  <c r="W16" i="1"/>
  <c r="Z16" i="1" s="1"/>
  <c r="Y16" i="1"/>
  <c r="N18" i="1"/>
  <c r="D19" i="1"/>
  <c r="Y19" i="1"/>
  <c r="AQ19" i="1"/>
  <c r="X20" i="1"/>
  <c r="AB20" i="1" s="1"/>
  <c r="U22" i="1"/>
  <c r="X23" i="1"/>
  <c r="AB23" i="1" s="1"/>
  <c r="U24" i="1"/>
  <c r="P25" i="1"/>
  <c r="W25" i="1"/>
  <c r="Z25" i="1" s="1"/>
  <c r="W27" i="1"/>
  <c r="Z27" i="1" s="1"/>
  <c r="Y27" i="1"/>
  <c r="AQ27" i="1"/>
  <c r="D30" i="1"/>
  <c r="C30" i="1" s="1"/>
  <c r="X35" i="1"/>
  <c r="AB35" i="1" s="1"/>
  <c r="U36" i="1"/>
  <c r="W37" i="1"/>
  <c r="Z37" i="1" s="1"/>
  <c r="Y37" i="1"/>
  <c r="W38" i="1"/>
  <c r="Y38" i="1"/>
  <c r="AA39" i="1"/>
  <c r="AB39" i="1" s="1"/>
  <c r="Y40" i="1"/>
  <c r="Z40" i="1" s="1"/>
  <c r="AQ40" i="1"/>
  <c r="N42" i="1"/>
  <c r="V42" i="1"/>
  <c r="Y43" i="1"/>
  <c r="X45" i="1"/>
  <c r="N48" i="1"/>
  <c r="V48" i="1"/>
  <c r="AA48" i="1"/>
  <c r="X48" i="1"/>
  <c r="N50" i="1"/>
  <c r="Y51" i="1"/>
  <c r="Z51" i="1" s="1"/>
  <c r="AQ51" i="1"/>
  <c r="Y53" i="1"/>
  <c r="AH52" i="1"/>
  <c r="AN52" i="1"/>
  <c r="I52" i="1"/>
  <c r="Q52" i="1" s="1"/>
  <c r="AA55" i="1"/>
  <c r="X55" i="1"/>
  <c r="AB55" i="1" s="1"/>
  <c r="D58" i="1"/>
  <c r="C58" i="1" s="1"/>
  <c r="K58" i="1" s="1"/>
  <c r="W59" i="1"/>
  <c r="Z59" i="1" s="1"/>
  <c r="J60" i="1"/>
  <c r="D61" i="1"/>
  <c r="M61" i="1" s="1"/>
  <c r="X63" i="1"/>
  <c r="AB63" i="1" s="1"/>
  <c r="N64" i="1"/>
  <c r="V64" i="1"/>
  <c r="AA67" i="1"/>
  <c r="X67" i="1"/>
  <c r="AB67" i="1" s="1"/>
  <c r="D70" i="1"/>
  <c r="C70" i="1" s="1"/>
  <c r="K70" i="1" s="1"/>
  <c r="W71" i="1"/>
  <c r="Z71" i="1" s="1"/>
  <c r="J72" i="1"/>
  <c r="E74" i="1"/>
  <c r="L74" i="1"/>
  <c r="J74" i="1" s="1"/>
  <c r="T74" i="1"/>
  <c r="AA75" i="1"/>
  <c r="AL74" i="1"/>
  <c r="Y76" i="1"/>
  <c r="Z76" i="1" s="1"/>
  <c r="AQ76" i="1"/>
  <c r="AA77" i="1"/>
  <c r="D78" i="1"/>
  <c r="Y81" i="1"/>
  <c r="W84" i="1"/>
  <c r="Z84" i="1" s="1"/>
  <c r="J85" i="1"/>
  <c r="W85" i="1"/>
  <c r="Z85" i="1" s="1"/>
  <c r="Y85" i="1"/>
  <c r="W86" i="1"/>
  <c r="Z86" i="1" s="1"/>
  <c r="Y86" i="1"/>
  <c r="AA87" i="1"/>
  <c r="J94" i="1"/>
  <c r="D95" i="1"/>
  <c r="J100" i="1"/>
  <c r="J101" i="1"/>
  <c r="D103" i="1"/>
  <c r="M103" i="1" s="1"/>
  <c r="W13" i="2"/>
  <c r="Y13" i="2" s="1"/>
  <c r="AD13" i="2"/>
  <c r="D16" i="2"/>
  <c r="C16" i="2" s="1"/>
  <c r="V18" i="2"/>
  <c r="P32" i="2"/>
  <c r="G31" i="2"/>
  <c r="P31" i="2" s="1"/>
  <c r="AA31" i="2"/>
  <c r="AB33" i="2"/>
  <c r="V48" i="2"/>
  <c r="AE88" i="2"/>
  <c r="D14" i="3"/>
  <c r="C14" i="3" s="1"/>
  <c r="K14" i="3" s="1"/>
  <c r="F13" i="3"/>
  <c r="R13" i="3"/>
  <c r="U13" i="3" s="1"/>
  <c r="U14" i="3"/>
  <c r="M35" i="3"/>
  <c r="C35" i="3"/>
  <c r="K35" i="3" s="1"/>
  <c r="U41" i="3"/>
  <c r="AC55" i="3"/>
  <c r="AB52" i="3"/>
  <c r="C67" i="3"/>
  <c r="K67" i="3" s="1"/>
  <c r="M67" i="3"/>
  <c r="J82" i="3"/>
  <c r="L74" i="3"/>
  <c r="J74" i="3" s="1"/>
  <c r="C14" i="4"/>
  <c r="K14" i="4" s="1"/>
  <c r="F13" i="4"/>
  <c r="R13" i="4"/>
  <c r="U15" i="4"/>
  <c r="AI16" i="4"/>
  <c r="AE13" i="4"/>
  <c r="AI13" i="4" s="1"/>
  <c r="AD13" i="4"/>
  <c r="AG18" i="4"/>
  <c r="AD31" i="4"/>
  <c r="AB31" i="4"/>
  <c r="AL53" i="4"/>
  <c r="AJ52" i="4"/>
  <c r="AL52" i="4" s="1"/>
  <c r="AC58" i="4"/>
  <c r="Y52" i="4"/>
  <c r="AC52" i="4" s="1"/>
  <c r="AG65" i="4"/>
  <c r="U70" i="4"/>
  <c r="Z74" i="4"/>
  <c r="AA85" i="4"/>
  <c r="AE9" i="5"/>
  <c r="AC7" i="5"/>
  <c r="AE7" i="5" s="1"/>
  <c r="M29" i="5"/>
  <c r="C29" i="5"/>
  <c r="K29" i="5" s="1"/>
  <c r="J76" i="5"/>
  <c r="N76" i="5"/>
  <c r="C94" i="6"/>
  <c r="K94" i="6" s="1"/>
  <c r="M94" i="6"/>
  <c r="J76" i="7"/>
  <c r="O74" i="7"/>
  <c r="AK13" i="1"/>
  <c r="AM13" i="1"/>
  <c r="J17" i="1"/>
  <c r="AQ20" i="1"/>
  <c r="V22" i="1"/>
  <c r="J24" i="1"/>
  <c r="J28" i="1"/>
  <c r="P32" i="1"/>
  <c r="AN31" i="1"/>
  <c r="J36" i="1"/>
  <c r="AB38" i="1"/>
  <c r="J41" i="1"/>
  <c r="AQ45" i="1"/>
  <c r="C50" i="1"/>
  <c r="J55" i="1"/>
  <c r="AG52" i="1"/>
  <c r="AM52" i="1"/>
  <c r="D60" i="1"/>
  <c r="J67" i="1"/>
  <c r="D72" i="1"/>
  <c r="I74" i="1"/>
  <c r="Q74" i="1" s="1"/>
  <c r="F74" i="1"/>
  <c r="J77" i="1"/>
  <c r="C80" i="1"/>
  <c r="K80" i="1" s="1"/>
  <c r="J82" i="1"/>
  <c r="AQ88" i="1"/>
  <c r="D94" i="1"/>
  <c r="D100" i="1"/>
  <c r="M100" i="1" s="1"/>
  <c r="D101" i="1"/>
  <c r="Z13" i="2"/>
  <c r="AE19" i="2"/>
  <c r="J27" i="2"/>
  <c r="D87" i="2"/>
  <c r="J106" i="2"/>
  <c r="AD13" i="3"/>
  <c r="U23" i="3"/>
  <c r="C58" i="3"/>
  <c r="K58" i="3" s="1"/>
  <c r="M58" i="3"/>
  <c r="C70" i="3"/>
  <c r="K70" i="3" s="1"/>
  <c r="M70" i="3"/>
  <c r="C90" i="3"/>
  <c r="K90" i="3" s="1"/>
  <c r="M90" i="3"/>
  <c r="J94" i="3"/>
  <c r="Z13" i="4"/>
  <c r="AA16" i="4"/>
  <c r="X13" i="4"/>
  <c r="W13" i="4"/>
  <c r="L31" i="4"/>
  <c r="W52" i="4"/>
  <c r="AG53" i="4"/>
  <c r="AD52" i="4"/>
  <c r="J55" i="4"/>
  <c r="K55" i="4" s="1"/>
  <c r="L52" i="4"/>
  <c r="F52" i="4"/>
  <c r="R52" i="4"/>
  <c r="U52" i="4" s="1"/>
  <c r="U58" i="4"/>
  <c r="AB52" i="4"/>
  <c r="U63" i="4"/>
  <c r="G74" i="4"/>
  <c r="P74" i="4" s="1"/>
  <c r="V76" i="4"/>
  <c r="S74" i="4"/>
  <c r="V74" i="4" s="1"/>
  <c r="AC80" i="4"/>
  <c r="Y74" i="4"/>
  <c r="M17" i="5"/>
  <c r="C17" i="5"/>
  <c r="T52" i="5"/>
  <c r="C58" i="5"/>
  <c r="K58" i="5" s="1"/>
  <c r="M58" i="5"/>
  <c r="O89" i="5"/>
  <c r="O9" i="5" s="1"/>
  <c r="AC31" i="1"/>
  <c r="W31" i="1" s="1"/>
  <c r="H31" i="1"/>
  <c r="AB68" i="1"/>
  <c r="V34" i="2"/>
  <c r="S31" i="2"/>
  <c r="P53" i="3"/>
  <c r="G52" i="3"/>
  <c r="P52" i="3" s="1"/>
  <c r="V53" i="3"/>
  <c r="S52" i="3"/>
  <c r="V14" i="4"/>
  <c r="S13" i="4"/>
  <c r="V13" i="4" s="1"/>
  <c r="D16" i="4"/>
  <c r="E13" i="4"/>
  <c r="J18" i="4"/>
  <c r="K18" i="4" s="1"/>
  <c r="L13" i="4"/>
  <c r="J13" i="4" s="1"/>
  <c r="AI35" i="4"/>
  <c r="AE31" i="4"/>
  <c r="P38" i="4"/>
  <c r="G31" i="4"/>
  <c r="P31" i="4" s="1"/>
  <c r="V38" i="4"/>
  <c r="S31" i="4"/>
  <c r="AA53" i="4"/>
  <c r="X52" i="4"/>
  <c r="AA52" i="4" s="1"/>
  <c r="R74" i="4"/>
  <c r="U74" i="4" s="1"/>
  <c r="U80" i="4"/>
  <c r="M106" i="4"/>
  <c r="J19" i="6"/>
  <c r="N19" i="6"/>
  <c r="CF16" i="7"/>
  <c r="CD13" i="7"/>
  <c r="CI21" i="7"/>
  <c r="CG13" i="7"/>
  <c r="BB57" i="7"/>
  <c r="AZ52" i="7"/>
  <c r="AE13" i="1"/>
  <c r="I13" i="1"/>
  <c r="Q13" i="1" s="1"/>
  <c r="AA14" i="1"/>
  <c r="N15" i="1"/>
  <c r="Y15" i="1"/>
  <c r="AA17" i="1"/>
  <c r="D18" i="1"/>
  <c r="C18" i="1" s="1"/>
  <c r="J18" i="1"/>
  <c r="N19" i="1"/>
  <c r="X19" i="1"/>
  <c r="J22" i="1"/>
  <c r="V23" i="1"/>
  <c r="Y24" i="1"/>
  <c r="W24" i="1"/>
  <c r="X28" i="1"/>
  <c r="AA28" i="1"/>
  <c r="J29" i="1"/>
  <c r="V30" i="1"/>
  <c r="S31" i="1"/>
  <c r="N33" i="1"/>
  <c r="J34" i="1"/>
  <c r="Y39" i="1"/>
  <c r="AQ39" i="1"/>
  <c r="D41" i="1"/>
  <c r="C41" i="1" s="1"/>
  <c r="W41" i="1"/>
  <c r="Z41" i="1" s="1"/>
  <c r="D42" i="1"/>
  <c r="C42" i="1" s="1"/>
  <c r="AA43" i="1"/>
  <c r="X43" i="1"/>
  <c r="AB43" i="1" s="1"/>
  <c r="D46" i="1"/>
  <c r="V47" i="1"/>
  <c r="W47" i="1"/>
  <c r="Z47" i="1" s="1"/>
  <c r="D48" i="1"/>
  <c r="W49" i="1"/>
  <c r="Y49" i="1"/>
  <c r="J50" i="1"/>
  <c r="W50" i="1"/>
  <c r="Y50" i="1"/>
  <c r="AA51" i="1"/>
  <c r="H52" i="1"/>
  <c r="H8" i="1" s="1"/>
  <c r="AE52" i="1"/>
  <c r="W53" i="1"/>
  <c r="Z53" i="1" s="1"/>
  <c r="J54" i="1"/>
  <c r="D55" i="1"/>
  <c r="M55" i="1" s="1"/>
  <c r="Y55" i="1"/>
  <c r="X57" i="1"/>
  <c r="AA61" i="1"/>
  <c r="X61" i="1"/>
  <c r="AB61" i="1" s="1"/>
  <c r="D64" i="1"/>
  <c r="C64" i="1" s="1"/>
  <c r="K64" i="1" s="1"/>
  <c r="W65" i="1"/>
  <c r="Z65" i="1" s="1"/>
  <c r="J66" i="1"/>
  <c r="D67" i="1"/>
  <c r="M67" i="1" s="1"/>
  <c r="Y67" i="1"/>
  <c r="X69" i="1"/>
  <c r="AB69" i="1" s="1"/>
  <c r="W72" i="1"/>
  <c r="Z72" i="1" s="1"/>
  <c r="W73" i="1"/>
  <c r="Z73" i="1" s="1"/>
  <c r="Y73" i="1"/>
  <c r="H74" i="1"/>
  <c r="N74" i="1" s="1"/>
  <c r="AC74" i="1"/>
  <c r="Y75" i="1"/>
  <c r="D77" i="1"/>
  <c r="C77" i="1" s="1"/>
  <c r="K77" i="1" s="1"/>
  <c r="W78" i="1"/>
  <c r="Z78" i="1" s="1"/>
  <c r="W79" i="1"/>
  <c r="Z79" i="1" s="1"/>
  <c r="Y79" i="1"/>
  <c r="J80" i="1"/>
  <c r="W80" i="1"/>
  <c r="Z80" i="1" s="1"/>
  <c r="Y80" i="1"/>
  <c r="AA81" i="1"/>
  <c r="Y82" i="1"/>
  <c r="Z82" i="1" s="1"/>
  <c r="AA83" i="1"/>
  <c r="Y87" i="1"/>
  <c r="V101" i="1"/>
  <c r="D106" i="1"/>
  <c r="C106" i="1" s="1"/>
  <c r="K106" i="1" s="1"/>
  <c r="G13" i="2"/>
  <c r="P13" i="2" s="1"/>
  <c r="O13" i="2"/>
  <c r="AE36" i="2"/>
  <c r="AE40" i="2"/>
  <c r="D58" i="2"/>
  <c r="E52" i="2"/>
  <c r="D75" i="2"/>
  <c r="C75" i="2" s="1"/>
  <c r="K75" i="2" s="1"/>
  <c r="O74" i="2"/>
  <c r="W74" i="2"/>
  <c r="V18" i="3"/>
  <c r="S13" i="3"/>
  <c r="L31" i="3"/>
  <c r="X31" i="3"/>
  <c r="AC45" i="3"/>
  <c r="C61" i="3"/>
  <c r="K61" i="3" s="1"/>
  <c r="M61" i="3"/>
  <c r="AC66" i="3"/>
  <c r="C73" i="3"/>
  <c r="K73" i="3" s="1"/>
  <c r="M73" i="3"/>
  <c r="D85" i="3"/>
  <c r="M85" i="3" s="1"/>
  <c r="AC87" i="3"/>
  <c r="R31" i="4"/>
  <c r="AF31" i="4"/>
  <c r="X31" i="4"/>
  <c r="AA31" i="4" s="1"/>
  <c r="AA35" i="4"/>
  <c r="D53" i="4"/>
  <c r="C53" i="4" s="1"/>
  <c r="E52" i="4"/>
  <c r="O52" i="4"/>
  <c r="AF52" i="4"/>
  <c r="AL75" i="4"/>
  <c r="AJ74" i="4"/>
  <c r="AL74" i="4" s="1"/>
  <c r="AG76" i="4"/>
  <c r="C97" i="4"/>
  <c r="K97" i="4" s="1"/>
  <c r="M97" i="4"/>
  <c r="V89" i="5"/>
  <c r="S9" i="5"/>
  <c r="V9" i="5" s="1"/>
  <c r="BW33" i="7"/>
  <c r="BU31" i="7"/>
  <c r="BZ34" i="7"/>
  <c r="BX31" i="7"/>
  <c r="CR37" i="7"/>
  <c r="CP31" i="7"/>
  <c r="BH44" i="7"/>
  <c r="BF31" i="7"/>
  <c r="BH31" i="7" s="1"/>
  <c r="N99" i="7"/>
  <c r="N89" i="7" s="1"/>
  <c r="H89" i="7"/>
  <c r="H9" i="7" s="1"/>
  <c r="Z15" i="1"/>
  <c r="U15" i="1"/>
  <c r="Y18" i="1"/>
  <c r="W18" i="1"/>
  <c r="W19" i="1"/>
  <c r="W22" i="1"/>
  <c r="Y22" i="1"/>
  <c r="AA24" i="1"/>
  <c r="W26" i="1"/>
  <c r="Z26" i="1" s="1"/>
  <c r="Y26" i="1"/>
  <c r="X29" i="1"/>
  <c r="AB29" i="1" s="1"/>
  <c r="U30" i="1"/>
  <c r="AE31" i="1"/>
  <c r="AK31" i="1"/>
  <c r="Y34" i="1"/>
  <c r="W36" i="1"/>
  <c r="T31" i="1"/>
  <c r="AA41" i="1"/>
  <c r="AB41" i="1" s="1"/>
  <c r="Y42" i="1"/>
  <c r="W42" i="1"/>
  <c r="W43" i="1"/>
  <c r="Z43" i="1" s="1"/>
  <c r="W44" i="1"/>
  <c r="Z44" i="1" s="1"/>
  <c r="Y44" i="1"/>
  <c r="AA45" i="1"/>
  <c r="Y46" i="1"/>
  <c r="AA47" i="1"/>
  <c r="AB47" i="1" s="1"/>
  <c r="X50" i="1"/>
  <c r="AB50" i="1" s="1"/>
  <c r="T52" i="1"/>
  <c r="AA53" i="1"/>
  <c r="AL52" i="1"/>
  <c r="N57" i="1"/>
  <c r="Y57" i="1"/>
  <c r="Z57" i="1" s="1"/>
  <c r="AQ57" i="1"/>
  <c r="W60" i="1"/>
  <c r="Z60" i="1" s="1"/>
  <c r="W61" i="1"/>
  <c r="Z61" i="1" s="1"/>
  <c r="Y61" i="1"/>
  <c r="W62" i="1"/>
  <c r="Z62" i="1" s="1"/>
  <c r="Y62" i="1"/>
  <c r="AA63" i="1"/>
  <c r="Y64" i="1"/>
  <c r="AQ64" i="1"/>
  <c r="AA65" i="1"/>
  <c r="D66" i="1"/>
  <c r="M66" i="1" s="1"/>
  <c r="N69" i="1"/>
  <c r="Y69" i="1"/>
  <c r="AQ69" i="1"/>
  <c r="AA72" i="1"/>
  <c r="AB72" i="1" s="1"/>
  <c r="X72" i="1"/>
  <c r="AD74" i="1"/>
  <c r="AJ74" i="1"/>
  <c r="AP74" i="1"/>
  <c r="J76" i="1"/>
  <c r="AA78" i="1"/>
  <c r="AA74" i="1" s="1"/>
  <c r="X78" i="1"/>
  <c r="AB78" i="1" s="1"/>
  <c r="X80" i="1"/>
  <c r="AB80" i="1" s="1"/>
  <c r="U82" i="1"/>
  <c r="AA82" i="1"/>
  <c r="AA88" i="1"/>
  <c r="AB88" i="1" s="1"/>
  <c r="N101" i="1"/>
  <c r="F89" i="1"/>
  <c r="F9" i="1" s="1"/>
  <c r="H13" i="2"/>
  <c r="F13" i="2"/>
  <c r="AA13" i="2"/>
  <c r="AH33" i="2"/>
  <c r="I31" i="2"/>
  <c r="Q31" i="2" s="1"/>
  <c r="Q34" i="2"/>
  <c r="AB53" i="2"/>
  <c r="Z52" i="2"/>
  <c r="AE57" i="2"/>
  <c r="AC52" i="2"/>
  <c r="J70" i="2"/>
  <c r="AE76" i="2"/>
  <c r="AC74" i="2"/>
  <c r="R89" i="2"/>
  <c r="R9" i="2" s="1"/>
  <c r="U9" i="2" s="1"/>
  <c r="U101" i="2"/>
  <c r="X13" i="3"/>
  <c r="Z31" i="3"/>
  <c r="Y46" i="3"/>
  <c r="C55" i="3"/>
  <c r="K55" i="3" s="1"/>
  <c r="M55" i="3"/>
  <c r="AC57" i="3"/>
  <c r="C64" i="3"/>
  <c r="K64" i="3" s="1"/>
  <c r="M64" i="3"/>
  <c r="Y67" i="3"/>
  <c r="R74" i="3"/>
  <c r="AG15" i="4"/>
  <c r="AF13" i="4"/>
  <c r="N21" i="4"/>
  <c r="H13" i="4"/>
  <c r="I31" i="4"/>
  <c r="Q31" i="4" s="1"/>
  <c r="AH31" i="4"/>
  <c r="AH8" i="4" s="1"/>
  <c r="AH7" i="4" s="1"/>
  <c r="N33" i="4"/>
  <c r="H31" i="4"/>
  <c r="AL36" i="4"/>
  <c r="AI58" i="4"/>
  <c r="AE52" i="4"/>
  <c r="AI52" i="4" s="1"/>
  <c r="AG75" i="4"/>
  <c r="AD74" i="4"/>
  <c r="AG74" i="4" s="1"/>
  <c r="AG78" i="4"/>
  <c r="AG85" i="4"/>
  <c r="C91" i="4"/>
  <c r="K91" i="4" s="1"/>
  <c r="M91" i="4"/>
  <c r="Q96" i="4"/>
  <c r="Q89" i="4" s="1"/>
  <c r="I89" i="4"/>
  <c r="I9" i="4" s="1"/>
  <c r="Q9" i="4" s="1"/>
  <c r="D99" i="4"/>
  <c r="BT85" i="7"/>
  <c r="BS74" i="7"/>
  <c r="CR86" i="7"/>
  <c r="CP74" i="7"/>
  <c r="CR74" i="7" s="1"/>
  <c r="N23" i="2"/>
  <c r="W31" i="2"/>
  <c r="N33" i="2"/>
  <c r="I52" i="2"/>
  <c r="Q52" i="2" s="1"/>
  <c r="V68" i="2"/>
  <c r="I74" i="2"/>
  <c r="Q74" i="2" s="1"/>
  <c r="S74" i="2"/>
  <c r="Y75" i="2"/>
  <c r="D79" i="2"/>
  <c r="F74" i="2"/>
  <c r="D86" i="2"/>
  <c r="J102" i="2"/>
  <c r="D103" i="2"/>
  <c r="J108" i="2"/>
  <c r="D17" i="3"/>
  <c r="M17" i="3" s="1"/>
  <c r="Y18" i="3"/>
  <c r="J19" i="3"/>
  <c r="AC19" i="3"/>
  <c r="Y23" i="3"/>
  <c r="AC25" i="3"/>
  <c r="D28" i="3"/>
  <c r="M28" i="3" s="1"/>
  <c r="Y29" i="3"/>
  <c r="J38" i="3"/>
  <c r="D39" i="3"/>
  <c r="C39" i="3" s="1"/>
  <c r="K39" i="3" s="1"/>
  <c r="V39" i="3"/>
  <c r="Y42" i="3"/>
  <c r="U43" i="3"/>
  <c r="D44" i="3"/>
  <c r="V46" i="3"/>
  <c r="V47" i="3"/>
  <c r="AC47" i="3"/>
  <c r="AC49" i="3"/>
  <c r="L52" i="3"/>
  <c r="V54" i="3"/>
  <c r="D56" i="3"/>
  <c r="M56" i="3" s="1"/>
  <c r="V58" i="3"/>
  <c r="D63" i="3"/>
  <c r="V63" i="3"/>
  <c r="V67" i="3"/>
  <c r="V72" i="3"/>
  <c r="U85" i="3"/>
  <c r="N93" i="3"/>
  <c r="O89" i="3"/>
  <c r="O9" i="3" s="1"/>
  <c r="AC20" i="4"/>
  <c r="AC26" i="4"/>
  <c r="AI33" i="4"/>
  <c r="AI37" i="4"/>
  <c r="N82" i="4"/>
  <c r="D83" i="4"/>
  <c r="M83" i="4" s="1"/>
  <c r="C85" i="4"/>
  <c r="K85" i="4" s="1"/>
  <c r="J85" i="4"/>
  <c r="V86" i="4"/>
  <c r="N19" i="5"/>
  <c r="N23" i="5"/>
  <c r="D27" i="5"/>
  <c r="N28" i="5"/>
  <c r="N29" i="5"/>
  <c r="Y30" i="5"/>
  <c r="Y37" i="5"/>
  <c r="C47" i="5"/>
  <c r="K47" i="5" s="1"/>
  <c r="J47" i="5"/>
  <c r="D49" i="5"/>
  <c r="D56" i="5"/>
  <c r="J57" i="5"/>
  <c r="N63" i="5"/>
  <c r="D67" i="5"/>
  <c r="C67" i="5" s="1"/>
  <c r="K67" i="5" s="1"/>
  <c r="Y68" i="5"/>
  <c r="D78" i="5"/>
  <c r="D92" i="5"/>
  <c r="M92" i="5" s="1"/>
  <c r="V55" i="6"/>
  <c r="S52" i="6"/>
  <c r="I74" i="6"/>
  <c r="Q74" i="6" s="1"/>
  <c r="CN13" i="7"/>
  <c r="BR13" i="7"/>
  <c r="BT13" i="7" s="1"/>
  <c r="CK31" i="7"/>
  <c r="X31" i="7"/>
  <c r="AQ39" i="7"/>
  <c r="AO31" i="7"/>
  <c r="AQ31" i="7" s="1"/>
  <c r="M50" i="7"/>
  <c r="C50" i="7"/>
  <c r="AB56" i="7"/>
  <c r="Z52" i="7"/>
  <c r="AB52" i="7" s="1"/>
  <c r="AH68" i="7"/>
  <c r="AA74" i="7"/>
  <c r="I74" i="7"/>
  <c r="Q74" i="7" s="1"/>
  <c r="Q79" i="7"/>
  <c r="E74" i="7"/>
  <c r="D80" i="7"/>
  <c r="C80" i="7" s="1"/>
  <c r="AB31" i="9"/>
  <c r="AG31" i="9"/>
  <c r="J16" i="2"/>
  <c r="J17" i="2"/>
  <c r="D22" i="2"/>
  <c r="AH22" i="2"/>
  <c r="Y23" i="2"/>
  <c r="AH23" i="2"/>
  <c r="N25" i="2"/>
  <c r="U25" i="2"/>
  <c r="AB26" i="2"/>
  <c r="V35" i="2"/>
  <c r="U38" i="2"/>
  <c r="V40" i="2"/>
  <c r="D41" i="2"/>
  <c r="J47" i="2"/>
  <c r="AH53" i="2"/>
  <c r="V62" i="2"/>
  <c r="D64" i="2"/>
  <c r="C64" i="2" s="1"/>
  <c r="K64" i="2" s="1"/>
  <c r="AH67" i="2"/>
  <c r="D70" i="2"/>
  <c r="AD74" i="2"/>
  <c r="N88" i="2"/>
  <c r="J101" i="2"/>
  <c r="AB13" i="3"/>
  <c r="U16" i="3"/>
  <c r="U22" i="3"/>
  <c r="J25" i="3"/>
  <c r="AB31" i="3"/>
  <c r="U40" i="3"/>
  <c r="O52" i="3"/>
  <c r="X52" i="3"/>
  <c r="U55" i="3"/>
  <c r="U64" i="3"/>
  <c r="Y72" i="3"/>
  <c r="AB74" i="3"/>
  <c r="AC74" i="3" s="1"/>
  <c r="J77" i="3"/>
  <c r="D78" i="3"/>
  <c r="C78" i="3" s="1"/>
  <c r="K78" i="3" s="1"/>
  <c r="V78" i="3"/>
  <c r="D80" i="3"/>
  <c r="Y80" i="3"/>
  <c r="Y81" i="3"/>
  <c r="U82" i="3"/>
  <c r="V85" i="3"/>
  <c r="AC86" i="3"/>
  <c r="AC88" i="3"/>
  <c r="D97" i="3"/>
  <c r="N18" i="4"/>
  <c r="N19" i="4"/>
  <c r="D22" i="4"/>
  <c r="D23" i="4"/>
  <c r="M23" i="4" s="1"/>
  <c r="AI23" i="4"/>
  <c r="V26" i="4"/>
  <c r="J28" i="4"/>
  <c r="N30" i="4"/>
  <c r="J34" i="4"/>
  <c r="N36" i="4"/>
  <c r="D38" i="4"/>
  <c r="M38" i="4" s="1"/>
  <c r="N40" i="4"/>
  <c r="V41" i="4"/>
  <c r="J43" i="4"/>
  <c r="D50" i="4"/>
  <c r="M50" i="4" s="1"/>
  <c r="N51" i="4"/>
  <c r="N55" i="4"/>
  <c r="D56" i="4"/>
  <c r="M56" i="4" s="1"/>
  <c r="J58" i="4"/>
  <c r="D65" i="4"/>
  <c r="M65" i="4" s="1"/>
  <c r="J67" i="4"/>
  <c r="D76" i="4"/>
  <c r="N77" i="4"/>
  <c r="D78" i="4"/>
  <c r="M78" i="4" s="1"/>
  <c r="N86" i="4"/>
  <c r="V88" i="4"/>
  <c r="F89" i="4"/>
  <c r="F9" i="4" s="1"/>
  <c r="H89" i="4"/>
  <c r="H9" i="4" s="1"/>
  <c r="D100" i="4"/>
  <c r="AB7" i="5"/>
  <c r="D15" i="5"/>
  <c r="C15" i="5" s="1"/>
  <c r="K15" i="5" s="1"/>
  <c r="O13" i="5"/>
  <c r="Y18" i="5"/>
  <c r="D21" i="5"/>
  <c r="C21" i="5" s="1"/>
  <c r="K21" i="5" s="1"/>
  <c r="E52" i="5"/>
  <c r="Y53" i="5"/>
  <c r="R52" i="5"/>
  <c r="U52" i="5" s="1"/>
  <c r="X52" i="5"/>
  <c r="D57" i="5"/>
  <c r="C57" i="5" s="1"/>
  <c r="N65" i="5"/>
  <c r="N32" i="6"/>
  <c r="H31" i="6"/>
  <c r="V32" i="6"/>
  <c r="D36" i="6"/>
  <c r="M36" i="6" s="1"/>
  <c r="J49" i="6"/>
  <c r="Y49" i="6"/>
  <c r="N62" i="6"/>
  <c r="V64" i="6"/>
  <c r="D73" i="6"/>
  <c r="C73" i="6" s="1"/>
  <c r="K73" i="6" s="1"/>
  <c r="J76" i="6"/>
  <c r="M80" i="6"/>
  <c r="C80" i="6"/>
  <c r="D90" i="6"/>
  <c r="F89" i="6"/>
  <c r="F9" i="6" s="1"/>
  <c r="N14" i="7"/>
  <c r="H13" i="7"/>
  <c r="V14" i="7"/>
  <c r="S13" i="7"/>
  <c r="AC13" i="7"/>
  <c r="BJ13" i="7"/>
  <c r="BZ25" i="7"/>
  <c r="CO32" i="7"/>
  <c r="CM31" i="7"/>
  <c r="CV31" i="7"/>
  <c r="AY48" i="7"/>
  <c r="D54" i="7"/>
  <c r="BB75" i="7"/>
  <c r="AZ74" i="7"/>
  <c r="AS74" i="7"/>
  <c r="U26" i="2"/>
  <c r="D28" i="2"/>
  <c r="H31" i="2"/>
  <c r="D37" i="2"/>
  <c r="M37" i="2" s="1"/>
  <c r="V38" i="2"/>
  <c r="U40" i="2"/>
  <c r="AB41" i="2"/>
  <c r="D46" i="2"/>
  <c r="AH49" i="2"/>
  <c r="D53" i="2"/>
  <c r="C53" i="2" s="1"/>
  <c r="O52" i="2"/>
  <c r="AG52" i="2"/>
  <c r="J59" i="2"/>
  <c r="AH61" i="2"/>
  <c r="Y63" i="2"/>
  <c r="AB65" i="2"/>
  <c r="AB67" i="2"/>
  <c r="J68" i="2"/>
  <c r="Y68" i="2"/>
  <c r="AH68" i="2"/>
  <c r="AA74" i="2"/>
  <c r="AG74" i="2"/>
  <c r="V76" i="2"/>
  <c r="D77" i="2"/>
  <c r="C77" i="2" s="1"/>
  <c r="K77" i="2" s="1"/>
  <c r="X74" i="2"/>
  <c r="AB79" i="2"/>
  <c r="J80" i="2"/>
  <c r="J82" i="2"/>
  <c r="J85" i="2"/>
  <c r="I89" i="2"/>
  <c r="I9" i="2" s="1"/>
  <c r="Q9" i="2" s="1"/>
  <c r="J92" i="2"/>
  <c r="C93" i="2"/>
  <c r="K93" i="2" s="1"/>
  <c r="J100" i="2"/>
  <c r="D101" i="2"/>
  <c r="D106" i="2"/>
  <c r="D107" i="2"/>
  <c r="C107" i="2" s="1"/>
  <c r="K107" i="2" s="1"/>
  <c r="D108" i="2"/>
  <c r="Y14" i="3"/>
  <c r="V15" i="3"/>
  <c r="AC15" i="3"/>
  <c r="V16" i="3"/>
  <c r="D19" i="3"/>
  <c r="Y20" i="3"/>
  <c r="V21" i="3"/>
  <c r="V22" i="3"/>
  <c r="V23" i="3"/>
  <c r="AC23" i="3"/>
  <c r="J26" i="3"/>
  <c r="D27" i="3"/>
  <c r="V29" i="3"/>
  <c r="AC29" i="3"/>
  <c r="O31" i="3"/>
  <c r="Y32" i="3"/>
  <c r="V33" i="3"/>
  <c r="AC33" i="3"/>
  <c r="Y35" i="3"/>
  <c r="Y36" i="3"/>
  <c r="D38" i="3"/>
  <c r="V40" i="3"/>
  <c r="V41" i="3"/>
  <c r="AC41" i="3"/>
  <c r="AC43" i="3"/>
  <c r="J50" i="3"/>
  <c r="D51" i="3"/>
  <c r="C51" i="3" s="1"/>
  <c r="K51" i="3" s="1"/>
  <c r="V51" i="3"/>
  <c r="F52" i="3"/>
  <c r="R52" i="3"/>
  <c r="Z52" i="3"/>
  <c r="V55" i="3"/>
  <c r="D60" i="3"/>
  <c r="C60" i="3" s="1"/>
  <c r="K60" i="3" s="1"/>
  <c r="V60" i="3"/>
  <c r="V64" i="3"/>
  <c r="D69" i="3"/>
  <c r="V69" i="3"/>
  <c r="D77" i="3"/>
  <c r="Y78" i="3"/>
  <c r="V82" i="3"/>
  <c r="V83" i="3"/>
  <c r="AC83" i="3"/>
  <c r="D94" i="3"/>
  <c r="D95" i="3"/>
  <c r="M95" i="3" s="1"/>
  <c r="J101" i="3"/>
  <c r="J104" i="3"/>
  <c r="D106" i="3"/>
  <c r="M106" i="3" s="1"/>
  <c r="D15" i="4"/>
  <c r="AI15" i="4"/>
  <c r="J16" i="4"/>
  <c r="AL19" i="4"/>
  <c r="D24" i="4"/>
  <c r="M24" i="4" s="1"/>
  <c r="D28" i="4"/>
  <c r="V33" i="4"/>
  <c r="D34" i="4"/>
  <c r="V37" i="4"/>
  <c r="D39" i="4"/>
  <c r="M39" i="4" s="1"/>
  <c r="D43" i="4"/>
  <c r="D45" i="4"/>
  <c r="M45" i="4" s="1"/>
  <c r="D58" i="4"/>
  <c r="D60" i="4"/>
  <c r="M60" i="4" s="1"/>
  <c r="V63" i="4"/>
  <c r="D67" i="4"/>
  <c r="D69" i="4"/>
  <c r="M69" i="4" s="1"/>
  <c r="V70" i="4"/>
  <c r="D80" i="4"/>
  <c r="M80" i="4" s="1"/>
  <c r="J82" i="4"/>
  <c r="N88" i="4"/>
  <c r="D107" i="4"/>
  <c r="M107" i="4" s="1"/>
  <c r="AB9" i="5"/>
  <c r="J17" i="5"/>
  <c r="Y23" i="5"/>
  <c r="D25" i="5"/>
  <c r="Y25" i="5"/>
  <c r="J29" i="5"/>
  <c r="X31" i="5"/>
  <c r="J33" i="5"/>
  <c r="D41" i="5"/>
  <c r="M41" i="5" s="1"/>
  <c r="J44" i="5"/>
  <c r="D55" i="5"/>
  <c r="C55" i="5" s="1"/>
  <c r="K55" i="5" s="1"/>
  <c r="D59" i="5"/>
  <c r="M59" i="5" s="1"/>
  <c r="J59" i="5"/>
  <c r="J63" i="5"/>
  <c r="D69" i="5"/>
  <c r="Y70" i="5"/>
  <c r="R74" i="5"/>
  <c r="U74" i="5" s="1"/>
  <c r="J91" i="5"/>
  <c r="D98" i="5"/>
  <c r="N14" i="6"/>
  <c r="H13" i="6"/>
  <c r="V19" i="6"/>
  <c r="D37" i="6"/>
  <c r="C41" i="6"/>
  <c r="K41" i="6" s="1"/>
  <c r="M41" i="6"/>
  <c r="J44" i="6"/>
  <c r="J106" i="6"/>
  <c r="AE13" i="7"/>
  <c r="CR18" i="7"/>
  <c r="CP13" i="7"/>
  <c r="CE31" i="7"/>
  <c r="CW31" i="7"/>
  <c r="BW38" i="7"/>
  <c r="BY31" i="7"/>
  <c r="BZ45" i="7"/>
  <c r="CR51" i="7"/>
  <c r="BC52" i="7"/>
  <c r="AQ61" i="7"/>
  <c r="AQ67" i="7"/>
  <c r="AD74" i="7"/>
  <c r="CL88" i="7"/>
  <c r="CJ74" i="7"/>
  <c r="N14" i="9"/>
  <c r="H13" i="9"/>
  <c r="G13" i="9"/>
  <c r="P13" i="9" s="1"/>
  <c r="P18" i="9"/>
  <c r="V16" i="2"/>
  <c r="AE16" i="2"/>
  <c r="Y19" i="2"/>
  <c r="AH19" i="2"/>
  <c r="U23" i="2"/>
  <c r="J25" i="2"/>
  <c r="AC31" i="2"/>
  <c r="T31" i="2"/>
  <c r="J40" i="2"/>
  <c r="N41" i="2"/>
  <c r="AE41" i="2"/>
  <c r="D44" i="2"/>
  <c r="V49" i="2"/>
  <c r="D50" i="2"/>
  <c r="C50" i="2" s="1"/>
  <c r="K50" i="2" s="1"/>
  <c r="S52" i="2"/>
  <c r="AA52" i="2"/>
  <c r="J56" i="2"/>
  <c r="N57" i="2"/>
  <c r="N61" i="2"/>
  <c r="V61" i="2"/>
  <c r="D62" i="2"/>
  <c r="C62" i="2" s="1"/>
  <c r="K62" i="2" s="1"/>
  <c r="AE65" i="2"/>
  <c r="AB68" i="2"/>
  <c r="G74" i="2"/>
  <c r="P75" i="2"/>
  <c r="U79" i="2"/>
  <c r="N93" i="2"/>
  <c r="N89" i="2" s="1"/>
  <c r="J94" i="2"/>
  <c r="M99" i="2"/>
  <c r="C104" i="2"/>
  <c r="K104" i="2" s="1"/>
  <c r="V14" i="3"/>
  <c r="D18" i="3"/>
  <c r="C18" i="3" s="1"/>
  <c r="K18" i="3" s="1"/>
  <c r="U18" i="3"/>
  <c r="V20" i="3"/>
  <c r="AC20" i="3"/>
  <c r="M22" i="3"/>
  <c r="D26" i="3"/>
  <c r="Y27" i="3"/>
  <c r="AC28" i="3"/>
  <c r="V32" i="3"/>
  <c r="V34" i="3"/>
  <c r="V35" i="3"/>
  <c r="AC35" i="3"/>
  <c r="AC37" i="3"/>
  <c r="J44" i="3"/>
  <c r="D45" i="3"/>
  <c r="V45" i="3"/>
  <c r="Y47" i="3"/>
  <c r="Y48" i="3"/>
  <c r="U49" i="3"/>
  <c r="D50" i="3"/>
  <c r="T52" i="3"/>
  <c r="D57" i="3"/>
  <c r="C57" i="3" s="1"/>
  <c r="K57" i="3" s="1"/>
  <c r="V57" i="3"/>
  <c r="D59" i="3"/>
  <c r="M59" i="3" s="1"/>
  <c r="V61" i="3"/>
  <c r="D66" i="3"/>
  <c r="C66" i="3" s="1"/>
  <c r="K66" i="3" s="1"/>
  <c r="V66" i="3"/>
  <c r="V70" i="3"/>
  <c r="AC79" i="3"/>
  <c r="C86" i="3"/>
  <c r="K86" i="3" s="1"/>
  <c r="J86" i="3"/>
  <c r="D87" i="3"/>
  <c r="C87" i="3" s="1"/>
  <c r="K87" i="3" s="1"/>
  <c r="V87" i="3"/>
  <c r="C92" i="3"/>
  <c r="K92" i="3" s="1"/>
  <c r="J92" i="3"/>
  <c r="M18" i="4"/>
  <c r="AI18" i="4"/>
  <c r="D19" i="4"/>
  <c r="M19" i="4" s="1"/>
  <c r="AI19" i="4"/>
  <c r="N23" i="4"/>
  <c r="D25" i="4"/>
  <c r="M30" i="4"/>
  <c r="M36" i="4"/>
  <c r="M40" i="4"/>
  <c r="AI40" i="4"/>
  <c r="M51" i="4"/>
  <c r="H52" i="4"/>
  <c r="M55" i="4"/>
  <c r="N56" i="4"/>
  <c r="N65" i="4"/>
  <c r="H74" i="4"/>
  <c r="N74" i="4" s="1"/>
  <c r="N76" i="4"/>
  <c r="M77" i="4"/>
  <c r="N78" i="4"/>
  <c r="M86" i="4"/>
  <c r="T13" i="5"/>
  <c r="N15" i="5"/>
  <c r="J20" i="5"/>
  <c r="N21" i="5"/>
  <c r="D26" i="5"/>
  <c r="N43" i="5"/>
  <c r="C51" i="5"/>
  <c r="K51" i="5" s="1"/>
  <c r="N53" i="5"/>
  <c r="U54" i="5"/>
  <c r="Y55" i="5"/>
  <c r="N57" i="5"/>
  <c r="M65" i="5"/>
  <c r="J65" i="5"/>
  <c r="K65" i="5" s="1"/>
  <c r="Y65" i="5"/>
  <c r="J68" i="5"/>
  <c r="D71" i="5"/>
  <c r="M71" i="5" s="1"/>
  <c r="D76" i="5"/>
  <c r="M76" i="5" s="1"/>
  <c r="J82" i="5"/>
  <c r="Q90" i="5"/>
  <c r="I89" i="5"/>
  <c r="I9" i="5" s="1"/>
  <c r="Q9" i="5" s="1"/>
  <c r="J15" i="6"/>
  <c r="D19" i="6"/>
  <c r="M19" i="6" s="1"/>
  <c r="V26" i="6"/>
  <c r="D30" i="6"/>
  <c r="M30" i="6" s="1"/>
  <c r="D33" i="6"/>
  <c r="C33" i="6" s="1"/>
  <c r="K33" i="6" s="1"/>
  <c r="J38" i="6"/>
  <c r="D46" i="6"/>
  <c r="C46" i="6" s="1"/>
  <c r="K46" i="6" s="1"/>
  <c r="U51" i="6"/>
  <c r="K55" i="6"/>
  <c r="U68" i="6"/>
  <c r="AW13" i="7"/>
  <c r="CB13" i="7"/>
  <c r="BX13" i="7"/>
  <c r="BB16" i="7"/>
  <c r="AZ13" i="7"/>
  <c r="BQ16" i="7"/>
  <c r="BO13" i="7"/>
  <c r="AN29" i="7"/>
  <c r="AL13" i="7"/>
  <c r="W31" i="7"/>
  <c r="BE32" i="7"/>
  <c r="BC31" i="7"/>
  <c r="BE31" i="7" s="1"/>
  <c r="CQ31" i="7"/>
  <c r="BH35" i="7"/>
  <c r="BN37" i="7"/>
  <c r="U38" i="7"/>
  <c r="BT41" i="7"/>
  <c r="D19" i="2"/>
  <c r="M19" i="2" s="1"/>
  <c r="J20" i="2"/>
  <c r="U22" i="2"/>
  <c r="V23" i="2"/>
  <c r="AE23" i="2"/>
  <c r="D29" i="2"/>
  <c r="D34" i="2"/>
  <c r="M34" i="2" s="1"/>
  <c r="N34" i="2"/>
  <c r="AB35" i="2"/>
  <c r="N37" i="2"/>
  <c r="V37" i="2"/>
  <c r="D38" i="2"/>
  <c r="AH40" i="2"/>
  <c r="D43" i="2"/>
  <c r="M43" i="2" s="1"/>
  <c r="U49" i="2"/>
  <c r="T52" i="2"/>
  <c r="U61" i="2"/>
  <c r="AB62" i="2"/>
  <c r="D67" i="2"/>
  <c r="M67" i="2" s="1"/>
  <c r="U68" i="2"/>
  <c r="J71" i="2"/>
  <c r="D73" i="2"/>
  <c r="M73" i="2" s="1"/>
  <c r="T13" i="3"/>
  <c r="C23" i="3"/>
  <c r="K23" i="3" s="1"/>
  <c r="U24" i="3"/>
  <c r="U30" i="3"/>
  <c r="T31" i="3"/>
  <c r="C41" i="3"/>
  <c r="K41" i="3" s="1"/>
  <c r="J41" i="3"/>
  <c r="D42" i="3"/>
  <c r="U46" i="3"/>
  <c r="AD52" i="3"/>
  <c r="AD8" i="3" s="1"/>
  <c r="AD7" i="3" s="1"/>
  <c r="U58" i="3"/>
  <c r="H74" i="3"/>
  <c r="N74" i="3" s="1"/>
  <c r="Z74" i="3"/>
  <c r="AC76" i="3"/>
  <c r="J83" i="3"/>
  <c r="D84" i="3"/>
  <c r="V84" i="3"/>
  <c r="Y87" i="3"/>
  <c r="N15" i="4"/>
  <c r="V16" i="4"/>
  <c r="V17" i="4"/>
  <c r="AC19" i="4"/>
  <c r="D20" i="4"/>
  <c r="AI20" i="4"/>
  <c r="J21" i="4"/>
  <c r="D26" i="4"/>
  <c r="M26" i="4" s="1"/>
  <c r="AI26" i="4"/>
  <c r="V29" i="4"/>
  <c r="AC30" i="4"/>
  <c r="E31" i="4"/>
  <c r="Y31" i="4"/>
  <c r="AC31" i="4" s="1"/>
  <c r="D32" i="4"/>
  <c r="C32" i="4" s="1"/>
  <c r="K32" i="4" s="1"/>
  <c r="O31" i="4"/>
  <c r="O8" i="4" s="1"/>
  <c r="O7" i="4" s="1"/>
  <c r="V35" i="4"/>
  <c r="AC36" i="4"/>
  <c r="C37" i="4"/>
  <c r="J37" i="4"/>
  <c r="N39" i="4"/>
  <c r="D41" i="4"/>
  <c r="M41" i="4" s="1"/>
  <c r="AI41" i="4"/>
  <c r="N43" i="4"/>
  <c r="D44" i="4"/>
  <c r="M44" i="4" s="1"/>
  <c r="N45" i="4"/>
  <c r="C46" i="4"/>
  <c r="K46" i="4" s="1"/>
  <c r="J46" i="4"/>
  <c r="V47" i="4"/>
  <c r="I52" i="4"/>
  <c r="Q52" i="4" s="1"/>
  <c r="V53" i="4"/>
  <c r="D59" i="4"/>
  <c r="M59" i="4" s="1"/>
  <c r="C61" i="4"/>
  <c r="K61" i="4" s="1"/>
  <c r="J61" i="4"/>
  <c r="N67" i="4"/>
  <c r="D68" i="4"/>
  <c r="M68" i="4" s="1"/>
  <c r="C70" i="4"/>
  <c r="J70" i="4"/>
  <c r="D79" i="4"/>
  <c r="D81" i="4"/>
  <c r="M81" i="4" s="1"/>
  <c r="V82" i="4"/>
  <c r="D88" i="4"/>
  <c r="J90" i="4"/>
  <c r="N93" i="4"/>
  <c r="D96" i="4"/>
  <c r="C96" i="4" s="1"/>
  <c r="K96" i="4" s="1"/>
  <c r="J104" i="4"/>
  <c r="J89" i="4" s="1"/>
  <c r="N25" i="5"/>
  <c r="J27" i="5"/>
  <c r="D35" i="5"/>
  <c r="M35" i="5" s="1"/>
  <c r="N36" i="5"/>
  <c r="D37" i="5"/>
  <c r="C37" i="5" s="1"/>
  <c r="K37" i="5" s="1"/>
  <c r="N38" i="5"/>
  <c r="D39" i="5"/>
  <c r="C39" i="5" s="1"/>
  <c r="K39" i="5" s="1"/>
  <c r="N41" i="5"/>
  <c r="Y42" i="5"/>
  <c r="D45" i="5"/>
  <c r="N50" i="5"/>
  <c r="N55" i="5"/>
  <c r="J56" i="5"/>
  <c r="N59" i="5"/>
  <c r="J78" i="5"/>
  <c r="D82" i="5"/>
  <c r="M82" i="5" s="1"/>
  <c r="J104" i="5"/>
  <c r="D15" i="6"/>
  <c r="M15" i="6" s="1"/>
  <c r="J25" i="6"/>
  <c r="Y25" i="6"/>
  <c r="CL14" i="7"/>
  <c r="CJ13" i="7"/>
  <c r="CL13" i="7" s="1"/>
  <c r="D32" i="7"/>
  <c r="C32" i="7" s="1"/>
  <c r="E31" i="7"/>
  <c r="P33" i="7"/>
  <c r="G31" i="7"/>
  <c r="P31" i="7" s="1"/>
  <c r="AK33" i="7"/>
  <c r="AI31" i="7"/>
  <c r="AK31" i="7" s="1"/>
  <c r="BM31" i="7"/>
  <c r="U40" i="7"/>
  <c r="CM52" i="7"/>
  <c r="CO52" i="7" s="1"/>
  <c r="AQ83" i="7"/>
  <c r="AO74" i="7"/>
  <c r="Z20" i="10"/>
  <c r="AB20" i="10"/>
  <c r="C22" i="10"/>
  <c r="M22" i="10"/>
  <c r="M39" i="10"/>
  <c r="C39" i="10"/>
  <c r="K39" i="10" s="1"/>
  <c r="C40" i="10"/>
  <c r="M40" i="10"/>
  <c r="Z56" i="10"/>
  <c r="AB56" i="10"/>
  <c r="E74" i="5"/>
  <c r="J80" i="5"/>
  <c r="J83" i="5"/>
  <c r="D85" i="5"/>
  <c r="C85" i="5" s="1"/>
  <c r="K85" i="5" s="1"/>
  <c r="J85" i="5"/>
  <c r="Y88" i="5"/>
  <c r="N104" i="5"/>
  <c r="J107" i="5"/>
  <c r="J17" i="6"/>
  <c r="Y20" i="6"/>
  <c r="N21" i="6"/>
  <c r="D22" i="6"/>
  <c r="C22" i="6" s="1"/>
  <c r="K22" i="6" s="1"/>
  <c r="Y22" i="6"/>
  <c r="N24" i="6"/>
  <c r="J29" i="6"/>
  <c r="F31" i="6"/>
  <c r="X31" i="6"/>
  <c r="J35" i="6"/>
  <c r="Y35" i="6"/>
  <c r="J37" i="6"/>
  <c r="N38" i="6"/>
  <c r="D39" i="6"/>
  <c r="C39" i="6" s="1"/>
  <c r="K39" i="6" s="1"/>
  <c r="J41" i="6"/>
  <c r="D45" i="6"/>
  <c r="M45" i="6" s="1"/>
  <c r="V47" i="6"/>
  <c r="N53" i="6"/>
  <c r="U54" i="6"/>
  <c r="J57" i="6"/>
  <c r="J59" i="6"/>
  <c r="Y63" i="6"/>
  <c r="N64" i="6"/>
  <c r="Y64" i="6"/>
  <c r="Y75" i="6"/>
  <c r="V78" i="6"/>
  <c r="V80" i="6"/>
  <c r="D81" i="6"/>
  <c r="M81" i="6" s="1"/>
  <c r="N84" i="6"/>
  <c r="D91" i="6"/>
  <c r="D92" i="6"/>
  <c r="D93" i="6"/>
  <c r="M93" i="6" s="1"/>
  <c r="J95" i="6"/>
  <c r="J98" i="6"/>
  <c r="Q101" i="6"/>
  <c r="D104" i="6"/>
  <c r="M104" i="6" s="1"/>
  <c r="J104" i="6"/>
  <c r="G13" i="7"/>
  <c r="P13" i="7" s="1"/>
  <c r="BL13" i="7"/>
  <c r="BN13" i="7" s="1"/>
  <c r="CM13" i="7"/>
  <c r="CO13" i="7" s="1"/>
  <c r="D14" i="7"/>
  <c r="C14" i="7" s="1"/>
  <c r="Y14" i="7"/>
  <c r="BY13" i="7"/>
  <c r="N15" i="7"/>
  <c r="D16" i="7"/>
  <c r="Y16" i="7"/>
  <c r="BT16" i="7"/>
  <c r="D17" i="7"/>
  <c r="AH17" i="7"/>
  <c r="BZ18" i="7"/>
  <c r="U19" i="7"/>
  <c r="AT19" i="7"/>
  <c r="U21" i="7"/>
  <c r="AT21" i="7"/>
  <c r="BW21" i="7"/>
  <c r="D22" i="7"/>
  <c r="Y22" i="7"/>
  <c r="BT22" i="7"/>
  <c r="AN23" i="7"/>
  <c r="BZ24" i="7"/>
  <c r="U25" i="7"/>
  <c r="AT25" i="7"/>
  <c r="BW25" i="7"/>
  <c r="D26" i="7"/>
  <c r="M26" i="7" s="1"/>
  <c r="Y26" i="7"/>
  <c r="BZ26" i="7"/>
  <c r="U27" i="7"/>
  <c r="AT27" i="7"/>
  <c r="BW27" i="7"/>
  <c r="AN28" i="7"/>
  <c r="F13" i="7"/>
  <c r="AB29" i="7"/>
  <c r="V30" i="7"/>
  <c r="BI31" i="7"/>
  <c r="BK31" i="7" s="1"/>
  <c r="CA31" i="7"/>
  <c r="CC31" i="7" s="1"/>
  <c r="CS31" i="7"/>
  <c r="CU31" i="7" s="1"/>
  <c r="N32" i="7"/>
  <c r="AR31" i="7"/>
  <c r="CB31" i="7"/>
  <c r="J33" i="7"/>
  <c r="N34" i="7"/>
  <c r="AT34" i="7"/>
  <c r="J35" i="7"/>
  <c r="Y35" i="7"/>
  <c r="AB36" i="7"/>
  <c r="AN37" i="7"/>
  <c r="BK37" i="7"/>
  <c r="AH38" i="7"/>
  <c r="AQ38" i="7"/>
  <c r="BT38" i="7"/>
  <c r="V39" i="7"/>
  <c r="BQ39" i="7"/>
  <c r="AQ40" i="7"/>
  <c r="BT40" i="7"/>
  <c r="V41" i="7"/>
  <c r="BQ41" i="7"/>
  <c r="D42" i="7"/>
  <c r="Y42" i="7"/>
  <c r="BZ42" i="7"/>
  <c r="U43" i="7"/>
  <c r="AT43" i="7"/>
  <c r="BW43" i="7"/>
  <c r="D44" i="7"/>
  <c r="M44" i="7" s="1"/>
  <c r="Y44" i="7"/>
  <c r="BZ44" i="7"/>
  <c r="U45" i="7"/>
  <c r="AT45" i="7"/>
  <c r="BW45" i="7"/>
  <c r="D46" i="7"/>
  <c r="Y46" i="7"/>
  <c r="BZ46" i="7"/>
  <c r="U47" i="7"/>
  <c r="AT47" i="7"/>
  <c r="BW47" i="7"/>
  <c r="AN48" i="7"/>
  <c r="AB49" i="7"/>
  <c r="N50" i="7"/>
  <c r="AT50" i="7"/>
  <c r="BH50" i="7"/>
  <c r="AI52" i="7"/>
  <c r="BG52" i="7"/>
  <c r="BU52" i="7"/>
  <c r="CQ52" i="7"/>
  <c r="AS52" i="7"/>
  <c r="N55" i="7"/>
  <c r="AB55" i="7"/>
  <c r="BH55" i="7"/>
  <c r="U56" i="7"/>
  <c r="AN56" i="7"/>
  <c r="U57" i="7"/>
  <c r="AB57" i="7"/>
  <c r="AB58" i="7"/>
  <c r="BN58" i="7"/>
  <c r="J59" i="7"/>
  <c r="BZ59" i="7"/>
  <c r="Y61" i="7"/>
  <c r="BQ61" i="7"/>
  <c r="CI61" i="7"/>
  <c r="AT62" i="7"/>
  <c r="BW62" i="7"/>
  <c r="AB63" i="7"/>
  <c r="V65" i="7"/>
  <c r="D69" i="7"/>
  <c r="C69" i="7" s="1"/>
  <c r="AT69" i="7"/>
  <c r="BK69" i="7"/>
  <c r="CU69" i="7"/>
  <c r="Y70" i="7"/>
  <c r="D71" i="7"/>
  <c r="C71" i="7" s="1"/>
  <c r="Y72" i="7"/>
  <c r="D73" i="7"/>
  <c r="C73" i="7" s="1"/>
  <c r="AV74" i="7"/>
  <c r="BJ74" i="7"/>
  <c r="CH74" i="7"/>
  <c r="BT76" i="7"/>
  <c r="BT77" i="7"/>
  <c r="BK78" i="7"/>
  <c r="BZ79" i="7"/>
  <c r="N80" i="7"/>
  <c r="AN85" i="7"/>
  <c r="BQ85" i="7"/>
  <c r="AQ86" i="7"/>
  <c r="BZ86" i="7"/>
  <c r="AH87" i="7"/>
  <c r="S31" i="8"/>
  <c r="O52" i="9"/>
  <c r="O8" i="9" s="1"/>
  <c r="O7" i="9" s="1"/>
  <c r="J53" i="9"/>
  <c r="R74" i="9"/>
  <c r="U87" i="9"/>
  <c r="AA13" i="10"/>
  <c r="D32" i="10"/>
  <c r="C32" i="10" s="1"/>
  <c r="E31" i="10"/>
  <c r="AE59" i="10"/>
  <c r="AG59" i="10"/>
  <c r="E13" i="11"/>
  <c r="F52" i="11"/>
  <c r="S74" i="11"/>
  <c r="T78" i="11"/>
  <c r="R74" i="11"/>
  <c r="C42" i="13"/>
  <c r="K42" i="13" s="1"/>
  <c r="M42" i="13"/>
  <c r="M54" i="13"/>
  <c r="Q56" i="13"/>
  <c r="I52" i="13"/>
  <c r="Q52" i="13" s="1"/>
  <c r="D83" i="5"/>
  <c r="J86" i="5"/>
  <c r="J96" i="5"/>
  <c r="J98" i="5"/>
  <c r="N101" i="5"/>
  <c r="J105" i="5"/>
  <c r="D107" i="5"/>
  <c r="N18" i="6"/>
  <c r="V18" i="6"/>
  <c r="D20" i="6"/>
  <c r="M20" i="6" s="1"/>
  <c r="J23" i="6"/>
  <c r="Y23" i="6"/>
  <c r="D29" i="6"/>
  <c r="J30" i="6"/>
  <c r="R31" i="6"/>
  <c r="D35" i="6"/>
  <c r="C35" i="6" s="1"/>
  <c r="J36" i="6"/>
  <c r="Y39" i="6"/>
  <c r="Y47" i="6"/>
  <c r="N48" i="6"/>
  <c r="T52" i="6"/>
  <c r="V54" i="6"/>
  <c r="J65" i="6"/>
  <c r="Y69" i="6"/>
  <c r="Y70" i="6"/>
  <c r="N78" i="6"/>
  <c r="D82" i="6"/>
  <c r="D88" i="6"/>
  <c r="C88" i="6" s="1"/>
  <c r="K88" i="6" s="1"/>
  <c r="J90" i="6"/>
  <c r="J107" i="6"/>
  <c r="J108" i="6"/>
  <c r="BC13" i="7"/>
  <c r="BE13" i="7" s="1"/>
  <c r="BT14" i="7"/>
  <c r="AN15" i="7"/>
  <c r="AU13" i="7"/>
  <c r="BP13" i="7"/>
  <c r="AH16" i="7"/>
  <c r="AQ16" i="7"/>
  <c r="BN16" i="7"/>
  <c r="AB17" i="7"/>
  <c r="AN18" i="7"/>
  <c r="V19" i="7"/>
  <c r="BQ19" i="7"/>
  <c r="CO19" i="7"/>
  <c r="N20" i="7"/>
  <c r="CF20" i="7"/>
  <c r="N21" i="7"/>
  <c r="V21" i="7"/>
  <c r="BQ21" i="7"/>
  <c r="AH22" i="7"/>
  <c r="AQ22" i="7"/>
  <c r="J23" i="7"/>
  <c r="Y23" i="7"/>
  <c r="Y24" i="7"/>
  <c r="N25" i="7"/>
  <c r="V25" i="7"/>
  <c r="AJ13" i="7"/>
  <c r="BQ25" i="7"/>
  <c r="AH26" i="7"/>
  <c r="AQ26" i="7"/>
  <c r="BT26" i="7"/>
  <c r="V27" i="7"/>
  <c r="BQ27" i="7"/>
  <c r="D28" i="7"/>
  <c r="Y28" i="7"/>
  <c r="BZ28" i="7"/>
  <c r="U29" i="7"/>
  <c r="AT29" i="7"/>
  <c r="BW29" i="7"/>
  <c r="AN30" i="7"/>
  <c r="BL31" i="7"/>
  <c r="CD31" i="7"/>
  <c r="T31" i="7"/>
  <c r="V31" i="7" s="1"/>
  <c r="BV31" i="7"/>
  <c r="D33" i="7"/>
  <c r="AH33" i="7"/>
  <c r="AQ33" i="7"/>
  <c r="AH35" i="7"/>
  <c r="AY35" i="7"/>
  <c r="N36" i="7"/>
  <c r="J37" i="7"/>
  <c r="BN38" i="7"/>
  <c r="AN39" i="7"/>
  <c r="BN40" i="7"/>
  <c r="AN41" i="7"/>
  <c r="BK41" i="7"/>
  <c r="AQ42" i="7"/>
  <c r="BT42" i="7"/>
  <c r="N43" i="7"/>
  <c r="V43" i="7"/>
  <c r="BQ43" i="7"/>
  <c r="AH44" i="7"/>
  <c r="AQ44" i="7"/>
  <c r="BT44" i="7"/>
  <c r="N45" i="7"/>
  <c r="V45" i="7"/>
  <c r="BQ45" i="7"/>
  <c r="AH46" i="7"/>
  <c r="AQ46" i="7"/>
  <c r="BT46" i="7"/>
  <c r="V47" i="7"/>
  <c r="BQ47" i="7"/>
  <c r="D48" i="7"/>
  <c r="Y48" i="7"/>
  <c r="BZ48" i="7"/>
  <c r="U49" i="7"/>
  <c r="AT49" i="7"/>
  <c r="BW49" i="7"/>
  <c r="BB50" i="7"/>
  <c r="D51" i="7"/>
  <c r="AH51" i="7"/>
  <c r="AQ51" i="7"/>
  <c r="AY51" i="7"/>
  <c r="CI51" i="7"/>
  <c r="V53" i="7"/>
  <c r="AC52" i="7"/>
  <c r="AJ52" i="7"/>
  <c r="U54" i="7"/>
  <c r="AN54" i="7"/>
  <c r="U55" i="7"/>
  <c r="AT55" i="7"/>
  <c r="CI55" i="7"/>
  <c r="Y56" i="7"/>
  <c r="N57" i="7"/>
  <c r="V57" i="7"/>
  <c r="BQ57" i="7"/>
  <c r="CV52" i="7"/>
  <c r="N58" i="7"/>
  <c r="V58" i="7"/>
  <c r="AY58" i="7"/>
  <c r="BH58" i="7"/>
  <c r="D59" i="7"/>
  <c r="C59" i="7" s="1"/>
  <c r="AH59" i="7"/>
  <c r="AB60" i="7"/>
  <c r="AH61" i="7"/>
  <c r="U62" i="7"/>
  <c r="U63" i="7"/>
  <c r="CF63" i="7"/>
  <c r="BQ64" i="7"/>
  <c r="J65" i="7"/>
  <c r="BZ65" i="7"/>
  <c r="BP52" i="7"/>
  <c r="BZ67" i="7"/>
  <c r="BB69" i="7"/>
  <c r="AP74" i="7"/>
  <c r="BD74" i="7"/>
  <c r="BT75" i="7"/>
  <c r="J77" i="7"/>
  <c r="U78" i="7"/>
  <c r="BL74" i="7"/>
  <c r="BN74" i="7" s="1"/>
  <c r="AU74" i="7"/>
  <c r="U87" i="7"/>
  <c r="J92" i="7"/>
  <c r="U16" i="8"/>
  <c r="U17" i="8"/>
  <c r="F13" i="8"/>
  <c r="W13" i="9"/>
  <c r="F52" i="9"/>
  <c r="D53" i="9"/>
  <c r="C53" i="9" s="1"/>
  <c r="K53" i="9" s="1"/>
  <c r="AE17" i="10"/>
  <c r="AG17" i="10"/>
  <c r="M29" i="10"/>
  <c r="C34" i="10"/>
  <c r="M34" i="10"/>
  <c r="AE51" i="10"/>
  <c r="AG51" i="10"/>
  <c r="AG64" i="10"/>
  <c r="AE64" i="10"/>
  <c r="M101" i="10"/>
  <c r="J53" i="11"/>
  <c r="L52" i="11"/>
  <c r="P78" i="11"/>
  <c r="G74" i="11"/>
  <c r="D44" i="6"/>
  <c r="V68" i="6"/>
  <c r="R74" i="6"/>
  <c r="E74" i="6"/>
  <c r="D86" i="6"/>
  <c r="D101" i="6"/>
  <c r="M101" i="6" s="1"/>
  <c r="D106" i="6"/>
  <c r="D108" i="6"/>
  <c r="M108" i="6" s="1"/>
  <c r="AB14" i="7"/>
  <c r="AG13" i="7"/>
  <c r="J15" i="7"/>
  <c r="AB16" i="7"/>
  <c r="BH16" i="7"/>
  <c r="AT17" i="7"/>
  <c r="BW17" i="7"/>
  <c r="D18" i="7"/>
  <c r="Y18" i="7"/>
  <c r="BT18" i="7"/>
  <c r="AN19" i="7"/>
  <c r="CI19" i="7"/>
  <c r="BZ20" i="7"/>
  <c r="AN21" i="7"/>
  <c r="D23" i="7"/>
  <c r="M23" i="7" s="1"/>
  <c r="AH23" i="7"/>
  <c r="AQ23" i="7"/>
  <c r="AY23" i="7"/>
  <c r="BW23" i="7"/>
  <c r="D24" i="7"/>
  <c r="AH24" i="7"/>
  <c r="AQ24" i="7"/>
  <c r="BT24" i="7"/>
  <c r="AN25" i="7"/>
  <c r="AN27" i="7"/>
  <c r="CU27" i="7"/>
  <c r="AQ28" i="7"/>
  <c r="BT28" i="7"/>
  <c r="V29" i="7"/>
  <c r="BQ29" i="7"/>
  <c r="D30" i="7"/>
  <c r="Y30" i="7"/>
  <c r="BZ30" i="7"/>
  <c r="AL31" i="7"/>
  <c r="BP31" i="7"/>
  <c r="BQ31" i="7" s="1"/>
  <c r="AB33" i="7"/>
  <c r="AB35" i="7"/>
  <c r="AH37" i="7"/>
  <c r="AY37" i="7"/>
  <c r="BH38" i="7"/>
  <c r="J39" i="7"/>
  <c r="AT40" i="7"/>
  <c r="BH40" i="7"/>
  <c r="Y41" i="7"/>
  <c r="AV31" i="7"/>
  <c r="AB42" i="7"/>
  <c r="AD31" i="7"/>
  <c r="AN43" i="7"/>
  <c r="BK43" i="7"/>
  <c r="AB44" i="7"/>
  <c r="BN44" i="7"/>
  <c r="AN45" i="7"/>
  <c r="CU45" i="7"/>
  <c r="BN46" i="7"/>
  <c r="AN47" i="7"/>
  <c r="BK47" i="7"/>
  <c r="AQ48" i="7"/>
  <c r="BT48" i="7"/>
  <c r="V49" i="7"/>
  <c r="BQ49" i="7"/>
  <c r="AB51" i="7"/>
  <c r="AD52" i="7"/>
  <c r="AD8" i="7" s="1"/>
  <c r="AD7" i="7" s="1"/>
  <c r="AN53" i="7"/>
  <c r="BI52" i="7"/>
  <c r="Y54" i="7"/>
  <c r="BZ54" i="7"/>
  <c r="V55" i="7"/>
  <c r="CR55" i="7"/>
  <c r="D56" i="7"/>
  <c r="M56" i="7" s="1"/>
  <c r="AH56" i="7"/>
  <c r="AQ56" i="7"/>
  <c r="AB59" i="7"/>
  <c r="AQ59" i="7"/>
  <c r="CU59" i="7"/>
  <c r="CF60" i="7"/>
  <c r="AB61" i="7"/>
  <c r="CU61" i="7"/>
  <c r="AN62" i="7"/>
  <c r="BQ62" i="7"/>
  <c r="N63" i="7"/>
  <c r="V63" i="7"/>
  <c r="BQ63" i="7"/>
  <c r="CI63" i="7"/>
  <c r="BT64" i="7"/>
  <c r="CR64" i="7"/>
  <c r="D65" i="7"/>
  <c r="M65" i="7" s="1"/>
  <c r="N65" i="7"/>
  <c r="Y65" i="7"/>
  <c r="AB66" i="7"/>
  <c r="AB67" i="7"/>
  <c r="BZ68" i="7"/>
  <c r="AH69" i="7"/>
  <c r="BW69" i="7"/>
  <c r="AB71" i="7"/>
  <c r="BZ72" i="7"/>
  <c r="BZ73" i="7"/>
  <c r="T74" i="7"/>
  <c r="AJ74" i="7"/>
  <c r="AX74" i="7"/>
  <c r="U76" i="7"/>
  <c r="AQ76" i="7"/>
  <c r="D77" i="7"/>
  <c r="AT77" i="7"/>
  <c r="AC74" i="7"/>
  <c r="BW78" i="7"/>
  <c r="CF78" i="7"/>
  <c r="CU78" i="7"/>
  <c r="N79" i="7"/>
  <c r="BT79" i="7"/>
  <c r="D81" i="7"/>
  <c r="C81" i="7" s="1"/>
  <c r="K81" i="7" s="1"/>
  <c r="AN81" i="7"/>
  <c r="AQ82" i="7"/>
  <c r="BT84" i="7"/>
  <c r="U85" i="7"/>
  <c r="AB85" i="7"/>
  <c r="N86" i="7"/>
  <c r="Y86" i="7"/>
  <c r="BN86" i="7"/>
  <c r="V87" i="7"/>
  <c r="D92" i="7"/>
  <c r="J97" i="7"/>
  <c r="D101" i="7"/>
  <c r="C101" i="7" s="1"/>
  <c r="K101" i="7" s="1"/>
  <c r="Y25" i="8"/>
  <c r="U57" i="8"/>
  <c r="J71" i="8"/>
  <c r="U88" i="8"/>
  <c r="V16" i="9"/>
  <c r="T13" i="9"/>
  <c r="U13" i="9" s="1"/>
  <c r="U34" i="9"/>
  <c r="R31" i="9"/>
  <c r="R8" i="9" s="1"/>
  <c r="E31" i="9"/>
  <c r="J55" i="9"/>
  <c r="L52" i="9"/>
  <c r="Y52" i="9"/>
  <c r="C90" i="9"/>
  <c r="K90" i="9" s="1"/>
  <c r="M90" i="9"/>
  <c r="C96" i="9"/>
  <c r="K96" i="9" s="1"/>
  <c r="M96" i="9"/>
  <c r="J99" i="9"/>
  <c r="AE15" i="10"/>
  <c r="AG15" i="10"/>
  <c r="N22" i="10"/>
  <c r="J22" i="10"/>
  <c r="W24" i="10"/>
  <c r="AE26" i="10"/>
  <c r="AG26" i="10"/>
  <c r="T34" i="10"/>
  <c r="Z37" i="10"/>
  <c r="AB37" i="10"/>
  <c r="J40" i="10"/>
  <c r="Z40" i="10"/>
  <c r="AB40" i="10"/>
  <c r="C46" i="10"/>
  <c r="K46" i="10" s="1"/>
  <c r="M46" i="10"/>
  <c r="AF52" i="10"/>
  <c r="AG68" i="10"/>
  <c r="AE81" i="10"/>
  <c r="AG81" i="10"/>
  <c r="AE82" i="10"/>
  <c r="AG82" i="10"/>
  <c r="O52" i="11"/>
  <c r="O74" i="11"/>
  <c r="X74" i="5"/>
  <c r="D95" i="5"/>
  <c r="C95" i="5" s="1"/>
  <c r="K95" i="5" s="1"/>
  <c r="AB7" i="6"/>
  <c r="X13" i="6"/>
  <c r="U16" i="6"/>
  <c r="M18" i="6"/>
  <c r="N20" i="6"/>
  <c r="Y21" i="6"/>
  <c r="U23" i="6"/>
  <c r="D24" i="6"/>
  <c r="M24" i="6" s="1"/>
  <c r="U32" i="6"/>
  <c r="T31" i="6"/>
  <c r="N41" i="6"/>
  <c r="N43" i="6"/>
  <c r="D48" i="6"/>
  <c r="Y54" i="6"/>
  <c r="D56" i="6"/>
  <c r="N57" i="6"/>
  <c r="Y60" i="6"/>
  <c r="M62" i="6"/>
  <c r="N67" i="6"/>
  <c r="N69" i="6"/>
  <c r="N72" i="6"/>
  <c r="G74" i="6"/>
  <c r="P74" i="6" s="1"/>
  <c r="Q76" i="6"/>
  <c r="J80" i="6"/>
  <c r="K80" i="6" s="1"/>
  <c r="J83" i="6"/>
  <c r="N88" i="6"/>
  <c r="N98" i="6"/>
  <c r="P101" i="6"/>
  <c r="BI13" i="7"/>
  <c r="BW14" i="7"/>
  <c r="AP13" i="7"/>
  <c r="AP8" i="7" s="1"/>
  <c r="AP7" i="7" s="1"/>
  <c r="AX13" i="7"/>
  <c r="BM13" i="7"/>
  <c r="CH13" i="7"/>
  <c r="CW13" i="7"/>
  <c r="CO16" i="7"/>
  <c r="BT19" i="7"/>
  <c r="CR19" i="7"/>
  <c r="M20" i="7"/>
  <c r="J20" i="7"/>
  <c r="CI20" i="7"/>
  <c r="BH23" i="7"/>
  <c r="V26" i="7"/>
  <c r="AH27" i="7"/>
  <c r="CI27" i="7"/>
  <c r="N28" i="7"/>
  <c r="J29" i="7"/>
  <c r="AW31" i="7"/>
  <c r="CG31" i="7"/>
  <c r="CI31" i="7" s="1"/>
  <c r="AF31" i="7"/>
  <c r="BD31" i="7"/>
  <c r="CN31" i="7"/>
  <c r="M36" i="7"/>
  <c r="J36" i="7"/>
  <c r="K36" i="7" s="1"/>
  <c r="AT37" i="7"/>
  <c r="BW37" i="7"/>
  <c r="C38" i="7"/>
  <c r="K38" i="7" s="1"/>
  <c r="BT39" i="7"/>
  <c r="V42" i="7"/>
  <c r="V44" i="7"/>
  <c r="V46" i="7"/>
  <c r="AY47" i="7"/>
  <c r="J49" i="7"/>
  <c r="BT50" i="7"/>
  <c r="AH53" i="7"/>
  <c r="AO52" i="7"/>
  <c r="AQ52" i="7" s="1"/>
  <c r="CG52" i="7"/>
  <c r="BN54" i="7"/>
  <c r="AT59" i="7"/>
  <c r="CF59" i="7"/>
  <c r="BQ60" i="7"/>
  <c r="J61" i="7"/>
  <c r="N62" i="7"/>
  <c r="AH62" i="7"/>
  <c r="AQ62" i="7"/>
  <c r="J63" i="7"/>
  <c r="Y63" i="7"/>
  <c r="U68" i="7"/>
  <c r="AQ70" i="7"/>
  <c r="BT70" i="7"/>
  <c r="BT73" i="7"/>
  <c r="D75" i="7"/>
  <c r="X74" i="7"/>
  <c r="AY76" i="7"/>
  <c r="CE74" i="7"/>
  <c r="AH77" i="7"/>
  <c r="BZ77" i="7"/>
  <c r="N78" i="7"/>
  <c r="BB78" i="7"/>
  <c r="BQ78" i="7"/>
  <c r="J79" i="7"/>
  <c r="Y82" i="7"/>
  <c r="D87" i="7"/>
  <c r="AT87" i="7"/>
  <c r="D88" i="7"/>
  <c r="D91" i="7"/>
  <c r="C91" i="7" s="1"/>
  <c r="K91" i="7" s="1"/>
  <c r="D95" i="7"/>
  <c r="C95" i="7" s="1"/>
  <c r="K95" i="7" s="1"/>
  <c r="Y27" i="8"/>
  <c r="D34" i="8"/>
  <c r="Y44" i="8"/>
  <c r="T74" i="8"/>
  <c r="U39" i="9"/>
  <c r="AI53" i="9"/>
  <c r="AD52" i="9"/>
  <c r="AI52" i="9" s="1"/>
  <c r="F74" i="9"/>
  <c r="Y74" i="9"/>
  <c r="E13" i="10"/>
  <c r="D20" i="10"/>
  <c r="C20" i="10" s="1"/>
  <c r="K20" i="10" s="1"/>
  <c r="Z27" i="10"/>
  <c r="V31" i="10"/>
  <c r="AD31" i="10"/>
  <c r="AG35" i="10"/>
  <c r="W43" i="10"/>
  <c r="D56" i="10"/>
  <c r="C56" i="10" s="1"/>
  <c r="K56" i="10" s="1"/>
  <c r="Z58" i="10"/>
  <c r="AB58" i="10"/>
  <c r="AB63" i="10"/>
  <c r="Z63" i="10"/>
  <c r="L13" i="11"/>
  <c r="J13" i="11" s="1"/>
  <c r="J14" i="11"/>
  <c r="T21" i="11"/>
  <c r="R13" i="11"/>
  <c r="D76" i="11"/>
  <c r="E74" i="11"/>
  <c r="AZ13" i="12"/>
  <c r="J79" i="5"/>
  <c r="C87" i="5"/>
  <c r="K87" i="5" s="1"/>
  <c r="F89" i="5"/>
  <c r="F9" i="5" s="1"/>
  <c r="H89" i="5"/>
  <c r="H9" i="5" s="1"/>
  <c r="J94" i="5"/>
  <c r="AA7" i="6"/>
  <c r="N15" i="6"/>
  <c r="U15" i="6"/>
  <c r="N27" i="6"/>
  <c r="U27" i="6"/>
  <c r="N30" i="6"/>
  <c r="E31" i="6"/>
  <c r="N33" i="6"/>
  <c r="U33" i="6"/>
  <c r="Y34" i="6"/>
  <c r="N36" i="6"/>
  <c r="N44" i="6"/>
  <c r="N46" i="6"/>
  <c r="U46" i="6"/>
  <c r="J47" i="6"/>
  <c r="U49" i="6"/>
  <c r="D50" i="6"/>
  <c r="M50" i="6" s="1"/>
  <c r="J50" i="6"/>
  <c r="O52" i="6"/>
  <c r="J56" i="6"/>
  <c r="Y58" i="6"/>
  <c r="J62" i="6"/>
  <c r="K62" i="6" s="1"/>
  <c r="Y66" i="6"/>
  <c r="D68" i="6"/>
  <c r="Y68" i="6"/>
  <c r="Y71" i="6"/>
  <c r="N73" i="6"/>
  <c r="J77" i="6"/>
  <c r="U78" i="6"/>
  <c r="Y87" i="6"/>
  <c r="J92" i="6"/>
  <c r="J93" i="6"/>
  <c r="D95" i="6"/>
  <c r="D105" i="6"/>
  <c r="M105" i="6" s="1"/>
  <c r="N106" i="6"/>
  <c r="CE13" i="7"/>
  <c r="CF13" i="7" s="1"/>
  <c r="AT15" i="7"/>
  <c r="BW15" i="7"/>
  <c r="V16" i="7"/>
  <c r="CR16" i="7"/>
  <c r="J17" i="7"/>
  <c r="Y17" i="7"/>
  <c r="BZ17" i="7"/>
  <c r="AB19" i="7"/>
  <c r="BW19" i="7"/>
  <c r="CU19" i="7"/>
  <c r="AB20" i="7"/>
  <c r="AB21" i="7"/>
  <c r="AN22" i="7"/>
  <c r="BQ22" i="7"/>
  <c r="BK23" i="7"/>
  <c r="BZ23" i="7"/>
  <c r="N24" i="7"/>
  <c r="BW24" i="7"/>
  <c r="AB25" i="7"/>
  <c r="N30" i="7"/>
  <c r="AZ31" i="7"/>
  <c r="BB31" i="7" s="1"/>
  <c r="CJ31" i="7"/>
  <c r="CL31" i="7" s="1"/>
  <c r="Z31" i="7"/>
  <c r="AX31" i="7"/>
  <c r="CH31" i="7"/>
  <c r="AN33" i="7"/>
  <c r="AN35" i="7"/>
  <c r="U39" i="7"/>
  <c r="AT39" i="7"/>
  <c r="BW39" i="7"/>
  <c r="D40" i="7"/>
  <c r="M40" i="7" s="1"/>
  <c r="J40" i="7"/>
  <c r="Y40" i="7"/>
  <c r="BZ40" i="7"/>
  <c r="U41" i="7"/>
  <c r="AT41" i="7"/>
  <c r="BW41" i="7"/>
  <c r="AN42" i="7"/>
  <c r="AB43" i="7"/>
  <c r="AB45" i="7"/>
  <c r="V48" i="7"/>
  <c r="AH49" i="7"/>
  <c r="AY49" i="7"/>
  <c r="BN50" i="7"/>
  <c r="AN51" i="7"/>
  <c r="BK51" i="7"/>
  <c r="CU51" i="7"/>
  <c r="AB53" i="7"/>
  <c r="AP52" i="7"/>
  <c r="BM52" i="7"/>
  <c r="CA52" i="7"/>
  <c r="CC52" i="7" s="1"/>
  <c r="AA52" i="7"/>
  <c r="AK54" i="7"/>
  <c r="BH54" i="7"/>
  <c r="CU54" i="7"/>
  <c r="AY55" i="7"/>
  <c r="CT52" i="7"/>
  <c r="N56" i="7"/>
  <c r="V56" i="7"/>
  <c r="BT56" i="7"/>
  <c r="J58" i="7"/>
  <c r="CB52" i="7"/>
  <c r="CL63" i="7"/>
  <c r="Y64" i="7"/>
  <c r="BW64" i="7"/>
  <c r="CF64" i="7"/>
  <c r="CU64" i="7"/>
  <c r="U65" i="7"/>
  <c r="AT65" i="7"/>
  <c r="U66" i="7"/>
  <c r="AN66" i="7"/>
  <c r="BQ66" i="7"/>
  <c r="J67" i="7"/>
  <c r="AT67" i="7"/>
  <c r="J69" i="7"/>
  <c r="J71" i="7"/>
  <c r="J73" i="7"/>
  <c r="BW73" i="7"/>
  <c r="F74" i="7"/>
  <c r="BP74" i="7"/>
  <c r="CN74" i="7"/>
  <c r="M27" i="8"/>
  <c r="C27" i="8"/>
  <c r="M16" i="10"/>
  <c r="C28" i="10"/>
  <c r="K28" i="10" s="1"/>
  <c r="M28" i="10"/>
  <c r="L31" i="10"/>
  <c r="J32" i="10"/>
  <c r="Z68" i="10"/>
  <c r="AB68" i="10"/>
  <c r="Z86" i="10"/>
  <c r="AB86" i="10"/>
  <c r="P55" i="11"/>
  <c r="G52" i="11"/>
  <c r="P52" i="11" s="1"/>
  <c r="Q75" i="11"/>
  <c r="I74" i="11"/>
  <c r="Q74" i="11" s="1"/>
  <c r="J80" i="11"/>
  <c r="L74" i="11"/>
  <c r="J74" i="11" s="1"/>
  <c r="J100" i="11"/>
  <c r="L89" i="11"/>
  <c r="L9" i="11" s="1"/>
  <c r="M66" i="13"/>
  <c r="P90" i="13"/>
  <c r="G89" i="13"/>
  <c r="G9" i="13" s="1"/>
  <c r="P9" i="13" s="1"/>
  <c r="C103" i="7"/>
  <c r="H13" i="8"/>
  <c r="C15" i="8"/>
  <c r="J15" i="8"/>
  <c r="N17" i="8"/>
  <c r="O52" i="8"/>
  <c r="N58" i="8"/>
  <c r="U68" i="8"/>
  <c r="M69" i="8"/>
  <c r="N70" i="8"/>
  <c r="J72" i="8"/>
  <c r="U73" i="8"/>
  <c r="H74" i="8"/>
  <c r="N78" i="8"/>
  <c r="D79" i="8"/>
  <c r="C79" i="8" s="1"/>
  <c r="K79" i="8" s="1"/>
  <c r="V81" i="8"/>
  <c r="D83" i="8"/>
  <c r="D92" i="8"/>
  <c r="M92" i="8" s="1"/>
  <c r="C108" i="8"/>
  <c r="K108" i="8" s="1"/>
  <c r="J108" i="8"/>
  <c r="D16" i="9"/>
  <c r="M16" i="9" s="1"/>
  <c r="AE13" i="9"/>
  <c r="V17" i="9"/>
  <c r="AF17" i="9"/>
  <c r="J23" i="9"/>
  <c r="J28" i="9"/>
  <c r="D29" i="9"/>
  <c r="C29" i="9" s="1"/>
  <c r="N30" i="9"/>
  <c r="U30" i="9"/>
  <c r="J36" i="9"/>
  <c r="V40" i="9"/>
  <c r="J41" i="9"/>
  <c r="AI41" i="9"/>
  <c r="V42" i="9"/>
  <c r="D44" i="9"/>
  <c r="M44" i="9" s="1"/>
  <c r="J46" i="9"/>
  <c r="AC46" i="9"/>
  <c r="V50" i="9"/>
  <c r="H52" i="9"/>
  <c r="N52" i="9" s="1"/>
  <c r="I52" i="9"/>
  <c r="Q52" i="9" s="1"/>
  <c r="J54" i="9"/>
  <c r="AC54" i="9"/>
  <c r="N55" i="9"/>
  <c r="Z55" i="9"/>
  <c r="AE52" i="9"/>
  <c r="D60" i="9"/>
  <c r="M60" i="9" s="1"/>
  <c r="AF60" i="9"/>
  <c r="AF61" i="9"/>
  <c r="J64" i="9"/>
  <c r="N66" i="9"/>
  <c r="AI66" i="9"/>
  <c r="AI67" i="9"/>
  <c r="V68" i="9"/>
  <c r="D70" i="9"/>
  <c r="M70" i="9" s="1"/>
  <c r="J72" i="9"/>
  <c r="AC72" i="9"/>
  <c r="AI76" i="9"/>
  <c r="U78" i="9"/>
  <c r="AF79" i="9"/>
  <c r="J82" i="9"/>
  <c r="AC82" i="9"/>
  <c r="AI84" i="9"/>
  <c r="AI85" i="9"/>
  <c r="V86" i="9"/>
  <c r="D88" i="9"/>
  <c r="M88" i="9" s="1"/>
  <c r="AF88" i="9"/>
  <c r="V13" i="10"/>
  <c r="AG16" i="10"/>
  <c r="J17" i="10"/>
  <c r="AG18" i="10"/>
  <c r="N19" i="10"/>
  <c r="Z19" i="10"/>
  <c r="N23" i="10"/>
  <c r="W23" i="10"/>
  <c r="T24" i="10"/>
  <c r="W27" i="10"/>
  <c r="AE27" i="10"/>
  <c r="N32" i="10"/>
  <c r="T32" i="10"/>
  <c r="AA31" i="10"/>
  <c r="C33" i="10"/>
  <c r="K33" i="10" s="1"/>
  <c r="W33" i="10"/>
  <c r="AE33" i="10"/>
  <c r="S31" i="10"/>
  <c r="D37" i="10"/>
  <c r="Z38" i="10"/>
  <c r="N39" i="10"/>
  <c r="AG41" i="10"/>
  <c r="J42" i="10"/>
  <c r="Z43" i="10"/>
  <c r="D45" i="10"/>
  <c r="W46" i="10"/>
  <c r="AG46" i="10"/>
  <c r="C57" i="10"/>
  <c r="K57" i="10" s="1"/>
  <c r="J57" i="10"/>
  <c r="AG62" i="10"/>
  <c r="AB73" i="10"/>
  <c r="AB79" i="10"/>
  <c r="AE80" i="10"/>
  <c r="Z81" i="10"/>
  <c r="D87" i="10"/>
  <c r="M87" i="10" s="1"/>
  <c r="D90" i="10"/>
  <c r="C90" i="10" s="1"/>
  <c r="T16" i="11"/>
  <c r="H13" i="11"/>
  <c r="J21" i="11"/>
  <c r="S31" i="11"/>
  <c r="D37" i="11"/>
  <c r="M37" i="11" s="1"/>
  <c r="D43" i="11"/>
  <c r="M43" i="11" s="1"/>
  <c r="D49" i="11"/>
  <c r="M49" i="11" s="1"/>
  <c r="I52" i="11"/>
  <c r="Q52" i="11" s="1"/>
  <c r="P53" i="11"/>
  <c r="T53" i="11"/>
  <c r="J55" i="11"/>
  <c r="D59" i="11"/>
  <c r="M59" i="11" s="1"/>
  <c r="J70" i="11"/>
  <c r="D71" i="11"/>
  <c r="O89" i="11"/>
  <c r="O9" i="11" s="1"/>
  <c r="Y14" i="12"/>
  <c r="AD13" i="12"/>
  <c r="AW14" i="12"/>
  <c r="BB13" i="12"/>
  <c r="J15" i="12"/>
  <c r="K15" i="12" s="1"/>
  <c r="AN13" i="12"/>
  <c r="AG17" i="12"/>
  <c r="AC19" i="12"/>
  <c r="N21" i="12"/>
  <c r="AC21" i="12"/>
  <c r="Y22" i="12"/>
  <c r="AG22" i="12"/>
  <c r="AO22" i="12"/>
  <c r="AW22" i="12"/>
  <c r="BE22" i="12"/>
  <c r="D23" i="12"/>
  <c r="J23" i="12"/>
  <c r="Y23" i="12"/>
  <c r="AS23" i="12"/>
  <c r="BI23" i="12"/>
  <c r="AG41" i="12"/>
  <c r="AO41" i="12"/>
  <c r="U43" i="12"/>
  <c r="U55" i="12"/>
  <c r="M57" i="12"/>
  <c r="C57" i="12"/>
  <c r="AO66" i="12"/>
  <c r="AW66" i="12"/>
  <c r="AT52" i="12"/>
  <c r="AW67" i="12"/>
  <c r="U75" i="12"/>
  <c r="AM74" i="12"/>
  <c r="Y85" i="12"/>
  <c r="P40" i="13"/>
  <c r="C40" i="13"/>
  <c r="K40" i="13" s="1"/>
  <c r="Z53" i="13"/>
  <c r="X52" i="13"/>
  <c r="T52" i="14"/>
  <c r="D102" i="7"/>
  <c r="M102" i="7" s="1"/>
  <c r="J107" i="7"/>
  <c r="O13" i="8"/>
  <c r="U19" i="8"/>
  <c r="U30" i="8"/>
  <c r="J32" i="8"/>
  <c r="V33" i="8"/>
  <c r="F31" i="8"/>
  <c r="Y36" i="8"/>
  <c r="J44" i="8"/>
  <c r="J56" i="8"/>
  <c r="T52" i="8"/>
  <c r="N61" i="8"/>
  <c r="N63" i="8"/>
  <c r="J67" i="8"/>
  <c r="N68" i="8"/>
  <c r="V68" i="8"/>
  <c r="N73" i="8"/>
  <c r="V73" i="8"/>
  <c r="N77" i="8"/>
  <c r="N81" i="8"/>
  <c r="U86" i="8"/>
  <c r="J101" i="8"/>
  <c r="O13" i="9"/>
  <c r="U27" i="9"/>
  <c r="H31" i="9"/>
  <c r="U44" i="9"/>
  <c r="U62" i="9"/>
  <c r="N68" i="9"/>
  <c r="AI68" i="9"/>
  <c r="U70" i="9"/>
  <c r="AF71" i="9"/>
  <c r="X74" i="9"/>
  <c r="AG74" i="9"/>
  <c r="U80" i="9"/>
  <c r="AF80" i="9"/>
  <c r="AF81" i="9"/>
  <c r="J84" i="9"/>
  <c r="AI86" i="9"/>
  <c r="AI87" i="9"/>
  <c r="H89" i="9"/>
  <c r="H9" i="9" s="1"/>
  <c r="M95" i="9"/>
  <c r="U101" i="9"/>
  <c r="J104" i="9"/>
  <c r="M105" i="9"/>
  <c r="Z14" i="10"/>
  <c r="N15" i="10"/>
  <c r="T19" i="10"/>
  <c r="N29" i="10"/>
  <c r="N35" i="10"/>
  <c r="N51" i="10"/>
  <c r="Z51" i="10"/>
  <c r="L52" i="10"/>
  <c r="X52" i="10"/>
  <c r="J63" i="10"/>
  <c r="Z67" i="10"/>
  <c r="J71" i="10"/>
  <c r="N72" i="10"/>
  <c r="AE76" i="10"/>
  <c r="L89" i="10"/>
  <c r="L9" i="10" s="1"/>
  <c r="J9" i="10" s="1"/>
  <c r="N93" i="10"/>
  <c r="N95" i="10"/>
  <c r="N101" i="10"/>
  <c r="S13" i="11"/>
  <c r="S8" i="11" s="1"/>
  <c r="S7" i="11" s="1"/>
  <c r="N32" i="11"/>
  <c r="O31" i="11"/>
  <c r="O8" i="11" s="1"/>
  <c r="J54" i="11"/>
  <c r="J66" i="11"/>
  <c r="D70" i="11"/>
  <c r="J77" i="11"/>
  <c r="D78" i="11"/>
  <c r="J81" i="11"/>
  <c r="N88" i="11"/>
  <c r="D95" i="11"/>
  <c r="D97" i="11"/>
  <c r="J104" i="11"/>
  <c r="J106" i="11"/>
  <c r="N16" i="12"/>
  <c r="U16" i="12"/>
  <c r="AC16" i="12"/>
  <c r="AS16" i="12"/>
  <c r="BA16" i="12"/>
  <c r="N17" i="12"/>
  <c r="BE19" i="12"/>
  <c r="D20" i="12"/>
  <c r="M20" i="12" s="1"/>
  <c r="AK21" i="12"/>
  <c r="J24" i="12"/>
  <c r="Y24" i="12"/>
  <c r="AG24" i="12"/>
  <c r="AO24" i="12"/>
  <c r="AW24" i="12"/>
  <c r="BE24" i="12"/>
  <c r="Y26" i="12"/>
  <c r="U33" i="12"/>
  <c r="U70" i="12"/>
  <c r="F89" i="12"/>
  <c r="F9" i="12" s="1"/>
  <c r="N23" i="13"/>
  <c r="M59" i="13"/>
  <c r="C59" i="13"/>
  <c r="K59" i="13" s="1"/>
  <c r="D80" i="13"/>
  <c r="M80" i="13" s="1"/>
  <c r="E74" i="13"/>
  <c r="D107" i="7"/>
  <c r="G13" i="8"/>
  <c r="P13" i="8" s="1"/>
  <c r="T13" i="8"/>
  <c r="T8" i="8" s="1"/>
  <c r="T7" i="8" s="1"/>
  <c r="J25" i="8"/>
  <c r="J27" i="8"/>
  <c r="N29" i="8"/>
  <c r="Y29" i="8"/>
  <c r="D32" i="8"/>
  <c r="M32" i="8" s="1"/>
  <c r="X31" i="8"/>
  <c r="J37" i="8"/>
  <c r="D39" i="8"/>
  <c r="M39" i="8" s="1"/>
  <c r="N40" i="8"/>
  <c r="J42" i="8"/>
  <c r="D44" i="8"/>
  <c r="M44" i="8" s="1"/>
  <c r="J49" i="8"/>
  <c r="D51" i="8"/>
  <c r="M51" i="8" s="1"/>
  <c r="D56" i="8"/>
  <c r="M56" i="8" s="1"/>
  <c r="V57" i="8"/>
  <c r="D59" i="8"/>
  <c r="D67" i="8"/>
  <c r="C67" i="8" s="1"/>
  <c r="V69" i="8"/>
  <c r="D71" i="8"/>
  <c r="D75" i="8"/>
  <c r="C75" i="8" s="1"/>
  <c r="O74" i="8"/>
  <c r="N76" i="8"/>
  <c r="U79" i="8"/>
  <c r="D80" i="8"/>
  <c r="D85" i="8"/>
  <c r="C85" i="8" s="1"/>
  <c r="V86" i="8"/>
  <c r="J90" i="8"/>
  <c r="J95" i="8"/>
  <c r="D96" i="8"/>
  <c r="D101" i="8"/>
  <c r="J106" i="8"/>
  <c r="AB13" i="9"/>
  <c r="J17" i="9"/>
  <c r="J22" i="9"/>
  <c r="D23" i="9"/>
  <c r="C23" i="9" s="1"/>
  <c r="AI25" i="9"/>
  <c r="V27" i="9"/>
  <c r="D28" i="9"/>
  <c r="M28" i="9" s="1"/>
  <c r="V29" i="9"/>
  <c r="AF29" i="9"/>
  <c r="T31" i="9"/>
  <c r="AA31" i="9"/>
  <c r="AF31" i="9" s="1"/>
  <c r="Y31" i="9"/>
  <c r="AH31" i="9"/>
  <c r="J35" i="9"/>
  <c r="D36" i="9"/>
  <c r="Z41" i="9"/>
  <c r="V44" i="9"/>
  <c r="D46" i="9"/>
  <c r="M46" i="9" s="1"/>
  <c r="AF46" i="9"/>
  <c r="AF47" i="9"/>
  <c r="R52" i="9"/>
  <c r="U52" i="9" s="1"/>
  <c r="E52" i="9"/>
  <c r="D54" i="9"/>
  <c r="M54" i="9" s="1"/>
  <c r="AF54" i="9"/>
  <c r="AF55" i="9"/>
  <c r="AI60" i="9"/>
  <c r="AI61" i="9"/>
  <c r="V62" i="9"/>
  <c r="J66" i="9"/>
  <c r="AC66" i="9"/>
  <c r="Z67" i="9"/>
  <c r="N70" i="9"/>
  <c r="V70" i="9"/>
  <c r="D72" i="9"/>
  <c r="M72" i="9" s="1"/>
  <c r="U72" i="9"/>
  <c r="AF72" i="9"/>
  <c r="AF73" i="9"/>
  <c r="AD74" i="9"/>
  <c r="AI74" i="9" s="1"/>
  <c r="I74" i="9"/>
  <c r="Q74" i="9" s="1"/>
  <c r="J76" i="9"/>
  <c r="AC76" i="9"/>
  <c r="Z77" i="9"/>
  <c r="AI78" i="9"/>
  <c r="AI79" i="9"/>
  <c r="V80" i="9"/>
  <c r="D82" i="9"/>
  <c r="M82" i="9" s="1"/>
  <c r="U82" i="9"/>
  <c r="AF82" i="9"/>
  <c r="AF83" i="9"/>
  <c r="AC84" i="9"/>
  <c r="N88" i="9"/>
  <c r="AI88" i="9"/>
  <c r="D93" i="9"/>
  <c r="D99" i="9"/>
  <c r="AG14" i="10"/>
  <c r="AB15" i="10"/>
  <c r="W16" i="10"/>
  <c r="D17" i="10"/>
  <c r="C17" i="10" s="1"/>
  <c r="AG22" i="10"/>
  <c r="J23" i="10"/>
  <c r="N25" i="10"/>
  <c r="Z25" i="10"/>
  <c r="AB26" i="10"/>
  <c r="N28" i="10"/>
  <c r="W29" i="10"/>
  <c r="T30" i="10"/>
  <c r="U31" i="10"/>
  <c r="W31" i="10" s="1"/>
  <c r="AE32" i="10"/>
  <c r="N34" i="10"/>
  <c r="N38" i="10"/>
  <c r="T38" i="10"/>
  <c r="W39" i="10"/>
  <c r="AE39" i="10"/>
  <c r="D43" i="10"/>
  <c r="AG45" i="10"/>
  <c r="T48" i="10"/>
  <c r="Z50" i="10"/>
  <c r="J54" i="10"/>
  <c r="V52" i="10"/>
  <c r="H52" i="10"/>
  <c r="N52" i="10" s="1"/>
  <c r="D60" i="10"/>
  <c r="Z61" i="10"/>
  <c r="D63" i="10"/>
  <c r="J66" i="10"/>
  <c r="AE68" i="10"/>
  <c r="Z75" i="10"/>
  <c r="S74" i="10"/>
  <c r="Z76" i="10"/>
  <c r="J77" i="10"/>
  <c r="J84" i="10"/>
  <c r="V74" i="10"/>
  <c r="AG87" i="10"/>
  <c r="AG88" i="10"/>
  <c r="F89" i="10"/>
  <c r="F9" i="10" s="1"/>
  <c r="G13" i="11"/>
  <c r="P13" i="11" s="1"/>
  <c r="Q21" i="11"/>
  <c r="D33" i="11"/>
  <c r="M33" i="11" s="1"/>
  <c r="D39" i="11"/>
  <c r="M39" i="11" s="1"/>
  <c r="J47" i="11"/>
  <c r="J50" i="11"/>
  <c r="Q53" i="11"/>
  <c r="J57" i="11"/>
  <c r="D62" i="11"/>
  <c r="M62" i="11" s="1"/>
  <c r="D66" i="11"/>
  <c r="J69" i="11"/>
  <c r="D77" i="11"/>
  <c r="M77" i="11" s="1"/>
  <c r="D81" i="11"/>
  <c r="J85" i="11"/>
  <c r="D91" i="11"/>
  <c r="M91" i="11" s="1"/>
  <c r="N98" i="11"/>
  <c r="J102" i="11"/>
  <c r="D104" i="11"/>
  <c r="M104" i="11" s="1"/>
  <c r="D106" i="11"/>
  <c r="D108" i="11"/>
  <c r="X13" i="12"/>
  <c r="AF13" i="12"/>
  <c r="AV13" i="12"/>
  <c r="BD13" i="12"/>
  <c r="U18" i="12"/>
  <c r="AC18" i="12"/>
  <c r="AK18" i="12"/>
  <c r="AS18" i="12"/>
  <c r="BA18" i="12"/>
  <c r="BI18" i="12"/>
  <c r="AQ13" i="12"/>
  <c r="AS25" i="12"/>
  <c r="AS43" i="12"/>
  <c r="AS55" i="12"/>
  <c r="BA65" i="12"/>
  <c r="N75" i="12"/>
  <c r="H74" i="12"/>
  <c r="BD74" i="12"/>
  <c r="AO77" i="12"/>
  <c r="BG74" i="12"/>
  <c r="AJ74" i="12"/>
  <c r="D39" i="13"/>
  <c r="C39" i="13" s="1"/>
  <c r="K39" i="13" s="1"/>
  <c r="D45" i="13"/>
  <c r="J51" i="13"/>
  <c r="AG52" i="13"/>
  <c r="D57" i="13"/>
  <c r="M57" i="13" s="1"/>
  <c r="T59" i="13"/>
  <c r="J62" i="13"/>
  <c r="K62" i="13" s="1"/>
  <c r="Z68" i="13"/>
  <c r="N15" i="8"/>
  <c r="X13" i="8"/>
  <c r="X8" i="8" s="1"/>
  <c r="X7" i="8" s="1"/>
  <c r="J19" i="8"/>
  <c r="C21" i="8"/>
  <c r="J21" i="8"/>
  <c r="N23" i="8"/>
  <c r="Y23" i="8"/>
  <c r="J26" i="8"/>
  <c r="N35" i="8"/>
  <c r="J38" i="8"/>
  <c r="V39" i="8"/>
  <c r="D41" i="8"/>
  <c r="Y42" i="8"/>
  <c r="N47" i="8"/>
  <c r="Y47" i="8"/>
  <c r="J50" i="8"/>
  <c r="V51" i="8"/>
  <c r="F52" i="8"/>
  <c r="D61" i="8"/>
  <c r="C61" i="8" s="1"/>
  <c r="V62" i="8"/>
  <c r="D63" i="8"/>
  <c r="J66" i="8"/>
  <c r="D68" i="8"/>
  <c r="M68" i="8" s="1"/>
  <c r="D73" i="8"/>
  <c r="C73" i="8" s="1"/>
  <c r="V75" i="8"/>
  <c r="F74" i="8"/>
  <c r="D81" i="8"/>
  <c r="M81" i="8" s="1"/>
  <c r="J84" i="8"/>
  <c r="D86" i="8"/>
  <c r="M86" i="8" s="1"/>
  <c r="J94" i="8"/>
  <c r="J99" i="8"/>
  <c r="D100" i="8"/>
  <c r="C100" i="8" s="1"/>
  <c r="K100" i="8" s="1"/>
  <c r="D104" i="8"/>
  <c r="I13" i="9"/>
  <c r="Y13" i="9"/>
  <c r="Z13" i="9" s="1"/>
  <c r="J16" i="9"/>
  <c r="N18" i="9"/>
  <c r="U18" i="9"/>
  <c r="AI19" i="9"/>
  <c r="V21" i="9"/>
  <c r="D22" i="9"/>
  <c r="M22" i="9" s="1"/>
  <c r="V23" i="9"/>
  <c r="AF23" i="9"/>
  <c r="J29" i="9"/>
  <c r="O31" i="9"/>
  <c r="AI32" i="9"/>
  <c r="V34" i="9"/>
  <c r="D35" i="9"/>
  <c r="V36" i="9"/>
  <c r="AF36" i="9"/>
  <c r="V38" i="9"/>
  <c r="D40" i="9"/>
  <c r="M40" i="9" s="1"/>
  <c r="AF41" i="9"/>
  <c r="J44" i="9"/>
  <c r="N46" i="9"/>
  <c r="AI46" i="9"/>
  <c r="AI47" i="9"/>
  <c r="D50" i="9"/>
  <c r="M50" i="9" s="1"/>
  <c r="X52" i="9"/>
  <c r="W52" i="9"/>
  <c r="AI54" i="9"/>
  <c r="AI55" i="9"/>
  <c r="V56" i="9"/>
  <c r="D58" i="9"/>
  <c r="M58" i="9" s="1"/>
  <c r="J60" i="9"/>
  <c r="Z61" i="9"/>
  <c r="V64" i="9"/>
  <c r="D66" i="9"/>
  <c r="M66" i="9" s="1"/>
  <c r="AF66" i="9"/>
  <c r="L74" i="9"/>
  <c r="AB74" i="9"/>
  <c r="D76" i="9"/>
  <c r="M76" i="9" s="1"/>
  <c r="J88" i="9"/>
  <c r="D91" i="9"/>
  <c r="M91" i="9" s="1"/>
  <c r="O89" i="9"/>
  <c r="O9" i="9" s="1"/>
  <c r="D97" i="9"/>
  <c r="M97" i="9" s="1"/>
  <c r="D102" i="9"/>
  <c r="C102" i="9" s="1"/>
  <c r="K102" i="9" s="1"/>
  <c r="D108" i="9"/>
  <c r="AB14" i="10"/>
  <c r="D15" i="10"/>
  <c r="J15" i="10"/>
  <c r="N17" i="10"/>
  <c r="W17" i="10"/>
  <c r="T18" i="10"/>
  <c r="AC13" i="10"/>
  <c r="AG20" i="10"/>
  <c r="W21" i="10"/>
  <c r="AE21" i="10"/>
  <c r="W22" i="10"/>
  <c r="D23" i="10"/>
  <c r="M23" i="10" s="1"/>
  <c r="T23" i="10"/>
  <c r="D24" i="10"/>
  <c r="C24" i="10" s="1"/>
  <c r="K24" i="10" s="1"/>
  <c r="N27" i="10"/>
  <c r="AG30" i="10"/>
  <c r="Z32" i="10"/>
  <c r="N33" i="10"/>
  <c r="Y31" i="10"/>
  <c r="J36" i="10"/>
  <c r="T37" i="10"/>
  <c r="AE38" i="10"/>
  <c r="N40" i="10"/>
  <c r="N42" i="10"/>
  <c r="N50" i="10"/>
  <c r="T50" i="10"/>
  <c r="D51" i="10"/>
  <c r="M51" i="10" s="1"/>
  <c r="D55" i="10"/>
  <c r="Z57" i="10"/>
  <c r="AE58" i="10"/>
  <c r="AG63" i="10"/>
  <c r="D67" i="10"/>
  <c r="M67" i="10" s="1"/>
  <c r="W69" i="10"/>
  <c r="AE69" i="10"/>
  <c r="D72" i="10"/>
  <c r="M72" i="10" s="1"/>
  <c r="C75" i="10"/>
  <c r="K75" i="10" s="1"/>
  <c r="J75" i="10"/>
  <c r="D77" i="10"/>
  <c r="C77" i="10" s="1"/>
  <c r="K77" i="10" s="1"/>
  <c r="D85" i="10"/>
  <c r="W88" i="10"/>
  <c r="I89" i="10"/>
  <c r="I9" i="10" s="1"/>
  <c r="Q9" i="10" s="1"/>
  <c r="F13" i="11"/>
  <c r="D23" i="11"/>
  <c r="M23" i="11" s="1"/>
  <c r="D27" i="11"/>
  <c r="M27" i="11" s="1"/>
  <c r="E31" i="11"/>
  <c r="D35" i="11"/>
  <c r="M35" i="11" s="1"/>
  <c r="D41" i="11"/>
  <c r="M41" i="11" s="1"/>
  <c r="E52" i="11"/>
  <c r="D53" i="11"/>
  <c r="J56" i="11"/>
  <c r="D61" i="11"/>
  <c r="D64" i="11"/>
  <c r="M64" i="11" s="1"/>
  <c r="J75" i="11"/>
  <c r="D80" i="11"/>
  <c r="I89" i="11"/>
  <c r="I9" i="11" s="1"/>
  <c r="Q9" i="11" s="1"/>
  <c r="J94" i="11"/>
  <c r="J96" i="11"/>
  <c r="D100" i="11"/>
  <c r="M100" i="11" s="1"/>
  <c r="L13" i="12"/>
  <c r="J17" i="12"/>
  <c r="S13" i="12"/>
  <c r="BA19" i="12"/>
  <c r="AO21" i="12"/>
  <c r="AK23" i="12"/>
  <c r="AN31" i="12"/>
  <c r="AB52" i="12"/>
  <c r="AE74" i="12"/>
  <c r="M81" i="12"/>
  <c r="C81" i="12"/>
  <c r="J15" i="13"/>
  <c r="T68" i="13"/>
  <c r="J103" i="7"/>
  <c r="D104" i="7"/>
  <c r="C104" i="7" s="1"/>
  <c r="K104" i="7" s="1"/>
  <c r="D105" i="7"/>
  <c r="C105" i="7" s="1"/>
  <c r="K105" i="7" s="1"/>
  <c r="H31" i="8"/>
  <c r="O31" i="8"/>
  <c r="X52" i="8"/>
  <c r="J55" i="8"/>
  <c r="K55" i="8" s="1"/>
  <c r="H52" i="8"/>
  <c r="C57" i="8"/>
  <c r="K57" i="8" s="1"/>
  <c r="J57" i="8"/>
  <c r="AG13" i="9"/>
  <c r="R13" i="9"/>
  <c r="AG52" i="9"/>
  <c r="M68" i="9"/>
  <c r="O74" i="9"/>
  <c r="J74" i="9" s="1"/>
  <c r="AD52" i="10"/>
  <c r="F74" i="10"/>
  <c r="F31" i="11"/>
  <c r="J98" i="11"/>
  <c r="D105" i="11"/>
  <c r="D107" i="11"/>
  <c r="C107" i="11" s="1"/>
  <c r="K107" i="11" s="1"/>
  <c r="F13" i="12"/>
  <c r="AK15" i="12"/>
  <c r="AO19" i="12"/>
  <c r="AW21" i="12"/>
  <c r="AZ52" i="12"/>
  <c r="AF74" i="12"/>
  <c r="Q91" i="12"/>
  <c r="I89" i="12"/>
  <c r="I9" i="12" s="1"/>
  <c r="Q9" i="12" s="1"/>
  <c r="M28" i="13"/>
  <c r="C28" i="13"/>
  <c r="AN14" i="16"/>
  <c r="AJ13" i="16"/>
  <c r="AN17" i="16"/>
  <c r="AM13" i="16"/>
  <c r="U18" i="16"/>
  <c r="R13" i="16"/>
  <c r="D33" i="12"/>
  <c r="M33" i="12" s="1"/>
  <c r="O31" i="12"/>
  <c r="AB31" i="12"/>
  <c r="AZ31" i="12"/>
  <c r="AG40" i="12"/>
  <c r="AO40" i="12"/>
  <c r="AW40" i="12"/>
  <c r="BE40" i="12"/>
  <c r="D41" i="12"/>
  <c r="AC44" i="12"/>
  <c r="AK44" i="12"/>
  <c r="BA44" i="12"/>
  <c r="BI44" i="12"/>
  <c r="N45" i="12"/>
  <c r="Y46" i="12"/>
  <c r="AG46" i="12"/>
  <c r="AO46" i="12"/>
  <c r="AW46" i="12"/>
  <c r="BE46" i="12"/>
  <c r="D47" i="12"/>
  <c r="M47" i="12" s="1"/>
  <c r="Y47" i="12"/>
  <c r="D48" i="12"/>
  <c r="I52" i="12"/>
  <c r="Q52" i="12" s="1"/>
  <c r="AA52" i="12"/>
  <c r="Y54" i="12"/>
  <c r="AO54" i="12"/>
  <c r="AW54" i="12"/>
  <c r="D55" i="12"/>
  <c r="C55" i="12" s="1"/>
  <c r="K55" i="12" s="1"/>
  <c r="N57" i="12"/>
  <c r="AI74" i="12"/>
  <c r="X74" i="12"/>
  <c r="AV74" i="12"/>
  <c r="N82" i="12"/>
  <c r="C85" i="12"/>
  <c r="K85" i="12" s="1"/>
  <c r="C18" i="13"/>
  <c r="K18" i="13" s="1"/>
  <c r="N21" i="13"/>
  <c r="N27" i="13"/>
  <c r="N33" i="13"/>
  <c r="AB52" i="13"/>
  <c r="AD52" i="13"/>
  <c r="K65" i="13"/>
  <c r="C84" i="13"/>
  <c r="K84" i="13" s="1"/>
  <c r="M84" i="13"/>
  <c r="X13" i="14"/>
  <c r="F31" i="14"/>
  <c r="AA31" i="14"/>
  <c r="DD13" i="16"/>
  <c r="BF13" i="16"/>
  <c r="BF8" i="16" s="1"/>
  <c r="BF7" i="16" s="1"/>
  <c r="BL13" i="16"/>
  <c r="CU13" i="16"/>
  <c r="CX13" i="16" s="1"/>
  <c r="C30" i="16"/>
  <c r="K30" i="16" s="1"/>
  <c r="M30" i="16"/>
  <c r="P39" i="17"/>
  <c r="C39" i="17"/>
  <c r="K39" i="17" s="1"/>
  <c r="D26" i="12"/>
  <c r="BA27" i="12"/>
  <c r="AW29" i="12"/>
  <c r="AG34" i="12"/>
  <c r="AO34" i="12"/>
  <c r="BE34" i="12"/>
  <c r="J35" i="12"/>
  <c r="N36" i="12"/>
  <c r="AK39" i="12"/>
  <c r="J44" i="12"/>
  <c r="Y50" i="12"/>
  <c r="AG50" i="12"/>
  <c r="AO50" i="12"/>
  <c r="AW50" i="12"/>
  <c r="BE50" i="12"/>
  <c r="J51" i="12"/>
  <c r="J53" i="12"/>
  <c r="AR52" i="12"/>
  <c r="AG58" i="12"/>
  <c r="N62" i="12"/>
  <c r="U62" i="12"/>
  <c r="AC62" i="12"/>
  <c r="AK62" i="12"/>
  <c r="AS62" i="12"/>
  <c r="BA62" i="12"/>
  <c r="BI62" i="12"/>
  <c r="N63" i="12"/>
  <c r="AC63" i="12"/>
  <c r="AK65" i="12"/>
  <c r="D66" i="12"/>
  <c r="C66" i="12" s="1"/>
  <c r="K66" i="12" s="1"/>
  <c r="Y66" i="12"/>
  <c r="BI66" i="12"/>
  <c r="N67" i="12"/>
  <c r="U67" i="12"/>
  <c r="AO68" i="12"/>
  <c r="AW70" i="12"/>
  <c r="U72" i="12"/>
  <c r="BE72" i="12"/>
  <c r="D75" i="12"/>
  <c r="C75" i="12" s="1"/>
  <c r="AO76" i="12"/>
  <c r="J77" i="12"/>
  <c r="Y77" i="12"/>
  <c r="AK78" i="12"/>
  <c r="BI78" i="12"/>
  <c r="AS79" i="12"/>
  <c r="BC74" i="12"/>
  <c r="D80" i="12"/>
  <c r="N80" i="12"/>
  <c r="AG80" i="12"/>
  <c r="BE80" i="12"/>
  <c r="J81" i="12"/>
  <c r="AK83" i="12"/>
  <c r="AO84" i="12"/>
  <c r="J90" i="12"/>
  <c r="N92" i="12"/>
  <c r="N93" i="12"/>
  <c r="N95" i="12"/>
  <c r="N97" i="12"/>
  <c r="D100" i="12"/>
  <c r="D108" i="12"/>
  <c r="M108" i="12" s="1"/>
  <c r="W15" i="13"/>
  <c r="D16" i="13"/>
  <c r="O13" i="13"/>
  <c r="D20" i="13"/>
  <c r="T21" i="13"/>
  <c r="Z22" i="13"/>
  <c r="W25" i="13"/>
  <c r="J28" i="13"/>
  <c r="Z30" i="13"/>
  <c r="O31" i="13"/>
  <c r="Z34" i="13"/>
  <c r="N35" i="13"/>
  <c r="W39" i="13"/>
  <c r="Z40" i="13"/>
  <c r="N41" i="13"/>
  <c r="D46" i="13"/>
  <c r="M46" i="13" s="1"/>
  <c r="W51" i="13"/>
  <c r="L52" i="13"/>
  <c r="J52" i="13" s="1"/>
  <c r="W54" i="13"/>
  <c r="F52" i="13"/>
  <c r="Z58" i="13"/>
  <c r="Z60" i="13"/>
  <c r="T63" i="13"/>
  <c r="J64" i="13"/>
  <c r="N70" i="13"/>
  <c r="W70" i="13"/>
  <c r="J90" i="13"/>
  <c r="O89" i="13"/>
  <c r="O9" i="13" s="1"/>
  <c r="J106" i="13"/>
  <c r="J43" i="14"/>
  <c r="D48" i="14"/>
  <c r="J57" i="14"/>
  <c r="J58" i="14"/>
  <c r="D87" i="14"/>
  <c r="F89" i="14"/>
  <c r="F9" i="14" s="1"/>
  <c r="M95" i="14"/>
  <c r="C95" i="14"/>
  <c r="K95" i="14" s="1"/>
  <c r="L89" i="14"/>
  <c r="L9" i="14" s="1"/>
  <c r="BD13" i="16"/>
  <c r="BP13" i="16"/>
  <c r="BT14" i="16"/>
  <c r="BV13" i="16"/>
  <c r="CB13" i="16"/>
  <c r="C25" i="16"/>
  <c r="K25" i="16" s="1"/>
  <c r="M25" i="16"/>
  <c r="AP31" i="16"/>
  <c r="AP8" i="16" s="1"/>
  <c r="AP7" i="16" s="1"/>
  <c r="AZ33" i="16"/>
  <c r="AV31" i="16"/>
  <c r="AO26" i="12"/>
  <c r="AW26" i="12"/>
  <c r="BE26" i="12"/>
  <c r="D27" i="12"/>
  <c r="N28" i="12"/>
  <c r="AC28" i="12"/>
  <c r="AK28" i="12"/>
  <c r="BA28" i="12"/>
  <c r="BI28" i="12"/>
  <c r="BE29" i="12"/>
  <c r="D30" i="12"/>
  <c r="AF31" i="12"/>
  <c r="AV31" i="12"/>
  <c r="BD31" i="12"/>
  <c r="AJ31" i="12"/>
  <c r="J38" i="12"/>
  <c r="AC42" i="12"/>
  <c r="AK42" i="12"/>
  <c r="BA42" i="12"/>
  <c r="BI42" i="12"/>
  <c r="S31" i="12"/>
  <c r="AE31" i="12"/>
  <c r="AQ31" i="12"/>
  <c r="AC48" i="12"/>
  <c r="AK48" i="12"/>
  <c r="BA48" i="12"/>
  <c r="BI48" i="12"/>
  <c r="D51" i="12"/>
  <c r="S52" i="12"/>
  <c r="AE52" i="12"/>
  <c r="AQ52" i="12"/>
  <c r="Y56" i="12"/>
  <c r="AW56" i="12"/>
  <c r="BE56" i="12"/>
  <c r="J57" i="12"/>
  <c r="BA57" i="12"/>
  <c r="AK63" i="12"/>
  <c r="D65" i="12"/>
  <c r="C65" i="12" s="1"/>
  <c r="K65" i="12" s="1"/>
  <c r="U65" i="12"/>
  <c r="BE68" i="12"/>
  <c r="AC70" i="12"/>
  <c r="D71" i="12"/>
  <c r="AK72" i="12"/>
  <c r="AO75" i="12"/>
  <c r="W74" i="12"/>
  <c r="AS77" i="12"/>
  <c r="BI77" i="12"/>
  <c r="AQ74" i="12"/>
  <c r="U82" i="12"/>
  <c r="AS82" i="12"/>
  <c r="J83" i="12"/>
  <c r="U83" i="12"/>
  <c r="M85" i="12"/>
  <c r="J86" i="12"/>
  <c r="AO86" i="12"/>
  <c r="BE86" i="12"/>
  <c r="J87" i="12"/>
  <c r="AC88" i="12"/>
  <c r="AK88" i="12"/>
  <c r="BA88" i="12"/>
  <c r="BI88" i="12"/>
  <c r="D90" i="12"/>
  <c r="M90" i="12" s="1"/>
  <c r="N90" i="12"/>
  <c r="D102" i="12"/>
  <c r="D105" i="12"/>
  <c r="T16" i="13"/>
  <c r="M18" i="13"/>
  <c r="W19" i="13"/>
  <c r="AD13" i="13"/>
  <c r="W27" i="13"/>
  <c r="Z28" i="13"/>
  <c r="V31" i="13"/>
  <c r="AB31" i="13"/>
  <c r="W33" i="13"/>
  <c r="M34" i="13"/>
  <c r="T36" i="13"/>
  <c r="J37" i="13"/>
  <c r="Z37" i="13"/>
  <c r="M40" i="13"/>
  <c r="J43" i="13"/>
  <c r="Z43" i="13"/>
  <c r="T46" i="13"/>
  <c r="T48" i="13"/>
  <c r="J49" i="13"/>
  <c r="AC52" i="13"/>
  <c r="V52" i="13"/>
  <c r="W57" i="13"/>
  <c r="M58" i="13"/>
  <c r="W61" i="13"/>
  <c r="D64" i="13"/>
  <c r="M64" i="13" s="1"/>
  <c r="T67" i="13"/>
  <c r="H74" i="13"/>
  <c r="J80" i="13"/>
  <c r="F89" i="13"/>
  <c r="F9" i="13" s="1"/>
  <c r="D90" i="13"/>
  <c r="M90" i="13" s="1"/>
  <c r="I89" i="13"/>
  <c r="I9" i="13" s="1"/>
  <c r="Q9" i="13" s="1"/>
  <c r="Q91" i="13"/>
  <c r="Q89" i="13" s="1"/>
  <c r="J93" i="13"/>
  <c r="J96" i="13"/>
  <c r="D106" i="13"/>
  <c r="M106" i="13" s="1"/>
  <c r="E13" i="14"/>
  <c r="J20" i="14"/>
  <c r="V30" i="14"/>
  <c r="D43" i="14"/>
  <c r="M43" i="14" s="1"/>
  <c r="J56" i="14"/>
  <c r="J66" i="14"/>
  <c r="J76" i="14"/>
  <c r="L74" i="14"/>
  <c r="AQ13" i="16"/>
  <c r="AW13" i="16"/>
  <c r="AX13" i="16" s="1"/>
  <c r="J15" i="16"/>
  <c r="K15" i="16" s="1"/>
  <c r="AF13" i="16"/>
  <c r="BT17" i="16"/>
  <c r="BS13" i="16"/>
  <c r="CL13" i="16"/>
  <c r="CP13" i="16" s="1"/>
  <c r="BZ13" i="16"/>
  <c r="CT13" i="16"/>
  <c r="Q32" i="16"/>
  <c r="I31" i="16"/>
  <c r="Q31" i="16" s="1"/>
  <c r="J53" i="16"/>
  <c r="L52" i="16"/>
  <c r="Z53" i="16"/>
  <c r="W52" i="16"/>
  <c r="CX53" i="16"/>
  <c r="CU52" i="16"/>
  <c r="AZ61" i="16"/>
  <c r="AV52" i="16"/>
  <c r="CZ62" i="16"/>
  <c r="CV52" i="16"/>
  <c r="N63" i="16"/>
  <c r="H52" i="16"/>
  <c r="BA25" i="12"/>
  <c r="N26" i="12"/>
  <c r="AW27" i="12"/>
  <c r="N34" i="12"/>
  <c r="U34" i="12"/>
  <c r="AS34" i="12"/>
  <c r="N35" i="12"/>
  <c r="AO39" i="12"/>
  <c r="J42" i="12"/>
  <c r="J43" i="12"/>
  <c r="AO45" i="12"/>
  <c r="J48" i="12"/>
  <c r="BE49" i="12"/>
  <c r="U50" i="12"/>
  <c r="AC50" i="12"/>
  <c r="AK50" i="12"/>
  <c r="BA50" i="12"/>
  <c r="AW51" i="12"/>
  <c r="N54" i="12"/>
  <c r="AO57" i="12"/>
  <c r="U58" i="12"/>
  <c r="AS58" i="12"/>
  <c r="N59" i="12"/>
  <c r="AS65" i="12"/>
  <c r="N66" i="12"/>
  <c r="U66" i="12"/>
  <c r="J68" i="12"/>
  <c r="AS68" i="12"/>
  <c r="D69" i="12"/>
  <c r="M69" i="12" s="1"/>
  <c r="N73" i="12"/>
  <c r="AA74" i="12"/>
  <c r="N76" i="12"/>
  <c r="N77" i="12"/>
  <c r="AG77" i="12"/>
  <c r="Y78" i="12"/>
  <c r="AW78" i="12"/>
  <c r="U80" i="12"/>
  <c r="AC80" i="12"/>
  <c r="AS80" i="12"/>
  <c r="BA80" i="12"/>
  <c r="AO81" i="12"/>
  <c r="BE82" i="12"/>
  <c r="AS83" i="12"/>
  <c r="AC84" i="12"/>
  <c r="BA84" i="12"/>
  <c r="N85" i="12"/>
  <c r="AG85" i="12"/>
  <c r="D87" i="12"/>
  <c r="N100" i="12"/>
  <c r="S13" i="13"/>
  <c r="AE13" i="13"/>
  <c r="N16" i="13"/>
  <c r="N18" i="13"/>
  <c r="N20" i="13"/>
  <c r="N22" i="13"/>
  <c r="R31" i="13"/>
  <c r="N34" i="13"/>
  <c r="J35" i="13"/>
  <c r="Z39" i="13"/>
  <c r="N40" i="13"/>
  <c r="J41" i="13"/>
  <c r="F31" i="13"/>
  <c r="J47" i="13"/>
  <c r="T49" i="13"/>
  <c r="Y52" i="13"/>
  <c r="AE52" i="13"/>
  <c r="N58" i="13"/>
  <c r="AA52" i="13"/>
  <c r="N60" i="13"/>
  <c r="W62" i="13"/>
  <c r="R74" i="13"/>
  <c r="AA74" i="13"/>
  <c r="AG74" i="13"/>
  <c r="D16" i="14"/>
  <c r="M16" i="14" s="1"/>
  <c r="D19" i="14"/>
  <c r="C19" i="14" s="1"/>
  <c r="K19" i="14" s="1"/>
  <c r="D22" i="14"/>
  <c r="M22" i="14" s="1"/>
  <c r="Y24" i="14"/>
  <c r="Y29" i="14"/>
  <c r="V47" i="14"/>
  <c r="V49" i="14"/>
  <c r="D55" i="14"/>
  <c r="C55" i="14" s="1"/>
  <c r="K55" i="14" s="1"/>
  <c r="J72" i="14"/>
  <c r="F74" i="14"/>
  <c r="J102" i="14"/>
  <c r="AN7" i="15"/>
  <c r="AT9" i="15"/>
  <c r="AS7" i="15"/>
  <c r="AT7" i="15" s="1"/>
  <c r="D17" i="16"/>
  <c r="AG13" i="16"/>
  <c r="BD31" i="16"/>
  <c r="C69" i="20"/>
  <c r="K69" i="20" s="1"/>
  <c r="M69" i="20"/>
  <c r="Y28" i="12"/>
  <c r="AO28" i="12"/>
  <c r="AW28" i="12"/>
  <c r="BE28" i="12"/>
  <c r="D29" i="12"/>
  <c r="AS29" i="12"/>
  <c r="J32" i="12"/>
  <c r="BH31" i="12"/>
  <c r="U35" i="12"/>
  <c r="X31" i="12"/>
  <c r="Y42" i="12"/>
  <c r="AG42" i="12"/>
  <c r="AO42" i="12"/>
  <c r="AW42" i="12"/>
  <c r="BE42" i="12"/>
  <c r="D43" i="12"/>
  <c r="C43" i="12" s="1"/>
  <c r="Y48" i="12"/>
  <c r="AG48" i="12"/>
  <c r="AO48" i="12"/>
  <c r="AW48" i="12"/>
  <c r="BE48" i="12"/>
  <c r="D49" i="12"/>
  <c r="C49" i="12" s="1"/>
  <c r="N51" i="12"/>
  <c r="AC51" i="12"/>
  <c r="N53" i="12"/>
  <c r="AM52" i="12"/>
  <c r="AJ52" i="12"/>
  <c r="BH52" i="12"/>
  <c r="U56" i="12"/>
  <c r="AK56" i="12"/>
  <c r="AS56" i="12"/>
  <c r="BI56" i="12"/>
  <c r="AW57" i="12"/>
  <c r="D63" i="12"/>
  <c r="M63" i="12" s="1"/>
  <c r="AO63" i="12"/>
  <c r="N65" i="12"/>
  <c r="AW65" i="12"/>
  <c r="AK66" i="12"/>
  <c r="D67" i="12"/>
  <c r="AS67" i="12"/>
  <c r="D68" i="12"/>
  <c r="BA68" i="12"/>
  <c r="AO69" i="12"/>
  <c r="Y70" i="12"/>
  <c r="BI70" i="12"/>
  <c r="N71" i="12"/>
  <c r="AG72" i="12"/>
  <c r="J75" i="12"/>
  <c r="N81" i="12"/>
  <c r="AG82" i="12"/>
  <c r="U85" i="12"/>
  <c r="U86" i="12"/>
  <c r="AS86" i="12"/>
  <c r="AO87" i="12"/>
  <c r="Y88" i="12"/>
  <c r="AG88" i="12"/>
  <c r="AO88" i="12"/>
  <c r="AW88" i="12"/>
  <c r="BE88" i="12"/>
  <c r="G89" i="12"/>
  <c r="G9" i="12" s="1"/>
  <c r="P9" i="12" s="1"/>
  <c r="D91" i="12"/>
  <c r="C91" i="12" s="1"/>
  <c r="K91" i="12" s="1"/>
  <c r="J94" i="12"/>
  <c r="J96" i="12"/>
  <c r="D99" i="12"/>
  <c r="M99" i="12" s="1"/>
  <c r="D101" i="12"/>
  <c r="D106" i="12"/>
  <c r="N15" i="13"/>
  <c r="T15" i="13"/>
  <c r="D19" i="13"/>
  <c r="Z21" i="13"/>
  <c r="W22" i="13"/>
  <c r="J23" i="13"/>
  <c r="W24" i="13"/>
  <c r="T25" i="13"/>
  <c r="N28" i="13"/>
  <c r="D29" i="13"/>
  <c r="M29" i="13" s="1"/>
  <c r="J29" i="13"/>
  <c r="W30" i="13"/>
  <c r="Z33" i="13"/>
  <c r="D38" i="13"/>
  <c r="N39" i="13"/>
  <c r="T39" i="13"/>
  <c r="W40" i="13"/>
  <c r="D44" i="13"/>
  <c r="N45" i="13"/>
  <c r="T45" i="13"/>
  <c r="D50" i="13"/>
  <c r="N51" i="13"/>
  <c r="T51" i="13"/>
  <c r="AF52" i="13"/>
  <c r="N54" i="13"/>
  <c r="T54" i="13"/>
  <c r="J55" i="13"/>
  <c r="K55" i="13" s="1"/>
  <c r="D56" i="13"/>
  <c r="M56" i="13" s="1"/>
  <c r="N57" i="13"/>
  <c r="W59" i="13"/>
  <c r="C60" i="13"/>
  <c r="K60" i="13" s="1"/>
  <c r="N62" i="13"/>
  <c r="J63" i="13"/>
  <c r="N64" i="13"/>
  <c r="N66" i="13"/>
  <c r="J69" i="13"/>
  <c r="T70" i="13"/>
  <c r="N72" i="13"/>
  <c r="D78" i="13"/>
  <c r="C78" i="13" s="1"/>
  <c r="K78" i="13" s="1"/>
  <c r="J83" i="13"/>
  <c r="E89" i="13"/>
  <c r="E9" i="13" s="1"/>
  <c r="J100" i="13"/>
  <c r="W25" i="14"/>
  <c r="Y25" i="14" s="1"/>
  <c r="D29" i="14"/>
  <c r="D33" i="14"/>
  <c r="M33" i="14" s="1"/>
  <c r="E31" i="14"/>
  <c r="D72" i="14"/>
  <c r="AC74" i="14"/>
  <c r="W77" i="14"/>
  <c r="Y77" i="14" s="1"/>
  <c r="DC13" i="16"/>
  <c r="CE13" i="16"/>
  <c r="CR13" i="16"/>
  <c r="J16" i="16"/>
  <c r="AA13" i="16"/>
  <c r="N18" i="16"/>
  <c r="H13" i="16"/>
  <c r="U31" i="16"/>
  <c r="N80" i="17"/>
  <c r="H74" i="17"/>
  <c r="W69" i="13"/>
  <c r="J73" i="13"/>
  <c r="Z73" i="13"/>
  <c r="V74" i="13"/>
  <c r="AD74" i="13"/>
  <c r="T76" i="13"/>
  <c r="N78" i="13"/>
  <c r="Z79" i="13"/>
  <c r="N80" i="13"/>
  <c r="Z81" i="13"/>
  <c r="T82" i="13"/>
  <c r="W85" i="13"/>
  <c r="AF74" i="13"/>
  <c r="D91" i="13"/>
  <c r="C91" i="13" s="1"/>
  <c r="K91" i="13" s="1"/>
  <c r="N96" i="13"/>
  <c r="D101" i="13"/>
  <c r="M101" i="13" s="1"/>
  <c r="J15" i="14"/>
  <c r="N16" i="14"/>
  <c r="J21" i="14"/>
  <c r="W22" i="14"/>
  <c r="Y22" i="14" s="1"/>
  <c r="J26" i="14"/>
  <c r="V28" i="14"/>
  <c r="N29" i="14"/>
  <c r="V32" i="14"/>
  <c r="V35" i="14"/>
  <c r="V37" i="14"/>
  <c r="W37" i="14"/>
  <c r="W46" i="14"/>
  <c r="Y46" i="14" s="1"/>
  <c r="C47" i="14"/>
  <c r="J47" i="14"/>
  <c r="N48" i="14"/>
  <c r="U48" i="14"/>
  <c r="D50" i="14"/>
  <c r="W50" i="14"/>
  <c r="Y50" i="14" s="1"/>
  <c r="U56" i="14"/>
  <c r="W62" i="14"/>
  <c r="Y62" i="14" s="1"/>
  <c r="M63" i="14"/>
  <c r="N66" i="14"/>
  <c r="D68" i="14"/>
  <c r="J69" i="14"/>
  <c r="W70" i="14"/>
  <c r="Y70" i="14" s="1"/>
  <c r="C71" i="14"/>
  <c r="K71" i="14" s="1"/>
  <c r="J71" i="14"/>
  <c r="M80" i="14"/>
  <c r="AF7" i="15"/>
  <c r="AC9" i="15"/>
  <c r="X13" i="16"/>
  <c r="U14" i="16"/>
  <c r="AT13" i="16"/>
  <c r="V15" i="16"/>
  <c r="AL17" i="16"/>
  <c r="BR17" i="16"/>
  <c r="Z18" i="16"/>
  <c r="CZ18" i="16"/>
  <c r="M19" i="16"/>
  <c r="BC13" i="16"/>
  <c r="BI13" i="16"/>
  <c r="C26" i="16"/>
  <c r="K26" i="16" s="1"/>
  <c r="M26" i="16"/>
  <c r="AT31" i="16"/>
  <c r="BU31" i="16"/>
  <c r="CA31" i="16"/>
  <c r="CG31" i="16"/>
  <c r="CM31" i="16"/>
  <c r="O31" i="16"/>
  <c r="CI31" i="16"/>
  <c r="AA31" i="16"/>
  <c r="V43" i="16"/>
  <c r="AH52" i="16"/>
  <c r="BP52" i="16"/>
  <c r="Z74" i="17"/>
  <c r="N92" i="19"/>
  <c r="H89" i="19"/>
  <c r="H9" i="19" s="1"/>
  <c r="N84" i="13"/>
  <c r="Q85" i="13"/>
  <c r="N99" i="13"/>
  <c r="D107" i="13"/>
  <c r="H13" i="14"/>
  <c r="U16" i="14"/>
  <c r="W19" i="14"/>
  <c r="Y19" i="14" s="1"/>
  <c r="W26" i="14"/>
  <c r="Y26" i="14" s="1"/>
  <c r="W30" i="14"/>
  <c r="Y30" i="14" s="1"/>
  <c r="N39" i="14"/>
  <c r="U44" i="14"/>
  <c r="W55" i="14"/>
  <c r="Y55" i="14" s="1"/>
  <c r="W64" i="14"/>
  <c r="Y64" i="14" s="1"/>
  <c r="W68" i="14"/>
  <c r="H52" i="14"/>
  <c r="AE74" i="14"/>
  <c r="U76" i="14"/>
  <c r="N81" i="14"/>
  <c r="W84" i="14"/>
  <c r="Y84" i="14" s="1"/>
  <c r="D88" i="14"/>
  <c r="M88" i="14" s="1"/>
  <c r="D108" i="14"/>
  <c r="M108" i="14" s="1"/>
  <c r="U98" i="15"/>
  <c r="CK13" i="16"/>
  <c r="CN13" i="16" s="1"/>
  <c r="N14" i="16"/>
  <c r="BR15" i="16"/>
  <c r="CP17" i="16"/>
  <c r="CX20" i="16"/>
  <c r="N21" i="16"/>
  <c r="U21" i="16"/>
  <c r="C22" i="16"/>
  <c r="K22" i="16" s="1"/>
  <c r="M22" i="16"/>
  <c r="AH31" i="16"/>
  <c r="AX32" i="16"/>
  <c r="AU31" i="16"/>
  <c r="DC31" i="16"/>
  <c r="CB31" i="16"/>
  <c r="CH31" i="16"/>
  <c r="BJ31" i="16"/>
  <c r="U50" i="16"/>
  <c r="BY52" i="16"/>
  <c r="AC52" i="16"/>
  <c r="BE52" i="16"/>
  <c r="BK52" i="16"/>
  <c r="AR74" i="16"/>
  <c r="AD52" i="17"/>
  <c r="M83" i="20"/>
  <c r="C83" i="20"/>
  <c r="K83" i="20" s="1"/>
  <c r="D71" i="13"/>
  <c r="C71" i="13" s="1"/>
  <c r="K71" i="13" s="1"/>
  <c r="T73" i="13"/>
  <c r="W76" i="13"/>
  <c r="W78" i="13"/>
  <c r="T79" i="13"/>
  <c r="W82" i="13"/>
  <c r="T84" i="13"/>
  <c r="J85" i="13"/>
  <c r="Z85" i="13"/>
  <c r="T88" i="13"/>
  <c r="L89" i="13"/>
  <c r="L9" i="13" s="1"/>
  <c r="D103" i="13"/>
  <c r="V14" i="14"/>
  <c r="AD13" i="14"/>
  <c r="U19" i="14"/>
  <c r="V20" i="14"/>
  <c r="V21" i="14"/>
  <c r="Y28" i="14"/>
  <c r="J29" i="14"/>
  <c r="U30" i="14"/>
  <c r="Y32" i="14"/>
  <c r="Y36" i="14"/>
  <c r="D37" i="14"/>
  <c r="J38" i="14"/>
  <c r="V40" i="14"/>
  <c r="N41" i="14"/>
  <c r="U46" i="14"/>
  <c r="U50" i="14"/>
  <c r="AE52" i="14"/>
  <c r="V56" i="14"/>
  <c r="V58" i="14"/>
  <c r="W60" i="14"/>
  <c r="Y60" i="14" s="1"/>
  <c r="D61" i="14"/>
  <c r="C61" i="14" s="1"/>
  <c r="K61" i="14" s="1"/>
  <c r="U62" i="14"/>
  <c r="D69" i="14"/>
  <c r="C69" i="14" s="1"/>
  <c r="K69" i="14" s="1"/>
  <c r="U80" i="14"/>
  <c r="U81" i="14"/>
  <c r="P89" i="14"/>
  <c r="D93" i="14"/>
  <c r="M93" i="14" s="1"/>
  <c r="J100" i="14"/>
  <c r="D102" i="14"/>
  <c r="C102" i="14" s="1"/>
  <c r="K102" i="14" s="1"/>
  <c r="M98" i="15"/>
  <c r="AI13" i="16"/>
  <c r="AL13" i="16" s="1"/>
  <c r="AL14" i="16"/>
  <c r="BR14" i="16"/>
  <c r="DB13" i="16"/>
  <c r="Z15" i="16"/>
  <c r="BR16" i="16"/>
  <c r="U20" i="16"/>
  <c r="V21" i="16"/>
  <c r="BU13" i="16"/>
  <c r="CA13" i="16"/>
  <c r="N32" i="16"/>
  <c r="H31" i="16"/>
  <c r="BP31" i="16"/>
  <c r="CC31" i="16"/>
  <c r="BC31" i="16"/>
  <c r="BI31" i="16"/>
  <c r="BT44" i="16"/>
  <c r="J45" i="16"/>
  <c r="U48" i="16"/>
  <c r="J49" i="16"/>
  <c r="K49" i="16" s="1"/>
  <c r="V50" i="16"/>
  <c r="AN53" i="16"/>
  <c r="AJ52" i="16"/>
  <c r="BL52" i="16"/>
  <c r="BT53" i="16"/>
  <c r="BS52" i="16"/>
  <c r="BZ52" i="16"/>
  <c r="CF52" i="16"/>
  <c r="AA52" i="16"/>
  <c r="BD52" i="16"/>
  <c r="BJ52" i="16"/>
  <c r="CJ52" i="16"/>
  <c r="CR52" i="16"/>
  <c r="BV52" i="16"/>
  <c r="CB52" i="16"/>
  <c r="CO52" i="16"/>
  <c r="T52" i="16"/>
  <c r="D79" i="16"/>
  <c r="C79" i="16" s="1"/>
  <c r="K79" i="16" s="1"/>
  <c r="J33" i="17"/>
  <c r="L31" i="17"/>
  <c r="AC31" i="17"/>
  <c r="M22" i="19"/>
  <c r="C22" i="19"/>
  <c r="K22" i="19" s="1"/>
  <c r="J63" i="19"/>
  <c r="P78" i="19"/>
  <c r="M48" i="20"/>
  <c r="C48" i="20"/>
  <c r="K48" i="20" s="1"/>
  <c r="F52" i="20"/>
  <c r="U13" i="21"/>
  <c r="D83" i="14"/>
  <c r="M83" i="14" s="1"/>
  <c r="J86" i="14"/>
  <c r="D107" i="14"/>
  <c r="BY31" i="16"/>
  <c r="CE31" i="16"/>
  <c r="AF31" i="16"/>
  <c r="AB60" i="16"/>
  <c r="X52" i="16"/>
  <c r="AM52" i="16"/>
  <c r="AT52" i="16"/>
  <c r="BB52" i="16"/>
  <c r="BH52" i="16"/>
  <c r="AL61" i="16"/>
  <c r="AI52" i="16"/>
  <c r="K62" i="16"/>
  <c r="AC13" i="17"/>
  <c r="M70" i="13"/>
  <c r="N71" i="13"/>
  <c r="P85" i="13"/>
  <c r="J88" i="13"/>
  <c r="AA13" i="14"/>
  <c r="Y16" i="14"/>
  <c r="U24" i="14"/>
  <c r="V26" i="14"/>
  <c r="U38" i="14"/>
  <c r="J39" i="14"/>
  <c r="M41" i="14"/>
  <c r="W44" i="14"/>
  <c r="W48" i="14"/>
  <c r="Y48" i="14" s="1"/>
  <c r="E52" i="14"/>
  <c r="X52" i="14"/>
  <c r="D57" i="14"/>
  <c r="M57" i="14" s="1"/>
  <c r="J63" i="14"/>
  <c r="Y66" i="14"/>
  <c r="D67" i="14"/>
  <c r="V68" i="14"/>
  <c r="Y72" i="14"/>
  <c r="E74" i="14"/>
  <c r="J80" i="14"/>
  <c r="U84" i="14"/>
  <c r="D101" i="14"/>
  <c r="C101" i="14" s="1"/>
  <c r="K101" i="14" s="1"/>
  <c r="F89" i="15"/>
  <c r="F9" i="15" s="1"/>
  <c r="F7" i="15" s="1"/>
  <c r="I13" i="16"/>
  <c r="Q13" i="16" s="1"/>
  <c r="AV13" i="16"/>
  <c r="N15" i="16"/>
  <c r="U16" i="16"/>
  <c r="N17" i="16"/>
  <c r="V17" i="16"/>
  <c r="BR18" i="16"/>
  <c r="D27" i="16"/>
  <c r="M27" i="16" s="1"/>
  <c r="CL31" i="16"/>
  <c r="CP31" i="16" s="1"/>
  <c r="CP32" i="16"/>
  <c r="CT31" i="16"/>
  <c r="C33" i="16"/>
  <c r="K33" i="16" s="1"/>
  <c r="M33" i="16"/>
  <c r="AR31" i="16"/>
  <c r="AR8" i="16" s="1"/>
  <c r="AR7" i="16" s="1"/>
  <c r="AG31" i="16"/>
  <c r="CZ40" i="16"/>
  <c r="CV31" i="16"/>
  <c r="CZ31" i="16" s="1"/>
  <c r="U43" i="16"/>
  <c r="DE31" i="16"/>
  <c r="I52" i="16"/>
  <c r="Q52" i="16" s="1"/>
  <c r="CL52" i="16"/>
  <c r="CP52" i="16" s="1"/>
  <c r="F52" i="16"/>
  <c r="F8" i="16" s="1"/>
  <c r="R52" i="16"/>
  <c r="U52" i="16" s="1"/>
  <c r="CC52" i="16"/>
  <c r="CI52" i="16"/>
  <c r="CW52" i="16"/>
  <c r="DA52" i="16"/>
  <c r="D60" i="16"/>
  <c r="C60" i="16" s="1"/>
  <c r="K60" i="16" s="1"/>
  <c r="E52" i="16"/>
  <c r="O52" i="16"/>
  <c r="CH52" i="16"/>
  <c r="AD13" i="17"/>
  <c r="D69" i="17"/>
  <c r="V76" i="17"/>
  <c r="M35" i="19"/>
  <c r="C35" i="19"/>
  <c r="K35" i="19" s="1"/>
  <c r="CG13" i="16"/>
  <c r="CM13" i="16"/>
  <c r="N27" i="16"/>
  <c r="AE31" i="16"/>
  <c r="Z35" i="16"/>
  <c r="Z36" i="16"/>
  <c r="Z37" i="16"/>
  <c r="Z38" i="16"/>
  <c r="Z39" i="16"/>
  <c r="BA31" i="16"/>
  <c r="BG31" i="16"/>
  <c r="BM31" i="16"/>
  <c r="DB31" i="16"/>
  <c r="AD31" i="16"/>
  <c r="BT40" i="16"/>
  <c r="DA31" i="16"/>
  <c r="Y52" i="16"/>
  <c r="Z52" i="16" s="1"/>
  <c r="DE52" i="16"/>
  <c r="BT54" i="16"/>
  <c r="BT56" i="16"/>
  <c r="BT58" i="16"/>
  <c r="AQ52" i="16"/>
  <c r="AW52" i="16"/>
  <c r="CZ75" i="16"/>
  <c r="CV74" i="16"/>
  <c r="CZ74" i="16" s="1"/>
  <c r="AH74" i="16"/>
  <c r="J93" i="16"/>
  <c r="L89" i="16"/>
  <c r="L9" i="16" s="1"/>
  <c r="P104" i="16"/>
  <c r="C104" i="16"/>
  <c r="K104" i="16" s="1"/>
  <c r="AA31" i="17"/>
  <c r="AD31" i="17"/>
  <c r="J19" i="19"/>
  <c r="Q19" i="19"/>
  <c r="T43" i="19"/>
  <c r="R31" i="19"/>
  <c r="T31" i="19" s="1"/>
  <c r="M26" i="20"/>
  <c r="C26" i="20"/>
  <c r="K26" i="20" s="1"/>
  <c r="M51" i="20"/>
  <c r="C51" i="20"/>
  <c r="K51" i="20" s="1"/>
  <c r="M99" i="20"/>
  <c r="C99" i="20"/>
  <c r="K99" i="20" s="1"/>
  <c r="T75" i="21"/>
  <c r="R74" i="21"/>
  <c r="T74" i="21" s="1"/>
  <c r="M80" i="22"/>
  <c r="T18" i="23"/>
  <c r="R18" i="23"/>
  <c r="X18" i="23"/>
  <c r="AL22" i="16"/>
  <c r="BR22" i="16"/>
  <c r="N26" i="16"/>
  <c r="U26" i="16"/>
  <c r="AX27" i="16"/>
  <c r="AL28" i="16"/>
  <c r="BR28" i="16"/>
  <c r="N34" i="16"/>
  <c r="U34" i="16"/>
  <c r="N35" i="16"/>
  <c r="U35" i="16"/>
  <c r="N36" i="16"/>
  <c r="U36" i="16"/>
  <c r="N37" i="16"/>
  <c r="U37" i="16"/>
  <c r="N38" i="16"/>
  <c r="U38" i="16"/>
  <c r="N39" i="16"/>
  <c r="U39" i="16"/>
  <c r="CO31" i="16"/>
  <c r="AN41" i="16"/>
  <c r="Z42" i="16"/>
  <c r="AB43" i="16"/>
  <c r="CZ44" i="16"/>
  <c r="AZ45" i="16"/>
  <c r="N46" i="16"/>
  <c r="AL46" i="16"/>
  <c r="J47" i="16"/>
  <c r="D48" i="16"/>
  <c r="AB48" i="16"/>
  <c r="CZ48" i="16"/>
  <c r="N49" i="16"/>
  <c r="D50" i="16"/>
  <c r="C50" i="16" s="1"/>
  <c r="K50" i="16" s="1"/>
  <c r="AB50" i="16"/>
  <c r="N51" i="16"/>
  <c r="AL51" i="16"/>
  <c r="AZ53" i="16"/>
  <c r="V57" i="16"/>
  <c r="N62" i="16"/>
  <c r="CS52" i="16"/>
  <c r="CU74" i="16"/>
  <c r="AZ75" i="16"/>
  <c r="AV74" i="16"/>
  <c r="BX74" i="16"/>
  <c r="BX8" i="16" s="1"/>
  <c r="BX7" i="16" s="1"/>
  <c r="CD74" i="16"/>
  <c r="CD8" i="16" s="1"/>
  <c r="CD7" i="16" s="1"/>
  <c r="CJ74" i="16"/>
  <c r="CW74" i="16"/>
  <c r="DE74" i="16"/>
  <c r="T74" i="16"/>
  <c r="AD74" i="16"/>
  <c r="CR74" i="16"/>
  <c r="DD74" i="16"/>
  <c r="Q35" i="17"/>
  <c r="I31" i="17"/>
  <c r="Q31" i="17" s="1"/>
  <c r="J44" i="17"/>
  <c r="I52" i="17"/>
  <c r="Q52" i="17" s="1"/>
  <c r="M81" i="17"/>
  <c r="C81" i="17"/>
  <c r="K81" i="17" s="1"/>
  <c r="J92" i="17"/>
  <c r="J49" i="19"/>
  <c r="J26" i="20"/>
  <c r="C72" i="20"/>
  <c r="K72" i="20" s="1"/>
  <c r="M72" i="20"/>
  <c r="F74" i="20"/>
  <c r="D102" i="20"/>
  <c r="M102" i="20" s="1"/>
  <c r="D106" i="20"/>
  <c r="C106" i="20" s="1"/>
  <c r="K106" i="20" s="1"/>
  <c r="P101" i="22"/>
  <c r="U24" i="16"/>
  <c r="V26" i="16"/>
  <c r="BR27" i="16"/>
  <c r="U33" i="16"/>
  <c r="V34" i="16"/>
  <c r="V35" i="16"/>
  <c r="V36" i="16"/>
  <c r="V37" i="16"/>
  <c r="V38" i="16"/>
  <c r="V39" i="16"/>
  <c r="BR39" i="16"/>
  <c r="CZ39" i="16"/>
  <c r="AB40" i="16"/>
  <c r="CX40" i="16"/>
  <c r="Z41" i="16"/>
  <c r="D42" i="16"/>
  <c r="C42" i="16" s="1"/>
  <c r="K42" i="16" s="1"/>
  <c r="CX42" i="16"/>
  <c r="U44" i="16"/>
  <c r="AZ44" i="16"/>
  <c r="AL45" i="16"/>
  <c r="D47" i="16"/>
  <c r="AX48" i="16"/>
  <c r="BR48" i="16"/>
  <c r="BT49" i="16"/>
  <c r="AX50" i="16"/>
  <c r="BR50" i="16"/>
  <c r="AN51" i="16"/>
  <c r="BT51" i="16"/>
  <c r="AU52" i="16"/>
  <c r="N53" i="16"/>
  <c r="D54" i="16"/>
  <c r="N55" i="16"/>
  <c r="D56" i="16"/>
  <c r="C56" i="16" s="1"/>
  <c r="K56" i="16" s="1"/>
  <c r="N57" i="16"/>
  <c r="D58" i="16"/>
  <c r="C58" i="16" s="1"/>
  <c r="K58" i="16" s="1"/>
  <c r="J60" i="16"/>
  <c r="BR61" i="16"/>
  <c r="BT62" i="16"/>
  <c r="D66" i="16"/>
  <c r="C66" i="16" s="1"/>
  <c r="K66" i="16" s="1"/>
  <c r="AC74" i="16"/>
  <c r="AL75" i="16"/>
  <c r="AI74" i="16"/>
  <c r="BE74" i="16"/>
  <c r="BQ74" i="16"/>
  <c r="CY74" i="16"/>
  <c r="AT74" i="16"/>
  <c r="BD74" i="16"/>
  <c r="BJ74" i="16"/>
  <c r="BP74" i="16"/>
  <c r="BT83" i="16"/>
  <c r="BY74" i="16"/>
  <c r="CE74" i="16"/>
  <c r="I89" i="16"/>
  <c r="I9" i="16" s="1"/>
  <c r="Q9" i="16" s="1"/>
  <c r="J107" i="16"/>
  <c r="D25" i="17"/>
  <c r="M25" i="17" s="1"/>
  <c r="D30" i="17"/>
  <c r="M30" i="17" s="1"/>
  <c r="D44" i="17"/>
  <c r="J48" i="17"/>
  <c r="D77" i="17"/>
  <c r="C77" i="17" s="1"/>
  <c r="K77" i="17" s="1"/>
  <c r="D100" i="17"/>
  <c r="C100" i="17" s="1"/>
  <c r="K100" i="17" s="1"/>
  <c r="M106" i="17"/>
  <c r="C106" i="17"/>
  <c r="K106" i="17" s="1"/>
  <c r="P19" i="19"/>
  <c r="J22" i="19"/>
  <c r="D47" i="19"/>
  <c r="C47" i="19" s="1"/>
  <c r="K47" i="19" s="1"/>
  <c r="O13" i="20"/>
  <c r="Y13" i="16"/>
  <c r="CS13" i="16"/>
  <c r="CY13" i="16"/>
  <c r="V29" i="16"/>
  <c r="G31" i="16"/>
  <c r="P31" i="16" s="1"/>
  <c r="BR32" i="16"/>
  <c r="AL35" i="16"/>
  <c r="AL36" i="16"/>
  <c r="AL37" i="16"/>
  <c r="AL38" i="16"/>
  <c r="AL39" i="16"/>
  <c r="BT39" i="16"/>
  <c r="CQ31" i="16"/>
  <c r="CW31" i="16"/>
  <c r="N42" i="16"/>
  <c r="V42" i="16"/>
  <c r="AL42" i="16"/>
  <c r="J43" i="16"/>
  <c r="J44" i="16"/>
  <c r="K44" i="16" s="1"/>
  <c r="Z44" i="16"/>
  <c r="AB45" i="16"/>
  <c r="CZ46" i="16"/>
  <c r="V47" i="16"/>
  <c r="AN48" i="16"/>
  <c r="AY31" i="16"/>
  <c r="BT48" i="16"/>
  <c r="BR49" i="16"/>
  <c r="AN50" i="16"/>
  <c r="BT50" i="16"/>
  <c r="AX51" i="16"/>
  <c r="BR51" i="16"/>
  <c r="D53" i="16"/>
  <c r="AB53" i="16"/>
  <c r="N54" i="16"/>
  <c r="D55" i="16"/>
  <c r="C55" i="16" s="1"/>
  <c r="K55" i="16" s="1"/>
  <c r="N56" i="16"/>
  <c r="D57" i="16"/>
  <c r="N58" i="16"/>
  <c r="D59" i="16"/>
  <c r="C59" i="16" s="1"/>
  <c r="K59" i="16" s="1"/>
  <c r="BT61" i="16"/>
  <c r="BR62" i="16"/>
  <c r="N72" i="16"/>
  <c r="J80" i="16"/>
  <c r="J42" i="17"/>
  <c r="D46" i="17"/>
  <c r="D50" i="17"/>
  <c r="M50" i="17" s="1"/>
  <c r="AB52" i="17"/>
  <c r="Y56" i="17"/>
  <c r="D59" i="17"/>
  <c r="J64" i="17"/>
  <c r="J71" i="17"/>
  <c r="AA74" i="17"/>
  <c r="M38" i="19"/>
  <c r="J61" i="19"/>
  <c r="J30" i="20"/>
  <c r="D80" i="20"/>
  <c r="C82" i="20"/>
  <c r="K82" i="20" s="1"/>
  <c r="M82" i="20"/>
  <c r="W17" i="21"/>
  <c r="C56" i="21"/>
  <c r="K56" i="21" s="1"/>
  <c r="D82" i="21"/>
  <c r="N65" i="16"/>
  <c r="V66" i="16"/>
  <c r="BT67" i="16"/>
  <c r="D68" i="16"/>
  <c r="J68" i="16"/>
  <c r="BT70" i="16"/>
  <c r="D71" i="16"/>
  <c r="J71" i="16"/>
  <c r="D75" i="16"/>
  <c r="C75" i="16" s="1"/>
  <c r="J75" i="16"/>
  <c r="AZ77" i="16"/>
  <c r="BT77" i="16"/>
  <c r="D78" i="16"/>
  <c r="C78" i="16" s="1"/>
  <c r="J78" i="16"/>
  <c r="K78" i="16" s="1"/>
  <c r="AN78" i="16"/>
  <c r="V79" i="16"/>
  <c r="AB79" i="16"/>
  <c r="V81" i="16"/>
  <c r="CT74" i="16"/>
  <c r="DF74" i="16"/>
  <c r="AY74" i="16"/>
  <c r="BS74" i="16"/>
  <c r="J88" i="16"/>
  <c r="D91" i="16"/>
  <c r="N94" i="16"/>
  <c r="J98" i="16"/>
  <c r="X13" i="17"/>
  <c r="S13" i="17"/>
  <c r="O31" i="17"/>
  <c r="J35" i="17"/>
  <c r="J58" i="17"/>
  <c r="D66" i="17"/>
  <c r="C66" i="17" s="1"/>
  <c r="K66" i="17" s="1"/>
  <c r="N75" i="17"/>
  <c r="J76" i="17"/>
  <c r="D79" i="17"/>
  <c r="C79" i="17" s="1"/>
  <c r="K79" i="17" s="1"/>
  <c r="J80" i="17"/>
  <c r="C82" i="17"/>
  <c r="K82" i="17" s="1"/>
  <c r="N93" i="17"/>
  <c r="J94" i="17"/>
  <c r="D108" i="17"/>
  <c r="D16" i="19"/>
  <c r="C18" i="19"/>
  <c r="K18" i="19" s="1"/>
  <c r="J18" i="19"/>
  <c r="D27" i="19"/>
  <c r="C27" i="19" s="1"/>
  <c r="K27" i="19" s="1"/>
  <c r="J41" i="19"/>
  <c r="D44" i="19"/>
  <c r="J51" i="19"/>
  <c r="D56" i="19"/>
  <c r="J66" i="19"/>
  <c r="D68" i="19"/>
  <c r="C68" i="19" s="1"/>
  <c r="K68" i="19" s="1"/>
  <c r="D71" i="19"/>
  <c r="D81" i="19"/>
  <c r="E89" i="19"/>
  <c r="E9" i="19" s="1"/>
  <c r="D91" i="19"/>
  <c r="C92" i="19"/>
  <c r="K92" i="19" s="1"/>
  <c r="D97" i="19"/>
  <c r="C97" i="19" s="1"/>
  <c r="K97" i="19" s="1"/>
  <c r="D104" i="19"/>
  <c r="D107" i="19"/>
  <c r="M107" i="19" s="1"/>
  <c r="D42" i="20"/>
  <c r="J49" i="20"/>
  <c r="M79" i="20"/>
  <c r="D84" i="20"/>
  <c r="C84" i="20" s="1"/>
  <c r="K84" i="20" s="1"/>
  <c r="H89" i="20"/>
  <c r="H9" i="20" s="1"/>
  <c r="M93" i="20"/>
  <c r="C93" i="20"/>
  <c r="K93" i="20" s="1"/>
  <c r="D100" i="20"/>
  <c r="M103" i="20"/>
  <c r="C103" i="20"/>
  <c r="K103" i="20" s="1"/>
  <c r="F13" i="21"/>
  <c r="D19" i="21"/>
  <c r="D32" i="21"/>
  <c r="M32" i="21" s="1"/>
  <c r="C45" i="21"/>
  <c r="C50" i="21"/>
  <c r="K50" i="21" s="1"/>
  <c r="M50" i="21"/>
  <c r="N72" i="21"/>
  <c r="J72" i="21"/>
  <c r="E89" i="22"/>
  <c r="E9" i="22" s="1"/>
  <c r="C100" i="22"/>
  <c r="K100" i="22" s="1"/>
  <c r="M100" i="22"/>
  <c r="X87" i="23"/>
  <c r="R87" i="23"/>
  <c r="BT75" i="16"/>
  <c r="C81" i="16"/>
  <c r="K81" i="16" s="1"/>
  <c r="AM74" i="16"/>
  <c r="BA74" i="16"/>
  <c r="BG74" i="16"/>
  <c r="BM74" i="16"/>
  <c r="BZ74" i="16"/>
  <c r="CF74" i="16"/>
  <c r="AF74" i="16"/>
  <c r="AS74" i="16"/>
  <c r="AS8" i="16" s="1"/>
  <c r="AS7" i="16" s="1"/>
  <c r="N93" i="16"/>
  <c r="C96" i="16"/>
  <c r="K96" i="16" s="1"/>
  <c r="J24" i="17"/>
  <c r="N53" i="17"/>
  <c r="C56" i="17"/>
  <c r="K56" i="17" s="1"/>
  <c r="AC74" i="17"/>
  <c r="F74" i="17"/>
  <c r="M80" i="17"/>
  <c r="M88" i="17"/>
  <c r="C88" i="17"/>
  <c r="K88" i="17" s="1"/>
  <c r="C101" i="17"/>
  <c r="K101" i="17" s="1"/>
  <c r="C108" i="19"/>
  <c r="K108" i="19" s="1"/>
  <c r="Q33" i="20"/>
  <c r="D53" i="20"/>
  <c r="E52" i="20"/>
  <c r="C76" i="20"/>
  <c r="K76" i="20" s="1"/>
  <c r="M76" i="20"/>
  <c r="M42" i="21"/>
  <c r="C42" i="21"/>
  <c r="K42" i="21" s="1"/>
  <c r="S31" i="21"/>
  <c r="C72" i="21"/>
  <c r="M72" i="21"/>
  <c r="M19" i="22"/>
  <c r="C19" i="22"/>
  <c r="K19" i="22" s="1"/>
  <c r="M48" i="22"/>
  <c r="C48" i="22"/>
  <c r="C57" i="22"/>
  <c r="K57" i="22" s="1"/>
  <c r="M57" i="22"/>
  <c r="N64" i="16"/>
  <c r="BR66" i="16"/>
  <c r="N67" i="16"/>
  <c r="AX69" i="16"/>
  <c r="BR69" i="16"/>
  <c r="N70" i="16"/>
  <c r="D72" i="16"/>
  <c r="J72" i="16"/>
  <c r="V75" i="16"/>
  <c r="CG74" i="16"/>
  <c r="Y74" i="16"/>
  <c r="BT76" i="16"/>
  <c r="CS74" i="16"/>
  <c r="D77" i="16"/>
  <c r="C77" i="16" s="1"/>
  <c r="J77" i="16"/>
  <c r="AN77" i="16"/>
  <c r="CX77" i="16"/>
  <c r="V78" i="16"/>
  <c r="AB78" i="16"/>
  <c r="AZ79" i="16"/>
  <c r="BU74" i="16"/>
  <c r="CM74" i="16"/>
  <c r="BR81" i="16"/>
  <c r="AG74" i="16"/>
  <c r="D84" i="16"/>
  <c r="M84" i="16" s="1"/>
  <c r="O74" i="16"/>
  <c r="CO74" i="16"/>
  <c r="BB74" i="16"/>
  <c r="BH74" i="16"/>
  <c r="BN74" i="16"/>
  <c r="D87" i="16"/>
  <c r="F89" i="16"/>
  <c r="F9" i="16" s="1"/>
  <c r="M104" i="16"/>
  <c r="H13" i="17"/>
  <c r="T13" i="17"/>
  <c r="U36" i="17"/>
  <c r="J40" i="17"/>
  <c r="D51" i="17"/>
  <c r="M51" i="17" s="1"/>
  <c r="T52" i="17"/>
  <c r="D57" i="17"/>
  <c r="J60" i="17"/>
  <c r="J67" i="17"/>
  <c r="J72" i="17"/>
  <c r="Y75" i="17"/>
  <c r="R74" i="17"/>
  <c r="X74" i="17"/>
  <c r="J78" i="17"/>
  <c r="J82" i="17"/>
  <c r="J93" i="17"/>
  <c r="D96" i="17"/>
  <c r="D102" i="17"/>
  <c r="D14" i="19"/>
  <c r="R13" i="19"/>
  <c r="D24" i="19"/>
  <c r="D26" i="19"/>
  <c r="D29" i="19"/>
  <c r="M29" i="19" s="1"/>
  <c r="D46" i="19"/>
  <c r="D95" i="19"/>
  <c r="M95" i="19" s="1"/>
  <c r="Q20" i="20"/>
  <c r="C66" i="20"/>
  <c r="K66" i="20" s="1"/>
  <c r="M66" i="20"/>
  <c r="M86" i="20"/>
  <c r="C88" i="20"/>
  <c r="K88" i="20" s="1"/>
  <c r="M88" i="20"/>
  <c r="M97" i="20"/>
  <c r="C97" i="20"/>
  <c r="K97" i="20" s="1"/>
  <c r="M64" i="21"/>
  <c r="C64" i="21"/>
  <c r="K64" i="21" s="1"/>
  <c r="T33" i="23"/>
  <c r="R33" i="23"/>
  <c r="AC34" i="23"/>
  <c r="AA31" i="23"/>
  <c r="AC31" i="23" s="1"/>
  <c r="D65" i="16"/>
  <c r="C65" i="16" s="1"/>
  <c r="K65" i="16" s="1"/>
  <c r="J65" i="16"/>
  <c r="BR67" i="16"/>
  <c r="N68" i="16"/>
  <c r="V69" i="16"/>
  <c r="AB69" i="16"/>
  <c r="BR70" i="16"/>
  <c r="BT72" i="16"/>
  <c r="D73" i="16"/>
  <c r="C73" i="16" s="1"/>
  <c r="K73" i="16" s="1"/>
  <c r="N75" i="16"/>
  <c r="V76" i="16"/>
  <c r="AX77" i="16"/>
  <c r="BR77" i="16"/>
  <c r="CZ77" i="16"/>
  <c r="N78" i="16"/>
  <c r="AL78" i="16"/>
  <c r="AW74" i="16"/>
  <c r="D80" i="16"/>
  <c r="M80" i="16" s="1"/>
  <c r="M81" i="16"/>
  <c r="BT82" i="16"/>
  <c r="BV74" i="16"/>
  <c r="CB74" i="16"/>
  <c r="CH74" i="16"/>
  <c r="U84" i="16"/>
  <c r="BR84" i="16"/>
  <c r="BW74" i="16"/>
  <c r="CC74" i="16"/>
  <c r="CI74" i="16"/>
  <c r="AA74" i="16"/>
  <c r="AB74" i="16" s="1"/>
  <c r="AO74" i="16"/>
  <c r="AO8" i="16" s="1"/>
  <c r="AO7" i="16" s="1"/>
  <c r="BR86" i="16"/>
  <c r="U87" i="16"/>
  <c r="BR87" i="16"/>
  <c r="AX88" i="16"/>
  <c r="CX88" i="16"/>
  <c r="D94" i="16"/>
  <c r="C94" i="16" s="1"/>
  <c r="K94" i="16" s="1"/>
  <c r="D95" i="16"/>
  <c r="M95" i="16" s="1"/>
  <c r="C99" i="16"/>
  <c r="K99" i="16" s="1"/>
  <c r="C102" i="16"/>
  <c r="K102" i="16" s="1"/>
  <c r="L13" i="17"/>
  <c r="D22" i="17"/>
  <c r="C22" i="17" s="1"/>
  <c r="K22" i="17" s="1"/>
  <c r="D29" i="17"/>
  <c r="M29" i="17" s="1"/>
  <c r="J32" i="17"/>
  <c r="D34" i="17"/>
  <c r="D36" i="17"/>
  <c r="J46" i="17"/>
  <c r="S52" i="17"/>
  <c r="D54" i="17"/>
  <c r="C54" i="17" s="1"/>
  <c r="K54" i="17" s="1"/>
  <c r="M56" i="17"/>
  <c r="J69" i="17"/>
  <c r="Y69" i="17"/>
  <c r="D72" i="17"/>
  <c r="N76" i="17"/>
  <c r="D78" i="17"/>
  <c r="C78" i="17" s="1"/>
  <c r="K78" i="17" s="1"/>
  <c r="J95" i="17"/>
  <c r="J100" i="17"/>
  <c r="M101" i="17"/>
  <c r="G74" i="18"/>
  <c r="G8" i="18" s="1"/>
  <c r="G7" i="18" s="1"/>
  <c r="C75" i="18"/>
  <c r="J15" i="19"/>
  <c r="J20" i="19"/>
  <c r="J26" i="19"/>
  <c r="J38" i="19"/>
  <c r="J47" i="19"/>
  <c r="I52" i="19"/>
  <c r="Q52" i="19" s="1"/>
  <c r="O52" i="19"/>
  <c r="D64" i="19"/>
  <c r="C64" i="19" s="1"/>
  <c r="K64" i="19" s="1"/>
  <c r="D76" i="19"/>
  <c r="D93" i="19"/>
  <c r="D41" i="20"/>
  <c r="C41" i="20" s="1"/>
  <c r="K41" i="20" s="1"/>
  <c r="D78" i="20"/>
  <c r="C78" i="20" s="1"/>
  <c r="K78" i="20" s="1"/>
  <c r="M91" i="20"/>
  <c r="C91" i="20"/>
  <c r="K91" i="20" s="1"/>
  <c r="M105" i="20"/>
  <c r="C105" i="20"/>
  <c r="K105" i="20" s="1"/>
  <c r="J46" i="21"/>
  <c r="W58" i="21"/>
  <c r="U52" i="21"/>
  <c r="W52" i="21" s="1"/>
  <c r="W62" i="21"/>
  <c r="M106" i="22"/>
  <c r="C106" i="22"/>
  <c r="K106" i="22" s="1"/>
  <c r="M23" i="23"/>
  <c r="T37" i="23"/>
  <c r="J37" i="23"/>
  <c r="V37" i="23"/>
  <c r="C34" i="20"/>
  <c r="K34" i="20" s="1"/>
  <c r="L31" i="20"/>
  <c r="O52" i="20"/>
  <c r="E89" i="20"/>
  <c r="E9" i="20" s="1"/>
  <c r="D94" i="20"/>
  <c r="D96" i="20"/>
  <c r="M96" i="20" s="1"/>
  <c r="D98" i="20"/>
  <c r="C98" i="20" s="1"/>
  <c r="D104" i="20"/>
  <c r="M78" i="21"/>
  <c r="D105" i="21"/>
  <c r="M105" i="21" s="1"/>
  <c r="J106" i="21"/>
  <c r="AB7" i="22"/>
  <c r="D23" i="22"/>
  <c r="M23" i="22" s="1"/>
  <c r="D35" i="22"/>
  <c r="M35" i="22" s="1"/>
  <c r="J63" i="22"/>
  <c r="D69" i="22"/>
  <c r="D72" i="22"/>
  <c r="V89" i="22"/>
  <c r="C107" i="22"/>
  <c r="K107" i="22" s="1"/>
  <c r="AG13" i="23"/>
  <c r="T36" i="23"/>
  <c r="R36" i="23"/>
  <c r="M40" i="23"/>
  <c r="T74" i="17"/>
  <c r="U74" i="17" s="1"/>
  <c r="D90" i="17"/>
  <c r="J96" i="17"/>
  <c r="J103" i="17"/>
  <c r="Q75" i="18"/>
  <c r="D21" i="19"/>
  <c r="C21" i="19" s="1"/>
  <c r="K21" i="19" s="1"/>
  <c r="D25" i="19"/>
  <c r="C25" i="19" s="1"/>
  <c r="K25" i="19" s="1"/>
  <c r="Q26" i="19"/>
  <c r="D30" i="19"/>
  <c r="C30" i="19" s="1"/>
  <c r="K30" i="19" s="1"/>
  <c r="J30" i="19"/>
  <c r="J39" i="19"/>
  <c r="D51" i="19"/>
  <c r="C51" i="19" s="1"/>
  <c r="K51" i="19" s="1"/>
  <c r="D53" i="19"/>
  <c r="C53" i="19" s="1"/>
  <c r="K53" i="19" s="1"/>
  <c r="D61" i="19"/>
  <c r="M61" i="19" s="1"/>
  <c r="D65" i="19"/>
  <c r="J70" i="19"/>
  <c r="D72" i="19"/>
  <c r="D73" i="19"/>
  <c r="O74" i="19"/>
  <c r="D86" i="19"/>
  <c r="M86" i="19" s="1"/>
  <c r="J99" i="19"/>
  <c r="J101" i="19"/>
  <c r="N104" i="19"/>
  <c r="J18" i="20"/>
  <c r="P19" i="20"/>
  <c r="D20" i="20"/>
  <c r="C20" i="20" s="1"/>
  <c r="K20" i="20" s="1"/>
  <c r="D24" i="20"/>
  <c r="M24" i="20" s="1"/>
  <c r="P25" i="20"/>
  <c r="D43" i="20"/>
  <c r="D47" i="20"/>
  <c r="H52" i="20"/>
  <c r="D59" i="20"/>
  <c r="M59" i="20" s="1"/>
  <c r="D75" i="20"/>
  <c r="D81" i="20"/>
  <c r="C81" i="20" s="1"/>
  <c r="K81" i="20" s="1"/>
  <c r="J83" i="20"/>
  <c r="D87" i="20"/>
  <c r="D92" i="20"/>
  <c r="C92" i="20" s="1"/>
  <c r="K92" i="20" s="1"/>
  <c r="J18" i="21"/>
  <c r="K18" i="21" s="1"/>
  <c r="N19" i="21"/>
  <c r="J23" i="21"/>
  <c r="J28" i="21"/>
  <c r="D36" i="21"/>
  <c r="J39" i="21"/>
  <c r="D41" i="21"/>
  <c r="J48" i="21"/>
  <c r="J80" i="21"/>
  <c r="D101" i="21"/>
  <c r="M101" i="21" s="1"/>
  <c r="J102" i="21"/>
  <c r="J28" i="22"/>
  <c r="D53" i="22"/>
  <c r="C53" i="22" s="1"/>
  <c r="K53" i="22" s="1"/>
  <c r="J60" i="22"/>
  <c r="M82" i="22"/>
  <c r="C82" i="22"/>
  <c r="K82" i="22" s="1"/>
  <c r="M85" i="22"/>
  <c r="U89" i="22"/>
  <c r="T9" i="22"/>
  <c r="V9" i="22" s="1"/>
  <c r="N104" i="22"/>
  <c r="G19" i="23"/>
  <c r="G20" i="23"/>
  <c r="V25" i="23"/>
  <c r="G32" i="27"/>
  <c r="D31" i="27"/>
  <c r="T35" i="27"/>
  <c r="Q31" i="27"/>
  <c r="J108" i="20"/>
  <c r="J24" i="21"/>
  <c r="N26" i="21"/>
  <c r="I31" i="21"/>
  <c r="Q31" i="21" s="1"/>
  <c r="J41" i="21"/>
  <c r="J45" i="21"/>
  <c r="J51" i="21"/>
  <c r="J54" i="21"/>
  <c r="D80" i="21"/>
  <c r="M80" i="21" s="1"/>
  <c r="M34" i="22"/>
  <c r="F74" i="22"/>
  <c r="F40" i="25"/>
  <c r="C31" i="25"/>
  <c r="D62" i="19"/>
  <c r="J64" i="19"/>
  <c r="D70" i="19"/>
  <c r="M70" i="19" s="1"/>
  <c r="H74" i="19"/>
  <c r="N74" i="19" s="1"/>
  <c r="D84" i="19"/>
  <c r="D87" i="19"/>
  <c r="J93" i="19"/>
  <c r="J95" i="19"/>
  <c r="J97" i="19"/>
  <c r="D99" i="19"/>
  <c r="M99" i="19" s="1"/>
  <c r="D101" i="19"/>
  <c r="M101" i="19" s="1"/>
  <c r="J108" i="19"/>
  <c r="D16" i="20"/>
  <c r="P20" i="20"/>
  <c r="J23" i="20"/>
  <c r="D27" i="20"/>
  <c r="C27" i="20" s="1"/>
  <c r="K27" i="20" s="1"/>
  <c r="J37" i="20"/>
  <c r="J39" i="20"/>
  <c r="D50" i="20"/>
  <c r="C50" i="20" s="1"/>
  <c r="K50" i="20" s="1"/>
  <c r="J64" i="20"/>
  <c r="J68" i="20"/>
  <c r="J78" i="20"/>
  <c r="J84" i="20"/>
  <c r="J93" i="20"/>
  <c r="J97" i="20"/>
  <c r="J100" i="20"/>
  <c r="J102" i="20"/>
  <c r="J106" i="20"/>
  <c r="J22" i="21"/>
  <c r="D29" i="21"/>
  <c r="D33" i="21"/>
  <c r="M33" i="21" s="1"/>
  <c r="J33" i="21"/>
  <c r="D39" i="21"/>
  <c r="M39" i="21" s="1"/>
  <c r="J69" i="21"/>
  <c r="D93" i="21"/>
  <c r="M93" i="21" s="1"/>
  <c r="J94" i="21"/>
  <c r="U9" i="22"/>
  <c r="D25" i="22"/>
  <c r="Q33" i="22"/>
  <c r="I31" i="22"/>
  <c r="Q31" i="22" s="1"/>
  <c r="D40" i="22"/>
  <c r="M40" i="22" s="1"/>
  <c r="J45" i="22"/>
  <c r="D71" i="22"/>
  <c r="D81" i="22"/>
  <c r="M81" i="22" s="1"/>
  <c r="D93" i="22"/>
  <c r="M25" i="23"/>
  <c r="P37" i="23"/>
  <c r="M45" i="23"/>
  <c r="G53" i="23"/>
  <c r="G64" i="24"/>
  <c r="F64" i="24"/>
  <c r="N78" i="21"/>
  <c r="C84" i="21"/>
  <c r="K84" i="21" s="1"/>
  <c r="P89" i="21"/>
  <c r="N40" i="22"/>
  <c r="N60" i="22"/>
  <c r="N69" i="22"/>
  <c r="M108" i="22"/>
  <c r="C108" i="22"/>
  <c r="K108" i="22" s="1"/>
  <c r="F23" i="23"/>
  <c r="F26" i="23"/>
  <c r="X33" i="23"/>
  <c r="F42" i="23"/>
  <c r="F44" i="23"/>
  <c r="I52" i="25"/>
  <c r="N58" i="21"/>
  <c r="D59" i="21"/>
  <c r="T62" i="21"/>
  <c r="J67" i="21"/>
  <c r="J70" i="21"/>
  <c r="J83" i="21"/>
  <c r="J85" i="21"/>
  <c r="D18" i="22"/>
  <c r="N28" i="22"/>
  <c r="J42" i="22"/>
  <c r="N59" i="22"/>
  <c r="J65" i="22"/>
  <c r="J75" i="22"/>
  <c r="N86" i="22"/>
  <c r="F89" i="22"/>
  <c r="F9" i="22" s="1"/>
  <c r="J94" i="22"/>
  <c r="Q101" i="22"/>
  <c r="F15" i="23"/>
  <c r="P24" i="23"/>
  <c r="P25" i="23"/>
  <c r="G32" i="23"/>
  <c r="T45" i="23"/>
  <c r="X45" i="23"/>
  <c r="R45" i="23"/>
  <c r="J46" i="23"/>
  <c r="AG31" i="23"/>
  <c r="AG52" i="23"/>
  <c r="T57" i="23"/>
  <c r="V57" i="23"/>
  <c r="P58" i="23"/>
  <c r="G59" i="23"/>
  <c r="T66" i="23"/>
  <c r="R66" i="23"/>
  <c r="X66" i="23"/>
  <c r="T82" i="23"/>
  <c r="J82" i="23"/>
  <c r="V82" i="23"/>
  <c r="T85" i="23"/>
  <c r="J85" i="23"/>
  <c r="V85" i="23"/>
  <c r="S13" i="24"/>
  <c r="AE13" i="24"/>
  <c r="AK13" i="24"/>
  <c r="N62" i="21"/>
  <c r="D67" i="21"/>
  <c r="C67" i="21" s="1"/>
  <c r="K67" i="21" s="1"/>
  <c r="D69" i="21"/>
  <c r="D70" i="21"/>
  <c r="D75" i="21"/>
  <c r="C75" i="21" s="1"/>
  <c r="D81" i="21"/>
  <c r="M81" i="21" s="1"/>
  <c r="M84" i="21"/>
  <c r="D85" i="21"/>
  <c r="G89" i="21"/>
  <c r="G9" i="21" s="1"/>
  <c r="P9" i="21" s="1"/>
  <c r="AB9" i="22"/>
  <c r="J16" i="22"/>
  <c r="D24" i="22"/>
  <c r="C24" i="22" s="1"/>
  <c r="K24" i="22" s="1"/>
  <c r="D30" i="22"/>
  <c r="M30" i="22" s="1"/>
  <c r="D41" i="22"/>
  <c r="M41" i="22" s="1"/>
  <c r="J41" i="22"/>
  <c r="D47" i="22"/>
  <c r="D56" i="22"/>
  <c r="C56" i="22" s="1"/>
  <c r="K56" i="22" s="1"/>
  <c r="J61" i="22"/>
  <c r="J73" i="22"/>
  <c r="J82" i="22"/>
  <c r="N85" i="22"/>
  <c r="J93" i="22"/>
  <c r="G15" i="23"/>
  <c r="P17" i="23"/>
  <c r="Y13" i="23"/>
  <c r="U13" i="23"/>
  <c r="T30" i="23"/>
  <c r="R30" i="23"/>
  <c r="F33" i="23"/>
  <c r="P33" i="23"/>
  <c r="T34" i="23"/>
  <c r="O31" i="23"/>
  <c r="F36" i="23"/>
  <c r="X36" i="23"/>
  <c r="G48" i="23"/>
  <c r="AB52" i="23"/>
  <c r="T62" i="23"/>
  <c r="R62" i="23"/>
  <c r="X62" i="23"/>
  <c r="F14" i="24"/>
  <c r="C13" i="24"/>
  <c r="N45" i="21"/>
  <c r="W45" i="21"/>
  <c r="J49" i="21"/>
  <c r="J71" i="21"/>
  <c r="T76" i="21"/>
  <c r="D79" i="21"/>
  <c r="N82" i="21"/>
  <c r="C86" i="21"/>
  <c r="K86" i="21" s="1"/>
  <c r="D15" i="22"/>
  <c r="C15" i="22" s="1"/>
  <c r="K15" i="22" s="1"/>
  <c r="N19" i="22"/>
  <c r="J21" i="22"/>
  <c r="N25" i="22"/>
  <c r="J27" i="22"/>
  <c r="N36" i="22"/>
  <c r="D39" i="22"/>
  <c r="C39" i="22" s="1"/>
  <c r="K39" i="22" s="1"/>
  <c r="J44" i="22"/>
  <c r="D45" i="22"/>
  <c r="N46" i="22"/>
  <c r="N53" i="22"/>
  <c r="N55" i="22"/>
  <c r="J58" i="22"/>
  <c r="C65" i="22"/>
  <c r="D66" i="22"/>
  <c r="D67" i="22"/>
  <c r="D68" i="22"/>
  <c r="M68" i="22" s="1"/>
  <c r="J78" i="22"/>
  <c r="J84" i="22"/>
  <c r="D87" i="22"/>
  <c r="J91" i="22"/>
  <c r="J95" i="22"/>
  <c r="C96" i="22"/>
  <c r="K96" i="22" s="1"/>
  <c r="J100" i="22"/>
  <c r="D105" i="22"/>
  <c r="AA13" i="23"/>
  <c r="J18" i="23"/>
  <c r="T19" i="23"/>
  <c r="J19" i="23"/>
  <c r="V22" i="23"/>
  <c r="P23" i="23"/>
  <c r="G24" i="23"/>
  <c r="G25" i="23"/>
  <c r="G28" i="23"/>
  <c r="V28" i="23"/>
  <c r="L31" i="23"/>
  <c r="M33" i="23"/>
  <c r="V33" i="23"/>
  <c r="F34" i="23"/>
  <c r="F39" i="23"/>
  <c r="G42" i="23"/>
  <c r="F43" i="23"/>
  <c r="G44" i="23"/>
  <c r="T48" i="23"/>
  <c r="R48" i="23"/>
  <c r="P50" i="23"/>
  <c r="T51" i="23"/>
  <c r="Z52" i="23"/>
  <c r="AF52" i="23"/>
  <c r="F59" i="23"/>
  <c r="N74" i="23"/>
  <c r="P85" i="23"/>
  <c r="J87" i="23"/>
  <c r="BE68" i="24"/>
  <c r="P39" i="23"/>
  <c r="J42" i="23"/>
  <c r="R42" i="23"/>
  <c r="T43" i="23"/>
  <c r="V46" i="23"/>
  <c r="J48" i="23"/>
  <c r="V51" i="23"/>
  <c r="Q52" i="23"/>
  <c r="T54" i="23"/>
  <c r="J57" i="23"/>
  <c r="R57" i="23"/>
  <c r="T58" i="23"/>
  <c r="J58" i="23"/>
  <c r="F68" i="23"/>
  <c r="T75" i="23"/>
  <c r="R75" i="23"/>
  <c r="J75" i="23"/>
  <c r="X75" i="23"/>
  <c r="F81" i="23"/>
  <c r="F83" i="23"/>
  <c r="AP15" i="24"/>
  <c r="AM13" i="24"/>
  <c r="V31" i="24"/>
  <c r="AP47" i="24"/>
  <c r="AY31" i="24"/>
  <c r="M50" i="24"/>
  <c r="G51" i="24"/>
  <c r="X52" i="24"/>
  <c r="P61" i="24"/>
  <c r="M64" i="24"/>
  <c r="BD74" i="24"/>
  <c r="I74" i="24"/>
  <c r="N93" i="22"/>
  <c r="U98" i="22"/>
  <c r="J108" i="22"/>
  <c r="T15" i="23"/>
  <c r="V16" i="23"/>
  <c r="V18" i="23"/>
  <c r="V21" i="23"/>
  <c r="J22" i="23"/>
  <c r="T24" i="23"/>
  <c r="R24" i="23"/>
  <c r="J25" i="23"/>
  <c r="T27" i="23"/>
  <c r="F29" i="23"/>
  <c r="G30" i="23"/>
  <c r="J33" i="23"/>
  <c r="J34" i="23"/>
  <c r="V36" i="23"/>
  <c r="F37" i="23"/>
  <c r="T39" i="23"/>
  <c r="T40" i="23"/>
  <c r="V40" i="23"/>
  <c r="J43" i="23"/>
  <c r="P45" i="23"/>
  <c r="F47" i="23"/>
  <c r="T49" i="23"/>
  <c r="F50" i="23"/>
  <c r="X51" i="23"/>
  <c r="K52" i="23"/>
  <c r="J54" i="23"/>
  <c r="V55" i="23"/>
  <c r="R60" i="23"/>
  <c r="P62" i="23"/>
  <c r="F63" i="23"/>
  <c r="G67" i="23"/>
  <c r="P67" i="23"/>
  <c r="G68" i="23"/>
  <c r="T72" i="23"/>
  <c r="R72" i="23"/>
  <c r="X72" i="23"/>
  <c r="V72" i="23"/>
  <c r="O74" i="23"/>
  <c r="T79" i="23"/>
  <c r="V79" i="23"/>
  <c r="G81" i="23"/>
  <c r="G83" i="23"/>
  <c r="T88" i="23"/>
  <c r="J88" i="23"/>
  <c r="AB31" i="24"/>
  <c r="BH52" i="24"/>
  <c r="J78" i="24"/>
  <c r="H74" i="24"/>
  <c r="J74" i="24" s="1"/>
  <c r="G36" i="27"/>
  <c r="G14" i="24"/>
  <c r="D13" i="24"/>
  <c r="AT13" i="24"/>
  <c r="AZ13" i="24"/>
  <c r="R32" i="25"/>
  <c r="AP32" i="24"/>
  <c r="BF31" i="24"/>
  <c r="Z52" i="24"/>
  <c r="AF52" i="24"/>
  <c r="AL55" i="24"/>
  <c r="AW52" i="24"/>
  <c r="F59" i="24"/>
  <c r="AD52" i="24"/>
  <c r="T74" i="24"/>
  <c r="Z74" i="24"/>
  <c r="AF74" i="24"/>
  <c r="AS74" i="24"/>
  <c r="AY74" i="24"/>
  <c r="BK74" i="24"/>
  <c r="V63" i="23"/>
  <c r="J66" i="23"/>
  <c r="G71" i="23"/>
  <c r="Z74" i="23"/>
  <c r="AG74" i="23"/>
  <c r="V81" i="23"/>
  <c r="P83" i="23"/>
  <c r="M87" i="23"/>
  <c r="V87" i="23"/>
  <c r="AS13" i="24"/>
  <c r="BK13" i="24"/>
  <c r="AR18" i="24"/>
  <c r="F20" i="24"/>
  <c r="AP21" i="24"/>
  <c r="N52" i="24"/>
  <c r="T52" i="24"/>
  <c r="AR53" i="24"/>
  <c r="AV52" i="24"/>
  <c r="BB52" i="24"/>
  <c r="R52" i="24"/>
  <c r="Y61" i="24"/>
  <c r="F73" i="24"/>
  <c r="R74" i="24"/>
  <c r="X74" i="24"/>
  <c r="AG74" i="24"/>
  <c r="V17" i="25"/>
  <c r="G28" i="25"/>
  <c r="G51" i="25"/>
  <c r="X74" i="25"/>
  <c r="L74" i="25"/>
  <c r="J9" i="26"/>
  <c r="H7" i="26"/>
  <c r="J7" i="26" s="1"/>
  <c r="G9" i="27"/>
  <c r="F9" i="27"/>
  <c r="T36" i="27"/>
  <c r="S31" i="27"/>
  <c r="L74" i="28"/>
  <c r="F96" i="28"/>
  <c r="C89" i="28"/>
  <c r="U52" i="23"/>
  <c r="F66" i="23"/>
  <c r="AH52" i="23"/>
  <c r="F70" i="23"/>
  <c r="T73" i="23"/>
  <c r="F77" i="23"/>
  <c r="T78" i="23"/>
  <c r="P78" i="23"/>
  <c r="X78" i="23"/>
  <c r="V84" i="23"/>
  <c r="AF74" i="23"/>
  <c r="U13" i="24"/>
  <c r="AP14" i="24"/>
  <c r="P21" i="24"/>
  <c r="F29" i="24"/>
  <c r="AR38" i="24"/>
  <c r="V52" i="24"/>
  <c r="I52" i="24"/>
  <c r="AS52" i="24"/>
  <c r="AY52" i="24"/>
  <c r="BK52" i="24"/>
  <c r="F61" i="24"/>
  <c r="AJ52" i="24"/>
  <c r="AP65" i="24"/>
  <c r="AP73" i="24"/>
  <c r="K74" i="24"/>
  <c r="M75" i="24"/>
  <c r="AX74" i="24"/>
  <c r="E89" i="25"/>
  <c r="E9" i="25" s="1"/>
  <c r="G9" i="25" s="1"/>
  <c r="G99" i="25"/>
  <c r="L31" i="27"/>
  <c r="V39" i="27"/>
  <c r="AM52" i="28"/>
  <c r="V66" i="23"/>
  <c r="X69" i="23"/>
  <c r="T76" i="23"/>
  <c r="W74" i="23"/>
  <c r="T81" i="23"/>
  <c r="X81" i="23"/>
  <c r="I74" i="23"/>
  <c r="F85" i="23"/>
  <c r="M85" i="23"/>
  <c r="O13" i="24"/>
  <c r="AU13" i="24"/>
  <c r="BA13" i="24"/>
  <c r="BG13" i="24"/>
  <c r="P28" i="24"/>
  <c r="Y30" i="24"/>
  <c r="F35" i="24"/>
  <c r="U31" i="24"/>
  <c r="AC52" i="24"/>
  <c r="AI52" i="24"/>
  <c r="AX52" i="24"/>
  <c r="BE53" i="24"/>
  <c r="Y55" i="24"/>
  <c r="M59" i="24"/>
  <c r="AP59" i="24"/>
  <c r="G61" i="24"/>
  <c r="F63" i="24"/>
  <c r="F65" i="24"/>
  <c r="AP72" i="24"/>
  <c r="D74" i="24"/>
  <c r="BH74" i="24"/>
  <c r="X13" i="25"/>
  <c r="Y13" i="25"/>
  <c r="N30" i="25"/>
  <c r="U31" i="25"/>
  <c r="R45" i="25"/>
  <c r="F48" i="25"/>
  <c r="G48" i="25"/>
  <c r="P52" i="25"/>
  <c r="P32" i="27"/>
  <c r="N31" i="27"/>
  <c r="X52" i="28"/>
  <c r="F19" i="25"/>
  <c r="J26" i="25"/>
  <c r="F28" i="25"/>
  <c r="F62" i="25"/>
  <c r="Q74" i="25"/>
  <c r="E74" i="25"/>
  <c r="AD84" i="25"/>
  <c r="AD85" i="25"/>
  <c r="M32" i="27"/>
  <c r="K31" i="27"/>
  <c r="R31" i="27"/>
  <c r="F36" i="27"/>
  <c r="N74" i="27"/>
  <c r="P75" i="27"/>
  <c r="P83" i="27"/>
  <c r="C13" i="28"/>
  <c r="G17" i="28"/>
  <c r="AH28" i="28"/>
  <c r="K36" i="28"/>
  <c r="N52" i="28"/>
  <c r="V52" i="28"/>
  <c r="AD52" i="28"/>
  <c r="AE53" i="28"/>
  <c r="U13" i="25"/>
  <c r="Z15" i="25"/>
  <c r="N17" i="25"/>
  <c r="N18" i="25"/>
  <c r="V18" i="25"/>
  <c r="G19" i="25"/>
  <c r="V19" i="25"/>
  <c r="V22" i="25"/>
  <c r="F23" i="25"/>
  <c r="AD23" i="25"/>
  <c r="J25" i="25"/>
  <c r="N26" i="25"/>
  <c r="N27" i="25"/>
  <c r="G36" i="25"/>
  <c r="R38" i="25"/>
  <c r="F42" i="25"/>
  <c r="R46" i="25"/>
  <c r="R47" i="25"/>
  <c r="N54" i="25"/>
  <c r="Y52" i="25"/>
  <c r="F56" i="25"/>
  <c r="F57" i="25"/>
  <c r="G62" i="25"/>
  <c r="V62" i="25"/>
  <c r="AD63" i="25"/>
  <c r="F66" i="25"/>
  <c r="AD66" i="25"/>
  <c r="F69" i="25"/>
  <c r="R70" i="25"/>
  <c r="R72" i="25"/>
  <c r="P74" i="25"/>
  <c r="N82" i="25"/>
  <c r="R84" i="25"/>
  <c r="C31" i="27"/>
  <c r="F32" i="27"/>
  <c r="P33" i="27"/>
  <c r="M42" i="27"/>
  <c r="V48" i="27"/>
  <c r="M59" i="27"/>
  <c r="AL29" i="24"/>
  <c r="AP29" i="24"/>
  <c r="AL30" i="24"/>
  <c r="P33" i="24"/>
  <c r="F38" i="24"/>
  <c r="Y38" i="24"/>
  <c r="AR42" i="24"/>
  <c r="AP43" i="24"/>
  <c r="Y47" i="24"/>
  <c r="J50" i="24"/>
  <c r="Q52" i="24"/>
  <c r="F54" i="24"/>
  <c r="M54" i="24"/>
  <c r="AT52" i="24"/>
  <c r="AZ52" i="24"/>
  <c r="BF52" i="24"/>
  <c r="P57" i="24"/>
  <c r="L52" i="24"/>
  <c r="Y63" i="24"/>
  <c r="P65" i="24"/>
  <c r="AL68" i="24"/>
  <c r="E74" i="24"/>
  <c r="P13" i="25"/>
  <c r="AD17" i="25"/>
  <c r="R20" i="25"/>
  <c r="F25" i="25"/>
  <c r="F27" i="25"/>
  <c r="F29" i="25"/>
  <c r="F30" i="25"/>
  <c r="P31" i="25"/>
  <c r="J38" i="25"/>
  <c r="F46" i="25"/>
  <c r="F49" i="25"/>
  <c r="L52" i="25"/>
  <c r="M52" i="25"/>
  <c r="AB52" i="25"/>
  <c r="F59" i="25"/>
  <c r="F64" i="25"/>
  <c r="N64" i="25"/>
  <c r="F68" i="25"/>
  <c r="Z70" i="25"/>
  <c r="F88" i="25"/>
  <c r="F99" i="25"/>
  <c r="V35" i="27"/>
  <c r="F40" i="27"/>
  <c r="T43" i="27"/>
  <c r="F50" i="27"/>
  <c r="F72" i="27"/>
  <c r="T53" i="28"/>
  <c r="R52" i="28"/>
  <c r="Z52" i="28"/>
  <c r="L52" i="28"/>
  <c r="I13" i="24"/>
  <c r="V13" i="24"/>
  <c r="AL42" i="24"/>
  <c r="I31" i="24"/>
  <c r="AA31" i="24"/>
  <c r="AR43" i="24"/>
  <c r="J51" i="24"/>
  <c r="BG52" i="24"/>
  <c r="AP54" i="24"/>
  <c r="G55" i="24"/>
  <c r="AA52" i="24"/>
  <c r="AG52" i="24"/>
  <c r="AR55" i="24"/>
  <c r="Y59" i="24"/>
  <c r="AL60" i="24"/>
  <c r="AR61" i="24"/>
  <c r="AP68" i="24"/>
  <c r="Y72" i="24"/>
  <c r="AD16" i="25"/>
  <c r="J18" i="25"/>
  <c r="Z21" i="25"/>
  <c r="V24" i="25"/>
  <c r="G25" i="25"/>
  <c r="AD28" i="25"/>
  <c r="AD30" i="25"/>
  <c r="F34" i="25"/>
  <c r="N42" i="25"/>
  <c r="G49" i="25"/>
  <c r="F50" i="25"/>
  <c r="E52" i="25"/>
  <c r="F52" i="25" s="1"/>
  <c r="F54" i="25"/>
  <c r="N57" i="25"/>
  <c r="G59" i="25"/>
  <c r="V59" i="25"/>
  <c r="G64" i="25"/>
  <c r="U52" i="25"/>
  <c r="R66" i="25"/>
  <c r="N67" i="25"/>
  <c r="F75" i="25"/>
  <c r="AC74" i="25"/>
  <c r="N87" i="25"/>
  <c r="V87" i="25"/>
  <c r="G88" i="25"/>
  <c r="N88" i="25"/>
  <c r="V32" i="27"/>
  <c r="M35" i="27"/>
  <c r="M38" i="27"/>
  <c r="P53" i="27"/>
  <c r="W27" i="28"/>
  <c r="W32" i="28"/>
  <c r="P39" i="27"/>
  <c r="P49" i="27"/>
  <c r="F55" i="27"/>
  <c r="F59" i="27"/>
  <c r="F63" i="27"/>
  <c r="D74" i="27"/>
  <c r="O74" i="27"/>
  <c r="P74" i="27" s="1"/>
  <c r="F76" i="27"/>
  <c r="T80" i="27"/>
  <c r="T88" i="27"/>
  <c r="AB13" i="28"/>
  <c r="AA15" i="28"/>
  <c r="AM13" i="28"/>
  <c r="K20" i="28"/>
  <c r="F41" i="28"/>
  <c r="T41" i="28"/>
  <c r="F43" i="28"/>
  <c r="AN31" i="28"/>
  <c r="F46" i="28"/>
  <c r="T75" i="28"/>
  <c r="R74" i="28"/>
  <c r="V74" i="28"/>
  <c r="W77" i="28"/>
  <c r="J7" i="27"/>
  <c r="M14" i="27"/>
  <c r="M15" i="27"/>
  <c r="M16" i="27"/>
  <c r="M18" i="27"/>
  <c r="M19" i="27"/>
  <c r="M20" i="27"/>
  <c r="M21" i="27"/>
  <c r="M23" i="27"/>
  <c r="M24" i="27"/>
  <c r="M25" i="27"/>
  <c r="M26" i="27"/>
  <c r="M27" i="27"/>
  <c r="M28" i="27"/>
  <c r="M29" i="27"/>
  <c r="M30" i="27"/>
  <c r="P36" i="27"/>
  <c r="M37" i="27"/>
  <c r="P42" i="27"/>
  <c r="M43" i="27"/>
  <c r="V45" i="27"/>
  <c r="M47" i="27"/>
  <c r="V51" i="27"/>
  <c r="P55" i="27"/>
  <c r="O52" i="27"/>
  <c r="G63" i="27"/>
  <c r="G72" i="27"/>
  <c r="P73" i="27"/>
  <c r="G76" i="27"/>
  <c r="F101" i="27"/>
  <c r="G9" i="28"/>
  <c r="U13" i="28"/>
  <c r="L13" i="28"/>
  <c r="P16" i="28"/>
  <c r="AE16" i="28"/>
  <c r="F18" i="28"/>
  <c r="T20" i="28"/>
  <c r="M21" i="28"/>
  <c r="G25" i="28"/>
  <c r="AE37" i="28"/>
  <c r="G41" i="28"/>
  <c r="W48" i="28"/>
  <c r="AH81" i="28"/>
  <c r="T82" i="28"/>
  <c r="AE84" i="28"/>
  <c r="F33" i="25"/>
  <c r="G34" i="25"/>
  <c r="G35" i="25"/>
  <c r="F37" i="25"/>
  <c r="N38" i="25"/>
  <c r="R40" i="25"/>
  <c r="F44" i="25"/>
  <c r="F45" i="25"/>
  <c r="G46" i="25"/>
  <c r="Z50" i="25"/>
  <c r="T52" i="25"/>
  <c r="AD61" i="25"/>
  <c r="N65" i="25"/>
  <c r="V66" i="25"/>
  <c r="R69" i="25"/>
  <c r="F70" i="25"/>
  <c r="F72" i="25"/>
  <c r="G76" i="25"/>
  <c r="AD76" i="25"/>
  <c r="V77" i="25"/>
  <c r="F82" i="25"/>
  <c r="G83" i="25"/>
  <c r="G84" i="25"/>
  <c r="C89" i="25"/>
  <c r="C89" i="26"/>
  <c r="C9" i="26" s="1"/>
  <c r="C7" i="26" s="1"/>
  <c r="G100" i="26"/>
  <c r="P13" i="27"/>
  <c r="P14" i="27"/>
  <c r="F15" i="27"/>
  <c r="P15" i="27"/>
  <c r="F16" i="27"/>
  <c r="P16" i="27"/>
  <c r="F18" i="27"/>
  <c r="P18" i="27"/>
  <c r="F19" i="27"/>
  <c r="P19" i="27"/>
  <c r="F20" i="27"/>
  <c r="P20" i="27"/>
  <c r="F21" i="27"/>
  <c r="P21" i="27"/>
  <c r="F23" i="27"/>
  <c r="P23" i="27"/>
  <c r="F24" i="27"/>
  <c r="P24" i="27"/>
  <c r="F25" i="27"/>
  <c r="P25" i="27"/>
  <c r="F26" i="27"/>
  <c r="P26" i="27"/>
  <c r="F27" i="27"/>
  <c r="P27" i="27"/>
  <c r="F28" i="27"/>
  <c r="P28" i="27"/>
  <c r="F29" i="27"/>
  <c r="P29" i="27"/>
  <c r="F30" i="27"/>
  <c r="P30" i="27"/>
  <c r="M33" i="27"/>
  <c r="V37" i="27"/>
  <c r="M39" i="27"/>
  <c r="P48" i="27"/>
  <c r="M49" i="27"/>
  <c r="P56" i="27"/>
  <c r="T59" i="27"/>
  <c r="P61" i="27"/>
  <c r="V76" i="27"/>
  <c r="M81" i="27"/>
  <c r="F85" i="27"/>
  <c r="M16" i="28"/>
  <c r="T16" i="28"/>
  <c r="M18" i="28"/>
  <c r="G21" i="28"/>
  <c r="T21" i="28"/>
  <c r="F22" i="28"/>
  <c r="F24" i="28"/>
  <c r="K26" i="28"/>
  <c r="W26" i="28"/>
  <c r="AL26" i="28"/>
  <c r="K27" i="28"/>
  <c r="O13" i="28"/>
  <c r="AL29" i="28"/>
  <c r="AM31" i="28"/>
  <c r="M37" i="28"/>
  <c r="K41" i="28"/>
  <c r="W50" i="28"/>
  <c r="AB52" i="28"/>
  <c r="P54" i="28"/>
  <c r="T57" i="28"/>
  <c r="G75" i="28"/>
  <c r="D74" i="28"/>
  <c r="X74" i="28"/>
  <c r="V73" i="27"/>
  <c r="S74" i="27"/>
  <c r="V77" i="27"/>
  <c r="P80" i="27"/>
  <c r="V82" i="27"/>
  <c r="T83" i="27"/>
  <c r="D13" i="28"/>
  <c r="J13" i="28"/>
  <c r="AH15" i="28"/>
  <c r="AA17" i="28"/>
  <c r="AH17" i="28"/>
  <c r="F19" i="28"/>
  <c r="W19" i="28"/>
  <c r="AL19" i="28"/>
  <c r="P20" i="28"/>
  <c r="G22" i="28"/>
  <c r="AE22" i="28"/>
  <c r="P23" i="28"/>
  <c r="W23" i="28"/>
  <c r="AL23" i="28"/>
  <c r="T25" i="28"/>
  <c r="AH25" i="28"/>
  <c r="M27" i="28"/>
  <c r="AD13" i="28"/>
  <c r="K28" i="28"/>
  <c r="F34" i="28"/>
  <c r="K35" i="28"/>
  <c r="P38" i="28"/>
  <c r="W38" i="28"/>
  <c r="F39" i="28"/>
  <c r="P40" i="28"/>
  <c r="AH41" i="28"/>
  <c r="W44" i="28"/>
  <c r="M46" i="28"/>
  <c r="M47" i="28"/>
  <c r="T47" i="28"/>
  <c r="P51" i="28"/>
  <c r="F53" i="28"/>
  <c r="AE69" i="28"/>
  <c r="J74" i="28"/>
  <c r="AF74" i="28"/>
  <c r="AL77" i="28"/>
  <c r="AJ74" i="28"/>
  <c r="K80" i="28"/>
  <c r="V31" i="28"/>
  <c r="AL38" i="28"/>
  <c r="AE39" i="28"/>
  <c r="AA40" i="28"/>
  <c r="P44" i="28"/>
  <c r="P49" i="28"/>
  <c r="D52" i="28"/>
  <c r="G55" i="28"/>
  <c r="O52" i="28"/>
  <c r="AE55" i="28"/>
  <c r="W56" i="28"/>
  <c r="AL56" i="28"/>
  <c r="W57" i="28"/>
  <c r="W62" i="28"/>
  <c r="AH66" i="28"/>
  <c r="AA68" i="28"/>
  <c r="AA72" i="28"/>
  <c r="AI74" i="28"/>
  <c r="P78" i="28"/>
  <c r="N74" i="28"/>
  <c r="AE78" i="28"/>
  <c r="AH87" i="28"/>
  <c r="K8" i="29"/>
  <c r="K7" i="29" s="1"/>
  <c r="G70" i="27"/>
  <c r="P70" i="27"/>
  <c r="F82" i="27"/>
  <c r="M83" i="27"/>
  <c r="V83" i="27"/>
  <c r="W14" i="28"/>
  <c r="F15" i="28"/>
  <c r="P15" i="28"/>
  <c r="AE15" i="28"/>
  <c r="K17" i="28"/>
  <c r="W17" i="28"/>
  <c r="AL17" i="28"/>
  <c r="AE19" i="28"/>
  <c r="AH21" i="28"/>
  <c r="AH23" i="28"/>
  <c r="T24" i="28"/>
  <c r="F25" i="28"/>
  <c r="AL25" i="28"/>
  <c r="T27" i="28"/>
  <c r="M28" i="28"/>
  <c r="AA29" i="28"/>
  <c r="AH29" i="28"/>
  <c r="G34" i="28"/>
  <c r="AH38" i="28"/>
  <c r="AH39" i="28"/>
  <c r="J31" i="28"/>
  <c r="W43" i="28"/>
  <c r="T46" i="28"/>
  <c r="K47" i="28"/>
  <c r="T48" i="28"/>
  <c r="M49" i="28"/>
  <c r="K51" i="28"/>
  <c r="W51" i="28"/>
  <c r="G53" i="28"/>
  <c r="P53" i="28"/>
  <c r="M54" i="28"/>
  <c r="P56" i="28"/>
  <c r="AA58" i="28"/>
  <c r="AG52" i="28"/>
  <c r="AA63" i="28"/>
  <c r="AD74" i="28"/>
  <c r="AK74" i="28"/>
  <c r="H74" i="28"/>
  <c r="K78" i="28"/>
  <c r="M83" i="28"/>
  <c r="K86" i="28"/>
  <c r="M51" i="28"/>
  <c r="AH51" i="28"/>
  <c r="H52" i="28"/>
  <c r="AN52" i="28"/>
  <c r="Q52" i="28"/>
  <c r="AH54" i="28"/>
  <c r="AA57" i="28"/>
  <c r="T58" i="28"/>
  <c r="W67" i="28"/>
  <c r="W70" i="28"/>
  <c r="AE70" i="28"/>
  <c r="M76" i="28"/>
  <c r="T76" i="28"/>
  <c r="AH76" i="28"/>
  <c r="K82" i="28"/>
  <c r="AH82" i="28"/>
  <c r="K62" i="28"/>
  <c r="M63" i="28"/>
  <c r="W65" i="28"/>
  <c r="AA66" i="28"/>
  <c r="M72" i="28"/>
  <c r="E74" i="28"/>
  <c r="AL75" i="28"/>
  <c r="P76" i="28"/>
  <c r="AL76" i="28"/>
  <c r="F77" i="28"/>
  <c r="T77" i="28"/>
  <c r="AH77" i="28"/>
  <c r="T78" i="28"/>
  <c r="T80" i="28"/>
  <c r="F81" i="28"/>
  <c r="F82" i="28"/>
  <c r="W82" i="28"/>
  <c r="AL82" i="28"/>
  <c r="S74" i="28"/>
  <c r="F84" i="28"/>
  <c r="AA84" i="28"/>
  <c r="G87" i="28"/>
  <c r="AL87" i="28"/>
  <c r="P88" i="28"/>
  <c r="G96" i="28"/>
  <c r="F67" i="28"/>
  <c r="W68" i="28"/>
  <c r="AA69" i="28"/>
  <c r="M70" i="28"/>
  <c r="F79" i="28"/>
  <c r="W79" i="28"/>
  <c r="AL79" i="28"/>
  <c r="F80" i="28"/>
  <c r="F85" i="28"/>
  <c r="F87" i="28"/>
  <c r="F40" i="28"/>
  <c r="P41" i="28"/>
  <c r="G42" i="28"/>
  <c r="T42" i="28"/>
  <c r="M43" i="28"/>
  <c r="AH44" i="28"/>
  <c r="G46" i="28"/>
  <c r="P47" i="28"/>
  <c r="W53" i="28"/>
  <c r="T54" i="28"/>
  <c r="F55" i="28"/>
  <c r="AA56" i="28"/>
  <c r="AL57" i="28"/>
  <c r="AE58" i="28"/>
  <c r="K65" i="28"/>
  <c r="AA65" i="28"/>
  <c r="M66" i="28"/>
  <c r="AE66" i="28"/>
  <c r="F70" i="28"/>
  <c r="M75" i="28"/>
  <c r="K76" i="28"/>
  <c r="G79" i="28"/>
  <c r="P81" i="28"/>
  <c r="AE81" i="28"/>
  <c r="AE82" i="28"/>
  <c r="W83" i="28"/>
  <c r="P84" i="28"/>
  <c r="G85" i="28"/>
  <c r="AE85" i="28"/>
  <c r="P86" i="28"/>
  <c r="AL86" i="28"/>
  <c r="M88" i="28"/>
  <c r="T88" i="28"/>
  <c r="AH88" i="28"/>
  <c r="C15" i="1"/>
  <c r="K15" i="1" s="1"/>
  <c r="M15" i="1"/>
  <c r="C28" i="1"/>
  <c r="K28" i="1" s="1"/>
  <c r="M28" i="1"/>
  <c r="C33" i="1"/>
  <c r="M33" i="1"/>
  <c r="M36" i="1"/>
  <c r="AF13" i="1"/>
  <c r="E13" i="1"/>
  <c r="AQ15" i="1"/>
  <c r="AO13" i="1"/>
  <c r="AD13" i="1"/>
  <c r="AA16" i="1"/>
  <c r="AJ13" i="1"/>
  <c r="AP13" i="1"/>
  <c r="W17" i="1"/>
  <c r="Z17" i="1" s="1"/>
  <c r="U19" i="1"/>
  <c r="AB19" i="1"/>
  <c r="N22" i="1"/>
  <c r="C26" i="1"/>
  <c r="AA27" i="1"/>
  <c r="AA29" i="1"/>
  <c r="J32" i="1"/>
  <c r="O31" i="1"/>
  <c r="W32" i="1"/>
  <c r="Z32" i="1" s="1"/>
  <c r="AG31" i="1"/>
  <c r="Y32" i="1"/>
  <c r="AM31" i="1"/>
  <c r="E31" i="1"/>
  <c r="AA33" i="1"/>
  <c r="AB33" i="1" s="1"/>
  <c r="F31" i="1"/>
  <c r="Z39" i="1"/>
  <c r="AB51" i="1"/>
  <c r="M73" i="1"/>
  <c r="C73" i="1"/>
  <c r="K73" i="1" s="1"/>
  <c r="C76" i="1"/>
  <c r="K76" i="1" s="1"/>
  <c r="M76" i="1"/>
  <c r="AB76" i="1"/>
  <c r="M79" i="1"/>
  <c r="C79" i="1"/>
  <c r="K79" i="1" s="1"/>
  <c r="K20" i="1"/>
  <c r="C17" i="1"/>
  <c r="K17" i="1" s="1"/>
  <c r="M17" i="1"/>
  <c r="Y17" i="1"/>
  <c r="X18" i="1"/>
  <c r="AB18" i="1" s="1"/>
  <c r="C21" i="1"/>
  <c r="K21" i="1" s="1"/>
  <c r="M21" i="1"/>
  <c r="X24" i="1"/>
  <c r="AD31" i="1"/>
  <c r="AP31" i="1"/>
  <c r="AB48" i="1"/>
  <c r="M78" i="1"/>
  <c r="C78" i="1"/>
  <c r="K78" i="1" s="1"/>
  <c r="C83" i="1"/>
  <c r="K83" i="1" s="1"/>
  <c r="M83" i="1"/>
  <c r="T13" i="1"/>
  <c r="T8" i="1" s="1"/>
  <c r="T7" i="1" s="1"/>
  <c r="D16" i="1"/>
  <c r="J16" i="1"/>
  <c r="L13" i="1"/>
  <c r="C23" i="1"/>
  <c r="N28" i="1"/>
  <c r="K38" i="1"/>
  <c r="N43" i="1"/>
  <c r="C45" i="1"/>
  <c r="K45" i="1" s="1"/>
  <c r="M45" i="1"/>
  <c r="C47" i="1"/>
  <c r="K47" i="1" s="1"/>
  <c r="M47" i="1"/>
  <c r="M49" i="1"/>
  <c r="C49" i="1"/>
  <c r="C53" i="1"/>
  <c r="K53" i="1" s="1"/>
  <c r="M53" i="1"/>
  <c r="M60" i="1"/>
  <c r="C60" i="1"/>
  <c r="K60" i="1" s="1"/>
  <c r="C65" i="1"/>
  <c r="K65" i="1" s="1"/>
  <c r="M65" i="1"/>
  <c r="M72" i="1"/>
  <c r="C72" i="1"/>
  <c r="K72" i="1" s="1"/>
  <c r="U16" i="1"/>
  <c r="R13" i="1"/>
  <c r="X14" i="1"/>
  <c r="AB14" i="1" s="1"/>
  <c r="AH13" i="1"/>
  <c r="AN13" i="1"/>
  <c r="AN8" i="1" s="1"/>
  <c r="AN7" i="1" s="1"/>
  <c r="AA15" i="1"/>
  <c r="AB15" i="1" s="1"/>
  <c r="G13" i="1"/>
  <c r="P17" i="1"/>
  <c r="D22" i="1"/>
  <c r="C27" i="1"/>
  <c r="K27" i="1" s="1"/>
  <c r="M27" i="1"/>
  <c r="C35" i="1"/>
  <c r="K35" i="1" s="1"/>
  <c r="M35" i="1"/>
  <c r="AB36" i="1"/>
  <c r="C39" i="1"/>
  <c r="K39" i="1" s="1"/>
  <c r="M39" i="1"/>
  <c r="M43" i="1"/>
  <c r="C43" i="1"/>
  <c r="K43" i="1" s="1"/>
  <c r="C46" i="1"/>
  <c r="K46" i="1" s="1"/>
  <c r="M46" i="1"/>
  <c r="AB49" i="1"/>
  <c r="X52" i="1"/>
  <c r="Z64" i="1"/>
  <c r="C82" i="1"/>
  <c r="M82" i="1"/>
  <c r="AB82" i="1"/>
  <c r="M85" i="1"/>
  <c r="C85" i="1"/>
  <c r="K85" i="1" s="1"/>
  <c r="M14" i="1"/>
  <c r="C14" i="1"/>
  <c r="K14" i="1" s="1"/>
  <c r="AC13" i="1"/>
  <c r="AI13" i="1"/>
  <c r="S13" i="1"/>
  <c r="V17" i="1"/>
  <c r="V18" i="1"/>
  <c r="Z23" i="1"/>
  <c r="V24" i="1"/>
  <c r="C29" i="1"/>
  <c r="K29" i="1" s="1"/>
  <c r="M29" i="1"/>
  <c r="AB30" i="1"/>
  <c r="I31" i="1"/>
  <c r="Q31" i="1" s="1"/>
  <c r="Q32" i="1"/>
  <c r="M37" i="1"/>
  <c r="C37" i="1"/>
  <c r="K37" i="1" s="1"/>
  <c r="C40" i="1"/>
  <c r="K40" i="1" s="1"/>
  <c r="M40" i="1"/>
  <c r="K42" i="1"/>
  <c r="M42" i="1"/>
  <c r="AB42" i="1"/>
  <c r="M48" i="1"/>
  <c r="C48" i="1"/>
  <c r="K48" i="1" s="1"/>
  <c r="Z69" i="1"/>
  <c r="M84" i="1"/>
  <c r="C84" i="1"/>
  <c r="K84" i="1" s="1"/>
  <c r="C34" i="1"/>
  <c r="K34" i="1" s="1"/>
  <c r="M34" i="1"/>
  <c r="M54" i="1"/>
  <c r="C54" i="1"/>
  <c r="K54" i="1" s="1"/>
  <c r="C59" i="1"/>
  <c r="K59" i="1" s="1"/>
  <c r="M59" i="1"/>
  <c r="C71" i="1"/>
  <c r="K71" i="1" s="1"/>
  <c r="M71" i="1"/>
  <c r="W33" i="1"/>
  <c r="Z33" i="1" s="1"/>
  <c r="U49" i="1"/>
  <c r="F52" i="1"/>
  <c r="L52" i="1"/>
  <c r="R52" i="1"/>
  <c r="U52" i="1" s="1"/>
  <c r="AH74" i="1"/>
  <c r="C100" i="1"/>
  <c r="K100" i="1" s="1"/>
  <c r="AE13" i="2"/>
  <c r="C20" i="2"/>
  <c r="K20" i="2" s="1"/>
  <c r="M20" i="2"/>
  <c r="C21" i="2"/>
  <c r="M21" i="2"/>
  <c r="AF31" i="2"/>
  <c r="AH31" i="2" s="1"/>
  <c r="AD31" i="2"/>
  <c r="C36" i="2"/>
  <c r="K36" i="2" s="1"/>
  <c r="M36" i="2"/>
  <c r="C44" i="2"/>
  <c r="K44" i="2" s="1"/>
  <c r="M44" i="2"/>
  <c r="C60" i="2"/>
  <c r="K60" i="2" s="1"/>
  <c r="M60" i="2"/>
  <c r="C72" i="2"/>
  <c r="K72" i="2" s="1"/>
  <c r="M72" i="2"/>
  <c r="Y74" i="2"/>
  <c r="M82" i="2"/>
  <c r="C82" i="2"/>
  <c r="C86" i="2"/>
  <c r="K86" i="2" s="1"/>
  <c r="M86" i="2"/>
  <c r="C90" i="2"/>
  <c r="M90" i="2"/>
  <c r="D91" i="2"/>
  <c r="E89" i="2"/>
  <c r="E9" i="2" s="1"/>
  <c r="C96" i="2"/>
  <c r="K96" i="2" s="1"/>
  <c r="M96" i="2"/>
  <c r="C97" i="2"/>
  <c r="K97" i="2" s="1"/>
  <c r="M97" i="2"/>
  <c r="AC14" i="3"/>
  <c r="AA13" i="3"/>
  <c r="W13" i="3"/>
  <c r="Y15" i="3"/>
  <c r="C24" i="3"/>
  <c r="K24" i="3" s="1"/>
  <c r="M24" i="3"/>
  <c r="C36" i="3"/>
  <c r="K36" i="3" s="1"/>
  <c r="M36" i="3"/>
  <c r="C42" i="3"/>
  <c r="K42" i="3" s="1"/>
  <c r="M42" i="3"/>
  <c r="C45" i="3"/>
  <c r="K45" i="3" s="1"/>
  <c r="M45" i="3"/>
  <c r="C48" i="3"/>
  <c r="K48" i="3" s="1"/>
  <c r="M48" i="3"/>
  <c r="C95" i="3"/>
  <c r="K95" i="3" s="1"/>
  <c r="C108" i="3"/>
  <c r="K108" i="3" s="1"/>
  <c r="M108" i="3"/>
  <c r="M14" i="4"/>
  <c r="G89" i="4"/>
  <c r="G9" i="4" s="1"/>
  <c r="P9" i="4" s="1"/>
  <c r="P90" i="4"/>
  <c r="P89" i="4" s="1"/>
  <c r="U101" i="4"/>
  <c r="R89" i="4"/>
  <c r="C108" i="4"/>
  <c r="K108" i="4" s="1"/>
  <c r="M108" i="4"/>
  <c r="V15" i="5"/>
  <c r="S13" i="5"/>
  <c r="M21" i="5"/>
  <c r="C26" i="5"/>
  <c r="K26" i="5" s="1"/>
  <c r="M26" i="5"/>
  <c r="E31" i="5"/>
  <c r="U32" i="5"/>
  <c r="R31" i="5"/>
  <c r="U31" i="5" s="1"/>
  <c r="C36" i="5"/>
  <c r="K36" i="5" s="1"/>
  <c r="M36" i="5"/>
  <c r="C44" i="5"/>
  <c r="K44" i="5" s="1"/>
  <c r="M44" i="5"/>
  <c r="M55" i="5"/>
  <c r="M57" i="5"/>
  <c r="C60" i="5"/>
  <c r="K60" i="5" s="1"/>
  <c r="M60" i="5"/>
  <c r="C72" i="5"/>
  <c r="M72" i="5"/>
  <c r="O74" i="5"/>
  <c r="H74" i="5"/>
  <c r="C80" i="5"/>
  <c r="K80" i="5" s="1"/>
  <c r="M80" i="5"/>
  <c r="M87" i="5"/>
  <c r="Q89" i="5"/>
  <c r="C93" i="5"/>
  <c r="K93" i="5" s="1"/>
  <c r="M93" i="5"/>
  <c r="D94" i="5"/>
  <c r="E89" i="5"/>
  <c r="E9" i="5" s="1"/>
  <c r="M95" i="5"/>
  <c r="L13" i="6"/>
  <c r="C23" i="6"/>
  <c r="K23" i="6" s="1"/>
  <c r="M23" i="6"/>
  <c r="C27" i="6"/>
  <c r="K27" i="6" s="1"/>
  <c r="M27" i="6"/>
  <c r="Y29" i="6"/>
  <c r="C63" i="6"/>
  <c r="K63" i="6" s="1"/>
  <c r="T74" i="6"/>
  <c r="U74" i="6" s="1"/>
  <c r="M87" i="6"/>
  <c r="C87" i="6"/>
  <c r="K87" i="6" s="1"/>
  <c r="U89" i="6"/>
  <c r="R9" i="6"/>
  <c r="C91" i="6"/>
  <c r="K91" i="6" s="1"/>
  <c r="M91" i="6"/>
  <c r="CQ13" i="7"/>
  <c r="Y19" i="7"/>
  <c r="W13" i="7"/>
  <c r="AV13" i="7"/>
  <c r="M34" i="7"/>
  <c r="C39" i="7"/>
  <c r="K39" i="7" s="1"/>
  <c r="M39" i="7"/>
  <c r="AH31" i="1"/>
  <c r="G52" i="1"/>
  <c r="P52" i="1" s="1"/>
  <c r="S52" i="1"/>
  <c r="V52" i="1" s="1"/>
  <c r="AK52" i="1"/>
  <c r="N53" i="1"/>
  <c r="AI74" i="1"/>
  <c r="AO74" i="1"/>
  <c r="AQ74" i="1" s="1"/>
  <c r="C92" i="1"/>
  <c r="K92" i="1" s="1"/>
  <c r="M92" i="1"/>
  <c r="P93" i="1"/>
  <c r="G89" i="1"/>
  <c r="G9" i="1" s="1"/>
  <c r="P9" i="1" s="1"/>
  <c r="H89" i="1"/>
  <c r="H9" i="1" s="1"/>
  <c r="C96" i="1"/>
  <c r="K96" i="1" s="1"/>
  <c r="M96" i="1"/>
  <c r="C97" i="1"/>
  <c r="K97" i="1" s="1"/>
  <c r="M97" i="1"/>
  <c r="AF13" i="2"/>
  <c r="J14" i="2"/>
  <c r="L13" i="2"/>
  <c r="X13" i="2"/>
  <c r="C18" i="2"/>
  <c r="K18" i="2" s="1"/>
  <c r="M18" i="2"/>
  <c r="M22" i="2"/>
  <c r="C22" i="2"/>
  <c r="K22" i="2" s="1"/>
  <c r="C26" i="2"/>
  <c r="K26" i="2" s="1"/>
  <c r="M26" i="2"/>
  <c r="C29" i="2"/>
  <c r="K29" i="2" s="1"/>
  <c r="M29" i="2"/>
  <c r="J32" i="2"/>
  <c r="L31" i="2"/>
  <c r="J31" i="2" s="1"/>
  <c r="C38" i="2"/>
  <c r="K38" i="2" s="1"/>
  <c r="M38" i="2"/>
  <c r="C43" i="2"/>
  <c r="K43" i="2" s="1"/>
  <c r="H52" i="2"/>
  <c r="AD52" i="2"/>
  <c r="AE52" i="2" s="1"/>
  <c r="M55" i="2"/>
  <c r="C55" i="2"/>
  <c r="K55" i="2" s="1"/>
  <c r="C56" i="2"/>
  <c r="K56" i="2" s="1"/>
  <c r="M56" i="2"/>
  <c r="M62" i="2"/>
  <c r="N65" i="2"/>
  <c r="C68" i="2"/>
  <c r="M68" i="2"/>
  <c r="P74" i="2"/>
  <c r="M76" i="2"/>
  <c r="C76" i="2"/>
  <c r="K76" i="2" s="1"/>
  <c r="T74" i="2"/>
  <c r="U76" i="2"/>
  <c r="C78" i="2"/>
  <c r="K78" i="2" s="1"/>
  <c r="M78" i="2"/>
  <c r="C87" i="2"/>
  <c r="K87" i="2" s="1"/>
  <c r="M87" i="2"/>
  <c r="U88" i="2"/>
  <c r="C92" i="2"/>
  <c r="K92" i="2" s="1"/>
  <c r="M92" i="2"/>
  <c r="C98" i="2"/>
  <c r="K98" i="2" s="1"/>
  <c r="M98" i="2"/>
  <c r="G13" i="3"/>
  <c r="C20" i="3"/>
  <c r="K20" i="3" s="1"/>
  <c r="C21" i="3"/>
  <c r="K21" i="3" s="1"/>
  <c r="M21" i="3"/>
  <c r="S31" i="3"/>
  <c r="V31" i="3" s="1"/>
  <c r="Q53" i="3"/>
  <c r="I52" i="3"/>
  <c r="Q52" i="3" s="1"/>
  <c r="D75" i="3"/>
  <c r="E74" i="3"/>
  <c r="G74" i="3"/>
  <c r="P74" i="3" s="1"/>
  <c r="P76" i="3"/>
  <c r="M78" i="3"/>
  <c r="C81" i="3"/>
  <c r="K81" i="3" s="1"/>
  <c r="M81" i="3"/>
  <c r="C84" i="3"/>
  <c r="K84" i="3" s="1"/>
  <c r="M84" i="3"/>
  <c r="M87" i="3"/>
  <c r="F89" i="3"/>
  <c r="F9" i="3" s="1"/>
  <c r="C93" i="4"/>
  <c r="K93" i="4" s="1"/>
  <c r="M93" i="4"/>
  <c r="D94" i="4"/>
  <c r="E89" i="4"/>
  <c r="E9" i="4" s="1"/>
  <c r="N101" i="4"/>
  <c r="N89" i="4" s="1"/>
  <c r="W13" i="5"/>
  <c r="J14" i="5"/>
  <c r="L13" i="5"/>
  <c r="N20" i="5"/>
  <c r="H31" i="5"/>
  <c r="P33" i="5"/>
  <c r="G31" i="5"/>
  <c r="P31" i="5" s="1"/>
  <c r="C48" i="5"/>
  <c r="K48" i="5" s="1"/>
  <c r="M48" i="5"/>
  <c r="H52" i="5"/>
  <c r="C54" i="5"/>
  <c r="K54" i="5" s="1"/>
  <c r="M54" i="5"/>
  <c r="N62" i="5"/>
  <c r="N68" i="5"/>
  <c r="C69" i="5"/>
  <c r="K69" i="5" s="1"/>
  <c r="M69" i="5"/>
  <c r="F74" i="5"/>
  <c r="P75" i="5"/>
  <c r="G74" i="5"/>
  <c r="P74" i="5" s="1"/>
  <c r="C105" i="5"/>
  <c r="K105" i="5" s="1"/>
  <c r="M105" i="5"/>
  <c r="E13" i="6"/>
  <c r="O13" i="6"/>
  <c r="K18" i="6"/>
  <c r="C29" i="6"/>
  <c r="K29" i="6" s="1"/>
  <c r="M29" i="6"/>
  <c r="Q32" i="6"/>
  <c r="I31" i="6"/>
  <c r="Q31" i="6" s="1"/>
  <c r="C51" i="6"/>
  <c r="K51" i="6" s="1"/>
  <c r="V52" i="6"/>
  <c r="J53" i="6"/>
  <c r="L52" i="6"/>
  <c r="J52" i="6" s="1"/>
  <c r="M57" i="6"/>
  <c r="C57" i="6"/>
  <c r="M69" i="6"/>
  <c r="C69" i="6"/>
  <c r="K69" i="6" s="1"/>
  <c r="M75" i="6"/>
  <c r="C75" i="6"/>
  <c r="K75" i="6" s="1"/>
  <c r="C82" i="6"/>
  <c r="K82" i="6" s="1"/>
  <c r="M82" i="6"/>
  <c r="C103" i="6"/>
  <c r="K103" i="6" s="1"/>
  <c r="M103" i="6"/>
  <c r="T13" i="7"/>
  <c r="BG13" i="7"/>
  <c r="AB15" i="7"/>
  <c r="Z13" i="7"/>
  <c r="D19" i="7"/>
  <c r="E13" i="7"/>
  <c r="M93" i="7"/>
  <c r="C93" i="7"/>
  <c r="K93" i="7" s="1"/>
  <c r="C97" i="8"/>
  <c r="K97" i="8" s="1"/>
  <c r="M97" i="8"/>
  <c r="D98" i="8"/>
  <c r="E89" i="8"/>
  <c r="E9" i="8" s="1"/>
  <c r="AI31" i="1"/>
  <c r="AO31" i="1"/>
  <c r="AQ31" i="1" s="1"/>
  <c r="M51" i="1"/>
  <c r="AF52" i="1"/>
  <c r="Q55" i="1"/>
  <c r="W55" i="1"/>
  <c r="Z55" i="1" s="1"/>
  <c r="M57" i="1"/>
  <c r="M63" i="1"/>
  <c r="M69" i="1"/>
  <c r="R74" i="1"/>
  <c r="U74" i="1" s="1"/>
  <c r="M75" i="1"/>
  <c r="M81" i="1"/>
  <c r="M87" i="1"/>
  <c r="D91" i="1"/>
  <c r="E89" i="1"/>
  <c r="E9" i="1" s="1"/>
  <c r="I89" i="1"/>
  <c r="I9" i="1" s="1"/>
  <c r="Q9" i="1" s="1"/>
  <c r="Q95" i="1"/>
  <c r="Q89" i="1" s="1"/>
  <c r="D98" i="1"/>
  <c r="D14" i="2"/>
  <c r="O8" i="2"/>
  <c r="C15" i="2"/>
  <c r="K15" i="2" s="1"/>
  <c r="M15" i="2"/>
  <c r="V19" i="2"/>
  <c r="C27" i="2"/>
  <c r="K27" i="2" s="1"/>
  <c r="M27" i="2"/>
  <c r="C30" i="2"/>
  <c r="K30" i="2" s="1"/>
  <c r="M30" i="2"/>
  <c r="D32" i="2"/>
  <c r="X31" i="2"/>
  <c r="Y31" i="2" s="1"/>
  <c r="N35" i="2"/>
  <c r="AE35" i="2"/>
  <c r="C39" i="2"/>
  <c r="K39" i="2" s="1"/>
  <c r="M39" i="2"/>
  <c r="Y41" i="2"/>
  <c r="M49" i="2"/>
  <c r="C49" i="2"/>
  <c r="K49" i="2" s="1"/>
  <c r="C51" i="2"/>
  <c r="K51" i="2" s="1"/>
  <c r="M51" i="2"/>
  <c r="AF52" i="2"/>
  <c r="J53" i="2"/>
  <c r="L52" i="2"/>
  <c r="J52" i="2" s="1"/>
  <c r="Y53" i="2"/>
  <c r="C57" i="2"/>
  <c r="K57" i="2" s="1"/>
  <c r="M57" i="2"/>
  <c r="C63" i="2"/>
  <c r="K63" i="2" s="1"/>
  <c r="M63" i="2"/>
  <c r="C69" i="2"/>
  <c r="K69" i="2" s="1"/>
  <c r="M69" i="2"/>
  <c r="V79" i="2"/>
  <c r="D80" i="2"/>
  <c r="M85" i="2"/>
  <c r="C85" i="2"/>
  <c r="K85" i="2" s="1"/>
  <c r="V88" i="2"/>
  <c r="O89" i="2"/>
  <c r="O9" i="2" s="1"/>
  <c r="C95" i="2"/>
  <c r="K95" i="2" s="1"/>
  <c r="J95" i="2"/>
  <c r="M103" i="2"/>
  <c r="C103" i="2"/>
  <c r="K103" i="2" s="1"/>
  <c r="AG7" i="3"/>
  <c r="Q14" i="3"/>
  <c r="I13" i="3"/>
  <c r="C16" i="3"/>
  <c r="K16" i="3" s="1"/>
  <c r="C17" i="3"/>
  <c r="K17" i="3" s="1"/>
  <c r="J17" i="3"/>
  <c r="AC32" i="3"/>
  <c r="AA31" i="3"/>
  <c r="AC31" i="3" s="1"/>
  <c r="W31" i="3"/>
  <c r="Y33" i="3"/>
  <c r="D54" i="3"/>
  <c r="E52" i="3"/>
  <c r="C56" i="3"/>
  <c r="K56" i="3" s="1"/>
  <c r="J56" i="3"/>
  <c r="C59" i="3"/>
  <c r="K59" i="3" s="1"/>
  <c r="J59" i="3"/>
  <c r="C62" i="3"/>
  <c r="K62" i="3" s="1"/>
  <c r="J62" i="3"/>
  <c r="C63" i="3"/>
  <c r="K63" i="3" s="1"/>
  <c r="M63" i="3"/>
  <c r="C65" i="3"/>
  <c r="K65" i="3" s="1"/>
  <c r="J65" i="3"/>
  <c r="M66" i="3"/>
  <c r="C68" i="3"/>
  <c r="K68" i="3" s="1"/>
  <c r="J68" i="3"/>
  <c r="C69" i="3"/>
  <c r="K69" i="3" s="1"/>
  <c r="M69" i="3"/>
  <c r="C71" i="3"/>
  <c r="K71" i="3" s="1"/>
  <c r="J71" i="3"/>
  <c r="C72" i="3"/>
  <c r="K72" i="3" s="1"/>
  <c r="M72" i="3"/>
  <c r="I89" i="3"/>
  <c r="I9" i="3" s="1"/>
  <c r="Q9" i="3" s="1"/>
  <c r="E89" i="3"/>
  <c r="E9" i="3" s="1"/>
  <c r="M91" i="3"/>
  <c r="C91" i="3"/>
  <c r="N91" i="3"/>
  <c r="C99" i="3"/>
  <c r="K99" i="3" s="1"/>
  <c r="M99" i="3"/>
  <c r="C100" i="3"/>
  <c r="K100" i="3" s="1"/>
  <c r="M100" i="3"/>
  <c r="C105" i="3"/>
  <c r="K105" i="3" s="1"/>
  <c r="C107" i="3"/>
  <c r="K107" i="3" s="1"/>
  <c r="J107" i="3"/>
  <c r="C17" i="4"/>
  <c r="J17" i="4"/>
  <c r="C23" i="4"/>
  <c r="J23" i="4"/>
  <c r="J26" i="4"/>
  <c r="C29" i="4"/>
  <c r="J29" i="4"/>
  <c r="J32" i="4"/>
  <c r="C35" i="4"/>
  <c r="J35" i="4"/>
  <c r="C38" i="4"/>
  <c r="K38" i="4" s="1"/>
  <c r="J38" i="4"/>
  <c r="J41" i="4"/>
  <c r="C45" i="4"/>
  <c r="J45" i="4"/>
  <c r="C48" i="4"/>
  <c r="K48" i="4" s="1"/>
  <c r="J48" i="4"/>
  <c r="C51" i="4"/>
  <c r="J51" i="4"/>
  <c r="C54" i="4"/>
  <c r="K54" i="4" s="1"/>
  <c r="J54" i="4"/>
  <c r="C57" i="4"/>
  <c r="K57" i="4" s="1"/>
  <c r="J57" i="4"/>
  <c r="C60" i="4"/>
  <c r="K60" i="4" s="1"/>
  <c r="J60" i="4"/>
  <c r="C63" i="4"/>
  <c r="J63" i="4"/>
  <c r="J66" i="4"/>
  <c r="C69" i="4"/>
  <c r="K69" i="4" s="1"/>
  <c r="J69" i="4"/>
  <c r="C72" i="4"/>
  <c r="K72" i="4" s="1"/>
  <c r="J72" i="4"/>
  <c r="J75" i="4"/>
  <c r="C78" i="4"/>
  <c r="J78" i="4"/>
  <c r="J81" i="4"/>
  <c r="C84" i="4"/>
  <c r="K84" i="4" s="1"/>
  <c r="J84" i="4"/>
  <c r="C87" i="4"/>
  <c r="K87" i="4" s="1"/>
  <c r="J87" i="4"/>
  <c r="D95" i="4"/>
  <c r="C105" i="4"/>
  <c r="K105" i="4" s="1"/>
  <c r="M105" i="4"/>
  <c r="C107" i="4"/>
  <c r="K107" i="4" s="1"/>
  <c r="J107" i="4"/>
  <c r="D14" i="5"/>
  <c r="X13" i="5"/>
  <c r="C27" i="5"/>
  <c r="K27" i="5" s="1"/>
  <c r="M27" i="5"/>
  <c r="C30" i="5"/>
  <c r="K30" i="5" s="1"/>
  <c r="M30" i="5"/>
  <c r="T31" i="5"/>
  <c r="V33" i="5"/>
  <c r="S31" i="5"/>
  <c r="V31" i="5" s="1"/>
  <c r="D38" i="5"/>
  <c r="C45" i="5"/>
  <c r="K45" i="5" s="1"/>
  <c r="M45" i="5"/>
  <c r="D50" i="5"/>
  <c r="Y50" i="5"/>
  <c r="L52" i="5"/>
  <c r="N56" i="5"/>
  <c r="G52" i="5"/>
  <c r="P52" i="5" s="1"/>
  <c r="P57" i="5"/>
  <c r="L74" i="5"/>
  <c r="J74" i="5" s="1"/>
  <c r="V75" i="5"/>
  <c r="S74" i="5"/>
  <c r="V74" i="5" s="1"/>
  <c r="J77" i="5"/>
  <c r="W74" i="5"/>
  <c r="Y74" i="5" s="1"/>
  <c r="C79" i="5"/>
  <c r="K79" i="5" s="1"/>
  <c r="M79" i="5"/>
  <c r="C81" i="5"/>
  <c r="K81" i="5" s="1"/>
  <c r="M81" i="5"/>
  <c r="C84" i="5"/>
  <c r="K84" i="5" s="1"/>
  <c r="M84" i="5"/>
  <c r="C90" i="5"/>
  <c r="M90" i="5"/>
  <c r="N91" i="5"/>
  <c r="C92" i="5"/>
  <c r="K92" i="5" s="1"/>
  <c r="J92" i="5"/>
  <c r="N95" i="5"/>
  <c r="C99" i="5"/>
  <c r="K99" i="5" s="1"/>
  <c r="M99" i="5"/>
  <c r="C100" i="5"/>
  <c r="K100" i="5" s="1"/>
  <c r="M100" i="5"/>
  <c r="D101" i="5"/>
  <c r="C102" i="5"/>
  <c r="K102" i="5" s="1"/>
  <c r="M102" i="5"/>
  <c r="C103" i="5"/>
  <c r="K103" i="5" s="1"/>
  <c r="M103" i="5"/>
  <c r="D104" i="5"/>
  <c r="F13" i="6"/>
  <c r="L31" i="6"/>
  <c r="C38" i="6"/>
  <c r="K38" i="6" s="1"/>
  <c r="M38" i="6"/>
  <c r="C40" i="6"/>
  <c r="K40" i="6" s="1"/>
  <c r="M40" i="6"/>
  <c r="C49" i="6"/>
  <c r="K49" i="6" s="1"/>
  <c r="M49" i="6"/>
  <c r="D53" i="6"/>
  <c r="E52" i="6"/>
  <c r="N79" i="6"/>
  <c r="H74" i="6"/>
  <c r="O89" i="6"/>
  <c r="O9" i="6" s="1"/>
  <c r="V89" i="6"/>
  <c r="T9" i="6"/>
  <c r="V9" i="6" s="1"/>
  <c r="BV13" i="7"/>
  <c r="BW18" i="7"/>
  <c r="V22" i="7"/>
  <c r="U22" i="7"/>
  <c r="Q75" i="8"/>
  <c r="I74" i="8"/>
  <c r="Q74" i="8" s="1"/>
  <c r="X34" i="1"/>
  <c r="AB34" i="1" s="1"/>
  <c r="L31" i="1"/>
  <c r="R31" i="1"/>
  <c r="AJ31" i="1"/>
  <c r="G74" i="1"/>
  <c r="P74" i="1" s="1"/>
  <c r="S74" i="1"/>
  <c r="V74" i="1" s="1"/>
  <c r="AK74" i="1"/>
  <c r="W74" i="1" s="1"/>
  <c r="N75" i="1"/>
  <c r="C105" i="1"/>
  <c r="K105" i="1" s="1"/>
  <c r="M105" i="1"/>
  <c r="T13" i="2"/>
  <c r="R13" i="2"/>
  <c r="U14" i="2"/>
  <c r="C23" i="2"/>
  <c r="K23" i="2" s="1"/>
  <c r="M23" i="2"/>
  <c r="C24" i="2"/>
  <c r="K24" i="2" s="1"/>
  <c r="M24" i="2"/>
  <c r="M28" i="2"/>
  <c r="C28" i="2"/>
  <c r="K28" i="2" s="1"/>
  <c r="F31" i="2"/>
  <c r="C33" i="2"/>
  <c r="K33" i="2" s="1"/>
  <c r="M33" i="2"/>
  <c r="C37" i="2"/>
  <c r="K37" i="2" s="1"/>
  <c r="C41" i="2"/>
  <c r="K41" i="2" s="1"/>
  <c r="M41" i="2"/>
  <c r="X52" i="2"/>
  <c r="Y52" i="2" s="1"/>
  <c r="M61" i="2"/>
  <c r="C61" i="2"/>
  <c r="K61" i="2" s="1"/>
  <c r="V74" i="2"/>
  <c r="C81" i="2"/>
  <c r="M81" i="2"/>
  <c r="N86" i="2"/>
  <c r="L89" i="2"/>
  <c r="L9" i="2" s="1"/>
  <c r="J9" i="2" s="1"/>
  <c r="G89" i="2"/>
  <c r="G9" i="2" s="1"/>
  <c r="P9" i="2" s="1"/>
  <c r="P89" i="2"/>
  <c r="D15" i="3"/>
  <c r="E13" i="3"/>
  <c r="G31" i="3"/>
  <c r="C34" i="3"/>
  <c r="K34" i="3" s="1"/>
  <c r="C37" i="3"/>
  <c r="K37" i="3" s="1"/>
  <c r="C40" i="3"/>
  <c r="K40" i="3" s="1"/>
  <c r="C43" i="3"/>
  <c r="K43" i="3" s="1"/>
  <c r="C46" i="3"/>
  <c r="K46" i="3" s="1"/>
  <c r="C49" i="3"/>
  <c r="K49" i="3" s="1"/>
  <c r="Y75" i="3"/>
  <c r="W74" i="3"/>
  <c r="Y74" i="3" s="1"/>
  <c r="C101" i="3"/>
  <c r="M101" i="3"/>
  <c r="C102" i="3"/>
  <c r="K102" i="3" s="1"/>
  <c r="M102" i="3"/>
  <c r="C103" i="3"/>
  <c r="K103" i="3" s="1"/>
  <c r="M103" i="3"/>
  <c r="I13" i="4"/>
  <c r="I74" i="4"/>
  <c r="Q74" i="4" s="1"/>
  <c r="M75" i="4"/>
  <c r="C92" i="4"/>
  <c r="K92" i="4" s="1"/>
  <c r="J92" i="4"/>
  <c r="C99" i="4"/>
  <c r="K99" i="4" s="1"/>
  <c r="M99" i="4"/>
  <c r="C100" i="4"/>
  <c r="K100" i="4" s="1"/>
  <c r="M100" i="4"/>
  <c r="C102" i="4"/>
  <c r="K102" i="4" s="1"/>
  <c r="M102" i="4"/>
  <c r="C103" i="4"/>
  <c r="K103" i="4" s="1"/>
  <c r="M103" i="4"/>
  <c r="F13" i="5"/>
  <c r="M15" i="5"/>
  <c r="C18" i="5"/>
  <c r="K18" i="5" s="1"/>
  <c r="M18" i="5"/>
  <c r="C23" i="5"/>
  <c r="J23" i="5"/>
  <c r="C25" i="5"/>
  <c r="K25" i="5" s="1"/>
  <c r="M25" i="5"/>
  <c r="N26" i="5"/>
  <c r="W31" i="5"/>
  <c r="Y31" i="5" s="1"/>
  <c r="J32" i="5"/>
  <c r="L31" i="5"/>
  <c r="J31" i="5" s="1"/>
  <c r="Y32" i="5"/>
  <c r="C35" i="5"/>
  <c r="K35" i="5" s="1"/>
  <c r="J35" i="5"/>
  <c r="Y38" i="5"/>
  <c r="C41" i="5"/>
  <c r="K41" i="5" s="1"/>
  <c r="J41" i="5"/>
  <c r="C43" i="5"/>
  <c r="K43" i="5" s="1"/>
  <c r="M43" i="5"/>
  <c r="N44" i="5"/>
  <c r="Q53" i="5"/>
  <c r="I52" i="5"/>
  <c r="Q52" i="5" s="1"/>
  <c r="F52" i="5"/>
  <c r="S52" i="5"/>
  <c r="V52" i="5" s="1"/>
  <c r="V57" i="5"/>
  <c r="Y62" i="5"/>
  <c r="D17" i="6"/>
  <c r="U19" i="6"/>
  <c r="J20" i="6"/>
  <c r="N23" i="6"/>
  <c r="C26" i="6"/>
  <c r="J32" i="6"/>
  <c r="O31" i="6"/>
  <c r="C34" i="6"/>
  <c r="K34" i="6" s="1"/>
  <c r="M34" i="6"/>
  <c r="N35" i="6"/>
  <c r="C44" i="6"/>
  <c r="M44" i="6"/>
  <c r="Y80" i="6"/>
  <c r="W74" i="6"/>
  <c r="M90" i="6"/>
  <c r="C90" i="6"/>
  <c r="D97" i="6"/>
  <c r="E89" i="6"/>
  <c r="E9" i="6" s="1"/>
  <c r="M46" i="7"/>
  <c r="C46" i="7"/>
  <c r="K46" i="7" s="1"/>
  <c r="C70" i="7"/>
  <c r="K70" i="7" s="1"/>
  <c r="M70" i="7"/>
  <c r="P76" i="9"/>
  <c r="G74" i="9"/>
  <c r="P74" i="9" s="1"/>
  <c r="AF74" i="1"/>
  <c r="L89" i="1"/>
  <c r="L9" i="1" s="1"/>
  <c r="C93" i="1"/>
  <c r="K93" i="1" s="1"/>
  <c r="M94" i="1"/>
  <c r="C94" i="1"/>
  <c r="K94" i="1" s="1"/>
  <c r="N94" i="1"/>
  <c r="O89" i="1"/>
  <c r="O9" i="1" s="1"/>
  <c r="C104" i="1"/>
  <c r="J104" i="1"/>
  <c r="D107" i="1"/>
  <c r="V22" i="2"/>
  <c r="M25" i="2"/>
  <c r="C25" i="2"/>
  <c r="K25" i="2" s="1"/>
  <c r="N26" i="2"/>
  <c r="AE26" i="2"/>
  <c r="Z31" i="2"/>
  <c r="R31" i="2"/>
  <c r="U31" i="2" s="1"/>
  <c r="U32" i="2"/>
  <c r="Y35" i="2"/>
  <c r="N38" i="2"/>
  <c r="AE38" i="2"/>
  <c r="C42" i="2"/>
  <c r="K42" i="2" s="1"/>
  <c r="M42" i="2"/>
  <c r="M46" i="2"/>
  <c r="C46" i="2"/>
  <c r="K46" i="2" s="1"/>
  <c r="D47" i="2"/>
  <c r="F52" i="2"/>
  <c r="C54" i="2"/>
  <c r="K54" i="2" s="1"/>
  <c r="M54" i="2"/>
  <c r="N62" i="2"/>
  <c r="AE62" i="2"/>
  <c r="M64" i="2"/>
  <c r="D65" i="2"/>
  <c r="N68" i="2"/>
  <c r="AE68" i="2"/>
  <c r="D71" i="2"/>
  <c r="L74" i="2"/>
  <c r="J74" i="2" s="1"/>
  <c r="H74" i="2"/>
  <c r="AH76" i="2"/>
  <c r="AF74" i="2"/>
  <c r="M79" i="2"/>
  <c r="C79" i="2"/>
  <c r="K79" i="2" s="1"/>
  <c r="V82" i="2"/>
  <c r="D83" i="2"/>
  <c r="M88" i="2"/>
  <c r="C88" i="2"/>
  <c r="K88" i="2" s="1"/>
  <c r="U89" i="2"/>
  <c r="M100" i="2"/>
  <c r="C100" i="2"/>
  <c r="K100" i="2" s="1"/>
  <c r="C102" i="2"/>
  <c r="K102" i="2" s="1"/>
  <c r="AG9" i="3"/>
  <c r="O13" i="3"/>
  <c r="M25" i="3"/>
  <c r="C28" i="3"/>
  <c r="K28" i="3" s="1"/>
  <c r="C29" i="3"/>
  <c r="K29" i="3" s="1"/>
  <c r="J29" i="3"/>
  <c r="C30" i="3"/>
  <c r="K30" i="3" s="1"/>
  <c r="M30" i="3"/>
  <c r="Q32" i="3"/>
  <c r="I31" i="3"/>
  <c r="U52" i="3"/>
  <c r="W52" i="3"/>
  <c r="Y54" i="3"/>
  <c r="C76" i="3"/>
  <c r="K76" i="3" s="1"/>
  <c r="S74" i="3"/>
  <c r="V76" i="3"/>
  <c r="C79" i="3"/>
  <c r="K79" i="3" s="1"/>
  <c r="C82" i="3"/>
  <c r="K82" i="3" s="1"/>
  <c r="C85" i="3"/>
  <c r="K85" i="3" s="1"/>
  <c r="C88" i="3"/>
  <c r="K88" i="3" s="1"/>
  <c r="G89" i="3"/>
  <c r="G9" i="3" s="1"/>
  <c r="P9" i="3" s="1"/>
  <c r="P90" i="3"/>
  <c r="P89" i="3" s="1"/>
  <c r="C96" i="3"/>
  <c r="K96" i="3" s="1"/>
  <c r="C98" i="3"/>
  <c r="K98" i="3" s="1"/>
  <c r="J98" i="3"/>
  <c r="D104" i="3"/>
  <c r="C19" i="4"/>
  <c r="J19" i="4"/>
  <c r="C24" i="4"/>
  <c r="J24" i="4"/>
  <c r="C27" i="4"/>
  <c r="K27" i="4" s="1"/>
  <c r="J27" i="4"/>
  <c r="C30" i="4"/>
  <c r="J30" i="4"/>
  <c r="C33" i="4"/>
  <c r="J33" i="4"/>
  <c r="C36" i="4"/>
  <c r="J36" i="4"/>
  <c r="J39" i="4"/>
  <c r="C42" i="4"/>
  <c r="K42" i="4" s="1"/>
  <c r="J42" i="4"/>
  <c r="C44" i="4"/>
  <c r="K44" i="4" s="1"/>
  <c r="J44" i="4"/>
  <c r="C47" i="4"/>
  <c r="J47" i="4"/>
  <c r="J50" i="4"/>
  <c r="J53" i="4"/>
  <c r="K53" i="4" s="1"/>
  <c r="C56" i="4"/>
  <c r="J56" i="4"/>
  <c r="C59" i="4"/>
  <c r="K59" i="4" s="1"/>
  <c r="J59" i="4"/>
  <c r="C62" i="4"/>
  <c r="K62" i="4" s="1"/>
  <c r="J62" i="4"/>
  <c r="J65" i="4"/>
  <c r="C68" i="4"/>
  <c r="K68" i="4" s="1"/>
  <c r="J68" i="4"/>
  <c r="C71" i="4"/>
  <c r="K71" i="4" s="1"/>
  <c r="J71" i="4"/>
  <c r="J74" i="4"/>
  <c r="C77" i="4"/>
  <c r="J77" i="4"/>
  <c r="C80" i="4"/>
  <c r="K80" i="4" s="1"/>
  <c r="J80" i="4"/>
  <c r="C83" i="4"/>
  <c r="K83" i="4" s="1"/>
  <c r="J83" i="4"/>
  <c r="C86" i="4"/>
  <c r="J86" i="4"/>
  <c r="C90" i="4"/>
  <c r="M90" i="4"/>
  <c r="D101" i="4"/>
  <c r="D104" i="4"/>
  <c r="E8" i="5"/>
  <c r="U14" i="5"/>
  <c r="R13" i="5"/>
  <c r="D20" i="5"/>
  <c r="Y20" i="5"/>
  <c r="D32" i="5"/>
  <c r="M37" i="5"/>
  <c r="M51" i="5"/>
  <c r="D62" i="5"/>
  <c r="C66" i="5"/>
  <c r="K66" i="5" s="1"/>
  <c r="M66" i="5"/>
  <c r="D68" i="5"/>
  <c r="C71" i="5"/>
  <c r="K71" i="5" s="1"/>
  <c r="J71" i="5"/>
  <c r="C73" i="5"/>
  <c r="K73" i="5" s="1"/>
  <c r="M73" i="5"/>
  <c r="T74" i="5"/>
  <c r="C78" i="5"/>
  <c r="K78" i="5" s="1"/>
  <c r="M78" i="5"/>
  <c r="C86" i="5"/>
  <c r="K86" i="5" s="1"/>
  <c r="M86" i="5"/>
  <c r="G89" i="5"/>
  <c r="G9" i="5" s="1"/>
  <c r="P9" i="5" s="1"/>
  <c r="P90" i="5"/>
  <c r="P89" i="5" s="1"/>
  <c r="M96" i="5"/>
  <c r="C28" i="6"/>
  <c r="K28" i="6" s="1"/>
  <c r="M28" i="6"/>
  <c r="C106" i="6"/>
  <c r="K106" i="6" s="1"/>
  <c r="M106" i="6"/>
  <c r="AH14" i="7"/>
  <c r="AF13" i="7"/>
  <c r="AQ14" i="7"/>
  <c r="AO13" i="7"/>
  <c r="V18" i="7"/>
  <c r="U18" i="7"/>
  <c r="BN57" i="7"/>
  <c r="BL52" i="7"/>
  <c r="C63" i="7"/>
  <c r="K63" i="7" s="1"/>
  <c r="M63" i="7"/>
  <c r="P89" i="1"/>
  <c r="M16" i="2"/>
  <c r="AE31" i="2"/>
  <c r="C35" i="2"/>
  <c r="K35" i="2" s="1"/>
  <c r="M35" i="2"/>
  <c r="M40" i="2"/>
  <c r="C40" i="2"/>
  <c r="C48" i="2"/>
  <c r="K48" i="2" s="1"/>
  <c r="M48" i="2"/>
  <c r="R52" i="2"/>
  <c r="U53" i="2"/>
  <c r="M58" i="2"/>
  <c r="C58" i="2"/>
  <c r="K58" i="2" s="1"/>
  <c r="C59" i="2"/>
  <c r="K59" i="2" s="1"/>
  <c r="M59" i="2"/>
  <c r="C66" i="2"/>
  <c r="K66" i="2" s="1"/>
  <c r="M66" i="2"/>
  <c r="M70" i="2"/>
  <c r="C70" i="2"/>
  <c r="K70" i="2" s="1"/>
  <c r="U74" i="2"/>
  <c r="AB76" i="2"/>
  <c r="Z74" i="2"/>
  <c r="C84" i="2"/>
  <c r="K84" i="2" s="1"/>
  <c r="M84" i="2"/>
  <c r="C105" i="2"/>
  <c r="K105" i="2" s="1"/>
  <c r="M105" i="2"/>
  <c r="C106" i="2"/>
  <c r="K106" i="2" s="1"/>
  <c r="M106" i="2"/>
  <c r="M14" i="3"/>
  <c r="D13" i="3"/>
  <c r="C27" i="3"/>
  <c r="K27" i="3" s="1"/>
  <c r="M27" i="3"/>
  <c r="D33" i="3"/>
  <c r="E31" i="3"/>
  <c r="AC53" i="3"/>
  <c r="AA52" i="3"/>
  <c r="AC52" i="3" s="1"/>
  <c r="C94" i="3"/>
  <c r="K94" i="3" s="1"/>
  <c r="M94" i="3"/>
  <c r="J95" i="3"/>
  <c r="L89" i="3"/>
  <c r="L9" i="3" s="1"/>
  <c r="J9" i="3" s="1"/>
  <c r="M97" i="3"/>
  <c r="C97" i="3"/>
  <c r="K97" i="3" s="1"/>
  <c r="U101" i="3"/>
  <c r="R89" i="3"/>
  <c r="M53" i="4"/>
  <c r="N13" i="5"/>
  <c r="P15" i="5"/>
  <c r="G13" i="5"/>
  <c r="C24" i="5"/>
  <c r="K24" i="5" s="1"/>
  <c r="M24" i="5"/>
  <c r="M33" i="5"/>
  <c r="C42" i="5"/>
  <c r="K42" i="5" s="1"/>
  <c r="M42" i="5"/>
  <c r="C49" i="5"/>
  <c r="K49" i="5" s="1"/>
  <c r="M49" i="5"/>
  <c r="J53" i="5"/>
  <c r="O52" i="5"/>
  <c r="C56" i="5"/>
  <c r="K56" i="5" s="1"/>
  <c r="M56" i="5"/>
  <c r="C61" i="5"/>
  <c r="K61" i="5" s="1"/>
  <c r="M61" i="5"/>
  <c r="M63" i="5"/>
  <c r="C75" i="5"/>
  <c r="K75" i="5" s="1"/>
  <c r="M75" i="5"/>
  <c r="N89" i="5"/>
  <c r="U101" i="5"/>
  <c r="R89" i="5"/>
  <c r="C108" i="5"/>
  <c r="K108" i="5" s="1"/>
  <c r="M108" i="5"/>
  <c r="T8" i="6"/>
  <c r="T7" i="6" s="1"/>
  <c r="Q14" i="6"/>
  <c r="I13" i="6"/>
  <c r="M21" i="6"/>
  <c r="V25" i="6"/>
  <c r="U25" i="6"/>
  <c r="U31" i="6"/>
  <c r="M39" i="6"/>
  <c r="P58" i="6"/>
  <c r="G52" i="6"/>
  <c r="P52" i="6" s="1"/>
  <c r="N89" i="6"/>
  <c r="AK17" i="7"/>
  <c r="AI13" i="7"/>
  <c r="C23" i="7"/>
  <c r="J41" i="7"/>
  <c r="L31" i="7"/>
  <c r="U53" i="7"/>
  <c r="R52" i="7"/>
  <c r="Q54" i="7"/>
  <c r="I52" i="7"/>
  <c r="Q52" i="7" s="1"/>
  <c r="I13" i="2"/>
  <c r="Y32" i="2"/>
  <c r="AE32" i="2"/>
  <c r="Q75" i="2"/>
  <c r="Q90" i="2"/>
  <c r="Q89" i="2" s="1"/>
  <c r="H13" i="3"/>
  <c r="H31" i="3"/>
  <c r="N31" i="3" s="1"/>
  <c r="H52" i="3"/>
  <c r="N52" i="3" s="1"/>
  <c r="D53" i="3"/>
  <c r="J53" i="3"/>
  <c r="AJ8" i="4"/>
  <c r="P13" i="4"/>
  <c r="C16" i="5"/>
  <c r="K16" i="5" s="1"/>
  <c r="C22" i="5"/>
  <c r="K22" i="5" s="1"/>
  <c r="C28" i="5"/>
  <c r="K28" i="5" s="1"/>
  <c r="C34" i="5"/>
  <c r="K34" i="5" s="1"/>
  <c r="C40" i="5"/>
  <c r="K40" i="5" s="1"/>
  <c r="C46" i="5"/>
  <c r="K46" i="5" s="1"/>
  <c r="D53" i="5"/>
  <c r="C70" i="5"/>
  <c r="K70" i="5" s="1"/>
  <c r="C76" i="5"/>
  <c r="D77" i="5"/>
  <c r="C82" i="5"/>
  <c r="K82" i="5" s="1"/>
  <c r="C88" i="5"/>
  <c r="K88" i="5" s="1"/>
  <c r="C91" i="5"/>
  <c r="K91" i="5" s="1"/>
  <c r="C97" i="5"/>
  <c r="K97" i="5" s="1"/>
  <c r="C106" i="5"/>
  <c r="K106" i="5" s="1"/>
  <c r="AB8" i="6"/>
  <c r="D14" i="6"/>
  <c r="J14" i="6"/>
  <c r="C19" i="6"/>
  <c r="C25" i="6"/>
  <c r="K25" i="6" s="1"/>
  <c r="D32" i="6"/>
  <c r="D42" i="6"/>
  <c r="C43" i="6"/>
  <c r="K43" i="6" s="1"/>
  <c r="C50" i="6"/>
  <c r="K50" i="6" s="1"/>
  <c r="F52" i="6"/>
  <c r="Y57" i="6"/>
  <c r="X74" i="6"/>
  <c r="P76" i="6"/>
  <c r="H89" i="6"/>
  <c r="H9" i="6" s="1"/>
  <c r="P89" i="6"/>
  <c r="G89" i="6"/>
  <c r="G9" i="6" s="1"/>
  <c r="C92" i="6"/>
  <c r="K92" i="6" s="1"/>
  <c r="M92" i="6"/>
  <c r="J102" i="6"/>
  <c r="D107" i="6"/>
  <c r="I13" i="7"/>
  <c r="U15" i="7"/>
  <c r="N27" i="7"/>
  <c r="AG31" i="7"/>
  <c r="C41" i="7"/>
  <c r="M41" i="7"/>
  <c r="N47" i="7"/>
  <c r="K50" i="7"/>
  <c r="C51" i="7"/>
  <c r="K51" i="7" s="1"/>
  <c r="M51" i="7"/>
  <c r="N53" i="7"/>
  <c r="BA52" i="7"/>
  <c r="BO52" i="7"/>
  <c r="CK52" i="7"/>
  <c r="CF54" i="7"/>
  <c r="CD52" i="7"/>
  <c r="BZ55" i="7"/>
  <c r="CU56" i="7"/>
  <c r="BD52" i="7"/>
  <c r="P58" i="7"/>
  <c r="C58" i="7"/>
  <c r="K58" i="7" s="1"/>
  <c r="Y59" i="7"/>
  <c r="AN59" i="7"/>
  <c r="AL52" i="7"/>
  <c r="AN52" i="7" s="1"/>
  <c r="M60" i="7"/>
  <c r="C60" i="7"/>
  <c r="K60" i="7" s="1"/>
  <c r="M69" i="7"/>
  <c r="BM74" i="7"/>
  <c r="CK74" i="7"/>
  <c r="CL74" i="7" s="1"/>
  <c r="M92" i="7"/>
  <c r="C92" i="7"/>
  <c r="K92" i="7" s="1"/>
  <c r="C40" i="8"/>
  <c r="K40" i="8" s="1"/>
  <c r="M40" i="8"/>
  <c r="C41" i="8"/>
  <c r="K41" i="8" s="1"/>
  <c r="M41" i="8"/>
  <c r="C42" i="8"/>
  <c r="K42" i="8" s="1"/>
  <c r="M42" i="8"/>
  <c r="H89" i="2"/>
  <c r="H9" i="2" s="1"/>
  <c r="N14" i="5"/>
  <c r="N32" i="5"/>
  <c r="C64" i="6"/>
  <c r="C67" i="6"/>
  <c r="K67" i="6" s="1"/>
  <c r="C70" i="6"/>
  <c r="K70" i="6" s="1"/>
  <c r="D76" i="6"/>
  <c r="Y77" i="6"/>
  <c r="C79" i="6"/>
  <c r="K79" i="6" s="1"/>
  <c r="C85" i="6"/>
  <c r="K85" i="6" s="1"/>
  <c r="D98" i="6"/>
  <c r="C100" i="6"/>
  <c r="K100" i="6" s="1"/>
  <c r="D102" i="6"/>
  <c r="C104" i="6"/>
  <c r="K104" i="6" s="1"/>
  <c r="C108" i="6"/>
  <c r="K108" i="6" s="1"/>
  <c r="L13" i="7"/>
  <c r="AT14" i="7"/>
  <c r="V15" i="7"/>
  <c r="BQ15" i="7"/>
  <c r="AT16" i="7"/>
  <c r="AT20" i="7"/>
  <c r="AT24" i="7"/>
  <c r="Y25" i="7"/>
  <c r="AB26" i="7"/>
  <c r="AH28" i="7"/>
  <c r="AA31" i="7"/>
  <c r="AB31" i="7" s="1"/>
  <c r="Y33" i="7"/>
  <c r="AB34" i="7"/>
  <c r="AH36" i="7"/>
  <c r="N37" i="7"/>
  <c r="C40" i="7"/>
  <c r="AN40" i="7"/>
  <c r="D43" i="7"/>
  <c r="AQ43" i="7"/>
  <c r="AT44" i="7"/>
  <c r="Y45" i="7"/>
  <c r="AB46" i="7"/>
  <c r="AH48" i="7"/>
  <c r="AN50" i="7"/>
  <c r="AU52" i="7"/>
  <c r="CE52" i="7"/>
  <c r="CS52" i="7"/>
  <c r="AX52" i="7"/>
  <c r="AH67" i="7"/>
  <c r="AF52" i="7"/>
  <c r="Y76" i="7"/>
  <c r="W74" i="7"/>
  <c r="Y74" i="7" s="1"/>
  <c r="BH76" i="7"/>
  <c r="BF74" i="7"/>
  <c r="BH74" i="7" s="1"/>
  <c r="BZ76" i="7"/>
  <c r="BX74" i="7"/>
  <c r="BZ74" i="7" s="1"/>
  <c r="I89" i="7"/>
  <c r="I9" i="7" s="1"/>
  <c r="Q9" i="7" s="1"/>
  <c r="C102" i="7"/>
  <c r="K102" i="7" s="1"/>
  <c r="M38" i="8"/>
  <c r="C38" i="8"/>
  <c r="K38" i="8" s="1"/>
  <c r="M56" i="12"/>
  <c r="C56" i="12"/>
  <c r="K56" i="12" s="1"/>
  <c r="C70" i="12"/>
  <c r="K70" i="12" s="1"/>
  <c r="M70" i="12"/>
  <c r="E31" i="2"/>
  <c r="N75" i="3"/>
  <c r="L89" i="4"/>
  <c r="L9" i="4" s="1"/>
  <c r="J9" i="4" s="1"/>
  <c r="W52" i="5"/>
  <c r="I74" i="5"/>
  <c r="Q74" i="5" s="1"/>
  <c r="L89" i="5"/>
  <c r="L9" i="5" s="1"/>
  <c r="J9" i="5" s="1"/>
  <c r="W13" i="6"/>
  <c r="Y15" i="6"/>
  <c r="W31" i="6"/>
  <c r="Y31" i="6" s="1"/>
  <c r="U47" i="6"/>
  <c r="U50" i="6"/>
  <c r="H52" i="6"/>
  <c r="X52" i="6"/>
  <c r="Q54" i="6"/>
  <c r="I52" i="6"/>
  <c r="Q52" i="6" s="1"/>
  <c r="C58" i="6"/>
  <c r="K58" i="6" s="1"/>
  <c r="O74" i="6"/>
  <c r="L89" i="6"/>
  <c r="L9" i="6" s="1"/>
  <c r="I89" i="6"/>
  <c r="I9" i="6" s="1"/>
  <c r="Q9" i="6" s="1"/>
  <c r="Q90" i="6"/>
  <c r="Q89" i="6" s="1"/>
  <c r="J99" i="6"/>
  <c r="M14" i="7"/>
  <c r="AS13" i="7"/>
  <c r="AT13" i="7" s="1"/>
  <c r="C15" i="7"/>
  <c r="M15" i="7"/>
  <c r="C17" i="7"/>
  <c r="K17" i="7" s="1"/>
  <c r="M17" i="7"/>
  <c r="N19" i="7"/>
  <c r="K20" i="7"/>
  <c r="C21" i="7"/>
  <c r="K21" i="7" s="1"/>
  <c r="M21" i="7"/>
  <c r="N23" i="7"/>
  <c r="C25" i="7"/>
  <c r="K25" i="7" s="1"/>
  <c r="M25" i="7"/>
  <c r="I31" i="7"/>
  <c r="Q31" i="7" s="1"/>
  <c r="Q32" i="7"/>
  <c r="AS31" i="7"/>
  <c r="AT31" i="7" s="1"/>
  <c r="C33" i="7"/>
  <c r="M33" i="7"/>
  <c r="N39" i="7"/>
  <c r="C45" i="7"/>
  <c r="K45" i="7" s="1"/>
  <c r="M45" i="7"/>
  <c r="J53" i="7"/>
  <c r="L52" i="7"/>
  <c r="J52" i="7" s="1"/>
  <c r="W52" i="7"/>
  <c r="BY52" i="7"/>
  <c r="BY8" i="7" s="1"/>
  <c r="BY7" i="7" s="1"/>
  <c r="C55" i="7"/>
  <c r="K55" i="7" s="1"/>
  <c r="M55" i="7"/>
  <c r="BT55" i="7"/>
  <c r="BR52" i="7"/>
  <c r="C56" i="7"/>
  <c r="K56" i="7" s="1"/>
  <c r="CN52" i="7"/>
  <c r="CN8" i="7" s="1"/>
  <c r="CN7" i="7" s="1"/>
  <c r="AR52" i="7"/>
  <c r="AT60" i="7"/>
  <c r="CI64" i="7"/>
  <c r="CH52" i="7"/>
  <c r="CI52" i="7" s="1"/>
  <c r="C65" i="7"/>
  <c r="K65" i="7" s="1"/>
  <c r="M73" i="7"/>
  <c r="AF74" i="7"/>
  <c r="AH74" i="7" s="1"/>
  <c r="AH75" i="7"/>
  <c r="BI74" i="7"/>
  <c r="BK75" i="7"/>
  <c r="CG74" i="7"/>
  <c r="CI75" i="7"/>
  <c r="BT80" i="7"/>
  <c r="BR74" i="7"/>
  <c r="C34" i="8"/>
  <c r="K34" i="8" s="1"/>
  <c r="M34" i="8"/>
  <c r="D35" i="8"/>
  <c r="E31" i="8"/>
  <c r="C36" i="8"/>
  <c r="M36" i="8"/>
  <c r="K90" i="8"/>
  <c r="C36" i="9"/>
  <c r="K36" i="9" s="1"/>
  <c r="M36" i="9"/>
  <c r="U36" i="3"/>
  <c r="U39" i="3"/>
  <c r="U42" i="3"/>
  <c r="U45" i="3"/>
  <c r="U48" i="3"/>
  <c r="U51" i="3"/>
  <c r="Y53" i="3"/>
  <c r="U54" i="3"/>
  <c r="U57" i="3"/>
  <c r="U60" i="3"/>
  <c r="U63" i="3"/>
  <c r="U66" i="3"/>
  <c r="U69" i="3"/>
  <c r="U72" i="3"/>
  <c r="U75" i="3"/>
  <c r="U78" i="3"/>
  <c r="U81" i="3"/>
  <c r="U84" i="3"/>
  <c r="U87" i="3"/>
  <c r="I13" i="5"/>
  <c r="I31" i="5"/>
  <c r="Q31" i="5" s="1"/>
  <c r="Y77" i="5"/>
  <c r="V101" i="5"/>
  <c r="R13" i="6"/>
  <c r="N40" i="6"/>
  <c r="D47" i="6"/>
  <c r="Y51" i="6"/>
  <c r="W52" i="6"/>
  <c r="U53" i="6"/>
  <c r="R52" i="6"/>
  <c r="U52" i="6" s="1"/>
  <c r="J54" i="6"/>
  <c r="M55" i="6"/>
  <c r="J60" i="6"/>
  <c r="J66" i="6"/>
  <c r="M67" i="6"/>
  <c r="J72" i="6"/>
  <c r="L74" i="6"/>
  <c r="U75" i="6"/>
  <c r="S74" i="6"/>
  <c r="V74" i="6" s="1"/>
  <c r="J78" i="6"/>
  <c r="M79" i="6"/>
  <c r="J84" i="6"/>
  <c r="M85" i="6"/>
  <c r="C96" i="6"/>
  <c r="K96" i="6" s="1"/>
  <c r="D99" i="6"/>
  <c r="M100" i="6"/>
  <c r="C101" i="6"/>
  <c r="K101" i="6" s="1"/>
  <c r="V101" i="6"/>
  <c r="BK13" i="7"/>
  <c r="CU13" i="7"/>
  <c r="Y15" i="7"/>
  <c r="U16" i="7"/>
  <c r="AN16" i="7"/>
  <c r="AQ17" i="7"/>
  <c r="AB18" i="7"/>
  <c r="U20" i="7"/>
  <c r="AN20" i="7"/>
  <c r="AQ21" i="7"/>
  <c r="AB22" i="7"/>
  <c r="U24" i="7"/>
  <c r="AN24" i="7"/>
  <c r="D27" i="7"/>
  <c r="AQ27" i="7"/>
  <c r="AT28" i="7"/>
  <c r="Y29" i="7"/>
  <c r="AB30" i="7"/>
  <c r="R31" i="7"/>
  <c r="U31" i="7" s="1"/>
  <c r="D35" i="7"/>
  <c r="AQ35" i="7"/>
  <c r="AT36" i="7"/>
  <c r="Y37" i="7"/>
  <c r="AB38" i="7"/>
  <c r="AH40" i="7"/>
  <c r="N41" i="7"/>
  <c r="C44" i="7"/>
  <c r="K44" i="7" s="1"/>
  <c r="AN44" i="7"/>
  <c r="D47" i="7"/>
  <c r="AQ47" i="7"/>
  <c r="AT48" i="7"/>
  <c r="Y49" i="7"/>
  <c r="AH50" i="7"/>
  <c r="N51" i="7"/>
  <c r="D53" i="7"/>
  <c r="X52" i="7"/>
  <c r="AW52" i="7"/>
  <c r="BS52" i="7"/>
  <c r="AB54" i="7"/>
  <c r="BJ52" i="7"/>
  <c r="BT57" i="7"/>
  <c r="C66" i="7"/>
  <c r="K66" i="7" s="1"/>
  <c r="M66" i="7"/>
  <c r="BH66" i="7"/>
  <c r="BF52" i="7"/>
  <c r="BA74" i="7"/>
  <c r="BB74" i="7" s="1"/>
  <c r="V19" i="8"/>
  <c r="S13" i="8"/>
  <c r="C32" i="8"/>
  <c r="K32" i="8" s="1"/>
  <c r="M50" i="8"/>
  <c r="C50" i="8"/>
  <c r="K50" i="8" s="1"/>
  <c r="I52" i="8"/>
  <c r="Q52" i="8" s="1"/>
  <c r="Q57" i="8"/>
  <c r="D33" i="9"/>
  <c r="F31" i="9"/>
  <c r="T74" i="3"/>
  <c r="G13" i="6"/>
  <c r="S13" i="6"/>
  <c r="G31" i="6"/>
  <c r="P31" i="6" s="1"/>
  <c r="S31" i="6"/>
  <c r="V31" i="6" s="1"/>
  <c r="N51" i="6"/>
  <c r="D54" i="6"/>
  <c r="D59" i="6"/>
  <c r="D60" i="6"/>
  <c r="D65" i="6"/>
  <c r="D66" i="6"/>
  <c r="D71" i="6"/>
  <c r="D72" i="6"/>
  <c r="F74" i="6"/>
  <c r="D77" i="6"/>
  <c r="D78" i="6"/>
  <c r="D83" i="6"/>
  <c r="D84" i="6"/>
  <c r="O13" i="7"/>
  <c r="J14" i="7"/>
  <c r="K14" i="7" s="1"/>
  <c r="AM13" i="7"/>
  <c r="BZ14" i="7"/>
  <c r="AQ15" i="7"/>
  <c r="AT18" i="7"/>
  <c r="AT22" i="7"/>
  <c r="AK25" i="7"/>
  <c r="AN26" i="7"/>
  <c r="D29" i="7"/>
  <c r="AQ29" i="7"/>
  <c r="AT30" i="7"/>
  <c r="O31" i="7"/>
  <c r="J32" i="7"/>
  <c r="AM31" i="7"/>
  <c r="AN31" i="7" s="1"/>
  <c r="AN34" i="7"/>
  <c r="D37" i="7"/>
  <c r="AQ37" i="7"/>
  <c r="AT38" i="7"/>
  <c r="Y39" i="7"/>
  <c r="AB40" i="7"/>
  <c r="AH42" i="7"/>
  <c r="AN46" i="7"/>
  <c r="D49" i="7"/>
  <c r="AQ49" i="7"/>
  <c r="AB50" i="7"/>
  <c r="F52" i="7"/>
  <c r="F8" i="7" s="1"/>
  <c r="CW52" i="7"/>
  <c r="CW8" i="7" s="1"/>
  <c r="CW7" i="7" s="1"/>
  <c r="AT54" i="7"/>
  <c r="CJ52" i="7"/>
  <c r="Y55" i="7"/>
  <c r="D57" i="7"/>
  <c r="N59" i="7"/>
  <c r="H52" i="7"/>
  <c r="BV52" i="7"/>
  <c r="U64" i="7"/>
  <c r="T52" i="7"/>
  <c r="V64" i="7"/>
  <c r="H74" i="7"/>
  <c r="N75" i="7"/>
  <c r="C82" i="7"/>
  <c r="K82" i="7" s="1"/>
  <c r="M82" i="7"/>
  <c r="C46" i="8"/>
  <c r="K46" i="8" s="1"/>
  <c r="M46" i="8"/>
  <c r="C47" i="8"/>
  <c r="K47" i="8" s="1"/>
  <c r="M47" i="8"/>
  <c r="C48" i="8"/>
  <c r="K48" i="8" s="1"/>
  <c r="M48" i="8"/>
  <c r="D14" i="9"/>
  <c r="E13" i="9"/>
  <c r="E8" i="9" s="1"/>
  <c r="V32" i="7"/>
  <c r="AB32" i="7"/>
  <c r="AH32" i="7"/>
  <c r="AN32" i="7"/>
  <c r="AT32" i="7"/>
  <c r="BX52" i="7"/>
  <c r="CP52" i="7"/>
  <c r="Y53" i="7"/>
  <c r="AK53" i="7"/>
  <c r="AQ53" i="7"/>
  <c r="C62" i="7"/>
  <c r="K62" i="7" s="1"/>
  <c r="M62" i="7"/>
  <c r="CD74" i="7"/>
  <c r="Z74" i="7"/>
  <c r="AB75" i="7"/>
  <c r="BC74" i="7"/>
  <c r="BE75" i="7"/>
  <c r="CA74" i="7"/>
  <c r="CC75" i="7"/>
  <c r="BH78" i="7"/>
  <c r="BZ78" i="7"/>
  <c r="BZ82" i="7"/>
  <c r="BZ84" i="7"/>
  <c r="J90" i="7"/>
  <c r="L89" i="7"/>
  <c r="L9" i="7" s="1"/>
  <c r="Q15" i="8"/>
  <c r="I13" i="8"/>
  <c r="U54" i="8"/>
  <c r="R52" i="8"/>
  <c r="U52" i="8" s="1"/>
  <c r="M55" i="8"/>
  <c r="K61" i="8"/>
  <c r="C69" i="8"/>
  <c r="J69" i="8"/>
  <c r="K73" i="8"/>
  <c r="M73" i="8"/>
  <c r="J75" i="8"/>
  <c r="R74" i="8"/>
  <c r="U74" i="8" s="1"/>
  <c r="U78" i="8"/>
  <c r="M79" i="8"/>
  <c r="C81" i="8"/>
  <c r="J81" i="8"/>
  <c r="K85" i="8"/>
  <c r="M85" i="8"/>
  <c r="C87" i="8"/>
  <c r="J87" i="8"/>
  <c r="M90" i="8"/>
  <c r="O89" i="8"/>
  <c r="O9" i="8" s="1"/>
  <c r="D99" i="8"/>
  <c r="M107" i="8"/>
  <c r="C107" i="8"/>
  <c r="K107" i="8" s="1"/>
  <c r="Y8" i="9"/>
  <c r="Y7" i="9" s="1"/>
  <c r="AH13" i="9"/>
  <c r="S13" i="9"/>
  <c r="V15" i="9"/>
  <c r="M19" i="9"/>
  <c r="C19" i="9"/>
  <c r="K19" i="9" s="1"/>
  <c r="M25" i="9"/>
  <c r="C25" i="9"/>
  <c r="K25" i="9" s="1"/>
  <c r="I31" i="9"/>
  <c r="Q31" i="9" s="1"/>
  <c r="C63" i="9"/>
  <c r="K63" i="9" s="1"/>
  <c r="M63" i="9"/>
  <c r="M21" i="10"/>
  <c r="C21" i="10"/>
  <c r="K21" i="10" s="1"/>
  <c r="AG67" i="10"/>
  <c r="AE67" i="10"/>
  <c r="C84" i="10"/>
  <c r="K84" i="10" s="1"/>
  <c r="M84" i="10"/>
  <c r="M53" i="11"/>
  <c r="C53" i="11"/>
  <c r="K53" i="11" s="1"/>
  <c r="AC14" i="12"/>
  <c r="Z13" i="12"/>
  <c r="BA14" i="12"/>
  <c r="AX13" i="12"/>
  <c r="C16" i="12"/>
  <c r="K16" i="12" s="1"/>
  <c r="M16" i="12"/>
  <c r="AI13" i="12"/>
  <c r="AK17" i="12"/>
  <c r="P19" i="12"/>
  <c r="G13" i="12"/>
  <c r="M22" i="13"/>
  <c r="C22" i="13"/>
  <c r="C33" i="13"/>
  <c r="K33" i="13" s="1"/>
  <c r="M33" i="13"/>
  <c r="Z49" i="13"/>
  <c r="X31" i="13"/>
  <c r="H31" i="7"/>
  <c r="N31" i="7" s="1"/>
  <c r="E52" i="7"/>
  <c r="C68" i="7"/>
  <c r="K68" i="7" s="1"/>
  <c r="M68" i="7"/>
  <c r="C72" i="7"/>
  <c r="K72" i="7" s="1"/>
  <c r="M72" i="7"/>
  <c r="AI74" i="7"/>
  <c r="V75" i="7"/>
  <c r="S74" i="7"/>
  <c r="V74" i="7" s="1"/>
  <c r="AW74" i="7"/>
  <c r="AY75" i="7"/>
  <c r="CB74" i="7"/>
  <c r="C76" i="7"/>
  <c r="M76" i="7"/>
  <c r="BT88" i="7"/>
  <c r="D90" i="7"/>
  <c r="O89" i="7"/>
  <c r="O9" i="7" s="1"/>
  <c r="M98" i="7"/>
  <c r="C98" i="7"/>
  <c r="K98" i="7" s="1"/>
  <c r="U89" i="7"/>
  <c r="U14" i="8"/>
  <c r="N18" i="8"/>
  <c r="R13" i="8"/>
  <c r="U18" i="8"/>
  <c r="C19" i="8"/>
  <c r="K19" i="8" s="1"/>
  <c r="M19" i="8"/>
  <c r="U20" i="8"/>
  <c r="N24" i="8"/>
  <c r="U26" i="8"/>
  <c r="N30" i="8"/>
  <c r="G31" i="8"/>
  <c r="P31" i="8" s="1"/>
  <c r="Q33" i="8"/>
  <c r="I31" i="8"/>
  <c r="Q31" i="8" s="1"/>
  <c r="Y53" i="8"/>
  <c r="W52" i="8"/>
  <c r="Y52" i="8" s="1"/>
  <c r="W74" i="8"/>
  <c r="Y74" i="8" s="1"/>
  <c r="Y77" i="8"/>
  <c r="F89" i="8"/>
  <c r="F9" i="8" s="1"/>
  <c r="C103" i="8"/>
  <c r="K103" i="8" s="1"/>
  <c r="M103" i="8"/>
  <c r="C104" i="8"/>
  <c r="K104" i="8" s="1"/>
  <c r="M104" i="8"/>
  <c r="C106" i="8"/>
  <c r="K106" i="8" s="1"/>
  <c r="M106" i="8"/>
  <c r="C15" i="9"/>
  <c r="K15" i="9" s="1"/>
  <c r="M15" i="9"/>
  <c r="C18" i="9"/>
  <c r="K18" i="9" s="1"/>
  <c r="M18" i="9"/>
  <c r="C24" i="9"/>
  <c r="K24" i="9" s="1"/>
  <c r="M24" i="9"/>
  <c r="C27" i="9"/>
  <c r="K27" i="9" s="1"/>
  <c r="M27" i="9"/>
  <c r="M32" i="9"/>
  <c r="D31" i="9"/>
  <c r="C32" i="9"/>
  <c r="K32" i="9" s="1"/>
  <c r="M35" i="9"/>
  <c r="C35" i="9"/>
  <c r="K35" i="9" s="1"/>
  <c r="M39" i="9"/>
  <c r="C39" i="9"/>
  <c r="K39" i="9" s="1"/>
  <c r="AC40" i="9"/>
  <c r="Z40" i="9"/>
  <c r="X31" i="9"/>
  <c r="C49" i="9"/>
  <c r="K49" i="9" s="1"/>
  <c r="M49" i="9"/>
  <c r="AG61" i="10"/>
  <c r="AE61" i="10"/>
  <c r="N89" i="11"/>
  <c r="AY53" i="7"/>
  <c r="BE53" i="7"/>
  <c r="BK53" i="7"/>
  <c r="BQ53" i="7"/>
  <c r="BW53" i="7"/>
  <c r="CC53" i="7"/>
  <c r="CI53" i="7"/>
  <c r="CO53" i="7"/>
  <c r="CU53" i="7"/>
  <c r="C64" i="7"/>
  <c r="K64" i="7" s="1"/>
  <c r="M64" i="7"/>
  <c r="C67" i="7"/>
  <c r="K67" i="7" s="1"/>
  <c r="M67" i="7"/>
  <c r="C75" i="7"/>
  <c r="K75" i="7" s="1"/>
  <c r="M75" i="7"/>
  <c r="BU74" i="7"/>
  <c r="BW75" i="7"/>
  <c r="C78" i="7"/>
  <c r="K78" i="7" s="1"/>
  <c r="M78" i="7"/>
  <c r="C79" i="7"/>
  <c r="K79" i="7" s="1"/>
  <c r="M79" i="7"/>
  <c r="F89" i="7"/>
  <c r="F9" i="7" s="1"/>
  <c r="G89" i="7"/>
  <c r="G9" i="7" s="1"/>
  <c r="P9" i="7" s="1"/>
  <c r="P91" i="7"/>
  <c r="P89" i="7" s="1"/>
  <c r="C94" i="7"/>
  <c r="K94" i="7" s="1"/>
  <c r="M94" i="7"/>
  <c r="C97" i="7"/>
  <c r="K97" i="7" s="1"/>
  <c r="M97" i="7"/>
  <c r="S89" i="7"/>
  <c r="V103" i="7"/>
  <c r="C108" i="7"/>
  <c r="K108" i="7" s="1"/>
  <c r="J108" i="7"/>
  <c r="V14" i="8"/>
  <c r="W13" i="8"/>
  <c r="Y17" i="8"/>
  <c r="V20" i="8"/>
  <c r="V26" i="8"/>
  <c r="U32" i="8"/>
  <c r="C33" i="8"/>
  <c r="J33" i="8"/>
  <c r="N36" i="8"/>
  <c r="R31" i="8"/>
  <c r="U31" i="8" s="1"/>
  <c r="U36" i="8"/>
  <c r="C37" i="8"/>
  <c r="K37" i="8" s="1"/>
  <c r="M37" i="8"/>
  <c r="U38" i="8"/>
  <c r="J39" i="8"/>
  <c r="N42" i="8"/>
  <c r="U44" i="8"/>
  <c r="J45" i="8"/>
  <c r="N48" i="8"/>
  <c r="C49" i="8"/>
  <c r="K49" i="8" s="1"/>
  <c r="M49" i="8"/>
  <c r="U50" i="8"/>
  <c r="C51" i="8"/>
  <c r="J51" i="8"/>
  <c r="J54" i="8"/>
  <c r="L52" i="8"/>
  <c r="P55" i="8"/>
  <c r="G52" i="8"/>
  <c r="P52" i="8" s="1"/>
  <c r="J78" i="8"/>
  <c r="L74" i="8"/>
  <c r="G74" i="8"/>
  <c r="P74" i="8" s="1"/>
  <c r="P79" i="8"/>
  <c r="G89" i="8"/>
  <c r="G9" i="8" s="1"/>
  <c r="P9" i="8" s="1"/>
  <c r="M95" i="8"/>
  <c r="C95" i="8"/>
  <c r="K95" i="8" s="1"/>
  <c r="D105" i="8"/>
  <c r="C34" i="9"/>
  <c r="K34" i="9" s="1"/>
  <c r="M34" i="9"/>
  <c r="C37" i="9"/>
  <c r="K37" i="9" s="1"/>
  <c r="M37" i="9"/>
  <c r="P48" i="9"/>
  <c r="G31" i="9"/>
  <c r="C57" i="9"/>
  <c r="K57" i="9" s="1"/>
  <c r="M57" i="9"/>
  <c r="C83" i="9"/>
  <c r="K83" i="9" s="1"/>
  <c r="M83" i="9"/>
  <c r="AB30" i="10"/>
  <c r="Z30" i="10"/>
  <c r="H31" i="11"/>
  <c r="N44" i="11"/>
  <c r="G52" i="7"/>
  <c r="S52" i="7"/>
  <c r="CR54" i="7"/>
  <c r="BQ55" i="7"/>
  <c r="CL56" i="7"/>
  <c r="BT60" i="7"/>
  <c r="CR60" i="7"/>
  <c r="C61" i="7"/>
  <c r="BT62" i="7"/>
  <c r="BZ64" i="7"/>
  <c r="V66" i="7"/>
  <c r="CL66" i="7"/>
  <c r="BT68" i="7"/>
  <c r="U69" i="7"/>
  <c r="BT72" i="7"/>
  <c r="AR74" i="7"/>
  <c r="AT74" i="7" s="1"/>
  <c r="AT75" i="7"/>
  <c r="BV74" i="7"/>
  <c r="CS74" i="7"/>
  <c r="CU75" i="7"/>
  <c r="BN76" i="7"/>
  <c r="C77" i="7"/>
  <c r="K77" i="7" s="1"/>
  <c r="M77" i="7"/>
  <c r="BW77" i="7"/>
  <c r="CL78" i="7"/>
  <c r="BW81" i="7"/>
  <c r="BH86" i="7"/>
  <c r="Q89" i="7"/>
  <c r="D96" i="7"/>
  <c r="M107" i="7"/>
  <c r="C107" i="7"/>
  <c r="K107" i="7" s="1"/>
  <c r="L13" i="8"/>
  <c r="N13" i="8" s="1"/>
  <c r="J18" i="8"/>
  <c r="V31" i="8"/>
  <c r="V32" i="8"/>
  <c r="W31" i="8"/>
  <c r="Y31" i="8" s="1"/>
  <c r="Y35" i="8"/>
  <c r="V38" i="8"/>
  <c r="V44" i="8"/>
  <c r="V50" i="8"/>
  <c r="D53" i="8"/>
  <c r="E52" i="8"/>
  <c r="D54" i="8"/>
  <c r="C58" i="8"/>
  <c r="K58" i="8" s="1"/>
  <c r="M58" i="8"/>
  <c r="C59" i="8"/>
  <c r="K59" i="8" s="1"/>
  <c r="M59" i="8"/>
  <c r="D60" i="8"/>
  <c r="M62" i="8"/>
  <c r="C62" i="8"/>
  <c r="K62" i="8" s="1"/>
  <c r="C64" i="8"/>
  <c r="K64" i="8" s="1"/>
  <c r="M64" i="8"/>
  <c r="C65" i="8"/>
  <c r="K65" i="8" s="1"/>
  <c r="M65" i="8"/>
  <c r="D66" i="8"/>
  <c r="C70" i="8"/>
  <c r="K70" i="8" s="1"/>
  <c r="M70" i="8"/>
  <c r="C71" i="8"/>
  <c r="K71" i="8" s="1"/>
  <c r="M71" i="8"/>
  <c r="D72" i="8"/>
  <c r="M76" i="8"/>
  <c r="D77" i="8"/>
  <c r="E74" i="8"/>
  <c r="D78" i="8"/>
  <c r="M80" i="8"/>
  <c r="C80" i="8"/>
  <c r="K80" i="8" s="1"/>
  <c r="C82" i="8"/>
  <c r="K82" i="8" s="1"/>
  <c r="M82" i="8"/>
  <c r="C83" i="8"/>
  <c r="K83" i="8" s="1"/>
  <c r="M83" i="8"/>
  <c r="D84" i="8"/>
  <c r="C86" i="8"/>
  <c r="K86" i="8" s="1"/>
  <c r="C88" i="8"/>
  <c r="K88" i="8" s="1"/>
  <c r="M88" i="8"/>
  <c r="N89" i="8"/>
  <c r="C91" i="8"/>
  <c r="K91" i="8" s="1"/>
  <c r="M91" i="8"/>
  <c r="C92" i="8"/>
  <c r="K92" i="8" s="1"/>
  <c r="C94" i="8"/>
  <c r="K94" i="8" s="1"/>
  <c r="M94" i="8"/>
  <c r="C102" i="8"/>
  <c r="K102" i="8" s="1"/>
  <c r="J102" i="8"/>
  <c r="Q13" i="9"/>
  <c r="AI14" i="9"/>
  <c r="AD13" i="9"/>
  <c r="M26" i="9"/>
  <c r="S31" i="9"/>
  <c r="M43" i="9"/>
  <c r="C43" i="9"/>
  <c r="K43" i="9" s="1"/>
  <c r="M17" i="10"/>
  <c r="AG73" i="10"/>
  <c r="AE73" i="10"/>
  <c r="M95" i="11"/>
  <c r="C95" i="11"/>
  <c r="K95" i="11" s="1"/>
  <c r="D103" i="12"/>
  <c r="E89" i="12"/>
  <c r="E9" i="12" s="1"/>
  <c r="CL54" i="7"/>
  <c r="BK55" i="7"/>
  <c r="CU55" i="7"/>
  <c r="CF56" i="7"/>
  <c r="BZ58" i="7"/>
  <c r="BW59" i="7"/>
  <c r="CL60" i="7"/>
  <c r="BW61" i="7"/>
  <c r="CU63" i="7"/>
  <c r="BQ67" i="7"/>
  <c r="V69" i="7"/>
  <c r="AY69" i="7"/>
  <c r="BQ69" i="7"/>
  <c r="CI69" i="7"/>
  <c r="BZ70" i="7"/>
  <c r="BQ71" i="7"/>
  <c r="P75" i="7"/>
  <c r="G74" i="7"/>
  <c r="P74" i="7" s="1"/>
  <c r="AE74" i="7"/>
  <c r="AL74" i="7"/>
  <c r="AN74" i="7" s="1"/>
  <c r="AN75" i="7"/>
  <c r="BO74" i="7"/>
  <c r="BQ75" i="7"/>
  <c r="CM74" i="7"/>
  <c r="CO75" i="7"/>
  <c r="CT74" i="7"/>
  <c r="CT8" i="7" s="1"/>
  <c r="CT7" i="7" s="1"/>
  <c r="BN78" i="7"/>
  <c r="BQ79" i="7"/>
  <c r="BZ80" i="7"/>
  <c r="BQ81" i="7"/>
  <c r="M83" i="7"/>
  <c r="C83" i="7"/>
  <c r="K83" i="7" s="1"/>
  <c r="C84" i="7"/>
  <c r="K84" i="7" s="1"/>
  <c r="M84" i="7"/>
  <c r="M85" i="7"/>
  <c r="C85" i="7"/>
  <c r="K85" i="7" s="1"/>
  <c r="BW85" i="7"/>
  <c r="C86" i="7"/>
  <c r="K86" i="7" s="1"/>
  <c r="M86" i="7"/>
  <c r="BB86" i="7"/>
  <c r="M87" i="7"/>
  <c r="C87" i="7"/>
  <c r="K87" i="7" s="1"/>
  <c r="BW87" i="7"/>
  <c r="C88" i="7"/>
  <c r="K88" i="7" s="1"/>
  <c r="M88" i="7"/>
  <c r="J93" i="7"/>
  <c r="C100" i="7"/>
  <c r="K100" i="7" s="1"/>
  <c r="M100" i="7"/>
  <c r="M103" i="7"/>
  <c r="M14" i="8"/>
  <c r="C14" i="8"/>
  <c r="K14" i="8" s="1"/>
  <c r="C16" i="8"/>
  <c r="K16" i="8" s="1"/>
  <c r="M16" i="8"/>
  <c r="D17" i="8"/>
  <c r="E13" i="8"/>
  <c r="D18" i="8"/>
  <c r="M20" i="8"/>
  <c r="C20" i="8"/>
  <c r="K20" i="8" s="1"/>
  <c r="C22" i="8"/>
  <c r="K22" i="8" s="1"/>
  <c r="M22" i="8"/>
  <c r="C23" i="8"/>
  <c r="K23" i="8" s="1"/>
  <c r="M23" i="8"/>
  <c r="D24" i="8"/>
  <c r="M26" i="8"/>
  <c r="C26" i="8"/>
  <c r="C28" i="8"/>
  <c r="K28" i="8" s="1"/>
  <c r="M28" i="8"/>
  <c r="C29" i="8"/>
  <c r="K29" i="8" s="1"/>
  <c r="M29" i="8"/>
  <c r="D30" i="8"/>
  <c r="L31" i="8"/>
  <c r="J31" i="8" s="1"/>
  <c r="J36" i="8"/>
  <c r="Y54" i="8"/>
  <c r="V55" i="8"/>
  <c r="S52" i="8"/>
  <c r="V52" i="8" s="1"/>
  <c r="Y60" i="8"/>
  <c r="Y66" i="8"/>
  <c r="Y72" i="8"/>
  <c r="Y78" i="8"/>
  <c r="S74" i="8"/>
  <c r="V74" i="8" s="1"/>
  <c r="V79" i="8"/>
  <c r="Y84" i="8"/>
  <c r="I89" i="8"/>
  <c r="I9" i="8" s="1"/>
  <c r="Q9" i="8" s="1"/>
  <c r="Q90" i="8"/>
  <c r="Q89" i="8" s="1"/>
  <c r="D93" i="8"/>
  <c r="M101" i="8"/>
  <c r="C101" i="8"/>
  <c r="K101" i="8" s="1"/>
  <c r="D17" i="9"/>
  <c r="F13" i="9"/>
  <c r="C69" i="9"/>
  <c r="K69" i="9" s="1"/>
  <c r="M69" i="9"/>
  <c r="C77" i="9"/>
  <c r="K77" i="9" s="1"/>
  <c r="M77" i="9"/>
  <c r="C98" i="9"/>
  <c r="K98" i="9" s="1"/>
  <c r="M98" i="9"/>
  <c r="C99" i="9"/>
  <c r="K99" i="9" s="1"/>
  <c r="M99" i="9"/>
  <c r="C101" i="9"/>
  <c r="K101" i="9" s="1"/>
  <c r="M101" i="9"/>
  <c r="C26" i="10"/>
  <c r="K26" i="10" s="1"/>
  <c r="M26" i="10"/>
  <c r="AG43" i="10"/>
  <c r="AE43" i="10"/>
  <c r="AC31" i="10"/>
  <c r="L74" i="7"/>
  <c r="J74" i="7" s="1"/>
  <c r="R74" i="7"/>
  <c r="U74" i="7" s="1"/>
  <c r="AB9" i="8"/>
  <c r="L89" i="8"/>
  <c r="L9" i="8" s="1"/>
  <c r="J9" i="8" s="1"/>
  <c r="P90" i="8"/>
  <c r="P89" i="8" s="1"/>
  <c r="AA13" i="9"/>
  <c r="AC14" i="9"/>
  <c r="AF15" i="9"/>
  <c r="AC16" i="9"/>
  <c r="Z16" i="9"/>
  <c r="AI17" i="9"/>
  <c r="AF18" i="9"/>
  <c r="Z19" i="9"/>
  <c r="AC19" i="9"/>
  <c r="AI20" i="9"/>
  <c r="AF21" i="9"/>
  <c r="AC22" i="9"/>
  <c r="Z22" i="9"/>
  <c r="AI23" i="9"/>
  <c r="AF24" i="9"/>
  <c r="Z25" i="9"/>
  <c r="AC25" i="9"/>
  <c r="AI26" i="9"/>
  <c r="AF27" i="9"/>
  <c r="AC28" i="9"/>
  <c r="Z28" i="9"/>
  <c r="AI29" i="9"/>
  <c r="AF30" i="9"/>
  <c r="AC32" i="9"/>
  <c r="Z32" i="9"/>
  <c r="AI33" i="9"/>
  <c r="AF34" i="9"/>
  <c r="Z35" i="9"/>
  <c r="AC35" i="9"/>
  <c r="AI36" i="9"/>
  <c r="AF37" i="9"/>
  <c r="C38" i="9"/>
  <c r="J38" i="9"/>
  <c r="C40" i="9"/>
  <c r="K40" i="9" s="1"/>
  <c r="C44" i="9"/>
  <c r="K44" i="9" s="1"/>
  <c r="C50" i="9"/>
  <c r="K50" i="9" s="1"/>
  <c r="AH52" i="9"/>
  <c r="C58" i="9"/>
  <c r="K58" i="9" s="1"/>
  <c r="C64" i="9"/>
  <c r="K64" i="9" s="1"/>
  <c r="C78" i="9"/>
  <c r="K78" i="9" s="1"/>
  <c r="C84" i="9"/>
  <c r="K84" i="9" s="1"/>
  <c r="C97" i="9"/>
  <c r="K97" i="9" s="1"/>
  <c r="J97" i="9"/>
  <c r="D100" i="9"/>
  <c r="I13" i="10"/>
  <c r="T17" i="10"/>
  <c r="D18" i="10"/>
  <c r="W20" i="10"/>
  <c r="AB24" i="10"/>
  <c r="Z24" i="10"/>
  <c r="F31" i="10"/>
  <c r="O31" i="10"/>
  <c r="J31" i="10" s="1"/>
  <c r="N36" i="10"/>
  <c r="AG37" i="10"/>
  <c r="AE37" i="10"/>
  <c r="M41" i="10"/>
  <c r="N48" i="10"/>
  <c r="F52" i="10"/>
  <c r="O52" i="10"/>
  <c r="Y52" i="10"/>
  <c r="Z52" i="10" s="1"/>
  <c r="C59" i="10"/>
  <c r="K59" i="10" s="1"/>
  <c r="C69" i="10"/>
  <c r="J69" i="10"/>
  <c r="C71" i="10"/>
  <c r="K71" i="10" s="1"/>
  <c r="I74" i="10"/>
  <c r="Q74" i="10" s="1"/>
  <c r="Q75" i="10"/>
  <c r="AA74" i="10"/>
  <c r="M77" i="10"/>
  <c r="AG79" i="10"/>
  <c r="AE79" i="10"/>
  <c r="AB84" i="10"/>
  <c r="Z84" i="10"/>
  <c r="C85" i="10"/>
  <c r="K85" i="10" s="1"/>
  <c r="M85" i="10"/>
  <c r="Q89" i="10"/>
  <c r="C91" i="10"/>
  <c r="K91" i="10" s="1"/>
  <c r="C93" i="10"/>
  <c r="K93" i="10" s="1"/>
  <c r="C95" i="10"/>
  <c r="K95" i="10" s="1"/>
  <c r="C97" i="10"/>
  <c r="K97" i="10" s="1"/>
  <c r="C99" i="10"/>
  <c r="K99" i="10" s="1"/>
  <c r="C101" i="10"/>
  <c r="K101" i="10" s="1"/>
  <c r="C103" i="10"/>
  <c r="K103" i="10" s="1"/>
  <c r="C105" i="10"/>
  <c r="K105" i="10" s="1"/>
  <c r="C107" i="10"/>
  <c r="K107" i="10" s="1"/>
  <c r="C14" i="11"/>
  <c r="K14" i="11" s="1"/>
  <c r="M14" i="11"/>
  <c r="C15" i="11"/>
  <c r="K15" i="11" s="1"/>
  <c r="M15" i="11"/>
  <c r="C16" i="11"/>
  <c r="K16" i="11" s="1"/>
  <c r="M16" i="11"/>
  <c r="C17" i="11"/>
  <c r="K17" i="11" s="1"/>
  <c r="M17" i="11"/>
  <c r="C18" i="11"/>
  <c r="K18" i="11" s="1"/>
  <c r="M18" i="11"/>
  <c r="C19" i="11"/>
  <c r="K19" i="11" s="1"/>
  <c r="M19" i="11"/>
  <c r="H74" i="11"/>
  <c r="AY52" i="12"/>
  <c r="M87" i="14"/>
  <c r="C87" i="14"/>
  <c r="K87" i="14" s="1"/>
  <c r="U103" i="7"/>
  <c r="U15" i="9"/>
  <c r="N17" i="9"/>
  <c r="N20" i="9"/>
  <c r="N23" i="9"/>
  <c r="N29" i="9"/>
  <c r="L31" i="9"/>
  <c r="J31" i="9" s="1"/>
  <c r="N36" i="9"/>
  <c r="AI39" i="9"/>
  <c r="AF40" i="9"/>
  <c r="C41" i="9"/>
  <c r="K41" i="9" s="1"/>
  <c r="AI43" i="9"/>
  <c r="AF44" i="9"/>
  <c r="C45" i="9"/>
  <c r="K45" i="9" s="1"/>
  <c r="M45" i="9"/>
  <c r="AI49" i="9"/>
  <c r="AF50" i="9"/>
  <c r="C51" i="9"/>
  <c r="K51" i="9" s="1"/>
  <c r="M51" i="9"/>
  <c r="S52" i="9"/>
  <c r="V52" i="9" s="1"/>
  <c r="AI57" i="9"/>
  <c r="AF58" i="9"/>
  <c r="C59" i="9"/>
  <c r="K59" i="9" s="1"/>
  <c r="M59" i="9"/>
  <c r="AI63" i="9"/>
  <c r="AF64" i="9"/>
  <c r="C65" i="9"/>
  <c r="K65" i="9" s="1"/>
  <c r="M65" i="9"/>
  <c r="AI69" i="9"/>
  <c r="AF70" i="9"/>
  <c r="C71" i="9"/>
  <c r="K71" i="9" s="1"/>
  <c r="M71" i="9"/>
  <c r="AI77" i="9"/>
  <c r="AF78" i="9"/>
  <c r="C79" i="9"/>
  <c r="K79" i="9" s="1"/>
  <c r="M79" i="9"/>
  <c r="AI83" i="9"/>
  <c r="AF84" i="9"/>
  <c r="C85" i="9"/>
  <c r="K85" i="9" s="1"/>
  <c r="M85" i="9"/>
  <c r="E89" i="9"/>
  <c r="E9" i="9" s="1"/>
  <c r="I89" i="9"/>
  <c r="I9" i="9" s="1"/>
  <c r="Q9" i="9" s="1"/>
  <c r="Q91" i="9"/>
  <c r="Q89" i="9" s="1"/>
  <c r="C92" i="9"/>
  <c r="K92" i="9" s="1"/>
  <c r="M92" i="9"/>
  <c r="C93" i="9"/>
  <c r="K93" i="9" s="1"/>
  <c r="M93" i="9"/>
  <c r="J94" i="9"/>
  <c r="L89" i="9"/>
  <c r="L9" i="9" s="1"/>
  <c r="J9" i="9" s="1"/>
  <c r="C95" i="9"/>
  <c r="K95" i="9" s="1"/>
  <c r="V101" i="9"/>
  <c r="S89" i="9"/>
  <c r="C107" i="9"/>
  <c r="K107" i="9" s="1"/>
  <c r="M107" i="9"/>
  <c r="C108" i="9"/>
  <c r="K108" i="9" s="1"/>
  <c r="M108" i="9"/>
  <c r="C14" i="10"/>
  <c r="K14" i="10" s="1"/>
  <c r="M14" i="10"/>
  <c r="U13" i="10"/>
  <c r="AF13" i="10"/>
  <c r="AB18" i="10"/>
  <c r="Z18" i="10"/>
  <c r="C19" i="10"/>
  <c r="K19" i="10" s="1"/>
  <c r="M19" i="10"/>
  <c r="M35" i="10"/>
  <c r="AG49" i="10"/>
  <c r="AE49" i="10"/>
  <c r="G52" i="10"/>
  <c r="P52" i="10" s="1"/>
  <c r="P53" i="10"/>
  <c r="R52" i="10"/>
  <c r="AA52" i="10"/>
  <c r="AB52" i="10" s="1"/>
  <c r="C54" i="10"/>
  <c r="K54" i="10" s="1"/>
  <c r="M54" i="10"/>
  <c r="C60" i="10"/>
  <c r="K60" i="10" s="1"/>
  <c r="M60" i="10"/>
  <c r="C72" i="10"/>
  <c r="K72" i="10" s="1"/>
  <c r="U74" i="10"/>
  <c r="W75" i="10"/>
  <c r="J78" i="10"/>
  <c r="L74" i="10"/>
  <c r="AG85" i="10"/>
  <c r="AE85" i="10"/>
  <c r="C92" i="10"/>
  <c r="K92" i="10" s="1"/>
  <c r="M92" i="10"/>
  <c r="C94" i="10"/>
  <c r="K94" i="10" s="1"/>
  <c r="M94" i="10"/>
  <c r="C96" i="10"/>
  <c r="K96" i="10" s="1"/>
  <c r="M96" i="10"/>
  <c r="C98" i="10"/>
  <c r="K98" i="10" s="1"/>
  <c r="M98" i="10"/>
  <c r="C100" i="10"/>
  <c r="K100" i="10" s="1"/>
  <c r="M100" i="10"/>
  <c r="C102" i="10"/>
  <c r="K102" i="10" s="1"/>
  <c r="M102" i="10"/>
  <c r="C104" i="10"/>
  <c r="K104" i="10" s="1"/>
  <c r="M104" i="10"/>
  <c r="C106" i="10"/>
  <c r="K106" i="10" s="1"/>
  <c r="M106" i="10"/>
  <c r="C108" i="10"/>
  <c r="K108" i="10" s="1"/>
  <c r="M108" i="10"/>
  <c r="C59" i="11"/>
  <c r="K59" i="11" s="1"/>
  <c r="M71" i="11"/>
  <c r="C71" i="11"/>
  <c r="K71" i="11" s="1"/>
  <c r="M83" i="11"/>
  <c r="C83" i="11"/>
  <c r="K83" i="11" s="1"/>
  <c r="M27" i="12"/>
  <c r="C27" i="12"/>
  <c r="R31" i="12"/>
  <c r="U36" i="12"/>
  <c r="P37" i="12"/>
  <c r="G31" i="12"/>
  <c r="P31" i="12" s="1"/>
  <c r="C48" i="12"/>
  <c r="K48" i="12" s="1"/>
  <c r="M48" i="12"/>
  <c r="Y64" i="12"/>
  <c r="V52" i="12"/>
  <c r="BI64" i="12"/>
  <c r="BF52" i="12"/>
  <c r="AC86" i="12"/>
  <c r="Z74" i="12"/>
  <c r="BA86" i="12"/>
  <c r="AX74" i="12"/>
  <c r="Y13" i="13"/>
  <c r="U13" i="13"/>
  <c r="W16" i="13"/>
  <c r="J19" i="13"/>
  <c r="L13" i="13"/>
  <c r="Z19" i="13"/>
  <c r="X13" i="13"/>
  <c r="V15" i="14"/>
  <c r="S13" i="14"/>
  <c r="C48" i="14"/>
  <c r="K48" i="14" s="1"/>
  <c r="M48" i="14"/>
  <c r="E89" i="7"/>
  <c r="E9" i="7" s="1"/>
  <c r="H89" i="8"/>
  <c r="H9" i="8" s="1"/>
  <c r="AI15" i="9"/>
  <c r="AF16" i="9"/>
  <c r="Z17" i="9"/>
  <c r="AC17" i="9"/>
  <c r="AI18" i="9"/>
  <c r="AF19" i="9"/>
  <c r="AC20" i="9"/>
  <c r="Z20" i="9"/>
  <c r="AI21" i="9"/>
  <c r="AF22" i="9"/>
  <c r="Z23" i="9"/>
  <c r="AC23" i="9"/>
  <c r="AI24" i="9"/>
  <c r="AF25" i="9"/>
  <c r="AC26" i="9"/>
  <c r="Z26" i="9"/>
  <c r="AI27" i="9"/>
  <c r="AF28" i="9"/>
  <c r="Z29" i="9"/>
  <c r="AC29" i="9"/>
  <c r="AI30" i="9"/>
  <c r="AD31" i="9"/>
  <c r="AI31" i="9" s="1"/>
  <c r="AF32" i="9"/>
  <c r="Z33" i="9"/>
  <c r="AC33" i="9"/>
  <c r="AI34" i="9"/>
  <c r="AF35" i="9"/>
  <c r="AC36" i="9"/>
  <c r="Z36" i="9"/>
  <c r="AI37" i="9"/>
  <c r="AC38" i="9"/>
  <c r="Z38" i="9"/>
  <c r="N40" i="9"/>
  <c r="AC42" i="9"/>
  <c r="Z42" i="9"/>
  <c r="C46" i="9"/>
  <c r="G52" i="9"/>
  <c r="P52" i="9" s="1"/>
  <c r="AB52" i="9"/>
  <c r="C54" i="9"/>
  <c r="K54" i="9" s="1"/>
  <c r="C60" i="9"/>
  <c r="K60" i="9" s="1"/>
  <c r="U74" i="9"/>
  <c r="AH74" i="9"/>
  <c r="C80" i="9"/>
  <c r="K80" i="9" s="1"/>
  <c r="C86" i="9"/>
  <c r="K86" i="9" s="1"/>
  <c r="J91" i="9"/>
  <c r="D94" i="9"/>
  <c r="C106" i="9"/>
  <c r="K106" i="9" s="1"/>
  <c r="J106" i="9"/>
  <c r="L13" i="10"/>
  <c r="AD13" i="10"/>
  <c r="AD8" i="10" s="1"/>
  <c r="AD7" i="10" s="1"/>
  <c r="Y13" i="10"/>
  <c r="N24" i="10"/>
  <c r="AG25" i="10"/>
  <c r="AE25" i="10"/>
  <c r="D42" i="10"/>
  <c r="C44" i="10"/>
  <c r="K44" i="10" s="1"/>
  <c r="M44" i="10"/>
  <c r="C47" i="10"/>
  <c r="K47" i="10" s="1"/>
  <c r="C51" i="10"/>
  <c r="J51" i="10"/>
  <c r="S52" i="10"/>
  <c r="AB54" i="10"/>
  <c r="Z54" i="10"/>
  <c r="C55" i="10"/>
  <c r="K55" i="10" s="1"/>
  <c r="M55" i="10"/>
  <c r="AB60" i="10"/>
  <c r="Z60" i="10"/>
  <c r="C61" i="10"/>
  <c r="K61" i="10" s="1"/>
  <c r="M61" i="10"/>
  <c r="C65" i="10"/>
  <c r="K65" i="10" s="1"/>
  <c r="C68" i="10"/>
  <c r="K68" i="10" s="1"/>
  <c r="M68" i="10"/>
  <c r="W68" i="10"/>
  <c r="AB69" i="10"/>
  <c r="AB72" i="10"/>
  <c r="Z72" i="10"/>
  <c r="C73" i="10"/>
  <c r="K73" i="10" s="1"/>
  <c r="M73" i="10"/>
  <c r="O74" i="10"/>
  <c r="G74" i="10"/>
  <c r="P74" i="10" s="1"/>
  <c r="D78" i="10"/>
  <c r="C81" i="10"/>
  <c r="K81" i="10" s="1"/>
  <c r="J81" i="10"/>
  <c r="G89" i="10"/>
  <c r="G9" i="10" s="1"/>
  <c r="P9" i="10" s="1"/>
  <c r="I31" i="11"/>
  <c r="Q31" i="11" s="1"/>
  <c r="M47" i="11"/>
  <c r="H52" i="11"/>
  <c r="C100" i="11"/>
  <c r="K100" i="11" s="1"/>
  <c r="Y34" i="12"/>
  <c r="V31" i="12"/>
  <c r="AW34" i="12"/>
  <c r="AT31" i="12"/>
  <c r="D35" i="12"/>
  <c r="E31" i="12"/>
  <c r="Q89" i="12"/>
  <c r="L13" i="9"/>
  <c r="N13" i="9" s="1"/>
  <c r="C42" i="9"/>
  <c r="K42" i="9" s="1"/>
  <c r="C47" i="9"/>
  <c r="K47" i="9" s="1"/>
  <c r="M47" i="9"/>
  <c r="C61" i="9"/>
  <c r="K61" i="9" s="1"/>
  <c r="M61" i="9"/>
  <c r="M67" i="9"/>
  <c r="C73" i="9"/>
  <c r="K73" i="9" s="1"/>
  <c r="M73" i="9"/>
  <c r="S74" i="9"/>
  <c r="V74" i="9" s="1"/>
  <c r="C75" i="9"/>
  <c r="K75" i="9" s="1"/>
  <c r="M75" i="9"/>
  <c r="D74" i="9"/>
  <c r="C81" i="9"/>
  <c r="K81" i="9" s="1"/>
  <c r="M81" i="9"/>
  <c r="C87" i="9"/>
  <c r="K87" i="9" s="1"/>
  <c r="M87" i="9"/>
  <c r="G89" i="9"/>
  <c r="G9" i="9" s="1"/>
  <c r="P9" i="9" s="1"/>
  <c r="N90" i="9"/>
  <c r="N89" i="9" s="1"/>
  <c r="F89" i="9"/>
  <c r="F9" i="9" s="1"/>
  <c r="C104" i="9"/>
  <c r="K104" i="9" s="1"/>
  <c r="F13" i="10"/>
  <c r="O13" i="10"/>
  <c r="S13" i="10"/>
  <c r="N18" i="10"/>
  <c r="AG19" i="10"/>
  <c r="AE19" i="10"/>
  <c r="C27" i="10"/>
  <c r="K27" i="10" s="1"/>
  <c r="C29" i="10"/>
  <c r="K29" i="10" s="1"/>
  <c r="I31" i="10"/>
  <c r="Q31" i="10" s="1"/>
  <c r="P35" i="10"/>
  <c r="G31" i="10"/>
  <c r="P31" i="10" s="1"/>
  <c r="T35" i="10"/>
  <c r="D36" i="10"/>
  <c r="C38" i="10"/>
  <c r="K38" i="10" s="1"/>
  <c r="W38" i="10"/>
  <c r="AB42" i="10"/>
  <c r="Z42" i="10"/>
  <c r="C43" i="10"/>
  <c r="K43" i="10" s="1"/>
  <c r="M43" i="10"/>
  <c r="D48" i="10"/>
  <c r="AG55" i="10"/>
  <c r="AE55" i="10"/>
  <c r="D66" i="10"/>
  <c r="AF74" i="10"/>
  <c r="AB78" i="10"/>
  <c r="Z78" i="10"/>
  <c r="X74" i="10"/>
  <c r="C79" i="10"/>
  <c r="K79" i="10" s="1"/>
  <c r="M79" i="10"/>
  <c r="C80" i="10"/>
  <c r="K80" i="10" s="1"/>
  <c r="M80" i="10"/>
  <c r="C87" i="10"/>
  <c r="K87" i="10" s="1"/>
  <c r="J87" i="10"/>
  <c r="T44" i="11"/>
  <c r="R31" i="11"/>
  <c r="BE43" i="12"/>
  <c r="BC31" i="12"/>
  <c r="R74" i="12"/>
  <c r="U74" i="12" s="1"/>
  <c r="U78" i="12"/>
  <c r="AP74" i="12"/>
  <c r="AS74" i="12" s="1"/>
  <c r="AS78" i="12"/>
  <c r="G74" i="12"/>
  <c r="P74" i="12" s="1"/>
  <c r="P79" i="12"/>
  <c r="M80" i="12"/>
  <c r="C80" i="12"/>
  <c r="K80" i="12" s="1"/>
  <c r="AO80" i="12"/>
  <c r="AL74" i="12"/>
  <c r="AO74" i="12" s="1"/>
  <c r="M94" i="12"/>
  <c r="C94" i="12"/>
  <c r="K94" i="12" s="1"/>
  <c r="C107" i="12"/>
  <c r="K107" i="12" s="1"/>
  <c r="M107" i="12"/>
  <c r="C81" i="13"/>
  <c r="K81" i="13" s="1"/>
  <c r="M81" i="13"/>
  <c r="Z15" i="9"/>
  <c r="AC15" i="9"/>
  <c r="AC18" i="9"/>
  <c r="Z18" i="9"/>
  <c r="Z21" i="9"/>
  <c r="AC21" i="9"/>
  <c r="AC24" i="9"/>
  <c r="Z24" i="9"/>
  <c r="Z27" i="9"/>
  <c r="AC27" i="9"/>
  <c r="AC30" i="9"/>
  <c r="Z30" i="9"/>
  <c r="AC34" i="9"/>
  <c r="Z34" i="9"/>
  <c r="Z37" i="9"/>
  <c r="AC37" i="9"/>
  <c r="C48" i="9"/>
  <c r="K48" i="9" s="1"/>
  <c r="C56" i="9"/>
  <c r="K56" i="9" s="1"/>
  <c r="C62" i="9"/>
  <c r="K62" i="9" s="1"/>
  <c r="C68" i="9"/>
  <c r="K68" i="9" s="1"/>
  <c r="C76" i="9"/>
  <c r="K76" i="9" s="1"/>
  <c r="C88" i="9"/>
  <c r="D103" i="9"/>
  <c r="C23" i="10"/>
  <c r="K23" i="10" s="1"/>
  <c r="T29" i="10"/>
  <c r="D30" i="10"/>
  <c r="AF31" i="10"/>
  <c r="AB36" i="10"/>
  <c r="Z36" i="10"/>
  <c r="C37" i="10"/>
  <c r="K37" i="10" s="1"/>
  <c r="M37" i="10"/>
  <c r="AB48" i="10"/>
  <c r="Z48" i="10"/>
  <c r="C49" i="10"/>
  <c r="K49" i="10" s="1"/>
  <c r="M49" i="10"/>
  <c r="C50" i="10"/>
  <c r="M50" i="10"/>
  <c r="W50" i="10"/>
  <c r="J52" i="10"/>
  <c r="AB66" i="10"/>
  <c r="Z66" i="10"/>
  <c r="Y74" i="10"/>
  <c r="T78" i="10"/>
  <c r="R74" i="10"/>
  <c r="T74" i="10" s="1"/>
  <c r="C83" i="10"/>
  <c r="K83" i="10" s="1"/>
  <c r="C86" i="10"/>
  <c r="K86" i="10" s="1"/>
  <c r="M86" i="10"/>
  <c r="P89" i="10"/>
  <c r="N13" i="11"/>
  <c r="Q13" i="11"/>
  <c r="M65" i="11"/>
  <c r="C65" i="11"/>
  <c r="K65" i="11" s="1"/>
  <c r="M105" i="11"/>
  <c r="C105" i="11"/>
  <c r="K105" i="11" s="1"/>
  <c r="H31" i="12"/>
  <c r="N32" i="12"/>
  <c r="AL52" i="12"/>
  <c r="AO52" i="12" s="1"/>
  <c r="AO56" i="12"/>
  <c r="C73" i="12"/>
  <c r="K73" i="12" s="1"/>
  <c r="M73" i="12"/>
  <c r="AY74" i="12"/>
  <c r="M92" i="12"/>
  <c r="C92" i="12"/>
  <c r="K92" i="12" s="1"/>
  <c r="C51" i="13"/>
  <c r="K51" i="13" s="1"/>
  <c r="M51" i="13"/>
  <c r="N32" i="9"/>
  <c r="AC39" i="9"/>
  <c r="AC41" i="9"/>
  <c r="AC43" i="9"/>
  <c r="Z44" i="9"/>
  <c r="AC45" i="9"/>
  <c r="Z46" i="9"/>
  <c r="AC47" i="9"/>
  <c r="Z48" i="9"/>
  <c r="AC49" i="9"/>
  <c r="Z50" i="9"/>
  <c r="AC51" i="9"/>
  <c r="Z52" i="9"/>
  <c r="Q53" i="9"/>
  <c r="AC53" i="9"/>
  <c r="Z54" i="9"/>
  <c r="AC55" i="9"/>
  <c r="Z56" i="9"/>
  <c r="AC57" i="9"/>
  <c r="Z58" i="9"/>
  <c r="AC59" i="9"/>
  <c r="Z60" i="9"/>
  <c r="AC61" i="9"/>
  <c r="Z62" i="9"/>
  <c r="AC63" i="9"/>
  <c r="Z64" i="9"/>
  <c r="AC65" i="9"/>
  <c r="Z66" i="9"/>
  <c r="AC67" i="9"/>
  <c r="Z68" i="9"/>
  <c r="AC69" i="9"/>
  <c r="Z70" i="9"/>
  <c r="AC71" i="9"/>
  <c r="Z72" i="9"/>
  <c r="AC73" i="9"/>
  <c r="H74" i="9"/>
  <c r="N74" i="9" s="1"/>
  <c r="Z74" i="9"/>
  <c r="Q75" i="9"/>
  <c r="AC75" i="9"/>
  <c r="Z76" i="9"/>
  <c r="AC77" i="9"/>
  <c r="Z78" i="9"/>
  <c r="AC79" i="9"/>
  <c r="Z80" i="9"/>
  <c r="AC81" i="9"/>
  <c r="Z82" i="9"/>
  <c r="AC83" i="9"/>
  <c r="Z84" i="9"/>
  <c r="AC85" i="9"/>
  <c r="Z86" i="9"/>
  <c r="AC87" i="9"/>
  <c r="Z88" i="9"/>
  <c r="R13" i="10"/>
  <c r="X13" i="10"/>
  <c r="Q14" i="10"/>
  <c r="W14" i="10"/>
  <c r="Z17" i="10"/>
  <c r="AE18" i="10"/>
  <c r="Z23" i="10"/>
  <c r="AE24" i="10"/>
  <c r="Z29" i="10"/>
  <c r="AE30" i="10"/>
  <c r="R31" i="10"/>
  <c r="X31" i="10"/>
  <c r="Q32" i="10"/>
  <c r="W32" i="10"/>
  <c r="Z35" i="10"/>
  <c r="AE36" i="10"/>
  <c r="Z41" i="10"/>
  <c r="AE42" i="10"/>
  <c r="Z47" i="10"/>
  <c r="AE48" i="10"/>
  <c r="I52" i="10"/>
  <c r="Q52" i="10" s="1"/>
  <c r="U52" i="10"/>
  <c r="T53" i="10"/>
  <c r="Z53" i="10"/>
  <c r="AE54" i="10"/>
  <c r="C58" i="10"/>
  <c r="K58" i="10" s="1"/>
  <c r="Z59" i="10"/>
  <c r="AE60" i="10"/>
  <c r="C64" i="10"/>
  <c r="K64" i="10" s="1"/>
  <c r="Z65" i="10"/>
  <c r="AE66" i="10"/>
  <c r="C70" i="10"/>
  <c r="K70" i="10" s="1"/>
  <c r="Z71" i="10"/>
  <c r="AE72" i="10"/>
  <c r="E74" i="10"/>
  <c r="AC74" i="10"/>
  <c r="C76" i="10"/>
  <c r="K76" i="10" s="1"/>
  <c r="Z77" i="10"/>
  <c r="AE78" i="10"/>
  <c r="C82" i="10"/>
  <c r="K82" i="10" s="1"/>
  <c r="Z83" i="10"/>
  <c r="AE84" i="10"/>
  <c r="C88" i="10"/>
  <c r="K88" i="10" s="1"/>
  <c r="N20" i="11"/>
  <c r="C21" i="11"/>
  <c r="K21" i="11" s="1"/>
  <c r="C23" i="11"/>
  <c r="K23" i="11" s="1"/>
  <c r="C25" i="11"/>
  <c r="K25" i="11" s="1"/>
  <c r="C27" i="11"/>
  <c r="K27" i="11" s="1"/>
  <c r="C37" i="11"/>
  <c r="K37" i="11" s="1"/>
  <c r="C39" i="11"/>
  <c r="K39" i="11" s="1"/>
  <c r="C41" i="11"/>
  <c r="K41" i="11" s="1"/>
  <c r="D48" i="11"/>
  <c r="C49" i="11"/>
  <c r="K49" i="11" s="1"/>
  <c r="M58" i="11"/>
  <c r="C58" i="11"/>
  <c r="K58" i="11" s="1"/>
  <c r="M70" i="11"/>
  <c r="C70" i="11"/>
  <c r="K70" i="11" s="1"/>
  <c r="M76" i="11"/>
  <c r="C76" i="11"/>
  <c r="K76" i="11" s="1"/>
  <c r="M82" i="11"/>
  <c r="C82" i="11"/>
  <c r="K82" i="11" s="1"/>
  <c r="D90" i="11"/>
  <c r="E89" i="11"/>
  <c r="E9" i="11" s="1"/>
  <c r="M97" i="11"/>
  <c r="C97" i="11"/>
  <c r="K97" i="11" s="1"/>
  <c r="M107" i="11"/>
  <c r="AC15" i="12"/>
  <c r="AA13" i="12"/>
  <c r="Y16" i="12"/>
  <c r="V13" i="12"/>
  <c r="AW16" i="12"/>
  <c r="AT13" i="12"/>
  <c r="D17" i="12"/>
  <c r="D13" i="12" s="1"/>
  <c r="E13" i="12"/>
  <c r="N18" i="12"/>
  <c r="AG20" i="12"/>
  <c r="C21" i="12"/>
  <c r="J21" i="12"/>
  <c r="C30" i="12"/>
  <c r="K30" i="12" s="1"/>
  <c r="M30" i="12"/>
  <c r="U32" i="12"/>
  <c r="AC32" i="12"/>
  <c r="Z31" i="12"/>
  <c r="AP31" i="12"/>
  <c r="BA32" i="12"/>
  <c r="AX31" i="12"/>
  <c r="BA33" i="12"/>
  <c r="AY31" i="12"/>
  <c r="W31" i="12"/>
  <c r="Y35" i="12"/>
  <c r="C40" i="12"/>
  <c r="K40" i="12" s="1"/>
  <c r="M40" i="12"/>
  <c r="C45" i="12"/>
  <c r="J45" i="12"/>
  <c r="BI53" i="12"/>
  <c r="BG52" i="12"/>
  <c r="M68" i="12"/>
  <c r="C68" i="12"/>
  <c r="C82" i="12"/>
  <c r="K82" i="12" s="1"/>
  <c r="M82" i="12"/>
  <c r="M96" i="12"/>
  <c r="C96" i="12"/>
  <c r="K96" i="12" s="1"/>
  <c r="C99" i="12"/>
  <c r="K99" i="12" s="1"/>
  <c r="M102" i="12"/>
  <c r="C102" i="12"/>
  <c r="K102" i="12" s="1"/>
  <c r="M106" i="12"/>
  <c r="C106" i="12"/>
  <c r="K106" i="12" s="1"/>
  <c r="D14" i="13"/>
  <c r="E13" i="13"/>
  <c r="AF13" i="13"/>
  <c r="I13" i="13"/>
  <c r="Q16" i="13"/>
  <c r="C19" i="13"/>
  <c r="K19" i="13" s="1"/>
  <c r="M19" i="13"/>
  <c r="C27" i="13"/>
  <c r="K27" i="13" s="1"/>
  <c r="M27" i="13"/>
  <c r="C44" i="13"/>
  <c r="K44" i="13" s="1"/>
  <c r="M44" i="13"/>
  <c r="M47" i="13"/>
  <c r="C47" i="13"/>
  <c r="M53" i="13"/>
  <c r="C53" i="13"/>
  <c r="K53" i="13" s="1"/>
  <c r="M55" i="13"/>
  <c r="C56" i="13"/>
  <c r="K56" i="13" s="1"/>
  <c r="R52" i="13"/>
  <c r="T64" i="13"/>
  <c r="C88" i="13"/>
  <c r="K88" i="13" s="1"/>
  <c r="M88" i="13"/>
  <c r="G7" i="15"/>
  <c r="P7" i="15" s="1"/>
  <c r="P8" i="15"/>
  <c r="AA52" i="9"/>
  <c r="AF52" i="9" s="1"/>
  <c r="AA74" i="9"/>
  <c r="AF74" i="9" s="1"/>
  <c r="P90" i="9"/>
  <c r="P89" i="9" s="1"/>
  <c r="G13" i="10"/>
  <c r="L31" i="11"/>
  <c r="J31" i="11" s="1"/>
  <c r="J33" i="11"/>
  <c r="J35" i="11"/>
  <c r="J37" i="11"/>
  <c r="J39" i="11"/>
  <c r="J41" i="11"/>
  <c r="C44" i="11"/>
  <c r="K44" i="11" s="1"/>
  <c r="J44" i="11"/>
  <c r="M50" i="11"/>
  <c r="M51" i="11"/>
  <c r="C51" i="11"/>
  <c r="K51" i="11" s="1"/>
  <c r="M57" i="11"/>
  <c r="M69" i="11"/>
  <c r="C69" i="11"/>
  <c r="K69" i="11" s="1"/>
  <c r="M75" i="11"/>
  <c r="C75" i="11"/>
  <c r="K75" i="11" s="1"/>
  <c r="M81" i="11"/>
  <c r="C81" i="11"/>
  <c r="K81" i="11" s="1"/>
  <c r="M87" i="11"/>
  <c r="C87" i="11"/>
  <c r="K87" i="11" s="1"/>
  <c r="M88" i="11"/>
  <c r="C92" i="11"/>
  <c r="K92" i="11" s="1"/>
  <c r="M92" i="11"/>
  <c r="M99" i="11"/>
  <c r="C99" i="11"/>
  <c r="K99" i="11" s="1"/>
  <c r="C104" i="11"/>
  <c r="T13" i="12"/>
  <c r="AJ13" i="12"/>
  <c r="AR13" i="12"/>
  <c r="AS13" i="12" s="1"/>
  <c r="BH13" i="12"/>
  <c r="Q15" i="12"/>
  <c r="I13" i="12"/>
  <c r="W13" i="12"/>
  <c r="Y17" i="12"/>
  <c r="BG13" i="12"/>
  <c r="BI17" i="12"/>
  <c r="C28" i="12"/>
  <c r="K28" i="12" s="1"/>
  <c r="M28" i="12"/>
  <c r="AO33" i="12"/>
  <c r="AM31" i="12"/>
  <c r="BG31" i="12"/>
  <c r="BI35" i="12"/>
  <c r="C41" i="12"/>
  <c r="K41" i="12" s="1"/>
  <c r="M41" i="12"/>
  <c r="M43" i="12"/>
  <c r="J54" i="12"/>
  <c r="L52" i="12"/>
  <c r="AG54" i="12"/>
  <c r="AD52" i="12"/>
  <c r="BE54" i="12"/>
  <c r="BB52" i="12"/>
  <c r="M55" i="12"/>
  <c r="H52" i="12"/>
  <c r="N52" i="12" s="1"/>
  <c r="AF52" i="12"/>
  <c r="BD52" i="12"/>
  <c r="C72" i="12"/>
  <c r="K72" i="12" s="1"/>
  <c r="M72" i="12"/>
  <c r="Q75" i="12"/>
  <c r="I74" i="12"/>
  <c r="Q74" i="12" s="1"/>
  <c r="AK76" i="12"/>
  <c r="AH74" i="12"/>
  <c r="AK74" i="12" s="1"/>
  <c r="BI76" i="12"/>
  <c r="BF74" i="12"/>
  <c r="BI74" i="12" s="1"/>
  <c r="AW77" i="12"/>
  <c r="BA81" i="12"/>
  <c r="C83" i="12"/>
  <c r="K83" i="12" s="1"/>
  <c r="M83" i="12"/>
  <c r="BE85" i="12"/>
  <c r="P89" i="12"/>
  <c r="M98" i="12"/>
  <c r="C98" i="12"/>
  <c r="K98" i="12" s="1"/>
  <c r="M23" i="13"/>
  <c r="C23" i="13"/>
  <c r="K23" i="13" s="1"/>
  <c r="C25" i="13"/>
  <c r="K25" i="13" s="1"/>
  <c r="M25" i="13"/>
  <c r="AE31" i="13"/>
  <c r="AA31" i="13"/>
  <c r="AG31" i="13"/>
  <c r="F74" i="13"/>
  <c r="M79" i="13"/>
  <c r="C79" i="13"/>
  <c r="C20" i="14"/>
  <c r="K20" i="14" s="1"/>
  <c r="M20" i="14"/>
  <c r="C81" i="14"/>
  <c r="K81" i="14" s="1"/>
  <c r="M81" i="14"/>
  <c r="M100" i="14"/>
  <c r="C100" i="14"/>
  <c r="K100" i="14" s="1"/>
  <c r="M105" i="14"/>
  <c r="C105" i="14"/>
  <c r="K105" i="14" s="1"/>
  <c r="BR19" i="16"/>
  <c r="BO13" i="16"/>
  <c r="H13" i="10"/>
  <c r="H31" i="10"/>
  <c r="N31" i="10" s="1"/>
  <c r="E52" i="10"/>
  <c r="AC52" i="10"/>
  <c r="D53" i="10"/>
  <c r="J53" i="10"/>
  <c r="AB53" i="10"/>
  <c r="J45" i="11"/>
  <c r="R52" i="11"/>
  <c r="T52" i="11" s="1"/>
  <c r="M56" i="11"/>
  <c r="C56" i="11"/>
  <c r="M68" i="11"/>
  <c r="C68" i="11"/>
  <c r="K68" i="11" s="1"/>
  <c r="M86" i="11"/>
  <c r="C86" i="11"/>
  <c r="K86" i="11" s="1"/>
  <c r="P89" i="11"/>
  <c r="Q89" i="11"/>
  <c r="C94" i="11"/>
  <c r="K94" i="11" s="1"/>
  <c r="M94" i="11"/>
  <c r="M101" i="11"/>
  <c r="C101" i="11"/>
  <c r="K101" i="11" s="1"/>
  <c r="C106" i="11"/>
  <c r="K106" i="11" s="1"/>
  <c r="M106" i="11"/>
  <c r="AG13" i="12"/>
  <c r="AO14" i="12"/>
  <c r="AL13" i="12"/>
  <c r="BA15" i="12"/>
  <c r="AY13" i="12"/>
  <c r="C19" i="12"/>
  <c r="K19" i="12" s="1"/>
  <c r="C24" i="12"/>
  <c r="K24" i="12" s="1"/>
  <c r="M24" i="12"/>
  <c r="M26" i="12"/>
  <c r="C26" i="12"/>
  <c r="K26" i="12" s="1"/>
  <c r="C29" i="12"/>
  <c r="K29" i="12" s="1"/>
  <c r="M29" i="12"/>
  <c r="N30" i="12"/>
  <c r="M32" i="12"/>
  <c r="C32" i="12"/>
  <c r="T31" i="12"/>
  <c r="AR31" i="12"/>
  <c r="Q33" i="12"/>
  <c r="I31" i="12"/>
  <c r="Q31" i="12" s="1"/>
  <c r="AC33" i="12"/>
  <c r="AA31" i="12"/>
  <c r="AK34" i="12"/>
  <c r="AH31" i="12"/>
  <c r="BI34" i="12"/>
  <c r="BF31" i="12"/>
  <c r="AU31" i="12"/>
  <c r="AW35" i="12"/>
  <c r="L31" i="12"/>
  <c r="J36" i="12"/>
  <c r="AD31" i="12"/>
  <c r="AG31" i="12" s="1"/>
  <c r="AG36" i="12"/>
  <c r="C37" i="12"/>
  <c r="K37" i="12" s="1"/>
  <c r="C42" i="12"/>
  <c r="M42" i="12"/>
  <c r="D53" i="12"/>
  <c r="E52" i="12"/>
  <c r="AW53" i="12"/>
  <c r="AU52" i="12"/>
  <c r="AW52" i="12" s="1"/>
  <c r="Z52" i="12"/>
  <c r="AC52" i="12" s="1"/>
  <c r="AC56" i="12"/>
  <c r="AX52" i="12"/>
  <c r="BA56" i="12"/>
  <c r="C58" i="12"/>
  <c r="K58" i="12" s="1"/>
  <c r="M58" i="12"/>
  <c r="C61" i="12"/>
  <c r="K61" i="12" s="1"/>
  <c r="M62" i="12"/>
  <c r="AU74" i="12"/>
  <c r="J78" i="12"/>
  <c r="L74" i="12"/>
  <c r="AD74" i="12"/>
  <c r="AG78" i="12"/>
  <c r="BB74" i="12"/>
  <c r="BE74" i="12" s="1"/>
  <c r="BE78" i="12"/>
  <c r="C79" i="12"/>
  <c r="K79" i="12" s="1"/>
  <c r="S74" i="12"/>
  <c r="S8" i="12" s="1"/>
  <c r="S7" i="12" s="1"/>
  <c r="M86" i="12"/>
  <c r="C86" i="12"/>
  <c r="K86" i="12" s="1"/>
  <c r="H89" i="12"/>
  <c r="H9" i="12" s="1"/>
  <c r="C93" i="12"/>
  <c r="K93" i="12" s="1"/>
  <c r="C101" i="12"/>
  <c r="K101" i="12" s="1"/>
  <c r="M101" i="12"/>
  <c r="C105" i="12"/>
  <c r="K105" i="12" s="1"/>
  <c r="M105" i="12"/>
  <c r="V13" i="13"/>
  <c r="AB13" i="13"/>
  <c r="C15" i="13"/>
  <c r="M15" i="13"/>
  <c r="C20" i="13"/>
  <c r="K20" i="13" s="1"/>
  <c r="M20" i="13"/>
  <c r="C24" i="13"/>
  <c r="K24" i="13" s="1"/>
  <c r="T30" i="13"/>
  <c r="D32" i="13"/>
  <c r="E31" i="13"/>
  <c r="G31" i="13"/>
  <c r="P31" i="13" s="1"/>
  <c r="M35" i="13"/>
  <c r="C35" i="13"/>
  <c r="K35" i="13" s="1"/>
  <c r="D37" i="13"/>
  <c r="C46" i="13"/>
  <c r="J46" i="13"/>
  <c r="C50" i="13"/>
  <c r="K50" i="13" s="1"/>
  <c r="M50" i="13"/>
  <c r="G52" i="13"/>
  <c r="P52" i="13" s="1"/>
  <c r="C57" i="13"/>
  <c r="K57" i="13" s="1"/>
  <c r="C58" i="13"/>
  <c r="K58" i="13" s="1"/>
  <c r="W76" i="14"/>
  <c r="Z74" i="14"/>
  <c r="H74" i="10"/>
  <c r="N74" i="10" s="1"/>
  <c r="G31" i="11"/>
  <c r="D45" i="11"/>
  <c r="J46" i="11"/>
  <c r="D55" i="11"/>
  <c r="M61" i="11"/>
  <c r="C61" i="11"/>
  <c r="K61" i="11" s="1"/>
  <c r="M67" i="11"/>
  <c r="C67" i="11"/>
  <c r="K67" i="11" s="1"/>
  <c r="M73" i="11"/>
  <c r="C73" i="11"/>
  <c r="K73" i="11" s="1"/>
  <c r="M79" i="11"/>
  <c r="C79" i="11"/>
  <c r="K79" i="11" s="1"/>
  <c r="M85" i="11"/>
  <c r="C85" i="11"/>
  <c r="K85" i="11" s="1"/>
  <c r="H89" i="11"/>
  <c r="H9" i="11" s="1"/>
  <c r="C96" i="11"/>
  <c r="K96" i="11" s="1"/>
  <c r="M96" i="11"/>
  <c r="M103" i="11"/>
  <c r="C103" i="11"/>
  <c r="K103" i="11" s="1"/>
  <c r="C108" i="11"/>
  <c r="K108" i="11" s="1"/>
  <c r="M108" i="11"/>
  <c r="BC13" i="12"/>
  <c r="H13" i="12"/>
  <c r="M15" i="12"/>
  <c r="O13" i="12"/>
  <c r="J13" i="12" s="1"/>
  <c r="AK16" i="12"/>
  <c r="AH13" i="12"/>
  <c r="BI16" i="12"/>
  <c r="BF13" i="12"/>
  <c r="AU13" i="12"/>
  <c r="AW17" i="12"/>
  <c r="U20" i="12"/>
  <c r="AS20" i="12"/>
  <c r="C22" i="12"/>
  <c r="K22" i="12" s="1"/>
  <c r="M22" i="12"/>
  <c r="F31" i="12"/>
  <c r="AG32" i="12"/>
  <c r="AO32" i="12"/>
  <c r="AL31" i="12"/>
  <c r="AO31" i="12" s="1"/>
  <c r="BB31" i="12"/>
  <c r="C33" i="12"/>
  <c r="J33" i="12"/>
  <c r="AG38" i="12"/>
  <c r="C39" i="12"/>
  <c r="J39" i="12"/>
  <c r="U44" i="12"/>
  <c r="AS44" i="12"/>
  <c r="C46" i="12"/>
  <c r="K46" i="12" s="1"/>
  <c r="M46" i="12"/>
  <c r="AH52" i="12"/>
  <c r="O52" i="12"/>
  <c r="AK53" i="12"/>
  <c r="AI52" i="12"/>
  <c r="D54" i="12"/>
  <c r="F52" i="12"/>
  <c r="X52" i="12"/>
  <c r="AV52" i="12"/>
  <c r="AG62" i="12"/>
  <c r="J63" i="12"/>
  <c r="C64" i="12"/>
  <c r="K64" i="12" s="1"/>
  <c r="M64" i="12"/>
  <c r="U68" i="12"/>
  <c r="O74" i="12"/>
  <c r="C76" i="12"/>
  <c r="K76" i="12" s="1"/>
  <c r="M76" i="12"/>
  <c r="AB74" i="12"/>
  <c r="AZ74" i="12"/>
  <c r="AZ8" i="12" s="1"/>
  <c r="AZ7" i="12" s="1"/>
  <c r="AK77" i="12"/>
  <c r="AC81" i="12"/>
  <c r="BI83" i="12"/>
  <c r="N84" i="12"/>
  <c r="C88" i="12"/>
  <c r="K88" i="12" s="1"/>
  <c r="M88" i="12"/>
  <c r="C95" i="12"/>
  <c r="K95" i="12" s="1"/>
  <c r="M95" i="12"/>
  <c r="M100" i="12"/>
  <c r="C100" i="12"/>
  <c r="K100" i="12" s="1"/>
  <c r="M104" i="12"/>
  <c r="C104" i="12"/>
  <c r="K104" i="12" s="1"/>
  <c r="R13" i="13"/>
  <c r="AC13" i="13"/>
  <c r="AC8" i="13" s="1"/>
  <c r="AC7" i="13" s="1"/>
  <c r="AA13" i="13"/>
  <c r="AG13" i="13"/>
  <c r="Z18" i="13"/>
  <c r="N19" i="13"/>
  <c r="J22" i="13"/>
  <c r="AF31" i="13"/>
  <c r="I31" i="13"/>
  <c r="Q31" i="13" s="1"/>
  <c r="Q34" i="13"/>
  <c r="U31" i="13"/>
  <c r="W31" i="13" s="1"/>
  <c r="W34" i="13"/>
  <c r="C36" i="13"/>
  <c r="K36" i="13" s="1"/>
  <c r="T42" i="13"/>
  <c r="C45" i="13"/>
  <c r="K45" i="13" s="1"/>
  <c r="M45" i="13"/>
  <c r="W45" i="13"/>
  <c r="Z48" i="13"/>
  <c r="N49" i="13"/>
  <c r="H52" i="13"/>
  <c r="Z54" i="13"/>
  <c r="C18" i="14"/>
  <c r="K18" i="14" s="1"/>
  <c r="M18" i="14"/>
  <c r="Y37" i="14"/>
  <c r="C50" i="14"/>
  <c r="K50" i="14" s="1"/>
  <c r="M50" i="14"/>
  <c r="O74" i="14"/>
  <c r="J74" i="14" s="1"/>
  <c r="H74" i="14"/>
  <c r="N74" i="14" s="1"/>
  <c r="N76" i="14"/>
  <c r="C86" i="15"/>
  <c r="K86" i="15" s="1"/>
  <c r="D74" i="15"/>
  <c r="M86" i="15"/>
  <c r="D20" i="11"/>
  <c r="J20" i="11"/>
  <c r="D22" i="11"/>
  <c r="J22" i="11"/>
  <c r="D24" i="11"/>
  <c r="J24" i="11"/>
  <c r="D26" i="11"/>
  <c r="J26" i="11"/>
  <c r="D28" i="11"/>
  <c r="J28" i="11"/>
  <c r="D30" i="11"/>
  <c r="D32" i="11"/>
  <c r="D34" i="11"/>
  <c r="D36" i="11"/>
  <c r="D38" i="11"/>
  <c r="D40" i="11"/>
  <c r="D42" i="11"/>
  <c r="D46" i="11"/>
  <c r="D54" i="11"/>
  <c r="M60" i="11"/>
  <c r="C60" i="11"/>
  <c r="K60" i="11" s="1"/>
  <c r="M66" i="11"/>
  <c r="C66" i="11"/>
  <c r="K66" i="11" s="1"/>
  <c r="M72" i="11"/>
  <c r="C72" i="11"/>
  <c r="K72" i="11" s="1"/>
  <c r="M78" i="11"/>
  <c r="C78" i="11"/>
  <c r="K78" i="11" s="1"/>
  <c r="M84" i="11"/>
  <c r="C84" i="11"/>
  <c r="K84" i="11" s="1"/>
  <c r="M93" i="11"/>
  <c r="C93" i="11"/>
  <c r="K93" i="11" s="1"/>
  <c r="C98" i="11"/>
  <c r="M98" i="11"/>
  <c r="AO15" i="12"/>
  <c r="AM13" i="12"/>
  <c r="AM8" i="12" s="1"/>
  <c r="AM7" i="12" s="1"/>
  <c r="M18" i="12"/>
  <c r="C23" i="12"/>
  <c r="K23" i="12" s="1"/>
  <c r="M23" i="12"/>
  <c r="J27" i="12"/>
  <c r="C34" i="12"/>
  <c r="K34" i="12" s="1"/>
  <c r="M34" i="12"/>
  <c r="AI31" i="12"/>
  <c r="AK35" i="12"/>
  <c r="C36" i="12"/>
  <c r="M36" i="12"/>
  <c r="C47" i="12"/>
  <c r="K47" i="12" s="1"/>
  <c r="K49" i="12"/>
  <c r="AS50" i="12"/>
  <c r="Y53" i="12"/>
  <c r="W52" i="12"/>
  <c r="U54" i="12"/>
  <c r="R52" i="12"/>
  <c r="AS54" i="12"/>
  <c r="AP52" i="12"/>
  <c r="BC52" i="12"/>
  <c r="BE55" i="12"/>
  <c r="N56" i="12"/>
  <c r="T52" i="12"/>
  <c r="C59" i="12"/>
  <c r="K59" i="12" s="1"/>
  <c r="M59" i="12"/>
  <c r="C60" i="12"/>
  <c r="K60" i="12" s="1"/>
  <c r="M60" i="12"/>
  <c r="BA63" i="12"/>
  <c r="Y65" i="12"/>
  <c r="C69" i="12"/>
  <c r="J69" i="12"/>
  <c r="C71" i="12"/>
  <c r="K71" i="12" s="1"/>
  <c r="M71" i="12"/>
  <c r="N72" i="12"/>
  <c r="BA75" i="12"/>
  <c r="Y76" i="12"/>
  <c r="V74" i="12"/>
  <c r="Y74" i="12" s="1"/>
  <c r="AW76" i="12"/>
  <c r="AT74" i="12"/>
  <c r="AW74" i="12" s="1"/>
  <c r="D77" i="12"/>
  <c r="E74" i="12"/>
  <c r="D78" i="12"/>
  <c r="F74" i="12"/>
  <c r="BE79" i="12"/>
  <c r="AW83" i="12"/>
  <c r="BA87" i="12"/>
  <c r="C97" i="12"/>
  <c r="K97" i="12" s="1"/>
  <c r="M97" i="12"/>
  <c r="M17" i="13"/>
  <c r="C17" i="13"/>
  <c r="K17" i="13" s="1"/>
  <c r="C21" i="13"/>
  <c r="K21" i="13" s="1"/>
  <c r="M21" i="13"/>
  <c r="W21" i="13"/>
  <c r="Z24" i="13"/>
  <c r="N25" i="13"/>
  <c r="C30" i="13"/>
  <c r="K30" i="13" s="1"/>
  <c r="L31" i="13"/>
  <c r="J31" i="13" s="1"/>
  <c r="S31" i="13"/>
  <c r="T31" i="13" s="1"/>
  <c r="C34" i="13"/>
  <c r="J34" i="13"/>
  <c r="C38" i="13"/>
  <c r="K38" i="13" s="1"/>
  <c r="M38" i="13"/>
  <c r="M41" i="13"/>
  <c r="C41" i="13"/>
  <c r="D43" i="13"/>
  <c r="S52" i="13"/>
  <c r="M65" i="14"/>
  <c r="C65" i="14"/>
  <c r="K65" i="14" s="1"/>
  <c r="C75" i="14"/>
  <c r="K75" i="14" s="1"/>
  <c r="M75" i="14"/>
  <c r="M19" i="15"/>
  <c r="C19" i="15"/>
  <c r="K19" i="15" s="1"/>
  <c r="M31" i="15"/>
  <c r="C31" i="15"/>
  <c r="K31" i="15" s="1"/>
  <c r="C63" i="15"/>
  <c r="K63" i="15" s="1"/>
  <c r="M63" i="15"/>
  <c r="C14" i="12"/>
  <c r="K14" i="12" s="1"/>
  <c r="U14" i="12"/>
  <c r="AG14" i="12"/>
  <c r="AS14" i="12"/>
  <c r="BE14" i="12"/>
  <c r="AS32" i="12"/>
  <c r="BE32" i="12"/>
  <c r="C50" i="12"/>
  <c r="K50" i="12" s="1"/>
  <c r="L89" i="12"/>
  <c r="L9" i="12" s="1"/>
  <c r="J9" i="12" s="1"/>
  <c r="G13" i="13"/>
  <c r="Y31" i="13"/>
  <c r="N55" i="13"/>
  <c r="N73" i="13"/>
  <c r="G74" i="13"/>
  <c r="O74" i="13"/>
  <c r="X74" i="13"/>
  <c r="AE74" i="13"/>
  <c r="M78" i="13"/>
  <c r="M82" i="13"/>
  <c r="H89" i="13"/>
  <c r="H9" i="13" s="1"/>
  <c r="N9" i="13" s="1"/>
  <c r="P89" i="13"/>
  <c r="C93" i="13"/>
  <c r="K93" i="13" s="1"/>
  <c r="M93" i="13"/>
  <c r="C99" i="13"/>
  <c r="K99" i="13" s="1"/>
  <c r="M99" i="13"/>
  <c r="C105" i="13"/>
  <c r="K105" i="13" s="1"/>
  <c r="M105" i="13"/>
  <c r="AC13" i="14"/>
  <c r="J14" i="14"/>
  <c r="L13" i="14"/>
  <c r="C25" i="14"/>
  <c r="K25" i="14" s="1"/>
  <c r="M25" i="14"/>
  <c r="U32" i="14"/>
  <c r="R31" i="14"/>
  <c r="C37" i="14"/>
  <c r="K37" i="14" s="1"/>
  <c r="M37" i="14"/>
  <c r="P39" i="14"/>
  <c r="C39" i="14"/>
  <c r="K39" i="14" s="1"/>
  <c r="Z52" i="14"/>
  <c r="Q53" i="14"/>
  <c r="I52" i="14"/>
  <c r="Q52" i="14" s="1"/>
  <c r="AC52" i="14"/>
  <c r="G52" i="14"/>
  <c r="P52" i="14" s="1"/>
  <c r="N56" i="14"/>
  <c r="U58" i="14"/>
  <c r="C60" i="14"/>
  <c r="K60" i="14" s="1"/>
  <c r="M60" i="14"/>
  <c r="C66" i="14"/>
  <c r="K66" i="14" s="1"/>
  <c r="M66" i="14"/>
  <c r="C68" i="14"/>
  <c r="K68" i="14" s="1"/>
  <c r="M68" i="14"/>
  <c r="N70" i="14"/>
  <c r="P75" i="14"/>
  <c r="G74" i="14"/>
  <c r="P74" i="14" s="1"/>
  <c r="R9" i="14"/>
  <c r="C107" i="14"/>
  <c r="K107" i="14" s="1"/>
  <c r="M107" i="14"/>
  <c r="C34" i="15"/>
  <c r="K34" i="15" s="1"/>
  <c r="M34" i="15"/>
  <c r="C100" i="15"/>
  <c r="K100" i="15" s="1"/>
  <c r="M100" i="15"/>
  <c r="S13" i="16"/>
  <c r="V14" i="16"/>
  <c r="C17" i="16"/>
  <c r="K17" i="16" s="1"/>
  <c r="M17" i="16"/>
  <c r="S31" i="16"/>
  <c r="V31" i="16" s="1"/>
  <c r="H13" i="13"/>
  <c r="H31" i="13"/>
  <c r="E52" i="13"/>
  <c r="P53" i="13"/>
  <c r="C64" i="13"/>
  <c r="W66" i="13"/>
  <c r="D67" i="13"/>
  <c r="C69" i="13"/>
  <c r="K69" i="13" s="1"/>
  <c r="C70" i="13"/>
  <c r="J70" i="13"/>
  <c r="T72" i="13"/>
  <c r="P75" i="13"/>
  <c r="Y74" i="13"/>
  <c r="N76" i="13"/>
  <c r="C77" i="13"/>
  <c r="K77" i="13" s="1"/>
  <c r="M77" i="13"/>
  <c r="Z78" i="13"/>
  <c r="W84" i="13"/>
  <c r="D85" i="13"/>
  <c r="D14" i="14"/>
  <c r="O13" i="14"/>
  <c r="Y14" i="14"/>
  <c r="AB13" i="14"/>
  <c r="C23" i="14"/>
  <c r="K23" i="14" s="1"/>
  <c r="J23" i="14"/>
  <c r="N26" i="14"/>
  <c r="P27" i="14"/>
  <c r="C27" i="14"/>
  <c r="K27" i="14" s="1"/>
  <c r="H31" i="14"/>
  <c r="P33" i="14"/>
  <c r="C33" i="14"/>
  <c r="K33" i="14" s="1"/>
  <c r="G31" i="14"/>
  <c r="P31" i="14" s="1"/>
  <c r="AE31" i="14"/>
  <c r="C35" i="14"/>
  <c r="K35" i="14" s="1"/>
  <c r="J35" i="14"/>
  <c r="U40" i="14"/>
  <c r="M42" i="14"/>
  <c r="D44" i="14"/>
  <c r="Y44" i="14"/>
  <c r="L52" i="14"/>
  <c r="N52" i="14" s="1"/>
  <c r="AD52" i="14"/>
  <c r="D62" i="14"/>
  <c r="Y68" i="14"/>
  <c r="M69" i="14"/>
  <c r="C73" i="14"/>
  <c r="K73" i="14" s="1"/>
  <c r="M73" i="14"/>
  <c r="V75" i="14"/>
  <c r="S74" i="14"/>
  <c r="C78" i="14"/>
  <c r="K78" i="14" s="1"/>
  <c r="M78" i="14"/>
  <c r="K104" i="14"/>
  <c r="V8" i="15"/>
  <c r="AE9" i="15"/>
  <c r="AB7" i="15"/>
  <c r="AE7" i="15" s="1"/>
  <c r="C17" i="15"/>
  <c r="K17" i="15" s="1"/>
  <c r="M17" i="15"/>
  <c r="CZ15" i="16"/>
  <c r="CV13" i="16"/>
  <c r="G52" i="12"/>
  <c r="P52" i="12" s="1"/>
  <c r="C72" i="13"/>
  <c r="K72" i="13" s="1"/>
  <c r="C97" i="13"/>
  <c r="K97" i="13" s="1"/>
  <c r="M97" i="13"/>
  <c r="C103" i="13"/>
  <c r="K103" i="13" s="1"/>
  <c r="M103" i="13"/>
  <c r="F13" i="14"/>
  <c r="AA12" i="14"/>
  <c r="P21" i="14"/>
  <c r="C21" i="14"/>
  <c r="K21" i="14" s="1"/>
  <c r="C30" i="14"/>
  <c r="K30" i="14" s="1"/>
  <c r="M30" i="14"/>
  <c r="AD31" i="14"/>
  <c r="V33" i="14"/>
  <c r="S31" i="14"/>
  <c r="C49" i="14"/>
  <c r="K49" i="14" s="1"/>
  <c r="M49" i="14"/>
  <c r="P51" i="14"/>
  <c r="C51" i="14"/>
  <c r="K51" i="14" s="1"/>
  <c r="O52" i="14"/>
  <c r="S52" i="14"/>
  <c r="V52" i="14" s="1"/>
  <c r="AB52" i="14"/>
  <c r="M51" i="15"/>
  <c r="C51" i="15"/>
  <c r="K51" i="15" s="1"/>
  <c r="C14" i="16"/>
  <c r="K14" i="16" s="1"/>
  <c r="M14" i="16"/>
  <c r="AQ8" i="16"/>
  <c r="AQ7" i="16" s="1"/>
  <c r="C23" i="16"/>
  <c r="K23" i="16" s="1"/>
  <c r="M23" i="16"/>
  <c r="BR33" i="16"/>
  <c r="BO31" i="16"/>
  <c r="M45" i="16"/>
  <c r="C45" i="16"/>
  <c r="K45" i="16" s="1"/>
  <c r="T57" i="13"/>
  <c r="M62" i="13"/>
  <c r="Z66" i="13"/>
  <c r="M68" i="13"/>
  <c r="C68" i="13"/>
  <c r="K68" i="13" s="1"/>
  <c r="W72" i="13"/>
  <c r="D73" i="13"/>
  <c r="C75" i="13"/>
  <c r="K75" i="13" s="1"/>
  <c r="S74" i="13"/>
  <c r="T74" i="13" s="1"/>
  <c r="AB74" i="13"/>
  <c r="J76" i="13"/>
  <c r="T78" i="13"/>
  <c r="N82" i="13"/>
  <c r="C83" i="13"/>
  <c r="M83" i="13"/>
  <c r="Z84" i="13"/>
  <c r="M86" i="13"/>
  <c r="C86" i="13"/>
  <c r="K86" i="13" s="1"/>
  <c r="U14" i="14"/>
  <c r="R13" i="14"/>
  <c r="C17" i="14"/>
  <c r="K17" i="14" s="1"/>
  <c r="J17" i="14"/>
  <c r="U22" i="14"/>
  <c r="C24" i="14"/>
  <c r="K24" i="14" s="1"/>
  <c r="M24" i="14"/>
  <c r="AC31" i="14"/>
  <c r="J32" i="14"/>
  <c r="L31" i="14"/>
  <c r="X31" i="14"/>
  <c r="C36" i="14"/>
  <c r="K36" i="14" s="1"/>
  <c r="M36" i="14"/>
  <c r="D38" i="14"/>
  <c r="Y38" i="14"/>
  <c r="F52" i="14"/>
  <c r="R52" i="14"/>
  <c r="U52" i="14" s="1"/>
  <c r="C54" i="14"/>
  <c r="K54" i="14" s="1"/>
  <c r="M54" i="14"/>
  <c r="D56" i="14"/>
  <c r="Y56" i="14"/>
  <c r="M61" i="14"/>
  <c r="C67" i="14"/>
  <c r="K67" i="14" s="1"/>
  <c r="M67" i="14"/>
  <c r="N68" i="14"/>
  <c r="AB74" i="14"/>
  <c r="V76" i="14"/>
  <c r="T74" i="14"/>
  <c r="U74" i="14" s="1"/>
  <c r="K80" i="14"/>
  <c r="C92" i="14"/>
  <c r="K92" i="14" s="1"/>
  <c r="M92" i="14"/>
  <c r="M96" i="14"/>
  <c r="C96" i="14"/>
  <c r="K96" i="14" s="1"/>
  <c r="AI13" i="15"/>
  <c r="AF8" i="15"/>
  <c r="AI8" i="15" s="1"/>
  <c r="S9" i="15"/>
  <c r="V9" i="15" s="1"/>
  <c r="V89" i="15"/>
  <c r="G89" i="11"/>
  <c r="G9" i="11" s="1"/>
  <c r="P9" i="11" s="1"/>
  <c r="W60" i="13"/>
  <c r="D61" i="13"/>
  <c r="J61" i="13"/>
  <c r="Z63" i="13"/>
  <c r="M65" i="13"/>
  <c r="N67" i="13"/>
  <c r="Z69" i="13"/>
  <c r="M72" i="13"/>
  <c r="L74" i="13"/>
  <c r="W75" i="13"/>
  <c r="D76" i="13"/>
  <c r="J79" i="13"/>
  <c r="T81" i="13"/>
  <c r="P87" i="13"/>
  <c r="C87" i="13"/>
  <c r="K87" i="13" s="1"/>
  <c r="T87" i="13"/>
  <c r="N90" i="13"/>
  <c r="C95" i="13"/>
  <c r="K95" i="13" s="1"/>
  <c r="M95" i="13"/>
  <c r="C101" i="13"/>
  <c r="K101" i="13" s="1"/>
  <c r="C107" i="13"/>
  <c r="K107" i="13" s="1"/>
  <c r="M107" i="13"/>
  <c r="P15" i="14"/>
  <c r="C15" i="14"/>
  <c r="K15" i="14" s="1"/>
  <c r="G13" i="14"/>
  <c r="AE13" i="14"/>
  <c r="D26" i="14"/>
  <c r="D32" i="14"/>
  <c r="O31" i="14"/>
  <c r="AB31" i="14"/>
  <c r="P45" i="14"/>
  <c r="C45" i="14"/>
  <c r="K45" i="14" s="1"/>
  <c r="AA52" i="14"/>
  <c r="C57" i="14"/>
  <c r="K57" i="14" s="1"/>
  <c r="J59" i="14"/>
  <c r="N62" i="14"/>
  <c r="J65" i="14"/>
  <c r="U70" i="14"/>
  <c r="C72" i="14"/>
  <c r="K72" i="14" s="1"/>
  <c r="M72" i="14"/>
  <c r="C79" i="14"/>
  <c r="K79" i="14" s="1"/>
  <c r="M79" i="14"/>
  <c r="N89" i="14"/>
  <c r="C49" i="15"/>
  <c r="K49" i="15" s="1"/>
  <c r="M49" i="15"/>
  <c r="DE13" i="16"/>
  <c r="DE8" i="16" s="1"/>
  <c r="DE7" i="16" s="1"/>
  <c r="C20" i="16"/>
  <c r="K20" i="16" s="1"/>
  <c r="M20" i="16"/>
  <c r="AQ31" i="16"/>
  <c r="AW31" i="16"/>
  <c r="AX31" i="16" s="1"/>
  <c r="I74" i="13"/>
  <c r="U74" i="13"/>
  <c r="W74" i="13" s="1"/>
  <c r="T75" i="13"/>
  <c r="Z75" i="13"/>
  <c r="C90" i="13"/>
  <c r="C92" i="13"/>
  <c r="K92" i="13" s="1"/>
  <c r="C94" i="13"/>
  <c r="K94" i="13" s="1"/>
  <c r="C96" i="13"/>
  <c r="C98" i="13"/>
  <c r="K98" i="13" s="1"/>
  <c r="C100" i="13"/>
  <c r="K100" i="13" s="1"/>
  <c r="C102" i="13"/>
  <c r="K102" i="13" s="1"/>
  <c r="C104" i="13"/>
  <c r="K104" i="13" s="1"/>
  <c r="C106" i="13"/>
  <c r="K106" i="13" s="1"/>
  <c r="C108" i="13"/>
  <c r="K108" i="13" s="1"/>
  <c r="C16" i="14"/>
  <c r="K16" i="14" s="1"/>
  <c r="C22" i="14"/>
  <c r="K22" i="14" s="1"/>
  <c r="C28" i="14"/>
  <c r="K28" i="14" s="1"/>
  <c r="C34" i="14"/>
  <c r="K34" i="14" s="1"/>
  <c r="C40" i="14"/>
  <c r="K40" i="14" s="1"/>
  <c r="C46" i="14"/>
  <c r="K46" i="14" s="1"/>
  <c r="D53" i="14"/>
  <c r="J53" i="14"/>
  <c r="C58" i="14"/>
  <c r="K58" i="14" s="1"/>
  <c r="C64" i="14"/>
  <c r="K64" i="14" s="1"/>
  <c r="C70" i="14"/>
  <c r="K70" i="14" s="1"/>
  <c r="C76" i="14"/>
  <c r="K76" i="14" s="1"/>
  <c r="D77" i="14"/>
  <c r="N80" i="14"/>
  <c r="N83" i="14"/>
  <c r="D85" i="14"/>
  <c r="J85" i="14"/>
  <c r="M86" i="14"/>
  <c r="U87" i="14"/>
  <c r="C88" i="14"/>
  <c r="K88" i="14" s="1"/>
  <c r="G89" i="14"/>
  <c r="G9" i="14" s="1"/>
  <c r="P9" i="14" s="1"/>
  <c r="H89" i="14"/>
  <c r="H9" i="14" s="1"/>
  <c r="D91" i="14"/>
  <c r="J91" i="14"/>
  <c r="J101" i="14"/>
  <c r="M104" i="14"/>
  <c r="J8" i="15"/>
  <c r="AH8" i="15"/>
  <c r="AK8" i="15" s="1"/>
  <c r="M22" i="15"/>
  <c r="C22" i="15"/>
  <c r="K22" i="15" s="1"/>
  <c r="M36" i="15"/>
  <c r="C36" i="15"/>
  <c r="K36" i="15" s="1"/>
  <c r="M43" i="15"/>
  <c r="D52" i="15"/>
  <c r="M53" i="15"/>
  <c r="C53" i="15"/>
  <c r="K53" i="15" s="1"/>
  <c r="M65" i="15"/>
  <c r="C65" i="15"/>
  <c r="K65" i="15" s="1"/>
  <c r="M69" i="15"/>
  <c r="M77" i="15"/>
  <c r="M80" i="15"/>
  <c r="M83" i="15"/>
  <c r="D89" i="15"/>
  <c r="D9" i="15" s="1"/>
  <c r="M97" i="15"/>
  <c r="M89" i="15" s="1"/>
  <c r="C98" i="15"/>
  <c r="CN7" i="16"/>
  <c r="CN9" i="16"/>
  <c r="G13" i="16"/>
  <c r="Z13" i="16"/>
  <c r="AX14" i="16"/>
  <c r="AX17" i="16"/>
  <c r="AX20" i="16"/>
  <c r="Z22" i="16"/>
  <c r="AX23" i="16"/>
  <c r="AX28" i="16"/>
  <c r="C29" i="16"/>
  <c r="K29" i="16" s="1"/>
  <c r="Z30" i="16"/>
  <c r="C32" i="16"/>
  <c r="K32" i="16" s="1"/>
  <c r="AL32" i="16"/>
  <c r="Z33" i="16"/>
  <c r="CZ33" i="16"/>
  <c r="CZ34" i="16"/>
  <c r="CZ37" i="16"/>
  <c r="CZ38" i="16"/>
  <c r="C40" i="16"/>
  <c r="M40" i="16"/>
  <c r="AC31" i="16"/>
  <c r="AC8" i="16" s="1"/>
  <c r="AC7" i="16" s="1"/>
  <c r="AZ31" i="16"/>
  <c r="N14" i="14"/>
  <c r="N32" i="14"/>
  <c r="O89" i="14"/>
  <c r="O9" i="14" s="1"/>
  <c r="J9" i="14" s="1"/>
  <c r="Y9" i="15"/>
  <c r="W7" i="15"/>
  <c r="Y7" i="15" s="1"/>
  <c r="AC13" i="15"/>
  <c r="Z8" i="15"/>
  <c r="AC8" i="15" s="1"/>
  <c r="M25" i="15"/>
  <c r="C25" i="15"/>
  <c r="K25" i="15" s="1"/>
  <c r="M39" i="15"/>
  <c r="C39" i="15"/>
  <c r="K39" i="15" s="1"/>
  <c r="M56" i="15"/>
  <c r="C56" i="15"/>
  <c r="K56" i="15" s="1"/>
  <c r="AJ31" i="16"/>
  <c r="AN40" i="16"/>
  <c r="C41" i="16"/>
  <c r="K41" i="16" s="1"/>
  <c r="M41" i="16"/>
  <c r="BE31" i="16"/>
  <c r="BK31" i="16"/>
  <c r="BQ31" i="16"/>
  <c r="M43" i="16"/>
  <c r="BC52" i="16"/>
  <c r="BI52" i="16"/>
  <c r="BI74" i="16"/>
  <c r="V77" i="16"/>
  <c r="S74" i="16"/>
  <c r="V74" i="16" s="1"/>
  <c r="N13" i="17"/>
  <c r="T13" i="14"/>
  <c r="Z13" i="14"/>
  <c r="T31" i="14"/>
  <c r="Z31" i="14"/>
  <c r="I74" i="14"/>
  <c r="Q74" i="14" s="1"/>
  <c r="C84" i="14"/>
  <c r="K84" i="14" s="1"/>
  <c r="M90" i="14"/>
  <c r="C90" i="14"/>
  <c r="Q89" i="14"/>
  <c r="J94" i="14"/>
  <c r="C99" i="14"/>
  <c r="K99" i="14" s="1"/>
  <c r="M42" i="15"/>
  <c r="C42" i="15"/>
  <c r="K42" i="15" s="1"/>
  <c r="M68" i="15"/>
  <c r="C68" i="15"/>
  <c r="K68" i="15" s="1"/>
  <c r="N98" i="15"/>
  <c r="N89" i="15" s="1"/>
  <c r="H89" i="15"/>
  <c r="H9" i="15" s="1"/>
  <c r="Z14" i="16"/>
  <c r="AX15" i="16"/>
  <c r="Z17" i="16"/>
  <c r="AX18" i="16"/>
  <c r="Z20" i="16"/>
  <c r="Z23" i="16"/>
  <c r="AX24" i="16"/>
  <c r="AX26" i="16"/>
  <c r="C27" i="16"/>
  <c r="K27" i="16" s="1"/>
  <c r="AL27" i="16"/>
  <c r="Z28" i="16"/>
  <c r="CZ28" i="16"/>
  <c r="CU31" i="16"/>
  <c r="CX39" i="16"/>
  <c r="Z40" i="16"/>
  <c r="W31" i="16"/>
  <c r="V53" i="16"/>
  <c r="S52" i="16"/>
  <c r="V52" i="16" s="1"/>
  <c r="CY52" i="16"/>
  <c r="BC74" i="16"/>
  <c r="BR76" i="16"/>
  <c r="BO74" i="16"/>
  <c r="BR74" i="16" s="1"/>
  <c r="I13" i="14"/>
  <c r="I31" i="14"/>
  <c r="Q31" i="14" s="1"/>
  <c r="D82" i="14"/>
  <c r="J82" i="14"/>
  <c r="Y85" i="14"/>
  <c r="E89" i="14"/>
  <c r="E9" i="14" s="1"/>
  <c r="D94" i="14"/>
  <c r="M98" i="14"/>
  <c r="M102" i="14"/>
  <c r="J103" i="14"/>
  <c r="D106" i="14"/>
  <c r="J106" i="14"/>
  <c r="C108" i="14"/>
  <c r="K108" i="14" s="1"/>
  <c r="AB8" i="15"/>
  <c r="AE8" i="15" s="1"/>
  <c r="AN9" i="15"/>
  <c r="Q13" i="15"/>
  <c r="I8" i="15"/>
  <c r="T8" i="15"/>
  <c r="T7" i="15" s="1"/>
  <c r="AN13" i="15"/>
  <c r="AL8" i="15"/>
  <c r="AN8" i="15" s="1"/>
  <c r="M28" i="15"/>
  <c r="C28" i="15"/>
  <c r="K28" i="15" s="1"/>
  <c r="M45" i="15"/>
  <c r="C45" i="15"/>
  <c r="K45" i="15" s="1"/>
  <c r="M59" i="15"/>
  <c r="C59" i="15"/>
  <c r="K59" i="15" s="1"/>
  <c r="M71" i="15"/>
  <c r="C71" i="15"/>
  <c r="K71" i="15" s="1"/>
  <c r="L89" i="15"/>
  <c r="L9" i="15" s="1"/>
  <c r="J9" i="15" s="1"/>
  <c r="J98" i="15"/>
  <c r="J89" i="15" s="1"/>
  <c r="V98" i="15"/>
  <c r="M106" i="15"/>
  <c r="M15" i="16"/>
  <c r="AL15" i="16"/>
  <c r="M18" i="16"/>
  <c r="AL18" i="16"/>
  <c r="M21" i="16"/>
  <c r="M24" i="16"/>
  <c r="AL24" i="16"/>
  <c r="AL26" i="16"/>
  <c r="Z27" i="16"/>
  <c r="AX34" i="16"/>
  <c r="AB42" i="16"/>
  <c r="X31" i="16"/>
  <c r="AM31" i="16"/>
  <c r="M47" i="16"/>
  <c r="C47" i="16"/>
  <c r="K47" i="16" s="1"/>
  <c r="AE74" i="16"/>
  <c r="AE8" i="16" s="1"/>
  <c r="AE7" i="16" s="1"/>
  <c r="AK74" i="16"/>
  <c r="AK8" i="16" s="1"/>
  <c r="AK7" i="16" s="1"/>
  <c r="I89" i="14"/>
  <c r="I9" i="14" s="1"/>
  <c r="Q9" i="14" s="1"/>
  <c r="V100" i="14"/>
  <c r="T89" i="14"/>
  <c r="U89" i="14" s="1"/>
  <c r="D103" i="14"/>
  <c r="R8" i="15"/>
  <c r="AK9" i="15"/>
  <c r="AH7" i="15"/>
  <c r="AK7" i="15" s="1"/>
  <c r="C14" i="15"/>
  <c r="K14" i="15" s="1"/>
  <c r="D13" i="15"/>
  <c r="M16" i="15"/>
  <c r="C16" i="15"/>
  <c r="K16" i="15" s="1"/>
  <c r="M23" i="15"/>
  <c r="M33" i="15"/>
  <c r="C33" i="15"/>
  <c r="K33" i="15" s="1"/>
  <c r="M37" i="15"/>
  <c r="M48" i="15"/>
  <c r="C48" i="15"/>
  <c r="K48" i="15" s="1"/>
  <c r="M54" i="15"/>
  <c r="M62" i="15"/>
  <c r="C62" i="15"/>
  <c r="K62" i="15" s="1"/>
  <c r="M66" i="15"/>
  <c r="C34" i="16"/>
  <c r="K34" i="16" s="1"/>
  <c r="C35" i="16"/>
  <c r="K35" i="16" s="1"/>
  <c r="C36" i="16"/>
  <c r="K36" i="16" s="1"/>
  <c r="C37" i="16"/>
  <c r="K37" i="16" s="1"/>
  <c r="C38" i="16"/>
  <c r="K38" i="16" s="1"/>
  <c r="AG8" i="16"/>
  <c r="AG7" i="16" s="1"/>
  <c r="BB31" i="16"/>
  <c r="BB8" i="16" s="1"/>
  <c r="BB7" i="16" s="1"/>
  <c r="BH31" i="16"/>
  <c r="BN31" i="16"/>
  <c r="CA74" i="16"/>
  <c r="CA8" i="16" s="1"/>
  <c r="CA7" i="16" s="1"/>
  <c r="V94" i="16"/>
  <c r="S89" i="16"/>
  <c r="D97" i="16"/>
  <c r="E89" i="16"/>
  <c r="E9" i="16" s="1"/>
  <c r="N43" i="16"/>
  <c r="N45" i="16"/>
  <c r="N47" i="16"/>
  <c r="AL52" i="16"/>
  <c r="C53" i="16"/>
  <c r="M53" i="16"/>
  <c r="M56" i="16"/>
  <c r="M66" i="16"/>
  <c r="M69" i="16"/>
  <c r="M73" i="16"/>
  <c r="C82" i="16"/>
  <c r="K82" i="16" s="1"/>
  <c r="N84" i="16"/>
  <c r="H74" i="16"/>
  <c r="AN84" i="16"/>
  <c r="AJ74" i="16"/>
  <c r="AN74" i="16" s="1"/>
  <c r="Q86" i="16"/>
  <c r="I74" i="16"/>
  <c r="CK74" i="16"/>
  <c r="CN74" i="16" s="1"/>
  <c r="CN86" i="16"/>
  <c r="M93" i="16"/>
  <c r="U98" i="16"/>
  <c r="R89" i="16"/>
  <c r="C108" i="16"/>
  <c r="K108" i="16" s="1"/>
  <c r="M108" i="16"/>
  <c r="C51" i="22"/>
  <c r="K51" i="22" s="1"/>
  <c r="M51" i="22"/>
  <c r="W8" i="15"/>
  <c r="Y8" i="15" s="1"/>
  <c r="C76" i="15"/>
  <c r="K76" i="15" s="1"/>
  <c r="C79" i="15"/>
  <c r="K79" i="15" s="1"/>
  <c r="C82" i="15"/>
  <c r="K82" i="15" s="1"/>
  <c r="C85" i="15"/>
  <c r="K85" i="15" s="1"/>
  <c r="C88" i="15"/>
  <c r="K88" i="15" s="1"/>
  <c r="C90" i="15"/>
  <c r="C93" i="15"/>
  <c r="K93" i="15" s="1"/>
  <c r="C96" i="15"/>
  <c r="K96" i="15" s="1"/>
  <c r="C99" i="15"/>
  <c r="K99" i="15" s="1"/>
  <c r="C102" i="15"/>
  <c r="K102" i="15" s="1"/>
  <c r="C105" i="15"/>
  <c r="K105" i="15" s="1"/>
  <c r="C108" i="15"/>
  <c r="K108" i="15" s="1"/>
  <c r="E31" i="16"/>
  <c r="AI31" i="16"/>
  <c r="BS31" i="16"/>
  <c r="CK31" i="16"/>
  <c r="AX39" i="16"/>
  <c r="N40" i="16"/>
  <c r="AX40" i="16"/>
  <c r="N41" i="16"/>
  <c r="AX41" i="16"/>
  <c r="BR41" i="16"/>
  <c r="CZ41" i="16"/>
  <c r="M42" i="16"/>
  <c r="AN42" i="16"/>
  <c r="AX43" i="16"/>
  <c r="BR43" i="16"/>
  <c r="CZ43" i="16"/>
  <c r="M44" i="16"/>
  <c r="AN44" i="16"/>
  <c r="AX45" i="16"/>
  <c r="BR45" i="16"/>
  <c r="CZ45" i="16"/>
  <c r="M46" i="16"/>
  <c r="AN46" i="16"/>
  <c r="BR47" i="16"/>
  <c r="AZ48" i="16"/>
  <c r="CZ53" i="16"/>
  <c r="C71" i="16"/>
  <c r="K71" i="16" s="1"/>
  <c r="M71" i="16"/>
  <c r="AX78" i="16"/>
  <c r="W74" i="16"/>
  <c r="Z74" i="16" s="1"/>
  <c r="Z84" i="16"/>
  <c r="J85" i="16"/>
  <c r="L74" i="16"/>
  <c r="M91" i="16"/>
  <c r="C91" i="16"/>
  <c r="K91" i="16" s="1"/>
  <c r="M20" i="17"/>
  <c r="C20" i="17"/>
  <c r="K20" i="17" s="1"/>
  <c r="L31" i="16"/>
  <c r="N31" i="16" s="1"/>
  <c r="M55" i="16"/>
  <c r="M62" i="16"/>
  <c r="K67" i="16"/>
  <c r="M67" i="16"/>
  <c r="M75" i="16"/>
  <c r="CP83" i="16"/>
  <c r="CL74" i="16"/>
  <c r="D85" i="16"/>
  <c r="E74" i="16"/>
  <c r="M88" i="16"/>
  <c r="C88" i="16"/>
  <c r="K88" i="16" s="1"/>
  <c r="C90" i="16"/>
  <c r="M90" i="16"/>
  <c r="M100" i="16"/>
  <c r="C100" i="16"/>
  <c r="K100" i="16" s="1"/>
  <c r="M103" i="16"/>
  <c r="C103" i="16"/>
  <c r="K103" i="16" s="1"/>
  <c r="T31" i="17"/>
  <c r="R9" i="15"/>
  <c r="U9" i="15" s="1"/>
  <c r="AX42" i="16"/>
  <c r="BR42" i="16"/>
  <c r="AN43" i="16"/>
  <c r="AX44" i="16"/>
  <c r="BR44" i="16"/>
  <c r="AN45" i="16"/>
  <c r="AX46" i="16"/>
  <c r="BR46" i="16"/>
  <c r="Z48" i="16"/>
  <c r="AL50" i="16"/>
  <c r="C51" i="16"/>
  <c r="K51" i="16" s="1"/>
  <c r="M51" i="16"/>
  <c r="Z51" i="16"/>
  <c r="G52" i="16"/>
  <c r="P52" i="16" s="1"/>
  <c r="BO52" i="16"/>
  <c r="AL53" i="16"/>
  <c r="C54" i="16"/>
  <c r="K54" i="16" s="1"/>
  <c r="M54" i="16"/>
  <c r="C57" i="16"/>
  <c r="K57" i="16" s="1"/>
  <c r="M57" i="16"/>
  <c r="M65" i="16"/>
  <c r="C68" i="16"/>
  <c r="K68" i="16" s="1"/>
  <c r="M68" i="16"/>
  <c r="AL69" i="16"/>
  <c r="C72" i="16"/>
  <c r="M72" i="16"/>
  <c r="G74" i="16"/>
  <c r="P74" i="16" s="1"/>
  <c r="C76" i="16"/>
  <c r="K76" i="16" s="1"/>
  <c r="M76" i="16"/>
  <c r="AL77" i="16"/>
  <c r="Z79" i="16"/>
  <c r="C80" i="16"/>
  <c r="K80" i="16" s="1"/>
  <c r="C83" i="16"/>
  <c r="K83" i="16" s="1"/>
  <c r="AU74" i="16"/>
  <c r="AX85" i="16"/>
  <c r="R74" i="16"/>
  <c r="U86" i="16"/>
  <c r="U88" i="16"/>
  <c r="O89" i="16"/>
  <c r="O9" i="16" s="1"/>
  <c r="J9" i="16" s="1"/>
  <c r="P94" i="17"/>
  <c r="P89" i="17" s="1"/>
  <c r="G89" i="17"/>
  <c r="G9" i="17" s="1"/>
  <c r="P9" i="17" s="1"/>
  <c r="M60" i="16"/>
  <c r="M64" i="16"/>
  <c r="K70" i="16"/>
  <c r="M70" i="16"/>
  <c r="M78" i="16"/>
  <c r="BT86" i="16"/>
  <c r="N88" i="16"/>
  <c r="M101" i="16"/>
  <c r="C101" i="16"/>
  <c r="K101" i="16" s="1"/>
  <c r="J54" i="17"/>
  <c r="L52" i="17"/>
  <c r="M64" i="17"/>
  <c r="C64" i="17"/>
  <c r="K64" i="17" s="1"/>
  <c r="V86" i="16"/>
  <c r="AZ88" i="16"/>
  <c r="BR88" i="16"/>
  <c r="Q92" i="16"/>
  <c r="Q89" i="16" s="1"/>
  <c r="T89" i="16"/>
  <c r="T9" i="16" s="1"/>
  <c r="U94" i="16"/>
  <c r="U100" i="16"/>
  <c r="N104" i="16"/>
  <c r="D107" i="16"/>
  <c r="O13" i="17"/>
  <c r="J13" i="17" s="1"/>
  <c r="G13" i="17"/>
  <c r="C28" i="17"/>
  <c r="K28" i="17" s="1"/>
  <c r="M28" i="17"/>
  <c r="P30" i="17"/>
  <c r="C30" i="17"/>
  <c r="K30" i="17" s="1"/>
  <c r="C36" i="17"/>
  <c r="K36" i="17" s="1"/>
  <c r="M36" i="17"/>
  <c r="E52" i="17"/>
  <c r="D53" i="17"/>
  <c r="V52" i="17"/>
  <c r="O52" i="17"/>
  <c r="AA52" i="17"/>
  <c r="P86" i="17"/>
  <c r="G74" i="17"/>
  <c r="P74" i="17" s="1"/>
  <c r="W25" i="21"/>
  <c r="V13" i="21"/>
  <c r="C84" i="16"/>
  <c r="D86" i="16"/>
  <c r="C95" i="16"/>
  <c r="K95" i="16" s="1"/>
  <c r="F13" i="17"/>
  <c r="M22" i="17"/>
  <c r="P24" i="17"/>
  <c r="C24" i="17"/>
  <c r="K24" i="17" s="1"/>
  <c r="C27" i="17"/>
  <c r="K27" i="17" s="1"/>
  <c r="D32" i="17"/>
  <c r="F31" i="17"/>
  <c r="W31" i="17"/>
  <c r="Y39" i="17"/>
  <c r="C41" i="17"/>
  <c r="K41" i="17" s="1"/>
  <c r="M41" i="17"/>
  <c r="J84" i="16"/>
  <c r="AB88" i="16"/>
  <c r="G89" i="16"/>
  <c r="G9" i="16" s="1"/>
  <c r="P9" i="16" s="1"/>
  <c r="C105" i="16"/>
  <c r="K105" i="16" s="1"/>
  <c r="R13" i="17"/>
  <c r="V13" i="17"/>
  <c r="D16" i="17"/>
  <c r="E13" i="17"/>
  <c r="P18" i="17"/>
  <c r="C18" i="17"/>
  <c r="K18" i="17" s="1"/>
  <c r="C21" i="17"/>
  <c r="K21" i="17" s="1"/>
  <c r="M21" i="17"/>
  <c r="D33" i="17"/>
  <c r="E31" i="17"/>
  <c r="C38" i="17"/>
  <c r="K38" i="17" s="1"/>
  <c r="M38" i="17"/>
  <c r="C45" i="17"/>
  <c r="K45" i="17" s="1"/>
  <c r="M45" i="17"/>
  <c r="C47" i="17"/>
  <c r="K47" i="17" s="1"/>
  <c r="M47" i="17"/>
  <c r="M69" i="17"/>
  <c r="C69" i="17"/>
  <c r="K69" i="17" s="1"/>
  <c r="C71" i="17"/>
  <c r="K71" i="17" s="1"/>
  <c r="J87" i="16"/>
  <c r="P90" i="16"/>
  <c r="P89" i="16" s="1"/>
  <c r="M96" i="16"/>
  <c r="C15" i="17"/>
  <c r="K15" i="17" s="1"/>
  <c r="M15" i="17"/>
  <c r="W13" i="17"/>
  <c r="Y16" i="17"/>
  <c r="C29" i="17"/>
  <c r="K29" i="17" s="1"/>
  <c r="R31" i="17"/>
  <c r="C102" i="17"/>
  <c r="K102" i="17" s="1"/>
  <c r="M102" i="17"/>
  <c r="N87" i="16"/>
  <c r="V88" i="16"/>
  <c r="H89" i="16"/>
  <c r="H9" i="16" s="1"/>
  <c r="N9" i="16" s="1"/>
  <c r="D92" i="16"/>
  <c r="J92" i="16"/>
  <c r="M105" i="16"/>
  <c r="Q14" i="17"/>
  <c r="I13" i="17"/>
  <c r="AA13" i="17"/>
  <c r="AB13" i="17"/>
  <c r="J20" i="17"/>
  <c r="D23" i="17"/>
  <c r="V32" i="17"/>
  <c r="M40" i="17"/>
  <c r="C40" i="17"/>
  <c r="K40" i="17" s="1"/>
  <c r="C65" i="17"/>
  <c r="K65" i="17" s="1"/>
  <c r="M65" i="17"/>
  <c r="M97" i="17"/>
  <c r="C97" i="17"/>
  <c r="K97" i="17" s="1"/>
  <c r="C98" i="17"/>
  <c r="K98" i="17" s="1"/>
  <c r="M98" i="17"/>
  <c r="J14" i="17"/>
  <c r="C19" i="17"/>
  <c r="K19" i="17" s="1"/>
  <c r="C25" i="17"/>
  <c r="K25" i="17" s="1"/>
  <c r="S31" i="17"/>
  <c r="AB31" i="17"/>
  <c r="C35" i="17"/>
  <c r="K35" i="17" s="1"/>
  <c r="D37" i="17"/>
  <c r="J37" i="17"/>
  <c r="F52" i="17"/>
  <c r="V56" i="17"/>
  <c r="D61" i="17"/>
  <c r="C70" i="17"/>
  <c r="K70" i="17" s="1"/>
  <c r="J75" i="17"/>
  <c r="H89" i="17"/>
  <c r="H9" i="17" s="1"/>
  <c r="D99" i="17"/>
  <c r="J89" i="18"/>
  <c r="C19" i="19"/>
  <c r="K19" i="19" s="1"/>
  <c r="M19" i="19"/>
  <c r="C24" i="20"/>
  <c r="K24" i="20" s="1"/>
  <c r="C50" i="22"/>
  <c r="K50" i="22" s="1"/>
  <c r="M50" i="22"/>
  <c r="J31" i="17"/>
  <c r="H31" i="17"/>
  <c r="N31" i="17" s="1"/>
  <c r="C42" i="17"/>
  <c r="K42" i="17" s="1"/>
  <c r="M42" i="17"/>
  <c r="M49" i="17"/>
  <c r="G52" i="17"/>
  <c r="P52" i="17" s="1"/>
  <c r="C72" i="17"/>
  <c r="K72" i="17" s="1"/>
  <c r="M72" i="17"/>
  <c r="O74" i="17"/>
  <c r="M79" i="17"/>
  <c r="I89" i="17"/>
  <c r="I9" i="17" s="1"/>
  <c r="Q9" i="17" s="1"/>
  <c r="Q90" i="17"/>
  <c r="Q89" i="17" s="1"/>
  <c r="C107" i="17"/>
  <c r="K107" i="17" s="1"/>
  <c r="M107" i="17"/>
  <c r="C9" i="18"/>
  <c r="K9" i="18" s="1"/>
  <c r="M9" i="18"/>
  <c r="J39" i="17"/>
  <c r="C44" i="17"/>
  <c r="K44" i="17" s="1"/>
  <c r="C48" i="17"/>
  <c r="K48" i="17" s="1"/>
  <c r="M48" i="17"/>
  <c r="AC52" i="17"/>
  <c r="AC8" i="17" s="1"/>
  <c r="AC7" i="17" s="1"/>
  <c r="H52" i="17"/>
  <c r="X52" i="17"/>
  <c r="C59" i="17"/>
  <c r="K59" i="17" s="1"/>
  <c r="M59" i="17"/>
  <c r="M63" i="17"/>
  <c r="C63" i="17"/>
  <c r="K63" i="17" s="1"/>
  <c r="K76" i="17"/>
  <c r="M77" i="17"/>
  <c r="AE74" i="17"/>
  <c r="M87" i="17"/>
  <c r="C87" i="17"/>
  <c r="K87" i="17" s="1"/>
  <c r="D92" i="17"/>
  <c r="E89" i="17"/>
  <c r="E9" i="17" s="1"/>
  <c r="C104" i="17"/>
  <c r="C108" i="17"/>
  <c r="K108" i="17" s="1"/>
  <c r="M108" i="17"/>
  <c r="Q13" i="18"/>
  <c r="I8" i="18"/>
  <c r="C24" i="19"/>
  <c r="K24" i="19" s="1"/>
  <c r="M24" i="19"/>
  <c r="C47" i="20"/>
  <c r="K47" i="20" s="1"/>
  <c r="M47" i="20"/>
  <c r="X31" i="17"/>
  <c r="U32" i="17"/>
  <c r="Y36" i="17"/>
  <c r="D43" i="17"/>
  <c r="J43" i="17"/>
  <c r="J51" i="17"/>
  <c r="Y53" i="17"/>
  <c r="W52" i="17"/>
  <c r="U54" i="17"/>
  <c r="R52" i="17"/>
  <c r="U52" i="17" s="1"/>
  <c r="Z52" i="17"/>
  <c r="D55" i="17"/>
  <c r="D67" i="17"/>
  <c r="C83" i="17"/>
  <c r="K83" i="17" s="1"/>
  <c r="M83" i="17"/>
  <c r="V86" i="17"/>
  <c r="M90" i="17"/>
  <c r="C90" i="17"/>
  <c r="N90" i="17"/>
  <c r="L89" i="17"/>
  <c r="L9" i="17" s="1"/>
  <c r="V101" i="17"/>
  <c r="S89" i="17"/>
  <c r="J31" i="18"/>
  <c r="L8" i="18"/>
  <c r="M26" i="19"/>
  <c r="C26" i="19"/>
  <c r="K26" i="19" s="1"/>
  <c r="C73" i="19"/>
  <c r="K73" i="19" s="1"/>
  <c r="M73" i="19"/>
  <c r="D105" i="19"/>
  <c r="F89" i="19"/>
  <c r="F9" i="19" s="1"/>
  <c r="G31" i="17"/>
  <c r="P31" i="17" s="1"/>
  <c r="Z31" i="17"/>
  <c r="Z8" i="17" s="1"/>
  <c r="Z7" i="17" s="1"/>
  <c r="M44" i="17"/>
  <c r="AE52" i="17"/>
  <c r="D103" i="17"/>
  <c r="C48" i="19"/>
  <c r="K48" i="19" s="1"/>
  <c r="M48" i="19"/>
  <c r="M25" i="20"/>
  <c r="C25" i="20"/>
  <c r="K25" i="20" s="1"/>
  <c r="D60" i="17"/>
  <c r="C62" i="17"/>
  <c r="K62" i="17" s="1"/>
  <c r="J63" i="17"/>
  <c r="D73" i="17"/>
  <c r="S74" i="17"/>
  <c r="E74" i="17"/>
  <c r="AD74" i="17"/>
  <c r="AD8" i="17" s="1"/>
  <c r="AD7" i="17" s="1"/>
  <c r="D84" i="17"/>
  <c r="C86" i="17"/>
  <c r="K86" i="17" s="1"/>
  <c r="U86" i="17"/>
  <c r="J87" i="17"/>
  <c r="O89" i="17"/>
  <c r="O9" i="17" s="1"/>
  <c r="J90" i="17"/>
  <c r="F89" i="17"/>
  <c r="F9" i="17" s="1"/>
  <c r="D93" i="17"/>
  <c r="D94" i="17"/>
  <c r="J105" i="17"/>
  <c r="N8" i="18"/>
  <c r="H7" i="18"/>
  <c r="N7" i="18" s="1"/>
  <c r="J74" i="18"/>
  <c r="P74" i="18"/>
  <c r="R74" i="18"/>
  <c r="T74" i="18" s="1"/>
  <c r="T75" i="18"/>
  <c r="C91" i="18"/>
  <c r="M91" i="18"/>
  <c r="M89" i="18" s="1"/>
  <c r="C100" i="18"/>
  <c r="K100" i="18" s="1"/>
  <c r="M100" i="18"/>
  <c r="R8" i="19"/>
  <c r="E13" i="19"/>
  <c r="D39" i="19"/>
  <c r="E31" i="19"/>
  <c r="H52" i="19"/>
  <c r="N52" i="19" s="1"/>
  <c r="C63" i="19"/>
  <c r="K63" i="19" s="1"/>
  <c r="M63" i="19"/>
  <c r="C66" i="19"/>
  <c r="K66" i="19" s="1"/>
  <c r="M66" i="19"/>
  <c r="M75" i="19"/>
  <c r="G74" i="19"/>
  <c r="P74" i="19" s="1"/>
  <c r="C88" i="19"/>
  <c r="K88" i="19" s="1"/>
  <c r="M88" i="19"/>
  <c r="C102" i="19"/>
  <c r="K102" i="19" s="1"/>
  <c r="C103" i="19"/>
  <c r="K103" i="19" s="1"/>
  <c r="M103" i="19"/>
  <c r="N34" i="20"/>
  <c r="H31" i="20"/>
  <c r="N31" i="20" s="1"/>
  <c r="C57" i="20"/>
  <c r="K57" i="20" s="1"/>
  <c r="I52" i="20"/>
  <c r="Q57" i="20"/>
  <c r="D58" i="20"/>
  <c r="I89" i="20"/>
  <c r="I9" i="20" s="1"/>
  <c r="Q9" i="20" s="1"/>
  <c r="O89" i="20"/>
  <c r="O9" i="20" s="1"/>
  <c r="M21" i="21"/>
  <c r="J63" i="21"/>
  <c r="O52" i="21"/>
  <c r="C26" i="22"/>
  <c r="K26" i="22" s="1"/>
  <c r="M26" i="22"/>
  <c r="D28" i="22"/>
  <c r="C77" i="22"/>
  <c r="K77" i="22" s="1"/>
  <c r="M77" i="22"/>
  <c r="M102" i="22"/>
  <c r="C102" i="22"/>
  <c r="K102" i="22" s="1"/>
  <c r="F55" i="23"/>
  <c r="C52" i="23"/>
  <c r="X56" i="23"/>
  <c r="R56" i="23"/>
  <c r="V56" i="23"/>
  <c r="J56" i="23"/>
  <c r="T56" i="23"/>
  <c r="V68" i="23"/>
  <c r="J68" i="23"/>
  <c r="T68" i="23"/>
  <c r="R68" i="23"/>
  <c r="X68" i="23"/>
  <c r="C20" i="19"/>
  <c r="K20" i="19" s="1"/>
  <c r="M20" i="19"/>
  <c r="M25" i="19"/>
  <c r="L31" i="19"/>
  <c r="C45" i="19"/>
  <c r="K45" i="19" s="1"/>
  <c r="M45" i="19"/>
  <c r="M100" i="19"/>
  <c r="C100" i="19"/>
  <c r="K100" i="19" s="1"/>
  <c r="M29" i="20"/>
  <c r="C29" i="20"/>
  <c r="K29" i="20" s="1"/>
  <c r="P55" i="20"/>
  <c r="G52" i="20"/>
  <c r="P52" i="20" s="1"/>
  <c r="O74" i="20"/>
  <c r="J77" i="20"/>
  <c r="J53" i="21"/>
  <c r="L52" i="21"/>
  <c r="J76" i="21"/>
  <c r="L74" i="21"/>
  <c r="M27" i="22"/>
  <c r="P85" i="22"/>
  <c r="G74" i="22"/>
  <c r="P74" i="22" s="1"/>
  <c r="C94" i="18"/>
  <c r="K94" i="18" s="1"/>
  <c r="M94" i="18"/>
  <c r="C103" i="18"/>
  <c r="K103" i="18" s="1"/>
  <c r="M103" i="18"/>
  <c r="C14" i="19"/>
  <c r="K14" i="19" s="1"/>
  <c r="M14" i="19"/>
  <c r="M21" i="19"/>
  <c r="C28" i="19"/>
  <c r="K28" i="19" s="1"/>
  <c r="M28" i="19"/>
  <c r="O31" i="19"/>
  <c r="O8" i="19" s="1"/>
  <c r="J32" i="19"/>
  <c r="H31" i="19"/>
  <c r="N31" i="19" s="1"/>
  <c r="N33" i="19"/>
  <c r="C37" i="19"/>
  <c r="K37" i="19" s="1"/>
  <c r="M37" i="19"/>
  <c r="C44" i="19"/>
  <c r="K44" i="19" s="1"/>
  <c r="M44" i="19"/>
  <c r="E52" i="19"/>
  <c r="D54" i="19"/>
  <c r="C57" i="19"/>
  <c r="K57" i="19" s="1"/>
  <c r="M57" i="19"/>
  <c r="M68" i="19"/>
  <c r="C79" i="19"/>
  <c r="K79" i="19" s="1"/>
  <c r="M79" i="19"/>
  <c r="C82" i="19"/>
  <c r="K82" i="19" s="1"/>
  <c r="M82" i="19"/>
  <c r="S31" i="20"/>
  <c r="T31" i="20" s="1"/>
  <c r="T33" i="20"/>
  <c r="M36" i="20"/>
  <c r="C36" i="20"/>
  <c r="K36" i="20" s="1"/>
  <c r="J53" i="20"/>
  <c r="L52" i="20"/>
  <c r="M56" i="20"/>
  <c r="M63" i="20"/>
  <c r="C63" i="20"/>
  <c r="K63" i="20" s="1"/>
  <c r="M101" i="20"/>
  <c r="C101" i="20"/>
  <c r="K101" i="20" s="1"/>
  <c r="C104" i="20"/>
  <c r="K104" i="20" s="1"/>
  <c r="M104" i="20"/>
  <c r="J14" i="21"/>
  <c r="O13" i="21"/>
  <c r="D76" i="21"/>
  <c r="E74" i="21"/>
  <c r="E8" i="18"/>
  <c r="E7" i="18" s="1"/>
  <c r="D74" i="18"/>
  <c r="N89" i="18"/>
  <c r="G13" i="19"/>
  <c r="H13" i="19"/>
  <c r="C16" i="19"/>
  <c r="K16" i="19" s="1"/>
  <c r="M16" i="19"/>
  <c r="C23" i="19"/>
  <c r="K23" i="19" s="1"/>
  <c r="M23" i="19"/>
  <c r="I31" i="19"/>
  <c r="F31" i="19"/>
  <c r="D55" i="19"/>
  <c r="F52" i="19"/>
  <c r="K90" i="19"/>
  <c r="I89" i="19"/>
  <c r="I9" i="19" s="1"/>
  <c r="Q9" i="19" s="1"/>
  <c r="Q90" i="19"/>
  <c r="Q89" i="19" s="1"/>
  <c r="C91" i="19"/>
  <c r="K91" i="19" s="1"/>
  <c r="M91" i="19"/>
  <c r="Q17" i="20"/>
  <c r="I13" i="20"/>
  <c r="C18" i="20"/>
  <c r="K18" i="20" s="1"/>
  <c r="M18" i="20"/>
  <c r="M20" i="20"/>
  <c r="P32" i="20"/>
  <c r="G31" i="20"/>
  <c r="C33" i="20"/>
  <c r="K33" i="20" s="1"/>
  <c r="M33" i="20"/>
  <c r="C49" i="20"/>
  <c r="K49" i="20" s="1"/>
  <c r="M49" i="20"/>
  <c r="M50" i="20"/>
  <c r="C53" i="20"/>
  <c r="M53" i="20"/>
  <c r="H74" i="20"/>
  <c r="N74" i="20" s="1"/>
  <c r="N76" i="20"/>
  <c r="M92" i="20"/>
  <c r="C27" i="21"/>
  <c r="K27" i="21" s="1"/>
  <c r="M27" i="21"/>
  <c r="H52" i="22"/>
  <c r="N58" i="22"/>
  <c r="C60" i="22"/>
  <c r="K60" i="22" s="1"/>
  <c r="M60" i="22"/>
  <c r="C68" i="17"/>
  <c r="K68" i="17" s="1"/>
  <c r="Q75" i="17"/>
  <c r="I74" i="17"/>
  <c r="Q74" i="17" s="1"/>
  <c r="L74" i="17"/>
  <c r="AB74" i="17"/>
  <c r="D85" i="17"/>
  <c r="C95" i="17"/>
  <c r="K95" i="17" s="1"/>
  <c r="O8" i="18"/>
  <c r="O7" i="18" s="1"/>
  <c r="P7" i="18" s="1"/>
  <c r="C97" i="18"/>
  <c r="K97" i="18" s="1"/>
  <c r="M97" i="18"/>
  <c r="C106" i="18"/>
  <c r="K106" i="18" s="1"/>
  <c r="M106" i="18"/>
  <c r="L13" i="19"/>
  <c r="Q15" i="19"/>
  <c r="I13" i="19"/>
  <c r="D17" i="19"/>
  <c r="G31" i="19"/>
  <c r="C40" i="19"/>
  <c r="K40" i="19" s="1"/>
  <c r="M40" i="19"/>
  <c r="C50" i="19"/>
  <c r="K50" i="19" s="1"/>
  <c r="M50" i="19"/>
  <c r="M59" i="19"/>
  <c r="C59" i="19"/>
  <c r="K59" i="19" s="1"/>
  <c r="C72" i="19"/>
  <c r="K72" i="19" s="1"/>
  <c r="M72" i="19"/>
  <c r="Q78" i="19"/>
  <c r="I74" i="19"/>
  <c r="Q74" i="19" s="1"/>
  <c r="M84" i="19"/>
  <c r="C84" i="19"/>
  <c r="K84" i="19" s="1"/>
  <c r="M90" i="19"/>
  <c r="P91" i="19"/>
  <c r="G89" i="19"/>
  <c r="G9" i="19" s="1"/>
  <c r="P9" i="19" s="1"/>
  <c r="M60" i="20"/>
  <c r="C60" i="20"/>
  <c r="K60" i="20" s="1"/>
  <c r="P90" i="20"/>
  <c r="P89" i="20" s="1"/>
  <c r="G89" i="20"/>
  <c r="G9" i="20" s="1"/>
  <c r="P9" i="20" s="1"/>
  <c r="M30" i="21"/>
  <c r="C30" i="21"/>
  <c r="K30" i="21" s="1"/>
  <c r="J15" i="22"/>
  <c r="L13" i="22"/>
  <c r="H13" i="22"/>
  <c r="N17" i="22"/>
  <c r="C49" i="22"/>
  <c r="K49" i="22" s="1"/>
  <c r="M49" i="22"/>
  <c r="D75" i="17"/>
  <c r="R89" i="17"/>
  <c r="D13" i="18"/>
  <c r="M15" i="18"/>
  <c r="M17" i="18"/>
  <c r="M19" i="18"/>
  <c r="M21" i="18"/>
  <c r="M23" i="18"/>
  <c r="M25" i="18"/>
  <c r="M27" i="18"/>
  <c r="M29" i="18"/>
  <c r="M31" i="18"/>
  <c r="M32" i="18"/>
  <c r="M34" i="18"/>
  <c r="M36" i="18"/>
  <c r="M38" i="18"/>
  <c r="M40" i="18"/>
  <c r="M42" i="18"/>
  <c r="M44" i="18"/>
  <c r="M46" i="18"/>
  <c r="M48" i="18"/>
  <c r="M50" i="18"/>
  <c r="M52" i="18"/>
  <c r="M53" i="18"/>
  <c r="M55" i="18"/>
  <c r="M57" i="18"/>
  <c r="M59" i="18"/>
  <c r="M61" i="18"/>
  <c r="M63" i="18"/>
  <c r="M65" i="18"/>
  <c r="M67" i="18"/>
  <c r="M69" i="18"/>
  <c r="M71" i="18"/>
  <c r="M73" i="18"/>
  <c r="D15" i="19"/>
  <c r="C32" i="19"/>
  <c r="K32" i="19" s="1"/>
  <c r="D36" i="19"/>
  <c r="J36" i="19"/>
  <c r="C41" i="19"/>
  <c r="K41" i="19" s="1"/>
  <c r="M51" i="19"/>
  <c r="G52" i="19"/>
  <c r="P52" i="19" s="1"/>
  <c r="M58" i="19"/>
  <c r="M67" i="19"/>
  <c r="M83" i="19"/>
  <c r="C94" i="19"/>
  <c r="K94" i="19" s="1"/>
  <c r="C95" i="19"/>
  <c r="K95" i="19" s="1"/>
  <c r="C106" i="19"/>
  <c r="K106" i="19" s="1"/>
  <c r="C107" i="19"/>
  <c r="K107" i="19" s="1"/>
  <c r="C14" i="20"/>
  <c r="K14" i="20" s="1"/>
  <c r="D15" i="20"/>
  <c r="E13" i="20"/>
  <c r="J15" i="20"/>
  <c r="L13" i="20"/>
  <c r="G13" i="20"/>
  <c r="P16" i="20"/>
  <c r="C21" i="20"/>
  <c r="K21" i="20" s="1"/>
  <c r="C22" i="20"/>
  <c r="K22" i="20" s="1"/>
  <c r="D23" i="20"/>
  <c r="F31" i="20"/>
  <c r="O31" i="20"/>
  <c r="J31" i="20" s="1"/>
  <c r="C44" i="20"/>
  <c r="K44" i="20" s="1"/>
  <c r="C45" i="20"/>
  <c r="K45" i="20" s="1"/>
  <c r="D46" i="20"/>
  <c r="C67" i="20"/>
  <c r="K67" i="20" s="1"/>
  <c r="D68" i="20"/>
  <c r="C70" i="20"/>
  <c r="K70" i="20" s="1"/>
  <c r="D71" i="20"/>
  <c r="C73" i="20"/>
  <c r="K73" i="20" s="1"/>
  <c r="E74" i="20"/>
  <c r="Q89" i="20"/>
  <c r="C96" i="20"/>
  <c r="K96" i="20" s="1"/>
  <c r="M98" i="20"/>
  <c r="N104" i="20"/>
  <c r="C107" i="20"/>
  <c r="K107" i="20" s="1"/>
  <c r="C108" i="20"/>
  <c r="K108" i="20" s="1"/>
  <c r="P14" i="21"/>
  <c r="G13" i="21"/>
  <c r="M18" i="21"/>
  <c r="M29" i="21"/>
  <c r="C29" i="21"/>
  <c r="K29" i="21" s="1"/>
  <c r="E31" i="21"/>
  <c r="O31" i="21"/>
  <c r="J36" i="21"/>
  <c r="L31" i="21"/>
  <c r="C43" i="21"/>
  <c r="K43" i="21" s="1"/>
  <c r="M43" i="21"/>
  <c r="M45" i="21"/>
  <c r="C46" i="21"/>
  <c r="K46" i="21" s="1"/>
  <c r="C57" i="21"/>
  <c r="K57" i="21" s="1"/>
  <c r="M57" i="21"/>
  <c r="C60" i="21"/>
  <c r="K60" i="21" s="1"/>
  <c r="C73" i="21"/>
  <c r="K73" i="21" s="1"/>
  <c r="M73" i="21"/>
  <c r="F74" i="21"/>
  <c r="H89" i="21"/>
  <c r="H9" i="21" s="1"/>
  <c r="X7" i="22"/>
  <c r="Y7" i="22" s="1"/>
  <c r="Y9" i="22"/>
  <c r="Z8" i="22"/>
  <c r="AB8" i="22" s="1"/>
  <c r="AB13" i="22"/>
  <c r="F13" i="22"/>
  <c r="M24" i="22"/>
  <c r="H31" i="22"/>
  <c r="P62" i="22"/>
  <c r="G52" i="22"/>
  <c r="P52" i="22" s="1"/>
  <c r="C72" i="22"/>
  <c r="K72" i="22" s="1"/>
  <c r="M72" i="22"/>
  <c r="M76" i="22"/>
  <c r="C76" i="22"/>
  <c r="K76" i="22" s="1"/>
  <c r="AC13" i="23"/>
  <c r="S13" i="23"/>
  <c r="J15" i="23"/>
  <c r="I13" i="23"/>
  <c r="AG8" i="23"/>
  <c r="AG7" i="23" s="1"/>
  <c r="AE13" i="23"/>
  <c r="F19" i="23"/>
  <c r="C13" i="23"/>
  <c r="X20" i="23"/>
  <c r="R20" i="23"/>
  <c r="V20" i="23"/>
  <c r="J20" i="23"/>
  <c r="T20" i="23"/>
  <c r="G55" i="23"/>
  <c r="D52" i="23"/>
  <c r="AC55" i="23"/>
  <c r="AA52" i="23"/>
  <c r="AC52" i="23" s="1"/>
  <c r="N54" i="17"/>
  <c r="J29" i="19"/>
  <c r="C34" i="19"/>
  <c r="K34" i="19" s="1"/>
  <c r="C43" i="19"/>
  <c r="K43" i="19" s="1"/>
  <c r="C60" i="19"/>
  <c r="K60" i="19" s="1"/>
  <c r="M60" i="19"/>
  <c r="C69" i="19"/>
  <c r="K69" i="19" s="1"/>
  <c r="M69" i="19"/>
  <c r="C76" i="19"/>
  <c r="K76" i="19" s="1"/>
  <c r="M76" i="19"/>
  <c r="J77" i="19"/>
  <c r="L74" i="19"/>
  <c r="C85" i="19"/>
  <c r="K85" i="19" s="1"/>
  <c r="M85" i="19"/>
  <c r="O89" i="19"/>
  <c r="O9" i="19" s="1"/>
  <c r="F13" i="20"/>
  <c r="C43" i="20"/>
  <c r="K43" i="20" s="1"/>
  <c r="M43" i="20"/>
  <c r="I74" i="20"/>
  <c r="Q74" i="20" s="1"/>
  <c r="Q77" i="20"/>
  <c r="C87" i="20"/>
  <c r="K87" i="20" s="1"/>
  <c r="M87" i="20"/>
  <c r="J90" i="20"/>
  <c r="L89" i="20"/>
  <c r="L9" i="20" s="1"/>
  <c r="J9" i="20" s="1"/>
  <c r="K98" i="20"/>
  <c r="M16" i="21"/>
  <c r="C16" i="21"/>
  <c r="K16" i="21" s="1"/>
  <c r="C17" i="21"/>
  <c r="M17" i="21"/>
  <c r="T28" i="21"/>
  <c r="R13" i="21"/>
  <c r="H31" i="21"/>
  <c r="N32" i="21"/>
  <c r="C36" i="21"/>
  <c r="M36" i="21"/>
  <c r="C44" i="21"/>
  <c r="K44" i="21" s="1"/>
  <c r="M44" i="21"/>
  <c r="C47" i="21"/>
  <c r="K47" i="21" s="1"/>
  <c r="M47" i="21"/>
  <c r="Q55" i="21"/>
  <c r="I52" i="21"/>
  <c r="Q52" i="21" s="1"/>
  <c r="C61" i="21"/>
  <c r="K61" i="21" s="1"/>
  <c r="M61" i="21"/>
  <c r="C65" i="21"/>
  <c r="K65" i="21" s="1"/>
  <c r="M65" i="21"/>
  <c r="H74" i="21"/>
  <c r="N75" i="21"/>
  <c r="C79" i="21"/>
  <c r="K79" i="21" s="1"/>
  <c r="M79" i="21"/>
  <c r="AA8" i="22"/>
  <c r="G13" i="22"/>
  <c r="C20" i="22"/>
  <c r="K20" i="22" s="1"/>
  <c r="M20" i="22"/>
  <c r="M22" i="22"/>
  <c r="C45" i="22"/>
  <c r="K45" i="22" s="1"/>
  <c r="M45" i="22"/>
  <c r="C66" i="22"/>
  <c r="K66" i="22" s="1"/>
  <c r="M66" i="22"/>
  <c r="J79" i="22"/>
  <c r="L74" i="22"/>
  <c r="K13" i="23"/>
  <c r="M14" i="23"/>
  <c r="X17" i="23"/>
  <c r="R17" i="23"/>
  <c r="V17" i="23"/>
  <c r="J17" i="23"/>
  <c r="T17" i="23"/>
  <c r="P18" i="23"/>
  <c r="O13" i="23"/>
  <c r="W74" i="17"/>
  <c r="Y74" i="17" s="1"/>
  <c r="P75" i="18"/>
  <c r="D33" i="19"/>
  <c r="J33" i="19"/>
  <c r="D42" i="19"/>
  <c r="J42" i="19"/>
  <c r="E74" i="19"/>
  <c r="L89" i="19"/>
  <c r="L9" i="19" s="1"/>
  <c r="P89" i="19"/>
  <c r="C98" i="19"/>
  <c r="K98" i="19" s="1"/>
  <c r="C19" i="20"/>
  <c r="K19" i="20" s="1"/>
  <c r="S13" i="20"/>
  <c r="T13" i="20" s="1"/>
  <c r="M34" i="20"/>
  <c r="C38" i="20"/>
  <c r="K38" i="20" s="1"/>
  <c r="C39" i="20"/>
  <c r="K39" i="20" s="1"/>
  <c r="D40" i="20"/>
  <c r="M41" i="20"/>
  <c r="C55" i="20"/>
  <c r="K55" i="20" s="1"/>
  <c r="S52" i="20"/>
  <c r="C62" i="20"/>
  <c r="K62" i="20" s="1"/>
  <c r="C65" i="20"/>
  <c r="K65" i="20" s="1"/>
  <c r="F31" i="21"/>
  <c r="C66" i="21"/>
  <c r="K66" i="21" s="1"/>
  <c r="M66" i="21"/>
  <c r="C69" i="21"/>
  <c r="K69" i="21" s="1"/>
  <c r="M69" i="21"/>
  <c r="P79" i="21"/>
  <c r="G74" i="21"/>
  <c r="P74" i="21" s="1"/>
  <c r="Q91" i="21"/>
  <c r="Q89" i="21" s="1"/>
  <c r="I89" i="21"/>
  <c r="I9" i="21" s="1"/>
  <c r="Q9" i="21" s="1"/>
  <c r="C21" i="22"/>
  <c r="K21" i="22" s="1"/>
  <c r="M21" i="22"/>
  <c r="C44" i="22"/>
  <c r="K44" i="22" s="1"/>
  <c r="M44" i="22"/>
  <c r="Q53" i="22"/>
  <c r="I52" i="22"/>
  <c r="Q52" i="22" s="1"/>
  <c r="C67" i="22"/>
  <c r="M67" i="22"/>
  <c r="E74" i="22"/>
  <c r="H89" i="22"/>
  <c r="H9" i="22" s="1"/>
  <c r="N90" i="22"/>
  <c r="J75" i="18"/>
  <c r="J55" i="19"/>
  <c r="L52" i="19"/>
  <c r="J52" i="19" s="1"/>
  <c r="J59" i="19"/>
  <c r="C61" i="19"/>
  <c r="K61" i="19" s="1"/>
  <c r="J68" i="19"/>
  <c r="J75" i="19"/>
  <c r="D77" i="19"/>
  <c r="D74" i="19" s="1"/>
  <c r="F74" i="19"/>
  <c r="J84" i="19"/>
  <c r="C86" i="19"/>
  <c r="K86" i="19" s="1"/>
  <c r="N89" i="19"/>
  <c r="C101" i="19"/>
  <c r="K101" i="19" s="1"/>
  <c r="H13" i="20"/>
  <c r="C28" i="20"/>
  <c r="K28" i="20" s="1"/>
  <c r="D30" i="20"/>
  <c r="C35" i="20"/>
  <c r="K35" i="20" s="1"/>
  <c r="Q36" i="20"/>
  <c r="I31" i="20"/>
  <c r="D37" i="20"/>
  <c r="E31" i="20"/>
  <c r="R52" i="20"/>
  <c r="D54" i="20"/>
  <c r="C59" i="20"/>
  <c r="K59" i="20" s="1"/>
  <c r="D61" i="20"/>
  <c r="D64" i="20"/>
  <c r="L74" i="20"/>
  <c r="P76" i="20"/>
  <c r="G74" i="20"/>
  <c r="P74" i="20" s="1"/>
  <c r="D90" i="20"/>
  <c r="F89" i="20"/>
  <c r="F9" i="20" s="1"/>
  <c r="N98" i="20"/>
  <c r="C102" i="20"/>
  <c r="K102" i="20" s="1"/>
  <c r="M15" i="21"/>
  <c r="C15" i="21"/>
  <c r="K15" i="21" s="1"/>
  <c r="C39" i="21"/>
  <c r="K39" i="21" s="1"/>
  <c r="M63" i="21"/>
  <c r="C63" i="21"/>
  <c r="K63" i="21" s="1"/>
  <c r="C87" i="21"/>
  <c r="K87" i="21" s="1"/>
  <c r="M87" i="21"/>
  <c r="F89" i="21"/>
  <c r="F9" i="21" s="1"/>
  <c r="J18" i="22"/>
  <c r="O13" i="22"/>
  <c r="C30" i="22"/>
  <c r="K30" i="22" s="1"/>
  <c r="C37" i="22"/>
  <c r="K37" i="22" s="1"/>
  <c r="M37" i="22"/>
  <c r="M53" i="22"/>
  <c r="C54" i="22"/>
  <c r="K54" i="22" s="1"/>
  <c r="M54" i="22"/>
  <c r="M64" i="22"/>
  <c r="C64" i="22"/>
  <c r="M79" i="22"/>
  <c r="C83" i="22"/>
  <c r="K83" i="22" s="1"/>
  <c r="M83" i="22"/>
  <c r="I89" i="22"/>
  <c r="I9" i="22" s="1"/>
  <c r="Q90" i="22"/>
  <c r="Q89" i="22" s="1"/>
  <c r="P94" i="22"/>
  <c r="P89" i="22" s="1"/>
  <c r="G89" i="22"/>
  <c r="G9" i="22" s="1"/>
  <c r="G43" i="23"/>
  <c r="D31" i="23"/>
  <c r="I13" i="21"/>
  <c r="C32" i="21"/>
  <c r="K32" i="21" s="1"/>
  <c r="C37" i="21"/>
  <c r="K37" i="21" s="1"/>
  <c r="C38" i="21"/>
  <c r="K38" i="21" s="1"/>
  <c r="T45" i="21"/>
  <c r="D49" i="21"/>
  <c r="D53" i="21"/>
  <c r="C55" i="21"/>
  <c r="K55" i="21" s="1"/>
  <c r="J55" i="21"/>
  <c r="T58" i="21"/>
  <c r="R52" i="21"/>
  <c r="I74" i="21"/>
  <c r="Q74" i="21" s="1"/>
  <c r="Q75" i="21"/>
  <c r="C77" i="21"/>
  <c r="K77" i="21" s="1"/>
  <c r="C78" i="21"/>
  <c r="K78" i="21" s="1"/>
  <c r="C83" i="21"/>
  <c r="K83" i="21" s="1"/>
  <c r="C91" i="21"/>
  <c r="K91" i="21" s="1"/>
  <c r="J91" i="21"/>
  <c r="C93" i="21"/>
  <c r="K93" i="21" s="1"/>
  <c r="J93" i="21"/>
  <c r="C95" i="21"/>
  <c r="K95" i="21" s="1"/>
  <c r="J95" i="21"/>
  <c r="C97" i="21"/>
  <c r="K97" i="21" s="1"/>
  <c r="J97" i="21"/>
  <c r="N98" i="21"/>
  <c r="N89" i="21" s="1"/>
  <c r="C99" i="21"/>
  <c r="K99" i="21" s="1"/>
  <c r="J99" i="21"/>
  <c r="C101" i="21"/>
  <c r="K101" i="21" s="1"/>
  <c r="J101" i="21"/>
  <c r="C103" i="21"/>
  <c r="K103" i="21" s="1"/>
  <c r="J103" i="21"/>
  <c r="C105" i="21"/>
  <c r="K105" i="21" s="1"/>
  <c r="J105" i="21"/>
  <c r="C107" i="21"/>
  <c r="K107" i="21" s="1"/>
  <c r="T8" i="22"/>
  <c r="T7" i="22" s="1"/>
  <c r="N16" i="22"/>
  <c r="O31" i="22"/>
  <c r="C35" i="22"/>
  <c r="C36" i="22"/>
  <c r="K36" i="22" s="1"/>
  <c r="C40" i="22"/>
  <c r="K40" i="22" s="1"/>
  <c r="L52" i="22"/>
  <c r="E52" i="22"/>
  <c r="C59" i="22"/>
  <c r="K59" i="22" s="1"/>
  <c r="N61" i="22"/>
  <c r="O74" i="22"/>
  <c r="D78" i="22"/>
  <c r="C81" i="22"/>
  <c r="K81" i="22" s="1"/>
  <c r="J81" i="22"/>
  <c r="C90" i="22"/>
  <c r="J90" i="22"/>
  <c r="D92" i="22"/>
  <c r="C95" i="22"/>
  <c r="K95" i="22" s="1"/>
  <c r="C99" i="22"/>
  <c r="K99" i="22" s="1"/>
  <c r="J99" i="22"/>
  <c r="C101" i="22"/>
  <c r="K101" i="22" s="1"/>
  <c r="C103" i="22"/>
  <c r="K103" i="22" s="1"/>
  <c r="M103" i="22"/>
  <c r="L13" i="23"/>
  <c r="AB13" i="23"/>
  <c r="S52" i="23"/>
  <c r="T53" i="23"/>
  <c r="AT31" i="24"/>
  <c r="N15" i="20"/>
  <c r="C14" i="21"/>
  <c r="K14" i="21" s="1"/>
  <c r="D23" i="21"/>
  <c r="C26" i="21"/>
  <c r="K26" i="21" s="1"/>
  <c r="D28" i="21"/>
  <c r="C33" i="21"/>
  <c r="K33" i="21" s="1"/>
  <c r="C34" i="21"/>
  <c r="K34" i="21" s="1"/>
  <c r="N36" i="21"/>
  <c r="T36" i="21"/>
  <c r="R31" i="21"/>
  <c r="T31" i="21" s="1"/>
  <c r="U31" i="21"/>
  <c r="W38" i="21"/>
  <c r="C40" i="21"/>
  <c r="K40" i="21" s="1"/>
  <c r="D48" i="21"/>
  <c r="F52" i="21"/>
  <c r="D62" i="21"/>
  <c r="D71" i="21"/>
  <c r="N76" i="21"/>
  <c r="W78" i="21"/>
  <c r="C80" i="21"/>
  <c r="K80" i="21" s="1"/>
  <c r="D88" i="21"/>
  <c r="I13" i="22"/>
  <c r="C17" i="22"/>
  <c r="K17" i="22" s="1"/>
  <c r="D33" i="22"/>
  <c r="C41" i="22"/>
  <c r="K41" i="22" s="1"/>
  <c r="C42" i="22"/>
  <c r="K42" i="22" s="1"/>
  <c r="N44" i="22"/>
  <c r="V52" i="22"/>
  <c r="S8" i="22"/>
  <c r="F52" i="22"/>
  <c r="O52" i="22"/>
  <c r="D55" i="22"/>
  <c r="M56" i="22"/>
  <c r="C58" i="22"/>
  <c r="K58" i="22" s="1"/>
  <c r="C63" i="22"/>
  <c r="D73" i="22"/>
  <c r="C79" i="22"/>
  <c r="K79" i="22" s="1"/>
  <c r="C88" i="22"/>
  <c r="K88" i="22" s="1"/>
  <c r="G16" i="23"/>
  <c r="D13" i="23"/>
  <c r="AH13" i="23"/>
  <c r="AR30" i="24"/>
  <c r="AN13" i="24"/>
  <c r="C19" i="21"/>
  <c r="K19" i="21" s="1"/>
  <c r="M19" i="21"/>
  <c r="C20" i="21"/>
  <c r="K20" i="21" s="1"/>
  <c r="M20" i="21"/>
  <c r="C22" i="21"/>
  <c r="K22" i="21" s="1"/>
  <c r="M22" i="21"/>
  <c r="P24" i="21"/>
  <c r="C24" i="21"/>
  <c r="K24" i="21" s="1"/>
  <c r="C25" i="21"/>
  <c r="K25" i="21" s="1"/>
  <c r="M25" i="21"/>
  <c r="C35" i="21"/>
  <c r="K35" i="21" s="1"/>
  <c r="M35" i="21"/>
  <c r="P53" i="21"/>
  <c r="G52" i="21"/>
  <c r="P52" i="21" s="1"/>
  <c r="H52" i="21"/>
  <c r="C58" i="21"/>
  <c r="K58" i="21" s="1"/>
  <c r="M58" i="21"/>
  <c r="C68" i="21"/>
  <c r="K68" i="21" s="1"/>
  <c r="S52" i="21"/>
  <c r="C70" i="21"/>
  <c r="K70" i="21" s="1"/>
  <c r="M70" i="21"/>
  <c r="M75" i="21"/>
  <c r="U74" i="21"/>
  <c r="W75" i="21"/>
  <c r="C14" i="22"/>
  <c r="K14" i="22" s="1"/>
  <c r="M14" i="22"/>
  <c r="C23" i="22"/>
  <c r="K23" i="22" s="1"/>
  <c r="N27" i="22"/>
  <c r="R8" i="22"/>
  <c r="D32" i="22"/>
  <c r="E31" i="22"/>
  <c r="J32" i="22"/>
  <c r="L31" i="22"/>
  <c r="C43" i="22"/>
  <c r="K43" i="22" s="1"/>
  <c r="M43" i="22"/>
  <c r="K48" i="22"/>
  <c r="N50" i="22"/>
  <c r="K65" i="22"/>
  <c r="N67" i="22"/>
  <c r="H74" i="22"/>
  <c r="N74" i="22" s="1"/>
  <c r="C84" i="22"/>
  <c r="K84" i="22" s="1"/>
  <c r="M84" i="22"/>
  <c r="J87" i="22"/>
  <c r="O89" i="22"/>
  <c r="O9" i="22" s="1"/>
  <c r="C93" i="22"/>
  <c r="K93" i="22" s="1"/>
  <c r="M93" i="22"/>
  <c r="J96" i="22"/>
  <c r="C98" i="22"/>
  <c r="K98" i="22" s="1"/>
  <c r="M98" i="22"/>
  <c r="X26" i="23"/>
  <c r="R26" i="23"/>
  <c r="V26" i="23"/>
  <c r="J26" i="23"/>
  <c r="T26" i="23"/>
  <c r="U31" i="23"/>
  <c r="AB31" i="23"/>
  <c r="AH31" i="23"/>
  <c r="O52" i="23"/>
  <c r="F96" i="23"/>
  <c r="C89" i="23"/>
  <c r="E13" i="21"/>
  <c r="L13" i="21"/>
  <c r="J15" i="21"/>
  <c r="S13" i="21"/>
  <c r="P32" i="21"/>
  <c r="G31" i="21"/>
  <c r="P31" i="21" s="1"/>
  <c r="T68" i="21"/>
  <c r="O74" i="21"/>
  <c r="J75" i="21"/>
  <c r="K75" i="21" s="1"/>
  <c r="V74" i="21"/>
  <c r="J81" i="21"/>
  <c r="W82" i="21"/>
  <c r="D90" i="21"/>
  <c r="E89" i="21"/>
  <c r="E9" i="21" s="1"/>
  <c r="J90" i="21"/>
  <c r="L89" i="21"/>
  <c r="L9" i="21" s="1"/>
  <c r="J9" i="21" s="1"/>
  <c r="D92" i="21"/>
  <c r="D94" i="21"/>
  <c r="D96" i="21"/>
  <c r="D98" i="21"/>
  <c r="D100" i="21"/>
  <c r="D102" i="21"/>
  <c r="D104" i="21"/>
  <c r="D106" i="21"/>
  <c r="D108" i="21"/>
  <c r="E13" i="22"/>
  <c r="D16" i="22"/>
  <c r="F31" i="22"/>
  <c r="P33" i="22"/>
  <c r="G31" i="22"/>
  <c r="P31" i="22" s="1"/>
  <c r="D38" i="22"/>
  <c r="D61" i="22"/>
  <c r="J64" i="22"/>
  <c r="Q75" i="22"/>
  <c r="I74" i="22"/>
  <c r="Q74" i="22" s="1"/>
  <c r="N79" i="22"/>
  <c r="C85" i="22"/>
  <c r="C94" i="22"/>
  <c r="K94" i="22" s="1"/>
  <c r="X50" i="23"/>
  <c r="R50" i="23"/>
  <c r="V50" i="23"/>
  <c r="J50" i="23"/>
  <c r="T50" i="23"/>
  <c r="I52" i="23"/>
  <c r="G96" i="23"/>
  <c r="D89" i="23"/>
  <c r="AS31" i="24"/>
  <c r="BK31" i="24"/>
  <c r="BK8" i="24" s="1"/>
  <c r="BK7" i="24" s="1"/>
  <c r="E52" i="21"/>
  <c r="D75" i="22"/>
  <c r="L89" i="22"/>
  <c r="L9" i="22" s="1"/>
  <c r="J9" i="22" s="1"/>
  <c r="F14" i="23"/>
  <c r="E13" i="23"/>
  <c r="T22" i="23"/>
  <c r="X29" i="23"/>
  <c r="R29" i="23"/>
  <c r="V29" i="23"/>
  <c r="J29" i="23"/>
  <c r="N31" i="23"/>
  <c r="P32" i="23"/>
  <c r="W31" i="23"/>
  <c r="AD31" i="23"/>
  <c r="G33" i="23"/>
  <c r="G36" i="23"/>
  <c r="M39" i="23"/>
  <c r="L52" i="23"/>
  <c r="M52" i="23" s="1"/>
  <c r="X64" i="23"/>
  <c r="R64" i="23"/>
  <c r="J64" i="23"/>
  <c r="V64" i="23"/>
  <c r="G23" i="24"/>
  <c r="M35" i="24"/>
  <c r="P38" i="24"/>
  <c r="G47" i="24"/>
  <c r="W52" i="24"/>
  <c r="Y52" i="24" s="1"/>
  <c r="Y53" i="24"/>
  <c r="F55" i="24"/>
  <c r="C52" i="24"/>
  <c r="AP55" i="24"/>
  <c r="AM52" i="24"/>
  <c r="M13" i="27"/>
  <c r="N32" i="22"/>
  <c r="N13" i="23"/>
  <c r="P14" i="23"/>
  <c r="W13" i="23"/>
  <c r="AD13" i="23"/>
  <c r="T25" i="23"/>
  <c r="X32" i="23"/>
  <c r="R32" i="23"/>
  <c r="H31" i="23"/>
  <c r="V32" i="23"/>
  <c r="J32" i="23"/>
  <c r="Y31" i="23"/>
  <c r="AE31" i="23"/>
  <c r="X35" i="23"/>
  <c r="R35" i="23"/>
  <c r="V35" i="23"/>
  <c r="J35" i="23"/>
  <c r="V65" i="23"/>
  <c r="J65" i="23"/>
  <c r="T65" i="23"/>
  <c r="R65" i="23"/>
  <c r="X65" i="23"/>
  <c r="L74" i="23"/>
  <c r="S74" i="23"/>
  <c r="F80" i="23"/>
  <c r="C74" i="23"/>
  <c r="X86" i="23"/>
  <c r="R86" i="23"/>
  <c r="V86" i="23"/>
  <c r="J86" i="23"/>
  <c r="T86" i="23"/>
  <c r="AY8" i="24"/>
  <c r="AY7" i="24" s="1"/>
  <c r="N13" i="24"/>
  <c r="P14" i="24"/>
  <c r="AA13" i="24"/>
  <c r="AG13" i="24"/>
  <c r="AG8" i="24" s="1"/>
  <c r="AG7" i="24" s="1"/>
  <c r="AB13" i="24"/>
  <c r="AL18" i="24"/>
  <c r="AH13" i="24"/>
  <c r="AZ31" i="24"/>
  <c r="G43" i="24"/>
  <c r="D31" i="24"/>
  <c r="Q32" i="21"/>
  <c r="X14" i="23"/>
  <c r="R14" i="23"/>
  <c r="H13" i="23"/>
  <c r="V14" i="23"/>
  <c r="J14" i="23"/>
  <c r="G23" i="23"/>
  <c r="Q31" i="23"/>
  <c r="Z31" i="23"/>
  <c r="AF31" i="23"/>
  <c r="X38" i="23"/>
  <c r="R38" i="23"/>
  <c r="V38" i="23"/>
  <c r="J38" i="23"/>
  <c r="X41" i="23"/>
  <c r="R41" i="23"/>
  <c r="V41" i="23"/>
  <c r="J41" i="23"/>
  <c r="N52" i="23"/>
  <c r="P52" i="23" s="1"/>
  <c r="P53" i="23"/>
  <c r="W52" i="23"/>
  <c r="AD52" i="23"/>
  <c r="AA74" i="23"/>
  <c r="AC74" i="23" s="1"/>
  <c r="M75" i="23"/>
  <c r="H13" i="24"/>
  <c r="J14" i="24"/>
  <c r="R13" i="24"/>
  <c r="X13" i="24"/>
  <c r="AD13" i="24"/>
  <c r="AJ13" i="24"/>
  <c r="AV13" i="24"/>
  <c r="F32" i="24"/>
  <c r="C31" i="24"/>
  <c r="K31" i="24"/>
  <c r="BH31" i="24"/>
  <c r="R14" i="25"/>
  <c r="O13" i="25"/>
  <c r="D104" i="22"/>
  <c r="Q13" i="23"/>
  <c r="Z13" i="23"/>
  <c r="AF13" i="23"/>
  <c r="G17" i="23"/>
  <c r="G18" i="23"/>
  <c r="X23" i="23"/>
  <c r="R23" i="23"/>
  <c r="V23" i="23"/>
  <c r="J23" i="23"/>
  <c r="G26" i="23"/>
  <c r="G27" i="23"/>
  <c r="T28" i="23"/>
  <c r="T29" i="23"/>
  <c r="C31" i="23"/>
  <c r="K31" i="23"/>
  <c r="M31" i="23" s="1"/>
  <c r="S31" i="23"/>
  <c r="X44" i="23"/>
  <c r="R44" i="23"/>
  <c r="V44" i="23"/>
  <c r="J44" i="23"/>
  <c r="X47" i="23"/>
  <c r="R47" i="23"/>
  <c r="V47" i="23"/>
  <c r="J47" i="23"/>
  <c r="G51" i="23"/>
  <c r="X53" i="23"/>
  <c r="R53" i="23"/>
  <c r="H52" i="23"/>
  <c r="V53" i="23"/>
  <c r="J53" i="23"/>
  <c r="Y52" i="23"/>
  <c r="AE52" i="23"/>
  <c r="G57" i="23"/>
  <c r="T63" i="23"/>
  <c r="T64" i="23"/>
  <c r="X67" i="23"/>
  <c r="R67" i="23"/>
  <c r="T67" i="23"/>
  <c r="J67" i="23"/>
  <c r="L31" i="24"/>
  <c r="AX31" i="24"/>
  <c r="BD31" i="24"/>
  <c r="BJ31" i="24"/>
  <c r="E31" i="23"/>
  <c r="E52" i="23"/>
  <c r="T60" i="23"/>
  <c r="X61" i="23"/>
  <c r="R61" i="23"/>
  <c r="V62" i="23"/>
  <c r="J62" i="23"/>
  <c r="F67" i="23"/>
  <c r="F73" i="23"/>
  <c r="AB74" i="23"/>
  <c r="AH74" i="23"/>
  <c r="Q74" i="23"/>
  <c r="P77" i="23"/>
  <c r="G85" i="23"/>
  <c r="F88" i="23"/>
  <c r="Q13" i="24"/>
  <c r="W13" i="24"/>
  <c r="AC13" i="24"/>
  <c r="AI13" i="24"/>
  <c r="AO13" i="24"/>
  <c r="L13" i="24"/>
  <c r="AH31" i="24"/>
  <c r="E31" i="24"/>
  <c r="T31" i="24"/>
  <c r="Z31" i="24"/>
  <c r="AF31" i="24"/>
  <c r="AV31" i="24"/>
  <c r="BB31" i="24"/>
  <c r="G42" i="24"/>
  <c r="AP42" i="24"/>
  <c r="AL46" i="24"/>
  <c r="K52" i="24"/>
  <c r="M52" i="24" s="1"/>
  <c r="M53" i="24"/>
  <c r="D52" i="24"/>
  <c r="G54" i="24"/>
  <c r="BI52" i="24"/>
  <c r="N74" i="24"/>
  <c r="P74" i="24" s="1"/>
  <c r="P79" i="24"/>
  <c r="AA74" i="24"/>
  <c r="I13" i="25"/>
  <c r="R16" i="23"/>
  <c r="X16" i="23"/>
  <c r="R19" i="23"/>
  <c r="X19" i="23"/>
  <c r="R22" i="23"/>
  <c r="X22" i="23"/>
  <c r="R25" i="23"/>
  <c r="X25" i="23"/>
  <c r="R28" i="23"/>
  <c r="X28" i="23"/>
  <c r="R34" i="23"/>
  <c r="X34" i="23"/>
  <c r="R37" i="23"/>
  <c r="X37" i="23"/>
  <c r="R40" i="23"/>
  <c r="X40" i="23"/>
  <c r="R43" i="23"/>
  <c r="X43" i="23"/>
  <c r="R46" i="23"/>
  <c r="X46" i="23"/>
  <c r="R49" i="23"/>
  <c r="X49" i="23"/>
  <c r="R55" i="23"/>
  <c r="X55" i="23"/>
  <c r="X58" i="23"/>
  <c r="R58" i="23"/>
  <c r="V59" i="23"/>
  <c r="J59" i="23"/>
  <c r="F64" i="23"/>
  <c r="X71" i="23"/>
  <c r="R71" i="23"/>
  <c r="V71" i="23"/>
  <c r="J71" i="23"/>
  <c r="G73" i="23"/>
  <c r="F76" i="23"/>
  <c r="M76" i="23"/>
  <c r="K74" i="23"/>
  <c r="M74" i="23" s="1"/>
  <c r="X77" i="23"/>
  <c r="R77" i="23"/>
  <c r="V77" i="23"/>
  <c r="J77" i="23"/>
  <c r="T87" i="23"/>
  <c r="G88" i="23"/>
  <c r="K13" i="24"/>
  <c r="AQ13" i="24"/>
  <c r="AW13" i="24"/>
  <c r="BC13" i="24"/>
  <c r="BI13" i="24"/>
  <c r="P20" i="24"/>
  <c r="G29" i="24"/>
  <c r="AM31" i="24"/>
  <c r="N31" i="24"/>
  <c r="P32" i="24"/>
  <c r="G53" i="24"/>
  <c r="AU52" i="24"/>
  <c r="BA52" i="24"/>
  <c r="AR54" i="24"/>
  <c r="AN52" i="24"/>
  <c r="U52" i="24"/>
  <c r="BE57" i="24"/>
  <c r="BC52" i="24"/>
  <c r="AD74" i="24"/>
  <c r="AJ74" i="24"/>
  <c r="O74" i="24"/>
  <c r="U74" i="24"/>
  <c r="F61" i="23"/>
  <c r="D74" i="23"/>
  <c r="AD74" i="23"/>
  <c r="F79" i="23"/>
  <c r="X80" i="23"/>
  <c r="R80" i="23"/>
  <c r="V80" i="23"/>
  <c r="J80" i="23"/>
  <c r="AX13" i="24"/>
  <c r="BD13" i="24"/>
  <c r="BJ13" i="24"/>
  <c r="BH13" i="24"/>
  <c r="F18" i="24"/>
  <c r="AR28" i="24"/>
  <c r="F30" i="24"/>
  <c r="H31" i="24"/>
  <c r="J32" i="24"/>
  <c r="AU31" i="24"/>
  <c r="BA31" i="24"/>
  <c r="BG31" i="24"/>
  <c r="BI31" i="24"/>
  <c r="R31" i="24"/>
  <c r="X31" i="24"/>
  <c r="AD31" i="24"/>
  <c r="AJ31" i="24"/>
  <c r="E52" i="24"/>
  <c r="F53" i="24"/>
  <c r="AB52" i="24"/>
  <c r="AL54" i="24"/>
  <c r="AH52" i="24"/>
  <c r="O52" i="24"/>
  <c r="P55" i="24"/>
  <c r="AR57" i="24"/>
  <c r="AQ52" i="24"/>
  <c r="S74" i="24"/>
  <c r="AE74" i="24"/>
  <c r="AK74" i="24"/>
  <c r="AQ74" i="24"/>
  <c r="AW74" i="24"/>
  <c r="BJ74" i="24"/>
  <c r="AD64" i="25"/>
  <c r="AA52" i="25"/>
  <c r="F58" i="23"/>
  <c r="T69" i="23"/>
  <c r="T70" i="23"/>
  <c r="X70" i="23"/>
  <c r="R70" i="23"/>
  <c r="V70" i="23"/>
  <c r="F71" i="23"/>
  <c r="H74" i="23"/>
  <c r="Y74" i="23"/>
  <c r="AE74" i="23"/>
  <c r="E74" i="23"/>
  <c r="G79" i="23"/>
  <c r="F82" i="23"/>
  <c r="X83" i="23"/>
  <c r="R83" i="23"/>
  <c r="V83" i="23"/>
  <c r="J83" i="23"/>
  <c r="E13" i="24"/>
  <c r="G13" i="24" s="1"/>
  <c r="T13" i="24"/>
  <c r="Z13" i="24"/>
  <c r="AF13" i="24"/>
  <c r="BB13" i="24"/>
  <c r="BB8" i="24" s="1"/>
  <c r="BB7" i="24" s="1"/>
  <c r="G18" i="24"/>
  <c r="AP18" i="24"/>
  <c r="Y23" i="24"/>
  <c r="G30" i="24"/>
  <c r="AP30" i="24"/>
  <c r="Q31" i="24"/>
  <c r="W31" i="24"/>
  <c r="AC31" i="24"/>
  <c r="AI31" i="24"/>
  <c r="AO31" i="24"/>
  <c r="S31" i="24"/>
  <c r="AE31" i="24"/>
  <c r="AK31" i="24"/>
  <c r="AQ31" i="24"/>
  <c r="AR31" i="24" s="1"/>
  <c r="AW31" i="24"/>
  <c r="BC31" i="24"/>
  <c r="BE33" i="24"/>
  <c r="Y34" i="24"/>
  <c r="H52" i="24"/>
  <c r="AO52" i="24"/>
  <c r="AP53" i="24"/>
  <c r="BJ52" i="24"/>
  <c r="S52" i="24"/>
  <c r="AE52" i="24"/>
  <c r="AL57" i="24"/>
  <c r="AK52" i="24"/>
  <c r="L74" i="24"/>
  <c r="M74" i="24" s="1"/>
  <c r="G43" i="28"/>
  <c r="D31" i="28"/>
  <c r="Y52" i="28"/>
  <c r="AA53" i="28"/>
  <c r="G57" i="28"/>
  <c r="E52" i="28"/>
  <c r="G52" i="28" s="1"/>
  <c r="F58" i="28"/>
  <c r="C52" i="28"/>
  <c r="W76" i="28"/>
  <c r="U74" i="28"/>
  <c r="W74" i="28" s="1"/>
  <c r="F39" i="29"/>
  <c r="C31" i="29"/>
  <c r="D9" i="29"/>
  <c r="G9" i="29" s="1"/>
  <c r="G89" i="29"/>
  <c r="R73" i="23"/>
  <c r="X73" i="23"/>
  <c r="R76" i="23"/>
  <c r="X76" i="23"/>
  <c r="R79" i="23"/>
  <c r="X79" i="23"/>
  <c r="R82" i="23"/>
  <c r="X82" i="23"/>
  <c r="R85" i="23"/>
  <c r="X85" i="23"/>
  <c r="R88" i="23"/>
  <c r="X88" i="23"/>
  <c r="BD52" i="24"/>
  <c r="P68" i="24"/>
  <c r="BG74" i="24"/>
  <c r="F89" i="24"/>
  <c r="F96" i="24"/>
  <c r="H13" i="25"/>
  <c r="N15" i="25"/>
  <c r="V16" i="25"/>
  <c r="I31" i="25"/>
  <c r="R37" i="25"/>
  <c r="O31" i="25"/>
  <c r="R31" i="25" s="1"/>
  <c r="D52" i="25"/>
  <c r="G52" i="25" s="1"/>
  <c r="F53" i="25"/>
  <c r="S52" i="25"/>
  <c r="V52" i="25" s="1"/>
  <c r="V54" i="25"/>
  <c r="M77" i="27"/>
  <c r="K74" i="27"/>
  <c r="AP60" i="24"/>
  <c r="AR64" i="24"/>
  <c r="BF74" i="24"/>
  <c r="G89" i="24"/>
  <c r="F14" i="25"/>
  <c r="C13" i="25"/>
  <c r="L13" i="25"/>
  <c r="E31" i="25"/>
  <c r="L31" i="25"/>
  <c r="Y31" i="25"/>
  <c r="AD40" i="25"/>
  <c r="AA31" i="25"/>
  <c r="AD31" i="25" s="1"/>
  <c r="F60" i="24"/>
  <c r="AL64" i="24"/>
  <c r="C74" i="24"/>
  <c r="F74" i="24" s="1"/>
  <c r="AM74" i="24"/>
  <c r="AP74" i="24" s="1"/>
  <c r="V74" i="24"/>
  <c r="AB74" i="24"/>
  <c r="AH74" i="24"/>
  <c r="AL74" i="24" s="1"/>
  <c r="AN74" i="24"/>
  <c r="AR74" i="24" s="1"/>
  <c r="AT74" i="24"/>
  <c r="AZ74" i="24"/>
  <c r="AO74" i="24"/>
  <c r="T13" i="25"/>
  <c r="AA13" i="25"/>
  <c r="AD14" i="25"/>
  <c r="F15" i="25"/>
  <c r="M13" i="25"/>
  <c r="N23" i="25"/>
  <c r="F32" i="25"/>
  <c r="M31" i="25"/>
  <c r="S31" i="25"/>
  <c r="V33" i="25"/>
  <c r="N68" i="25"/>
  <c r="AD70" i="25"/>
  <c r="C74" i="25"/>
  <c r="F74" i="25" s="1"/>
  <c r="F76" i="25"/>
  <c r="N76" i="25"/>
  <c r="K74" i="25"/>
  <c r="N74" i="25" s="1"/>
  <c r="G71" i="24"/>
  <c r="M71" i="24"/>
  <c r="BC74" i="24"/>
  <c r="BE74" i="24" s="1"/>
  <c r="Q74" i="24"/>
  <c r="W74" i="24"/>
  <c r="Y74" i="24" s="1"/>
  <c r="AC74" i="24"/>
  <c r="AI74" i="24"/>
  <c r="AB13" i="25"/>
  <c r="G23" i="25"/>
  <c r="Z56" i="25"/>
  <c r="V13" i="27"/>
  <c r="O31" i="27"/>
  <c r="U31" i="27"/>
  <c r="K13" i="25"/>
  <c r="Q13" i="25"/>
  <c r="W13" i="25"/>
  <c r="AC13" i="25"/>
  <c r="T31" i="25"/>
  <c r="D74" i="25"/>
  <c r="G74" i="25" s="1"/>
  <c r="Y74" i="25"/>
  <c r="AD78" i="25"/>
  <c r="AA74" i="25"/>
  <c r="G54" i="27"/>
  <c r="D52" i="27"/>
  <c r="AH16" i="28"/>
  <c r="AG13" i="28"/>
  <c r="M19" i="28"/>
  <c r="I13" i="28"/>
  <c r="D13" i="25"/>
  <c r="S13" i="25"/>
  <c r="E13" i="25"/>
  <c r="R22" i="25"/>
  <c r="G24" i="25"/>
  <c r="G26" i="25"/>
  <c r="AC31" i="25"/>
  <c r="H31" i="25"/>
  <c r="J33" i="25"/>
  <c r="AD34" i="25"/>
  <c r="V36" i="25"/>
  <c r="G38" i="25"/>
  <c r="AD43" i="25"/>
  <c r="V45" i="25"/>
  <c r="G47" i="25"/>
  <c r="N47" i="25"/>
  <c r="AC52" i="25"/>
  <c r="H52" i="25"/>
  <c r="J52" i="25" s="1"/>
  <c r="J54" i="25"/>
  <c r="AD55" i="25"/>
  <c r="V57" i="25"/>
  <c r="AD67" i="25"/>
  <c r="W74" i="25"/>
  <c r="Z74" i="25" s="1"/>
  <c r="M74" i="25"/>
  <c r="V75" i="25"/>
  <c r="S74" i="25"/>
  <c r="U74" i="25"/>
  <c r="X13" i="28"/>
  <c r="T18" i="28"/>
  <c r="R13" i="28"/>
  <c r="AD19" i="25"/>
  <c r="V27" i="25"/>
  <c r="Q31" i="25"/>
  <c r="Z32" i="25"/>
  <c r="W31" i="25"/>
  <c r="R34" i="25"/>
  <c r="Z41" i="25"/>
  <c r="R43" i="25"/>
  <c r="O52" i="25"/>
  <c r="R52" i="25" s="1"/>
  <c r="Q52" i="25"/>
  <c r="Z53" i="25"/>
  <c r="W52" i="25"/>
  <c r="R55" i="25"/>
  <c r="AD58" i="25"/>
  <c r="T74" i="25"/>
  <c r="R78" i="25"/>
  <c r="O74" i="25"/>
  <c r="R74" i="25" s="1"/>
  <c r="G31" i="26"/>
  <c r="D8" i="26"/>
  <c r="G96" i="24"/>
  <c r="N14" i="25"/>
  <c r="Z14" i="25"/>
  <c r="R19" i="25"/>
  <c r="V21" i="25"/>
  <c r="Z23" i="25"/>
  <c r="AD25" i="25"/>
  <c r="G29" i="25"/>
  <c r="N29" i="25"/>
  <c r="G32" i="25"/>
  <c r="N32" i="25"/>
  <c r="K31" i="25"/>
  <c r="X31" i="25"/>
  <c r="AD37" i="25"/>
  <c r="G41" i="25"/>
  <c r="N41" i="25"/>
  <c r="V48" i="25"/>
  <c r="G50" i="25"/>
  <c r="N50" i="25"/>
  <c r="G53" i="25"/>
  <c r="N53" i="25"/>
  <c r="K52" i="25"/>
  <c r="N52" i="25" s="1"/>
  <c r="X52" i="25"/>
  <c r="Z62" i="25"/>
  <c r="G65" i="25"/>
  <c r="R67" i="25"/>
  <c r="Z68" i="25"/>
  <c r="J75" i="25"/>
  <c r="H74" i="25"/>
  <c r="J74" i="25" s="1"/>
  <c r="I74" i="25"/>
  <c r="D9" i="26"/>
  <c r="U74" i="27"/>
  <c r="T77" i="27"/>
  <c r="Q74" i="27"/>
  <c r="T74" i="27" s="1"/>
  <c r="H8" i="26"/>
  <c r="J8" i="26" s="1"/>
  <c r="J13" i="26"/>
  <c r="N52" i="27"/>
  <c r="P52" i="27" s="1"/>
  <c r="T53" i="27"/>
  <c r="Q52" i="27"/>
  <c r="G55" i="27"/>
  <c r="E74" i="27"/>
  <c r="V85" i="27"/>
  <c r="C13" i="27"/>
  <c r="F14" i="27"/>
  <c r="K52" i="27"/>
  <c r="M53" i="27"/>
  <c r="V53" i="27"/>
  <c r="R52" i="27"/>
  <c r="E52" i="27"/>
  <c r="M72" i="27"/>
  <c r="V13" i="28"/>
  <c r="V8" i="28" s="1"/>
  <c r="V7" i="28" s="1"/>
  <c r="AE27" i="28"/>
  <c r="W28" i="28"/>
  <c r="D13" i="27"/>
  <c r="G14" i="27"/>
  <c r="L52" i="27"/>
  <c r="S52" i="27"/>
  <c r="S8" i="27" s="1"/>
  <c r="S7" i="27" s="1"/>
  <c r="F61" i="27"/>
  <c r="R74" i="27"/>
  <c r="N13" i="28"/>
  <c r="P14" i="28"/>
  <c r="AB74" i="25"/>
  <c r="G82" i="25"/>
  <c r="F8" i="26"/>
  <c r="K8" i="26"/>
  <c r="T13" i="27"/>
  <c r="C52" i="27"/>
  <c r="F53" i="27"/>
  <c r="G61" i="27"/>
  <c r="U52" i="27"/>
  <c r="AG31" i="28"/>
  <c r="AH34" i="28"/>
  <c r="F94" i="25"/>
  <c r="E89" i="26"/>
  <c r="E9" i="26" s="1"/>
  <c r="E7" i="26" s="1"/>
  <c r="G53" i="27"/>
  <c r="G59" i="27"/>
  <c r="P63" i="27"/>
  <c r="P72" i="27"/>
  <c r="G15" i="28"/>
  <c r="W16" i="28"/>
  <c r="E31" i="28"/>
  <c r="L31" i="28"/>
  <c r="S31" i="28"/>
  <c r="Y31" i="28"/>
  <c r="AA32" i="28"/>
  <c r="AF31" i="28"/>
  <c r="AH32" i="28"/>
  <c r="W34" i="28"/>
  <c r="U31" i="28"/>
  <c r="W31" i="28" s="1"/>
  <c r="AB31" i="28"/>
  <c r="M55" i="28"/>
  <c r="I52" i="28"/>
  <c r="M52" i="28" s="1"/>
  <c r="V75" i="27"/>
  <c r="F77" i="27"/>
  <c r="F80" i="27"/>
  <c r="V81" i="27"/>
  <c r="F83" i="27"/>
  <c r="F89" i="27"/>
  <c r="Q13" i="28"/>
  <c r="AK13" i="28"/>
  <c r="AL15" i="28"/>
  <c r="AJ13" i="28"/>
  <c r="Z31" i="28"/>
  <c r="V61" i="27"/>
  <c r="T63" i="27"/>
  <c r="T72" i="27"/>
  <c r="L74" i="27"/>
  <c r="F75" i="27"/>
  <c r="C74" i="27"/>
  <c r="G77" i="27"/>
  <c r="G80" i="27"/>
  <c r="F81" i="27"/>
  <c r="G83" i="27"/>
  <c r="G89" i="27"/>
  <c r="E13" i="28"/>
  <c r="Y13" i="28"/>
  <c r="AA14" i="28"/>
  <c r="AF13" i="28"/>
  <c r="AL14" i="28"/>
  <c r="K16" i="28"/>
  <c r="K25" i="28"/>
  <c r="G30" i="28"/>
  <c r="H8" i="27"/>
  <c r="J8" i="27" s="1"/>
  <c r="G56" i="27"/>
  <c r="V63" i="27"/>
  <c r="P66" i="27"/>
  <c r="P68" i="27"/>
  <c r="T70" i="27"/>
  <c r="T73" i="27"/>
  <c r="G75" i="27"/>
  <c r="M76" i="27"/>
  <c r="G81" i="27"/>
  <c r="M82" i="27"/>
  <c r="M85" i="27"/>
  <c r="M88" i="27"/>
  <c r="AN13" i="28"/>
  <c r="H31" i="28"/>
  <c r="K31" i="28" s="1"/>
  <c r="K32" i="28"/>
  <c r="AC31" i="28"/>
  <c r="AE31" i="28" s="1"/>
  <c r="AJ31" i="28"/>
  <c r="V72" i="27"/>
  <c r="S13" i="28"/>
  <c r="Z13" i="28"/>
  <c r="G18" i="28"/>
  <c r="W22" i="28"/>
  <c r="AA23" i="28"/>
  <c r="G27" i="28"/>
  <c r="C31" i="28"/>
  <c r="N31" i="28"/>
  <c r="P31" i="28" s="1"/>
  <c r="P32" i="28"/>
  <c r="AI31" i="28"/>
  <c r="AA38" i="28"/>
  <c r="AA47" i="28"/>
  <c r="AA77" i="28"/>
  <c r="Y74" i="28"/>
  <c r="AA74" i="28" s="1"/>
  <c r="M39" i="28"/>
  <c r="M48" i="28"/>
  <c r="V68" i="27"/>
  <c r="T75" i="27"/>
  <c r="T81" i="27"/>
  <c r="H13" i="28"/>
  <c r="K14" i="28"/>
  <c r="AC13" i="28"/>
  <c r="AI13" i="28"/>
  <c r="AE18" i="28"/>
  <c r="AA20" i="28"/>
  <c r="AE21" i="28"/>
  <c r="K22" i="28"/>
  <c r="M30" i="28"/>
  <c r="AE30" i="28"/>
  <c r="I31" i="28"/>
  <c r="Q31" i="28"/>
  <c r="AD31" i="28"/>
  <c r="AK31" i="28"/>
  <c r="AA35" i="28"/>
  <c r="K40" i="28"/>
  <c r="AA44" i="28"/>
  <c r="K49" i="28"/>
  <c r="K19" i="28"/>
  <c r="G24" i="28"/>
  <c r="W25" i="28"/>
  <c r="AA26" i="28"/>
  <c r="R31" i="28"/>
  <c r="T31" i="28" s="1"/>
  <c r="X31" i="28"/>
  <c r="AE36" i="28"/>
  <c r="W37" i="28"/>
  <c r="G39" i="28"/>
  <c r="AE45" i="28"/>
  <c r="W46" i="28"/>
  <c r="G48" i="28"/>
  <c r="S52" i="28"/>
  <c r="G54" i="28"/>
  <c r="AH55" i="28"/>
  <c r="P58" i="28"/>
  <c r="T62" i="28"/>
  <c r="AL68" i="28"/>
  <c r="AH70" i="28"/>
  <c r="AC74" i="28"/>
  <c r="AE75" i="28"/>
  <c r="F78" i="28"/>
  <c r="G81" i="28"/>
  <c r="P82" i="28"/>
  <c r="G84" i="28"/>
  <c r="E8" i="29"/>
  <c r="E7" i="29" s="1"/>
  <c r="G74" i="29"/>
  <c r="D8" i="29"/>
  <c r="AL50" i="28"/>
  <c r="U52" i="28"/>
  <c r="W52" i="28" s="1"/>
  <c r="AL53" i="28"/>
  <c r="F63" i="28"/>
  <c r="F72" i="28"/>
  <c r="Q74" i="28"/>
  <c r="AM74" i="28"/>
  <c r="AM8" i="28" s="1"/>
  <c r="AM7" i="28" s="1"/>
  <c r="G78" i="28"/>
  <c r="P79" i="28"/>
  <c r="AL80" i="28"/>
  <c r="AL83" i="28"/>
  <c r="P85" i="28"/>
  <c r="AA51" i="28"/>
  <c r="AK52" i="28"/>
  <c r="AL52" i="28" s="1"/>
  <c r="AI52" i="28"/>
  <c r="T56" i="28"/>
  <c r="F57" i="28"/>
  <c r="H8" i="29"/>
  <c r="J31" i="29"/>
  <c r="J39" i="29"/>
  <c r="T50" i="28"/>
  <c r="AE54" i="28"/>
  <c r="AC52" i="28"/>
  <c r="P55" i="28"/>
  <c r="AH58" i="28"/>
  <c r="AL62" i="28"/>
  <c r="F66" i="28"/>
  <c r="T68" i="28"/>
  <c r="P70" i="28"/>
  <c r="C74" i="28"/>
  <c r="F74" i="28" s="1"/>
  <c r="AG74" i="28"/>
  <c r="AH74" i="28" s="1"/>
  <c r="AH79" i="28"/>
  <c r="AH85" i="28"/>
  <c r="J52" i="28"/>
  <c r="F75" i="28"/>
  <c r="I74" i="28"/>
  <c r="M74" i="28" s="1"/>
  <c r="O74" i="28"/>
  <c r="C97" i="22" l="1"/>
  <c r="K97" i="22" s="1"/>
  <c r="M31" i="28"/>
  <c r="M52" i="27"/>
  <c r="Q8" i="27"/>
  <c r="V8" i="24"/>
  <c r="V7" i="24" s="1"/>
  <c r="O8" i="24"/>
  <c r="O7" i="24" s="1"/>
  <c r="C29" i="22"/>
  <c r="K29" i="22" s="1"/>
  <c r="K17" i="21"/>
  <c r="J74" i="19"/>
  <c r="J31" i="21"/>
  <c r="P31" i="19"/>
  <c r="C62" i="22"/>
  <c r="K62" i="22" s="1"/>
  <c r="J52" i="21"/>
  <c r="T13" i="19"/>
  <c r="M27" i="19"/>
  <c r="M59" i="16"/>
  <c r="CY8" i="16"/>
  <c r="CY7" i="16" s="1"/>
  <c r="C43" i="14"/>
  <c r="K43" i="14" s="1"/>
  <c r="N9" i="11"/>
  <c r="K42" i="12"/>
  <c r="K47" i="13"/>
  <c r="C67" i="10"/>
  <c r="K67" i="10" s="1"/>
  <c r="K81" i="8"/>
  <c r="X8" i="7"/>
  <c r="X7" i="7" s="1"/>
  <c r="M73" i="6"/>
  <c r="K47" i="4"/>
  <c r="C39" i="4"/>
  <c r="K39" i="4" s="1"/>
  <c r="K30" i="4"/>
  <c r="K19" i="4"/>
  <c r="C30" i="6"/>
  <c r="K30" i="6" s="1"/>
  <c r="C15" i="6"/>
  <c r="F8" i="1"/>
  <c r="F7" i="1" s="1"/>
  <c r="AL74" i="28"/>
  <c r="CO8" i="16"/>
  <c r="N9" i="20"/>
  <c r="AZ74" i="16"/>
  <c r="K75" i="16"/>
  <c r="C80" i="19"/>
  <c r="K80" i="19" s="1"/>
  <c r="AL74" i="16"/>
  <c r="AB52" i="16"/>
  <c r="AE8" i="9"/>
  <c r="AE7" i="9" s="1"/>
  <c r="BQ13" i="7"/>
  <c r="J52" i="3"/>
  <c r="AB8" i="3"/>
  <c r="AB7" i="3" s="1"/>
  <c r="AB45" i="1"/>
  <c r="J52" i="4"/>
  <c r="M73" i="4"/>
  <c r="C73" i="4"/>
  <c r="K73" i="4" s="1"/>
  <c r="K82" i="13"/>
  <c r="K20" i="9"/>
  <c r="K55" i="9"/>
  <c r="U13" i="7"/>
  <c r="BW13" i="7"/>
  <c r="AB8" i="4"/>
  <c r="AB7" i="4" s="1"/>
  <c r="K36" i="1"/>
  <c r="K24" i="1"/>
  <c r="K68" i="1"/>
  <c r="T8" i="4"/>
  <c r="T7" i="4" s="1"/>
  <c r="Z36" i="1"/>
  <c r="AE52" i="28"/>
  <c r="F13" i="28"/>
  <c r="J31" i="25"/>
  <c r="BF8" i="24"/>
  <c r="BF7" i="24" s="1"/>
  <c r="J52" i="24"/>
  <c r="P31" i="24"/>
  <c r="C32" i="20"/>
  <c r="K32" i="20" s="1"/>
  <c r="M84" i="20"/>
  <c r="C95" i="20"/>
  <c r="K95" i="20" s="1"/>
  <c r="M47" i="19"/>
  <c r="C81" i="21"/>
  <c r="K81" i="21" s="1"/>
  <c r="N89" i="17"/>
  <c r="M79" i="16"/>
  <c r="T8" i="17"/>
  <c r="T7" i="17" s="1"/>
  <c r="M77" i="16"/>
  <c r="BQ8" i="16"/>
  <c r="BQ7" i="16" s="1"/>
  <c r="M91" i="12"/>
  <c r="K38" i="9"/>
  <c r="K26" i="8"/>
  <c r="C16" i="9"/>
  <c r="K16" i="9" s="1"/>
  <c r="BK52" i="7"/>
  <c r="K36" i="4"/>
  <c r="AH74" i="2"/>
  <c r="AB31" i="2"/>
  <c r="C19" i="2"/>
  <c r="K19" i="2" s="1"/>
  <c r="P31" i="3"/>
  <c r="M60" i="3"/>
  <c r="M18" i="3"/>
  <c r="C105" i="6"/>
  <c r="K105" i="6" s="1"/>
  <c r="CW8" i="16"/>
  <c r="CW7" i="16" s="1"/>
  <c r="C49" i="19"/>
  <c r="K49" i="19" s="1"/>
  <c r="T8" i="16"/>
  <c r="AZ52" i="16"/>
  <c r="K32" i="10"/>
  <c r="D74" i="4"/>
  <c r="K27" i="22"/>
  <c r="K49" i="13"/>
  <c r="J89" i="10"/>
  <c r="AC13" i="9"/>
  <c r="K25" i="8"/>
  <c r="G31" i="25"/>
  <c r="K85" i="22"/>
  <c r="U8" i="23"/>
  <c r="U7" i="23" s="1"/>
  <c r="C68" i="22"/>
  <c r="K68" i="22" s="1"/>
  <c r="M97" i="19"/>
  <c r="C105" i="17"/>
  <c r="K105" i="17" s="1"/>
  <c r="M66" i="17"/>
  <c r="M14" i="17"/>
  <c r="K72" i="16"/>
  <c r="M61" i="16"/>
  <c r="M17" i="17"/>
  <c r="M58" i="16"/>
  <c r="BK8" i="16"/>
  <c r="BK7" i="16" s="1"/>
  <c r="N9" i="14"/>
  <c r="M65" i="12"/>
  <c r="C62" i="11"/>
  <c r="K62" i="11" s="1"/>
  <c r="F8" i="13"/>
  <c r="F7" i="13" s="1"/>
  <c r="C90" i="12"/>
  <c r="M59" i="7"/>
  <c r="M80" i="7"/>
  <c r="X8" i="6"/>
  <c r="X7" i="6" s="1"/>
  <c r="Y8" i="4"/>
  <c r="AH31" i="7"/>
  <c r="N89" i="1"/>
  <c r="M24" i="10"/>
  <c r="M53" i="2"/>
  <c r="M105" i="7"/>
  <c r="M51" i="3"/>
  <c r="K23" i="1"/>
  <c r="AH52" i="28"/>
  <c r="AX52" i="16"/>
  <c r="K28" i="13"/>
  <c r="J89" i="11"/>
  <c r="Y31" i="7"/>
  <c r="V31" i="1"/>
  <c r="V31" i="2"/>
  <c r="J31" i="24"/>
  <c r="D31" i="19"/>
  <c r="M106" i="20"/>
  <c r="T52" i="28"/>
  <c r="AD8" i="28"/>
  <c r="AD7" i="28" s="1"/>
  <c r="D31" i="20"/>
  <c r="M53" i="19"/>
  <c r="M64" i="19"/>
  <c r="BR52" i="16"/>
  <c r="D52" i="16"/>
  <c r="X8" i="14"/>
  <c r="X7" i="14" s="1"/>
  <c r="M91" i="13"/>
  <c r="M89" i="13" s="1"/>
  <c r="N31" i="13"/>
  <c r="K56" i="11"/>
  <c r="AF8" i="12"/>
  <c r="AF7" i="12" s="1"/>
  <c r="D74" i="10"/>
  <c r="C66" i="9"/>
  <c r="K66" i="9" s="1"/>
  <c r="W8" i="2"/>
  <c r="BS8" i="7"/>
  <c r="BS7" i="7" s="1"/>
  <c r="BT74" i="7"/>
  <c r="J9" i="6"/>
  <c r="N52" i="6"/>
  <c r="J89" i="3"/>
  <c r="K23" i="5"/>
  <c r="U31" i="1"/>
  <c r="C24" i="6"/>
  <c r="K24" i="6" s="1"/>
  <c r="C81" i="4"/>
  <c r="K81" i="4" s="1"/>
  <c r="K51" i="4"/>
  <c r="C41" i="4"/>
  <c r="K41" i="4" s="1"/>
  <c r="C67" i="2"/>
  <c r="K67" i="2" s="1"/>
  <c r="M100" i="8"/>
  <c r="M50" i="2"/>
  <c r="C34" i="2"/>
  <c r="K34" i="2" s="1"/>
  <c r="C67" i="1"/>
  <c r="K67" i="1" s="1"/>
  <c r="AA31" i="1"/>
  <c r="AB27" i="1"/>
  <c r="G74" i="28"/>
  <c r="M54" i="21"/>
  <c r="J9" i="13"/>
  <c r="BD8" i="12"/>
  <c r="BD7" i="12" s="1"/>
  <c r="K17" i="10"/>
  <c r="K23" i="9"/>
  <c r="K67" i="8"/>
  <c r="N89" i="10"/>
  <c r="J52" i="9"/>
  <c r="J31" i="3"/>
  <c r="K41" i="1"/>
  <c r="AE74" i="28"/>
  <c r="L8" i="28"/>
  <c r="L7" i="28" s="1"/>
  <c r="BG8" i="24"/>
  <c r="BG7" i="24" s="1"/>
  <c r="C46" i="22"/>
  <c r="K46" i="22" s="1"/>
  <c r="Q31" i="20"/>
  <c r="K67" i="22"/>
  <c r="V74" i="17"/>
  <c r="J89" i="16"/>
  <c r="N89" i="16"/>
  <c r="M49" i="16"/>
  <c r="J74" i="16"/>
  <c r="AG74" i="12"/>
  <c r="J31" i="12"/>
  <c r="C91" i="9"/>
  <c r="K91" i="9" s="1"/>
  <c r="M29" i="9"/>
  <c r="P9" i="6"/>
  <c r="Q31" i="3"/>
  <c r="K101" i="3"/>
  <c r="J31" i="1"/>
  <c r="C59" i="5"/>
  <c r="K59" i="5" s="1"/>
  <c r="W52" i="1"/>
  <c r="K82" i="2"/>
  <c r="AG8" i="1"/>
  <c r="AG7" i="1" s="1"/>
  <c r="P74" i="23"/>
  <c r="AE8" i="12"/>
  <c r="AE7" i="12" s="1"/>
  <c r="O7" i="11"/>
  <c r="AG8" i="2"/>
  <c r="AG7" i="2" s="1"/>
  <c r="CO31" i="7"/>
  <c r="K57" i="5"/>
  <c r="R8" i="3"/>
  <c r="AC8" i="2"/>
  <c r="N13" i="2"/>
  <c r="K16" i="2"/>
  <c r="F8" i="12"/>
  <c r="F7" i="12" s="1"/>
  <c r="N89" i="20"/>
  <c r="K17" i="5"/>
  <c r="M17" i="20"/>
  <c r="C17" i="20"/>
  <c r="K17" i="20" s="1"/>
  <c r="D89" i="19"/>
  <c r="D9" i="19" s="1"/>
  <c r="G9" i="26"/>
  <c r="X8" i="25"/>
  <c r="X7" i="25" s="1"/>
  <c r="U8" i="25"/>
  <c r="U7" i="25" s="1"/>
  <c r="E8" i="25"/>
  <c r="E7" i="25" s="1"/>
  <c r="BA8" i="24"/>
  <c r="BA7" i="24" s="1"/>
  <c r="P31" i="23"/>
  <c r="K63" i="22"/>
  <c r="N9" i="19"/>
  <c r="Q31" i="19"/>
  <c r="J74" i="21"/>
  <c r="M54" i="17"/>
  <c r="M63" i="16"/>
  <c r="W52" i="14"/>
  <c r="Y52" i="14" s="1"/>
  <c r="D13" i="16"/>
  <c r="M19" i="14"/>
  <c r="C20" i="12"/>
  <c r="K20" i="12" s="1"/>
  <c r="M26" i="13"/>
  <c r="BE31" i="12"/>
  <c r="C38" i="12"/>
  <c r="K38" i="12" s="1"/>
  <c r="C59" i="14"/>
  <c r="K59" i="14" s="1"/>
  <c r="M71" i="13"/>
  <c r="C35" i="11"/>
  <c r="K35" i="11" s="1"/>
  <c r="N52" i="11"/>
  <c r="M62" i="10"/>
  <c r="M23" i="9"/>
  <c r="C68" i="8"/>
  <c r="K68" i="8" s="1"/>
  <c r="K80" i="7"/>
  <c r="M61" i="6"/>
  <c r="K33" i="7"/>
  <c r="M33" i="6"/>
  <c r="M67" i="5"/>
  <c r="K86" i="4"/>
  <c r="K77" i="4"/>
  <c r="C20" i="6"/>
  <c r="C106" i="3"/>
  <c r="K106" i="3" s="1"/>
  <c r="M19" i="5"/>
  <c r="M96" i="4"/>
  <c r="M107" i="2"/>
  <c r="K21" i="2"/>
  <c r="X74" i="1"/>
  <c r="AB74" i="1" s="1"/>
  <c r="K49" i="1"/>
  <c r="O8" i="1"/>
  <c r="M31" i="27"/>
  <c r="J89" i="19"/>
  <c r="D74" i="20"/>
  <c r="DF8" i="16"/>
  <c r="DF7" i="16" s="1"/>
  <c r="DA8" i="16"/>
  <c r="DA7" i="16" s="1"/>
  <c r="CI8" i="16"/>
  <c r="CI7" i="16" s="1"/>
  <c r="C91" i="17"/>
  <c r="K91" i="17" s="1"/>
  <c r="C83" i="3"/>
  <c r="K83" i="3" s="1"/>
  <c r="O8" i="5"/>
  <c r="O7" i="5" s="1"/>
  <c r="Z22" i="1"/>
  <c r="U31" i="4"/>
  <c r="V31" i="4"/>
  <c r="C85" i="20"/>
  <c r="K85" i="20" s="1"/>
  <c r="M85" i="20"/>
  <c r="M63" i="13"/>
  <c r="C63" i="13"/>
  <c r="K63" i="13" s="1"/>
  <c r="T8" i="24"/>
  <c r="T7" i="24" s="1"/>
  <c r="F52" i="24"/>
  <c r="Z8" i="28"/>
  <c r="Z7" i="28" s="1"/>
  <c r="AB8" i="28"/>
  <c r="AB7" i="28" s="1"/>
  <c r="AA31" i="28"/>
  <c r="AU8" i="24"/>
  <c r="AU7" i="24" s="1"/>
  <c r="U8" i="24"/>
  <c r="U7" i="24" s="1"/>
  <c r="M81" i="20"/>
  <c r="F8" i="20"/>
  <c r="M27" i="20"/>
  <c r="C98" i="16"/>
  <c r="K98" i="16" s="1"/>
  <c r="M94" i="16"/>
  <c r="C39" i="16"/>
  <c r="K39" i="16" s="1"/>
  <c r="AC7" i="15"/>
  <c r="K40" i="16"/>
  <c r="M55" i="14"/>
  <c r="O8" i="13"/>
  <c r="O7" i="13" s="1"/>
  <c r="M75" i="12"/>
  <c r="K32" i="12"/>
  <c r="E8" i="10"/>
  <c r="E7" i="10" s="1"/>
  <c r="M39" i="13"/>
  <c r="AJ8" i="12"/>
  <c r="AJ7" i="12" s="1"/>
  <c r="C63" i="11"/>
  <c r="K63" i="11" s="1"/>
  <c r="C29" i="11"/>
  <c r="K29" i="11" s="1"/>
  <c r="C77" i="11"/>
  <c r="K77" i="11" s="1"/>
  <c r="M32" i="10"/>
  <c r="D89" i="10"/>
  <c r="D9" i="10" s="1"/>
  <c r="M53" i="9"/>
  <c r="K69" i="10"/>
  <c r="C70" i="9"/>
  <c r="K70" i="9" s="1"/>
  <c r="D89" i="8"/>
  <c r="D9" i="8" s="1"/>
  <c r="M106" i="7"/>
  <c r="M20" i="9"/>
  <c r="K61" i="7"/>
  <c r="C45" i="8"/>
  <c r="K59" i="7"/>
  <c r="M25" i="8"/>
  <c r="M91" i="7"/>
  <c r="AB74" i="7"/>
  <c r="D74" i="7"/>
  <c r="K32" i="7"/>
  <c r="J74" i="6"/>
  <c r="AH52" i="7"/>
  <c r="C93" i="6"/>
  <c r="K93" i="6" s="1"/>
  <c r="C44" i="8"/>
  <c r="C94" i="2"/>
  <c r="K94" i="2" s="1"/>
  <c r="M106" i="1"/>
  <c r="AE74" i="2"/>
  <c r="AH52" i="2"/>
  <c r="M17" i="2"/>
  <c r="D31" i="1"/>
  <c r="M35" i="6"/>
  <c r="M85" i="5"/>
  <c r="D89" i="2"/>
  <c r="D9" i="2" s="1"/>
  <c r="M77" i="1"/>
  <c r="M64" i="1"/>
  <c r="K33" i="1"/>
  <c r="F31" i="27"/>
  <c r="G31" i="27"/>
  <c r="AB13" i="16"/>
  <c r="K47" i="14"/>
  <c r="CB8" i="16"/>
  <c r="CB7" i="16" s="1"/>
  <c r="M16" i="16"/>
  <c r="Z52" i="13"/>
  <c r="K34" i="10"/>
  <c r="K70" i="4"/>
  <c r="K37" i="4"/>
  <c r="C21" i="4"/>
  <c r="K21" i="4" s="1"/>
  <c r="BB13" i="7"/>
  <c r="Z8" i="3"/>
  <c r="Z7" i="3" s="1"/>
  <c r="AC74" i="4"/>
  <c r="AG52" i="4"/>
  <c r="S8" i="2"/>
  <c r="M26" i="17"/>
  <c r="C26" i="17"/>
  <c r="K26" i="17" s="1"/>
  <c r="K18" i="16"/>
  <c r="K46" i="16"/>
  <c r="V89" i="3"/>
  <c r="S9" i="3"/>
  <c r="V9" i="3" s="1"/>
  <c r="M47" i="3"/>
  <c r="C47" i="3"/>
  <c r="K47" i="3" s="1"/>
  <c r="O8" i="28"/>
  <c r="O7" i="28" s="1"/>
  <c r="V74" i="27"/>
  <c r="AA52" i="28"/>
  <c r="AR52" i="24"/>
  <c r="M39" i="22"/>
  <c r="M15" i="22"/>
  <c r="M78" i="17"/>
  <c r="D89" i="16"/>
  <c r="D9" i="16" s="1"/>
  <c r="K96" i="13"/>
  <c r="M101" i="14"/>
  <c r="K15" i="13"/>
  <c r="M84" i="12"/>
  <c r="M49" i="13"/>
  <c r="K68" i="12"/>
  <c r="C44" i="12"/>
  <c r="K44" i="12" s="1"/>
  <c r="M102" i="11"/>
  <c r="C64" i="11"/>
  <c r="K64" i="11" s="1"/>
  <c r="C43" i="11"/>
  <c r="K43" i="11" s="1"/>
  <c r="D31" i="10"/>
  <c r="M102" i="9"/>
  <c r="C72" i="9"/>
  <c r="K72" i="9" s="1"/>
  <c r="K46" i="9"/>
  <c r="M90" i="10"/>
  <c r="M89" i="10" s="1"/>
  <c r="N74" i="11"/>
  <c r="M20" i="10"/>
  <c r="M30" i="9"/>
  <c r="M21" i="9"/>
  <c r="K76" i="7"/>
  <c r="AK74" i="7"/>
  <c r="C22" i="9"/>
  <c r="K22" i="9" s="1"/>
  <c r="M67" i="8"/>
  <c r="N9" i="2"/>
  <c r="CK8" i="7"/>
  <c r="CK7" i="7" s="1"/>
  <c r="D89" i="4"/>
  <c r="D9" i="4" s="1"/>
  <c r="Y52" i="3"/>
  <c r="J89" i="1"/>
  <c r="K44" i="6"/>
  <c r="K81" i="2"/>
  <c r="J89" i="5"/>
  <c r="M88" i="6"/>
  <c r="M16" i="6"/>
  <c r="K72" i="5"/>
  <c r="M77" i="2"/>
  <c r="J52" i="1"/>
  <c r="AM8" i="1"/>
  <c r="AM7" i="1" s="1"/>
  <c r="T74" i="28"/>
  <c r="P52" i="28"/>
  <c r="CQ8" i="16"/>
  <c r="C96" i="19"/>
  <c r="K96" i="19" s="1"/>
  <c r="C78" i="19"/>
  <c r="K78" i="19" s="1"/>
  <c r="CF8" i="16"/>
  <c r="CF7" i="16" s="1"/>
  <c r="H8" i="14"/>
  <c r="E8" i="14"/>
  <c r="E7" i="14" s="1"/>
  <c r="K43" i="12"/>
  <c r="N52" i="16"/>
  <c r="J89" i="12"/>
  <c r="V8" i="10"/>
  <c r="V7" i="10" s="1"/>
  <c r="M25" i="12"/>
  <c r="CV8" i="7"/>
  <c r="CV7" i="7" s="1"/>
  <c r="T74" i="11"/>
  <c r="AA8" i="2"/>
  <c r="AA7" i="2" s="1"/>
  <c r="AB57" i="1"/>
  <c r="Z49" i="1"/>
  <c r="AB28" i="1"/>
  <c r="K50" i="1"/>
  <c r="Y74" i="1"/>
  <c r="K30" i="1"/>
  <c r="K53" i="20"/>
  <c r="P52" i="24"/>
  <c r="C86" i="22"/>
  <c r="K86" i="22" s="1"/>
  <c r="K35" i="22"/>
  <c r="C99" i="19"/>
  <c r="K99" i="19" s="1"/>
  <c r="M67" i="21"/>
  <c r="AE8" i="17"/>
  <c r="AE7" i="17" s="1"/>
  <c r="K104" i="17"/>
  <c r="C106" i="16"/>
  <c r="K106" i="16" s="1"/>
  <c r="BN8" i="16"/>
  <c r="BN7" i="16" s="1"/>
  <c r="BE8" i="16"/>
  <c r="BE7" i="16" s="1"/>
  <c r="AA8" i="14"/>
  <c r="AA7" i="14" s="1"/>
  <c r="T31" i="10"/>
  <c r="K50" i="10"/>
  <c r="C82" i="9"/>
  <c r="K82" i="9" s="1"/>
  <c r="M55" i="9"/>
  <c r="M56" i="10"/>
  <c r="M25" i="10"/>
  <c r="F8" i="9"/>
  <c r="M101" i="7"/>
  <c r="V31" i="9"/>
  <c r="M43" i="8"/>
  <c r="M81" i="7"/>
  <c r="M32" i="7"/>
  <c r="O8" i="7"/>
  <c r="U74" i="3"/>
  <c r="E8" i="2"/>
  <c r="E7" i="2" s="1"/>
  <c r="K64" i="6"/>
  <c r="BE52" i="7"/>
  <c r="D74" i="5"/>
  <c r="K23" i="7"/>
  <c r="M93" i="3"/>
  <c r="C50" i="4"/>
  <c r="K50" i="4" s="1"/>
  <c r="K33" i="4"/>
  <c r="K24" i="4"/>
  <c r="K26" i="6"/>
  <c r="D31" i="4"/>
  <c r="D89" i="5"/>
  <c r="D9" i="5" s="1"/>
  <c r="C66" i="4"/>
  <c r="K66" i="4" s="1"/>
  <c r="M90" i="1"/>
  <c r="K68" i="2"/>
  <c r="M45" i="2"/>
  <c r="D13" i="4"/>
  <c r="C66" i="1"/>
  <c r="K66" i="1" s="1"/>
  <c r="M41" i="1"/>
  <c r="M24" i="1"/>
  <c r="M58" i="1"/>
  <c r="E8" i="1"/>
  <c r="BW8" i="16"/>
  <c r="BW7" i="16" s="1"/>
  <c r="K72" i="21"/>
  <c r="CR8" i="16"/>
  <c r="BJ8" i="16"/>
  <c r="BJ7" i="16" s="1"/>
  <c r="AH8" i="16"/>
  <c r="AH7" i="16" s="1"/>
  <c r="N13" i="16"/>
  <c r="M48" i="13"/>
  <c r="D74" i="11"/>
  <c r="F8" i="11"/>
  <c r="F7" i="11" s="1"/>
  <c r="CF31" i="7"/>
  <c r="K71" i="7"/>
  <c r="V52" i="2"/>
  <c r="AF8" i="4"/>
  <c r="AF7" i="4" s="1"/>
  <c r="BT31" i="7"/>
  <c r="S8" i="10"/>
  <c r="S7" i="10" s="1"/>
  <c r="AE8" i="7"/>
  <c r="AE7" i="7" s="1"/>
  <c r="J52" i="8"/>
  <c r="X8" i="9"/>
  <c r="BW52" i="7"/>
  <c r="BB52" i="7"/>
  <c r="D89" i="3"/>
  <c r="D9" i="3" s="1"/>
  <c r="K40" i="2"/>
  <c r="M32" i="4"/>
  <c r="C26" i="4"/>
  <c r="N89" i="3"/>
  <c r="K57" i="6"/>
  <c r="H8" i="5"/>
  <c r="K26" i="1"/>
  <c r="C51" i="21"/>
  <c r="K51" i="21" s="1"/>
  <c r="CC8" i="16"/>
  <c r="CC7" i="16" s="1"/>
  <c r="CJ8" i="16"/>
  <c r="CJ7" i="16" s="1"/>
  <c r="CH8" i="16"/>
  <c r="CH7" i="16" s="1"/>
  <c r="U13" i="16"/>
  <c r="BN31" i="7"/>
  <c r="AB52" i="2"/>
  <c r="Z42" i="1"/>
  <c r="CR31" i="7"/>
  <c r="Z24" i="1"/>
  <c r="K18" i="1"/>
  <c r="AE8" i="1"/>
  <c r="AE7" i="1" s="1"/>
  <c r="AI31" i="4"/>
  <c r="J31" i="4"/>
  <c r="AB13" i="2"/>
  <c r="AB26" i="1"/>
  <c r="AO8" i="24"/>
  <c r="AO7" i="24" s="1"/>
  <c r="N9" i="9"/>
  <c r="D31" i="7"/>
  <c r="BM8" i="16"/>
  <c r="BM7" i="16" s="1"/>
  <c r="M77" i="3"/>
  <c r="C77" i="3"/>
  <c r="K77" i="3" s="1"/>
  <c r="M54" i="7"/>
  <c r="C54" i="7"/>
  <c r="K54" i="7" s="1"/>
  <c r="AH31" i="28"/>
  <c r="V52" i="27"/>
  <c r="Y8" i="25"/>
  <c r="Y7" i="25" s="1"/>
  <c r="BD8" i="24"/>
  <c r="BD7" i="24" s="1"/>
  <c r="AP31" i="24"/>
  <c r="AI8" i="24"/>
  <c r="AI7" i="24" s="1"/>
  <c r="Z8" i="23"/>
  <c r="Z7" i="23" s="1"/>
  <c r="M31" i="24"/>
  <c r="AS8" i="24"/>
  <c r="AS7" i="24" s="1"/>
  <c r="AB8" i="23"/>
  <c r="AB7" i="23" s="1"/>
  <c r="Q9" i="22"/>
  <c r="D52" i="20"/>
  <c r="C52" i="20" s="1"/>
  <c r="C70" i="19"/>
  <c r="K70" i="19" s="1"/>
  <c r="K75" i="18"/>
  <c r="N9" i="21"/>
  <c r="M100" i="17"/>
  <c r="AI7" i="15"/>
  <c r="J31" i="14"/>
  <c r="BR31" i="16"/>
  <c r="J52" i="14"/>
  <c r="C80" i="13"/>
  <c r="K80" i="13" s="1"/>
  <c r="W31" i="14"/>
  <c r="N52" i="13"/>
  <c r="V8" i="13"/>
  <c r="V7" i="13" s="1"/>
  <c r="D31" i="12"/>
  <c r="K79" i="13"/>
  <c r="AA8" i="12"/>
  <c r="AA7" i="12" s="1"/>
  <c r="K88" i="9"/>
  <c r="Y31" i="12"/>
  <c r="AC74" i="12"/>
  <c r="C63" i="12"/>
  <c r="W74" i="10"/>
  <c r="AG13" i="10"/>
  <c r="J89" i="8"/>
  <c r="M95" i="7"/>
  <c r="CB8" i="7"/>
  <c r="CB7" i="7" s="1"/>
  <c r="K87" i="8"/>
  <c r="D13" i="7"/>
  <c r="AX8" i="7"/>
  <c r="AX7" i="7" s="1"/>
  <c r="K40" i="7"/>
  <c r="K19" i="6"/>
  <c r="K44" i="8"/>
  <c r="C26" i="7"/>
  <c r="K26" i="7" s="1"/>
  <c r="X8" i="5"/>
  <c r="X7" i="5" s="1"/>
  <c r="K63" i="4"/>
  <c r="K45" i="4"/>
  <c r="K35" i="4"/>
  <c r="M57" i="3"/>
  <c r="M32" i="3"/>
  <c r="C81" i="6"/>
  <c r="K81" i="6" s="1"/>
  <c r="K35" i="6"/>
  <c r="M18" i="1"/>
  <c r="M70" i="1"/>
  <c r="Y52" i="1"/>
  <c r="AB24" i="1"/>
  <c r="I8" i="24"/>
  <c r="I7" i="24" s="1"/>
  <c r="P8" i="25"/>
  <c r="P7" i="25" s="1"/>
  <c r="M41" i="21"/>
  <c r="C41" i="21"/>
  <c r="K41" i="21" s="1"/>
  <c r="F7" i="16"/>
  <c r="O8" i="16"/>
  <c r="K77" i="16"/>
  <c r="M46" i="17"/>
  <c r="C46" i="17"/>
  <c r="K46" i="17" s="1"/>
  <c r="BG8" i="16"/>
  <c r="BG7" i="16" s="1"/>
  <c r="BT52" i="16"/>
  <c r="DC8" i="16"/>
  <c r="DC7" i="16" s="1"/>
  <c r="C67" i="12"/>
  <c r="K67" i="12" s="1"/>
  <c r="M67" i="12"/>
  <c r="M87" i="12"/>
  <c r="C87" i="12"/>
  <c r="K87" i="12" s="1"/>
  <c r="CX52" i="16"/>
  <c r="BV8" i="16"/>
  <c r="BV7" i="16" s="1"/>
  <c r="BD8" i="16"/>
  <c r="BD7" i="16" s="1"/>
  <c r="K16" i="16"/>
  <c r="AC74" i="9"/>
  <c r="AN8" i="12"/>
  <c r="AN7" i="12" s="1"/>
  <c r="K29" i="9"/>
  <c r="K15" i="8"/>
  <c r="AY31" i="7"/>
  <c r="T8" i="9"/>
  <c r="T7" i="9" s="1"/>
  <c r="M24" i="7"/>
  <c r="C24" i="7"/>
  <c r="K24" i="7" s="1"/>
  <c r="M18" i="7"/>
  <c r="C18" i="7"/>
  <c r="K18" i="7" s="1"/>
  <c r="J52" i="11"/>
  <c r="M28" i="7"/>
  <c r="C28" i="7"/>
  <c r="K28" i="7" s="1"/>
  <c r="M16" i="7"/>
  <c r="C16" i="7"/>
  <c r="K16" i="7" s="1"/>
  <c r="K22" i="10"/>
  <c r="M34" i="4"/>
  <c r="C34" i="4"/>
  <c r="K34" i="4" s="1"/>
  <c r="Z50" i="1"/>
  <c r="G8" i="4"/>
  <c r="W8" i="4"/>
  <c r="W7" i="4" s="1"/>
  <c r="M101" i="1"/>
  <c r="C101" i="1"/>
  <c r="K101" i="1" s="1"/>
  <c r="Z38" i="1"/>
  <c r="K82" i="4"/>
  <c r="AL13" i="4"/>
  <c r="AL8" i="1"/>
  <c r="AL7" i="1" s="1"/>
  <c r="AG8" i="7"/>
  <c r="AG7" i="7" s="1"/>
  <c r="F89" i="28"/>
  <c r="C9" i="28"/>
  <c r="F9" i="28" s="1"/>
  <c r="M59" i="21"/>
  <c r="C59" i="21"/>
  <c r="K59" i="21" s="1"/>
  <c r="M71" i="22"/>
  <c r="C71" i="22"/>
  <c r="K71" i="22" s="1"/>
  <c r="M71" i="19"/>
  <c r="C71" i="19"/>
  <c r="K71" i="19" s="1"/>
  <c r="J8" i="28"/>
  <c r="J7" i="28" s="1"/>
  <c r="F52" i="27"/>
  <c r="G74" i="27"/>
  <c r="AD52" i="25"/>
  <c r="AX8" i="24"/>
  <c r="AX7" i="24" s="1"/>
  <c r="AH8" i="23"/>
  <c r="AH7" i="23" s="1"/>
  <c r="N89" i="22"/>
  <c r="M75" i="20"/>
  <c r="J52" i="20"/>
  <c r="J31" i="19"/>
  <c r="C51" i="17"/>
  <c r="K51" i="17" s="1"/>
  <c r="X8" i="17"/>
  <c r="X7" i="17" s="1"/>
  <c r="K53" i="16"/>
  <c r="D31" i="16"/>
  <c r="C31" i="16" s="1"/>
  <c r="C108" i="12"/>
  <c r="K108" i="12" s="1"/>
  <c r="AV8" i="12"/>
  <c r="AV7" i="12" s="1"/>
  <c r="BC8" i="12"/>
  <c r="BC7" i="12" s="1"/>
  <c r="BA52" i="12"/>
  <c r="C80" i="11"/>
  <c r="K80" i="11" s="1"/>
  <c r="AE8" i="13"/>
  <c r="AE7" i="13" s="1"/>
  <c r="AG52" i="12"/>
  <c r="AB8" i="9"/>
  <c r="AB7" i="9" s="1"/>
  <c r="D13" i="8"/>
  <c r="M104" i="7"/>
  <c r="D74" i="8"/>
  <c r="M74" i="8" s="1"/>
  <c r="N52" i="7"/>
  <c r="M39" i="5"/>
  <c r="E7" i="5"/>
  <c r="M22" i="6"/>
  <c r="K15" i="6"/>
  <c r="T8" i="5"/>
  <c r="T7" i="5" s="1"/>
  <c r="L8" i="3"/>
  <c r="L7" i="3" s="1"/>
  <c r="G8" i="2"/>
  <c r="D52" i="1"/>
  <c r="K74" i="28"/>
  <c r="C16" i="20"/>
  <c r="K16" i="20" s="1"/>
  <c r="M16" i="20"/>
  <c r="M62" i="19"/>
  <c r="C62" i="19"/>
  <c r="K62" i="19" s="1"/>
  <c r="C93" i="19"/>
  <c r="K93" i="19" s="1"/>
  <c r="M93" i="19"/>
  <c r="M87" i="16"/>
  <c r="C87" i="16"/>
  <c r="K87" i="16" s="1"/>
  <c r="M80" i="20"/>
  <c r="C80" i="20"/>
  <c r="K80" i="20" s="1"/>
  <c r="CS8" i="16"/>
  <c r="BA8" i="16"/>
  <c r="BA7" i="16" s="1"/>
  <c r="CE8" i="16"/>
  <c r="CE7" i="16" s="1"/>
  <c r="M29" i="14"/>
  <c r="C29" i="14"/>
  <c r="K29" i="14" s="1"/>
  <c r="AF8" i="16"/>
  <c r="AF7" i="16" s="1"/>
  <c r="BL8" i="16"/>
  <c r="BL7" i="16" s="1"/>
  <c r="AQ8" i="12"/>
  <c r="AQ7" i="12" s="1"/>
  <c r="M63" i="10"/>
  <c r="C63" i="10"/>
  <c r="K63" i="10" s="1"/>
  <c r="O8" i="8"/>
  <c r="O7" i="8" s="1"/>
  <c r="H8" i="8"/>
  <c r="M68" i="6"/>
  <c r="C68" i="6"/>
  <c r="K68" i="6" s="1"/>
  <c r="M30" i="7"/>
  <c r="C30" i="7"/>
  <c r="K30" i="7" s="1"/>
  <c r="AJ8" i="7"/>
  <c r="AJ7" i="7" s="1"/>
  <c r="M22" i="7"/>
  <c r="C22" i="7"/>
  <c r="K22" i="7" s="1"/>
  <c r="M79" i="4"/>
  <c r="C79" i="4"/>
  <c r="K79" i="4" s="1"/>
  <c r="AY13" i="7"/>
  <c r="M50" i="3"/>
  <c r="C50" i="3"/>
  <c r="K50" i="3" s="1"/>
  <c r="M58" i="4"/>
  <c r="C58" i="4"/>
  <c r="K58" i="4" s="1"/>
  <c r="M15" i="4"/>
  <c r="C15" i="4"/>
  <c r="K15" i="4" s="1"/>
  <c r="C108" i="2"/>
  <c r="K108" i="2" s="1"/>
  <c r="M108" i="2"/>
  <c r="M44" i="3"/>
  <c r="C44" i="3"/>
  <c r="K44" i="3" s="1"/>
  <c r="BZ31" i="7"/>
  <c r="V13" i="3"/>
  <c r="V52" i="3"/>
  <c r="X8" i="4"/>
  <c r="AA13" i="4"/>
  <c r="AG31" i="4"/>
  <c r="AW8" i="24"/>
  <c r="AW7" i="24" s="1"/>
  <c r="M18" i="22"/>
  <c r="C18" i="22"/>
  <c r="K18" i="22" s="1"/>
  <c r="M65" i="19"/>
  <c r="C65" i="19"/>
  <c r="K65" i="19" s="1"/>
  <c r="M96" i="17"/>
  <c r="C96" i="17"/>
  <c r="K96" i="17" s="1"/>
  <c r="M104" i="19"/>
  <c r="C104" i="19"/>
  <c r="K104" i="19" s="1"/>
  <c r="BT13" i="16"/>
  <c r="BP8" i="16"/>
  <c r="BP7" i="16" s="1"/>
  <c r="M48" i="6"/>
  <c r="C48" i="6"/>
  <c r="K48" i="6" s="1"/>
  <c r="M86" i="6"/>
  <c r="C86" i="6"/>
  <c r="K86" i="6" s="1"/>
  <c r="C8" i="28"/>
  <c r="C7" i="28" s="1"/>
  <c r="S8" i="28"/>
  <c r="S7" i="28" s="1"/>
  <c r="AN8" i="28"/>
  <c r="AN7" i="28" s="1"/>
  <c r="L8" i="27"/>
  <c r="L7" i="27" s="1"/>
  <c r="AC8" i="25"/>
  <c r="AC7" i="25" s="1"/>
  <c r="V31" i="25"/>
  <c r="AK8" i="24"/>
  <c r="AK7" i="24" s="1"/>
  <c r="G74" i="23"/>
  <c r="BE52" i="24"/>
  <c r="Y8" i="23"/>
  <c r="Y7" i="23" s="1"/>
  <c r="N9" i="22"/>
  <c r="F8" i="21"/>
  <c r="F7" i="21" s="1"/>
  <c r="O8" i="23"/>
  <c r="O7" i="23" s="1"/>
  <c r="N74" i="21"/>
  <c r="J89" i="20"/>
  <c r="C75" i="20"/>
  <c r="K75" i="20" s="1"/>
  <c r="J9" i="17"/>
  <c r="C50" i="17"/>
  <c r="K50" i="17" s="1"/>
  <c r="N52" i="17"/>
  <c r="M30" i="19"/>
  <c r="BH8" i="16"/>
  <c r="BH7" i="16" s="1"/>
  <c r="BC8" i="16"/>
  <c r="BC7" i="16" s="1"/>
  <c r="N89" i="13"/>
  <c r="K83" i="13"/>
  <c r="AD9" i="14"/>
  <c r="AD7" i="14" s="1"/>
  <c r="O8" i="14"/>
  <c r="O7" i="14" s="1"/>
  <c r="K64" i="13"/>
  <c r="S8" i="13"/>
  <c r="S7" i="13" s="1"/>
  <c r="K98" i="11"/>
  <c r="C29" i="13"/>
  <c r="K29" i="13" s="1"/>
  <c r="X8" i="12"/>
  <c r="X7" i="12" s="1"/>
  <c r="AK52" i="12"/>
  <c r="C91" i="11"/>
  <c r="K91" i="11" s="1"/>
  <c r="M80" i="11"/>
  <c r="BH8" i="12"/>
  <c r="BH7" i="12" s="1"/>
  <c r="K104" i="11"/>
  <c r="W52" i="10"/>
  <c r="N31" i="12"/>
  <c r="Y8" i="10"/>
  <c r="Y7" i="10" s="1"/>
  <c r="BQ74" i="7"/>
  <c r="D89" i="12"/>
  <c r="D9" i="12" s="1"/>
  <c r="M9" i="12" s="1"/>
  <c r="C56" i="8"/>
  <c r="K56" i="8" s="1"/>
  <c r="M71" i="7"/>
  <c r="M75" i="8"/>
  <c r="AY74" i="7"/>
  <c r="F7" i="7"/>
  <c r="M46" i="6"/>
  <c r="AT52" i="7"/>
  <c r="CE8" i="7"/>
  <c r="CE7" i="7" s="1"/>
  <c r="D74" i="6"/>
  <c r="M74" i="6" s="1"/>
  <c r="C65" i="4"/>
  <c r="K65" i="4" s="1"/>
  <c r="K56" i="4"/>
  <c r="D74" i="2"/>
  <c r="C74" i="2" s="1"/>
  <c r="K74" i="2" s="1"/>
  <c r="N74" i="2"/>
  <c r="O7" i="2"/>
  <c r="D89" i="1"/>
  <c r="D9" i="1" s="1"/>
  <c r="C9" i="1" s="1"/>
  <c r="AV8" i="7"/>
  <c r="AV7" i="7" s="1"/>
  <c r="M39" i="3"/>
  <c r="D74" i="1"/>
  <c r="C74" i="1" s="1"/>
  <c r="K74" i="1" s="1"/>
  <c r="C55" i="1"/>
  <c r="K55" i="1" s="1"/>
  <c r="C61" i="1"/>
  <c r="K61" i="1" s="1"/>
  <c r="M88" i="1"/>
  <c r="M30" i="1"/>
  <c r="G74" i="24"/>
  <c r="M47" i="22"/>
  <c r="C47" i="22"/>
  <c r="K47" i="22" s="1"/>
  <c r="M87" i="19"/>
  <c r="C87" i="19"/>
  <c r="K87" i="19" s="1"/>
  <c r="M34" i="17"/>
  <c r="C34" i="17"/>
  <c r="K34" i="17" s="1"/>
  <c r="K45" i="21"/>
  <c r="C100" i="20"/>
  <c r="K100" i="20" s="1"/>
  <c r="M100" i="20"/>
  <c r="M56" i="19"/>
  <c r="C56" i="19"/>
  <c r="K56" i="19" s="1"/>
  <c r="M82" i="21"/>
  <c r="C82" i="21"/>
  <c r="K82" i="21" s="1"/>
  <c r="Y8" i="16"/>
  <c r="Y7" i="16" s="1"/>
  <c r="CX74" i="16"/>
  <c r="BY8" i="16"/>
  <c r="BY7" i="16" s="1"/>
  <c r="AA8" i="16"/>
  <c r="AA7" i="16" s="1"/>
  <c r="AT8" i="16"/>
  <c r="AT7" i="16" s="1"/>
  <c r="CT8" i="16"/>
  <c r="M51" i="12"/>
  <c r="C51" i="12"/>
  <c r="K51" i="12" s="1"/>
  <c r="J89" i="13"/>
  <c r="K75" i="12"/>
  <c r="AG8" i="9"/>
  <c r="AG7" i="9" s="1"/>
  <c r="K81" i="12"/>
  <c r="K21" i="8"/>
  <c r="M96" i="8"/>
  <c r="C96" i="8"/>
  <c r="K96" i="8" s="1"/>
  <c r="M45" i="10"/>
  <c r="C45" i="10"/>
  <c r="K45" i="10" s="1"/>
  <c r="K103" i="7"/>
  <c r="J9" i="11"/>
  <c r="K27" i="8"/>
  <c r="W8" i="9"/>
  <c r="W7" i="9" s="1"/>
  <c r="E8" i="11"/>
  <c r="M42" i="7"/>
  <c r="C42" i="7"/>
  <c r="K42" i="7" s="1"/>
  <c r="BZ13" i="7"/>
  <c r="K40" i="10"/>
  <c r="M28" i="4"/>
  <c r="C28" i="4"/>
  <c r="K28" i="4" s="1"/>
  <c r="F8" i="3"/>
  <c r="F7" i="3" s="1"/>
  <c r="C19" i="3"/>
  <c r="K19" i="3" s="1"/>
  <c r="M19" i="3"/>
  <c r="AC8" i="7"/>
  <c r="AC7" i="7" s="1"/>
  <c r="M80" i="3"/>
  <c r="C80" i="3"/>
  <c r="K80" i="3" s="1"/>
  <c r="N13" i="4"/>
  <c r="H8" i="4"/>
  <c r="H7" i="4" s="1"/>
  <c r="AA52" i="1"/>
  <c r="AB52" i="1" s="1"/>
  <c r="E8" i="4"/>
  <c r="E7" i="4" s="1"/>
  <c r="R8" i="4"/>
  <c r="U8" i="4" s="1"/>
  <c r="U13" i="4"/>
  <c r="M95" i="1"/>
  <c r="C95" i="1"/>
  <c r="K95" i="1" s="1"/>
  <c r="BU8" i="16"/>
  <c r="BU7" i="16" s="1"/>
  <c r="M37" i="6"/>
  <c r="C37" i="6"/>
  <c r="K37" i="6" s="1"/>
  <c r="N8" i="27"/>
  <c r="U8" i="28"/>
  <c r="Z31" i="25"/>
  <c r="AD74" i="25"/>
  <c r="F31" i="25"/>
  <c r="AE8" i="24"/>
  <c r="AE7" i="24" s="1"/>
  <c r="AZ8" i="24"/>
  <c r="AZ7" i="24" s="1"/>
  <c r="AT8" i="24"/>
  <c r="AT7" i="24" s="1"/>
  <c r="M78" i="20"/>
  <c r="D52" i="19"/>
  <c r="F8" i="19"/>
  <c r="F7" i="19" s="1"/>
  <c r="AA8" i="17"/>
  <c r="AA7" i="17" s="1"/>
  <c r="H8" i="17"/>
  <c r="T7" i="16"/>
  <c r="AM8" i="16"/>
  <c r="AM7" i="16" s="1"/>
  <c r="BI8" i="16"/>
  <c r="BI7" i="16" s="1"/>
  <c r="C83" i="14"/>
  <c r="K83" i="14" s="1"/>
  <c r="AS52" i="12"/>
  <c r="AG8" i="13"/>
  <c r="AG7" i="13" s="1"/>
  <c r="N9" i="12"/>
  <c r="M66" i="12"/>
  <c r="AK31" i="12"/>
  <c r="K45" i="12"/>
  <c r="K21" i="12"/>
  <c r="E7" i="11"/>
  <c r="N9" i="8"/>
  <c r="J74" i="10"/>
  <c r="I8" i="9"/>
  <c r="C39" i="8"/>
  <c r="C28" i="9"/>
  <c r="K28" i="9" s="1"/>
  <c r="K75" i="8"/>
  <c r="CF74" i="7"/>
  <c r="Y52" i="5"/>
  <c r="AU8" i="7"/>
  <c r="AU7" i="7" s="1"/>
  <c r="D52" i="4"/>
  <c r="AB74" i="2"/>
  <c r="U52" i="2"/>
  <c r="C103" i="1"/>
  <c r="K103" i="1" s="1"/>
  <c r="O8" i="3"/>
  <c r="O7" i="3" s="1"/>
  <c r="M75" i="2"/>
  <c r="D89" i="6"/>
  <c r="D9" i="6" s="1"/>
  <c r="M9" i="6" s="1"/>
  <c r="C73" i="2"/>
  <c r="K73" i="2" s="1"/>
  <c r="T8" i="2"/>
  <c r="T7" i="2" s="1"/>
  <c r="Z74" i="1"/>
  <c r="C45" i="6"/>
  <c r="K45" i="6" s="1"/>
  <c r="C36" i="6"/>
  <c r="K36" i="6" s="1"/>
  <c r="Y31" i="3"/>
  <c r="Y31" i="1"/>
  <c r="Z31" i="1" s="1"/>
  <c r="F89" i="25"/>
  <c r="C9" i="25"/>
  <c r="F9" i="25" s="1"/>
  <c r="M87" i="22"/>
  <c r="C87" i="22"/>
  <c r="K87" i="22" s="1"/>
  <c r="C69" i="22"/>
  <c r="K69" i="22" s="1"/>
  <c r="M69" i="22"/>
  <c r="C94" i="20"/>
  <c r="K94" i="20" s="1"/>
  <c r="M94" i="20"/>
  <c r="M57" i="17"/>
  <c r="C57" i="17"/>
  <c r="K57" i="17" s="1"/>
  <c r="M42" i="20"/>
  <c r="C42" i="20"/>
  <c r="K42" i="20" s="1"/>
  <c r="M48" i="16"/>
  <c r="C48" i="16"/>
  <c r="K48" i="16" s="1"/>
  <c r="AD8" i="16"/>
  <c r="AD7" i="16" s="1"/>
  <c r="CM8" i="16"/>
  <c r="AZ13" i="16"/>
  <c r="AV8" i="16"/>
  <c r="AV7" i="16" s="1"/>
  <c r="AN52" i="16"/>
  <c r="BZ8" i="16"/>
  <c r="BZ7" i="16" s="1"/>
  <c r="AD8" i="13"/>
  <c r="AD7" i="13" s="1"/>
  <c r="N89" i="12"/>
  <c r="M16" i="13"/>
  <c r="C16" i="13"/>
  <c r="K16" i="13" s="1"/>
  <c r="DD8" i="16"/>
  <c r="DD7" i="16" s="1"/>
  <c r="AN13" i="16"/>
  <c r="M63" i="8"/>
  <c r="C63" i="8"/>
  <c r="K63" i="8" s="1"/>
  <c r="M56" i="6"/>
  <c r="C56" i="6"/>
  <c r="K56" i="6" s="1"/>
  <c r="F8" i="8"/>
  <c r="F7" i="8" s="1"/>
  <c r="M48" i="7"/>
  <c r="C48" i="7"/>
  <c r="K48" i="7" s="1"/>
  <c r="M107" i="5"/>
  <c r="C107" i="5"/>
  <c r="K107" i="5" s="1"/>
  <c r="M83" i="5"/>
  <c r="C83" i="5"/>
  <c r="K83" i="5" s="1"/>
  <c r="K73" i="7"/>
  <c r="AK52" i="7"/>
  <c r="AQ74" i="7"/>
  <c r="AZ8" i="7"/>
  <c r="AZ7" i="7" s="1"/>
  <c r="M26" i="3"/>
  <c r="C26" i="3"/>
  <c r="K26" i="3" s="1"/>
  <c r="M98" i="5"/>
  <c r="C98" i="5"/>
  <c r="K98" i="5" s="1"/>
  <c r="M43" i="4"/>
  <c r="C43" i="4"/>
  <c r="K43" i="4" s="1"/>
  <c r="M76" i="4"/>
  <c r="C76" i="4"/>
  <c r="K76" i="4" s="1"/>
  <c r="Z18" i="1"/>
  <c r="BW31" i="7"/>
  <c r="M16" i="4"/>
  <c r="C16" i="4"/>
  <c r="K16" i="4" s="1"/>
  <c r="Z8" i="4"/>
  <c r="Z7" i="4" s="1"/>
  <c r="F8" i="4"/>
  <c r="F7" i="4" s="1"/>
  <c r="U31" i="3"/>
  <c r="W13" i="14"/>
  <c r="Y13" i="14" s="1"/>
  <c r="M20" i="4"/>
  <c r="C20" i="4"/>
  <c r="K20" i="4" s="1"/>
  <c r="M19" i="1"/>
  <c r="C19" i="1"/>
  <c r="K19" i="1" s="1"/>
  <c r="P74" i="28"/>
  <c r="AL31" i="28"/>
  <c r="AK8" i="28"/>
  <c r="AK7" i="28" s="1"/>
  <c r="S8" i="24"/>
  <c r="S7" i="24" s="1"/>
  <c r="N31" i="22"/>
  <c r="C29" i="19"/>
  <c r="K29" i="19" s="1"/>
  <c r="Q52" i="20"/>
  <c r="Y31" i="17"/>
  <c r="E8" i="16"/>
  <c r="E7" i="16" s="1"/>
  <c r="M50" i="16"/>
  <c r="D89" i="13"/>
  <c r="D9" i="13" s="1"/>
  <c r="C9" i="13" s="1"/>
  <c r="K9" i="13" s="1"/>
  <c r="C93" i="14"/>
  <c r="K93" i="14" s="1"/>
  <c r="D74" i="14"/>
  <c r="C74" i="14" s="1"/>
  <c r="K74" i="14" s="1"/>
  <c r="K70" i="13"/>
  <c r="K41" i="13"/>
  <c r="K69" i="12"/>
  <c r="M49" i="12"/>
  <c r="AB8" i="12"/>
  <c r="AB7" i="12" s="1"/>
  <c r="K46" i="13"/>
  <c r="E8" i="13"/>
  <c r="E7" i="13" s="1"/>
  <c r="C33" i="11"/>
  <c r="K33" i="11" s="1"/>
  <c r="F8" i="10"/>
  <c r="F7" i="10" s="1"/>
  <c r="D52" i="9"/>
  <c r="C52" i="9" s="1"/>
  <c r="K52" i="9" s="1"/>
  <c r="CU74" i="7"/>
  <c r="M61" i="8"/>
  <c r="D31" i="8"/>
  <c r="M31" i="8" s="1"/>
  <c r="K15" i="7"/>
  <c r="J89" i="6"/>
  <c r="AE8" i="4"/>
  <c r="BM8" i="7"/>
  <c r="BM7" i="7" s="1"/>
  <c r="K76" i="5"/>
  <c r="L8" i="4"/>
  <c r="N8" i="4" s="1"/>
  <c r="K20" i="6"/>
  <c r="J89" i="2"/>
  <c r="AD8" i="2"/>
  <c r="AD7" i="2" s="1"/>
  <c r="N52" i="1"/>
  <c r="D13" i="1"/>
  <c r="K82" i="1"/>
  <c r="Y13" i="1"/>
  <c r="G89" i="25"/>
  <c r="M105" i="22"/>
  <c r="C105" i="22"/>
  <c r="K105" i="22" s="1"/>
  <c r="M85" i="21"/>
  <c r="C85" i="21"/>
  <c r="K85" i="21" s="1"/>
  <c r="M25" i="22"/>
  <c r="C25" i="22"/>
  <c r="K25" i="22" s="1"/>
  <c r="T31" i="27"/>
  <c r="M46" i="19"/>
  <c r="C46" i="19"/>
  <c r="K46" i="19" s="1"/>
  <c r="M81" i="19"/>
  <c r="C81" i="19"/>
  <c r="K81" i="19" s="1"/>
  <c r="BT74" i="16"/>
  <c r="CG8" i="16"/>
  <c r="CG7" i="16" s="1"/>
  <c r="DB8" i="16"/>
  <c r="DB7" i="16" s="1"/>
  <c r="J52" i="16"/>
  <c r="M15" i="10"/>
  <c r="C15" i="10"/>
  <c r="K15" i="10" s="1"/>
  <c r="K57" i="12"/>
  <c r="N9" i="10"/>
  <c r="M95" i="6"/>
  <c r="C95" i="6"/>
  <c r="K95" i="6" s="1"/>
  <c r="T13" i="11"/>
  <c r="U31" i="9"/>
  <c r="P74" i="11"/>
  <c r="BP8" i="7"/>
  <c r="BP7" i="7" s="1"/>
  <c r="K69" i="7"/>
  <c r="M88" i="4"/>
  <c r="C88" i="4"/>
  <c r="K88" i="4" s="1"/>
  <c r="N52" i="4"/>
  <c r="M25" i="4"/>
  <c r="C25" i="4"/>
  <c r="K25" i="4" s="1"/>
  <c r="M67" i="4"/>
  <c r="C67" i="4"/>
  <c r="K67" i="4" s="1"/>
  <c r="M38" i="3"/>
  <c r="C38" i="3"/>
  <c r="K38" i="3" s="1"/>
  <c r="M101" i="2"/>
  <c r="C101" i="2"/>
  <c r="K101" i="2" s="1"/>
  <c r="M22" i="4"/>
  <c r="C22" i="4"/>
  <c r="K22" i="4" s="1"/>
  <c r="X8" i="3"/>
  <c r="X7" i="3" s="1"/>
  <c r="N31" i="4"/>
  <c r="CI13" i="7"/>
  <c r="S8" i="4"/>
  <c r="AD8" i="4"/>
  <c r="AG13" i="4"/>
  <c r="Z19" i="1"/>
  <c r="AA74" i="4"/>
  <c r="Z20" i="1"/>
  <c r="C31" i="20"/>
  <c r="K31" i="20" s="1"/>
  <c r="M31" i="20"/>
  <c r="C74" i="5"/>
  <c r="K74" i="5" s="1"/>
  <c r="M74" i="5"/>
  <c r="C9" i="4"/>
  <c r="K9" i="4" s="1"/>
  <c r="M9" i="4"/>
  <c r="M31" i="19"/>
  <c r="C31" i="19"/>
  <c r="K31" i="19" s="1"/>
  <c r="C31" i="7"/>
  <c r="M31" i="7"/>
  <c r="F7" i="26"/>
  <c r="C13" i="8"/>
  <c r="M13" i="8"/>
  <c r="C9" i="2"/>
  <c r="K9" i="2" s="1"/>
  <c r="M9" i="2"/>
  <c r="C74" i="6"/>
  <c r="K74" i="6" s="1"/>
  <c r="M9" i="1"/>
  <c r="AL13" i="28"/>
  <c r="AJ8" i="28"/>
  <c r="M8" i="25"/>
  <c r="M7" i="25" s="1"/>
  <c r="AE13" i="28"/>
  <c r="AC8" i="28"/>
  <c r="J8" i="29"/>
  <c r="H7" i="29"/>
  <c r="J7" i="29" s="1"/>
  <c r="Y8" i="28"/>
  <c r="AA13" i="28"/>
  <c r="Q8" i="28"/>
  <c r="Q7" i="28" s="1"/>
  <c r="G8" i="26"/>
  <c r="D7" i="26"/>
  <c r="G7" i="26" s="1"/>
  <c r="V74" i="25"/>
  <c r="S8" i="25"/>
  <c r="V13" i="25"/>
  <c r="U8" i="27"/>
  <c r="U7" i="27" s="1"/>
  <c r="V31" i="27"/>
  <c r="AB8" i="25"/>
  <c r="AB7" i="25" s="1"/>
  <c r="T8" i="25"/>
  <c r="T7" i="25" s="1"/>
  <c r="L8" i="25"/>
  <c r="L7" i="25" s="1"/>
  <c r="E8" i="24"/>
  <c r="E7" i="24" s="1"/>
  <c r="BI8" i="24"/>
  <c r="BI7" i="24" s="1"/>
  <c r="I8" i="25"/>
  <c r="I7" i="25" s="1"/>
  <c r="G52" i="24"/>
  <c r="AL31" i="24"/>
  <c r="Q8" i="24"/>
  <c r="Q7" i="24" s="1"/>
  <c r="R13" i="25"/>
  <c r="O8" i="25"/>
  <c r="AV8" i="24"/>
  <c r="AV7" i="24" s="1"/>
  <c r="G31" i="24"/>
  <c r="D8" i="24"/>
  <c r="F13" i="24"/>
  <c r="F74" i="23"/>
  <c r="T31" i="23"/>
  <c r="X31" i="23"/>
  <c r="R31" i="23"/>
  <c r="J31" i="23"/>
  <c r="V31" i="23"/>
  <c r="AP52" i="24"/>
  <c r="M75" i="22"/>
  <c r="D74" i="22"/>
  <c r="C75" i="22"/>
  <c r="K75" i="22" s="1"/>
  <c r="C61" i="22"/>
  <c r="K61" i="22" s="1"/>
  <c r="M61" i="22"/>
  <c r="E8" i="22"/>
  <c r="E7" i="22" s="1"/>
  <c r="C98" i="21"/>
  <c r="K98" i="21" s="1"/>
  <c r="M98" i="21"/>
  <c r="J13" i="21"/>
  <c r="L8" i="21"/>
  <c r="I8" i="22"/>
  <c r="Q13" i="22"/>
  <c r="C71" i="21"/>
  <c r="K71" i="21" s="1"/>
  <c r="M71" i="21"/>
  <c r="U8" i="21"/>
  <c r="W31" i="21"/>
  <c r="C28" i="21"/>
  <c r="K28" i="21" s="1"/>
  <c r="M28" i="21"/>
  <c r="J89" i="22"/>
  <c r="P9" i="22"/>
  <c r="T52" i="20"/>
  <c r="R8" i="20"/>
  <c r="S8" i="20"/>
  <c r="S7" i="20" s="1"/>
  <c r="J9" i="19"/>
  <c r="J74" i="22"/>
  <c r="N31" i="21"/>
  <c r="AM8" i="24"/>
  <c r="S8" i="23"/>
  <c r="S7" i="23" s="1"/>
  <c r="F8" i="22"/>
  <c r="F7" i="22" s="1"/>
  <c r="C68" i="20"/>
  <c r="K68" i="20" s="1"/>
  <c r="M68" i="20"/>
  <c r="J13" i="20"/>
  <c r="L8" i="20"/>
  <c r="M15" i="19"/>
  <c r="C15" i="19"/>
  <c r="K15" i="19" s="1"/>
  <c r="C17" i="19"/>
  <c r="K17" i="19" s="1"/>
  <c r="M17" i="19"/>
  <c r="J74" i="17"/>
  <c r="C94" i="17"/>
  <c r="K94" i="17" s="1"/>
  <c r="M94" i="17"/>
  <c r="C73" i="17"/>
  <c r="K73" i="17" s="1"/>
  <c r="M73" i="17"/>
  <c r="Q8" i="18"/>
  <c r="I7" i="18"/>
  <c r="Q7" i="18" s="1"/>
  <c r="C92" i="17"/>
  <c r="K92" i="17" s="1"/>
  <c r="M92" i="17"/>
  <c r="D89" i="17"/>
  <c r="D9" i="17" s="1"/>
  <c r="C61" i="17"/>
  <c r="K61" i="17" s="1"/>
  <c r="M61" i="17"/>
  <c r="R8" i="17"/>
  <c r="U13" i="17"/>
  <c r="M86" i="16"/>
  <c r="C86" i="16"/>
  <c r="K86" i="16" s="1"/>
  <c r="D74" i="16"/>
  <c r="U89" i="16"/>
  <c r="R9" i="16"/>
  <c r="U9" i="16" s="1"/>
  <c r="V89" i="16"/>
  <c r="S9" i="16"/>
  <c r="V9" i="16" s="1"/>
  <c r="U8" i="15"/>
  <c r="R7" i="15"/>
  <c r="U7" i="15" s="1"/>
  <c r="M9" i="13"/>
  <c r="X8" i="16"/>
  <c r="AB31" i="16"/>
  <c r="M82" i="14"/>
  <c r="C82" i="14"/>
  <c r="K82" i="14" s="1"/>
  <c r="CU8" i="16"/>
  <c r="CX31" i="16"/>
  <c r="Z8" i="14"/>
  <c r="Z7" i="14" s="1"/>
  <c r="AJ8" i="16"/>
  <c r="AN31" i="16"/>
  <c r="C52" i="15"/>
  <c r="K52" i="15" s="1"/>
  <c r="M52" i="15"/>
  <c r="J89" i="14"/>
  <c r="J74" i="13"/>
  <c r="N74" i="13"/>
  <c r="M73" i="13"/>
  <c r="C73" i="13"/>
  <c r="K73" i="13" s="1"/>
  <c r="V31" i="14"/>
  <c r="S7" i="15"/>
  <c r="V7" i="15" s="1"/>
  <c r="V74" i="14"/>
  <c r="D13" i="14"/>
  <c r="C14" i="14"/>
  <c r="K14" i="14" s="1"/>
  <c r="M14" i="14"/>
  <c r="P74" i="13"/>
  <c r="P13" i="13"/>
  <c r="G8" i="13"/>
  <c r="C43" i="13"/>
  <c r="K43" i="13" s="1"/>
  <c r="M43" i="13"/>
  <c r="K34" i="13"/>
  <c r="C78" i="12"/>
  <c r="K78" i="12" s="1"/>
  <c r="M78" i="12"/>
  <c r="C40" i="11"/>
  <c r="K40" i="11" s="1"/>
  <c r="M40" i="11"/>
  <c r="Y31" i="14"/>
  <c r="K33" i="12"/>
  <c r="BF8" i="12"/>
  <c r="BI13" i="12"/>
  <c r="M45" i="11"/>
  <c r="C45" i="11"/>
  <c r="K45" i="11" s="1"/>
  <c r="C37" i="13"/>
  <c r="K37" i="13" s="1"/>
  <c r="M37" i="13"/>
  <c r="AY8" i="12"/>
  <c r="AY7" i="12" s="1"/>
  <c r="C53" i="10"/>
  <c r="K53" i="10" s="1"/>
  <c r="D52" i="10"/>
  <c r="M53" i="10"/>
  <c r="T52" i="13"/>
  <c r="Q13" i="13"/>
  <c r="I8" i="13"/>
  <c r="AS31" i="12"/>
  <c r="AT8" i="12"/>
  <c r="AW13" i="12"/>
  <c r="L8" i="12"/>
  <c r="AG74" i="10"/>
  <c r="AE74" i="10"/>
  <c r="AB31" i="10"/>
  <c r="Z31" i="10"/>
  <c r="O8" i="10"/>
  <c r="O7" i="10" s="1"/>
  <c r="C74" i="9"/>
  <c r="K74" i="9" s="1"/>
  <c r="M74" i="9"/>
  <c r="AC52" i="9"/>
  <c r="K51" i="10"/>
  <c r="Z13" i="13"/>
  <c r="X8" i="13"/>
  <c r="U31" i="12"/>
  <c r="M52" i="9"/>
  <c r="I8" i="10"/>
  <c r="Q13" i="10"/>
  <c r="AA8" i="9"/>
  <c r="AF13" i="9"/>
  <c r="K90" i="12"/>
  <c r="C18" i="8"/>
  <c r="K18" i="8" s="1"/>
  <c r="M18" i="8"/>
  <c r="N31" i="9"/>
  <c r="AC8" i="9"/>
  <c r="X7" i="9"/>
  <c r="Z8" i="9"/>
  <c r="C53" i="8"/>
  <c r="K53" i="8" s="1"/>
  <c r="M53" i="8"/>
  <c r="D52" i="8"/>
  <c r="C96" i="7"/>
  <c r="K96" i="7" s="1"/>
  <c r="M96" i="7"/>
  <c r="K33" i="8"/>
  <c r="W8" i="8"/>
  <c r="Y13" i="8"/>
  <c r="V89" i="7"/>
  <c r="S9" i="7"/>
  <c r="V9" i="7" s="1"/>
  <c r="BW74" i="7"/>
  <c r="J9" i="7"/>
  <c r="CR52" i="7"/>
  <c r="CP8" i="7"/>
  <c r="C74" i="7"/>
  <c r="K74" i="7" s="1"/>
  <c r="M74" i="7"/>
  <c r="C57" i="7"/>
  <c r="K57" i="7" s="1"/>
  <c r="M57" i="7"/>
  <c r="C29" i="7"/>
  <c r="K29" i="7" s="1"/>
  <c r="M29" i="7"/>
  <c r="BJ8" i="7"/>
  <c r="BJ7" i="7" s="1"/>
  <c r="M72" i="6"/>
  <c r="C72" i="6"/>
  <c r="K72" i="6" s="1"/>
  <c r="M54" i="6"/>
  <c r="C54" i="6"/>
  <c r="K54" i="6" s="1"/>
  <c r="G8" i="6"/>
  <c r="P13" i="6"/>
  <c r="S8" i="8"/>
  <c r="V13" i="8"/>
  <c r="C27" i="7"/>
  <c r="K27" i="7" s="1"/>
  <c r="M27" i="7"/>
  <c r="Y52" i="6"/>
  <c r="C35" i="8"/>
  <c r="K35" i="8" s="1"/>
  <c r="M35" i="8"/>
  <c r="CI74" i="7"/>
  <c r="CG8" i="7"/>
  <c r="AR8" i="7"/>
  <c r="CU52" i="7"/>
  <c r="CS8" i="7"/>
  <c r="J13" i="7"/>
  <c r="L8" i="7"/>
  <c r="C98" i="6"/>
  <c r="K98" i="6" s="1"/>
  <c r="M98" i="6"/>
  <c r="M53" i="5"/>
  <c r="D52" i="5"/>
  <c r="C53" i="5"/>
  <c r="K53" i="5" s="1"/>
  <c r="BU8" i="7"/>
  <c r="H7" i="5"/>
  <c r="U13" i="5"/>
  <c r="R8" i="5"/>
  <c r="V74" i="3"/>
  <c r="C65" i="2"/>
  <c r="K65" i="2" s="1"/>
  <c r="M65" i="2"/>
  <c r="K104" i="1"/>
  <c r="J9" i="1"/>
  <c r="N13" i="7"/>
  <c r="F8" i="5"/>
  <c r="F7" i="5" s="1"/>
  <c r="M74" i="4"/>
  <c r="C74" i="4"/>
  <c r="K74" i="4" s="1"/>
  <c r="E8" i="3"/>
  <c r="E7" i="3" s="1"/>
  <c r="D52" i="2"/>
  <c r="U13" i="2"/>
  <c r="R8" i="2"/>
  <c r="K90" i="5"/>
  <c r="C50" i="5"/>
  <c r="K50" i="5" s="1"/>
  <c r="M50" i="5"/>
  <c r="D13" i="5"/>
  <c r="C14" i="5"/>
  <c r="K14" i="5" s="1"/>
  <c r="M14" i="5"/>
  <c r="K23" i="4"/>
  <c r="J13" i="3"/>
  <c r="CH8" i="7"/>
  <c r="CH7" i="7" s="1"/>
  <c r="BH13" i="7"/>
  <c r="BG8" i="7"/>
  <c r="BG7" i="7" s="1"/>
  <c r="E8" i="6"/>
  <c r="E7" i="6" s="1"/>
  <c r="N31" i="5"/>
  <c r="W8" i="5"/>
  <c r="Y13" i="5"/>
  <c r="X8" i="2"/>
  <c r="X7" i="2" s="1"/>
  <c r="U9" i="6"/>
  <c r="L8" i="6"/>
  <c r="J13" i="6"/>
  <c r="N13" i="6"/>
  <c r="N9" i="4"/>
  <c r="AC13" i="3"/>
  <c r="AA8" i="3"/>
  <c r="AI8" i="1"/>
  <c r="AI7" i="1" s="1"/>
  <c r="N31" i="2"/>
  <c r="I8" i="1"/>
  <c r="AA13" i="1"/>
  <c r="AA8" i="1" s="1"/>
  <c r="AA7" i="1" s="1"/>
  <c r="T8" i="27"/>
  <c r="Q7" i="27"/>
  <c r="T7" i="27" s="1"/>
  <c r="E8" i="27"/>
  <c r="E7" i="27" s="1"/>
  <c r="F9" i="26"/>
  <c r="AG8" i="28"/>
  <c r="AG7" i="28" s="1"/>
  <c r="N13" i="25"/>
  <c r="K8" i="25"/>
  <c r="AA8" i="25"/>
  <c r="AD13" i="25"/>
  <c r="G8" i="29"/>
  <c r="D7" i="29"/>
  <c r="G7" i="29" s="1"/>
  <c r="K52" i="28"/>
  <c r="H8" i="28"/>
  <c r="K13" i="28"/>
  <c r="E8" i="28"/>
  <c r="E7" i="28" s="1"/>
  <c r="F74" i="27"/>
  <c r="G13" i="28"/>
  <c r="N8" i="28"/>
  <c r="P13" i="28"/>
  <c r="G13" i="27"/>
  <c r="D8" i="27"/>
  <c r="W13" i="28"/>
  <c r="G89" i="26"/>
  <c r="Z52" i="25"/>
  <c r="T13" i="28"/>
  <c r="R8" i="28"/>
  <c r="G13" i="25"/>
  <c r="D8" i="25"/>
  <c r="G52" i="27"/>
  <c r="O8" i="27"/>
  <c r="O7" i="27" s="1"/>
  <c r="P31" i="27"/>
  <c r="F13" i="25"/>
  <c r="C8" i="25"/>
  <c r="M74" i="27"/>
  <c r="H8" i="25"/>
  <c r="J13" i="25"/>
  <c r="F52" i="28"/>
  <c r="G31" i="28"/>
  <c r="D8" i="28"/>
  <c r="Y31" i="24"/>
  <c r="AL52" i="24"/>
  <c r="BC8" i="24"/>
  <c r="BE13" i="24"/>
  <c r="L8" i="24"/>
  <c r="L7" i="24" s="1"/>
  <c r="T52" i="23"/>
  <c r="X52" i="23"/>
  <c r="R52" i="23"/>
  <c r="J52" i="23"/>
  <c r="V52" i="23"/>
  <c r="AJ8" i="24"/>
  <c r="AJ7" i="24" s="1"/>
  <c r="AA8" i="24"/>
  <c r="AA7" i="24" s="1"/>
  <c r="P13" i="23"/>
  <c r="R13" i="23" s="1"/>
  <c r="N8" i="23"/>
  <c r="C38" i="22"/>
  <c r="K38" i="22" s="1"/>
  <c r="M38" i="22"/>
  <c r="C108" i="21"/>
  <c r="K108" i="21" s="1"/>
  <c r="M108" i="21"/>
  <c r="C96" i="21"/>
  <c r="K96" i="21" s="1"/>
  <c r="M96" i="21"/>
  <c r="C90" i="21"/>
  <c r="M90" i="21"/>
  <c r="D89" i="21"/>
  <c r="D9" i="21" s="1"/>
  <c r="E8" i="21"/>
  <c r="E7" i="21" s="1"/>
  <c r="J31" i="22"/>
  <c r="N52" i="21"/>
  <c r="C55" i="22"/>
  <c r="K55" i="22" s="1"/>
  <c r="M55" i="22"/>
  <c r="C62" i="21"/>
  <c r="K62" i="21" s="1"/>
  <c r="M62" i="21"/>
  <c r="K90" i="22"/>
  <c r="K64" i="22"/>
  <c r="J74" i="20"/>
  <c r="T13" i="21"/>
  <c r="R8" i="21"/>
  <c r="F7" i="20"/>
  <c r="AP13" i="24"/>
  <c r="AE8" i="23"/>
  <c r="AE7" i="23" s="1"/>
  <c r="AA8" i="23"/>
  <c r="C23" i="20"/>
  <c r="K23" i="20" s="1"/>
  <c r="M23" i="20"/>
  <c r="Q13" i="19"/>
  <c r="I8" i="19"/>
  <c r="P31" i="20"/>
  <c r="P8" i="18"/>
  <c r="N52" i="20"/>
  <c r="D13" i="19"/>
  <c r="C58" i="20"/>
  <c r="K58" i="20" s="1"/>
  <c r="M58" i="20"/>
  <c r="O8" i="20"/>
  <c r="O7" i="20" s="1"/>
  <c r="C93" i="17"/>
  <c r="K93" i="17" s="1"/>
  <c r="M93" i="17"/>
  <c r="K90" i="17"/>
  <c r="Y52" i="17"/>
  <c r="M43" i="17"/>
  <c r="C43" i="17"/>
  <c r="K43" i="17" s="1"/>
  <c r="V31" i="17"/>
  <c r="AB8" i="17"/>
  <c r="AB7" i="17" s="1"/>
  <c r="M92" i="16"/>
  <c r="C92" i="16"/>
  <c r="K92" i="16" s="1"/>
  <c r="U31" i="17"/>
  <c r="C33" i="17"/>
  <c r="K33" i="17" s="1"/>
  <c r="M33" i="17"/>
  <c r="E8" i="17"/>
  <c r="E7" i="17" s="1"/>
  <c r="F8" i="17"/>
  <c r="F7" i="17" s="1"/>
  <c r="K84" i="16"/>
  <c r="C53" i="17"/>
  <c r="K53" i="17" s="1"/>
  <c r="M53" i="17"/>
  <c r="D52" i="17"/>
  <c r="M107" i="16"/>
  <c r="C107" i="16"/>
  <c r="K107" i="16" s="1"/>
  <c r="J52" i="17"/>
  <c r="K90" i="16"/>
  <c r="M85" i="16"/>
  <c r="C85" i="16"/>
  <c r="K85" i="16" s="1"/>
  <c r="CN31" i="16"/>
  <c r="CK8" i="16"/>
  <c r="CN8" i="16" s="1"/>
  <c r="T8" i="14"/>
  <c r="K98" i="15"/>
  <c r="M91" i="14"/>
  <c r="D89" i="14"/>
  <c r="D9" i="14" s="1"/>
  <c r="C91" i="14"/>
  <c r="K91" i="14" s="1"/>
  <c r="Q74" i="13"/>
  <c r="M61" i="13"/>
  <c r="C61" i="13"/>
  <c r="K61" i="13" s="1"/>
  <c r="CZ52" i="16"/>
  <c r="C13" i="16"/>
  <c r="K13" i="16" s="1"/>
  <c r="M13" i="16"/>
  <c r="C62" i="14"/>
  <c r="K62" i="14" s="1"/>
  <c r="M62" i="14"/>
  <c r="M85" i="13"/>
  <c r="C85" i="13"/>
  <c r="K85" i="13" s="1"/>
  <c r="K36" i="12"/>
  <c r="C38" i="11"/>
  <c r="K38" i="11" s="1"/>
  <c r="M38" i="11"/>
  <c r="C28" i="11"/>
  <c r="K28" i="11" s="1"/>
  <c r="M28" i="11"/>
  <c r="C22" i="11"/>
  <c r="K22" i="11" s="1"/>
  <c r="M22" i="11"/>
  <c r="T13" i="13"/>
  <c r="R8" i="13"/>
  <c r="H8" i="12"/>
  <c r="N13" i="12"/>
  <c r="P31" i="11"/>
  <c r="G8" i="11"/>
  <c r="AB8" i="13"/>
  <c r="AB7" i="13" s="1"/>
  <c r="AD8" i="12"/>
  <c r="AE52" i="10"/>
  <c r="AG52" i="10"/>
  <c r="BE52" i="12"/>
  <c r="W8" i="12"/>
  <c r="W7" i="12" s="1"/>
  <c r="T8" i="12"/>
  <c r="T7" i="12" s="1"/>
  <c r="AF8" i="13"/>
  <c r="AF7" i="13" s="1"/>
  <c r="AC31" i="12"/>
  <c r="C103" i="9"/>
  <c r="K103" i="9" s="1"/>
  <c r="M103" i="9"/>
  <c r="C36" i="10"/>
  <c r="K36" i="10" s="1"/>
  <c r="M36" i="10"/>
  <c r="L8" i="11"/>
  <c r="Y8" i="13"/>
  <c r="Y7" i="13" s="1"/>
  <c r="BI52" i="12"/>
  <c r="K27" i="12"/>
  <c r="C89" i="10"/>
  <c r="K90" i="10"/>
  <c r="K89" i="10" s="1"/>
  <c r="AF8" i="10"/>
  <c r="AF7" i="10" s="1"/>
  <c r="C100" i="9"/>
  <c r="K100" i="9" s="1"/>
  <c r="M100" i="9"/>
  <c r="C93" i="8"/>
  <c r="K93" i="8" s="1"/>
  <c r="M93" i="8"/>
  <c r="E8" i="8"/>
  <c r="E7" i="8" s="1"/>
  <c r="AD8" i="9"/>
  <c r="AI13" i="9"/>
  <c r="C84" i="8"/>
  <c r="K84" i="8" s="1"/>
  <c r="M84" i="8"/>
  <c r="C72" i="8"/>
  <c r="K72" i="8" s="1"/>
  <c r="M72" i="8"/>
  <c r="N31" i="11"/>
  <c r="AX8" i="12"/>
  <c r="BA13" i="12"/>
  <c r="U13" i="12"/>
  <c r="N52" i="8"/>
  <c r="Q13" i="8"/>
  <c r="I8" i="8"/>
  <c r="J89" i="7"/>
  <c r="CC74" i="7"/>
  <c r="CA8" i="7"/>
  <c r="BZ52" i="7"/>
  <c r="BX8" i="7"/>
  <c r="AM8" i="7"/>
  <c r="AM7" i="7" s="1"/>
  <c r="M84" i="6"/>
  <c r="C84" i="6"/>
  <c r="K84" i="6" s="1"/>
  <c r="C71" i="6"/>
  <c r="K71" i="6" s="1"/>
  <c r="M71" i="6"/>
  <c r="AE7" i="4"/>
  <c r="AI7" i="4" s="1"/>
  <c r="AI8" i="4"/>
  <c r="CF52" i="7"/>
  <c r="CD8" i="7"/>
  <c r="M53" i="3"/>
  <c r="D52" i="3"/>
  <c r="C53" i="3"/>
  <c r="K53" i="3" s="1"/>
  <c r="Q13" i="6"/>
  <c r="I8" i="6"/>
  <c r="R9" i="5"/>
  <c r="U9" i="5" s="1"/>
  <c r="U89" i="5"/>
  <c r="U89" i="3"/>
  <c r="R9" i="3"/>
  <c r="U9" i="3" s="1"/>
  <c r="C13" i="3"/>
  <c r="K13" i="3" s="1"/>
  <c r="M13" i="3"/>
  <c r="K90" i="4"/>
  <c r="C104" i="3"/>
  <c r="K104" i="3" s="1"/>
  <c r="M104" i="3"/>
  <c r="M89" i="3" s="1"/>
  <c r="H8" i="7"/>
  <c r="Y74" i="6"/>
  <c r="C17" i="6"/>
  <c r="K17" i="6" s="1"/>
  <c r="M17" i="6"/>
  <c r="C15" i="3"/>
  <c r="K15" i="3" s="1"/>
  <c r="M15" i="3"/>
  <c r="K53" i="2"/>
  <c r="N74" i="6"/>
  <c r="F8" i="6"/>
  <c r="F7" i="6" s="1"/>
  <c r="C101" i="5"/>
  <c r="K101" i="5" s="1"/>
  <c r="M101" i="5"/>
  <c r="K90" i="1"/>
  <c r="V13" i="7"/>
  <c r="T8" i="7"/>
  <c r="T7" i="7" s="1"/>
  <c r="N52" i="5"/>
  <c r="C75" i="3"/>
  <c r="K75" i="3" s="1"/>
  <c r="M75" i="3"/>
  <c r="D74" i="3"/>
  <c r="G7" i="2"/>
  <c r="P7" i="2" s="1"/>
  <c r="P8" i="2"/>
  <c r="N52" i="2"/>
  <c r="J13" i="2"/>
  <c r="L8" i="2"/>
  <c r="N74" i="5"/>
  <c r="W13" i="1"/>
  <c r="AC8" i="1"/>
  <c r="AC7" i="1" s="1"/>
  <c r="C22" i="1"/>
  <c r="K22" i="1" s="1"/>
  <c r="M22" i="1"/>
  <c r="AH8" i="1"/>
  <c r="AH7" i="1" s="1"/>
  <c r="X13" i="1"/>
  <c r="AD8" i="1"/>
  <c r="N31" i="1"/>
  <c r="AF8" i="23"/>
  <c r="AF7" i="23" s="1"/>
  <c r="AD8" i="24"/>
  <c r="AD7" i="24" s="1"/>
  <c r="C106" i="21"/>
  <c r="K106" i="21" s="1"/>
  <c r="M106" i="21"/>
  <c r="C94" i="21"/>
  <c r="K94" i="21" s="1"/>
  <c r="M94" i="21"/>
  <c r="F89" i="23"/>
  <c r="C9" i="23"/>
  <c r="F9" i="23" s="1"/>
  <c r="C88" i="21"/>
  <c r="K88" i="21" s="1"/>
  <c r="M88" i="21"/>
  <c r="C23" i="21"/>
  <c r="K23" i="21" s="1"/>
  <c r="M23" i="21"/>
  <c r="C64" i="20"/>
  <c r="K64" i="20" s="1"/>
  <c r="M64" i="20"/>
  <c r="C37" i="20"/>
  <c r="K37" i="20" s="1"/>
  <c r="M37" i="20"/>
  <c r="C30" i="20"/>
  <c r="K30" i="20" s="1"/>
  <c r="M30" i="20"/>
  <c r="C40" i="20"/>
  <c r="K40" i="20" s="1"/>
  <c r="M40" i="20"/>
  <c r="C46" i="20"/>
  <c r="K46" i="20" s="1"/>
  <c r="M46" i="20"/>
  <c r="E8" i="20"/>
  <c r="E7" i="20" s="1"/>
  <c r="M36" i="19"/>
  <c r="C36" i="19"/>
  <c r="K36" i="19" s="1"/>
  <c r="M13" i="18"/>
  <c r="D8" i="18"/>
  <c r="C13" i="18"/>
  <c r="K13" i="18" s="1"/>
  <c r="H8" i="22"/>
  <c r="N13" i="22"/>
  <c r="I8" i="20"/>
  <c r="Q13" i="20"/>
  <c r="H8" i="19"/>
  <c r="N13" i="19"/>
  <c r="M39" i="19"/>
  <c r="C39" i="19"/>
  <c r="K39" i="19" s="1"/>
  <c r="C84" i="17"/>
  <c r="K84" i="17" s="1"/>
  <c r="M84" i="17"/>
  <c r="C67" i="17"/>
  <c r="K67" i="17" s="1"/>
  <c r="M67" i="17"/>
  <c r="C99" i="17"/>
  <c r="K99" i="17" s="1"/>
  <c r="M99" i="17"/>
  <c r="C16" i="17"/>
  <c r="K16" i="17" s="1"/>
  <c r="M16" i="17"/>
  <c r="V8" i="21"/>
  <c r="V7" i="21" s="1"/>
  <c r="W13" i="21"/>
  <c r="U74" i="16"/>
  <c r="R8" i="16"/>
  <c r="C9" i="16"/>
  <c r="K9" i="16" s="1"/>
  <c r="M9" i="16"/>
  <c r="CP74" i="16"/>
  <c r="CL8" i="16"/>
  <c r="CP8" i="16" s="1"/>
  <c r="L8" i="16"/>
  <c r="J31" i="16"/>
  <c r="BT31" i="16"/>
  <c r="BS8" i="16"/>
  <c r="M13" i="15"/>
  <c r="C13" i="15"/>
  <c r="K13" i="15" s="1"/>
  <c r="D8" i="15"/>
  <c r="M103" i="14"/>
  <c r="C103" i="14"/>
  <c r="K103" i="14" s="1"/>
  <c r="M94" i="14"/>
  <c r="C94" i="14"/>
  <c r="K94" i="14" s="1"/>
  <c r="I8" i="14"/>
  <c r="Q13" i="14"/>
  <c r="N9" i="15"/>
  <c r="H7" i="15"/>
  <c r="M85" i="14"/>
  <c r="C85" i="14"/>
  <c r="K85" i="14" s="1"/>
  <c r="D31" i="14"/>
  <c r="C32" i="14"/>
  <c r="K32" i="14" s="1"/>
  <c r="M32" i="14"/>
  <c r="H7" i="14"/>
  <c r="J13" i="14"/>
  <c r="L8" i="14"/>
  <c r="N8" i="14" s="1"/>
  <c r="C77" i="12"/>
  <c r="K77" i="12" s="1"/>
  <c r="M77" i="12"/>
  <c r="D74" i="12"/>
  <c r="C36" i="11"/>
  <c r="K36" i="11" s="1"/>
  <c r="M36" i="11"/>
  <c r="AH8" i="12"/>
  <c r="AK13" i="12"/>
  <c r="J74" i="12"/>
  <c r="C31" i="12"/>
  <c r="K31" i="12" s="1"/>
  <c r="M31" i="12"/>
  <c r="BE13" i="12"/>
  <c r="Q13" i="12"/>
  <c r="I8" i="12"/>
  <c r="V8" i="12"/>
  <c r="Y13" i="12"/>
  <c r="C31" i="10"/>
  <c r="K31" i="10" s="1"/>
  <c r="M31" i="10"/>
  <c r="R8" i="11"/>
  <c r="T31" i="11"/>
  <c r="C66" i="10"/>
  <c r="K66" i="10" s="1"/>
  <c r="M66" i="10"/>
  <c r="C35" i="12"/>
  <c r="K35" i="12" s="1"/>
  <c r="M35" i="12"/>
  <c r="C74" i="10"/>
  <c r="K74" i="10" s="1"/>
  <c r="M74" i="10"/>
  <c r="C94" i="9"/>
  <c r="M94" i="9"/>
  <c r="D89" i="9"/>
  <c r="D9" i="9" s="1"/>
  <c r="V13" i="14"/>
  <c r="S8" i="14"/>
  <c r="J13" i="13"/>
  <c r="L8" i="13"/>
  <c r="U8" i="10"/>
  <c r="W13" i="10"/>
  <c r="C17" i="8"/>
  <c r="K17" i="8" s="1"/>
  <c r="M17" i="8"/>
  <c r="CO74" i="7"/>
  <c r="CM8" i="7"/>
  <c r="C78" i="8"/>
  <c r="K78" i="8" s="1"/>
  <c r="M78" i="8"/>
  <c r="C66" i="8"/>
  <c r="K66" i="8" s="1"/>
  <c r="M66" i="8"/>
  <c r="P31" i="9"/>
  <c r="G8" i="9"/>
  <c r="N31" i="8"/>
  <c r="Z31" i="9"/>
  <c r="AC31" i="9"/>
  <c r="AI8" i="12"/>
  <c r="AI7" i="12" s="1"/>
  <c r="R8" i="12"/>
  <c r="V13" i="9"/>
  <c r="S8" i="9"/>
  <c r="C99" i="8"/>
  <c r="K99" i="8" s="1"/>
  <c r="M99" i="8"/>
  <c r="K69" i="8"/>
  <c r="U8" i="9"/>
  <c r="R7" i="9"/>
  <c r="U7" i="9" s="1"/>
  <c r="CL52" i="7"/>
  <c r="CJ8" i="7"/>
  <c r="C49" i="7"/>
  <c r="K49" i="7" s="1"/>
  <c r="M49" i="7"/>
  <c r="C83" i="6"/>
  <c r="K83" i="6" s="1"/>
  <c r="M83" i="6"/>
  <c r="M66" i="6"/>
  <c r="C66" i="6"/>
  <c r="K66" i="6" s="1"/>
  <c r="W7" i="2"/>
  <c r="Y8" i="2"/>
  <c r="C53" i="7"/>
  <c r="K53" i="7" s="1"/>
  <c r="M53" i="7"/>
  <c r="D52" i="7"/>
  <c r="C47" i="7"/>
  <c r="K47" i="7" s="1"/>
  <c r="M47" i="7"/>
  <c r="C47" i="6"/>
  <c r="K47" i="6" s="1"/>
  <c r="M47" i="6"/>
  <c r="I8" i="5"/>
  <c r="Q13" i="5"/>
  <c r="BK74" i="7"/>
  <c r="BI8" i="7"/>
  <c r="Y52" i="7"/>
  <c r="AS8" i="7"/>
  <c r="AS7" i="7" s="1"/>
  <c r="Y7" i="4"/>
  <c r="AC7" i="4" s="1"/>
  <c r="AC8" i="4"/>
  <c r="K41" i="7"/>
  <c r="C107" i="6"/>
  <c r="K107" i="6" s="1"/>
  <c r="M107" i="6"/>
  <c r="N9" i="6"/>
  <c r="M14" i="6"/>
  <c r="D13" i="6"/>
  <c r="C14" i="6"/>
  <c r="K14" i="6" s="1"/>
  <c r="U52" i="7"/>
  <c r="AK13" i="7"/>
  <c r="AI8" i="7"/>
  <c r="M52" i="4"/>
  <c r="C52" i="4"/>
  <c r="K52" i="4" s="1"/>
  <c r="Z8" i="2"/>
  <c r="BD8" i="7"/>
  <c r="BD7" i="7" s="1"/>
  <c r="D31" i="5"/>
  <c r="C32" i="5"/>
  <c r="K32" i="5" s="1"/>
  <c r="M32" i="5"/>
  <c r="C47" i="2"/>
  <c r="K47" i="2" s="1"/>
  <c r="M47" i="2"/>
  <c r="H8" i="6"/>
  <c r="BV8" i="7"/>
  <c r="BV7" i="7" s="1"/>
  <c r="C104" i="5"/>
  <c r="K104" i="5" s="1"/>
  <c r="M104" i="5"/>
  <c r="K78" i="4"/>
  <c r="K29" i="4"/>
  <c r="K17" i="4"/>
  <c r="CR13" i="7"/>
  <c r="CQ8" i="7"/>
  <c r="CQ7" i="7" s="1"/>
  <c r="R9" i="4"/>
  <c r="U89" i="4"/>
  <c r="S8" i="3"/>
  <c r="K90" i="2"/>
  <c r="C52" i="1"/>
  <c r="K52" i="1" s="1"/>
  <c r="M52" i="1"/>
  <c r="L8" i="1"/>
  <c r="N8" i="1" s="1"/>
  <c r="J13" i="1"/>
  <c r="X31" i="1"/>
  <c r="AB31" i="1" s="1"/>
  <c r="AQ13" i="1"/>
  <c r="AO8" i="1"/>
  <c r="T13" i="23"/>
  <c r="X13" i="23"/>
  <c r="V13" i="23"/>
  <c r="J13" i="23"/>
  <c r="H8" i="23"/>
  <c r="F31" i="29"/>
  <c r="C8" i="29"/>
  <c r="AF8" i="24"/>
  <c r="AF7" i="24" s="1"/>
  <c r="BH8" i="24"/>
  <c r="BH7" i="24" s="1"/>
  <c r="AQ8" i="24"/>
  <c r="AQ7" i="24" s="1"/>
  <c r="F31" i="23"/>
  <c r="X8" i="24"/>
  <c r="X7" i="24" s="1"/>
  <c r="AL13" i="24"/>
  <c r="AH8" i="24"/>
  <c r="N8" i="24"/>
  <c r="P13" i="24"/>
  <c r="E8" i="23"/>
  <c r="E7" i="23" s="1"/>
  <c r="C104" i="21"/>
  <c r="K104" i="21" s="1"/>
  <c r="M104" i="21"/>
  <c r="C92" i="21"/>
  <c r="K92" i="21" s="1"/>
  <c r="M92" i="21"/>
  <c r="G13" i="23"/>
  <c r="D8" i="23"/>
  <c r="C73" i="22"/>
  <c r="K73" i="22" s="1"/>
  <c r="M73" i="22"/>
  <c r="C48" i="21"/>
  <c r="K48" i="21" s="1"/>
  <c r="M48" i="21"/>
  <c r="D31" i="21"/>
  <c r="C53" i="21"/>
  <c r="K53" i="21" s="1"/>
  <c r="M53" i="21"/>
  <c r="D52" i="21"/>
  <c r="Q13" i="21"/>
  <c r="I8" i="21"/>
  <c r="C61" i="20"/>
  <c r="K61" i="20" s="1"/>
  <c r="M61" i="20"/>
  <c r="M42" i="19"/>
  <c r="C42" i="19"/>
  <c r="K42" i="19" s="1"/>
  <c r="G8" i="22"/>
  <c r="P13" i="22"/>
  <c r="C15" i="20"/>
  <c r="K15" i="20" s="1"/>
  <c r="M15" i="20"/>
  <c r="M52" i="19"/>
  <c r="C52" i="19"/>
  <c r="K52" i="19" s="1"/>
  <c r="U89" i="17"/>
  <c r="R9" i="17"/>
  <c r="U9" i="17" s="1"/>
  <c r="J13" i="22"/>
  <c r="L8" i="22"/>
  <c r="C9" i="19"/>
  <c r="M9" i="19"/>
  <c r="J13" i="19"/>
  <c r="L8" i="19"/>
  <c r="N52" i="22"/>
  <c r="P13" i="19"/>
  <c r="G8" i="19"/>
  <c r="C76" i="21"/>
  <c r="K76" i="21" s="1"/>
  <c r="M76" i="21"/>
  <c r="O7" i="19"/>
  <c r="F52" i="23"/>
  <c r="C28" i="22"/>
  <c r="K28" i="22" s="1"/>
  <c r="M28" i="22"/>
  <c r="E8" i="19"/>
  <c r="E7" i="19" s="1"/>
  <c r="K91" i="18"/>
  <c r="K89" i="18" s="1"/>
  <c r="C89" i="18"/>
  <c r="J89" i="17"/>
  <c r="C60" i="17"/>
  <c r="K60" i="17" s="1"/>
  <c r="M60" i="17"/>
  <c r="V89" i="17"/>
  <c r="S9" i="17"/>
  <c r="V9" i="17" s="1"/>
  <c r="C55" i="17"/>
  <c r="K55" i="17" s="1"/>
  <c r="M55" i="17"/>
  <c r="N9" i="17"/>
  <c r="Q13" i="17"/>
  <c r="I8" i="17"/>
  <c r="G8" i="17"/>
  <c r="P13" i="17"/>
  <c r="N74" i="17"/>
  <c r="AL31" i="16"/>
  <c r="AI8" i="16"/>
  <c r="N74" i="16"/>
  <c r="H8" i="16"/>
  <c r="T9" i="14"/>
  <c r="V9" i="14" s="1"/>
  <c r="V89" i="14"/>
  <c r="Z31" i="16"/>
  <c r="W8" i="16"/>
  <c r="M9" i="15"/>
  <c r="C9" i="15"/>
  <c r="K9" i="15" s="1"/>
  <c r="C89" i="13"/>
  <c r="K90" i="13"/>
  <c r="K89" i="13" s="1"/>
  <c r="C26" i="14"/>
  <c r="K26" i="14" s="1"/>
  <c r="M26" i="14"/>
  <c r="N13" i="14"/>
  <c r="N31" i="14"/>
  <c r="AB8" i="14"/>
  <c r="AB7" i="14" s="1"/>
  <c r="AB12" i="14"/>
  <c r="M67" i="13"/>
  <c r="C67" i="13"/>
  <c r="K67" i="13" s="1"/>
  <c r="H8" i="13"/>
  <c r="N13" i="13"/>
  <c r="S8" i="16"/>
  <c r="V13" i="16"/>
  <c r="U52" i="12"/>
  <c r="M54" i="11"/>
  <c r="C54" i="11"/>
  <c r="K54" i="11" s="1"/>
  <c r="C34" i="11"/>
  <c r="K34" i="11" s="1"/>
  <c r="M34" i="11"/>
  <c r="C26" i="11"/>
  <c r="K26" i="11" s="1"/>
  <c r="M26" i="11"/>
  <c r="C20" i="11"/>
  <c r="K20" i="11" s="1"/>
  <c r="M20" i="11"/>
  <c r="D13" i="11"/>
  <c r="K39" i="12"/>
  <c r="C53" i="12"/>
  <c r="K53" i="12" s="1"/>
  <c r="M53" i="12"/>
  <c r="D52" i="12"/>
  <c r="BI31" i="12"/>
  <c r="BB8" i="12"/>
  <c r="C14" i="13"/>
  <c r="K14" i="13" s="1"/>
  <c r="D13" i="13"/>
  <c r="M14" i="13"/>
  <c r="AW31" i="12"/>
  <c r="J89" i="9"/>
  <c r="BA74" i="12"/>
  <c r="Y52" i="12"/>
  <c r="T52" i="10"/>
  <c r="AG31" i="10"/>
  <c r="AE31" i="10"/>
  <c r="AA8" i="10"/>
  <c r="AA7" i="10" s="1"/>
  <c r="F7" i="9"/>
  <c r="I7" i="9"/>
  <c r="Q7" i="9" s="1"/>
  <c r="Q8" i="9"/>
  <c r="C60" i="8"/>
  <c r="K60" i="8" s="1"/>
  <c r="M60" i="8"/>
  <c r="L8" i="8"/>
  <c r="J13" i="8"/>
  <c r="C105" i="8"/>
  <c r="K105" i="8" s="1"/>
  <c r="M105" i="8"/>
  <c r="J74" i="8"/>
  <c r="N74" i="8"/>
  <c r="R8" i="8"/>
  <c r="U13" i="8"/>
  <c r="K22" i="13"/>
  <c r="AH8" i="9"/>
  <c r="AH7" i="9" s="1"/>
  <c r="BE74" i="7"/>
  <c r="BC8" i="7"/>
  <c r="E7" i="9"/>
  <c r="C37" i="7"/>
  <c r="K37" i="7" s="1"/>
  <c r="M37" i="7"/>
  <c r="O7" i="7"/>
  <c r="M78" i="6"/>
  <c r="C78" i="6"/>
  <c r="K78" i="6" s="1"/>
  <c r="C65" i="6"/>
  <c r="K65" i="6" s="1"/>
  <c r="M65" i="6"/>
  <c r="BH52" i="7"/>
  <c r="BF8" i="7"/>
  <c r="BT52" i="7"/>
  <c r="BR8" i="7"/>
  <c r="C13" i="7"/>
  <c r="K13" i="7" s="1"/>
  <c r="M13" i="7"/>
  <c r="D8" i="7"/>
  <c r="C43" i="7"/>
  <c r="K43" i="7" s="1"/>
  <c r="M43" i="7"/>
  <c r="AA8" i="7"/>
  <c r="AA7" i="7" s="1"/>
  <c r="M42" i="6"/>
  <c r="C42" i="6"/>
  <c r="K42" i="6" s="1"/>
  <c r="M77" i="5"/>
  <c r="C77" i="5"/>
  <c r="K77" i="5" s="1"/>
  <c r="AL8" i="4"/>
  <c r="AJ7" i="4"/>
  <c r="AL7" i="4" s="1"/>
  <c r="Q13" i="2"/>
  <c r="I8" i="2"/>
  <c r="AQ13" i="7"/>
  <c r="AO8" i="7"/>
  <c r="AL8" i="7"/>
  <c r="C104" i="4"/>
  <c r="K104" i="4" s="1"/>
  <c r="M104" i="4"/>
  <c r="C71" i="2"/>
  <c r="K71" i="2" s="1"/>
  <c r="M71" i="2"/>
  <c r="C97" i="6"/>
  <c r="K97" i="6" s="1"/>
  <c r="M97" i="6"/>
  <c r="M31" i="4"/>
  <c r="C31" i="4"/>
  <c r="K31" i="4" s="1"/>
  <c r="F8" i="2"/>
  <c r="F7" i="2" s="1"/>
  <c r="J31" i="6"/>
  <c r="C38" i="5"/>
  <c r="K38" i="5" s="1"/>
  <c r="M38" i="5"/>
  <c r="C14" i="2"/>
  <c r="K14" i="2" s="1"/>
  <c r="D13" i="2"/>
  <c r="M14" i="2"/>
  <c r="C91" i="1"/>
  <c r="K91" i="1" s="1"/>
  <c r="M91" i="1"/>
  <c r="H7" i="8"/>
  <c r="E8" i="7"/>
  <c r="E7" i="7" s="1"/>
  <c r="C94" i="4"/>
  <c r="K94" i="4" s="1"/>
  <c r="M94" i="4"/>
  <c r="AH13" i="2"/>
  <c r="AF8" i="2"/>
  <c r="N9" i="1"/>
  <c r="V13" i="5"/>
  <c r="S8" i="5"/>
  <c r="AK8" i="1"/>
  <c r="AK7" i="1" s="1"/>
  <c r="H7" i="1"/>
  <c r="G8" i="1"/>
  <c r="P13" i="1"/>
  <c r="R8" i="1"/>
  <c r="U13" i="1"/>
  <c r="N31" i="6"/>
  <c r="N13" i="1"/>
  <c r="U7" i="28"/>
  <c r="W7" i="28" s="1"/>
  <c r="W8" i="28"/>
  <c r="X8" i="28"/>
  <c r="X7" i="28" s="1"/>
  <c r="I8" i="28"/>
  <c r="M13" i="28"/>
  <c r="Z13" i="25"/>
  <c r="W8" i="25"/>
  <c r="AI8" i="28"/>
  <c r="AI7" i="28" s="1"/>
  <c r="N7" i="27"/>
  <c r="AF8" i="28"/>
  <c r="AH13" i="28"/>
  <c r="C8" i="27"/>
  <c r="F13" i="27"/>
  <c r="T52" i="27"/>
  <c r="N31" i="25"/>
  <c r="F89" i="26"/>
  <c r="Q8" i="25"/>
  <c r="Q7" i="25" s="1"/>
  <c r="BE31" i="24"/>
  <c r="Z8" i="24"/>
  <c r="Z7" i="24" s="1"/>
  <c r="X74" i="23"/>
  <c r="R74" i="23"/>
  <c r="V74" i="23"/>
  <c r="J74" i="23"/>
  <c r="T74" i="23"/>
  <c r="BJ8" i="24"/>
  <c r="BJ7" i="24" s="1"/>
  <c r="M13" i="24"/>
  <c r="K8" i="24"/>
  <c r="AC8" i="24"/>
  <c r="AC7" i="24" s="1"/>
  <c r="Q8" i="23"/>
  <c r="Q7" i="23" s="1"/>
  <c r="F31" i="24"/>
  <c r="R8" i="24"/>
  <c r="R7" i="24" s="1"/>
  <c r="H8" i="24"/>
  <c r="J13" i="24"/>
  <c r="AD8" i="23"/>
  <c r="AD7" i="23" s="1"/>
  <c r="K8" i="27"/>
  <c r="G89" i="23"/>
  <c r="D9" i="23"/>
  <c r="G9" i="23" s="1"/>
  <c r="C102" i="21"/>
  <c r="K102" i="21" s="1"/>
  <c r="M102" i="21"/>
  <c r="S8" i="21"/>
  <c r="S7" i="21" s="1"/>
  <c r="C32" i="22"/>
  <c r="K32" i="22" s="1"/>
  <c r="M32" i="22"/>
  <c r="D31" i="22"/>
  <c r="W74" i="21"/>
  <c r="AR13" i="24"/>
  <c r="AN8" i="24"/>
  <c r="S7" i="22"/>
  <c r="V7" i="22" s="1"/>
  <c r="V8" i="22"/>
  <c r="C33" i="22"/>
  <c r="K33" i="22" s="1"/>
  <c r="M33" i="22"/>
  <c r="L8" i="23"/>
  <c r="L7" i="23" s="1"/>
  <c r="C49" i="21"/>
  <c r="K49" i="21" s="1"/>
  <c r="M49" i="21"/>
  <c r="G31" i="23"/>
  <c r="D13" i="21"/>
  <c r="C90" i="20"/>
  <c r="M90" i="20"/>
  <c r="M89" i="20" s="1"/>
  <c r="D89" i="20"/>
  <c r="D9" i="20" s="1"/>
  <c r="N13" i="20"/>
  <c r="H8" i="20"/>
  <c r="C77" i="19"/>
  <c r="K77" i="19" s="1"/>
  <c r="M77" i="19"/>
  <c r="M13" i="23"/>
  <c r="K8" i="23"/>
  <c r="K36" i="21"/>
  <c r="C74" i="20"/>
  <c r="K74" i="20" s="1"/>
  <c r="M74" i="20"/>
  <c r="G52" i="23"/>
  <c r="I8" i="23"/>
  <c r="I7" i="23" s="1"/>
  <c r="C71" i="20"/>
  <c r="K71" i="20" s="1"/>
  <c r="M71" i="20"/>
  <c r="M75" i="17"/>
  <c r="D74" i="17"/>
  <c r="C75" i="17"/>
  <c r="K75" i="17" s="1"/>
  <c r="C85" i="17"/>
  <c r="K85" i="17" s="1"/>
  <c r="M85" i="17"/>
  <c r="O8" i="21"/>
  <c r="O7" i="21" s="1"/>
  <c r="C54" i="19"/>
  <c r="K54" i="19" s="1"/>
  <c r="M54" i="19"/>
  <c r="T8" i="19"/>
  <c r="R7" i="19"/>
  <c r="T7" i="19" s="1"/>
  <c r="R8" i="18"/>
  <c r="J8" i="18"/>
  <c r="L7" i="18"/>
  <c r="J7" i="18" s="1"/>
  <c r="M37" i="17"/>
  <c r="C37" i="17"/>
  <c r="K37" i="17" s="1"/>
  <c r="S8" i="17"/>
  <c r="C32" i="17"/>
  <c r="K32" i="17" s="1"/>
  <c r="D31" i="17"/>
  <c r="M32" i="17"/>
  <c r="N13" i="21"/>
  <c r="O8" i="17"/>
  <c r="O7" i="17" s="1"/>
  <c r="AX74" i="16"/>
  <c r="AU8" i="16"/>
  <c r="C52" i="16"/>
  <c r="K52" i="16" s="1"/>
  <c r="M52" i="16"/>
  <c r="Q8" i="15"/>
  <c r="I7" i="15"/>
  <c r="Q7" i="15" s="1"/>
  <c r="M106" i="14"/>
  <c r="C106" i="14"/>
  <c r="K106" i="14" s="1"/>
  <c r="L8" i="17"/>
  <c r="AY7" i="16"/>
  <c r="AZ7" i="16" s="1"/>
  <c r="AZ8" i="16"/>
  <c r="P13" i="16"/>
  <c r="G8" i="16"/>
  <c r="AE9" i="14"/>
  <c r="AE7" i="14" s="1"/>
  <c r="M76" i="13"/>
  <c r="C76" i="13"/>
  <c r="K76" i="13" s="1"/>
  <c r="C56" i="14"/>
  <c r="K56" i="14" s="1"/>
  <c r="M56" i="14"/>
  <c r="C38" i="14"/>
  <c r="K38" i="14" s="1"/>
  <c r="M38" i="14"/>
  <c r="U13" i="14"/>
  <c r="R8" i="14"/>
  <c r="D74" i="13"/>
  <c r="AW8" i="16"/>
  <c r="AW7" i="16" s="1"/>
  <c r="O7" i="16"/>
  <c r="L7" i="15"/>
  <c r="J7" i="15" s="1"/>
  <c r="U31" i="14"/>
  <c r="AC9" i="14"/>
  <c r="AC7" i="14" s="1"/>
  <c r="Z74" i="13"/>
  <c r="M46" i="11"/>
  <c r="C46" i="11"/>
  <c r="K46" i="11" s="1"/>
  <c r="D31" i="11"/>
  <c r="C32" i="11"/>
  <c r="K32" i="11" s="1"/>
  <c r="M32" i="11"/>
  <c r="O8" i="12"/>
  <c r="O7" i="12" s="1"/>
  <c r="M55" i="11"/>
  <c r="C55" i="11"/>
  <c r="K55" i="11" s="1"/>
  <c r="Y76" i="14"/>
  <c r="W74" i="14"/>
  <c r="Y74" i="14" s="1"/>
  <c r="AL8" i="12"/>
  <c r="AO13" i="12"/>
  <c r="N13" i="10"/>
  <c r="H8" i="10"/>
  <c r="M74" i="11"/>
  <c r="C74" i="11"/>
  <c r="K74" i="11" s="1"/>
  <c r="D52" i="13"/>
  <c r="BA31" i="12"/>
  <c r="E8" i="12"/>
  <c r="E7" i="12" s="1"/>
  <c r="C90" i="11"/>
  <c r="M90" i="11"/>
  <c r="M89" i="11" s="1"/>
  <c r="D89" i="11"/>
  <c r="D9" i="11" s="1"/>
  <c r="M48" i="11"/>
  <c r="C48" i="11"/>
  <c r="K48" i="11" s="1"/>
  <c r="AB13" i="10"/>
  <c r="Z13" i="10"/>
  <c r="X8" i="10"/>
  <c r="I8" i="11"/>
  <c r="C30" i="10"/>
  <c r="K30" i="10" s="1"/>
  <c r="M30" i="10"/>
  <c r="Z74" i="10"/>
  <c r="AB74" i="10"/>
  <c r="L8" i="9"/>
  <c r="J13" i="9"/>
  <c r="C42" i="10"/>
  <c r="K42" i="10" s="1"/>
  <c r="M42" i="10"/>
  <c r="D13" i="10"/>
  <c r="S9" i="9"/>
  <c r="V9" i="9" s="1"/>
  <c r="V89" i="9"/>
  <c r="C18" i="10"/>
  <c r="K18" i="10" s="1"/>
  <c r="M18" i="10"/>
  <c r="C17" i="9"/>
  <c r="K17" i="9" s="1"/>
  <c r="M17" i="9"/>
  <c r="C30" i="8"/>
  <c r="K30" i="8" s="1"/>
  <c r="M30" i="8"/>
  <c r="C103" i="12"/>
  <c r="K103" i="12" s="1"/>
  <c r="M103" i="12"/>
  <c r="M89" i="12" s="1"/>
  <c r="C77" i="8"/>
  <c r="K77" i="8" s="1"/>
  <c r="M77" i="8"/>
  <c r="C54" i="8"/>
  <c r="K54" i="8" s="1"/>
  <c r="M54" i="8"/>
  <c r="V52" i="7"/>
  <c r="S8" i="7"/>
  <c r="K51" i="8"/>
  <c r="K45" i="8"/>
  <c r="K39" i="8"/>
  <c r="M31" i="9"/>
  <c r="C31" i="9"/>
  <c r="K31" i="9" s="1"/>
  <c r="AP8" i="12"/>
  <c r="D52" i="11"/>
  <c r="H8" i="9"/>
  <c r="G8" i="8"/>
  <c r="C14" i="9"/>
  <c r="K14" i="9" s="1"/>
  <c r="M14" i="9"/>
  <c r="D13" i="9"/>
  <c r="C77" i="6"/>
  <c r="K77" i="6" s="1"/>
  <c r="M77" i="6"/>
  <c r="M60" i="6"/>
  <c r="C60" i="6"/>
  <c r="K60" i="6" s="1"/>
  <c r="C33" i="9"/>
  <c r="K33" i="9" s="1"/>
  <c r="M33" i="9"/>
  <c r="C31" i="8"/>
  <c r="K31" i="8" s="1"/>
  <c r="R8" i="6"/>
  <c r="U13" i="6"/>
  <c r="K36" i="8"/>
  <c r="Y13" i="6"/>
  <c r="W8" i="6"/>
  <c r="M102" i="6"/>
  <c r="C102" i="6"/>
  <c r="K102" i="6" s="1"/>
  <c r="BQ52" i="7"/>
  <c r="BO8" i="7"/>
  <c r="M32" i="6"/>
  <c r="D31" i="6"/>
  <c r="C32" i="6"/>
  <c r="K32" i="6" s="1"/>
  <c r="N13" i="3"/>
  <c r="H8" i="3"/>
  <c r="J31" i="7"/>
  <c r="R8" i="7"/>
  <c r="P13" i="5"/>
  <c r="G8" i="5"/>
  <c r="C33" i="3"/>
  <c r="K33" i="3" s="1"/>
  <c r="M33" i="3"/>
  <c r="AC7" i="2"/>
  <c r="AE7" i="2" s="1"/>
  <c r="AE8" i="2"/>
  <c r="AN13" i="7"/>
  <c r="C62" i="5"/>
  <c r="K62" i="5" s="1"/>
  <c r="M62" i="5"/>
  <c r="C20" i="5"/>
  <c r="K20" i="5" s="1"/>
  <c r="M20" i="5"/>
  <c r="C101" i="4"/>
  <c r="K101" i="4" s="1"/>
  <c r="M101" i="4"/>
  <c r="C83" i="2"/>
  <c r="K83" i="2" s="1"/>
  <c r="M83" i="2"/>
  <c r="C107" i="1"/>
  <c r="K107" i="1" s="1"/>
  <c r="M107" i="1"/>
  <c r="AC8" i="10"/>
  <c r="K90" i="6"/>
  <c r="S7" i="2"/>
  <c r="J52" i="5"/>
  <c r="K26" i="4"/>
  <c r="C54" i="3"/>
  <c r="K54" i="3" s="1"/>
  <c r="M54" i="3"/>
  <c r="Q13" i="3"/>
  <c r="I8" i="3"/>
  <c r="C80" i="2"/>
  <c r="K80" i="2" s="1"/>
  <c r="M80" i="2"/>
  <c r="V13" i="2"/>
  <c r="C19" i="7"/>
  <c r="K19" i="7" s="1"/>
  <c r="M19" i="7"/>
  <c r="AB13" i="7"/>
  <c r="Z8" i="7"/>
  <c r="J13" i="5"/>
  <c r="L8" i="5"/>
  <c r="N8" i="5" s="1"/>
  <c r="D31" i="3"/>
  <c r="T8" i="3"/>
  <c r="T7" i="3" s="1"/>
  <c r="M31" i="1"/>
  <c r="C31" i="1"/>
  <c r="K31" i="1" s="1"/>
  <c r="C94" i="5"/>
  <c r="K94" i="5" s="1"/>
  <c r="M94" i="5"/>
  <c r="C91" i="2"/>
  <c r="K91" i="2" s="1"/>
  <c r="M91" i="2"/>
  <c r="M89" i="2" s="1"/>
  <c r="H8" i="2"/>
  <c r="M13" i="1"/>
  <c r="D8" i="1"/>
  <c r="C13" i="1"/>
  <c r="C16" i="1"/>
  <c r="K16" i="1" s="1"/>
  <c r="M16" i="1"/>
  <c r="AP8" i="1"/>
  <c r="AP7" i="1" s="1"/>
  <c r="E7" i="1"/>
  <c r="R8" i="27"/>
  <c r="F31" i="28"/>
  <c r="Y13" i="24"/>
  <c r="W8" i="24"/>
  <c r="C104" i="22"/>
  <c r="K104" i="22" s="1"/>
  <c r="M104" i="22"/>
  <c r="AB8" i="24"/>
  <c r="AB7" i="24" s="1"/>
  <c r="C8" i="24"/>
  <c r="W8" i="23"/>
  <c r="W7" i="23" s="1"/>
  <c r="C16" i="22"/>
  <c r="K16" i="22" s="1"/>
  <c r="M16" i="22"/>
  <c r="C100" i="21"/>
  <c r="K100" i="21" s="1"/>
  <c r="M100" i="21"/>
  <c r="J89" i="21"/>
  <c r="U8" i="22"/>
  <c r="R7" i="22"/>
  <c r="U7" i="22" s="1"/>
  <c r="D13" i="22"/>
  <c r="D74" i="21"/>
  <c r="C92" i="22"/>
  <c r="K92" i="22" s="1"/>
  <c r="M92" i="22"/>
  <c r="D89" i="22"/>
  <c r="D9" i="22" s="1"/>
  <c r="C78" i="22"/>
  <c r="K78" i="22" s="1"/>
  <c r="M78" i="22"/>
  <c r="J52" i="22"/>
  <c r="T52" i="21"/>
  <c r="D52" i="22"/>
  <c r="O8" i="22"/>
  <c r="O7" i="22" s="1"/>
  <c r="C54" i="20"/>
  <c r="K54" i="20" s="1"/>
  <c r="M54" i="20"/>
  <c r="M33" i="19"/>
  <c r="C33" i="19"/>
  <c r="K33" i="19" s="1"/>
  <c r="F13" i="23"/>
  <c r="C8" i="23"/>
  <c r="P13" i="21"/>
  <c r="G8" i="21"/>
  <c r="G8" i="20"/>
  <c r="P13" i="20"/>
  <c r="D13" i="20"/>
  <c r="C55" i="19"/>
  <c r="K55" i="19" s="1"/>
  <c r="M55" i="19"/>
  <c r="M74" i="18"/>
  <c r="C74" i="18"/>
  <c r="K74" i="18" s="1"/>
  <c r="M74" i="19"/>
  <c r="C74" i="19"/>
  <c r="K74" i="19" s="1"/>
  <c r="C103" i="17"/>
  <c r="K103" i="17" s="1"/>
  <c r="M103" i="17"/>
  <c r="C105" i="19"/>
  <c r="K105" i="19" s="1"/>
  <c r="K89" i="19" s="1"/>
  <c r="M105" i="19"/>
  <c r="M89" i="19" s="1"/>
  <c r="C23" i="17"/>
  <c r="K23" i="17" s="1"/>
  <c r="M23" i="17"/>
  <c r="Y13" i="17"/>
  <c r="W8" i="17"/>
  <c r="H8" i="21"/>
  <c r="D13" i="17"/>
  <c r="C89" i="15"/>
  <c r="K90" i="15"/>
  <c r="K89" i="15" s="1"/>
  <c r="Q74" i="16"/>
  <c r="I8" i="16"/>
  <c r="M97" i="16"/>
  <c r="C97" i="16"/>
  <c r="K97" i="16" s="1"/>
  <c r="K90" i="14"/>
  <c r="M77" i="14"/>
  <c r="C77" i="14"/>
  <c r="K77" i="14" s="1"/>
  <c r="M53" i="14"/>
  <c r="D52" i="14"/>
  <c r="C53" i="14"/>
  <c r="K53" i="14" s="1"/>
  <c r="P13" i="14"/>
  <c r="G8" i="14"/>
  <c r="F8" i="14"/>
  <c r="F7" i="14" s="1"/>
  <c r="CZ13" i="16"/>
  <c r="CV8" i="16"/>
  <c r="C44" i="14"/>
  <c r="K44" i="14" s="1"/>
  <c r="M44" i="14"/>
  <c r="C42" i="11"/>
  <c r="K42" i="11" s="1"/>
  <c r="M42" i="11"/>
  <c r="C30" i="11"/>
  <c r="K30" i="11" s="1"/>
  <c r="M30" i="11"/>
  <c r="C24" i="11"/>
  <c r="K24" i="11" s="1"/>
  <c r="M24" i="11"/>
  <c r="M74" i="15"/>
  <c r="C74" i="15"/>
  <c r="K74" i="15" s="1"/>
  <c r="AA8" i="13"/>
  <c r="AA7" i="13" s="1"/>
  <c r="C54" i="12"/>
  <c r="K54" i="12" s="1"/>
  <c r="M54" i="12"/>
  <c r="AU8" i="12"/>
  <c r="AU7" i="12" s="1"/>
  <c r="C13" i="12"/>
  <c r="K13" i="12" s="1"/>
  <c r="M13" i="12"/>
  <c r="C32" i="13"/>
  <c r="K32" i="13" s="1"/>
  <c r="D31" i="13"/>
  <c r="M32" i="13"/>
  <c r="BR13" i="16"/>
  <c r="BO8" i="16"/>
  <c r="J52" i="12"/>
  <c r="BG8" i="12"/>
  <c r="BG7" i="12" s="1"/>
  <c r="AR8" i="12"/>
  <c r="AR7" i="12" s="1"/>
  <c r="P13" i="10"/>
  <c r="G8" i="10"/>
  <c r="C17" i="12"/>
  <c r="K17" i="12" s="1"/>
  <c r="M17" i="12"/>
  <c r="T13" i="10"/>
  <c r="R8" i="10"/>
  <c r="H8" i="11"/>
  <c r="N74" i="12"/>
  <c r="C48" i="10"/>
  <c r="K48" i="10" s="1"/>
  <c r="M48" i="10"/>
  <c r="C78" i="10"/>
  <c r="K78" i="10" s="1"/>
  <c r="M78" i="10"/>
  <c r="J13" i="10"/>
  <c r="L8" i="10"/>
  <c r="W13" i="13"/>
  <c r="U8" i="13"/>
  <c r="K63" i="12"/>
  <c r="C9" i="10"/>
  <c r="K9" i="10" s="1"/>
  <c r="M9" i="10"/>
  <c r="C24" i="8"/>
  <c r="K24" i="8" s="1"/>
  <c r="M24" i="8"/>
  <c r="P52" i="7"/>
  <c r="G8" i="7"/>
  <c r="C90" i="7"/>
  <c r="D89" i="7"/>
  <c r="D9" i="7" s="1"/>
  <c r="M90" i="7"/>
  <c r="Z31" i="13"/>
  <c r="G8" i="12"/>
  <c r="P13" i="12"/>
  <c r="Z8" i="12"/>
  <c r="AC13" i="12"/>
  <c r="C9" i="8"/>
  <c r="K9" i="8" s="1"/>
  <c r="M9" i="8"/>
  <c r="N74" i="7"/>
  <c r="C59" i="6"/>
  <c r="K59" i="6" s="1"/>
  <c r="M59" i="6"/>
  <c r="S8" i="6"/>
  <c r="V13" i="6"/>
  <c r="AW8" i="7"/>
  <c r="AY52" i="7"/>
  <c r="C35" i="7"/>
  <c r="K35" i="7" s="1"/>
  <c r="M35" i="7"/>
  <c r="M99" i="6"/>
  <c r="C99" i="6"/>
  <c r="K99" i="6" s="1"/>
  <c r="C76" i="6"/>
  <c r="K76" i="6" s="1"/>
  <c r="M76" i="6"/>
  <c r="BA8" i="7"/>
  <c r="I8" i="7"/>
  <c r="Q13" i="7"/>
  <c r="C9" i="3"/>
  <c r="K9" i="3" s="1"/>
  <c r="M9" i="3"/>
  <c r="N9" i="3"/>
  <c r="BN52" i="7"/>
  <c r="BL8" i="7"/>
  <c r="AH13" i="7"/>
  <c r="AF8" i="7"/>
  <c r="N9" i="7"/>
  <c r="N9" i="5"/>
  <c r="C68" i="5"/>
  <c r="K68" i="5" s="1"/>
  <c r="M68" i="5"/>
  <c r="R7" i="3"/>
  <c r="AE13" i="10"/>
  <c r="I8" i="4"/>
  <c r="Q13" i="4"/>
  <c r="C53" i="6"/>
  <c r="K53" i="6" s="1"/>
  <c r="M53" i="6"/>
  <c r="D52" i="6"/>
  <c r="C9" i="5"/>
  <c r="K9" i="5" s="1"/>
  <c r="M9" i="5"/>
  <c r="C95" i="4"/>
  <c r="K95" i="4" s="1"/>
  <c r="M95" i="4"/>
  <c r="K91" i="3"/>
  <c r="C32" i="2"/>
  <c r="K32" i="2" s="1"/>
  <c r="D31" i="2"/>
  <c r="M32" i="2"/>
  <c r="C98" i="1"/>
  <c r="K98" i="1" s="1"/>
  <c r="M98" i="1"/>
  <c r="C98" i="8"/>
  <c r="K98" i="8" s="1"/>
  <c r="M98" i="8"/>
  <c r="M89" i="8" s="1"/>
  <c r="O8" i="6"/>
  <c r="O7" i="6" s="1"/>
  <c r="P13" i="3"/>
  <c r="G8" i="3"/>
  <c r="Y13" i="7"/>
  <c r="W8" i="7"/>
  <c r="D8" i="4"/>
  <c r="M13" i="4"/>
  <c r="C13" i="4"/>
  <c r="K13" i="4" s="1"/>
  <c r="W8" i="3"/>
  <c r="Y13" i="3"/>
  <c r="S8" i="1"/>
  <c r="V13" i="1"/>
  <c r="Z52" i="1"/>
  <c r="O7" i="1"/>
  <c r="AJ8" i="1"/>
  <c r="AJ7" i="1" s="1"/>
  <c r="AF8" i="1"/>
  <c r="AF7" i="1" s="1"/>
  <c r="K52" i="20" l="1"/>
  <c r="M89" i="1"/>
  <c r="Y8" i="1"/>
  <c r="Y7" i="1" s="1"/>
  <c r="J7" i="3"/>
  <c r="M89" i="5"/>
  <c r="M52" i="20"/>
  <c r="C9" i="6"/>
  <c r="K9" i="6" s="1"/>
  <c r="C89" i="3"/>
  <c r="U7" i="3"/>
  <c r="Y7" i="2"/>
  <c r="J8" i="3"/>
  <c r="N7" i="15"/>
  <c r="N8" i="17"/>
  <c r="P8" i="27"/>
  <c r="M74" i="1"/>
  <c r="M89" i="9"/>
  <c r="D8" i="12"/>
  <c r="L7" i="4"/>
  <c r="D8" i="3"/>
  <c r="C8" i="3" s="1"/>
  <c r="K8" i="3" s="1"/>
  <c r="J8" i="4"/>
  <c r="P7" i="27"/>
  <c r="M31" i="16"/>
  <c r="M74" i="2"/>
  <c r="D8" i="16"/>
  <c r="K89" i="8"/>
  <c r="V8" i="2"/>
  <c r="K89" i="3"/>
  <c r="V7" i="2"/>
  <c r="K9" i="19"/>
  <c r="M89" i="16"/>
  <c r="C9" i="12"/>
  <c r="K9" i="12" s="1"/>
  <c r="M74" i="14"/>
  <c r="X7" i="4"/>
  <c r="AA7" i="4" s="1"/>
  <c r="AA8" i="4"/>
  <c r="M89" i="4"/>
  <c r="C74" i="8"/>
  <c r="K89" i="14"/>
  <c r="M89" i="22"/>
  <c r="K13" i="1"/>
  <c r="M89" i="6"/>
  <c r="H7" i="17"/>
  <c r="AB13" i="1"/>
  <c r="C89" i="14"/>
  <c r="P8" i="4"/>
  <c r="G7" i="4"/>
  <c r="P7" i="4" s="1"/>
  <c r="M89" i="14"/>
  <c r="AG8" i="4"/>
  <c r="AD7" i="4"/>
  <c r="AG7" i="4" s="1"/>
  <c r="M89" i="7"/>
  <c r="S7" i="4"/>
  <c r="V7" i="4" s="1"/>
  <c r="V8" i="4"/>
  <c r="M89" i="17"/>
  <c r="C89" i="11"/>
  <c r="K90" i="11"/>
  <c r="K89" i="11" s="1"/>
  <c r="I7" i="4"/>
  <c r="Q7" i="4" s="1"/>
  <c r="Q8" i="4"/>
  <c r="K90" i="7"/>
  <c r="K89" i="7" s="1"/>
  <c r="C89" i="7"/>
  <c r="J8" i="10"/>
  <c r="L7" i="10"/>
  <c r="J7" i="10" s="1"/>
  <c r="C7" i="23"/>
  <c r="F7" i="23" s="1"/>
  <c r="F8" i="23"/>
  <c r="BA7" i="7"/>
  <c r="BB7" i="7" s="1"/>
  <c r="BB8" i="7"/>
  <c r="N8" i="11"/>
  <c r="H7" i="11"/>
  <c r="W7" i="3"/>
  <c r="Y7" i="3" s="1"/>
  <c r="Y8" i="3"/>
  <c r="G7" i="12"/>
  <c r="P7" i="12" s="1"/>
  <c r="P8" i="12"/>
  <c r="T8" i="10"/>
  <c r="R7" i="10"/>
  <c r="T7" i="10" s="1"/>
  <c r="R7" i="27"/>
  <c r="V7" i="27" s="1"/>
  <c r="V8" i="27"/>
  <c r="M8" i="1"/>
  <c r="D7" i="1"/>
  <c r="C8" i="1"/>
  <c r="C89" i="6"/>
  <c r="R7" i="6"/>
  <c r="U7" i="6" s="1"/>
  <c r="U8" i="6"/>
  <c r="G7" i="8"/>
  <c r="P7" i="8" s="1"/>
  <c r="P8" i="8"/>
  <c r="Q8" i="11"/>
  <c r="I7" i="11"/>
  <c r="Q7" i="11" s="1"/>
  <c r="C9" i="11"/>
  <c r="K9" i="11" s="1"/>
  <c r="M9" i="11"/>
  <c r="L7" i="17"/>
  <c r="J7" i="17" s="1"/>
  <c r="J8" i="17"/>
  <c r="C7" i="27"/>
  <c r="F7" i="27" s="1"/>
  <c r="F8" i="27"/>
  <c r="V8" i="5"/>
  <c r="S7" i="5"/>
  <c r="V7" i="5" s="1"/>
  <c r="M13" i="2"/>
  <c r="D8" i="2"/>
  <c r="C13" i="2"/>
  <c r="K13" i="2" s="1"/>
  <c r="R7" i="8"/>
  <c r="U7" i="8" s="1"/>
  <c r="U8" i="8"/>
  <c r="G7" i="3"/>
  <c r="P7" i="3" s="1"/>
  <c r="P8" i="3"/>
  <c r="U8" i="3"/>
  <c r="AY8" i="7"/>
  <c r="AW7" i="7"/>
  <c r="AY7" i="7" s="1"/>
  <c r="P8" i="7"/>
  <c r="G7" i="7"/>
  <c r="P7" i="7" s="1"/>
  <c r="CZ8" i="16"/>
  <c r="CV7" i="16"/>
  <c r="CZ7" i="16" s="1"/>
  <c r="M52" i="14"/>
  <c r="C52" i="14"/>
  <c r="K52" i="14" s="1"/>
  <c r="M13" i="17"/>
  <c r="C13" i="17"/>
  <c r="K13" i="17" s="1"/>
  <c r="D8" i="17"/>
  <c r="P8" i="20"/>
  <c r="G7" i="20"/>
  <c r="P7" i="20" s="1"/>
  <c r="C74" i="21"/>
  <c r="K74" i="21" s="1"/>
  <c r="M74" i="21"/>
  <c r="AB8" i="7"/>
  <c r="Z7" i="7"/>
  <c r="AB7" i="7" s="1"/>
  <c r="AC7" i="10"/>
  <c r="AG8" i="10"/>
  <c r="AE8" i="10"/>
  <c r="U8" i="7"/>
  <c r="R7" i="7"/>
  <c r="U7" i="7" s="1"/>
  <c r="J8" i="9"/>
  <c r="L7" i="9"/>
  <c r="J7" i="9" s="1"/>
  <c r="AB8" i="10"/>
  <c r="Z8" i="10"/>
  <c r="X7" i="10"/>
  <c r="M31" i="11"/>
  <c r="C31" i="11"/>
  <c r="K31" i="11" s="1"/>
  <c r="AX8" i="16"/>
  <c r="AU7" i="16"/>
  <c r="AX7" i="16" s="1"/>
  <c r="T8" i="18"/>
  <c r="R7" i="18"/>
  <c r="T7" i="18" s="1"/>
  <c r="M8" i="27"/>
  <c r="K7" i="27"/>
  <c r="M7" i="27" s="1"/>
  <c r="BT8" i="7"/>
  <c r="BR7" i="7"/>
  <c r="BT7" i="7" s="1"/>
  <c r="BE8" i="7"/>
  <c r="BC7" i="7"/>
  <c r="BE7" i="7" s="1"/>
  <c r="C52" i="12"/>
  <c r="K52" i="12" s="1"/>
  <c r="M52" i="12"/>
  <c r="Z8" i="16"/>
  <c r="W7" i="16"/>
  <c r="Z7" i="16" s="1"/>
  <c r="AL8" i="16"/>
  <c r="AI7" i="16"/>
  <c r="AL7" i="16" s="1"/>
  <c r="G7" i="19"/>
  <c r="P7" i="19" s="1"/>
  <c r="P8" i="19"/>
  <c r="M52" i="21"/>
  <c r="C52" i="21"/>
  <c r="K52" i="21" s="1"/>
  <c r="F8" i="29"/>
  <c r="C7" i="29"/>
  <c r="F7" i="29" s="1"/>
  <c r="U9" i="4"/>
  <c r="R7" i="4"/>
  <c r="U7" i="4" s="1"/>
  <c r="M52" i="7"/>
  <c r="C52" i="7"/>
  <c r="K52" i="7" s="1"/>
  <c r="V8" i="9"/>
  <c r="S7" i="9"/>
  <c r="V7" i="9" s="1"/>
  <c r="C9" i="9"/>
  <c r="K9" i="9" s="1"/>
  <c r="M9" i="9"/>
  <c r="BT8" i="16"/>
  <c r="BS7" i="16"/>
  <c r="BT7" i="16" s="1"/>
  <c r="K89" i="4"/>
  <c r="P8" i="11"/>
  <c r="G7" i="11"/>
  <c r="P7" i="11" s="1"/>
  <c r="I7" i="19"/>
  <c r="Q7" i="19" s="1"/>
  <c r="Q8" i="19"/>
  <c r="K89" i="22"/>
  <c r="N7" i="23"/>
  <c r="P7" i="23" s="1"/>
  <c r="P8" i="23"/>
  <c r="J8" i="25"/>
  <c r="H7" i="25"/>
  <c r="J7" i="25" s="1"/>
  <c r="Q8" i="1"/>
  <c r="I7" i="1"/>
  <c r="Q7" i="1" s="1"/>
  <c r="R7" i="2"/>
  <c r="U7" i="2" s="1"/>
  <c r="U8" i="2"/>
  <c r="S7" i="8"/>
  <c r="V7" i="8" s="1"/>
  <c r="V8" i="8"/>
  <c r="BI8" i="12"/>
  <c r="BF7" i="12"/>
  <c r="BI7" i="12" s="1"/>
  <c r="AJ7" i="16"/>
  <c r="AN7" i="16" s="1"/>
  <c r="AN8" i="16"/>
  <c r="M8" i="23"/>
  <c r="K7" i="23"/>
  <c r="M7" i="23" s="1"/>
  <c r="AR8" i="24"/>
  <c r="AN7" i="24"/>
  <c r="AR7" i="24" s="1"/>
  <c r="AI7" i="7"/>
  <c r="AK7" i="7" s="1"/>
  <c r="AK8" i="7"/>
  <c r="Q8" i="5"/>
  <c r="I7" i="5"/>
  <c r="Q7" i="5" s="1"/>
  <c r="P8" i="9"/>
  <c r="G7" i="9"/>
  <c r="P7" i="9" s="1"/>
  <c r="CO8" i="7"/>
  <c r="CM7" i="7"/>
  <c r="CO7" i="7" s="1"/>
  <c r="U7" i="10"/>
  <c r="W7" i="10" s="1"/>
  <c r="W8" i="10"/>
  <c r="M74" i="12"/>
  <c r="C74" i="12"/>
  <c r="K74" i="12" s="1"/>
  <c r="N8" i="22"/>
  <c r="H7" i="22"/>
  <c r="AD7" i="1"/>
  <c r="X7" i="1" s="1"/>
  <c r="AB7" i="1" s="1"/>
  <c r="X8" i="1"/>
  <c r="AB8" i="1" s="1"/>
  <c r="W8" i="1"/>
  <c r="Z13" i="1"/>
  <c r="CF8" i="7"/>
  <c r="CD7" i="7"/>
  <c r="CF7" i="7" s="1"/>
  <c r="CC8" i="7"/>
  <c r="CA7" i="7"/>
  <c r="CC7" i="7" s="1"/>
  <c r="U9" i="14"/>
  <c r="C8" i="16"/>
  <c r="M8" i="16"/>
  <c r="D7" i="16"/>
  <c r="K89" i="17"/>
  <c r="C89" i="22"/>
  <c r="D7" i="25"/>
  <c r="G7" i="25" s="1"/>
  <c r="G8" i="25"/>
  <c r="Y8" i="5"/>
  <c r="W7" i="5"/>
  <c r="Y7" i="5" s="1"/>
  <c r="C13" i="5"/>
  <c r="K13" i="5" s="1"/>
  <c r="D8" i="5"/>
  <c r="M13" i="5"/>
  <c r="U8" i="5"/>
  <c r="R7" i="5"/>
  <c r="U7" i="5" s="1"/>
  <c r="M52" i="5"/>
  <c r="C52" i="5"/>
  <c r="K52" i="5" s="1"/>
  <c r="CU8" i="7"/>
  <c r="CS7" i="7"/>
  <c r="CU7" i="7" s="1"/>
  <c r="C52" i="8"/>
  <c r="K52" i="8" s="1"/>
  <c r="M52" i="8"/>
  <c r="AA7" i="9"/>
  <c r="AF7" i="9" s="1"/>
  <c r="AF8" i="9"/>
  <c r="L7" i="12"/>
  <c r="J7" i="12" s="1"/>
  <c r="J8" i="12"/>
  <c r="C9" i="17"/>
  <c r="K9" i="17" s="1"/>
  <c r="M9" i="17"/>
  <c r="I7" i="22"/>
  <c r="Q7" i="22" s="1"/>
  <c r="Q8" i="22"/>
  <c r="S7" i="25"/>
  <c r="V7" i="25" s="1"/>
  <c r="V8" i="25"/>
  <c r="AA8" i="28"/>
  <c r="Y7" i="28"/>
  <c r="AA7" i="28" s="1"/>
  <c r="AL8" i="28"/>
  <c r="AJ7" i="28"/>
  <c r="AL7" i="28" s="1"/>
  <c r="Q8" i="3"/>
  <c r="I7" i="3"/>
  <c r="Q7" i="3" s="1"/>
  <c r="M31" i="6"/>
  <c r="C31" i="6"/>
  <c r="K31" i="6" s="1"/>
  <c r="N8" i="10"/>
  <c r="H7" i="10"/>
  <c r="P8" i="16"/>
  <c r="G7" i="16"/>
  <c r="P7" i="16" s="1"/>
  <c r="S7" i="17"/>
  <c r="V7" i="17" s="1"/>
  <c r="V8" i="17"/>
  <c r="C9" i="20"/>
  <c r="K9" i="20" s="1"/>
  <c r="M9" i="20"/>
  <c r="AF7" i="28"/>
  <c r="AH7" i="28" s="1"/>
  <c r="AH8" i="28"/>
  <c r="AN8" i="7"/>
  <c r="AL7" i="7"/>
  <c r="AN7" i="7" s="1"/>
  <c r="AQ8" i="1"/>
  <c r="AO7" i="1"/>
  <c r="AQ7" i="1" s="1"/>
  <c r="D7" i="4"/>
  <c r="C8" i="4"/>
  <c r="K8" i="4" s="1"/>
  <c r="M8" i="4"/>
  <c r="S7" i="6"/>
  <c r="V7" i="6" s="1"/>
  <c r="V8" i="6"/>
  <c r="C9" i="7"/>
  <c r="K9" i="7" s="1"/>
  <c r="M9" i="7"/>
  <c r="BR8" i="16"/>
  <c r="BO7" i="16"/>
  <c r="BR7" i="16" s="1"/>
  <c r="M8" i="12"/>
  <c r="D7" i="12"/>
  <c r="C8" i="12"/>
  <c r="K8" i="12" s="1"/>
  <c r="I7" i="16"/>
  <c r="Q7" i="16" s="1"/>
  <c r="Q8" i="16"/>
  <c r="Y8" i="17"/>
  <c r="W7" i="17"/>
  <c r="Y7" i="17" s="1"/>
  <c r="Y8" i="24"/>
  <c r="W7" i="24"/>
  <c r="Y7" i="24" s="1"/>
  <c r="N8" i="3"/>
  <c r="H7" i="3"/>
  <c r="N7" i="3" s="1"/>
  <c r="M13" i="9"/>
  <c r="D8" i="9"/>
  <c r="C13" i="9"/>
  <c r="K13" i="9" s="1"/>
  <c r="M52" i="11"/>
  <c r="C52" i="11"/>
  <c r="K52" i="11" s="1"/>
  <c r="D8" i="10"/>
  <c r="C13" i="10"/>
  <c r="K13" i="10" s="1"/>
  <c r="M13" i="10"/>
  <c r="M8" i="24"/>
  <c r="K7" i="24"/>
  <c r="M7" i="24" s="1"/>
  <c r="M8" i="28"/>
  <c r="I7" i="28"/>
  <c r="M7" i="28" s="1"/>
  <c r="AH8" i="2"/>
  <c r="AF7" i="2"/>
  <c r="AH7" i="2" s="1"/>
  <c r="AO7" i="7"/>
  <c r="AQ7" i="7" s="1"/>
  <c r="AQ8" i="7"/>
  <c r="BH8" i="7"/>
  <c r="BF7" i="7"/>
  <c r="BH7" i="7" s="1"/>
  <c r="C13" i="13"/>
  <c r="K13" i="13" s="1"/>
  <c r="M13" i="13"/>
  <c r="D8" i="13"/>
  <c r="C89" i="19"/>
  <c r="L7" i="22"/>
  <c r="J7" i="22" s="1"/>
  <c r="J8" i="22"/>
  <c r="G8" i="23"/>
  <c r="D7" i="23"/>
  <c r="G7" i="23" s="1"/>
  <c r="X8" i="23"/>
  <c r="R8" i="23"/>
  <c r="H7" i="23"/>
  <c r="V8" i="23"/>
  <c r="T8" i="23"/>
  <c r="J8" i="23"/>
  <c r="K89" i="2"/>
  <c r="C31" i="5"/>
  <c r="K31" i="5" s="1"/>
  <c r="M31" i="5"/>
  <c r="R7" i="12"/>
  <c r="U7" i="12" s="1"/>
  <c r="U8" i="12"/>
  <c r="L7" i="13"/>
  <c r="J7" i="13" s="1"/>
  <c r="J8" i="13"/>
  <c r="K94" i="9"/>
  <c r="K89" i="9" s="1"/>
  <c r="C89" i="9"/>
  <c r="Y8" i="12"/>
  <c r="V7" i="12"/>
  <c r="Y7" i="12" s="1"/>
  <c r="U8" i="16"/>
  <c r="R7" i="16"/>
  <c r="U7" i="16" s="1"/>
  <c r="N8" i="19"/>
  <c r="H7" i="19"/>
  <c r="M74" i="3"/>
  <c r="C74" i="3"/>
  <c r="K74" i="3" s="1"/>
  <c r="K89" i="1"/>
  <c r="N8" i="7"/>
  <c r="H7" i="7"/>
  <c r="I7" i="6"/>
  <c r="Q7" i="6" s="1"/>
  <c r="Q8" i="6"/>
  <c r="C9" i="14"/>
  <c r="K9" i="14" s="1"/>
  <c r="M9" i="14"/>
  <c r="C89" i="17"/>
  <c r="C13" i="19"/>
  <c r="K13" i="19" s="1"/>
  <c r="D8" i="19"/>
  <c r="M13" i="19"/>
  <c r="R7" i="21"/>
  <c r="T7" i="21" s="1"/>
  <c r="T8" i="21"/>
  <c r="D7" i="28"/>
  <c r="G7" i="28" s="1"/>
  <c r="G8" i="28"/>
  <c r="C7" i="25"/>
  <c r="F7" i="25" s="1"/>
  <c r="F8" i="25"/>
  <c r="D7" i="27"/>
  <c r="G7" i="27" s="1"/>
  <c r="G8" i="27"/>
  <c r="M52" i="2"/>
  <c r="C52" i="2"/>
  <c r="K52" i="2" s="1"/>
  <c r="G7" i="6"/>
  <c r="P7" i="6" s="1"/>
  <c r="P8" i="6"/>
  <c r="CR8" i="7"/>
  <c r="CP7" i="7"/>
  <c r="CR7" i="7" s="1"/>
  <c r="Z8" i="13"/>
  <c r="X7" i="13"/>
  <c r="Z7" i="13" s="1"/>
  <c r="W8" i="14"/>
  <c r="X7" i="16"/>
  <c r="AB7" i="16" s="1"/>
  <c r="AB8" i="16"/>
  <c r="T8" i="20"/>
  <c r="R7" i="20"/>
  <c r="T7" i="20" s="1"/>
  <c r="J8" i="21"/>
  <c r="L7" i="21"/>
  <c r="J7" i="21" s="1"/>
  <c r="G8" i="24"/>
  <c r="D7" i="24"/>
  <c r="G7" i="24" s="1"/>
  <c r="D8" i="8"/>
  <c r="K31" i="7"/>
  <c r="H7" i="21"/>
  <c r="N8" i="21"/>
  <c r="Y8" i="6"/>
  <c r="W7" i="6"/>
  <c r="Y7" i="6" s="1"/>
  <c r="S7" i="1"/>
  <c r="V7" i="1" s="1"/>
  <c r="V8" i="1"/>
  <c r="I7" i="7"/>
  <c r="Q7" i="7" s="1"/>
  <c r="Q8" i="7"/>
  <c r="AC8" i="12"/>
  <c r="Z7" i="12"/>
  <c r="AC7" i="12" s="1"/>
  <c r="P8" i="10"/>
  <c r="G7" i="10"/>
  <c r="P7" i="10" s="1"/>
  <c r="P8" i="14"/>
  <c r="G7" i="14"/>
  <c r="P7" i="14" s="1"/>
  <c r="V8" i="7"/>
  <c r="S7" i="7"/>
  <c r="V7" i="7" s="1"/>
  <c r="M74" i="13"/>
  <c r="C74" i="13"/>
  <c r="K74" i="13" s="1"/>
  <c r="K90" i="20"/>
  <c r="K89" i="20" s="1"/>
  <c r="C89" i="20"/>
  <c r="H7" i="24"/>
  <c r="J7" i="24" s="1"/>
  <c r="J8" i="24"/>
  <c r="R7" i="1"/>
  <c r="U7" i="1" s="1"/>
  <c r="U8" i="1"/>
  <c r="C8" i="7"/>
  <c r="M8" i="7"/>
  <c r="D7" i="7"/>
  <c r="S7" i="16"/>
  <c r="V7" i="16" s="1"/>
  <c r="V8" i="16"/>
  <c r="C31" i="21"/>
  <c r="K31" i="21" s="1"/>
  <c r="M31" i="21"/>
  <c r="C89" i="2"/>
  <c r="N8" i="6"/>
  <c r="H7" i="6"/>
  <c r="BK8" i="7"/>
  <c r="BI7" i="7"/>
  <c r="BK7" i="7" s="1"/>
  <c r="Q8" i="12"/>
  <c r="I7" i="12"/>
  <c r="Q7" i="12" s="1"/>
  <c r="C8" i="15"/>
  <c r="K8" i="15" s="1"/>
  <c r="D7" i="15"/>
  <c r="M8" i="15"/>
  <c r="L7" i="16"/>
  <c r="J7" i="16" s="1"/>
  <c r="J8" i="16"/>
  <c r="D7" i="18"/>
  <c r="C8" i="18"/>
  <c r="K8" i="18" s="1"/>
  <c r="M8" i="18"/>
  <c r="J8" i="2"/>
  <c r="L7" i="2"/>
  <c r="J7" i="2" s="1"/>
  <c r="C89" i="1"/>
  <c r="BA8" i="12"/>
  <c r="AX7" i="12"/>
  <c r="BA7" i="12" s="1"/>
  <c r="N8" i="12"/>
  <c r="H7" i="12"/>
  <c r="M52" i="17"/>
  <c r="C52" i="17"/>
  <c r="K52" i="17" s="1"/>
  <c r="M9" i="21"/>
  <c r="C9" i="21"/>
  <c r="K9" i="21" s="1"/>
  <c r="T8" i="28"/>
  <c r="R7" i="28"/>
  <c r="T7" i="28" s="1"/>
  <c r="AD8" i="25"/>
  <c r="AA7" i="25"/>
  <c r="AD7" i="25" s="1"/>
  <c r="J8" i="6"/>
  <c r="L7" i="6"/>
  <c r="J7" i="6" s="1"/>
  <c r="AT8" i="7"/>
  <c r="AR7" i="7"/>
  <c r="AT7" i="7" s="1"/>
  <c r="Y8" i="8"/>
  <c r="W7" i="8"/>
  <c r="Y7" i="8" s="1"/>
  <c r="I7" i="10"/>
  <c r="Q7" i="10" s="1"/>
  <c r="Q8" i="10"/>
  <c r="AW8" i="12"/>
  <c r="AT7" i="12"/>
  <c r="AW7" i="12" s="1"/>
  <c r="C13" i="14"/>
  <c r="K13" i="14" s="1"/>
  <c r="D8" i="14"/>
  <c r="M13" i="14"/>
  <c r="J8" i="20"/>
  <c r="L7" i="20"/>
  <c r="J7" i="20" s="1"/>
  <c r="AM7" i="24"/>
  <c r="AP7" i="24" s="1"/>
  <c r="AP8" i="24"/>
  <c r="W8" i="21"/>
  <c r="U7" i="21"/>
  <c r="W7" i="21" s="1"/>
  <c r="K13" i="8"/>
  <c r="AH8" i="7"/>
  <c r="AF7" i="7"/>
  <c r="AH7" i="7" s="1"/>
  <c r="U7" i="13"/>
  <c r="W7" i="13" s="1"/>
  <c r="W8" i="13"/>
  <c r="P8" i="21"/>
  <c r="G7" i="21"/>
  <c r="P7" i="21" s="1"/>
  <c r="M13" i="22"/>
  <c r="D8" i="22"/>
  <c r="C13" i="22"/>
  <c r="K13" i="22" s="1"/>
  <c r="N8" i="2"/>
  <c r="H7" i="2"/>
  <c r="H7" i="9"/>
  <c r="N7" i="9" s="1"/>
  <c r="N8" i="9"/>
  <c r="M31" i="2"/>
  <c r="C31" i="2"/>
  <c r="K31" i="2" s="1"/>
  <c r="BN8" i="7"/>
  <c r="BL7" i="7"/>
  <c r="BN7" i="7" s="1"/>
  <c r="W7" i="7"/>
  <c r="Y7" i="7" s="1"/>
  <c r="Y8" i="7"/>
  <c r="K74" i="8"/>
  <c r="M13" i="20"/>
  <c r="D8" i="20"/>
  <c r="C13" i="20"/>
  <c r="K13" i="20" s="1"/>
  <c r="C52" i="22"/>
  <c r="K52" i="22" s="1"/>
  <c r="M52" i="22"/>
  <c r="C7" i="24"/>
  <c r="F7" i="24" s="1"/>
  <c r="F8" i="24"/>
  <c r="J8" i="5"/>
  <c r="L7" i="5"/>
  <c r="J7" i="5" s="1"/>
  <c r="K89" i="6"/>
  <c r="P8" i="5"/>
  <c r="G7" i="5"/>
  <c r="P7" i="5" s="1"/>
  <c r="M52" i="13"/>
  <c r="C52" i="13"/>
  <c r="K52" i="13" s="1"/>
  <c r="AO8" i="12"/>
  <c r="AL7" i="12"/>
  <c r="AO7" i="12" s="1"/>
  <c r="U8" i="14"/>
  <c r="R7" i="14"/>
  <c r="C74" i="17"/>
  <c r="K74" i="17" s="1"/>
  <c r="M74" i="17"/>
  <c r="M13" i="21"/>
  <c r="D8" i="21"/>
  <c r="C13" i="21"/>
  <c r="K13" i="21" s="1"/>
  <c r="M31" i="22"/>
  <c r="C31" i="22"/>
  <c r="K31" i="22" s="1"/>
  <c r="Q8" i="2"/>
  <c r="I7" i="2"/>
  <c r="Q7" i="2" s="1"/>
  <c r="BB7" i="12"/>
  <c r="BE7" i="12" s="1"/>
  <c r="BE8" i="12"/>
  <c r="C13" i="11"/>
  <c r="K13" i="11" s="1"/>
  <c r="M13" i="11"/>
  <c r="D8" i="11"/>
  <c r="N8" i="16"/>
  <c r="H7" i="16"/>
  <c r="N7" i="16" s="1"/>
  <c r="G7" i="17"/>
  <c r="P7" i="17" s="1"/>
  <c r="P8" i="17"/>
  <c r="L7" i="19"/>
  <c r="J7" i="19" s="1"/>
  <c r="J8" i="19"/>
  <c r="Q8" i="21"/>
  <c r="I7" i="21"/>
  <c r="Q7" i="21" s="1"/>
  <c r="N7" i="24"/>
  <c r="P7" i="24" s="1"/>
  <c r="P8" i="24"/>
  <c r="S7" i="3"/>
  <c r="V7" i="3" s="1"/>
  <c r="V8" i="3"/>
  <c r="AB8" i="2"/>
  <c r="Z7" i="2"/>
  <c r="AB7" i="2" s="1"/>
  <c r="V8" i="14"/>
  <c r="S7" i="14"/>
  <c r="R7" i="11"/>
  <c r="T7" i="11" s="1"/>
  <c r="T8" i="11"/>
  <c r="AK8" i="12"/>
  <c r="AH7" i="12"/>
  <c r="AK7" i="12" s="1"/>
  <c r="J8" i="14"/>
  <c r="L7" i="14"/>
  <c r="J7" i="14" s="1"/>
  <c r="C31" i="14"/>
  <c r="K31" i="14" s="1"/>
  <c r="M31" i="14"/>
  <c r="Q8" i="14"/>
  <c r="I7" i="14"/>
  <c r="Q7" i="14" s="1"/>
  <c r="I7" i="8"/>
  <c r="Q7" i="8" s="1"/>
  <c r="Q8" i="8"/>
  <c r="AI8" i="9"/>
  <c r="AD7" i="9"/>
  <c r="AI7" i="9" s="1"/>
  <c r="L7" i="11"/>
  <c r="J7" i="11" s="1"/>
  <c r="J8" i="11"/>
  <c r="AD7" i="12"/>
  <c r="AG7" i="12" s="1"/>
  <c r="AG8" i="12"/>
  <c r="T8" i="13"/>
  <c r="R7" i="13"/>
  <c r="T7" i="13" s="1"/>
  <c r="C89" i="16"/>
  <c r="AA7" i="23"/>
  <c r="AC7" i="23" s="1"/>
  <c r="AC8" i="23"/>
  <c r="M89" i="21"/>
  <c r="H7" i="28"/>
  <c r="K7" i="28" s="1"/>
  <c r="K8" i="28"/>
  <c r="N8" i="25"/>
  <c r="K7" i="25"/>
  <c r="N7" i="25" s="1"/>
  <c r="AC8" i="3"/>
  <c r="AA7" i="3"/>
  <c r="AC7" i="3" s="1"/>
  <c r="C89" i="5"/>
  <c r="CI8" i="7"/>
  <c r="CG7" i="7"/>
  <c r="CI7" i="7" s="1"/>
  <c r="K89" i="12"/>
  <c r="M52" i="10"/>
  <c r="C52" i="10"/>
  <c r="K52" i="10" s="1"/>
  <c r="G7" i="13"/>
  <c r="P7" i="13" s="1"/>
  <c r="P8" i="13"/>
  <c r="K31" i="16"/>
  <c r="CU7" i="16"/>
  <c r="CX7" i="16" s="1"/>
  <c r="CX8" i="16"/>
  <c r="R7" i="17"/>
  <c r="U7" i="17" s="1"/>
  <c r="U8" i="17"/>
  <c r="C74" i="22"/>
  <c r="K74" i="22" s="1"/>
  <c r="M74" i="22"/>
  <c r="AC7" i="28"/>
  <c r="AE7" i="28" s="1"/>
  <c r="AE8" i="28"/>
  <c r="K9" i="1"/>
  <c r="F7" i="28"/>
  <c r="C9" i="22"/>
  <c r="K9" i="22" s="1"/>
  <c r="M9" i="22"/>
  <c r="C31" i="3"/>
  <c r="K31" i="3" s="1"/>
  <c r="M31" i="3"/>
  <c r="BQ8" i="7"/>
  <c r="BO7" i="7"/>
  <c r="BQ7" i="7" s="1"/>
  <c r="AP7" i="12"/>
  <c r="AS7" i="12" s="1"/>
  <c r="AS8" i="12"/>
  <c r="C52" i="6"/>
  <c r="K52" i="6" s="1"/>
  <c r="M52" i="6"/>
  <c r="C31" i="13"/>
  <c r="K31" i="13" s="1"/>
  <c r="M31" i="13"/>
  <c r="M31" i="17"/>
  <c r="C31" i="17"/>
  <c r="K31" i="17" s="1"/>
  <c r="N8" i="20"/>
  <c r="H7" i="20"/>
  <c r="Z8" i="25"/>
  <c r="W7" i="25"/>
  <c r="Z7" i="25" s="1"/>
  <c r="G7" i="1"/>
  <c r="P7" i="1" s="1"/>
  <c r="P8" i="1"/>
  <c r="J8" i="8"/>
  <c r="L7" i="8"/>
  <c r="J7" i="8" s="1"/>
  <c r="N8" i="8"/>
  <c r="N8" i="13"/>
  <c r="H7" i="13"/>
  <c r="Q8" i="17"/>
  <c r="I7" i="17"/>
  <c r="Q7" i="17" s="1"/>
  <c r="G7" i="22"/>
  <c r="P7" i="22" s="1"/>
  <c r="P8" i="22"/>
  <c r="AL8" i="24"/>
  <c r="AH7" i="24"/>
  <c r="AL7" i="24" s="1"/>
  <c r="L7" i="1"/>
  <c r="J7" i="1" s="1"/>
  <c r="J8" i="1"/>
  <c r="M13" i="6"/>
  <c r="C13" i="6"/>
  <c r="K13" i="6" s="1"/>
  <c r="D8" i="6"/>
  <c r="C89" i="8"/>
  <c r="CL8" i="7"/>
  <c r="CJ7" i="7"/>
  <c r="CL7" i="7" s="1"/>
  <c r="Q8" i="20"/>
  <c r="I7" i="20"/>
  <c r="Q7" i="20" s="1"/>
  <c r="C89" i="4"/>
  <c r="C52" i="3"/>
  <c r="K52" i="3" s="1"/>
  <c r="M52" i="3"/>
  <c r="BZ8" i="7"/>
  <c r="BX7" i="7"/>
  <c r="BZ7" i="7" s="1"/>
  <c r="T7" i="14"/>
  <c r="K89" i="16"/>
  <c r="C89" i="21"/>
  <c r="K90" i="21"/>
  <c r="K89" i="21" s="1"/>
  <c r="BC7" i="24"/>
  <c r="BE7" i="24" s="1"/>
  <c r="BE8" i="24"/>
  <c r="N7" i="28"/>
  <c r="P7" i="28" s="1"/>
  <c r="P8" i="28"/>
  <c r="K89" i="5"/>
  <c r="BW8" i="7"/>
  <c r="BU7" i="7"/>
  <c r="BW7" i="7" s="1"/>
  <c r="L7" i="7"/>
  <c r="J7" i="7" s="1"/>
  <c r="J8" i="7"/>
  <c r="Z7" i="9"/>
  <c r="AC7" i="9"/>
  <c r="C89" i="12"/>
  <c r="I7" i="13"/>
  <c r="Q7" i="13" s="1"/>
  <c r="Q8" i="13"/>
  <c r="C74" i="16"/>
  <c r="K74" i="16" s="1"/>
  <c r="M74" i="16"/>
  <c r="R8" i="25"/>
  <c r="O7" i="25"/>
  <c r="R7" i="25" s="1"/>
  <c r="F8" i="28"/>
  <c r="M8" i="3" l="1"/>
  <c r="N7" i="5"/>
  <c r="N7" i="12"/>
  <c r="D7" i="3"/>
  <c r="M7" i="3" s="1"/>
  <c r="J7" i="4"/>
  <c r="N7" i="4"/>
  <c r="N7" i="20"/>
  <c r="N7" i="13"/>
  <c r="N7" i="21"/>
  <c r="N7" i="10"/>
  <c r="N7" i="22"/>
  <c r="N7" i="2"/>
  <c r="C7" i="18"/>
  <c r="K7" i="18" s="1"/>
  <c r="M7" i="18"/>
  <c r="Y8" i="14"/>
  <c r="W7" i="14"/>
  <c r="Y7" i="14" s="1"/>
  <c r="C8" i="19"/>
  <c r="K8" i="19" s="1"/>
  <c r="M8" i="19"/>
  <c r="D7" i="19"/>
  <c r="N7" i="19"/>
  <c r="T7" i="23"/>
  <c r="V7" i="23"/>
  <c r="R7" i="23"/>
  <c r="J7" i="23"/>
  <c r="X7" i="23"/>
  <c r="C7" i="4"/>
  <c r="M7" i="4"/>
  <c r="Z8" i="1"/>
  <c r="W7" i="1"/>
  <c r="Z7" i="1" s="1"/>
  <c r="N7" i="17"/>
  <c r="AB7" i="10"/>
  <c r="Z7" i="10"/>
  <c r="C8" i="21"/>
  <c r="K8" i="21" s="1"/>
  <c r="D7" i="21"/>
  <c r="M8" i="21"/>
  <c r="D7" i="6"/>
  <c r="M8" i="6"/>
  <c r="C8" i="6"/>
  <c r="K8" i="6" s="1"/>
  <c r="D7" i="11"/>
  <c r="C8" i="11"/>
  <c r="K8" i="11" s="1"/>
  <c r="M8" i="11"/>
  <c r="D7" i="20"/>
  <c r="C8" i="20"/>
  <c r="K8" i="20" s="1"/>
  <c r="M8" i="20"/>
  <c r="D7" i="14"/>
  <c r="C8" i="14"/>
  <c r="K8" i="14" s="1"/>
  <c r="M8" i="14"/>
  <c r="K8" i="7"/>
  <c r="N7" i="7"/>
  <c r="D7" i="5"/>
  <c r="C8" i="5"/>
  <c r="K8" i="5" s="1"/>
  <c r="M8" i="5"/>
  <c r="N7" i="11"/>
  <c r="C8" i="13"/>
  <c r="K8" i="13" s="1"/>
  <c r="D7" i="13"/>
  <c r="M8" i="13"/>
  <c r="M7" i="12"/>
  <c r="C7" i="12"/>
  <c r="K7" i="12" s="1"/>
  <c r="K8" i="1"/>
  <c r="V7" i="14"/>
  <c r="U7" i="14"/>
  <c r="C8" i="22"/>
  <c r="K8" i="22" s="1"/>
  <c r="M8" i="22"/>
  <c r="D7" i="22"/>
  <c r="M8" i="8"/>
  <c r="C8" i="8"/>
  <c r="K8" i="8" s="1"/>
  <c r="D7" i="8"/>
  <c r="C8" i="9"/>
  <c r="K8" i="9" s="1"/>
  <c r="M8" i="9"/>
  <c r="D7" i="9"/>
  <c r="C7" i="16"/>
  <c r="K7" i="16" s="1"/>
  <c r="M7" i="16"/>
  <c r="N7" i="1"/>
  <c r="AG7" i="10"/>
  <c r="AE7" i="10"/>
  <c r="C8" i="2"/>
  <c r="K8" i="2" s="1"/>
  <c r="D7" i="2"/>
  <c r="M8" i="2"/>
  <c r="M7" i="1"/>
  <c r="C7" i="1"/>
  <c r="K7" i="1" s="1"/>
  <c r="M7" i="15"/>
  <c r="C7" i="15"/>
  <c r="K7" i="15" s="1"/>
  <c r="N7" i="6"/>
  <c r="M8" i="17"/>
  <c r="D7" i="17"/>
  <c r="C8" i="17"/>
  <c r="K8" i="17" s="1"/>
  <c r="C7" i="3"/>
  <c r="K7" i="3" s="1"/>
  <c r="C7" i="7"/>
  <c r="K7" i="7" s="1"/>
  <c r="M7" i="7"/>
  <c r="C8" i="10"/>
  <c r="K8" i="10" s="1"/>
  <c r="D7" i="10"/>
  <c r="M8" i="10"/>
  <c r="N7" i="8"/>
  <c r="K8" i="16"/>
  <c r="N7" i="14"/>
  <c r="K7" i="4" l="1"/>
  <c r="C7" i="5"/>
  <c r="K7" i="5" s="1"/>
  <c r="M7" i="5"/>
  <c r="M7" i="17"/>
  <c r="C7" i="17"/>
  <c r="K7" i="17" s="1"/>
  <c r="C7" i="8"/>
  <c r="K7" i="8" s="1"/>
  <c r="M7" i="8"/>
  <c r="C7" i="13"/>
  <c r="K7" i="13" s="1"/>
  <c r="M7" i="13"/>
  <c r="C7" i="19"/>
  <c r="K7" i="19" s="1"/>
  <c r="M7" i="19"/>
  <c r="C7" i="20"/>
  <c r="K7" i="20" s="1"/>
  <c r="M7" i="20"/>
  <c r="C7" i="6"/>
  <c r="K7" i="6" s="1"/>
  <c r="M7" i="6"/>
  <c r="M7" i="2"/>
  <c r="C7" i="2"/>
  <c r="K7" i="2" s="1"/>
  <c r="M7" i="21"/>
  <c r="C7" i="21"/>
  <c r="K7" i="21" s="1"/>
  <c r="C7" i="9"/>
  <c r="K7" i="9" s="1"/>
  <c r="M7" i="9"/>
  <c r="M7" i="22"/>
  <c r="C7" i="22"/>
  <c r="K7" i="22" s="1"/>
  <c r="C7" i="10"/>
  <c r="K7" i="10" s="1"/>
  <c r="M7" i="10"/>
  <c r="C7" i="11"/>
  <c r="K7" i="11" s="1"/>
  <c r="M7" i="11"/>
  <c r="C7" i="14"/>
  <c r="K7" i="14" s="1"/>
  <c r="M7" i="14"/>
</calcChain>
</file>

<file path=xl/sharedStrings.xml><?xml version="1.0" encoding="utf-8"?>
<sst xmlns="http://schemas.openxmlformats.org/spreadsheetml/2006/main" count="4699" uniqueCount="389">
  <si>
    <t>งบประมาณ - ผลการใช้จ่าย และ แผนงาน - ผลการดำเนินงาน ประจำปีงบประมาณ 2567</t>
  </si>
  <si>
    <t>จังหวัด</t>
  </si>
  <si>
    <t>กิจกรรมส่งเสริมเกษตรแบบแปลงใหญ่ - งบประมาณ</t>
  </si>
  <si>
    <t>กิจกรรมส่งเสริมเกษตรแบบแปลงใหญ่ - ผลงาน</t>
  </si>
  <si>
    <t>เงินงบประมาณ (งบดำเนินงาน)</t>
  </si>
  <si>
    <t>เงินกองทุน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</si>
  <si>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</si>
  <si>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</si>
  <si>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</si>
  <si>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</si>
  <si>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</si>
  <si>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>ได้รับอนุมัติ</t>
  </si>
  <si>
    <t>จัดสรร</t>
  </si>
  <si>
    <t>เบิกจ่าย</t>
  </si>
  <si>
    <t>ร้อยละ
(ได้รับ)</t>
  </si>
  <si>
    <t>ร้อยละ
(จัดสรร)</t>
  </si>
  <si>
    <t xml:space="preserve">รวม
</t>
  </si>
  <si>
    <t>แปลงใหญ่ ปี 2567</t>
  </si>
  <si>
    <t>แปลงใหญ่ ปี 2566</t>
  </si>
  <si>
    <t>แปลงใหญ่ ปี 2565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</si>
  <si>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</si>
  <si>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</si>
  <si>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</si>
  <si>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</si>
  <si>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</si>
  <si>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</si>
  <si>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</si>
  <si>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</si>
  <si>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</si>
  <si>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</si>
  <si>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</si>
  <si>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</si>
  <si>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</si>
  <si>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</si>
  <si>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</si>
  <si>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</si>
  <si>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</si>
  <si>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</si>
  <si>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รวมทั้งสิ้น (1 + 2 + 3)</t>
  </si>
  <si>
    <t>1. รวม ส.ป.ก.จังหวัด</t>
  </si>
  <si>
    <t>2. รวมส่วนกลาง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</si>
  <si>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</si>
  <si>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</si>
  <si>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</si>
  <si>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</si>
  <si>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</si>
  <si>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</si>
  <si>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</si>
  <si>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</si>
  <si>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</si>
  <si>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</si>
  <si>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</si>
  <si>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</si>
  <si>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</si>
  <si>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</si>
  <si>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</si>
  <si>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</si>
  <si>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</si>
  <si>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</si>
  <si>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</si>
  <si>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</si>
  <si>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</si>
  <si>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</si>
  <si>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</si>
  <si>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</si>
  <si>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</si>
  <si>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</si>
  <si>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</si>
  <si>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</si>
  <si>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</si>
  <si>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</si>
  <si>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</si>
  <si>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</si>
  <si>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</si>
  <si>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</si>
  <si>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</si>
  <si>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</si>
  <si>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</si>
  <si>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</si>
  <si>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</si>
  <si>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</si>
  <si>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</si>
  <si>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</si>
  <si>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</si>
  <si>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</si>
  <si>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</si>
  <si>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</si>
  <si>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</si>
  <si>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</si>
  <si>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</si>
  <si>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</si>
  <si>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</si>
  <si>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</si>
  <si>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</si>
  <si>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</si>
  <si>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</si>
  <si>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</si>
  <si>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</si>
  <si>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</si>
  <si>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</si>
  <si>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</si>
  <si>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</si>
  <si>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</si>
  <si>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</si>
  <si>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</si>
  <si>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</si>
  <si>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</si>
  <si>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</si>
  <si>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</si>
  <si>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</si>
  <si>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</si>
  <si>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</si>
  <si>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</si>
  <si>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</si>
  <si>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</si>
  <si>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</si>
  <si>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</si>
  <si>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</si>
  <si>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กตน.</t>
  </si>
  <si>
    <t>กพร.</t>
  </si>
  <si>
    <t>กกจ.</t>
  </si>
  <si>
    <t>สบก.</t>
  </si>
  <si>
    <t>สกม.</t>
  </si>
  <si>
    <t>สวผ.</t>
  </si>
  <si>
    <t>สจก.</t>
  </si>
  <si>
    <t>สบท.</t>
  </si>
  <si>
    <t>สพป.</t>
  </si>
  <si>
    <t>ศทส.</t>
  </si>
  <si>
    <t>สผส.</t>
  </si>
  <si>
    <t>สพท.</t>
  </si>
  <si>
    <t>ศพส.</t>
  </si>
  <si>
    <t>กปร.</t>
  </si>
  <si>
    <t>สำรองนโยบาย</t>
  </si>
  <si>
    <t>รายการบุคลากรภาครัฐ</t>
  </si>
  <si>
    <t>เบิกแทนกัน</t>
  </si>
  <si>
    <t>งบรายจ่ายอื่น</t>
  </si>
  <si>
    <t>กิจกรรมส่งเสริมและพัฒนาเกษตรทฤษฎีใหม่ในเขตปฏิรูปที่ดิน - งบประมาณ</t>
  </si>
  <si>
    <t>กิจกรรมส่งเสริมและพัฒนาเกษตรทฤษฎีใหม่ในเขตปฏิรูปที่ดิน - ผลงาน</t>
  </si>
  <si>
    <t>พื้นที่ที่ได้รับการส่งเสริมเป็นเกษตรทฤษฎีใหม่</t>
  </si>
  <si>
    <t>เกษตรกรได้รับการส่งเสริมองค์ความรู้เกี่ยวกับเกษตรทฤษฎีใหม่</t>
  </si>
  <si>
    <t>ไร่</t>
  </si>
  <si>
    <t>กิจกรรมพัฒนาธุรกิจชุมชนในเขตปฏิรูปที่ดิน - งบประมาณ</t>
  </si>
  <si>
    <t>กิจกรรมพัฒนาธุรกิจชุมชนในเขตปฏิรูปที่ดิน - ผลงาน</t>
  </si>
  <si>
    <t>หลักสูตร การเสริมสร้างความเข้มแข็งและการบริหารจัดการธุรกิจ</t>
  </si>
  <si>
    <t>หลักสูตร การเพิ่มมูลค่าสินค้าและการพัฒนาช่องทางด้านการตลาด</t>
  </si>
  <si>
    <t>หลักสูตร แนวทางการขับเคลื่อนการพัฒนาธุรกิจชุมชนสู่ความสำเร็จ (โดย สพท.)</t>
  </si>
  <si>
    <t>กลุ่ม</t>
  </si>
  <si>
    <t>กิจกรรมส่งเสริมการแปรรูปสมุนไพรด้วยโรงอบพลังงานแสงอาทิตย์ต้นทุนต่ำในเขตปฏิรูปที่ดิน - งบประมาณ</t>
  </si>
  <si>
    <t>กิจกรรมส่งเสริมการแปรรูปสมุนไพรด้วยโรงอบพลังงานแสงอาทิตย์ต้นทุนต่ำในเขตปฏิรูปที่ดิน - ผลงาน</t>
  </si>
  <si>
    <t>การ
เตรียมการ</t>
  </si>
  <si>
    <t>หลักสูตรที่ 1 การดูแลรักษาโรงอบ ฯ</t>
  </si>
  <si>
    <t>หลักสูตรที่ 2 การแปรรูปสมุนไพรด้วยโรงอบ ฯ</t>
  </si>
  <si>
    <t>จัดทำโรงอบ (งบลงทุน)</t>
  </si>
  <si>
    <t>แห่ง</t>
  </si>
  <si>
    <t>กิจกรรมตรวจรับรองสินค้าเกษตรในเขตปฏิรูปที่ดินตามมาตรฐาน GAP - งบประมาณ</t>
  </si>
  <si>
    <t>กิจกรรมตรวจรับรองสินค้าเกษตรในเขตปฏิรูปที่ดินตามมาตรฐาน GAP - ผลงาน</t>
  </si>
  <si>
    <t>เกษตรกรยื่นขอรับการรับรองมาตรฐานสินค้า 
(โดย ส.ป.ก.จังหวัด)</t>
  </si>
  <si>
    <t>เกษตรกรได้รับการตรวจรับรองมาตรฐาน GAP (ส่วนกลาง)</t>
  </si>
  <si>
    <t>เกษตรกรได้การรับรองคงสถานะสินค้าตามมาตรฐาน GAP (ส่วนกลาง)</t>
  </si>
  <si>
    <t>กิจกรรมพัฒนาและส่งเสริมศิลปหัตถกรรม - งบประมาณ</t>
  </si>
  <si>
    <t>กิจกรรมพัฒนาและส่งเสริมศิลปหัตถกรรม - ผลงาน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</si>
  <si>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</si>
  <si>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</si>
  <si>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 - งบประมาณ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</si>
  <si>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</si>
  <si>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</si>
  <si>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</si>
  <si>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</si>
  <si>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</si>
  <si>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</si>
  <si>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</si>
  <si>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</si>
  <si>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</si>
  <si>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งบอบรม
(เงิน พรบ.)</t>
  </si>
  <si>
    <t>งบอบรม
(เงินกองทุน)</t>
  </si>
  <si>
    <t>งบประมาณ
วัสดุการเกษตร</t>
  </si>
  <si>
    <t>อบรม</t>
  </si>
  <si>
    <t>สนับสนุนปัจจัย
การผลิต</t>
  </si>
  <si>
    <t>สนับสนุนวัสดุการเกษตร</t>
  </si>
  <si>
    <t>ฝึกอบรมเด็กและเยาวชน</t>
  </si>
  <si>
    <t>งบประมาณ
ค่าใช้จ่ายในการบริหารงาน</t>
  </si>
  <si>
    <t>งบประมาณ
ค่าใช้จ่ายในการปฏิบัติงาน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</si>
  <si>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</si>
  <si>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</si>
  <si>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</si>
  <si>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บริหารโครงการ</t>
  </si>
  <si>
    <t>งบประมาณ
ค่าเบี้ยเลี้ยง/ที่พัก/พาหนะ</t>
  </si>
  <si>
    <t>งบประมาณ
ค่าวัสดุการเกษตร</t>
  </si>
  <si>
    <t>การฝึกอบรม</t>
  </si>
  <si>
    <t>ได้รับ</t>
  </si>
  <si>
    <t>รวม</t>
  </si>
  <si>
    <t>เบ็ดเสร็จ</t>
  </si>
  <si>
    <t>ต่อเนื่อง</t>
  </si>
  <si>
    <t>ครั้ง</t>
  </si>
  <si>
    <t>โรงเรียน</t>
  </si>
  <si>
    <t>โรงเรียน/ราย</t>
  </si>
  <si>
    <t>กล้า</t>
  </si>
  <si>
    <t>กิจกรรมพัฒนาผู้แทนเกษตรกรในเขตปฏิรูปที่ดิน - งบประมาณ</t>
  </si>
  <si>
    <t>กิจกรรมพัฒนาผู้แทนเกษตรกรในเขตปฏิรูปที่ดิน - ผลงาน</t>
  </si>
  <si>
    <t>หลักสูตรการพัฒนาผู้แทนเกษตรกรในระดับพื้นที่ (โดย ส.ป.ก.จังหวัด)</t>
  </si>
  <si>
    <t>หลักสูตรการพัฒนาภาวะผู้นำแก่ผู้นำเกษตรกร (สพท.)</t>
  </si>
  <si>
    <t>กิจกรรมพัฒนาเกษตรกรปราดเปรื่องในเขตปฏิรูปที่ดิน (Smart Farmer) - งบประมาณ</t>
  </si>
  <si>
    <t>เตรียมความพร้อม</t>
  </si>
  <si>
    <t>ผู้ประกอบการต้นแบบ</t>
  </si>
  <si>
    <t>คัดเลือกเกษตรกรปราดเปรื่องต้นแบบ</t>
  </si>
  <si>
    <t>กิจกรรมเฝ้าระวังการเผาซากพืช วัชพืช และวัสดุทางการเกษตร ฯ - งบประมาณ</t>
  </si>
  <si>
    <t>กิจกรรมเฝ้าระวังการเผาซากพืช วัชพืช และวัสดุทางการเกษตร ฯ - ผลงาน</t>
  </si>
  <si>
    <t>พื้นที่ที่ได้รับการส่งเสริมและเฝ้าระวังให้มีการลดการเผา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</si>
  <si>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</si>
  <si>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</si>
  <si>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</si>
  <si>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</si>
  <si>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r>
      <rPr>
        <b/>
        <sz val="15"/>
        <color theme="1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</si>
  <si>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 xml:space="preserve"> ที่ได้รับการอบรม</t>
    </r>
  </si>
  <si>
    <t>กิจกรรมบริหารจัดการพื้นที่ที่ดินแปลงรวม - งบประมาณ</t>
  </si>
  <si>
    <t>ประสาน/สำรวจพื้นที่/ประสานหน่วยงานที่เกี่ยวข้อง</t>
  </si>
  <si>
    <t>พื้นที่</t>
  </si>
  <si>
    <t>กิจกรรมจัดที่ดิน - งบประมาณ</t>
  </si>
  <si>
    <t>กิจกรรมจัดที่ดิน - ผลงาน</t>
  </si>
  <si>
    <t>รวมผลงานจัดที่ดิน (เกษตรกรรม)</t>
  </si>
  <si>
    <t>จัดที่ดินพื้นที่คงเหลือ (X-Ray , 0-3)</t>
  </si>
  <si>
    <t>จัดที่ดินแทนที่ แบ่งแปลง (สละสิทธิ+เสียชีวิต)</t>
  </si>
  <si>
    <t>จัดที่ดินแทนที่ เต็มแปลง (สละสิทธิ+เสียชีวิต) + แก้ไขปัญหาเร่งด่วน เต็มแปลง</t>
  </si>
  <si>
    <t>รังวัด</t>
  </si>
  <si>
    <t>สอบสวนสิทธิ</t>
  </si>
  <si>
    <t>มอบ ส.ป.ก.4-01</t>
  </si>
  <si>
    <t>ร้อยละ(ไร่)</t>
  </si>
  <si>
    <t>ร้อยละ(ราย)</t>
  </si>
  <si>
    <t>ร้อยละ (ไร่)</t>
  </si>
  <si>
    <t>กิจกรรมศูนย์บริการประชาชน - งบประมาณ</t>
  </si>
  <si>
    <t>กิจกรรมศูนย์บริการประชาชน - ผลงาน</t>
  </si>
  <si>
    <t>รวมผลงานให้บริการเกษตรกร</t>
  </si>
  <si>
    <t>ให้บริการเกษตรกรด้านอื่น ๆ</t>
  </si>
  <si>
    <t>ออกศูนย์บริการเคลื่อนที่
ในเขตปฏิรูปที่ดิน</t>
  </si>
  <si>
    <t>ให้บริการรับคำร้องแสดงความประสงค์ขอออกโฉนดเพื่อการเกษตร</t>
  </si>
  <si>
    <t>ให้บริการเกษตรกร ณ 
ศูนย์บริการประชาชน</t>
  </si>
  <si>
    <t>จากระบบออนไลน์</t>
  </si>
  <si>
    <t>จากการออกรับบริการร่วมกับหน่วยงานภายนอกอื่น ๆ</t>
  </si>
  <si>
    <t xml:space="preserve"> เจ้าหน้าที่ยังไม่ได้รับเรื่อง</t>
  </si>
  <si>
    <t>อยู่ระหว่างตรวจสอบตามขั้นตอนออกโฉนด (ขั้นตอน 1-10)</t>
  </si>
  <si>
    <t>แล้วเสร็จ</t>
  </si>
  <si>
    <t>ผู้มารับบริการ</t>
  </si>
  <si>
    <t>ตำบล</t>
  </si>
  <si>
    <t>กิจกรรมแผนที่แปลงที่ดินตามมาตรฐาน RTK GNSS Network - งบประมาณ</t>
  </si>
  <si>
    <t>กิจกรรมแผนที่แปลงที่ดินตามมาตรฐาน RTK GNSS Network - ผลงาน</t>
  </si>
  <si>
    <t>ผลการดำเนินงาน</t>
  </si>
  <si>
    <t>ดำเนินการโดย ส.ป.ก. จังหวัด
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</si>
  <si>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</si>
  <si>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 - งบประมาณ</t>
  </si>
  <si>
    <t>กิจกรรมสำรวจและออกแบบโครงสร้างพื้นฐานในเขตปฏิรูปที่ดิน - ผลงาน</t>
  </si>
  <si>
    <t>สำรวจและออกแบบโครงสร้างพื้นฐานในเขตปฏิรูปที่ดิน
(โดย สพป.)</t>
  </si>
  <si>
    <t>สำรวจความเหมาะสมพื้นที่งานพัฒนาโครงสร้างพื้นฐาน</t>
  </si>
  <si>
    <t>สำรวจวางผังแม่บทงานพัฒนาโครงสร้างพื้นฐาน</t>
  </si>
  <si>
    <t>สำรวจออกแบบ
พัฒนาแหล่งน้ำ</t>
  </si>
  <si>
    <t>สำรวจออกแบบระบบโครงข่ายถนน</t>
  </si>
  <si>
    <t>กม.</t>
  </si>
  <si>
    <t>โครงการตรวจสอบที่ดิน - งบประมาณ</t>
  </si>
  <si>
    <t>ตรวจสอบการถือครอง (กรณีแผนงานปกติ)</t>
  </si>
  <si>
    <t>ตรวจสอบการถือครอง (กรณีแผนงานผิดปกติ)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</si>
  <si>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</si>
  <si>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</si>
  <si>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</si>
  <si>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</si>
  <si>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</si>
  <si>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</si>
  <si>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</si>
  <si>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</si>
  <si>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</si>
  <si>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</si>
  <si>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</si>
  <si>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</si>
  <si>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</si>
  <si>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</si>
  <si>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</si>
  <si>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</si>
  <si>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</si>
  <si>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</si>
  <si>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</si>
  <si>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</si>
  <si>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</si>
  <si>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</si>
  <si>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</si>
  <si>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</si>
  <si>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</si>
  <si>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</si>
  <si>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</si>
  <si>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ใช้ที่ดินปกติ</t>
  </si>
  <si>
    <t>ใช้ที่ดินผิดปกติ (จัดส่งข้อมูลให้ ส.ป.ก. จังหวัดตรวจสอบ)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</si>
  <si>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</si>
  <si>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ใช้ที่ดินตามวัตถุประสงค์</t>
  </si>
  <si>
    <t>ใช้ที่ผิดวัตถุประสงค์</t>
  </si>
  <si>
    <t>อื่น ๆ</t>
  </si>
  <si>
    <t>กิจกรรมยกระดับรายได้เกษตรกรในเขตปฏิรูปที่ดินเพื่อลดความเหลื่อมล้ำ - งบประมาณ</t>
  </si>
  <si>
    <t>กิจกรรมยกระดับรายได้เกษตรกรในเขตปฏิรูปที่ดินเพื่อลดความเหลื่อมล้ำ - ผลงาน</t>
  </si>
  <si>
    <t>จัดฝึกอบรมเกษตรกรตามหลักสูตร</t>
  </si>
  <si>
    <t>รวมผลงานฝึกอบรม</t>
  </si>
  <si>
    <t>หลักสูตร จัดทำ และสรุปทบทวนแผนชุมชน</t>
  </si>
  <si>
    <t>หลักสูตร ส่งเสริมพัฒนาอาชีพและการตลาด</t>
  </si>
  <si>
    <t>หลักสูตร การพัฒนาสถาบันเกษตรกรในพื้นที่ คทช.</t>
  </si>
  <si>
    <t>หลักสูตร ศึกษาดูงานเพื่อพัฒนาศักยภาพคณะกรรมการและสมาชิกฯ</t>
  </si>
  <si>
    <t>หลักสูตร พัฒนาผู้นำเกษตรกร และเชื่อมโยงภาคีเครือข่าย (สพท.)</t>
  </si>
  <si>
    <t>กิจกรรมขุดสระน้ำพร้อมระบบส่งน้ำ - งบประมาณ</t>
  </si>
  <si>
    <t>ขุดสระน้ำพร้อมระบบส่งน้ำ</t>
  </si>
  <si>
    <t>กิจกรรมขุดสระเก็บน้ำสาธารณะ - งบประมาณ</t>
  </si>
  <si>
    <t>ขุดสระเก็บน้ำสาธารณะ</t>
  </si>
  <si>
    <t>กิจกรรมพัฒนาแหล่งน้ำและระบบกระจายน้ำ - งบประมาณ</t>
  </si>
  <si>
    <t>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</si>
  <si>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 - งบประมาณ</t>
  </si>
  <si>
    <t>ก่อสร้างฝาย</t>
  </si>
  <si>
    <t>กิจกรรมส่งเสริมและขยายพันธุ์พืชในเขตปฏิรูปที่ดิน - งบประมาณ</t>
  </si>
  <si>
    <t>กิจกรรมส่งเสริมและขยายพันธุ์พืชในเขตปฏิรูปที่ดิน - ผลงาน</t>
  </si>
  <si>
    <t>สนับสนุนกล้าไม้</t>
  </si>
  <si>
    <t>ผู้สนใจศึกษาดูงาน</t>
  </si>
  <si>
    <t>ศูนย์ส่งเสริมและขยายพันธุ์ฯ 
จ.อยุธยา</t>
  </si>
  <si>
    <t>ศูนย์ส่งเสริมและขยายพันธุ์ฯ 
จ.ฉะเชิงเทรา</t>
  </si>
  <si>
    <t>โครงการบริหารจัดการที่ดินเอกชน -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</si>
  <si>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</si>
  <si>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</si>
  <si>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</si>
  <si>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</si>
  <si>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</si>
  <si>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</si>
  <si>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</si>
  <si>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</si>
  <si>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</si>
  <si>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</si>
  <si>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</si>
  <si>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</si>
  <si>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</si>
  <si>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โครงการบริหารจัดการที่ดินเอกชน - จัดที่ดินเอกชน 7 กิจกรรม - งบประมาณ</t>
  </si>
  <si>
    <t>โครงการบริหารจัดการที่ดินเอกชน - จัดที่ดินเอกชน 7 กิจกรรม - ผลงาน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</si>
  <si>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</si>
  <si>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</si>
  <si>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</si>
  <si>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</si>
  <si>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</si>
  <si>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</si>
  <si>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</si>
  <si>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</si>
  <si>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</si>
  <si>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</si>
  <si>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</si>
  <si>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</si>
  <si>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</si>
  <si>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</si>
  <si>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</si>
  <si>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</si>
  <si>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โครงการจัดที่ดินชุมชน - งบประมาณ</t>
  </si>
  <si>
    <t>โครงการจัดที่ดินชุมชน - ผลงาน</t>
  </si>
  <si>
    <t>วงรอบชุมชนใหม่
(แปลงว่าง) *</t>
  </si>
  <si>
    <t>คปจ.</t>
  </si>
  <si>
    <t>จัดทำสัญญาเข้าทำประโยชน์ (ส.ป.ก. 4-118)
(กิจการสนับสนุนฯ)</t>
  </si>
  <si>
    <t>หนังสืออนุญาตเข้าทำประโยชน์ (ส.ป.ก. 4-31)
(กิจการสาธารณูปโภค)</t>
  </si>
  <si>
    <t>กิจการสนับสนุน</t>
  </si>
  <si>
    <t>กิจการสาธารณูปโภค</t>
  </si>
  <si>
    <t>ชุมชน</t>
  </si>
  <si>
    <t>ร้อยละ (ราย)</t>
  </si>
  <si>
    <t>โครงการตรวจสอบมาตรฐานการสำรวจรังวัดและจัดทำระวางแผนที่ตามระเบียบ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</si>
  <si>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</si>
  <si>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</si>
  <si>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โครงการส่งเสริมเกษตรอินทรีย์ในเขตปฏิรูปที่ดิน - งบประมาณ</t>
  </si>
  <si>
    <t>โครงการส่งเสริมเกษตรอินทรีย์ในเขตปฏิรูปที่ดิน - ผลงาน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</si>
  <si>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</si>
  <si>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
(โดย ส.ป.ก.จังหวัด)</t>
  </si>
  <si>
    <t>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</si>
  <si>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 - งบประมาณ</t>
  </si>
  <si>
    <t>โครงการส่งเสริมระบบวนเกษตรในเขตปฏิรูปที่ดิน - ผลงาน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</si>
  <si>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</si>
  <si>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</si>
  <si>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</si>
  <si>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</si>
  <si>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</si>
  <si>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</si>
  <si>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สนับสนุนปัจจัยการผลิต ขั้นที่ 3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</si>
  <si>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</si>
  <si>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theme="1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</si>
  <si>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theme="1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</si>
  <si>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theme="1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</si>
  <si>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theme="1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</si>
  <si>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theme="1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</si>
  <si>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theme="1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</si>
  <si>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theme="1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</si>
  <si>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theme="1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</si>
  <si>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theme="1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</si>
  <si>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theme="1"/>
        <rFont val="Arial"/>
      </rPr>
      <t>รทั้งหม</t>
    </r>
    <r>
      <rPr>
        <b/>
        <sz val="14"/>
        <color theme="1"/>
        <rFont val="Arial"/>
      </rPr>
      <t>ด)</t>
    </r>
  </si>
  <si>
    <t>ครูต้นแบบวนเกษตรในเขตปฏิรูปที่ดิน</t>
  </si>
  <si>
    <t>โครงการก่อสร้างลานตากผลผลิตทางการเกษตรและอาคารรวบรวมผลผลิตทางการเกษตร</t>
  </si>
  <si>
    <t>ลานตากผลผลิตทางการเกษตร</t>
  </si>
  <si>
    <t>อาคารรวบรวมผลผลิตทางการเกษตร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</si>
</sst>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_-;\-* #,##0_-;_-* &quot;-&quot;_-;_-@"/>
    <numFmt numFmtId="165" formatCode="_-* #,##0.00_-;\-* #,##0.00_-;_-* &quot;-&quot;??_-;_-@"/>
    <numFmt numFmtId="166" formatCode="_-* #,##0_-;\-* #,##0_-;_-* &quot;-&quot;??_-;_-@"/>
    <numFmt numFmtId="167" formatCode="_-* #,##0.00_-;\-* #,##0.00_-;_-* &quot;-&quot;_-;_-@"/>
    <numFmt numFmtId="168" formatCode="_-* #,##0.0000_-;\-* #,##0.0000_-;_-* &quot;-&quot;??.00_-;_-@"/>
  </numFmts>
  <fonts count="28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5"/>
      <color rgb="FFFFFFFF"/>
      <name val="Arial"/>
      <scheme val="minor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b/>
      <sz val="15"/>
      <color theme="1"/>
      <name val="Arial"/>
    </font>
    <font>
      <b/>
      <sz val="14"/>
      <color theme="1"/>
      <name val="Tahoma"/>
    </font>
    <font>
      <sz val="10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FFFFFF"/>
      <name val="Arial"/>
    </font>
    <font>
      <sz val="15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b/>
      <sz val="17"/>
      <color rgb="FFFFFFFF"/>
      <name val="Arial"/>
    </font>
    <font>
      <b/>
      <sz val="17"/>
      <color theme="1"/>
      <name val="Arial"/>
    </font>
    <font>
      <b/>
      <sz val="10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4"/>
      <color rgb="FF000000"/>
      <name val="Arial"/>
    </font>
    <font>
      <b/>
      <sz val="13"/>
      <color rgb="FF000000"/>
      <name val="Arial"/>
    </font>
    <font>
      <b/>
      <sz val="14"/>
      <color rgb="FFFFFFFF"/>
      <name val="Arial"/>
    </font>
    <font>
      <sz val="11"/>
      <color theme="1"/>
      <name val="Arial"/>
    </font>
    <font>
      <sz val="15"/>
      <color theme="1"/>
      <name val="Arial"/>
      <scheme val="minor"/>
    </font>
    <font>
      <sz val="10"/>
      <color theme="1"/>
      <name val="Arial"/>
      <scheme val="minor"/>
    </font>
    <font>
      <b/>
      <sz val="15"/>
      <color rgb="FFFF0000"/>
      <name val="Arial"/>
    </font>
  </fonts>
  <fills count="4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FCBCEB"/>
        <bgColor rgb="FFFCBCEB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999999"/>
        <bgColor rgb="FF999999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46BDC6"/>
        <bgColor rgb="FF46BDC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9CB9C"/>
        <bgColor rgb="FFF9CB9C"/>
      </patternFill>
    </fill>
    <fill>
      <patternFill patternType="solid">
        <fgColor rgb="FF87D7AD"/>
        <bgColor rgb="FF87D7AD"/>
      </patternFill>
    </fill>
    <fill>
      <patternFill patternType="solid">
        <fgColor rgb="FFEAD1DC"/>
        <bgColor rgb="FFEAD1DC"/>
      </patternFill>
    </fill>
    <fill>
      <patternFill patternType="solid">
        <fgColor rgb="FFEA9999"/>
        <bgColor rgb="FFEA9999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D5A6BD"/>
        <bgColor rgb="FFD5A6BD"/>
      </patternFill>
    </fill>
    <fill>
      <patternFill patternType="solid">
        <fgColor rgb="FFB45F06"/>
        <bgColor rgb="FFB45F06"/>
      </patternFill>
    </fill>
    <fill>
      <patternFill patternType="solid">
        <fgColor rgb="FFE69138"/>
        <bgColor rgb="FFE69138"/>
      </patternFill>
    </fill>
    <fill>
      <patternFill patternType="solid">
        <fgColor rgb="FFF6B26B"/>
        <bgColor rgb="FFF6B26B"/>
      </patternFill>
    </fill>
    <fill>
      <patternFill patternType="solid">
        <fgColor rgb="FFFCE5CD"/>
        <bgColor rgb="FFFCE5CD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E06666"/>
        <bgColor rgb="FFE06666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CFE2F3"/>
        <bgColor rgb="FFCFE2F3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4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/>
    <xf numFmtId="164" fontId="1" fillId="0" borderId="0" xfId="0" applyNumberFormat="1" applyFont="1"/>
    <xf numFmtId="165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166" fontId="1" fillId="3" borderId="4" xfId="0" applyNumberFormat="1" applyFont="1" applyFill="1" applyBorder="1" applyAlignment="1">
      <alignment horizontal="center" vertical="center" shrinkToFit="1"/>
    </xf>
    <xf numFmtId="164" fontId="1" fillId="16" borderId="14" xfId="0" applyNumberFormat="1" applyFont="1" applyFill="1" applyBorder="1" applyAlignment="1">
      <alignment horizontal="center" vertical="center" wrapText="1"/>
    </xf>
    <xf numFmtId="164" fontId="1" fillId="15" borderId="14" xfId="0" applyNumberFormat="1" applyFont="1" applyFill="1" applyBorder="1" applyAlignment="1">
      <alignment horizontal="center" vertical="center" shrinkToFit="1"/>
    </xf>
    <xf numFmtId="165" fontId="1" fillId="15" borderId="14" xfId="0" applyNumberFormat="1" applyFont="1" applyFill="1" applyBorder="1" applyAlignment="1">
      <alignment horizontal="center" vertical="center" shrinkToFit="1"/>
    </xf>
    <xf numFmtId="165" fontId="5" fillId="15" borderId="14" xfId="0" applyNumberFormat="1" applyFont="1" applyFill="1" applyBorder="1" applyAlignment="1">
      <alignment horizontal="center" vertical="center" shrinkToFit="1"/>
    </xf>
    <xf numFmtId="166" fontId="1" fillId="15" borderId="14" xfId="0" applyNumberFormat="1" applyFont="1" applyFill="1" applyBorder="1" applyAlignment="1">
      <alignment horizontal="center" vertical="center" shrinkToFit="1"/>
    </xf>
    <xf numFmtId="164" fontId="1" fillId="16" borderId="14" xfId="0" applyNumberFormat="1" applyFont="1" applyFill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 wrapText="1"/>
    </xf>
    <xf numFmtId="164" fontId="1" fillId="2" borderId="14" xfId="0" applyNumberFormat="1" applyFont="1" applyFill="1" applyBorder="1" applyAlignment="1">
      <alignment horizontal="center" vertical="center" wrapText="1"/>
    </xf>
    <xf numFmtId="164" fontId="1" fillId="11" borderId="14" xfId="0" applyNumberFormat="1" applyFont="1" applyFill="1" applyBorder="1" applyAlignment="1">
      <alignment horizontal="center" vertical="center" shrinkToFit="1"/>
    </xf>
    <xf numFmtId="164" fontId="1" fillId="7" borderId="14" xfId="0" applyNumberFormat="1" applyFont="1" applyFill="1" applyBorder="1" applyAlignment="1">
      <alignment horizontal="center" vertical="center" shrinkToFit="1"/>
    </xf>
    <xf numFmtId="164" fontId="1" fillId="12" borderId="14" xfId="0" applyNumberFormat="1" applyFont="1" applyFill="1" applyBorder="1" applyAlignment="1">
      <alignment horizontal="center" vertical="center" shrinkToFit="1"/>
    </xf>
    <xf numFmtId="164" fontId="1" fillId="13" borderId="14" xfId="0" applyNumberFormat="1" applyFont="1" applyFill="1" applyBorder="1" applyAlignment="1">
      <alignment horizontal="center" vertical="center" shrinkToFit="1"/>
    </xf>
    <xf numFmtId="164" fontId="1" fillId="17" borderId="14" xfId="0" applyNumberFormat="1" applyFont="1" applyFill="1" applyBorder="1" applyAlignment="1">
      <alignment horizontal="center" vertical="center" shrinkToFit="1"/>
    </xf>
    <xf numFmtId="164" fontId="1" fillId="8" borderId="14" xfId="0" applyNumberFormat="1" applyFont="1" applyFill="1" applyBorder="1" applyAlignment="1">
      <alignment horizontal="center" vertical="center" shrinkToFit="1"/>
    </xf>
    <xf numFmtId="164" fontId="1" fillId="18" borderId="14" xfId="0" applyNumberFormat="1" applyFont="1" applyFill="1" applyBorder="1" applyAlignment="1">
      <alignment horizontal="center" vertical="center" shrinkToFit="1"/>
    </xf>
    <xf numFmtId="167" fontId="1" fillId="18" borderId="14" xfId="0" applyNumberFormat="1" applyFont="1" applyFill="1" applyBorder="1" applyAlignment="1">
      <alignment horizontal="center" vertical="center" shrinkToFit="1"/>
    </xf>
    <xf numFmtId="165" fontId="1" fillId="18" borderId="14" xfId="0" applyNumberFormat="1" applyFont="1" applyFill="1" applyBorder="1" applyAlignment="1">
      <alignment horizontal="right" vertical="center" shrinkToFit="1"/>
    </xf>
    <xf numFmtId="166" fontId="1" fillId="18" borderId="14" xfId="0" applyNumberFormat="1" applyFont="1" applyFill="1" applyBorder="1" applyAlignment="1">
      <alignment horizontal="right" vertical="center" shrinkToFit="1"/>
    </xf>
    <xf numFmtId="166" fontId="6" fillId="18" borderId="14" xfId="0" applyNumberFormat="1" applyFont="1" applyFill="1" applyBorder="1" applyAlignment="1">
      <alignment horizontal="right"/>
    </xf>
    <xf numFmtId="165" fontId="6" fillId="18" borderId="14" xfId="0" applyNumberFormat="1" applyFont="1" applyFill="1" applyBorder="1" applyAlignment="1">
      <alignment horizontal="right"/>
    </xf>
    <xf numFmtId="164" fontId="1" fillId="16" borderId="14" xfId="0" applyNumberFormat="1" applyFont="1" applyFill="1" applyBorder="1" applyAlignment="1">
      <alignment horizontal="center" vertical="center" shrinkToFit="1"/>
    </xf>
    <xf numFmtId="164" fontId="1" fillId="2" borderId="14" xfId="0" applyNumberFormat="1" applyFont="1" applyFill="1" applyBorder="1" applyAlignment="1">
      <alignment horizontal="center" vertical="center" shrinkToFit="1"/>
    </xf>
    <xf numFmtId="165" fontId="1" fillId="2" borderId="14" xfId="0" applyNumberFormat="1" applyFont="1" applyFill="1" applyBorder="1" applyAlignment="1">
      <alignment horizontal="right" vertical="center" shrinkToFit="1"/>
    </xf>
    <xf numFmtId="0" fontId="1" fillId="9" borderId="14" xfId="0" applyFont="1" applyFill="1" applyBorder="1" applyAlignment="1">
      <alignment horizontal="left" vertical="center"/>
    </xf>
    <xf numFmtId="164" fontId="1" fillId="9" borderId="14" xfId="0" applyNumberFormat="1" applyFont="1" applyFill="1" applyBorder="1" applyAlignment="1">
      <alignment vertical="center" shrinkToFit="1"/>
    </xf>
    <xf numFmtId="167" fontId="1" fillId="9" borderId="14" xfId="0" applyNumberFormat="1" applyFont="1" applyFill="1" applyBorder="1" applyAlignment="1">
      <alignment vertical="center" shrinkToFit="1"/>
    </xf>
    <xf numFmtId="165" fontId="1" fillId="9" borderId="14" xfId="0" applyNumberFormat="1" applyFont="1" applyFill="1" applyBorder="1" applyAlignment="1">
      <alignment horizontal="right" vertical="center" shrinkToFit="1"/>
    </xf>
    <xf numFmtId="166" fontId="1" fillId="9" borderId="14" xfId="0" applyNumberFormat="1" applyFont="1" applyFill="1" applyBorder="1" applyAlignment="1">
      <alignment horizontal="right" vertical="center" shrinkToFit="1"/>
    </xf>
    <xf numFmtId="166" fontId="6" fillId="9" borderId="14" xfId="0" applyNumberFormat="1" applyFont="1" applyFill="1" applyBorder="1" applyAlignment="1">
      <alignment horizontal="right"/>
    </xf>
    <xf numFmtId="165" fontId="6" fillId="9" borderId="14" xfId="0" applyNumberFormat="1" applyFont="1" applyFill="1" applyBorder="1" applyAlignment="1">
      <alignment horizontal="right"/>
    </xf>
    <xf numFmtId="0" fontId="1" fillId="19" borderId="14" xfId="0" applyFont="1" applyFill="1" applyBorder="1" applyAlignment="1">
      <alignment horizontal="left" vertical="center"/>
    </xf>
    <xf numFmtId="164" fontId="1" fillId="19" borderId="14" xfId="0" applyNumberFormat="1" applyFont="1" applyFill="1" applyBorder="1" applyAlignment="1">
      <alignment vertical="center" shrinkToFit="1"/>
    </xf>
    <xf numFmtId="167" fontId="1" fillId="19" borderId="14" xfId="0" applyNumberFormat="1" applyFont="1" applyFill="1" applyBorder="1" applyAlignment="1">
      <alignment vertical="center" shrinkToFit="1"/>
    </xf>
    <xf numFmtId="165" fontId="1" fillId="19" borderId="14" xfId="0" applyNumberFormat="1" applyFont="1" applyFill="1" applyBorder="1" applyAlignment="1">
      <alignment horizontal="right" vertical="center" shrinkToFit="1"/>
    </xf>
    <xf numFmtId="166" fontId="1" fillId="19" borderId="14" xfId="0" applyNumberFormat="1" applyFont="1" applyFill="1" applyBorder="1" applyAlignment="1">
      <alignment horizontal="right" vertical="center" shrinkToFit="1"/>
    </xf>
    <xf numFmtId="166" fontId="6" fillId="19" borderId="14" xfId="0" applyNumberFormat="1" applyFont="1" applyFill="1" applyBorder="1" applyAlignment="1">
      <alignment horizontal="right"/>
    </xf>
    <xf numFmtId="165" fontId="6" fillId="19" borderId="14" xfId="0" applyNumberFormat="1" applyFont="1" applyFill="1" applyBorder="1" applyAlignment="1">
      <alignment horizontal="right"/>
    </xf>
    <xf numFmtId="0" fontId="1" fillId="20" borderId="14" xfId="0" applyFont="1" applyFill="1" applyBorder="1" applyAlignment="1">
      <alignment horizontal="left" vertical="center"/>
    </xf>
    <xf numFmtId="164" fontId="1" fillId="20" borderId="14" xfId="0" applyNumberFormat="1" applyFont="1" applyFill="1" applyBorder="1" applyAlignment="1">
      <alignment vertical="center" shrinkToFit="1"/>
    </xf>
    <xf numFmtId="167" fontId="1" fillId="20" borderId="14" xfId="0" applyNumberFormat="1" applyFont="1" applyFill="1" applyBorder="1" applyAlignment="1">
      <alignment vertical="center" shrinkToFit="1"/>
    </xf>
    <xf numFmtId="165" fontId="1" fillId="20" borderId="14" xfId="0" applyNumberFormat="1" applyFont="1" applyFill="1" applyBorder="1" applyAlignment="1">
      <alignment horizontal="right" vertical="center" shrinkToFit="1"/>
    </xf>
    <xf numFmtId="166" fontId="1" fillId="20" borderId="14" xfId="0" applyNumberFormat="1" applyFont="1" applyFill="1" applyBorder="1" applyAlignment="1">
      <alignment horizontal="right" vertical="center" shrinkToFit="1"/>
    </xf>
    <xf numFmtId="166" fontId="6" fillId="20" borderId="14" xfId="0" applyNumberFormat="1" applyFont="1" applyFill="1" applyBorder="1" applyAlignment="1">
      <alignment horizontal="right"/>
    </xf>
    <xf numFmtId="165" fontId="6" fillId="20" borderId="14" xfId="0" applyNumberFormat="1" applyFont="1" applyFill="1" applyBorder="1" applyAlignment="1">
      <alignment horizontal="right"/>
    </xf>
    <xf numFmtId="164" fontId="1" fillId="21" borderId="14" xfId="0" applyNumberFormat="1" applyFont="1" applyFill="1" applyBorder="1" applyAlignment="1">
      <alignment vertical="center" shrinkToFit="1"/>
    </xf>
    <xf numFmtId="167" fontId="1" fillId="21" borderId="14" xfId="0" applyNumberFormat="1" applyFont="1" applyFill="1" applyBorder="1" applyAlignment="1">
      <alignment vertical="center" shrinkToFit="1"/>
    </xf>
    <xf numFmtId="165" fontId="1" fillId="21" borderId="14" xfId="0" applyNumberFormat="1" applyFont="1" applyFill="1" applyBorder="1" applyAlignment="1">
      <alignment horizontal="right" vertical="center" shrinkToFit="1"/>
    </xf>
    <xf numFmtId="166" fontId="1" fillId="21" borderId="14" xfId="0" applyNumberFormat="1" applyFont="1" applyFill="1" applyBorder="1" applyAlignment="1">
      <alignment horizontal="right" vertical="center" shrinkToFit="1"/>
    </xf>
    <xf numFmtId="166" fontId="6" fillId="21" borderId="14" xfId="0" applyNumberFormat="1" applyFont="1" applyFill="1" applyBorder="1" applyAlignment="1">
      <alignment horizontal="right"/>
    </xf>
    <xf numFmtId="165" fontId="6" fillId="21" borderId="14" xfId="0" applyNumberFormat="1" applyFont="1" applyFill="1" applyBorder="1" applyAlignment="1">
      <alignment horizontal="right"/>
    </xf>
    <xf numFmtId="0" fontId="1" fillId="0" borderId="16" xfId="0" applyFont="1" applyBorder="1" applyAlignment="1">
      <alignment horizontal="center" vertical="center" shrinkToFit="1"/>
    </xf>
    <xf numFmtId="0" fontId="1" fillId="0" borderId="16" xfId="0" applyFont="1" applyBorder="1" applyAlignment="1">
      <alignment horizontal="left" vertical="center" shrinkToFit="1"/>
    </xf>
    <xf numFmtId="164" fontId="1" fillId="11" borderId="17" xfId="0" applyNumberFormat="1" applyFont="1" applyFill="1" applyBorder="1" applyAlignment="1">
      <alignment vertical="center" shrinkToFit="1"/>
    </xf>
    <xf numFmtId="164" fontId="1" fillId="7" borderId="16" xfId="0" applyNumberFormat="1" applyFont="1" applyFill="1" applyBorder="1" applyAlignment="1">
      <alignment vertical="center" shrinkToFit="1"/>
    </xf>
    <xf numFmtId="164" fontId="1" fillId="0" borderId="16" xfId="0" applyNumberFormat="1" applyFont="1" applyBorder="1" applyAlignment="1">
      <alignment vertical="center" shrinkToFit="1"/>
    </xf>
    <xf numFmtId="164" fontId="1" fillId="15" borderId="16" xfId="0" applyNumberFormat="1" applyFont="1" applyFill="1" applyBorder="1" applyAlignment="1">
      <alignment vertical="center" shrinkToFit="1"/>
    </xf>
    <xf numFmtId="167" fontId="1" fillId="15" borderId="16" xfId="0" applyNumberFormat="1" applyFont="1" applyFill="1" applyBorder="1" applyAlignment="1">
      <alignment vertical="center" shrinkToFit="1"/>
    </xf>
    <xf numFmtId="165" fontId="1" fillId="0" borderId="16" xfId="0" applyNumberFormat="1" applyFont="1" applyBorder="1" applyAlignment="1">
      <alignment horizontal="right" vertical="center" shrinkToFit="1"/>
    </xf>
    <xf numFmtId="166" fontId="1" fillId="0" borderId="16" xfId="0" applyNumberFormat="1" applyFont="1" applyBorder="1" applyAlignment="1">
      <alignment horizontal="right" vertical="center" shrinkToFit="1"/>
    </xf>
    <xf numFmtId="166" fontId="6" fillId="0" borderId="18" xfId="0" applyNumberFormat="1" applyFont="1" applyBorder="1" applyAlignment="1">
      <alignment horizontal="right"/>
    </xf>
    <xf numFmtId="165" fontId="6" fillId="0" borderId="18" xfId="0" applyNumberFormat="1" applyFont="1" applyBorder="1" applyAlignment="1">
      <alignment horizontal="right"/>
    </xf>
    <xf numFmtId="165" fontId="1" fillId="15" borderId="16" xfId="0" applyNumberFormat="1" applyFont="1" applyFill="1" applyBorder="1" applyAlignment="1">
      <alignment horizontal="right" vertical="center" shrinkToFit="1"/>
    </xf>
    <xf numFmtId="0" fontId="1" fillId="0" borderId="19" xfId="0" applyFont="1" applyBorder="1" applyAlignment="1">
      <alignment horizontal="center" vertical="center" shrinkToFit="1"/>
    </xf>
    <xf numFmtId="0" fontId="1" fillId="0" borderId="19" xfId="0" applyFont="1" applyBorder="1" applyAlignment="1">
      <alignment horizontal="left" vertical="center" shrinkToFit="1"/>
    </xf>
    <xf numFmtId="164" fontId="1" fillId="11" borderId="20" xfId="0" applyNumberFormat="1" applyFont="1" applyFill="1" applyBorder="1" applyAlignment="1">
      <alignment vertical="center" shrinkToFit="1"/>
    </xf>
    <xf numFmtId="164" fontId="1" fillId="7" borderId="19" xfId="0" applyNumberFormat="1" applyFont="1" applyFill="1" applyBorder="1" applyAlignment="1">
      <alignment vertical="center" shrinkToFit="1"/>
    </xf>
    <xf numFmtId="164" fontId="1" fillId="0" borderId="19" xfId="0" applyNumberFormat="1" applyFont="1" applyBorder="1" applyAlignment="1">
      <alignment vertical="center" shrinkToFit="1"/>
    </xf>
    <xf numFmtId="167" fontId="1" fillId="0" borderId="19" xfId="0" applyNumberFormat="1" applyFont="1" applyBorder="1" applyAlignment="1">
      <alignment vertical="center" shrinkToFit="1"/>
    </xf>
    <xf numFmtId="165" fontId="1" fillId="0" borderId="19" xfId="0" applyNumberFormat="1" applyFont="1" applyBorder="1" applyAlignment="1">
      <alignment horizontal="right" vertical="center" shrinkToFit="1"/>
    </xf>
    <xf numFmtId="166" fontId="1" fillId="0" borderId="19" xfId="0" applyNumberFormat="1" applyFont="1" applyBorder="1" applyAlignment="1">
      <alignment horizontal="right" vertical="center" shrinkToFit="1"/>
    </xf>
    <xf numFmtId="164" fontId="1" fillId="15" borderId="19" xfId="0" applyNumberFormat="1" applyFont="1" applyFill="1" applyBorder="1" applyAlignment="1">
      <alignment vertical="center" shrinkToFit="1"/>
    </xf>
    <xf numFmtId="165" fontId="1" fillId="15" borderId="19" xfId="0" applyNumberFormat="1" applyFont="1" applyFill="1" applyBorder="1" applyAlignment="1">
      <alignment horizontal="right" vertical="center" shrinkToFit="1"/>
    </xf>
    <xf numFmtId="0" fontId="1" fillId="0" borderId="21" xfId="0" applyFont="1" applyBorder="1" applyAlignment="1">
      <alignment horizontal="center" vertical="center" shrinkToFit="1"/>
    </xf>
    <xf numFmtId="0" fontId="1" fillId="0" borderId="21" xfId="0" applyFont="1" applyBorder="1" applyAlignment="1">
      <alignment horizontal="left" vertical="center" shrinkToFit="1"/>
    </xf>
    <xf numFmtId="164" fontId="1" fillId="11" borderId="22" xfId="0" applyNumberFormat="1" applyFont="1" applyFill="1" applyBorder="1" applyAlignment="1">
      <alignment vertical="center" shrinkToFit="1"/>
    </xf>
    <xf numFmtId="164" fontId="1" fillId="7" borderId="21" xfId="0" applyNumberFormat="1" applyFont="1" applyFill="1" applyBorder="1" applyAlignment="1">
      <alignment vertical="center" shrinkToFit="1"/>
    </xf>
    <xf numFmtId="164" fontId="1" fillId="0" borderId="21" xfId="0" applyNumberFormat="1" applyFont="1" applyBorder="1" applyAlignment="1">
      <alignment vertical="center" shrinkToFit="1"/>
    </xf>
    <xf numFmtId="167" fontId="1" fillId="0" borderId="21" xfId="0" applyNumberFormat="1" applyFont="1" applyBorder="1" applyAlignment="1">
      <alignment vertical="center" shrinkToFit="1"/>
    </xf>
    <xf numFmtId="165" fontId="1" fillId="0" borderId="21" xfId="0" applyNumberFormat="1" applyFont="1" applyBorder="1" applyAlignment="1">
      <alignment horizontal="right" vertical="center" shrinkToFit="1"/>
    </xf>
    <xf numFmtId="166" fontId="1" fillId="0" borderId="21" xfId="0" applyNumberFormat="1" applyFont="1" applyBorder="1" applyAlignment="1">
      <alignment horizontal="right" vertical="center" shrinkToFit="1"/>
    </xf>
    <xf numFmtId="166" fontId="6" fillId="0" borderId="12" xfId="0" applyNumberFormat="1" applyFont="1" applyBorder="1" applyAlignment="1">
      <alignment horizontal="right"/>
    </xf>
    <xf numFmtId="165" fontId="6" fillId="0" borderId="12" xfId="0" applyNumberFormat="1" applyFont="1" applyBorder="1" applyAlignment="1">
      <alignment horizontal="right"/>
    </xf>
    <xf numFmtId="164" fontId="1" fillId="15" borderId="21" xfId="0" applyNumberFormat="1" applyFont="1" applyFill="1" applyBorder="1" applyAlignment="1">
      <alignment vertical="center" shrinkToFit="1"/>
    </xf>
    <xf numFmtId="165" fontId="1" fillId="15" borderId="21" xfId="0" applyNumberFormat="1" applyFont="1" applyFill="1" applyBorder="1" applyAlignment="1">
      <alignment horizontal="right" vertical="center" shrinkToFit="1"/>
    </xf>
    <xf numFmtId="164" fontId="1" fillId="21" borderId="11" xfId="0" applyNumberFormat="1" applyFont="1" applyFill="1" applyBorder="1" applyAlignment="1">
      <alignment vertical="center" shrinkToFit="1"/>
    </xf>
    <xf numFmtId="166" fontId="6" fillId="21" borderId="12" xfId="0" applyNumberFormat="1" applyFont="1" applyFill="1" applyBorder="1" applyAlignment="1">
      <alignment horizontal="right"/>
    </xf>
    <xf numFmtId="165" fontId="6" fillId="21" borderId="12" xfId="0" applyNumberFormat="1" applyFont="1" applyFill="1" applyBorder="1" applyAlignment="1">
      <alignment horizontal="right"/>
    </xf>
    <xf numFmtId="164" fontId="1" fillId="11" borderId="25" xfId="0" applyNumberFormat="1" applyFont="1" applyFill="1" applyBorder="1" applyAlignment="1">
      <alignment vertical="center" shrinkToFit="1"/>
    </xf>
    <xf numFmtId="166" fontId="6" fillId="0" borderId="7" xfId="0" applyNumberFormat="1" applyFont="1" applyBorder="1" applyAlignment="1">
      <alignment horizontal="right"/>
    </xf>
    <xf numFmtId="165" fontId="6" fillId="0" borderId="7" xfId="0" applyNumberFormat="1" applyFont="1" applyBorder="1" applyAlignment="1">
      <alignment horizontal="right"/>
    </xf>
    <xf numFmtId="164" fontId="1" fillId="21" borderId="4" xfId="0" applyNumberFormat="1" applyFont="1" applyFill="1" applyBorder="1" applyAlignment="1">
      <alignment vertical="center" shrinkToFit="1"/>
    </xf>
    <xf numFmtId="165" fontId="1" fillId="21" borderId="19" xfId="0" applyNumberFormat="1" applyFont="1" applyFill="1" applyBorder="1" applyAlignment="1">
      <alignment horizontal="right" vertical="center" shrinkToFit="1"/>
    </xf>
    <xf numFmtId="164" fontId="1" fillId="0" borderId="26" xfId="0" applyNumberFormat="1" applyFont="1" applyBorder="1" applyAlignment="1">
      <alignment vertical="center" shrinkToFit="1"/>
    </xf>
    <xf numFmtId="167" fontId="1" fillId="0" borderId="26" xfId="0" applyNumberFormat="1" applyFont="1" applyBorder="1" applyAlignment="1">
      <alignment vertical="center" shrinkToFit="1"/>
    </xf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/>
    <xf numFmtId="167" fontId="1" fillId="0" borderId="16" xfId="0" applyNumberFormat="1" applyFont="1" applyBorder="1" applyAlignment="1">
      <alignment vertical="center" shrinkToFit="1"/>
    </xf>
    <xf numFmtId="0" fontId="1" fillId="0" borderId="19" xfId="0" applyFont="1" applyBorder="1" applyAlignment="1">
      <alignment horizontal="center" vertical="center"/>
    </xf>
    <xf numFmtId="0" fontId="7" fillId="0" borderId="19" xfId="0" applyFont="1" applyBorder="1"/>
    <xf numFmtId="166" fontId="1" fillId="0" borderId="27" xfId="0" applyNumberFormat="1" applyFont="1" applyBorder="1" applyAlignment="1">
      <alignment horizontal="right" vertical="center" shrinkToFit="1"/>
    </xf>
    <xf numFmtId="165" fontId="1" fillId="0" borderId="27" xfId="0" applyNumberFormat="1" applyFont="1" applyBorder="1" applyAlignment="1">
      <alignment horizontal="right" vertical="center" shrinkToFit="1"/>
    </xf>
    <xf numFmtId="0" fontId="7" fillId="22" borderId="19" xfId="0" applyFont="1" applyFill="1" applyBorder="1"/>
    <xf numFmtId="166" fontId="1" fillId="0" borderId="26" xfId="0" applyNumberFormat="1" applyFont="1" applyBorder="1" applyAlignment="1">
      <alignment horizontal="right" vertical="center" shrinkToFit="1"/>
    </xf>
    <xf numFmtId="165" fontId="1" fillId="0" borderId="26" xfId="0" applyNumberFormat="1" applyFont="1" applyBorder="1" applyAlignment="1">
      <alignment horizontal="right" vertical="center" shrinkToFit="1"/>
    </xf>
    <xf numFmtId="0" fontId="1" fillId="0" borderId="21" xfId="0" applyFont="1" applyBorder="1" applyAlignment="1">
      <alignment horizontal="center" vertical="center"/>
    </xf>
    <xf numFmtId="0" fontId="7" fillId="22" borderId="21" xfId="0" applyFont="1" applyFill="1" applyBorder="1"/>
    <xf numFmtId="0" fontId="8" fillId="0" borderId="11" xfId="0" applyFont="1" applyBorder="1"/>
    <xf numFmtId="164" fontId="8" fillId="0" borderId="11" xfId="0" applyNumberFormat="1" applyFont="1" applyBorder="1"/>
    <xf numFmtId="165" fontId="8" fillId="0" borderId="11" xfId="0" applyNumberFormat="1" applyFont="1" applyBorder="1"/>
    <xf numFmtId="166" fontId="8" fillId="0" borderId="11" xfId="0" applyNumberFormat="1" applyFont="1" applyBorder="1"/>
    <xf numFmtId="0" fontId="8" fillId="0" borderId="0" xfId="0" applyFont="1"/>
    <xf numFmtId="164" fontId="6" fillId="16" borderId="14" xfId="0" applyNumberFormat="1" applyFont="1" applyFill="1" applyBorder="1" applyAlignment="1">
      <alignment horizontal="center" vertical="center" wrapText="1"/>
    </xf>
    <xf numFmtId="164" fontId="6" fillId="22" borderId="14" xfId="0" applyNumberFormat="1" applyFont="1" applyFill="1" applyBorder="1" applyAlignment="1">
      <alignment horizontal="center" vertical="center"/>
    </xf>
    <xf numFmtId="165" fontId="6" fillId="22" borderId="14" xfId="0" applyNumberFormat="1" applyFont="1" applyFill="1" applyBorder="1" applyAlignment="1">
      <alignment horizontal="center" vertical="center"/>
    </xf>
    <xf numFmtId="165" fontId="10" fillId="22" borderId="14" xfId="0" applyNumberFormat="1" applyFont="1" applyFill="1" applyBorder="1" applyAlignment="1">
      <alignment horizontal="center" vertical="center"/>
    </xf>
    <xf numFmtId="166" fontId="6" fillId="22" borderId="14" xfId="0" applyNumberFormat="1" applyFont="1" applyFill="1" applyBorder="1" applyAlignment="1">
      <alignment horizontal="center" vertical="center"/>
    </xf>
    <xf numFmtId="164" fontId="6" fillId="16" borderId="14" xfId="0" applyNumberFormat="1" applyFont="1" applyFill="1" applyBorder="1" applyAlignment="1">
      <alignment horizontal="center" vertical="center"/>
    </xf>
    <xf numFmtId="164" fontId="6" fillId="2" borderId="14" xfId="0" applyNumberFormat="1" applyFont="1" applyFill="1" applyBorder="1" applyAlignment="1">
      <alignment horizontal="center" vertical="center"/>
    </xf>
    <xf numFmtId="164" fontId="6" fillId="11" borderId="14" xfId="0" applyNumberFormat="1" applyFont="1" applyFill="1" applyBorder="1" applyAlignment="1">
      <alignment horizontal="center"/>
    </xf>
    <xf numFmtId="164" fontId="6" fillId="7" borderId="14" xfId="0" applyNumberFormat="1" applyFont="1" applyFill="1" applyBorder="1" applyAlignment="1">
      <alignment horizontal="center"/>
    </xf>
    <xf numFmtId="164" fontId="6" fillId="12" borderId="14" xfId="0" applyNumberFormat="1" applyFont="1" applyFill="1" applyBorder="1" applyAlignment="1">
      <alignment horizontal="center"/>
    </xf>
    <xf numFmtId="164" fontId="6" fillId="13" borderId="14" xfId="0" applyNumberFormat="1" applyFont="1" applyFill="1" applyBorder="1" applyAlignment="1">
      <alignment horizontal="center"/>
    </xf>
    <xf numFmtId="164" fontId="6" fillId="17" borderId="14" xfId="0" applyNumberFormat="1" applyFont="1" applyFill="1" applyBorder="1" applyAlignment="1">
      <alignment horizontal="center"/>
    </xf>
    <xf numFmtId="164" fontId="6" fillId="23" borderId="14" xfId="0" applyNumberFormat="1" applyFont="1" applyFill="1" applyBorder="1" applyAlignment="1">
      <alignment horizontal="center"/>
    </xf>
    <xf numFmtId="164" fontId="6" fillId="18" borderId="14" xfId="0" applyNumberFormat="1" applyFont="1" applyFill="1" applyBorder="1" applyAlignment="1">
      <alignment horizontal="center"/>
    </xf>
    <xf numFmtId="167" fontId="6" fillId="18" borderId="14" xfId="0" applyNumberFormat="1" applyFont="1" applyFill="1" applyBorder="1" applyAlignment="1">
      <alignment horizontal="center"/>
    </xf>
    <xf numFmtId="0" fontId="6" fillId="9" borderId="14" xfId="0" applyFont="1" applyFill="1" applyBorder="1"/>
    <xf numFmtId="0" fontId="8" fillId="9" borderId="14" xfId="0" applyFont="1" applyFill="1" applyBorder="1"/>
    <xf numFmtId="164" fontId="6" fillId="9" borderId="14" xfId="0" applyNumberFormat="1" applyFont="1" applyFill="1" applyBorder="1" applyAlignment="1">
      <alignment horizontal="right"/>
    </xf>
    <xf numFmtId="167" fontId="6" fillId="9" borderId="14" xfId="0" applyNumberFormat="1" applyFont="1" applyFill="1" applyBorder="1" applyAlignment="1">
      <alignment horizontal="right"/>
    </xf>
    <xf numFmtId="0" fontId="8" fillId="19" borderId="14" xfId="0" applyFont="1" applyFill="1" applyBorder="1"/>
    <xf numFmtId="164" fontId="6" fillId="19" borderId="14" xfId="0" applyNumberFormat="1" applyFont="1" applyFill="1" applyBorder="1" applyAlignment="1">
      <alignment horizontal="right"/>
    </xf>
    <xf numFmtId="167" fontId="6" fillId="19" borderId="14" xfId="0" applyNumberFormat="1" applyFont="1" applyFill="1" applyBorder="1" applyAlignment="1">
      <alignment horizontal="right"/>
    </xf>
    <xf numFmtId="0" fontId="6" fillId="20" borderId="14" xfId="0" applyFont="1" applyFill="1" applyBorder="1"/>
    <xf numFmtId="0" fontId="8" fillId="20" borderId="14" xfId="0" applyFont="1" applyFill="1" applyBorder="1"/>
    <xf numFmtId="164" fontId="6" fillId="20" borderId="14" xfId="0" applyNumberFormat="1" applyFont="1" applyFill="1" applyBorder="1" applyAlignment="1">
      <alignment horizontal="right"/>
    </xf>
    <xf numFmtId="167" fontId="6" fillId="20" borderId="14" xfId="0" applyNumberFormat="1" applyFont="1" applyFill="1" applyBorder="1" applyAlignment="1">
      <alignment horizontal="right"/>
    </xf>
    <xf numFmtId="164" fontId="6" fillId="21" borderId="14" xfId="0" applyNumberFormat="1" applyFont="1" applyFill="1" applyBorder="1" applyAlignment="1">
      <alignment horizontal="right"/>
    </xf>
    <xf numFmtId="167" fontId="6" fillId="21" borderId="14" xfId="0" applyNumberFormat="1" applyFont="1" applyFill="1" applyBorder="1" applyAlignment="1">
      <alignment horizontal="right"/>
    </xf>
    <xf numFmtId="0" fontId="6" fillId="0" borderId="26" xfId="0" applyFont="1" applyBorder="1" applyAlignment="1">
      <alignment horizontal="center"/>
    </xf>
    <xf numFmtId="0" fontId="6" fillId="0" borderId="18" xfId="0" applyFont="1" applyBorder="1"/>
    <xf numFmtId="164" fontId="6" fillId="11" borderId="18" xfId="0" applyNumberFormat="1" applyFont="1" applyFill="1" applyBorder="1" applyAlignment="1">
      <alignment horizontal="right"/>
    </xf>
    <xf numFmtId="164" fontId="6" fillId="7" borderId="18" xfId="0" applyNumberFormat="1" applyFont="1" applyFill="1" applyBorder="1" applyAlignment="1">
      <alignment horizontal="right"/>
    </xf>
    <xf numFmtId="164" fontId="6" fillId="0" borderId="18" xfId="0" applyNumberFormat="1" applyFont="1" applyBorder="1" applyAlignment="1">
      <alignment horizontal="right"/>
    </xf>
    <xf numFmtId="164" fontId="6" fillId="22" borderId="18" xfId="0" applyNumberFormat="1" applyFont="1" applyFill="1" applyBorder="1" applyAlignment="1">
      <alignment horizontal="right"/>
    </xf>
    <xf numFmtId="167" fontId="6" fillId="22" borderId="18" xfId="0" applyNumberFormat="1" applyFont="1" applyFill="1" applyBorder="1" applyAlignment="1">
      <alignment horizontal="right"/>
    </xf>
    <xf numFmtId="167" fontId="6" fillId="0" borderId="18" xfId="0" applyNumberFormat="1" applyFont="1" applyBorder="1" applyAlignment="1">
      <alignment horizontal="right"/>
    </xf>
    <xf numFmtId="0" fontId="6" fillId="0" borderId="15" xfId="0" applyFont="1" applyBorder="1" applyAlignment="1">
      <alignment horizontal="center"/>
    </xf>
    <xf numFmtId="0" fontId="6" fillId="0" borderId="12" xfId="0" applyFont="1" applyBorder="1"/>
    <xf numFmtId="164" fontId="6" fillId="11" borderId="12" xfId="0" applyNumberFormat="1" applyFont="1" applyFill="1" applyBorder="1" applyAlignment="1">
      <alignment horizontal="right"/>
    </xf>
    <xf numFmtId="164" fontId="6" fillId="7" borderId="12" xfId="0" applyNumberFormat="1" applyFont="1" applyFill="1" applyBorder="1" applyAlignment="1">
      <alignment horizontal="right"/>
    </xf>
    <xf numFmtId="164" fontId="6" fillId="0" borderId="12" xfId="0" applyNumberFormat="1" applyFont="1" applyBorder="1" applyAlignment="1">
      <alignment horizontal="right"/>
    </xf>
    <xf numFmtId="167" fontId="6" fillId="0" borderId="12" xfId="0" applyNumberFormat="1" applyFont="1" applyBorder="1" applyAlignment="1">
      <alignment horizontal="right"/>
    </xf>
    <xf numFmtId="164" fontId="6" fillId="21" borderId="12" xfId="0" applyNumberFormat="1" applyFont="1" applyFill="1" applyBorder="1" applyAlignment="1">
      <alignment horizontal="right"/>
    </xf>
    <xf numFmtId="167" fontId="6" fillId="21" borderId="12" xfId="0" applyNumberFormat="1" applyFont="1" applyFill="1" applyBorder="1" applyAlignment="1">
      <alignment horizontal="right"/>
    </xf>
    <xf numFmtId="0" fontId="6" fillId="0" borderId="13" xfId="0" applyFont="1" applyBorder="1" applyAlignment="1">
      <alignment horizontal="center"/>
    </xf>
    <xf numFmtId="0" fontId="6" fillId="0" borderId="7" xfId="0" applyFont="1" applyBorder="1"/>
    <xf numFmtId="164" fontId="6" fillId="11" borderId="7" xfId="0" applyNumberFormat="1" applyFont="1" applyFill="1" applyBorder="1" applyAlignment="1">
      <alignment horizontal="right"/>
    </xf>
    <xf numFmtId="164" fontId="6" fillId="7" borderId="7" xfId="0" applyNumberFormat="1" applyFont="1" applyFill="1" applyBorder="1" applyAlignment="1">
      <alignment horizontal="right"/>
    </xf>
    <xf numFmtId="164" fontId="6" fillId="0" borderId="7" xfId="0" applyNumberFormat="1" applyFont="1" applyBorder="1" applyAlignment="1">
      <alignment horizontal="right"/>
    </xf>
    <xf numFmtId="167" fontId="6" fillId="0" borderId="7" xfId="0" applyNumberFormat="1" applyFont="1" applyBorder="1" applyAlignment="1">
      <alignment horizontal="right"/>
    </xf>
    <xf numFmtId="164" fontId="8" fillId="19" borderId="12" xfId="0" applyNumberFormat="1" applyFont="1" applyFill="1" applyBorder="1"/>
    <xf numFmtId="164" fontId="6" fillId="11" borderId="28" xfId="0" applyNumberFormat="1" applyFont="1" applyFill="1" applyBorder="1" applyAlignment="1">
      <alignment horizontal="right"/>
    </xf>
    <xf numFmtId="164" fontId="6" fillId="7" borderId="28" xfId="0" applyNumberFormat="1" applyFont="1" applyFill="1" applyBorder="1" applyAlignment="1">
      <alignment horizontal="right"/>
    </xf>
    <xf numFmtId="164" fontId="8" fillId="0" borderId="28" xfId="0" applyNumberFormat="1" applyFont="1" applyBorder="1"/>
    <xf numFmtId="164" fontId="6" fillId="11" borderId="29" xfId="0" applyNumberFormat="1" applyFont="1" applyFill="1" applyBorder="1" applyAlignment="1">
      <alignment horizontal="right"/>
    </xf>
    <xf numFmtId="164" fontId="6" fillId="7" borderId="29" xfId="0" applyNumberFormat="1" applyFont="1" applyFill="1" applyBorder="1" applyAlignment="1">
      <alignment horizontal="right"/>
    </xf>
    <xf numFmtId="164" fontId="8" fillId="0" borderId="29" xfId="0" applyNumberFormat="1" applyFont="1" applyBorder="1"/>
    <xf numFmtId="164" fontId="6" fillId="11" borderId="19" xfId="0" applyNumberFormat="1" applyFont="1" applyFill="1" applyBorder="1" applyAlignment="1">
      <alignment horizontal="right"/>
    </xf>
    <xf numFmtId="164" fontId="6" fillId="7" borderId="19" xfId="0" applyNumberFormat="1" applyFont="1" applyFill="1" applyBorder="1" applyAlignment="1">
      <alignment horizontal="right"/>
    </xf>
    <xf numFmtId="164" fontId="6" fillId="11" borderId="21" xfId="0" applyNumberFormat="1" applyFont="1" applyFill="1" applyBorder="1" applyAlignment="1">
      <alignment horizontal="right"/>
    </xf>
    <xf numFmtId="164" fontId="6" fillId="7" borderId="21" xfId="0" applyNumberFormat="1" applyFont="1" applyFill="1" applyBorder="1" applyAlignment="1">
      <alignment horizontal="right"/>
    </xf>
    <xf numFmtId="164" fontId="6" fillId="2" borderId="14" xfId="0" applyNumberFormat="1" applyFont="1" applyFill="1" applyBorder="1" applyAlignment="1">
      <alignment horizontal="center" vertical="center" wrapText="1"/>
    </xf>
    <xf numFmtId="164" fontId="6" fillId="11" borderId="14" xfId="0" applyNumberFormat="1" applyFont="1" applyFill="1" applyBorder="1" applyAlignment="1">
      <alignment horizontal="center" vertical="center"/>
    </xf>
    <xf numFmtId="164" fontId="6" fillId="7" borderId="14" xfId="0" applyNumberFormat="1" applyFont="1" applyFill="1" applyBorder="1" applyAlignment="1">
      <alignment horizontal="center" vertical="center"/>
    </xf>
    <xf numFmtId="164" fontId="6" fillId="12" borderId="14" xfId="0" applyNumberFormat="1" applyFont="1" applyFill="1" applyBorder="1" applyAlignment="1">
      <alignment horizontal="center" vertical="center"/>
    </xf>
    <xf numFmtId="164" fontId="6" fillId="13" borderId="14" xfId="0" applyNumberFormat="1" applyFont="1" applyFill="1" applyBorder="1" applyAlignment="1">
      <alignment horizontal="center" vertical="center"/>
    </xf>
    <xf numFmtId="164" fontId="6" fillId="17" borderId="14" xfId="0" applyNumberFormat="1" applyFont="1" applyFill="1" applyBorder="1" applyAlignment="1">
      <alignment horizontal="center" vertical="center"/>
    </xf>
    <xf numFmtId="164" fontId="6" fillId="23" borderId="14" xfId="0" applyNumberFormat="1" applyFont="1" applyFill="1" applyBorder="1" applyAlignment="1">
      <alignment horizontal="center" vertical="center"/>
    </xf>
    <xf numFmtId="164" fontId="6" fillId="18" borderId="14" xfId="0" applyNumberFormat="1" applyFont="1" applyFill="1" applyBorder="1" applyAlignment="1">
      <alignment horizontal="center" vertical="center"/>
    </xf>
    <xf numFmtId="167" fontId="6" fillId="18" borderId="14" xfId="0" applyNumberFormat="1" applyFont="1" applyFill="1" applyBorder="1" applyAlignment="1">
      <alignment horizontal="center" vertical="center"/>
    </xf>
    <xf numFmtId="165" fontId="6" fillId="18" borderId="14" xfId="0" applyNumberFormat="1" applyFont="1" applyFill="1" applyBorder="1" applyAlignment="1">
      <alignment horizontal="right" vertical="center"/>
    </xf>
    <xf numFmtId="166" fontId="6" fillId="18" borderId="14" xfId="0" applyNumberFormat="1" applyFont="1" applyFill="1" applyBorder="1" applyAlignment="1">
      <alignment horizontal="right" vertical="center"/>
    </xf>
    <xf numFmtId="164" fontId="6" fillId="22" borderId="12" xfId="0" applyNumberFormat="1" applyFont="1" applyFill="1" applyBorder="1" applyAlignment="1">
      <alignment horizontal="right"/>
    </xf>
    <xf numFmtId="164" fontId="6" fillId="22" borderId="7" xfId="0" applyNumberFormat="1" applyFont="1" applyFill="1" applyBorder="1" applyAlignment="1">
      <alignment horizontal="right"/>
    </xf>
    <xf numFmtId="164" fontId="6" fillId="11" borderId="30" xfId="0" applyNumberFormat="1" applyFont="1" applyFill="1" applyBorder="1" applyAlignment="1">
      <alignment horizontal="right"/>
    </xf>
    <xf numFmtId="164" fontId="6" fillId="7" borderId="30" xfId="0" applyNumberFormat="1" applyFont="1" applyFill="1" applyBorder="1" applyAlignment="1">
      <alignment horizontal="right"/>
    </xf>
    <xf numFmtId="166" fontId="8" fillId="20" borderId="14" xfId="0" applyNumberFormat="1" applyFont="1" applyFill="1" applyBorder="1"/>
    <xf numFmtId="165" fontId="8" fillId="20" borderId="14" xfId="0" applyNumberFormat="1" applyFont="1" applyFill="1" applyBorder="1"/>
    <xf numFmtId="166" fontId="6" fillId="0" borderId="26" xfId="0" applyNumberFormat="1" applyFont="1" applyBorder="1" applyAlignment="1">
      <alignment horizontal="right"/>
    </xf>
    <xf numFmtId="166" fontId="6" fillId="0" borderId="15" xfId="0" applyNumberFormat="1" applyFont="1" applyBorder="1" applyAlignment="1">
      <alignment horizontal="right"/>
    </xf>
    <xf numFmtId="166" fontId="6" fillId="21" borderId="15" xfId="0" applyNumberFormat="1" applyFont="1" applyFill="1" applyBorder="1" applyAlignment="1">
      <alignment horizontal="right"/>
    </xf>
    <xf numFmtId="164" fontId="1" fillId="19" borderId="5" xfId="0" applyNumberFormat="1" applyFont="1" applyFill="1" applyBorder="1" applyAlignment="1">
      <alignment vertical="center" shrinkToFit="1"/>
    </xf>
    <xf numFmtId="164" fontId="6" fillId="19" borderId="15" xfId="0" applyNumberFormat="1" applyFont="1" applyFill="1" applyBorder="1" applyAlignment="1">
      <alignment horizontal="right"/>
    </xf>
    <xf numFmtId="164" fontId="6" fillId="19" borderId="12" xfId="0" applyNumberFormat="1" applyFont="1" applyFill="1" applyBorder="1" applyAlignment="1">
      <alignment horizontal="right"/>
    </xf>
    <xf numFmtId="164" fontId="1" fillId="0" borderId="27" xfId="0" applyNumberFormat="1" applyFont="1" applyBorder="1" applyAlignment="1">
      <alignment vertical="center" shrinkToFit="1"/>
    </xf>
    <xf numFmtId="166" fontId="6" fillId="0" borderId="19" xfId="0" applyNumberFormat="1" applyFont="1" applyBorder="1" applyAlignment="1">
      <alignment horizontal="right"/>
    </xf>
    <xf numFmtId="166" fontId="6" fillId="0" borderId="29" xfId="0" applyNumberFormat="1" applyFont="1" applyBorder="1" applyAlignment="1">
      <alignment horizontal="right"/>
    </xf>
    <xf numFmtId="165" fontId="6" fillId="0" borderId="29" xfId="0" applyNumberFormat="1" applyFont="1" applyBorder="1" applyAlignment="1">
      <alignment horizontal="right"/>
    </xf>
    <xf numFmtId="166" fontId="6" fillId="0" borderId="21" xfId="0" applyNumberFormat="1" applyFont="1" applyBorder="1" applyAlignment="1">
      <alignment horizontal="right"/>
    </xf>
    <xf numFmtId="166" fontId="6" fillId="0" borderId="30" xfId="0" applyNumberFormat="1" applyFont="1" applyBorder="1" applyAlignment="1">
      <alignment horizontal="right"/>
    </xf>
    <xf numFmtId="165" fontId="6" fillId="0" borderId="30" xfId="0" applyNumberFormat="1" applyFont="1" applyBorder="1" applyAlignment="1">
      <alignment horizontal="right"/>
    </xf>
    <xf numFmtId="165" fontId="9" fillId="2" borderId="14" xfId="0" applyNumberFormat="1" applyFont="1" applyFill="1" applyBorder="1" applyAlignment="1">
      <alignment horizontal="center" vertical="center" wrapText="1"/>
    </xf>
    <xf numFmtId="164" fontId="6" fillId="16" borderId="14" xfId="0" applyNumberFormat="1" applyFont="1" applyFill="1" applyBorder="1" applyAlignment="1">
      <alignment horizontal="center"/>
    </xf>
    <xf numFmtId="164" fontId="6" fillId="2" borderId="14" xfId="0" applyNumberFormat="1" applyFont="1" applyFill="1" applyBorder="1" applyAlignment="1">
      <alignment horizontal="center"/>
    </xf>
    <xf numFmtId="165" fontId="6" fillId="2" borderId="14" xfId="0" applyNumberFormat="1" applyFont="1" applyFill="1" applyBorder="1" applyAlignment="1">
      <alignment horizontal="right"/>
    </xf>
    <xf numFmtId="164" fontId="8" fillId="20" borderId="14" xfId="0" applyNumberFormat="1" applyFont="1" applyFill="1" applyBorder="1"/>
    <xf numFmtId="164" fontId="12" fillId="22" borderId="18" xfId="0" applyNumberFormat="1" applyFont="1" applyFill="1" applyBorder="1"/>
    <xf numFmtId="165" fontId="6" fillId="22" borderId="18" xfId="0" applyNumberFormat="1" applyFont="1" applyFill="1" applyBorder="1" applyAlignment="1">
      <alignment horizontal="right"/>
    </xf>
    <xf numFmtId="164" fontId="12" fillId="22" borderId="12" xfId="0" applyNumberFormat="1" applyFont="1" applyFill="1" applyBorder="1"/>
    <xf numFmtId="165" fontId="6" fillId="22" borderId="12" xfId="0" applyNumberFormat="1" applyFont="1" applyFill="1" applyBorder="1" applyAlignment="1">
      <alignment horizontal="right"/>
    </xf>
    <xf numFmtId="165" fontId="6" fillId="19" borderId="12" xfId="0" applyNumberFormat="1" applyFont="1" applyFill="1" applyBorder="1" applyAlignment="1">
      <alignment horizontal="right"/>
    </xf>
    <xf numFmtId="164" fontId="8" fillId="0" borderId="18" xfId="0" applyNumberFormat="1" applyFont="1" applyBorder="1"/>
    <xf numFmtId="164" fontId="8" fillId="0" borderId="7" xfId="0" applyNumberFormat="1" applyFont="1" applyBorder="1"/>
    <xf numFmtId="164" fontId="8" fillId="0" borderId="30" xfId="0" applyNumberFormat="1" applyFont="1" applyBorder="1"/>
    <xf numFmtId="0" fontId="1" fillId="0" borderId="0" xfId="0" applyFont="1" applyAlignment="1">
      <alignment horizontal="center" vertical="center"/>
    </xf>
    <xf numFmtId="0" fontId="7" fillId="22" borderId="0" xfId="0" applyFont="1" applyFill="1"/>
    <xf numFmtId="164" fontId="6" fillId="11" borderId="0" xfId="0" applyNumberFormat="1" applyFont="1" applyFill="1" applyAlignment="1">
      <alignment horizontal="right"/>
    </xf>
    <xf numFmtId="164" fontId="6" fillId="7" borderId="0" xfId="0" applyNumberFormat="1" applyFont="1" applyFill="1" applyAlignment="1">
      <alignment horizontal="right"/>
    </xf>
    <xf numFmtId="164" fontId="1" fillId="0" borderId="0" xfId="0" applyNumberFormat="1" applyFont="1" applyAlignment="1">
      <alignment vertical="center" shrinkToFit="1"/>
    </xf>
    <xf numFmtId="167" fontId="1" fillId="0" borderId="0" xfId="0" applyNumberFormat="1" applyFont="1" applyAlignment="1">
      <alignment vertical="center" shrinkToFit="1"/>
    </xf>
    <xf numFmtId="165" fontId="1" fillId="0" borderId="0" xfId="0" applyNumberFormat="1" applyFont="1" applyAlignment="1">
      <alignment horizontal="right" vertical="center" shrinkToFit="1"/>
    </xf>
    <xf numFmtId="166" fontId="1" fillId="0" borderId="0" xfId="0" applyNumberFormat="1" applyFont="1" applyAlignment="1">
      <alignment horizontal="right" vertical="center" shrinkToFit="1"/>
    </xf>
    <xf numFmtId="166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4" fontId="8" fillId="0" borderId="0" xfId="0" applyNumberFormat="1" applyFont="1"/>
    <xf numFmtId="0" fontId="6" fillId="0" borderId="11" xfId="0" applyFont="1" applyBorder="1"/>
    <xf numFmtId="164" fontId="6" fillId="24" borderId="14" xfId="0" applyNumberFormat="1" applyFont="1" applyFill="1" applyBorder="1" applyAlignment="1">
      <alignment horizontal="center" vertical="center" wrapText="1"/>
    </xf>
    <xf numFmtId="0" fontId="6" fillId="25" borderId="14" xfId="0" applyFont="1" applyFill="1" applyBorder="1" applyAlignment="1">
      <alignment horizontal="center" vertical="center"/>
    </xf>
    <xf numFmtId="164" fontId="6" fillId="25" borderId="14" xfId="0" applyNumberFormat="1" applyFont="1" applyFill="1" applyBorder="1" applyAlignment="1">
      <alignment horizontal="center" vertical="center" wrapText="1"/>
    </xf>
    <xf numFmtId="165" fontId="9" fillId="25" borderId="14" xfId="0" applyNumberFormat="1" applyFont="1" applyFill="1" applyBorder="1" applyAlignment="1">
      <alignment horizontal="center" vertical="center" wrapText="1"/>
    </xf>
    <xf numFmtId="164" fontId="6" fillId="24" borderId="14" xfId="0" applyNumberFormat="1" applyFont="1" applyFill="1" applyBorder="1" applyAlignment="1">
      <alignment horizontal="center" vertical="center"/>
    </xf>
    <xf numFmtId="164" fontId="6" fillId="25" borderId="14" xfId="0" applyNumberFormat="1" applyFont="1" applyFill="1" applyBorder="1" applyAlignment="1">
      <alignment horizontal="center" vertical="center"/>
    </xf>
    <xf numFmtId="165" fontId="9" fillId="25" borderId="14" xfId="0" applyNumberFormat="1" applyFont="1" applyFill="1" applyBorder="1" applyAlignment="1">
      <alignment horizontal="center" vertical="center"/>
    </xf>
    <xf numFmtId="164" fontId="6" fillId="24" borderId="14" xfId="0" applyNumberFormat="1" applyFont="1" applyFill="1" applyBorder="1" applyAlignment="1">
      <alignment horizontal="center"/>
    </xf>
    <xf numFmtId="164" fontId="6" fillId="25" borderId="14" xfId="0" applyNumberFormat="1" applyFont="1" applyFill="1" applyBorder="1" applyAlignment="1">
      <alignment horizontal="center"/>
    </xf>
    <xf numFmtId="165" fontId="6" fillId="25" borderId="14" xfId="0" applyNumberFormat="1" applyFont="1" applyFill="1" applyBorder="1" applyAlignment="1">
      <alignment horizontal="right"/>
    </xf>
    <xf numFmtId="0" fontId="6" fillId="19" borderId="14" xfId="0" applyFont="1" applyFill="1" applyBorder="1"/>
    <xf numFmtId="164" fontId="8" fillId="19" borderId="14" xfId="0" applyNumberFormat="1" applyFont="1" applyFill="1" applyBorder="1"/>
    <xf numFmtId="165" fontId="8" fillId="19" borderId="14" xfId="0" applyNumberFormat="1" applyFont="1" applyFill="1" applyBorder="1"/>
    <xf numFmtId="164" fontId="6" fillId="19" borderId="14" xfId="0" applyNumberFormat="1" applyFont="1" applyFill="1" applyBorder="1"/>
    <xf numFmtId="167" fontId="8" fillId="20" borderId="14" xfId="0" applyNumberFormat="1" applyFont="1" applyFill="1" applyBorder="1"/>
    <xf numFmtId="164" fontId="6" fillId="20" borderId="14" xfId="0" applyNumberFormat="1" applyFont="1" applyFill="1" applyBorder="1"/>
    <xf numFmtId="164" fontId="6" fillId="22" borderId="18" xfId="0" applyNumberFormat="1" applyFont="1" applyFill="1" applyBorder="1"/>
    <xf numFmtId="164" fontId="8" fillId="22" borderId="18" xfId="0" applyNumberFormat="1" applyFont="1" applyFill="1" applyBorder="1"/>
    <xf numFmtId="164" fontId="6" fillId="22" borderId="12" xfId="0" applyNumberFormat="1" applyFont="1" applyFill="1" applyBorder="1"/>
    <xf numFmtId="167" fontId="6" fillId="19" borderId="12" xfId="0" applyNumberFormat="1" applyFont="1" applyFill="1" applyBorder="1" applyAlignment="1">
      <alignment horizontal="right"/>
    </xf>
    <xf numFmtId="165" fontId="8" fillId="19" borderId="12" xfId="0" applyNumberFormat="1" applyFont="1" applyFill="1" applyBorder="1"/>
    <xf numFmtId="165" fontId="6" fillId="19" borderId="12" xfId="0" applyNumberFormat="1" applyFont="1" applyFill="1" applyBorder="1"/>
    <xf numFmtId="0" fontId="8" fillId="0" borderId="26" xfId="0" applyFont="1" applyBorder="1"/>
    <xf numFmtId="0" fontId="7" fillId="0" borderId="18" xfId="0" applyFont="1" applyBorder="1"/>
    <xf numFmtId="165" fontId="8" fillId="0" borderId="18" xfId="0" applyNumberFormat="1" applyFont="1" applyBorder="1"/>
    <xf numFmtId="165" fontId="6" fillId="0" borderId="18" xfId="0" applyNumberFormat="1" applyFont="1" applyBorder="1"/>
    <xf numFmtId="0" fontId="7" fillId="22" borderId="18" xfId="0" applyFont="1" applyFill="1" applyBorder="1"/>
    <xf numFmtId="164" fontId="6" fillId="0" borderId="18" xfId="0" applyNumberFormat="1" applyFont="1" applyBorder="1"/>
    <xf numFmtId="0" fontId="8" fillId="0" borderId="19" xfId="0" applyFont="1" applyBorder="1"/>
    <xf numFmtId="0" fontId="7" fillId="22" borderId="29" xfId="0" applyFont="1" applyFill="1" applyBorder="1"/>
    <xf numFmtId="164" fontId="6" fillId="0" borderId="29" xfId="0" applyNumberFormat="1" applyFont="1" applyBorder="1" applyAlignment="1">
      <alignment horizontal="right"/>
    </xf>
    <xf numFmtId="167" fontId="6" fillId="0" borderId="29" xfId="0" applyNumberFormat="1" applyFont="1" applyBorder="1" applyAlignment="1">
      <alignment horizontal="right"/>
    </xf>
    <xf numFmtId="164" fontId="6" fillId="0" borderId="29" xfId="0" applyNumberFormat="1" applyFont="1" applyBorder="1"/>
    <xf numFmtId="0" fontId="8" fillId="0" borderId="21" xfId="0" applyFont="1" applyBorder="1"/>
    <xf numFmtId="0" fontId="7" fillId="22" borderId="30" xfId="0" applyFont="1" applyFill="1" applyBorder="1"/>
    <xf numFmtId="164" fontId="6" fillId="0" borderId="30" xfId="0" applyNumberFormat="1" applyFont="1" applyBorder="1" applyAlignment="1">
      <alignment horizontal="right"/>
    </xf>
    <xf numFmtId="167" fontId="6" fillId="0" borderId="30" xfId="0" applyNumberFormat="1" applyFont="1" applyBorder="1" applyAlignment="1">
      <alignment horizontal="right"/>
    </xf>
    <xf numFmtId="164" fontId="6" fillId="0" borderId="30" xfId="0" applyNumberFormat="1" applyFont="1" applyBorder="1"/>
    <xf numFmtId="166" fontId="1" fillId="3" borderId="5" xfId="0" applyNumberFormat="1" applyFont="1" applyFill="1" applyBorder="1" applyAlignment="1">
      <alignment horizontal="center" vertical="center" shrinkToFit="1"/>
    </xf>
    <xf numFmtId="0" fontId="1" fillId="2" borderId="1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164" fontId="6" fillId="9" borderId="14" xfId="0" applyNumberFormat="1" applyFont="1" applyFill="1" applyBorder="1" applyAlignment="1">
      <alignment horizontal="center"/>
    </xf>
    <xf numFmtId="164" fontId="6" fillId="21" borderId="14" xfId="0" applyNumberFormat="1" applyFont="1" applyFill="1" applyBorder="1" applyAlignment="1">
      <alignment horizontal="center"/>
    </xf>
    <xf numFmtId="164" fontId="6" fillId="22" borderId="26" xfId="0" applyNumberFormat="1" applyFont="1" applyFill="1" applyBorder="1" applyAlignment="1">
      <alignment horizontal="right"/>
    </xf>
    <xf numFmtId="164" fontId="6" fillId="22" borderId="26" xfId="0" applyNumberFormat="1" applyFont="1" applyFill="1" applyBorder="1" applyAlignment="1">
      <alignment horizontal="center"/>
    </xf>
    <xf numFmtId="164" fontId="6" fillId="22" borderId="15" xfId="0" applyNumberFormat="1" applyFont="1" applyFill="1" applyBorder="1" applyAlignment="1">
      <alignment horizontal="right"/>
    </xf>
    <xf numFmtId="164" fontId="6" fillId="21" borderId="15" xfId="0" applyNumberFormat="1" applyFont="1" applyFill="1" applyBorder="1" applyAlignment="1">
      <alignment horizontal="right"/>
    </xf>
    <xf numFmtId="164" fontId="6" fillId="21" borderId="15" xfId="0" applyNumberFormat="1" applyFont="1" applyFill="1" applyBorder="1" applyAlignment="1">
      <alignment horizontal="center"/>
    </xf>
    <xf numFmtId="164" fontId="8" fillId="19" borderId="15" xfId="0" applyNumberFormat="1" applyFont="1" applyFill="1" applyBorder="1"/>
    <xf numFmtId="164" fontId="8" fillId="0" borderId="26" xfId="0" applyNumberFormat="1" applyFont="1" applyBorder="1"/>
    <xf numFmtId="164" fontId="8" fillId="0" borderId="13" xfId="0" applyNumberFormat="1" applyFont="1" applyBorder="1"/>
    <xf numFmtId="165" fontId="8" fillId="0" borderId="7" xfId="0" applyNumberFormat="1" applyFont="1" applyBorder="1"/>
    <xf numFmtId="164" fontId="1" fillId="22" borderId="19" xfId="0" applyNumberFormat="1" applyFont="1" applyFill="1" applyBorder="1" applyAlignment="1">
      <alignment vertical="center" shrinkToFit="1"/>
    </xf>
    <xf numFmtId="164" fontId="8" fillId="22" borderId="19" xfId="0" applyNumberFormat="1" applyFont="1" applyFill="1" applyBorder="1"/>
    <xf numFmtId="164" fontId="8" fillId="22" borderId="29" xfId="0" applyNumberFormat="1" applyFont="1" applyFill="1" applyBorder="1"/>
    <xf numFmtId="164" fontId="8" fillId="0" borderId="12" xfId="0" applyNumberFormat="1" applyFont="1" applyBorder="1"/>
    <xf numFmtId="164" fontId="8" fillId="0" borderId="19" xfId="0" applyNumberFormat="1" applyFont="1" applyBorder="1"/>
    <xf numFmtId="164" fontId="8" fillId="0" borderId="21" xfId="0" applyNumberFormat="1" applyFont="1" applyBorder="1"/>
    <xf numFmtId="0" fontId="13" fillId="0" borderId="0" xfId="0" applyFont="1"/>
    <xf numFmtId="0" fontId="14" fillId="0" borderId="0" xfId="0" applyFont="1"/>
    <xf numFmtId="164" fontId="13" fillId="16" borderId="14" xfId="0" applyNumberFormat="1" applyFont="1" applyFill="1" applyBorder="1" applyAlignment="1">
      <alignment horizontal="center" vertical="center" wrapText="1"/>
    </xf>
    <xf numFmtId="164" fontId="6" fillId="16" borderId="14" xfId="0" applyNumberFormat="1" applyFont="1" applyFill="1" applyBorder="1" applyAlignment="1">
      <alignment horizontal="center" wrapText="1"/>
    </xf>
    <xf numFmtId="164" fontId="13" fillId="2" borderId="14" xfId="0" applyNumberFormat="1" applyFont="1" applyFill="1" applyBorder="1" applyAlignment="1">
      <alignment horizontal="center" vertical="center" wrapText="1"/>
    </xf>
    <xf numFmtId="165" fontId="15" fillId="2" borderId="14" xfId="0" applyNumberFormat="1" applyFont="1" applyFill="1" applyBorder="1" applyAlignment="1">
      <alignment horizontal="center" vertical="center" wrapText="1"/>
    </xf>
    <xf numFmtId="164" fontId="6" fillId="2" borderId="14" xfId="0" applyNumberFormat="1" applyFont="1" applyFill="1" applyBorder="1" applyAlignment="1">
      <alignment horizontal="center" wrapText="1"/>
    </xf>
    <xf numFmtId="165" fontId="9" fillId="2" borderId="14" xfId="0" applyNumberFormat="1" applyFont="1" applyFill="1" applyBorder="1" applyAlignment="1">
      <alignment horizontal="center" wrapText="1"/>
    </xf>
    <xf numFmtId="164" fontId="13" fillId="2" borderId="14" xfId="0" applyNumberFormat="1" applyFont="1" applyFill="1" applyBorder="1" applyAlignment="1">
      <alignment horizontal="center" vertical="center" shrinkToFit="1"/>
    </xf>
    <xf numFmtId="165" fontId="13" fillId="2" borderId="14" xfId="0" applyNumberFormat="1" applyFont="1" applyFill="1" applyBorder="1" applyAlignment="1">
      <alignment horizontal="right" vertical="center" shrinkToFit="1"/>
    </xf>
    <xf numFmtId="164" fontId="13" fillId="9" borderId="14" xfId="0" applyNumberFormat="1" applyFont="1" applyFill="1" applyBorder="1" applyAlignment="1">
      <alignment vertical="center" shrinkToFit="1"/>
    </xf>
    <xf numFmtId="165" fontId="13" fillId="9" borderId="14" xfId="0" applyNumberFormat="1" applyFont="1" applyFill="1" applyBorder="1" applyAlignment="1">
      <alignment horizontal="right" vertical="center" shrinkToFit="1"/>
    </xf>
    <xf numFmtId="164" fontId="13" fillId="19" borderId="14" xfId="0" applyNumberFormat="1" applyFont="1" applyFill="1" applyBorder="1" applyAlignment="1">
      <alignment vertical="center" shrinkToFit="1"/>
    </xf>
    <xf numFmtId="165" fontId="13" fillId="19" borderId="14" xfId="0" applyNumberFormat="1" applyFont="1" applyFill="1" applyBorder="1" applyAlignment="1">
      <alignment horizontal="right" vertical="center" shrinkToFit="1"/>
    </xf>
    <xf numFmtId="164" fontId="13" fillId="20" borderId="14" xfId="0" applyNumberFormat="1" applyFont="1" applyFill="1" applyBorder="1" applyAlignment="1">
      <alignment vertical="center" shrinkToFit="1"/>
    </xf>
    <xf numFmtId="165" fontId="13" fillId="20" borderId="14" xfId="0" applyNumberFormat="1" applyFont="1" applyFill="1" applyBorder="1" applyAlignment="1">
      <alignment horizontal="right" vertical="center" shrinkToFit="1"/>
    </xf>
    <xf numFmtId="164" fontId="13" fillId="21" borderId="14" xfId="0" applyNumberFormat="1" applyFont="1" applyFill="1" applyBorder="1" applyAlignment="1">
      <alignment vertical="center" shrinkToFit="1"/>
    </xf>
    <xf numFmtId="165" fontId="13" fillId="21" borderId="14" xfId="0" applyNumberFormat="1" applyFont="1" applyFill="1" applyBorder="1" applyAlignment="1">
      <alignment horizontal="right" vertical="center" shrinkToFit="1"/>
    </xf>
    <xf numFmtId="164" fontId="13" fillId="15" borderId="16" xfId="0" applyNumberFormat="1" applyFont="1" applyFill="1" applyBorder="1" applyAlignment="1">
      <alignment vertical="center" shrinkToFit="1"/>
    </xf>
    <xf numFmtId="165" fontId="13" fillId="15" borderId="16" xfId="0" applyNumberFormat="1" applyFont="1" applyFill="1" applyBorder="1" applyAlignment="1">
      <alignment horizontal="right" vertical="center" shrinkToFit="1"/>
    </xf>
    <xf numFmtId="164" fontId="6" fillId="22" borderId="16" xfId="0" applyNumberFormat="1" applyFont="1" applyFill="1" applyBorder="1" applyAlignment="1">
      <alignment horizontal="right"/>
    </xf>
    <xf numFmtId="165" fontId="6" fillId="22" borderId="16" xfId="0" applyNumberFormat="1" applyFont="1" applyFill="1" applyBorder="1" applyAlignment="1">
      <alignment horizontal="right"/>
    </xf>
    <xf numFmtId="164" fontId="13" fillId="15" borderId="19" xfId="0" applyNumberFormat="1" applyFont="1" applyFill="1" applyBorder="1" applyAlignment="1">
      <alignment vertical="center" shrinkToFit="1"/>
    </xf>
    <xf numFmtId="165" fontId="13" fillId="15" borderId="19" xfId="0" applyNumberFormat="1" applyFont="1" applyFill="1" applyBorder="1" applyAlignment="1">
      <alignment horizontal="right" vertical="center" shrinkToFit="1"/>
    </xf>
    <xf numFmtId="164" fontId="6" fillId="22" borderId="19" xfId="0" applyNumberFormat="1" applyFont="1" applyFill="1" applyBorder="1" applyAlignment="1">
      <alignment horizontal="right"/>
    </xf>
    <xf numFmtId="165" fontId="6" fillId="22" borderId="19" xfId="0" applyNumberFormat="1" applyFont="1" applyFill="1" applyBorder="1" applyAlignment="1">
      <alignment horizontal="right"/>
    </xf>
    <xf numFmtId="164" fontId="13" fillId="15" borderId="21" xfId="0" applyNumberFormat="1" applyFont="1" applyFill="1" applyBorder="1" applyAlignment="1">
      <alignment vertical="center" shrinkToFit="1"/>
    </xf>
    <xf numFmtId="165" fontId="13" fillId="15" borderId="21" xfId="0" applyNumberFormat="1" applyFont="1" applyFill="1" applyBorder="1" applyAlignment="1">
      <alignment horizontal="right" vertical="center" shrinkToFit="1"/>
    </xf>
    <xf numFmtId="164" fontId="6" fillId="22" borderId="21" xfId="0" applyNumberFormat="1" applyFont="1" applyFill="1" applyBorder="1" applyAlignment="1">
      <alignment horizontal="right"/>
    </xf>
    <xf numFmtId="165" fontId="6" fillId="22" borderId="21" xfId="0" applyNumberFormat="1" applyFont="1" applyFill="1" applyBorder="1" applyAlignment="1">
      <alignment horizontal="right"/>
    </xf>
    <xf numFmtId="164" fontId="8" fillId="22" borderId="21" xfId="0" applyNumberFormat="1" applyFont="1" applyFill="1" applyBorder="1"/>
    <xf numFmtId="164" fontId="8" fillId="22" borderId="16" xfId="0" applyNumberFormat="1" applyFont="1" applyFill="1" applyBorder="1"/>
    <xf numFmtId="164" fontId="13" fillId="0" borderId="16" xfId="0" applyNumberFormat="1" applyFont="1" applyBorder="1" applyAlignment="1">
      <alignment vertical="center" shrinkToFit="1"/>
    </xf>
    <xf numFmtId="165" fontId="13" fillId="0" borderId="16" xfId="0" applyNumberFormat="1" applyFont="1" applyBorder="1" applyAlignment="1">
      <alignment horizontal="right" vertical="center" shrinkToFit="1"/>
    </xf>
    <xf numFmtId="164" fontId="8" fillId="0" borderId="16" xfId="0" applyNumberFormat="1" applyFont="1" applyBorder="1"/>
    <xf numFmtId="165" fontId="8" fillId="0" borderId="16" xfId="0" applyNumberFormat="1" applyFont="1" applyBorder="1"/>
    <xf numFmtId="164" fontId="13" fillId="0" borderId="19" xfId="0" applyNumberFormat="1" applyFont="1" applyBorder="1" applyAlignment="1">
      <alignment vertical="center" shrinkToFit="1"/>
    </xf>
    <xf numFmtId="165" fontId="13" fillId="0" borderId="19" xfId="0" applyNumberFormat="1" applyFont="1" applyBorder="1" applyAlignment="1">
      <alignment horizontal="right" vertical="center" shrinkToFit="1"/>
    </xf>
    <xf numFmtId="165" fontId="8" fillId="0" borderId="19" xfId="0" applyNumberFormat="1" applyFont="1" applyBorder="1"/>
    <xf numFmtId="164" fontId="13" fillId="0" borderId="27" xfId="0" applyNumberFormat="1" applyFont="1" applyBorder="1" applyAlignment="1">
      <alignment vertical="center" shrinkToFit="1"/>
    </xf>
    <xf numFmtId="165" fontId="13" fillId="0" borderId="27" xfId="0" applyNumberFormat="1" applyFont="1" applyBorder="1" applyAlignment="1">
      <alignment horizontal="right" vertical="center" shrinkToFit="1"/>
    </xf>
    <xf numFmtId="164" fontId="8" fillId="0" borderId="27" xfId="0" applyNumberFormat="1" applyFont="1" applyBorder="1"/>
    <xf numFmtId="165" fontId="8" fillId="0" borderId="27" xfId="0" applyNumberFormat="1" applyFont="1" applyBorder="1"/>
    <xf numFmtId="164" fontId="13" fillId="0" borderId="26" xfId="0" applyNumberFormat="1" applyFont="1" applyBorder="1" applyAlignment="1">
      <alignment vertical="center" shrinkToFit="1"/>
    </xf>
    <xf numFmtId="164" fontId="13" fillId="0" borderId="21" xfId="0" applyNumberFormat="1" applyFont="1" applyBorder="1" applyAlignment="1">
      <alignment vertical="center" shrinkToFit="1"/>
    </xf>
    <xf numFmtId="0" fontId="6" fillId="0" borderId="0" xfId="0" applyFont="1"/>
    <xf numFmtId="165" fontId="8" fillId="0" borderId="0" xfId="0" applyNumberFormat="1" applyFont="1"/>
    <xf numFmtId="166" fontId="8" fillId="0" borderId="0" xfId="0" applyNumberFormat="1" applyFont="1" applyAlignment="1">
      <alignment vertical="center"/>
    </xf>
    <xf numFmtId="164" fontId="6" fillId="11" borderId="14" xfId="0" applyNumberFormat="1" applyFont="1" applyFill="1" applyBorder="1" applyAlignment="1">
      <alignment horizontal="center" vertical="center" wrapText="1"/>
    </xf>
    <xf numFmtId="164" fontId="6" fillId="26" borderId="14" xfId="0" applyNumberFormat="1" applyFont="1" applyFill="1" applyBorder="1" applyAlignment="1">
      <alignment horizontal="center" vertical="center" wrapText="1"/>
    </xf>
    <xf numFmtId="164" fontId="6" fillId="13" borderId="14" xfId="0" applyNumberFormat="1" applyFont="1" applyFill="1" applyBorder="1" applyAlignment="1">
      <alignment horizontal="center" vertical="center" wrapText="1"/>
    </xf>
    <xf numFmtId="164" fontId="6" fillId="27" borderId="14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64" fontId="6" fillId="0" borderId="14" xfId="0" applyNumberFormat="1" applyFont="1" applyBorder="1" applyAlignment="1">
      <alignment horizontal="center" vertical="center" wrapText="1"/>
    </xf>
    <xf numFmtId="166" fontId="6" fillId="0" borderId="14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8" fillId="0" borderId="0" xfId="0" applyNumberFormat="1" applyFont="1" applyAlignment="1">
      <alignment vertical="center"/>
    </xf>
    <xf numFmtId="164" fontId="6" fillId="0" borderId="14" xfId="0" applyNumberFormat="1" applyFont="1" applyBorder="1" applyAlignment="1">
      <alignment horizontal="center"/>
    </xf>
    <xf numFmtId="166" fontId="6" fillId="0" borderId="14" xfId="0" applyNumberFormat="1" applyFont="1" applyBorder="1" applyAlignment="1">
      <alignment horizontal="right"/>
    </xf>
    <xf numFmtId="165" fontId="6" fillId="0" borderId="14" xfId="0" applyNumberFormat="1" applyFont="1" applyBorder="1" applyAlignment="1">
      <alignment horizontal="right"/>
    </xf>
    <xf numFmtId="164" fontId="6" fillId="26" borderId="14" xfId="0" applyNumberFormat="1" applyFont="1" applyFill="1" applyBorder="1" applyAlignment="1">
      <alignment horizontal="center"/>
    </xf>
    <xf numFmtId="164" fontId="6" fillId="27" borderId="14" xfId="0" applyNumberFormat="1" applyFont="1" applyFill="1" applyBorder="1" applyAlignment="1">
      <alignment horizontal="center"/>
    </xf>
    <xf numFmtId="166" fontId="8" fillId="19" borderId="14" xfId="0" applyNumberFormat="1" applyFont="1" applyFill="1" applyBorder="1"/>
    <xf numFmtId="165" fontId="8" fillId="21" borderId="0" xfId="0" applyNumberFormat="1" applyFont="1" applyFill="1"/>
    <xf numFmtId="166" fontId="6" fillId="22" borderId="18" xfId="0" applyNumberFormat="1" applyFont="1" applyFill="1" applyBorder="1" applyAlignment="1">
      <alignment horizontal="right"/>
    </xf>
    <xf numFmtId="164" fontId="6" fillId="26" borderId="18" xfId="0" applyNumberFormat="1" applyFont="1" applyFill="1" applyBorder="1" applyAlignment="1">
      <alignment horizontal="right"/>
    </xf>
    <xf numFmtId="164" fontId="6" fillId="13" borderId="18" xfId="0" applyNumberFormat="1" applyFont="1" applyFill="1" applyBorder="1" applyAlignment="1">
      <alignment horizontal="right"/>
    </xf>
    <xf numFmtId="164" fontId="6" fillId="27" borderId="18" xfId="0" applyNumberFormat="1" applyFont="1" applyFill="1" applyBorder="1" applyAlignment="1">
      <alignment horizontal="right"/>
    </xf>
    <xf numFmtId="164" fontId="6" fillId="11" borderId="18" xfId="0" applyNumberFormat="1" applyFont="1" applyFill="1" applyBorder="1" applyAlignment="1">
      <alignment horizontal="center"/>
    </xf>
    <xf numFmtId="164" fontId="6" fillId="26" borderId="18" xfId="0" applyNumberFormat="1" applyFont="1" applyFill="1" applyBorder="1" applyAlignment="1">
      <alignment horizontal="center"/>
    </xf>
    <xf numFmtId="164" fontId="6" fillId="13" borderId="18" xfId="0" applyNumberFormat="1" applyFont="1" applyFill="1" applyBorder="1" applyAlignment="1">
      <alignment horizontal="center"/>
    </xf>
    <xf numFmtId="164" fontId="6" fillId="27" borderId="18" xfId="0" applyNumberFormat="1" applyFont="1" applyFill="1" applyBorder="1" applyAlignment="1">
      <alignment horizontal="center"/>
    </xf>
    <xf numFmtId="166" fontId="6" fillId="22" borderId="12" xfId="0" applyNumberFormat="1" applyFont="1" applyFill="1" applyBorder="1" applyAlignment="1">
      <alignment horizontal="right"/>
    </xf>
    <xf numFmtId="164" fontId="6" fillId="26" borderId="12" xfId="0" applyNumberFormat="1" applyFont="1" applyFill="1" applyBorder="1" applyAlignment="1">
      <alignment horizontal="right"/>
    </xf>
    <xf numFmtId="164" fontId="6" fillId="13" borderId="12" xfId="0" applyNumberFormat="1" applyFont="1" applyFill="1" applyBorder="1" applyAlignment="1">
      <alignment horizontal="right"/>
    </xf>
    <xf numFmtId="164" fontId="6" fillId="27" borderId="12" xfId="0" applyNumberFormat="1" applyFont="1" applyFill="1" applyBorder="1" applyAlignment="1">
      <alignment horizontal="right"/>
    </xf>
    <xf numFmtId="164" fontId="6" fillId="21" borderId="12" xfId="0" applyNumberFormat="1" applyFont="1" applyFill="1" applyBorder="1" applyAlignment="1">
      <alignment horizontal="center"/>
    </xf>
    <xf numFmtId="166" fontId="8" fillId="19" borderId="12" xfId="0" applyNumberFormat="1" applyFont="1" applyFill="1" applyBorder="1"/>
    <xf numFmtId="166" fontId="8" fillId="0" borderId="18" xfId="0" applyNumberFormat="1" applyFont="1" applyBorder="1"/>
    <xf numFmtId="0" fontId="8" fillId="22" borderId="26" xfId="0" applyFont="1" applyFill="1" applyBorder="1"/>
    <xf numFmtId="166" fontId="8" fillId="22" borderId="18" xfId="0" applyNumberFormat="1" applyFont="1" applyFill="1" applyBorder="1"/>
    <xf numFmtId="166" fontId="8" fillId="0" borderId="29" xfId="0" applyNumberFormat="1" applyFont="1" applyBorder="1"/>
    <xf numFmtId="166" fontId="8" fillId="0" borderId="30" xfId="0" applyNumberFormat="1" applyFont="1" applyBorder="1"/>
    <xf numFmtId="166" fontId="8" fillId="0" borderId="0" xfId="0" applyNumberFormat="1" applyFont="1"/>
    <xf numFmtId="166" fontId="6" fillId="6" borderId="3" xfId="0" applyNumberFormat="1" applyFont="1" applyFill="1" applyBorder="1" applyAlignment="1">
      <alignment horizontal="center" vertical="top" wrapText="1"/>
    </xf>
    <xf numFmtId="166" fontId="8" fillId="6" borderId="4" xfId="0" applyNumberFormat="1" applyFont="1" applyFill="1" applyBorder="1" applyAlignment="1">
      <alignment vertical="top"/>
    </xf>
    <xf numFmtId="166" fontId="8" fillId="6" borderId="5" xfId="0" applyNumberFormat="1" applyFont="1" applyFill="1" applyBorder="1" applyAlignment="1">
      <alignment vertical="top"/>
    </xf>
    <xf numFmtId="164" fontId="6" fillId="32" borderId="14" xfId="0" applyNumberFormat="1" applyFont="1" applyFill="1" applyBorder="1" applyAlignment="1">
      <alignment horizontal="center" wrapText="1"/>
    </xf>
    <xf numFmtId="0" fontId="9" fillId="2" borderId="14" xfId="0" applyFont="1" applyFill="1" applyBorder="1" applyAlignment="1">
      <alignment horizontal="center"/>
    </xf>
    <xf numFmtId="164" fontId="6" fillId="22" borderId="14" xfId="0" applyNumberFormat="1" applyFont="1" applyFill="1" applyBorder="1" applyAlignment="1">
      <alignment horizontal="center"/>
    </xf>
    <xf numFmtId="165" fontId="6" fillId="22" borderId="14" xfId="0" applyNumberFormat="1" applyFont="1" applyFill="1" applyBorder="1" applyAlignment="1">
      <alignment horizontal="center"/>
    </xf>
    <xf numFmtId="165" fontId="10" fillId="22" borderId="14" xfId="0" applyNumberFormat="1" applyFont="1" applyFill="1" applyBorder="1" applyAlignment="1">
      <alignment horizontal="center"/>
    </xf>
    <xf numFmtId="166" fontId="6" fillId="22" borderId="14" xfId="0" applyNumberFormat="1" applyFont="1" applyFill="1" applyBorder="1" applyAlignment="1">
      <alignment horizontal="center"/>
    </xf>
    <xf numFmtId="164" fontId="6" fillId="28" borderId="14" xfId="0" applyNumberFormat="1" applyFont="1" applyFill="1" applyBorder="1" applyAlignment="1">
      <alignment horizontal="center" wrapText="1"/>
    </xf>
    <xf numFmtId="164" fontId="6" fillId="32" borderId="14" xfId="0" applyNumberFormat="1" applyFont="1" applyFill="1" applyBorder="1" applyAlignment="1">
      <alignment horizontal="center"/>
    </xf>
    <xf numFmtId="164" fontId="6" fillId="28" borderId="14" xfId="0" applyNumberFormat="1" applyFont="1" applyFill="1" applyBorder="1" applyAlignment="1">
      <alignment horizontal="center"/>
    </xf>
    <xf numFmtId="167" fontId="6" fillId="28" borderId="14" xfId="0" applyNumberFormat="1" applyFont="1" applyFill="1" applyBorder="1" applyAlignment="1">
      <alignment horizontal="center"/>
    </xf>
    <xf numFmtId="167" fontId="6" fillId="9" borderId="14" xfId="0" applyNumberFormat="1" applyFont="1" applyFill="1" applyBorder="1" applyAlignment="1">
      <alignment horizontal="center"/>
    </xf>
    <xf numFmtId="167" fontId="8" fillId="19" borderId="14" xfId="0" applyNumberFormat="1" applyFont="1" applyFill="1" applyBorder="1"/>
    <xf numFmtId="0" fontId="6" fillId="0" borderId="16" xfId="0" applyFont="1" applyBorder="1" applyAlignment="1">
      <alignment horizontal="center"/>
    </xf>
    <xf numFmtId="0" fontId="6" fillId="0" borderId="16" xfId="0" applyFont="1" applyBorder="1"/>
    <xf numFmtId="164" fontId="8" fillId="22" borderId="26" xfId="0" applyNumberFormat="1" applyFont="1" applyFill="1" applyBorder="1"/>
    <xf numFmtId="0" fontId="6" fillId="0" borderId="19" xfId="0" applyFont="1" applyBorder="1" applyAlignment="1">
      <alignment horizontal="center"/>
    </xf>
    <xf numFmtId="0" fontId="6" fillId="0" borderId="19" xfId="0" applyFont="1" applyBorder="1"/>
    <xf numFmtId="164" fontId="6" fillId="22" borderId="18" xfId="0" applyNumberFormat="1" applyFont="1" applyFill="1" applyBorder="1" applyAlignment="1">
      <alignment horizontal="center"/>
    </xf>
    <xf numFmtId="167" fontId="6" fillId="22" borderId="18" xfId="0" applyNumberFormat="1" applyFont="1" applyFill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1" xfId="0" applyFont="1" applyBorder="1"/>
    <xf numFmtId="167" fontId="6" fillId="22" borderId="12" xfId="0" applyNumberFormat="1" applyFont="1" applyFill="1" applyBorder="1" applyAlignment="1">
      <alignment horizontal="right"/>
    </xf>
    <xf numFmtId="164" fontId="8" fillId="22" borderId="15" xfId="0" applyNumberFormat="1" applyFont="1" applyFill="1" applyBorder="1"/>
    <xf numFmtId="164" fontId="6" fillId="9" borderId="12" xfId="0" applyNumberFormat="1" applyFont="1" applyFill="1" applyBorder="1" applyAlignment="1">
      <alignment horizontal="right"/>
    </xf>
    <xf numFmtId="167" fontId="6" fillId="9" borderId="12" xfId="0" applyNumberFormat="1" applyFont="1" applyFill="1" applyBorder="1" applyAlignment="1">
      <alignment horizontal="right"/>
    </xf>
    <xf numFmtId="165" fontId="6" fillId="9" borderId="12" xfId="0" applyNumberFormat="1" applyFont="1" applyFill="1" applyBorder="1" applyAlignment="1">
      <alignment horizontal="right"/>
    </xf>
    <xf numFmtId="166" fontId="6" fillId="9" borderId="12" xfId="0" applyNumberFormat="1" applyFont="1" applyFill="1" applyBorder="1" applyAlignment="1">
      <alignment horizontal="right"/>
    </xf>
    <xf numFmtId="164" fontId="6" fillId="9" borderId="12" xfId="0" applyNumberFormat="1" applyFont="1" applyFill="1" applyBorder="1" applyAlignment="1">
      <alignment horizontal="center"/>
    </xf>
    <xf numFmtId="167" fontId="6" fillId="9" borderId="12" xfId="0" applyNumberFormat="1" applyFont="1" applyFill="1" applyBorder="1" applyAlignment="1">
      <alignment horizontal="center"/>
    </xf>
    <xf numFmtId="164" fontId="6" fillId="9" borderId="15" xfId="0" applyNumberFormat="1" applyFont="1" applyFill="1" applyBorder="1" applyAlignment="1">
      <alignment horizontal="center"/>
    </xf>
    <xf numFmtId="167" fontId="6" fillId="22" borderId="7" xfId="0" applyNumberFormat="1" applyFont="1" applyFill="1" applyBorder="1" applyAlignment="1">
      <alignment horizontal="right"/>
    </xf>
    <xf numFmtId="167" fontId="6" fillId="9" borderId="15" xfId="0" applyNumberFormat="1" applyFont="1" applyFill="1" applyBorder="1" applyAlignment="1">
      <alignment horizontal="center"/>
    </xf>
    <xf numFmtId="164" fontId="6" fillId="19" borderId="5" xfId="0" applyNumberFormat="1" applyFont="1" applyFill="1" applyBorder="1" applyAlignment="1">
      <alignment horizontal="right"/>
    </xf>
    <xf numFmtId="0" fontId="8" fillId="0" borderId="16" xfId="0" applyFont="1" applyBorder="1"/>
    <xf numFmtId="164" fontId="6" fillId="0" borderId="16" xfId="0" applyNumberFormat="1" applyFont="1" applyBorder="1" applyAlignment="1">
      <alignment horizontal="right"/>
    </xf>
    <xf numFmtId="167" fontId="6" fillId="0" borderId="16" xfId="0" applyNumberFormat="1" applyFont="1" applyBorder="1" applyAlignment="1">
      <alignment horizontal="right"/>
    </xf>
    <xf numFmtId="165" fontId="6" fillId="0" borderId="16" xfId="0" applyNumberFormat="1" applyFont="1" applyBorder="1" applyAlignment="1">
      <alignment horizontal="right"/>
    </xf>
    <xf numFmtId="166" fontId="6" fillId="0" borderId="16" xfId="0" applyNumberFormat="1" applyFont="1" applyBorder="1" applyAlignment="1">
      <alignment horizontal="right"/>
    </xf>
    <xf numFmtId="164" fontId="6" fillId="0" borderId="19" xfId="0" applyNumberFormat="1" applyFont="1" applyBorder="1" applyAlignment="1">
      <alignment horizontal="right"/>
    </xf>
    <xf numFmtId="167" fontId="6" fillId="0" borderId="19" xfId="0" applyNumberFormat="1" applyFont="1" applyBorder="1" applyAlignment="1">
      <alignment horizontal="right"/>
    </xf>
    <xf numFmtId="165" fontId="6" fillId="0" borderId="19" xfId="0" applyNumberFormat="1" applyFont="1" applyBorder="1" applyAlignment="1">
      <alignment horizontal="right"/>
    </xf>
    <xf numFmtId="0" fontId="8" fillId="22" borderId="19" xfId="0" applyFont="1" applyFill="1" applyBorder="1"/>
    <xf numFmtId="167" fontId="6" fillId="22" borderId="19" xfId="0" applyNumberFormat="1" applyFont="1" applyFill="1" applyBorder="1" applyAlignment="1">
      <alignment horizontal="right"/>
    </xf>
    <xf numFmtId="166" fontId="6" fillId="22" borderId="19" xfId="0" applyNumberFormat="1" applyFont="1" applyFill="1" applyBorder="1" applyAlignment="1">
      <alignment horizontal="right"/>
    </xf>
    <xf numFmtId="164" fontId="6" fillId="0" borderId="21" xfId="0" applyNumberFormat="1" applyFont="1" applyBorder="1" applyAlignment="1">
      <alignment horizontal="right"/>
    </xf>
    <xf numFmtId="167" fontId="6" fillId="0" borderId="21" xfId="0" applyNumberFormat="1" applyFont="1" applyBorder="1" applyAlignment="1">
      <alignment horizontal="right"/>
    </xf>
    <xf numFmtId="165" fontId="6" fillId="0" borderId="21" xfId="0" applyNumberFormat="1" applyFont="1" applyBorder="1" applyAlignment="1">
      <alignment horizontal="right"/>
    </xf>
    <xf numFmtId="164" fontId="6" fillId="34" borderId="14" xfId="0" applyNumberFormat="1" applyFont="1" applyFill="1" applyBorder="1" applyAlignment="1">
      <alignment horizontal="center" vertical="center" wrapText="1"/>
    </xf>
    <xf numFmtId="164" fontId="6" fillId="35" borderId="14" xfId="0" applyNumberFormat="1" applyFont="1" applyFill="1" applyBorder="1" applyAlignment="1">
      <alignment horizontal="center" vertical="center" wrapText="1"/>
    </xf>
    <xf numFmtId="164" fontId="6" fillId="34" borderId="14" xfId="0" applyNumberFormat="1" applyFont="1" applyFill="1" applyBorder="1" applyAlignment="1">
      <alignment horizontal="center" vertical="center"/>
    </xf>
    <xf numFmtId="164" fontId="6" fillId="26" borderId="14" xfId="0" applyNumberFormat="1" applyFont="1" applyFill="1" applyBorder="1" applyAlignment="1">
      <alignment horizontal="center" vertical="center"/>
    </xf>
    <xf numFmtId="164" fontId="6" fillId="35" borderId="14" xfId="0" applyNumberFormat="1" applyFont="1" applyFill="1" applyBorder="1" applyAlignment="1">
      <alignment horizontal="center" vertical="center"/>
    </xf>
    <xf numFmtId="164" fontId="6" fillId="36" borderId="14" xfId="0" applyNumberFormat="1" applyFont="1" applyFill="1" applyBorder="1" applyAlignment="1">
      <alignment horizontal="center" vertical="center" wrapText="1"/>
    </xf>
    <xf numFmtId="164" fontId="1" fillId="34" borderId="14" xfId="0" applyNumberFormat="1" applyFont="1" applyFill="1" applyBorder="1" applyAlignment="1">
      <alignment horizontal="center" vertical="center" shrinkToFit="1"/>
    </xf>
    <xf numFmtId="164" fontId="1" fillId="26" borderId="14" xfId="0" applyNumberFormat="1" applyFont="1" applyFill="1" applyBorder="1" applyAlignment="1">
      <alignment horizontal="center" vertical="center" shrinkToFit="1"/>
    </xf>
    <xf numFmtId="167" fontId="1" fillId="26" borderId="14" xfId="0" applyNumberFormat="1" applyFont="1" applyFill="1" applyBorder="1" applyAlignment="1">
      <alignment horizontal="center" vertical="center" shrinkToFit="1"/>
    </xf>
    <xf numFmtId="164" fontId="1" fillId="35" borderId="14" xfId="0" applyNumberFormat="1" applyFont="1" applyFill="1" applyBorder="1" applyAlignment="1">
      <alignment horizontal="center" vertical="center" shrinkToFit="1"/>
    </xf>
    <xf numFmtId="164" fontId="6" fillId="35" borderId="14" xfId="0" applyNumberFormat="1" applyFont="1" applyFill="1" applyBorder="1" applyAlignment="1">
      <alignment horizontal="center"/>
    </xf>
    <xf numFmtId="164" fontId="1" fillId="36" borderId="14" xfId="0" applyNumberFormat="1" applyFont="1" applyFill="1" applyBorder="1" applyAlignment="1">
      <alignment horizontal="center" vertical="center" shrinkToFit="1"/>
    </xf>
    <xf numFmtId="164" fontId="1" fillId="0" borderId="18" xfId="0" applyNumberFormat="1" applyFont="1" applyBorder="1" applyAlignment="1">
      <alignment vertical="center" shrinkToFit="1"/>
    </xf>
    <xf numFmtId="167" fontId="1" fillId="0" borderId="18" xfId="0" applyNumberFormat="1" applyFont="1" applyBorder="1" applyAlignment="1">
      <alignment vertical="center" shrinkToFit="1"/>
    </xf>
    <xf numFmtId="164" fontId="6" fillId="0" borderId="26" xfId="0" applyNumberFormat="1" applyFont="1" applyBorder="1" applyAlignment="1">
      <alignment horizontal="right"/>
    </xf>
    <xf numFmtId="164" fontId="1" fillId="15" borderId="18" xfId="0" applyNumberFormat="1" applyFont="1" applyFill="1" applyBorder="1" applyAlignment="1">
      <alignment vertical="center" shrinkToFit="1"/>
    </xf>
    <xf numFmtId="167" fontId="1" fillId="15" borderId="18" xfId="0" applyNumberFormat="1" applyFont="1" applyFill="1" applyBorder="1" applyAlignment="1">
      <alignment vertical="center" shrinkToFit="1"/>
    </xf>
    <xf numFmtId="164" fontId="1" fillId="0" borderId="12" xfId="0" applyNumberFormat="1" applyFont="1" applyBorder="1" applyAlignment="1">
      <alignment vertical="center" shrinkToFit="1"/>
    </xf>
    <xf numFmtId="167" fontId="1" fillId="0" borderId="12" xfId="0" applyNumberFormat="1" applyFont="1" applyBorder="1" applyAlignment="1">
      <alignment vertical="center" shrinkToFit="1"/>
    </xf>
    <xf numFmtId="164" fontId="6" fillId="0" borderId="15" xfId="0" applyNumberFormat="1" applyFont="1" applyBorder="1" applyAlignment="1">
      <alignment horizontal="right"/>
    </xf>
    <xf numFmtId="164" fontId="1" fillId="21" borderId="12" xfId="0" applyNumberFormat="1" applyFont="1" applyFill="1" applyBorder="1" applyAlignment="1">
      <alignment vertical="center" shrinkToFit="1"/>
    </xf>
    <xf numFmtId="167" fontId="1" fillId="21" borderId="12" xfId="0" applyNumberFormat="1" applyFont="1" applyFill="1" applyBorder="1" applyAlignment="1">
      <alignment vertical="center" shrinkToFit="1"/>
    </xf>
    <xf numFmtId="164" fontId="1" fillId="0" borderId="7" xfId="0" applyNumberFormat="1" applyFont="1" applyBorder="1" applyAlignment="1">
      <alignment vertical="center" shrinkToFit="1"/>
    </xf>
    <xf numFmtId="167" fontId="1" fillId="0" borderId="7" xfId="0" applyNumberFormat="1" applyFont="1" applyBorder="1" applyAlignment="1">
      <alignment vertical="center" shrinkToFit="1"/>
    </xf>
    <xf numFmtId="164" fontId="1" fillId="0" borderId="16" xfId="0" applyNumberFormat="1" applyFont="1" applyBorder="1" applyAlignment="1">
      <alignment horizontal="right" vertical="center" shrinkToFit="1"/>
    </xf>
    <xf numFmtId="164" fontId="1" fillId="0" borderId="19" xfId="0" applyNumberFormat="1" applyFont="1" applyBorder="1" applyAlignment="1">
      <alignment horizontal="right" vertical="center" shrinkToFit="1"/>
    </xf>
    <xf numFmtId="164" fontId="1" fillId="0" borderId="21" xfId="0" applyNumberFormat="1" applyFont="1" applyBorder="1" applyAlignment="1">
      <alignment horizontal="right" vertical="center" shrinkToFit="1"/>
    </xf>
    <xf numFmtId="164" fontId="6" fillId="11" borderId="14" xfId="0" applyNumberFormat="1" applyFont="1" applyFill="1" applyBorder="1"/>
    <xf numFmtId="164" fontId="6" fillId="7" borderId="14" xfId="0" applyNumberFormat="1" applyFont="1" applyFill="1" applyBorder="1"/>
    <xf numFmtId="164" fontId="6" fillId="12" borderId="14" xfId="0" applyNumberFormat="1" applyFont="1" applyFill="1" applyBorder="1"/>
    <xf numFmtId="164" fontId="6" fillId="13" borderId="14" xfId="0" applyNumberFormat="1" applyFont="1" applyFill="1" applyBorder="1"/>
    <xf numFmtId="164" fontId="6" fillId="17" borderId="14" xfId="0" applyNumberFormat="1" applyFont="1" applyFill="1" applyBorder="1"/>
    <xf numFmtId="164" fontId="6" fillId="23" borderId="14" xfId="0" applyNumberFormat="1" applyFont="1" applyFill="1" applyBorder="1"/>
    <xf numFmtId="164" fontId="6" fillId="18" borderId="14" xfId="0" applyNumberFormat="1" applyFont="1" applyFill="1" applyBorder="1"/>
    <xf numFmtId="167" fontId="6" fillId="18" borderId="14" xfId="0" applyNumberFormat="1" applyFont="1" applyFill="1" applyBorder="1"/>
    <xf numFmtId="165" fontId="6" fillId="18" borderId="14" xfId="0" applyNumberFormat="1" applyFont="1" applyFill="1" applyBorder="1"/>
    <xf numFmtId="166" fontId="6" fillId="18" borderId="14" xfId="0" applyNumberFormat="1" applyFont="1" applyFill="1" applyBorder="1"/>
    <xf numFmtId="164" fontId="6" fillId="9" borderId="14" xfId="0" applyNumberFormat="1" applyFont="1" applyFill="1" applyBorder="1"/>
    <xf numFmtId="167" fontId="6" fillId="9" borderId="14" xfId="0" applyNumberFormat="1" applyFont="1" applyFill="1" applyBorder="1"/>
    <xf numFmtId="165" fontId="6" fillId="9" borderId="14" xfId="0" applyNumberFormat="1" applyFont="1" applyFill="1" applyBorder="1"/>
    <xf numFmtId="166" fontId="6" fillId="9" borderId="14" xfId="0" applyNumberFormat="1" applyFont="1" applyFill="1" applyBorder="1"/>
    <xf numFmtId="0" fontId="18" fillId="19" borderId="14" xfId="0" applyFont="1" applyFill="1" applyBorder="1"/>
    <xf numFmtId="167" fontId="6" fillId="19" borderId="14" xfId="0" applyNumberFormat="1" applyFont="1" applyFill="1" applyBorder="1"/>
    <xf numFmtId="165" fontId="6" fillId="19" borderId="14" xfId="0" applyNumberFormat="1" applyFont="1" applyFill="1" applyBorder="1"/>
    <xf numFmtId="166" fontId="6" fillId="19" borderId="14" xfId="0" applyNumberFormat="1" applyFont="1" applyFill="1" applyBorder="1"/>
    <xf numFmtId="164" fontId="6" fillId="11" borderId="18" xfId="0" applyNumberFormat="1" applyFont="1" applyFill="1" applyBorder="1"/>
    <xf numFmtId="164" fontId="6" fillId="7" borderId="18" xfId="0" applyNumberFormat="1" applyFont="1" applyFill="1" applyBorder="1"/>
    <xf numFmtId="167" fontId="6" fillId="22" borderId="18" xfId="0" applyNumberFormat="1" applyFont="1" applyFill="1" applyBorder="1"/>
    <xf numFmtId="166" fontId="6" fillId="0" borderId="18" xfId="0" applyNumberFormat="1" applyFont="1" applyBorder="1"/>
    <xf numFmtId="167" fontId="6" fillId="0" borderId="18" xfId="0" applyNumberFormat="1" applyFont="1" applyBorder="1"/>
    <xf numFmtId="164" fontId="6" fillId="11" borderId="12" xfId="0" applyNumberFormat="1" applyFont="1" applyFill="1" applyBorder="1"/>
    <xf numFmtId="164" fontId="6" fillId="7" borderId="12" xfId="0" applyNumberFormat="1" applyFont="1" applyFill="1" applyBorder="1"/>
    <xf numFmtId="164" fontId="6" fillId="0" borderId="12" xfId="0" applyNumberFormat="1" applyFont="1" applyBorder="1"/>
    <xf numFmtId="167" fontId="6" fillId="0" borderId="12" xfId="0" applyNumberFormat="1" applyFont="1" applyBorder="1"/>
    <xf numFmtId="165" fontId="6" fillId="0" borderId="12" xfId="0" applyNumberFormat="1" applyFont="1" applyBorder="1"/>
    <xf numFmtId="166" fontId="6" fillId="0" borderId="12" xfId="0" applyNumberFormat="1" applyFont="1" applyBorder="1"/>
    <xf numFmtId="164" fontId="6" fillId="9" borderId="12" xfId="0" applyNumberFormat="1" applyFont="1" applyFill="1" applyBorder="1"/>
    <xf numFmtId="167" fontId="6" fillId="9" borderId="12" xfId="0" applyNumberFormat="1" applyFont="1" applyFill="1" applyBorder="1"/>
    <xf numFmtId="165" fontId="6" fillId="9" borderId="12" xfId="0" applyNumberFormat="1" applyFont="1" applyFill="1" applyBorder="1"/>
    <xf numFmtId="166" fontId="6" fillId="9" borderId="12" xfId="0" applyNumberFormat="1" applyFont="1" applyFill="1" applyBorder="1"/>
    <xf numFmtId="164" fontId="6" fillId="22" borderId="15" xfId="0" applyNumberFormat="1" applyFont="1" applyFill="1" applyBorder="1" applyAlignment="1">
      <alignment horizontal="center"/>
    </xf>
    <xf numFmtId="164" fontId="6" fillId="22" borderId="12" xfId="0" applyNumberFormat="1" applyFont="1" applyFill="1" applyBorder="1" applyAlignment="1">
      <alignment horizontal="center"/>
    </xf>
    <xf numFmtId="164" fontId="6" fillId="19" borderId="12" xfId="0" applyNumberFormat="1" applyFont="1" applyFill="1" applyBorder="1"/>
    <xf numFmtId="167" fontId="6" fillId="19" borderId="12" xfId="0" applyNumberFormat="1" applyFont="1" applyFill="1" applyBorder="1"/>
    <xf numFmtId="166" fontId="6" fillId="19" borderId="12" xfId="0" applyNumberFormat="1" applyFont="1" applyFill="1" applyBorder="1"/>
    <xf numFmtId="164" fontId="12" fillId="0" borderId="18" xfId="0" applyNumberFormat="1" applyFont="1" applyBorder="1"/>
    <xf numFmtId="165" fontId="12" fillId="0" borderId="18" xfId="0" applyNumberFormat="1" applyFont="1" applyBorder="1"/>
    <xf numFmtId="165" fontId="12" fillId="22" borderId="18" xfId="0" applyNumberFormat="1" applyFont="1" applyFill="1" applyBorder="1"/>
    <xf numFmtId="164" fontId="6" fillId="11" borderId="29" xfId="0" applyNumberFormat="1" applyFont="1" applyFill="1" applyBorder="1"/>
    <xf numFmtId="164" fontId="6" fillId="7" borderId="29" xfId="0" applyNumberFormat="1" applyFont="1" applyFill="1" applyBorder="1"/>
    <xf numFmtId="167" fontId="6" fillId="0" borderId="29" xfId="0" applyNumberFormat="1" applyFont="1" applyBorder="1"/>
    <xf numFmtId="165" fontId="6" fillId="0" borderId="29" xfId="0" applyNumberFormat="1" applyFont="1" applyBorder="1"/>
    <xf numFmtId="166" fontId="6" fillId="0" borderId="29" xfId="0" applyNumberFormat="1" applyFont="1" applyBorder="1"/>
    <xf numFmtId="164" fontId="12" fillId="0" borderId="29" xfId="0" applyNumberFormat="1" applyFont="1" applyBorder="1"/>
    <xf numFmtId="165" fontId="12" fillId="0" borderId="29" xfId="0" applyNumberFormat="1" applyFont="1" applyBorder="1"/>
    <xf numFmtId="164" fontId="6" fillId="11" borderId="30" xfId="0" applyNumberFormat="1" applyFont="1" applyFill="1" applyBorder="1"/>
    <xf numFmtId="164" fontId="6" fillId="7" borderId="30" xfId="0" applyNumberFormat="1" applyFont="1" applyFill="1" applyBorder="1"/>
    <xf numFmtId="167" fontId="6" fillId="0" borderId="30" xfId="0" applyNumberFormat="1" applyFont="1" applyBorder="1"/>
    <xf numFmtId="165" fontId="6" fillId="0" borderId="30" xfId="0" applyNumberFormat="1" applyFont="1" applyBorder="1"/>
    <xf numFmtId="166" fontId="6" fillId="0" borderId="30" xfId="0" applyNumberFormat="1" applyFont="1" applyBorder="1"/>
    <xf numFmtId="164" fontId="12" fillId="0" borderId="30" xfId="0" applyNumberFormat="1" applyFont="1" applyBorder="1"/>
    <xf numFmtId="165" fontId="12" fillId="0" borderId="30" xfId="0" applyNumberFormat="1" applyFont="1" applyBorder="1"/>
    <xf numFmtId="164" fontId="19" fillId="0" borderId="11" xfId="0" applyNumberFormat="1" applyFont="1" applyBorder="1"/>
    <xf numFmtId="165" fontId="19" fillId="0" borderId="11" xfId="0" applyNumberFormat="1" applyFont="1" applyBorder="1"/>
    <xf numFmtId="166" fontId="19" fillId="0" borderId="11" xfId="0" applyNumberFormat="1" applyFont="1" applyBorder="1"/>
    <xf numFmtId="168" fontId="8" fillId="0" borderId="11" xfId="0" applyNumberFormat="1" applyFont="1" applyBorder="1"/>
    <xf numFmtId="164" fontId="20" fillId="22" borderId="14" xfId="0" applyNumberFormat="1" applyFont="1" applyFill="1" applyBorder="1" applyAlignment="1">
      <alignment horizontal="center" vertical="center"/>
    </xf>
    <xf numFmtId="165" fontId="20" fillId="22" borderId="14" xfId="0" applyNumberFormat="1" applyFont="1" applyFill="1" applyBorder="1" applyAlignment="1">
      <alignment horizontal="center" vertical="center"/>
    </xf>
    <xf numFmtId="165" fontId="22" fillId="22" borderId="14" xfId="0" applyNumberFormat="1" applyFont="1" applyFill="1" applyBorder="1" applyAlignment="1">
      <alignment horizontal="center" vertical="center"/>
    </xf>
    <xf numFmtId="166" fontId="20" fillId="22" borderId="14" xfId="0" applyNumberFormat="1" applyFont="1" applyFill="1" applyBorder="1" applyAlignment="1">
      <alignment horizontal="center" vertical="center"/>
    </xf>
    <xf numFmtId="164" fontId="6" fillId="31" borderId="14" xfId="0" applyNumberFormat="1" applyFont="1" applyFill="1" applyBorder="1" applyAlignment="1">
      <alignment horizontal="center" vertical="center" wrapText="1"/>
    </xf>
    <xf numFmtId="164" fontId="6" fillId="40" borderId="14" xfId="0" applyNumberFormat="1" applyFont="1" applyFill="1" applyBorder="1" applyAlignment="1">
      <alignment horizontal="center" vertical="center" wrapText="1"/>
    </xf>
    <xf numFmtId="164" fontId="11" fillId="42" borderId="14" xfId="0" applyNumberFormat="1" applyFont="1" applyFill="1" applyBorder="1" applyAlignment="1">
      <alignment horizontal="center" vertical="center" wrapText="1"/>
    </xf>
    <xf numFmtId="168" fontId="6" fillId="2" borderId="14" xfId="0" applyNumberFormat="1" applyFont="1" applyFill="1" applyBorder="1" applyAlignment="1">
      <alignment horizontal="center" vertical="center" wrapText="1"/>
    </xf>
    <xf numFmtId="164" fontId="11" fillId="45" borderId="14" xfId="0" applyNumberFormat="1" applyFont="1" applyFill="1" applyBorder="1" applyAlignment="1">
      <alignment horizontal="center" vertical="center" wrapText="1"/>
    </xf>
    <xf numFmtId="165" fontId="23" fillId="45" borderId="14" xfId="0" applyNumberFormat="1" applyFont="1" applyFill="1" applyBorder="1" applyAlignment="1">
      <alignment horizontal="center" vertical="center" wrapText="1"/>
    </xf>
    <xf numFmtId="164" fontId="20" fillId="2" borderId="14" xfId="0" applyNumberFormat="1" applyFont="1" applyFill="1" applyBorder="1" applyAlignment="1">
      <alignment horizontal="center" vertical="center" wrapText="1"/>
    </xf>
    <xf numFmtId="164" fontId="13" fillId="11" borderId="14" xfId="0" applyNumberFormat="1" applyFont="1" applyFill="1" applyBorder="1" applyAlignment="1">
      <alignment horizontal="center" vertical="center" shrinkToFit="1"/>
    </xf>
    <xf numFmtId="164" fontId="13" fillId="7" borderId="14" xfId="0" applyNumberFormat="1" applyFont="1" applyFill="1" applyBorder="1" applyAlignment="1">
      <alignment horizontal="center" vertical="center" shrinkToFit="1"/>
    </xf>
    <xf numFmtId="164" fontId="13" fillId="12" borderId="14" xfId="0" applyNumberFormat="1" applyFont="1" applyFill="1" applyBorder="1" applyAlignment="1">
      <alignment horizontal="center" vertical="center" shrinkToFit="1"/>
    </xf>
    <xf numFmtId="164" fontId="13" fillId="13" borderId="14" xfId="0" applyNumberFormat="1" applyFont="1" applyFill="1" applyBorder="1" applyAlignment="1">
      <alignment horizontal="center" vertical="center" shrinkToFit="1"/>
    </xf>
    <xf numFmtId="164" fontId="13" fillId="17" borderId="14" xfId="0" applyNumberFormat="1" applyFont="1" applyFill="1" applyBorder="1" applyAlignment="1">
      <alignment horizontal="center" vertical="center" shrinkToFit="1"/>
    </xf>
    <xf numFmtId="164" fontId="13" fillId="8" borderId="14" xfId="0" applyNumberFormat="1" applyFont="1" applyFill="1" applyBorder="1" applyAlignment="1">
      <alignment horizontal="center" vertical="center" shrinkToFit="1"/>
    </xf>
    <xf numFmtId="164" fontId="13" fillId="18" borderId="14" xfId="0" applyNumberFormat="1" applyFont="1" applyFill="1" applyBorder="1" applyAlignment="1">
      <alignment horizontal="center" vertical="center" shrinkToFit="1"/>
    </xf>
    <xf numFmtId="167" fontId="13" fillId="18" borderId="14" xfId="0" applyNumberFormat="1" applyFont="1" applyFill="1" applyBorder="1" applyAlignment="1">
      <alignment horizontal="center" vertical="center" shrinkToFit="1"/>
    </xf>
    <xf numFmtId="165" fontId="13" fillId="18" borderId="14" xfId="0" applyNumberFormat="1" applyFont="1" applyFill="1" applyBorder="1" applyAlignment="1">
      <alignment horizontal="right" vertical="center" shrinkToFit="1"/>
    </xf>
    <xf numFmtId="166" fontId="13" fillId="18" borderId="14" xfId="0" applyNumberFormat="1" applyFont="1" applyFill="1" applyBorder="1" applyAlignment="1">
      <alignment horizontal="right" vertical="center" shrinkToFit="1"/>
    </xf>
    <xf numFmtId="166" fontId="20" fillId="18" borderId="14" xfId="0" applyNumberFormat="1" applyFont="1" applyFill="1" applyBorder="1" applyAlignment="1">
      <alignment horizontal="right"/>
    </xf>
    <xf numFmtId="165" fontId="20" fillId="18" borderId="14" xfId="0" applyNumberFormat="1" applyFont="1" applyFill="1" applyBorder="1" applyAlignment="1">
      <alignment horizontal="right"/>
    </xf>
    <xf numFmtId="164" fontId="6" fillId="31" borderId="14" xfId="0" applyNumberFormat="1" applyFont="1" applyFill="1" applyBorder="1" applyAlignment="1">
      <alignment horizontal="center"/>
    </xf>
    <xf numFmtId="164" fontId="11" fillId="40" borderId="14" xfId="0" applyNumberFormat="1" applyFont="1" applyFill="1" applyBorder="1" applyAlignment="1">
      <alignment horizontal="center"/>
    </xf>
    <xf numFmtId="164" fontId="20" fillId="2" borderId="14" xfId="0" applyNumberFormat="1" applyFont="1" applyFill="1" applyBorder="1" applyAlignment="1">
      <alignment horizontal="center"/>
    </xf>
    <xf numFmtId="164" fontId="11" fillId="42" borderId="14" xfId="0" applyNumberFormat="1" applyFont="1" applyFill="1" applyBorder="1" applyAlignment="1">
      <alignment horizontal="center"/>
    </xf>
    <xf numFmtId="164" fontId="11" fillId="45" borderId="14" xfId="0" applyNumberFormat="1" applyFont="1" applyFill="1" applyBorder="1" applyAlignment="1">
      <alignment horizontal="center"/>
    </xf>
    <xf numFmtId="167" fontId="13" fillId="9" borderId="14" xfId="0" applyNumberFormat="1" applyFont="1" applyFill="1" applyBorder="1" applyAlignment="1">
      <alignment vertical="center" shrinkToFit="1"/>
    </xf>
    <xf numFmtId="166" fontId="13" fillId="9" borderId="14" xfId="0" applyNumberFormat="1" applyFont="1" applyFill="1" applyBorder="1" applyAlignment="1">
      <alignment horizontal="right" vertical="center" shrinkToFit="1"/>
    </xf>
    <xf numFmtId="166" fontId="20" fillId="9" borderId="14" xfId="0" applyNumberFormat="1" applyFont="1" applyFill="1" applyBorder="1" applyAlignment="1">
      <alignment horizontal="right"/>
    </xf>
    <xf numFmtId="165" fontId="20" fillId="9" borderId="14" xfId="0" applyNumberFormat="1" applyFont="1" applyFill="1" applyBorder="1" applyAlignment="1">
      <alignment horizontal="right"/>
    </xf>
    <xf numFmtId="167" fontId="13" fillId="19" borderId="14" xfId="0" applyNumberFormat="1" applyFont="1" applyFill="1" applyBorder="1" applyAlignment="1">
      <alignment vertical="center" shrinkToFit="1"/>
    </xf>
    <xf numFmtId="166" fontId="13" fillId="19" borderId="14" xfId="0" applyNumberFormat="1" applyFont="1" applyFill="1" applyBorder="1" applyAlignment="1">
      <alignment horizontal="right" vertical="center" shrinkToFit="1"/>
    </xf>
    <xf numFmtId="166" fontId="20" fillId="19" borderId="14" xfId="0" applyNumberFormat="1" applyFont="1" applyFill="1" applyBorder="1" applyAlignment="1">
      <alignment horizontal="right"/>
    </xf>
    <xf numFmtId="165" fontId="20" fillId="19" borderId="14" xfId="0" applyNumberFormat="1" applyFont="1" applyFill="1" applyBorder="1" applyAlignment="1">
      <alignment horizontal="right"/>
    </xf>
    <xf numFmtId="164" fontId="24" fillId="19" borderId="14" xfId="0" applyNumberFormat="1" applyFont="1" applyFill="1" applyBorder="1"/>
    <xf numFmtId="165" fontId="24" fillId="19" borderId="14" xfId="0" applyNumberFormat="1" applyFont="1" applyFill="1" applyBorder="1"/>
    <xf numFmtId="165" fontId="8" fillId="19" borderId="14" xfId="0" applyNumberFormat="1" applyFont="1" applyFill="1" applyBorder="1" applyAlignment="1">
      <alignment horizontal="right"/>
    </xf>
    <xf numFmtId="167" fontId="13" fillId="20" borderId="14" xfId="0" applyNumberFormat="1" applyFont="1" applyFill="1" applyBorder="1" applyAlignment="1">
      <alignment vertical="center" shrinkToFit="1"/>
    </xf>
    <xf numFmtId="166" fontId="13" fillId="20" borderId="14" xfId="0" applyNumberFormat="1" applyFont="1" applyFill="1" applyBorder="1" applyAlignment="1">
      <alignment horizontal="right" vertical="center" shrinkToFit="1"/>
    </xf>
    <xf numFmtId="166" fontId="20" fillId="20" borderId="14" xfId="0" applyNumberFormat="1" applyFont="1" applyFill="1" applyBorder="1" applyAlignment="1">
      <alignment horizontal="right"/>
    </xf>
    <xf numFmtId="165" fontId="20" fillId="20" borderId="14" xfId="0" applyNumberFormat="1" applyFont="1" applyFill="1" applyBorder="1" applyAlignment="1">
      <alignment horizontal="right"/>
    </xf>
    <xf numFmtId="167" fontId="13" fillId="21" borderId="14" xfId="0" applyNumberFormat="1" applyFont="1" applyFill="1" applyBorder="1" applyAlignment="1">
      <alignment vertical="center" shrinkToFit="1"/>
    </xf>
    <xf numFmtId="166" fontId="13" fillId="21" borderId="14" xfId="0" applyNumberFormat="1" applyFont="1" applyFill="1" applyBorder="1" applyAlignment="1">
      <alignment horizontal="right" vertical="center" shrinkToFit="1"/>
    </xf>
    <xf numFmtId="166" fontId="20" fillId="21" borderId="14" xfId="0" applyNumberFormat="1" applyFont="1" applyFill="1" applyBorder="1" applyAlignment="1">
      <alignment horizontal="right"/>
    </xf>
    <xf numFmtId="165" fontId="20" fillId="21" borderId="14" xfId="0" applyNumberFormat="1" applyFont="1" applyFill="1" applyBorder="1" applyAlignment="1">
      <alignment horizontal="right"/>
    </xf>
    <xf numFmtId="164" fontId="13" fillId="11" borderId="17" xfId="0" applyNumberFormat="1" applyFont="1" applyFill="1" applyBorder="1" applyAlignment="1">
      <alignment vertical="center" shrinkToFit="1"/>
    </xf>
    <xf numFmtId="164" fontId="13" fillId="7" borderId="16" xfId="0" applyNumberFormat="1" applyFont="1" applyFill="1" applyBorder="1" applyAlignment="1">
      <alignment vertical="center" shrinkToFit="1"/>
    </xf>
    <xf numFmtId="167" fontId="13" fillId="15" borderId="16" xfId="0" applyNumberFormat="1" applyFont="1" applyFill="1" applyBorder="1" applyAlignment="1">
      <alignment vertical="center" shrinkToFit="1"/>
    </xf>
    <xf numFmtId="166" fontId="13" fillId="0" borderId="16" xfId="0" applyNumberFormat="1" applyFont="1" applyBorder="1" applyAlignment="1">
      <alignment horizontal="right" vertical="center" shrinkToFit="1"/>
    </xf>
    <xf numFmtId="166" fontId="20" fillId="0" borderId="18" xfId="0" applyNumberFormat="1" applyFont="1" applyBorder="1" applyAlignment="1">
      <alignment horizontal="right"/>
    </xf>
    <xf numFmtId="165" fontId="20" fillId="0" borderId="18" xfId="0" applyNumberFormat="1" applyFont="1" applyBorder="1" applyAlignment="1">
      <alignment horizontal="right"/>
    </xf>
    <xf numFmtId="164" fontId="13" fillId="11" borderId="20" xfId="0" applyNumberFormat="1" applyFont="1" applyFill="1" applyBorder="1" applyAlignment="1">
      <alignment vertical="center" shrinkToFit="1"/>
    </xf>
    <xf numFmtId="164" fontId="13" fillId="7" borderId="19" xfId="0" applyNumberFormat="1" applyFont="1" applyFill="1" applyBorder="1" applyAlignment="1">
      <alignment vertical="center" shrinkToFit="1"/>
    </xf>
    <xf numFmtId="167" fontId="13" fillId="0" borderId="19" xfId="0" applyNumberFormat="1" applyFont="1" applyBorder="1" applyAlignment="1">
      <alignment vertical="center" shrinkToFit="1"/>
    </xf>
    <xf numFmtId="166" fontId="13" fillId="0" borderId="19" xfId="0" applyNumberFormat="1" applyFont="1" applyBorder="1" applyAlignment="1">
      <alignment horizontal="right" vertical="center" shrinkToFit="1"/>
    </xf>
    <xf numFmtId="164" fontId="13" fillId="11" borderId="22" xfId="0" applyNumberFormat="1" applyFont="1" applyFill="1" applyBorder="1" applyAlignment="1">
      <alignment vertical="center" shrinkToFit="1"/>
    </xf>
    <xf numFmtId="164" fontId="13" fillId="7" borderId="21" xfId="0" applyNumberFormat="1" applyFont="1" applyFill="1" applyBorder="1" applyAlignment="1">
      <alignment vertical="center" shrinkToFit="1"/>
    </xf>
    <xf numFmtId="167" fontId="13" fillId="0" borderId="21" xfId="0" applyNumberFormat="1" applyFont="1" applyBorder="1" applyAlignment="1">
      <alignment vertical="center" shrinkToFit="1"/>
    </xf>
    <xf numFmtId="165" fontId="13" fillId="0" borderId="21" xfId="0" applyNumberFormat="1" applyFont="1" applyBorder="1" applyAlignment="1">
      <alignment horizontal="right" vertical="center" shrinkToFit="1"/>
    </xf>
    <xf numFmtId="166" fontId="13" fillId="0" borderId="21" xfId="0" applyNumberFormat="1" applyFont="1" applyBorder="1" applyAlignment="1">
      <alignment horizontal="right" vertical="center" shrinkToFit="1"/>
    </xf>
    <xf numFmtId="166" fontId="20" fillId="0" borderId="12" xfId="0" applyNumberFormat="1" applyFont="1" applyBorder="1" applyAlignment="1">
      <alignment horizontal="right"/>
    </xf>
    <xf numFmtId="165" fontId="20" fillId="0" borderId="12" xfId="0" applyNumberFormat="1" applyFont="1" applyBorder="1" applyAlignment="1">
      <alignment horizontal="right"/>
    </xf>
    <xf numFmtId="164" fontId="13" fillId="21" borderId="11" xfId="0" applyNumberFormat="1" applyFont="1" applyFill="1" applyBorder="1" applyAlignment="1">
      <alignment vertical="center" shrinkToFit="1"/>
    </xf>
    <xf numFmtId="166" fontId="20" fillId="21" borderId="12" xfId="0" applyNumberFormat="1" applyFont="1" applyFill="1" applyBorder="1" applyAlignment="1">
      <alignment horizontal="right"/>
    </xf>
    <xf numFmtId="165" fontId="20" fillId="21" borderId="12" xfId="0" applyNumberFormat="1" applyFont="1" applyFill="1" applyBorder="1" applyAlignment="1">
      <alignment horizontal="right"/>
    </xf>
    <xf numFmtId="164" fontId="13" fillId="11" borderId="25" xfId="0" applyNumberFormat="1" applyFont="1" applyFill="1" applyBorder="1" applyAlignment="1">
      <alignment vertical="center" shrinkToFit="1"/>
    </xf>
    <xf numFmtId="166" fontId="20" fillId="0" borderId="7" xfId="0" applyNumberFormat="1" applyFont="1" applyBorder="1" applyAlignment="1">
      <alignment horizontal="right"/>
    </xf>
    <xf numFmtId="165" fontId="20" fillId="0" borderId="7" xfId="0" applyNumberFormat="1" applyFont="1" applyBorder="1" applyAlignment="1">
      <alignment horizontal="right"/>
    </xf>
    <xf numFmtId="164" fontId="13" fillId="21" borderId="4" xfId="0" applyNumberFormat="1" applyFont="1" applyFill="1" applyBorder="1" applyAlignment="1">
      <alignment vertical="center" shrinkToFit="1"/>
    </xf>
    <xf numFmtId="167" fontId="13" fillId="0" borderId="26" xfId="0" applyNumberFormat="1" applyFont="1" applyBorder="1" applyAlignment="1">
      <alignment vertical="center" shrinkToFit="1"/>
    </xf>
    <xf numFmtId="167" fontId="13" fillId="0" borderId="16" xfId="0" applyNumberFormat="1" applyFont="1" applyBorder="1" applyAlignment="1">
      <alignment vertical="center" shrinkToFit="1"/>
    </xf>
    <xf numFmtId="166" fontId="13" fillId="0" borderId="27" xfId="0" applyNumberFormat="1" applyFont="1" applyBorder="1" applyAlignment="1">
      <alignment horizontal="right" vertical="center" shrinkToFit="1"/>
    </xf>
    <xf numFmtId="166" fontId="13" fillId="0" borderId="26" xfId="0" applyNumberFormat="1" applyFont="1" applyBorder="1" applyAlignment="1">
      <alignment horizontal="right" vertical="center" shrinkToFit="1"/>
    </xf>
    <xf numFmtId="165" fontId="13" fillId="0" borderId="26" xfId="0" applyNumberFormat="1" applyFont="1" applyBorder="1" applyAlignment="1">
      <alignment horizontal="right" vertical="center" shrinkToFit="1"/>
    </xf>
    <xf numFmtId="164" fontId="1" fillId="6" borderId="14" xfId="0" applyNumberFormat="1" applyFont="1" applyFill="1" applyBorder="1" applyAlignment="1">
      <alignment horizontal="center" vertical="center" wrapText="1"/>
    </xf>
    <xf numFmtId="165" fontId="4" fillId="6" borderId="14" xfId="0" applyNumberFormat="1" applyFont="1" applyFill="1" applyBorder="1" applyAlignment="1">
      <alignment horizontal="center" vertical="center" wrapText="1"/>
    </xf>
    <xf numFmtId="164" fontId="25" fillId="2" borderId="14" xfId="0" applyNumberFormat="1" applyFont="1" applyFill="1" applyBorder="1" applyAlignment="1">
      <alignment horizontal="center" vertical="center" wrapText="1"/>
    </xf>
    <xf numFmtId="164" fontId="6" fillId="6" borderId="14" xfId="0" applyNumberFormat="1" applyFont="1" applyFill="1" applyBorder="1" applyAlignment="1">
      <alignment horizontal="center"/>
    </xf>
    <xf numFmtId="165" fontId="6" fillId="6" borderId="14" xfId="0" applyNumberFormat="1" applyFont="1" applyFill="1" applyBorder="1" applyAlignment="1">
      <alignment horizontal="right"/>
    </xf>
    <xf numFmtId="0" fontId="26" fillId="0" borderId="0" xfId="0" applyFont="1" applyAlignment="1">
      <alignment vertical="center"/>
    </xf>
    <xf numFmtId="165" fontId="12" fillId="19" borderId="14" xfId="0" applyNumberFormat="1" applyFont="1" applyFill="1" applyBorder="1"/>
    <xf numFmtId="164" fontId="6" fillId="21" borderId="14" xfId="0" applyNumberFormat="1" applyFont="1" applyFill="1" applyBorder="1"/>
    <xf numFmtId="167" fontId="6" fillId="21" borderId="14" xfId="0" applyNumberFormat="1" applyFont="1" applyFill="1" applyBorder="1"/>
    <xf numFmtId="165" fontId="6" fillId="21" borderId="14" xfId="0" applyNumberFormat="1" applyFont="1" applyFill="1" applyBorder="1"/>
    <xf numFmtId="166" fontId="6" fillId="21" borderId="14" xfId="0" applyNumberFormat="1" applyFont="1" applyFill="1" applyBorder="1"/>
    <xf numFmtId="0" fontId="26" fillId="21" borderId="0" xfId="0" applyFont="1" applyFill="1"/>
    <xf numFmtId="164" fontId="6" fillId="21" borderId="12" xfId="0" applyNumberFormat="1" applyFont="1" applyFill="1" applyBorder="1"/>
    <xf numFmtId="167" fontId="6" fillId="21" borderId="12" xfId="0" applyNumberFormat="1" applyFont="1" applyFill="1" applyBorder="1"/>
    <xf numFmtId="165" fontId="6" fillId="21" borderId="12" xfId="0" applyNumberFormat="1" applyFont="1" applyFill="1" applyBorder="1"/>
    <xf numFmtId="166" fontId="6" fillId="21" borderId="12" xfId="0" applyNumberFormat="1" applyFont="1" applyFill="1" applyBorder="1"/>
    <xf numFmtId="165" fontId="6" fillId="22" borderId="18" xfId="0" applyNumberFormat="1" applyFont="1" applyFill="1" applyBorder="1"/>
    <xf numFmtId="164" fontId="6" fillId="0" borderId="29" xfId="0" applyNumberFormat="1" applyFont="1" applyBorder="1" applyAlignment="1">
      <alignment horizontal="center"/>
    </xf>
    <xf numFmtId="165" fontId="6" fillId="0" borderId="29" xfId="0" applyNumberFormat="1" applyFont="1" applyBorder="1" applyAlignment="1">
      <alignment horizontal="center"/>
    </xf>
    <xf numFmtId="164" fontId="6" fillId="0" borderId="30" xfId="0" applyNumberFormat="1" applyFont="1" applyBorder="1" applyAlignment="1">
      <alignment horizontal="center"/>
    </xf>
    <xf numFmtId="165" fontId="6" fillId="0" borderId="30" xfId="0" applyNumberFormat="1" applyFont="1" applyBorder="1" applyAlignment="1">
      <alignment horizontal="center"/>
    </xf>
    <xf numFmtId="164" fontId="6" fillId="22" borderId="13" xfId="0" applyNumberFormat="1" applyFont="1" applyFill="1" applyBorder="1" applyAlignment="1">
      <alignment horizontal="right"/>
    </xf>
    <xf numFmtId="164" fontId="6" fillId="21" borderId="5" xfId="0" applyNumberFormat="1" applyFont="1" applyFill="1" applyBorder="1" applyAlignment="1">
      <alignment horizontal="center"/>
    </xf>
    <xf numFmtId="165" fontId="6" fillId="21" borderId="5" xfId="0" applyNumberFormat="1" applyFont="1" applyFill="1" applyBorder="1" applyAlignment="1">
      <alignment horizontal="right"/>
    </xf>
    <xf numFmtId="165" fontId="6" fillId="2" borderId="14" xfId="0" applyNumberFormat="1" applyFont="1" applyFill="1" applyBorder="1" applyAlignment="1">
      <alignment horizontal="center" vertical="center" wrapText="1"/>
    </xf>
    <xf numFmtId="164" fontId="6" fillId="36" borderId="14" xfId="0" applyNumberFormat="1" applyFont="1" applyFill="1" applyBorder="1" applyAlignment="1">
      <alignment horizontal="center"/>
    </xf>
    <xf numFmtId="165" fontId="8" fillId="22" borderId="18" xfId="0" applyNumberFormat="1" applyFont="1" applyFill="1" applyBorder="1"/>
    <xf numFmtId="164" fontId="8" fillId="22" borderId="12" xfId="0" applyNumberFormat="1" applyFont="1" applyFill="1" applyBorder="1"/>
    <xf numFmtId="0" fontId="6" fillId="35" borderId="14" xfId="0" applyFont="1" applyFill="1" applyBorder="1" applyAlignment="1">
      <alignment horizontal="center" vertical="center"/>
    </xf>
    <xf numFmtId="164" fontId="6" fillId="30" borderId="14" xfId="0" applyNumberFormat="1" applyFont="1" applyFill="1" applyBorder="1" applyAlignment="1">
      <alignment horizontal="center" vertical="center" wrapText="1"/>
    </xf>
    <xf numFmtId="164" fontId="6" fillId="29" borderId="14" xfId="0" applyNumberFormat="1" applyFont="1" applyFill="1" applyBorder="1" applyAlignment="1">
      <alignment horizontal="center" vertical="center" wrapText="1"/>
    </xf>
    <xf numFmtId="164" fontId="6" fillId="41" borderId="14" xfId="0" applyNumberFormat="1" applyFont="1" applyFill="1" applyBorder="1" applyAlignment="1">
      <alignment horizontal="center" vertical="center" wrapText="1"/>
    </xf>
    <xf numFmtId="165" fontId="9" fillId="41" borderId="14" xfId="0" applyNumberFormat="1" applyFont="1" applyFill="1" applyBorder="1" applyAlignment="1">
      <alignment horizontal="center" vertical="center" wrapText="1"/>
    </xf>
    <xf numFmtId="164" fontId="6" fillId="30" borderId="14" xfId="0" applyNumberFormat="1" applyFont="1" applyFill="1" applyBorder="1" applyAlignment="1">
      <alignment horizontal="center"/>
    </xf>
    <xf numFmtId="164" fontId="6" fillId="31" borderId="14" xfId="0" applyNumberFormat="1" applyFont="1" applyFill="1" applyBorder="1"/>
    <xf numFmtId="164" fontId="6" fillId="25" borderId="14" xfId="0" applyNumberFormat="1" applyFont="1" applyFill="1" applyBorder="1"/>
    <xf numFmtId="165" fontId="6" fillId="25" borderId="14" xfId="0" applyNumberFormat="1" applyFont="1" applyFill="1" applyBorder="1"/>
    <xf numFmtId="164" fontId="6" fillId="29" borderId="14" xfId="0" applyNumberFormat="1" applyFont="1" applyFill="1" applyBorder="1" applyAlignment="1">
      <alignment horizontal="center"/>
    </xf>
    <xf numFmtId="164" fontId="6" fillId="41" borderId="14" xfId="0" applyNumberFormat="1" applyFont="1" applyFill="1" applyBorder="1" applyAlignment="1">
      <alignment horizontal="center"/>
    </xf>
    <xf numFmtId="165" fontId="6" fillId="41" borderId="14" xfId="0" applyNumberFormat="1" applyFont="1" applyFill="1" applyBorder="1" applyAlignment="1">
      <alignment horizontal="right"/>
    </xf>
    <xf numFmtId="164" fontId="6" fillId="29" borderId="14" xfId="0" applyNumberFormat="1" applyFont="1" applyFill="1" applyBorder="1"/>
    <xf numFmtId="164" fontId="6" fillId="41" borderId="14" xfId="0" applyNumberFormat="1" applyFont="1" applyFill="1" applyBorder="1"/>
    <xf numFmtId="165" fontId="6" fillId="41" borderId="14" xfId="0" applyNumberFormat="1" applyFont="1" applyFill="1" applyBorder="1"/>
    <xf numFmtId="164" fontId="6" fillId="22" borderId="26" xfId="0" applyNumberFormat="1" applyFont="1" applyFill="1" applyBorder="1"/>
    <xf numFmtId="164" fontId="6" fillId="22" borderId="15" xfId="0" applyNumberFormat="1" applyFont="1" applyFill="1" applyBorder="1"/>
    <xf numFmtId="165" fontId="6" fillId="22" borderId="12" xfId="0" applyNumberFormat="1" applyFont="1" applyFill="1" applyBorder="1"/>
    <xf numFmtId="164" fontId="6" fillId="21" borderId="15" xfId="0" applyNumberFormat="1" applyFont="1" applyFill="1" applyBorder="1"/>
    <xf numFmtId="166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 wrapText="1"/>
    </xf>
    <xf numFmtId="165" fontId="6" fillId="21" borderId="0" xfId="0" applyNumberFormat="1" applyFont="1" applyFill="1" applyAlignment="1">
      <alignment horizontal="right"/>
    </xf>
    <xf numFmtId="166" fontId="6" fillId="28" borderId="14" xfId="0" applyNumberFormat="1" applyFont="1" applyFill="1" applyBorder="1" applyAlignment="1">
      <alignment horizontal="center" vertical="center" wrapText="1"/>
    </xf>
    <xf numFmtId="166" fontId="9" fillId="6" borderId="14" xfId="0" applyNumberFormat="1" applyFont="1" applyFill="1" applyBorder="1" applyAlignment="1">
      <alignment horizontal="center" vertical="center" wrapText="1"/>
    </xf>
    <xf numFmtId="166" fontId="9" fillId="28" borderId="14" xfId="0" applyNumberFormat="1" applyFont="1" applyFill="1" applyBorder="1" applyAlignment="1">
      <alignment horizontal="center" vertical="center" wrapText="1"/>
    </xf>
    <xf numFmtId="164" fontId="12" fillId="22" borderId="18" xfId="0" applyNumberFormat="1" applyFont="1" applyFill="1" applyBorder="1" applyAlignment="1">
      <alignment horizontal="right"/>
    </xf>
    <xf numFmtId="166" fontId="3" fillId="5" borderId="3" xfId="0" applyNumberFormat="1" applyFont="1" applyFill="1" applyBorder="1" applyAlignment="1">
      <alignment horizontal="center" vertical="center" shrinkToFit="1"/>
    </xf>
    <xf numFmtId="0" fontId="2" fillId="0" borderId="4" xfId="0" applyFont="1" applyBorder="1"/>
    <xf numFmtId="0" fontId="2" fillId="0" borderId="5" xfId="0" applyFont="1" applyBorder="1"/>
    <xf numFmtId="164" fontId="1" fillId="10" borderId="9" xfId="0" applyNumberFormat="1" applyFont="1" applyFill="1" applyBorder="1" applyAlignment="1">
      <alignment horizontal="center" vertical="center" shrinkToFit="1"/>
    </xf>
    <xf numFmtId="0" fontId="2" fillId="0" borderId="13" xfId="0" applyFont="1" applyBorder="1"/>
    <xf numFmtId="0" fontId="2" fillId="0" borderId="15" xfId="0" applyFont="1" applyBorder="1"/>
    <xf numFmtId="164" fontId="1" fillId="8" borderId="9" xfId="0" applyNumberFormat="1" applyFont="1" applyFill="1" applyBorder="1" applyAlignment="1">
      <alignment horizontal="center" vertical="center" shrinkToFit="1"/>
    </xf>
    <xf numFmtId="164" fontId="1" fillId="9" borderId="9" xfId="0" applyNumberFormat="1" applyFont="1" applyFill="1" applyBorder="1" applyAlignment="1">
      <alignment horizontal="center" vertical="center" shrinkToFit="1"/>
    </xf>
    <xf numFmtId="164" fontId="1" fillId="15" borderId="3" xfId="0" applyNumberFormat="1" applyFont="1" applyFill="1" applyBorder="1" applyAlignment="1">
      <alignment horizontal="center" vertical="center" shrinkToFit="1"/>
    </xf>
    <xf numFmtId="166" fontId="1" fillId="15" borderId="3" xfId="0" applyNumberFormat="1" applyFont="1" applyFill="1" applyBorder="1" applyAlignment="1">
      <alignment horizontal="center" vertical="center" shrinkToFit="1"/>
    </xf>
    <xf numFmtId="164" fontId="1" fillId="16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0" xfId="0" applyFont="1" applyBorder="1"/>
    <xf numFmtId="0" fontId="2" fillId="0" borderId="12" xfId="0" applyFont="1" applyBorder="1"/>
    <xf numFmtId="0" fontId="1" fillId="7" borderId="3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left" vertical="center"/>
    </xf>
    <xf numFmtId="0" fontId="1" fillId="21" borderId="23" xfId="0" applyFont="1" applyFill="1" applyBorder="1" applyAlignment="1">
      <alignment horizontal="left" vertical="center"/>
    </xf>
    <xf numFmtId="0" fontId="2" fillId="0" borderId="24" xfId="0" applyFont="1" applyBorder="1"/>
    <xf numFmtId="49" fontId="1" fillId="21" borderId="23" xfId="0" applyNumberFormat="1" applyFont="1" applyFill="1" applyBorder="1" applyAlignment="1">
      <alignment horizontal="left" vertical="center"/>
    </xf>
    <xf numFmtId="164" fontId="1" fillId="19" borderId="3" xfId="0" applyNumberFormat="1" applyFont="1" applyFill="1" applyBorder="1" applyAlignment="1">
      <alignment horizontal="left" vertical="center"/>
    </xf>
    <xf numFmtId="166" fontId="1" fillId="3" borderId="3" xfId="0" applyNumberFormat="1" applyFont="1" applyFill="1" applyBorder="1" applyAlignment="1">
      <alignment horizontal="center" vertical="center" shrinkToFit="1"/>
    </xf>
    <xf numFmtId="166" fontId="1" fillId="3" borderId="4" xfId="0" applyNumberFormat="1" applyFont="1" applyFill="1" applyBorder="1" applyAlignment="1">
      <alignment horizontal="center" vertical="center" shrinkToFit="1"/>
    </xf>
    <xf numFmtId="166" fontId="3" fillId="4" borderId="3" xfId="0" applyNumberFormat="1" applyFont="1" applyFill="1" applyBorder="1" applyAlignment="1">
      <alignment horizontal="center" vertical="center" shrinkToFit="1"/>
    </xf>
    <xf numFmtId="166" fontId="1" fillId="6" borderId="3" xfId="0" applyNumberFormat="1" applyFont="1" applyFill="1" applyBorder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 shrinkToFit="1"/>
    </xf>
    <xf numFmtId="0" fontId="2" fillId="0" borderId="8" xfId="0" applyFont="1" applyBorder="1"/>
    <xf numFmtId="0" fontId="2" fillId="0" borderId="11" xfId="0" applyFont="1" applyBorder="1"/>
    <xf numFmtId="164" fontId="1" fillId="9" borderId="3" xfId="0" applyNumberFormat="1" applyFont="1" applyFill="1" applyBorder="1" applyAlignment="1">
      <alignment horizontal="center" vertical="center" shrinkToFit="1"/>
    </xf>
    <xf numFmtId="164" fontId="1" fillId="7" borderId="3" xfId="0" applyNumberFormat="1" applyFont="1" applyFill="1" applyBorder="1" applyAlignment="1">
      <alignment horizontal="center" vertical="center" shrinkToFit="1"/>
    </xf>
    <xf numFmtId="164" fontId="1" fillId="8" borderId="3" xfId="0" applyNumberFormat="1" applyFont="1" applyFill="1" applyBorder="1" applyAlignment="1">
      <alignment horizontal="center" vertical="center" shrinkToFit="1"/>
    </xf>
    <xf numFmtId="164" fontId="1" fillId="11" borderId="9" xfId="0" applyNumberFormat="1" applyFont="1" applyFill="1" applyBorder="1" applyAlignment="1">
      <alignment horizontal="center" vertical="center" shrinkToFit="1"/>
    </xf>
    <xf numFmtId="164" fontId="1" fillId="7" borderId="9" xfId="0" applyNumberFormat="1" applyFont="1" applyFill="1" applyBorder="1" applyAlignment="1">
      <alignment horizontal="center" vertical="center" shrinkToFit="1"/>
    </xf>
    <xf numFmtId="164" fontId="4" fillId="12" borderId="9" xfId="0" applyNumberFormat="1" applyFont="1" applyFill="1" applyBorder="1" applyAlignment="1">
      <alignment horizontal="center" vertical="center" shrinkToFit="1"/>
    </xf>
    <xf numFmtId="164" fontId="1" fillId="13" borderId="9" xfId="0" applyNumberFormat="1" applyFont="1" applyFill="1" applyBorder="1" applyAlignment="1">
      <alignment horizontal="center" vertical="center" shrinkToFit="1"/>
    </xf>
    <xf numFmtId="164" fontId="1" fillId="14" borderId="9" xfId="0" applyNumberFormat="1" applyFont="1" applyFill="1" applyBorder="1" applyAlignment="1">
      <alignment horizontal="center" vertical="center" shrinkToFit="1"/>
    </xf>
    <xf numFmtId="164" fontId="6" fillId="7" borderId="3" xfId="0" applyNumberFormat="1" applyFont="1" applyFill="1" applyBorder="1" applyAlignment="1">
      <alignment horizontal="center" vertical="center"/>
    </xf>
    <xf numFmtId="164" fontId="6" fillId="23" borderId="3" xfId="0" applyNumberFormat="1" applyFont="1" applyFill="1" applyBorder="1" applyAlignment="1">
      <alignment horizontal="center" vertical="center"/>
    </xf>
    <xf numFmtId="164" fontId="6" fillId="9" borderId="3" xfId="0" applyNumberFormat="1" applyFont="1" applyFill="1" applyBorder="1" applyAlignment="1">
      <alignment horizontal="center" vertical="center"/>
    </xf>
    <xf numFmtId="166" fontId="6" fillId="6" borderId="1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 wrapText="1"/>
    </xf>
    <xf numFmtId="166" fontId="6" fillId="3" borderId="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6" fillId="22" borderId="3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6" fillId="11" borderId="9" xfId="0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/>
    </xf>
    <xf numFmtId="0" fontId="6" fillId="21" borderId="3" xfId="0" applyFont="1" applyFill="1" applyBorder="1"/>
    <xf numFmtId="0" fontId="6" fillId="21" borderId="10" xfId="0" applyFont="1" applyFill="1" applyBorder="1"/>
    <xf numFmtId="49" fontId="6" fillId="21" borderId="3" xfId="0" applyNumberFormat="1" applyFont="1" applyFill="1" applyBorder="1"/>
    <xf numFmtId="164" fontId="6" fillId="19" borderId="10" xfId="0" applyNumberFormat="1" applyFont="1" applyFill="1" applyBorder="1"/>
    <xf numFmtId="164" fontId="6" fillId="7" borderId="9" xfId="0" applyNumberFormat="1" applyFont="1" applyFill="1" applyBorder="1" applyAlignment="1">
      <alignment horizontal="center" vertical="center"/>
    </xf>
    <xf numFmtId="164" fontId="9" fillId="12" borderId="9" xfId="0" applyNumberFormat="1" applyFont="1" applyFill="1" applyBorder="1" applyAlignment="1">
      <alignment horizontal="center" vertical="center"/>
    </xf>
    <xf numFmtId="164" fontId="6" fillId="13" borderId="9" xfId="0" applyNumberFormat="1" applyFont="1" applyFill="1" applyBorder="1" applyAlignment="1">
      <alignment horizontal="center" vertical="center"/>
    </xf>
    <xf numFmtId="164" fontId="6" fillId="14" borderId="9" xfId="0" applyNumberFormat="1" applyFont="1" applyFill="1" applyBorder="1" applyAlignment="1">
      <alignment horizontal="center" vertical="center"/>
    </xf>
    <xf numFmtId="164" fontId="6" fillId="23" borderId="9" xfId="0" applyNumberFormat="1" applyFont="1" applyFill="1" applyBorder="1" applyAlignment="1">
      <alignment horizontal="center" vertical="center"/>
    </xf>
    <xf numFmtId="164" fontId="6" fillId="22" borderId="3" xfId="0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166" fontId="1" fillId="2" borderId="9" xfId="0" applyNumberFormat="1" applyFont="1" applyFill="1" applyBorder="1" applyAlignment="1">
      <alignment horizontal="center" vertical="center" wrapText="1"/>
    </xf>
    <xf numFmtId="166" fontId="1" fillId="2" borderId="3" xfId="0" applyNumberFormat="1" applyFont="1" applyFill="1" applyBorder="1" applyAlignment="1">
      <alignment horizontal="center" vertical="center" wrapText="1"/>
    </xf>
    <xf numFmtId="166" fontId="1" fillId="6" borderId="1" xfId="0" applyNumberFormat="1" applyFont="1" applyFill="1" applyBorder="1" applyAlignment="1">
      <alignment horizontal="center" vertical="center" wrapText="1"/>
    </xf>
    <xf numFmtId="166" fontId="11" fillId="5" borderId="3" xfId="0" applyNumberFormat="1" applyFont="1" applyFill="1" applyBorder="1" applyAlignment="1">
      <alignment horizontal="center" vertical="center"/>
    </xf>
    <xf numFmtId="164" fontId="6" fillId="9" borderId="9" xfId="0" applyNumberFormat="1" applyFont="1" applyFill="1" applyBorder="1" applyAlignment="1">
      <alignment horizontal="center" vertical="center"/>
    </xf>
    <xf numFmtId="164" fontId="6" fillId="10" borderId="9" xfId="0" applyNumberFormat="1" applyFont="1" applyFill="1" applyBorder="1" applyAlignment="1">
      <alignment horizontal="center" vertical="center"/>
    </xf>
    <xf numFmtId="49" fontId="1" fillId="21" borderId="3" xfId="0" applyNumberFormat="1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center" vertical="center"/>
    </xf>
    <xf numFmtId="166" fontId="6" fillId="24" borderId="3" xfId="0" applyNumberFormat="1" applyFont="1" applyFill="1" applyBorder="1" applyAlignment="1">
      <alignment horizontal="center" vertical="center" wrapText="1"/>
    </xf>
    <xf numFmtId="166" fontId="6" fillId="6" borderId="3" xfId="0" applyNumberFormat="1" applyFont="1" applyFill="1" applyBorder="1" applyAlignment="1">
      <alignment horizontal="center" vertical="center" wrapText="1"/>
    </xf>
    <xf numFmtId="49" fontId="6" fillId="21" borderId="10" xfId="0" applyNumberFormat="1" applyFont="1" applyFill="1" applyBorder="1"/>
    <xf numFmtId="166" fontId="11" fillId="4" borderId="3" xfId="0" applyNumberFormat="1" applyFont="1" applyFill="1" applyBorder="1" applyAlignment="1">
      <alignment horizontal="center" vertical="center"/>
    </xf>
    <xf numFmtId="0" fontId="6" fillId="25" borderId="3" xfId="0" applyFont="1" applyFill="1" applyBorder="1" applyAlignment="1">
      <alignment horizontal="center" vertical="center"/>
    </xf>
    <xf numFmtId="166" fontId="1" fillId="6" borderId="9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wrapText="1"/>
    </xf>
    <xf numFmtId="166" fontId="13" fillId="6" borderId="1" xfId="0" applyNumberFormat="1" applyFont="1" applyFill="1" applyBorder="1" applyAlignment="1">
      <alignment horizontal="center" vertical="center" wrapText="1"/>
    </xf>
    <xf numFmtId="166" fontId="13" fillId="2" borderId="3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166" fontId="1" fillId="3" borderId="3" xfId="0" applyNumberFormat="1" applyFont="1" applyFill="1" applyBorder="1" applyAlignment="1">
      <alignment horizontal="center" vertical="top" shrinkToFit="1"/>
    </xf>
    <xf numFmtId="166" fontId="3" fillId="4" borderId="3" xfId="0" applyNumberFormat="1" applyFont="1" applyFill="1" applyBorder="1" applyAlignment="1">
      <alignment horizontal="center" vertical="top" shrinkToFit="1"/>
    </xf>
    <xf numFmtId="166" fontId="1" fillId="6" borderId="1" xfId="0" applyNumberFormat="1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/>
    </xf>
    <xf numFmtId="164" fontId="1" fillId="11" borderId="9" xfId="0" applyNumberFormat="1" applyFont="1" applyFill="1" applyBorder="1" applyAlignment="1">
      <alignment horizontal="center" vertical="top" shrinkToFit="1"/>
    </xf>
    <xf numFmtId="164" fontId="1" fillId="7" borderId="9" xfId="0" applyNumberFormat="1" applyFont="1" applyFill="1" applyBorder="1" applyAlignment="1">
      <alignment horizontal="center" vertical="top" shrinkToFit="1"/>
    </xf>
    <xf numFmtId="164" fontId="4" fillId="12" borderId="9" xfId="0" applyNumberFormat="1" applyFont="1" applyFill="1" applyBorder="1" applyAlignment="1">
      <alignment horizontal="center" vertical="top" shrinkToFit="1"/>
    </xf>
    <xf numFmtId="164" fontId="1" fillId="13" borderId="9" xfId="0" applyNumberFormat="1" applyFont="1" applyFill="1" applyBorder="1" applyAlignment="1">
      <alignment horizontal="center" vertical="top" shrinkToFit="1"/>
    </xf>
    <xf numFmtId="164" fontId="1" fillId="14" borderId="9" xfId="0" applyNumberFormat="1" applyFont="1" applyFill="1" applyBorder="1" applyAlignment="1">
      <alignment horizontal="center" vertical="top" shrinkToFit="1"/>
    </xf>
    <xf numFmtId="0" fontId="6" fillId="0" borderId="3" xfId="0" applyFont="1" applyBorder="1" applyAlignment="1">
      <alignment horizontal="center" vertical="center"/>
    </xf>
    <xf numFmtId="166" fontId="16" fillId="4" borderId="3" xfId="0" applyNumberFormat="1" applyFont="1" applyFill="1" applyBorder="1" applyAlignment="1">
      <alignment horizontal="center" vertical="center"/>
    </xf>
    <xf numFmtId="166" fontId="6" fillId="11" borderId="3" xfId="0" applyNumberFormat="1" applyFont="1" applyFill="1" applyBorder="1" applyAlignment="1">
      <alignment horizontal="center" vertical="center" wrapText="1"/>
    </xf>
    <xf numFmtId="166" fontId="6" fillId="26" borderId="3" xfId="0" applyNumberFormat="1" applyFont="1" applyFill="1" applyBorder="1" applyAlignment="1">
      <alignment horizontal="center" vertical="center" wrapText="1"/>
    </xf>
    <xf numFmtId="166" fontId="6" fillId="13" borderId="3" xfId="0" applyNumberFormat="1" applyFont="1" applyFill="1" applyBorder="1" applyAlignment="1">
      <alignment horizontal="center" vertical="center" wrapText="1"/>
    </xf>
    <xf numFmtId="166" fontId="6" fillId="27" borderId="3" xfId="0" applyNumberFormat="1" applyFont="1" applyFill="1" applyBorder="1" applyAlignment="1">
      <alignment horizontal="center" vertical="center" wrapText="1"/>
    </xf>
    <xf numFmtId="166" fontId="17" fillId="11" borderId="3" xfId="0" applyNumberFormat="1" applyFont="1" applyFill="1" applyBorder="1" applyAlignment="1">
      <alignment horizontal="center" vertical="center"/>
    </xf>
    <xf numFmtId="166" fontId="17" fillId="26" borderId="3" xfId="0" applyNumberFormat="1" applyFont="1" applyFill="1" applyBorder="1" applyAlignment="1">
      <alignment horizontal="center" vertical="center"/>
    </xf>
    <xf numFmtId="166" fontId="17" fillId="13" borderId="3" xfId="0" applyNumberFormat="1" applyFont="1" applyFill="1" applyBorder="1" applyAlignment="1">
      <alignment horizontal="center" vertical="center"/>
    </xf>
    <xf numFmtId="166" fontId="17" fillId="27" borderId="3" xfId="0" applyNumberFormat="1" applyFont="1" applyFill="1" applyBorder="1" applyAlignment="1">
      <alignment horizontal="center" vertical="center"/>
    </xf>
    <xf numFmtId="164" fontId="6" fillId="22" borderId="3" xfId="0" applyNumberFormat="1" applyFont="1" applyFill="1" applyBorder="1" applyAlignment="1">
      <alignment horizontal="center"/>
    </xf>
    <xf numFmtId="0" fontId="6" fillId="9" borderId="3" xfId="0" applyFont="1" applyFill="1" applyBorder="1"/>
    <xf numFmtId="0" fontId="6" fillId="9" borderId="23" xfId="0" applyFont="1" applyFill="1" applyBorder="1"/>
    <xf numFmtId="49" fontId="6" fillId="9" borderId="3" xfId="0" applyNumberFormat="1" applyFont="1" applyFill="1" applyBorder="1"/>
    <xf numFmtId="164" fontId="6" fillId="11" borderId="9" xfId="0" applyNumberFormat="1" applyFont="1" applyFill="1" applyBorder="1" applyAlignment="1">
      <alignment horizontal="center" vertical="top"/>
    </xf>
    <xf numFmtId="164" fontId="6" fillId="7" borderId="9" xfId="0" applyNumberFormat="1" applyFont="1" applyFill="1" applyBorder="1" applyAlignment="1">
      <alignment horizontal="center" vertical="top"/>
    </xf>
    <xf numFmtId="164" fontId="9" fillId="12" borderId="9" xfId="0" applyNumberFormat="1" applyFont="1" applyFill="1" applyBorder="1" applyAlignment="1">
      <alignment horizontal="center" vertical="top"/>
    </xf>
    <xf numFmtId="164" fontId="6" fillId="13" borderId="9" xfId="0" applyNumberFormat="1" applyFont="1" applyFill="1" applyBorder="1" applyAlignment="1">
      <alignment horizontal="center" vertical="top"/>
    </xf>
    <xf numFmtId="164" fontId="6" fillId="14" borderId="9" xfId="0" applyNumberFormat="1" applyFont="1" applyFill="1" applyBorder="1" applyAlignment="1">
      <alignment horizontal="center" vertical="top"/>
    </xf>
    <xf numFmtId="164" fontId="6" fillId="23" borderId="9" xfId="0" applyNumberFormat="1" applyFont="1" applyFill="1" applyBorder="1" applyAlignment="1">
      <alignment horizontal="center"/>
    </xf>
    <xf numFmtId="166" fontId="11" fillId="4" borderId="3" xfId="0" applyNumberFormat="1" applyFont="1" applyFill="1" applyBorder="1" applyAlignment="1">
      <alignment horizontal="center" vertical="top"/>
    </xf>
    <xf numFmtId="164" fontId="6" fillId="7" borderId="3" xfId="0" applyNumberFormat="1" applyFont="1" applyFill="1" applyBorder="1" applyAlignment="1">
      <alignment horizontal="center"/>
    </xf>
    <xf numFmtId="164" fontId="6" fillId="23" borderId="3" xfId="0" applyNumberFormat="1" applyFont="1" applyFill="1" applyBorder="1" applyAlignment="1">
      <alignment horizontal="center"/>
    </xf>
    <xf numFmtId="164" fontId="6" fillId="9" borderId="3" xfId="0" applyNumberFormat="1" applyFont="1" applyFill="1" applyBorder="1" applyAlignment="1">
      <alignment horizontal="center"/>
    </xf>
    <xf numFmtId="166" fontId="6" fillId="29" borderId="2" xfId="0" applyNumberFormat="1" applyFont="1" applyFill="1" applyBorder="1" applyAlignment="1">
      <alignment horizontal="center" vertical="top" wrapText="1"/>
    </xf>
    <xf numFmtId="0" fontId="6" fillId="6" borderId="9" xfId="0" applyFont="1" applyFill="1" applyBorder="1" applyAlignment="1">
      <alignment horizontal="center" vertical="top" wrapText="1"/>
    </xf>
    <xf numFmtId="0" fontId="9" fillId="6" borderId="9" xfId="0" applyFont="1" applyFill="1" applyBorder="1" applyAlignment="1">
      <alignment horizontal="center" vertical="top" wrapText="1"/>
    </xf>
    <xf numFmtId="0" fontId="9" fillId="31" borderId="9" xfId="0" applyFont="1" applyFill="1" applyBorder="1" applyAlignment="1">
      <alignment horizontal="center" vertical="top" wrapText="1"/>
    </xf>
    <xf numFmtId="166" fontId="6" fillId="22" borderId="3" xfId="0" applyNumberFormat="1" applyFont="1" applyFill="1" applyBorder="1" applyAlignment="1">
      <alignment horizontal="center"/>
    </xf>
    <xf numFmtId="164" fontId="6" fillId="28" borderId="3" xfId="0" applyNumberFormat="1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/>
    </xf>
    <xf numFmtId="166" fontId="6" fillId="3" borderId="3" xfId="0" applyNumberFormat="1" applyFont="1" applyFill="1" applyBorder="1" applyAlignment="1">
      <alignment horizontal="center" vertical="top"/>
    </xf>
    <xf numFmtId="166" fontId="6" fillId="28" borderId="1" xfId="0" applyNumberFormat="1" applyFont="1" applyFill="1" applyBorder="1" applyAlignment="1">
      <alignment horizontal="center" vertical="top" wrapText="1"/>
    </xf>
    <xf numFmtId="166" fontId="6" fillId="6" borderId="1" xfId="0" applyNumberFormat="1" applyFont="1" applyFill="1" applyBorder="1" applyAlignment="1">
      <alignment horizontal="center" vertical="top" wrapText="1"/>
    </xf>
    <xf numFmtId="166" fontId="6" fillId="30" borderId="3" xfId="0" applyNumberFormat="1" applyFont="1" applyFill="1" applyBorder="1" applyAlignment="1">
      <alignment horizontal="center" vertical="top" wrapText="1"/>
    </xf>
    <xf numFmtId="166" fontId="6" fillId="6" borderId="3" xfId="0" applyNumberFormat="1" applyFont="1" applyFill="1" applyBorder="1" applyAlignment="1">
      <alignment horizontal="center" vertical="top" wrapText="1"/>
    </xf>
    <xf numFmtId="0" fontId="9" fillId="31" borderId="0" xfId="0" applyFont="1" applyFill="1" applyAlignment="1">
      <alignment horizontal="center" vertical="top" wrapText="1"/>
    </xf>
    <xf numFmtId="0" fontId="0" fillId="0" borderId="0" xfId="0"/>
    <xf numFmtId="164" fontId="6" fillId="2" borderId="1" xfId="0" applyNumberFormat="1" applyFont="1" applyFill="1" applyBorder="1" applyAlignment="1">
      <alignment horizontal="center"/>
    </xf>
    <xf numFmtId="166" fontId="6" fillId="34" borderId="3" xfId="0" applyNumberFormat="1" applyFont="1" applyFill="1" applyBorder="1" applyAlignment="1">
      <alignment horizontal="center" vertical="center" wrapText="1"/>
    </xf>
    <xf numFmtId="164" fontId="6" fillId="26" borderId="3" xfId="0" applyNumberFormat="1" applyFont="1" applyFill="1" applyBorder="1" applyAlignment="1">
      <alignment horizontal="center" vertical="center" wrapText="1"/>
    </xf>
    <xf numFmtId="164" fontId="6" fillId="36" borderId="3" xfId="0" applyNumberFormat="1" applyFont="1" applyFill="1" applyBorder="1" applyAlignment="1">
      <alignment horizontal="center" vertical="center" wrapText="1"/>
    </xf>
    <xf numFmtId="166" fontId="11" fillId="33" borderId="3" xfId="0" applyNumberFormat="1" applyFont="1" applyFill="1" applyBorder="1" applyAlignment="1">
      <alignment horizontal="center" vertical="center" wrapText="1"/>
    </xf>
    <xf numFmtId="166" fontId="6" fillId="35" borderId="3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/>
    </xf>
    <xf numFmtId="164" fontId="6" fillId="16" borderId="3" xfId="0" applyNumberFormat="1" applyFont="1" applyFill="1" applyBorder="1" applyAlignment="1">
      <alignment horizontal="center" vertical="center" wrapText="1"/>
    </xf>
    <xf numFmtId="166" fontId="6" fillId="10" borderId="9" xfId="0" applyNumberFormat="1" applyFont="1" applyFill="1" applyBorder="1" applyAlignment="1">
      <alignment horizontal="center" vertical="center"/>
    </xf>
    <xf numFmtId="166" fontId="6" fillId="9" borderId="9" xfId="0" applyNumberFormat="1" applyFont="1" applyFill="1" applyBorder="1" applyAlignment="1">
      <alignment horizontal="center" vertical="center"/>
    </xf>
    <xf numFmtId="0" fontId="6" fillId="9" borderId="10" xfId="0" applyFont="1" applyFill="1" applyBorder="1"/>
    <xf numFmtId="49" fontId="6" fillId="9" borderId="10" xfId="0" applyNumberFormat="1" applyFont="1" applyFill="1" applyBorder="1"/>
    <xf numFmtId="166" fontId="6" fillId="29" borderId="3" xfId="0" applyNumberFormat="1" applyFont="1" applyFill="1" applyBorder="1" applyAlignment="1">
      <alignment horizontal="center" vertical="center" wrapText="1"/>
    </xf>
    <xf numFmtId="166" fontId="12" fillId="41" borderId="3" xfId="0" applyNumberFormat="1" applyFont="1" applyFill="1" applyBorder="1" applyAlignment="1">
      <alignment horizontal="center" vertical="center" wrapText="1"/>
    </xf>
    <xf numFmtId="166" fontId="11" fillId="42" borderId="3" xfId="0" applyNumberFormat="1" applyFont="1" applyFill="1" applyBorder="1" applyAlignment="1">
      <alignment horizontal="center" vertical="center" wrapText="1"/>
    </xf>
    <xf numFmtId="166" fontId="6" fillId="43" borderId="3" xfId="0" applyNumberFormat="1" applyFont="1" applyFill="1" applyBorder="1" applyAlignment="1">
      <alignment horizontal="center" vertical="center" wrapText="1"/>
    </xf>
    <xf numFmtId="0" fontId="6" fillId="44" borderId="3" xfId="0" quotePrefix="1" applyFont="1" applyFill="1" applyBorder="1" applyAlignment="1">
      <alignment horizontal="center" vertical="center" wrapText="1"/>
    </xf>
    <xf numFmtId="164" fontId="20" fillId="23" borderId="9" xfId="0" applyNumberFormat="1" applyFont="1" applyFill="1" applyBorder="1" applyAlignment="1">
      <alignment horizontal="center" vertical="center"/>
    </xf>
    <xf numFmtId="166" fontId="20" fillId="4" borderId="3" xfId="0" applyNumberFormat="1" applyFont="1" applyFill="1" applyBorder="1" applyAlignment="1">
      <alignment horizontal="center" vertical="center"/>
    </xf>
    <xf numFmtId="164" fontId="20" fillId="7" borderId="3" xfId="0" applyNumberFormat="1" applyFont="1" applyFill="1" applyBorder="1" applyAlignment="1">
      <alignment horizontal="center" vertical="center"/>
    </xf>
    <xf numFmtId="164" fontId="20" fillId="23" borderId="3" xfId="0" applyNumberFormat="1" applyFont="1" applyFill="1" applyBorder="1" applyAlignment="1">
      <alignment horizontal="center" vertical="center"/>
    </xf>
    <xf numFmtId="164" fontId="20" fillId="9" borderId="3" xfId="0" applyNumberFormat="1" applyFont="1" applyFill="1" applyBorder="1" applyAlignment="1">
      <alignment horizontal="center" vertical="center"/>
    </xf>
    <xf numFmtId="164" fontId="20" fillId="11" borderId="9" xfId="0" applyNumberFormat="1" applyFont="1" applyFill="1" applyBorder="1" applyAlignment="1">
      <alignment horizontal="center" vertical="center"/>
    </xf>
    <xf numFmtId="164" fontId="20" fillId="7" borderId="9" xfId="0" applyNumberFormat="1" applyFont="1" applyFill="1" applyBorder="1" applyAlignment="1">
      <alignment horizontal="center" vertical="center"/>
    </xf>
    <xf numFmtId="164" fontId="21" fillId="12" borderId="9" xfId="0" applyNumberFormat="1" applyFont="1" applyFill="1" applyBorder="1" applyAlignment="1">
      <alignment horizontal="center" vertical="center"/>
    </xf>
    <xf numFmtId="166" fontId="20" fillId="10" borderId="9" xfId="0" applyNumberFormat="1" applyFont="1" applyFill="1" applyBorder="1" applyAlignment="1">
      <alignment horizontal="center" vertical="center"/>
    </xf>
    <xf numFmtId="166" fontId="20" fillId="9" borderId="9" xfId="0" applyNumberFormat="1" applyFont="1" applyFill="1" applyBorder="1" applyAlignment="1">
      <alignment horizontal="center" vertical="center"/>
    </xf>
    <xf numFmtId="164" fontId="20" fillId="9" borderId="9" xfId="0" applyNumberFormat="1" applyFont="1" applyFill="1" applyBorder="1" applyAlignment="1">
      <alignment horizontal="center" vertical="center"/>
    </xf>
    <xf numFmtId="166" fontId="11" fillId="37" borderId="3" xfId="0" applyNumberFormat="1" applyFont="1" applyFill="1" applyBorder="1" applyAlignment="1">
      <alignment horizontal="center" vertical="center" wrapText="1"/>
    </xf>
    <xf numFmtId="164" fontId="6" fillId="31" borderId="3" xfId="0" applyNumberFormat="1" applyFont="1" applyFill="1" applyBorder="1" applyAlignment="1">
      <alignment horizontal="center" vertical="center" wrapText="1"/>
    </xf>
    <xf numFmtId="166" fontId="6" fillId="31" borderId="3" xfId="0" applyNumberFormat="1" applyFont="1" applyFill="1" applyBorder="1" applyAlignment="1">
      <alignment horizontal="center" vertical="center" wrapText="1"/>
    </xf>
    <xf numFmtId="164" fontId="6" fillId="40" borderId="3" xfId="0" applyNumberFormat="1" applyFont="1" applyFill="1" applyBorder="1" applyAlignment="1">
      <alignment horizontal="center" vertical="center" wrapText="1"/>
    </xf>
    <xf numFmtId="166" fontId="11" fillId="40" borderId="3" xfId="0" applyNumberFormat="1" applyFont="1" applyFill="1" applyBorder="1" applyAlignment="1">
      <alignment horizontal="center" vertical="center" wrapText="1"/>
    </xf>
    <xf numFmtId="164" fontId="20" fillId="13" borderId="9" xfId="0" applyNumberFormat="1" applyFont="1" applyFill="1" applyBorder="1" applyAlignment="1">
      <alignment horizontal="center" vertical="center"/>
    </xf>
    <xf numFmtId="164" fontId="20" fillId="14" borderId="9" xfId="0" applyNumberFormat="1" applyFont="1" applyFill="1" applyBorder="1" applyAlignment="1">
      <alignment horizontal="center" vertical="center"/>
    </xf>
    <xf numFmtId="0" fontId="6" fillId="43" borderId="3" xfId="0" applyFont="1" applyFill="1" applyBorder="1" applyAlignment="1">
      <alignment horizontal="center" vertical="center" wrapText="1"/>
    </xf>
    <xf numFmtId="0" fontId="11" fillId="45" borderId="3" xfId="0" applyFont="1" applyFill="1" applyBorder="1" applyAlignment="1">
      <alignment horizontal="center" vertical="center" wrapText="1"/>
    </xf>
    <xf numFmtId="0" fontId="11" fillId="45" borderId="3" xfId="0" applyFont="1" applyFill="1" applyBorder="1" applyAlignment="1">
      <alignment horizontal="center" vertical="center"/>
    </xf>
    <xf numFmtId="0" fontId="6" fillId="46" borderId="3" xfId="0" applyFont="1" applyFill="1" applyBorder="1" applyAlignment="1">
      <alignment horizontal="center" vertical="center" wrapText="1"/>
    </xf>
    <xf numFmtId="164" fontId="20" fillId="22" borderId="3" xfId="0" applyNumberFormat="1" applyFont="1" applyFill="1" applyBorder="1" applyAlignment="1">
      <alignment horizontal="center" vertical="center"/>
    </xf>
    <xf numFmtId="164" fontId="6" fillId="35" borderId="3" xfId="0" applyNumberFormat="1" applyFont="1" applyFill="1" applyBorder="1" applyAlignment="1">
      <alignment horizontal="center" vertical="center" wrapText="1"/>
    </xf>
    <xf numFmtId="166" fontId="11" fillId="38" borderId="3" xfId="0" applyNumberFormat="1" applyFont="1" applyFill="1" applyBorder="1" applyAlignment="1">
      <alignment horizontal="center" vertical="center" wrapText="1"/>
    </xf>
    <xf numFmtId="166" fontId="20" fillId="3" borderId="3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166" fontId="20" fillId="5" borderId="3" xfId="0" applyNumberFormat="1" applyFont="1" applyFill="1" applyBorder="1" applyAlignment="1">
      <alignment horizontal="center" vertical="center"/>
    </xf>
    <xf numFmtId="166" fontId="11" fillId="39" borderId="3" xfId="0" applyNumberFormat="1" applyFont="1" applyFill="1" applyBorder="1" applyAlignment="1">
      <alignment horizontal="center" vertical="center" wrapText="1"/>
    </xf>
    <xf numFmtId="166" fontId="20" fillId="22" borderId="3" xfId="0" applyNumberFormat="1" applyFont="1" applyFill="1" applyBorder="1" applyAlignment="1">
      <alignment horizontal="center" vertical="center"/>
    </xf>
    <xf numFmtId="164" fontId="11" fillId="42" borderId="3" xfId="0" applyNumberFormat="1" applyFont="1" applyFill="1" applyBorder="1" applyAlignment="1">
      <alignment horizontal="center" vertical="center" wrapText="1"/>
    </xf>
    <xf numFmtId="168" fontId="6" fillId="2" borderId="3" xfId="0" applyNumberFormat="1" applyFont="1" applyFill="1" applyBorder="1" applyAlignment="1">
      <alignment horizontal="center" vertical="center"/>
    </xf>
    <xf numFmtId="166" fontId="1" fillId="16" borderId="3" xfId="0" applyNumberFormat="1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 wrapText="1"/>
    </xf>
    <xf numFmtId="164" fontId="1" fillId="16" borderId="9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64" fontId="6" fillId="16" borderId="9" xfId="0" applyNumberFormat="1" applyFont="1" applyFill="1" applyBorder="1" applyAlignment="1">
      <alignment horizontal="center" vertical="center" wrapText="1"/>
    </xf>
    <xf numFmtId="164" fontId="6" fillId="2" borderId="9" xfId="0" applyNumberFormat="1" applyFont="1" applyFill="1" applyBorder="1" applyAlignment="1">
      <alignment horizontal="center" vertical="center" wrapText="1"/>
    </xf>
    <xf numFmtId="166" fontId="6" fillId="31" borderId="1" xfId="0" applyNumberFormat="1" applyFont="1" applyFill="1" applyBorder="1" applyAlignment="1">
      <alignment horizontal="center" vertical="center" wrapText="1"/>
    </xf>
    <xf numFmtId="166" fontId="6" fillId="24" borderId="9" xfId="0" applyNumberFormat="1" applyFont="1" applyFill="1" applyBorder="1" applyAlignment="1">
      <alignment horizontal="center" vertical="center" wrapText="1"/>
    </xf>
    <xf numFmtId="166" fontId="6" fillId="35" borderId="1" xfId="0" applyNumberFormat="1" applyFont="1" applyFill="1" applyBorder="1" applyAlignment="1">
      <alignment horizontal="center" vertical="center" wrapText="1"/>
    </xf>
    <xf numFmtId="166" fontId="6" fillId="26" borderId="1" xfId="0" applyNumberFormat="1" applyFont="1" applyFill="1" applyBorder="1" applyAlignment="1">
      <alignment horizontal="center" vertical="center" wrapText="1"/>
    </xf>
    <xf numFmtId="166" fontId="12" fillId="36" borderId="9" xfId="0" applyNumberFormat="1" applyFont="1" applyFill="1" applyBorder="1" applyAlignment="1">
      <alignment horizontal="center" vertical="center" wrapText="1"/>
    </xf>
    <xf numFmtId="166" fontId="12" fillId="25" borderId="9" xfId="0" applyNumberFormat="1" applyFont="1" applyFill="1" applyBorder="1" applyAlignment="1">
      <alignment horizontal="center" vertical="center" wrapText="1"/>
    </xf>
    <xf numFmtId="166" fontId="6" fillId="16" borderId="1" xfId="0" applyNumberFormat="1" applyFont="1" applyFill="1" applyBorder="1" applyAlignment="1">
      <alignment horizontal="center" vertical="center" wrapText="1"/>
    </xf>
    <xf numFmtId="0" fontId="6" fillId="35" borderId="3" xfId="0" applyFont="1" applyFill="1" applyBorder="1" applyAlignment="1">
      <alignment horizontal="center" vertical="center"/>
    </xf>
    <xf numFmtId="0" fontId="1" fillId="47" borderId="3" xfId="0" applyFont="1" applyFill="1" applyBorder="1" applyAlignment="1">
      <alignment horizontal="center" vertical="center"/>
    </xf>
    <xf numFmtId="166" fontId="6" fillId="30" borderId="3" xfId="0" applyNumberFormat="1" applyFont="1" applyFill="1" applyBorder="1" applyAlignment="1">
      <alignment horizontal="center" vertical="center" wrapText="1"/>
    </xf>
    <xf numFmtId="0" fontId="6" fillId="41" borderId="3" xfId="0" applyFont="1" applyFill="1" applyBorder="1" applyAlignment="1">
      <alignment horizontal="center" vertical="center"/>
    </xf>
    <xf numFmtId="166" fontId="6" fillId="29" borderId="1" xfId="0" applyNumberFormat="1" applyFont="1" applyFill="1" applyBorder="1" applyAlignment="1">
      <alignment horizontal="center" vertical="center" wrapText="1"/>
    </xf>
    <xf numFmtId="166" fontId="6" fillId="28" borderId="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3"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00FF00"/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AQ108"/>
  <sheetViews>
    <sheetView tabSelected="1" view="pageBreakPreview" zoomScale="60" zoomScaleNormal="100" workbookViewId="0">
      <pane xSplit="2" ySplit="7" topLeftCell="C14" activePane="bottomRight" state="frozen"/>
      <selection pane="topRight" activeCell="C1" sqref="C1"/>
      <selection pane="bottomLeft" activeCell="A8" sqref="A8"/>
      <selection pane="bottomRight" activeCell="I114" sqref="I114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1.425781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0.42578125" customWidth="1"/>
    <col min="16" max="17" width="15.140625" customWidth="1"/>
    <col min="18" max="20" width="18.7109375" bestFit="1" customWidth="1"/>
    <col min="21" max="22" width="15.140625" customWidth="1"/>
    <col min="23" max="23" width="7.5703125" customWidth="1"/>
    <col min="24" max="24" width="8.85546875" customWidth="1"/>
    <col min="25" max="25" width="7.5703125" customWidth="1"/>
    <col min="26" max="26" width="10.140625" customWidth="1"/>
    <col min="27" max="27" width="7.5703125" customWidth="1"/>
    <col min="28" max="28" width="10.140625" customWidth="1"/>
    <col min="29" max="40" width="7.5703125" customWidth="1"/>
    <col min="41" max="41" width="12.42578125" customWidth="1"/>
    <col min="42" max="42" width="7.5703125" customWidth="1"/>
    <col min="43" max="43" width="8.85546875" customWidth="1"/>
  </cols>
  <sheetData>
    <row r="1" spans="1:4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2"/>
      <c r="Y1" s="2"/>
      <c r="Z1" s="4"/>
      <c r="AA1" s="2"/>
      <c r="AB1" s="4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4"/>
    </row>
    <row r="2" spans="1:43" ht="24" customHeight="1" x14ac:dyDescent="0.2">
      <c r="A2" s="657" t="s">
        <v>1</v>
      </c>
      <c r="B2" s="658"/>
      <c r="C2" s="669" t="s">
        <v>2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70" t="s">
        <v>3</v>
      </c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7"/>
    </row>
    <row r="3" spans="1:43" ht="30" customHeight="1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45" t="s">
        <v>5</v>
      </c>
      <c r="S3" s="646"/>
      <c r="T3" s="646"/>
      <c r="U3" s="646"/>
      <c r="V3" s="647"/>
      <c r="W3" s="672" t="s">
        <v>6</v>
      </c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6"/>
      <c r="AM3" s="646"/>
      <c r="AN3" s="647"/>
      <c r="AO3" s="673" t="s">
        <v>7</v>
      </c>
      <c r="AP3" s="674"/>
      <c r="AQ3" s="658"/>
    </row>
    <row r="4" spans="1:43" ht="30" customHeight="1" x14ac:dyDescent="0.2">
      <c r="A4" s="659"/>
      <c r="B4" s="660"/>
      <c r="C4" s="677" t="s">
        <v>8</v>
      </c>
      <c r="D4" s="646"/>
      <c r="E4" s="646"/>
      <c r="F4" s="646"/>
      <c r="G4" s="647"/>
      <c r="H4" s="678" t="s">
        <v>9</v>
      </c>
      <c r="I4" s="647"/>
      <c r="J4" s="676" t="s">
        <v>10</v>
      </c>
      <c r="K4" s="646"/>
      <c r="L4" s="646"/>
      <c r="M4" s="646"/>
      <c r="N4" s="646"/>
      <c r="O4" s="646"/>
      <c r="P4" s="646"/>
      <c r="Q4" s="647"/>
      <c r="R4" s="648" t="s">
        <v>11</v>
      </c>
      <c r="S4" s="651" t="s">
        <v>12</v>
      </c>
      <c r="T4" s="652" t="s">
        <v>13</v>
      </c>
      <c r="U4" s="652" t="s">
        <v>14</v>
      </c>
      <c r="V4" s="652" t="s">
        <v>15</v>
      </c>
      <c r="W4" s="672" t="s">
        <v>16</v>
      </c>
      <c r="X4" s="646"/>
      <c r="Y4" s="646"/>
      <c r="Z4" s="646"/>
      <c r="AA4" s="646"/>
      <c r="AB4" s="647"/>
      <c r="AC4" s="672" t="s">
        <v>17</v>
      </c>
      <c r="AD4" s="646"/>
      <c r="AE4" s="646"/>
      <c r="AF4" s="647"/>
      <c r="AG4" s="672" t="s">
        <v>18</v>
      </c>
      <c r="AH4" s="646"/>
      <c r="AI4" s="646"/>
      <c r="AJ4" s="647"/>
      <c r="AK4" s="672" t="s">
        <v>19</v>
      </c>
      <c r="AL4" s="646"/>
      <c r="AM4" s="646"/>
      <c r="AN4" s="647"/>
      <c r="AO4" s="661"/>
      <c r="AP4" s="675"/>
      <c r="AQ4" s="662"/>
    </row>
    <row r="5" spans="1:43" ht="30" customHeight="1" x14ac:dyDescent="0.2">
      <c r="A5" s="659"/>
      <c r="B5" s="660"/>
      <c r="C5" s="679" t="s">
        <v>20</v>
      </c>
      <c r="D5" s="680" t="s">
        <v>21</v>
      </c>
      <c r="E5" s="681" t="s">
        <v>22</v>
      </c>
      <c r="F5" s="682" t="s">
        <v>23</v>
      </c>
      <c r="G5" s="683" t="s">
        <v>24</v>
      </c>
      <c r="H5" s="651" t="s">
        <v>25</v>
      </c>
      <c r="I5" s="651" t="s">
        <v>26</v>
      </c>
      <c r="J5" s="653" t="s">
        <v>27</v>
      </c>
      <c r="K5" s="647"/>
      <c r="L5" s="653" t="s">
        <v>25</v>
      </c>
      <c r="M5" s="646"/>
      <c r="N5" s="647"/>
      <c r="O5" s="654" t="s">
        <v>26</v>
      </c>
      <c r="P5" s="646"/>
      <c r="Q5" s="647"/>
      <c r="R5" s="649"/>
      <c r="S5" s="649"/>
      <c r="T5" s="649"/>
      <c r="U5" s="649"/>
      <c r="V5" s="649"/>
      <c r="W5" s="655" t="s">
        <v>28</v>
      </c>
      <c r="X5" s="647"/>
      <c r="Y5" s="656" t="s">
        <v>29</v>
      </c>
      <c r="Z5" s="646"/>
      <c r="AA5" s="646"/>
      <c r="AB5" s="647"/>
      <c r="AC5" s="655" t="s">
        <v>28</v>
      </c>
      <c r="AD5" s="647"/>
      <c r="AE5" s="656" t="s">
        <v>29</v>
      </c>
      <c r="AF5" s="647"/>
      <c r="AG5" s="655" t="s">
        <v>28</v>
      </c>
      <c r="AH5" s="647"/>
      <c r="AI5" s="656" t="s">
        <v>29</v>
      </c>
      <c r="AJ5" s="647"/>
      <c r="AK5" s="655" t="s">
        <v>28</v>
      </c>
      <c r="AL5" s="647"/>
      <c r="AM5" s="656" t="s">
        <v>29</v>
      </c>
      <c r="AN5" s="647"/>
      <c r="AO5" s="7" t="s">
        <v>28</v>
      </c>
      <c r="AP5" s="656" t="s">
        <v>29</v>
      </c>
      <c r="AQ5" s="647"/>
    </row>
    <row r="6" spans="1:43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650"/>
      <c r="S6" s="650"/>
      <c r="T6" s="650"/>
      <c r="U6" s="650"/>
      <c r="V6" s="650"/>
      <c r="W6" s="12" t="s">
        <v>34</v>
      </c>
      <c r="X6" s="7" t="s">
        <v>35</v>
      </c>
      <c r="Y6" s="13" t="s">
        <v>34</v>
      </c>
      <c r="Z6" s="14" t="s">
        <v>31</v>
      </c>
      <c r="AA6" s="15" t="s">
        <v>35</v>
      </c>
      <c r="AB6" s="14" t="s">
        <v>31</v>
      </c>
      <c r="AC6" s="12" t="s">
        <v>34</v>
      </c>
      <c r="AD6" s="7" t="s">
        <v>35</v>
      </c>
      <c r="AE6" s="13" t="s">
        <v>34</v>
      </c>
      <c r="AF6" s="15" t="s">
        <v>35</v>
      </c>
      <c r="AG6" s="12" t="s">
        <v>34</v>
      </c>
      <c r="AH6" s="7" t="s">
        <v>35</v>
      </c>
      <c r="AI6" s="13" t="s">
        <v>34</v>
      </c>
      <c r="AJ6" s="15" t="s">
        <v>35</v>
      </c>
      <c r="AK6" s="12" t="s">
        <v>34</v>
      </c>
      <c r="AL6" s="7" t="s">
        <v>35</v>
      </c>
      <c r="AM6" s="13" t="s">
        <v>34</v>
      </c>
      <c r="AN6" s="15" t="s">
        <v>35</v>
      </c>
      <c r="AO6" s="7" t="s">
        <v>36</v>
      </c>
      <c r="AP6" s="13" t="s">
        <v>34</v>
      </c>
      <c r="AQ6" s="14" t="s">
        <v>37</v>
      </c>
    </row>
    <row r="7" spans="1:43" ht="24" customHeight="1" x14ac:dyDescent="0.3">
      <c r="A7" s="663" t="s">
        <v>38</v>
      </c>
      <c r="B7" s="647"/>
      <c r="C7" s="16">
        <f t="shared" ref="C7:C9" ca="1" si="0">D7+G7</f>
        <v>11456200</v>
      </c>
      <c r="D7" s="17">
        <f t="shared" ref="D7:E7" ca="1" si="1">D8+D9+D12</f>
        <v>11456200</v>
      </c>
      <c r="E7" s="18">
        <f t="shared" ca="1" si="1"/>
        <v>5155200</v>
      </c>
      <c r="F7" s="19">
        <f ca="1">F8+F9</f>
        <v>6301000</v>
      </c>
      <c r="G7" s="20">
        <f t="shared" ref="G7:I7" ca="1" si="2">G8+G9+G12</f>
        <v>0</v>
      </c>
      <c r="H7" s="21">
        <f t="shared" ca="1" si="2"/>
        <v>11456200</v>
      </c>
      <c r="I7" s="21">
        <f t="shared" ca="1" si="2"/>
        <v>0</v>
      </c>
      <c r="J7" s="22">
        <f t="shared" ref="J7:J9" ca="1" si="3">L7+O7</f>
        <v>9719302.8800000008</v>
      </c>
      <c r="K7" s="23">
        <f t="shared" ref="K7:K9" ca="1" si="4">IF(C7&gt;0,J7*100/C7,0)</f>
        <v>84.838802395209598</v>
      </c>
      <c r="L7" s="22">
        <f ca="1">L8+L9+L12</f>
        <v>9719302.8800000008</v>
      </c>
      <c r="M7" s="24">
        <f t="shared" ref="M7:M9" ca="1" si="5">IF(D7&gt;0,L7*100/D7,0)</f>
        <v>84.838802395209598</v>
      </c>
      <c r="N7" s="24">
        <f t="shared" ref="N7:N9" ca="1" si="6">IF(H7&gt;0,L7*100/H7,0)</f>
        <v>84.838802395209598</v>
      </c>
      <c r="O7" s="25">
        <f ca="1">O8+O9+O12</f>
        <v>0</v>
      </c>
      <c r="P7" s="25">
        <f t="shared" ref="P7:P9" ca="1" si="7">IF(G7&gt;0,O7*100/G7,0)</f>
        <v>0</v>
      </c>
      <c r="Q7" s="24">
        <f t="shared" ref="Q7:Q9" ca="1" si="8">IF(I7&gt;0,O7*100/I7,0)</f>
        <v>0</v>
      </c>
      <c r="R7" s="26">
        <f t="shared" ref="R7:T7" ca="1" si="9">R8+R9</f>
        <v>23600000</v>
      </c>
      <c r="S7" s="26">
        <f t="shared" ca="1" si="9"/>
        <v>23181040</v>
      </c>
      <c r="T7" s="26">
        <f t="shared" ca="1" si="9"/>
        <v>10068785.5</v>
      </c>
      <c r="U7" s="27">
        <f t="shared" ref="U7:U9" ca="1" si="10">IF(R7&gt;0,T7*100/R7,0)</f>
        <v>42.664345338983054</v>
      </c>
      <c r="V7" s="27">
        <f t="shared" ref="V7:V9" ca="1" si="11">IF(S7&gt;0,T7*100/S7,0)</f>
        <v>43.435434734593443</v>
      </c>
      <c r="W7" s="28">
        <f ca="1">W8</f>
        <v>42</v>
      </c>
      <c r="X7" s="28">
        <f t="shared" ref="X7:X8" ca="1" si="12">+AD7+AH7+AL7</f>
        <v>1844</v>
      </c>
      <c r="Y7" s="29">
        <f ca="1">Y8+Y9+Y12</f>
        <v>41</v>
      </c>
      <c r="Z7" s="30">
        <f t="shared" ref="Z7:Z8" ca="1" si="13">IF(W7&gt;0,Y7*100/W7,0)</f>
        <v>97.61904761904762</v>
      </c>
      <c r="AA7" s="29">
        <f ca="1">AA8+AA9+AA12</f>
        <v>1794</v>
      </c>
      <c r="AB7" s="30">
        <f t="shared" ref="AB7:AB8" ca="1" si="14">IF(X7&gt;0,AA7*100/X7,0)</f>
        <v>97.288503253796094</v>
      </c>
      <c r="AC7" s="28">
        <f t="shared" ref="AC7:AD7" ca="1" si="15">AC8</f>
        <v>16</v>
      </c>
      <c r="AD7" s="28">
        <f t="shared" ca="1" si="15"/>
        <v>748</v>
      </c>
      <c r="AE7" s="29">
        <f t="shared" ref="AE7:AF7" ca="1" si="16">AE8+AE9+AE12</f>
        <v>17</v>
      </c>
      <c r="AF7" s="29">
        <f t="shared" ca="1" si="16"/>
        <v>809</v>
      </c>
      <c r="AG7" s="28">
        <f t="shared" ref="AG7:AH7" ca="1" si="17">AG8</f>
        <v>13</v>
      </c>
      <c r="AH7" s="28">
        <f t="shared" ca="1" si="17"/>
        <v>515</v>
      </c>
      <c r="AI7" s="29">
        <f t="shared" ref="AI7:AJ7" ca="1" si="18">AI8+AI9+AI12</f>
        <v>12</v>
      </c>
      <c r="AJ7" s="29">
        <f t="shared" ca="1" si="18"/>
        <v>473</v>
      </c>
      <c r="AK7" s="28">
        <f t="shared" ref="AK7:AL7" ca="1" si="19">AK8</f>
        <v>13</v>
      </c>
      <c r="AL7" s="28">
        <f t="shared" ca="1" si="19"/>
        <v>581</v>
      </c>
      <c r="AM7" s="29">
        <f t="shared" ref="AM7:AN7" ca="1" si="20">AM8+AM9+AM12</f>
        <v>12</v>
      </c>
      <c r="AN7" s="29">
        <f t="shared" ca="1" si="20"/>
        <v>512</v>
      </c>
      <c r="AO7" s="28">
        <f ca="1">AO8</f>
        <v>42</v>
      </c>
      <c r="AP7" s="29">
        <f ca="1">AP8+AP9+AP12</f>
        <v>24</v>
      </c>
      <c r="AQ7" s="30">
        <f t="shared" ref="AQ7:AQ8" ca="1" si="21">IF(AO7&gt;0,AP7*100/AO7,0)</f>
        <v>57.142857142857146</v>
      </c>
    </row>
    <row r="8" spans="1:43" ht="28.5" customHeight="1" x14ac:dyDescent="0.3">
      <c r="A8" s="31" t="s">
        <v>39</v>
      </c>
      <c r="B8" s="31"/>
      <c r="C8" s="32">
        <f t="shared" ca="1" si="0"/>
        <v>9123600</v>
      </c>
      <c r="D8" s="32">
        <f t="shared" ref="D8:I8" ca="1" si="22">+D13+D31+D52+D74</f>
        <v>9123600</v>
      </c>
      <c r="E8" s="32">
        <f t="shared" ca="1" si="22"/>
        <v>3253600</v>
      </c>
      <c r="F8" s="32">
        <f t="shared" ca="1" si="22"/>
        <v>5870000</v>
      </c>
      <c r="G8" s="32">
        <f t="shared" ca="1" si="22"/>
        <v>0</v>
      </c>
      <c r="H8" s="32">
        <f t="shared" ca="1" si="22"/>
        <v>9203600</v>
      </c>
      <c r="I8" s="32">
        <f t="shared" ca="1" si="22"/>
        <v>0</v>
      </c>
      <c r="J8" s="32">
        <f t="shared" ca="1" si="3"/>
        <v>7654969.8200000003</v>
      </c>
      <c r="K8" s="33">
        <f t="shared" ca="1" si="4"/>
        <v>83.90295300100837</v>
      </c>
      <c r="L8" s="32">
        <f ca="1">+L13+L31+L52+L74</f>
        <v>7654969.8200000003</v>
      </c>
      <c r="M8" s="34">
        <f t="shared" ca="1" si="5"/>
        <v>83.90295300100837</v>
      </c>
      <c r="N8" s="34">
        <f t="shared" ca="1" si="6"/>
        <v>83.173647485766438</v>
      </c>
      <c r="O8" s="35">
        <f ca="1">+O13+O31+O52+O74</f>
        <v>0</v>
      </c>
      <c r="P8" s="35">
        <f t="shared" ca="1" si="7"/>
        <v>0</v>
      </c>
      <c r="Q8" s="34">
        <f t="shared" ca="1" si="8"/>
        <v>0</v>
      </c>
      <c r="R8" s="36">
        <f t="shared" ref="R8:T8" ca="1" si="23">+R13+R31+R52+R74</f>
        <v>22354785</v>
      </c>
      <c r="S8" s="36">
        <f t="shared" ca="1" si="23"/>
        <v>21945205</v>
      </c>
      <c r="T8" s="36">
        <f t="shared" ca="1" si="23"/>
        <v>10042655.5</v>
      </c>
      <c r="U8" s="37">
        <f t="shared" ca="1" si="10"/>
        <v>44.92396370620429</v>
      </c>
      <c r="V8" s="37">
        <f t="shared" ca="1" si="11"/>
        <v>45.762413702674458</v>
      </c>
      <c r="W8" s="32">
        <f ca="1">+W13+W31+W52+W74</f>
        <v>42</v>
      </c>
      <c r="X8" s="32">
        <f t="shared" ca="1" si="12"/>
        <v>1844</v>
      </c>
      <c r="Y8" s="32">
        <f ca="1">+Y13+Y31+Y52+Y74</f>
        <v>41</v>
      </c>
      <c r="Z8" s="34">
        <f t="shared" ca="1" si="13"/>
        <v>97.61904761904762</v>
      </c>
      <c r="AA8" s="32">
        <f ca="1">+AA13+AA31+AA52+AA74</f>
        <v>1794</v>
      </c>
      <c r="AB8" s="34">
        <f t="shared" ca="1" si="14"/>
        <v>97.288503253796094</v>
      </c>
      <c r="AC8" s="32">
        <f t="shared" ref="AC8:AP8" ca="1" si="24">+AC13+AC31+AC52+AC74</f>
        <v>16</v>
      </c>
      <c r="AD8" s="32">
        <f t="shared" ca="1" si="24"/>
        <v>748</v>
      </c>
      <c r="AE8" s="32">
        <f t="shared" ca="1" si="24"/>
        <v>17</v>
      </c>
      <c r="AF8" s="32">
        <f t="shared" ca="1" si="24"/>
        <v>809</v>
      </c>
      <c r="AG8" s="32">
        <f t="shared" ca="1" si="24"/>
        <v>13</v>
      </c>
      <c r="AH8" s="32">
        <f t="shared" ca="1" si="24"/>
        <v>515</v>
      </c>
      <c r="AI8" s="32">
        <f t="shared" ca="1" si="24"/>
        <v>12</v>
      </c>
      <c r="AJ8" s="32">
        <f t="shared" ca="1" si="24"/>
        <v>473</v>
      </c>
      <c r="AK8" s="32">
        <f t="shared" ca="1" si="24"/>
        <v>13</v>
      </c>
      <c r="AL8" s="32">
        <f t="shared" ca="1" si="24"/>
        <v>581</v>
      </c>
      <c r="AM8" s="32">
        <f t="shared" ca="1" si="24"/>
        <v>12</v>
      </c>
      <c r="AN8" s="32">
        <f t="shared" ca="1" si="24"/>
        <v>512</v>
      </c>
      <c r="AO8" s="32">
        <f t="shared" ca="1" si="24"/>
        <v>42</v>
      </c>
      <c r="AP8" s="32">
        <f t="shared" ca="1" si="24"/>
        <v>24</v>
      </c>
      <c r="AQ8" s="34">
        <f t="shared" ca="1" si="21"/>
        <v>57.142857142857146</v>
      </c>
    </row>
    <row r="9" spans="1:43" ht="28.5" customHeight="1" x14ac:dyDescent="0.3">
      <c r="A9" s="38" t="s">
        <v>40</v>
      </c>
      <c r="B9" s="38"/>
      <c r="C9" s="39">
        <f t="shared" ca="1" si="0"/>
        <v>2332600</v>
      </c>
      <c r="D9" s="39">
        <f t="shared" ref="D9:I9" ca="1" si="25">+D89</f>
        <v>2332600</v>
      </c>
      <c r="E9" s="39">
        <f t="shared" ca="1" si="25"/>
        <v>1901600</v>
      </c>
      <c r="F9" s="39">
        <f t="shared" ca="1" si="25"/>
        <v>431000</v>
      </c>
      <c r="G9" s="39">
        <f t="shared" ca="1" si="25"/>
        <v>0</v>
      </c>
      <c r="H9" s="39">
        <f t="shared" ca="1" si="25"/>
        <v>2252600</v>
      </c>
      <c r="I9" s="39">
        <f t="shared" ca="1" si="25"/>
        <v>0</v>
      </c>
      <c r="J9" s="39">
        <f t="shared" ca="1" si="3"/>
        <v>2064333.06</v>
      </c>
      <c r="K9" s="40">
        <f t="shared" ca="1" si="4"/>
        <v>88.499230901140365</v>
      </c>
      <c r="L9" s="39">
        <f ca="1">+L89</f>
        <v>2064333.06</v>
      </c>
      <c r="M9" s="41">
        <f t="shared" ca="1" si="5"/>
        <v>88.499230901140365</v>
      </c>
      <c r="N9" s="41">
        <f t="shared" ca="1" si="6"/>
        <v>91.642238302406113</v>
      </c>
      <c r="O9" s="42">
        <f ca="1">+O89</f>
        <v>0</v>
      </c>
      <c r="P9" s="42">
        <f t="shared" ca="1" si="7"/>
        <v>0</v>
      </c>
      <c r="Q9" s="41">
        <f t="shared" ca="1" si="8"/>
        <v>0</v>
      </c>
      <c r="R9" s="43">
        <f t="shared" ref="R9:T9" ca="1" si="26">+R89</f>
        <v>1245215</v>
      </c>
      <c r="S9" s="43">
        <f t="shared" ca="1" si="26"/>
        <v>1235835</v>
      </c>
      <c r="T9" s="43">
        <f t="shared" ca="1" si="26"/>
        <v>26130</v>
      </c>
      <c r="U9" s="44">
        <f t="shared" ca="1" si="10"/>
        <v>2.0984328007613144</v>
      </c>
      <c r="V9" s="44">
        <f t="shared" ca="1" si="11"/>
        <v>2.1143599266892426</v>
      </c>
      <c r="W9" s="39"/>
      <c r="X9" s="39"/>
      <c r="Y9" s="39"/>
      <c r="Z9" s="41"/>
      <c r="AA9" s="39"/>
      <c r="AB9" s="41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41"/>
    </row>
    <row r="10" spans="1:43" ht="28.5" hidden="1" customHeight="1" x14ac:dyDescent="0.3">
      <c r="A10" s="45"/>
      <c r="B10" s="45"/>
      <c r="C10" s="46"/>
      <c r="D10" s="46"/>
      <c r="E10" s="46"/>
      <c r="F10" s="46"/>
      <c r="G10" s="46"/>
      <c r="H10" s="46"/>
      <c r="I10" s="46"/>
      <c r="J10" s="46"/>
      <c r="K10" s="47"/>
      <c r="L10" s="46"/>
      <c r="M10" s="48"/>
      <c r="N10" s="48"/>
      <c r="O10" s="49"/>
      <c r="P10" s="49"/>
      <c r="Q10" s="48"/>
      <c r="R10" s="50"/>
      <c r="S10" s="50"/>
      <c r="T10" s="50"/>
      <c r="U10" s="51"/>
      <c r="V10" s="51"/>
      <c r="W10" s="46"/>
      <c r="X10" s="46"/>
      <c r="Y10" s="46"/>
      <c r="Z10" s="48"/>
      <c r="AA10" s="46"/>
      <c r="AB10" s="48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8"/>
    </row>
    <row r="11" spans="1:43" ht="28.5" hidden="1" customHeight="1" x14ac:dyDescent="0.3">
      <c r="A11" s="45"/>
      <c r="B11" s="45"/>
      <c r="C11" s="46"/>
      <c r="D11" s="46"/>
      <c r="E11" s="46"/>
      <c r="F11" s="46"/>
      <c r="G11" s="46"/>
      <c r="H11" s="46"/>
      <c r="I11" s="46"/>
      <c r="J11" s="46"/>
      <c r="K11" s="47"/>
      <c r="L11" s="46"/>
      <c r="M11" s="48"/>
      <c r="N11" s="48"/>
      <c r="O11" s="49"/>
      <c r="P11" s="49"/>
      <c r="Q11" s="48"/>
      <c r="R11" s="50"/>
      <c r="S11" s="50"/>
      <c r="T11" s="50"/>
      <c r="U11" s="51"/>
      <c r="V11" s="51"/>
      <c r="W11" s="46"/>
      <c r="X11" s="46"/>
      <c r="Y11" s="46"/>
      <c r="Z11" s="48"/>
      <c r="AA11" s="46"/>
      <c r="AB11" s="48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8"/>
    </row>
    <row r="12" spans="1:43" ht="28.5" hidden="1" customHeight="1" x14ac:dyDescent="0.3">
      <c r="A12" s="45"/>
      <c r="B12" s="45"/>
      <c r="C12" s="46"/>
      <c r="D12" s="46"/>
      <c r="E12" s="46"/>
      <c r="F12" s="46"/>
      <c r="G12" s="46"/>
      <c r="H12" s="46"/>
      <c r="I12" s="46"/>
      <c r="J12" s="46"/>
      <c r="K12" s="47"/>
      <c r="L12" s="46"/>
      <c r="M12" s="48"/>
      <c r="N12" s="48"/>
      <c r="O12" s="49"/>
      <c r="P12" s="49"/>
      <c r="Q12" s="48"/>
      <c r="R12" s="50"/>
      <c r="S12" s="50"/>
      <c r="T12" s="50"/>
      <c r="U12" s="51"/>
      <c r="V12" s="51"/>
      <c r="W12" s="46"/>
      <c r="X12" s="46"/>
      <c r="Y12" s="46"/>
      <c r="Z12" s="48"/>
      <c r="AA12" s="46"/>
      <c r="AB12" s="48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8"/>
    </row>
    <row r="13" spans="1:43" ht="28.5" customHeight="1" x14ac:dyDescent="0.3">
      <c r="A13" s="664" t="s">
        <v>41</v>
      </c>
      <c r="B13" s="647"/>
      <c r="C13" s="52">
        <f t="shared" ref="C13:C88" ca="1" si="27">D13+G13</f>
        <v>3388000</v>
      </c>
      <c r="D13" s="52">
        <f t="shared" ref="D13:I13" ca="1" si="28">SUM(D14:D30)</f>
        <v>3388000</v>
      </c>
      <c r="E13" s="52">
        <f t="shared" ca="1" si="28"/>
        <v>1253000</v>
      </c>
      <c r="F13" s="52">
        <f t="shared" ca="1" si="28"/>
        <v>2135000</v>
      </c>
      <c r="G13" s="52">
        <f t="shared" ca="1" si="28"/>
        <v>0</v>
      </c>
      <c r="H13" s="52">
        <f t="shared" ca="1" si="28"/>
        <v>3468000</v>
      </c>
      <c r="I13" s="52">
        <f t="shared" ca="1" si="28"/>
        <v>0</v>
      </c>
      <c r="J13" s="52">
        <f t="shared" ref="J13:J88" ca="1" si="29">L13+O13</f>
        <v>2807350.25</v>
      </c>
      <c r="K13" s="53">
        <f t="shared" ref="K13:K88" ca="1" si="30">IF(C13&gt;0,J13*100/C13,0)</f>
        <v>82.861577626918532</v>
      </c>
      <c r="L13" s="52">
        <f ca="1">SUM(L14:L30)</f>
        <v>2807350.25</v>
      </c>
      <c r="M13" s="54">
        <f t="shared" ref="M13:M88" ca="1" si="31">IF(D13&gt;0,L13*100/D13,0)</f>
        <v>82.861577626918532</v>
      </c>
      <c r="N13" s="54">
        <f t="shared" ref="N13:N88" ca="1" si="32">IF(H13&gt;0,L13*100/H13,0)</f>
        <v>80.950122549019611</v>
      </c>
      <c r="O13" s="55">
        <f ca="1">SUM(O14:O30)</f>
        <v>0</v>
      </c>
      <c r="P13" s="55">
        <f t="shared" ref="P13:P88" ca="1" si="33">IF(G13&gt;0,O13*100/G13,0)</f>
        <v>0</v>
      </c>
      <c r="Q13" s="54">
        <f t="shared" ref="Q13:Q88" ca="1" si="34">IF(I13&gt;0,O13*100/I13,0)</f>
        <v>0</v>
      </c>
      <c r="R13" s="56">
        <f t="shared" ref="R13:T13" ca="1" si="35">SUM(R14:R30)</f>
        <v>9235733</v>
      </c>
      <c r="S13" s="56">
        <f t="shared" ca="1" si="35"/>
        <v>9240413</v>
      </c>
      <c r="T13" s="56">
        <f t="shared" ca="1" si="35"/>
        <v>3978350.5</v>
      </c>
      <c r="U13" s="57">
        <f t="shared" ref="U13:U108" ca="1" si="36">IF(R13&gt;0,T13*100/R13,0)</f>
        <v>43.075633520371369</v>
      </c>
      <c r="V13" s="57">
        <f t="shared" ref="V13:V108" ca="1" si="37">IF(S13&gt;0,T13*100/S13,0)</f>
        <v>43.053816966839037</v>
      </c>
      <c r="W13" s="52">
        <f t="shared" ref="W13:W88" ca="1" si="38">SUM(AC13+AG13+AK13)</f>
        <v>16</v>
      </c>
      <c r="X13" s="52">
        <f t="shared" ref="X13:X88" ca="1" si="39">+AD13+AH13+AL13</f>
        <v>791</v>
      </c>
      <c r="Y13" s="52">
        <f ca="1">SUM(Y14:Y30)</f>
        <v>16</v>
      </c>
      <c r="Z13" s="54">
        <f t="shared" ref="Z13:Z88" ca="1" si="40">IF(W13&gt;0,Y13*100/W13,0)</f>
        <v>100</v>
      </c>
      <c r="AA13" s="52">
        <f ca="1">SUM(AA14:AA30)</f>
        <v>791</v>
      </c>
      <c r="AB13" s="54">
        <f t="shared" ref="AB13:AB88" ca="1" si="41">IF(X13&gt;0,AA13*100/X13,0)</f>
        <v>100</v>
      </c>
      <c r="AC13" s="52">
        <f t="shared" ref="AC13:AP13" ca="1" si="42">SUM(AC14:AC30)</f>
        <v>8</v>
      </c>
      <c r="AD13" s="52">
        <f t="shared" ca="1" si="42"/>
        <v>466</v>
      </c>
      <c r="AE13" s="52">
        <f t="shared" ca="1" si="42"/>
        <v>8</v>
      </c>
      <c r="AF13" s="52">
        <f t="shared" ca="1" si="42"/>
        <v>466</v>
      </c>
      <c r="AG13" s="52">
        <f t="shared" ca="1" si="42"/>
        <v>4</v>
      </c>
      <c r="AH13" s="52">
        <f t="shared" ca="1" si="42"/>
        <v>168</v>
      </c>
      <c r="AI13" s="52">
        <f t="shared" ca="1" si="42"/>
        <v>4</v>
      </c>
      <c r="AJ13" s="52">
        <f t="shared" ca="1" si="42"/>
        <v>168</v>
      </c>
      <c r="AK13" s="52">
        <f t="shared" ca="1" si="42"/>
        <v>4</v>
      </c>
      <c r="AL13" s="52">
        <f t="shared" ca="1" si="42"/>
        <v>157</v>
      </c>
      <c r="AM13" s="52">
        <f t="shared" ca="1" si="42"/>
        <v>4</v>
      </c>
      <c r="AN13" s="52">
        <f t="shared" ca="1" si="42"/>
        <v>157</v>
      </c>
      <c r="AO13" s="52">
        <f t="shared" ca="1" si="42"/>
        <v>16</v>
      </c>
      <c r="AP13" s="52">
        <f t="shared" ca="1" si="42"/>
        <v>8</v>
      </c>
      <c r="AQ13" s="54">
        <f t="shared" ref="AQ13:AQ88" ca="1" si="43">IF(AO13&gt;0,AP13*100/AO13,0)</f>
        <v>50</v>
      </c>
    </row>
    <row r="14" spans="1:43" ht="24" customHeight="1" x14ac:dyDescent="0.3">
      <c r="A14" s="58">
        <v>1</v>
      </c>
      <c r="B14" s="59" t="s">
        <v>42</v>
      </c>
      <c r="C14" s="60">
        <f t="shared" ca="1" si="27"/>
        <v>0</v>
      </c>
      <c r="D14" s="61">
        <f t="shared" ref="D14:D30" ca="1" si="44">+E14+F14</f>
        <v>0</v>
      </c>
      <c r="E14" s="62">
        <f ca="1">IFERROR(__xludf.DUMMYFUNCTION("IMPORTRANGE(""https://docs.google.com/spreadsheets/d/1-uDff_7J0KD5mKrp0Vvzr7lt3OU09vwQwhkpOPPYv2Y/edit?usp=sharing"",""งบพรบ!AN14"")"),0)</f>
        <v>0</v>
      </c>
      <c r="F14" s="62">
        <f ca="1">IFERROR(__xludf.DUMMYFUNCTION("IMPORTRANGE(""https://docs.google.com/spreadsheets/d/1-uDff_7J0KD5mKrp0Vvzr7lt3OU09vwQwhkpOPPYv2Y/edit?usp=sharing"",""งบพรบ!AO14"")"),0)</f>
        <v>0</v>
      </c>
      <c r="G14" s="63">
        <f ca="1">IFERROR(__xludf.DUMMYFUNCTION("IMPORTRANGE(""https://docs.google.com/spreadsheets/d/1-uDff_7J0KD5mKrp0Vvzr7lt3OU09vwQwhkpOPPYv2Y/edit?usp=sharing"",""งบพรบ!AP14"")"),0)</f>
        <v>0</v>
      </c>
      <c r="H14" s="63">
        <f ca="1">IFERROR(__xludf.DUMMYFUNCTION("IMPORTRANGE(""https://docs.google.com/spreadsheets/d/1-uDff_7J0KD5mKrp0Vvzr7lt3OU09vwQwhkpOPPYv2Y/edit?usp=sharing"",""งบพรบ!AR14"")"),0)</f>
        <v>0</v>
      </c>
      <c r="I14" s="63">
        <f ca="1">IFERROR(__xludf.DUMMYFUNCTION("IMPORTRANGE(""https://docs.google.com/spreadsheets/d/1-uDff_7J0KD5mKrp0Vvzr7lt3OU09vwQwhkpOPPYv2Y/edit?usp=sharing"",""งบพรบ!AS14"")"),0)</f>
        <v>0</v>
      </c>
      <c r="J14" s="63">
        <f t="shared" ca="1" si="29"/>
        <v>0</v>
      </c>
      <c r="K14" s="64">
        <f t="shared" ca="1" si="30"/>
        <v>0</v>
      </c>
      <c r="L14" s="63">
        <f ca="1">IFERROR(__xludf.DUMMYFUNCTION("IMPORTRANGE(""https://docs.google.com/spreadsheets/d/1-uDff_7J0KD5mKrp0Vvzr7lt3OU09vwQwhkpOPPYv2Y/edit?usp=sharing"",""งบพรบ!AT14"")"),0)</f>
        <v>0</v>
      </c>
      <c r="M14" s="65">
        <f t="shared" ca="1" si="31"/>
        <v>0</v>
      </c>
      <c r="N14" s="65">
        <f t="shared" ca="1" si="32"/>
        <v>0</v>
      </c>
      <c r="O14" s="66">
        <f ca="1">IFERROR(__xludf.DUMMYFUNCTION("IMPORTRANGE(""https://docs.google.com/spreadsheets/d/1-uDff_7J0KD5mKrp0Vvzr7lt3OU09vwQwhkpOPPYv2Y/edit?usp=sharing"",""งบพรบ!AU14"")"),0)</f>
        <v>0</v>
      </c>
      <c r="P14" s="66">
        <f t="shared" ca="1" si="33"/>
        <v>0</v>
      </c>
      <c r="Q14" s="65">
        <f t="shared" ca="1" si="34"/>
        <v>0</v>
      </c>
      <c r="R14" s="67">
        <f ca="1">IFERROR(__xludf.DUMMYFUNCTION("IMPORTRANGE(""https://docs.google.com/spreadsheets/d/1jTcq05yEiRwXcBMLjiodW9e4biSGYWAHcDj22rKWQ3s/edit?usp=sharing"",""กำแพงเพชร!Q72"")"),0)</f>
        <v>0</v>
      </c>
      <c r="S14" s="67">
        <f ca="1">IFERROR(__xludf.DUMMYFUNCTION("IMPORTRANGE(""https://docs.google.com/spreadsheets/d/1jTcq05yEiRwXcBMLjiodW9e4biSGYWAHcDj22rKWQ3s/edit?usp=sharing"",""กำแพงเพชร!R72"")"),0)</f>
        <v>0</v>
      </c>
      <c r="T14" s="67">
        <f ca="1">IFERROR(__xludf.DUMMYFUNCTION("IMPORTRANGE(""https://docs.google.com/spreadsheets/d/1jTcq05yEiRwXcBMLjiodW9e4biSGYWAHcDj22rKWQ3s/edit?usp=sharing"",""กำแพงเพชร!S72"")"),0)</f>
        <v>0</v>
      </c>
      <c r="U14" s="68">
        <f t="shared" ca="1" si="36"/>
        <v>0</v>
      </c>
      <c r="V14" s="68">
        <f t="shared" ca="1" si="37"/>
        <v>0</v>
      </c>
      <c r="W14" s="63">
        <f t="shared" ca="1" si="38"/>
        <v>0</v>
      </c>
      <c r="X14" s="63">
        <f t="shared" ca="1" si="39"/>
        <v>0</v>
      </c>
      <c r="Y14" s="63">
        <f t="shared" ref="Y14:Y30" ca="1" si="45">AE14+AI14+AM14</f>
        <v>0</v>
      </c>
      <c r="Z14" s="69">
        <f t="shared" ca="1" si="40"/>
        <v>0</v>
      </c>
      <c r="AA14" s="63">
        <f t="shared" ref="AA14:AA30" ca="1" si="46">AF14+AJ14+AN14</f>
        <v>0</v>
      </c>
      <c r="AB14" s="69">
        <f t="shared" ca="1" si="41"/>
        <v>0</v>
      </c>
      <c r="AC14" s="62">
        <f ca="1">IFERROR(__xludf.DUMMYFUNCTION("IMPORTRANGE(""https://docs.google.com/spreadsheets/d/1jTcq05yEiRwXcBMLjiodW9e4biSGYWAHcDj22rKWQ3s/edit?usp=sharing"",""กำแพงเพชร!I84"")"),0)</f>
        <v>0</v>
      </c>
      <c r="AD14" s="62">
        <f ca="1">IFERROR(__xludf.DUMMYFUNCTION("IMPORTRANGE(""https://docs.google.com/spreadsheets/d/1jTcq05yEiRwXcBMLjiodW9e4biSGYWAHcDj22rKWQ3s/edit?usp=sharing"",""กำแพงเพชร!I85"")"),0)</f>
        <v>0</v>
      </c>
      <c r="AE14" s="63">
        <f ca="1">IFERROR(__xludf.DUMMYFUNCTION("IMPORTRANGE(""https://docs.google.com/spreadsheets/d/1jTcq05yEiRwXcBMLjiodW9e4biSGYWAHcDj22rKWQ3s/edit?usp=sharing"",""กำแพงเพชร!J84"")"),0)</f>
        <v>0</v>
      </c>
      <c r="AF14" s="63">
        <f ca="1">IFERROR(__xludf.DUMMYFUNCTION("IMPORTRANGE(""https://docs.google.com/spreadsheets/d/1jTcq05yEiRwXcBMLjiodW9e4biSGYWAHcDj22rKWQ3s/edit?usp=sharing"",""กำแพงเพชร!J85"")"),0)</f>
        <v>0</v>
      </c>
      <c r="AG14" s="62">
        <f ca="1">IFERROR(__xludf.DUMMYFUNCTION("IMPORTRANGE(""https://docs.google.com/spreadsheets/d/1jTcq05yEiRwXcBMLjiodW9e4biSGYWAHcDj22rKWQ3s/edit?usp=sharing"",""กำแพงเพชร!I86"")"),0)</f>
        <v>0</v>
      </c>
      <c r="AH14" s="62">
        <f ca="1">IFERROR(__xludf.DUMMYFUNCTION("IMPORTRANGE(""https://docs.google.com/spreadsheets/d/1jTcq05yEiRwXcBMLjiodW9e4biSGYWAHcDj22rKWQ3s/edit?usp=sharing"",""กำแพงเพชร!I87"")"),0)</f>
        <v>0</v>
      </c>
      <c r="AI14" s="63">
        <f ca="1">IFERROR(__xludf.DUMMYFUNCTION("IMPORTRANGE(""https://docs.google.com/spreadsheets/d/1jTcq05yEiRwXcBMLjiodW9e4biSGYWAHcDj22rKWQ3s/edit?usp=sharing"",""กำแพงเพชร!J86"")"),0)</f>
        <v>0</v>
      </c>
      <c r="AJ14" s="63">
        <f ca="1">IFERROR(__xludf.DUMMYFUNCTION("IMPORTRANGE(""https://docs.google.com/spreadsheets/d/1jTcq05yEiRwXcBMLjiodW9e4biSGYWAHcDj22rKWQ3s/edit?usp=sharing"",""กำแพงเพชร!J87"")"),0)</f>
        <v>0</v>
      </c>
      <c r="AK14" s="62">
        <f ca="1">IFERROR(__xludf.DUMMYFUNCTION("IMPORTRANGE(""https://docs.google.com/spreadsheets/d/1jTcq05yEiRwXcBMLjiodW9e4biSGYWAHcDj22rKWQ3s/edit?usp=sharing"",""กำแพงเพชร!I88"")"),0)</f>
        <v>0</v>
      </c>
      <c r="AL14" s="62">
        <f ca="1">IFERROR(__xludf.DUMMYFUNCTION("IMPORTRANGE(""https://docs.google.com/spreadsheets/d/1jTcq05yEiRwXcBMLjiodW9e4biSGYWAHcDj22rKWQ3s/edit?usp=sharing"",""กำแพงเพชร!I89"")"),0)</f>
        <v>0</v>
      </c>
      <c r="AM14" s="63">
        <f ca="1">IFERROR(__xludf.DUMMYFUNCTION("IMPORTRANGE(""https://docs.google.com/spreadsheets/d/1jTcq05yEiRwXcBMLjiodW9e4biSGYWAHcDj22rKWQ3s/edit?usp=sharing"",""กำแพงเพชร!J88"")"),0)</f>
        <v>0</v>
      </c>
      <c r="AN14" s="63">
        <f ca="1">IFERROR(__xludf.DUMMYFUNCTION("IMPORTRANGE(""https://docs.google.com/spreadsheets/d/1jTcq05yEiRwXcBMLjiodW9e4biSGYWAHcDj22rKWQ3s/edit?usp=sharing"",""กำแพงเพชร!J89"")"),0)</f>
        <v>0</v>
      </c>
      <c r="AO14" s="62">
        <f ca="1">IFERROR(__xludf.DUMMYFUNCTION("IMPORTRANGE(""https://docs.google.com/spreadsheets/d/1jTcq05yEiRwXcBMLjiodW9e4biSGYWAHcDj22rKWQ3s/edit?usp=sharing"",""กำแพงเพชร!I90"")"),0)</f>
        <v>0</v>
      </c>
      <c r="AP14" s="63">
        <f ca="1">IFERROR(__xludf.DUMMYFUNCTION("IMPORTRANGE(""https://docs.google.com/spreadsheets/d/1jTcq05yEiRwXcBMLjiodW9e4biSGYWAHcDj22rKWQ3s/edit?usp=sharing"",""กำแพงเพชร!J90"")"),0)</f>
        <v>0</v>
      </c>
      <c r="AQ14" s="65">
        <f t="shared" ca="1" si="43"/>
        <v>0</v>
      </c>
    </row>
    <row r="15" spans="1:43" ht="24" customHeight="1" x14ac:dyDescent="0.3">
      <c r="A15" s="70">
        <v>2</v>
      </c>
      <c r="B15" s="71" t="s">
        <v>43</v>
      </c>
      <c r="C15" s="72">
        <f t="shared" ca="1" si="27"/>
        <v>668300</v>
      </c>
      <c r="D15" s="73">
        <f t="shared" ca="1" si="44"/>
        <v>668300</v>
      </c>
      <c r="E15" s="74">
        <f ca="1">IFERROR(__xludf.DUMMYFUNCTION("IMPORTRANGE(""https://docs.google.com/spreadsheets/d/1-uDff_7J0KD5mKrp0Vvzr7lt3OU09vwQwhkpOPPYv2Y/edit?usp=sharing"",""งบพรบ!AN15"")"),469300)</f>
        <v>469300</v>
      </c>
      <c r="F15" s="74">
        <f ca="1">IFERROR(__xludf.DUMMYFUNCTION("IMPORTRANGE(""https://docs.google.com/spreadsheets/d/1-uDff_7J0KD5mKrp0Vvzr7lt3OU09vwQwhkpOPPYv2Y/edit?usp=sharing"",""งบพรบ!AO15"")"),199000)</f>
        <v>199000</v>
      </c>
      <c r="G15" s="74">
        <f ca="1">IFERROR(__xludf.DUMMYFUNCTION("IMPORTRANGE(""https://docs.google.com/spreadsheets/d/1-uDff_7J0KD5mKrp0Vvzr7lt3OU09vwQwhkpOPPYv2Y/edit?usp=sharing"",""งบพรบ!AP15"")"),0)</f>
        <v>0</v>
      </c>
      <c r="H15" s="74">
        <f ca="1">IFERROR(__xludf.DUMMYFUNCTION("IMPORTRANGE(""https://docs.google.com/spreadsheets/d/1-uDff_7J0KD5mKrp0Vvzr7lt3OU09vwQwhkpOPPYv2Y/edit?usp=sharing"",""งบพรบ!AR15"")"),668300)</f>
        <v>668300</v>
      </c>
      <c r="I15" s="74">
        <f ca="1">IFERROR(__xludf.DUMMYFUNCTION("IMPORTRANGE(""https://docs.google.com/spreadsheets/d/1-uDff_7J0KD5mKrp0Vvzr7lt3OU09vwQwhkpOPPYv2Y/edit?usp=sharing"",""งบพรบ!AS15"")"),0)</f>
        <v>0</v>
      </c>
      <c r="J15" s="74">
        <f t="shared" ca="1" si="29"/>
        <v>620831.86</v>
      </c>
      <c r="K15" s="75">
        <f t="shared" ca="1" si="30"/>
        <v>92.897180906778388</v>
      </c>
      <c r="L15" s="74">
        <f ca="1">IFERROR(__xludf.DUMMYFUNCTION("IMPORTRANGE(""https://docs.google.com/spreadsheets/d/1-uDff_7J0KD5mKrp0Vvzr7lt3OU09vwQwhkpOPPYv2Y/edit?usp=sharing"",""งบพรบ!AT15"")"),620831.86)</f>
        <v>620831.86</v>
      </c>
      <c r="M15" s="76">
        <f t="shared" ca="1" si="31"/>
        <v>92.897180906778388</v>
      </c>
      <c r="N15" s="76">
        <f t="shared" ca="1" si="32"/>
        <v>92.897180906778388</v>
      </c>
      <c r="O15" s="77">
        <f ca="1">IFERROR(__xludf.DUMMYFUNCTION("IMPORTRANGE(""https://docs.google.com/spreadsheets/d/1-uDff_7J0KD5mKrp0Vvzr7lt3OU09vwQwhkpOPPYv2Y/edit?usp=sharing"",""งบพรบ!AU15"")"),0)</f>
        <v>0</v>
      </c>
      <c r="P15" s="77">
        <f t="shared" ca="1" si="33"/>
        <v>0</v>
      </c>
      <c r="Q15" s="76">
        <f t="shared" ca="1" si="34"/>
        <v>0</v>
      </c>
      <c r="R15" s="67">
        <f ca="1">IFERROR(__xludf.DUMMYFUNCTION("IMPORTRANGE(""https://docs.google.com/spreadsheets/d/1KS0zmDSZPk8KnTAbGN-Xk6MtX1YRZD0ldgdt20K4CRk/edit?usp=sharing"",""เชียงราย!Q72"")"),800860)</f>
        <v>800860</v>
      </c>
      <c r="S15" s="67">
        <f ca="1">IFERROR(__xludf.DUMMYFUNCTION("IMPORTRANGE(""https://docs.google.com/spreadsheets/d/1KS0zmDSZPk8KnTAbGN-Xk6MtX1YRZD0ldgdt20K4CRk/edit?usp=sharing"",""เชียงราย!R72"")"),800860)</f>
        <v>800860</v>
      </c>
      <c r="T15" s="67">
        <f ca="1">IFERROR(__xludf.DUMMYFUNCTION("IMPORTRANGE(""https://docs.google.com/spreadsheets/d/1KS0zmDSZPk8KnTAbGN-Xk6MtX1YRZD0ldgdt20K4CRk/edit?usp=sharing"",""เชียงราย!S72"")"),676839)</f>
        <v>676839</v>
      </c>
      <c r="U15" s="68">
        <f t="shared" ca="1" si="36"/>
        <v>84.514022425892165</v>
      </c>
      <c r="V15" s="68">
        <f t="shared" ca="1" si="37"/>
        <v>84.514022425892165</v>
      </c>
      <c r="W15" s="78">
        <f t="shared" ca="1" si="38"/>
        <v>1</v>
      </c>
      <c r="X15" s="78">
        <f t="shared" ca="1" si="39"/>
        <v>60</v>
      </c>
      <c r="Y15" s="78">
        <f t="shared" ca="1" si="45"/>
        <v>1</v>
      </c>
      <c r="Z15" s="79">
        <f t="shared" ca="1" si="40"/>
        <v>100</v>
      </c>
      <c r="AA15" s="78">
        <f t="shared" ca="1" si="46"/>
        <v>60</v>
      </c>
      <c r="AB15" s="79">
        <f t="shared" ca="1" si="41"/>
        <v>100</v>
      </c>
      <c r="AC15" s="78">
        <f ca="1">IFERROR(__xludf.DUMMYFUNCTION("IMPORTRANGE(""https://docs.google.com/spreadsheets/d/1KS0zmDSZPk8KnTAbGN-Xk6MtX1YRZD0ldgdt20K4CRk/edit?usp=sharing"",""เชียงราย!I84"")"),0)</f>
        <v>0</v>
      </c>
      <c r="AD15" s="78">
        <f ca="1">IFERROR(__xludf.DUMMYFUNCTION("IMPORTRANGE(""https://docs.google.com/spreadsheets/d/1KS0zmDSZPk8KnTAbGN-Xk6MtX1YRZD0ldgdt20K4CRk/edit?usp=sharing"",""เชียงราย!I85"")"),0)</f>
        <v>0</v>
      </c>
      <c r="AE15" s="78">
        <f ca="1">IFERROR(__xludf.DUMMYFUNCTION("IMPORTRANGE(""https://docs.google.com/spreadsheets/d/1KS0zmDSZPk8KnTAbGN-Xk6MtX1YRZD0ldgdt20K4CRk/edit?usp=sharing"",""เชียงราย!J84"")"),0)</f>
        <v>0</v>
      </c>
      <c r="AF15" s="78">
        <f ca="1">IFERROR(__xludf.DUMMYFUNCTION("IMPORTRANGE(""https://docs.google.com/spreadsheets/d/1KS0zmDSZPk8KnTAbGN-Xk6MtX1YRZD0ldgdt20K4CRk/edit?usp=sharing"",""เชียงราย!J85"")"),0)</f>
        <v>0</v>
      </c>
      <c r="AG15" s="78">
        <f ca="1">IFERROR(__xludf.DUMMYFUNCTION("IMPORTRANGE(""https://docs.google.com/spreadsheets/d/1KS0zmDSZPk8KnTAbGN-Xk6MtX1YRZD0ldgdt20K4CRk/edit?usp=sharing"",""เชียงราย!I86"")"),0)</f>
        <v>0</v>
      </c>
      <c r="AH15" s="78">
        <f ca="1">IFERROR(__xludf.DUMMYFUNCTION("IMPORTRANGE(""https://docs.google.com/spreadsheets/d/1KS0zmDSZPk8KnTAbGN-Xk6MtX1YRZD0ldgdt20K4CRk/edit?usp=sharing"",""เชียงราย!I87"")"),0)</f>
        <v>0</v>
      </c>
      <c r="AI15" s="78">
        <f ca="1">IFERROR(__xludf.DUMMYFUNCTION("IMPORTRANGE(""https://docs.google.com/spreadsheets/d/1KS0zmDSZPk8KnTAbGN-Xk6MtX1YRZD0ldgdt20K4CRk/edit?usp=sharing"",""เชียงราย!J86"")"),0)</f>
        <v>0</v>
      </c>
      <c r="AJ15" s="78">
        <f ca="1">IFERROR(__xludf.DUMMYFUNCTION("IMPORTRANGE(""https://docs.google.com/spreadsheets/d/1KS0zmDSZPk8KnTAbGN-Xk6MtX1YRZD0ldgdt20K4CRk/edit?usp=sharing"",""เชียงราย!J87"")"),0)</f>
        <v>0</v>
      </c>
      <c r="AK15" s="78">
        <f ca="1">IFERROR(__xludf.DUMMYFUNCTION("IMPORTRANGE(""https://docs.google.com/spreadsheets/d/1KS0zmDSZPk8KnTAbGN-Xk6MtX1YRZD0ldgdt20K4CRk/edit?usp=sharing"",""เชียงราย!I88"")"),1)</f>
        <v>1</v>
      </c>
      <c r="AL15" s="78">
        <f ca="1">IFERROR(__xludf.DUMMYFUNCTION("IMPORTRANGE(""https://docs.google.com/spreadsheets/d/1KS0zmDSZPk8KnTAbGN-Xk6MtX1YRZD0ldgdt20K4CRk/edit?usp=sharing"",""เชียงราย!I89"")"),60)</f>
        <v>60</v>
      </c>
      <c r="AM15" s="78">
        <f ca="1">IFERROR(__xludf.DUMMYFUNCTION("IMPORTRANGE(""https://docs.google.com/spreadsheets/d/1KS0zmDSZPk8KnTAbGN-Xk6MtX1YRZD0ldgdt20K4CRk/edit?usp=sharing"",""เชียงราย!J88"")"),1)</f>
        <v>1</v>
      </c>
      <c r="AN15" s="78">
        <f ca="1">IFERROR(__xludf.DUMMYFUNCTION("IMPORTRANGE(""https://docs.google.com/spreadsheets/d/1KS0zmDSZPk8KnTAbGN-Xk6MtX1YRZD0ldgdt20K4CRk/edit?usp=sharing"",""เชียงราย!J89"")"),60)</f>
        <v>60</v>
      </c>
      <c r="AO15" s="78">
        <f ca="1">IFERROR(__xludf.DUMMYFUNCTION("IMPORTRANGE(""https://docs.google.com/spreadsheets/d/1KS0zmDSZPk8KnTAbGN-Xk6MtX1YRZD0ldgdt20K4CRk/edit?usp=sharing"",""เชียงราย!I90"")"),1)</f>
        <v>1</v>
      </c>
      <c r="AP15" s="78">
        <f ca="1">IFERROR(__xludf.DUMMYFUNCTION("IMPORTRANGE(""https://docs.google.com/spreadsheets/d/1KS0zmDSZPk8KnTAbGN-Xk6MtX1YRZD0ldgdt20K4CRk/edit?usp=sharing"",""เชียงราย!J90"")"),1)</f>
        <v>1</v>
      </c>
      <c r="AQ15" s="79">
        <f t="shared" ca="1" si="43"/>
        <v>100</v>
      </c>
    </row>
    <row r="16" spans="1:43" ht="24" customHeight="1" x14ac:dyDescent="0.3">
      <c r="A16" s="70">
        <v>3</v>
      </c>
      <c r="B16" s="71" t="s">
        <v>44</v>
      </c>
      <c r="C16" s="72">
        <f t="shared" ca="1" si="27"/>
        <v>0</v>
      </c>
      <c r="D16" s="73">
        <f t="shared" ca="1" si="44"/>
        <v>0</v>
      </c>
      <c r="E16" s="74">
        <f ca="1">IFERROR(__xludf.DUMMYFUNCTION("IMPORTRANGE(""https://docs.google.com/spreadsheets/d/1-uDff_7J0KD5mKrp0Vvzr7lt3OU09vwQwhkpOPPYv2Y/edit?usp=sharing"",""งบพรบ!AN16"")"),0)</f>
        <v>0</v>
      </c>
      <c r="F16" s="74">
        <f ca="1">IFERROR(__xludf.DUMMYFUNCTION("IMPORTRANGE(""https://docs.google.com/spreadsheets/d/1-uDff_7J0KD5mKrp0Vvzr7lt3OU09vwQwhkpOPPYv2Y/edit?usp=sharing"",""งบพรบ!AO16"")"),0)</f>
        <v>0</v>
      </c>
      <c r="G16" s="74">
        <f ca="1">IFERROR(__xludf.DUMMYFUNCTION("IMPORTRANGE(""https://docs.google.com/spreadsheets/d/1-uDff_7J0KD5mKrp0Vvzr7lt3OU09vwQwhkpOPPYv2Y/edit?usp=sharing"",""งบพรบ!AP16"")"),0)</f>
        <v>0</v>
      </c>
      <c r="H16" s="74">
        <f ca="1">IFERROR(__xludf.DUMMYFUNCTION("IMPORTRANGE(""https://docs.google.com/spreadsheets/d/1-uDff_7J0KD5mKrp0Vvzr7lt3OU09vwQwhkpOPPYv2Y/edit?usp=sharing"",""งบพรบ!AR16"")"),80000)</f>
        <v>80000</v>
      </c>
      <c r="I16" s="74">
        <f ca="1">IFERROR(__xludf.DUMMYFUNCTION("IMPORTRANGE(""https://docs.google.com/spreadsheets/d/1-uDff_7J0KD5mKrp0Vvzr7lt3OU09vwQwhkpOPPYv2Y/edit?usp=sharing"",""งบพรบ!AS16"")"),0)</f>
        <v>0</v>
      </c>
      <c r="J16" s="74">
        <f t="shared" ca="1" si="29"/>
        <v>80000</v>
      </c>
      <c r="K16" s="75">
        <f t="shared" ca="1" si="30"/>
        <v>0</v>
      </c>
      <c r="L16" s="74">
        <f ca="1">IFERROR(__xludf.DUMMYFUNCTION("IMPORTRANGE(""https://docs.google.com/spreadsheets/d/1-uDff_7J0KD5mKrp0Vvzr7lt3OU09vwQwhkpOPPYv2Y/edit?usp=sharing"",""งบพรบ!AT16"")"),80000)</f>
        <v>80000</v>
      </c>
      <c r="M16" s="76">
        <f t="shared" ca="1" si="31"/>
        <v>0</v>
      </c>
      <c r="N16" s="76">
        <f t="shared" ca="1" si="32"/>
        <v>100</v>
      </c>
      <c r="O16" s="77">
        <f ca="1">IFERROR(__xludf.DUMMYFUNCTION("IMPORTRANGE(""https://docs.google.com/spreadsheets/d/1-uDff_7J0KD5mKrp0Vvzr7lt3OU09vwQwhkpOPPYv2Y/edit?usp=sharing"",""งบพรบ!AU16"")"),0)</f>
        <v>0</v>
      </c>
      <c r="P16" s="77">
        <f t="shared" ca="1" si="33"/>
        <v>0</v>
      </c>
      <c r="Q16" s="76">
        <f t="shared" ca="1" si="34"/>
        <v>0</v>
      </c>
      <c r="R16" s="67">
        <f ca="1">IFERROR(__xludf.DUMMYFUNCTION("IMPORTRANGE(""https://docs.google.com/spreadsheets/d/1rEDxBtusbi64tE0zunoIbsTVV16HeL0oJ6trHQeQ7K8/edit?usp=sharing"",""เชียงใหม่!Q72"")"),0)</f>
        <v>0</v>
      </c>
      <c r="S16" s="67">
        <f ca="1">IFERROR(__xludf.DUMMYFUNCTION("IMPORTRANGE(""https://docs.google.com/spreadsheets/d/1rEDxBtusbi64tE0zunoIbsTVV16HeL0oJ6trHQeQ7K8/edit?usp=sharing"",""เชียงใหม่!R72"")"),0)</f>
        <v>0</v>
      </c>
      <c r="T16" s="67">
        <f ca="1">IFERROR(__xludf.DUMMYFUNCTION("IMPORTRANGE(""https://docs.google.com/spreadsheets/d/1rEDxBtusbi64tE0zunoIbsTVV16HeL0oJ6trHQeQ7K8/edit?usp=sharing"",""เชียงใหม่!S72"")"),0)</f>
        <v>0</v>
      </c>
      <c r="U16" s="68">
        <f t="shared" ca="1" si="36"/>
        <v>0</v>
      </c>
      <c r="V16" s="68">
        <f t="shared" ca="1" si="37"/>
        <v>0</v>
      </c>
      <c r="W16" s="78">
        <f t="shared" ca="1" si="38"/>
        <v>0</v>
      </c>
      <c r="X16" s="78">
        <f t="shared" ca="1" si="39"/>
        <v>0</v>
      </c>
      <c r="Y16" s="78">
        <f t="shared" ca="1" si="45"/>
        <v>0</v>
      </c>
      <c r="Z16" s="79">
        <f t="shared" ca="1" si="40"/>
        <v>0</v>
      </c>
      <c r="AA16" s="78">
        <f t="shared" ca="1" si="46"/>
        <v>0</v>
      </c>
      <c r="AB16" s="79">
        <f t="shared" ca="1" si="41"/>
        <v>0</v>
      </c>
      <c r="AC16" s="74">
        <f ca="1">IFERROR(__xludf.DUMMYFUNCTION("IMPORTRANGE(""https://docs.google.com/spreadsheets/d/1rEDxBtusbi64tE0zunoIbsTVV16HeL0oJ6trHQeQ7K8/edit?usp=sharing"",""เชียงใหม่!I84"")"),0)</f>
        <v>0</v>
      </c>
      <c r="AD16" s="74">
        <f ca="1">IFERROR(__xludf.DUMMYFUNCTION("IMPORTRANGE(""https://docs.google.com/spreadsheets/d/1rEDxBtusbi64tE0zunoIbsTVV16HeL0oJ6trHQeQ7K8/edit?usp=sharing"",""เชียงใหม่!I85"")"),0)</f>
        <v>0</v>
      </c>
      <c r="AE16" s="78">
        <f ca="1">IFERROR(__xludf.DUMMYFUNCTION("IMPORTRANGE(""https://docs.google.com/spreadsheets/d/1rEDxBtusbi64tE0zunoIbsTVV16HeL0oJ6trHQeQ7K8/edit?usp=sharing"",""เชียงใหม่!J84"")"),0)</f>
        <v>0</v>
      </c>
      <c r="AF16" s="78">
        <f ca="1">IFERROR(__xludf.DUMMYFUNCTION("IMPORTRANGE(""https://docs.google.com/spreadsheets/d/1rEDxBtusbi64tE0zunoIbsTVV16HeL0oJ6trHQeQ7K8/edit?usp=sharing"",""เชียงใหม่!J85"")"),0)</f>
        <v>0</v>
      </c>
      <c r="AG16" s="74">
        <f ca="1">IFERROR(__xludf.DUMMYFUNCTION("IMPORTRANGE(""https://docs.google.com/spreadsheets/d/1rEDxBtusbi64tE0zunoIbsTVV16HeL0oJ6trHQeQ7K8/edit?usp=sharing"",""เชียงใหม่!I86"")"),0)</f>
        <v>0</v>
      </c>
      <c r="AH16" s="74">
        <f ca="1">IFERROR(__xludf.DUMMYFUNCTION("IMPORTRANGE(""https://docs.google.com/spreadsheets/d/1rEDxBtusbi64tE0zunoIbsTVV16HeL0oJ6trHQeQ7K8/edit?usp=sharing"",""เชียงใหม่!I87"")"),0)</f>
        <v>0</v>
      </c>
      <c r="AI16" s="78">
        <f ca="1">IFERROR(__xludf.DUMMYFUNCTION("IMPORTRANGE(""https://docs.google.com/spreadsheets/d/1rEDxBtusbi64tE0zunoIbsTVV16HeL0oJ6trHQeQ7K8/edit?usp=sharing"",""เชียงใหม่!J86"")"),0)</f>
        <v>0</v>
      </c>
      <c r="AJ16" s="78">
        <f ca="1">IFERROR(__xludf.DUMMYFUNCTION("IMPORTRANGE(""https://docs.google.com/spreadsheets/d/1rEDxBtusbi64tE0zunoIbsTVV16HeL0oJ6trHQeQ7K8/edit?usp=sharing"",""เชียงใหม่!J87"")"),0)</f>
        <v>0</v>
      </c>
      <c r="AK16" s="74">
        <f ca="1">IFERROR(__xludf.DUMMYFUNCTION("IMPORTRANGE(""https://docs.google.com/spreadsheets/d/1rEDxBtusbi64tE0zunoIbsTVV16HeL0oJ6trHQeQ7K8/edit?usp=sharing"",""เชียงใหม่!I88"")"),0)</f>
        <v>0</v>
      </c>
      <c r="AL16" s="74">
        <f ca="1">IFERROR(__xludf.DUMMYFUNCTION("IMPORTRANGE(""https://docs.google.com/spreadsheets/d/1rEDxBtusbi64tE0zunoIbsTVV16HeL0oJ6trHQeQ7K8/edit?usp=sharing"",""เชียงใหม่!I89"")"),0)</f>
        <v>0</v>
      </c>
      <c r="AM16" s="78">
        <f ca="1">IFERROR(__xludf.DUMMYFUNCTION("IMPORTRANGE(""https://docs.google.com/spreadsheets/d/1rEDxBtusbi64tE0zunoIbsTVV16HeL0oJ6trHQeQ7K8/edit?usp=sharing"",""เชียงใหม่!J88"")"),0)</f>
        <v>0</v>
      </c>
      <c r="AN16" s="78">
        <f ca="1">IFERROR(__xludf.DUMMYFUNCTION("IMPORTRANGE(""https://docs.google.com/spreadsheets/d/1rEDxBtusbi64tE0zunoIbsTVV16HeL0oJ6trHQeQ7K8/edit?usp=sharing"",""เชียงใหม่!J89"")"),0)</f>
        <v>0</v>
      </c>
      <c r="AO16" s="74">
        <f ca="1">IFERROR(__xludf.DUMMYFUNCTION("IMPORTRANGE(""https://docs.google.com/spreadsheets/d/1rEDxBtusbi64tE0zunoIbsTVV16HeL0oJ6trHQeQ7K8/edit?usp=sharing"",""เชียงใหม่!I90"")"),0)</f>
        <v>0</v>
      </c>
      <c r="AP16" s="78">
        <f ca="1">IFERROR(__xludf.DUMMYFUNCTION("IMPORTRANGE(""https://docs.google.com/spreadsheets/d/1rEDxBtusbi64tE0zunoIbsTVV16HeL0oJ6trHQeQ7K8/edit?usp=sharing"",""เชียงใหม่!J90"")"),0)</f>
        <v>0</v>
      </c>
      <c r="AQ16" s="76">
        <f t="shared" ca="1" si="43"/>
        <v>0</v>
      </c>
    </row>
    <row r="17" spans="1:43" ht="24" customHeight="1" x14ac:dyDescent="0.3">
      <c r="A17" s="70">
        <v>4</v>
      </c>
      <c r="B17" s="71" t="s">
        <v>45</v>
      </c>
      <c r="C17" s="72">
        <f t="shared" ca="1" si="27"/>
        <v>0</v>
      </c>
      <c r="D17" s="73">
        <f t="shared" ca="1" si="44"/>
        <v>0</v>
      </c>
      <c r="E17" s="74">
        <f ca="1">IFERROR(__xludf.DUMMYFUNCTION("IMPORTRANGE(""https://docs.google.com/spreadsheets/d/1-uDff_7J0KD5mKrp0Vvzr7lt3OU09vwQwhkpOPPYv2Y/edit?usp=sharing"",""งบพรบ!AN17"")"),0)</f>
        <v>0</v>
      </c>
      <c r="F17" s="74">
        <f ca="1">IFERROR(__xludf.DUMMYFUNCTION("IMPORTRANGE(""https://docs.google.com/spreadsheets/d/1-uDff_7J0KD5mKrp0Vvzr7lt3OU09vwQwhkpOPPYv2Y/edit?usp=sharing"",""งบพรบ!AO17"")"),0)</f>
        <v>0</v>
      </c>
      <c r="G17" s="74">
        <f ca="1">IFERROR(__xludf.DUMMYFUNCTION("IMPORTRANGE(""https://docs.google.com/spreadsheets/d/1-uDff_7J0KD5mKrp0Vvzr7lt3OU09vwQwhkpOPPYv2Y/edit?usp=sharing"",""งบพรบ!AP17"")"),0)</f>
        <v>0</v>
      </c>
      <c r="H17" s="74">
        <f ca="1">IFERROR(__xludf.DUMMYFUNCTION("IMPORTRANGE(""https://docs.google.com/spreadsheets/d/1-uDff_7J0KD5mKrp0Vvzr7lt3OU09vwQwhkpOPPYv2Y/edit?usp=sharing"",""งบพรบ!AR17"")"),0)</f>
        <v>0</v>
      </c>
      <c r="I17" s="74">
        <f ca="1">IFERROR(__xludf.DUMMYFUNCTION("IMPORTRANGE(""https://docs.google.com/spreadsheets/d/1-uDff_7J0KD5mKrp0Vvzr7lt3OU09vwQwhkpOPPYv2Y/edit?usp=sharing"",""งบพรบ!AS17"")"),0)</f>
        <v>0</v>
      </c>
      <c r="J17" s="74">
        <f t="shared" ca="1" si="29"/>
        <v>0</v>
      </c>
      <c r="K17" s="75">
        <f t="shared" ca="1" si="30"/>
        <v>0</v>
      </c>
      <c r="L17" s="74">
        <f ca="1">IFERROR(__xludf.DUMMYFUNCTION("IMPORTRANGE(""https://docs.google.com/spreadsheets/d/1-uDff_7J0KD5mKrp0Vvzr7lt3OU09vwQwhkpOPPYv2Y/edit?usp=sharing"",""งบพรบ!AT17"")"),0)</f>
        <v>0</v>
      </c>
      <c r="M17" s="76">
        <f t="shared" ca="1" si="31"/>
        <v>0</v>
      </c>
      <c r="N17" s="76">
        <f t="shared" ca="1" si="32"/>
        <v>0</v>
      </c>
      <c r="O17" s="77">
        <f ca="1">IFERROR(__xludf.DUMMYFUNCTION("IMPORTRANGE(""https://docs.google.com/spreadsheets/d/1-uDff_7J0KD5mKrp0Vvzr7lt3OU09vwQwhkpOPPYv2Y/edit?usp=sharing"",""งบพรบ!AU17"")"),0)</f>
        <v>0</v>
      </c>
      <c r="P17" s="77">
        <f t="shared" ca="1" si="33"/>
        <v>0</v>
      </c>
      <c r="Q17" s="76">
        <f t="shared" ca="1" si="34"/>
        <v>0</v>
      </c>
      <c r="R17" s="67">
        <f ca="1">IFERROR(__xludf.DUMMYFUNCTION("IMPORTRANGE(""https://docs.google.com/spreadsheets/d/1W6MnUbDkMi6xHnHko_XkFDO9kkuL6Wqyc-6OCDFjW9I/edit?usp=sharing"",""ตาก!Q72"")"),0)</f>
        <v>0</v>
      </c>
      <c r="S17" s="67">
        <f ca="1">IFERROR(__xludf.DUMMYFUNCTION("IMPORTRANGE(""https://docs.google.com/spreadsheets/d/1W6MnUbDkMi6xHnHko_XkFDO9kkuL6Wqyc-6OCDFjW9I/edit?usp=sharing"",""ตาก!R72"")"),0)</f>
        <v>0</v>
      </c>
      <c r="T17" s="67">
        <f ca="1">IFERROR(__xludf.DUMMYFUNCTION("IMPORTRANGE(""https://docs.google.com/spreadsheets/d/1W6MnUbDkMi6xHnHko_XkFDO9kkuL6Wqyc-6OCDFjW9I/edit?usp=sharing"",""ตาก!S72"")"),0)</f>
        <v>0</v>
      </c>
      <c r="U17" s="68">
        <f t="shared" ca="1" si="36"/>
        <v>0</v>
      </c>
      <c r="V17" s="68">
        <f t="shared" ca="1" si="37"/>
        <v>0</v>
      </c>
      <c r="W17" s="78">
        <f t="shared" ca="1" si="38"/>
        <v>0</v>
      </c>
      <c r="X17" s="78">
        <f t="shared" ca="1" si="39"/>
        <v>0</v>
      </c>
      <c r="Y17" s="78">
        <f t="shared" ca="1" si="45"/>
        <v>0</v>
      </c>
      <c r="Z17" s="79">
        <f t="shared" ca="1" si="40"/>
        <v>0</v>
      </c>
      <c r="AA17" s="78">
        <f t="shared" ca="1" si="46"/>
        <v>0</v>
      </c>
      <c r="AB17" s="79">
        <f t="shared" ca="1" si="41"/>
        <v>0</v>
      </c>
      <c r="AC17" s="74">
        <f ca="1">IFERROR(__xludf.DUMMYFUNCTION("IMPORTRANGE(""https://docs.google.com/spreadsheets/d/1W6MnUbDkMi6xHnHko_XkFDO9kkuL6Wqyc-6OCDFjW9I/edit?usp=sharing"",""ตาก!I84"")"),0)</f>
        <v>0</v>
      </c>
      <c r="AD17" s="74">
        <f ca="1">IFERROR(__xludf.DUMMYFUNCTION("IMPORTRANGE(""https://docs.google.com/spreadsheets/d/1W6MnUbDkMi6xHnHko_XkFDO9kkuL6Wqyc-6OCDFjW9I/edit?usp=sharing"",""ตาก!I85"")"),0)</f>
        <v>0</v>
      </c>
      <c r="AE17" s="78">
        <f ca="1">IFERROR(__xludf.DUMMYFUNCTION("IMPORTRANGE(""https://docs.google.com/spreadsheets/d/1W6MnUbDkMi6xHnHko_XkFDO9kkuL6Wqyc-6OCDFjW9I/edit?usp=sharing"",""ตาก!J84"")"),0)</f>
        <v>0</v>
      </c>
      <c r="AF17" s="78">
        <f ca="1">IFERROR(__xludf.DUMMYFUNCTION("IMPORTRANGE(""https://docs.google.com/spreadsheets/d/1W6MnUbDkMi6xHnHko_XkFDO9kkuL6Wqyc-6OCDFjW9I/edit?usp=sharing"",""ตาก!J85"")"),0)</f>
        <v>0</v>
      </c>
      <c r="AG17" s="74">
        <f ca="1">IFERROR(__xludf.DUMMYFUNCTION("IMPORTRANGE(""https://docs.google.com/spreadsheets/d/1W6MnUbDkMi6xHnHko_XkFDO9kkuL6Wqyc-6OCDFjW9I/edit?usp=sharing"",""ตาก!I86"")"),0)</f>
        <v>0</v>
      </c>
      <c r="AH17" s="74">
        <f ca="1">IFERROR(__xludf.DUMMYFUNCTION("IMPORTRANGE(""https://docs.google.com/spreadsheets/d/1W6MnUbDkMi6xHnHko_XkFDO9kkuL6Wqyc-6OCDFjW9I/edit?usp=sharing"",""ตาก!I87"")"),0)</f>
        <v>0</v>
      </c>
      <c r="AI17" s="78">
        <f ca="1">IFERROR(__xludf.DUMMYFUNCTION("IMPORTRANGE(""https://docs.google.com/spreadsheets/d/1W6MnUbDkMi6xHnHko_XkFDO9kkuL6Wqyc-6OCDFjW9I/edit?usp=sharing"",""ตาก!J86"")"),0)</f>
        <v>0</v>
      </c>
      <c r="AJ17" s="78">
        <f ca="1">IFERROR(__xludf.DUMMYFUNCTION("IMPORTRANGE(""https://docs.google.com/spreadsheets/d/1W6MnUbDkMi6xHnHko_XkFDO9kkuL6Wqyc-6OCDFjW9I/edit?usp=sharing"",""ตาก!J87"")"),0)</f>
        <v>0</v>
      </c>
      <c r="AK17" s="74">
        <f ca="1">IFERROR(__xludf.DUMMYFUNCTION("IMPORTRANGE(""https://docs.google.com/spreadsheets/d/1W6MnUbDkMi6xHnHko_XkFDO9kkuL6Wqyc-6OCDFjW9I/edit?usp=sharing"",""ตาก!I88"")"),0)</f>
        <v>0</v>
      </c>
      <c r="AL17" s="74">
        <f ca="1">IFERROR(__xludf.DUMMYFUNCTION("IMPORTRANGE(""https://docs.google.com/spreadsheets/d/1W6MnUbDkMi6xHnHko_XkFDO9kkuL6Wqyc-6OCDFjW9I/edit?usp=sharing"",""ตาก!I89"")"),0)</f>
        <v>0</v>
      </c>
      <c r="AM17" s="78">
        <f ca="1">IFERROR(__xludf.DUMMYFUNCTION("IMPORTRANGE(""https://docs.google.com/spreadsheets/d/1W6MnUbDkMi6xHnHko_XkFDO9kkuL6Wqyc-6OCDFjW9I/edit?usp=sharing"",""ตาก!J88"")"),0)</f>
        <v>0</v>
      </c>
      <c r="AN17" s="78">
        <f ca="1">IFERROR(__xludf.DUMMYFUNCTION("IMPORTRANGE(""https://docs.google.com/spreadsheets/d/1W6MnUbDkMi6xHnHko_XkFDO9kkuL6Wqyc-6OCDFjW9I/edit?usp=sharing"",""ตาก!J89"")"),0)</f>
        <v>0</v>
      </c>
      <c r="AO17" s="74">
        <f ca="1">IFERROR(__xludf.DUMMYFUNCTION("IMPORTRANGE(""https://docs.google.com/spreadsheets/d/1W6MnUbDkMi6xHnHko_XkFDO9kkuL6Wqyc-6OCDFjW9I/edit?usp=sharing"",""ตาก!I90"")"),0)</f>
        <v>0</v>
      </c>
      <c r="AP17" s="78">
        <f ca="1">IFERROR(__xludf.DUMMYFUNCTION("IMPORTRANGE(""https://docs.google.com/spreadsheets/d/1W6MnUbDkMi6xHnHko_XkFDO9kkuL6Wqyc-6OCDFjW9I/edit?usp=sharing"",""ตาก!J90"")"),0)</f>
        <v>0</v>
      </c>
      <c r="AQ17" s="76">
        <f t="shared" ca="1" si="43"/>
        <v>0</v>
      </c>
    </row>
    <row r="18" spans="1:43" ht="24" customHeight="1" x14ac:dyDescent="0.3">
      <c r="A18" s="70">
        <v>5</v>
      </c>
      <c r="B18" s="71" t="s">
        <v>46</v>
      </c>
      <c r="C18" s="72">
        <f t="shared" ca="1" si="27"/>
        <v>142000</v>
      </c>
      <c r="D18" s="73">
        <f t="shared" ca="1" si="44"/>
        <v>142000</v>
      </c>
      <c r="E18" s="74">
        <f ca="1">IFERROR(__xludf.DUMMYFUNCTION("IMPORTRANGE(""https://docs.google.com/spreadsheets/d/1-uDff_7J0KD5mKrp0Vvzr7lt3OU09vwQwhkpOPPYv2Y/edit?usp=sharing"",""งบพรบ!AN18"")"),0)</f>
        <v>0</v>
      </c>
      <c r="F18" s="74">
        <f ca="1">IFERROR(__xludf.DUMMYFUNCTION("IMPORTRANGE(""https://docs.google.com/spreadsheets/d/1-uDff_7J0KD5mKrp0Vvzr7lt3OU09vwQwhkpOPPYv2Y/edit?usp=sharing"",""งบพรบ!AO18"")"),142000)</f>
        <v>142000</v>
      </c>
      <c r="G18" s="74">
        <f ca="1">IFERROR(__xludf.DUMMYFUNCTION("IMPORTRANGE(""https://docs.google.com/spreadsheets/d/1-uDff_7J0KD5mKrp0Vvzr7lt3OU09vwQwhkpOPPYv2Y/edit?usp=sharing"",""งบพรบ!AP18"")"),0)</f>
        <v>0</v>
      </c>
      <c r="H18" s="74">
        <f ca="1">IFERROR(__xludf.DUMMYFUNCTION("IMPORTRANGE(""https://docs.google.com/spreadsheets/d/1-uDff_7J0KD5mKrp0Vvzr7lt3OU09vwQwhkpOPPYv2Y/edit?usp=sharing"",""งบพรบ!AR18"")"),142000)</f>
        <v>142000</v>
      </c>
      <c r="I18" s="74">
        <f ca="1">IFERROR(__xludf.DUMMYFUNCTION("IMPORTRANGE(""https://docs.google.com/spreadsheets/d/1-uDff_7J0KD5mKrp0Vvzr7lt3OU09vwQwhkpOPPYv2Y/edit?usp=sharing"",""งบพรบ!AS18"")"),0)</f>
        <v>0</v>
      </c>
      <c r="J18" s="74">
        <f t="shared" ca="1" si="29"/>
        <v>53522</v>
      </c>
      <c r="K18" s="75">
        <f t="shared" ca="1" si="30"/>
        <v>37.691549295774649</v>
      </c>
      <c r="L18" s="74">
        <f ca="1">IFERROR(__xludf.DUMMYFUNCTION("IMPORTRANGE(""https://docs.google.com/spreadsheets/d/1-uDff_7J0KD5mKrp0Vvzr7lt3OU09vwQwhkpOPPYv2Y/edit?usp=sharing"",""งบพรบ!AT18"")"),53522)</f>
        <v>53522</v>
      </c>
      <c r="M18" s="76">
        <f t="shared" ca="1" si="31"/>
        <v>37.691549295774649</v>
      </c>
      <c r="N18" s="76">
        <f t="shared" ca="1" si="32"/>
        <v>37.691549295774649</v>
      </c>
      <c r="O18" s="77">
        <f ca="1">IFERROR(__xludf.DUMMYFUNCTION("IMPORTRANGE(""https://docs.google.com/spreadsheets/d/1-uDff_7J0KD5mKrp0Vvzr7lt3OU09vwQwhkpOPPYv2Y/edit?usp=sharing"",""งบพรบ!AU18"")"),0)</f>
        <v>0</v>
      </c>
      <c r="P18" s="77">
        <f t="shared" ca="1" si="33"/>
        <v>0</v>
      </c>
      <c r="Q18" s="76">
        <f t="shared" ca="1" si="34"/>
        <v>0</v>
      </c>
      <c r="R18" s="67">
        <f ca="1">IFERROR(__xludf.DUMMYFUNCTION("IMPORTRANGE(""https://docs.google.com/spreadsheets/d/1IQAWArduLkta9LpYo4a_ULsyqdta6-6aDDiwpUnQT6c/edit?usp=sharing"",""นครสวรรค์!Q72"")"),410120)</f>
        <v>410120</v>
      </c>
      <c r="S18" s="67">
        <f ca="1">IFERROR(__xludf.DUMMYFUNCTION("IMPORTRANGE(""https://docs.google.com/spreadsheets/d/1IQAWArduLkta9LpYo4a_ULsyqdta6-6aDDiwpUnQT6c/edit?usp=sharing"",""นครสวรรค์!R72"")"),410120)</f>
        <v>410120</v>
      </c>
      <c r="T18" s="67">
        <f ca="1">IFERROR(__xludf.DUMMYFUNCTION("IMPORTRANGE(""https://docs.google.com/spreadsheets/d/1IQAWArduLkta9LpYo4a_ULsyqdta6-6aDDiwpUnQT6c/edit?usp=sharing"",""นครสวรรค์!S72"")"),270430)</f>
        <v>270430</v>
      </c>
      <c r="U18" s="68">
        <f t="shared" ca="1" si="36"/>
        <v>65.939237296401046</v>
      </c>
      <c r="V18" s="68">
        <f t="shared" ca="1" si="37"/>
        <v>65.939237296401046</v>
      </c>
      <c r="W18" s="78">
        <f t="shared" ca="1" si="38"/>
        <v>1</v>
      </c>
      <c r="X18" s="78">
        <f t="shared" ca="1" si="39"/>
        <v>31</v>
      </c>
      <c r="Y18" s="78">
        <f t="shared" ca="1" si="45"/>
        <v>1</v>
      </c>
      <c r="Z18" s="79">
        <f t="shared" ca="1" si="40"/>
        <v>100</v>
      </c>
      <c r="AA18" s="78">
        <f t="shared" ca="1" si="46"/>
        <v>31</v>
      </c>
      <c r="AB18" s="79">
        <f t="shared" ca="1" si="41"/>
        <v>100</v>
      </c>
      <c r="AC18" s="74">
        <f ca="1">IFERROR(__xludf.DUMMYFUNCTION("IMPORTRANGE(""https://docs.google.com/spreadsheets/d/1IQAWArduLkta9LpYo4a_ULsyqdta6-6aDDiwpUnQT6c/edit?usp=sharing"",""นครสวรรค์!I84"")"),1)</f>
        <v>1</v>
      </c>
      <c r="AD18" s="74">
        <f ca="1">IFERROR(__xludf.DUMMYFUNCTION("IMPORTRANGE(""https://docs.google.com/spreadsheets/d/1IQAWArduLkta9LpYo4a_ULsyqdta6-6aDDiwpUnQT6c/edit?usp=sharing"",""นครสวรรค์!I85"")"),31)</f>
        <v>31</v>
      </c>
      <c r="AE18" s="78">
        <f ca="1">IFERROR(__xludf.DUMMYFUNCTION("IMPORTRANGE(""https://docs.google.com/spreadsheets/d/1IQAWArduLkta9LpYo4a_ULsyqdta6-6aDDiwpUnQT6c/edit?usp=sharing"",""นครสวรรค์!J84"")"),1)</f>
        <v>1</v>
      </c>
      <c r="AF18" s="78">
        <f ca="1">IFERROR(__xludf.DUMMYFUNCTION("IMPORTRANGE(""https://docs.google.com/spreadsheets/d/1IQAWArduLkta9LpYo4a_ULsyqdta6-6aDDiwpUnQT6c/edit?usp=sharing"",""นครสวรรค์!J85"")"),31)</f>
        <v>31</v>
      </c>
      <c r="AG18" s="74">
        <f ca="1">IFERROR(__xludf.DUMMYFUNCTION("IMPORTRANGE(""https://docs.google.com/spreadsheets/d/1IQAWArduLkta9LpYo4a_ULsyqdta6-6aDDiwpUnQT6c/edit?usp=sharing"",""นครสวรรค์!I86"")"),0)</f>
        <v>0</v>
      </c>
      <c r="AH18" s="74">
        <f ca="1">IFERROR(__xludf.DUMMYFUNCTION("IMPORTRANGE(""https://docs.google.com/spreadsheets/d/1IQAWArduLkta9LpYo4a_ULsyqdta6-6aDDiwpUnQT6c/edit?usp=sharing"",""นครสวรรค์!I87"")"),0)</f>
        <v>0</v>
      </c>
      <c r="AI18" s="78">
        <f ca="1">IFERROR(__xludf.DUMMYFUNCTION("IMPORTRANGE(""https://docs.google.com/spreadsheets/d/1IQAWArduLkta9LpYo4a_ULsyqdta6-6aDDiwpUnQT6c/edit?usp=sharing"",""นครสวรรค์!J86"")"),0)</f>
        <v>0</v>
      </c>
      <c r="AJ18" s="78">
        <f ca="1">IFERROR(__xludf.DUMMYFUNCTION("IMPORTRANGE(""https://docs.google.com/spreadsheets/d/1IQAWArduLkta9LpYo4a_ULsyqdta6-6aDDiwpUnQT6c/edit?usp=sharing"",""นครสวรรค์!J87"")"),0)</f>
        <v>0</v>
      </c>
      <c r="AK18" s="74">
        <f ca="1">IFERROR(__xludf.DUMMYFUNCTION("IMPORTRANGE(""https://docs.google.com/spreadsheets/d/1IQAWArduLkta9LpYo4a_ULsyqdta6-6aDDiwpUnQT6c/edit?usp=sharing"",""นครสวรรค์!I88"")"),0)</f>
        <v>0</v>
      </c>
      <c r="AL18" s="74">
        <f ca="1">IFERROR(__xludf.DUMMYFUNCTION("IMPORTRANGE(""https://docs.google.com/spreadsheets/d/1IQAWArduLkta9LpYo4a_ULsyqdta6-6aDDiwpUnQT6c/edit?usp=sharing"",""นครสวรรค์!I89"")"),0)</f>
        <v>0</v>
      </c>
      <c r="AM18" s="78">
        <f ca="1">IFERROR(__xludf.DUMMYFUNCTION("IMPORTRANGE(""https://docs.google.com/spreadsheets/d/1IQAWArduLkta9LpYo4a_ULsyqdta6-6aDDiwpUnQT6c/edit?usp=sharing"",""นครสวรรค์!J88"")"),0)</f>
        <v>0</v>
      </c>
      <c r="AN18" s="78">
        <f ca="1">IFERROR(__xludf.DUMMYFUNCTION("IMPORTRANGE(""https://docs.google.com/spreadsheets/d/1IQAWArduLkta9LpYo4a_ULsyqdta6-6aDDiwpUnQT6c/edit?usp=sharing"",""นครสวรรค์!J89"")"),0)</f>
        <v>0</v>
      </c>
      <c r="AO18" s="74">
        <f ca="1">IFERROR(__xludf.DUMMYFUNCTION("IMPORTRANGE(""https://docs.google.com/spreadsheets/d/1IQAWArduLkta9LpYo4a_ULsyqdta6-6aDDiwpUnQT6c/edit?usp=sharing"",""นครสวรรค์!I90"")"),1)</f>
        <v>1</v>
      </c>
      <c r="AP18" s="78">
        <f ca="1">IFERROR(__xludf.DUMMYFUNCTION("IMPORTRANGE(""https://docs.google.com/spreadsheets/d/1IQAWArduLkta9LpYo4a_ULsyqdta6-6aDDiwpUnQT6c/edit?usp=sharing"",""นครสวรรค์!J90"")"),1)</f>
        <v>1</v>
      </c>
      <c r="AQ18" s="76">
        <f t="shared" ca="1" si="43"/>
        <v>100</v>
      </c>
    </row>
    <row r="19" spans="1:43" ht="24" customHeight="1" x14ac:dyDescent="0.3">
      <c r="A19" s="70">
        <v>6</v>
      </c>
      <c r="B19" s="71" t="s">
        <v>47</v>
      </c>
      <c r="C19" s="72">
        <f t="shared" ca="1" si="27"/>
        <v>142000</v>
      </c>
      <c r="D19" s="73">
        <f t="shared" ca="1" si="44"/>
        <v>142000</v>
      </c>
      <c r="E19" s="74">
        <f ca="1">IFERROR(__xludf.DUMMYFUNCTION("IMPORTRANGE(""https://docs.google.com/spreadsheets/d/1-uDff_7J0KD5mKrp0Vvzr7lt3OU09vwQwhkpOPPYv2Y/edit?usp=sharing"",""งบพรบ!AN19"")"),0)</f>
        <v>0</v>
      </c>
      <c r="F19" s="74">
        <f ca="1">IFERROR(__xludf.DUMMYFUNCTION("IMPORTRANGE(""https://docs.google.com/spreadsheets/d/1-uDff_7J0KD5mKrp0Vvzr7lt3OU09vwQwhkpOPPYv2Y/edit?usp=sharing"",""งบพรบ!AO19"")"),142000)</f>
        <v>142000</v>
      </c>
      <c r="G19" s="74">
        <f ca="1">IFERROR(__xludf.DUMMYFUNCTION("IMPORTRANGE(""https://docs.google.com/spreadsheets/d/1-uDff_7J0KD5mKrp0Vvzr7lt3OU09vwQwhkpOPPYv2Y/edit?usp=sharing"",""งบพรบ!AP19"")"),0)</f>
        <v>0</v>
      </c>
      <c r="H19" s="74">
        <f ca="1">IFERROR(__xludf.DUMMYFUNCTION("IMPORTRANGE(""https://docs.google.com/spreadsheets/d/1-uDff_7J0KD5mKrp0Vvzr7lt3OU09vwQwhkpOPPYv2Y/edit?usp=sharing"",""งบพรบ!AR19"")"),142000)</f>
        <v>142000</v>
      </c>
      <c r="I19" s="74">
        <f ca="1">IFERROR(__xludf.DUMMYFUNCTION("IMPORTRANGE(""https://docs.google.com/spreadsheets/d/1-uDff_7J0KD5mKrp0Vvzr7lt3OU09vwQwhkpOPPYv2Y/edit?usp=sharing"",""งบพรบ!AS19"")"),0)</f>
        <v>0</v>
      </c>
      <c r="J19" s="74">
        <f t="shared" ca="1" si="29"/>
        <v>85345</v>
      </c>
      <c r="K19" s="75">
        <f t="shared" ca="1" si="30"/>
        <v>60.102112676056336</v>
      </c>
      <c r="L19" s="74">
        <f ca="1">IFERROR(__xludf.DUMMYFUNCTION("IMPORTRANGE(""https://docs.google.com/spreadsheets/d/1-uDff_7J0KD5mKrp0Vvzr7lt3OU09vwQwhkpOPPYv2Y/edit?usp=sharing"",""งบพรบ!AT19"")"),85345)</f>
        <v>85345</v>
      </c>
      <c r="M19" s="76">
        <f t="shared" ca="1" si="31"/>
        <v>60.102112676056336</v>
      </c>
      <c r="N19" s="76">
        <f t="shared" ca="1" si="32"/>
        <v>60.102112676056336</v>
      </c>
      <c r="O19" s="77">
        <f ca="1">IFERROR(__xludf.DUMMYFUNCTION("IMPORTRANGE(""https://docs.google.com/spreadsheets/d/1-uDff_7J0KD5mKrp0Vvzr7lt3OU09vwQwhkpOPPYv2Y/edit?usp=sharing"",""งบพรบ!AU19"")"),0)</f>
        <v>0</v>
      </c>
      <c r="P19" s="77">
        <f t="shared" ca="1" si="33"/>
        <v>0</v>
      </c>
      <c r="Q19" s="76">
        <f t="shared" ca="1" si="34"/>
        <v>0</v>
      </c>
      <c r="R19" s="67">
        <f ca="1">IFERROR(__xludf.DUMMYFUNCTION("IMPORTRANGE(""https://docs.google.com/spreadsheets/d/10s13Sk5xrltsiR-Zkbmk5DwIaDIKO8XlbJAfqyT7Gvg/edit?usp=sharing"",""น่าน!Q72"")"),447900)</f>
        <v>447900</v>
      </c>
      <c r="S19" s="67">
        <f ca="1">IFERROR(__xludf.DUMMYFUNCTION("IMPORTRANGE(""https://docs.google.com/spreadsheets/d/10s13Sk5xrltsiR-Zkbmk5DwIaDIKO8XlbJAfqyT7Gvg/edit?usp=sharing"",""น่าน!R72"")"),447900)</f>
        <v>447900</v>
      </c>
      <c r="T19" s="67">
        <f ca="1">IFERROR(__xludf.DUMMYFUNCTION("IMPORTRANGE(""https://docs.google.com/spreadsheets/d/10s13Sk5xrltsiR-Zkbmk5DwIaDIKO8XlbJAfqyT7Gvg/edit?usp=sharing"",""น่าน!S72"")"),144940)</f>
        <v>144940</v>
      </c>
      <c r="U19" s="68">
        <f t="shared" ca="1" si="36"/>
        <v>32.35990176378656</v>
      </c>
      <c r="V19" s="68">
        <f t="shared" ca="1" si="37"/>
        <v>32.35990176378656</v>
      </c>
      <c r="W19" s="78">
        <f t="shared" ca="1" si="38"/>
        <v>1</v>
      </c>
      <c r="X19" s="78">
        <f t="shared" ca="1" si="39"/>
        <v>40</v>
      </c>
      <c r="Y19" s="78">
        <f t="shared" ca="1" si="45"/>
        <v>1</v>
      </c>
      <c r="Z19" s="79">
        <f t="shared" ca="1" si="40"/>
        <v>100</v>
      </c>
      <c r="AA19" s="78">
        <f t="shared" ca="1" si="46"/>
        <v>40</v>
      </c>
      <c r="AB19" s="79">
        <f t="shared" ca="1" si="41"/>
        <v>100</v>
      </c>
      <c r="AC19" s="74">
        <f ca="1">IFERROR(__xludf.DUMMYFUNCTION("IMPORTRANGE(""https://docs.google.com/spreadsheets/d/10s13Sk5xrltsiR-Zkbmk5DwIaDIKO8XlbJAfqyT7Gvg/edit?usp=sharing"",""น่าน!I84"")"),0)</f>
        <v>0</v>
      </c>
      <c r="AD19" s="74">
        <f ca="1">IFERROR(__xludf.DUMMYFUNCTION("IMPORTRANGE(""https://docs.google.com/spreadsheets/d/10s13Sk5xrltsiR-Zkbmk5DwIaDIKO8XlbJAfqyT7Gvg/edit?usp=sharing"",""น่าน!I85"")"),0)</f>
        <v>0</v>
      </c>
      <c r="AE19" s="78">
        <f ca="1">IFERROR(__xludf.DUMMYFUNCTION("IMPORTRANGE(""https://docs.google.com/spreadsheets/d/10s13Sk5xrltsiR-Zkbmk5DwIaDIKO8XlbJAfqyT7Gvg/edit?usp=sharing"",""น่าน!J84"")"),0)</f>
        <v>0</v>
      </c>
      <c r="AF19" s="78">
        <f ca="1">IFERROR(__xludf.DUMMYFUNCTION("IMPORTRANGE(""https://docs.google.com/spreadsheets/d/10s13Sk5xrltsiR-Zkbmk5DwIaDIKO8XlbJAfqyT7Gvg/edit?usp=sharing"",""น่าน!J85"")"),0)</f>
        <v>0</v>
      </c>
      <c r="AG19" s="74">
        <f ca="1">IFERROR(__xludf.DUMMYFUNCTION("IMPORTRANGE(""https://docs.google.com/spreadsheets/d/10s13Sk5xrltsiR-Zkbmk5DwIaDIKO8XlbJAfqyT7Gvg/edit?usp=sharing"",""น่าน!I86"")"),1)</f>
        <v>1</v>
      </c>
      <c r="AH19" s="74">
        <f ca="1">IFERROR(__xludf.DUMMYFUNCTION("IMPORTRANGE(""https://docs.google.com/spreadsheets/d/10s13Sk5xrltsiR-Zkbmk5DwIaDIKO8XlbJAfqyT7Gvg/edit?usp=sharing"",""น่าน!I87"")"),40)</f>
        <v>40</v>
      </c>
      <c r="AI19" s="78">
        <f ca="1">IFERROR(__xludf.DUMMYFUNCTION("IMPORTRANGE(""https://docs.google.com/spreadsheets/d/10s13Sk5xrltsiR-Zkbmk5DwIaDIKO8XlbJAfqyT7Gvg/edit?usp=sharing"",""น่าน!J86"")"),1)</f>
        <v>1</v>
      </c>
      <c r="AJ19" s="78">
        <f ca="1">IFERROR(__xludf.DUMMYFUNCTION("IMPORTRANGE(""https://docs.google.com/spreadsheets/d/10s13Sk5xrltsiR-Zkbmk5DwIaDIKO8XlbJAfqyT7Gvg/edit?usp=sharing"",""น่าน!J87"")"),40)</f>
        <v>40</v>
      </c>
      <c r="AK19" s="74">
        <f ca="1">IFERROR(__xludf.DUMMYFUNCTION("IMPORTRANGE(""https://docs.google.com/spreadsheets/d/10s13Sk5xrltsiR-Zkbmk5DwIaDIKO8XlbJAfqyT7Gvg/edit?usp=sharing"",""น่าน!I88"")"),0)</f>
        <v>0</v>
      </c>
      <c r="AL19" s="74">
        <f ca="1">IFERROR(__xludf.DUMMYFUNCTION("IMPORTRANGE(""https://docs.google.com/spreadsheets/d/10s13Sk5xrltsiR-Zkbmk5DwIaDIKO8XlbJAfqyT7Gvg/edit?usp=sharing"",""น่าน!I89"")"),0)</f>
        <v>0</v>
      </c>
      <c r="AM19" s="78">
        <f ca="1">IFERROR(__xludf.DUMMYFUNCTION("IMPORTRANGE(""https://docs.google.com/spreadsheets/d/10s13Sk5xrltsiR-Zkbmk5DwIaDIKO8XlbJAfqyT7Gvg/edit?usp=sharing"",""น่าน!J88"")"),0)</f>
        <v>0</v>
      </c>
      <c r="AN19" s="78">
        <f ca="1">IFERROR(__xludf.DUMMYFUNCTION("IMPORTRANGE(""https://docs.google.com/spreadsheets/d/10s13Sk5xrltsiR-Zkbmk5DwIaDIKO8XlbJAfqyT7Gvg/edit?usp=sharing"",""น่าน!J89"")"),0)</f>
        <v>0</v>
      </c>
      <c r="AO19" s="74">
        <f ca="1">IFERROR(__xludf.DUMMYFUNCTION("IMPORTRANGE(""https://docs.google.com/spreadsheets/d/10s13Sk5xrltsiR-Zkbmk5DwIaDIKO8XlbJAfqyT7Gvg/edit?usp=sharing"",""น่าน!I90"")"),1)</f>
        <v>1</v>
      </c>
      <c r="AP19" s="78">
        <f ca="1">IFERROR(__xludf.DUMMYFUNCTION("IMPORTRANGE(""https://docs.google.com/spreadsheets/d/10s13Sk5xrltsiR-Zkbmk5DwIaDIKO8XlbJAfqyT7Gvg/edit?usp=sharing"",""น่าน!J90"")"),0)</f>
        <v>0</v>
      </c>
      <c r="AQ19" s="76">
        <f t="shared" ca="1" si="43"/>
        <v>0</v>
      </c>
    </row>
    <row r="20" spans="1:43" ht="24" customHeight="1" x14ac:dyDescent="0.3">
      <c r="A20" s="70">
        <v>7</v>
      </c>
      <c r="B20" s="71" t="s">
        <v>48</v>
      </c>
      <c r="C20" s="72">
        <f t="shared" ca="1" si="27"/>
        <v>612200</v>
      </c>
      <c r="D20" s="73">
        <f t="shared" ca="1" si="44"/>
        <v>612200</v>
      </c>
      <c r="E20" s="74">
        <f ca="1">IFERROR(__xludf.DUMMYFUNCTION("IMPORTRANGE(""https://docs.google.com/spreadsheets/d/1-uDff_7J0KD5mKrp0Vvzr7lt3OU09vwQwhkpOPPYv2Y/edit?usp=sharing"",""งบพรบ!AN20"")"),402200)</f>
        <v>402200</v>
      </c>
      <c r="F20" s="74">
        <f ca="1">IFERROR(__xludf.DUMMYFUNCTION("IMPORTRANGE(""https://docs.google.com/spreadsheets/d/1-uDff_7J0KD5mKrp0Vvzr7lt3OU09vwQwhkpOPPYv2Y/edit?usp=sharing"",""งบพรบ!AO20"")"),210000)</f>
        <v>210000</v>
      </c>
      <c r="G20" s="74">
        <f ca="1">IFERROR(__xludf.DUMMYFUNCTION("IMPORTRANGE(""https://docs.google.com/spreadsheets/d/1-uDff_7J0KD5mKrp0Vvzr7lt3OU09vwQwhkpOPPYv2Y/edit?usp=sharing"",""งบพรบ!AP20"")"),0)</f>
        <v>0</v>
      </c>
      <c r="H20" s="74">
        <f ca="1">IFERROR(__xludf.DUMMYFUNCTION("IMPORTRANGE(""https://docs.google.com/spreadsheets/d/1-uDff_7J0KD5mKrp0Vvzr7lt3OU09vwQwhkpOPPYv2Y/edit?usp=sharing"",""งบพรบ!AR20"")"),612200)</f>
        <v>612200</v>
      </c>
      <c r="I20" s="74">
        <f ca="1">IFERROR(__xludf.DUMMYFUNCTION("IMPORTRANGE(""https://docs.google.com/spreadsheets/d/1-uDff_7J0KD5mKrp0Vvzr7lt3OU09vwQwhkpOPPYv2Y/edit?usp=sharing"",""งบพรบ!AS20"")"),0)</f>
        <v>0</v>
      </c>
      <c r="J20" s="74">
        <f t="shared" ca="1" si="29"/>
        <v>561697</v>
      </c>
      <c r="K20" s="75">
        <f t="shared" ca="1" si="30"/>
        <v>91.750571708591963</v>
      </c>
      <c r="L20" s="74">
        <f ca="1">IFERROR(__xludf.DUMMYFUNCTION("IMPORTRANGE(""https://docs.google.com/spreadsheets/d/1-uDff_7J0KD5mKrp0Vvzr7lt3OU09vwQwhkpOPPYv2Y/edit?usp=sharing"",""งบพรบ!AT20"")"),561697)</f>
        <v>561697</v>
      </c>
      <c r="M20" s="76">
        <f t="shared" ca="1" si="31"/>
        <v>91.750571708591963</v>
      </c>
      <c r="N20" s="76">
        <f t="shared" ca="1" si="32"/>
        <v>91.750571708591963</v>
      </c>
      <c r="O20" s="77">
        <f ca="1">IFERROR(__xludf.DUMMYFUNCTION("IMPORTRANGE(""https://docs.google.com/spreadsheets/d/1-uDff_7J0KD5mKrp0Vvzr7lt3OU09vwQwhkpOPPYv2Y/edit?usp=sharing"",""งบพรบ!AU20"")"),0)</f>
        <v>0</v>
      </c>
      <c r="P20" s="77">
        <f t="shared" ca="1" si="33"/>
        <v>0</v>
      </c>
      <c r="Q20" s="76">
        <f t="shared" ca="1" si="34"/>
        <v>0</v>
      </c>
      <c r="R20" s="67">
        <f ca="1">IFERROR(__xludf.DUMMYFUNCTION("IMPORTRANGE(""https://docs.google.com/spreadsheets/d/1uu4nAn4Dbi1XREnLKKotUANlKXa7yCgRcgq8HEzQYW8/edit?usp=sharing"",""พะเยา!Q72"")"),724430)</f>
        <v>724430</v>
      </c>
      <c r="S20" s="67">
        <f ca="1">IFERROR(__xludf.DUMMYFUNCTION("IMPORTRANGE(""https://docs.google.com/spreadsheets/d/1uu4nAn4Dbi1XREnLKKotUANlKXa7yCgRcgq8HEzQYW8/edit?usp=sharing"",""พะเยา!R72"")"),727240)</f>
        <v>727240</v>
      </c>
      <c r="T20" s="67">
        <f ca="1">IFERROR(__xludf.DUMMYFUNCTION("IMPORTRANGE(""https://docs.google.com/spreadsheets/d/1uu4nAn4Dbi1XREnLKKotUANlKXa7yCgRcgq8HEzQYW8/edit?usp=sharing"",""พะเยา!S72"")"),350467)</f>
        <v>350467</v>
      </c>
      <c r="U20" s="68">
        <f t="shared" ca="1" si="36"/>
        <v>48.378311223996796</v>
      </c>
      <c r="V20" s="68">
        <f t="shared" ca="1" si="37"/>
        <v>48.191381112150047</v>
      </c>
      <c r="W20" s="78">
        <f t="shared" ca="1" si="38"/>
        <v>2</v>
      </c>
      <c r="X20" s="78">
        <f t="shared" ca="1" si="39"/>
        <v>60</v>
      </c>
      <c r="Y20" s="78">
        <f t="shared" ca="1" si="45"/>
        <v>2</v>
      </c>
      <c r="Z20" s="79">
        <f t="shared" ca="1" si="40"/>
        <v>100</v>
      </c>
      <c r="AA20" s="78">
        <f t="shared" ca="1" si="46"/>
        <v>60</v>
      </c>
      <c r="AB20" s="79">
        <f t="shared" ca="1" si="41"/>
        <v>100</v>
      </c>
      <c r="AC20" s="74">
        <f ca="1">IFERROR(__xludf.DUMMYFUNCTION("IMPORTRANGE(""https://docs.google.com/spreadsheets/d/1uu4nAn4Dbi1XREnLKKotUANlKXa7yCgRcgq8HEzQYW8/edit?usp=sharing"",""พะเยา!I84"")"),1)</f>
        <v>1</v>
      </c>
      <c r="AD20" s="74">
        <f ca="1">IFERROR(__xludf.DUMMYFUNCTION("IMPORTRANGE(""https://docs.google.com/spreadsheets/d/1uu4nAn4Dbi1XREnLKKotUANlKXa7yCgRcgq8HEzQYW8/edit?usp=sharing"",""พะเยา!I85"")"),30)</f>
        <v>30</v>
      </c>
      <c r="AE20" s="78">
        <f ca="1">IFERROR(__xludf.DUMMYFUNCTION("IMPORTRANGE(""https://docs.google.com/spreadsheets/d/1uu4nAn4Dbi1XREnLKKotUANlKXa7yCgRcgq8HEzQYW8/edit?usp=sharing"",""พะเยา!J84"")"),1)</f>
        <v>1</v>
      </c>
      <c r="AF20" s="78">
        <f ca="1">IFERROR(__xludf.DUMMYFUNCTION("IMPORTRANGE(""https://docs.google.com/spreadsheets/d/1uu4nAn4Dbi1XREnLKKotUANlKXa7yCgRcgq8HEzQYW8/edit?usp=sharing"",""พะเยา!J85"")"),30)</f>
        <v>30</v>
      </c>
      <c r="AG20" s="74">
        <f ca="1">IFERROR(__xludf.DUMMYFUNCTION("IMPORTRANGE(""https://docs.google.com/spreadsheets/d/1uu4nAn4Dbi1XREnLKKotUANlKXa7yCgRcgq8HEzQYW8/edit?usp=sharing"",""พะเยา!I86"")"),0)</f>
        <v>0</v>
      </c>
      <c r="AH20" s="74">
        <f ca="1">IFERROR(__xludf.DUMMYFUNCTION("IMPORTRANGE(""https://docs.google.com/spreadsheets/d/1uu4nAn4Dbi1XREnLKKotUANlKXa7yCgRcgq8HEzQYW8/edit?usp=sharing"",""พะเยา!I87"")"),0)</f>
        <v>0</v>
      </c>
      <c r="AI20" s="78">
        <f ca="1">IFERROR(__xludf.DUMMYFUNCTION("IMPORTRANGE(""https://docs.google.com/spreadsheets/d/1uu4nAn4Dbi1XREnLKKotUANlKXa7yCgRcgq8HEzQYW8/edit?usp=sharing"",""พะเยา!J86"")"),0)</f>
        <v>0</v>
      </c>
      <c r="AJ20" s="78">
        <f ca="1">IFERROR(__xludf.DUMMYFUNCTION("IMPORTRANGE(""https://docs.google.com/spreadsheets/d/1uu4nAn4Dbi1XREnLKKotUANlKXa7yCgRcgq8HEzQYW8/edit?usp=sharing"",""พะเยา!J87"")"),0)</f>
        <v>0</v>
      </c>
      <c r="AK20" s="74">
        <f ca="1">IFERROR(__xludf.DUMMYFUNCTION("IMPORTRANGE(""https://docs.google.com/spreadsheets/d/1uu4nAn4Dbi1XREnLKKotUANlKXa7yCgRcgq8HEzQYW8/edit?usp=sharing"",""พะเยา!I88"")"),1)</f>
        <v>1</v>
      </c>
      <c r="AL20" s="74">
        <f ca="1">IFERROR(__xludf.DUMMYFUNCTION("IMPORTRANGE(""https://docs.google.com/spreadsheets/d/1uu4nAn4Dbi1XREnLKKotUANlKXa7yCgRcgq8HEzQYW8/edit?usp=sharing"",""พะเยา!I89"")"),30)</f>
        <v>30</v>
      </c>
      <c r="AM20" s="78">
        <f ca="1">IFERROR(__xludf.DUMMYFUNCTION("IMPORTRANGE(""https://docs.google.com/spreadsheets/d/1uu4nAn4Dbi1XREnLKKotUANlKXa7yCgRcgq8HEzQYW8/edit?usp=sharing"",""พะเยา!J88"")"),1)</f>
        <v>1</v>
      </c>
      <c r="AN20" s="78">
        <f ca="1">IFERROR(__xludf.DUMMYFUNCTION("IMPORTRANGE(""https://docs.google.com/spreadsheets/d/1uu4nAn4Dbi1XREnLKKotUANlKXa7yCgRcgq8HEzQYW8/edit?usp=sharing"",""พะเยา!J89"")"),30)</f>
        <v>30</v>
      </c>
      <c r="AO20" s="74">
        <f ca="1">IFERROR(__xludf.DUMMYFUNCTION("IMPORTRANGE(""https://docs.google.com/spreadsheets/d/1uu4nAn4Dbi1XREnLKKotUANlKXa7yCgRcgq8HEzQYW8/edit?usp=sharing"",""พะเยา!I90"")"),2)</f>
        <v>2</v>
      </c>
      <c r="AP20" s="78">
        <f ca="1">IFERROR(__xludf.DUMMYFUNCTION("IMPORTRANGE(""https://docs.google.com/spreadsheets/d/1uu4nAn4Dbi1XREnLKKotUANlKXa7yCgRcgq8HEzQYW8/edit?usp=sharing"",""พะเยา!J90"")"),1)</f>
        <v>1</v>
      </c>
      <c r="AQ20" s="76">
        <f t="shared" ca="1" si="43"/>
        <v>50</v>
      </c>
    </row>
    <row r="21" spans="1:43" ht="24" customHeight="1" x14ac:dyDescent="0.3">
      <c r="A21" s="70">
        <v>8</v>
      </c>
      <c r="B21" s="71" t="s">
        <v>49</v>
      </c>
      <c r="C21" s="72">
        <f t="shared" ca="1" si="27"/>
        <v>0</v>
      </c>
      <c r="D21" s="73">
        <f t="shared" ca="1" si="44"/>
        <v>0</v>
      </c>
      <c r="E21" s="74">
        <f ca="1">IFERROR(__xludf.DUMMYFUNCTION("IMPORTRANGE(""https://docs.google.com/spreadsheets/d/1-uDff_7J0KD5mKrp0Vvzr7lt3OU09vwQwhkpOPPYv2Y/edit?usp=sharing"",""งบพรบ!AN21"")"),0)</f>
        <v>0</v>
      </c>
      <c r="F21" s="74">
        <f ca="1">IFERROR(__xludf.DUMMYFUNCTION("IMPORTRANGE(""https://docs.google.com/spreadsheets/d/1-uDff_7J0KD5mKrp0Vvzr7lt3OU09vwQwhkpOPPYv2Y/edit?usp=sharing"",""งบพรบ!AO21"")"),0)</f>
        <v>0</v>
      </c>
      <c r="G21" s="74">
        <f ca="1">IFERROR(__xludf.DUMMYFUNCTION("IMPORTRANGE(""https://docs.google.com/spreadsheets/d/1-uDff_7J0KD5mKrp0Vvzr7lt3OU09vwQwhkpOPPYv2Y/edit?usp=sharing"",""งบพรบ!AP21"")"),0)</f>
        <v>0</v>
      </c>
      <c r="H21" s="74">
        <f ca="1">IFERROR(__xludf.DUMMYFUNCTION("IMPORTRANGE(""https://docs.google.com/spreadsheets/d/1-uDff_7J0KD5mKrp0Vvzr7lt3OU09vwQwhkpOPPYv2Y/edit?usp=sharing"",""งบพรบ!AR21"")"),0)</f>
        <v>0</v>
      </c>
      <c r="I21" s="74">
        <f ca="1">IFERROR(__xludf.DUMMYFUNCTION("IMPORTRANGE(""https://docs.google.com/spreadsheets/d/1-uDff_7J0KD5mKrp0Vvzr7lt3OU09vwQwhkpOPPYv2Y/edit?usp=sharing"",""งบพรบ!AS21"")"),0)</f>
        <v>0</v>
      </c>
      <c r="J21" s="74">
        <f t="shared" ca="1" si="29"/>
        <v>0</v>
      </c>
      <c r="K21" s="75">
        <f t="shared" ca="1" si="30"/>
        <v>0</v>
      </c>
      <c r="L21" s="74">
        <f ca="1">IFERROR(__xludf.DUMMYFUNCTION("IMPORTRANGE(""https://docs.google.com/spreadsheets/d/1-uDff_7J0KD5mKrp0Vvzr7lt3OU09vwQwhkpOPPYv2Y/edit?usp=sharing"",""งบพรบ!AT21"")"),0)</f>
        <v>0</v>
      </c>
      <c r="M21" s="76">
        <f t="shared" ca="1" si="31"/>
        <v>0</v>
      </c>
      <c r="N21" s="76">
        <f t="shared" ca="1" si="32"/>
        <v>0</v>
      </c>
      <c r="O21" s="77">
        <f ca="1">IFERROR(__xludf.DUMMYFUNCTION("IMPORTRANGE(""https://docs.google.com/spreadsheets/d/1-uDff_7J0KD5mKrp0Vvzr7lt3OU09vwQwhkpOPPYv2Y/edit?usp=sharing"",""งบพรบ!AU21"")"),0)</f>
        <v>0</v>
      </c>
      <c r="P21" s="77">
        <f t="shared" ca="1" si="33"/>
        <v>0</v>
      </c>
      <c r="Q21" s="76">
        <f t="shared" ca="1" si="34"/>
        <v>0</v>
      </c>
      <c r="R21" s="67">
        <f ca="1">IFERROR(__xludf.DUMMYFUNCTION("IMPORTRANGE(""https://docs.google.com/spreadsheets/d/1xfJKIQxVOaPDIICqsflNlLu3JacTDk1FP9RH4phX7mI/edit?usp=sharing"",""พิจิตร!Q72"")"),0)</f>
        <v>0</v>
      </c>
      <c r="S21" s="67">
        <f ca="1">IFERROR(__xludf.DUMMYFUNCTION("IMPORTRANGE(""https://docs.google.com/spreadsheets/d/1xfJKIQxVOaPDIICqsflNlLu3JacTDk1FP9RH4phX7mI/edit?usp=sharing"",""พิจิตร!R72"")"),0)</f>
        <v>0</v>
      </c>
      <c r="T21" s="67">
        <f ca="1">IFERROR(__xludf.DUMMYFUNCTION("IMPORTRANGE(""https://docs.google.com/spreadsheets/d/1xfJKIQxVOaPDIICqsflNlLu3JacTDk1FP9RH4phX7mI/edit?usp=sharing"",""พิจิตร!S72"")"),0)</f>
        <v>0</v>
      </c>
      <c r="U21" s="68">
        <f t="shared" ca="1" si="36"/>
        <v>0</v>
      </c>
      <c r="V21" s="68">
        <f t="shared" ca="1" si="37"/>
        <v>0</v>
      </c>
      <c r="W21" s="78">
        <f t="shared" ca="1" si="38"/>
        <v>0</v>
      </c>
      <c r="X21" s="78">
        <f t="shared" ca="1" si="39"/>
        <v>0</v>
      </c>
      <c r="Y21" s="78">
        <f t="shared" ca="1" si="45"/>
        <v>0</v>
      </c>
      <c r="Z21" s="79">
        <f t="shared" ca="1" si="40"/>
        <v>0</v>
      </c>
      <c r="AA21" s="78">
        <f t="shared" ca="1" si="46"/>
        <v>0</v>
      </c>
      <c r="AB21" s="79">
        <f t="shared" ca="1" si="41"/>
        <v>0</v>
      </c>
      <c r="AC21" s="74">
        <f ca="1">IFERROR(__xludf.DUMMYFUNCTION("IMPORTRANGE(""https://docs.google.com/spreadsheets/d/1xfJKIQxVOaPDIICqsflNlLu3JacTDk1FP9RH4phX7mI/edit?usp=sharing"",""พิจิตร!I84"")"),0)</f>
        <v>0</v>
      </c>
      <c r="AD21" s="74">
        <f ca="1">IFERROR(__xludf.DUMMYFUNCTION("IMPORTRANGE(""https://docs.google.com/spreadsheets/d/1xfJKIQxVOaPDIICqsflNlLu3JacTDk1FP9RH4phX7mI/edit?usp=sharing"",""พิจิตร!I85"")"),0)</f>
        <v>0</v>
      </c>
      <c r="AE21" s="78">
        <f ca="1">IFERROR(__xludf.DUMMYFUNCTION("IMPORTRANGE(""https://docs.google.com/spreadsheets/d/1xfJKIQxVOaPDIICqsflNlLu3JacTDk1FP9RH4phX7mI/edit?usp=sharing"",""พิจิตร!J84"")"),0)</f>
        <v>0</v>
      </c>
      <c r="AF21" s="78">
        <f ca="1">IFERROR(__xludf.DUMMYFUNCTION("IMPORTRANGE(""https://docs.google.com/spreadsheets/d/1xfJKIQxVOaPDIICqsflNlLu3JacTDk1FP9RH4phX7mI/edit?usp=sharing"",""พิจิตร!J85"")"),0)</f>
        <v>0</v>
      </c>
      <c r="AG21" s="74">
        <f ca="1">IFERROR(__xludf.DUMMYFUNCTION("IMPORTRANGE(""https://docs.google.com/spreadsheets/d/1xfJKIQxVOaPDIICqsflNlLu3JacTDk1FP9RH4phX7mI/edit?usp=sharing"",""พิจิตร!I86"")"),0)</f>
        <v>0</v>
      </c>
      <c r="AH21" s="74">
        <f ca="1">IFERROR(__xludf.DUMMYFUNCTION("IMPORTRANGE(""https://docs.google.com/spreadsheets/d/1xfJKIQxVOaPDIICqsflNlLu3JacTDk1FP9RH4phX7mI/edit?usp=sharing"",""พิจิตร!I87"")"),0)</f>
        <v>0</v>
      </c>
      <c r="AI21" s="78">
        <f ca="1">IFERROR(__xludf.DUMMYFUNCTION("IMPORTRANGE(""https://docs.google.com/spreadsheets/d/1xfJKIQxVOaPDIICqsflNlLu3JacTDk1FP9RH4phX7mI/edit?usp=sharing"",""พิจิตร!J86"")"),0)</f>
        <v>0</v>
      </c>
      <c r="AJ21" s="78">
        <f ca="1">IFERROR(__xludf.DUMMYFUNCTION("IMPORTRANGE(""https://docs.google.com/spreadsheets/d/1xfJKIQxVOaPDIICqsflNlLu3JacTDk1FP9RH4phX7mI/edit?usp=sharing"",""พิจิตร!J87"")"),0)</f>
        <v>0</v>
      </c>
      <c r="AK21" s="74">
        <f ca="1">IFERROR(__xludf.DUMMYFUNCTION("IMPORTRANGE(""https://docs.google.com/spreadsheets/d/1xfJKIQxVOaPDIICqsflNlLu3JacTDk1FP9RH4phX7mI/edit?usp=sharing"",""พิจิตร!I88"")"),0)</f>
        <v>0</v>
      </c>
      <c r="AL21" s="74">
        <f ca="1">IFERROR(__xludf.DUMMYFUNCTION("IMPORTRANGE(""https://docs.google.com/spreadsheets/d/1xfJKIQxVOaPDIICqsflNlLu3JacTDk1FP9RH4phX7mI/edit?usp=sharing"",""พิจิตร!I89"")"),0)</f>
        <v>0</v>
      </c>
      <c r="AM21" s="78">
        <f ca="1">IFERROR(__xludf.DUMMYFUNCTION("IMPORTRANGE(""https://docs.google.com/spreadsheets/d/1xfJKIQxVOaPDIICqsflNlLu3JacTDk1FP9RH4phX7mI/edit?usp=sharing"",""พิจิตร!J88"")"),0)</f>
        <v>0</v>
      </c>
      <c r="AN21" s="78">
        <f ca="1">IFERROR(__xludf.DUMMYFUNCTION("IMPORTRANGE(""https://docs.google.com/spreadsheets/d/1xfJKIQxVOaPDIICqsflNlLu3JacTDk1FP9RH4phX7mI/edit?usp=sharing"",""พิจิตร!J89"")"),0)</f>
        <v>0</v>
      </c>
      <c r="AO21" s="74">
        <f ca="1">IFERROR(__xludf.DUMMYFUNCTION("IMPORTRANGE(""https://docs.google.com/spreadsheets/d/1xfJKIQxVOaPDIICqsflNlLu3JacTDk1FP9RH4phX7mI/edit?usp=sharing"",""พิจิตร!I90"")"),0)</f>
        <v>0</v>
      </c>
      <c r="AP21" s="78">
        <f ca="1">IFERROR(__xludf.DUMMYFUNCTION("IMPORTRANGE(""https://docs.google.com/spreadsheets/d/1xfJKIQxVOaPDIICqsflNlLu3JacTDk1FP9RH4phX7mI/edit?usp=sharing"",""พิจิตร!J90"")"),0)</f>
        <v>0</v>
      </c>
      <c r="AQ21" s="76">
        <f t="shared" ca="1" si="43"/>
        <v>0</v>
      </c>
    </row>
    <row r="22" spans="1:43" ht="24" customHeight="1" x14ac:dyDescent="0.3">
      <c r="A22" s="70">
        <v>9</v>
      </c>
      <c r="B22" s="71" t="s">
        <v>50</v>
      </c>
      <c r="C22" s="72">
        <f t="shared" ca="1" si="27"/>
        <v>254000</v>
      </c>
      <c r="D22" s="73">
        <f t="shared" ca="1" si="44"/>
        <v>254000</v>
      </c>
      <c r="E22" s="74">
        <f ca="1">IFERROR(__xludf.DUMMYFUNCTION("IMPORTRANGE(""https://docs.google.com/spreadsheets/d/1-uDff_7J0KD5mKrp0Vvzr7lt3OU09vwQwhkpOPPYv2Y/edit?usp=sharing"",""งบพรบ!AN22"")"),0)</f>
        <v>0</v>
      </c>
      <c r="F22" s="74">
        <f ca="1">IFERROR(__xludf.DUMMYFUNCTION("IMPORTRANGE(""https://docs.google.com/spreadsheets/d/1-uDff_7J0KD5mKrp0Vvzr7lt3OU09vwQwhkpOPPYv2Y/edit?usp=sharing"",""งบพรบ!AO22"")"),254000)</f>
        <v>254000</v>
      </c>
      <c r="G22" s="74">
        <f ca="1">IFERROR(__xludf.DUMMYFUNCTION("IMPORTRANGE(""https://docs.google.com/spreadsheets/d/1-uDff_7J0KD5mKrp0Vvzr7lt3OU09vwQwhkpOPPYv2Y/edit?usp=sharing"",""งบพรบ!AP22"")"),0)</f>
        <v>0</v>
      </c>
      <c r="H22" s="74">
        <f ca="1">IFERROR(__xludf.DUMMYFUNCTION("IMPORTRANGE(""https://docs.google.com/spreadsheets/d/1-uDff_7J0KD5mKrp0Vvzr7lt3OU09vwQwhkpOPPYv2Y/edit?usp=sharing"",""งบพรบ!AR22"")"),254000)</f>
        <v>254000</v>
      </c>
      <c r="I22" s="74">
        <f ca="1">IFERROR(__xludf.DUMMYFUNCTION("IMPORTRANGE(""https://docs.google.com/spreadsheets/d/1-uDff_7J0KD5mKrp0Vvzr7lt3OU09vwQwhkpOPPYv2Y/edit?usp=sharing"",""งบพรบ!AS22"")"),0)</f>
        <v>0</v>
      </c>
      <c r="J22" s="74">
        <f t="shared" ca="1" si="29"/>
        <v>200802.43</v>
      </c>
      <c r="K22" s="75">
        <f t="shared" ca="1" si="30"/>
        <v>79.056074803149613</v>
      </c>
      <c r="L22" s="74">
        <f ca="1">IFERROR(__xludf.DUMMYFUNCTION("IMPORTRANGE(""https://docs.google.com/spreadsheets/d/1-uDff_7J0KD5mKrp0Vvzr7lt3OU09vwQwhkpOPPYv2Y/edit?usp=sharing"",""งบพรบ!AT22"")"),200802.43)</f>
        <v>200802.43</v>
      </c>
      <c r="M22" s="76">
        <f t="shared" ca="1" si="31"/>
        <v>79.056074803149613</v>
      </c>
      <c r="N22" s="76">
        <f t="shared" ca="1" si="32"/>
        <v>79.056074803149613</v>
      </c>
      <c r="O22" s="77">
        <f ca="1">IFERROR(__xludf.DUMMYFUNCTION("IMPORTRANGE(""https://docs.google.com/spreadsheets/d/1-uDff_7J0KD5mKrp0Vvzr7lt3OU09vwQwhkpOPPYv2Y/edit?usp=sharing"",""งบพรบ!AU22"")"),0)</f>
        <v>0</v>
      </c>
      <c r="P22" s="77">
        <f t="shared" ca="1" si="33"/>
        <v>0</v>
      </c>
      <c r="Q22" s="76">
        <f t="shared" ca="1" si="34"/>
        <v>0</v>
      </c>
      <c r="R22" s="67">
        <f ca="1">IFERROR(__xludf.DUMMYFUNCTION("IMPORTRANGE(""https://docs.google.com/spreadsheets/d/1JtRfZkJMHtEhI5RdRHxYUG4FIZHqKDpNyIuN7A1Q0_k/edit?usp=sharing"",""พิษณุโลก!Q72"")"),996060)</f>
        <v>996060</v>
      </c>
      <c r="S22" s="67">
        <f ca="1">IFERROR(__xludf.DUMMYFUNCTION("IMPORTRANGE(""https://docs.google.com/spreadsheets/d/1JtRfZkJMHtEhI5RdRHxYUG4FIZHqKDpNyIuN7A1Q0_k/edit?usp=sharing"",""พิษณุโลก!R72"")"),996060)</f>
        <v>996060</v>
      </c>
      <c r="T22" s="67">
        <f ca="1">IFERROR(__xludf.DUMMYFUNCTION("IMPORTRANGE(""https://docs.google.com/spreadsheets/d/1JtRfZkJMHtEhI5RdRHxYUG4FIZHqKDpNyIuN7A1Q0_k/edit?usp=sharing"",""พิษณุโลก!S72"")"),448250)</f>
        <v>448250</v>
      </c>
      <c r="U22" s="68">
        <f t="shared" ca="1" si="36"/>
        <v>45.002309097845512</v>
      </c>
      <c r="V22" s="68">
        <f t="shared" ca="1" si="37"/>
        <v>45.002309097845512</v>
      </c>
      <c r="W22" s="78">
        <f t="shared" ca="1" si="38"/>
        <v>2</v>
      </c>
      <c r="X22" s="78">
        <f t="shared" ca="1" si="39"/>
        <v>98</v>
      </c>
      <c r="Y22" s="78">
        <f t="shared" ca="1" si="45"/>
        <v>2</v>
      </c>
      <c r="Z22" s="79">
        <f t="shared" ca="1" si="40"/>
        <v>100</v>
      </c>
      <c r="AA22" s="78">
        <f t="shared" ca="1" si="46"/>
        <v>98</v>
      </c>
      <c r="AB22" s="79">
        <f t="shared" ca="1" si="41"/>
        <v>100</v>
      </c>
      <c r="AC22" s="74">
        <f ca="1">IFERROR(__xludf.DUMMYFUNCTION("IMPORTRANGE(""https://docs.google.com/spreadsheets/d/1JtRfZkJMHtEhI5RdRHxYUG4FIZHqKDpNyIuN7A1Q0_k/edit?usp=sharing"",""พิษณุโลก!I84"")"),0)</f>
        <v>0</v>
      </c>
      <c r="AD22" s="74">
        <f ca="1">IFERROR(__xludf.DUMMYFUNCTION("IMPORTRANGE(""https://docs.google.com/spreadsheets/d/1JtRfZkJMHtEhI5RdRHxYUG4FIZHqKDpNyIuN7A1Q0_k/edit?usp=sharing"",""พิษณุโลก!I85"")"),0)</f>
        <v>0</v>
      </c>
      <c r="AE22" s="78">
        <f ca="1">IFERROR(__xludf.DUMMYFUNCTION("IMPORTRANGE(""https://docs.google.com/spreadsheets/d/1JtRfZkJMHtEhI5RdRHxYUG4FIZHqKDpNyIuN7A1Q0_k/edit?usp=sharing"",""พิษณุโลก!J84"")"),0)</f>
        <v>0</v>
      </c>
      <c r="AF22" s="78">
        <f ca="1">IFERROR(__xludf.DUMMYFUNCTION("IMPORTRANGE(""https://docs.google.com/spreadsheets/d/1JtRfZkJMHtEhI5RdRHxYUG4FIZHqKDpNyIuN7A1Q0_k/edit?usp=sharing"",""พิษณุโลก!J85"")"),0)</f>
        <v>0</v>
      </c>
      <c r="AG22" s="74">
        <f ca="1">IFERROR(__xludf.DUMMYFUNCTION("IMPORTRANGE(""https://docs.google.com/spreadsheets/d/1JtRfZkJMHtEhI5RdRHxYUG4FIZHqKDpNyIuN7A1Q0_k/edit?usp=sharing"",""พิษณุโลก!I86"")"),2)</f>
        <v>2</v>
      </c>
      <c r="AH22" s="74">
        <f ca="1">IFERROR(__xludf.DUMMYFUNCTION("IMPORTRANGE(""https://docs.google.com/spreadsheets/d/1JtRfZkJMHtEhI5RdRHxYUG4FIZHqKDpNyIuN7A1Q0_k/edit?usp=sharing"",""พิษณุโลก!I87"")"),98)</f>
        <v>98</v>
      </c>
      <c r="AI22" s="78">
        <f ca="1">IFERROR(__xludf.DUMMYFUNCTION("IMPORTRANGE(""https://docs.google.com/spreadsheets/d/1JtRfZkJMHtEhI5RdRHxYUG4FIZHqKDpNyIuN7A1Q0_k/edit?usp=sharing"",""พิษณุโลก!J86"")"),2)</f>
        <v>2</v>
      </c>
      <c r="AJ22" s="78">
        <f ca="1">IFERROR(__xludf.DUMMYFUNCTION("IMPORTRANGE(""https://docs.google.com/spreadsheets/d/1JtRfZkJMHtEhI5RdRHxYUG4FIZHqKDpNyIuN7A1Q0_k/edit?usp=sharing"",""พิษณุโลก!J87"")"),98)</f>
        <v>98</v>
      </c>
      <c r="AK22" s="74">
        <f ca="1">IFERROR(__xludf.DUMMYFUNCTION("IMPORTRANGE(""https://docs.google.com/spreadsheets/d/1JtRfZkJMHtEhI5RdRHxYUG4FIZHqKDpNyIuN7A1Q0_k/edit?usp=sharing"",""พิษณุโลก!I88"")"),0)</f>
        <v>0</v>
      </c>
      <c r="AL22" s="74">
        <f ca="1">IFERROR(__xludf.DUMMYFUNCTION("IMPORTRANGE(""https://docs.google.com/spreadsheets/d/1JtRfZkJMHtEhI5RdRHxYUG4FIZHqKDpNyIuN7A1Q0_k/edit?usp=sharing"",""พิษณุโลก!I89"")"),0)</f>
        <v>0</v>
      </c>
      <c r="AM22" s="78">
        <f ca="1">IFERROR(__xludf.DUMMYFUNCTION("IMPORTRANGE(""https://docs.google.com/spreadsheets/d/1JtRfZkJMHtEhI5RdRHxYUG4FIZHqKDpNyIuN7A1Q0_k/edit?usp=sharing"",""พิษณุโลก!J88"")"),0)</f>
        <v>0</v>
      </c>
      <c r="AN22" s="78">
        <f ca="1">IFERROR(__xludf.DUMMYFUNCTION("IMPORTRANGE(""https://docs.google.com/spreadsheets/d/1JtRfZkJMHtEhI5RdRHxYUG4FIZHqKDpNyIuN7A1Q0_k/edit?usp=sharing"",""พิษณุโลก!J89"")"),0)</f>
        <v>0</v>
      </c>
      <c r="AO22" s="74">
        <f ca="1">IFERROR(__xludf.DUMMYFUNCTION("IMPORTRANGE(""https://docs.google.com/spreadsheets/d/1JtRfZkJMHtEhI5RdRHxYUG4FIZHqKDpNyIuN7A1Q0_k/edit?usp=sharing"",""พิษณุโลก!I90"")"),2)</f>
        <v>2</v>
      </c>
      <c r="AP22" s="78">
        <f ca="1">IFERROR(__xludf.DUMMYFUNCTION("IMPORTRANGE(""https://docs.google.com/spreadsheets/d/1JtRfZkJMHtEhI5RdRHxYUG4FIZHqKDpNyIuN7A1Q0_k/edit?usp=sharing"",""พิษณุโลก!J90"")"),0)</f>
        <v>0</v>
      </c>
      <c r="AQ22" s="76">
        <f t="shared" ca="1" si="43"/>
        <v>0</v>
      </c>
    </row>
    <row r="23" spans="1:43" ht="24" customHeight="1" x14ac:dyDescent="0.3">
      <c r="A23" s="70">
        <v>10</v>
      </c>
      <c r="B23" s="71" t="s">
        <v>51</v>
      </c>
      <c r="C23" s="72">
        <f t="shared" ca="1" si="27"/>
        <v>142000</v>
      </c>
      <c r="D23" s="73">
        <f t="shared" ca="1" si="44"/>
        <v>142000</v>
      </c>
      <c r="E23" s="74">
        <f ca="1">IFERROR(__xludf.DUMMYFUNCTION("IMPORTRANGE(""https://docs.google.com/spreadsheets/d/1-uDff_7J0KD5mKrp0Vvzr7lt3OU09vwQwhkpOPPYv2Y/edit?usp=sharing"",""งบพรบ!AN23"")"),0)</f>
        <v>0</v>
      </c>
      <c r="F23" s="74">
        <f ca="1">IFERROR(__xludf.DUMMYFUNCTION("IMPORTRANGE(""https://docs.google.com/spreadsheets/d/1-uDff_7J0KD5mKrp0Vvzr7lt3OU09vwQwhkpOPPYv2Y/edit?usp=sharing"",""งบพรบ!AO23"")"),142000)</f>
        <v>142000</v>
      </c>
      <c r="G23" s="74">
        <f ca="1">IFERROR(__xludf.DUMMYFUNCTION("IMPORTRANGE(""https://docs.google.com/spreadsheets/d/1-uDff_7J0KD5mKrp0Vvzr7lt3OU09vwQwhkpOPPYv2Y/edit?usp=sharing"",""งบพรบ!AP23"")"),0)</f>
        <v>0</v>
      </c>
      <c r="H23" s="74">
        <f ca="1">IFERROR(__xludf.DUMMYFUNCTION("IMPORTRANGE(""https://docs.google.com/spreadsheets/d/1-uDff_7J0KD5mKrp0Vvzr7lt3OU09vwQwhkpOPPYv2Y/edit?usp=sharing"",""งบพรบ!AR23"")"),142000)</f>
        <v>142000</v>
      </c>
      <c r="I23" s="74">
        <f ca="1">IFERROR(__xludf.DUMMYFUNCTION("IMPORTRANGE(""https://docs.google.com/spreadsheets/d/1-uDff_7J0KD5mKrp0Vvzr7lt3OU09vwQwhkpOPPYv2Y/edit?usp=sharing"",""งบพรบ!AS23"")"),0)</f>
        <v>0</v>
      </c>
      <c r="J23" s="74">
        <f t="shared" ca="1" si="29"/>
        <v>99857</v>
      </c>
      <c r="K23" s="75">
        <f t="shared" ca="1" si="30"/>
        <v>70.321830985915497</v>
      </c>
      <c r="L23" s="74">
        <f ca="1">IFERROR(__xludf.DUMMYFUNCTION("IMPORTRANGE(""https://docs.google.com/spreadsheets/d/1-uDff_7J0KD5mKrp0Vvzr7lt3OU09vwQwhkpOPPYv2Y/edit?usp=sharing"",""งบพรบ!AT23"")"),99857)</f>
        <v>99857</v>
      </c>
      <c r="M23" s="76">
        <f t="shared" ca="1" si="31"/>
        <v>70.321830985915497</v>
      </c>
      <c r="N23" s="76">
        <f t="shared" ca="1" si="32"/>
        <v>70.321830985915497</v>
      </c>
      <c r="O23" s="77">
        <f ca="1">IFERROR(__xludf.DUMMYFUNCTION("IMPORTRANGE(""https://docs.google.com/spreadsheets/d/1-uDff_7J0KD5mKrp0Vvzr7lt3OU09vwQwhkpOPPYv2Y/edit?usp=sharing"",""งบพรบ!AU23"")"),0)</f>
        <v>0</v>
      </c>
      <c r="P23" s="77">
        <f t="shared" ca="1" si="33"/>
        <v>0</v>
      </c>
      <c r="Q23" s="76">
        <f t="shared" ca="1" si="34"/>
        <v>0</v>
      </c>
      <c r="R23" s="67">
        <f ca="1">IFERROR(__xludf.DUMMYFUNCTION("IMPORTRANGE(""https://docs.google.com/spreadsheets/d/1xlcVZWUNn6SuWm0c307h32SiGkd9BaeQWlAktfD3KO8/edit?usp=sharing"",""เพชรบูรณ์!Q72"")"),422960)</f>
        <v>422960</v>
      </c>
      <c r="S23" s="67">
        <f ca="1">IFERROR(__xludf.DUMMYFUNCTION("IMPORTRANGE(""https://docs.google.com/spreadsheets/d/1xlcVZWUNn6SuWm0c307h32SiGkd9BaeQWlAktfD3KO8/edit?usp=sharing"",""เพชรบูรณ์!R72"")"),424830)</f>
        <v>424830</v>
      </c>
      <c r="T23" s="67">
        <f ca="1">IFERROR(__xludf.DUMMYFUNCTION("IMPORTRANGE(""https://docs.google.com/spreadsheets/d/1xlcVZWUNn6SuWm0c307h32SiGkd9BaeQWlAktfD3KO8/edit?usp=sharing"",""เพชรบูรณ์!S72"")"),368722)</f>
        <v>368722</v>
      </c>
      <c r="U23" s="68">
        <f t="shared" ca="1" si="36"/>
        <v>87.176565159825984</v>
      </c>
      <c r="V23" s="68">
        <f t="shared" ca="1" si="37"/>
        <v>86.792834780971205</v>
      </c>
      <c r="W23" s="78">
        <f t="shared" ca="1" si="38"/>
        <v>1</v>
      </c>
      <c r="X23" s="78">
        <f t="shared" ca="1" si="39"/>
        <v>33</v>
      </c>
      <c r="Y23" s="78">
        <f t="shared" ca="1" si="45"/>
        <v>1</v>
      </c>
      <c r="Z23" s="79">
        <f t="shared" ca="1" si="40"/>
        <v>100</v>
      </c>
      <c r="AA23" s="78">
        <f t="shared" ca="1" si="46"/>
        <v>33</v>
      </c>
      <c r="AB23" s="79">
        <f t="shared" ca="1" si="41"/>
        <v>100</v>
      </c>
      <c r="AC23" s="74">
        <f ca="1">IFERROR(__xludf.DUMMYFUNCTION("IMPORTRANGE(""https://docs.google.com/spreadsheets/d/1xlcVZWUNn6SuWm0c307h32SiGkd9BaeQWlAktfD3KO8/edit?usp=sharing"",""เพชรบูรณ์!I84"")"),1)</f>
        <v>1</v>
      </c>
      <c r="AD23" s="74">
        <f ca="1">IFERROR(__xludf.DUMMYFUNCTION("IMPORTRANGE(""https://docs.google.com/spreadsheets/d/1xlcVZWUNn6SuWm0c307h32SiGkd9BaeQWlAktfD3KO8/edit?usp=sharing"",""เพชรบูรณ์!I85"")"),33)</f>
        <v>33</v>
      </c>
      <c r="AE23" s="78">
        <f ca="1">IFERROR(__xludf.DUMMYFUNCTION("IMPORTRANGE(""https://docs.google.com/spreadsheets/d/1xlcVZWUNn6SuWm0c307h32SiGkd9BaeQWlAktfD3KO8/edit?usp=sharing"",""เพชรบูรณ์!J84"")"),1)</f>
        <v>1</v>
      </c>
      <c r="AF23" s="78">
        <f ca="1">IFERROR(__xludf.DUMMYFUNCTION("IMPORTRANGE(""https://docs.google.com/spreadsheets/d/1xlcVZWUNn6SuWm0c307h32SiGkd9BaeQWlAktfD3KO8/edit?usp=sharing"",""เพชรบูรณ์!J85"")"),33)</f>
        <v>33</v>
      </c>
      <c r="AG23" s="74">
        <f ca="1">IFERROR(__xludf.DUMMYFUNCTION("IMPORTRANGE(""https://docs.google.com/spreadsheets/d/1xlcVZWUNn6SuWm0c307h32SiGkd9BaeQWlAktfD3KO8/edit?usp=sharing"",""เพชรบูรณ์!I86"")"),0)</f>
        <v>0</v>
      </c>
      <c r="AH23" s="74">
        <f ca="1">IFERROR(__xludf.DUMMYFUNCTION("IMPORTRANGE(""https://docs.google.com/spreadsheets/d/1xlcVZWUNn6SuWm0c307h32SiGkd9BaeQWlAktfD3KO8/edit?usp=sharing"",""เพชรบูรณ์!I87"")"),0)</f>
        <v>0</v>
      </c>
      <c r="AI23" s="78">
        <f ca="1">IFERROR(__xludf.DUMMYFUNCTION("IMPORTRANGE(""https://docs.google.com/spreadsheets/d/1xlcVZWUNn6SuWm0c307h32SiGkd9BaeQWlAktfD3KO8/edit?usp=sharing"",""เพชรบูรณ์!J86"")"),0)</f>
        <v>0</v>
      </c>
      <c r="AJ23" s="78">
        <f ca="1">IFERROR(__xludf.DUMMYFUNCTION("IMPORTRANGE(""https://docs.google.com/spreadsheets/d/1xlcVZWUNn6SuWm0c307h32SiGkd9BaeQWlAktfD3KO8/edit?usp=sharing"",""เพชรบูรณ์!J87"")"),0)</f>
        <v>0</v>
      </c>
      <c r="AK23" s="74">
        <f ca="1">IFERROR(__xludf.DUMMYFUNCTION("IMPORTRANGE(""https://docs.google.com/spreadsheets/d/1xlcVZWUNn6SuWm0c307h32SiGkd9BaeQWlAktfD3KO8/edit?usp=sharing"",""เพชรบูรณ์!I88"")"),0)</f>
        <v>0</v>
      </c>
      <c r="AL23" s="74">
        <f ca="1">IFERROR(__xludf.DUMMYFUNCTION("IMPORTRANGE(""https://docs.google.com/spreadsheets/d/1xlcVZWUNn6SuWm0c307h32SiGkd9BaeQWlAktfD3KO8/edit?usp=sharing"",""เพชรบูรณ์!I89"")"),0)</f>
        <v>0</v>
      </c>
      <c r="AM23" s="78">
        <f ca="1">IFERROR(__xludf.DUMMYFUNCTION("IMPORTRANGE(""https://docs.google.com/spreadsheets/d/1xlcVZWUNn6SuWm0c307h32SiGkd9BaeQWlAktfD3KO8/edit?usp=sharing"",""เพชรบูรณ์!J88"")"),0)</f>
        <v>0</v>
      </c>
      <c r="AN23" s="78">
        <f ca="1">IFERROR(__xludf.DUMMYFUNCTION("IMPORTRANGE(""https://docs.google.com/spreadsheets/d/1xlcVZWUNn6SuWm0c307h32SiGkd9BaeQWlAktfD3KO8/edit?usp=sharing"",""เพชรบูรณ์!J89"")"),0)</f>
        <v>0</v>
      </c>
      <c r="AO23" s="74">
        <f ca="1">IFERROR(__xludf.DUMMYFUNCTION("IMPORTRANGE(""https://docs.google.com/spreadsheets/d/1xlcVZWUNn6SuWm0c307h32SiGkd9BaeQWlAktfD3KO8/edit?usp=sharing"",""เพชรบูรณ์!I90"")"),1)</f>
        <v>1</v>
      </c>
      <c r="AP23" s="78">
        <f ca="1">IFERROR(__xludf.DUMMYFUNCTION("IMPORTRANGE(""https://docs.google.com/spreadsheets/d/1xlcVZWUNn6SuWm0c307h32SiGkd9BaeQWlAktfD3KO8/edit?usp=sharing"",""เพชรบูรณ์!J90"")"),1)</f>
        <v>1</v>
      </c>
      <c r="AQ23" s="76">
        <f t="shared" ca="1" si="43"/>
        <v>100</v>
      </c>
    </row>
    <row r="24" spans="1:43" ht="24" customHeight="1" x14ac:dyDescent="0.3">
      <c r="A24" s="70">
        <v>11</v>
      </c>
      <c r="B24" s="71" t="s">
        <v>52</v>
      </c>
      <c r="C24" s="72">
        <f t="shared" ca="1" si="27"/>
        <v>142000</v>
      </c>
      <c r="D24" s="73">
        <f t="shared" ca="1" si="44"/>
        <v>142000</v>
      </c>
      <c r="E24" s="74">
        <f ca="1">IFERROR(__xludf.DUMMYFUNCTION("IMPORTRANGE(""https://docs.google.com/spreadsheets/d/1-uDff_7J0KD5mKrp0Vvzr7lt3OU09vwQwhkpOPPYv2Y/edit?usp=sharing"",""งบพรบ!AN24"")"),0)</f>
        <v>0</v>
      </c>
      <c r="F24" s="74">
        <f ca="1">IFERROR(__xludf.DUMMYFUNCTION("IMPORTRANGE(""https://docs.google.com/spreadsheets/d/1-uDff_7J0KD5mKrp0Vvzr7lt3OU09vwQwhkpOPPYv2Y/edit?usp=sharing"",""งบพรบ!AO24"")"),142000)</f>
        <v>142000</v>
      </c>
      <c r="G24" s="74">
        <f ca="1">IFERROR(__xludf.DUMMYFUNCTION("IMPORTRANGE(""https://docs.google.com/spreadsheets/d/1-uDff_7J0KD5mKrp0Vvzr7lt3OU09vwQwhkpOPPYv2Y/edit?usp=sharing"",""งบพรบ!AP24"")"),0)</f>
        <v>0</v>
      </c>
      <c r="H24" s="74">
        <f ca="1">IFERROR(__xludf.DUMMYFUNCTION("IMPORTRANGE(""https://docs.google.com/spreadsheets/d/1-uDff_7J0KD5mKrp0Vvzr7lt3OU09vwQwhkpOPPYv2Y/edit?usp=sharing"",""งบพรบ!AR24"")"),142000)</f>
        <v>142000</v>
      </c>
      <c r="I24" s="74">
        <f ca="1">IFERROR(__xludf.DUMMYFUNCTION("IMPORTRANGE(""https://docs.google.com/spreadsheets/d/1-uDff_7J0KD5mKrp0Vvzr7lt3OU09vwQwhkpOPPYv2Y/edit?usp=sharing"",""งบพรบ!AS24"")"),0)</f>
        <v>0</v>
      </c>
      <c r="J24" s="74">
        <f t="shared" ca="1" si="29"/>
        <v>106400</v>
      </c>
      <c r="K24" s="75">
        <f t="shared" ca="1" si="30"/>
        <v>74.929577464788736</v>
      </c>
      <c r="L24" s="74">
        <f ca="1">IFERROR(__xludf.DUMMYFUNCTION("IMPORTRANGE(""https://docs.google.com/spreadsheets/d/1-uDff_7J0KD5mKrp0Vvzr7lt3OU09vwQwhkpOPPYv2Y/edit?usp=sharing"",""งบพรบ!AT24"")"),106400)</f>
        <v>106400</v>
      </c>
      <c r="M24" s="76">
        <f t="shared" ca="1" si="31"/>
        <v>74.929577464788736</v>
      </c>
      <c r="N24" s="76">
        <f t="shared" ca="1" si="32"/>
        <v>74.929577464788736</v>
      </c>
      <c r="O24" s="77">
        <f ca="1">IFERROR(__xludf.DUMMYFUNCTION("IMPORTRANGE(""https://docs.google.com/spreadsheets/d/1-uDff_7J0KD5mKrp0Vvzr7lt3OU09vwQwhkpOPPYv2Y/edit?usp=sharing"",""งบพรบ!AU24"")"),0)</f>
        <v>0</v>
      </c>
      <c r="P24" s="77">
        <f t="shared" ca="1" si="33"/>
        <v>0</v>
      </c>
      <c r="Q24" s="76">
        <f t="shared" ca="1" si="34"/>
        <v>0</v>
      </c>
      <c r="R24" s="67">
        <f ca="1">IFERROR(__xludf.DUMMYFUNCTION("IMPORTRANGE(""https://docs.google.com/spreadsheets/d/1lOVebEIsI9qjGXl6EX66luk7wiuP2tBaryw-wKvv4e0/edit?usp=sharing"",""แพร่!Q72"")"),410120)</f>
        <v>410120</v>
      </c>
      <c r="S24" s="67">
        <f ca="1">IFERROR(__xludf.DUMMYFUNCTION("IMPORTRANGE(""https://docs.google.com/spreadsheets/d/1lOVebEIsI9qjGXl6EX66luk7wiuP2tBaryw-wKvv4e0/edit?usp=sharing"",""แพร่!R72"")"),410120)</f>
        <v>410120</v>
      </c>
      <c r="T24" s="67">
        <f ca="1">IFERROR(__xludf.DUMMYFUNCTION("IMPORTRANGE(""https://docs.google.com/spreadsheets/d/1lOVebEIsI9qjGXl6EX66luk7wiuP2tBaryw-wKvv4e0/edit?usp=sharing"",""แพร่!S72"")"),271533.5)</f>
        <v>271533.5</v>
      </c>
      <c r="U24" s="68">
        <f t="shared" ca="1" si="36"/>
        <v>66.208304886374719</v>
      </c>
      <c r="V24" s="68">
        <f t="shared" ca="1" si="37"/>
        <v>66.208304886374719</v>
      </c>
      <c r="W24" s="78">
        <f t="shared" ca="1" si="38"/>
        <v>1</v>
      </c>
      <c r="X24" s="78">
        <f t="shared" ca="1" si="39"/>
        <v>31</v>
      </c>
      <c r="Y24" s="78">
        <f t="shared" ca="1" si="45"/>
        <v>1</v>
      </c>
      <c r="Z24" s="79">
        <f t="shared" ca="1" si="40"/>
        <v>100</v>
      </c>
      <c r="AA24" s="78">
        <f t="shared" ca="1" si="46"/>
        <v>31</v>
      </c>
      <c r="AB24" s="79">
        <f t="shared" ca="1" si="41"/>
        <v>100</v>
      </c>
      <c r="AC24" s="74">
        <f ca="1">IFERROR(__xludf.DUMMYFUNCTION("IMPORTRANGE(""https://docs.google.com/spreadsheets/d/1lOVebEIsI9qjGXl6EX66luk7wiuP2tBaryw-wKvv4e0/edit?usp=sharing"",""แพร่!I84"")"),1)</f>
        <v>1</v>
      </c>
      <c r="AD24" s="74">
        <f ca="1">IFERROR(__xludf.DUMMYFUNCTION("IMPORTRANGE(""https://docs.google.com/spreadsheets/d/1lOVebEIsI9qjGXl6EX66luk7wiuP2tBaryw-wKvv4e0/edit?usp=sharing"",""แพร่!I85"")"),31)</f>
        <v>31</v>
      </c>
      <c r="AE24" s="78">
        <f ca="1">IFERROR(__xludf.DUMMYFUNCTION("IMPORTRANGE(""https://docs.google.com/spreadsheets/d/1lOVebEIsI9qjGXl6EX66luk7wiuP2tBaryw-wKvv4e0/edit?usp=sharing"",""แพร่!J84"")"),1)</f>
        <v>1</v>
      </c>
      <c r="AF24" s="78">
        <f ca="1">IFERROR(__xludf.DUMMYFUNCTION("IMPORTRANGE(""https://docs.google.com/spreadsheets/d/1lOVebEIsI9qjGXl6EX66luk7wiuP2tBaryw-wKvv4e0/edit?usp=sharing"",""แพร่!J85"")"),31)</f>
        <v>31</v>
      </c>
      <c r="AG24" s="74">
        <f ca="1">IFERROR(__xludf.DUMMYFUNCTION("IMPORTRANGE(""https://docs.google.com/spreadsheets/d/1lOVebEIsI9qjGXl6EX66luk7wiuP2tBaryw-wKvv4e0/edit?usp=sharing"",""แพร่!I86"")"),0)</f>
        <v>0</v>
      </c>
      <c r="AH24" s="74">
        <f ca="1">IFERROR(__xludf.DUMMYFUNCTION("IMPORTRANGE(""https://docs.google.com/spreadsheets/d/1lOVebEIsI9qjGXl6EX66luk7wiuP2tBaryw-wKvv4e0/edit?usp=sharing"",""แพร่!I87"")"),0)</f>
        <v>0</v>
      </c>
      <c r="AI24" s="78">
        <f ca="1">IFERROR(__xludf.DUMMYFUNCTION("IMPORTRANGE(""https://docs.google.com/spreadsheets/d/1lOVebEIsI9qjGXl6EX66luk7wiuP2tBaryw-wKvv4e0/edit?usp=sharing"",""แพร่!J86"")"),0)</f>
        <v>0</v>
      </c>
      <c r="AJ24" s="78">
        <f ca="1">IFERROR(__xludf.DUMMYFUNCTION("IMPORTRANGE(""https://docs.google.com/spreadsheets/d/1lOVebEIsI9qjGXl6EX66luk7wiuP2tBaryw-wKvv4e0/edit?usp=sharing"",""แพร่!J87"")"),0)</f>
        <v>0</v>
      </c>
      <c r="AK24" s="74">
        <f ca="1">IFERROR(__xludf.DUMMYFUNCTION("IMPORTRANGE(""https://docs.google.com/spreadsheets/d/1lOVebEIsI9qjGXl6EX66luk7wiuP2tBaryw-wKvv4e0/edit?usp=sharing"",""แพร่!I88"")"),0)</f>
        <v>0</v>
      </c>
      <c r="AL24" s="74">
        <f ca="1">IFERROR(__xludf.DUMMYFUNCTION("IMPORTRANGE(""https://docs.google.com/spreadsheets/d/1lOVebEIsI9qjGXl6EX66luk7wiuP2tBaryw-wKvv4e0/edit?usp=sharing"",""แพร่!I89"")"),0)</f>
        <v>0</v>
      </c>
      <c r="AM24" s="78">
        <f ca="1">IFERROR(__xludf.DUMMYFUNCTION("IMPORTRANGE(""https://docs.google.com/spreadsheets/d/1lOVebEIsI9qjGXl6EX66luk7wiuP2tBaryw-wKvv4e0/edit?usp=sharing"",""แพร่!J88"")"),0)</f>
        <v>0</v>
      </c>
      <c r="AN24" s="78">
        <f ca="1">IFERROR(__xludf.DUMMYFUNCTION("IMPORTRANGE(""https://docs.google.com/spreadsheets/d/1lOVebEIsI9qjGXl6EX66luk7wiuP2tBaryw-wKvv4e0/edit?usp=sharing"",""แพร่!J89"")"),0)</f>
        <v>0</v>
      </c>
      <c r="AO24" s="74">
        <f ca="1">IFERROR(__xludf.DUMMYFUNCTION("IMPORTRANGE(""https://docs.google.com/spreadsheets/d/1lOVebEIsI9qjGXl6EX66luk7wiuP2tBaryw-wKvv4e0/edit?usp=sharing"",""แพร่!I90"")"),1)</f>
        <v>1</v>
      </c>
      <c r="AP24" s="78">
        <f ca="1">IFERROR(__xludf.DUMMYFUNCTION("IMPORTRANGE(""https://docs.google.com/spreadsheets/d/1lOVebEIsI9qjGXl6EX66luk7wiuP2tBaryw-wKvv4e0/edit?usp=sharing"",""แพร่!J90"")"),1)</f>
        <v>1</v>
      </c>
      <c r="AQ24" s="76">
        <f t="shared" ca="1" si="43"/>
        <v>100</v>
      </c>
    </row>
    <row r="25" spans="1:43" ht="24" customHeight="1" x14ac:dyDescent="0.3">
      <c r="A25" s="70">
        <v>12</v>
      </c>
      <c r="B25" s="71" t="s">
        <v>53</v>
      </c>
      <c r="C25" s="72">
        <f t="shared" ca="1" si="27"/>
        <v>0</v>
      </c>
      <c r="D25" s="73">
        <f t="shared" ca="1" si="44"/>
        <v>0</v>
      </c>
      <c r="E25" s="74">
        <f ca="1">IFERROR(__xludf.DUMMYFUNCTION("IMPORTRANGE(""https://docs.google.com/spreadsheets/d/1-uDff_7J0KD5mKrp0Vvzr7lt3OU09vwQwhkpOPPYv2Y/edit?usp=sharing"",""งบพรบ!AN25"")"),0)</f>
        <v>0</v>
      </c>
      <c r="F25" s="74">
        <f ca="1">IFERROR(__xludf.DUMMYFUNCTION("IMPORTRANGE(""https://docs.google.com/spreadsheets/d/1-uDff_7J0KD5mKrp0Vvzr7lt3OU09vwQwhkpOPPYv2Y/edit?usp=sharing"",""งบพรบ!AO25"")"),0)</f>
        <v>0</v>
      </c>
      <c r="G25" s="74">
        <f ca="1">IFERROR(__xludf.DUMMYFUNCTION("IMPORTRANGE(""https://docs.google.com/spreadsheets/d/1-uDff_7J0KD5mKrp0Vvzr7lt3OU09vwQwhkpOPPYv2Y/edit?usp=sharing"",""งบพรบ!AP25"")"),0)</f>
        <v>0</v>
      </c>
      <c r="H25" s="74">
        <f ca="1">IFERROR(__xludf.DUMMYFUNCTION("IMPORTRANGE(""https://docs.google.com/spreadsheets/d/1-uDff_7J0KD5mKrp0Vvzr7lt3OU09vwQwhkpOPPYv2Y/edit?usp=sharing"",""งบพรบ!AR25"")"),0)</f>
        <v>0</v>
      </c>
      <c r="I25" s="74">
        <f ca="1">IFERROR(__xludf.DUMMYFUNCTION("IMPORTRANGE(""https://docs.google.com/spreadsheets/d/1-uDff_7J0KD5mKrp0Vvzr7lt3OU09vwQwhkpOPPYv2Y/edit?usp=sharing"",""งบพรบ!AS25"")"),0)</f>
        <v>0</v>
      </c>
      <c r="J25" s="74">
        <f t="shared" ca="1" si="29"/>
        <v>0</v>
      </c>
      <c r="K25" s="75">
        <f t="shared" ca="1" si="30"/>
        <v>0</v>
      </c>
      <c r="L25" s="74">
        <f ca="1">IFERROR(__xludf.DUMMYFUNCTION("IMPORTRANGE(""https://docs.google.com/spreadsheets/d/1-uDff_7J0KD5mKrp0Vvzr7lt3OU09vwQwhkpOPPYv2Y/edit?usp=sharing"",""งบพรบ!AT25"")"),0)</f>
        <v>0</v>
      </c>
      <c r="M25" s="76">
        <f t="shared" ca="1" si="31"/>
        <v>0</v>
      </c>
      <c r="N25" s="76">
        <f t="shared" ca="1" si="32"/>
        <v>0</v>
      </c>
      <c r="O25" s="77">
        <f ca="1">IFERROR(__xludf.DUMMYFUNCTION("IMPORTRANGE(""https://docs.google.com/spreadsheets/d/1-uDff_7J0KD5mKrp0Vvzr7lt3OU09vwQwhkpOPPYv2Y/edit?usp=sharing"",""งบพรบ!AU25"")"),0)</f>
        <v>0</v>
      </c>
      <c r="P25" s="77">
        <f t="shared" ca="1" si="33"/>
        <v>0</v>
      </c>
      <c r="Q25" s="76">
        <f t="shared" ca="1" si="34"/>
        <v>0</v>
      </c>
      <c r="R25" s="67">
        <f ca="1">IFERROR(__xludf.DUMMYFUNCTION("IMPORTRANGE(""https://docs.google.com/spreadsheets/d/1dQrvX0vEcN7Gu0fnZ0B5S90AeR19zth4XlExFBeExMY/edit?usp=sharing"",""แม่ฮ่องสอน!Q72"")"),0)</f>
        <v>0</v>
      </c>
      <c r="S25" s="67">
        <f ca="1">IFERROR(__xludf.DUMMYFUNCTION("IMPORTRANGE(""https://docs.google.com/spreadsheets/d/1dQrvX0vEcN7Gu0fnZ0B5S90AeR19zth4XlExFBeExMY/edit?usp=sharing"",""แม่ฮ่องสอน!R72"")"),0)</f>
        <v>0</v>
      </c>
      <c r="T25" s="67">
        <f ca="1">IFERROR(__xludf.DUMMYFUNCTION("IMPORTRANGE(""https://docs.google.com/spreadsheets/d/1dQrvX0vEcN7Gu0fnZ0B5S90AeR19zth4XlExFBeExMY/edit?usp=sharing"",""แม่ฮ่องสอน!S72"")"),0)</f>
        <v>0</v>
      </c>
      <c r="U25" s="68">
        <f t="shared" ca="1" si="36"/>
        <v>0</v>
      </c>
      <c r="V25" s="68">
        <f t="shared" ca="1" si="37"/>
        <v>0</v>
      </c>
      <c r="W25" s="78">
        <f t="shared" ca="1" si="38"/>
        <v>0</v>
      </c>
      <c r="X25" s="78">
        <f t="shared" ca="1" si="39"/>
        <v>0</v>
      </c>
      <c r="Y25" s="78">
        <f t="shared" ca="1" si="45"/>
        <v>0</v>
      </c>
      <c r="Z25" s="79">
        <f t="shared" ca="1" si="40"/>
        <v>0</v>
      </c>
      <c r="AA25" s="78">
        <f t="shared" ca="1" si="46"/>
        <v>0</v>
      </c>
      <c r="AB25" s="79">
        <f t="shared" ca="1" si="41"/>
        <v>0</v>
      </c>
      <c r="AC25" s="74">
        <f ca="1">IFERROR(__xludf.DUMMYFUNCTION("IMPORTRANGE(""https://docs.google.com/spreadsheets/d/1dQrvX0vEcN7Gu0fnZ0B5S90AeR19zth4XlExFBeExMY/edit?usp=sharing"",""แม่ฮ่องสอน!I84"")"),0)</f>
        <v>0</v>
      </c>
      <c r="AD25" s="74">
        <f ca="1">IFERROR(__xludf.DUMMYFUNCTION("IMPORTRANGE(""https://docs.google.com/spreadsheets/d/1dQrvX0vEcN7Gu0fnZ0B5S90AeR19zth4XlExFBeExMY/edit?usp=sharing"",""แม่ฮ่องสอน!I85"")"),0)</f>
        <v>0</v>
      </c>
      <c r="AE25" s="78">
        <f ca="1">IFERROR(__xludf.DUMMYFUNCTION("IMPORTRANGE(""https://docs.google.com/spreadsheets/d/1dQrvX0vEcN7Gu0fnZ0B5S90AeR19zth4XlExFBeExMY/edit?usp=sharing"",""แม่ฮ่องสอน!J84"")"),0)</f>
        <v>0</v>
      </c>
      <c r="AF25" s="78">
        <f ca="1">IFERROR(__xludf.DUMMYFUNCTION("IMPORTRANGE(""https://docs.google.com/spreadsheets/d/1dQrvX0vEcN7Gu0fnZ0B5S90AeR19zth4XlExFBeExMY/edit?usp=sharing"",""แม่ฮ่องสอน!J85"")"),0)</f>
        <v>0</v>
      </c>
      <c r="AG25" s="74">
        <f ca="1">IFERROR(__xludf.DUMMYFUNCTION("IMPORTRANGE(""https://docs.google.com/spreadsheets/d/1dQrvX0vEcN7Gu0fnZ0B5S90AeR19zth4XlExFBeExMY/edit?usp=sharing"",""แม่ฮ่องสอน!I86"")"),0)</f>
        <v>0</v>
      </c>
      <c r="AH25" s="74">
        <f ca="1">IFERROR(__xludf.DUMMYFUNCTION("IMPORTRANGE(""https://docs.google.com/spreadsheets/d/1dQrvX0vEcN7Gu0fnZ0B5S90AeR19zth4XlExFBeExMY/edit?usp=sharing"",""แม่ฮ่องสอน!I87"")"),0)</f>
        <v>0</v>
      </c>
      <c r="AI25" s="78">
        <f ca="1">IFERROR(__xludf.DUMMYFUNCTION("IMPORTRANGE(""https://docs.google.com/spreadsheets/d/1dQrvX0vEcN7Gu0fnZ0B5S90AeR19zth4XlExFBeExMY/edit?usp=sharing"",""แม่ฮ่องสอน!J86"")"),0)</f>
        <v>0</v>
      </c>
      <c r="AJ25" s="78">
        <f ca="1">IFERROR(__xludf.DUMMYFUNCTION("IMPORTRANGE(""https://docs.google.com/spreadsheets/d/1dQrvX0vEcN7Gu0fnZ0B5S90AeR19zth4XlExFBeExMY/edit?usp=sharing"",""แม่ฮ่องสอน!J87"")"),0)</f>
        <v>0</v>
      </c>
      <c r="AK25" s="74">
        <f ca="1">IFERROR(__xludf.DUMMYFUNCTION("IMPORTRANGE(""https://docs.google.com/spreadsheets/d/1dQrvX0vEcN7Gu0fnZ0B5S90AeR19zth4XlExFBeExMY/edit?usp=sharing"",""แม่ฮ่องสอน!I88"")"),0)</f>
        <v>0</v>
      </c>
      <c r="AL25" s="74">
        <f ca="1">IFERROR(__xludf.DUMMYFUNCTION("IMPORTRANGE(""https://docs.google.com/spreadsheets/d/1dQrvX0vEcN7Gu0fnZ0B5S90AeR19zth4XlExFBeExMY/edit?usp=sharing"",""แม่ฮ่องสอน!I89"")"),0)</f>
        <v>0</v>
      </c>
      <c r="AM25" s="78">
        <f ca="1">IFERROR(__xludf.DUMMYFUNCTION("IMPORTRANGE(""https://docs.google.com/spreadsheets/d/1dQrvX0vEcN7Gu0fnZ0B5S90AeR19zth4XlExFBeExMY/edit?usp=sharing"",""แม่ฮ่องสอน!J88"")"),0)</f>
        <v>0</v>
      </c>
      <c r="AN25" s="78">
        <f ca="1">IFERROR(__xludf.DUMMYFUNCTION("IMPORTRANGE(""https://docs.google.com/spreadsheets/d/1dQrvX0vEcN7Gu0fnZ0B5S90AeR19zth4XlExFBeExMY/edit?usp=sharing"",""แม่ฮ่องสอน!J89"")"),0)</f>
        <v>0</v>
      </c>
      <c r="AO25" s="74">
        <f ca="1">IFERROR(__xludf.DUMMYFUNCTION("IMPORTRANGE(""https://docs.google.com/spreadsheets/d/1dQrvX0vEcN7Gu0fnZ0B5S90AeR19zth4XlExFBeExMY/edit?usp=sharing"",""แม่ฮ่องสอน!I90"")"),0)</f>
        <v>0</v>
      </c>
      <c r="AP25" s="78">
        <f ca="1">IFERROR(__xludf.DUMMYFUNCTION("IMPORTRANGE(""https://docs.google.com/spreadsheets/d/1dQrvX0vEcN7Gu0fnZ0B5S90AeR19zth4XlExFBeExMY/edit?usp=sharing"",""แม่ฮ่องสอน!J90"")"),0)</f>
        <v>0</v>
      </c>
      <c r="AQ25" s="76">
        <f t="shared" ca="1" si="43"/>
        <v>0</v>
      </c>
    </row>
    <row r="26" spans="1:43" ht="24" customHeight="1" x14ac:dyDescent="0.3">
      <c r="A26" s="70">
        <v>13</v>
      </c>
      <c r="B26" s="71" t="s">
        <v>54</v>
      </c>
      <c r="C26" s="72">
        <f t="shared" ca="1" si="27"/>
        <v>254000</v>
      </c>
      <c r="D26" s="73">
        <f t="shared" ca="1" si="44"/>
        <v>254000</v>
      </c>
      <c r="E26" s="74">
        <f ca="1">IFERROR(__xludf.DUMMYFUNCTION("IMPORTRANGE(""https://docs.google.com/spreadsheets/d/1-uDff_7J0KD5mKrp0Vvzr7lt3OU09vwQwhkpOPPYv2Y/edit?usp=sharing"",""งบพรบ!AN26"")"),0)</f>
        <v>0</v>
      </c>
      <c r="F26" s="74">
        <f ca="1">IFERROR(__xludf.DUMMYFUNCTION("IMPORTRANGE(""https://docs.google.com/spreadsheets/d/1-uDff_7J0KD5mKrp0Vvzr7lt3OU09vwQwhkpOPPYv2Y/edit?usp=sharing"",""งบพรบ!AO26"")"),254000)</f>
        <v>254000</v>
      </c>
      <c r="G26" s="74">
        <f ca="1">IFERROR(__xludf.DUMMYFUNCTION("IMPORTRANGE(""https://docs.google.com/spreadsheets/d/1-uDff_7J0KD5mKrp0Vvzr7lt3OU09vwQwhkpOPPYv2Y/edit?usp=sharing"",""งบพรบ!AP26"")"),0)</f>
        <v>0</v>
      </c>
      <c r="H26" s="74">
        <f ca="1">IFERROR(__xludf.DUMMYFUNCTION("IMPORTRANGE(""https://docs.google.com/spreadsheets/d/1-uDff_7J0KD5mKrp0Vvzr7lt3OU09vwQwhkpOPPYv2Y/edit?usp=sharing"",""งบพรบ!AR26"")"),254000)</f>
        <v>254000</v>
      </c>
      <c r="I26" s="74">
        <f ca="1">IFERROR(__xludf.DUMMYFUNCTION("IMPORTRANGE(""https://docs.google.com/spreadsheets/d/1-uDff_7J0KD5mKrp0Vvzr7lt3OU09vwQwhkpOPPYv2Y/edit?usp=sharing"",""งบพรบ!AS26"")"),0)</f>
        <v>0</v>
      </c>
      <c r="J26" s="74">
        <f t="shared" ca="1" si="29"/>
        <v>172966.69</v>
      </c>
      <c r="K26" s="75">
        <f t="shared" ca="1" si="30"/>
        <v>68.097122047244099</v>
      </c>
      <c r="L26" s="74">
        <f ca="1">IFERROR(__xludf.DUMMYFUNCTION("IMPORTRANGE(""https://docs.google.com/spreadsheets/d/1-uDff_7J0KD5mKrp0Vvzr7lt3OU09vwQwhkpOPPYv2Y/edit?usp=sharing"",""งบพรบ!AT26"")"),172966.69)</f>
        <v>172966.69</v>
      </c>
      <c r="M26" s="76">
        <f t="shared" ca="1" si="31"/>
        <v>68.097122047244099</v>
      </c>
      <c r="N26" s="76">
        <f t="shared" ca="1" si="32"/>
        <v>68.097122047244099</v>
      </c>
      <c r="O26" s="77">
        <f ca="1">IFERROR(__xludf.DUMMYFUNCTION("IMPORTRANGE(""https://docs.google.com/spreadsheets/d/1-uDff_7J0KD5mKrp0Vvzr7lt3OU09vwQwhkpOPPYv2Y/edit?usp=sharing"",""งบพรบ!AU26"")"),0)</f>
        <v>0</v>
      </c>
      <c r="P26" s="77">
        <f t="shared" ca="1" si="33"/>
        <v>0</v>
      </c>
      <c r="Q26" s="76">
        <f t="shared" ca="1" si="34"/>
        <v>0</v>
      </c>
      <c r="R26" s="67">
        <f ca="1">IFERROR(__xludf.DUMMYFUNCTION("IMPORTRANGE(""https://docs.google.com/spreadsheets/d/1DY4XTNNwjluuxqdfdn6qvOSlMRrZqUtmYcZR0ttFiG4/edit?usp=sharing"",""ลำปาง!Q72"")"),1552240)</f>
        <v>1552240</v>
      </c>
      <c r="S26" s="67">
        <f ca="1">IFERROR(__xludf.DUMMYFUNCTION("IMPORTRANGE(""https://docs.google.com/spreadsheets/d/1DY4XTNNwjluuxqdfdn6qvOSlMRrZqUtmYcZR0ttFiG4/edit?usp=sharing"",""ลำปาง!R72"")"),1552240)</f>
        <v>1552240</v>
      </c>
      <c r="T26" s="67">
        <f ca="1">IFERROR(__xludf.DUMMYFUNCTION("IMPORTRANGE(""https://docs.google.com/spreadsheets/d/1DY4XTNNwjluuxqdfdn6qvOSlMRrZqUtmYcZR0ttFiG4/edit?usp=sharing"",""ลำปาง!S72"")"),340586)</f>
        <v>340586</v>
      </c>
      <c r="U26" s="68">
        <f t="shared" ca="1" si="36"/>
        <v>21.941581198783695</v>
      </c>
      <c r="V26" s="68">
        <f t="shared" ca="1" si="37"/>
        <v>21.941581198783695</v>
      </c>
      <c r="W26" s="78">
        <f t="shared" ca="1" si="38"/>
        <v>2</v>
      </c>
      <c r="X26" s="78">
        <f t="shared" ca="1" si="39"/>
        <v>177</v>
      </c>
      <c r="Y26" s="78">
        <f t="shared" ca="1" si="45"/>
        <v>2</v>
      </c>
      <c r="Z26" s="79">
        <f t="shared" ca="1" si="40"/>
        <v>100</v>
      </c>
      <c r="AA26" s="78">
        <f t="shared" ca="1" si="46"/>
        <v>177</v>
      </c>
      <c r="AB26" s="79">
        <f t="shared" ca="1" si="41"/>
        <v>100</v>
      </c>
      <c r="AC26" s="74">
        <f ca="1">IFERROR(__xludf.DUMMYFUNCTION("IMPORTRANGE(""https://docs.google.com/spreadsheets/d/1DY4XTNNwjluuxqdfdn6qvOSlMRrZqUtmYcZR0ttFiG4/edit?usp=sharing"",""ลำปาง!I84"")"),2)</f>
        <v>2</v>
      </c>
      <c r="AD26" s="74">
        <f ca="1">IFERROR(__xludf.DUMMYFUNCTION("IMPORTRANGE(""https://docs.google.com/spreadsheets/d/1DY4XTNNwjluuxqdfdn6qvOSlMRrZqUtmYcZR0ttFiG4/edit?usp=sharing"",""ลำปาง!I85"")"),177)</f>
        <v>177</v>
      </c>
      <c r="AE26" s="78">
        <f ca="1">IFERROR(__xludf.DUMMYFUNCTION("IMPORTRANGE(""https://docs.google.com/spreadsheets/d/1DY4XTNNwjluuxqdfdn6qvOSlMRrZqUtmYcZR0ttFiG4/edit?usp=sharing"",""ลำปาง!J84"")"),2)</f>
        <v>2</v>
      </c>
      <c r="AF26" s="78">
        <f ca="1">IFERROR(__xludf.DUMMYFUNCTION("IMPORTRANGE(""https://docs.google.com/spreadsheets/d/1DY4XTNNwjluuxqdfdn6qvOSlMRrZqUtmYcZR0ttFiG4/edit?usp=sharing"",""ลำปาง!J85"")"),177)</f>
        <v>177</v>
      </c>
      <c r="AG26" s="74">
        <f ca="1">IFERROR(__xludf.DUMMYFUNCTION("IMPORTRANGE(""https://docs.google.com/spreadsheets/d/1DY4XTNNwjluuxqdfdn6qvOSlMRrZqUtmYcZR0ttFiG4/edit?usp=sharing"",""ลำปาง!I86"")"),0)</f>
        <v>0</v>
      </c>
      <c r="AH26" s="74">
        <f ca="1">IFERROR(__xludf.DUMMYFUNCTION("IMPORTRANGE(""https://docs.google.com/spreadsheets/d/1DY4XTNNwjluuxqdfdn6qvOSlMRrZqUtmYcZR0ttFiG4/edit?usp=sharing"",""ลำปาง!I87"")"),0)</f>
        <v>0</v>
      </c>
      <c r="AI26" s="78">
        <f ca="1">IFERROR(__xludf.DUMMYFUNCTION("IMPORTRANGE(""https://docs.google.com/spreadsheets/d/1DY4XTNNwjluuxqdfdn6qvOSlMRrZqUtmYcZR0ttFiG4/edit?usp=sharing"",""ลำปาง!J86"")"),0)</f>
        <v>0</v>
      </c>
      <c r="AJ26" s="78">
        <f ca="1">IFERROR(__xludf.DUMMYFUNCTION("IMPORTRANGE(""https://docs.google.com/spreadsheets/d/1DY4XTNNwjluuxqdfdn6qvOSlMRrZqUtmYcZR0ttFiG4/edit?usp=sharing"",""ลำปาง!J87"")"),0)</f>
        <v>0</v>
      </c>
      <c r="AK26" s="74">
        <f ca="1">IFERROR(__xludf.DUMMYFUNCTION("IMPORTRANGE(""https://docs.google.com/spreadsheets/d/1DY4XTNNwjluuxqdfdn6qvOSlMRrZqUtmYcZR0ttFiG4/edit?usp=sharing"",""ลำปาง!I88"")"),0)</f>
        <v>0</v>
      </c>
      <c r="AL26" s="74">
        <f ca="1">IFERROR(__xludf.DUMMYFUNCTION("IMPORTRANGE(""https://docs.google.com/spreadsheets/d/1DY4XTNNwjluuxqdfdn6qvOSlMRrZqUtmYcZR0ttFiG4/edit?usp=sharing"",""ลำปาง!I89"")"),0)</f>
        <v>0</v>
      </c>
      <c r="AM26" s="78">
        <f ca="1">IFERROR(__xludf.DUMMYFUNCTION("IMPORTRANGE(""https://docs.google.com/spreadsheets/d/1DY4XTNNwjluuxqdfdn6qvOSlMRrZqUtmYcZR0ttFiG4/edit?usp=sharing"",""ลำปาง!J88"")"),0)</f>
        <v>0</v>
      </c>
      <c r="AN26" s="78">
        <f ca="1">IFERROR(__xludf.DUMMYFUNCTION("IMPORTRANGE(""https://docs.google.com/spreadsheets/d/1DY4XTNNwjluuxqdfdn6qvOSlMRrZqUtmYcZR0ttFiG4/edit?usp=sharing"",""ลำปาง!J89"")"),0)</f>
        <v>0</v>
      </c>
      <c r="AO26" s="74">
        <f ca="1">IFERROR(__xludf.DUMMYFUNCTION("IMPORTRANGE(""https://docs.google.com/spreadsheets/d/1DY4XTNNwjluuxqdfdn6qvOSlMRrZqUtmYcZR0ttFiG4/edit?usp=sharing"",""ลำปาง!I90"")"),2)</f>
        <v>2</v>
      </c>
      <c r="AP26" s="78">
        <f ca="1">IFERROR(__xludf.DUMMYFUNCTION("IMPORTRANGE(""https://docs.google.com/spreadsheets/d/1DY4XTNNwjluuxqdfdn6qvOSlMRrZqUtmYcZR0ttFiG4/edit?usp=sharing"",""ลำปาง!J90"")"),0)</f>
        <v>0</v>
      </c>
      <c r="AQ26" s="76">
        <f t="shared" ca="1" si="43"/>
        <v>0</v>
      </c>
    </row>
    <row r="27" spans="1:43" ht="24" customHeight="1" x14ac:dyDescent="0.3">
      <c r="A27" s="70">
        <v>14</v>
      </c>
      <c r="B27" s="71" t="s">
        <v>55</v>
      </c>
      <c r="C27" s="72">
        <f t="shared" ca="1" si="27"/>
        <v>575500</v>
      </c>
      <c r="D27" s="73">
        <f t="shared" ca="1" si="44"/>
        <v>575500</v>
      </c>
      <c r="E27" s="74">
        <f ca="1">IFERROR(__xludf.DUMMYFUNCTION("IMPORTRANGE(""https://docs.google.com/spreadsheets/d/1-uDff_7J0KD5mKrp0Vvzr7lt3OU09vwQwhkpOPPYv2Y/edit?usp=sharing"",""งบพรบ!AN27"")"),381500)</f>
        <v>381500</v>
      </c>
      <c r="F27" s="74">
        <f ca="1">IFERROR(__xludf.DUMMYFUNCTION("IMPORTRANGE(""https://docs.google.com/spreadsheets/d/1-uDff_7J0KD5mKrp0Vvzr7lt3OU09vwQwhkpOPPYv2Y/edit?usp=sharing"",""งบพรบ!AO27"")"),194000)</f>
        <v>194000</v>
      </c>
      <c r="G27" s="74">
        <f ca="1">IFERROR(__xludf.DUMMYFUNCTION("IMPORTRANGE(""https://docs.google.com/spreadsheets/d/1-uDff_7J0KD5mKrp0Vvzr7lt3OU09vwQwhkpOPPYv2Y/edit?usp=sharing"",""งบพรบ!AP27"")"),0)</f>
        <v>0</v>
      </c>
      <c r="H27" s="74">
        <f ca="1">IFERROR(__xludf.DUMMYFUNCTION("IMPORTRANGE(""https://docs.google.com/spreadsheets/d/1-uDff_7J0KD5mKrp0Vvzr7lt3OU09vwQwhkpOPPYv2Y/edit?usp=sharing"",""งบพรบ!AR27"")"),575500)</f>
        <v>575500</v>
      </c>
      <c r="I27" s="74">
        <f ca="1">IFERROR(__xludf.DUMMYFUNCTION("IMPORTRANGE(""https://docs.google.com/spreadsheets/d/1-uDff_7J0KD5mKrp0Vvzr7lt3OU09vwQwhkpOPPYv2Y/edit?usp=sharing"",""งบพรบ!AS27"")"),0)</f>
        <v>0</v>
      </c>
      <c r="J27" s="74">
        <f t="shared" ca="1" si="29"/>
        <v>519177.27</v>
      </c>
      <c r="K27" s="75">
        <f t="shared" ca="1" si="30"/>
        <v>90.21325282363162</v>
      </c>
      <c r="L27" s="74">
        <f ca="1">IFERROR(__xludf.DUMMYFUNCTION("IMPORTRANGE(""https://docs.google.com/spreadsheets/d/1-uDff_7J0KD5mKrp0Vvzr7lt3OU09vwQwhkpOPPYv2Y/edit?usp=sharing"",""งบพรบ!AT27"")"),519177.27)</f>
        <v>519177.27</v>
      </c>
      <c r="M27" s="76">
        <f t="shared" ca="1" si="31"/>
        <v>90.21325282363162</v>
      </c>
      <c r="N27" s="76">
        <f t="shared" ca="1" si="32"/>
        <v>90.21325282363162</v>
      </c>
      <c r="O27" s="77">
        <f ca="1">IFERROR(__xludf.DUMMYFUNCTION("IMPORTRANGE(""https://docs.google.com/spreadsheets/d/1-uDff_7J0KD5mKrp0Vvzr7lt3OU09vwQwhkpOPPYv2Y/edit?usp=sharing"",""งบพรบ!AU27"")"),0)</f>
        <v>0</v>
      </c>
      <c r="P27" s="77">
        <f t="shared" ca="1" si="33"/>
        <v>0</v>
      </c>
      <c r="Q27" s="76">
        <f t="shared" ca="1" si="34"/>
        <v>0</v>
      </c>
      <c r="R27" s="67">
        <f ca="1">IFERROR(__xludf.DUMMYFUNCTION("IMPORTRANGE(""https://docs.google.com/spreadsheets/d/1ICwG78r0OFT8biBlxnBF8r7she7gNSzOvJ958PWT09c/edit?usp=sharing"",""ลำพูน!Q72"")"),400800)</f>
        <v>400800</v>
      </c>
      <c r="S27" s="67">
        <f ca="1">IFERROR(__xludf.DUMMYFUNCTION("IMPORTRANGE(""https://docs.google.com/spreadsheets/d/1ICwG78r0OFT8biBlxnBF8r7she7gNSzOvJ958PWT09c/edit?usp=sharing"",""ลำพูน!R72"")"),400800)</f>
        <v>400800</v>
      </c>
      <c r="T27" s="67">
        <f ca="1">IFERROR(__xludf.DUMMYFUNCTION("IMPORTRANGE(""https://docs.google.com/spreadsheets/d/1ICwG78r0OFT8biBlxnBF8r7she7gNSzOvJ958PWT09c/edit?usp=sharing"",""ลำพูน!S72"")"),214215)</f>
        <v>214215</v>
      </c>
      <c r="U27" s="68">
        <f t="shared" ca="1" si="36"/>
        <v>53.446856287425149</v>
      </c>
      <c r="V27" s="68">
        <f t="shared" ca="1" si="37"/>
        <v>53.446856287425149</v>
      </c>
      <c r="W27" s="78">
        <f t="shared" ca="1" si="38"/>
        <v>1</v>
      </c>
      <c r="X27" s="78">
        <f t="shared" ca="1" si="39"/>
        <v>35</v>
      </c>
      <c r="Y27" s="78">
        <f t="shared" ca="1" si="45"/>
        <v>1</v>
      </c>
      <c r="Z27" s="79">
        <f t="shared" ca="1" si="40"/>
        <v>100</v>
      </c>
      <c r="AA27" s="78">
        <f t="shared" ca="1" si="46"/>
        <v>35</v>
      </c>
      <c r="AB27" s="79">
        <f t="shared" ca="1" si="41"/>
        <v>100</v>
      </c>
      <c r="AC27" s="74">
        <f ca="1">IFERROR(__xludf.DUMMYFUNCTION("IMPORTRANGE(""https://docs.google.com/spreadsheets/d/1ICwG78r0OFT8biBlxnBF8r7she7gNSzOvJ958PWT09c/edit?usp=sharing"",""ลำพูน!I84"")"),0)</f>
        <v>0</v>
      </c>
      <c r="AD27" s="74">
        <f ca="1">IFERROR(__xludf.DUMMYFUNCTION("IMPORTRANGE(""https://docs.google.com/spreadsheets/d/1ICwG78r0OFT8biBlxnBF8r7she7gNSzOvJ958PWT09c/edit?usp=sharing"",""ลำพูน!I85"")"),0)</f>
        <v>0</v>
      </c>
      <c r="AE27" s="78">
        <f ca="1">IFERROR(__xludf.DUMMYFUNCTION("IMPORTRANGE(""https://docs.google.com/spreadsheets/d/1ICwG78r0OFT8biBlxnBF8r7she7gNSzOvJ958PWT09c/edit?usp=sharing"",""ลำพูน!J84"")"),0)</f>
        <v>0</v>
      </c>
      <c r="AF27" s="78">
        <f ca="1">IFERROR(__xludf.DUMMYFUNCTION("IMPORTRANGE(""https://docs.google.com/spreadsheets/d/1ICwG78r0OFT8biBlxnBF8r7she7gNSzOvJ958PWT09c/edit?usp=sharing"",""ลำพูน!J85"")"),0)</f>
        <v>0</v>
      </c>
      <c r="AG27" s="74">
        <f ca="1">IFERROR(__xludf.DUMMYFUNCTION("IMPORTRANGE(""https://docs.google.com/spreadsheets/d/1ICwG78r0OFT8biBlxnBF8r7she7gNSzOvJ958PWT09c/edit?usp=sharing"",""ลำพูน!I86"")"),0)</f>
        <v>0</v>
      </c>
      <c r="AH27" s="74">
        <f ca="1">IFERROR(__xludf.DUMMYFUNCTION("IMPORTRANGE(""https://docs.google.com/spreadsheets/d/1ICwG78r0OFT8biBlxnBF8r7she7gNSzOvJ958PWT09c/edit?usp=sharing"",""ลำพูน!I87"")"),0)</f>
        <v>0</v>
      </c>
      <c r="AI27" s="78">
        <f ca="1">IFERROR(__xludf.DUMMYFUNCTION("IMPORTRANGE(""https://docs.google.com/spreadsheets/d/1ICwG78r0OFT8biBlxnBF8r7she7gNSzOvJ958PWT09c/edit?usp=sharing"",""ลำพูน!J86"")"),0)</f>
        <v>0</v>
      </c>
      <c r="AJ27" s="78">
        <f ca="1">IFERROR(__xludf.DUMMYFUNCTION("IMPORTRANGE(""https://docs.google.com/spreadsheets/d/1ICwG78r0OFT8biBlxnBF8r7she7gNSzOvJ958PWT09c/edit?usp=sharing"",""ลำพูน!J87"")"),0)</f>
        <v>0</v>
      </c>
      <c r="AK27" s="74">
        <f ca="1">IFERROR(__xludf.DUMMYFUNCTION("IMPORTRANGE(""https://docs.google.com/spreadsheets/d/1ICwG78r0OFT8biBlxnBF8r7she7gNSzOvJ958PWT09c/edit?usp=sharing"",""ลำพูน!I88"")"),1)</f>
        <v>1</v>
      </c>
      <c r="AL27" s="74">
        <f ca="1">IFERROR(__xludf.DUMMYFUNCTION("IMPORTRANGE(""https://docs.google.com/spreadsheets/d/1ICwG78r0OFT8biBlxnBF8r7she7gNSzOvJ958PWT09c/edit?usp=sharing"",""ลำพูน!I89"")"),35)</f>
        <v>35</v>
      </c>
      <c r="AM27" s="78">
        <f ca="1">IFERROR(__xludf.DUMMYFUNCTION("IMPORTRANGE(""https://docs.google.com/spreadsheets/d/1ICwG78r0OFT8biBlxnBF8r7she7gNSzOvJ958PWT09c/edit?usp=sharing"",""ลำพูน!J88"")"),1)</f>
        <v>1</v>
      </c>
      <c r="AN27" s="78">
        <f ca="1">IFERROR(__xludf.DUMMYFUNCTION("IMPORTRANGE(""https://docs.google.com/spreadsheets/d/1ICwG78r0OFT8biBlxnBF8r7she7gNSzOvJ958PWT09c/edit?usp=sharing"",""ลำพูน!J89"")"),35)</f>
        <v>35</v>
      </c>
      <c r="AO27" s="74">
        <f ca="1">IFERROR(__xludf.DUMMYFUNCTION("IMPORTRANGE(""https://docs.google.com/spreadsheets/d/1ICwG78r0OFT8biBlxnBF8r7she7gNSzOvJ958PWT09c/edit?usp=sharing"",""ลำพูน!I90"")"),1)</f>
        <v>1</v>
      </c>
      <c r="AP27" s="78">
        <f ca="1">IFERROR(__xludf.DUMMYFUNCTION("IMPORTRANGE(""https://docs.google.com/spreadsheets/d/1ICwG78r0OFT8biBlxnBF8r7she7gNSzOvJ958PWT09c/edit?usp=sharing"",""ลำพูน!J90"")"),1)</f>
        <v>1</v>
      </c>
      <c r="AQ27" s="76">
        <f t="shared" ca="1" si="43"/>
        <v>100</v>
      </c>
    </row>
    <row r="28" spans="1:43" ht="24" customHeight="1" x14ac:dyDescent="0.3">
      <c r="A28" s="70">
        <v>15</v>
      </c>
      <c r="B28" s="71" t="s">
        <v>56</v>
      </c>
      <c r="C28" s="72">
        <f t="shared" ca="1" si="27"/>
        <v>150000</v>
      </c>
      <c r="D28" s="73">
        <f t="shared" ca="1" si="44"/>
        <v>150000</v>
      </c>
      <c r="E28" s="74">
        <f ca="1">IFERROR(__xludf.DUMMYFUNCTION("IMPORTRANGE(""https://docs.google.com/spreadsheets/d/1-uDff_7J0KD5mKrp0Vvzr7lt3OU09vwQwhkpOPPYv2Y/edit?usp=sharing"",""งบพรบ!AN28"")"),0)</f>
        <v>0</v>
      </c>
      <c r="F28" s="74">
        <f ca="1">IFERROR(__xludf.DUMMYFUNCTION("IMPORTRANGE(""https://docs.google.com/spreadsheets/d/1-uDff_7J0KD5mKrp0Vvzr7lt3OU09vwQwhkpOPPYv2Y/edit?usp=sharing"",""งบพรบ!AO28"")"),150000)</f>
        <v>150000</v>
      </c>
      <c r="G28" s="74">
        <f ca="1">IFERROR(__xludf.DUMMYFUNCTION("IMPORTRANGE(""https://docs.google.com/spreadsheets/d/1-uDff_7J0KD5mKrp0Vvzr7lt3OU09vwQwhkpOPPYv2Y/edit?usp=sharing"",""งบพรบ!AP28"")"),0)</f>
        <v>0</v>
      </c>
      <c r="H28" s="74">
        <f ca="1">IFERROR(__xludf.DUMMYFUNCTION("IMPORTRANGE(""https://docs.google.com/spreadsheets/d/1-uDff_7J0KD5mKrp0Vvzr7lt3OU09vwQwhkpOPPYv2Y/edit?usp=sharing"",""งบพรบ!AR28"")"),150000)</f>
        <v>150000</v>
      </c>
      <c r="I28" s="74">
        <f ca="1">IFERROR(__xludf.DUMMYFUNCTION("IMPORTRANGE(""https://docs.google.com/spreadsheets/d/1-uDff_7J0KD5mKrp0Vvzr7lt3OU09vwQwhkpOPPYv2Y/edit?usp=sharing"",""งบพรบ!AS28"")"),0)</f>
        <v>0</v>
      </c>
      <c r="J28" s="74">
        <f t="shared" ca="1" si="29"/>
        <v>66374</v>
      </c>
      <c r="K28" s="75">
        <f t="shared" ca="1" si="30"/>
        <v>44.249333333333333</v>
      </c>
      <c r="L28" s="74">
        <f ca="1">IFERROR(__xludf.DUMMYFUNCTION("IMPORTRANGE(""https://docs.google.com/spreadsheets/d/1-uDff_7J0KD5mKrp0Vvzr7lt3OU09vwQwhkpOPPYv2Y/edit?usp=sharing"",""งบพรบ!AT28"")"),66374)</f>
        <v>66374</v>
      </c>
      <c r="M28" s="76">
        <f t="shared" ca="1" si="31"/>
        <v>44.249333333333333</v>
      </c>
      <c r="N28" s="76">
        <f t="shared" ca="1" si="32"/>
        <v>44.249333333333333</v>
      </c>
      <c r="O28" s="77">
        <f ca="1">IFERROR(__xludf.DUMMYFUNCTION("IMPORTRANGE(""https://docs.google.com/spreadsheets/d/1-uDff_7J0KD5mKrp0Vvzr7lt3OU09vwQwhkpOPPYv2Y/edit?usp=sharing"",""งบพรบ!AU28"")"),0)</f>
        <v>0</v>
      </c>
      <c r="P28" s="77">
        <f t="shared" ca="1" si="33"/>
        <v>0</v>
      </c>
      <c r="Q28" s="76">
        <f t="shared" ca="1" si="34"/>
        <v>0</v>
      </c>
      <c r="R28" s="67">
        <f ca="1">IFERROR(__xludf.DUMMYFUNCTION("IMPORTRANGE(""https://docs.google.com/spreadsheets/d/1B0f2xJpZUC6Z0xXnqKlZtEPzsf6L84eP1r1Q15seqRM/edit?usp=sharing"",""สุโขทัย!Q72"")"),1729763)</f>
        <v>1729763</v>
      </c>
      <c r="S28" s="67">
        <f ca="1">IFERROR(__xludf.DUMMYFUNCTION("IMPORTRANGE(""https://docs.google.com/spreadsheets/d/1B0f2xJpZUC6Z0xXnqKlZtEPzsf6L84eP1r1Q15seqRM/edit?usp=sharing"",""สุโขทัย!R72"")"),1729763)</f>
        <v>1729763</v>
      </c>
      <c r="T28" s="67">
        <f ca="1">IFERROR(__xludf.DUMMYFUNCTION("IMPORTRANGE(""https://docs.google.com/spreadsheets/d/1B0f2xJpZUC6Z0xXnqKlZtEPzsf6L84eP1r1Q15seqRM/edit?usp=sharing"",""สุโขทัย!S72"")"),110253)</f>
        <v>110253</v>
      </c>
      <c r="U28" s="68">
        <f t="shared" ca="1" si="36"/>
        <v>6.3738789649217837</v>
      </c>
      <c r="V28" s="68">
        <f t="shared" ca="1" si="37"/>
        <v>6.3738789649217837</v>
      </c>
      <c r="W28" s="78">
        <f t="shared" ca="1" si="38"/>
        <v>2</v>
      </c>
      <c r="X28" s="78">
        <f t="shared" ca="1" si="39"/>
        <v>77</v>
      </c>
      <c r="Y28" s="78">
        <f t="shared" ca="1" si="45"/>
        <v>2</v>
      </c>
      <c r="Z28" s="79">
        <f t="shared" ca="1" si="40"/>
        <v>100</v>
      </c>
      <c r="AA28" s="78">
        <f t="shared" ca="1" si="46"/>
        <v>77</v>
      </c>
      <c r="AB28" s="79">
        <f t="shared" ca="1" si="41"/>
        <v>100</v>
      </c>
      <c r="AC28" s="74">
        <f ca="1">IFERROR(__xludf.DUMMYFUNCTION("IMPORTRANGE(""https://docs.google.com/spreadsheets/d/1B0f2xJpZUC6Z0xXnqKlZtEPzsf6L84eP1r1Q15seqRM/edit?usp=sharing"",""สุโขทัย!I84"")"),1)</f>
        <v>1</v>
      </c>
      <c r="AD28" s="74">
        <f ca="1">IFERROR(__xludf.DUMMYFUNCTION("IMPORTRANGE(""https://docs.google.com/spreadsheets/d/1B0f2xJpZUC6Z0xXnqKlZtEPzsf6L84eP1r1Q15seqRM/edit?usp=sharing"",""สุโขทัย!I85"")"),47)</f>
        <v>47</v>
      </c>
      <c r="AE28" s="78">
        <f ca="1">IFERROR(__xludf.DUMMYFUNCTION("IMPORTRANGE(""https://docs.google.com/spreadsheets/d/1B0f2xJpZUC6Z0xXnqKlZtEPzsf6L84eP1r1Q15seqRM/edit?usp=sharing"",""สุโขทัย!J84"")"),1)</f>
        <v>1</v>
      </c>
      <c r="AF28" s="78">
        <f ca="1">IFERROR(__xludf.DUMMYFUNCTION("IMPORTRANGE(""https://docs.google.com/spreadsheets/d/1B0f2xJpZUC6Z0xXnqKlZtEPzsf6L84eP1r1Q15seqRM/edit?usp=sharing"",""สุโขทัย!J85"")"),47)</f>
        <v>47</v>
      </c>
      <c r="AG28" s="74">
        <f ca="1">IFERROR(__xludf.DUMMYFUNCTION("IMPORTRANGE(""https://docs.google.com/spreadsheets/d/1B0f2xJpZUC6Z0xXnqKlZtEPzsf6L84eP1r1Q15seqRM/edit?usp=sharing"",""สุโขทัย!I86"")"),1)</f>
        <v>1</v>
      </c>
      <c r="AH28" s="74">
        <f ca="1">IFERROR(__xludf.DUMMYFUNCTION("IMPORTRANGE(""https://docs.google.com/spreadsheets/d/1B0f2xJpZUC6Z0xXnqKlZtEPzsf6L84eP1r1Q15seqRM/edit?usp=sharing"",""สุโขทัย!I87"")"),30)</f>
        <v>30</v>
      </c>
      <c r="AI28" s="78">
        <f ca="1">IFERROR(__xludf.DUMMYFUNCTION("IMPORTRANGE(""https://docs.google.com/spreadsheets/d/1B0f2xJpZUC6Z0xXnqKlZtEPzsf6L84eP1r1Q15seqRM/edit?usp=sharing"",""สุโขทัย!J86"")"),1)</f>
        <v>1</v>
      </c>
      <c r="AJ28" s="78">
        <f ca="1">IFERROR(__xludf.DUMMYFUNCTION("IMPORTRANGE(""https://docs.google.com/spreadsheets/d/1B0f2xJpZUC6Z0xXnqKlZtEPzsf6L84eP1r1Q15seqRM/edit?usp=sharing"",""สุโขทัย!J87"")"),30)</f>
        <v>30</v>
      </c>
      <c r="AK28" s="74">
        <f ca="1">IFERROR(__xludf.DUMMYFUNCTION("IMPORTRANGE(""https://docs.google.com/spreadsheets/d/1B0f2xJpZUC6Z0xXnqKlZtEPzsf6L84eP1r1Q15seqRM/edit?usp=sharing"",""สุโขทัย!I88"")"),0)</f>
        <v>0</v>
      </c>
      <c r="AL28" s="74">
        <f ca="1">IFERROR(__xludf.DUMMYFUNCTION("IMPORTRANGE(""https://docs.google.com/spreadsheets/d/1B0f2xJpZUC6Z0xXnqKlZtEPzsf6L84eP1r1Q15seqRM/edit?usp=sharing"",""สุโขทัย!I89"")"),0)</f>
        <v>0</v>
      </c>
      <c r="AM28" s="78">
        <f ca="1">IFERROR(__xludf.DUMMYFUNCTION("IMPORTRANGE(""https://docs.google.com/spreadsheets/d/1B0f2xJpZUC6Z0xXnqKlZtEPzsf6L84eP1r1Q15seqRM/edit?usp=sharing"",""สุโขทัย!J88"")"),0)</f>
        <v>0</v>
      </c>
      <c r="AN28" s="78">
        <f ca="1">IFERROR(__xludf.DUMMYFUNCTION("IMPORTRANGE(""https://docs.google.com/spreadsheets/d/1B0f2xJpZUC6Z0xXnqKlZtEPzsf6L84eP1r1Q15seqRM/edit?usp=sharing"",""สุโขทัย!J89"")"),0)</f>
        <v>0</v>
      </c>
      <c r="AO28" s="74">
        <f ca="1">IFERROR(__xludf.DUMMYFUNCTION("IMPORTRANGE(""https://docs.google.com/spreadsheets/d/1B0f2xJpZUC6Z0xXnqKlZtEPzsf6L84eP1r1Q15seqRM/edit?usp=sharing"",""สุโขทัย!I90"")"),2)</f>
        <v>2</v>
      </c>
      <c r="AP28" s="78">
        <f ca="1">IFERROR(__xludf.DUMMYFUNCTION("IMPORTRANGE(""https://docs.google.com/spreadsheets/d/1B0f2xJpZUC6Z0xXnqKlZtEPzsf6L84eP1r1Q15seqRM/edit?usp=sharing"",""สุโขทัย!J90"")"),0)</f>
        <v>0</v>
      </c>
      <c r="AQ28" s="76">
        <f t="shared" ca="1" si="43"/>
        <v>0</v>
      </c>
    </row>
    <row r="29" spans="1:43" ht="24" customHeight="1" x14ac:dyDescent="0.3">
      <c r="A29" s="70">
        <v>16</v>
      </c>
      <c r="B29" s="71" t="s">
        <v>57</v>
      </c>
      <c r="C29" s="72">
        <f t="shared" ca="1" si="27"/>
        <v>0</v>
      </c>
      <c r="D29" s="73">
        <f t="shared" ca="1" si="44"/>
        <v>0</v>
      </c>
      <c r="E29" s="74">
        <f ca="1">IFERROR(__xludf.DUMMYFUNCTION("IMPORTRANGE(""https://docs.google.com/spreadsheets/d/1-uDff_7J0KD5mKrp0Vvzr7lt3OU09vwQwhkpOPPYv2Y/edit?usp=sharing"",""งบพรบ!AN29"")"),0)</f>
        <v>0</v>
      </c>
      <c r="F29" s="74">
        <f ca="1">IFERROR(__xludf.DUMMYFUNCTION("IMPORTRANGE(""https://docs.google.com/spreadsheets/d/1-uDff_7J0KD5mKrp0Vvzr7lt3OU09vwQwhkpOPPYv2Y/edit?usp=sharing"",""งบพรบ!AO29"")"),0)</f>
        <v>0</v>
      </c>
      <c r="G29" s="74">
        <f ca="1">IFERROR(__xludf.DUMMYFUNCTION("IMPORTRANGE(""https://docs.google.com/spreadsheets/d/1-uDff_7J0KD5mKrp0Vvzr7lt3OU09vwQwhkpOPPYv2Y/edit?usp=sharing"",""งบพรบ!AP29"")"),0)</f>
        <v>0</v>
      </c>
      <c r="H29" s="74">
        <f ca="1">IFERROR(__xludf.DUMMYFUNCTION("IMPORTRANGE(""https://docs.google.com/spreadsheets/d/1-uDff_7J0KD5mKrp0Vvzr7lt3OU09vwQwhkpOPPYv2Y/edit?usp=sharing"",""งบพรบ!AR29"")"),0)</f>
        <v>0</v>
      </c>
      <c r="I29" s="74">
        <f ca="1">IFERROR(__xludf.DUMMYFUNCTION("IMPORTRANGE(""https://docs.google.com/spreadsheets/d/1-uDff_7J0KD5mKrp0Vvzr7lt3OU09vwQwhkpOPPYv2Y/edit?usp=sharing"",""งบพรบ!AS29"")"),0)</f>
        <v>0</v>
      </c>
      <c r="J29" s="74">
        <f t="shared" ca="1" si="29"/>
        <v>0</v>
      </c>
      <c r="K29" s="75">
        <f t="shared" ca="1" si="30"/>
        <v>0</v>
      </c>
      <c r="L29" s="74">
        <f ca="1">IFERROR(__xludf.DUMMYFUNCTION("IMPORTRANGE(""https://docs.google.com/spreadsheets/d/1-uDff_7J0KD5mKrp0Vvzr7lt3OU09vwQwhkpOPPYv2Y/edit?usp=sharing"",""งบพรบ!AT29"")"),0)</f>
        <v>0</v>
      </c>
      <c r="M29" s="76">
        <f t="shared" ca="1" si="31"/>
        <v>0</v>
      </c>
      <c r="N29" s="76">
        <f t="shared" ca="1" si="32"/>
        <v>0</v>
      </c>
      <c r="O29" s="77">
        <f ca="1">IFERROR(__xludf.DUMMYFUNCTION("IMPORTRANGE(""https://docs.google.com/spreadsheets/d/1-uDff_7J0KD5mKrp0Vvzr7lt3OU09vwQwhkpOPPYv2Y/edit?usp=sharing"",""งบพรบ!AU29"")"),0)</f>
        <v>0</v>
      </c>
      <c r="P29" s="77">
        <f t="shared" ca="1" si="33"/>
        <v>0</v>
      </c>
      <c r="Q29" s="76">
        <f t="shared" ca="1" si="34"/>
        <v>0</v>
      </c>
      <c r="R29" s="67">
        <f ca="1">IFERROR(__xludf.DUMMYFUNCTION("IMPORTRANGE(""https://docs.google.com/spreadsheets/d/1v0b9pFQCsKUVExMei7AgY2yQkdeNQvtOssygGsXbiKo/edit?usp=sharing"",""อุตรดิตถ์!Q72"")"),0)</f>
        <v>0</v>
      </c>
      <c r="S29" s="67">
        <f ca="1">IFERROR(__xludf.DUMMYFUNCTION("IMPORTRANGE(""https://docs.google.com/spreadsheets/d/1v0b9pFQCsKUVExMei7AgY2yQkdeNQvtOssygGsXbiKo/edit?usp=sharing"",""อุตรดิตถ์!R72"")"),0)</f>
        <v>0</v>
      </c>
      <c r="T29" s="67">
        <f ca="1">IFERROR(__xludf.DUMMYFUNCTION("IMPORTRANGE(""https://docs.google.com/spreadsheets/d/1v0b9pFQCsKUVExMei7AgY2yQkdeNQvtOssygGsXbiKo/edit?usp=sharing"",""อุตรดิตถ์!S72"")"),0)</f>
        <v>0</v>
      </c>
      <c r="U29" s="68">
        <f t="shared" ca="1" si="36"/>
        <v>0</v>
      </c>
      <c r="V29" s="68">
        <f t="shared" ca="1" si="37"/>
        <v>0</v>
      </c>
      <c r="W29" s="78">
        <f t="shared" ca="1" si="38"/>
        <v>0</v>
      </c>
      <c r="X29" s="78">
        <f t="shared" ca="1" si="39"/>
        <v>0</v>
      </c>
      <c r="Y29" s="78">
        <f t="shared" ca="1" si="45"/>
        <v>0</v>
      </c>
      <c r="Z29" s="79">
        <f t="shared" ca="1" si="40"/>
        <v>0</v>
      </c>
      <c r="AA29" s="78">
        <f t="shared" ca="1" si="46"/>
        <v>0</v>
      </c>
      <c r="AB29" s="79">
        <f t="shared" ca="1" si="41"/>
        <v>0</v>
      </c>
      <c r="AC29" s="74">
        <f ca="1">IFERROR(__xludf.DUMMYFUNCTION("IMPORTRANGE(""https://docs.google.com/spreadsheets/d/1v0b9pFQCsKUVExMei7AgY2yQkdeNQvtOssygGsXbiKo/edit?usp=sharing"",""อุตรดิตถ์!I84"")"),0)</f>
        <v>0</v>
      </c>
      <c r="AD29" s="74">
        <f ca="1">IFERROR(__xludf.DUMMYFUNCTION("IMPORTRANGE(""https://docs.google.com/spreadsheets/d/1v0b9pFQCsKUVExMei7AgY2yQkdeNQvtOssygGsXbiKo/edit?usp=sharing"",""อุตรดิตถ์!I85"")"),0)</f>
        <v>0</v>
      </c>
      <c r="AE29" s="78">
        <f ca="1">IFERROR(__xludf.DUMMYFUNCTION("IMPORTRANGE(""https://docs.google.com/spreadsheets/d/1v0b9pFQCsKUVExMei7AgY2yQkdeNQvtOssygGsXbiKo/edit?usp=sharing"",""อุตรดิตถ์!J84"")"),0)</f>
        <v>0</v>
      </c>
      <c r="AF29" s="78">
        <f ca="1">IFERROR(__xludf.DUMMYFUNCTION("IMPORTRANGE(""https://docs.google.com/spreadsheets/d/1v0b9pFQCsKUVExMei7AgY2yQkdeNQvtOssygGsXbiKo/edit?usp=sharing"",""อุตรดิตถ์!J85"")"),0)</f>
        <v>0</v>
      </c>
      <c r="AG29" s="74">
        <f ca="1">IFERROR(__xludf.DUMMYFUNCTION("IMPORTRANGE(""https://docs.google.com/spreadsheets/d/1v0b9pFQCsKUVExMei7AgY2yQkdeNQvtOssygGsXbiKo/edit?usp=sharing"",""อุตรดิตถ์!I86"")"),0)</f>
        <v>0</v>
      </c>
      <c r="AH29" s="74">
        <f ca="1">IFERROR(__xludf.DUMMYFUNCTION("IMPORTRANGE(""https://docs.google.com/spreadsheets/d/1v0b9pFQCsKUVExMei7AgY2yQkdeNQvtOssygGsXbiKo/edit?usp=sharing"",""อุตรดิตถ์!I87"")"),0)</f>
        <v>0</v>
      </c>
      <c r="AI29" s="78">
        <f ca="1">IFERROR(__xludf.DUMMYFUNCTION("IMPORTRANGE(""https://docs.google.com/spreadsheets/d/1v0b9pFQCsKUVExMei7AgY2yQkdeNQvtOssygGsXbiKo/edit?usp=sharing"",""อุตรดิตถ์!J86"")"),0)</f>
        <v>0</v>
      </c>
      <c r="AJ29" s="78">
        <f ca="1">IFERROR(__xludf.DUMMYFUNCTION("IMPORTRANGE(""https://docs.google.com/spreadsheets/d/1v0b9pFQCsKUVExMei7AgY2yQkdeNQvtOssygGsXbiKo/edit?usp=sharing"",""อุตรดิตถ์!J87"")"),0)</f>
        <v>0</v>
      </c>
      <c r="AK29" s="74">
        <f ca="1">IFERROR(__xludf.DUMMYFUNCTION("IMPORTRANGE(""https://docs.google.com/spreadsheets/d/1v0b9pFQCsKUVExMei7AgY2yQkdeNQvtOssygGsXbiKo/edit?usp=sharing"",""อุตรดิตถ์!I88"")"),0)</f>
        <v>0</v>
      </c>
      <c r="AL29" s="74">
        <f ca="1">IFERROR(__xludf.DUMMYFUNCTION("IMPORTRANGE(""https://docs.google.com/spreadsheets/d/1v0b9pFQCsKUVExMei7AgY2yQkdeNQvtOssygGsXbiKo/edit?usp=sharing"",""อุตรดิตถ์!I89"")"),0)</f>
        <v>0</v>
      </c>
      <c r="AM29" s="78">
        <f ca="1">IFERROR(__xludf.DUMMYFUNCTION("IMPORTRANGE(""https://docs.google.com/spreadsheets/d/1v0b9pFQCsKUVExMei7AgY2yQkdeNQvtOssygGsXbiKo/edit?usp=sharing"",""อุตรดิตถ์!J88"")"),0)</f>
        <v>0</v>
      </c>
      <c r="AN29" s="78">
        <f ca="1">IFERROR(__xludf.DUMMYFUNCTION("IMPORTRANGE(""https://docs.google.com/spreadsheets/d/1v0b9pFQCsKUVExMei7AgY2yQkdeNQvtOssygGsXbiKo/edit?usp=sharing"",""อุตรดิตถ์!J89"")"),0)</f>
        <v>0</v>
      </c>
      <c r="AO29" s="74">
        <f ca="1">IFERROR(__xludf.DUMMYFUNCTION("IMPORTRANGE(""https://docs.google.com/spreadsheets/d/1v0b9pFQCsKUVExMei7AgY2yQkdeNQvtOssygGsXbiKo/edit?usp=sharing"",""อุตรดิตถ์!I90"")"),0)</f>
        <v>0</v>
      </c>
      <c r="AP29" s="78">
        <f ca="1">IFERROR(__xludf.DUMMYFUNCTION("IMPORTRANGE(""https://docs.google.com/spreadsheets/d/1v0b9pFQCsKUVExMei7AgY2yQkdeNQvtOssygGsXbiKo/edit?usp=sharing"",""อุตรดิตถ์!J90"")"),0)</f>
        <v>0</v>
      </c>
      <c r="AQ29" s="76">
        <f t="shared" ca="1" si="43"/>
        <v>0</v>
      </c>
    </row>
    <row r="30" spans="1:43" ht="24" customHeight="1" x14ac:dyDescent="0.3">
      <c r="A30" s="80">
        <v>17</v>
      </c>
      <c r="B30" s="81" t="s">
        <v>58</v>
      </c>
      <c r="C30" s="82">
        <f t="shared" ca="1" si="27"/>
        <v>306000</v>
      </c>
      <c r="D30" s="83">
        <f t="shared" ca="1" si="44"/>
        <v>306000</v>
      </c>
      <c r="E30" s="84">
        <f ca="1">IFERROR(__xludf.DUMMYFUNCTION("IMPORTRANGE(""https://docs.google.com/spreadsheets/d/1-uDff_7J0KD5mKrp0Vvzr7lt3OU09vwQwhkpOPPYv2Y/edit?usp=sharing"",""งบพรบ!AN30"")"),0)</f>
        <v>0</v>
      </c>
      <c r="F30" s="84">
        <f ca="1">IFERROR(__xludf.DUMMYFUNCTION("IMPORTRANGE(""https://docs.google.com/spreadsheets/d/1-uDff_7J0KD5mKrp0Vvzr7lt3OU09vwQwhkpOPPYv2Y/edit?usp=sharing"",""งบพรบ!AO30"")"),306000)</f>
        <v>306000</v>
      </c>
      <c r="G30" s="84">
        <f ca="1">IFERROR(__xludf.DUMMYFUNCTION("IMPORTRANGE(""https://docs.google.com/spreadsheets/d/1-uDff_7J0KD5mKrp0Vvzr7lt3OU09vwQwhkpOPPYv2Y/edit?usp=sharing"",""งบพรบ!AP30"")"),0)</f>
        <v>0</v>
      </c>
      <c r="H30" s="84">
        <f ca="1">IFERROR(__xludf.DUMMYFUNCTION("IMPORTRANGE(""https://docs.google.com/spreadsheets/d/1-uDff_7J0KD5mKrp0Vvzr7lt3OU09vwQwhkpOPPYv2Y/edit?usp=sharing"",""งบพรบ!AR30"")"),306000)</f>
        <v>306000</v>
      </c>
      <c r="I30" s="84">
        <f ca="1">IFERROR(__xludf.DUMMYFUNCTION("IMPORTRANGE(""https://docs.google.com/spreadsheets/d/1-uDff_7J0KD5mKrp0Vvzr7lt3OU09vwQwhkpOPPYv2Y/edit?usp=sharing"",""งบพรบ!AS30"")"),0)</f>
        <v>0</v>
      </c>
      <c r="J30" s="84">
        <f t="shared" ca="1" si="29"/>
        <v>240377</v>
      </c>
      <c r="K30" s="85">
        <f t="shared" ca="1" si="30"/>
        <v>78.554575163398695</v>
      </c>
      <c r="L30" s="84">
        <f ca="1">IFERROR(__xludf.DUMMYFUNCTION("IMPORTRANGE(""https://docs.google.com/spreadsheets/d/1-uDff_7J0KD5mKrp0Vvzr7lt3OU09vwQwhkpOPPYv2Y/edit?usp=sharing"",""งบพรบ!AT30"")"),240377)</f>
        <v>240377</v>
      </c>
      <c r="M30" s="86">
        <f t="shared" ca="1" si="31"/>
        <v>78.554575163398695</v>
      </c>
      <c r="N30" s="86">
        <f t="shared" ca="1" si="32"/>
        <v>78.554575163398695</v>
      </c>
      <c r="O30" s="87">
        <f ca="1">IFERROR(__xludf.DUMMYFUNCTION("IMPORTRANGE(""https://docs.google.com/spreadsheets/d/1-uDff_7J0KD5mKrp0Vvzr7lt3OU09vwQwhkpOPPYv2Y/edit?usp=sharing"",""งบพรบ!AU30"")"),0)</f>
        <v>0</v>
      </c>
      <c r="P30" s="87">
        <f t="shared" ca="1" si="33"/>
        <v>0</v>
      </c>
      <c r="Q30" s="86">
        <f t="shared" ca="1" si="34"/>
        <v>0</v>
      </c>
      <c r="R30" s="88">
        <f ca="1">IFERROR(__xludf.DUMMYFUNCTION("IMPORTRANGE(""https://docs.google.com/spreadsheets/d/1UsNK1e-WWiCo2PvGqdNfdme4m17_Ezd3J69EeeiQPD0/edit?usp=sharing"",""อุทัยธานี!Q72"")"),1340480)</f>
        <v>1340480</v>
      </c>
      <c r="S30" s="88">
        <f ca="1">IFERROR(__xludf.DUMMYFUNCTION("IMPORTRANGE(""https://docs.google.com/spreadsheets/d/1UsNK1e-WWiCo2PvGqdNfdme4m17_Ezd3J69EeeiQPD0/edit?usp=sharing"",""อุทัยธานี!R72"")"),1340480)</f>
        <v>1340480</v>
      </c>
      <c r="T30" s="88">
        <f ca="1">IFERROR(__xludf.DUMMYFUNCTION("IMPORTRANGE(""https://docs.google.com/spreadsheets/d/1UsNK1e-WWiCo2PvGqdNfdme4m17_Ezd3J69EeeiQPD0/edit?usp=sharing"",""อุทัยธานี!S72"")"),782115)</f>
        <v>782115</v>
      </c>
      <c r="U30" s="89">
        <f t="shared" ca="1" si="36"/>
        <v>58.345891024110763</v>
      </c>
      <c r="V30" s="89">
        <f t="shared" ca="1" si="37"/>
        <v>58.345891024110763</v>
      </c>
      <c r="W30" s="90">
        <f t="shared" ca="1" si="38"/>
        <v>2</v>
      </c>
      <c r="X30" s="90">
        <f t="shared" ca="1" si="39"/>
        <v>149</v>
      </c>
      <c r="Y30" s="90">
        <f t="shared" ca="1" si="45"/>
        <v>2</v>
      </c>
      <c r="Z30" s="91">
        <f t="shared" ca="1" si="40"/>
        <v>100</v>
      </c>
      <c r="AA30" s="90">
        <f t="shared" ca="1" si="46"/>
        <v>149</v>
      </c>
      <c r="AB30" s="91">
        <f t="shared" ca="1" si="41"/>
        <v>100</v>
      </c>
      <c r="AC30" s="84">
        <f ca="1">IFERROR(__xludf.DUMMYFUNCTION("IMPORTRANGE(""https://docs.google.com/spreadsheets/d/1UsNK1e-WWiCo2PvGqdNfdme4m17_Ezd3J69EeeiQPD0/edit?usp=sharing"",""อุทัยธานี!I84"")"),1)</f>
        <v>1</v>
      </c>
      <c r="AD30" s="84">
        <f ca="1">IFERROR(__xludf.DUMMYFUNCTION("IMPORTRANGE(""https://docs.google.com/spreadsheets/d/1UsNK1e-WWiCo2PvGqdNfdme4m17_Ezd3J69EeeiQPD0/edit?usp=sharing"",""อุทัยธานี!I85"")"),117)</f>
        <v>117</v>
      </c>
      <c r="AE30" s="90">
        <f ca="1">IFERROR(__xludf.DUMMYFUNCTION("IMPORTRANGE(""https://docs.google.com/spreadsheets/d/1UsNK1e-WWiCo2PvGqdNfdme4m17_Ezd3J69EeeiQPD0/edit?usp=sharing"",""อุทัยธานี!J84"")"),1)</f>
        <v>1</v>
      </c>
      <c r="AF30" s="90">
        <f ca="1">IFERROR(__xludf.DUMMYFUNCTION("IMPORTRANGE(""https://docs.google.com/spreadsheets/d/1UsNK1e-WWiCo2PvGqdNfdme4m17_Ezd3J69EeeiQPD0/edit?usp=sharing"",""อุทัยธานี!J85"")"),117)</f>
        <v>117</v>
      </c>
      <c r="AG30" s="84">
        <f ca="1">IFERROR(__xludf.DUMMYFUNCTION("IMPORTRANGE(""https://docs.google.com/spreadsheets/d/1UsNK1e-WWiCo2PvGqdNfdme4m17_Ezd3J69EeeiQPD0/edit?usp=sharing"",""อุทัยธานี!I86"")"),0)</f>
        <v>0</v>
      </c>
      <c r="AH30" s="84">
        <f ca="1">IFERROR(__xludf.DUMMYFUNCTION("IMPORTRANGE(""https://docs.google.com/spreadsheets/d/1UsNK1e-WWiCo2PvGqdNfdme4m17_Ezd3J69EeeiQPD0/edit?usp=sharing"",""อุทัยธานี!I87"")"),0)</f>
        <v>0</v>
      </c>
      <c r="AI30" s="90">
        <f ca="1">IFERROR(__xludf.DUMMYFUNCTION("IMPORTRANGE(""https://docs.google.com/spreadsheets/d/1UsNK1e-WWiCo2PvGqdNfdme4m17_Ezd3J69EeeiQPD0/edit?usp=sharing"",""อุทัยธานี!J86"")"),0)</f>
        <v>0</v>
      </c>
      <c r="AJ30" s="90">
        <f ca="1">IFERROR(__xludf.DUMMYFUNCTION("IMPORTRANGE(""https://docs.google.com/spreadsheets/d/1UsNK1e-WWiCo2PvGqdNfdme4m17_Ezd3J69EeeiQPD0/edit?usp=sharing"",""อุทัยธานี!J87"")"),0)</f>
        <v>0</v>
      </c>
      <c r="AK30" s="84">
        <f ca="1">IFERROR(__xludf.DUMMYFUNCTION("IMPORTRANGE(""https://docs.google.com/spreadsheets/d/1UsNK1e-WWiCo2PvGqdNfdme4m17_Ezd3J69EeeiQPD0/edit?usp=sharing"",""อุทัยธานี!I88"")"),1)</f>
        <v>1</v>
      </c>
      <c r="AL30" s="84">
        <f ca="1">IFERROR(__xludf.DUMMYFUNCTION("IMPORTRANGE(""https://docs.google.com/spreadsheets/d/1UsNK1e-WWiCo2PvGqdNfdme4m17_Ezd3J69EeeiQPD0/edit?usp=sharing"",""อุทัยธานี!I89"")"),32)</f>
        <v>32</v>
      </c>
      <c r="AM30" s="90">
        <f ca="1">IFERROR(__xludf.DUMMYFUNCTION("IMPORTRANGE(""https://docs.google.com/spreadsheets/d/1UsNK1e-WWiCo2PvGqdNfdme4m17_Ezd3J69EeeiQPD0/edit?usp=sharing"",""อุทัยธานี!J88"")"),1)</f>
        <v>1</v>
      </c>
      <c r="AN30" s="90">
        <f ca="1">IFERROR(__xludf.DUMMYFUNCTION("IMPORTRANGE(""https://docs.google.com/spreadsheets/d/1UsNK1e-WWiCo2PvGqdNfdme4m17_Ezd3J69EeeiQPD0/edit?usp=sharing"",""อุทัยธานี!J89"")"),32)</f>
        <v>32</v>
      </c>
      <c r="AO30" s="84">
        <f ca="1">IFERROR(__xludf.DUMMYFUNCTION("IMPORTRANGE(""https://docs.google.com/spreadsheets/d/1UsNK1e-WWiCo2PvGqdNfdme4m17_Ezd3J69EeeiQPD0/edit?usp=sharing"",""อุทัยธานี!I90"")"),2)</f>
        <v>2</v>
      </c>
      <c r="AP30" s="90">
        <f ca="1">IFERROR(__xludf.DUMMYFUNCTION("IMPORTRANGE(""https://docs.google.com/spreadsheets/d/1UsNK1e-WWiCo2PvGqdNfdme4m17_Ezd3J69EeeiQPD0/edit?usp=sharing"",""อุทัยธานี!J90"")"),2)</f>
        <v>2</v>
      </c>
      <c r="AQ30" s="86">
        <f t="shared" ca="1" si="43"/>
        <v>100</v>
      </c>
    </row>
    <row r="31" spans="1:43" ht="21" customHeight="1" x14ac:dyDescent="0.3">
      <c r="A31" s="665" t="s">
        <v>59</v>
      </c>
      <c r="B31" s="666"/>
      <c r="C31" s="92">
        <f t="shared" ca="1" si="27"/>
        <v>3443400</v>
      </c>
      <c r="D31" s="52">
        <f t="shared" ref="D31:I31" ca="1" si="47">SUM(D32:D51)</f>
        <v>3443400</v>
      </c>
      <c r="E31" s="52">
        <f t="shared" ca="1" si="47"/>
        <v>1131400</v>
      </c>
      <c r="F31" s="52">
        <f t="shared" ca="1" si="47"/>
        <v>2312000</v>
      </c>
      <c r="G31" s="52">
        <f t="shared" ca="1" si="47"/>
        <v>0</v>
      </c>
      <c r="H31" s="52">
        <f t="shared" ca="1" si="47"/>
        <v>3443400</v>
      </c>
      <c r="I31" s="52">
        <f t="shared" ca="1" si="47"/>
        <v>0</v>
      </c>
      <c r="J31" s="52">
        <f t="shared" ca="1" si="29"/>
        <v>2848682.01</v>
      </c>
      <c r="K31" s="53">
        <f t="shared" ca="1" si="30"/>
        <v>82.728756752047389</v>
      </c>
      <c r="L31" s="52">
        <f ca="1">SUM(L32:L51)</f>
        <v>2848682.01</v>
      </c>
      <c r="M31" s="54">
        <f t="shared" ca="1" si="31"/>
        <v>82.728756752047389</v>
      </c>
      <c r="N31" s="54">
        <f t="shared" ca="1" si="32"/>
        <v>82.728756752047389</v>
      </c>
      <c r="O31" s="55">
        <f ca="1">SUM(O32:O51)</f>
        <v>0</v>
      </c>
      <c r="P31" s="55">
        <f t="shared" ca="1" si="33"/>
        <v>0</v>
      </c>
      <c r="Q31" s="54">
        <f t="shared" ca="1" si="34"/>
        <v>0</v>
      </c>
      <c r="R31" s="93">
        <f t="shared" ref="R31:T31" ca="1" si="48">SUM(R32:R51)</f>
        <v>7253860</v>
      </c>
      <c r="S31" s="93">
        <f t="shared" ca="1" si="48"/>
        <v>7255320</v>
      </c>
      <c r="T31" s="93">
        <f t="shared" ca="1" si="48"/>
        <v>3255812</v>
      </c>
      <c r="U31" s="94">
        <f t="shared" ca="1" si="36"/>
        <v>44.883854940679861</v>
      </c>
      <c r="V31" s="94">
        <f t="shared" ca="1" si="37"/>
        <v>44.874822888583829</v>
      </c>
      <c r="W31" s="52">
        <f t="shared" ca="1" si="38"/>
        <v>15</v>
      </c>
      <c r="X31" s="52">
        <f t="shared" ca="1" si="39"/>
        <v>592</v>
      </c>
      <c r="Y31" s="52">
        <f ca="1">SUM(Y32:Y51)</f>
        <v>15</v>
      </c>
      <c r="Z31" s="54">
        <f t="shared" ca="1" si="40"/>
        <v>100</v>
      </c>
      <c r="AA31" s="52">
        <f ca="1">SUM(AA32:AA51)</f>
        <v>592</v>
      </c>
      <c r="AB31" s="54">
        <f t="shared" ca="1" si="41"/>
        <v>100</v>
      </c>
      <c r="AC31" s="52">
        <f t="shared" ref="AC31:AP31" ca="1" si="49">SUM(AC32:AC51)</f>
        <v>6</v>
      </c>
      <c r="AD31" s="52">
        <f t="shared" ca="1" si="49"/>
        <v>201</v>
      </c>
      <c r="AE31" s="52">
        <f t="shared" ca="1" si="49"/>
        <v>6</v>
      </c>
      <c r="AF31" s="52">
        <f t="shared" ca="1" si="49"/>
        <v>201</v>
      </c>
      <c r="AG31" s="52">
        <f t="shared" ca="1" si="49"/>
        <v>3</v>
      </c>
      <c r="AH31" s="52">
        <f t="shared" ca="1" si="49"/>
        <v>117</v>
      </c>
      <c r="AI31" s="52">
        <f t="shared" ca="1" si="49"/>
        <v>3</v>
      </c>
      <c r="AJ31" s="52">
        <f t="shared" ca="1" si="49"/>
        <v>117</v>
      </c>
      <c r="AK31" s="52">
        <f t="shared" ca="1" si="49"/>
        <v>6</v>
      </c>
      <c r="AL31" s="52">
        <f t="shared" ca="1" si="49"/>
        <v>274</v>
      </c>
      <c r="AM31" s="52">
        <f t="shared" ca="1" si="49"/>
        <v>6</v>
      </c>
      <c r="AN31" s="52">
        <f t="shared" ca="1" si="49"/>
        <v>274</v>
      </c>
      <c r="AO31" s="52">
        <f t="shared" ca="1" si="49"/>
        <v>15</v>
      </c>
      <c r="AP31" s="52">
        <f t="shared" ca="1" si="49"/>
        <v>9</v>
      </c>
      <c r="AQ31" s="54">
        <f t="shared" ca="1" si="43"/>
        <v>60</v>
      </c>
    </row>
    <row r="32" spans="1:43" ht="21" customHeight="1" x14ac:dyDescent="0.3">
      <c r="A32" s="58">
        <v>1</v>
      </c>
      <c r="B32" s="59" t="s">
        <v>60</v>
      </c>
      <c r="C32" s="95">
        <f t="shared" ca="1" si="27"/>
        <v>0</v>
      </c>
      <c r="D32" s="61">
        <f t="shared" ref="D32:D51" ca="1" si="50">+E32+F32</f>
        <v>0</v>
      </c>
      <c r="E32" s="62">
        <f ca="1">IFERROR(__xludf.DUMMYFUNCTION("IMPORTRANGE(""https://docs.google.com/spreadsheets/d/1-uDff_7J0KD5mKrp0Vvzr7lt3OU09vwQwhkpOPPYv2Y/edit?usp=sharing"",""งบพรบ!AN32"")"),0)</f>
        <v>0</v>
      </c>
      <c r="F32" s="62">
        <f ca="1">IFERROR(__xludf.DUMMYFUNCTION("IMPORTRANGE(""https://docs.google.com/spreadsheets/d/1-uDff_7J0KD5mKrp0Vvzr7lt3OU09vwQwhkpOPPYv2Y/edit?usp=sharing"",""งบพรบ!AO32"")"),0)</f>
        <v>0</v>
      </c>
      <c r="G32" s="63">
        <f ca="1">IFERROR(__xludf.DUMMYFUNCTION("IMPORTRANGE(""https://docs.google.com/spreadsheets/d/1-uDff_7J0KD5mKrp0Vvzr7lt3OU09vwQwhkpOPPYv2Y/edit?usp=sharing"",""งบพรบ!AP32"")"),0)</f>
        <v>0</v>
      </c>
      <c r="H32" s="63">
        <f ca="1">IFERROR(__xludf.DUMMYFUNCTION("IMPORTRANGE(""https://docs.google.com/spreadsheets/d/1-uDff_7J0KD5mKrp0Vvzr7lt3OU09vwQwhkpOPPYv2Y/edit?usp=sharing"",""งบพรบ!AR32"")"),0)</f>
        <v>0</v>
      </c>
      <c r="I32" s="63">
        <f ca="1">IFERROR(__xludf.DUMMYFUNCTION("IMPORTRANGE(""https://docs.google.com/spreadsheets/d/1-uDff_7J0KD5mKrp0Vvzr7lt3OU09vwQwhkpOPPYv2Y/edit?usp=sharing"",""งบพรบ!AS32"")"),0)</f>
        <v>0</v>
      </c>
      <c r="J32" s="63">
        <f t="shared" ca="1" si="29"/>
        <v>0</v>
      </c>
      <c r="K32" s="64">
        <f t="shared" ca="1" si="30"/>
        <v>0</v>
      </c>
      <c r="L32" s="63">
        <f ca="1">IFERROR(__xludf.DUMMYFUNCTION("IMPORTRANGE(""https://docs.google.com/spreadsheets/d/1-uDff_7J0KD5mKrp0Vvzr7lt3OU09vwQwhkpOPPYv2Y/edit?usp=sharing"",""งบพรบ!AT32"")"),0)</f>
        <v>0</v>
      </c>
      <c r="M32" s="65">
        <f t="shared" ca="1" si="31"/>
        <v>0</v>
      </c>
      <c r="N32" s="65">
        <f t="shared" ca="1" si="32"/>
        <v>0</v>
      </c>
      <c r="O32" s="66">
        <f ca="1">IFERROR(__xludf.DUMMYFUNCTION("IMPORTRANGE(""https://docs.google.com/spreadsheets/d/1-uDff_7J0KD5mKrp0Vvzr7lt3OU09vwQwhkpOPPYv2Y/edit?usp=sharing"",""งบพรบ!AU32"")"),0)</f>
        <v>0</v>
      </c>
      <c r="P32" s="66">
        <f t="shared" ca="1" si="33"/>
        <v>0</v>
      </c>
      <c r="Q32" s="65">
        <f t="shared" ca="1" si="34"/>
        <v>0</v>
      </c>
      <c r="R32" s="67">
        <f ca="1">IFERROR(__xludf.DUMMYFUNCTION("IMPORTRANGE(""https://docs.google.com/spreadsheets/d/1yhBcrRPreicbMKl9Bu_Snb2-OcQAF62RKfhTLhJ2eAA/edit?usp=sharing"",""กาฬสินธุ์!Q72"")"),0)</f>
        <v>0</v>
      </c>
      <c r="S32" s="67">
        <f ca="1">IFERROR(__xludf.DUMMYFUNCTION("IMPORTRANGE(""https://docs.google.com/spreadsheets/d/1yhBcrRPreicbMKl9Bu_Snb2-OcQAF62RKfhTLhJ2eAA/edit?usp=sharing"",""กาฬสินธุ์!R72"")"),0)</f>
        <v>0</v>
      </c>
      <c r="T32" s="67">
        <f ca="1">IFERROR(__xludf.DUMMYFUNCTION("IMPORTRANGE(""https://docs.google.com/spreadsheets/d/1yhBcrRPreicbMKl9Bu_Snb2-OcQAF62RKfhTLhJ2eAA/edit?usp=sharing"",""กาฬสินธุ์!S72"")"),0)</f>
        <v>0</v>
      </c>
      <c r="U32" s="68">
        <f t="shared" ca="1" si="36"/>
        <v>0</v>
      </c>
      <c r="V32" s="68">
        <f t="shared" ca="1" si="37"/>
        <v>0</v>
      </c>
      <c r="W32" s="63">
        <f t="shared" ca="1" si="38"/>
        <v>0</v>
      </c>
      <c r="X32" s="63">
        <f t="shared" ca="1" si="39"/>
        <v>0</v>
      </c>
      <c r="Y32" s="63">
        <f t="shared" ref="Y32:Y51" ca="1" si="51">AE32+AI32+AM32</f>
        <v>0</v>
      </c>
      <c r="Z32" s="69">
        <f t="shared" ca="1" si="40"/>
        <v>0</v>
      </c>
      <c r="AA32" s="63">
        <f t="shared" ref="AA32:AA51" ca="1" si="52">AF32+AJ32+AN32</f>
        <v>0</v>
      </c>
      <c r="AB32" s="69">
        <f t="shared" ca="1" si="41"/>
        <v>0</v>
      </c>
      <c r="AC32" s="62">
        <f ca="1">IFERROR(__xludf.DUMMYFUNCTION("IMPORTRANGE(""https://docs.google.com/spreadsheets/d/1yhBcrRPreicbMKl9Bu_Snb2-OcQAF62RKfhTLhJ2eAA/edit?usp=sharing"",""กาฬสินธุ์!I84"")"),0)</f>
        <v>0</v>
      </c>
      <c r="AD32" s="62">
        <f ca="1">IFERROR(__xludf.DUMMYFUNCTION("IMPORTRANGE(""https://docs.google.com/spreadsheets/d/1yhBcrRPreicbMKl9Bu_Snb2-OcQAF62RKfhTLhJ2eAA/edit?usp=sharing"",""กาฬสินธุ์!I85"")"),0)</f>
        <v>0</v>
      </c>
      <c r="AE32" s="63">
        <f ca="1">IFERROR(__xludf.DUMMYFUNCTION("IMPORTRANGE(""https://docs.google.com/spreadsheets/d/1yhBcrRPreicbMKl9Bu_Snb2-OcQAF62RKfhTLhJ2eAA/edit?usp=sharing"",""กาฬสินธุ์!J84"")"),0)</f>
        <v>0</v>
      </c>
      <c r="AF32" s="63">
        <f ca="1">IFERROR(__xludf.DUMMYFUNCTION("IMPORTRANGE(""https://docs.google.com/spreadsheets/d/1yhBcrRPreicbMKl9Bu_Snb2-OcQAF62RKfhTLhJ2eAA/edit?usp=sharing"",""กาฬสินธุ์!J85"")"),0)</f>
        <v>0</v>
      </c>
      <c r="AG32" s="62">
        <f ca="1">IFERROR(__xludf.DUMMYFUNCTION("IMPORTRANGE(""https://docs.google.com/spreadsheets/d/1yhBcrRPreicbMKl9Bu_Snb2-OcQAF62RKfhTLhJ2eAA/edit?usp=sharing"",""กาฬสินธุ์!I86"")"),0)</f>
        <v>0</v>
      </c>
      <c r="AH32" s="62">
        <f ca="1">IFERROR(__xludf.DUMMYFUNCTION("IMPORTRANGE(""https://docs.google.com/spreadsheets/d/1yhBcrRPreicbMKl9Bu_Snb2-OcQAF62RKfhTLhJ2eAA/edit?usp=sharing"",""กาฬสินธุ์!I87"")"),0)</f>
        <v>0</v>
      </c>
      <c r="AI32" s="63">
        <f ca="1">IFERROR(__xludf.DUMMYFUNCTION("IMPORTRANGE(""https://docs.google.com/spreadsheets/d/1yhBcrRPreicbMKl9Bu_Snb2-OcQAF62RKfhTLhJ2eAA/edit?usp=sharing"",""กาฬสินธุ์!J86"")"),0)</f>
        <v>0</v>
      </c>
      <c r="AJ32" s="63">
        <f ca="1">IFERROR(__xludf.DUMMYFUNCTION("IMPORTRANGE(""https://docs.google.com/spreadsheets/d/1yhBcrRPreicbMKl9Bu_Snb2-OcQAF62RKfhTLhJ2eAA/edit?usp=sharing"",""กาฬสินธุ์!J87"")"),0)</f>
        <v>0</v>
      </c>
      <c r="AK32" s="62">
        <f ca="1">IFERROR(__xludf.DUMMYFUNCTION("IMPORTRANGE(""https://docs.google.com/spreadsheets/d/1yhBcrRPreicbMKl9Bu_Snb2-OcQAF62RKfhTLhJ2eAA/edit?usp=sharing"",""กาฬสินธุ์!I88"")"),0)</f>
        <v>0</v>
      </c>
      <c r="AL32" s="62">
        <f ca="1">IFERROR(__xludf.DUMMYFUNCTION("IMPORTRANGE(""https://docs.google.com/spreadsheets/d/1yhBcrRPreicbMKl9Bu_Snb2-OcQAF62RKfhTLhJ2eAA/edit?usp=sharing"",""กาฬสินธุ์!I89"")"),0)</f>
        <v>0</v>
      </c>
      <c r="AM32" s="63">
        <f ca="1">IFERROR(__xludf.DUMMYFUNCTION("IMPORTRANGE(""https://docs.google.com/spreadsheets/d/1yhBcrRPreicbMKl9Bu_Snb2-OcQAF62RKfhTLhJ2eAA/edit?usp=sharing"",""กาฬสินธุ์!J88"")"),0)</f>
        <v>0</v>
      </c>
      <c r="AN32" s="63">
        <f ca="1">IFERROR(__xludf.DUMMYFUNCTION("IMPORTRANGE(""https://docs.google.com/spreadsheets/d/1yhBcrRPreicbMKl9Bu_Snb2-OcQAF62RKfhTLhJ2eAA/edit?usp=sharing"",""กาฬสินธุ์!J89"")"),0)</f>
        <v>0</v>
      </c>
      <c r="AO32" s="62">
        <f ca="1">IFERROR(__xludf.DUMMYFUNCTION("IMPORTRANGE(""https://docs.google.com/spreadsheets/d/1yhBcrRPreicbMKl9Bu_Snb2-OcQAF62RKfhTLhJ2eAA/edit?usp=sharing"",""กาฬสินธุ์!I90"")"),0)</f>
        <v>0</v>
      </c>
      <c r="AP32" s="63">
        <f ca="1">IFERROR(__xludf.DUMMYFUNCTION("IMPORTRANGE(""https://docs.google.com/spreadsheets/d/1yhBcrRPreicbMKl9Bu_Snb2-OcQAF62RKfhTLhJ2eAA/edit?usp=sharing"",""กาฬสินธุ์!J90"")"),0)</f>
        <v>0</v>
      </c>
      <c r="AQ32" s="65">
        <f t="shared" ca="1" si="43"/>
        <v>0</v>
      </c>
    </row>
    <row r="33" spans="1:43" ht="21" customHeight="1" x14ac:dyDescent="0.3">
      <c r="A33" s="70">
        <v>2</v>
      </c>
      <c r="B33" s="71" t="s">
        <v>61</v>
      </c>
      <c r="C33" s="72">
        <f t="shared" ca="1" si="27"/>
        <v>467100</v>
      </c>
      <c r="D33" s="73">
        <f t="shared" ca="1" si="50"/>
        <v>467100</v>
      </c>
      <c r="E33" s="74">
        <f ca="1">IFERROR(__xludf.DUMMYFUNCTION("IMPORTRANGE(""https://docs.google.com/spreadsheets/d/1-uDff_7J0KD5mKrp0Vvzr7lt3OU09vwQwhkpOPPYv2Y/edit?usp=sharing"",""งบพรบ!AN33"")"),273100)</f>
        <v>273100</v>
      </c>
      <c r="F33" s="74">
        <f ca="1">IFERROR(__xludf.DUMMYFUNCTION("IMPORTRANGE(""https://docs.google.com/spreadsheets/d/1-uDff_7J0KD5mKrp0Vvzr7lt3OU09vwQwhkpOPPYv2Y/edit?usp=sharing"",""งบพรบ!AO33"")"),194000)</f>
        <v>194000</v>
      </c>
      <c r="G33" s="74">
        <f ca="1">IFERROR(__xludf.DUMMYFUNCTION("IMPORTRANGE(""https://docs.google.com/spreadsheets/d/1-uDff_7J0KD5mKrp0Vvzr7lt3OU09vwQwhkpOPPYv2Y/edit?usp=sharing"",""งบพรบ!AP33"")"),0)</f>
        <v>0</v>
      </c>
      <c r="H33" s="74">
        <f ca="1">IFERROR(__xludf.DUMMYFUNCTION("IMPORTRANGE(""https://docs.google.com/spreadsheets/d/1-uDff_7J0KD5mKrp0Vvzr7lt3OU09vwQwhkpOPPYv2Y/edit?usp=sharing"",""งบพรบ!AR33"")"),467100)</f>
        <v>467100</v>
      </c>
      <c r="I33" s="74">
        <f ca="1">IFERROR(__xludf.DUMMYFUNCTION("IMPORTRANGE(""https://docs.google.com/spreadsheets/d/1-uDff_7J0KD5mKrp0Vvzr7lt3OU09vwQwhkpOPPYv2Y/edit?usp=sharing"",""งบพรบ!AS33"")"),0)</f>
        <v>0</v>
      </c>
      <c r="J33" s="74">
        <f t="shared" ca="1" si="29"/>
        <v>439791.95</v>
      </c>
      <c r="K33" s="75">
        <f t="shared" ca="1" si="30"/>
        <v>94.153703703703698</v>
      </c>
      <c r="L33" s="74">
        <f ca="1">IFERROR(__xludf.DUMMYFUNCTION("IMPORTRANGE(""https://docs.google.com/spreadsheets/d/1-uDff_7J0KD5mKrp0Vvzr7lt3OU09vwQwhkpOPPYv2Y/edit?usp=sharing"",""งบพรบ!AT33"")"),439791.95)</f>
        <v>439791.95</v>
      </c>
      <c r="M33" s="76">
        <f t="shared" ca="1" si="31"/>
        <v>94.153703703703698</v>
      </c>
      <c r="N33" s="76">
        <f t="shared" ca="1" si="32"/>
        <v>94.153703703703698</v>
      </c>
      <c r="O33" s="77">
        <f ca="1">IFERROR(__xludf.DUMMYFUNCTION("IMPORTRANGE(""https://docs.google.com/spreadsheets/d/1-uDff_7J0KD5mKrp0Vvzr7lt3OU09vwQwhkpOPPYv2Y/edit?usp=sharing"",""งบพรบ!AU33"")"),0)</f>
        <v>0</v>
      </c>
      <c r="P33" s="77">
        <f t="shared" ca="1" si="33"/>
        <v>0</v>
      </c>
      <c r="Q33" s="76">
        <f t="shared" ca="1" si="34"/>
        <v>0</v>
      </c>
      <c r="R33" s="67">
        <f ca="1">IFERROR(__xludf.DUMMYFUNCTION("IMPORTRANGE(""https://docs.google.com/spreadsheets/d/1aHkj4IaQMThhwWwevcOymEh837vdxeC_PycurhTbGFA/edit?usp=sharing"",""ขอนแก่น!Q72"")"),518360)</f>
        <v>518360</v>
      </c>
      <c r="S33" s="67">
        <f ca="1">IFERROR(__xludf.DUMMYFUNCTION("IMPORTRANGE(""https://docs.google.com/spreadsheets/d/1aHkj4IaQMThhwWwevcOymEh837vdxeC_PycurhTbGFA/edit?usp=sharing"",""ขอนแก่น!R72"")"),518360)</f>
        <v>518360</v>
      </c>
      <c r="T33" s="67">
        <f ca="1">IFERROR(__xludf.DUMMYFUNCTION("IMPORTRANGE(""https://docs.google.com/spreadsheets/d/1aHkj4IaQMThhwWwevcOymEh837vdxeC_PycurhTbGFA/edit?usp=sharing"",""ขอนแก่น!S72"")"),321457.5)</f>
        <v>321457.5</v>
      </c>
      <c r="U33" s="68">
        <f t="shared" ca="1" si="36"/>
        <v>62.014333667721274</v>
      </c>
      <c r="V33" s="68">
        <f t="shared" ca="1" si="37"/>
        <v>62.014333667721274</v>
      </c>
      <c r="W33" s="78">
        <f t="shared" ca="1" si="38"/>
        <v>1</v>
      </c>
      <c r="X33" s="78">
        <f t="shared" ca="1" si="39"/>
        <v>34</v>
      </c>
      <c r="Y33" s="78">
        <f t="shared" ca="1" si="51"/>
        <v>1</v>
      </c>
      <c r="Z33" s="79">
        <f t="shared" ca="1" si="40"/>
        <v>100</v>
      </c>
      <c r="AA33" s="78">
        <f t="shared" ca="1" si="52"/>
        <v>34</v>
      </c>
      <c r="AB33" s="79">
        <f t="shared" ca="1" si="41"/>
        <v>100</v>
      </c>
      <c r="AC33" s="74">
        <f ca="1">IFERROR(__xludf.DUMMYFUNCTION("IMPORTRANGE(""https://docs.google.com/spreadsheets/d/1aHkj4IaQMThhwWwevcOymEh837vdxeC_PycurhTbGFA/edit?usp=sharing"",""ขอนแก่น!I84"")"),0)</f>
        <v>0</v>
      </c>
      <c r="AD33" s="74">
        <f ca="1">IFERROR(__xludf.DUMMYFUNCTION("IMPORTRANGE(""https://docs.google.com/spreadsheets/d/1aHkj4IaQMThhwWwevcOymEh837vdxeC_PycurhTbGFA/edit?usp=sharing"",""ขอนแก่น!I85"")"),0)</f>
        <v>0</v>
      </c>
      <c r="AE33" s="78">
        <f ca="1">IFERROR(__xludf.DUMMYFUNCTION("IMPORTRANGE(""https://docs.google.com/spreadsheets/d/1aHkj4IaQMThhwWwevcOymEh837vdxeC_PycurhTbGFA/edit?usp=sharing"",""ขอนแก่น!J84"")"),0)</f>
        <v>0</v>
      </c>
      <c r="AF33" s="78">
        <f ca="1">IFERROR(__xludf.DUMMYFUNCTION("IMPORTRANGE(""https://docs.google.com/spreadsheets/d/1aHkj4IaQMThhwWwevcOymEh837vdxeC_PycurhTbGFA/edit?usp=sharing"",""ขอนแก่น!J85"")"),0)</f>
        <v>0</v>
      </c>
      <c r="AG33" s="74">
        <f ca="1">IFERROR(__xludf.DUMMYFUNCTION("IMPORTRANGE(""https://docs.google.com/spreadsheets/d/1aHkj4IaQMThhwWwevcOymEh837vdxeC_PycurhTbGFA/edit?usp=sharing"",""ขอนแก่น!I86"")"),0)</f>
        <v>0</v>
      </c>
      <c r="AH33" s="74">
        <f ca="1">IFERROR(__xludf.DUMMYFUNCTION("IMPORTRANGE(""https://docs.google.com/spreadsheets/d/1aHkj4IaQMThhwWwevcOymEh837vdxeC_PycurhTbGFA/edit?usp=sharing"",""ขอนแก่น!I87"")"),0)</f>
        <v>0</v>
      </c>
      <c r="AI33" s="78">
        <f ca="1">IFERROR(__xludf.DUMMYFUNCTION("IMPORTRANGE(""https://docs.google.com/spreadsheets/d/1aHkj4IaQMThhwWwevcOymEh837vdxeC_PycurhTbGFA/edit?usp=sharing"",""ขอนแก่น!J86"")"),0)</f>
        <v>0</v>
      </c>
      <c r="AJ33" s="78">
        <f ca="1">IFERROR(__xludf.DUMMYFUNCTION("IMPORTRANGE(""https://docs.google.com/spreadsheets/d/1aHkj4IaQMThhwWwevcOymEh837vdxeC_PycurhTbGFA/edit?usp=sharing"",""ขอนแก่น!J87"")"),0)</f>
        <v>0</v>
      </c>
      <c r="AK33" s="74">
        <f ca="1">IFERROR(__xludf.DUMMYFUNCTION("IMPORTRANGE(""https://docs.google.com/spreadsheets/d/1aHkj4IaQMThhwWwevcOymEh837vdxeC_PycurhTbGFA/edit?usp=sharing"",""ขอนแก่น!I88"")"),1)</f>
        <v>1</v>
      </c>
      <c r="AL33" s="74">
        <f ca="1">IFERROR(__xludf.DUMMYFUNCTION("IMPORTRANGE(""https://docs.google.com/spreadsheets/d/1aHkj4IaQMThhwWwevcOymEh837vdxeC_PycurhTbGFA/edit?usp=sharing"",""ขอนแก่น!I89"")"),34)</f>
        <v>34</v>
      </c>
      <c r="AM33" s="78">
        <f ca="1">IFERROR(__xludf.DUMMYFUNCTION("IMPORTRANGE(""https://docs.google.com/spreadsheets/d/1aHkj4IaQMThhwWwevcOymEh837vdxeC_PycurhTbGFA/edit?usp=sharing"",""ขอนแก่น!J88"")"),1)</f>
        <v>1</v>
      </c>
      <c r="AN33" s="78">
        <f ca="1">IFERROR(__xludf.DUMMYFUNCTION("IMPORTRANGE(""https://docs.google.com/spreadsheets/d/1aHkj4IaQMThhwWwevcOymEh837vdxeC_PycurhTbGFA/edit?usp=sharing"",""ขอนแก่น!J89"")"),34)</f>
        <v>34</v>
      </c>
      <c r="AO33" s="74">
        <f ca="1">IFERROR(__xludf.DUMMYFUNCTION("IMPORTRANGE(""https://docs.google.com/spreadsheets/d/1aHkj4IaQMThhwWwevcOymEh837vdxeC_PycurhTbGFA/edit?usp=sharing"",""ขอนแก่น!I90"")"),1)</f>
        <v>1</v>
      </c>
      <c r="AP33" s="78">
        <f ca="1">IFERROR(__xludf.DUMMYFUNCTION("IMPORTRANGE(""https://docs.google.com/spreadsheets/d/1aHkj4IaQMThhwWwevcOymEh837vdxeC_PycurhTbGFA/edit?usp=sharing"",""ขอนแก่น!J90"")"),1)</f>
        <v>1</v>
      </c>
      <c r="AQ33" s="76">
        <f t="shared" ca="1" si="43"/>
        <v>100</v>
      </c>
    </row>
    <row r="34" spans="1:43" ht="21" customHeight="1" x14ac:dyDescent="0.3">
      <c r="A34" s="70">
        <v>3</v>
      </c>
      <c r="B34" s="71" t="s">
        <v>62</v>
      </c>
      <c r="C34" s="72">
        <f t="shared" ca="1" si="27"/>
        <v>0</v>
      </c>
      <c r="D34" s="73">
        <f t="shared" ca="1" si="50"/>
        <v>0</v>
      </c>
      <c r="E34" s="74">
        <f ca="1">IFERROR(__xludf.DUMMYFUNCTION("IMPORTRANGE(""https://docs.google.com/spreadsheets/d/1-uDff_7J0KD5mKrp0Vvzr7lt3OU09vwQwhkpOPPYv2Y/edit?usp=sharing"",""งบพรบ!AN34"")"),0)</f>
        <v>0</v>
      </c>
      <c r="F34" s="74">
        <f ca="1">IFERROR(__xludf.DUMMYFUNCTION("IMPORTRANGE(""https://docs.google.com/spreadsheets/d/1-uDff_7J0KD5mKrp0Vvzr7lt3OU09vwQwhkpOPPYv2Y/edit?usp=sharing"",""งบพรบ!AO34"")"),0)</f>
        <v>0</v>
      </c>
      <c r="G34" s="74">
        <f ca="1">IFERROR(__xludf.DUMMYFUNCTION("IMPORTRANGE(""https://docs.google.com/spreadsheets/d/1-uDff_7J0KD5mKrp0Vvzr7lt3OU09vwQwhkpOPPYv2Y/edit?usp=sharing"",""งบพรบ!AP34"")"),0)</f>
        <v>0</v>
      </c>
      <c r="H34" s="74">
        <f ca="1">IFERROR(__xludf.DUMMYFUNCTION("IMPORTRANGE(""https://docs.google.com/spreadsheets/d/1-uDff_7J0KD5mKrp0Vvzr7lt3OU09vwQwhkpOPPYv2Y/edit?usp=sharing"",""งบพรบ!AR34"")"),0)</f>
        <v>0</v>
      </c>
      <c r="I34" s="74">
        <f ca="1">IFERROR(__xludf.DUMMYFUNCTION("IMPORTRANGE(""https://docs.google.com/spreadsheets/d/1-uDff_7J0KD5mKrp0Vvzr7lt3OU09vwQwhkpOPPYv2Y/edit?usp=sharing"",""งบพรบ!AS34"")"),0)</f>
        <v>0</v>
      </c>
      <c r="J34" s="74">
        <f t="shared" ca="1" si="29"/>
        <v>0</v>
      </c>
      <c r="K34" s="75">
        <f t="shared" ca="1" si="30"/>
        <v>0</v>
      </c>
      <c r="L34" s="74">
        <f ca="1">IFERROR(__xludf.DUMMYFUNCTION("IMPORTRANGE(""https://docs.google.com/spreadsheets/d/1-uDff_7J0KD5mKrp0Vvzr7lt3OU09vwQwhkpOPPYv2Y/edit?usp=sharing"",""งบพรบ!AT34"")"),0)</f>
        <v>0</v>
      </c>
      <c r="M34" s="76">
        <f t="shared" ca="1" si="31"/>
        <v>0</v>
      </c>
      <c r="N34" s="76">
        <f t="shared" ca="1" si="32"/>
        <v>0</v>
      </c>
      <c r="O34" s="77">
        <f ca="1">IFERROR(__xludf.DUMMYFUNCTION("IMPORTRANGE(""https://docs.google.com/spreadsheets/d/1-uDff_7J0KD5mKrp0Vvzr7lt3OU09vwQwhkpOPPYv2Y/edit?usp=sharing"",""งบพรบ!AU34"")"),0)</f>
        <v>0</v>
      </c>
      <c r="P34" s="77">
        <f t="shared" ca="1" si="33"/>
        <v>0</v>
      </c>
      <c r="Q34" s="76">
        <f t="shared" ca="1" si="34"/>
        <v>0</v>
      </c>
      <c r="R34" s="67">
        <f ca="1">IFERROR(__xludf.DUMMYFUNCTION("IMPORTRANGE(""https://docs.google.com/spreadsheets/d/1FvTu2DsIWUjP6WCWra38Bkj_oOl_sOMf14r5Fg5srxU/edit?usp=sharing"",""ชัยภูมิ!Q72"")"),0)</f>
        <v>0</v>
      </c>
      <c r="S34" s="67">
        <f ca="1">IFERROR(__xludf.DUMMYFUNCTION("IMPORTRANGE(""https://docs.google.com/spreadsheets/d/1FvTu2DsIWUjP6WCWra38Bkj_oOl_sOMf14r5Fg5srxU/edit?usp=sharing"",""ชัยภูมิ!R72"")"),0)</f>
        <v>0</v>
      </c>
      <c r="T34" s="67">
        <f ca="1">IFERROR(__xludf.DUMMYFUNCTION("IMPORTRANGE(""https://docs.google.com/spreadsheets/d/1FvTu2DsIWUjP6WCWra38Bkj_oOl_sOMf14r5Fg5srxU/edit?usp=sharing"",""ชัยภูมิ!S72"")"),0)</f>
        <v>0</v>
      </c>
      <c r="U34" s="68">
        <f t="shared" ca="1" si="36"/>
        <v>0</v>
      </c>
      <c r="V34" s="68">
        <f t="shared" ca="1" si="37"/>
        <v>0</v>
      </c>
      <c r="W34" s="78">
        <f t="shared" ca="1" si="38"/>
        <v>0</v>
      </c>
      <c r="X34" s="78">
        <f t="shared" ca="1" si="39"/>
        <v>0</v>
      </c>
      <c r="Y34" s="78">
        <f t="shared" ca="1" si="51"/>
        <v>0</v>
      </c>
      <c r="Z34" s="79">
        <f t="shared" ca="1" si="40"/>
        <v>0</v>
      </c>
      <c r="AA34" s="78">
        <f t="shared" ca="1" si="52"/>
        <v>0</v>
      </c>
      <c r="AB34" s="79">
        <f t="shared" ca="1" si="41"/>
        <v>0</v>
      </c>
      <c r="AC34" s="74">
        <f ca="1">IFERROR(__xludf.DUMMYFUNCTION("IMPORTRANGE(""https://docs.google.com/spreadsheets/d/1FvTu2DsIWUjP6WCWra38Bkj_oOl_sOMf14r5Fg5srxU/edit?usp=sharing"",""ชัยภูมิ!I84"")"),0)</f>
        <v>0</v>
      </c>
      <c r="AD34" s="74">
        <f ca="1">IFERROR(__xludf.DUMMYFUNCTION("IMPORTRANGE(""https://docs.google.com/spreadsheets/d/1FvTu2DsIWUjP6WCWra38Bkj_oOl_sOMf14r5Fg5srxU/edit?usp=sharing"",""ชัยภูมิ!I85"")"),0)</f>
        <v>0</v>
      </c>
      <c r="AE34" s="78">
        <f ca="1">IFERROR(__xludf.DUMMYFUNCTION("IMPORTRANGE(""https://docs.google.com/spreadsheets/d/1FvTu2DsIWUjP6WCWra38Bkj_oOl_sOMf14r5Fg5srxU/edit?usp=sharing"",""ชัยภูมิ!J84"")"),0)</f>
        <v>0</v>
      </c>
      <c r="AF34" s="78">
        <f ca="1">IFERROR(__xludf.DUMMYFUNCTION("IMPORTRANGE(""https://docs.google.com/spreadsheets/d/1FvTu2DsIWUjP6WCWra38Bkj_oOl_sOMf14r5Fg5srxU/edit?usp=sharing"",""ชัยภูมิ!J85"")"),0)</f>
        <v>0</v>
      </c>
      <c r="AG34" s="74">
        <f ca="1">IFERROR(__xludf.DUMMYFUNCTION("IMPORTRANGE(""https://docs.google.com/spreadsheets/d/1FvTu2DsIWUjP6WCWra38Bkj_oOl_sOMf14r5Fg5srxU/edit?usp=sharing"",""ชัยภูมิ!I86"")"),0)</f>
        <v>0</v>
      </c>
      <c r="AH34" s="74">
        <f ca="1">IFERROR(__xludf.DUMMYFUNCTION("IMPORTRANGE(""https://docs.google.com/spreadsheets/d/1FvTu2DsIWUjP6WCWra38Bkj_oOl_sOMf14r5Fg5srxU/edit?usp=sharing"",""ชัยภูมิ!I87"")"),0)</f>
        <v>0</v>
      </c>
      <c r="AI34" s="78">
        <f ca="1">IFERROR(__xludf.DUMMYFUNCTION("IMPORTRANGE(""https://docs.google.com/spreadsheets/d/1FvTu2DsIWUjP6WCWra38Bkj_oOl_sOMf14r5Fg5srxU/edit?usp=sharing"",""ชัยภูมิ!J86"")"),0)</f>
        <v>0</v>
      </c>
      <c r="AJ34" s="78">
        <f ca="1">IFERROR(__xludf.DUMMYFUNCTION("IMPORTRANGE(""https://docs.google.com/spreadsheets/d/1FvTu2DsIWUjP6WCWra38Bkj_oOl_sOMf14r5Fg5srxU/edit?usp=sharing"",""ชัยภูมิ!J87"")"),0)</f>
        <v>0</v>
      </c>
      <c r="AK34" s="74">
        <f ca="1">IFERROR(__xludf.DUMMYFUNCTION("IMPORTRANGE(""https://docs.google.com/spreadsheets/d/1FvTu2DsIWUjP6WCWra38Bkj_oOl_sOMf14r5Fg5srxU/edit?usp=sharing"",""ชัยภูมิ!I88"")"),0)</f>
        <v>0</v>
      </c>
      <c r="AL34" s="74">
        <f ca="1">IFERROR(__xludf.DUMMYFUNCTION("IMPORTRANGE(""https://docs.google.com/spreadsheets/d/1FvTu2DsIWUjP6WCWra38Bkj_oOl_sOMf14r5Fg5srxU/edit?usp=sharing"",""ชัยภูมิ!I89"")"),0)</f>
        <v>0</v>
      </c>
      <c r="AM34" s="78">
        <f ca="1">IFERROR(__xludf.DUMMYFUNCTION("IMPORTRANGE(""https://docs.google.com/spreadsheets/d/1FvTu2DsIWUjP6WCWra38Bkj_oOl_sOMf14r5Fg5srxU/edit?usp=sharing"",""ชัยภูมิ!J88"")"),0)</f>
        <v>0</v>
      </c>
      <c r="AN34" s="78">
        <f ca="1">IFERROR(__xludf.DUMMYFUNCTION("IMPORTRANGE(""https://docs.google.com/spreadsheets/d/1FvTu2DsIWUjP6WCWra38Bkj_oOl_sOMf14r5Fg5srxU/edit?usp=sharing"",""ชัยภูมิ!J89"")"),0)</f>
        <v>0</v>
      </c>
      <c r="AO34" s="74">
        <f ca="1">IFERROR(__xludf.DUMMYFUNCTION("IMPORTRANGE(""https://docs.google.com/spreadsheets/d/1FvTu2DsIWUjP6WCWra38Bkj_oOl_sOMf14r5Fg5srxU/edit?usp=sharing"",""ชัยภูมิ!I90"")"),0)</f>
        <v>0</v>
      </c>
      <c r="AP34" s="78">
        <f ca="1">IFERROR(__xludf.DUMMYFUNCTION("IMPORTRANGE(""https://docs.google.com/spreadsheets/d/1FvTu2DsIWUjP6WCWra38Bkj_oOl_sOMf14r5Fg5srxU/edit?usp=sharing"",""ชัยภูมิ!J90"")"),0)</f>
        <v>0</v>
      </c>
      <c r="AQ34" s="76">
        <f t="shared" ca="1" si="43"/>
        <v>0</v>
      </c>
    </row>
    <row r="35" spans="1:43" ht="21" customHeight="1" x14ac:dyDescent="0.3">
      <c r="A35" s="70">
        <v>4</v>
      </c>
      <c r="B35" s="71" t="s">
        <v>63</v>
      </c>
      <c r="C35" s="72">
        <f t="shared" ca="1" si="27"/>
        <v>0</v>
      </c>
      <c r="D35" s="73">
        <f t="shared" ca="1" si="50"/>
        <v>0</v>
      </c>
      <c r="E35" s="74">
        <f ca="1">IFERROR(__xludf.DUMMYFUNCTION("IMPORTRANGE(""https://docs.google.com/spreadsheets/d/1-uDff_7J0KD5mKrp0Vvzr7lt3OU09vwQwhkpOPPYv2Y/edit?usp=sharing"",""งบพรบ!AN35"")"),0)</f>
        <v>0</v>
      </c>
      <c r="F35" s="74">
        <f ca="1">IFERROR(__xludf.DUMMYFUNCTION("IMPORTRANGE(""https://docs.google.com/spreadsheets/d/1-uDff_7J0KD5mKrp0Vvzr7lt3OU09vwQwhkpOPPYv2Y/edit?usp=sharing"",""งบพรบ!AO35"")"),0)</f>
        <v>0</v>
      </c>
      <c r="G35" s="74">
        <f ca="1">IFERROR(__xludf.DUMMYFUNCTION("IMPORTRANGE(""https://docs.google.com/spreadsheets/d/1-uDff_7J0KD5mKrp0Vvzr7lt3OU09vwQwhkpOPPYv2Y/edit?usp=sharing"",""งบพรบ!AP35"")"),0)</f>
        <v>0</v>
      </c>
      <c r="H35" s="74">
        <f ca="1">IFERROR(__xludf.DUMMYFUNCTION("IMPORTRANGE(""https://docs.google.com/spreadsheets/d/1-uDff_7J0KD5mKrp0Vvzr7lt3OU09vwQwhkpOPPYv2Y/edit?usp=sharing"",""งบพรบ!AR35"")"),0)</f>
        <v>0</v>
      </c>
      <c r="I35" s="74">
        <f ca="1">IFERROR(__xludf.DUMMYFUNCTION("IMPORTRANGE(""https://docs.google.com/spreadsheets/d/1-uDff_7J0KD5mKrp0Vvzr7lt3OU09vwQwhkpOPPYv2Y/edit?usp=sharing"",""งบพรบ!AS35"")"),0)</f>
        <v>0</v>
      </c>
      <c r="J35" s="74">
        <f t="shared" ca="1" si="29"/>
        <v>0</v>
      </c>
      <c r="K35" s="75">
        <f t="shared" ca="1" si="30"/>
        <v>0</v>
      </c>
      <c r="L35" s="74">
        <f ca="1">IFERROR(__xludf.DUMMYFUNCTION("IMPORTRANGE(""https://docs.google.com/spreadsheets/d/1-uDff_7J0KD5mKrp0Vvzr7lt3OU09vwQwhkpOPPYv2Y/edit?usp=sharing"",""งบพรบ!AT35"")"),0)</f>
        <v>0</v>
      </c>
      <c r="M35" s="76">
        <f t="shared" ca="1" si="31"/>
        <v>0</v>
      </c>
      <c r="N35" s="76">
        <f t="shared" ca="1" si="32"/>
        <v>0</v>
      </c>
      <c r="O35" s="77">
        <f ca="1">IFERROR(__xludf.DUMMYFUNCTION("IMPORTRANGE(""https://docs.google.com/spreadsheets/d/1-uDff_7J0KD5mKrp0Vvzr7lt3OU09vwQwhkpOPPYv2Y/edit?usp=sharing"",""งบพรบ!AU35"")"),0)</f>
        <v>0</v>
      </c>
      <c r="P35" s="77">
        <f t="shared" ca="1" si="33"/>
        <v>0</v>
      </c>
      <c r="Q35" s="76">
        <f t="shared" ca="1" si="34"/>
        <v>0</v>
      </c>
      <c r="R35" s="67">
        <f ca="1">IFERROR(__xludf.DUMMYFUNCTION("IMPORTRANGE(""https://docs.google.com/spreadsheets/d/1XVB7oCJ3pr-vBUdflwPQ8Z2LlzhnCvZaaYjAfP-647E/edit?usp=sharing"",""นครพนม!Q72"")"),0)</f>
        <v>0</v>
      </c>
      <c r="S35" s="67">
        <f ca="1">IFERROR(__xludf.DUMMYFUNCTION("IMPORTRANGE(""https://docs.google.com/spreadsheets/d/1XVB7oCJ3pr-vBUdflwPQ8Z2LlzhnCvZaaYjAfP-647E/edit?usp=sharing"",""นครพนม!R72"")"),0)</f>
        <v>0</v>
      </c>
      <c r="T35" s="67">
        <f ca="1">IFERROR(__xludf.DUMMYFUNCTION("IMPORTRANGE(""https://docs.google.com/spreadsheets/d/1XVB7oCJ3pr-vBUdflwPQ8Z2LlzhnCvZaaYjAfP-647E/edit?usp=sharing"",""นครพนม!S72"")"),0)</f>
        <v>0</v>
      </c>
      <c r="U35" s="68">
        <f t="shared" ca="1" si="36"/>
        <v>0</v>
      </c>
      <c r="V35" s="68">
        <f t="shared" ca="1" si="37"/>
        <v>0</v>
      </c>
      <c r="W35" s="78">
        <f t="shared" ca="1" si="38"/>
        <v>0</v>
      </c>
      <c r="X35" s="78">
        <f t="shared" ca="1" si="39"/>
        <v>0</v>
      </c>
      <c r="Y35" s="78">
        <f t="shared" ca="1" si="51"/>
        <v>0</v>
      </c>
      <c r="Z35" s="79">
        <f t="shared" ca="1" si="40"/>
        <v>0</v>
      </c>
      <c r="AA35" s="78">
        <f t="shared" ca="1" si="52"/>
        <v>0</v>
      </c>
      <c r="AB35" s="79">
        <f t="shared" ca="1" si="41"/>
        <v>0</v>
      </c>
      <c r="AC35" s="74">
        <f ca="1">IFERROR(__xludf.DUMMYFUNCTION("IMPORTRANGE(""https://docs.google.com/spreadsheets/d/1XVB7oCJ3pr-vBUdflwPQ8Z2LlzhnCvZaaYjAfP-647E/edit?usp=sharing"",""นครพนม!I84"")"),0)</f>
        <v>0</v>
      </c>
      <c r="AD35" s="74">
        <f ca="1">IFERROR(__xludf.DUMMYFUNCTION("IMPORTRANGE(""https://docs.google.com/spreadsheets/d/1XVB7oCJ3pr-vBUdflwPQ8Z2LlzhnCvZaaYjAfP-647E/edit?usp=sharing"",""นครพนม!I85"")"),0)</f>
        <v>0</v>
      </c>
      <c r="AE35" s="78">
        <f ca="1">IFERROR(__xludf.DUMMYFUNCTION("IMPORTRANGE(""https://docs.google.com/spreadsheets/d/1XVB7oCJ3pr-vBUdflwPQ8Z2LlzhnCvZaaYjAfP-647E/edit?usp=sharing"",""นครพนม!J84"")"),0)</f>
        <v>0</v>
      </c>
      <c r="AF35" s="78">
        <f ca="1">IFERROR(__xludf.DUMMYFUNCTION("IMPORTRANGE(""https://docs.google.com/spreadsheets/d/1XVB7oCJ3pr-vBUdflwPQ8Z2LlzhnCvZaaYjAfP-647E/edit?usp=sharing"",""นครพนม!J85"")"),0)</f>
        <v>0</v>
      </c>
      <c r="AG35" s="74">
        <f ca="1">IFERROR(__xludf.DUMMYFUNCTION("IMPORTRANGE(""https://docs.google.com/spreadsheets/d/1XVB7oCJ3pr-vBUdflwPQ8Z2LlzhnCvZaaYjAfP-647E/edit?usp=sharing"",""นครพนม!I86"")"),0)</f>
        <v>0</v>
      </c>
      <c r="AH35" s="74">
        <f ca="1">IFERROR(__xludf.DUMMYFUNCTION("IMPORTRANGE(""https://docs.google.com/spreadsheets/d/1XVB7oCJ3pr-vBUdflwPQ8Z2LlzhnCvZaaYjAfP-647E/edit?usp=sharing"",""นครพนม!I87"")"),0)</f>
        <v>0</v>
      </c>
      <c r="AI35" s="78">
        <f ca="1">IFERROR(__xludf.DUMMYFUNCTION("IMPORTRANGE(""https://docs.google.com/spreadsheets/d/1XVB7oCJ3pr-vBUdflwPQ8Z2LlzhnCvZaaYjAfP-647E/edit?usp=sharing"",""นครพนม!J86"")"),0)</f>
        <v>0</v>
      </c>
      <c r="AJ35" s="78">
        <f ca="1">IFERROR(__xludf.DUMMYFUNCTION("IMPORTRANGE(""https://docs.google.com/spreadsheets/d/1XVB7oCJ3pr-vBUdflwPQ8Z2LlzhnCvZaaYjAfP-647E/edit?usp=sharing"",""นครพนม!J87"")"),0)</f>
        <v>0</v>
      </c>
      <c r="AK35" s="74">
        <f ca="1">IFERROR(__xludf.DUMMYFUNCTION("IMPORTRANGE(""https://docs.google.com/spreadsheets/d/1XVB7oCJ3pr-vBUdflwPQ8Z2LlzhnCvZaaYjAfP-647E/edit?usp=sharing"",""นครพนม!I88"")"),0)</f>
        <v>0</v>
      </c>
      <c r="AL35" s="74">
        <f ca="1">IFERROR(__xludf.DUMMYFUNCTION("IMPORTRANGE(""https://docs.google.com/spreadsheets/d/1XVB7oCJ3pr-vBUdflwPQ8Z2LlzhnCvZaaYjAfP-647E/edit?usp=sharing"",""นครพนม!I89"")"),0)</f>
        <v>0</v>
      </c>
      <c r="AM35" s="78">
        <f ca="1">IFERROR(__xludf.DUMMYFUNCTION("IMPORTRANGE(""https://docs.google.com/spreadsheets/d/1XVB7oCJ3pr-vBUdflwPQ8Z2LlzhnCvZaaYjAfP-647E/edit?usp=sharing"",""นครพนม!J88"")"),0)</f>
        <v>0</v>
      </c>
      <c r="AN35" s="78">
        <f ca="1">IFERROR(__xludf.DUMMYFUNCTION("IMPORTRANGE(""https://docs.google.com/spreadsheets/d/1XVB7oCJ3pr-vBUdflwPQ8Z2LlzhnCvZaaYjAfP-647E/edit?usp=sharing"",""นครพนม!J89"")"),0)</f>
        <v>0</v>
      </c>
      <c r="AO35" s="74">
        <f ca="1">IFERROR(__xludf.DUMMYFUNCTION("IMPORTRANGE(""https://docs.google.com/spreadsheets/d/1XVB7oCJ3pr-vBUdflwPQ8Z2LlzhnCvZaaYjAfP-647E/edit?usp=sharing"",""นครพนม!I90"")"),0)</f>
        <v>0</v>
      </c>
      <c r="AP35" s="78">
        <f ca="1">IFERROR(__xludf.DUMMYFUNCTION("IMPORTRANGE(""https://docs.google.com/spreadsheets/d/1XVB7oCJ3pr-vBUdflwPQ8Z2LlzhnCvZaaYjAfP-647E/edit?usp=sharing"",""นครพนม!J90"")"),0)</f>
        <v>0</v>
      </c>
      <c r="AQ35" s="76">
        <f t="shared" ca="1" si="43"/>
        <v>0</v>
      </c>
    </row>
    <row r="36" spans="1:43" ht="21" customHeight="1" x14ac:dyDescent="0.3">
      <c r="A36" s="70">
        <v>5</v>
      </c>
      <c r="B36" s="71" t="s">
        <v>64</v>
      </c>
      <c r="C36" s="72">
        <f t="shared" ca="1" si="27"/>
        <v>142000</v>
      </c>
      <c r="D36" s="73">
        <f t="shared" ca="1" si="50"/>
        <v>142000</v>
      </c>
      <c r="E36" s="74">
        <f ca="1">IFERROR(__xludf.DUMMYFUNCTION("IMPORTRANGE(""https://docs.google.com/spreadsheets/d/1-uDff_7J0KD5mKrp0Vvzr7lt3OU09vwQwhkpOPPYv2Y/edit?usp=sharing"",""งบพรบ!AN36"")"),0)</f>
        <v>0</v>
      </c>
      <c r="F36" s="74">
        <f ca="1">IFERROR(__xludf.DUMMYFUNCTION("IMPORTRANGE(""https://docs.google.com/spreadsheets/d/1-uDff_7J0KD5mKrp0Vvzr7lt3OU09vwQwhkpOPPYv2Y/edit?usp=sharing"",""งบพรบ!AO36"")"),142000)</f>
        <v>142000</v>
      </c>
      <c r="G36" s="74">
        <f ca="1">IFERROR(__xludf.DUMMYFUNCTION("IMPORTRANGE(""https://docs.google.com/spreadsheets/d/1-uDff_7J0KD5mKrp0Vvzr7lt3OU09vwQwhkpOPPYv2Y/edit?usp=sharing"",""งบพรบ!AP36"")"),0)</f>
        <v>0</v>
      </c>
      <c r="H36" s="74">
        <f ca="1">IFERROR(__xludf.DUMMYFUNCTION("IMPORTRANGE(""https://docs.google.com/spreadsheets/d/1-uDff_7J0KD5mKrp0Vvzr7lt3OU09vwQwhkpOPPYv2Y/edit?usp=sharing"",""งบพรบ!AR36"")"),142000)</f>
        <v>142000</v>
      </c>
      <c r="I36" s="74">
        <f ca="1">IFERROR(__xludf.DUMMYFUNCTION("IMPORTRANGE(""https://docs.google.com/spreadsheets/d/1-uDff_7J0KD5mKrp0Vvzr7lt3OU09vwQwhkpOPPYv2Y/edit?usp=sharing"",""งบพรบ!AS36"")"),0)</f>
        <v>0</v>
      </c>
      <c r="J36" s="74">
        <f t="shared" ca="1" si="29"/>
        <v>68049.009999999995</v>
      </c>
      <c r="K36" s="75">
        <f t="shared" ca="1" si="30"/>
        <v>47.921838028169006</v>
      </c>
      <c r="L36" s="74">
        <f ca="1">IFERROR(__xludf.DUMMYFUNCTION("IMPORTRANGE(""https://docs.google.com/spreadsheets/d/1-uDff_7J0KD5mKrp0Vvzr7lt3OU09vwQwhkpOPPYv2Y/edit?usp=sharing"",""งบพรบ!AT36"")"),68049.01)</f>
        <v>68049.009999999995</v>
      </c>
      <c r="M36" s="76">
        <f t="shared" ca="1" si="31"/>
        <v>47.921838028169006</v>
      </c>
      <c r="N36" s="76">
        <f t="shared" ca="1" si="32"/>
        <v>47.921838028169006</v>
      </c>
      <c r="O36" s="77">
        <f ca="1">IFERROR(__xludf.DUMMYFUNCTION("IMPORTRANGE(""https://docs.google.com/spreadsheets/d/1-uDff_7J0KD5mKrp0Vvzr7lt3OU09vwQwhkpOPPYv2Y/edit?usp=sharing"",""งบพรบ!AU36"")"),0)</f>
        <v>0</v>
      </c>
      <c r="P36" s="77">
        <f t="shared" ca="1" si="33"/>
        <v>0</v>
      </c>
      <c r="Q36" s="76">
        <f t="shared" ca="1" si="34"/>
        <v>0</v>
      </c>
      <c r="R36" s="67">
        <f ca="1">IFERROR(__xludf.DUMMYFUNCTION("IMPORTRANGE(""https://docs.google.com/spreadsheets/d/1Mnpb-8PYAgn85W6KOTD40hc_Xc55CaLfHoGAbrZ8tls/edit?usp=sharing"",""นครราชสีมา!Q72"")"),410120)</f>
        <v>410120</v>
      </c>
      <c r="S36" s="67">
        <f ca="1">IFERROR(__xludf.DUMMYFUNCTION("IMPORTRANGE(""https://docs.google.com/spreadsheets/d/1Mnpb-8PYAgn85W6KOTD40hc_Xc55CaLfHoGAbrZ8tls/edit?usp=sharing"",""นครราชสีมา!R72"")"),410120)</f>
        <v>410120</v>
      </c>
      <c r="T36" s="67">
        <f ca="1">IFERROR(__xludf.DUMMYFUNCTION("IMPORTRANGE(""https://docs.google.com/spreadsheets/d/1Mnpb-8PYAgn85W6KOTD40hc_Xc55CaLfHoGAbrZ8tls/edit?usp=sharing"",""นครราชสีมา!S72"")"),137638)</f>
        <v>137638</v>
      </c>
      <c r="U36" s="68">
        <f t="shared" ca="1" si="36"/>
        <v>33.56042134009558</v>
      </c>
      <c r="V36" s="68">
        <f t="shared" ca="1" si="37"/>
        <v>33.56042134009558</v>
      </c>
      <c r="W36" s="78">
        <f t="shared" ca="1" si="38"/>
        <v>1</v>
      </c>
      <c r="X36" s="78">
        <f t="shared" ca="1" si="39"/>
        <v>31</v>
      </c>
      <c r="Y36" s="78">
        <f t="shared" ca="1" si="51"/>
        <v>1</v>
      </c>
      <c r="Z36" s="79">
        <f t="shared" ca="1" si="40"/>
        <v>100</v>
      </c>
      <c r="AA36" s="78">
        <f t="shared" ca="1" si="52"/>
        <v>31</v>
      </c>
      <c r="AB36" s="79">
        <f t="shared" ca="1" si="41"/>
        <v>100</v>
      </c>
      <c r="AC36" s="74">
        <f ca="1">IFERROR(__xludf.DUMMYFUNCTION("IMPORTRANGE(""https://docs.google.com/spreadsheets/d/1Mnpb-8PYAgn85W6KOTD40hc_Xc55CaLfHoGAbrZ8tls/edit?usp=sharing"",""นครราชสีมา!I84"")"),1)</f>
        <v>1</v>
      </c>
      <c r="AD36" s="74">
        <f ca="1">IFERROR(__xludf.DUMMYFUNCTION("IMPORTRANGE(""https://docs.google.com/spreadsheets/d/1Mnpb-8PYAgn85W6KOTD40hc_Xc55CaLfHoGAbrZ8tls/edit?usp=sharing"",""นครราชสีมา!I85"")"),31)</f>
        <v>31</v>
      </c>
      <c r="AE36" s="78">
        <f ca="1">IFERROR(__xludf.DUMMYFUNCTION("IMPORTRANGE(""https://docs.google.com/spreadsheets/d/1Mnpb-8PYAgn85W6KOTD40hc_Xc55CaLfHoGAbrZ8tls/edit?usp=sharing"",""นครราชสีมา!J84"")"),1)</f>
        <v>1</v>
      </c>
      <c r="AF36" s="78">
        <f ca="1">IFERROR(__xludf.DUMMYFUNCTION("IMPORTRANGE(""https://docs.google.com/spreadsheets/d/1Mnpb-8PYAgn85W6KOTD40hc_Xc55CaLfHoGAbrZ8tls/edit?usp=sharing"",""นครราชสีมา!J85"")"),31)</f>
        <v>31</v>
      </c>
      <c r="AG36" s="74">
        <f ca="1">IFERROR(__xludf.DUMMYFUNCTION("IMPORTRANGE(""https://docs.google.com/spreadsheets/d/1Mnpb-8PYAgn85W6KOTD40hc_Xc55CaLfHoGAbrZ8tls/edit?usp=sharing"",""นครราชสีมา!I86"")"),0)</f>
        <v>0</v>
      </c>
      <c r="AH36" s="74">
        <f ca="1">IFERROR(__xludf.DUMMYFUNCTION("IMPORTRANGE(""https://docs.google.com/spreadsheets/d/1Mnpb-8PYAgn85W6KOTD40hc_Xc55CaLfHoGAbrZ8tls/edit?usp=sharing"",""นครราชสีมา!I87"")"),0)</f>
        <v>0</v>
      </c>
      <c r="AI36" s="78">
        <f ca="1">IFERROR(__xludf.DUMMYFUNCTION("IMPORTRANGE(""https://docs.google.com/spreadsheets/d/1Mnpb-8PYAgn85W6KOTD40hc_Xc55CaLfHoGAbrZ8tls/edit?usp=sharing"",""นครราชสีมา!J86"")"),0)</f>
        <v>0</v>
      </c>
      <c r="AJ36" s="78">
        <f ca="1">IFERROR(__xludf.DUMMYFUNCTION("IMPORTRANGE(""https://docs.google.com/spreadsheets/d/1Mnpb-8PYAgn85W6KOTD40hc_Xc55CaLfHoGAbrZ8tls/edit?usp=sharing"",""นครราชสีมา!J87"")"),0)</f>
        <v>0</v>
      </c>
      <c r="AK36" s="74">
        <f ca="1">IFERROR(__xludf.DUMMYFUNCTION("IMPORTRANGE(""https://docs.google.com/spreadsheets/d/1Mnpb-8PYAgn85W6KOTD40hc_Xc55CaLfHoGAbrZ8tls/edit?usp=sharing"",""นครราชสีมา!I88"")"),0)</f>
        <v>0</v>
      </c>
      <c r="AL36" s="74">
        <f ca="1">IFERROR(__xludf.DUMMYFUNCTION("IMPORTRANGE(""https://docs.google.com/spreadsheets/d/1Mnpb-8PYAgn85W6KOTD40hc_Xc55CaLfHoGAbrZ8tls/edit?usp=sharing"",""นครราชสีมา!I89"")"),0)</f>
        <v>0</v>
      </c>
      <c r="AM36" s="78">
        <f ca="1">IFERROR(__xludf.DUMMYFUNCTION("IMPORTRANGE(""https://docs.google.com/spreadsheets/d/1Mnpb-8PYAgn85W6KOTD40hc_Xc55CaLfHoGAbrZ8tls/edit?usp=sharing"",""นครราชสีมา!J88"")"),0)</f>
        <v>0</v>
      </c>
      <c r="AN36" s="78">
        <f ca="1">IFERROR(__xludf.DUMMYFUNCTION("IMPORTRANGE(""https://docs.google.com/spreadsheets/d/1Mnpb-8PYAgn85W6KOTD40hc_Xc55CaLfHoGAbrZ8tls/edit?usp=sharing"",""นครราชสีมา!J89"")"),0)</f>
        <v>0</v>
      </c>
      <c r="AO36" s="74">
        <f ca="1">IFERROR(__xludf.DUMMYFUNCTION("IMPORTRANGE(""https://docs.google.com/spreadsheets/d/1Mnpb-8PYAgn85W6KOTD40hc_Xc55CaLfHoGAbrZ8tls/edit?usp=sharing"",""นครราชสีมา!I90"")"),1)</f>
        <v>1</v>
      </c>
      <c r="AP36" s="78">
        <f ca="1">IFERROR(__xludf.DUMMYFUNCTION("IMPORTRANGE(""https://docs.google.com/spreadsheets/d/1Mnpb-8PYAgn85W6KOTD40hc_Xc55CaLfHoGAbrZ8tls/edit?usp=sharing"",""นครราชสีมา!J90"")"),1)</f>
        <v>1</v>
      </c>
      <c r="AQ36" s="76">
        <f t="shared" ca="1" si="43"/>
        <v>100</v>
      </c>
    </row>
    <row r="37" spans="1:43" ht="21" customHeight="1" x14ac:dyDescent="0.3">
      <c r="A37" s="70">
        <v>6</v>
      </c>
      <c r="B37" s="71" t="s">
        <v>65</v>
      </c>
      <c r="C37" s="72">
        <f t="shared" ca="1" si="27"/>
        <v>0</v>
      </c>
      <c r="D37" s="73">
        <f t="shared" ca="1" si="50"/>
        <v>0</v>
      </c>
      <c r="E37" s="74">
        <f ca="1">IFERROR(__xludf.DUMMYFUNCTION("IMPORTRANGE(""https://docs.google.com/spreadsheets/d/1-uDff_7J0KD5mKrp0Vvzr7lt3OU09vwQwhkpOPPYv2Y/edit?usp=sharing"",""งบพรบ!AN37"")"),0)</f>
        <v>0</v>
      </c>
      <c r="F37" s="74">
        <f ca="1">IFERROR(__xludf.DUMMYFUNCTION("IMPORTRANGE(""https://docs.google.com/spreadsheets/d/1-uDff_7J0KD5mKrp0Vvzr7lt3OU09vwQwhkpOPPYv2Y/edit?usp=sharing"",""งบพรบ!AO37"")"),0)</f>
        <v>0</v>
      </c>
      <c r="G37" s="74">
        <f ca="1">IFERROR(__xludf.DUMMYFUNCTION("IMPORTRANGE(""https://docs.google.com/spreadsheets/d/1-uDff_7J0KD5mKrp0Vvzr7lt3OU09vwQwhkpOPPYv2Y/edit?usp=sharing"",""งบพรบ!AP37"")"),0)</f>
        <v>0</v>
      </c>
      <c r="H37" s="74">
        <f ca="1">IFERROR(__xludf.DUMMYFUNCTION("IMPORTRANGE(""https://docs.google.com/spreadsheets/d/1-uDff_7J0KD5mKrp0Vvzr7lt3OU09vwQwhkpOPPYv2Y/edit?usp=sharing"",""งบพรบ!AR37"")"),0)</f>
        <v>0</v>
      </c>
      <c r="I37" s="74">
        <f ca="1">IFERROR(__xludf.DUMMYFUNCTION("IMPORTRANGE(""https://docs.google.com/spreadsheets/d/1-uDff_7J0KD5mKrp0Vvzr7lt3OU09vwQwhkpOPPYv2Y/edit?usp=sharing"",""งบพรบ!AS37"")"),0)</f>
        <v>0</v>
      </c>
      <c r="J37" s="74">
        <f t="shared" ca="1" si="29"/>
        <v>0</v>
      </c>
      <c r="K37" s="75">
        <f t="shared" ca="1" si="30"/>
        <v>0</v>
      </c>
      <c r="L37" s="74">
        <f ca="1">IFERROR(__xludf.DUMMYFUNCTION("IMPORTRANGE(""https://docs.google.com/spreadsheets/d/1-uDff_7J0KD5mKrp0Vvzr7lt3OU09vwQwhkpOPPYv2Y/edit?usp=sharing"",""งบพรบ!AT37"")"),0)</f>
        <v>0</v>
      </c>
      <c r="M37" s="76">
        <f t="shared" ca="1" si="31"/>
        <v>0</v>
      </c>
      <c r="N37" s="76">
        <f t="shared" ca="1" si="32"/>
        <v>0</v>
      </c>
      <c r="O37" s="77">
        <f ca="1">IFERROR(__xludf.DUMMYFUNCTION("IMPORTRANGE(""https://docs.google.com/spreadsheets/d/1-uDff_7J0KD5mKrp0Vvzr7lt3OU09vwQwhkpOPPYv2Y/edit?usp=sharing"",""งบพรบ!AU37"")"),0)</f>
        <v>0</v>
      </c>
      <c r="P37" s="77">
        <f t="shared" ca="1" si="33"/>
        <v>0</v>
      </c>
      <c r="Q37" s="76">
        <f t="shared" ca="1" si="34"/>
        <v>0</v>
      </c>
      <c r="R37" s="67">
        <f ca="1">IFERROR(__xludf.DUMMYFUNCTION("IMPORTRANGE(""https://docs.google.com/spreadsheets/d/1xoDLGBv9CYbyosIhki0kTq6IpYNj-gpjxfobnaDiut0/edit?usp=sharing"",""บึงกาฬ!Q72"")"),0)</f>
        <v>0</v>
      </c>
      <c r="S37" s="67">
        <f ca="1">IFERROR(__xludf.DUMMYFUNCTION("IMPORTRANGE(""https://docs.google.com/spreadsheets/d/1xoDLGBv9CYbyosIhki0kTq6IpYNj-gpjxfobnaDiut0/edit?usp=sharing"",""บึงกาฬ!R72"")"),0)</f>
        <v>0</v>
      </c>
      <c r="T37" s="67">
        <f ca="1">IFERROR(__xludf.DUMMYFUNCTION("IMPORTRANGE(""https://docs.google.com/spreadsheets/d/1xoDLGBv9CYbyosIhki0kTq6IpYNj-gpjxfobnaDiut0/edit?usp=sharing"",""บึงกาฬ!S72"")"),0)</f>
        <v>0</v>
      </c>
      <c r="U37" s="68">
        <f t="shared" ca="1" si="36"/>
        <v>0</v>
      </c>
      <c r="V37" s="68">
        <f t="shared" ca="1" si="37"/>
        <v>0</v>
      </c>
      <c r="W37" s="78">
        <f t="shared" ca="1" si="38"/>
        <v>0</v>
      </c>
      <c r="X37" s="78">
        <f t="shared" ca="1" si="39"/>
        <v>0</v>
      </c>
      <c r="Y37" s="78">
        <f t="shared" ca="1" si="51"/>
        <v>0</v>
      </c>
      <c r="Z37" s="79">
        <f t="shared" ca="1" si="40"/>
        <v>0</v>
      </c>
      <c r="AA37" s="78">
        <f t="shared" ca="1" si="52"/>
        <v>0</v>
      </c>
      <c r="AB37" s="79">
        <f t="shared" ca="1" si="41"/>
        <v>0</v>
      </c>
      <c r="AC37" s="74">
        <f ca="1">IFERROR(__xludf.DUMMYFUNCTION("IMPORTRANGE(""https://docs.google.com/spreadsheets/d/1xoDLGBv9CYbyosIhki0kTq6IpYNj-gpjxfobnaDiut0/edit?usp=sharing"",""บึงกาฬ!I84"")"),0)</f>
        <v>0</v>
      </c>
      <c r="AD37" s="74">
        <f ca="1">IFERROR(__xludf.DUMMYFUNCTION("IMPORTRANGE(""https://docs.google.com/spreadsheets/d/1xoDLGBv9CYbyosIhki0kTq6IpYNj-gpjxfobnaDiut0/edit?usp=sharing"",""บึงกาฬ!I85"")"),0)</f>
        <v>0</v>
      </c>
      <c r="AE37" s="78">
        <f ca="1">IFERROR(__xludf.DUMMYFUNCTION("IMPORTRANGE(""https://docs.google.com/spreadsheets/d/1xoDLGBv9CYbyosIhki0kTq6IpYNj-gpjxfobnaDiut0/edit?usp=sharing"",""บึงกาฬ!J84"")"),0)</f>
        <v>0</v>
      </c>
      <c r="AF37" s="78">
        <f ca="1">IFERROR(__xludf.DUMMYFUNCTION("IMPORTRANGE(""https://docs.google.com/spreadsheets/d/1xoDLGBv9CYbyosIhki0kTq6IpYNj-gpjxfobnaDiut0/edit?usp=sharing"",""บึงกาฬ!J85"")"),0)</f>
        <v>0</v>
      </c>
      <c r="AG37" s="74">
        <f ca="1">IFERROR(__xludf.DUMMYFUNCTION("IMPORTRANGE(""https://docs.google.com/spreadsheets/d/1xoDLGBv9CYbyosIhki0kTq6IpYNj-gpjxfobnaDiut0/edit?usp=sharing"",""บึงกาฬ!I86"")"),0)</f>
        <v>0</v>
      </c>
      <c r="AH37" s="74">
        <f ca="1">IFERROR(__xludf.DUMMYFUNCTION("IMPORTRANGE(""https://docs.google.com/spreadsheets/d/1xoDLGBv9CYbyosIhki0kTq6IpYNj-gpjxfobnaDiut0/edit?usp=sharing"",""บึงกาฬ!I87"")"),0)</f>
        <v>0</v>
      </c>
      <c r="AI37" s="78">
        <f ca="1">IFERROR(__xludf.DUMMYFUNCTION("IMPORTRANGE(""https://docs.google.com/spreadsheets/d/1xoDLGBv9CYbyosIhki0kTq6IpYNj-gpjxfobnaDiut0/edit?usp=sharing"",""บึงกาฬ!J86"")"),0)</f>
        <v>0</v>
      </c>
      <c r="AJ37" s="78">
        <f ca="1">IFERROR(__xludf.DUMMYFUNCTION("IMPORTRANGE(""https://docs.google.com/spreadsheets/d/1xoDLGBv9CYbyosIhki0kTq6IpYNj-gpjxfobnaDiut0/edit?usp=sharing"",""บึงกาฬ!J87"")"),0)</f>
        <v>0</v>
      </c>
      <c r="AK37" s="74">
        <f ca="1">IFERROR(__xludf.DUMMYFUNCTION("IMPORTRANGE(""https://docs.google.com/spreadsheets/d/1xoDLGBv9CYbyosIhki0kTq6IpYNj-gpjxfobnaDiut0/edit?usp=sharing"",""บึงกาฬ!I88"")"),0)</f>
        <v>0</v>
      </c>
      <c r="AL37" s="74">
        <f ca="1">IFERROR(__xludf.DUMMYFUNCTION("IMPORTRANGE(""https://docs.google.com/spreadsheets/d/1xoDLGBv9CYbyosIhki0kTq6IpYNj-gpjxfobnaDiut0/edit?usp=sharing"",""บึงกาฬ!I89"")"),0)</f>
        <v>0</v>
      </c>
      <c r="AM37" s="78">
        <f ca="1">IFERROR(__xludf.DUMMYFUNCTION("IMPORTRANGE(""https://docs.google.com/spreadsheets/d/1xoDLGBv9CYbyosIhki0kTq6IpYNj-gpjxfobnaDiut0/edit?usp=sharing"",""บึงกาฬ!J88"")"),0)</f>
        <v>0</v>
      </c>
      <c r="AN37" s="78">
        <f ca="1">IFERROR(__xludf.DUMMYFUNCTION("IMPORTRANGE(""https://docs.google.com/spreadsheets/d/1xoDLGBv9CYbyosIhki0kTq6IpYNj-gpjxfobnaDiut0/edit?usp=sharing"",""บึงกาฬ!J89"")"),0)</f>
        <v>0</v>
      </c>
      <c r="AO37" s="74">
        <f ca="1">IFERROR(__xludf.DUMMYFUNCTION("IMPORTRANGE(""https://docs.google.com/spreadsheets/d/1xoDLGBv9CYbyosIhki0kTq6IpYNj-gpjxfobnaDiut0/edit?usp=sharing"",""บึงกาฬ!I90"")"),0)</f>
        <v>0</v>
      </c>
      <c r="AP37" s="78">
        <f ca="1">IFERROR(__xludf.DUMMYFUNCTION("IMPORTRANGE(""https://docs.google.com/spreadsheets/d/1xoDLGBv9CYbyosIhki0kTq6IpYNj-gpjxfobnaDiut0/edit?usp=sharing"",""บึงกาฬ!J90"")"),0)</f>
        <v>0</v>
      </c>
      <c r="AQ37" s="76">
        <f t="shared" ca="1" si="43"/>
        <v>0</v>
      </c>
    </row>
    <row r="38" spans="1:43" ht="21" customHeight="1" x14ac:dyDescent="0.3">
      <c r="A38" s="70">
        <v>7</v>
      </c>
      <c r="B38" s="71" t="s">
        <v>66</v>
      </c>
      <c r="C38" s="72">
        <f t="shared" ca="1" si="27"/>
        <v>194000</v>
      </c>
      <c r="D38" s="73">
        <f t="shared" ca="1" si="50"/>
        <v>194000</v>
      </c>
      <c r="E38" s="74">
        <f ca="1">IFERROR(__xludf.DUMMYFUNCTION("IMPORTRANGE(""https://docs.google.com/spreadsheets/d/1-uDff_7J0KD5mKrp0Vvzr7lt3OU09vwQwhkpOPPYv2Y/edit?usp=sharing"",""งบพรบ!AN38"")"),0)</f>
        <v>0</v>
      </c>
      <c r="F38" s="74">
        <f ca="1">IFERROR(__xludf.DUMMYFUNCTION("IMPORTRANGE(""https://docs.google.com/spreadsheets/d/1-uDff_7J0KD5mKrp0Vvzr7lt3OU09vwQwhkpOPPYv2Y/edit?usp=sharing"",""งบพรบ!AO38"")"),194000)</f>
        <v>194000</v>
      </c>
      <c r="G38" s="74">
        <f ca="1">IFERROR(__xludf.DUMMYFUNCTION("IMPORTRANGE(""https://docs.google.com/spreadsheets/d/1-uDff_7J0KD5mKrp0Vvzr7lt3OU09vwQwhkpOPPYv2Y/edit?usp=sharing"",""งบพรบ!AP38"")"),0)</f>
        <v>0</v>
      </c>
      <c r="H38" s="74">
        <f ca="1">IFERROR(__xludf.DUMMYFUNCTION("IMPORTRANGE(""https://docs.google.com/spreadsheets/d/1-uDff_7J0KD5mKrp0Vvzr7lt3OU09vwQwhkpOPPYv2Y/edit?usp=sharing"",""งบพรบ!AR38"")"),194000)</f>
        <v>194000</v>
      </c>
      <c r="I38" s="74">
        <f ca="1">IFERROR(__xludf.DUMMYFUNCTION("IMPORTRANGE(""https://docs.google.com/spreadsheets/d/1-uDff_7J0KD5mKrp0Vvzr7lt3OU09vwQwhkpOPPYv2Y/edit?usp=sharing"",""งบพรบ!AS38"")"),0)</f>
        <v>0</v>
      </c>
      <c r="J38" s="74">
        <f t="shared" ca="1" si="29"/>
        <v>158745</v>
      </c>
      <c r="K38" s="75">
        <f t="shared" ca="1" si="30"/>
        <v>81.827319587628864</v>
      </c>
      <c r="L38" s="74">
        <f ca="1">IFERROR(__xludf.DUMMYFUNCTION("IMPORTRANGE(""https://docs.google.com/spreadsheets/d/1-uDff_7J0KD5mKrp0Vvzr7lt3OU09vwQwhkpOPPYv2Y/edit?usp=sharing"",""งบพรบ!AT38"")"),158745)</f>
        <v>158745</v>
      </c>
      <c r="M38" s="76">
        <f t="shared" ca="1" si="31"/>
        <v>81.827319587628864</v>
      </c>
      <c r="N38" s="76">
        <f t="shared" ca="1" si="32"/>
        <v>81.827319587628864</v>
      </c>
      <c r="O38" s="77">
        <f ca="1">IFERROR(__xludf.DUMMYFUNCTION("IMPORTRANGE(""https://docs.google.com/spreadsheets/d/1-uDff_7J0KD5mKrp0Vvzr7lt3OU09vwQwhkpOPPYv2Y/edit?usp=sharing"",""งบพรบ!AU38"")"),0)</f>
        <v>0</v>
      </c>
      <c r="P38" s="77">
        <f t="shared" ca="1" si="33"/>
        <v>0</v>
      </c>
      <c r="Q38" s="76">
        <f t="shared" ca="1" si="34"/>
        <v>0</v>
      </c>
      <c r="R38" s="67">
        <f ca="1">IFERROR(__xludf.DUMMYFUNCTION("IMPORTRANGE(""https://docs.google.com/spreadsheets/d/1MMPq-JyI6DSgQETxuSiXkesP-P7JHuemnE6QJIa-Nlw/edit?usp=sharing"",""บุรีรัมย์!Q72"")"),769560)</f>
        <v>769560</v>
      </c>
      <c r="S38" s="67">
        <f ca="1">IFERROR(__xludf.DUMMYFUNCTION("IMPORTRANGE(""https://docs.google.com/spreadsheets/d/1MMPq-JyI6DSgQETxuSiXkesP-P7JHuemnE6QJIa-Nlw/edit?usp=sharing"",""บุรีรัมย์!R72"")"),769560)</f>
        <v>769560</v>
      </c>
      <c r="T38" s="67">
        <f ca="1">IFERROR(__xludf.DUMMYFUNCTION("IMPORTRANGE(""https://docs.google.com/spreadsheets/d/1MMPq-JyI6DSgQETxuSiXkesP-P7JHuemnE6QJIa-Nlw/edit?usp=sharing"",""บุรีรัมย์!S72"")"),391006)</f>
        <v>391006</v>
      </c>
      <c r="U38" s="68">
        <f t="shared" ca="1" si="36"/>
        <v>50.809033733562032</v>
      </c>
      <c r="V38" s="68">
        <f t="shared" ca="1" si="37"/>
        <v>50.809033733562032</v>
      </c>
      <c r="W38" s="78">
        <f t="shared" ca="1" si="38"/>
        <v>1</v>
      </c>
      <c r="X38" s="78">
        <f t="shared" ca="1" si="39"/>
        <v>63</v>
      </c>
      <c r="Y38" s="78">
        <f t="shared" ca="1" si="51"/>
        <v>1</v>
      </c>
      <c r="Z38" s="79">
        <f t="shared" ca="1" si="40"/>
        <v>100</v>
      </c>
      <c r="AA38" s="78">
        <f t="shared" ca="1" si="52"/>
        <v>63</v>
      </c>
      <c r="AB38" s="79">
        <f t="shared" ca="1" si="41"/>
        <v>100</v>
      </c>
      <c r="AC38" s="78">
        <f ca="1">IFERROR(__xludf.DUMMYFUNCTION("IMPORTRANGE(""https://docs.google.com/spreadsheets/d/1MMPq-JyI6DSgQETxuSiXkesP-P7JHuemnE6QJIa-Nlw/edit?usp=sharing"",""บุรีรัมย์!I84"")"),0)</f>
        <v>0</v>
      </c>
      <c r="AD38" s="78">
        <f ca="1">IFERROR(__xludf.DUMMYFUNCTION("IMPORTRANGE(""https://docs.google.com/spreadsheets/d/1MMPq-JyI6DSgQETxuSiXkesP-P7JHuemnE6QJIa-Nlw/edit?usp=sharing"",""บุรีรัมย์!I85"")"),0)</f>
        <v>0</v>
      </c>
      <c r="AE38" s="78">
        <f ca="1">IFERROR(__xludf.DUMMYFUNCTION("IMPORTRANGE(""https://docs.google.com/spreadsheets/d/1MMPq-JyI6DSgQETxuSiXkesP-P7JHuemnE6QJIa-Nlw/edit?usp=sharing"",""บุรีรัมย์!J84"")"),0)</f>
        <v>0</v>
      </c>
      <c r="AF38" s="78">
        <f ca="1">IFERROR(__xludf.DUMMYFUNCTION("IMPORTRANGE(""https://docs.google.com/spreadsheets/d/1MMPq-JyI6DSgQETxuSiXkesP-P7JHuemnE6QJIa-Nlw/edit?usp=sharing"",""บุรีรัมย์!J85"")"),0)</f>
        <v>0</v>
      </c>
      <c r="AG38" s="78">
        <f ca="1">IFERROR(__xludf.DUMMYFUNCTION("IMPORTRANGE(""https://docs.google.com/spreadsheets/d/1MMPq-JyI6DSgQETxuSiXkesP-P7JHuemnE6QJIa-Nlw/edit?usp=sharing"",""บุรีรัมย์!I86"")"),0)</f>
        <v>0</v>
      </c>
      <c r="AH38" s="78">
        <f ca="1">IFERROR(__xludf.DUMMYFUNCTION("IMPORTRANGE(""https://docs.google.com/spreadsheets/d/1MMPq-JyI6DSgQETxuSiXkesP-P7JHuemnE6QJIa-Nlw/edit?usp=sharing"",""บุรีรัมย์!I87"")"),0)</f>
        <v>0</v>
      </c>
      <c r="AI38" s="78">
        <f ca="1">IFERROR(__xludf.DUMMYFUNCTION("IMPORTRANGE(""https://docs.google.com/spreadsheets/d/1MMPq-JyI6DSgQETxuSiXkesP-P7JHuemnE6QJIa-Nlw/edit?usp=sharing"",""บุรีรัมย์!J86"")"),0)</f>
        <v>0</v>
      </c>
      <c r="AJ38" s="78">
        <f ca="1">IFERROR(__xludf.DUMMYFUNCTION("IMPORTRANGE(""https://docs.google.com/spreadsheets/d/1MMPq-JyI6DSgQETxuSiXkesP-P7JHuemnE6QJIa-Nlw/edit?usp=sharing"",""บุรีรัมย์!J87"")"),0)</f>
        <v>0</v>
      </c>
      <c r="AK38" s="78">
        <f ca="1">IFERROR(__xludf.DUMMYFUNCTION("IMPORTRANGE(""https://docs.google.com/spreadsheets/d/1MMPq-JyI6DSgQETxuSiXkesP-P7JHuemnE6QJIa-Nlw/edit?usp=sharing"",""บุรีรัมย์!I88"")"),1)</f>
        <v>1</v>
      </c>
      <c r="AL38" s="74">
        <f ca="1">IFERROR(__xludf.DUMMYFUNCTION("IMPORTRANGE(""https://docs.google.com/spreadsheets/d/1MMPq-JyI6DSgQETxuSiXkesP-P7JHuemnE6QJIa-Nlw/edit?usp=sharing"",""บุรีรัมย์!I89"")"),63)</f>
        <v>63</v>
      </c>
      <c r="AM38" s="78">
        <f ca="1">IFERROR(__xludf.DUMMYFUNCTION("IMPORTRANGE(""https://docs.google.com/spreadsheets/d/1MMPq-JyI6DSgQETxuSiXkesP-P7JHuemnE6QJIa-Nlw/edit?usp=sharing"",""บุรีรัมย์!J88"")"),1)</f>
        <v>1</v>
      </c>
      <c r="AN38" s="78">
        <f ca="1">IFERROR(__xludf.DUMMYFUNCTION("IMPORTRANGE(""https://docs.google.com/spreadsheets/d/1MMPq-JyI6DSgQETxuSiXkesP-P7JHuemnE6QJIa-Nlw/edit?usp=sharing"",""บุรีรัมย์!J89"")"),63)</f>
        <v>63</v>
      </c>
      <c r="AO38" s="78">
        <f ca="1">IFERROR(__xludf.DUMMYFUNCTION("IMPORTRANGE(""https://docs.google.com/spreadsheets/d/1MMPq-JyI6DSgQETxuSiXkesP-P7JHuemnE6QJIa-Nlw/edit?usp=sharing"",""บุรีรัมย์!I90"")"),1)</f>
        <v>1</v>
      </c>
      <c r="AP38" s="78">
        <f ca="1">IFERROR(__xludf.DUMMYFUNCTION("IMPORTRANGE(""https://docs.google.com/spreadsheets/d/1MMPq-JyI6DSgQETxuSiXkesP-P7JHuemnE6QJIa-Nlw/edit?usp=sharing"",""บุรีรัมย์!J90"")"),1)</f>
        <v>1</v>
      </c>
      <c r="AQ38" s="79">
        <f t="shared" ca="1" si="43"/>
        <v>100</v>
      </c>
    </row>
    <row r="39" spans="1:43" ht="21" customHeight="1" x14ac:dyDescent="0.3">
      <c r="A39" s="70">
        <v>8</v>
      </c>
      <c r="B39" s="71" t="s">
        <v>67</v>
      </c>
      <c r="C39" s="72">
        <f t="shared" ca="1" si="27"/>
        <v>510100</v>
      </c>
      <c r="D39" s="73">
        <f t="shared" ca="1" si="50"/>
        <v>510100</v>
      </c>
      <c r="E39" s="74">
        <f ca="1">IFERROR(__xludf.DUMMYFUNCTION("IMPORTRANGE(""https://docs.google.com/spreadsheets/d/1-uDff_7J0KD5mKrp0Vvzr7lt3OU09vwQwhkpOPPYv2Y/edit?usp=sharing"",""งบพรบ!AN39"")"),308100)</f>
        <v>308100</v>
      </c>
      <c r="F39" s="74">
        <f ca="1">IFERROR(__xludf.DUMMYFUNCTION("IMPORTRANGE(""https://docs.google.com/spreadsheets/d/1-uDff_7J0KD5mKrp0Vvzr7lt3OU09vwQwhkpOPPYv2Y/edit?usp=sharing"",""งบพรบ!AO39"")"),202000)</f>
        <v>202000</v>
      </c>
      <c r="G39" s="74">
        <f ca="1">IFERROR(__xludf.DUMMYFUNCTION("IMPORTRANGE(""https://docs.google.com/spreadsheets/d/1-uDff_7J0KD5mKrp0Vvzr7lt3OU09vwQwhkpOPPYv2Y/edit?usp=sharing"",""งบพรบ!AP39"")"),0)</f>
        <v>0</v>
      </c>
      <c r="H39" s="74">
        <f ca="1">IFERROR(__xludf.DUMMYFUNCTION("IMPORTRANGE(""https://docs.google.com/spreadsheets/d/1-uDff_7J0KD5mKrp0Vvzr7lt3OU09vwQwhkpOPPYv2Y/edit?usp=sharing"",""งบพรบ!AR39"")"),510100)</f>
        <v>510100</v>
      </c>
      <c r="I39" s="74">
        <f ca="1">IFERROR(__xludf.DUMMYFUNCTION("IMPORTRANGE(""https://docs.google.com/spreadsheets/d/1-uDff_7J0KD5mKrp0Vvzr7lt3OU09vwQwhkpOPPYv2Y/edit?usp=sharing"",""งบพรบ!AS39"")"),0)</f>
        <v>0</v>
      </c>
      <c r="J39" s="74">
        <f t="shared" ca="1" si="29"/>
        <v>437789.34</v>
      </c>
      <c r="K39" s="75">
        <f t="shared" ca="1" si="30"/>
        <v>85.824218780631256</v>
      </c>
      <c r="L39" s="74">
        <f ca="1">IFERROR(__xludf.DUMMYFUNCTION("IMPORTRANGE(""https://docs.google.com/spreadsheets/d/1-uDff_7J0KD5mKrp0Vvzr7lt3OU09vwQwhkpOPPYv2Y/edit?usp=sharing"",""งบพรบ!AT39"")"),437789.34)</f>
        <v>437789.34</v>
      </c>
      <c r="M39" s="76">
        <f t="shared" ca="1" si="31"/>
        <v>85.824218780631256</v>
      </c>
      <c r="N39" s="76">
        <f t="shared" ca="1" si="32"/>
        <v>85.824218780631256</v>
      </c>
      <c r="O39" s="77">
        <f ca="1">IFERROR(__xludf.DUMMYFUNCTION("IMPORTRANGE(""https://docs.google.com/spreadsheets/d/1-uDff_7J0KD5mKrp0Vvzr7lt3OU09vwQwhkpOPPYv2Y/edit?usp=sharing"",""งบพรบ!AU39"")"),0)</f>
        <v>0</v>
      </c>
      <c r="P39" s="77">
        <f t="shared" ca="1" si="33"/>
        <v>0</v>
      </c>
      <c r="Q39" s="76">
        <f t="shared" ca="1" si="34"/>
        <v>0</v>
      </c>
      <c r="R39" s="67">
        <f ca="1">IFERROR(__xludf.DUMMYFUNCTION("IMPORTRANGE(""https://docs.google.com/spreadsheets/d/1l6IZ8xUPgMrESzcTYwhA1k_tPjeQjJPTqlm8Gd9eU5g/edit?usp=sharing"",""มหาสารคาม!Q72"")"),1044880)</f>
        <v>1044880</v>
      </c>
      <c r="S39" s="67">
        <f ca="1">IFERROR(__xludf.DUMMYFUNCTION("IMPORTRANGE(""https://docs.google.com/spreadsheets/d/1l6IZ8xUPgMrESzcTYwhA1k_tPjeQjJPTqlm8Gd9eU5g/edit?usp=sharing"",""มหาสารคาม!R72"")"),1044880)</f>
        <v>1044880</v>
      </c>
      <c r="T39" s="67">
        <f ca="1">IFERROR(__xludf.DUMMYFUNCTION("IMPORTRANGE(""https://docs.google.com/spreadsheets/d/1l6IZ8xUPgMrESzcTYwhA1k_tPjeQjJPTqlm8Gd9eU5g/edit?usp=sharing"",""มหาสารคาม!S72"")"),424914)</f>
        <v>424914</v>
      </c>
      <c r="U39" s="68">
        <f t="shared" ca="1" si="36"/>
        <v>40.666296608222957</v>
      </c>
      <c r="V39" s="68">
        <f t="shared" ca="1" si="37"/>
        <v>40.666296608222957</v>
      </c>
      <c r="W39" s="78">
        <f t="shared" ca="1" si="38"/>
        <v>2</v>
      </c>
      <c r="X39" s="78">
        <f t="shared" ca="1" si="39"/>
        <v>69</v>
      </c>
      <c r="Y39" s="78">
        <f t="shared" ca="1" si="51"/>
        <v>2</v>
      </c>
      <c r="Z39" s="79">
        <f t="shared" ca="1" si="40"/>
        <v>100</v>
      </c>
      <c r="AA39" s="78">
        <f t="shared" ca="1" si="52"/>
        <v>69</v>
      </c>
      <c r="AB39" s="79">
        <f t="shared" ca="1" si="41"/>
        <v>100</v>
      </c>
      <c r="AC39" s="78">
        <f ca="1">IFERROR(__xludf.DUMMYFUNCTION("IMPORTRANGE(""https://docs.google.com/spreadsheets/d/1l6IZ8xUPgMrESzcTYwhA1k_tPjeQjJPTqlm8Gd9eU5g/edit?usp=sharing"",""มหาสารคาม!I84"")"),0)</f>
        <v>0</v>
      </c>
      <c r="AD39" s="78">
        <f ca="1">IFERROR(__xludf.DUMMYFUNCTION("IMPORTRANGE(""https://docs.google.com/spreadsheets/d/1l6IZ8xUPgMrESzcTYwhA1k_tPjeQjJPTqlm8Gd9eU5g/edit?usp=sharing"",""มหาสารคาม!I85"")"),0)</f>
        <v>0</v>
      </c>
      <c r="AE39" s="78">
        <f ca="1">IFERROR(__xludf.DUMMYFUNCTION("IMPORTRANGE(""https://docs.google.com/spreadsheets/d/1l6IZ8xUPgMrESzcTYwhA1k_tPjeQjJPTqlm8Gd9eU5g/edit?usp=sharing"",""มหาสารคาม!J84"")"),0)</f>
        <v>0</v>
      </c>
      <c r="AF39" s="78">
        <f ca="1">IFERROR(__xludf.DUMMYFUNCTION("IMPORTRANGE(""https://docs.google.com/spreadsheets/d/1l6IZ8xUPgMrESzcTYwhA1k_tPjeQjJPTqlm8Gd9eU5g/edit?usp=sharing"",""มหาสารคาม!J85"")"),0)</f>
        <v>0</v>
      </c>
      <c r="AG39" s="78">
        <f ca="1">IFERROR(__xludf.DUMMYFUNCTION("IMPORTRANGE(""https://docs.google.com/spreadsheets/d/1l6IZ8xUPgMrESzcTYwhA1k_tPjeQjJPTqlm8Gd9eU5g/edit?usp=sharing"",""มหาสารคาม!I86"")"),1)</f>
        <v>1</v>
      </c>
      <c r="AH39" s="78">
        <f ca="1">IFERROR(__xludf.DUMMYFUNCTION("IMPORTRANGE(""https://docs.google.com/spreadsheets/d/1l6IZ8xUPgMrESzcTYwhA1k_tPjeQjJPTqlm8Gd9eU5g/edit?usp=sharing"",""มหาสารคาม!I87"")"),32)</f>
        <v>32</v>
      </c>
      <c r="AI39" s="78">
        <f ca="1">IFERROR(__xludf.DUMMYFUNCTION("IMPORTRANGE(""https://docs.google.com/spreadsheets/d/1l6IZ8xUPgMrESzcTYwhA1k_tPjeQjJPTqlm8Gd9eU5g/edit?usp=sharing"",""มหาสารคาม!J86"")"),1)</f>
        <v>1</v>
      </c>
      <c r="AJ39" s="78">
        <f ca="1">IFERROR(__xludf.DUMMYFUNCTION("IMPORTRANGE(""https://docs.google.com/spreadsheets/d/1l6IZ8xUPgMrESzcTYwhA1k_tPjeQjJPTqlm8Gd9eU5g/edit?usp=sharing"",""มหาสารคาม!J87"")"),32)</f>
        <v>32</v>
      </c>
      <c r="AK39" s="78">
        <f ca="1">IFERROR(__xludf.DUMMYFUNCTION("IMPORTRANGE(""https://docs.google.com/spreadsheets/d/1l6IZ8xUPgMrESzcTYwhA1k_tPjeQjJPTqlm8Gd9eU5g/edit?usp=sharing"",""มหาสารคาม!I88"")"),1)</f>
        <v>1</v>
      </c>
      <c r="AL39" s="74">
        <f ca="1">IFERROR(__xludf.DUMMYFUNCTION("IMPORTRANGE(""https://docs.google.com/spreadsheets/d/1l6IZ8xUPgMrESzcTYwhA1k_tPjeQjJPTqlm8Gd9eU5g/edit?usp=sharing"",""มหาสารคาม!I89"")"),37)</f>
        <v>37</v>
      </c>
      <c r="AM39" s="78">
        <f ca="1">IFERROR(__xludf.DUMMYFUNCTION("IMPORTRANGE(""https://docs.google.com/spreadsheets/d/1l6IZ8xUPgMrESzcTYwhA1k_tPjeQjJPTqlm8Gd9eU5g/edit?usp=sharing"",""มหาสารคาม!J88"")"),1)</f>
        <v>1</v>
      </c>
      <c r="AN39" s="78">
        <f ca="1">IFERROR(__xludf.DUMMYFUNCTION("IMPORTRANGE(""https://docs.google.com/spreadsheets/d/1l6IZ8xUPgMrESzcTYwhA1k_tPjeQjJPTqlm8Gd9eU5g/edit?usp=sharing"",""มหาสารคาม!J89"")"),37)</f>
        <v>37</v>
      </c>
      <c r="AO39" s="78">
        <f ca="1">IFERROR(__xludf.DUMMYFUNCTION("IMPORTRANGE(""https://docs.google.com/spreadsheets/d/1l6IZ8xUPgMrESzcTYwhA1k_tPjeQjJPTqlm8Gd9eU5g/edit?usp=sharing"",""มหาสารคาม!I90"")"),2)</f>
        <v>2</v>
      </c>
      <c r="AP39" s="78">
        <f ca="1">IFERROR(__xludf.DUMMYFUNCTION("IMPORTRANGE(""https://docs.google.com/spreadsheets/d/1l6IZ8xUPgMrESzcTYwhA1k_tPjeQjJPTqlm8Gd9eU5g/edit?usp=sharing"",""มหาสารคาม!J90"")"),2)</f>
        <v>2</v>
      </c>
      <c r="AQ39" s="79">
        <f t="shared" ca="1" si="43"/>
        <v>100</v>
      </c>
    </row>
    <row r="40" spans="1:43" ht="21" customHeight="1" x14ac:dyDescent="0.3">
      <c r="A40" s="70">
        <v>9</v>
      </c>
      <c r="B40" s="71" t="s">
        <v>68</v>
      </c>
      <c r="C40" s="72">
        <f t="shared" ca="1" si="27"/>
        <v>142000</v>
      </c>
      <c r="D40" s="73">
        <f t="shared" ca="1" si="50"/>
        <v>142000</v>
      </c>
      <c r="E40" s="74">
        <f ca="1">IFERROR(__xludf.DUMMYFUNCTION("IMPORTRANGE(""https://docs.google.com/spreadsheets/d/1-uDff_7J0KD5mKrp0Vvzr7lt3OU09vwQwhkpOPPYv2Y/edit?usp=sharing"",""งบพรบ!AN40"")"),0)</f>
        <v>0</v>
      </c>
      <c r="F40" s="74">
        <f ca="1">IFERROR(__xludf.DUMMYFUNCTION("IMPORTRANGE(""https://docs.google.com/spreadsheets/d/1-uDff_7J0KD5mKrp0Vvzr7lt3OU09vwQwhkpOPPYv2Y/edit?usp=sharing"",""งบพรบ!AO40"")"),142000)</f>
        <v>142000</v>
      </c>
      <c r="G40" s="74">
        <f ca="1">IFERROR(__xludf.DUMMYFUNCTION("IMPORTRANGE(""https://docs.google.com/spreadsheets/d/1-uDff_7J0KD5mKrp0Vvzr7lt3OU09vwQwhkpOPPYv2Y/edit?usp=sharing"",""งบพรบ!AP40"")"),0)</f>
        <v>0</v>
      </c>
      <c r="H40" s="74">
        <f ca="1">IFERROR(__xludf.DUMMYFUNCTION("IMPORTRANGE(""https://docs.google.com/spreadsheets/d/1-uDff_7J0KD5mKrp0Vvzr7lt3OU09vwQwhkpOPPYv2Y/edit?usp=sharing"",""งบพรบ!AR40"")"),142000)</f>
        <v>142000</v>
      </c>
      <c r="I40" s="74">
        <f ca="1">IFERROR(__xludf.DUMMYFUNCTION("IMPORTRANGE(""https://docs.google.com/spreadsheets/d/1-uDff_7J0KD5mKrp0Vvzr7lt3OU09vwQwhkpOPPYv2Y/edit?usp=sharing"",""งบพรบ!AS40"")"),0)</f>
        <v>0</v>
      </c>
      <c r="J40" s="74">
        <f t="shared" ca="1" si="29"/>
        <v>87931</v>
      </c>
      <c r="K40" s="75">
        <f t="shared" ca="1" si="30"/>
        <v>61.923239436619717</v>
      </c>
      <c r="L40" s="74">
        <f ca="1">IFERROR(__xludf.DUMMYFUNCTION("IMPORTRANGE(""https://docs.google.com/spreadsheets/d/1-uDff_7J0KD5mKrp0Vvzr7lt3OU09vwQwhkpOPPYv2Y/edit?usp=sharing"",""งบพรบ!AT40"")"),87931)</f>
        <v>87931</v>
      </c>
      <c r="M40" s="76">
        <f t="shared" ca="1" si="31"/>
        <v>61.923239436619717</v>
      </c>
      <c r="N40" s="76">
        <f t="shared" ca="1" si="32"/>
        <v>61.923239436619717</v>
      </c>
      <c r="O40" s="77">
        <f ca="1">IFERROR(__xludf.DUMMYFUNCTION("IMPORTRANGE(""https://docs.google.com/spreadsheets/d/1-uDff_7J0KD5mKrp0Vvzr7lt3OU09vwQwhkpOPPYv2Y/edit?usp=sharing"",""งบพรบ!AU40"")"),0)</f>
        <v>0</v>
      </c>
      <c r="P40" s="77">
        <f t="shared" ca="1" si="33"/>
        <v>0</v>
      </c>
      <c r="Q40" s="76">
        <f t="shared" ca="1" si="34"/>
        <v>0</v>
      </c>
      <c r="R40" s="67">
        <f ca="1">IFERROR(__xludf.DUMMYFUNCTION("IMPORTRANGE(""https://docs.google.com/spreadsheets/d/1uB74YLqNjWX6FObjekfB2NtSYigTQyR2rq9u4Ub2Sq4/edit?usp=sharing"",""มุกดาหาร!Q72"")"),500000)</f>
        <v>500000</v>
      </c>
      <c r="S40" s="67">
        <f ca="1">IFERROR(__xludf.DUMMYFUNCTION("IMPORTRANGE(""https://docs.google.com/spreadsheets/d/1uB74YLqNjWX6FObjekfB2NtSYigTQyR2rq9u4Ub2Sq4/edit?usp=sharing"",""มุกดาหาร!R72"")"),501460)</f>
        <v>501460</v>
      </c>
      <c r="T40" s="67">
        <f ca="1">IFERROR(__xludf.DUMMYFUNCTION("IMPORTRANGE(""https://docs.google.com/spreadsheets/d/1uB74YLqNjWX6FObjekfB2NtSYigTQyR2rq9u4Ub2Sq4/edit?usp=sharing"",""มุกดาหาร!S72"")"),189450)</f>
        <v>189450</v>
      </c>
      <c r="U40" s="68">
        <f t="shared" ca="1" si="36"/>
        <v>37.89</v>
      </c>
      <c r="V40" s="68">
        <f t="shared" ca="1" si="37"/>
        <v>37.779683324691902</v>
      </c>
      <c r="W40" s="78">
        <f t="shared" ca="1" si="38"/>
        <v>1</v>
      </c>
      <c r="X40" s="78">
        <f t="shared" ca="1" si="39"/>
        <v>45</v>
      </c>
      <c r="Y40" s="78">
        <f t="shared" ca="1" si="51"/>
        <v>1</v>
      </c>
      <c r="Z40" s="79">
        <f t="shared" ca="1" si="40"/>
        <v>100</v>
      </c>
      <c r="AA40" s="78">
        <f t="shared" ca="1" si="52"/>
        <v>45</v>
      </c>
      <c r="AB40" s="79">
        <f t="shared" ca="1" si="41"/>
        <v>100</v>
      </c>
      <c r="AC40" s="78">
        <f ca="1">IFERROR(__xludf.DUMMYFUNCTION("IMPORTRANGE(""https://docs.google.com/spreadsheets/d/1uB74YLqNjWX6FObjekfB2NtSYigTQyR2rq9u4Ub2Sq4/edit?usp=sharing"",""มุกดาหาร!I84"")"),1)</f>
        <v>1</v>
      </c>
      <c r="AD40" s="78">
        <f ca="1">IFERROR(__xludf.DUMMYFUNCTION("IMPORTRANGE(""https://docs.google.com/spreadsheets/d/1uB74YLqNjWX6FObjekfB2NtSYigTQyR2rq9u4Ub2Sq4/edit?usp=sharing"",""มุกดาหาร!I85"")"),45)</f>
        <v>45</v>
      </c>
      <c r="AE40" s="78">
        <f ca="1">IFERROR(__xludf.DUMMYFUNCTION("IMPORTRANGE(""https://docs.google.com/spreadsheets/d/1uB74YLqNjWX6FObjekfB2NtSYigTQyR2rq9u4Ub2Sq4/edit?usp=sharing"",""มุกดาหาร!J84"")"),1)</f>
        <v>1</v>
      </c>
      <c r="AF40" s="78">
        <f ca="1">IFERROR(__xludf.DUMMYFUNCTION("IMPORTRANGE(""https://docs.google.com/spreadsheets/d/1uB74YLqNjWX6FObjekfB2NtSYigTQyR2rq9u4Ub2Sq4/edit?usp=sharing"",""มุกดาหาร!J85"")"),45)</f>
        <v>45</v>
      </c>
      <c r="AG40" s="78">
        <f ca="1">IFERROR(__xludf.DUMMYFUNCTION("IMPORTRANGE(""https://docs.google.com/spreadsheets/d/1uB74YLqNjWX6FObjekfB2NtSYigTQyR2rq9u4Ub2Sq4/edit?usp=sharing"",""มุกดาหาร!I86"")"),0)</f>
        <v>0</v>
      </c>
      <c r="AH40" s="78">
        <f ca="1">IFERROR(__xludf.DUMMYFUNCTION("IMPORTRANGE(""https://docs.google.com/spreadsheets/d/1uB74YLqNjWX6FObjekfB2NtSYigTQyR2rq9u4Ub2Sq4/edit?usp=sharing"",""มุกดาหาร!I87"")"),0)</f>
        <v>0</v>
      </c>
      <c r="AI40" s="78">
        <f ca="1">IFERROR(__xludf.DUMMYFUNCTION("IMPORTRANGE(""https://docs.google.com/spreadsheets/d/1uB74YLqNjWX6FObjekfB2NtSYigTQyR2rq9u4Ub2Sq4/edit?usp=sharing"",""มุกดาหาร!J86"")"),0)</f>
        <v>0</v>
      </c>
      <c r="AJ40" s="78">
        <f ca="1">IFERROR(__xludf.DUMMYFUNCTION("IMPORTRANGE(""https://docs.google.com/spreadsheets/d/1uB74YLqNjWX6FObjekfB2NtSYigTQyR2rq9u4Ub2Sq4/edit?usp=sharing"",""มุกดาหาร!J87"")"),0)</f>
        <v>0</v>
      </c>
      <c r="AK40" s="78">
        <f ca="1">IFERROR(__xludf.DUMMYFUNCTION("IMPORTRANGE(""https://docs.google.com/spreadsheets/d/1uB74YLqNjWX6FObjekfB2NtSYigTQyR2rq9u4Ub2Sq4/edit?usp=sharing"",""มุกดาหาร!I88"")"),0)</f>
        <v>0</v>
      </c>
      <c r="AL40" s="74">
        <f ca="1">IFERROR(__xludf.DUMMYFUNCTION("IMPORTRANGE(""https://docs.google.com/spreadsheets/d/1uB74YLqNjWX6FObjekfB2NtSYigTQyR2rq9u4Ub2Sq4/edit?usp=sharing"",""มุกดาหาร!I89"")"),0)</f>
        <v>0</v>
      </c>
      <c r="AM40" s="78">
        <f ca="1">IFERROR(__xludf.DUMMYFUNCTION("IMPORTRANGE(""https://docs.google.com/spreadsheets/d/1uB74YLqNjWX6FObjekfB2NtSYigTQyR2rq9u4Ub2Sq4/edit?usp=sharing"",""มุกดาหาร!J88"")"),0)</f>
        <v>0</v>
      </c>
      <c r="AN40" s="78">
        <f ca="1">IFERROR(__xludf.DUMMYFUNCTION("IMPORTRANGE(""https://docs.google.com/spreadsheets/d/1uB74YLqNjWX6FObjekfB2NtSYigTQyR2rq9u4Ub2Sq4/edit?usp=sharing"",""มุกดาหาร!J89"")"),0)</f>
        <v>0</v>
      </c>
      <c r="AO40" s="78">
        <f ca="1">IFERROR(__xludf.DUMMYFUNCTION("IMPORTRANGE(""https://docs.google.com/spreadsheets/d/1uB74YLqNjWX6FObjekfB2NtSYigTQyR2rq9u4Ub2Sq4/edit?usp=sharing"",""มุกดาหาร!I90"")"),1)</f>
        <v>1</v>
      </c>
      <c r="AP40" s="78">
        <f ca="1">IFERROR(__xludf.DUMMYFUNCTION("IMPORTRANGE(""https://docs.google.com/spreadsheets/d/1uB74YLqNjWX6FObjekfB2NtSYigTQyR2rq9u4Ub2Sq4/edit?usp=sharing"",""มุกดาหาร!J90"")"),1)</f>
        <v>1</v>
      </c>
      <c r="AQ40" s="79">
        <f t="shared" ca="1" si="43"/>
        <v>100</v>
      </c>
    </row>
    <row r="41" spans="1:43" ht="21" customHeight="1" x14ac:dyDescent="0.3">
      <c r="A41" s="70">
        <v>10</v>
      </c>
      <c r="B41" s="71" t="s">
        <v>69</v>
      </c>
      <c r="C41" s="72">
        <f t="shared" ca="1" si="27"/>
        <v>434900</v>
      </c>
      <c r="D41" s="73">
        <f t="shared" ca="1" si="50"/>
        <v>434900</v>
      </c>
      <c r="E41" s="74">
        <f ca="1">IFERROR(__xludf.DUMMYFUNCTION("IMPORTRANGE(""https://docs.google.com/spreadsheets/d/1-uDff_7J0KD5mKrp0Vvzr7lt3OU09vwQwhkpOPPYv2Y/edit?usp=sharing"",""งบพรบ!AN41"")"),240900)</f>
        <v>240900</v>
      </c>
      <c r="F41" s="74">
        <f ca="1">IFERROR(__xludf.DUMMYFUNCTION("IMPORTRANGE(""https://docs.google.com/spreadsheets/d/1-uDff_7J0KD5mKrp0Vvzr7lt3OU09vwQwhkpOPPYv2Y/edit?usp=sharing"",""งบพรบ!AO41"")"),194000)</f>
        <v>194000</v>
      </c>
      <c r="G41" s="74">
        <f ca="1">IFERROR(__xludf.DUMMYFUNCTION("IMPORTRANGE(""https://docs.google.com/spreadsheets/d/1-uDff_7J0KD5mKrp0Vvzr7lt3OU09vwQwhkpOPPYv2Y/edit?usp=sharing"",""งบพรบ!AP41"")"),0)</f>
        <v>0</v>
      </c>
      <c r="H41" s="74">
        <f ca="1">IFERROR(__xludf.DUMMYFUNCTION("IMPORTRANGE(""https://docs.google.com/spreadsheets/d/1-uDff_7J0KD5mKrp0Vvzr7lt3OU09vwQwhkpOPPYv2Y/edit?usp=sharing"",""งบพรบ!AR41"")"),434900)</f>
        <v>434900</v>
      </c>
      <c r="I41" s="74">
        <f ca="1">IFERROR(__xludf.DUMMYFUNCTION("IMPORTRANGE(""https://docs.google.com/spreadsheets/d/1-uDff_7J0KD5mKrp0Vvzr7lt3OU09vwQwhkpOPPYv2Y/edit?usp=sharing"",""งบพรบ!AS41"")"),0)</f>
        <v>0</v>
      </c>
      <c r="J41" s="74">
        <f t="shared" ca="1" si="29"/>
        <v>396213</v>
      </c>
      <c r="K41" s="75">
        <f t="shared" ca="1" si="30"/>
        <v>91.10439181421016</v>
      </c>
      <c r="L41" s="74">
        <f ca="1">IFERROR(__xludf.DUMMYFUNCTION("IMPORTRANGE(""https://docs.google.com/spreadsheets/d/1-uDff_7J0KD5mKrp0Vvzr7lt3OU09vwQwhkpOPPYv2Y/edit?usp=sharing"",""งบพรบ!AT41"")"),396213)</f>
        <v>396213</v>
      </c>
      <c r="M41" s="76">
        <f t="shared" ca="1" si="31"/>
        <v>91.10439181421016</v>
      </c>
      <c r="N41" s="76">
        <f t="shared" ca="1" si="32"/>
        <v>91.10439181421016</v>
      </c>
      <c r="O41" s="77">
        <f ca="1">IFERROR(__xludf.DUMMYFUNCTION("IMPORTRANGE(""https://docs.google.com/spreadsheets/d/1-uDff_7J0KD5mKrp0Vvzr7lt3OU09vwQwhkpOPPYv2Y/edit?usp=sharing"",""งบพรบ!AU41"")"),0)</f>
        <v>0</v>
      </c>
      <c r="P41" s="77">
        <f t="shared" ca="1" si="33"/>
        <v>0</v>
      </c>
      <c r="Q41" s="76">
        <f t="shared" ca="1" si="34"/>
        <v>0</v>
      </c>
      <c r="R41" s="67">
        <f ca="1">IFERROR(__xludf.DUMMYFUNCTION("IMPORTRANGE(""https://docs.google.com/spreadsheets/d/1NexK3geCPxCTO1fzNF8dPec7yZyUx3OaWkFBC9HsQOo/edit?usp=sharing"",""ยโสธร!Q72"")"),543460)</f>
        <v>543460</v>
      </c>
      <c r="S41" s="67">
        <f ca="1">IFERROR(__xludf.DUMMYFUNCTION("IMPORTRANGE(""https://docs.google.com/spreadsheets/d/1NexK3geCPxCTO1fzNF8dPec7yZyUx3OaWkFBC9HsQOo/edit?usp=sharing"",""ยโสธร!R72"")"),543460)</f>
        <v>543460</v>
      </c>
      <c r="T41" s="67">
        <f ca="1">IFERROR(__xludf.DUMMYFUNCTION("IMPORTRANGE(""https://docs.google.com/spreadsheets/d/1NexK3geCPxCTO1fzNF8dPec7yZyUx3OaWkFBC9HsQOo/edit?usp=sharing"",""ยโสธร!S72"")"),366030)</f>
        <v>366030</v>
      </c>
      <c r="U41" s="68">
        <f t="shared" ca="1" si="36"/>
        <v>67.351783019909476</v>
      </c>
      <c r="V41" s="68">
        <f t="shared" ca="1" si="37"/>
        <v>67.351783019909476</v>
      </c>
      <c r="W41" s="78">
        <f t="shared" ca="1" si="38"/>
        <v>1</v>
      </c>
      <c r="X41" s="78">
        <f t="shared" ca="1" si="39"/>
        <v>40</v>
      </c>
      <c r="Y41" s="78">
        <f t="shared" ca="1" si="51"/>
        <v>1</v>
      </c>
      <c r="Z41" s="79">
        <f t="shared" ca="1" si="40"/>
        <v>100</v>
      </c>
      <c r="AA41" s="78">
        <f t="shared" ca="1" si="52"/>
        <v>40</v>
      </c>
      <c r="AB41" s="79">
        <f t="shared" ca="1" si="41"/>
        <v>100</v>
      </c>
      <c r="AC41" s="78">
        <f ca="1">IFERROR(__xludf.DUMMYFUNCTION("IMPORTRANGE(""https://docs.google.com/spreadsheets/d/1NexK3geCPxCTO1fzNF8dPec7yZyUx3OaWkFBC9HsQOo/edit?usp=sharing"",""ยโสธร!I84"")"),0)</f>
        <v>0</v>
      </c>
      <c r="AD41" s="78">
        <f ca="1">IFERROR(__xludf.DUMMYFUNCTION("IMPORTRANGE(""https://docs.google.com/spreadsheets/d/1NexK3geCPxCTO1fzNF8dPec7yZyUx3OaWkFBC9HsQOo/edit?usp=sharing"",""ยโสธร!I85"")"),0)</f>
        <v>0</v>
      </c>
      <c r="AE41" s="78">
        <f ca="1">IFERROR(__xludf.DUMMYFUNCTION("IMPORTRANGE(""https://docs.google.com/spreadsheets/d/1NexK3geCPxCTO1fzNF8dPec7yZyUx3OaWkFBC9HsQOo/edit?usp=sharing"",""ยโสธร!J84"")"),0)</f>
        <v>0</v>
      </c>
      <c r="AF41" s="78">
        <f ca="1">IFERROR(__xludf.DUMMYFUNCTION("IMPORTRANGE(""https://docs.google.com/spreadsheets/d/1NexK3geCPxCTO1fzNF8dPec7yZyUx3OaWkFBC9HsQOo/edit?usp=sharing"",""ยโสธร!J85"")"),0)</f>
        <v>0</v>
      </c>
      <c r="AG41" s="78">
        <f ca="1">IFERROR(__xludf.DUMMYFUNCTION("IMPORTRANGE(""https://docs.google.com/spreadsheets/d/1NexK3geCPxCTO1fzNF8dPec7yZyUx3OaWkFBC9HsQOo/edit?usp=sharing"",""ยโสธร!I86"")"),0)</f>
        <v>0</v>
      </c>
      <c r="AH41" s="78">
        <f ca="1">IFERROR(__xludf.DUMMYFUNCTION("IMPORTRANGE(""https://docs.google.com/spreadsheets/d/1NexK3geCPxCTO1fzNF8dPec7yZyUx3OaWkFBC9HsQOo/edit?usp=sharing"",""ยโสธร!I87"")"),0)</f>
        <v>0</v>
      </c>
      <c r="AI41" s="78">
        <f ca="1">IFERROR(__xludf.DUMMYFUNCTION("IMPORTRANGE(""https://docs.google.com/spreadsheets/d/1NexK3geCPxCTO1fzNF8dPec7yZyUx3OaWkFBC9HsQOo/edit?usp=sharing"",""ยโสธร!J86"")"),0)</f>
        <v>0</v>
      </c>
      <c r="AJ41" s="78">
        <f ca="1">IFERROR(__xludf.DUMMYFUNCTION("IMPORTRANGE(""https://docs.google.com/spreadsheets/d/1NexK3geCPxCTO1fzNF8dPec7yZyUx3OaWkFBC9HsQOo/edit?usp=sharing"",""ยโสธร!J87"")"),0)</f>
        <v>0</v>
      </c>
      <c r="AK41" s="78">
        <f ca="1">IFERROR(__xludf.DUMMYFUNCTION("IMPORTRANGE(""https://docs.google.com/spreadsheets/d/1NexK3geCPxCTO1fzNF8dPec7yZyUx3OaWkFBC9HsQOo/edit?usp=sharing"",""ยโสธร!I88"")"),1)</f>
        <v>1</v>
      </c>
      <c r="AL41" s="74">
        <f ca="1">IFERROR(__xludf.DUMMYFUNCTION("IMPORTRANGE(""https://docs.google.com/spreadsheets/d/1NexK3geCPxCTO1fzNF8dPec7yZyUx3OaWkFBC9HsQOo/edit?usp=sharing"",""ยโสธร!I89"")"),40)</f>
        <v>40</v>
      </c>
      <c r="AM41" s="78">
        <f ca="1">IFERROR(__xludf.DUMMYFUNCTION("IMPORTRANGE(""https://docs.google.com/spreadsheets/d/1NexK3geCPxCTO1fzNF8dPec7yZyUx3OaWkFBC9HsQOo/edit?usp=sharing"",""ยโสธร!J88"")"),1)</f>
        <v>1</v>
      </c>
      <c r="AN41" s="78">
        <f ca="1">IFERROR(__xludf.DUMMYFUNCTION("IMPORTRANGE(""https://docs.google.com/spreadsheets/d/1NexK3geCPxCTO1fzNF8dPec7yZyUx3OaWkFBC9HsQOo/edit?usp=sharing"",""ยโสธร!J89"")"),40)</f>
        <v>40</v>
      </c>
      <c r="AO41" s="78">
        <f ca="1">IFERROR(__xludf.DUMMYFUNCTION("IMPORTRANGE(""https://docs.google.com/spreadsheets/d/1NexK3geCPxCTO1fzNF8dPec7yZyUx3OaWkFBC9HsQOo/edit?usp=sharing"",""ยโสธร!I90"")"),1)</f>
        <v>1</v>
      </c>
      <c r="AP41" s="78">
        <f ca="1">IFERROR(__xludf.DUMMYFUNCTION("IMPORTRANGE(""https://docs.google.com/spreadsheets/d/1NexK3geCPxCTO1fzNF8dPec7yZyUx3OaWkFBC9HsQOo/edit?usp=sharing"",""ยโสธร!J90"")"),1)</f>
        <v>1</v>
      </c>
      <c r="AQ41" s="79">
        <f t="shared" ca="1" si="43"/>
        <v>100</v>
      </c>
    </row>
    <row r="42" spans="1:43" ht="21" customHeight="1" x14ac:dyDescent="0.3">
      <c r="A42" s="70">
        <v>11</v>
      </c>
      <c r="B42" s="71" t="s">
        <v>70</v>
      </c>
      <c r="C42" s="72">
        <f t="shared" ca="1" si="27"/>
        <v>142000</v>
      </c>
      <c r="D42" s="73">
        <f t="shared" ca="1" si="50"/>
        <v>142000</v>
      </c>
      <c r="E42" s="74">
        <f ca="1">IFERROR(__xludf.DUMMYFUNCTION("IMPORTRANGE(""https://docs.google.com/spreadsheets/d/1-uDff_7J0KD5mKrp0Vvzr7lt3OU09vwQwhkpOPPYv2Y/edit?usp=sharing"",""งบพรบ!AN42"")"),0)</f>
        <v>0</v>
      </c>
      <c r="F42" s="74">
        <f ca="1">IFERROR(__xludf.DUMMYFUNCTION("IMPORTRANGE(""https://docs.google.com/spreadsheets/d/1-uDff_7J0KD5mKrp0Vvzr7lt3OU09vwQwhkpOPPYv2Y/edit?usp=sharing"",""งบพรบ!AO42"")"),142000)</f>
        <v>142000</v>
      </c>
      <c r="G42" s="74">
        <f ca="1">IFERROR(__xludf.DUMMYFUNCTION("IMPORTRANGE(""https://docs.google.com/spreadsheets/d/1-uDff_7J0KD5mKrp0Vvzr7lt3OU09vwQwhkpOPPYv2Y/edit?usp=sharing"",""งบพรบ!AP42"")"),0)</f>
        <v>0</v>
      </c>
      <c r="H42" s="74">
        <f ca="1">IFERROR(__xludf.DUMMYFUNCTION("IMPORTRANGE(""https://docs.google.com/spreadsheets/d/1-uDff_7J0KD5mKrp0Vvzr7lt3OU09vwQwhkpOPPYv2Y/edit?usp=sharing"",""งบพรบ!AR42"")"),142000)</f>
        <v>142000</v>
      </c>
      <c r="I42" s="74">
        <f ca="1">IFERROR(__xludf.DUMMYFUNCTION("IMPORTRANGE(""https://docs.google.com/spreadsheets/d/1-uDff_7J0KD5mKrp0Vvzr7lt3OU09vwQwhkpOPPYv2Y/edit?usp=sharing"",""งบพรบ!AS42"")"),0)</f>
        <v>0</v>
      </c>
      <c r="J42" s="74">
        <f t="shared" ca="1" si="29"/>
        <v>88974</v>
      </c>
      <c r="K42" s="75">
        <f t="shared" ca="1" si="30"/>
        <v>62.657746478873243</v>
      </c>
      <c r="L42" s="74">
        <f ca="1">IFERROR(__xludf.DUMMYFUNCTION("IMPORTRANGE(""https://docs.google.com/spreadsheets/d/1-uDff_7J0KD5mKrp0Vvzr7lt3OU09vwQwhkpOPPYv2Y/edit?usp=sharing"",""งบพรบ!AT42"")"),88974)</f>
        <v>88974</v>
      </c>
      <c r="M42" s="76">
        <f t="shared" ca="1" si="31"/>
        <v>62.657746478873243</v>
      </c>
      <c r="N42" s="76">
        <f t="shared" ca="1" si="32"/>
        <v>62.657746478873243</v>
      </c>
      <c r="O42" s="77">
        <f ca="1">IFERROR(__xludf.DUMMYFUNCTION("IMPORTRANGE(""https://docs.google.com/spreadsheets/d/1-uDff_7J0KD5mKrp0Vvzr7lt3OU09vwQwhkpOPPYv2Y/edit?usp=sharing"",""งบพรบ!AU42"")"),0)</f>
        <v>0</v>
      </c>
      <c r="P42" s="77">
        <f t="shared" ca="1" si="33"/>
        <v>0</v>
      </c>
      <c r="Q42" s="76">
        <f t="shared" ca="1" si="34"/>
        <v>0</v>
      </c>
      <c r="R42" s="67">
        <f ca="1">IFERROR(__xludf.DUMMYFUNCTION("IMPORTRANGE(""https://docs.google.com/spreadsheets/d/1v_cJrbBlyqmnHPReHk44g9NrMRdENNlSy_E_c5M9fIg/edit?usp=sharing"",""ร้อยเอ็ด!Q72"")"),435800)</f>
        <v>435800</v>
      </c>
      <c r="S42" s="67">
        <f ca="1">IFERROR(__xludf.DUMMYFUNCTION("IMPORTRANGE(""https://docs.google.com/spreadsheets/d/1v_cJrbBlyqmnHPReHk44g9NrMRdENNlSy_E_c5M9fIg/edit?usp=sharing"",""ร้อยเอ็ด!R72"")"),435800)</f>
        <v>435800</v>
      </c>
      <c r="T42" s="67">
        <f ca="1">IFERROR(__xludf.DUMMYFUNCTION("IMPORTRANGE(""https://docs.google.com/spreadsheets/d/1v_cJrbBlyqmnHPReHk44g9NrMRdENNlSy_E_c5M9fIg/edit?usp=sharing"",""ร้อยเอ็ด!S72"")"),139881)</f>
        <v>139881</v>
      </c>
      <c r="U42" s="68">
        <f t="shared" ca="1" si="36"/>
        <v>32.097521798990364</v>
      </c>
      <c r="V42" s="68">
        <f t="shared" ca="1" si="37"/>
        <v>32.097521798990364</v>
      </c>
      <c r="W42" s="78">
        <f t="shared" ca="1" si="38"/>
        <v>1</v>
      </c>
      <c r="X42" s="78">
        <f t="shared" ca="1" si="39"/>
        <v>35</v>
      </c>
      <c r="Y42" s="78">
        <f t="shared" ca="1" si="51"/>
        <v>1</v>
      </c>
      <c r="Z42" s="79">
        <f t="shared" ca="1" si="40"/>
        <v>100</v>
      </c>
      <c r="AA42" s="78">
        <f t="shared" ca="1" si="52"/>
        <v>35</v>
      </c>
      <c r="AB42" s="79">
        <f t="shared" ca="1" si="41"/>
        <v>100</v>
      </c>
      <c r="AC42" s="74">
        <f ca="1">IFERROR(__xludf.DUMMYFUNCTION("IMPORTRANGE(""https://docs.google.com/spreadsheets/d/1v_cJrbBlyqmnHPReHk44g9NrMRdENNlSy_E_c5M9fIg/edit?usp=sharing"",""ร้อยเอ็ด!I84"")"),1)</f>
        <v>1</v>
      </c>
      <c r="AD42" s="74">
        <f ca="1">IFERROR(__xludf.DUMMYFUNCTION("IMPORTRANGE(""https://docs.google.com/spreadsheets/d/1v_cJrbBlyqmnHPReHk44g9NrMRdENNlSy_E_c5M9fIg/edit?usp=sharing"",""ร้อยเอ็ด!I85"")"),35)</f>
        <v>35</v>
      </c>
      <c r="AE42" s="78">
        <f ca="1">IFERROR(__xludf.DUMMYFUNCTION("IMPORTRANGE(""https://docs.google.com/spreadsheets/d/1v_cJrbBlyqmnHPReHk44g9NrMRdENNlSy_E_c5M9fIg/edit?usp=sharing"",""ร้อยเอ็ด!J84"")"),1)</f>
        <v>1</v>
      </c>
      <c r="AF42" s="78">
        <f ca="1">IFERROR(__xludf.DUMMYFUNCTION("IMPORTRANGE(""https://docs.google.com/spreadsheets/d/1v_cJrbBlyqmnHPReHk44g9NrMRdENNlSy_E_c5M9fIg/edit?usp=sharing"",""ร้อยเอ็ด!J85"")"),35)</f>
        <v>35</v>
      </c>
      <c r="AG42" s="74">
        <f ca="1">IFERROR(__xludf.DUMMYFUNCTION("IMPORTRANGE(""https://docs.google.com/spreadsheets/d/1v_cJrbBlyqmnHPReHk44g9NrMRdENNlSy_E_c5M9fIg/edit?usp=sharing"",""ร้อยเอ็ด!I86"")"),0)</f>
        <v>0</v>
      </c>
      <c r="AH42" s="74">
        <f ca="1">IFERROR(__xludf.DUMMYFUNCTION("IMPORTRANGE(""https://docs.google.com/spreadsheets/d/1v_cJrbBlyqmnHPReHk44g9NrMRdENNlSy_E_c5M9fIg/edit?usp=sharing"",""ร้อยเอ็ด!I87"")"),0)</f>
        <v>0</v>
      </c>
      <c r="AI42" s="78">
        <f ca="1">IFERROR(__xludf.DUMMYFUNCTION("IMPORTRANGE(""https://docs.google.com/spreadsheets/d/1v_cJrbBlyqmnHPReHk44g9NrMRdENNlSy_E_c5M9fIg/edit?usp=sharing"",""ร้อยเอ็ด!J86"")"),0)</f>
        <v>0</v>
      </c>
      <c r="AJ42" s="78">
        <f ca="1">IFERROR(__xludf.DUMMYFUNCTION("IMPORTRANGE(""https://docs.google.com/spreadsheets/d/1v_cJrbBlyqmnHPReHk44g9NrMRdENNlSy_E_c5M9fIg/edit?usp=sharing"",""ร้อยเอ็ด!J87"")"),0)</f>
        <v>0</v>
      </c>
      <c r="AK42" s="74">
        <f ca="1">IFERROR(__xludf.DUMMYFUNCTION("IMPORTRANGE(""https://docs.google.com/spreadsheets/d/1v_cJrbBlyqmnHPReHk44g9NrMRdENNlSy_E_c5M9fIg/edit?usp=sharing"",""ร้อยเอ็ด!I88"")"),0)</f>
        <v>0</v>
      </c>
      <c r="AL42" s="74">
        <f ca="1">IFERROR(__xludf.DUMMYFUNCTION("IMPORTRANGE(""https://docs.google.com/spreadsheets/d/1v_cJrbBlyqmnHPReHk44g9NrMRdENNlSy_E_c5M9fIg/edit?usp=sharing"",""ร้อยเอ็ด!I89"")"),0)</f>
        <v>0</v>
      </c>
      <c r="AM42" s="78">
        <f ca="1">IFERROR(__xludf.DUMMYFUNCTION("IMPORTRANGE(""https://docs.google.com/spreadsheets/d/1v_cJrbBlyqmnHPReHk44g9NrMRdENNlSy_E_c5M9fIg/edit?usp=sharing"",""ร้อยเอ็ด!J88"")"),0)</f>
        <v>0</v>
      </c>
      <c r="AN42" s="78">
        <f ca="1">IFERROR(__xludf.DUMMYFUNCTION("IMPORTRANGE(""https://docs.google.com/spreadsheets/d/1v_cJrbBlyqmnHPReHk44g9NrMRdENNlSy_E_c5M9fIg/edit?usp=sharing"",""ร้อยเอ็ด!J89"")"),0)</f>
        <v>0</v>
      </c>
      <c r="AO42" s="74">
        <f ca="1">IFERROR(__xludf.DUMMYFUNCTION("IMPORTRANGE(""https://docs.google.com/spreadsheets/d/1v_cJrbBlyqmnHPReHk44g9NrMRdENNlSy_E_c5M9fIg/edit?usp=sharing"",""ร้อยเอ็ด!I90"")"),1)</f>
        <v>1</v>
      </c>
      <c r="AP42" s="78">
        <f ca="1">IFERROR(__xludf.DUMMYFUNCTION("IMPORTRANGE(""https://docs.google.com/spreadsheets/d/1v_cJrbBlyqmnHPReHk44g9NrMRdENNlSy_E_c5M9fIg/edit?usp=sharing"",""ร้อยเอ็ด!J90"")"),0)</f>
        <v>0</v>
      </c>
      <c r="AQ42" s="76">
        <f t="shared" ca="1" si="43"/>
        <v>0</v>
      </c>
    </row>
    <row r="43" spans="1:43" ht="21" customHeight="1" x14ac:dyDescent="0.3">
      <c r="A43" s="70">
        <v>12</v>
      </c>
      <c r="B43" s="71" t="s">
        <v>71</v>
      </c>
      <c r="C43" s="72">
        <f t="shared" ca="1" si="27"/>
        <v>0</v>
      </c>
      <c r="D43" s="73">
        <f t="shared" ca="1" si="50"/>
        <v>0</v>
      </c>
      <c r="E43" s="74">
        <f ca="1">IFERROR(__xludf.DUMMYFUNCTION("IMPORTRANGE(""https://docs.google.com/spreadsheets/d/1-uDff_7J0KD5mKrp0Vvzr7lt3OU09vwQwhkpOPPYv2Y/edit?usp=sharing"",""งบพรบ!AN43"")"),0)</f>
        <v>0</v>
      </c>
      <c r="F43" s="74">
        <f ca="1">IFERROR(__xludf.DUMMYFUNCTION("IMPORTRANGE(""https://docs.google.com/spreadsheets/d/1-uDff_7J0KD5mKrp0Vvzr7lt3OU09vwQwhkpOPPYv2Y/edit?usp=sharing"",""งบพรบ!AO43"")"),0)</f>
        <v>0</v>
      </c>
      <c r="G43" s="74">
        <f ca="1">IFERROR(__xludf.DUMMYFUNCTION("IMPORTRANGE(""https://docs.google.com/spreadsheets/d/1-uDff_7J0KD5mKrp0Vvzr7lt3OU09vwQwhkpOPPYv2Y/edit?usp=sharing"",""งบพรบ!AP43"")"),0)</f>
        <v>0</v>
      </c>
      <c r="H43" s="74">
        <f ca="1">IFERROR(__xludf.DUMMYFUNCTION("IMPORTRANGE(""https://docs.google.com/spreadsheets/d/1-uDff_7J0KD5mKrp0Vvzr7lt3OU09vwQwhkpOPPYv2Y/edit?usp=sharing"",""งบพรบ!AR43"")"),0)</f>
        <v>0</v>
      </c>
      <c r="I43" s="74">
        <f ca="1">IFERROR(__xludf.DUMMYFUNCTION("IMPORTRANGE(""https://docs.google.com/spreadsheets/d/1-uDff_7J0KD5mKrp0Vvzr7lt3OU09vwQwhkpOPPYv2Y/edit?usp=sharing"",""งบพรบ!AS43"")"),0)</f>
        <v>0</v>
      </c>
      <c r="J43" s="74">
        <f t="shared" ca="1" si="29"/>
        <v>0</v>
      </c>
      <c r="K43" s="75">
        <f t="shared" ca="1" si="30"/>
        <v>0</v>
      </c>
      <c r="L43" s="74">
        <f ca="1">IFERROR(__xludf.DUMMYFUNCTION("IMPORTRANGE(""https://docs.google.com/spreadsheets/d/1-uDff_7J0KD5mKrp0Vvzr7lt3OU09vwQwhkpOPPYv2Y/edit?usp=sharing"",""งบพรบ!AT43"")"),0)</f>
        <v>0</v>
      </c>
      <c r="M43" s="76">
        <f t="shared" ca="1" si="31"/>
        <v>0</v>
      </c>
      <c r="N43" s="76">
        <f t="shared" ca="1" si="32"/>
        <v>0</v>
      </c>
      <c r="O43" s="77">
        <f ca="1">IFERROR(__xludf.DUMMYFUNCTION("IMPORTRANGE(""https://docs.google.com/spreadsheets/d/1-uDff_7J0KD5mKrp0Vvzr7lt3OU09vwQwhkpOPPYv2Y/edit?usp=sharing"",""งบพรบ!AU43"")"),0)</f>
        <v>0</v>
      </c>
      <c r="P43" s="77">
        <f t="shared" ca="1" si="33"/>
        <v>0</v>
      </c>
      <c r="Q43" s="76">
        <f t="shared" ca="1" si="34"/>
        <v>0</v>
      </c>
      <c r="R43" s="67">
        <f ca="1">IFERROR(__xludf.DUMMYFUNCTION("IMPORTRANGE(""https://docs.google.com/spreadsheets/d/1Ul4RCpCX66NxYADU1QpwAPjOmBzW64SsT11s1wzXw_c/edit?usp=sharing"",""เลย!Q72"")"),0)</f>
        <v>0</v>
      </c>
      <c r="S43" s="67">
        <f ca="1">IFERROR(__xludf.DUMMYFUNCTION("IMPORTRANGE(""https://docs.google.com/spreadsheets/d/1Ul4RCpCX66NxYADU1QpwAPjOmBzW64SsT11s1wzXw_c/edit?usp=sharing"",""เลย!R72"")"),0)</f>
        <v>0</v>
      </c>
      <c r="T43" s="67">
        <f ca="1">IFERROR(__xludf.DUMMYFUNCTION("IMPORTRANGE(""https://docs.google.com/spreadsheets/d/1Ul4RCpCX66NxYADU1QpwAPjOmBzW64SsT11s1wzXw_c/edit?usp=sharing"",""เลย!S72"")"),0)</f>
        <v>0</v>
      </c>
      <c r="U43" s="68">
        <f t="shared" ca="1" si="36"/>
        <v>0</v>
      </c>
      <c r="V43" s="68">
        <f t="shared" ca="1" si="37"/>
        <v>0</v>
      </c>
      <c r="W43" s="78">
        <f t="shared" ca="1" si="38"/>
        <v>0</v>
      </c>
      <c r="X43" s="78">
        <f t="shared" ca="1" si="39"/>
        <v>0</v>
      </c>
      <c r="Y43" s="78">
        <f t="shared" ca="1" si="51"/>
        <v>0</v>
      </c>
      <c r="Z43" s="79">
        <f t="shared" ca="1" si="40"/>
        <v>0</v>
      </c>
      <c r="AA43" s="78">
        <f t="shared" ca="1" si="52"/>
        <v>0</v>
      </c>
      <c r="AB43" s="79">
        <f t="shared" ca="1" si="41"/>
        <v>0</v>
      </c>
      <c r="AC43" s="74">
        <f ca="1">IFERROR(__xludf.DUMMYFUNCTION("IMPORTRANGE(""https://docs.google.com/spreadsheets/d/1Ul4RCpCX66NxYADU1QpwAPjOmBzW64SsT11s1wzXw_c/edit?usp=sharing"",""เลย!I84"")"),0)</f>
        <v>0</v>
      </c>
      <c r="AD43" s="74">
        <f ca="1">IFERROR(__xludf.DUMMYFUNCTION("IMPORTRANGE(""https://docs.google.com/spreadsheets/d/1Ul4RCpCX66NxYADU1QpwAPjOmBzW64SsT11s1wzXw_c/edit?usp=sharing"",""เลย!I85"")"),0)</f>
        <v>0</v>
      </c>
      <c r="AE43" s="78">
        <f ca="1">IFERROR(__xludf.DUMMYFUNCTION("IMPORTRANGE(""https://docs.google.com/spreadsheets/d/1Ul4RCpCX66NxYADU1QpwAPjOmBzW64SsT11s1wzXw_c/edit?usp=sharing"",""เลย!J84"")"),0)</f>
        <v>0</v>
      </c>
      <c r="AF43" s="78">
        <f ca="1">IFERROR(__xludf.DUMMYFUNCTION("IMPORTRANGE(""https://docs.google.com/spreadsheets/d/1Ul4RCpCX66NxYADU1QpwAPjOmBzW64SsT11s1wzXw_c/edit?usp=sharing"",""เลย!J85"")"),0)</f>
        <v>0</v>
      </c>
      <c r="AG43" s="74">
        <f ca="1">IFERROR(__xludf.DUMMYFUNCTION("IMPORTRANGE(""https://docs.google.com/spreadsheets/d/1Ul4RCpCX66NxYADU1QpwAPjOmBzW64SsT11s1wzXw_c/edit?usp=sharing"",""เลย!I86"")"),0)</f>
        <v>0</v>
      </c>
      <c r="AH43" s="74">
        <f ca="1">IFERROR(__xludf.DUMMYFUNCTION("IMPORTRANGE(""https://docs.google.com/spreadsheets/d/1Ul4RCpCX66NxYADU1QpwAPjOmBzW64SsT11s1wzXw_c/edit?usp=sharing"",""เลย!I87"")"),0)</f>
        <v>0</v>
      </c>
      <c r="AI43" s="78">
        <f ca="1">IFERROR(__xludf.DUMMYFUNCTION("IMPORTRANGE(""https://docs.google.com/spreadsheets/d/1Ul4RCpCX66NxYADU1QpwAPjOmBzW64SsT11s1wzXw_c/edit?usp=sharing"",""เลย!J86"")"),0)</f>
        <v>0</v>
      </c>
      <c r="AJ43" s="78">
        <f ca="1">IFERROR(__xludf.DUMMYFUNCTION("IMPORTRANGE(""https://docs.google.com/spreadsheets/d/1Ul4RCpCX66NxYADU1QpwAPjOmBzW64SsT11s1wzXw_c/edit?usp=sharing"",""เลย!J87"")"),0)</f>
        <v>0</v>
      </c>
      <c r="AK43" s="74">
        <f ca="1">IFERROR(__xludf.DUMMYFUNCTION("IMPORTRANGE(""https://docs.google.com/spreadsheets/d/1Ul4RCpCX66NxYADU1QpwAPjOmBzW64SsT11s1wzXw_c/edit?usp=sharing"",""เลย!I88"")"),0)</f>
        <v>0</v>
      </c>
      <c r="AL43" s="74">
        <f ca="1">IFERROR(__xludf.DUMMYFUNCTION("IMPORTRANGE(""https://docs.google.com/spreadsheets/d/1Ul4RCpCX66NxYADU1QpwAPjOmBzW64SsT11s1wzXw_c/edit?usp=sharing"",""เลย!I89"")"),0)</f>
        <v>0</v>
      </c>
      <c r="AM43" s="78">
        <f ca="1">IFERROR(__xludf.DUMMYFUNCTION("IMPORTRANGE(""https://docs.google.com/spreadsheets/d/1Ul4RCpCX66NxYADU1QpwAPjOmBzW64SsT11s1wzXw_c/edit?usp=sharing"",""เลย!J88"")"),0)</f>
        <v>0</v>
      </c>
      <c r="AN43" s="78">
        <f ca="1">IFERROR(__xludf.DUMMYFUNCTION("IMPORTRANGE(""https://docs.google.com/spreadsheets/d/1Ul4RCpCX66NxYADU1QpwAPjOmBzW64SsT11s1wzXw_c/edit?usp=sharing"",""เลย!J89"")"),0)</f>
        <v>0</v>
      </c>
      <c r="AO43" s="74">
        <f ca="1">IFERROR(__xludf.DUMMYFUNCTION("IMPORTRANGE(""https://docs.google.com/spreadsheets/d/1Ul4RCpCX66NxYADU1QpwAPjOmBzW64SsT11s1wzXw_c/edit?usp=sharing"",""เลย!I90"")"),0)</f>
        <v>0</v>
      </c>
      <c r="AP43" s="78">
        <f ca="1">IFERROR(__xludf.DUMMYFUNCTION("IMPORTRANGE(""https://docs.google.com/spreadsheets/d/1Ul4RCpCX66NxYADU1QpwAPjOmBzW64SsT11s1wzXw_c/edit?usp=sharing"",""เลย!J90"")"),0)</f>
        <v>0</v>
      </c>
      <c r="AQ43" s="76">
        <f t="shared" ca="1" si="43"/>
        <v>0</v>
      </c>
    </row>
    <row r="44" spans="1:43" ht="21" customHeight="1" x14ac:dyDescent="0.3">
      <c r="A44" s="70">
        <v>13</v>
      </c>
      <c r="B44" s="71" t="s">
        <v>72</v>
      </c>
      <c r="C44" s="72">
        <f t="shared" ca="1" si="27"/>
        <v>0</v>
      </c>
      <c r="D44" s="73">
        <f t="shared" ca="1" si="50"/>
        <v>0</v>
      </c>
      <c r="E44" s="74">
        <f ca="1">IFERROR(__xludf.DUMMYFUNCTION("IMPORTRANGE(""https://docs.google.com/spreadsheets/d/1-uDff_7J0KD5mKrp0Vvzr7lt3OU09vwQwhkpOPPYv2Y/edit?usp=sharing"",""งบพรบ!AN44"")"),0)</f>
        <v>0</v>
      </c>
      <c r="F44" s="74">
        <f ca="1">IFERROR(__xludf.DUMMYFUNCTION("IMPORTRANGE(""https://docs.google.com/spreadsheets/d/1-uDff_7J0KD5mKrp0Vvzr7lt3OU09vwQwhkpOPPYv2Y/edit?usp=sharing"",""งบพรบ!AO44"")"),0)</f>
        <v>0</v>
      </c>
      <c r="G44" s="74">
        <f ca="1">IFERROR(__xludf.DUMMYFUNCTION("IMPORTRANGE(""https://docs.google.com/spreadsheets/d/1-uDff_7J0KD5mKrp0Vvzr7lt3OU09vwQwhkpOPPYv2Y/edit?usp=sharing"",""งบพรบ!AP44"")"),0)</f>
        <v>0</v>
      </c>
      <c r="H44" s="74">
        <f ca="1">IFERROR(__xludf.DUMMYFUNCTION("IMPORTRANGE(""https://docs.google.com/spreadsheets/d/1-uDff_7J0KD5mKrp0Vvzr7lt3OU09vwQwhkpOPPYv2Y/edit?usp=sharing"",""งบพรบ!AR44"")"),0)</f>
        <v>0</v>
      </c>
      <c r="I44" s="74">
        <f ca="1">IFERROR(__xludf.DUMMYFUNCTION("IMPORTRANGE(""https://docs.google.com/spreadsheets/d/1-uDff_7J0KD5mKrp0Vvzr7lt3OU09vwQwhkpOPPYv2Y/edit?usp=sharing"",""งบพรบ!AS44"")"),0)</f>
        <v>0</v>
      </c>
      <c r="J44" s="74">
        <f t="shared" ca="1" si="29"/>
        <v>0</v>
      </c>
      <c r="K44" s="75">
        <f t="shared" ca="1" si="30"/>
        <v>0</v>
      </c>
      <c r="L44" s="74">
        <f ca="1">IFERROR(__xludf.DUMMYFUNCTION("IMPORTRANGE(""https://docs.google.com/spreadsheets/d/1-uDff_7J0KD5mKrp0Vvzr7lt3OU09vwQwhkpOPPYv2Y/edit?usp=sharing"",""งบพรบ!AT44"")"),0)</f>
        <v>0</v>
      </c>
      <c r="M44" s="76">
        <f t="shared" ca="1" si="31"/>
        <v>0</v>
      </c>
      <c r="N44" s="76">
        <f t="shared" ca="1" si="32"/>
        <v>0</v>
      </c>
      <c r="O44" s="77">
        <f ca="1">IFERROR(__xludf.DUMMYFUNCTION("IMPORTRANGE(""https://docs.google.com/spreadsheets/d/1-uDff_7J0KD5mKrp0Vvzr7lt3OU09vwQwhkpOPPYv2Y/edit?usp=sharing"",""งบพรบ!AU44"")"),0)</f>
        <v>0</v>
      </c>
      <c r="P44" s="77">
        <f t="shared" ca="1" si="33"/>
        <v>0</v>
      </c>
      <c r="Q44" s="76">
        <f t="shared" ca="1" si="34"/>
        <v>0</v>
      </c>
      <c r="R44" s="67">
        <f ca="1">IFERROR(__xludf.DUMMYFUNCTION("IMPORTRANGE(""https://docs.google.com/spreadsheets/d/1bRrNKwbHDVktQG10isr5vbWRtt5spIZPpkOSWgbT5ug/edit?usp=sharing"",""ศรีสะเกษ!Q72"")"),0)</f>
        <v>0</v>
      </c>
      <c r="S44" s="67">
        <f ca="1">IFERROR(__xludf.DUMMYFUNCTION("IMPORTRANGE(""https://docs.google.com/spreadsheets/d/1bRrNKwbHDVktQG10isr5vbWRtt5spIZPpkOSWgbT5ug/edit?usp=sharing"",""ศรีสะเกษ!R72"")"),0)</f>
        <v>0</v>
      </c>
      <c r="T44" s="67">
        <f ca="1">IFERROR(__xludf.DUMMYFUNCTION("IMPORTRANGE(""https://docs.google.com/spreadsheets/d/1bRrNKwbHDVktQG10isr5vbWRtt5spIZPpkOSWgbT5ug/edit?usp=sharing"",""ศรีสะเกษ!S72"")"),0)</f>
        <v>0</v>
      </c>
      <c r="U44" s="68">
        <f t="shared" ca="1" si="36"/>
        <v>0</v>
      </c>
      <c r="V44" s="68">
        <f t="shared" ca="1" si="37"/>
        <v>0</v>
      </c>
      <c r="W44" s="78">
        <f t="shared" ca="1" si="38"/>
        <v>0</v>
      </c>
      <c r="X44" s="78">
        <f t="shared" ca="1" si="39"/>
        <v>0</v>
      </c>
      <c r="Y44" s="78">
        <f t="shared" ca="1" si="51"/>
        <v>0</v>
      </c>
      <c r="Z44" s="79">
        <f t="shared" ca="1" si="40"/>
        <v>0</v>
      </c>
      <c r="AA44" s="78">
        <f t="shared" ca="1" si="52"/>
        <v>0</v>
      </c>
      <c r="AB44" s="79">
        <f t="shared" ca="1" si="41"/>
        <v>0</v>
      </c>
      <c r="AC44" s="74">
        <f ca="1">IFERROR(__xludf.DUMMYFUNCTION("IMPORTRANGE(""https://docs.google.com/spreadsheets/d/1bRrNKwbHDVktQG10isr5vbWRtt5spIZPpkOSWgbT5ug/edit?usp=sharing"",""ศรีสะเกษ!I84"")"),0)</f>
        <v>0</v>
      </c>
      <c r="AD44" s="74">
        <f ca="1">IFERROR(__xludf.DUMMYFUNCTION("IMPORTRANGE(""https://docs.google.com/spreadsheets/d/1bRrNKwbHDVktQG10isr5vbWRtt5spIZPpkOSWgbT5ug/edit?usp=sharing"",""ศรีสะเกษ!I85"")"),0)</f>
        <v>0</v>
      </c>
      <c r="AE44" s="78">
        <f ca="1">IFERROR(__xludf.DUMMYFUNCTION("IMPORTRANGE(""https://docs.google.com/spreadsheets/d/1bRrNKwbHDVktQG10isr5vbWRtt5spIZPpkOSWgbT5ug/edit?usp=sharing"",""ศรีสะเกษ!J84"")"),0)</f>
        <v>0</v>
      </c>
      <c r="AF44" s="78">
        <f ca="1">IFERROR(__xludf.DUMMYFUNCTION("IMPORTRANGE(""https://docs.google.com/spreadsheets/d/1bRrNKwbHDVktQG10isr5vbWRtt5spIZPpkOSWgbT5ug/edit?usp=sharing"",""ศรีสะเกษ!J85"")"),0)</f>
        <v>0</v>
      </c>
      <c r="AG44" s="74">
        <f ca="1">IFERROR(__xludf.DUMMYFUNCTION("IMPORTRANGE(""https://docs.google.com/spreadsheets/d/1bRrNKwbHDVktQG10isr5vbWRtt5spIZPpkOSWgbT5ug/edit?usp=sharing"",""ศรีสะเกษ!I86"")"),0)</f>
        <v>0</v>
      </c>
      <c r="AH44" s="74">
        <f ca="1">IFERROR(__xludf.DUMMYFUNCTION("IMPORTRANGE(""https://docs.google.com/spreadsheets/d/1bRrNKwbHDVktQG10isr5vbWRtt5spIZPpkOSWgbT5ug/edit?usp=sharing"",""ศรีสะเกษ!I87"")"),0)</f>
        <v>0</v>
      </c>
      <c r="AI44" s="78">
        <f ca="1">IFERROR(__xludf.DUMMYFUNCTION("IMPORTRANGE(""https://docs.google.com/spreadsheets/d/1bRrNKwbHDVktQG10isr5vbWRtt5spIZPpkOSWgbT5ug/edit?usp=sharing"",""ศรีสะเกษ!J86"")"),0)</f>
        <v>0</v>
      </c>
      <c r="AJ44" s="78">
        <f ca="1">IFERROR(__xludf.DUMMYFUNCTION("IMPORTRANGE(""https://docs.google.com/spreadsheets/d/1bRrNKwbHDVktQG10isr5vbWRtt5spIZPpkOSWgbT5ug/edit?usp=sharing"",""ศรีสะเกษ!J87"")"),0)</f>
        <v>0</v>
      </c>
      <c r="AK44" s="74">
        <f ca="1">IFERROR(__xludf.DUMMYFUNCTION("IMPORTRANGE(""https://docs.google.com/spreadsheets/d/1bRrNKwbHDVktQG10isr5vbWRtt5spIZPpkOSWgbT5ug/edit?usp=sharing"",""ศรีสะเกษ!I88"")"),0)</f>
        <v>0</v>
      </c>
      <c r="AL44" s="74">
        <f ca="1">IFERROR(__xludf.DUMMYFUNCTION("IMPORTRANGE(""https://docs.google.com/spreadsheets/d/1bRrNKwbHDVktQG10isr5vbWRtt5spIZPpkOSWgbT5ug/edit?usp=sharing"",""ศรีสะเกษ!I89"")"),0)</f>
        <v>0</v>
      </c>
      <c r="AM44" s="78">
        <f ca="1">IFERROR(__xludf.DUMMYFUNCTION("IMPORTRANGE(""https://docs.google.com/spreadsheets/d/1bRrNKwbHDVktQG10isr5vbWRtt5spIZPpkOSWgbT5ug/edit?usp=sharing"",""ศรีสะเกษ!J88"")"),0)</f>
        <v>0</v>
      </c>
      <c r="AN44" s="78">
        <f ca="1">IFERROR(__xludf.DUMMYFUNCTION("IMPORTRANGE(""https://docs.google.com/spreadsheets/d/1bRrNKwbHDVktQG10isr5vbWRtt5spIZPpkOSWgbT5ug/edit?usp=sharing"",""ศรีสะเกษ!J89"")"),0)</f>
        <v>0</v>
      </c>
      <c r="AO44" s="74">
        <f ca="1">IFERROR(__xludf.DUMMYFUNCTION("IMPORTRANGE(""https://docs.google.com/spreadsheets/d/1bRrNKwbHDVktQG10isr5vbWRtt5spIZPpkOSWgbT5ug/edit?usp=sharing"",""ศรีสะเกษ!I90"")"),0)</f>
        <v>0</v>
      </c>
      <c r="AP44" s="78">
        <f ca="1">IFERROR(__xludf.DUMMYFUNCTION("IMPORTRANGE(""https://docs.google.com/spreadsheets/d/1bRrNKwbHDVktQG10isr5vbWRtt5spIZPpkOSWgbT5ug/edit?usp=sharing"",""ศรีสะเกษ!J90"")"),0)</f>
        <v>0</v>
      </c>
      <c r="AQ44" s="76">
        <f t="shared" ca="1" si="43"/>
        <v>0</v>
      </c>
    </row>
    <row r="45" spans="1:43" ht="21" customHeight="1" x14ac:dyDescent="0.3">
      <c r="A45" s="70">
        <v>14</v>
      </c>
      <c r="B45" s="71" t="s">
        <v>73</v>
      </c>
      <c r="C45" s="72">
        <f t="shared" ca="1" si="27"/>
        <v>142000</v>
      </c>
      <c r="D45" s="73">
        <f t="shared" ca="1" si="50"/>
        <v>142000</v>
      </c>
      <c r="E45" s="74">
        <f ca="1">IFERROR(__xludf.DUMMYFUNCTION("IMPORTRANGE(""https://docs.google.com/spreadsheets/d/1-uDff_7J0KD5mKrp0Vvzr7lt3OU09vwQwhkpOPPYv2Y/edit?usp=sharing"",""งบพรบ!AN45"")"),0)</f>
        <v>0</v>
      </c>
      <c r="F45" s="74">
        <f ca="1">IFERROR(__xludf.DUMMYFUNCTION("IMPORTRANGE(""https://docs.google.com/spreadsheets/d/1-uDff_7J0KD5mKrp0Vvzr7lt3OU09vwQwhkpOPPYv2Y/edit?usp=sharing"",""งบพรบ!AO45"")"),142000)</f>
        <v>142000</v>
      </c>
      <c r="G45" s="74">
        <f ca="1">IFERROR(__xludf.DUMMYFUNCTION("IMPORTRANGE(""https://docs.google.com/spreadsheets/d/1-uDff_7J0KD5mKrp0Vvzr7lt3OU09vwQwhkpOPPYv2Y/edit?usp=sharing"",""งบพรบ!AP45"")"),0)</f>
        <v>0</v>
      </c>
      <c r="H45" s="74">
        <f ca="1">IFERROR(__xludf.DUMMYFUNCTION("IMPORTRANGE(""https://docs.google.com/spreadsheets/d/1-uDff_7J0KD5mKrp0Vvzr7lt3OU09vwQwhkpOPPYv2Y/edit?usp=sharing"",""งบพรบ!AR45"")"),142000)</f>
        <v>142000</v>
      </c>
      <c r="I45" s="74">
        <f ca="1">IFERROR(__xludf.DUMMYFUNCTION("IMPORTRANGE(""https://docs.google.com/spreadsheets/d/1-uDff_7J0KD5mKrp0Vvzr7lt3OU09vwQwhkpOPPYv2Y/edit?usp=sharing"",""งบพรบ!AS45"")"),0)</f>
        <v>0</v>
      </c>
      <c r="J45" s="74">
        <f t="shared" ca="1" si="29"/>
        <v>76699.91</v>
      </c>
      <c r="K45" s="75">
        <f t="shared" ca="1" si="30"/>
        <v>54.014021126760561</v>
      </c>
      <c r="L45" s="74">
        <f ca="1">IFERROR(__xludf.DUMMYFUNCTION("IMPORTRANGE(""https://docs.google.com/spreadsheets/d/1-uDff_7J0KD5mKrp0Vvzr7lt3OU09vwQwhkpOPPYv2Y/edit?usp=sharing"",""งบพรบ!AT45"")"),76699.91)</f>
        <v>76699.91</v>
      </c>
      <c r="M45" s="76">
        <f t="shared" ca="1" si="31"/>
        <v>54.014021126760561</v>
      </c>
      <c r="N45" s="76">
        <f t="shared" ca="1" si="32"/>
        <v>54.014021126760561</v>
      </c>
      <c r="O45" s="77">
        <f ca="1">IFERROR(__xludf.DUMMYFUNCTION("IMPORTRANGE(""https://docs.google.com/spreadsheets/d/1-uDff_7J0KD5mKrp0Vvzr7lt3OU09vwQwhkpOPPYv2Y/edit?usp=sharing"",""งบพรบ!AU45"")"),0)</f>
        <v>0</v>
      </c>
      <c r="P45" s="77">
        <f t="shared" ca="1" si="33"/>
        <v>0</v>
      </c>
      <c r="Q45" s="76">
        <f t="shared" ca="1" si="34"/>
        <v>0</v>
      </c>
      <c r="R45" s="67">
        <f ca="1">IFERROR(__xludf.DUMMYFUNCTION("IMPORTRANGE(""https://docs.google.com/spreadsheets/d/17P34_Ow5kFBfdQD0qspb2UuPX5zpi6WMrQzslghyvrI/edit?usp=sharing"",""สกลนคร!Q72"")"),403700)</f>
        <v>403700</v>
      </c>
      <c r="S45" s="67">
        <f ca="1">IFERROR(__xludf.DUMMYFUNCTION("IMPORTRANGE(""https://docs.google.com/spreadsheets/d/17P34_Ow5kFBfdQD0qspb2UuPX5zpi6WMrQzslghyvrI/edit?usp=sharing"",""สกลนคร!R72"")"),403700)</f>
        <v>403700</v>
      </c>
      <c r="T45" s="67">
        <f ca="1">IFERROR(__xludf.DUMMYFUNCTION("IMPORTRANGE(""https://docs.google.com/spreadsheets/d/17P34_Ow5kFBfdQD0qspb2UuPX5zpi6WMrQzslghyvrI/edit?usp=sharing"",""สกลนคร!S72"")"),145182)</f>
        <v>145182</v>
      </c>
      <c r="U45" s="68">
        <f t="shared" ca="1" si="36"/>
        <v>35.962843695813724</v>
      </c>
      <c r="V45" s="68">
        <f t="shared" ca="1" si="37"/>
        <v>35.962843695813724</v>
      </c>
      <c r="W45" s="78">
        <f t="shared" ca="1" si="38"/>
        <v>1</v>
      </c>
      <c r="X45" s="78">
        <f t="shared" ca="1" si="39"/>
        <v>30</v>
      </c>
      <c r="Y45" s="78">
        <f t="shared" ca="1" si="51"/>
        <v>1</v>
      </c>
      <c r="Z45" s="79">
        <f t="shared" ca="1" si="40"/>
        <v>100</v>
      </c>
      <c r="AA45" s="78">
        <f t="shared" ca="1" si="52"/>
        <v>30</v>
      </c>
      <c r="AB45" s="79">
        <f t="shared" ca="1" si="41"/>
        <v>100</v>
      </c>
      <c r="AC45" s="74">
        <f ca="1">IFERROR(__xludf.DUMMYFUNCTION("IMPORTRANGE(""https://docs.google.com/spreadsheets/d/17P34_Ow5kFBfdQD0qspb2UuPX5zpi6WMrQzslghyvrI/edit?usp=sharing"",""สกลนคร!I84"")"),1)</f>
        <v>1</v>
      </c>
      <c r="AD45" s="74">
        <f ca="1">IFERROR(__xludf.DUMMYFUNCTION("IMPORTRANGE(""https://docs.google.com/spreadsheets/d/17P34_Ow5kFBfdQD0qspb2UuPX5zpi6WMrQzslghyvrI/edit?usp=sharing"",""สกลนคร!I85"")"),30)</f>
        <v>30</v>
      </c>
      <c r="AE45" s="78">
        <f ca="1">IFERROR(__xludf.DUMMYFUNCTION("IMPORTRANGE(""https://docs.google.com/spreadsheets/d/17P34_Ow5kFBfdQD0qspb2UuPX5zpi6WMrQzslghyvrI/edit?usp=sharing"",""สกลนคร!J84"")"),1)</f>
        <v>1</v>
      </c>
      <c r="AF45" s="78">
        <f ca="1">IFERROR(__xludf.DUMMYFUNCTION("IMPORTRANGE(""https://docs.google.com/spreadsheets/d/17P34_Ow5kFBfdQD0qspb2UuPX5zpi6WMrQzslghyvrI/edit?usp=sharing"",""สกลนคร!J85"")"),30)</f>
        <v>30</v>
      </c>
      <c r="AG45" s="74">
        <f ca="1">IFERROR(__xludf.DUMMYFUNCTION("IMPORTRANGE(""https://docs.google.com/spreadsheets/d/17P34_Ow5kFBfdQD0qspb2UuPX5zpi6WMrQzslghyvrI/edit?usp=sharing"",""สกลนคร!I86"")"),0)</f>
        <v>0</v>
      </c>
      <c r="AH45" s="74">
        <f ca="1">IFERROR(__xludf.DUMMYFUNCTION("IMPORTRANGE(""https://docs.google.com/spreadsheets/d/17P34_Ow5kFBfdQD0qspb2UuPX5zpi6WMrQzslghyvrI/edit?usp=sharing"",""สกลนคร!I87"")"),0)</f>
        <v>0</v>
      </c>
      <c r="AI45" s="78">
        <f ca="1">IFERROR(__xludf.DUMMYFUNCTION("IMPORTRANGE(""https://docs.google.com/spreadsheets/d/17P34_Ow5kFBfdQD0qspb2UuPX5zpi6WMrQzslghyvrI/edit?usp=sharing"",""สกลนคร!J86"")"),0)</f>
        <v>0</v>
      </c>
      <c r="AJ45" s="78">
        <f ca="1">IFERROR(__xludf.DUMMYFUNCTION("IMPORTRANGE(""https://docs.google.com/spreadsheets/d/17P34_Ow5kFBfdQD0qspb2UuPX5zpi6WMrQzslghyvrI/edit?usp=sharing"",""สกลนคร!J87"")"),0)</f>
        <v>0</v>
      </c>
      <c r="AK45" s="74">
        <f ca="1">IFERROR(__xludf.DUMMYFUNCTION("IMPORTRANGE(""https://docs.google.com/spreadsheets/d/17P34_Ow5kFBfdQD0qspb2UuPX5zpi6WMrQzslghyvrI/edit?usp=sharing"",""สกลนคร!I88"")"),0)</f>
        <v>0</v>
      </c>
      <c r="AL45" s="74">
        <f ca="1">IFERROR(__xludf.DUMMYFUNCTION("IMPORTRANGE(""https://docs.google.com/spreadsheets/d/17P34_Ow5kFBfdQD0qspb2UuPX5zpi6WMrQzslghyvrI/edit?usp=sharing"",""สกลนคร!I89"")"),0)</f>
        <v>0</v>
      </c>
      <c r="AM45" s="78">
        <f ca="1">IFERROR(__xludf.DUMMYFUNCTION("IMPORTRANGE(""https://docs.google.com/spreadsheets/d/17P34_Ow5kFBfdQD0qspb2UuPX5zpi6WMrQzslghyvrI/edit?usp=sharing"",""สกลนคร!J88"")"),0)</f>
        <v>0</v>
      </c>
      <c r="AN45" s="78">
        <f ca="1">IFERROR(__xludf.DUMMYFUNCTION("IMPORTRANGE(""https://docs.google.com/spreadsheets/d/17P34_Ow5kFBfdQD0qspb2UuPX5zpi6WMrQzslghyvrI/edit?usp=sharing"",""สกลนคร!J89"")"),0)</f>
        <v>0</v>
      </c>
      <c r="AO45" s="74">
        <f ca="1">IFERROR(__xludf.DUMMYFUNCTION("IMPORTRANGE(""https://docs.google.com/spreadsheets/d/17P34_Ow5kFBfdQD0qspb2UuPX5zpi6WMrQzslghyvrI/edit?usp=sharing"",""สกลนคร!I90"")"),1)</f>
        <v>1</v>
      </c>
      <c r="AP45" s="78">
        <f ca="1">IFERROR(__xludf.DUMMYFUNCTION("IMPORTRANGE(""https://docs.google.com/spreadsheets/d/17P34_Ow5kFBfdQD0qspb2UuPX5zpi6WMrQzslghyvrI/edit?usp=sharing"",""สกลนคร!J90"")"),0)</f>
        <v>0</v>
      </c>
      <c r="AQ45" s="76">
        <f t="shared" ca="1" si="43"/>
        <v>0</v>
      </c>
    </row>
    <row r="46" spans="1:43" ht="21" customHeight="1" x14ac:dyDescent="0.3">
      <c r="A46" s="70">
        <v>15</v>
      </c>
      <c r="B46" s="71" t="s">
        <v>74</v>
      </c>
      <c r="C46" s="72">
        <f t="shared" ca="1" si="27"/>
        <v>0</v>
      </c>
      <c r="D46" s="73">
        <f t="shared" ca="1" si="50"/>
        <v>0</v>
      </c>
      <c r="E46" s="74">
        <f ca="1">IFERROR(__xludf.DUMMYFUNCTION("IMPORTRANGE(""https://docs.google.com/spreadsheets/d/1-uDff_7J0KD5mKrp0Vvzr7lt3OU09vwQwhkpOPPYv2Y/edit?usp=sharing"",""งบพรบ!AN46"")"),0)</f>
        <v>0</v>
      </c>
      <c r="F46" s="74">
        <f ca="1">IFERROR(__xludf.DUMMYFUNCTION("IMPORTRANGE(""https://docs.google.com/spreadsheets/d/1-uDff_7J0KD5mKrp0Vvzr7lt3OU09vwQwhkpOPPYv2Y/edit?usp=sharing"",""งบพรบ!AO46"")"),0)</f>
        <v>0</v>
      </c>
      <c r="G46" s="74">
        <f ca="1">IFERROR(__xludf.DUMMYFUNCTION("IMPORTRANGE(""https://docs.google.com/spreadsheets/d/1-uDff_7J0KD5mKrp0Vvzr7lt3OU09vwQwhkpOPPYv2Y/edit?usp=sharing"",""งบพรบ!AP46"")"),0)</f>
        <v>0</v>
      </c>
      <c r="H46" s="74">
        <f ca="1">IFERROR(__xludf.DUMMYFUNCTION("IMPORTRANGE(""https://docs.google.com/spreadsheets/d/1-uDff_7J0KD5mKrp0Vvzr7lt3OU09vwQwhkpOPPYv2Y/edit?usp=sharing"",""งบพรบ!AR46"")"),0)</f>
        <v>0</v>
      </c>
      <c r="I46" s="74">
        <f ca="1">IFERROR(__xludf.DUMMYFUNCTION("IMPORTRANGE(""https://docs.google.com/spreadsheets/d/1-uDff_7J0KD5mKrp0Vvzr7lt3OU09vwQwhkpOPPYv2Y/edit?usp=sharing"",""งบพรบ!AS46"")"),0)</f>
        <v>0</v>
      </c>
      <c r="J46" s="74">
        <f t="shared" ca="1" si="29"/>
        <v>0</v>
      </c>
      <c r="K46" s="75">
        <f t="shared" ca="1" si="30"/>
        <v>0</v>
      </c>
      <c r="L46" s="74">
        <f ca="1">IFERROR(__xludf.DUMMYFUNCTION("IMPORTRANGE(""https://docs.google.com/spreadsheets/d/1-uDff_7J0KD5mKrp0Vvzr7lt3OU09vwQwhkpOPPYv2Y/edit?usp=sharing"",""งบพรบ!AT46"")"),0)</f>
        <v>0</v>
      </c>
      <c r="M46" s="76">
        <f t="shared" ca="1" si="31"/>
        <v>0</v>
      </c>
      <c r="N46" s="76">
        <f t="shared" ca="1" si="32"/>
        <v>0</v>
      </c>
      <c r="O46" s="77">
        <f ca="1">IFERROR(__xludf.DUMMYFUNCTION("IMPORTRANGE(""https://docs.google.com/spreadsheets/d/1-uDff_7J0KD5mKrp0Vvzr7lt3OU09vwQwhkpOPPYv2Y/edit?usp=sharing"",""งบพรบ!AU46"")"),0)</f>
        <v>0</v>
      </c>
      <c r="P46" s="77">
        <f t="shared" ca="1" si="33"/>
        <v>0</v>
      </c>
      <c r="Q46" s="76">
        <f t="shared" ca="1" si="34"/>
        <v>0</v>
      </c>
      <c r="R46" s="67">
        <f ca="1">IFERROR(__xludf.DUMMYFUNCTION("IMPORTRANGE(""https://docs.google.com/spreadsheets/d/1yswqbM3-AEpThF3ZSUa1AcmHnmRTF1vlJ1CZGcJ8YuU/edit?usp=sharing"",""สุรินทร์!Q72"")"),0)</f>
        <v>0</v>
      </c>
      <c r="S46" s="67">
        <f ca="1">IFERROR(__xludf.DUMMYFUNCTION("IMPORTRANGE(""https://docs.google.com/spreadsheets/d/1yswqbM3-AEpThF3ZSUa1AcmHnmRTF1vlJ1CZGcJ8YuU/edit?usp=sharing"",""สุรินทร์!R72"")"),0)</f>
        <v>0</v>
      </c>
      <c r="T46" s="67">
        <f ca="1">IFERROR(__xludf.DUMMYFUNCTION("IMPORTRANGE(""https://docs.google.com/spreadsheets/d/1yswqbM3-AEpThF3ZSUa1AcmHnmRTF1vlJ1CZGcJ8YuU/edit?usp=sharing"",""สุรินทร์!S72"")"),0)</f>
        <v>0</v>
      </c>
      <c r="U46" s="68">
        <f t="shared" ca="1" si="36"/>
        <v>0</v>
      </c>
      <c r="V46" s="68">
        <f t="shared" ca="1" si="37"/>
        <v>0</v>
      </c>
      <c r="W46" s="78">
        <f t="shared" ca="1" si="38"/>
        <v>0</v>
      </c>
      <c r="X46" s="78">
        <f t="shared" ca="1" si="39"/>
        <v>0</v>
      </c>
      <c r="Y46" s="78">
        <f t="shared" ca="1" si="51"/>
        <v>0</v>
      </c>
      <c r="Z46" s="79">
        <f t="shared" ca="1" si="40"/>
        <v>0</v>
      </c>
      <c r="AA46" s="78">
        <f t="shared" ca="1" si="52"/>
        <v>0</v>
      </c>
      <c r="AB46" s="79">
        <f t="shared" ca="1" si="41"/>
        <v>0</v>
      </c>
      <c r="AC46" s="74">
        <f ca="1">IFERROR(__xludf.DUMMYFUNCTION("IMPORTRANGE(""https://docs.google.com/spreadsheets/d/1yswqbM3-AEpThF3ZSUa1AcmHnmRTF1vlJ1CZGcJ8YuU/edit?usp=sharing"",""สุรินทร์!I84"")"),0)</f>
        <v>0</v>
      </c>
      <c r="AD46" s="74">
        <f ca="1">IFERROR(__xludf.DUMMYFUNCTION("IMPORTRANGE(""https://docs.google.com/spreadsheets/d/1yswqbM3-AEpThF3ZSUa1AcmHnmRTF1vlJ1CZGcJ8YuU/edit?usp=sharing"",""สุรินทร์!I85"")"),0)</f>
        <v>0</v>
      </c>
      <c r="AE46" s="78">
        <f ca="1">IFERROR(__xludf.DUMMYFUNCTION("IMPORTRANGE(""https://docs.google.com/spreadsheets/d/1yswqbM3-AEpThF3ZSUa1AcmHnmRTF1vlJ1CZGcJ8YuU/edit?usp=sharing"",""สุรินทร์!J84"")"),0)</f>
        <v>0</v>
      </c>
      <c r="AF46" s="78">
        <f ca="1">IFERROR(__xludf.DUMMYFUNCTION("IMPORTRANGE(""https://docs.google.com/spreadsheets/d/1yswqbM3-AEpThF3ZSUa1AcmHnmRTF1vlJ1CZGcJ8YuU/edit?usp=sharing"",""สุรินทร์!J85"")"),0)</f>
        <v>0</v>
      </c>
      <c r="AG46" s="74">
        <f ca="1">IFERROR(__xludf.DUMMYFUNCTION("IMPORTRANGE(""https://docs.google.com/spreadsheets/d/1yswqbM3-AEpThF3ZSUa1AcmHnmRTF1vlJ1CZGcJ8YuU/edit?usp=sharing"",""สุรินทร์!I86"")"),0)</f>
        <v>0</v>
      </c>
      <c r="AH46" s="74">
        <f ca="1">IFERROR(__xludf.DUMMYFUNCTION("IMPORTRANGE(""https://docs.google.com/spreadsheets/d/1yswqbM3-AEpThF3ZSUa1AcmHnmRTF1vlJ1CZGcJ8YuU/edit?usp=sharing"",""สุรินทร์!I87"")"),0)</f>
        <v>0</v>
      </c>
      <c r="AI46" s="78">
        <f ca="1">IFERROR(__xludf.DUMMYFUNCTION("IMPORTRANGE(""https://docs.google.com/spreadsheets/d/1yswqbM3-AEpThF3ZSUa1AcmHnmRTF1vlJ1CZGcJ8YuU/edit?usp=sharing"",""สุรินทร์!J86"")"),0)</f>
        <v>0</v>
      </c>
      <c r="AJ46" s="78">
        <f ca="1">IFERROR(__xludf.DUMMYFUNCTION("IMPORTRANGE(""https://docs.google.com/spreadsheets/d/1yswqbM3-AEpThF3ZSUa1AcmHnmRTF1vlJ1CZGcJ8YuU/edit?usp=sharing"",""สุรินทร์!J87"")"),0)</f>
        <v>0</v>
      </c>
      <c r="AK46" s="74">
        <f ca="1">IFERROR(__xludf.DUMMYFUNCTION("IMPORTRANGE(""https://docs.google.com/spreadsheets/d/1yswqbM3-AEpThF3ZSUa1AcmHnmRTF1vlJ1CZGcJ8YuU/edit?usp=sharing"",""สุรินทร์!I88"")"),0)</f>
        <v>0</v>
      </c>
      <c r="AL46" s="74">
        <f ca="1">IFERROR(__xludf.DUMMYFUNCTION("IMPORTRANGE(""https://docs.google.com/spreadsheets/d/1yswqbM3-AEpThF3ZSUa1AcmHnmRTF1vlJ1CZGcJ8YuU/edit?usp=sharing"",""สุรินทร์!I89"")"),0)</f>
        <v>0</v>
      </c>
      <c r="AM46" s="78">
        <f ca="1">IFERROR(__xludf.DUMMYFUNCTION("IMPORTRANGE(""https://docs.google.com/spreadsheets/d/1yswqbM3-AEpThF3ZSUa1AcmHnmRTF1vlJ1CZGcJ8YuU/edit?usp=sharing"",""สุรินทร์!J88"")"),0)</f>
        <v>0</v>
      </c>
      <c r="AN46" s="78">
        <f ca="1">IFERROR(__xludf.DUMMYFUNCTION("IMPORTRANGE(""https://docs.google.com/spreadsheets/d/1yswqbM3-AEpThF3ZSUa1AcmHnmRTF1vlJ1CZGcJ8YuU/edit?usp=sharing"",""สุรินทร์!J89"")"),0)</f>
        <v>0</v>
      </c>
      <c r="AO46" s="74">
        <f ca="1">IFERROR(__xludf.DUMMYFUNCTION("IMPORTRANGE(""https://docs.google.com/spreadsheets/d/1yswqbM3-AEpThF3ZSUa1AcmHnmRTF1vlJ1CZGcJ8YuU/edit?usp=sharing"",""สุรินทร์!I90"")"),0)</f>
        <v>0</v>
      </c>
      <c r="AP46" s="78">
        <f ca="1">IFERROR(__xludf.DUMMYFUNCTION("IMPORTRANGE(""https://docs.google.com/spreadsheets/d/1yswqbM3-AEpThF3ZSUa1AcmHnmRTF1vlJ1CZGcJ8YuU/edit?usp=sharing"",""สุรินทร์!J90"")"),0)</f>
        <v>0</v>
      </c>
      <c r="AQ46" s="76">
        <f t="shared" ca="1" si="43"/>
        <v>0</v>
      </c>
    </row>
    <row r="47" spans="1:43" ht="21" customHeight="1" x14ac:dyDescent="0.3">
      <c r="A47" s="70">
        <v>16</v>
      </c>
      <c r="B47" s="71" t="s">
        <v>75</v>
      </c>
      <c r="C47" s="72">
        <f t="shared" ca="1" si="27"/>
        <v>142000</v>
      </c>
      <c r="D47" s="73">
        <f t="shared" ca="1" si="50"/>
        <v>142000</v>
      </c>
      <c r="E47" s="74">
        <f ca="1">IFERROR(__xludf.DUMMYFUNCTION("IMPORTRANGE(""https://docs.google.com/spreadsheets/d/1-uDff_7J0KD5mKrp0Vvzr7lt3OU09vwQwhkpOPPYv2Y/edit?usp=sharing"",""งบพรบ!AN47"")"),0)</f>
        <v>0</v>
      </c>
      <c r="F47" s="74">
        <f ca="1">IFERROR(__xludf.DUMMYFUNCTION("IMPORTRANGE(""https://docs.google.com/spreadsheets/d/1-uDff_7J0KD5mKrp0Vvzr7lt3OU09vwQwhkpOPPYv2Y/edit?usp=sharing"",""งบพรบ!AO47"")"),142000)</f>
        <v>142000</v>
      </c>
      <c r="G47" s="74">
        <f ca="1">IFERROR(__xludf.DUMMYFUNCTION("IMPORTRANGE(""https://docs.google.com/spreadsheets/d/1-uDff_7J0KD5mKrp0Vvzr7lt3OU09vwQwhkpOPPYv2Y/edit?usp=sharing"",""งบพรบ!AP47"")"),0)</f>
        <v>0</v>
      </c>
      <c r="H47" s="74">
        <f ca="1">IFERROR(__xludf.DUMMYFUNCTION("IMPORTRANGE(""https://docs.google.com/spreadsheets/d/1-uDff_7J0KD5mKrp0Vvzr7lt3OU09vwQwhkpOPPYv2Y/edit?usp=sharing"",""งบพรบ!AR47"")"),142000)</f>
        <v>142000</v>
      </c>
      <c r="I47" s="74">
        <f ca="1">IFERROR(__xludf.DUMMYFUNCTION("IMPORTRANGE(""https://docs.google.com/spreadsheets/d/1-uDff_7J0KD5mKrp0Vvzr7lt3OU09vwQwhkpOPPYv2Y/edit?usp=sharing"",""งบพรบ!AS47"")"),0)</f>
        <v>0</v>
      </c>
      <c r="J47" s="74">
        <f t="shared" ca="1" si="29"/>
        <v>104969</v>
      </c>
      <c r="K47" s="75">
        <f t="shared" ca="1" si="30"/>
        <v>73.921830985915491</v>
      </c>
      <c r="L47" s="74">
        <f ca="1">IFERROR(__xludf.DUMMYFUNCTION("IMPORTRANGE(""https://docs.google.com/spreadsheets/d/1-uDff_7J0KD5mKrp0Vvzr7lt3OU09vwQwhkpOPPYv2Y/edit?usp=sharing"",""งบพรบ!AT47"")"),104969)</f>
        <v>104969</v>
      </c>
      <c r="M47" s="76">
        <f t="shared" ca="1" si="31"/>
        <v>73.921830985915491</v>
      </c>
      <c r="N47" s="76">
        <f t="shared" ca="1" si="32"/>
        <v>73.921830985915491</v>
      </c>
      <c r="O47" s="77">
        <f ca="1">IFERROR(__xludf.DUMMYFUNCTION("IMPORTRANGE(""https://docs.google.com/spreadsheets/d/1-uDff_7J0KD5mKrp0Vvzr7lt3OU09vwQwhkpOPPYv2Y/edit?usp=sharing"",""งบพรบ!AU47"")"),0)</f>
        <v>0</v>
      </c>
      <c r="P47" s="77">
        <f t="shared" ca="1" si="33"/>
        <v>0</v>
      </c>
      <c r="Q47" s="76">
        <f t="shared" ca="1" si="34"/>
        <v>0</v>
      </c>
      <c r="R47" s="67">
        <f ca="1">IFERROR(__xludf.DUMMYFUNCTION("IMPORTRANGE(""https://docs.google.com/spreadsheets/d/13JHU_EFbsQOUQ0JSQ3dWy1VTRosIWcDq6Nc99z2qzdc/edit?usp=sharing"",""หนองคาย!Q72"")"),507100)</f>
        <v>507100</v>
      </c>
      <c r="S47" s="67">
        <f ca="1">IFERROR(__xludf.DUMMYFUNCTION("IMPORTRANGE(""https://docs.google.com/spreadsheets/d/13JHU_EFbsQOUQ0JSQ3dWy1VTRosIWcDq6Nc99z2qzdc/edit?usp=sharing"",""หนองคาย!R72"")"),507100)</f>
        <v>507100</v>
      </c>
      <c r="T47" s="67">
        <f ca="1">IFERROR(__xludf.DUMMYFUNCTION("IMPORTRANGE(""https://docs.google.com/spreadsheets/d/13JHU_EFbsQOUQ0JSQ3dWy1VTRosIWcDq6Nc99z2qzdc/edit?usp=sharing"",""หนองคาย!S72"")"),250605)</f>
        <v>250605</v>
      </c>
      <c r="U47" s="68">
        <f t="shared" ca="1" si="36"/>
        <v>49.419246696903961</v>
      </c>
      <c r="V47" s="68">
        <f t="shared" ca="1" si="37"/>
        <v>49.419246696903961</v>
      </c>
      <c r="W47" s="78">
        <f t="shared" ca="1" si="38"/>
        <v>1</v>
      </c>
      <c r="X47" s="78">
        <f t="shared" ca="1" si="39"/>
        <v>50</v>
      </c>
      <c r="Y47" s="78">
        <f t="shared" ca="1" si="51"/>
        <v>1</v>
      </c>
      <c r="Z47" s="79">
        <f t="shared" ca="1" si="40"/>
        <v>100</v>
      </c>
      <c r="AA47" s="78">
        <f t="shared" ca="1" si="52"/>
        <v>50</v>
      </c>
      <c r="AB47" s="79">
        <f t="shared" ca="1" si="41"/>
        <v>100</v>
      </c>
      <c r="AC47" s="74">
        <f ca="1">IFERROR(__xludf.DUMMYFUNCTION("IMPORTRANGE(""https://docs.google.com/spreadsheets/d/13JHU_EFbsQOUQ0JSQ3dWy1VTRosIWcDq6Nc99z2qzdc/edit?usp=sharing"",""หนองคาย!I84"")"),0)</f>
        <v>0</v>
      </c>
      <c r="AD47" s="74">
        <f ca="1">IFERROR(__xludf.DUMMYFUNCTION("IMPORTRANGE(""https://docs.google.com/spreadsheets/d/13JHU_EFbsQOUQ0JSQ3dWy1VTRosIWcDq6Nc99z2qzdc/edit?usp=sharing"",""หนองคาย!I85"")"),0)</f>
        <v>0</v>
      </c>
      <c r="AE47" s="78">
        <f ca="1">IFERROR(__xludf.DUMMYFUNCTION("IMPORTRANGE(""https://docs.google.com/spreadsheets/d/13JHU_EFbsQOUQ0JSQ3dWy1VTRosIWcDq6Nc99z2qzdc/edit?usp=sharing"",""หนองคาย!J84"")"),0)</f>
        <v>0</v>
      </c>
      <c r="AF47" s="78">
        <f ca="1">IFERROR(__xludf.DUMMYFUNCTION("IMPORTRANGE(""https://docs.google.com/spreadsheets/d/13JHU_EFbsQOUQ0JSQ3dWy1VTRosIWcDq6Nc99z2qzdc/edit?usp=sharing"",""หนองคาย!J85"")"),0)</f>
        <v>0</v>
      </c>
      <c r="AG47" s="74">
        <f ca="1">IFERROR(__xludf.DUMMYFUNCTION("IMPORTRANGE(""https://docs.google.com/spreadsheets/d/13JHU_EFbsQOUQ0JSQ3dWy1VTRosIWcDq6Nc99z2qzdc/edit?usp=sharing"",""หนองคาย!I86"")"),1)</f>
        <v>1</v>
      </c>
      <c r="AH47" s="74">
        <f ca="1">IFERROR(__xludf.DUMMYFUNCTION("IMPORTRANGE(""https://docs.google.com/spreadsheets/d/13JHU_EFbsQOUQ0JSQ3dWy1VTRosIWcDq6Nc99z2qzdc/edit?usp=sharing"",""หนองคาย!I87"")"),50)</f>
        <v>50</v>
      </c>
      <c r="AI47" s="78">
        <f ca="1">IFERROR(__xludf.DUMMYFUNCTION("IMPORTRANGE(""https://docs.google.com/spreadsheets/d/13JHU_EFbsQOUQ0JSQ3dWy1VTRosIWcDq6Nc99z2qzdc/edit?usp=sharing"",""หนองคาย!J86"")"),1)</f>
        <v>1</v>
      </c>
      <c r="AJ47" s="78">
        <f ca="1">IFERROR(__xludf.DUMMYFUNCTION("IMPORTRANGE(""https://docs.google.com/spreadsheets/d/13JHU_EFbsQOUQ0JSQ3dWy1VTRosIWcDq6Nc99z2qzdc/edit?usp=sharing"",""หนองคาย!J87"")"),50)</f>
        <v>50</v>
      </c>
      <c r="AK47" s="74">
        <f ca="1">IFERROR(__xludf.DUMMYFUNCTION("IMPORTRANGE(""https://docs.google.com/spreadsheets/d/13JHU_EFbsQOUQ0JSQ3dWy1VTRosIWcDq6Nc99z2qzdc/edit?usp=sharing"",""หนองคาย!I88"")"),0)</f>
        <v>0</v>
      </c>
      <c r="AL47" s="74">
        <f ca="1">IFERROR(__xludf.DUMMYFUNCTION("IMPORTRANGE(""https://docs.google.com/spreadsheets/d/13JHU_EFbsQOUQ0JSQ3dWy1VTRosIWcDq6Nc99z2qzdc/edit?usp=sharing"",""หนองคาย!I89"")"),0)</f>
        <v>0</v>
      </c>
      <c r="AM47" s="78">
        <f ca="1">IFERROR(__xludf.DUMMYFUNCTION("IMPORTRANGE(""https://docs.google.com/spreadsheets/d/13JHU_EFbsQOUQ0JSQ3dWy1VTRosIWcDq6Nc99z2qzdc/edit?usp=sharing"",""หนองคาย!J88"")"),0)</f>
        <v>0</v>
      </c>
      <c r="AN47" s="78">
        <f ca="1">IFERROR(__xludf.DUMMYFUNCTION("IMPORTRANGE(""https://docs.google.com/spreadsheets/d/13JHU_EFbsQOUQ0JSQ3dWy1VTRosIWcDq6Nc99z2qzdc/edit?usp=sharing"",""หนองคาย!J89"")"),0)</f>
        <v>0</v>
      </c>
      <c r="AO47" s="74">
        <f ca="1">IFERROR(__xludf.DUMMYFUNCTION("IMPORTRANGE(""https://docs.google.com/spreadsheets/d/13JHU_EFbsQOUQ0JSQ3dWy1VTRosIWcDq6Nc99z2qzdc/edit?usp=sharing"",""หนองคาย!I90"")"),1)</f>
        <v>1</v>
      </c>
      <c r="AP47" s="78">
        <f ca="1">IFERROR(__xludf.DUMMYFUNCTION("IMPORTRANGE(""https://docs.google.com/spreadsheets/d/13JHU_EFbsQOUQ0JSQ3dWy1VTRosIWcDq6Nc99z2qzdc/edit?usp=sharing"",""หนองคาย!J90"")"),0)</f>
        <v>0</v>
      </c>
      <c r="AQ47" s="76">
        <f t="shared" ca="1" si="43"/>
        <v>0</v>
      </c>
    </row>
    <row r="48" spans="1:43" ht="21" customHeight="1" x14ac:dyDescent="0.3">
      <c r="A48" s="70">
        <v>17</v>
      </c>
      <c r="B48" s="71" t="s">
        <v>76</v>
      </c>
      <c r="C48" s="72">
        <f t="shared" ca="1" si="27"/>
        <v>314000</v>
      </c>
      <c r="D48" s="73">
        <f t="shared" ca="1" si="50"/>
        <v>314000</v>
      </c>
      <c r="E48" s="74">
        <f ca="1">IFERROR(__xludf.DUMMYFUNCTION("IMPORTRANGE(""https://docs.google.com/spreadsheets/d/1-uDff_7J0KD5mKrp0Vvzr7lt3OU09vwQwhkpOPPYv2Y/edit?usp=sharing"",""งบพรบ!AN48"")"),86000)</f>
        <v>86000</v>
      </c>
      <c r="F48" s="74">
        <f ca="1">IFERROR(__xludf.DUMMYFUNCTION("IMPORTRANGE(""https://docs.google.com/spreadsheets/d/1-uDff_7J0KD5mKrp0Vvzr7lt3OU09vwQwhkpOPPYv2Y/edit?usp=sharing"",""งบพรบ!AO48"")"),228000)</f>
        <v>228000</v>
      </c>
      <c r="G48" s="74">
        <f ca="1">IFERROR(__xludf.DUMMYFUNCTION("IMPORTRANGE(""https://docs.google.com/spreadsheets/d/1-uDff_7J0KD5mKrp0Vvzr7lt3OU09vwQwhkpOPPYv2Y/edit?usp=sharing"",""งบพรบ!AP48"")"),0)</f>
        <v>0</v>
      </c>
      <c r="H48" s="74">
        <f ca="1">IFERROR(__xludf.DUMMYFUNCTION("IMPORTRANGE(""https://docs.google.com/spreadsheets/d/1-uDff_7J0KD5mKrp0Vvzr7lt3OU09vwQwhkpOPPYv2Y/edit?usp=sharing"",""งบพรบ!AR48"")"),314000)</f>
        <v>314000</v>
      </c>
      <c r="I48" s="74">
        <f ca="1">IFERROR(__xludf.DUMMYFUNCTION("IMPORTRANGE(""https://docs.google.com/spreadsheets/d/1-uDff_7J0KD5mKrp0Vvzr7lt3OU09vwQwhkpOPPYv2Y/edit?usp=sharing"",""งบพรบ!AS48"")"),0)</f>
        <v>0</v>
      </c>
      <c r="J48" s="74">
        <f t="shared" ca="1" si="29"/>
        <v>276143.05</v>
      </c>
      <c r="K48" s="75">
        <f t="shared" ca="1" si="30"/>
        <v>87.94364649681529</v>
      </c>
      <c r="L48" s="74">
        <f ca="1">IFERROR(__xludf.DUMMYFUNCTION("IMPORTRANGE(""https://docs.google.com/spreadsheets/d/1-uDff_7J0KD5mKrp0Vvzr7lt3OU09vwQwhkpOPPYv2Y/edit?usp=sharing"",""งบพรบ!AT48"")"),276143.05)</f>
        <v>276143.05</v>
      </c>
      <c r="M48" s="76">
        <f t="shared" ca="1" si="31"/>
        <v>87.94364649681529</v>
      </c>
      <c r="N48" s="76">
        <f t="shared" ca="1" si="32"/>
        <v>87.94364649681529</v>
      </c>
      <c r="O48" s="77">
        <f ca="1">IFERROR(__xludf.DUMMYFUNCTION("IMPORTRANGE(""https://docs.google.com/spreadsheets/d/1-uDff_7J0KD5mKrp0Vvzr7lt3OU09vwQwhkpOPPYv2Y/edit?usp=sharing"",""งบพรบ!AU48"")"),0)</f>
        <v>0</v>
      </c>
      <c r="P48" s="77">
        <f t="shared" ca="1" si="33"/>
        <v>0</v>
      </c>
      <c r="Q48" s="76">
        <f t="shared" ca="1" si="34"/>
        <v>0</v>
      </c>
      <c r="R48" s="67">
        <f ca="1">IFERROR(__xludf.DUMMYFUNCTION("IMPORTRANGE(""https://docs.google.com/spreadsheets/d/1Hx73zIEgVdDZZaYSTc46Dqv64atFhpr3GelxLbaIN8A/edit?usp=sharing"",""หนองบัวลำภู!Q72"")"),310980)</f>
        <v>310980</v>
      </c>
      <c r="S48" s="67">
        <f ca="1">IFERROR(__xludf.DUMMYFUNCTION("IMPORTRANGE(""https://docs.google.com/spreadsheets/d/1Hx73zIEgVdDZZaYSTc46Dqv64atFhpr3GelxLbaIN8A/edit?usp=sharing"",""หนองบัวลำภู!R72"")"),310980)</f>
        <v>310980</v>
      </c>
      <c r="T48" s="67">
        <f ca="1">IFERROR(__xludf.DUMMYFUNCTION("IMPORTRANGE(""https://docs.google.com/spreadsheets/d/1Hx73zIEgVdDZZaYSTc46Dqv64atFhpr3GelxLbaIN8A/edit?usp=sharing"",""หนองบัวลำภู!S72"")"),81022)</f>
        <v>81022</v>
      </c>
      <c r="U48" s="68">
        <f t="shared" ca="1" si="36"/>
        <v>26.053765515467234</v>
      </c>
      <c r="V48" s="68">
        <f t="shared" ca="1" si="37"/>
        <v>26.053765515467234</v>
      </c>
      <c r="W48" s="78">
        <f t="shared" ca="1" si="38"/>
        <v>1</v>
      </c>
      <c r="X48" s="78">
        <f t="shared" ca="1" si="39"/>
        <v>30</v>
      </c>
      <c r="Y48" s="78">
        <f t="shared" ca="1" si="51"/>
        <v>1</v>
      </c>
      <c r="Z48" s="79">
        <f t="shared" ca="1" si="40"/>
        <v>100</v>
      </c>
      <c r="AA48" s="78">
        <f t="shared" ca="1" si="52"/>
        <v>30</v>
      </c>
      <c r="AB48" s="79">
        <f t="shared" ca="1" si="41"/>
        <v>100</v>
      </c>
      <c r="AC48" s="74">
        <f ca="1">IFERROR(__xludf.DUMMYFUNCTION("IMPORTRANGE(""https://docs.google.com/spreadsheets/d/1Hx73zIEgVdDZZaYSTc46Dqv64atFhpr3GelxLbaIN8A/edit?usp=sharing"",""หนองบัวลำภู!I84"")"),0)</f>
        <v>0</v>
      </c>
      <c r="AD48" s="74">
        <f ca="1">IFERROR(__xludf.DUMMYFUNCTION("IMPORTRANGE(""https://docs.google.com/spreadsheets/d/1Hx73zIEgVdDZZaYSTc46Dqv64atFhpr3GelxLbaIN8A/edit?usp=sharing"",""หนองบัวลำภู!I85"")"),0)</f>
        <v>0</v>
      </c>
      <c r="AE48" s="78">
        <f ca="1">IFERROR(__xludf.DUMMYFUNCTION("IMPORTRANGE(""https://docs.google.com/spreadsheets/d/1Hx73zIEgVdDZZaYSTc46Dqv64atFhpr3GelxLbaIN8A/edit?usp=sharing"",""หนองบัวลำภู!J84"")"),0)</f>
        <v>0</v>
      </c>
      <c r="AF48" s="78">
        <f ca="1">IFERROR(__xludf.DUMMYFUNCTION("IMPORTRANGE(""https://docs.google.com/spreadsheets/d/1Hx73zIEgVdDZZaYSTc46Dqv64atFhpr3GelxLbaIN8A/edit?usp=sharing"",""หนองบัวลำภู!J85"")"),0)</f>
        <v>0</v>
      </c>
      <c r="AG48" s="74">
        <f ca="1">IFERROR(__xludf.DUMMYFUNCTION("IMPORTRANGE(""https://docs.google.com/spreadsheets/d/1Hx73zIEgVdDZZaYSTc46Dqv64atFhpr3GelxLbaIN8A/edit?usp=sharing"",""หนองบัวลำภู!I86"")"),0)</f>
        <v>0</v>
      </c>
      <c r="AH48" s="74">
        <f ca="1">IFERROR(__xludf.DUMMYFUNCTION("IMPORTRANGE(""https://docs.google.com/spreadsheets/d/1Hx73zIEgVdDZZaYSTc46Dqv64atFhpr3GelxLbaIN8A/edit?usp=sharing"",""หนองบัวลำภู!I87"")"),0)</f>
        <v>0</v>
      </c>
      <c r="AI48" s="78">
        <f ca="1">IFERROR(__xludf.DUMMYFUNCTION("IMPORTRANGE(""https://docs.google.com/spreadsheets/d/1Hx73zIEgVdDZZaYSTc46Dqv64atFhpr3GelxLbaIN8A/edit?usp=sharing"",""หนองบัวลำภู!J86"")"),0)</f>
        <v>0</v>
      </c>
      <c r="AJ48" s="78">
        <f ca="1">IFERROR(__xludf.DUMMYFUNCTION("IMPORTRANGE(""https://docs.google.com/spreadsheets/d/1Hx73zIEgVdDZZaYSTc46Dqv64atFhpr3GelxLbaIN8A/edit?usp=sharing"",""หนองบัวลำภู!J87"")"),0)</f>
        <v>0</v>
      </c>
      <c r="AK48" s="74">
        <f ca="1">IFERROR(__xludf.DUMMYFUNCTION("IMPORTRANGE(""https://docs.google.com/spreadsheets/d/1Hx73zIEgVdDZZaYSTc46Dqv64atFhpr3GelxLbaIN8A/edit?usp=sharing"",""หนองบัวลำภู!I88"")"),1)</f>
        <v>1</v>
      </c>
      <c r="AL48" s="74">
        <f ca="1">IFERROR(__xludf.DUMMYFUNCTION("IMPORTRANGE(""https://docs.google.com/spreadsheets/d/1Hx73zIEgVdDZZaYSTc46Dqv64atFhpr3GelxLbaIN8A/edit?usp=sharing"",""หนองบัวลำภู!I89"")"),30)</f>
        <v>30</v>
      </c>
      <c r="AM48" s="78">
        <f ca="1">IFERROR(__xludf.DUMMYFUNCTION("IMPORTRANGE(""https://docs.google.com/spreadsheets/d/1Hx73zIEgVdDZZaYSTc46Dqv64atFhpr3GelxLbaIN8A/edit?usp=sharing"",""หนองบัวลำภู!J88"")"),1)</f>
        <v>1</v>
      </c>
      <c r="AN48" s="78">
        <f ca="1">IFERROR(__xludf.DUMMYFUNCTION("IMPORTRANGE(""https://docs.google.com/spreadsheets/d/1Hx73zIEgVdDZZaYSTc46Dqv64atFhpr3GelxLbaIN8A/edit?usp=sharing"",""หนองบัวลำภู!J89"")"),30)</f>
        <v>30</v>
      </c>
      <c r="AO48" s="74">
        <f ca="1">IFERROR(__xludf.DUMMYFUNCTION("IMPORTRANGE(""https://docs.google.com/spreadsheets/d/1Hx73zIEgVdDZZaYSTc46Dqv64atFhpr3GelxLbaIN8A/edit?usp=sharing"",""หนองบัวลำภู!I90"")"),1)</f>
        <v>1</v>
      </c>
      <c r="AP48" s="78">
        <f ca="1">IFERROR(__xludf.DUMMYFUNCTION("IMPORTRANGE(""https://docs.google.com/spreadsheets/d/1Hx73zIEgVdDZZaYSTc46Dqv64atFhpr3GelxLbaIN8A/edit?usp=sharing"",""หนองบัวลำภู!J90"")"),1)</f>
        <v>1</v>
      </c>
      <c r="AQ48" s="76">
        <f t="shared" ca="1" si="43"/>
        <v>100</v>
      </c>
    </row>
    <row r="49" spans="1:43" ht="21" customHeight="1" x14ac:dyDescent="0.3">
      <c r="A49" s="70">
        <v>18</v>
      </c>
      <c r="B49" s="71" t="s">
        <v>77</v>
      </c>
      <c r="C49" s="72">
        <f t="shared" ca="1" si="27"/>
        <v>142000</v>
      </c>
      <c r="D49" s="73">
        <f t="shared" ca="1" si="50"/>
        <v>142000</v>
      </c>
      <c r="E49" s="74">
        <f ca="1">IFERROR(__xludf.DUMMYFUNCTION("IMPORTRANGE(""https://docs.google.com/spreadsheets/d/1-uDff_7J0KD5mKrp0Vvzr7lt3OU09vwQwhkpOPPYv2Y/edit?usp=sharing"",""งบพรบ!AN49"")"),0)</f>
        <v>0</v>
      </c>
      <c r="F49" s="74">
        <f ca="1">IFERROR(__xludf.DUMMYFUNCTION("IMPORTRANGE(""https://docs.google.com/spreadsheets/d/1-uDff_7J0KD5mKrp0Vvzr7lt3OU09vwQwhkpOPPYv2Y/edit?usp=sharing"",""งบพรบ!AO49"")"),142000)</f>
        <v>142000</v>
      </c>
      <c r="G49" s="74">
        <f ca="1">IFERROR(__xludf.DUMMYFUNCTION("IMPORTRANGE(""https://docs.google.com/spreadsheets/d/1-uDff_7J0KD5mKrp0Vvzr7lt3OU09vwQwhkpOPPYv2Y/edit?usp=sharing"",""งบพรบ!AP49"")"),0)</f>
        <v>0</v>
      </c>
      <c r="H49" s="74">
        <f ca="1">IFERROR(__xludf.DUMMYFUNCTION("IMPORTRANGE(""https://docs.google.com/spreadsheets/d/1-uDff_7J0KD5mKrp0Vvzr7lt3OU09vwQwhkpOPPYv2Y/edit?usp=sharing"",""งบพรบ!AR49"")"),142000)</f>
        <v>142000</v>
      </c>
      <c r="I49" s="74">
        <f ca="1">IFERROR(__xludf.DUMMYFUNCTION("IMPORTRANGE(""https://docs.google.com/spreadsheets/d/1-uDff_7J0KD5mKrp0Vvzr7lt3OU09vwQwhkpOPPYv2Y/edit?usp=sharing"",""งบพรบ!AS49"")"),0)</f>
        <v>0</v>
      </c>
      <c r="J49" s="74">
        <f t="shared" ca="1" si="29"/>
        <v>103000</v>
      </c>
      <c r="K49" s="75">
        <f t="shared" ca="1" si="30"/>
        <v>72.535211267605632</v>
      </c>
      <c r="L49" s="74">
        <f ca="1">IFERROR(__xludf.DUMMYFUNCTION("IMPORTRANGE(""https://docs.google.com/spreadsheets/d/1-uDff_7J0KD5mKrp0Vvzr7lt3OU09vwQwhkpOPPYv2Y/edit?usp=sharing"",""งบพรบ!AT49"")"),103000)</f>
        <v>103000</v>
      </c>
      <c r="M49" s="76">
        <f t="shared" ca="1" si="31"/>
        <v>72.535211267605632</v>
      </c>
      <c r="N49" s="76">
        <f t="shared" ca="1" si="32"/>
        <v>72.535211267605632</v>
      </c>
      <c r="O49" s="77">
        <f ca="1">IFERROR(__xludf.DUMMYFUNCTION("IMPORTRANGE(""https://docs.google.com/spreadsheets/d/1-uDff_7J0KD5mKrp0Vvzr7lt3OU09vwQwhkpOPPYv2Y/edit?usp=sharing"",""งบพรบ!AU49"")"),0)</f>
        <v>0</v>
      </c>
      <c r="P49" s="77">
        <f t="shared" ca="1" si="33"/>
        <v>0</v>
      </c>
      <c r="Q49" s="76">
        <f t="shared" ca="1" si="34"/>
        <v>0</v>
      </c>
      <c r="R49" s="67">
        <f ca="1">IFERROR(__xludf.DUMMYFUNCTION("IMPORTRANGE(""https://docs.google.com/spreadsheets/d/1lFxr3ctmjFN90yc-xV6jrQ9Ty8BKYVBWnAZ15wcNIJc/edit?usp=sharing"",""อำนาจเจริญ!Q72"")"),403700)</f>
        <v>403700</v>
      </c>
      <c r="S49" s="67">
        <f ca="1">IFERROR(__xludf.DUMMYFUNCTION("IMPORTRANGE(""https://docs.google.com/spreadsheets/d/1lFxr3ctmjFN90yc-xV6jrQ9Ty8BKYVBWnAZ15wcNIJc/edit?usp=sharing"",""อำนาจเจริญ!R72"")"),403700)</f>
        <v>403700</v>
      </c>
      <c r="T49" s="67">
        <f ca="1">IFERROR(__xludf.DUMMYFUNCTION("IMPORTRANGE(""https://docs.google.com/spreadsheets/d/1lFxr3ctmjFN90yc-xV6jrQ9Ty8BKYVBWnAZ15wcNIJc/edit?usp=sharing"",""อำนาจเจริญ!S72"")"),144820)</f>
        <v>144820</v>
      </c>
      <c r="U49" s="68">
        <f t="shared" ca="1" si="36"/>
        <v>35.873173148377511</v>
      </c>
      <c r="V49" s="68">
        <f t="shared" ca="1" si="37"/>
        <v>35.873173148377511</v>
      </c>
      <c r="W49" s="78">
        <f t="shared" ca="1" si="38"/>
        <v>1</v>
      </c>
      <c r="X49" s="78">
        <f t="shared" ca="1" si="39"/>
        <v>30</v>
      </c>
      <c r="Y49" s="78">
        <f t="shared" ca="1" si="51"/>
        <v>1</v>
      </c>
      <c r="Z49" s="79">
        <f t="shared" ca="1" si="40"/>
        <v>100</v>
      </c>
      <c r="AA49" s="78">
        <f t="shared" ca="1" si="52"/>
        <v>30</v>
      </c>
      <c r="AB49" s="79">
        <f t="shared" ca="1" si="41"/>
        <v>100</v>
      </c>
      <c r="AC49" s="74">
        <f ca="1">IFERROR(__xludf.DUMMYFUNCTION("IMPORTRANGE(""https://docs.google.com/spreadsheets/d/1lFxr3ctmjFN90yc-xV6jrQ9Ty8BKYVBWnAZ15wcNIJc/edit?usp=sharing"",""อำนาจเจริญ!I84"")"),1)</f>
        <v>1</v>
      </c>
      <c r="AD49" s="74">
        <f ca="1">IFERROR(__xludf.DUMMYFUNCTION("IMPORTRANGE(""https://docs.google.com/spreadsheets/d/1lFxr3ctmjFN90yc-xV6jrQ9Ty8BKYVBWnAZ15wcNIJc/edit?usp=sharing"",""อำนาจเจริญ!I85"")"),30)</f>
        <v>30</v>
      </c>
      <c r="AE49" s="78">
        <f ca="1">IFERROR(__xludf.DUMMYFUNCTION("IMPORTRANGE(""https://docs.google.com/spreadsheets/d/1lFxr3ctmjFN90yc-xV6jrQ9Ty8BKYVBWnAZ15wcNIJc/edit?usp=sharing"",""อำนาจเจริญ!J84"")"),1)</f>
        <v>1</v>
      </c>
      <c r="AF49" s="78">
        <f ca="1">IFERROR(__xludf.DUMMYFUNCTION("IMPORTRANGE(""https://docs.google.com/spreadsheets/d/1lFxr3ctmjFN90yc-xV6jrQ9Ty8BKYVBWnAZ15wcNIJc/edit?usp=sharing"",""อำนาจเจริญ!J85"")"),30)</f>
        <v>30</v>
      </c>
      <c r="AG49" s="74">
        <f ca="1">IFERROR(__xludf.DUMMYFUNCTION("IMPORTRANGE(""https://docs.google.com/spreadsheets/d/1lFxr3ctmjFN90yc-xV6jrQ9Ty8BKYVBWnAZ15wcNIJc/edit?usp=sharing"",""อำนาจเจริญ!I86"")"),0)</f>
        <v>0</v>
      </c>
      <c r="AH49" s="74">
        <f ca="1">IFERROR(__xludf.DUMMYFUNCTION("IMPORTRANGE(""https://docs.google.com/spreadsheets/d/1lFxr3ctmjFN90yc-xV6jrQ9Ty8BKYVBWnAZ15wcNIJc/edit?usp=sharing"",""อำนาจเจริญ!I87"")"),0)</f>
        <v>0</v>
      </c>
      <c r="AI49" s="78">
        <f ca="1">IFERROR(__xludf.DUMMYFUNCTION("IMPORTRANGE(""https://docs.google.com/spreadsheets/d/1lFxr3ctmjFN90yc-xV6jrQ9Ty8BKYVBWnAZ15wcNIJc/edit?usp=sharing"",""อำนาจเจริญ!J86"")"),0)</f>
        <v>0</v>
      </c>
      <c r="AJ49" s="78">
        <f ca="1">IFERROR(__xludf.DUMMYFUNCTION("IMPORTRANGE(""https://docs.google.com/spreadsheets/d/1lFxr3ctmjFN90yc-xV6jrQ9Ty8BKYVBWnAZ15wcNIJc/edit?usp=sharing"",""อำนาจเจริญ!J87"")"),0)</f>
        <v>0</v>
      </c>
      <c r="AK49" s="74">
        <f ca="1">IFERROR(__xludf.DUMMYFUNCTION("IMPORTRANGE(""https://docs.google.com/spreadsheets/d/1lFxr3ctmjFN90yc-xV6jrQ9Ty8BKYVBWnAZ15wcNIJc/edit?usp=sharing"",""อำนาจเจริญ!I88"")"),0)</f>
        <v>0</v>
      </c>
      <c r="AL49" s="74">
        <f ca="1">IFERROR(__xludf.DUMMYFUNCTION("IMPORTRANGE(""https://docs.google.com/spreadsheets/d/1lFxr3ctmjFN90yc-xV6jrQ9Ty8BKYVBWnAZ15wcNIJc/edit?usp=sharing"",""อำนาจเจริญ!I89"")"),0)</f>
        <v>0</v>
      </c>
      <c r="AM49" s="78">
        <f ca="1">IFERROR(__xludf.DUMMYFUNCTION("IMPORTRANGE(""https://docs.google.com/spreadsheets/d/1lFxr3ctmjFN90yc-xV6jrQ9Ty8BKYVBWnAZ15wcNIJc/edit?usp=sharing"",""อำนาจเจริญ!J88"")"),0)</f>
        <v>0</v>
      </c>
      <c r="AN49" s="78">
        <f ca="1">IFERROR(__xludf.DUMMYFUNCTION("IMPORTRANGE(""https://docs.google.com/spreadsheets/d/1lFxr3ctmjFN90yc-xV6jrQ9Ty8BKYVBWnAZ15wcNIJc/edit?usp=sharing"",""อำนาจเจริญ!J89"")"),0)</f>
        <v>0</v>
      </c>
      <c r="AO49" s="74">
        <f ca="1">IFERROR(__xludf.DUMMYFUNCTION("IMPORTRANGE(""https://docs.google.com/spreadsheets/d/1lFxr3ctmjFN90yc-xV6jrQ9Ty8BKYVBWnAZ15wcNIJc/edit?usp=sharing"",""อำนาจเจริญ!I90"")"),1)</f>
        <v>1</v>
      </c>
      <c r="AP49" s="78">
        <f ca="1">IFERROR(__xludf.DUMMYFUNCTION("IMPORTRANGE(""https://docs.google.com/spreadsheets/d/1lFxr3ctmjFN90yc-xV6jrQ9Ty8BKYVBWnAZ15wcNIJc/edit?usp=sharing"",""อำนาจเจริญ!J90"")"),0)</f>
        <v>0</v>
      </c>
      <c r="AQ49" s="76">
        <f t="shared" ca="1" si="43"/>
        <v>0</v>
      </c>
    </row>
    <row r="50" spans="1:43" ht="21" customHeight="1" x14ac:dyDescent="0.3">
      <c r="A50" s="70">
        <v>19</v>
      </c>
      <c r="B50" s="71" t="s">
        <v>78</v>
      </c>
      <c r="C50" s="72">
        <f t="shared" ca="1" si="27"/>
        <v>529300</v>
      </c>
      <c r="D50" s="73">
        <f t="shared" ca="1" si="50"/>
        <v>529300</v>
      </c>
      <c r="E50" s="74">
        <f ca="1">IFERROR(__xludf.DUMMYFUNCTION("IMPORTRANGE(""https://docs.google.com/spreadsheets/d/1-uDff_7J0KD5mKrp0Vvzr7lt3OU09vwQwhkpOPPYv2Y/edit?usp=sharing"",""งบพรบ!AN50"")"),223300)</f>
        <v>223300</v>
      </c>
      <c r="F50" s="74">
        <f ca="1">IFERROR(__xludf.DUMMYFUNCTION("IMPORTRANGE(""https://docs.google.com/spreadsheets/d/1-uDff_7J0KD5mKrp0Vvzr7lt3OU09vwQwhkpOPPYv2Y/edit?usp=sharing"",""งบพรบ!AO50"")"),306000)</f>
        <v>306000</v>
      </c>
      <c r="G50" s="74">
        <f ca="1">IFERROR(__xludf.DUMMYFUNCTION("IMPORTRANGE(""https://docs.google.com/spreadsheets/d/1-uDff_7J0KD5mKrp0Vvzr7lt3OU09vwQwhkpOPPYv2Y/edit?usp=sharing"",""งบพรบ!AP50"")"),0)</f>
        <v>0</v>
      </c>
      <c r="H50" s="74">
        <f ca="1">IFERROR(__xludf.DUMMYFUNCTION("IMPORTRANGE(""https://docs.google.com/spreadsheets/d/1-uDff_7J0KD5mKrp0Vvzr7lt3OU09vwQwhkpOPPYv2Y/edit?usp=sharing"",""งบพรบ!AR50"")"),529300)</f>
        <v>529300</v>
      </c>
      <c r="I50" s="74">
        <f ca="1">IFERROR(__xludf.DUMMYFUNCTION("IMPORTRANGE(""https://docs.google.com/spreadsheets/d/1-uDff_7J0KD5mKrp0Vvzr7lt3OU09vwQwhkpOPPYv2Y/edit?usp=sharing"",""งบพรบ!AS50"")"),0)</f>
        <v>0</v>
      </c>
      <c r="J50" s="74">
        <f t="shared" ca="1" si="29"/>
        <v>481376.75</v>
      </c>
      <c r="K50" s="75">
        <f t="shared" ca="1" si="30"/>
        <v>90.945919138484797</v>
      </c>
      <c r="L50" s="74">
        <f ca="1">IFERROR(__xludf.DUMMYFUNCTION("IMPORTRANGE(""https://docs.google.com/spreadsheets/d/1-uDff_7J0KD5mKrp0Vvzr7lt3OU09vwQwhkpOPPYv2Y/edit?usp=sharing"",""งบพรบ!AT50"")"),481376.75)</f>
        <v>481376.75</v>
      </c>
      <c r="M50" s="76">
        <f t="shared" ca="1" si="31"/>
        <v>90.945919138484797</v>
      </c>
      <c r="N50" s="76">
        <f t="shared" ca="1" si="32"/>
        <v>90.945919138484797</v>
      </c>
      <c r="O50" s="77">
        <f ca="1">IFERROR(__xludf.DUMMYFUNCTION("IMPORTRANGE(""https://docs.google.com/spreadsheets/d/1-uDff_7J0KD5mKrp0Vvzr7lt3OU09vwQwhkpOPPYv2Y/edit?usp=sharing"",""งบพรบ!AU50"")"),0)</f>
        <v>0</v>
      </c>
      <c r="P50" s="77">
        <f t="shared" ca="1" si="33"/>
        <v>0</v>
      </c>
      <c r="Q50" s="76">
        <f t="shared" ca="1" si="34"/>
        <v>0</v>
      </c>
      <c r="R50" s="67">
        <f ca="1">IFERROR(__xludf.DUMMYFUNCTION("IMPORTRANGE(""https://docs.google.com/spreadsheets/d/1gF7RJpRnL-1oyjyeWxs5SFWEH7y8ahOZsQlyp2A2e-A/edit?usp=sharing"",""อุดรธานี!Q72"")"),987900)</f>
        <v>987900</v>
      </c>
      <c r="S50" s="67">
        <f ca="1">IFERROR(__xludf.DUMMYFUNCTION("IMPORTRANGE(""https://docs.google.com/spreadsheets/d/1gF7RJpRnL-1oyjyeWxs5SFWEH7y8ahOZsQlyp2A2e-A/edit?usp=sharing"",""อุดรธานี!R72"")"),987900)</f>
        <v>987900</v>
      </c>
      <c r="T50" s="67">
        <f ca="1">IFERROR(__xludf.DUMMYFUNCTION("IMPORTRANGE(""https://docs.google.com/spreadsheets/d/1gF7RJpRnL-1oyjyeWxs5SFWEH7y8ahOZsQlyp2A2e-A/edit?usp=sharing"",""อุดรธานี!S72"")"),403101)</f>
        <v>403101</v>
      </c>
      <c r="U50" s="68">
        <f t="shared" ca="1" si="36"/>
        <v>40.803826298208321</v>
      </c>
      <c r="V50" s="68">
        <f t="shared" ca="1" si="37"/>
        <v>40.803826298208321</v>
      </c>
      <c r="W50" s="78">
        <f t="shared" ca="1" si="38"/>
        <v>2</v>
      </c>
      <c r="X50" s="78">
        <f t="shared" ca="1" si="39"/>
        <v>100</v>
      </c>
      <c r="Y50" s="78">
        <f t="shared" ca="1" si="51"/>
        <v>2</v>
      </c>
      <c r="Z50" s="79">
        <f t="shared" ca="1" si="40"/>
        <v>100</v>
      </c>
      <c r="AA50" s="78">
        <f t="shared" ca="1" si="52"/>
        <v>100</v>
      </c>
      <c r="AB50" s="79">
        <f t="shared" ca="1" si="41"/>
        <v>100</v>
      </c>
      <c r="AC50" s="74">
        <f ca="1">IFERROR(__xludf.DUMMYFUNCTION("IMPORTRANGE(""https://docs.google.com/spreadsheets/d/1gF7RJpRnL-1oyjyeWxs5SFWEH7y8ahOZsQlyp2A2e-A/edit?usp=sharing"",""อุดรธานี!I84"")"),1)</f>
        <v>1</v>
      </c>
      <c r="AD50" s="74">
        <f ca="1">IFERROR(__xludf.DUMMYFUNCTION("IMPORTRANGE(""https://docs.google.com/spreadsheets/d/1gF7RJpRnL-1oyjyeWxs5SFWEH7y8ahOZsQlyp2A2e-A/edit?usp=sharing"",""อุดรธานี!I85"")"),30)</f>
        <v>30</v>
      </c>
      <c r="AE50" s="78">
        <f ca="1">IFERROR(__xludf.DUMMYFUNCTION("IMPORTRANGE(""https://docs.google.com/spreadsheets/d/1gF7RJpRnL-1oyjyeWxs5SFWEH7y8ahOZsQlyp2A2e-A/edit?usp=sharing"",""อุดรธานี!J84"")"),1)</f>
        <v>1</v>
      </c>
      <c r="AF50" s="78">
        <f ca="1">IFERROR(__xludf.DUMMYFUNCTION("IMPORTRANGE(""https://docs.google.com/spreadsheets/d/1gF7RJpRnL-1oyjyeWxs5SFWEH7y8ahOZsQlyp2A2e-A/edit?usp=sharing"",""อุดรธานี!J85"")"),30)</f>
        <v>30</v>
      </c>
      <c r="AG50" s="74">
        <f ca="1">IFERROR(__xludf.DUMMYFUNCTION("IMPORTRANGE(""https://docs.google.com/spreadsheets/d/1gF7RJpRnL-1oyjyeWxs5SFWEH7y8ahOZsQlyp2A2e-A/edit?usp=sharing"",""อุดรธานี!I86"")"),0)</f>
        <v>0</v>
      </c>
      <c r="AH50" s="74">
        <f ca="1">IFERROR(__xludf.DUMMYFUNCTION("IMPORTRANGE(""https://docs.google.com/spreadsheets/d/1gF7RJpRnL-1oyjyeWxs5SFWEH7y8ahOZsQlyp2A2e-A/edit?usp=sharing"",""อุดรธานี!I87"")"),0)</f>
        <v>0</v>
      </c>
      <c r="AI50" s="78">
        <f ca="1">IFERROR(__xludf.DUMMYFUNCTION("IMPORTRANGE(""https://docs.google.com/spreadsheets/d/1gF7RJpRnL-1oyjyeWxs5SFWEH7y8ahOZsQlyp2A2e-A/edit?usp=sharing"",""อุดรธานี!J86"")"),0)</f>
        <v>0</v>
      </c>
      <c r="AJ50" s="78">
        <f ca="1">IFERROR(__xludf.DUMMYFUNCTION("IMPORTRANGE(""https://docs.google.com/spreadsheets/d/1gF7RJpRnL-1oyjyeWxs5SFWEH7y8ahOZsQlyp2A2e-A/edit?usp=sharing"",""อุดรธานี!J87"")"),0)</f>
        <v>0</v>
      </c>
      <c r="AK50" s="74">
        <f ca="1">IFERROR(__xludf.DUMMYFUNCTION("IMPORTRANGE(""https://docs.google.com/spreadsheets/d/1gF7RJpRnL-1oyjyeWxs5SFWEH7y8ahOZsQlyp2A2e-A/edit?usp=sharing"",""อุดรธานี!I88"")"),1)</f>
        <v>1</v>
      </c>
      <c r="AL50" s="74">
        <f ca="1">IFERROR(__xludf.DUMMYFUNCTION("IMPORTRANGE(""https://docs.google.com/spreadsheets/d/1gF7RJpRnL-1oyjyeWxs5SFWEH7y8ahOZsQlyp2A2e-A/edit?usp=sharing"",""อุดรธานี!I89"")"),70)</f>
        <v>70</v>
      </c>
      <c r="AM50" s="78">
        <f ca="1">IFERROR(__xludf.DUMMYFUNCTION("IMPORTRANGE(""https://docs.google.com/spreadsheets/d/1gF7RJpRnL-1oyjyeWxs5SFWEH7y8ahOZsQlyp2A2e-A/edit?usp=sharing"",""อุดรธานี!J88"")"),1)</f>
        <v>1</v>
      </c>
      <c r="AN50" s="78">
        <f ca="1">IFERROR(__xludf.DUMMYFUNCTION("IMPORTRANGE(""https://docs.google.com/spreadsheets/d/1gF7RJpRnL-1oyjyeWxs5SFWEH7y8ahOZsQlyp2A2e-A/edit?usp=sharing"",""อุดรธานี!J89"")"),70)</f>
        <v>70</v>
      </c>
      <c r="AO50" s="74">
        <f ca="1">IFERROR(__xludf.DUMMYFUNCTION("IMPORTRANGE(""https://docs.google.com/spreadsheets/d/1gF7RJpRnL-1oyjyeWxs5SFWEH7y8ahOZsQlyp2A2e-A/edit?usp=sharing"",""อุดรธานี!I90"")"),2)</f>
        <v>2</v>
      </c>
      <c r="AP50" s="78">
        <f ca="1">IFERROR(__xludf.DUMMYFUNCTION("IMPORTRANGE(""https://docs.google.com/spreadsheets/d/1gF7RJpRnL-1oyjyeWxs5SFWEH7y8ahOZsQlyp2A2e-A/edit?usp=sharing"",""อุดรธานี!J90"")"),0)</f>
        <v>0</v>
      </c>
      <c r="AQ50" s="76">
        <f t="shared" ca="1" si="43"/>
        <v>0</v>
      </c>
    </row>
    <row r="51" spans="1:43" ht="21" customHeight="1" x14ac:dyDescent="0.3">
      <c r="A51" s="80">
        <v>20</v>
      </c>
      <c r="B51" s="81" t="s">
        <v>79</v>
      </c>
      <c r="C51" s="82">
        <f t="shared" ca="1" si="27"/>
        <v>142000</v>
      </c>
      <c r="D51" s="83">
        <f t="shared" ca="1" si="50"/>
        <v>142000</v>
      </c>
      <c r="E51" s="84">
        <f ca="1">IFERROR(__xludf.DUMMYFUNCTION("IMPORTRANGE(""https://docs.google.com/spreadsheets/d/1-uDff_7J0KD5mKrp0Vvzr7lt3OU09vwQwhkpOPPYv2Y/edit?usp=sharing"",""งบพรบ!AN51"")"),0)</f>
        <v>0</v>
      </c>
      <c r="F51" s="84">
        <f ca="1">IFERROR(__xludf.DUMMYFUNCTION("IMPORTRANGE(""https://docs.google.com/spreadsheets/d/1-uDff_7J0KD5mKrp0Vvzr7lt3OU09vwQwhkpOPPYv2Y/edit?usp=sharing"",""งบพรบ!AO51"")"),142000)</f>
        <v>142000</v>
      </c>
      <c r="G51" s="84">
        <f ca="1">IFERROR(__xludf.DUMMYFUNCTION("IMPORTRANGE(""https://docs.google.com/spreadsheets/d/1-uDff_7J0KD5mKrp0Vvzr7lt3OU09vwQwhkpOPPYv2Y/edit?usp=sharing"",""งบพรบ!AP51"")"),0)</f>
        <v>0</v>
      </c>
      <c r="H51" s="84">
        <f ca="1">IFERROR(__xludf.DUMMYFUNCTION("IMPORTRANGE(""https://docs.google.com/spreadsheets/d/1-uDff_7J0KD5mKrp0Vvzr7lt3OU09vwQwhkpOPPYv2Y/edit?usp=sharing"",""งบพรบ!AR51"")"),142000)</f>
        <v>142000</v>
      </c>
      <c r="I51" s="84">
        <f ca="1">IFERROR(__xludf.DUMMYFUNCTION("IMPORTRANGE(""https://docs.google.com/spreadsheets/d/1-uDff_7J0KD5mKrp0Vvzr7lt3OU09vwQwhkpOPPYv2Y/edit?usp=sharing"",""งบพรบ!AS51"")"),0)</f>
        <v>0</v>
      </c>
      <c r="J51" s="84">
        <f t="shared" ca="1" si="29"/>
        <v>129000</v>
      </c>
      <c r="K51" s="85">
        <f t="shared" ca="1" si="30"/>
        <v>90.845070422535215</v>
      </c>
      <c r="L51" s="84">
        <f ca="1">IFERROR(__xludf.DUMMYFUNCTION("IMPORTRANGE(""https://docs.google.com/spreadsheets/d/1-uDff_7J0KD5mKrp0Vvzr7lt3OU09vwQwhkpOPPYv2Y/edit?usp=sharing"",""งบพรบ!AT51"")"),129000)</f>
        <v>129000</v>
      </c>
      <c r="M51" s="86">
        <f t="shared" ca="1" si="31"/>
        <v>90.845070422535215</v>
      </c>
      <c r="N51" s="86">
        <f t="shared" ca="1" si="32"/>
        <v>90.845070422535215</v>
      </c>
      <c r="O51" s="87">
        <f ca="1">IFERROR(__xludf.DUMMYFUNCTION("IMPORTRANGE(""https://docs.google.com/spreadsheets/d/1-uDff_7J0KD5mKrp0Vvzr7lt3OU09vwQwhkpOPPYv2Y/edit?usp=sharing"",""งบพรบ!AU51"")"),0)</f>
        <v>0</v>
      </c>
      <c r="P51" s="87">
        <f t="shared" ca="1" si="33"/>
        <v>0</v>
      </c>
      <c r="Q51" s="86">
        <f t="shared" ca="1" si="34"/>
        <v>0</v>
      </c>
      <c r="R51" s="96">
        <f ca="1">IFERROR(__xludf.DUMMYFUNCTION("IMPORTRANGE(""https://docs.google.com/spreadsheets/d/1kfLP0j3INXRa8bTDpcEmoWewMBV61jlFlfzczfjWIgc/edit?usp=sharing"",""อุบลราชธานี!Q72"")"),418300)</f>
        <v>418300</v>
      </c>
      <c r="S51" s="96">
        <f ca="1">IFERROR(__xludf.DUMMYFUNCTION("IMPORTRANGE(""https://docs.google.com/spreadsheets/d/1kfLP0j3INXRa8bTDpcEmoWewMBV61jlFlfzczfjWIgc/edit?usp=sharing"",""อุบลราชธานี!R72"")"),418300)</f>
        <v>418300</v>
      </c>
      <c r="T51" s="96">
        <f ca="1">IFERROR(__xludf.DUMMYFUNCTION("IMPORTRANGE(""https://docs.google.com/spreadsheets/d/1kfLP0j3INXRa8bTDpcEmoWewMBV61jlFlfzczfjWIgc/edit?usp=sharing"",""อุบลราชธานี!S72"")"),260705.5)</f>
        <v>260705.5</v>
      </c>
      <c r="U51" s="97">
        <f t="shared" ca="1" si="36"/>
        <v>62.325005976571838</v>
      </c>
      <c r="V51" s="97">
        <f t="shared" ca="1" si="37"/>
        <v>62.325005976571838</v>
      </c>
      <c r="W51" s="90">
        <f t="shared" ca="1" si="38"/>
        <v>1</v>
      </c>
      <c r="X51" s="90">
        <f t="shared" ca="1" si="39"/>
        <v>35</v>
      </c>
      <c r="Y51" s="90">
        <f t="shared" ca="1" si="51"/>
        <v>1</v>
      </c>
      <c r="Z51" s="91">
        <f t="shared" ca="1" si="40"/>
        <v>100</v>
      </c>
      <c r="AA51" s="90">
        <f t="shared" ca="1" si="52"/>
        <v>35</v>
      </c>
      <c r="AB51" s="91">
        <f t="shared" ca="1" si="41"/>
        <v>100</v>
      </c>
      <c r="AC51" s="84">
        <f ca="1">IFERROR(__xludf.DUMMYFUNCTION("IMPORTRANGE(""https://docs.google.com/spreadsheets/d/1kfLP0j3INXRa8bTDpcEmoWewMBV61jlFlfzczfjWIgc/edit?usp=sharing"",""อุบลราชธานี!I84"")"),0)</f>
        <v>0</v>
      </c>
      <c r="AD51" s="84">
        <f ca="1">IFERROR(__xludf.DUMMYFUNCTION("IMPORTRANGE(""https://docs.google.com/spreadsheets/d/1kfLP0j3INXRa8bTDpcEmoWewMBV61jlFlfzczfjWIgc/edit?usp=sharing"",""อุบลราชธานี!I85"")"),0)</f>
        <v>0</v>
      </c>
      <c r="AE51" s="90">
        <f ca="1">IFERROR(__xludf.DUMMYFUNCTION("IMPORTRANGE(""https://docs.google.com/spreadsheets/d/1kfLP0j3INXRa8bTDpcEmoWewMBV61jlFlfzczfjWIgc/edit?usp=sharing"",""อุบลราชธานี!J84"")"),0)</f>
        <v>0</v>
      </c>
      <c r="AF51" s="90">
        <f ca="1">IFERROR(__xludf.DUMMYFUNCTION("IMPORTRANGE(""https://docs.google.com/spreadsheets/d/1kfLP0j3INXRa8bTDpcEmoWewMBV61jlFlfzczfjWIgc/edit?usp=sharing"",""อุบลราชธานี!J85"")"),0)</f>
        <v>0</v>
      </c>
      <c r="AG51" s="84">
        <f ca="1">IFERROR(__xludf.DUMMYFUNCTION("IMPORTRANGE(""https://docs.google.com/spreadsheets/d/1kfLP0j3INXRa8bTDpcEmoWewMBV61jlFlfzczfjWIgc/edit?usp=sharing"",""อุบลราชธานี!I86"")"),1)</f>
        <v>1</v>
      </c>
      <c r="AH51" s="84">
        <f ca="1">IFERROR(__xludf.DUMMYFUNCTION("IMPORTRANGE(""https://docs.google.com/spreadsheets/d/1kfLP0j3INXRa8bTDpcEmoWewMBV61jlFlfzczfjWIgc/edit?usp=sharing"",""อุบลราชธานี!I87"")"),35)</f>
        <v>35</v>
      </c>
      <c r="AI51" s="90">
        <f ca="1">IFERROR(__xludf.DUMMYFUNCTION("IMPORTRANGE(""https://docs.google.com/spreadsheets/d/1kfLP0j3INXRa8bTDpcEmoWewMBV61jlFlfzczfjWIgc/edit?usp=sharing"",""อุบลราชธานี!J86"")"),1)</f>
        <v>1</v>
      </c>
      <c r="AJ51" s="90">
        <f ca="1">IFERROR(__xludf.DUMMYFUNCTION("IMPORTRANGE(""https://docs.google.com/spreadsheets/d/1kfLP0j3INXRa8bTDpcEmoWewMBV61jlFlfzczfjWIgc/edit?usp=sharing"",""อุบลราชธานี!J87"")"),35)</f>
        <v>35</v>
      </c>
      <c r="AK51" s="84">
        <f ca="1">IFERROR(__xludf.DUMMYFUNCTION("IMPORTRANGE(""https://docs.google.com/spreadsheets/d/1kfLP0j3INXRa8bTDpcEmoWewMBV61jlFlfzczfjWIgc/edit?usp=sharing"",""อุบลราชธานี!I88"")"),0)</f>
        <v>0</v>
      </c>
      <c r="AL51" s="84">
        <f ca="1">IFERROR(__xludf.DUMMYFUNCTION("IMPORTRANGE(""https://docs.google.com/spreadsheets/d/1kfLP0j3INXRa8bTDpcEmoWewMBV61jlFlfzczfjWIgc/edit?usp=sharing"",""อุบลราชธานี!I89"")"),0)</f>
        <v>0</v>
      </c>
      <c r="AM51" s="90">
        <f ca="1">IFERROR(__xludf.DUMMYFUNCTION("IMPORTRANGE(""https://docs.google.com/spreadsheets/d/1kfLP0j3INXRa8bTDpcEmoWewMBV61jlFlfzczfjWIgc/edit?usp=sharing"",""อุบลราชธานี!J88"")"),0)</f>
        <v>0</v>
      </c>
      <c r="AN51" s="90">
        <f ca="1">IFERROR(__xludf.DUMMYFUNCTION("IMPORTRANGE(""https://docs.google.com/spreadsheets/d/1kfLP0j3INXRa8bTDpcEmoWewMBV61jlFlfzczfjWIgc/edit?usp=sharing"",""อุบลราชธานี!J89"")"),0)</f>
        <v>0</v>
      </c>
      <c r="AO51" s="84">
        <f ca="1">IFERROR(__xludf.DUMMYFUNCTION("IMPORTRANGE(""https://docs.google.com/spreadsheets/d/1kfLP0j3INXRa8bTDpcEmoWewMBV61jlFlfzczfjWIgc/edit?usp=sharing"",""อุบลราชธานี!I90"")"),1)</f>
        <v>1</v>
      </c>
      <c r="AP51" s="90">
        <f ca="1">IFERROR(__xludf.DUMMYFUNCTION("IMPORTRANGE(""https://docs.google.com/spreadsheets/d/1kfLP0j3INXRa8bTDpcEmoWewMBV61jlFlfzczfjWIgc/edit?usp=sharing"",""อุบลราชธานี!J90"")"),1)</f>
        <v>1</v>
      </c>
      <c r="AQ51" s="86">
        <f t="shared" ca="1" si="43"/>
        <v>100</v>
      </c>
    </row>
    <row r="52" spans="1:43" ht="21" customHeight="1" x14ac:dyDescent="0.3">
      <c r="A52" s="667" t="s">
        <v>80</v>
      </c>
      <c r="B52" s="666"/>
      <c r="C52" s="92">
        <f t="shared" ca="1" si="27"/>
        <v>1496300</v>
      </c>
      <c r="D52" s="52">
        <f t="shared" ref="D52:I52" ca="1" si="53">SUM(D53:D73)</f>
        <v>1496300</v>
      </c>
      <c r="E52" s="52">
        <f t="shared" ca="1" si="53"/>
        <v>562300</v>
      </c>
      <c r="F52" s="52">
        <f t="shared" ca="1" si="53"/>
        <v>934000</v>
      </c>
      <c r="G52" s="52">
        <f t="shared" ca="1" si="53"/>
        <v>0</v>
      </c>
      <c r="H52" s="52">
        <f t="shared" ca="1" si="53"/>
        <v>1496300</v>
      </c>
      <c r="I52" s="52">
        <f t="shared" ca="1" si="53"/>
        <v>0</v>
      </c>
      <c r="J52" s="52">
        <f t="shared" ca="1" si="29"/>
        <v>1293319.54</v>
      </c>
      <c r="K52" s="53">
        <f t="shared" ca="1" si="30"/>
        <v>86.434507785871816</v>
      </c>
      <c r="L52" s="52">
        <f ca="1">SUM(L53:L73)</f>
        <v>1293319.54</v>
      </c>
      <c r="M52" s="54">
        <f t="shared" ca="1" si="31"/>
        <v>86.434507785871816</v>
      </c>
      <c r="N52" s="54">
        <f t="shared" ca="1" si="32"/>
        <v>86.434507785871816</v>
      </c>
      <c r="O52" s="55">
        <f ca="1">SUM(O53:O73)</f>
        <v>0</v>
      </c>
      <c r="P52" s="55">
        <f t="shared" ca="1" si="33"/>
        <v>0</v>
      </c>
      <c r="Q52" s="54">
        <f t="shared" ca="1" si="34"/>
        <v>0</v>
      </c>
      <c r="R52" s="56">
        <f t="shared" ref="R52:T52" ca="1" si="54">SUM(R53:R73)</f>
        <v>4339380</v>
      </c>
      <c r="S52" s="56">
        <f t="shared" ca="1" si="54"/>
        <v>4342620</v>
      </c>
      <c r="T52" s="56">
        <f t="shared" ca="1" si="54"/>
        <v>2050091</v>
      </c>
      <c r="U52" s="57">
        <f t="shared" ca="1" si="36"/>
        <v>47.243868939802461</v>
      </c>
      <c r="V52" s="57">
        <f t="shared" ca="1" si="37"/>
        <v>47.208620602309203</v>
      </c>
      <c r="W52" s="52">
        <f t="shared" ca="1" si="38"/>
        <v>7</v>
      </c>
      <c r="X52" s="52">
        <f t="shared" ca="1" si="39"/>
        <v>340</v>
      </c>
      <c r="Y52" s="52">
        <f ca="1">SUM(Y53:Y73)</f>
        <v>6</v>
      </c>
      <c r="Z52" s="54">
        <f t="shared" ca="1" si="40"/>
        <v>85.714285714285708</v>
      </c>
      <c r="AA52" s="52">
        <f ca="1">SUM(AA53:AA73)</f>
        <v>290</v>
      </c>
      <c r="AB52" s="54">
        <f t="shared" ca="1" si="41"/>
        <v>85.294117647058826</v>
      </c>
      <c r="AC52" s="52">
        <f t="shared" ref="AC52:AP52" ca="1" si="55">SUM(AC53:AC73)</f>
        <v>1</v>
      </c>
      <c r="AD52" s="52">
        <f t="shared" ca="1" si="55"/>
        <v>50</v>
      </c>
      <c r="AE52" s="52">
        <f t="shared" ca="1" si="55"/>
        <v>2</v>
      </c>
      <c r="AF52" s="52">
        <f t="shared" ca="1" si="55"/>
        <v>111</v>
      </c>
      <c r="AG52" s="52">
        <f t="shared" ca="1" si="55"/>
        <v>4</v>
      </c>
      <c r="AH52" s="52">
        <f t="shared" ca="1" si="55"/>
        <v>170</v>
      </c>
      <c r="AI52" s="52">
        <f t="shared" ca="1" si="55"/>
        <v>3</v>
      </c>
      <c r="AJ52" s="52">
        <f t="shared" ca="1" si="55"/>
        <v>128</v>
      </c>
      <c r="AK52" s="52">
        <f t="shared" ca="1" si="55"/>
        <v>2</v>
      </c>
      <c r="AL52" s="52">
        <f t="shared" ca="1" si="55"/>
        <v>120</v>
      </c>
      <c r="AM52" s="52">
        <f t="shared" ca="1" si="55"/>
        <v>1</v>
      </c>
      <c r="AN52" s="52">
        <f t="shared" ca="1" si="55"/>
        <v>51</v>
      </c>
      <c r="AO52" s="52">
        <f t="shared" ca="1" si="55"/>
        <v>7</v>
      </c>
      <c r="AP52" s="52">
        <f t="shared" ca="1" si="55"/>
        <v>4</v>
      </c>
      <c r="AQ52" s="54">
        <f t="shared" ca="1" si="43"/>
        <v>57.142857142857146</v>
      </c>
    </row>
    <row r="53" spans="1:43" ht="21" customHeight="1" x14ac:dyDescent="0.3">
      <c r="A53" s="58">
        <v>1</v>
      </c>
      <c r="B53" s="59" t="s">
        <v>81</v>
      </c>
      <c r="C53" s="95">
        <f t="shared" ca="1" si="27"/>
        <v>0</v>
      </c>
      <c r="D53" s="61">
        <f t="shared" ref="D53:D73" ca="1" si="56">+E53+F53</f>
        <v>0</v>
      </c>
      <c r="E53" s="62">
        <f ca="1">IFERROR(__xludf.DUMMYFUNCTION("IMPORTRANGE(""https://docs.google.com/spreadsheets/d/1-uDff_7J0KD5mKrp0Vvzr7lt3OU09vwQwhkpOPPYv2Y/edit?usp=sharing"",""งบพรบ!AN53"")"),0)</f>
        <v>0</v>
      </c>
      <c r="F53" s="62">
        <f ca="1">IFERROR(__xludf.DUMMYFUNCTION("IMPORTRANGE(""https://docs.google.com/spreadsheets/d/1-uDff_7J0KD5mKrp0Vvzr7lt3OU09vwQwhkpOPPYv2Y/edit?usp=sharing"",""งบพรบ!AO53"")"),0)</f>
        <v>0</v>
      </c>
      <c r="G53" s="63">
        <f ca="1">IFERROR(__xludf.DUMMYFUNCTION("IMPORTRANGE(""https://docs.google.com/spreadsheets/d/1-uDff_7J0KD5mKrp0Vvzr7lt3OU09vwQwhkpOPPYv2Y/edit?usp=sharing"",""งบพรบ!AP53"")"),0)</f>
        <v>0</v>
      </c>
      <c r="H53" s="63">
        <f ca="1">IFERROR(__xludf.DUMMYFUNCTION("IMPORTRANGE(""https://docs.google.com/spreadsheets/d/1-uDff_7J0KD5mKrp0Vvzr7lt3OU09vwQwhkpOPPYv2Y/edit?usp=sharing"",""งบพรบ!AR53"")"),0)</f>
        <v>0</v>
      </c>
      <c r="I53" s="63">
        <f ca="1">IFERROR(__xludf.DUMMYFUNCTION("IMPORTRANGE(""https://docs.google.com/spreadsheets/d/1-uDff_7J0KD5mKrp0Vvzr7lt3OU09vwQwhkpOPPYv2Y/edit?usp=sharing"",""งบพรบ!AS53"")"),0)</f>
        <v>0</v>
      </c>
      <c r="J53" s="63">
        <f t="shared" ca="1" si="29"/>
        <v>0</v>
      </c>
      <c r="K53" s="64">
        <f t="shared" ca="1" si="30"/>
        <v>0</v>
      </c>
      <c r="L53" s="63">
        <f ca="1">IFERROR(__xludf.DUMMYFUNCTION("IMPORTRANGE(""https://docs.google.com/spreadsheets/d/1-uDff_7J0KD5mKrp0Vvzr7lt3OU09vwQwhkpOPPYv2Y/edit?usp=sharing"",""งบพรบ!AT53"")"),0)</f>
        <v>0</v>
      </c>
      <c r="M53" s="65">
        <f t="shared" ca="1" si="31"/>
        <v>0</v>
      </c>
      <c r="N53" s="65">
        <f t="shared" ca="1" si="32"/>
        <v>0</v>
      </c>
      <c r="O53" s="66">
        <f ca="1">IFERROR(__xludf.DUMMYFUNCTION("IMPORTRANGE(""https://docs.google.com/spreadsheets/d/1-uDff_7J0KD5mKrp0Vvzr7lt3OU09vwQwhkpOPPYv2Y/edit?usp=sharing"",""งบพรบ!AU53"")"),0)</f>
        <v>0</v>
      </c>
      <c r="P53" s="66">
        <f t="shared" ca="1" si="33"/>
        <v>0</v>
      </c>
      <c r="Q53" s="65">
        <f t="shared" ca="1" si="34"/>
        <v>0</v>
      </c>
      <c r="R53" s="67">
        <f ca="1">IFERROR(__xludf.DUMMYFUNCTION("IMPORTRANGE(""https://docs.google.com/spreadsheets/d/13wPX838HrBrQMCywv1BsuMkt4PEKTChp52zj44s2izQ/edit?usp=sharing"",""กาญจนบุรี!Q72"")"),0)</f>
        <v>0</v>
      </c>
      <c r="S53" s="67">
        <f ca="1">IFERROR(__xludf.DUMMYFUNCTION("IMPORTRANGE(""https://docs.google.com/spreadsheets/d/13wPX838HrBrQMCywv1BsuMkt4PEKTChp52zj44s2izQ/edit?usp=sharing"",""กาญจนบุรี!R72"")"),0)</f>
        <v>0</v>
      </c>
      <c r="T53" s="67">
        <f ca="1">IFERROR(__xludf.DUMMYFUNCTION("IMPORTRANGE(""https://docs.google.com/spreadsheets/d/13wPX838HrBrQMCywv1BsuMkt4PEKTChp52zj44s2izQ/edit?usp=sharing"",""กาญจนบุรี!S72"")"),0)</f>
        <v>0</v>
      </c>
      <c r="U53" s="68">
        <f t="shared" ca="1" si="36"/>
        <v>0</v>
      </c>
      <c r="V53" s="68">
        <f t="shared" ca="1" si="37"/>
        <v>0</v>
      </c>
      <c r="W53" s="63">
        <f t="shared" ca="1" si="38"/>
        <v>0</v>
      </c>
      <c r="X53" s="63">
        <f t="shared" ca="1" si="39"/>
        <v>0</v>
      </c>
      <c r="Y53" s="63">
        <f t="shared" ref="Y53:Y73" ca="1" si="57">AE53+AI53+AM53</f>
        <v>0</v>
      </c>
      <c r="Z53" s="69">
        <f t="shared" ca="1" si="40"/>
        <v>0</v>
      </c>
      <c r="AA53" s="63">
        <f t="shared" ref="AA53:AA73" ca="1" si="58">AF53+AJ53+AN53</f>
        <v>0</v>
      </c>
      <c r="AB53" s="69">
        <f t="shared" ca="1" si="41"/>
        <v>0</v>
      </c>
      <c r="AC53" s="62">
        <f ca="1">IFERROR(__xludf.DUMMYFUNCTION("IMPORTRANGE(""https://docs.google.com/spreadsheets/d/13wPX838HrBrQMCywv1BsuMkt4PEKTChp52zj44s2izQ/edit?usp=sharing"",""กาญจนบุรี!I84"")"),0)</f>
        <v>0</v>
      </c>
      <c r="AD53" s="62">
        <f ca="1">IFERROR(__xludf.DUMMYFUNCTION("IMPORTRANGE(""https://docs.google.com/spreadsheets/d/13wPX838HrBrQMCywv1BsuMkt4PEKTChp52zj44s2izQ/edit?usp=sharing"",""กาญจนบุรี!I85"")"),0)</f>
        <v>0</v>
      </c>
      <c r="AE53" s="63">
        <f ca="1">IFERROR(__xludf.DUMMYFUNCTION("IMPORTRANGE(""https://docs.google.com/spreadsheets/d/13wPX838HrBrQMCywv1BsuMkt4PEKTChp52zj44s2izQ/edit?usp=sharing"",""กาญจนบุรี!J84"")"),0)</f>
        <v>0</v>
      </c>
      <c r="AF53" s="63">
        <f ca="1">IFERROR(__xludf.DUMMYFUNCTION("IMPORTRANGE(""https://docs.google.com/spreadsheets/d/13wPX838HrBrQMCywv1BsuMkt4PEKTChp52zj44s2izQ/edit?usp=sharing"",""กาญจนบุรี!J85"")"),0)</f>
        <v>0</v>
      </c>
      <c r="AG53" s="62">
        <f ca="1">IFERROR(__xludf.DUMMYFUNCTION("IMPORTRANGE(""https://docs.google.com/spreadsheets/d/13wPX838HrBrQMCywv1BsuMkt4PEKTChp52zj44s2izQ/edit?usp=sharing"",""กาญจนบุรี!I86"")"),0)</f>
        <v>0</v>
      </c>
      <c r="AH53" s="62">
        <f ca="1">IFERROR(__xludf.DUMMYFUNCTION("IMPORTRANGE(""https://docs.google.com/spreadsheets/d/13wPX838HrBrQMCywv1BsuMkt4PEKTChp52zj44s2izQ/edit?usp=sharing"",""กาญจนบุรี!I87"")"),0)</f>
        <v>0</v>
      </c>
      <c r="AI53" s="63">
        <f ca="1">IFERROR(__xludf.DUMMYFUNCTION("IMPORTRANGE(""https://docs.google.com/spreadsheets/d/13wPX838HrBrQMCywv1BsuMkt4PEKTChp52zj44s2izQ/edit?usp=sharing"",""กาญจนบุรี!J86"")"),0)</f>
        <v>0</v>
      </c>
      <c r="AJ53" s="63">
        <f ca="1">IFERROR(__xludf.DUMMYFUNCTION("IMPORTRANGE(""https://docs.google.com/spreadsheets/d/13wPX838HrBrQMCywv1BsuMkt4PEKTChp52zj44s2izQ/edit?usp=sharing"",""กาญจนบุรี!J87"")"),0)</f>
        <v>0</v>
      </c>
      <c r="AK53" s="62">
        <f ca="1">IFERROR(__xludf.DUMMYFUNCTION("IMPORTRANGE(""https://docs.google.com/spreadsheets/d/13wPX838HrBrQMCywv1BsuMkt4PEKTChp52zj44s2izQ/edit?usp=sharing"",""กาญจนบุรี!I88"")"),0)</f>
        <v>0</v>
      </c>
      <c r="AL53" s="62">
        <f ca="1">IFERROR(__xludf.DUMMYFUNCTION("IMPORTRANGE(""https://docs.google.com/spreadsheets/d/13wPX838HrBrQMCywv1BsuMkt4PEKTChp52zj44s2izQ/edit?usp=sharing"",""กาญจนบุรี!I89"")"),0)</f>
        <v>0</v>
      </c>
      <c r="AM53" s="63">
        <f ca="1">IFERROR(__xludf.DUMMYFUNCTION("IMPORTRANGE(""https://docs.google.com/spreadsheets/d/13wPX838HrBrQMCywv1BsuMkt4PEKTChp52zj44s2izQ/edit?usp=sharing"",""กาญจนบุรี!J88"")"),0)</f>
        <v>0</v>
      </c>
      <c r="AN53" s="63">
        <f ca="1">IFERROR(__xludf.DUMMYFUNCTION("IMPORTRANGE(""https://docs.google.com/spreadsheets/d/13wPX838HrBrQMCywv1BsuMkt4PEKTChp52zj44s2izQ/edit?usp=sharing"",""กาญจนบุรี!J89"")"),0)</f>
        <v>0</v>
      </c>
      <c r="AO53" s="62">
        <f ca="1">IFERROR(__xludf.DUMMYFUNCTION("IMPORTRANGE(""https://docs.google.com/spreadsheets/d/13wPX838HrBrQMCywv1BsuMkt4PEKTChp52zj44s2izQ/edit?usp=sharing"",""กาญจนบุรี!I90"")"),0)</f>
        <v>0</v>
      </c>
      <c r="AP53" s="63">
        <f ca="1">IFERROR(__xludf.DUMMYFUNCTION("IMPORTRANGE(""https://docs.google.com/spreadsheets/d/13wPX838HrBrQMCywv1BsuMkt4PEKTChp52zj44s2izQ/edit?usp=sharing"",""กาญจนบุรี!J90"")"),0)</f>
        <v>0</v>
      </c>
      <c r="AQ53" s="65">
        <f t="shared" ca="1" si="43"/>
        <v>0</v>
      </c>
    </row>
    <row r="54" spans="1:43" ht="21" customHeight="1" x14ac:dyDescent="0.3">
      <c r="A54" s="70">
        <v>2</v>
      </c>
      <c r="B54" s="71" t="s">
        <v>82</v>
      </c>
      <c r="C54" s="72">
        <f t="shared" ca="1" si="27"/>
        <v>0</v>
      </c>
      <c r="D54" s="73">
        <f t="shared" ca="1" si="56"/>
        <v>0</v>
      </c>
      <c r="E54" s="74">
        <f ca="1">IFERROR(__xludf.DUMMYFUNCTION("IMPORTRANGE(""https://docs.google.com/spreadsheets/d/1-uDff_7J0KD5mKrp0Vvzr7lt3OU09vwQwhkpOPPYv2Y/edit?usp=sharing"",""งบพรบ!AN54"")"),0)</f>
        <v>0</v>
      </c>
      <c r="F54" s="74">
        <f ca="1">IFERROR(__xludf.DUMMYFUNCTION("IMPORTRANGE(""https://docs.google.com/spreadsheets/d/1-uDff_7J0KD5mKrp0Vvzr7lt3OU09vwQwhkpOPPYv2Y/edit?usp=sharing"",""งบพรบ!AO54"")"),0)</f>
        <v>0</v>
      </c>
      <c r="G54" s="74">
        <f ca="1">IFERROR(__xludf.DUMMYFUNCTION("IMPORTRANGE(""https://docs.google.com/spreadsheets/d/1-uDff_7J0KD5mKrp0Vvzr7lt3OU09vwQwhkpOPPYv2Y/edit?usp=sharing"",""งบพรบ!AP54"")"),0)</f>
        <v>0</v>
      </c>
      <c r="H54" s="74">
        <f ca="1">IFERROR(__xludf.DUMMYFUNCTION("IMPORTRANGE(""https://docs.google.com/spreadsheets/d/1-uDff_7J0KD5mKrp0Vvzr7lt3OU09vwQwhkpOPPYv2Y/edit?usp=sharing"",""งบพรบ!AR54"")"),0)</f>
        <v>0</v>
      </c>
      <c r="I54" s="74">
        <f ca="1">IFERROR(__xludf.DUMMYFUNCTION("IMPORTRANGE(""https://docs.google.com/spreadsheets/d/1-uDff_7J0KD5mKrp0Vvzr7lt3OU09vwQwhkpOPPYv2Y/edit?usp=sharing"",""งบพรบ!AS54"")"),0)</f>
        <v>0</v>
      </c>
      <c r="J54" s="74">
        <f t="shared" ca="1" si="29"/>
        <v>0</v>
      </c>
      <c r="K54" s="75">
        <f t="shared" ca="1" si="30"/>
        <v>0</v>
      </c>
      <c r="L54" s="74">
        <f ca="1">IFERROR(__xludf.DUMMYFUNCTION("IMPORTRANGE(""https://docs.google.com/spreadsheets/d/1-uDff_7J0KD5mKrp0Vvzr7lt3OU09vwQwhkpOPPYv2Y/edit?usp=sharing"",""งบพรบ!AT54"")"),0)</f>
        <v>0</v>
      </c>
      <c r="M54" s="76">
        <f t="shared" ca="1" si="31"/>
        <v>0</v>
      </c>
      <c r="N54" s="76">
        <f t="shared" ca="1" si="32"/>
        <v>0</v>
      </c>
      <c r="O54" s="77">
        <f ca="1">IFERROR(__xludf.DUMMYFUNCTION("IMPORTRANGE(""https://docs.google.com/spreadsheets/d/1-uDff_7J0KD5mKrp0Vvzr7lt3OU09vwQwhkpOPPYv2Y/edit?usp=sharing"",""งบพรบ!AU54"")"),0)</f>
        <v>0</v>
      </c>
      <c r="P54" s="77">
        <f t="shared" ca="1" si="33"/>
        <v>0</v>
      </c>
      <c r="Q54" s="76">
        <f t="shared" ca="1" si="34"/>
        <v>0</v>
      </c>
      <c r="R54" s="67">
        <f ca="1">IFERROR(__xludf.DUMMYFUNCTION("IMPORTRANGE(""https://docs.google.com/spreadsheets/d/1ddFKvqj1W1NEiWytbGlB1zMx_ykJDVtmfEQ-6-lIUBA/edit?usp=sharing"",""จันทบุรี!Q72"")"),0)</f>
        <v>0</v>
      </c>
      <c r="S54" s="67">
        <f ca="1">IFERROR(__xludf.DUMMYFUNCTION("IMPORTRANGE(""https://docs.google.com/spreadsheets/d/1ddFKvqj1W1NEiWytbGlB1zMx_ykJDVtmfEQ-6-lIUBA/edit?usp=sharing"",""จันทบุรี!R72"")"),0)</f>
        <v>0</v>
      </c>
      <c r="T54" s="67">
        <f ca="1">IFERROR(__xludf.DUMMYFUNCTION("IMPORTRANGE(""https://docs.google.com/spreadsheets/d/1ddFKvqj1W1NEiWytbGlB1zMx_ykJDVtmfEQ-6-lIUBA/edit?usp=sharing"",""จันทบุรี!S72"")"),0)</f>
        <v>0</v>
      </c>
      <c r="U54" s="68">
        <f t="shared" ca="1" si="36"/>
        <v>0</v>
      </c>
      <c r="V54" s="68">
        <f t="shared" ca="1" si="37"/>
        <v>0</v>
      </c>
      <c r="W54" s="78">
        <f t="shared" ca="1" si="38"/>
        <v>0</v>
      </c>
      <c r="X54" s="78">
        <f t="shared" ca="1" si="39"/>
        <v>0</v>
      </c>
      <c r="Y54" s="78">
        <f t="shared" ca="1" si="57"/>
        <v>0</v>
      </c>
      <c r="Z54" s="79">
        <f t="shared" ca="1" si="40"/>
        <v>0</v>
      </c>
      <c r="AA54" s="78">
        <f t="shared" ca="1" si="58"/>
        <v>0</v>
      </c>
      <c r="AB54" s="79">
        <f t="shared" ca="1" si="41"/>
        <v>0</v>
      </c>
      <c r="AC54" s="74">
        <f ca="1">IFERROR(__xludf.DUMMYFUNCTION("IMPORTRANGE(""https://docs.google.com/spreadsheets/d/1ddFKvqj1W1NEiWytbGlB1zMx_ykJDVtmfEQ-6-lIUBA/edit?usp=sharing"",""จันทบุรี!I84"")"),0)</f>
        <v>0</v>
      </c>
      <c r="AD54" s="74">
        <f ca="1">IFERROR(__xludf.DUMMYFUNCTION("IMPORTRANGE(""https://docs.google.com/spreadsheets/d/1ddFKvqj1W1NEiWytbGlB1zMx_ykJDVtmfEQ-6-lIUBA/edit?usp=sharing"",""จันทบุรี!I85"")"),0)</f>
        <v>0</v>
      </c>
      <c r="AE54" s="78">
        <f ca="1">IFERROR(__xludf.DUMMYFUNCTION("IMPORTRANGE(""https://docs.google.com/spreadsheets/d/1ddFKvqj1W1NEiWytbGlB1zMx_ykJDVtmfEQ-6-lIUBA/edit?usp=sharing"",""จันทบุรี!J84"")"),0)</f>
        <v>0</v>
      </c>
      <c r="AF54" s="78">
        <f ca="1">IFERROR(__xludf.DUMMYFUNCTION("IMPORTRANGE(""https://docs.google.com/spreadsheets/d/1ddFKvqj1W1NEiWytbGlB1zMx_ykJDVtmfEQ-6-lIUBA/edit?usp=sharing"",""จันทบุรี!J85"")"),0)</f>
        <v>0</v>
      </c>
      <c r="AG54" s="74">
        <f ca="1">IFERROR(__xludf.DUMMYFUNCTION("IMPORTRANGE(""https://docs.google.com/spreadsheets/d/1ddFKvqj1W1NEiWytbGlB1zMx_ykJDVtmfEQ-6-lIUBA/edit?usp=sharing"",""จันทบุรี!I86"")"),0)</f>
        <v>0</v>
      </c>
      <c r="AH54" s="74">
        <f ca="1">IFERROR(__xludf.DUMMYFUNCTION("IMPORTRANGE(""https://docs.google.com/spreadsheets/d/1ddFKvqj1W1NEiWytbGlB1zMx_ykJDVtmfEQ-6-lIUBA/edit?usp=sharing"",""จันทบุรี!I87"")"),0)</f>
        <v>0</v>
      </c>
      <c r="AI54" s="78">
        <f ca="1">IFERROR(__xludf.DUMMYFUNCTION("IMPORTRANGE(""https://docs.google.com/spreadsheets/d/1ddFKvqj1W1NEiWytbGlB1zMx_ykJDVtmfEQ-6-lIUBA/edit?usp=sharing"",""จันทบุรี!J86"")"),0)</f>
        <v>0</v>
      </c>
      <c r="AJ54" s="78">
        <f ca="1">IFERROR(__xludf.DUMMYFUNCTION("IMPORTRANGE(""https://docs.google.com/spreadsheets/d/1ddFKvqj1W1NEiWytbGlB1zMx_ykJDVtmfEQ-6-lIUBA/edit?usp=sharing"",""จันทบุรี!J87"")"),0)</f>
        <v>0</v>
      </c>
      <c r="AK54" s="74">
        <f ca="1">IFERROR(__xludf.DUMMYFUNCTION("IMPORTRANGE(""https://docs.google.com/spreadsheets/d/1ddFKvqj1W1NEiWytbGlB1zMx_ykJDVtmfEQ-6-lIUBA/edit?usp=sharing"",""จันทบุรี!I88"")"),0)</f>
        <v>0</v>
      </c>
      <c r="AL54" s="74">
        <f ca="1">IFERROR(__xludf.DUMMYFUNCTION("IMPORTRANGE(""https://docs.google.com/spreadsheets/d/1ddFKvqj1W1NEiWytbGlB1zMx_ykJDVtmfEQ-6-lIUBA/edit?usp=sharing"",""จันทบุรี!I89"")"),0)</f>
        <v>0</v>
      </c>
      <c r="AM54" s="78">
        <f ca="1">IFERROR(__xludf.DUMMYFUNCTION("IMPORTRANGE(""https://docs.google.com/spreadsheets/d/1ddFKvqj1W1NEiWytbGlB1zMx_ykJDVtmfEQ-6-lIUBA/edit?usp=sharing"",""จันทบุรี!J88"")"),0)</f>
        <v>0</v>
      </c>
      <c r="AN54" s="78">
        <f ca="1">IFERROR(__xludf.DUMMYFUNCTION("IMPORTRANGE(""https://docs.google.com/spreadsheets/d/1ddFKvqj1W1NEiWytbGlB1zMx_ykJDVtmfEQ-6-lIUBA/edit?usp=sharing"",""จันทบุรี!J89"")"),0)</f>
        <v>0</v>
      </c>
      <c r="AO54" s="74">
        <f ca="1">IFERROR(__xludf.DUMMYFUNCTION("IMPORTRANGE(""https://docs.google.com/spreadsheets/d/1ddFKvqj1W1NEiWytbGlB1zMx_ykJDVtmfEQ-6-lIUBA/edit?usp=sharing"",""จันทบุรี!I90"")"),0)</f>
        <v>0</v>
      </c>
      <c r="AP54" s="78">
        <f ca="1">IFERROR(__xludf.DUMMYFUNCTION("IMPORTRANGE(""https://docs.google.com/spreadsheets/d/1ddFKvqj1W1NEiWytbGlB1zMx_ykJDVtmfEQ-6-lIUBA/edit?usp=sharing"",""จันทบุรี!J90"")"),0)</f>
        <v>0</v>
      </c>
      <c r="AQ54" s="76">
        <f t="shared" ca="1" si="43"/>
        <v>0</v>
      </c>
    </row>
    <row r="55" spans="1:43" ht="21" customHeight="1" x14ac:dyDescent="0.3">
      <c r="A55" s="70">
        <v>3</v>
      </c>
      <c r="B55" s="71" t="s">
        <v>83</v>
      </c>
      <c r="C55" s="72">
        <f t="shared" ca="1" si="27"/>
        <v>0</v>
      </c>
      <c r="D55" s="73">
        <f t="shared" ca="1" si="56"/>
        <v>0</v>
      </c>
      <c r="E55" s="74">
        <f ca="1">IFERROR(__xludf.DUMMYFUNCTION("IMPORTRANGE(""https://docs.google.com/spreadsheets/d/1-uDff_7J0KD5mKrp0Vvzr7lt3OU09vwQwhkpOPPYv2Y/edit?usp=sharing"",""งบพรบ!AN55"")"),0)</f>
        <v>0</v>
      </c>
      <c r="F55" s="74">
        <f ca="1">IFERROR(__xludf.DUMMYFUNCTION("IMPORTRANGE(""https://docs.google.com/spreadsheets/d/1-uDff_7J0KD5mKrp0Vvzr7lt3OU09vwQwhkpOPPYv2Y/edit?usp=sharing"",""งบพรบ!AO55"")"),0)</f>
        <v>0</v>
      </c>
      <c r="G55" s="74">
        <f ca="1">IFERROR(__xludf.DUMMYFUNCTION("IMPORTRANGE(""https://docs.google.com/spreadsheets/d/1-uDff_7J0KD5mKrp0Vvzr7lt3OU09vwQwhkpOPPYv2Y/edit?usp=sharing"",""งบพรบ!AP55"")"),0)</f>
        <v>0</v>
      </c>
      <c r="H55" s="74">
        <f ca="1">IFERROR(__xludf.DUMMYFUNCTION("IMPORTRANGE(""https://docs.google.com/spreadsheets/d/1-uDff_7J0KD5mKrp0Vvzr7lt3OU09vwQwhkpOPPYv2Y/edit?usp=sharing"",""งบพรบ!AR55"")"),0)</f>
        <v>0</v>
      </c>
      <c r="I55" s="74">
        <f ca="1">IFERROR(__xludf.DUMMYFUNCTION("IMPORTRANGE(""https://docs.google.com/spreadsheets/d/1-uDff_7J0KD5mKrp0Vvzr7lt3OU09vwQwhkpOPPYv2Y/edit?usp=sharing"",""งบพรบ!AS55"")"),0)</f>
        <v>0</v>
      </c>
      <c r="J55" s="74">
        <f t="shared" ca="1" si="29"/>
        <v>0</v>
      </c>
      <c r="K55" s="75">
        <f t="shared" ca="1" si="30"/>
        <v>0</v>
      </c>
      <c r="L55" s="74">
        <f ca="1">IFERROR(__xludf.DUMMYFUNCTION("IMPORTRANGE(""https://docs.google.com/spreadsheets/d/1-uDff_7J0KD5mKrp0Vvzr7lt3OU09vwQwhkpOPPYv2Y/edit?usp=sharing"",""งบพรบ!AT55"")"),0)</f>
        <v>0</v>
      </c>
      <c r="M55" s="76">
        <f t="shared" ca="1" si="31"/>
        <v>0</v>
      </c>
      <c r="N55" s="76">
        <f t="shared" ca="1" si="32"/>
        <v>0</v>
      </c>
      <c r="O55" s="77">
        <f ca="1">IFERROR(__xludf.DUMMYFUNCTION("IMPORTRANGE(""https://docs.google.com/spreadsheets/d/1-uDff_7J0KD5mKrp0Vvzr7lt3OU09vwQwhkpOPPYv2Y/edit?usp=sharing"",""งบพรบ!AU55"")"),0)</f>
        <v>0</v>
      </c>
      <c r="P55" s="77">
        <f t="shared" ca="1" si="33"/>
        <v>0</v>
      </c>
      <c r="Q55" s="76">
        <f t="shared" ca="1" si="34"/>
        <v>0</v>
      </c>
      <c r="R55" s="67">
        <f ca="1">IFERROR(__xludf.DUMMYFUNCTION("IMPORTRANGE(""https://docs.google.com/spreadsheets/d/1T1PQvRODqOBZk8BRht_U031fIS1beLA0Ub2CEytj2q0/edit?usp=sharing"",""ฉะเชิงเทรา!Q72"")"),0)</f>
        <v>0</v>
      </c>
      <c r="S55" s="67">
        <f ca="1">IFERROR(__xludf.DUMMYFUNCTION("IMPORTRANGE(""https://docs.google.com/spreadsheets/d/1T1PQvRODqOBZk8BRht_U031fIS1beLA0Ub2CEytj2q0/edit?usp=sharing"",""ฉะเชิงเทรา!R72"")"),0)</f>
        <v>0</v>
      </c>
      <c r="T55" s="67">
        <f ca="1">IFERROR(__xludf.DUMMYFUNCTION("IMPORTRANGE(""https://docs.google.com/spreadsheets/d/1T1PQvRODqOBZk8BRht_U031fIS1beLA0Ub2CEytj2q0/edit?usp=sharing"",""ฉะเชิงเทรา!S72"")"),0)</f>
        <v>0</v>
      </c>
      <c r="U55" s="68">
        <f t="shared" ca="1" si="36"/>
        <v>0</v>
      </c>
      <c r="V55" s="68">
        <f t="shared" ca="1" si="37"/>
        <v>0</v>
      </c>
      <c r="W55" s="78">
        <f t="shared" ca="1" si="38"/>
        <v>0</v>
      </c>
      <c r="X55" s="78">
        <f t="shared" ca="1" si="39"/>
        <v>0</v>
      </c>
      <c r="Y55" s="78">
        <f t="shared" ca="1" si="57"/>
        <v>0</v>
      </c>
      <c r="Z55" s="79">
        <f t="shared" ca="1" si="40"/>
        <v>0</v>
      </c>
      <c r="AA55" s="78">
        <f t="shared" ca="1" si="58"/>
        <v>0</v>
      </c>
      <c r="AB55" s="79">
        <f t="shared" ca="1" si="41"/>
        <v>0</v>
      </c>
      <c r="AC55" s="74">
        <f ca="1">IFERROR(__xludf.DUMMYFUNCTION("IMPORTRANGE(""https://docs.google.com/spreadsheets/d/1T1PQvRODqOBZk8BRht_U031fIS1beLA0Ub2CEytj2q0/edit?usp=sharing"",""ฉะเชิงเทรา!I84"")"),0)</f>
        <v>0</v>
      </c>
      <c r="AD55" s="74">
        <f ca="1">IFERROR(__xludf.DUMMYFUNCTION("IMPORTRANGE(""https://docs.google.com/spreadsheets/d/1T1PQvRODqOBZk8BRht_U031fIS1beLA0Ub2CEytj2q0/edit?usp=sharing"",""ฉะเชิงเทรา!I85"")"),0)</f>
        <v>0</v>
      </c>
      <c r="AE55" s="78">
        <f ca="1">IFERROR(__xludf.DUMMYFUNCTION("IMPORTRANGE(""https://docs.google.com/spreadsheets/d/1T1PQvRODqOBZk8BRht_U031fIS1beLA0Ub2CEytj2q0/edit?usp=sharing"",""ฉะเชิงเทรา!J84"")"),0)</f>
        <v>0</v>
      </c>
      <c r="AF55" s="78">
        <f ca="1">IFERROR(__xludf.DUMMYFUNCTION("IMPORTRANGE(""https://docs.google.com/spreadsheets/d/1T1PQvRODqOBZk8BRht_U031fIS1beLA0Ub2CEytj2q0/edit?usp=sharing"",""ฉะเชิงเทรา!J85"")"),0)</f>
        <v>0</v>
      </c>
      <c r="AG55" s="74">
        <f ca="1">IFERROR(__xludf.DUMMYFUNCTION("IMPORTRANGE(""https://docs.google.com/spreadsheets/d/1T1PQvRODqOBZk8BRht_U031fIS1beLA0Ub2CEytj2q0/edit?usp=sharing"",""ฉะเชิงเทรา!I86"")"),0)</f>
        <v>0</v>
      </c>
      <c r="AH55" s="74">
        <f ca="1">IFERROR(__xludf.DUMMYFUNCTION("IMPORTRANGE(""https://docs.google.com/spreadsheets/d/1T1PQvRODqOBZk8BRht_U031fIS1beLA0Ub2CEytj2q0/edit?usp=sharing"",""ฉะเชิงเทรา!I87"")"),0)</f>
        <v>0</v>
      </c>
      <c r="AI55" s="78">
        <f ca="1">IFERROR(__xludf.DUMMYFUNCTION("IMPORTRANGE(""https://docs.google.com/spreadsheets/d/1T1PQvRODqOBZk8BRht_U031fIS1beLA0Ub2CEytj2q0/edit?usp=sharing"",""ฉะเชิงเทรา!J86"")"),0)</f>
        <v>0</v>
      </c>
      <c r="AJ55" s="78">
        <f ca="1">IFERROR(__xludf.DUMMYFUNCTION("IMPORTRANGE(""https://docs.google.com/spreadsheets/d/1T1PQvRODqOBZk8BRht_U031fIS1beLA0Ub2CEytj2q0/edit?usp=sharing"",""ฉะเชิงเทรา!J87"")"),0)</f>
        <v>0</v>
      </c>
      <c r="AK55" s="74">
        <f ca="1">IFERROR(__xludf.DUMMYFUNCTION("IMPORTRANGE(""https://docs.google.com/spreadsheets/d/1T1PQvRODqOBZk8BRht_U031fIS1beLA0Ub2CEytj2q0/edit?usp=sharing"",""ฉะเชิงเทรา!I88"")"),0)</f>
        <v>0</v>
      </c>
      <c r="AL55" s="74">
        <f ca="1">IFERROR(__xludf.DUMMYFUNCTION("IMPORTRANGE(""https://docs.google.com/spreadsheets/d/1T1PQvRODqOBZk8BRht_U031fIS1beLA0Ub2CEytj2q0/edit?usp=sharing"",""ฉะเชิงเทรา!I89"")"),0)</f>
        <v>0</v>
      </c>
      <c r="AM55" s="78">
        <f ca="1">IFERROR(__xludf.DUMMYFUNCTION("IMPORTRANGE(""https://docs.google.com/spreadsheets/d/1T1PQvRODqOBZk8BRht_U031fIS1beLA0Ub2CEytj2q0/edit?usp=sharing"",""ฉะเชิงเทรา!J88"")"),0)</f>
        <v>0</v>
      </c>
      <c r="AN55" s="78">
        <f ca="1">IFERROR(__xludf.DUMMYFUNCTION("IMPORTRANGE(""https://docs.google.com/spreadsheets/d/1T1PQvRODqOBZk8BRht_U031fIS1beLA0Ub2CEytj2q0/edit?usp=sharing"",""ฉะเชิงเทรา!J89"")"),0)</f>
        <v>0</v>
      </c>
      <c r="AO55" s="74">
        <f ca="1">IFERROR(__xludf.DUMMYFUNCTION("IMPORTRANGE(""https://docs.google.com/spreadsheets/d/1T1PQvRODqOBZk8BRht_U031fIS1beLA0Ub2CEytj2q0/edit?usp=sharing"",""ฉะเชิงเทรา!I90"")"),0)</f>
        <v>0</v>
      </c>
      <c r="AP55" s="78">
        <f ca="1">IFERROR(__xludf.DUMMYFUNCTION("IMPORTRANGE(""https://docs.google.com/spreadsheets/d/1T1PQvRODqOBZk8BRht_U031fIS1beLA0Ub2CEytj2q0/edit?usp=sharing"",""ฉะเชิงเทรา!J90"")"),0)</f>
        <v>0</v>
      </c>
      <c r="AQ55" s="76">
        <f t="shared" ca="1" si="43"/>
        <v>0</v>
      </c>
    </row>
    <row r="56" spans="1:43" ht="21" customHeight="1" x14ac:dyDescent="0.3">
      <c r="A56" s="70">
        <v>4</v>
      </c>
      <c r="B56" s="71" t="s">
        <v>84</v>
      </c>
      <c r="C56" s="72">
        <f t="shared" ca="1" si="27"/>
        <v>0</v>
      </c>
      <c r="D56" s="73">
        <f t="shared" ca="1" si="56"/>
        <v>0</v>
      </c>
      <c r="E56" s="74">
        <f ca="1">IFERROR(__xludf.DUMMYFUNCTION("IMPORTRANGE(""https://docs.google.com/spreadsheets/d/1-uDff_7J0KD5mKrp0Vvzr7lt3OU09vwQwhkpOPPYv2Y/edit?usp=sharing"",""งบพรบ!AN56"")"),0)</f>
        <v>0</v>
      </c>
      <c r="F56" s="74">
        <f ca="1">IFERROR(__xludf.DUMMYFUNCTION("IMPORTRANGE(""https://docs.google.com/spreadsheets/d/1-uDff_7J0KD5mKrp0Vvzr7lt3OU09vwQwhkpOPPYv2Y/edit?usp=sharing"",""งบพรบ!AO56"")"),0)</f>
        <v>0</v>
      </c>
      <c r="G56" s="74">
        <f ca="1">IFERROR(__xludf.DUMMYFUNCTION("IMPORTRANGE(""https://docs.google.com/spreadsheets/d/1-uDff_7J0KD5mKrp0Vvzr7lt3OU09vwQwhkpOPPYv2Y/edit?usp=sharing"",""งบพรบ!AP56"")"),0)</f>
        <v>0</v>
      </c>
      <c r="H56" s="74">
        <f ca="1">IFERROR(__xludf.DUMMYFUNCTION("IMPORTRANGE(""https://docs.google.com/spreadsheets/d/1-uDff_7J0KD5mKrp0Vvzr7lt3OU09vwQwhkpOPPYv2Y/edit?usp=sharing"",""งบพรบ!AR56"")"),0)</f>
        <v>0</v>
      </c>
      <c r="I56" s="74">
        <f ca="1">IFERROR(__xludf.DUMMYFUNCTION("IMPORTRANGE(""https://docs.google.com/spreadsheets/d/1-uDff_7J0KD5mKrp0Vvzr7lt3OU09vwQwhkpOPPYv2Y/edit?usp=sharing"",""งบพรบ!AS56"")"),0)</f>
        <v>0</v>
      </c>
      <c r="J56" s="74">
        <f t="shared" ca="1" si="29"/>
        <v>0</v>
      </c>
      <c r="K56" s="75">
        <f t="shared" ca="1" si="30"/>
        <v>0</v>
      </c>
      <c r="L56" s="74">
        <f ca="1">IFERROR(__xludf.DUMMYFUNCTION("IMPORTRANGE(""https://docs.google.com/spreadsheets/d/1-uDff_7J0KD5mKrp0Vvzr7lt3OU09vwQwhkpOPPYv2Y/edit?usp=sharing"",""งบพรบ!AT56"")"),0)</f>
        <v>0</v>
      </c>
      <c r="M56" s="76">
        <f t="shared" ca="1" si="31"/>
        <v>0</v>
      </c>
      <c r="N56" s="76">
        <f t="shared" ca="1" si="32"/>
        <v>0</v>
      </c>
      <c r="O56" s="77">
        <f ca="1">IFERROR(__xludf.DUMMYFUNCTION("IMPORTRANGE(""https://docs.google.com/spreadsheets/d/1-uDff_7J0KD5mKrp0Vvzr7lt3OU09vwQwhkpOPPYv2Y/edit?usp=sharing"",""งบพรบ!AU56"")"),0)</f>
        <v>0</v>
      </c>
      <c r="P56" s="77">
        <f t="shared" ca="1" si="33"/>
        <v>0</v>
      </c>
      <c r="Q56" s="76">
        <f t="shared" ca="1" si="34"/>
        <v>0</v>
      </c>
      <c r="R56" s="67">
        <f ca="1">IFERROR(__xludf.DUMMYFUNCTION("IMPORTRANGE(""https://docs.google.com/spreadsheets/d/11tr1B-Bhyr79v2bkwVh5h_fR-PStkgjlZtkrZpYurG0/edit?usp=sharing"",""ชลบุรี!Q72"")"),0)</f>
        <v>0</v>
      </c>
      <c r="S56" s="67">
        <f ca="1">IFERROR(__xludf.DUMMYFUNCTION("IMPORTRANGE(""https://docs.google.com/spreadsheets/d/11tr1B-Bhyr79v2bkwVh5h_fR-PStkgjlZtkrZpYurG0/edit?usp=sharing"",""ชลบุรี!R72"")"),0)</f>
        <v>0</v>
      </c>
      <c r="T56" s="67">
        <f ca="1">IFERROR(__xludf.DUMMYFUNCTION("IMPORTRANGE(""https://docs.google.com/spreadsheets/d/11tr1B-Bhyr79v2bkwVh5h_fR-PStkgjlZtkrZpYurG0/edit?usp=sharing"",""ชลบุรี!S72"")"),0)</f>
        <v>0</v>
      </c>
      <c r="U56" s="68">
        <f t="shared" ca="1" si="36"/>
        <v>0</v>
      </c>
      <c r="V56" s="68">
        <f t="shared" ca="1" si="37"/>
        <v>0</v>
      </c>
      <c r="W56" s="78">
        <f t="shared" ca="1" si="38"/>
        <v>0</v>
      </c>
      <c r="X56" s="78">
        <f t="shared" ca="1" si="39"/>
        <v>0</v>
      </c>
      <c r="Y56" s="78">
        <f t="shared" ca="1" si="57"/>
        <v>0</v>
      </c>
      <c r="Z56" s="79">
        <f t="shared" ca="1" si="40"/>
        <v>0</v>
      </c>
      <c r="AA56" s="78">
        <f t="shared" ca="1" si="58"/>
        <v>0</v>
      </c>
      <c r="AB56" s="79">
        <f t="shared" ca="1" si="41"/>
        <v>0</v>
      </c>
      <c r="AC56" s="74">
        <f ca="1">IFERROR(__xludf.DUMMYFUNCTION("IMPORTRANGE(""https://docs.google.com/spreadsheets/d/11tr1B-Bhyr79v2bkwVh5h_fR-PStkgjlZtkrZpYurG0/edit?usp=sharing"",""ชลบุรี!I84"")"),0)</f>
        <v>0</v>
      </c>
      <c r="AD56" s="74">
        <f ca="1">IFERROR(__xludf.DUMMYFUNCTION("IMPORTRANGE(""https://docs.google.com/spreadsheets/d/11tr1B-Bhyr79v2bkwVh5h_fR-PStkgjlZtkrZpYurG0/edit?usp=sharing"",""ชลบุรี!I85"")"),0)</f>
        <v>0</v>
      </c>
      <c r="AE56" s="78">
        <f ca="1">IFERROR(__xludf.DUMMYFUNCTION("IMPORTRANGE(""https://docs.google.com/spreadsheets/d/11tr1B-Bhyr79v2bkwVh5h_fR-PStkgjlZtkrZpYurG0/edit?usp=sharing"",""ชลบุรี!J84"")"),0)</f>
        <v>0</v>
      </c>
      <c r="AF56" s="78">
        <f ca="1">IFERROR(__xludf.DUMMYFUNCTION("IMPORTRANGE(""https://docs.google.com/spreadsheets/d/11tr1B-Bhyr79v2bkwVh5h_fR-PStkgjlZtkrZpYurG0/edit?usp=sharing"",""ชลบุรี!J85"")"),0)</f>
        <v>0</v>
      </c>
      <c r="AG56" s="74">
        <f ca="1">IFERROR(__xludf.DUMMYFUNCTION("IMPORTRANGE(""https://docs.google.com/spreadsheets/d/11tr1B-Bhyr79v2bkwVh5h_fR-PStkgjlZtkrZpYurG0/edit?usp=sharing"",""ชลบุรี!I86"")"),0)</f>
        <v>0</v>
      </c>
      <c r="AH56" s="74">
        <f ca="1">IFERROR(__xludf.DUMMYFUNCTION("IMPORTRANGE(""https://docs.google.com/spreadsheets/d/11tr1B-Bhyr79v2bkwVh5h_fR-PStkgjlZtkrZpYurG0/edit?usp=sharing"",""ชลบุรี!I87"")"),0)</f>
        <v>0</v>
      </c>
      <c r="AI56" s="78">
        <f ca="1">IFERROR(__xludf.DUMMYFUNCTION("IMPORTRANGE(""https://docs.google.com/spreadsheets/d/11tr1B-Bhyr79v2bkwVh5h_fR-PStkgjlZtkrZpYurG0/edit?usp=sharing"",""ชลบุรี!J86"")"),0)</f>
        <v>0</v>
      </c>
      <c r="AJ56" s="78">
        <f ca="1">IFERROR(__xludf.DUMMYFUNCTION("IMPORTRANGE(""https://docs.google.com/spreadsheets/d/11tr1B-Bhyr79v2bkwVh5h_fR-PStkgjlZtkrZpYurG0/edit?usp=sharing"",""ชลบุรี!J87"")"),0)</f>
        <v>0</v>
      </c>
      <c r="AK56" s="74">
        <f ca="1">IFERROR(__xludf.DUMMYFUNCTION("IMPORTRANGE(""https://docs.google.com/spreadsheets/d/11tr1B-Bhyr79v2bkwVh5h_fR-PStkgjlZtkrZpYurG0/edit?usp=sharing"",""ชลบุรี!I88"")"),0)</f>
        <v>0</v>
      </c>
      <c r="AL56" s="74">
        <f ca="1">IFERROR(__xludf.DUMMYFUNCTION("IMPORTRANGE(""https://docs.google.com/spreadsheets/d/11tr1B-Bhyr79v2bkwVh5h_fR-PStkgjlZtkrZpYurG0/edit?usp=sharing"",""ชลบุรี!I89"")"),0)</f>
        <v>0</v>
      </c>
      <c r="AM56" s="78">
        <f ca="1">IFERROR(__xludf.DUMMYFUNCTION("IMPORTRANGE(""https://docs.google.com/spreadsheets/d/11tr1B-Bhyr79v2bkwVh5h_fR-PStkgjlZtkrZpYurG0/edit?usp=sharing"",""ชลบุรี!J88"")"),0)</f>
        <v>0</v>
      </c>
      <c r="AN56" s="78">
        <f ca="1">IFERROR(__xludf.DUMMYFUNCTION("IMPORTRANGE(""https://docs.google.com/spreadsheets/d/11tr1B-Bhyr79v2bkwVh5h_fR-PStkgjlZtkrZpYurG0/edit?usp=sharing"",""ชลบุรี!J89"")"),0)</f>
        <v>0</v>
      </c>
      <c r="AO56" s="74">
        <f ca="1">IFERROR(__xludf.DUMMYFUNCTION("IMPORTRANGE(""https://docs.google.com/spreadsheets/d/11tr1B-Bhyr79v2bkwVh5h_fR-PStkgjlZtkrZpYurG0/edit?usp=sharing"",""ชลบุรี!I90"")"),0)</f>
        <v>0</v>
      </c>
      <c r="AP56" s="78">
        <f ca="1">IFERROR(__xludf.DUMMYFUNCTION("IMPORTRANGE(""https://docs.google.com/spreadsheets/d/11tr1B-Bhyr79v2bkwVh5h_fR-PStkgjlZtkrZpYurG0/edit?usp=sharing"",""ชลบุรี!J90"")"),0)</f>
        <v>0</v>
      </c>
      <c r="AQ56" s="76">
        <f t="shared" ca="1" si="43"/>
        <v>0</v>
      </c>
    </row>
    <row r="57" spans="1:43" ht="21" customHeight="1" x14ac:dyDescent="0.3">
      <c r="A57" s="70">
        <v>5</v>
      </c>
      <c r="B57" s="71" t="s">
        <v>85</v>
      </c>
      <c r="C57" s="72">
        <f t="shared" ca="1" si="27"/>
        <v>142000</v>
      </c>
      <c r="D57" s="73">
        <f t="shared" ca="1" si="56"/>
        <v>142000</v>
      </c>
      <c r="E57" s="74">
        <f ca="1">IFERROR(__xludf.DUMMYFUNCTION("IMPORTRANGE(""https://docs.google.com/spreadsheets/d/1-uDff_7J0KD5mKrp0Vvzr7lt3OU09vwQwhkpOPPYv2Y/edit?usp=sharing"",""งบพรบ!AN57"")"),0)</f>
        <v>0</v>
      </c>
      <c r="F57" s="74">
        <f ca="1">IFERROR(__xludf.DUMMYFUNCTION("IMPORTRANGE(""https://docs.google.com/spreadsheets/d/1-uDff_7J0KD5mKrp0Vvzr7lt3OU09vwQwhkpOPPYv2Y/edit?usp=sharing"",""งบพรบ!AO57"")"),142000)</f>
        <v>142000</v>
      </c>
      <c r="G57" s="74">
        <f ca="1">IFERROR(__xludf.DUMMYFUNCTION("IMPORTRANGE(""https://docs.google.com/spreadsheets/d/1-uDff_7J0KD5mKrp0Vvzr7lt3OU09vwQwhkpOPPYv2Y/edit?usp=sharing"",""งบพรบ!AP57"")"),0)</f>
        <v>0</v>
      </c>
      <c r="H57" s="74">
        <f ca="1">IFERROR(__xludf.DUMMYFUNCTION("IMPORTRANGE(""https://docs.google.com/spreadsheets/d/1-uDff_7J0KD5mKrp0Vvzr7lt3OU09vwQwhkpOPPYv2Y/edit?usp=sharing"",""งบพรบ!AR57"")"),142000)</f>
        <v>142000</v>
      </c>
      <c r="I57" s="74">
        <f ca="1">IFERROR(__xludf.DUMMYFUNCTION("IMPORTRANGE(""https://docs.google.com/spreadsheets/d/1-uDff_7J0KD5mKrp0Vvzr7lt3OU09vwQwhkpOPPYv2Y/edit?usp=sharing"",""งบพรบ!AS57"")"),0)</f>
        <v>0</v>
      </c>
      <c r="J57" s="74">
        <f t="shared" ca="1" si="29"/>
        <v>108196</v>
      </c>
      <c r="K57" s="75">
        <f t="shared" ca="1" si="30"/>
        <v>76.194366197183101</v>
      </c>
      <c r="L57" s="74">
        <f ca="1">IFERROR(__xludf.DUMMYFUNCTION("IMPORTRANGE(""https://docs.google.com/spreadsheets/d/1-uDff_7J0KD5mKrp0Vvzr7lt3OU09vwQwhkpOPPYv2Y/edit?usp=sharing"",""งบพรบ!AT57"")"),108196)</f>
        <v>108196</v>
      </c>
      <c r="M57" s="76">
        <f t="shared" ca="1" si="31"/>
        <v>76.194366197183101</v>
      </c>
      <c r="N57" s="76">
        <f t="shared" ca="1" si="32"/>
        <v>76.194366197183101</v>
      </c>
      <c r="O57" s="77">
        <f ca="1">IFERROR(__xludf.DUMMYFUNCTION("IMPORTRANGE(""https://docs.google.com/spreadsheets/d/1-uDff_7J0KD5mKrp0Vvzr7lt3OU09vwQwhkpOPPYv2Y/edit?usp=sharing"",""งบพรบ!AU57"")"),0)</f>
        <v>0</v>
      </c>
      <c r="P57" s="77">
        <f t="shared" ca="1" si="33"/>
        <v>0</v>
      </c>
      <c r="Q57" s="76">
        <f t="shared" ca="1" si="34"/>
        <v>0</v>
      </c>
      <c r="R57" s="67">
        <f ca="1">IFERROR(__xludf.DUMMYFUNCTION("IMPORTRANGE(""https://docs.google.com/spreadsheets/d/1hh-FVnSX0vozXhGluamEcS54Dw9_zqW0N7qJUWgJ0Sw/edit?usp=sharing"",""ชัยนาท!Q72"")"),412380)</f>
        <v>412380</v>
      </c>
      <c r="S57" s="67">
        <f ca="1">IFERROR(__xludf.DUMMYFUNCTION("IMPORTRANGE(""https://docs.google.com/spreadsheets/d/1hh-FVnSX0vozXhGluamEcS54Dw9_zqW0N7qJUWgJ0Sw/edit?usp=sharing"",""ชัยนาท!R72"")"),412380)</f>
        <v>412380</v>
      </c>
      <c r="T57" s="67">
        <f ca="1">IFERROR(__xludf.DUMMYFUNCTION("IMPORTRANGE(""https://docs.google.com/spreadsheets/d/1hh-FVnSX0vozXhGluamEcS54Dw9_zqW0N7qJUWgJ0Sw/edit?usp=sharing"",""ชัยนาท!S72"")"),285860)</f>
        <v>285860</v>
      </c>
      <c r="U57" s="68">
        <f t="shared" ca="1" si="36"/>
        <v>69.31955962946796</v>
      </c>
      <c r="V57" s="68">
        <f t="shared" ca="1" si="37"/>
        <v>69.31955962946796</v>
      </c>
      <c r="W57" s="78">
        <f t="shared" ca="1" si="38"/>
        <v>1</v>
      </c>
      <c r="X57" s="78">
        <f t="shared" ca="1" si="39"/>
        <v>34</v>
      </c>
      <c r="Y57" s="78">
        <f t="shared" ca="1" si="57"/>
        <v>1</v>
      </c>
      <c r="Z57" s="79">
        <f t="shared" ca="1" si="40"/>
        <v>100</v>
      </c>
      <c r="AA57" s="78">
        <f t="shared" ca="1" si="58"/>
        <v>34</v>
      </c>
      <c r="AB57" s="79">
        <f t="shared" ca="1" si="41"/>
        <v>100</v>
      </c>
      <c r="AC57" s="74">
        <f ca="1">IFERROR(__xludf.DUMMYFUNCTION("IMPORTRANGE(""https://docs.google.com/spreadsheets/d/1hh-FVnSX0vozXhGluamEcS54Dw9_zqW0N7qJUWgJ0Sw/edit?usp=sharing"",""ชัยนาท!I84"")"),0)</f>
        <v>0</v>
      </c>
      <c r="AD57" s="74">
        <f ca="1">IFERROR(__xludf.DUMMYFUNCTION("IMPORTRANGE(""https://docs.google.com/spreadsheets/d/1hh-FVnSX0vozXhGluamEcS54Dw9_zqW0N7qJUWgJ0Sw/edit?usp=sharing"",""ชัยนาท!I85"")"),0)</f>
        <v>0</v>
      </c>
      <c r="AE57" s="78">
        <f ca="1">IFERROR(__xludf.DUMMYFUNCTION("IMPORTRANGE(""https://docs.google.com/spreadsheets/d/1hh-FVnSX0vozXhGluamEcS54Dw9_zqW0N7qJUWgJ0Sw/edit?usp=sharing"",""ชัยนาท!J84"")"),0)</f>
        <v>0</v>
      </c>
      <c r="AF57" s="78">
        <f ca="1">IFERROR(__xludf.DUMMYFUNCTION("IMPORTRANGE(""https://docs.google.com/spreadsheets/d/1hh-FVnSX0vozXhGluamEcS54Dw9_zqW0N7qJUWgJ0Sw/edit?usp=sharing"",""ชัยนาท!J85"")"),0)</f>
        <v>0</v>
      </c>
      <c r="AG57" s="74">
        <f ca="1">IFERROR(__xludf.DUMMYFUNCTION("IMPORTRANGE(""https://docs.google.com/spreadsheets/d/1hh-FVnSX0vozXhGluamEcS54Dw9_zqW0N7qJUWgJ0Sw/edit?usp=sharing"",""ชัยนาท!I86"")"),1)</f>
        <v>1</v>
      </c>
      <c r="AH57" s="74">
        <f ca="1">IFERROR(__xludf.DUMMYFUNCTION("IMPORTRANGE(""https://docs.google.com/spreadsheets/d/1hh-FVnSX0vozXhGluamEcS54Dw9_zqW0N7qJUWgJ0Sw/edit?usp=sharing"",""ชัยนาท!I87"")"),34)</f>
        <v>34</v>
      </c>
      <c r="AI57" s="78">
        <f ca="1">IFERROR(__xludf.DUMMYFUNCTION("IMPORTRANGE(""https://docs.google.com/spreadsheets/d/1hh-FVnSX0vozXhGluamEcS54Dw9_zqW0N7qJUWgJ0Sw/edit?usp=sharing"",""ชัยนาท!J86"")"),1)</f>
        <v>1</v>
      </c>
      <c r="AJ57" s="78">
        <f ca="1">IFERROR(__xludf.DUMMYFUNCTION("IMPORTRANGE(""https://docs.google.com/spreadsheets/d/1hh-FVnSX0vozXhGluamEcS54Dw9_zqW0N7qJUWgJ0Sw/edit?usp=sharing"",""ชัยนาท!J87"")"),34)</f>
        <v>34</v>
      </c>
      <c r="AK57" s="74">
        <f ca="1">IFERROR(__xludf.DUMMYFUNCTION("IMPORTRANGE(""https://docs.google.com/spreadsheets/d/1hh-FVnSX0vozXhGluamEcS54Dw9_zqW0N7qJUWgJ0Sw/edit?usp=sharing"",""ชัยนาท!I88"")"),0)</f>
        <v>0</v>
      </c>
      <c r="AL57" s="74">
        <f ca="1">IFERROR(__xludf.DUMMYFUNCTION("IMPORTRANGE(""https://docs.google.com/spreadsheets/d/1hh-FVnSX0vozXhGluamEcS54Dw9_zqW0N7qJUWgJ0Sw/edit?usp=sharing"",""ชัยนาท!I89"")"),0)</f>
        <v>0</v>
      </c>
      <c r="AM57" s="78">
        <f ca="1">IFERROR(__xludf.DUMMYFUNCTION("IMPORTRANGE(""https://docs.google.com/spreadsheets/d/1hh-FVnSX0vozXhGluamEcS54Dw9_zqW0N7qJUWgJ0Sw/edit?usp=sharing"",""ชัยนาท!J88"")"),0)</f>
        <v>0</v>
      </c>
      <c r="AN57" s="78">
        <f ca="1">IFERROR(__xludf.DUMMYFUNCTION("IMPORTRANGE(""https://docs.google.com/spreadsheets/d/1hh-FVnSX0vozXhGluamEcS54Dw9_zqW0N7qJUWgJ0Sw/edit?usp=sharing"",""ชัยนาท!J89"")"),0)</f>
        <v>0</v>
      </c>
      <c r="AO57" s="74">
        <f ca="1">IFERROR(__xludf.DUMMYFUNCTION("IMPORTRANGE(""https://docs.google.com/spreadsheets/d/1hh-FVnSX0vozXhGluamEcS54Dw9_zqW0N7qJUWgJ0Sw/edit?usp=sharing"",""ชัยนาท!I90"")"),1)</f>
        <v>1</v>
      </c>
      <c r="AP57" s="78">
        <f ca="1">IFERROR(__xludf.DUMMYFUNCTION("IMPORTRANGE(""https://docs.google.com/spreadsheets/d/1hh-FVnSX0vozXhGluamEcS54Dw9_zqW0N7qJUWgJ0Sw/edit?usp=sharing"",""ชัยนาท!J90"")"),1)</f>
        <v>1</v>
      </c>
      <c r="AQ57" s="76">
        <f t="shared" ca="1" si="43"/>
        <v>100</v>
      </c>
    </row>
    <row r="58" spans="1:43" ht="21" customHeight="1" x14ac:dyDescent="0.3">
      <c r="A58" s="70">
        <v>6</v>
      </c>
      <c r="B58" s="71" t="s">
        <v>86</v>
      </c>
      <c r="C58" s="72">
        <f t="shared" ca="1" si="27"/>
        <v>0</v>
      </c>
      <c r="D58" s="73">
        <f t="shared" ca="1" si="56"/>
        <v>0</v>
      </c>
      <c r="E58" s="74">
        <f ca="1">IFERROR(__xludf.DUMMYFUNCTION("IMPORTRANGE(""https://docs.google.com/spreadsheets/d/1-uDff_7J0KD5mKrp0Vvzr7lt3OU09vwQwhkpOPPYv2Y/edit?usp=sharing"",""งบพรบ!AN58"")"),0)</f>
        <v>0</v>
      </c>
      <c r="F58" s="74">
        <f ca="1">IFERROR(__xludf.DUMMYFUNCTION("IMPORTRANGE(""https://docs.google.com/spreadsheets/d/1-uDff_7J0KD5mKrp0Vvzr7lt3OU09vwQwhkpOPPYv2Y/edit?usp=sharing"",""งบพรบ!AO58"")"),0)</f>
        <v>0</v>
      </c>
      <c r="G58" s="74">
        <f ca="1">IFERROR(__xludf.DUMMYFUNCTION("IMPORTRANGE(""https://docs.google.com/spreadsheets/d/1-uDff_7J0KD5mKrp0Vvzr7lt3OU09vwQwhkpOPPYv2Y/edit?usp=sharing"",""งบพรบ!AP58"")"),0)</f>
        <v>0</v>
      </c>
      <c r="H58" s="74">
        <f ca="1">IFERROR(__xludf.DUMMYFUNCTION("IMPORTRANGE(""https://docs.google.com/spreadsheets/d/1-uDff_7J0KD5mKrp0Vvzr7lt3OU09vwQwhkpOPPYv2Y/edit?usp=sharing"",""งบพรบ!AR58"")"),0)</f>
        <v>0</v>
      </c>
      <c r="I58" s="74">
        <f ca="1">IFERROR(__xludf.DUMMYFUNCTION("IMPORTRANGE(""https://docs.google.com/spreadsheets/d/1-uDff_7J0KD5mKrp0Vvzr7lt3OU09vwQwhkpOPPYv2Y/edit?usp=sharing"",""งบพรบ!AS58"")"),0)</f>
        <v>0</v>
      </c>
      <c r="J58" s="74">
        <f t="shared" ca="1" si="29"/>
        <v>0</v>
      </c>
      <c r="K58" s="75">
        <f t="shared" ca="1" si="30"/>
        <v>0</v>
      </c>
      <c r="L58" s="74">
        <f ca="1">IFERROR(__xludf.DUMMYFUNCTION("IMPORTRANGE(""https://docs.google.com/spreadsheets/d/1-uDff_7J0KD5mKrp0Vvzr7lt3OU09vwQwhkpOPPYv2Y/edit?usp=sharing"",""งบพรบ!AT58"")"),0)</f>
        <v>0</v>
      </c>
      <c r="M58" s="76">
        <f t="shared" ca="1" si="31"/>
        <v>0</v>
      </c>
      <c r="N58" s="76">
        <f t="shared" ca="1" si="32"/>
        <v>0</v>
      </c>
      <c r="O58" s="77">
        <f ca="1">IFERROR(__xludf.DUMMYFUNCTION("IMPORTRANGE(""https://docs.google.com/spreadsheets/d/1-uDff_7J0KD5mKrp0Vvzr7lt3OU09vwQwhkpOPPYv2Y/edit?usp=sharing"",""งบพรบ!AU58"")"),0)</f>
        <v>0</v>
      </c>
      <c r="P58" s="77">
        <f t="shared" ca="1" si="33"/>
        <v>0</v>
      </c>
      <c r="Q58" s="76">
        <f t="shared" ca="1" si="34"/>
        <v>0</v>
      </c>
      <c r="R58" s="67">
        <f ca="1">IFERROR(__xludf.DUMMYFUNCTION("IMPORTRANGE(""https://docs.google.com/spreadsheets/d/1jkqa6GXxSacMcY1eN8AHjMNJ_7dDXMJVRLDlaFSOdPM/edit?usp=sharing"",""ตราด!Q72"")"),0)</f>
        <v>0</v>
      </c>
      <c r="S58" s="67">
        <f ca="1">IFERROR(__xludf.DUMMYFUNCTION("IMPORTRANGE(""https://docs.google.com/spreadsheets/d/1jkqa6GXxSacMcY1eN8AHjMNJ_7dDXMJVRLDlaFSOdPM/edit?usp=sharing"",""ตราด!R72"")"),0)</f>
        <v>0</v>
      </c>
      <c r="T58" s="67">
        <f ca="1">IFERROR(__xludf.DUMMYFUNCTION("IMPORTRANGE(""https://docs.google.com/spreadsheets/d/1jkqa6GXxSacMcY1eN8AHjMNJ_7dDXMJVRLDlaFSOdPM/edit?usp=sharing"",""ตราด!S72"")"),0)</f>
        <v>0</v>
      </c>
      <c r="U58" s="68">
        <f t="shared" ca="1" si="36"/>
        <v>0</v>
      </c>
      <c r="V58" s="68">
        <f t="shared" ca="1" si="37"/>
        <v>0</v>
      </c>
      <c r="W58" s="78">
        <f t="shared" ca="1" si="38"/>
        <v>0</v>
      </c>
      <c r="X58" s="78">
        <f t="shared" ca="1" si="39"/>
        <v>0</v>
      </c>
      <c r="Y58" s="78">
        <f t="shared" ca="1" si="57"/>
        <v>0</v>
      </c>
      <c r="Z58" s="79">
        <f t="shared" ca="1" si="40"/>
        <v>0</v>
      </c>
      <c r="AA58" s="78">
        <f t="shared" ca="1" si="58"/>
        <v>0</v>
      </c>
      <c r="AB58" s="79">
        <f t="shared" ca="1" si="41"/>
        <v>0</v>
      </c>
      <c r="AC58" s="74">
        <f ca="1">IFERROR(__xludf.DUMMYFUNCTION("IMPORTRANGE(""https://docs.google.com/spreadsheets/d/1jkqa6GXxSacMcY1eN8AHjMNJ_7dDXMJVRLDlaFSOdPM/edit?usp=sharing"",""ตราด!I84"")"),0)</f>
        <v>0</v>
      </c>
      <c r="AD58" s="74">
        <f ca="1">IFERROR(__xludf.DUMMYFUNCTION("IMPORTRANGE(""https://docs.google.com/spreadsheets/d/1jkqa6GXxSacMcY1eN8AHjMNJ_7dDXMJVRLDlaFSOdPM/edit?usp=sharing"",""ตราด!I85"")"),0)</f>
        <v>0</v>
      </c>
      <c r="AE58" s="78">
        <f ca="1">IFERROR(__xludf.DUMMYFUNCTION("IMPORTRANGE(""https://docs.google.com/spreadsheets/d/1jkqa6GXxSacMcY1eN8AHjMNJ_7dDXMJVRLDlaFSOdPM/edit?usp=sharing"",""ตราด!J84"")"),0)</f>
        <v>0</v>
      </c>
      <c r="AF58" s="78">
        <f ca="1">IFERROR(__xludf.DUMMYFUNCTION("IMPORTRANGE(""https://docs.google.com/spreadsheets/d/1jkqa6GXxSacMcY1eN8AHjMNJ_7dDXMJVRLDlaFSOdPM/edit?usp=sharing"",""ตราด!J85"")"),0)</f>
        <v>0</v>
      </c>
      <c r="AG58" s="74">
        <f ca="1">IFERROR(__xludf.DUMMYFUNCTION("IMPORTRANGE(""https://docs.google.com/spreadsheets/d/1jkqa6GXxSacMcY1eN8AHjMNJ_7dDXMJVRLDlaFSOdPM/edit?usp=sharing"",""ตราด!I86"")"),0)</f>
        <v>0</v>
      </c>
      <c r="AH58" s="74">
        <f ca="1">IFERROR(__xludf.DUMMYFUNCTION("IMPORTRANGE(""https://docs.google.com/spreadsheets/d/1jkqa6GXxSacMcY1eN8AHjMNJ_7dDXMJVRLDlaFSOdPM/edit?usp=sharing"",""ตราด!I87"")"),0)</f>
        <v>0</v>
      </c>
      <c r="AI58" s="78">
        <f ca="1">IFERROR(__xludf.DUMMYFUNCTION("IMPORTRANGE(""https://docs.google.com/spreadsheets/d/1jkqa6GXxSacMcY1eN8AHjMNJ_7dDXMJVRLDlaFSOdPM/edit?usp=sharing"",""ตราด!J86"")"),0)</f>
        <v>0</v>
      </c>
      <c r="AJ58" s="78">
        <f ca="1">IFERROR(__xludf.DUMMYFUNCTION("IMPORTRANGE(""https://docs.google.com/spreadsheets/d/1jkqa6GXxSacMcY1eN8AHjMNJ_7dDXMJVRLDlaFSOdPM/edit?usp=sharing"",""ตราด!J87"")"),0)</f>
        <v>0</v>
      </c>
      <c r="AK58" s="74">
        <f ca="1">IFERROR(__xludf.DUMMYFUNCTION("IMPORTRANGE(""https://docs.google.com/spreadsheets/d/1jkqa6GXxSacMcY1eN8AHjMNJ_7dDXMJVRLDlaFSOdPM/edit?usp=sharing"",""ตราด!I88"")"),0)</f>
        <v>0</v>
      </c>
      <c r="AL58" s="74">
        <f ca="1">IFERROR(__xludf.DUMMYFUNCTION("IMPORTRANGE(""https://docs.google.com/spreadsheets/d/1jkqa6GXxSacMcY1eN8AHjMNJ_7dDXMJVRLDlaFSOdPM/edit?usp=sharing"",""ตราด!I89"")"),0)</f>
        <v>0</v>
      </c>
      <c r="AM58" s="78">
        <f ca="1">IFERROR(__xludf.DUMMYFUNCTION("IMPORTRANGE(""https://docs.google.com/spreadsheets/d/1jkqa6GXxSacMcY1eN8AHjMNJ_7dDXMJVRLDlaFSOdPM/edit?usp=sharing"",""ตราด!J88"")"),0)</f>
        <v>0</v>
      </c>
      <c r="AN58" s="78">
        <f ca="1">IFERROR(__xludf.DUMMYFUNCTION("IMPORTRANGE(""https://docs.google.com/spreadsheets/d/1jkqa6GXxSacMcY1eN8AHjMNJ_7dDXMJVRLDlaFSOdPM/edit?usp=sharing"",""ตราด!J89"")"),0)</f>
        <v>0</v>
      </c>
      <c r="AO58" s="74">
        <f ca="1">IFERROR(__xludf.DUMMYFUNCTION("IMPORTRANGE(""https://docs.google.com/spreadsheets/d/1jkqa6GXxSacMcY1eN8AHjMNJ_7dDXMJVRLDlaFSOdPM/edit?usp=sharing"",""ตราด!I90"")"),0)</f>
        <v>0</v>
      </c>
      <c r="AP58" s="78">
        <f ca="1">IFERROR(__xludf.DUMMYFUNCTION("IMPORTRANGE(""https://docs.google.com/spreadsheets/d/1jkqa6GXxSacMcY1eN8AHjMNJ_7dDXMJVRLDlaFSOdPM/edit?usp=sharing"",""ตราด!J90"")"),0)</f>
        <v>0</v>
      </c>
      <c r="AQ58" s="76">
        <f t="shared" ca="1" si="43"/>
        <v>0</v>
      </c>
    </row>
    <row r="59" spans="1:43" ht="21" customHeight="1" x14ac:dyDescent="0.3">
      <c r="A59" s="70">
        <v>7</v>
      </c>
      <c r="B59" s="71" t="s">
        <v>87</v>
      </c>
      <c r="C59" s="72">
        <f t="shared" ca="1" si="27"/>
        <v>0</v>
      </c>
      <c r="D59" s="73">
        <f t="shared" ca="1" si="56"/>
        <v>0</v>
      </c>
      <c r="E59" s="74">
        <f ca="1">IFERROR(__xludf.DUMMYFUNCTION("IMPORTRANGE(""https://docs.google.com/spreadsheets/d/1-uDff_7J0KD5mKrp0Vvzr7lt3OU09vwQwhkpOPPYv2Y/edit?usp=sharing"",""งบพรบ!AN59"")"),0)</f>
        <v>0</v>
      </c>
      <c r="F59" s="74">
        <f ca="1">IFERROR(__xludf.DUMMYFUNCTION("IMPORTRANGE(""https://docs.google.com/spreadsheets/d/1-uDff_7J0KD5mKrp0Vvzr7lt3OU09vwQwhkpOPPYv2Y/edit?usp=sharing"",""งบพรบ!AO59"")"),0)</f>
        <v>0</v>
      </c>
      <c r="G59" s="74">
        <f ca="1">IFERROR(__xludf.DUMMYFUNCTION("IMPORTRANGE(""https://docs.google.com/spreadsheets/d/1-uDff_7J0KD5mKrp0Vvzr7lt3OU09vwQwhkpOPPYv2Y/edit?usp=sharing"",""งบพรบ!AP59"")"),0)</f>
        <v>0</v>
      </c>
      <c r="H59" s="74">
        <f ca="1">IFERROR(__xludf.DUMMYFUNCTION("IMPORTRANGE(""https://docs.google.com/spreadsheets/d/1-uDff_7J0KD5mKrp0Vvzr7lt3OU09vwQwhkpOPPYv2Y/edit?usp=sharing"",""งบพรบ!AR59"")"),0)</f>
        <v>0</v>
      </c>
      <c r="I59" s="74">
        <f ca="1">IFERROR(__xludf.DUMMYFUNCTION("IMPORTRANGE(""https://docs.google.com/spreadsheets/d/1-uDff_7J0KD5mKrp0Vvzr7lt3OU09vwQwhkpOPPYv2Y/edit?usp=sharing"",""งบพรบ!AS59"")"),0)</f>
        <v>0</v>
      </c>
      <c r="J59" s="74">
        <f t="shared" ca="1" si="29"/>
        <v>0</v>
      </c>
      <c r="K59" s="75">
        <f t="shared" ca="1" si="30"/>
        <v>0</v>
      </c>
      <c r="L59" s="74">
        <f ca="1">IFERROR(__xludf.DUMMYFUNCTION("IMPORTRANGE(""https://docs.google.com/spreadsheets/d/1-uDff_7J0KD5mKrp0Vvzr7lt3OU09vwQwhkpOPPYv2Y/edit?usp=sharing"",""งบพรบ!AT59"")"),0)</f>
        <v>0</v>
      </c>
      <c r="M59" s="76">
        <f t="shared" ca="1" si="31"/>
        <v>0</v>
      </c>
      <c r="N59" s="76">
        <f t="shared" ca="1" si="32"/>
        <v>0</v>
      </c>
      <c r="O59" s="77">
        <f ca="1">IFERROR(__xludf.DUMMYFUNCTION("IMPORTRANGE(""https://docs.google.com/spreadsheets/d/1-uDff_7J0KD5mKrp0Vvzr7lt3OU09vwQwhkpOPPYv2Y/edit?usp=sharing"",""งบพรบ!AU59"")"),0)</f>
        <v>0</v>
      </c>
      <c r="P59" s="77">
        <f t="shared" ca="1" si="33"/>
        <v>0</v>
      </c>
      <c r="Q59" s="76">
        <f t="shared" ca="1" si="34"/>
        <v>0</v>
      </c>
      <c r="R59" s="67">
        <f ca="1">IFERROR(__xludf.DUMMYFUNCTION("IMPORTRANGE(""https://docs.google.com/spreadsheets/d/18hSgUJ3VwClqi_qtULmmW3cLr0oe3OKaSYoKzdpTsYQ/edit?usp=sharing"",""นครนายก!Q72"")"),0)</f>
        <v>0</v>
      </c>
      <c r="S59" s="67">
        <f ca="1">IFERROR(__xludf.DUMMYFUNCTION("IMPORTRANGE(""https://docs.google.com/spreadsheets/d/18hSgUJ3VwClqi_qtULmmW3cLr0oe3OKaSYoKzdpTsYQ/edit?usp=sharing"",""นครนายก!R72"")"),0)</f>
        <v>0</v>
      </c>
      <c r="T59" s="67">
        <f ca="1">IFERROR(__xludf.DUMMYFUNCTION("IMPORTRANGE(""https://docs.google.com/spreadsheets/d/18hSgUJ3VwClqi_qtULmmW3cLr0oe3OKaSYoKzdpTsYQ/edit?usp=sharing"",""นครนายก!S72"")"),0)</f>
        <v>0</v>
      </c>
      <c r="U59" s="68">
        <f t="shared" ca="1" si="36"/>
        <v>0</v>
      </c>
      <c r="V59" s="68">
        <f t="shared" ca="1" si="37"/>
        <v>0</v>
      </c>
      <c r="W59" s="78">
        <f t="shared" ca="1" si="38"/>
        <v>0</v>
      </c>
      <c r="X59" s="78">
        <f t="shared" ca="1" si="39"/>
        <v>0</v>
      </c>
      <c r="Y59" s="78">
        <f t="shared" ca="1" si="57"/>
        <v>0</v>
      </c>
      <c r="Z59" s="79">
        <f t="shared" ca="1" si="40"/>
        <v>0</v>
      </c>
      <c r="AA59" s="78">
        <f t="shared" ca="1" si="58"/>
        <v>0</v>
      </c>
      <c r="AB59" s="79">
        <f t="shared" ca="1" si="41"/>
        <v>0</v>
      </c>
      <c r="AC59" s="74">
        <f ca="1">IFERROR(__xludf.DUMMYFUNCTION("IMPORTRANGE(""https://docs.google.com/spreadsheets/d/18hSgUJ3VwClqi_qtULmmW3cLr0oe3OKaSYoKzdpTsYQ/edit?usp=sharing"",""นครนายก!I84"")"),0)</f>
        <v>0</v>
      </c>
      <c r="AD59" s="74">
        <f ca="1">IFERROR(__xludf.DUMMYFUNCTION("IMPORTRANGE(""https://docs.google.com/spreadsheets/d/18hSgUJ3VwClqi_qtULmmW3cLr0oe3OKaSYoKzdpTsYQ/edit?usp=sharing"",""นครนายก!I85"")"),0)</f>
        <v>0</v>
      </c>
      <c r="AE59" s="78">
        <f ca="1">IFERROR(__xludf.DUMMYFUNCTION("IMPORTRANGE(""https://docs.google.com/spreadsheets/d/18hSgUJ3VwClqi_qtULmmW3cLr0oe3OKaSYoKzdpTsYQ/edit?usp=sharing"",""นครนายก!J84"")"),0)</f>
        <v>0</v>
      </c>
      <c r="AF59" s="78">
        <f ca="1">IFERROR(__xludf.DUMMYFUNCTION("IMPORTRANGE(""https://docs.google.com/spreadsheets/d/18hSgUJ3VwClqi_qtULmmW3cLr0oe3OKaSYoKzdpTsYQ/edit?usp=sharing"",""นครนายก!J85"")"),0)</f>
        <v>0</v>
      </c>
      <c r="AG59" s="74">
        <f ca="1">IFERROR(__xludf.DUMMYFUNCTION("IMPORTRANGE(""https://docs.google.com/spreadsheets/d/18hSgUJ3VwClqi_qtULmmW3cLr0oe3OKaSYoKzdpTsYQ/edit?usp=sharing"",""นครนายก!I86"")"),0)</f>
        <v>0</v>
      </c>
      <c r="AH59" s="74">
        <f ca="1">IFERROR(__xludf.DUMMYFUNCTION("IMPORTRANGE(""https://docs.google.com/spreadsheets/d/18hSgUJ3VwClqi_qtULmmW3cLr0oe3OKaSYoKzdpTsYQ/edit?usp=sharing"",""นครนายก!I87"")"),0)</f>
        <v>0</v>
      </c>
      <c r="AI59" s="78">
        <f ca="1">IFERROR(__xludf.DUMMYFUNCTION("IMPORTRANGE(""https://docs.google.com/spreadsheets/d/18hSgUJ3VwClqi_qtULmmW3cLr0oe3OKaSYoKzdpTsYQ/edit?usp=sharing"",""นครนายก!J86"")"),0)</f>
        <v>0</v>
      </c>
      <c r="AJ59" s="78">
        <f ca="1">IFERROR(__xludf.DUMMYFUNCTION("IMPORTRANGE(""https://docs.google.com/spreadsheets/d/18hSgUJ3VwClqi_qtULmmW3cLr0oe3OKaSYoKzdpTsYQ/edit?usp=sharing"",""นครนายก!J87"")"),0)</f>
        <v>0</v>
      </c>
      <c r="AK59" s="74">
        <f ca="1">IFERROR(__xludf.DUMMYFUNCTION("IMPORTRANGE(""https://docs.google.com/spreadsheets/d/18hSgUJ3VwClqi_qtULmmW3cLr0oe3OKaSYoKzdpTsYQ/edit?usp=sharing"",""นครนายก!I88"")"),0)</f>
        <v>0</v>
      </c>
      <c r="AL59" s="74">
        <f ca="1">IFERROR(__xludf.DUMMYFUNCTION("IMPORTRANGE(""https://docs.google.com/spreadsheets/d/18hSgUJ3VwClqi_qtULmmW3cLr0oe3OKaSYoKzdpTsYQ/edit?usp=sharing"",""นครนายก!I89"")"),0)</f>
        <v>0</v>
      </c>
      <c r="AM59" s="78">
        <f ca="1">IFERROR(__xludf.DUMMYFUNCTION("IMPORTRANGE(""https://docs.google.com/spreadsheets/d/18hSgUJ3VwClqi_qtULmmW3cLr0oe3OKaSYoKzdpTsYQ/edit?usp=sharing"",""นครนายก!J88"")"),0)</f>
        <v>0</v>
      </c>
      <c r="AN59" s="78">
        <f ca="1">IFERROR(__xludf.DUMMYFUNCTION("IMPORTRANGE(""https://docs.google.com/spreadsheets/d/18hSgUJ3VwClqi_qtULmmW3cLr0oe3OKaSYoKzdpTsYQ/edit?usp=sharing"",""นครนายก!J89"")"),0)</f>
        <v>0</v>
      </c>
      <c r="AO59" s="74">
        <f ca="1">IFERROR(__xludf.DUMMYFUNCTION("IMPORTRANGE(""https://docs.google.com/spreadsheets/d/18hSgUJ3VwClqi_qtULmmW3cLr0oe3OKaSYoKzdpTsYQ/edit?usp=sharing"",""นครนายก!I90"")"),0)</f>
        <v>0</v>
      </c>
      <c r="AP59" s="78">
        <f ca="1">IFERROR(__xludf.DUMMYFUNCTION("IMPORTRANGE(""https://docs.google.com/spreadsheets/d/18hSgUJ3VwClqi_qtULmmW3cLr0oe3OKaSYoKzdpTsYQ/edit?usp=sharing"",""นครนายก!J90"")"),0)</f>
        <v>0</v>
      </c>
      <c r="AQ59" s="76">
        <f t="shared" ca="1" si="43"/>
        <v>0</v>
      </c>
    </row>
    <row r="60" spans="1:43" ht="21" customHeight="1" x14ac:dyDescent="0.3">
      <c r="A60" s="70">
        <v>8</v>
      </c>
      <c r="B60" s="71" t="s">
        <v>88</v>
      </c>
      <c r="C60" s="72">
        <f t="shared" ca="1" si="27"/>
        <v>0</v>
      </c>
      <c r="D60" s="73">
        <f t="shared" ca="1" si="56"/>
        <v>0</v>
      </c>
      <c r="E60" s="74">
        <f ca="1">IFERROR(__xludf.DUMMYFUNCTION("IMPORTRANGE(""https://docs.google.com/spreadsheets/d/1-uDff_7J0KD5mKrp0Vvzr7lt3OU09vwQwhkpOPPYv2Y/edit?usp=sharing"",""งบพรบ!AN60"")"),0)</f>
        <v>0</v>
      </c>
      <c r="F60" s="74">
        <f ca="1">IFERROR(__xludf.DUMMYFUNCTION("IMPORTRANGE(""https://docs.google.com/spreadsheets/d/1-uDff_7J0KD5mKrp0Vvzr7lt3OU09vwQwhkpOPPYv2Y/edit?usp=sharing"",""งบพรบ!AO60"")"),0)</f>
        <v>0</v>
      </c>
      <c r="G60" s="74">
        <f ca="1">IFERROR(__xludf.DUMMYFUNCTION("IMPORTRANGE(""https://docs.google.com/spreadsheets/d/1-uDff_7J0KD5mKrp0Vvzr7lt3OU09vwQwhkpOPPYv2Y/edit?usp=sharing"",""งบพรบ!AP60"")"),0)</f>
        <v>0</v>
      </c>
      <c r="H60" s="74">
        <f ca="1">IFERROR(__xludf.DUMMYFUNCTION("IMPORTRANGE(""https://docs.google.com/spreadsheets/d/1-uDff_7J0KD5mKrp0Vvzr7lt3OU09vwQwhkpOPPYv2Y/edit?usp=sharing"",""งบพรบ!AR60"")"),0)</f>
        <v>0</v>
      </c>
      <c r="I60" s="74">
        <f ca="1">IFERROR(__xludf.DUMMYFUNCTION("IMPORTRANGE(""https://docs.google.com/spreadsheets/d/1-uDff_7J0KD5mKrp0Vvzr7lt3OU09vwQwhkpOPPYv2Y/edit?usp=sharing"",""งบพรบ!AS60"")"),0)</f>
        <v>0</v>
      </c>
      <c r="J60" s="74">
        <f t="shared" ca="1" si="29"/>
        <v>0</v>
      </c>
      <c r="K60" s="75">
        <f t="shared" ca="1" si="30"/>
        <v>0</v>
      </c>
      <c r="L60" s="74">
        <f ca="1">IFERROR(__xludf.DUMMYFUNCTION("IMPORTRANGE(""https://docs.google.com/spreadsheets/d/1-uDff_7J0KD5mKrp0Vvzr7lt3OU09vwQwhkpOPPYv2Y/edit?usp=sharing"",""งบพรบ!AT60"")"),0)</f>
        <v>0</v>
      </c>
      <c r="M60" s="76">
        <f t="shared" ca="1" si="31"/>
        <v>0</v>
      </c>
      <c r="N60" s="76">
        <f t="shared" ca="1" si="32"/>
        <v>0</v>
      </c>
      <c r="O60" s="77">
        <f ca="1">IFERROR(__xludf.DUMMYFUNCTION("IMPORTRANGE(""https://docs.google.com/spreadsheets/d/1-uDff_7J0KD5mKrp0Vvzr7lt3OU09vwQwhkpOPPYv2Y/edit?usp=sharing"",""งบพรบ!AU60"")"),0)</f>
        <v>0</v>
      </c>
      <c r="P60" s="77">
        <f t="shared" ca="1" si="33"/>
        <v>0</v>
      </c>
      <c r="Q60" s="76">
        <f t="shared" ca="1" si="34"/>
        <v>0</v>
      </c>
      <c r="R60" s="67">
        <f ca="1">IFERROR(__xludf.DUMMYFUNCTION("IMPORTRANGE(""https://docs.google.com/spreadsheets/d/1YTZo6WM2dQ6Ix6FSdnL5P7uVnVKu40sxZu975tgG10E/edit?usp=sharing"",""นครปฐม!Q72"")"),0)</f>
        <v>0</v>
      </c>
      <c r="S60" s="67">
        <f ca="1">IFERROR(__xludf.DUMMYFUNCTION("IMPORTRANGE(""https://docs.google.com/spreadsheets/d/1YTZo6WM2dQ6Ix6FSdnL5P7uVnVKu40sxZu975tgG10E/edit?usp=sharing"",""นครปฐม!R72"")"),0)</f>
        <v>0</v>
      </c>
      <c r="T60" s="67">
        <f ca="1">IFERROR(__xludf.DUMMYFUNCTION("IMPORTRANGE(""https://docs.google.com/spreadsheets/d/1YTZo6WM2dQ6Ix6FSdnL5P7uVnVKu40sxZu975tgG10E/edit?usp=sharing"",""นครปฐม!S72"")"),0)</f>
        <v>0</v>
      </c>
      <c r="U60" s="68">
        <f t="shared" ca="1" si="36"/>
        <v>0</v>
      </c>
      <c r="V60" s="68">
        <f t="shared" ca="1" si="37"/>
        <v>0</v>
      </c>
      <c r="W60" s="78">
        <f t="shared" ca="1" si="38"/>
        <v>0</v>
      </c>
      <c r="X60" s="78">
        <f t="shared" ca="1" si="39"/>
        <v>0</v>
      </c>
      <c r="Y60" s="78">
        <f t="shared" ca="1" si="57"/>
        <v>0</v>
      </c>
      <c r="Z60" s="79">
        <f t="shared" ca="1" si="40"/>
        <v>0</v>
      </c>
      <c r="AA60" s="78">
        <f t="shared" ca="1" si="58"/>
        <v>0</v>
      </c>
      <c r="AB60" s="79">
        <f t="shared" ca="1" si="41"/>
        <v>0</v>
      </c>
      <c r="AC60" s="74">
        <f ca="1">IFERROR(__xludf.DUMMYFUNCTION("IMPORTRANGE(""https://docs.google.com/spreadsheets/d/1YTZo6WM2dQ6Ix6FSdnL5P7uVnVKu40sxZu975tgG10E/edit?usp=sharing"",""นครปฐม!I84"")"),0)</f>
        <v>0</v>
      </c>
      <c r="AD60" s="74">
        <f ca="1">IFERROR(__xludf.DUMMYFUNCTION("IMPORTRANGE(""https://docs.google.com/spreadsheets/d/1YTZo6WM2dQ6Ix6FSdnL5P7uVnVKu40sxZu975tgG10E/edit?usp=sharing"",""นครปฐม!I85"")"),0)</f>
        <v>0</v>
      </c>
      <c r="AE60" s="78">
        <f ca="1">IFERROR(__xludf.DUMMYFUNCTION("IMPORTRANGE(""https://docs.google.com/spreadsheets/d/1YTZo6WM2dQ6Ix6FSdnL5P7uVnVKu40sxZu975tgG10E/edit?usp=sharing"",""นครปฐม!J84"")"),0)</f>
        <v>0</v>
      </c>
      <c r="AF60" s="78">
        <f ca="1">IFERROR(__xludf.DUMMYFUNCTION("IMPORTRANGE(""https://docs.google.com/spreadsheets/d/1YTZo6WM2dQ6Ix6FSdnL5P7uVnVKu40sxZu975tgG10E/edit?usp=sharing"",""นครปฐม!J85"")"),0)</f>
        <v>0</v>
      </c>
      <c r="AG60" s="74">
        <f ca="1">IFERROR(__xludf.DUMMYFUNCTION("IMPORTRANGE(""https://docs.google.com/spreadsheets/d/1YTZo6WM2dQ6Ix6FSdnL5P7uVnVKu40sxZu975tgG10E/edit?usp=sharing"",""นครปฐม!I86"")"),0)</f>
        <v>0</v>
      </c>
      <c r="AH60" s="74">
        <f ca="1">IFERROR(__xludf.DUMMYFUNCTION("IMPORTRANGE(""https://docs.google.com/spreadsheets/d/1YTZo6WM2dQ6Ix6FSdnL5P7uVnVKu40sxZu975tgG10E/edit?usp=sharing"",""นครปฐม!I87"")"),0)</f>
        <v>0</v>
      </c>
      <c r="AI60" s="78">
        <f ca="1">IFERROR(__xludf.DUMMYFUNCTION("IMPORTRANGE(""https://docs.google.com/spreadsheets/d/1YTZo6WM2dQ6Ix6FSdnL5P7uVnVKu40sxZu975tgG10E/edit?usp=sharing"",""นครปฐม!J86"")"),0)</f>
        <v>0</v>
      </c>
      <c r="AJ60" s="78">
        <f ca="1">IFERROR(__xludf.DUMMYFUNCTION("IMPORTRANGE(""https://docs.google.com/spreadsheets/d/1YTZo6WM2dQ6Ix6FSdnL5P7uVnVKu40sxZu975tgG10E/edit?usp=sharing"",""นครปฐม!J87"")"),0)</f>
        <v>0</v>
      </c>
      <c r="AK60" s="74">
        <f ca="1">IFERROR(__xludf.DUMMYFUNCTION("IMPORTRANGE(""https://docs.google.com/spreadsheets/d/1YTZo6WM2dQ6Ix6FSdnL5P7uVnVKu40sxZu975tgG10E/edit?usp=sharing"",""นครปฐม!I88"")"),0)</f>
        <v>0</v>
      </c>
      <c r="AL60" s="74">
        <f ca="1">IFERROR(__xludf.DUMMYFUNCTION("IMPORTRANGE(""https://docs.google.com/spreadsheets/d/1YTZo6WM2dQ6Ix6FSdnL5P7uVnVKu40sxZu975tgG10E/edit?usp=sharing"",""นครปฐม!I89"")"),0)</f>
        <v>0</v>
      </c>
      <c r="AM60" s="78">
        <f ca="1">IFERROR(__xludf.DUMMYFUNCTION("IMPORTRANGE(""https://docs.google.com/spreadsheets/d/1YTZo6WM2dQ6Ix6FSdnL5P7uVnVKu40sxZu975tgG10E/edit?usp=sharing"",""นครปฐม!J88"")"),0)</f>
        <v>0</v>
      </c>
      <c r="AN60" s="78">
        <f ca="1">IFERROR(__xludf.DUMMYFUNCTION("IMPORTRANGE(""https://docs.google.com/spreadsheets/d/1YTZo6WM2dQ6Ix6FSdnL5P7uVnVKu40sxZu975tgG10E/edit?usp=sharing"",""นครปฐม!J89"")"),0)</f>
        <v>0</v>
      </c>
      <c r="AO60" s="74">
        <f ca="1">IFERROR(__xludf.DUMMYFUNCTION("IMPORTRANGE(""https://docs.google.com/spreadsheets/d/1YTZo6WM2dQ6Ix6FSdnL5P7uVnVKu40sxZu975tgG10E/edit?usp=sharing"",""นครปฐม!I90"")"),0)</f>
        <v>0</v>
      </c>
      <c r="AP60" s="78">
        <f ca="1">IFERROR(__xludf.DUMMYFUNCTION("IMPORTRANGE(""https://docs.google.com/spreadsheets/d/1YTZo6WM2dQ6Ix6FSdnL5P7uVnVKu40sxZu975tgG10E/edit?usp=sharing"",""นครปฐม!J90"")"),0)</f>
        <v>0</v>
      </c>
      <c r="AQ60" s="76">
        <f t="shared" ca="1" si="43"/>
        <v>0</v>
      </c>
    </row>
    <row r="61" spans="1:43" ht="21" customHeight="1" x14ac:dyDescent="0.3">
      <c r="A61" s="70">
        <v>9</v>
      </c>
      <c r="B61" s="71" t="s">
        <v>89</v>
      </c>
      <c r="C61" s="72">
        <f t="shared" ca="1" si="27"/>
        <v>0</v>
      </c>
      <c r="D61" s="73">
        <f t="shared" ca="1" si="56"/>
        <v>0</v>
      </c>
      <c r="E61" s="74">
        <f ca="1">IFERROR(__xludf.DUMMYFUNCTION("IMPORTRANGE(""https://docs.google.com/spreadsheets/d/1-uDff_7J0KD5mKrp0Vvzr7lt3OU09vwQwhkpOPPYv2Y/edit?usp=sharing"",""งบพรบ!AN61"")"),0)</f>
        <v>0</v>
      </c>
      <c r="F61" s="74">
        <f ca="1">IFERROR(__xludf.DUMMYFUNCTION("IMPORTRANGE(""https://docs.google.com/spreadsheets/d/1-uDff_7J0KD5mKrp0Vvzr7lt3OU09vwQwhkpOPPYv2Y/edit?usp=sharing"",""งบพรบ!AO61"")"),0)</f>
        <v>0</v>
      </c>
      <c r="G61" s="74">
        <f ca="1">IFERROR(__xludf.DUMMYFUNCTION("IMPORTRANGE(""https://docs.google.com/spreadsheets/d/1-uDff_7J0KD5mKrp0Vvzr7lt3OU09vwQwhkpOPPYv2Y/edit?usp=sharing"",""งบพรบ!AP61"")"),0)</f>
        <v>0</v>
      </c>
      <c r="H61" s="74">
        <f ca="1">IFERROR(__xludf.DUMMYFUNCTION("IMPORTRANGE(""https://docs.google.com/spreadsheets/d/1-uDff_7J0KD5mKrp0Vvzr7lt3OU09vwQwhkpOPPYv2Y/edit?usp=sharing"",""งบพรบ!AR61"")"),0)</f>
        <v>0</v>
      </c>
      <c r="I61" s="74">
        <f ca="1">IFERROR(__xludf.DUMMYFUNCTION("IMPORTRANGE(""https://docs.google.com/spreadsheets/d/1-uDff_7J0KD5mKrp0Vvzr7lt3OU09vwQwhkpOPPYv2Y/edit?usp=sharing"",""งบพรบ!AS61"")"),0)</f>
        <v>0</v>
      </c>
      <c r="J61" s="74">
        <f t="shared" ca="1" si="29"/>
        <v>0</v>
      </c>
      <c r="K61" s="75">
        <f t="shared" ca="1" si="30"/>
        <v>0</v>
      </c>
      <c r="L61" s="74">
        <f ca="1">IFERROR(__xludf.DUMMYFUNCTION("IMPORTRANGE(""https://docs.google.com/spreadsheets/d/1-uDff_7J0KD5mKrp0Vvzr7lt3OU09vwQwhkpOPPYv2Y/edit?usp=sharing"",""งบพรบ!AT61"")"),0)</f>
        <v>0</v>
      </c>
      <c r="M61" s="76">
        <f t="shared" ca="1" si="31"/>
        <v>0</v>
      </c>
      <c r="N61" s="76">
        <f t="shared" ca="1" si="32"/>
        <v>0</v>
      </c>
      <c r="O61" s="77">
        <f ca="1">IFERROR(__xludf.DUMMYFUNCTION("IMPORTRANGE(""https://docs.google.com/spreadsheets/d/1-uDff_7J0KD5mKrp0Vvzr7lt3OU09vwQwhkpOPPYv2Y/edit?usp=sharing"",""งบพรบ!AU61"")"),0)</f>
        <v>0</v>
      </c>
      <c r="P61" s="77">
        <f t="shared" ca="1" si="33"/>
        <v>0</v>
      </c>
      <c r="Q61" s="76">
        <f t="shared" ca="1" si="34"/>
        <v>0</v>
      </c>
      <c r="R61" s="67">
        <f ca="1">IFERROR(__xludf.DUMMYFUNCTION("IMPORTRANGE(""https://docs.google.com/spreadsheets/d/1OYoGg4WDg5RIzwGeB10padOxJF9E_Vljuvvct_M7RDo/edit?usp=sharing"",""ปทุมธานี!Q72"")"),0)</f>
        <v>0</v>
      </c>
      <c r="S61" s="67">
        <f ca="1">IFERROR(__xludf.DUMMYFUNCTION("IMPORTRANGE(""https://docs.google.com/spreadsheets/d/1OYoGg4WDg5RIzwGeB10padOxJF9E_Vljuvvct_M7RDo/edit?usp=sharing"",""ปทุมธานี!R72"")"),0)</f>
        <v>0</v>
      </c>
      <c r="T61" s="67">
        <f ca="1">IFERROR(__xludf.DUMMYFUNCTION("IMPORTRANGE(""https://docs.google.com/spreadsheets/d/1OYoGg4WDg5RIzwGeB10padOxJF9E_Vljuvvct_M7RDo/edit?usp=sharing"",""ปทุมธานี!S72"")"),0)</f>
        <v>0</v>
      </c>
      <c r="U61" s="68">
        <f t="shared" ca="1" si="36"/>
        <v>0</v>
      </c>
      <c r="V61" s="68">
        <f t="shared" ca="1" si="37"/>
        <v>0</v>
      </c>
      <c r="W61" s="78">
        <f t="shared" ca="1" si="38"/>
        <v>0</v>
      </c>
      <c r="X61" s="78">
        <f t="shared" ca="1" si="39"/>
        <v>0</v>
      </c>
      <c r="Y61" s="78">
        <f t="shared" ca="1" si="57"/>
        <v>0</v>
      </c>
      <c r="Z61" s="79">
        <f t="shared" ca="1" si="40"/>
        <v>0</v>
      </c>
      <c r="AA61" s="78">
        <f t="shared" ca="1" si="58"/>
        <v>0</v>
      </c>
      <c r="AB61" s="79">
        <f t="shared" ca="1" si="41"/>
        <v>0</v>
      </c>
      <c r="AC61" s="74">
        <f ca="1">IFERROR(__xludf.DUMMYFUNCTION("IMPORTRANGE(""https://docs.google.com/spreadsheets/d/1OYoGg4WDg5RIzwGeB10padOxJF9E_Vljuvvct_M7RDo/edit?usp=sharing"",""ปทุมธานี!I84"")"),0)</f>
        <v>0</v>
      </c>
      <c r="AD61" s="74">
        <f ca="1">IFERROR(__xludf.DUMMYFUNCTION("IMPORTRANGE(""https://docs.google.com/spreadsheets/d/1OYoGg4WDg5RIzwGeB10padOxJF9E_Vljuvvct_M7RDo/edit?usp=sharing"",""ปทุมธานี!I85"")"),0)</f>
        <v>0</v>
      </c>
      <c r="AE61" s="78">
        <f ca="1">IFERROR(__xludf.DUMMYFUNCTION("IMPORTRANGE(""https://docs.google.com/spreadsheets/d/1OYoGg4WDg5RIzwGeB10padOxJF9E_Vljuvvct_M7RDo/edit?usp=sharing"",""ปทุมธานี!J84"")"),0)</f>
        <v>0</v>
      </c>
      <c r="AF61" s="78">
        <f ca="1">IFERROR(__xludf.DUMMYFUNCTION("IMPORTRANGE(""https://docs.google.com/spreadsheets/d/1OYoGg4WDg5RIzwGeB10padOxJF9E_Vljuvvct_M7RDo/edit?usp=sharing"",""ปทุมธานี!J85"")"),0)</f>
        <v>0</v>
      </c>
      <c r="AG61" s="74">
        <f ca="1">IFERROR(__xludf.DUMMYFUNCTION("IMPORTRANGE(""https://docs.google.com/spreadsheets/d/1OYoGg4WDg5RIzwGeB10padOxJF9E_Vljuvvct_M7RDo/edit?usp=sharing"",""ปทุมธานี!I86"")"),0)</f>
        <v>0</v>
      </c>
      <c r="AH61" s="74">
        <f ca="1">IFERROR(__xludf.DUMMYFUNCTION("IMPORTRANGE(""https://docs.google.com/spreadsheets/d/1OYoGg4WDg5RIzwGeB10padOxJF9E_Vljuvvct_M7RDo/edit?usp=sharing"",""ปทุมธานี!I87"")"),0)</f>
        <v>0</v>
      </c>
      <c r="AI61" s="78">
        <f ca="1">IFERROR(__xludf.DUMMYFUNCTION("IMPORTRANGE(""https://docs.google.com/spreadsheets/d/1OYoGg4WDg5RIzwGeB10padOxJF9E_Vljuvvct_M7RDo/edit?usp=sharing"",""ปทุมธานี!J86"")"),0)</f>
        <v>0</v>
      </c>
      <c r="AJ61" s="78">
        <f ca="1">IFERROR(__xludf.DUMMYFUNCTION("IMPORTRANGE(""https://docs.google.com/spreadsheets/d/1OYoGg4WDg5RIzwGeB10padOxJF9E_Vljuvvct_M7RDo/edit?usp=sharing"",""ปทุมธานี!J87"")"),0)</f>
        <v>0</v>
      </c>
      <c r="AK61" s="74">
        <f ca="1">IFERROR(__xludf.DUMMYFUNCTION("IMPORTRANGE(""https://docs.google.com/spreadsheets/d/1OYoGg4WDg5RIzwGeB10padOxJF9E_Vljuvvct_M7RDo/edit?usp=sharing"",""ปทุมธานี!I88"")"),0)</f>
        <v>0</v>
      </c>
      <c r="AL61" s="74">
        <f ca="1">IFERROR(__xludf.DUMMYFUNCTION("IMPORTRANGE(""https://docs.google.com/spreadsheets/d/1OYoGg4WDg5RIzwGeB10padOxJF9E_Vljuvvct_M7RDo/edit?usp=sharing"",""ปทุมธานี!I89"")"),0)</f>
        <v>0</v>
      </c>
      <c r="AM61" s="78">
        <f ca="1">IFERROR(__xludf.DUMMYFUNCTION("IMPORTRANGE(""https://docs.google.com/spreadsheets/d/1OYoGg4WDg5RIzwGeB10padOxJF9E_Vljuvvct_M7RDo/edit?usp=sharing"",""ปทุมธานี!J88"")"),0)</f>
        <v>0</v>
      </c>
      <c r="AN61" s="78">
        <f ca="1">IFERROR(__xludf.DUMMYFUNCTION("IMPORTRANGE(""https://docs.google.com/spreadsheets/d/1OYoGg4WDg5RIzwGeB10padOxJF9E_Vljuvvct_M7RDo/edit?usp=sharing"",""ปทุมธานี!J89"")"),0)</f>
        <v>0</v>
      </c>
      <c r="AO61" s="74">
        <f ca="1">IFERROR(__xludf.DUMMYFUNCTION("IMPORTRANGE(""https://docs.google.com/spreadsheets/d/1OYoGg4WDg5RIzwGeB10padOxJF9E_Vljuvvct_M7RDo/edit?usp=sharing"",""ปทุมธานี!I90"")"),0)</f>
        <v>0</v>
      </c>
      <c r="AP61" s="78">
        <f ca="1">IFERROR(__xludf.DUMMYFUNCTION("IMPORTRANGE(""https://docs.google.com/spreadsheets/d/1OYoGg4WDg5RIzwGeB10padOxJF9E_Vljuvvct_M7RDo/edit?usp=sharing"",""ปทุมธานี!J90"")"),0)</f>
        <v>0</v>
      </c>
      <c r="AQ61" s="76">
        <f t="shared" ca="1" si="43"/>
        <v>0</v>
      </c>
    </row>
    <row r="62" spans="1:43" ht="21" customHeight="1" x14ac:dyDescent="0.3">
      <c r="A62" s="70">
        <v>10</v>
      </c>
      <c r="B62" s="71" t="s">
        <v>90</v>
      </c>
      <c r="C62" s="72">
        <f t="shared" ca="1" si="27"/>
        <v>0</v>
      </c>
      <c r="D62" s="73">
        <f t="shared" ca="1" si="56"/>
        <v>0</v>
      </c>
      <c r="E62" s="74">
        <f ca="1">IFERROR(__xludf.DUMMYFUNCTION("IMPORTRANGE(""https://docs.google.com/spreadsheets/d/1-uDff_7J0KD5mKrp0Vvzr7lt3OU09vwQwhkpOPPYv2Y/edit?usp=sharing"",""งบพรบ!AN62"")"),0)</f>
        <v>0</v>
      </c>
      <c r="F62" s="74">
        <f ca="1">IFERROR(__xludf.DUMMYFUNCTION("IMPORTRANGE(""https://docs.google.com/spreadsheets/d/1-uDff_7J0KD5mKrp0Vvzr7lt3OU09vwQwhkpOPPYv2Y/edit?usp=sharing"",""งบพรบ!AO62"")"),0)</f>
        <v>0</v>
      </c>
      <c r="G62" s="74">
        <f ca="1">IFERROR(__xludf.DUMMYFUNCTION("IMPORTRANGE(""https://docs.google.com/spreadsheets/d/1-uDff_7J0KD5mKrp0Vvzr7lt3OU09vwQwhkpOPPYv2Y/edit?usp=sharing"",""งบพรบ!AP62"")"),0)</f>
        <v>0</v>
      </c>
      <c r="H62" s="74">
        <f ca="1">IFERROR(__xludf.DUMMYFUNCTION("IMPORTRANGE(""https://docs.google.com/spreadsheets/d/1-uDff_7J0KD5mKrp0Vvzr7lt3OU09vwQwhkpOPPYv2Y/edit?usp=sharing"",""งบพรบ!AR62"")"),0)</f>
        <v>0</v>
      </c>
      <c r="I62" s="74">
        <f ca="1">IFERROR(__xludf.DUMMYFUNCTION("IMPORTRANGE(""https://docs.google.com/spreadsheets/d/1-uDff_7J0KD5mKrp0Vvzr7lt3OU09vwQwhkpOPPYv2Y/edit?usp=sharing"",""งบพรบ!AS62"")"),0)</f>
        <v>0</v>
      </c>
      <c r="J62" s="74">
        <f t="shared" ca="1" si="29"/>
        <v>0</v>
      </c>
      <c r="K62" s="75">
        <f t="shared" ca="1" si="30"/>
        <v>0</v>
      </c>
      <c r="L62" s="74">
        <f ca="1">IFERROR(__xludf.DUMMYFUNCTION("IMPORTRANGE(""https://docs.google.com/spreadsheets/d/1-uDff_7J0KD5mKrp0Vvzr7lt3OU09vwQwhkpOPPYv2Y/edit?usp=sharing"",""งบพรบ!AT62"")"),0)</f>
        <v>0</v>
      </c>
      <c r="M62" s="76">
        <f t="shared" ca="1" si="31"/>
        <v>0</v>
      </c>
      <c r="N62" s="76">
        <f t="shared" ca="1" si="32"/>
        <v>0</v>
      </c>
      <c r="O62" s="77">
        <f ca="1">IFERROR(__xludf.DUMMYFUNCTION("IMPORTRANGE(""https://docs.google.com/spreadsheets/d/1-uDff_7J0KD5mKrp0Vvzr7lt3OU09vwQwhkpOPPYv2Y/edit?usp=sharing"",""งบพรบ!AU62"")"),0)</f>
        <v>0</v>
      </c>
      <c r="P62" s="77">
        <f t="shared" ca="1" si="33"/>
        <v>0</v>
      </c>
      <c r="Q62" s="76">
        <f t="shared" ca="1" si="34"/>
        <v>0</v>
      </c>
      <c r="R62" s="67">
        <f ca="1">IFERROR(__xludf.DUMMYFUNCTION("IMPORTRANGE(""https://docs.google.com/spreadsheets/d/1GbCIE4D4wk9FUozzqk7SxfDMxDVBwVmI5zcaVUSzKAc/edit?usp=sharing"",""ประจวบคีรีขันธ์!Q72"")"),0)</f>
        <v>0</v>
      </c>
      <c r="S62" s="67">
        <f ca="1">IFERROR(__xludf.DUMMYFUNCTION("IMPORTRANGE(""https://docs.google.com/spreadsheets/d/1GbCIE4D4wk9FUozzqk7SxfDMxDVBwVmI5zcaVUSzKAc/edit?usp=sharing"",""ประจวบคีรีขันธ์!R72"")"),0)</f>
        <v>0</v>
      </c>
      <c r="T62" s="67">
        <f ca="1">IFERROR(__xludf.DUMMYFUNCTION("IMPORTRANGE(""https://docs.google.com/spreadsheets/d/1GbCIE4D4wk9FUozzqk7SxfDMxDVBwVmI5zcaVUSzKAc/edit?usp=sharing"",""ประจวบคีรีขันธ์!S72"")"),0)</f>
        <v>0</v>
      </c>
      <c r="U62" s="68">
        <f t="shared" ca="1" si="36"/>
        <v>0</v>
      </c>
      <c r="V62" s="68">
        <f t="shared" ca="1" si="37"/>
        <v>0</v>
      </c>
      <c r="W62" s="78">
        <f t="shared" ca="1" si="38"/>
        <v>0</v>
      </c>
      <c r="X62" s="78">
        <f t="shared" ca="1" si="39"/>
        <v>0</v>
      </c>
      <c r="Y62" s="78">
        <f t="shared" ca="1" si="57"/>
        <v>0</v>
      </c>
      <c r="Z62" s="79">
        <f t="shared" ca="1" si="40"/>
        <v>0</v>
      </c>
      <c r="AA62" s="78">
        <f t="shared" ca="1" si="58"/>
        <v>0</v>
      </c>
      <c r="AB62" s="79">
        <f t="shared" ca="1" si="41"/>
        <v>0</v>
      </c>
      <c r="AC62" s="74">
        <f ca="1">IFERROR(__xludf.DUMMYFUNCTION("IMPORTRANGE(""https://docs.google.com/spreadsheets/d/1GbCIE4D4wk9FUozzqk7SxfDMxDVBwVmI5zcaVUSzKAc/edit?usp=sharing"",""ประจวบคีรีขันธ์!I84"")"),0)</f>
        <v>0</v>
      </c>
      <c r="AD62" s="74">
        <f ca="1">IFERROR(__xludf.DUMMYFUNCTION("IMPORTRANGE(""https://docs.google.com/spreadsheets/d/1GbCIE4D4wk9FUozzqk7SxfDMxDVBwVmI5zcaVUSzKAc/edit?usp=sharing"",""ประจวบคีรีขันธ์!I85"")"),0)</f>
        <v>0</v>
      </c>
      <c r="AE62" s="78">
        <f ca="1">IFERROR(__xludf.DUMMYFUNCTION("IMPORTRANGE(""https://docs.google.com/spreadsheets/d/1GbCIE4D4wk9FUozzqk7SxfDMxDVBwVmI5zcaVUSzKAc/edit?usp=sharing"",""ประจวบคีรีขันธ์!J84"")"),0)</f>
        <v>0</v>
      </c>
      <c r="AF62" s="78">
        <f ca="1">IFERROR(__xludf.DUMMYFUNCTION("IMPORTRANGE(""https://docs.google.com/spreadsheets/d/1GbCIE4D4wk9FUozzqk7SxfDMxDVBwVmI5zcaVUSzKAc/edit?usp=sharing"",""ประจวบคีรีขันธ์!J85"")"),0)</f>
        <v>0</v>
      </c>
      <c r="AG62" s="74">
        <f ca="1">IFERROR(__xludf.DUMMYFUNCTION("IMPORTRANGE(""https://docs.google.com/spreadsheets/d/1GbCIE4D4wk9FUozzqk7SxfDMxDVBwVmI5zcaVUSzKAc/edit?usp=sharing"",""ประจวบคีรีขันธ์!I86"")"),0)</f>
        <v>0</v>
      </c>
      <c r="AH62" s="74">
        <f ca="1">IFERROR(__xludf.DUMMYFUNCTION("IMPORTRANGE(""https://docs.google.com/spreadsheets/d/1GbCIE4D4wk9FUozzqk7SxfDMxDVBwVmI5zcaVUSzKAc/edit?usp=sharing"",""ประจวบคีรีขันธ์!I87"")"),0)</f>
        <v>0</v>
      </c>
      <c r="AI62" s="78">
        <f ca="1">IFERROR(__xludf.DUMMYFUNCTION("IMPORTRANGE(""https://docs.google.com/spreadsheets/d/1GbCIE4D4wk9FUozzqk7SxfDMxDVBwVmI5zcaVUSzKAc/edit?usp=sharing"",""ประจวบคีรีขันธ์!J86"")"),0)</f>
        <v>0</v>
      </c>
      <c r="AJ62" s="78">
        <f ca="1">IFERROR(__xludf.DUMMYFUNCTION("IMPORTRANGE(""https://docs.google.com/spreadsheets/d/1GbCIE4D4wk9FUozzqk7SxfDMxDVBwVmI5zcaVUSzKAc/edit?usp=sharing"",""ประจวบคีรีขันธ์!J87"")"),0)</f>
        <v>0</v>
      </c>
      <c r="AK62" s="74">
        <f ca="1">IFERROR(__xludf.DUMMYFUNCTION("IMPORTRANGE(""https://docs.google.com/spreadsheets/d/1GbCIE4D4wk9FUozzqk7SxfDMxDVBwVmI5zcaVUSzKAc/edit?usp=sharing"",""ประจวบคีรีขันธ์!I88"")"),0)</f>
        <v>0</v>
      </c>
      <c r="AL62" s="74">
        <f ca="1">IFERROR(__xludf.DUMMYFUNCTION("IMPORTRANGE(""https://docs.google.com/spreadsheets/d/1GbCIE4D4wk9FUozzqk7SxfDMxDVBwVmI5zcaVUSzKAc/edit?usp=sharing"",""ประจวบคีรีขันธ์!I89"")"),0)</f>
        <v>0</v>
      </c>
      <c r="AM62" s="78">
        <f ca="1">IFERROR(__xludf.DUMMYFUNCTION("IMPORTRANGE(""https://docs.google.com/spreadsheets/d/1GbCIE4D4wk9FUozzqk7SxfDMxDVBwVmI5zcaVUSzKAc/edit?usp=sharing"",""ประจวบคีรีขันธ์!J88"")"),0)</f>
        <v>0</v>
      </c>
      <c r="AN62" s="78">
        <f ca="1">IFERROR(__xludf.DUMMYFUNCTION("IMPORTRANGE(""https://docs.google.com/spreadsheets/d/1GbCIE4D4wk9FUozzqk7SxfDMxDVBwVmI5zcaVUSzKAc/edit?usp=sharing"",""ประจวบคีรีขันธ์!J89"")"),0)</f>
        <v>0</v>
      </c>
      <c r="AO62" s="74">
        <f ca="1">IFERROR(__xludf.DUMMYFUNCTION("IMPORTRANGE(""https://docs.google.com/spreadsheets/d/1GbCIE4D4wk9FUozzqk7SxfDMxDVBwVmI5zcaVUSzKAc/edit?usp=sharing"",""ประจวบคีรีขันธ์!I90"")"),0)</f>
        <v>0</v>
      </c>
      <c r="AP62" s="78">
        <f ca="1">IFERROR(__xludf.DUMMYFUNCTION("IMPORTRANGE(""https://docs.google.com/spreadsheets/d/1GbCIE4D4wk9FUozzqk7SxfDMxDVBwVmI5zcaVUSzKAc/edit?usp=sharing"",""ประจวบคีรีขันธ์!J90"")"),0)</f>
        <v>0</v>
      </c>
      <c r="AQ62" s="76">
        <f t="shared" ca="1" si="43"/>
        <v>0</v>
      </c>
    </row>
    <row r="63" spans="1:43" ht="21" customHeight="1" x14ac:dyDescent="0.3">
      <c r="A63" s="70">
        <v>11</v>
      </c>
      <c r="B63" s="71" t="s">
        <v>91</v>
      </c>
      <c r="C63" s="72">
        <f t="shared" ca="1" si="27"/>
        <v>0</v>
      </c>
      <c r="D63" s="73">
        <f t="shared" ca="1" si="56"/>
        <v>0</v>
      </c>
      <c r="E63" s="74">
        <f ca="1">IFERROR(__xludf.DUMMYFUNCTION("IMPORTRANGE(""https://docs.google.com/spreadsheets/d/1-uDff_7J0KD5mKrp0Vvzr7lt3OU09vwQwhkpOPPYv2Y/edit?usp=sharing"",""งบพรบ!AN63"")"),0)</f>
        <v>0</v>
      </c>
      <c r="F63" s="74">
        <f ca="1">IFERROR(__xludf.DUMMYFUNCTION("IMPORTRANGE(""https://docs.google.com/spreadsheets/d/1-uDff_7J0KD5mKrp0Vvzr7lt3OU09vwQwhkpOPPYv2Y/edit?usp=sharing"",""งบพรบ!AO63"")"),0)</f>
        <v>0</v>
      </c>
      <c r="G63" s="74">
        <f ca="1">IFERROR(__xludf.DUMMYFUNCTION("IMPORTRANGE(""https://docs.google.com/spreadsheets/d/1-uDff_7J0KD5mKrp0Vvzr7lt3OU09vwQwhkpOPPYv2Y/edit?usp=sharing"",""งบพรบ!AP63"")"),0)</f>
        <v>0</v>
      </c>
      <c r="H63" s="74">
        <f ca="1">IFERROR(__xludf.DUMMYFUNCTION("IMPORTRANGE(""https://docs.google.com/spreadsheets/d/1-uDff_7J0KD5mKrp0Vvzr7lt3OU09vwQwhkpOPPYv2Y/edit?usp=sharing"",""งบพรบ!AR63"")"),0)</f>
        <v>0</v>
      </c>
      <c r="I63" s="74">
        <f ca="1">IFERROR(__xludf.DUMMYFUNCTION("IMPORTRANGE(""https://docs.google.com/spreadsheets/d/1-uDff_7J0KD5mKrp0Vvzr7lt3OU09vwQwhkpOPPYv2Y/edit?usp=sharing"",""งบพรบ!AS63"")"),0)</f>
        <v>0</v>
      </c>
      <c r="J63" s="74">
        <f t="shared" ca="1" si="29"/>
        <v>0</v>
      </c>
      <c r="K63" s="75">
        <f t="shared" ca="1" si="30"/>
        <v>0</v>
      </c>
      <c r="L63" s="74">
        <f ca="1">IFERROR(__xludf.DUMMYFUNCTION("IMPORTRANGE(""https://docs.google.com/spreadsheets/d/1-uDff_7J0KD5mKrp0Vvzr7lt3OU09vwQwhkpOPPYv2Y/edit?usp=sharing"",""งบพรบ!AT63"")"),0)</f>
        <v>0</v>
      </c>
      <c r="M63" s="76">
        <f t="shared" ca="1" si="31"/>
        <v>0</v>
      </c>
      <c r="N63" s="76">
        <f t="shared" ca="1" si="32"/>
        <v>0</v>
      </c>
      <c r="O63" s="77">
        <f ca="1">IFERROR(__xludf.DUMMYFUNCTION("IMPORTRANGE(""https://docs.google.com/spreadsheets/d/1-uDff_7J0KD5mKrp0Vvzr7lt3OU09vwQwhkpOPPYv2Y/edit?usp=sharing"",""งบพรบ!AU63"")"),0)</f>
        <v>0</v>
      </c>
      <c r="P63" s="77">
        <f t="shared" ca="1" si="33"/>
        <v>0</v>
      </c>
      <c r="Q63" s="76">
        <f t="shared" ca="1" si="34"/>
        <v>0</v>
      </c>
      <c r="R63" s="67">
        <f ca="1">IFERROR(__xludf.DUMMYFUNCTION("IMPORTRANGE(""https://docs.google.com/spreadsheets/d/1vVf6wykvW_lAyu7Yo9L4hUTqHqIeP_qcVuxCtosJEbg/edit?usp=sharing"",""ปราจีนบุรี!Q72"")"),0)</f>
        <v>0</v>
      </c>
      <c r="S63" s="67">
        <f ca="1">IFERROR(__xludf.DUMMYFUNCTION("IMPORTRANGE(""https://docs.google.com/spreadsheets/d/1vVf6wykvW_lAyu7Yo9L4hUTqHqIeP_qcVuxCtosJEbg/edit?usp=sharing"",""ปราจีนบุรี!R72"")"),0)</f>
        <v>0</v>
      </c>
      <c r="T63" s="67">
        <f ca="1">IFERROR(__xludf.DUMMYFUNCTION("IMPORTRANGE(""https://docs.google.com/spreadsheets/d/1vVf6wykvW_lAyu7Yo9L4hUTqHqIeP_qcVuxCtosJEbg/edit?usp=sharing"",""ปราจีนบุรี!S72"")"),0)</f>
        <v>0</v>
      </c>
      <c r="U63" s="68">
        <f t="shared" ca="1" si="36"/>
        <v>0</v>
      </c>
      <c r="V63" s="68">
        <f t="shared" ca="1" si="37"/>
        <v>0</v>
      </c>
      <c r="W63" s="78">
        <f t="shared" ca="1" si="38"/>
        <v>0</v>
      </c>
      <c r="X63" s="78">
        <f t="shared" ca="1" si="39"/>
        <v>0</v>
      </c>
      <c r="Y63" s="78">
        <f t="shared" ca="1" si="57"/>
        <v>0</v>
      </c>
      <c r="Z63" s="79">
        <f t="shared" ca="1" si="40"/>
        <v>0</v>
      </c>
      <c r="AA63" s="78">
        <f t="shared" ca="1" si="58"/>
        <v>0</v>
      </c>
      <c r="AB63" s="79">
        <f t="shared" ca="1" si="41"/>
        <v>0</v>
      </c>
      <c r="AC63" s="74">
        <f ca="1">IFERROR(__xludf.DUMMYFUNCTION("IMPORTRANGE(""https://docs.google.com/spreadsheets/d/1vVf6wykvW_lAyu7Yo9L4hUTqHqIeP_qcVuxCtosJEbg/edit?usp=sharing"",""ปราจีนบุรี!I84"")"),0)</f>
        <v>0</v>
      </c>
      <c r="AD63" s="74">
        <f ca="1">IFERROR(__xludf.DUMMYFUNCTION("IMPORTRANGE(""https://docs.google.com/spreadsheets/d/1vVf6wykvW_lAyu7Yo9L4hUTqHqIeP_qcVuxCtosJEbg/edit?usp=sharing"",""ปราจีนบุรี!I85"")"),0)</f>
        <v>0</v>
      </c>
      <c r="AE63" s="78">
        <f ca="1">IFERROR(__xludf.DUMMYFUNCTION("IMPORTRANGE(""https://docs.google.com/spreadsheets/d/1vVf6wykvW_lAyu7Yo9L4hUTqHqIeP_qcVuxCtosJEbg/edit?usp=sharing"",""ปราจีนบุรี!J84"")"),0)</f>
        <v>0</v>
      </c>
      <c r="AF63" s="78">
        <f ca="1">IFERROR(__xludf.DUMMYFUNCTION("IMPORTRANGE(""https://docs.google.com/spreadsheets/d/1vVf6wykvW_lAyu7Yo9L4hUTqHqIeP_qcVuxCtosJEbg/edit?usp=sharing"",""ปราจีนบุรี!J85"")"),0)</f>
        <v>0</v>
      </c>
      <c r="AG63" s="74">
        <f ca="1">IFERROR(__xludf.DUMMYFUNCTION("IMPORTRANGE(""https://docs.google.com/spreadsheets/d/1vVf6wykvW_lAyu7Yo9L4hUTqHqIeP_qcVuxCtosJEbg/edit?usp=sharing"",""ปราจีนบุรี!I86"")"),0)</f>
        <v>0</v>
      </c>
      <c r="AH63" s="74">
        <f ca="1">IFERROR(__xludf.DUMMYFUNCTION("IMPORTRANGE(""https://docs.google.com/spreadsheets/d/1vVf6wykvW_lAyu7Yo9L4hUTqHqIeP_qcVuxCtosJEbg/edit?usp=sharing"",""ปราจีนบุรี!I87"")"),0)</f>
        <v>0</v>
      </c>
      <c r="AI63" s="78">
        <f ca="1">IFERROR(__xludf.DUMMYFUNCTION("IMPORTRANGE(""https://docs.google.com/spreadsheets/d/1vVf6wykvW_lAyu7Yo9L4hUTqHqIeP_qcVuxCtosJEbg/edit?usp=sharing"",""ปราจีนบุรี!J86"")"),0)</f>
        <v>0</v>
      </c>
      <c r="AJ63" s="78">
        <f ca="1">IFERROR(__xludf.DUMMYFUNCTION("IMPORTRANGE(""https://docs.google.com/spreadsheets/d/1vVf6wykvW_lAyu7Yo9L4hUTqHqIeP_qcVuxCtosJEbg/edit?usp=sharing"",""ปราจีนบุรี!J87"")"),0)</f>
        <v>0</v>
      </c>
      <c r="AK63" s="74">
        <f ca="1">IFERROR(__xludf.DUMMYFUNCTION("IMPORTRANGE(""https://docs.google.com/spreadsheets/d/1vVf6wykvW_lAyu7Yo9L4hUTqHqIeP_qcVuxCtosJEbg/edit?usp=sharing"",""ปราจีนบุรี!I88"")"),0)</f>
        <v>0</v>
      </c>
      <c r="AL63" s="74">
        <f ca="1">IFERROR(__xludf.DUMMYFUNCTION("IMPORTRANGE(""https://docs.google.com/spreadsheets/d/1vVf6wykvW_lAyu7Yo9L4hUTqHqIeP_qcVuxCtosJEbg/edit?usp=sharing"",""ปราจีนบุรี!I89"")"),0)</f>
        <v>0</v>
      </c>
      <c r="AM63" s="78">
        <f ca="1">IFERROR(__xludf.DUMMYFUNCTION("IMPORTRANGE(""https://docs.google.com/spreadsheets/d/1vVf6wykvW_lAyu7Yo9L4hUTqHqIeP_qcVuxCtosJEbg/edit?usp=sharing"",""ปราจีนบุรี!J88"")"),0)</f>
        <v>0</v>
      </c>
      <c r="AN63" s="78">
        <f ca="1">IFERROR(__xludf.DUMMYFUNCTION("IMPORTRANGE(""https://docs.google.com/spreadsheets/d/1vVf6wykvW_lAyu7Yo9L4hUTqHqIeP_qcVuxCtosJEbg/edit?usp=sharing"",""ปราจีนบุรี!J89"")"),0)</f>
        <v>0</v>
      </c>
      <c r="AO63" s="74">
        <f ca="1">IFERROR(__xludf.DUMMYFUNCTION("IMPORTRANGE(""https://docs.google.com/spreadsheets/d/1vVf6wykvW_lAyu7Yo9L4hUTqHqIeP_qcVuxCtosJEbg/edit?usp=sharing"",""ปราจีนบุรี!I90"")"),0)</f>
        <v>0</v>
      </c>
      <c r="AP63" s="78">
        <f ca="1">IFERROR(__xludf.DUMMYFUNCTION("IMPORTRANGE(""https://docs.google.com/spreadsheets/d/1vVf6wykvW_lAyu7Yo9L4hUTqHqIeP_qcVuxCtosJEbg/edit?usp=sharing"",""ปราจีนบุรี!J90"")"),0)</f>
        <v>0</v>
      </c>
      <c r="AQ63" s="76">
        <f t="shared" ca="1" si="43"/>
        <v>0</v>
      </c>
    </row>
    <row r="64" spans="1:43" ht="21" customHeight="1" x14ac:dyDescent="0.3">
      <c r="A64" s="70">
        <v>12</v>
      </c>
      <c r="B64" s="71" t="s">
        <v>92</v>
      </c>
      <c r="C64" s="72">
        <f t="shared" ca="1" si="27"/>
        <v>142000</v>
      </c>
      <c r="D64" s="73">
        <f t="shared" ca="1" si="56"/>
        <v>142000</v>
      </c>
      <c r="E64" s="74">
        <f ca="1">IFERROR(__xludf.DUMMYFUNCTION("IMPORTRANGE(""https://docs.google.com/spreadsheets/d/1-uDff_7J0KD5mKrp0Vvzr7lt3OU09vwQwhkpOPPYv2Y/edit?usp=sharing"",""งบพรบ!AN64"")"),0)</f>
        <v>0</v>
      </c>
      <c r="F64" s="74">
        <f ca="1">IFERROR(__xludf.DUMMYFUNCTION("IMPORTRANGE(""https://docs.google.com/spreadsheets/d/1-uDff_7J0KD5mKrp0Vvzr7lt3OU09vwQwhkpOPPYv2Y/edit?usp=sharing"",""งบพรบ!AO64"")"),142000)</f>
        <v>142000</v>
      </c>
      <c r="G64" s="74">
        <f ca="1">IFERROR(__xludf.DUMMYFUNCTION("IMPORTRANGE(""https://docs.google.com/spreadsheets/d/1-uDff_7J0KD5mKrp0Vvzr7lt3OU09vwQwhkpOPPYv2Y/edit?usp=sharing"",""งบพรบ!AP64"")"),0)</f>
        <v>0</v>
      </c>
      <c r="H64" s="74">
        <f ca="1">IFERROR(__xludf.DUMMYFUNCTION("IMPORTRANGE(""https://docs.google.com/spreadsheets/d/1-uDff_7J0KD5mKrp0Vvzr7lt3OU09vwQwhkpOPPYv2Y/edit?usp=sharing"",""งบพรบ!AR64"")"),142000)</f>
        <v>142000</v>
      </c>
      <c r="I64" s="74">
        <f ca="1">IFERROR(__xludf.DUMMYFUNCTION("IMPORTRANGE(""https://docs.google.com/spreadsheets/d/1-uDff_7J0KD5mKrp0Vvzr7lt3OU09vwQwhkpOPPYv2Y/edit?usp=sharing"",""งบพรบ!AS64"")"),0)</f>
        <v>0</v>
      </c>
      <c r="J64" s="74">
        <f t="shared" ca="1" si="29"/>
        <v>88699.99</v>
      </c>
      <c r="K64" s="75">
        <f t="shared" ca="1" si="30"/>
        <v>62.464781690140846</v>
      </c>
      <c r="L64" s="74">
        <f ca="1">IFERROR(__xludf.DUMMYFUNCTION("IMPORTRANGE(""https://docs.google.com/spreadsheets/d/1-uDff_7J0KD5mKrp0Vvzr7lt3OU09vwQwhkpOPPYv2Y/edit?usp=sharing"",""งบพรบ!AT64"")"),88699.99)</f>
        <v>88699.99</v>
      </c>
      <c r="M64" s="76">
        <f t="shared" ca="1" si="31"/>
        <v>62.464781690140846</v>
      </c>
      <c r="N64" s="76">
        <f t="shared" ca="1" si="32"/>
        <v>62.464781690140846</v>
      </c>
      <c r="O64" s="77">
        <f ca="1">IFERROR(__xludf.DUMMYFUNCTION("IMPORTRANGE(""https://docs.google.com/spreadsheets/d/1-uDff_7J0KD5mKrp0Vvzr7lt3OU09vwQwhkpOPPYv2Y/edit?usp=sharing"",""งบพรบ!AU64"")"),0)</f>
        <v>0</v>
      </c>
      <c r="P64" s="77">
        <f t="shared" ca="1" si="33"/>
        <v>0</v>
      </c>
      <c r="Q64" s="76">
        <f t="shared" ca="1" si="34"/>
        <v>0</v>
      </c>
      <c r="R64" s="67">
        <f ca="1">IFERROR(__xludf.DUMMYFUNCTION("IMPORTRANGE(""https://docs.google.com/spreadsheets/d/1BIDqLLg5jk3v59G8NlR8rk5xfQDKne0sAvZHSj7TI6I/edit?usp=sharing"",""พระนครศรีอยุธยา!Q72"")"),459740)</f>
        <v>459740</v>
      </c>
      <c r="S64" s="67">
        <f ca="1">IFERROR(__xludf.DUMMYFUNCTION("IMPORTRANGE(""https://docs.google.com/spreadsheets/d/1BIDqLLg5jk3v59G8NlR8rk5xfQDKne0sAvZHSj7TI6I/edit?usp=sharing"",""พระนครศรีอยุธยา!R72"")"),459740)</f>
        <v>459740</v>
      </c>
      <c r="T64" s="67">
        <f ca="1">IFERROR(__xludf.DUMMYFUNCTION("IMPORTRANGE(""https://docs.google.com/spreadsheets/d/1BIDqLLg5jk3v59G8NlR8rk5xfQDKne0sAvZHSj7TI6I/edit?usp=sharing"",""พระนครศรีอยุธยา!S72"")"),189736)</f>
        <v>189736</v>
      </c>
      <c r="U64" s="68">
        <f t="shared" ca="1" si="36"/>
        <v>41.27028320354983</v>
      </c>
      <c r="V64" s="68">
        <f t="shared" ca="1" si="37"/>
        <v>41.27028320354983</v>
      </c>
      <c r="W64" s="78">
        <f t="shared" ca="1" si="38"/>
        <v>1</v>
      </c>
      <c r="X64" s="78">
        <f t="shared" ca="1" si="39"/>
        <v>42</v>
      </c>
      <c r="Y64" s="78">
        <f t="shared" ca="1" si="57"/>
        <v>1</v>
      </c>
      <c r="Z64" s="79">
        <f t="shared" ca="1" si="40"/>
        <v>100</v>
      </c>
      <c r="AA64" s="78">
        <f t="shared" ca="1" si="58"/>
        <v>42</v>
      </c>
      <c r="AB64" s="79">
        <f t="shared" ca="1" si="41"/>
        <v>100</v>
      </c>
      <c r="AC64" s="74">
        <f ca="1">IFERROR(__xludf.DUMMYFUNCTION("IMPORTRANGE(""https://docs.google.com/spreadsheets/d/1BIDqLLg5jk3v59G8NlR8rk5xfQDKne0sAvZHSj7TI6I/edit?usp=sharing"",""พระนครศรีอยุธยา!I84"")"),0)</f>
        <v>0</v>
      </c>
      <c r="AD64" s="74">
        <f ca="1">IFERROR(__xludf.DUMMYFUNCTION("IMPORTRANGE(""https://docs.google.com/spreadsheets/d/1BIDqLLg5jk3v59G8NlR8rk5xfQDKne0sAvZHSj7TI6I/edit?usp=sharing"",""พระนครศรีอยุธยา!I85"")"),0)</f>
        <v>0</v>
      </c>
      <c r="AE64" s="78">
        <f ca="1">IFERROR(__xludf.DUMMYFUNCTION("IMPORTRANGE(""https://docs.google.com/spreadsheets/d/1BIDqLLg5jk3v59G8NlR8rk5xfQDKne0sAvZHSj7TI6I/edit?usp=sharing"",""พระนครศรีอยุธยา!J84"")"),1)</f>
        <v>1</v>
      </c>
      <c r="AF64" s="78">
        <f ca="1">IFERROR(__xludf.DUMMYFUNCTION("IMPORTRANGE(""https://docs.google.com/spreadsheets/d/1BIDqLLg5jk3v59G8NlR8rk5xfQDKne0sAvZHSj7TI6I/edit?usp=sharing"",""พระนครศรีอยุธยา!J85"")"),42)</f>
        <v>42</v>
      </c>
      <c r="AG64" s="74">
        <f ca="1">IFERROR(__xludf.DUMMYFUNCTION("IMPORTRANGE(""https://docs.google.com/spreadsheets/d/1BIDqLLg5jk3v59G8NlR8rk5xfQDKne0sAvZHSj7TI6I/edit?usp=sharing"",""พระนครศรีอยุธยา!I86"")"),1)</f>
        <v>1</v>
      </c>
      <c r="AH64" s="74">
        <f ca="1">IFERROR(__xludf.DUMMYFUNCTION("IMPORTRANGE(""https://docs.google.com/spreadsheets/d/1BIDqLLg5jk3v59G8NlR8rk5xfQDKne0sAvZHSj7TI6I/edit?usp=sharing"",""พระนครศรีอยุธยา!I87"")"),42)</f>
        <v>42</v>
      </c>
      <c r="AI64" s="78">
        <f ca="1">IFERROR(__xludf.DUMMYFUNCTION("IMPORTRANGE(""https://docs.google.com/spreadsheets/d/1BIDqLLg5jk3v59G8NlR8rk5xfQDKne0sAvZHSj7TI6I/edit?usp=sharing"",""พระนครศรีอยุธยา!J86"")"),0)</f>
        <v>0</v>
      </c>
      <c r="AJ64" s="78">
        <f ca="1">IFERROR(__xludf.DUMMYFUNCTION("IMPORTRANGE(""https://docs.google.com/spreadsheets/d/1BIDqLLg5jk3v59G8NlR8rk5xfQDKne0sAvZHSj7TI6I/edit?usp=sharing"",""พระนครศรีอยุธยา!J87"")"),0)</f>
        <v>0</v>
      </c>
      <c r="AK64" s="74">
        <f ca="1">IFERROR(__xludf.DUMMYFUNCTION("IMPORTRANGE(""https://docs.google.com/spreadsheets/d/1BIDqLLg5jk3v59G8NlR8rk5xfQDKne0sAvZHSj7TI6I/edit?usp=sharing"",""พระนครศรีอยุธยา!I88"")"),0)</f>
        <v>0</v>
      </c>
      <c r="AL64" s="74">
        <f ca="1">IFERROR(__xludf.DUMMYFUNCTION("IMPORTRANGE(""https://docs.google.com/spreadsheets/d/1BIDqLLg5jk3v59G8NlR8rk5xfQDKne0sAvZHSj7TI6I/edit?usp=sharing"",""พระนครศรีอยุธยา!I89"")"),0)</f>
        <v>0</v>
      </c>
      <c r="AM64" s="78">
        <f ca="1">IFERROR(__xludf.DUMMYFUNCTION("IMPORTRANGE(""https://docs.google.com/spreadsheets/d/1BIDqLLg5jk3v59G8NlR8rk5xfQDKne0sAvZHSj7TI6I/edit?usp=sharing"",""พระนครศรีอยุธยา!J88"")"),0)</f>
        <v>0</v>
      </c>
      <c r="AN64" s="78">
        <f ca="1">IFERROR(__xludf.DUMMYFUNCTION("IMPORTRANGE(""https://docs.google.com/spreadsheets/d/1BIDqLLg5jk3v59G8NlR8rk5xfQDKne0sAvZHSj7TI6I/edit?usp=sharing"",""พระนครศรีอยุธยา!J89"")"),0)</f>
        <v>0</v>
      </c>
      <c r="AO64" s="74">
        <f ca="1">IFERROR(__xludf.DUMMYFUNCTION("IMPORTRANGE(""https://docs.google.com/spreadsheets/d/1BIDqLLg5jk3v59G8NlR8rk5xfQDKne0sAvZHSj7TI6I/edit?usp=sharing"",""พระนครศรีอยุธยา!I90"")"),1)</f>
        <v>1</v>
      </c>
      <c r="AP64" s="78">
        <f ca="1">IFERROR(__xludf.DUMMYFUNCTION("IMPORTRANGE(""https://docs.google.com/spreadsheets/d/1BIDqLLg5jk3v59G8NlR8rk5xfQDKne0sAvZHSj7TI6I/edit?usp=sharing"",""พระนครศรีอยุธยา!J90"")"),1)</f>
        <v>1</v>
      </c>
      <c r="AQ64" s="76">
        <f t="shared" ca="1" si="43"/>
        <v>100</v>
      </c>
    </row>
    <row r="65" spans="1:43" ht="21" customHeight="1" x14ac:dyDescent="0.3">
      <c r="A65" s="70">
        <v>13</v>
      </c>
      <c r="B65" s="71" t="s">
        <v>93</v>
      </c>
      <c r="C65" s="72">
        <f t="shared" ca="1" si="27"/>
        <v>0</v>
      </c>
      <c r="D65" s="73">
        <f t="shared" ca="1" si="56"/>
        <v>0</v>
      </c>
      <c r="E65" s="74">
        <f ca="1">IFERROR(__xludf.DUMMYFUNCTION("IMPORTRANGE(""https://docs.google.com/spreadsheets/d/1-uDff_7J0KD5mKrp0Vvzr7lt3OU09vwQwhkpOPPYv2Y/edit?usp=sharing"",""งบพรบ!AN65"")"),0)</f>
        <v>0</v>
      </c>
      <c r="F65" s="74">
        <f ca="1">IFERROR(__xludf.DUMMYFUNCTION("IMPORTRANGE(""https://docs.google.com/spreadsheets/d/1-uDff_7J0KD5mKrp0Vvzr7lt3OU09vwQwhkpOPPYv2Y/edit?usp=sharing"",""งบพรบ!AO65"")"),0)</f>
        <v>0</v>
      </c>
      <c r="G65" s="74">
        <f ca="1">IFERROR(__xludf.DUMMYFUNCTION("IMPORTRANGE(""https://docs.google.com/spreadsheets/d/1-uDff_7J0KD5mKrp0Vvzr7lt3OU09vwQwhkpOPPYv2Y/edit?usp=sharing"",""งบพรบ!AP65"")"),0)</f>
        <v>0</v>
      </c>
      <c r="H65" s="74">
        <f ca="1">IFERROR(__xludf.DUMMYFUNCTION("IMPORTRANGE(""https://docs.google.com/spreadsheets/d/1-uDff_7J0KD5mKrp0Vvzr7lt3OU09vwQwhkpOPPYv2Y/edit?usp=sharing"",""งบพรบ!AR65"")"),0)</f>
        <v>0</v>
      </c>
      <c r="I65" s="74">
        <f ca="1">IFERROR(__xludf.DUMMYFUNCTION("IMPORTRANGE(""https://docs.google.com/spreadsheets/d/1-uDff_7J0KD5mKrp0Vvzr7lt3OU09vwQwhkpOPPYv2Y/edit?usp=sharing"",""งบพรบ!AS65"")"),0)</f>
        <v>0</v>
      </c>
      <c r="J65" s="74">
        <f t="shared" ca="1" si="29"/>
        <v>0</v>
      </c>
      <c r="K65" s="75">
        <f t="shared" ca="1" si="30"/>
        <v>0</v>
      </c>
      <c r="L65" s="74">
        <f ca="1">IFERROR(__xludf.DUMMYFUNCTION("IMPORTRANGE(""https://docs.google.com/spreadsheets/d/1-uDff_7J0KD5mKrp0Vvzr7lt3OU09vwQwhkpOPPYv2Y/edit?usp=sharing"",""งบพรบ!AT65"")"),0)</f>
        <v>0</v>
      </c>
      <c r="M65" s="76">
        <f t="shared" ca="1" si="31"/>
        <v>0</v>
      </c>
      <c r="N65" s="76">
        <f t="shared" ca="1" si="32"/>
        <v>0</v>
      </c>
      <c r="O65" s="77">
        <f ca="1">IFERROR(__xludf.DUMMYFUNCTION("IMPORTRANGE(""https://docs.google.com/spreadsheets/d/1-uDff_7J0KD5mKrp0Vvzr7lt3OU09vwQwhkpOPPYv2Y/edit?usp=sharing"",""งบพรบ!AU65"")"),0)</f>
        <v>0</v>
      </c>
      <c r="P65" s="77">
        <f t="shared" ca="1" si="33"/>
        <v>0</v>
      </c>
      <c r="Q65" s="76">
        <f t="shared" ca="1" si="34"/>
        <v>0</v>
      </c>
      <c r="R65" s="67">
        <f ca="1">IFERROR(__xludf.DUMMYFUNCTION("IMPORTRANGE(""https://docs.google.com/spreadsheets/d/1YXvxf8Yu6_rV4hTBrwMqAcAnv6DfhUxh5emyM3CJp_w/edit?usp=sharing"",""เพชรบุรี!Q72"")"),0)</f>
        <v>0</v>
      </c>
      <c r="S65" s="67">
        <f ca="1">IFERROR(__xludf.DUMMYFUNCTION("IMPORTRANGE(""https://docs.google.com/spreadsheets/d/1YXvxf8Yu6_rV4hTBrwMqAcAnv6DfhUxh5emyM3CJp_w/edit?usp=sharing"",""เพชรบุรี!R72"")"),0)</f>
        <v>0</v>
      </c>
      <c r="T65" s="67">
        <f ca="1">IFERROR(__xludf.DUMMYFUNCTION("IMPORTRANGE(""https://docs.google.com/spreadsheets/d/1YXvxf8Yu6_rV4hTBrwMqAcAnv6DfhUxh5emyM3CJp_w/edit?usp=sharing"",""เพชรบุรี!S72"")"),0)</f>
        <v>0</v>
      </c>
      <c r="U65" s="68">
        <f t="shared" ca="1" si="36"/>
        <v>0</v>
      </c>
      <c r="V65" s="68">
        <f t="shared" ca="1" si="37"/>
        <v>0</v>
      </c>
      <c r="W65" s="78">
        <f t="shared" ca="1" si="38"/>
        <v>0</v>
      </c>
      <c r="X65" s="78">
        <f t="shared" ca="1" si="39"/>
        <v>0</v>
      </c>
      <c r="Y65" s="78">
        <f t="shared" ca="1" si="57"/>
        <v>0</v>
      </c>
      <c r="Z65" s="79">
        <f t="shared" ca="1" si="40"/>
        <v>0</v>
      </c>
      <c r="AA65" s="78">
        <f t="shared" ca="1" si="58"/>
        <v>0</v>
      </c>
      <c r="AB65" s="79">
        <f t="shared" ca="1" si="41"/>
        <v>0</v>
      </c>
      <c r="AC65" s="74">
        <f ca="1">IFERROR(__xludf.DUMMYFUNCTION("IMPORTRANGE(""https://docs.google.com/spreadsheets/d/1YXvxf8Yu6_rV4hTBrwMqAcAnv6DfhUxh5emyM3CJp_w/edit?usp=sharing"",""เพชรบุรี!I84"")"),0)</f>
        <v>0</v>
      </c>
      <c r="AD65" s="74">
        <f ca="1">IFERROR(__xludf.DUMMYFUNCTION("IMPORTRANGE(""https://docs.google.com/spreadsheets/d/1YXvxf8Yu6_rV4hTBrwMqAcAnv6DfhUxh5emyM3CJp_w/edit?usp=sharing"",""เพชรบุรี!I85"")"),0)</f>
        <v>0</v>
      </c>
      <c r="AE65" s="78">
        <f ca="1">IFERROR(__xludf.DUMMYFUNCTION("IMPORTRANGE(""https://docs.google.com/spreadsheets/d/1YXvxf8Yu6_rV4hTBrwMqAcAnv6DfhUxh5emyM3CJp_w/edit?usp=sharing"",""เพชรบุรี!J84"")"),0)</f>
        <v>0</v>
      </c>
      <c r="AF65" s="78">
        <f ca="1">IFERROR(__xludf.DUMMYFUNCTION("IMPORTRANGE(""https://docs.google.com/spreadsheets/d/1YXvxf8Yu6_rV4hTBrwMqAcAnv6DfhUxh5emyM3CJp_w/edit?usp=sharing"",""เพชรบุรี!J85"")"),0)</f>
        <v>0</v>
      </c>
      <c r="AG65" s="74">
        <f ca="1">IFERROR(__xludf.DUMMYFUNCTION("IMPORTRANGE(""https://docs.google.com/spreadsheets/d/1YXvxf8Yu6_rV4hTBrwMqAcAnv6DfhUxh5emyM3CJp_w/edit?usp=sharing"",""เพชรบุรี!I86"")"),0)</f>
        <v>0</v>
      </c>
      <c r="AH65" s="74">
        <f ca="1">IFERROR(__xludf.DUMMYFUNCTION("IMPORTRANGE(""https://docs.google.com/spreadsheets/d/1YXvxf8Yu6_rV4hTBrwMqAcAnv6DfhUxh5emyM3CJp_w/edit?usp=sharing"",""เพชรบุรี!I87"")"),0)</f>
        <v>0</v>
      </c>
      <c r="AI65" s="78">
        <f ca="1">IFERROR(__xludf.DUMMYFUNCTION("IMPORTRANGE(""https://docs.google.com/spreadsheets/d/1YXvxf8Yu6_rV4hTBrwMqAcAnv6DfhUxh5emyM3CJp_w/edit?usp=sharing"",""เพชรบุรี!J86"")"),0)</f>
        <v>0</v>
      </c>
      <c r="AJ65" s="78">
        <f ca="1">IFERROR(__xludf.DUMMYFUNCTION("IMPORTRANGE(""https://docs.google.com/spreadsheets/d/1YXvxf8Yu6_rV4hTBrwMqAcAnv6DfhUxh5emyM3CJp_w/edit?usp=sharing"",""เพชรบุรี!J87"")"),0)</f>
        <v>0</v>
      </c>
      <c r="AK65" s="74">
        <f ca="1">IFERROR(__xludf.DUMMYFUNCTION("IMPORTRANGE(""https://docs.google.com/spreadsheets/d/1YXvxf8Yu6_rV4hTBrwMqAcAnv6DfhUxh5emyM3CJp_w/edit?usp=sharing"",""เพชรบุรี!I88"")"),0)</f>
        <v>0</v>
      </c>
      <c r="AL65" s="74">
        <f ca="1">IFERROR(__xludf.DUMMYFUNCTION("IMPORTRANGE(""https://docs.google.com/spreadsheets/d/1YXvxf8Yu6_rV4hTBrwMqAcAnv6DfhUxh5emyM3CJp_w/edit?usp=sharing"",""เพชรบุรี!I89"")"),0)</f>
        <v>0</v>
      </c>
      <c r="AM65" s="78">
        <f ca="1">IFERROR(__xludf.DUMMYFUNCTION("IMPORTRANGE(""https://docs.google.com/spreadsheets/d/1YXvxf8Yu6_rV4hTBrwMqAcAnv6DfhUxh5emyM3CJp_w/edit?usp=sharing"",""เพชรบุรี!J88"")"),0)</f>
        <v>0</v>
      </c>
      <c r="AN65" s="78">
        <f ca="1">IFERROR(__xludf.DUMMYFUNCTION("IMPORTRANGE(""https://docs.google.com/spreadsheets/d/1YXvxf8Yu6_rV4hTBrwMqAcAnv6DfhUxh5emyM3CJp_w/edit?usp=sharing"",""เพชรบุรี!J89"")"),0)</f>
        <v>0</v>
      </c>
      <c r="AO65" s="74">
        <f ca="1">IFERROR(__xludf.DUMMYFUNCTION("IMPORTRANGE(""https://docs.google.com/spreadsheets/d/1YXvxf8Yu6_rV4hTBrwMqAcAnv6DfhUxh5emyM3CJp_w/edit?usp=sharing"",""เพชรบุรี!I90"")"),0)</f>
        <v>0</v>
      </c>
      <c r="AP65" s="78">
        <f ca="1">IFERROR(__xludf.DUMMYFUNCTION("IMPORTRANGE(""https://docs.google.com/spreadsheets/d/1YXvxf8Yu6_rV4hTBrwMqAcAnv6DfhUxh5emyM3CJp_w/edit?usp=sharing"",""เพชรบุรี!J90"")"),0)</f>
        <v>0</v>
      </c>
      <c r="AQ65" s="76">
        <f t="shared" ca="1" si="43"/>
        <v>0</v>
      </c>
    </row>
    <row r="66" spans="1:43" ht="21" customHeight="1" x14ac:dyDescent="0.3">
      <c r="A66" s="70">
        <v>14</v>
      </c>
      <c r="B66" s="71" t="s">
        <v>94</v>
      </c>
      <c r="C66" s="72">
        <f t="shared" ca="1" si="27"/>
        <v>0</v>
      </c>
      <c r="D66" s="73">
        <f t="shared" ca="1" si="56"/>
        <v>0</v>
      </c>
      <c r="E66" s="74">
        <f ca="1">IFERROR(__xludf.DUMMYFUNCTION("IMPORTRANGE(""https://docs.google.com/spreadsheets/d/1-uDff_7J0KD5mKrp0Vvzr7lt3OU09vwQwhkpOPPYv2Y/edit?usp=sharing"",""งบพรบ!AN66"")"),0)</f>
        <v>0</v>
      </c>
      <c r="F66" s="74">
        <f ca="1">IFERROR(__xludf.DUMMYFUNCTION("IMPORTRANGE(""https://docs.google.com/spreadsheets/d/1-uDff_7J0KD5mKrp0Vvzr7lt3OU09vwQwhkpOPPYv2Y/edit?usp=sharing"",""งบพรบ!AO66"")"),0)</f>
        <v>0</v>
      </c>
      <c r="G66" s="74">
        <f ca="1">IFERROR(__xludf.DUMMYFUNCTION("IMPORTRANGE(""https://docs.google.com/spreadsheets/d/1-uDff_7J0KD5mKrp0Vvzr7lt3OU09vwQwhkpOPPYv2Y/edit?usp=sharing"",""งบพรบ!AP66"")"),0)</f>
        <v>0</v>
      </c>
      <c r="H66" s="74">
        <f ca="1">IFERROR(__xludf.DUMMYFUNCTION("IMPORTRANGE(""https://docs.google.com/spreadsheets/d/1-uDff_7J0KD5mKrp0Vvzr7lt3OU09vwQwhkpOPPYv2Y/edit?usp=sharing"",""งบพรบ!AR66"")"),0)</f>
        <v>0</v>
      </c>
      <c r="I66" s="74">
        <f ca="1">IFERROR(__xludf.DUMMYFUNCTION("IMPORTRANGE(""https://docs.google.com/spreadsheets/d/1-uDff_7J0KD5mKrp0Vvzr7lt3OU09vwQwhkpOPPYv2Y/edit?usp=sharing"",""งบพรบ!AS66"")"),0)</f>
        <v>0</v>
      </c>
      <c r="J66" s="74">
        <f t="shared" ca="1" si="29"/>
        <v>0</v>
      </c>
      <c r="K66" s="75">
        <f t="shared" ca="1" si="30"/>
        <v>0</v>
      </c>
      <c r="L66" s="74">
        <f ca="1">IFERROR(__xludf.DUMMYFUNCTION("IMPORTRANGE(""https://docs.google.com/spreadsheets/d/1-uDff_7J0KD5mKrp0Vvzr7lt3OU09vwQwhkpOPPYv2Y/edit?usp=sharing"",""งบพรบ!AT66"")"),0)</f>
        <v>0</v>
      </c>
      <c r="M66" s="76">
        <f t="shared" ca="1" si="31"/>
        <v>0</v>
      </c>
      <c r="N66" s="76">
        <f t="shared" ca="1" si="32"/>
        <v>0</v>
      </c>
      <c r="O66" s="77">
        <f ca="1">IFERROR(__xludf.DUMMYFUNCTION("IMPORTRANGE(""https://docs.google.com/spreadsheets/d/1-uDff_7J0KD5mKrp0Vvzr7lt3OU09vwQwhkpOPPYv2Y/edit?usp=sharing"",""งบพรบ!AU66"")"),0)</f>
        <v>0</v>
      </c>
      <c r="P66" s="77">
        <f t="shared" ca="1" si="33"/>
        <v>0</v>
      </c>
      <c r="Q66" s="76">
        <f t="shared" ca="1" si="34"/>
        <v>0</v>
      </c>
      <c r="R66" s="67">
        <f ca="1">IFERROR(__xludf.DUMMYFUNCTION("IMPORTRANGE(""https://docs.google.com/spreadsheets/d/19KBlQQs7uwvsao6t2n-KvW3Ax8J8uRRfZPq1zPbXgKc/edit?usp=sharing"",""ระยอง!Q72"")"),0)</f>
        <v>0</v>
      </c>
      <c r="S66" s="67">
        <f ca="1">IFERROR(__xludf.DUMMYFUNCTION("IMPORTRANGE(""https://docs.google.com/spreadsheets/d/19KBlQQs7uwvsao6t2n-KvW3Ax8J8uRRfZPq1zPbXgKc/edit?usp=sharing"",""ระยอง!R72"")"),0)</f>
        <v>0</v>
      </c>
      <c r="T66" s="67">
        <f ca="1">IFERROR(__xludf.DUMMYFUNCTION("IMPORTRANGE(""https://docs.google.com/spreadsheets/d/19KBlQQs7uwvsao6t2n-KvW3Ax8J8uRRfZPq1zPbXgKc/edit?usp=sharing"",""ระยอง!S72"")"),0)</f>
        <v>0</v>
      </c>
      <c r="U66" s="68">
        <f t="shared" ca="1" si="36"/>
        <v>0</v>
      </c>
      <c r="V66" s="68">
        <f t="shared" ca="1" si="37"/>
        <v>0</v>
      </c>
      <c r="W66" s="78">
        <f t="shared" ca="1" si="38"/>
        <v>0</v>
      </c>
      <c r="X66" s="78">
        <f t="shared" ca="1" si="39"/>
        <v>0</v>
      </c>
      <c r="Y66" s="78">
        <f t="shared" ca="1" si="57"/>
        <v>0</v>
      </c>
      <c r="Z66" s="79">
        <f t="shared" ca="1" si="40"/>
        <v>0</v>
      </c>
      <c r="AA66" s="78">
        <f t="shared" ca="1" si="58"/>
        <v>0</v>
      </c>
      <c r="AB66" s="79">
        <f t="shared" ca="1" si="41"/>
        <v>0</v>
      </c>
      <c r="AC66" s="74">
        <f ca="1">IFERROR(__xludf.DUMMYFUNCTION("IMPORTRANGE(""https://docs.google.com/spreadsheets/d/19KBlQQs7uwvsao6t2n-KvW3Ax8J8uRRfZPq1zPbXgKc/edit?usp=sharing"",""ระยอง!I84"")"),0)</f>
        <v>0</v>
      </c>
      <c r="AD66" s="74">
        <f ca="1">IFERROR(__xludf.DUMMYFUNCTION("IMPORTRANGE(""https://docs.google.com/spreadsheets/d/19KBlQQs7uwvsao6t2n-KvW3Ax8J8uRRfZPq1zPbXgKc/edit?usp=sharing"",""ระยอง!I85"")"),0)</f>
        <v>0</v>
      </c>
      <c r="AE66" s="78">
        <f ca="1">IFERROR(__xludf.DUMMYFUNCTION("IMPORTRANGE(""https://docs.google.com/spreadsheets/d/19KBlQQs7uwvsao6t2n-KvW3Ax8J8uRRfZPq1zPbXgKc/edit?usp=sharing"",""ระยอง!J84"")"),0)</f>
        <v>0</v>
      </c>
      <c r="AF66" s="78">
        <f ca="1">IFERROR(__xludf.DUMMYFUNCTION("IMPORTRANGE(""https://docs.google.com/spreadsheets/d/19KBlQQs7uwvsao6t2n-KvW3Ax8J8uRRfZPq1zPbXgKc/edit?usp=sharing"",""ระยอง!J85"")"),0)</f>
        <v>0</v>
      </c>
      <c r="AG66" s="74">
        <f ca="1">IFERROR(__xludf.DUMMYFUNCTION("IMPORTRANGE(""https://docs.google.com/spreadsheets/d/19KBlQQs7uwvsao6t2n-KvW3Ax8J8uRRfZPq1zPbXgKc/edit?usp=sharing"",""ระยอง!I86"")"),0)</f>
        <v>0</v>
      </c>
      <c r="AH66" s="74">
        <f ca="1">IFERROR(__xludf.DUMMYFUNCTION("IMPORTRANGE(""https://docs.google.com/spreadsheets/d/19KBlQQs7uwvsao6t2n-KvW3Ax8J8uRRfZPq1zPbXgKc/edit?usp=sharing"",""ระยอง!I87"")"),0)</f>
        <v>0</v>
      </c>
      <c r="AI66" s="78">
        <f ca="1">IFERROR(__xludf.DUMMYFUNCTION("IMPORTRANGE(""https://docs.google.com/spreadsheets/d/19KBlQQs7uwvsao6t2n-KvW3Ax8J8uRRfZPq1zPbXgKc/edit?usp=sharing"",""ระยอง!J86"")"),0)</f>
        <v>0</v>
      </c>
      <c r="AJ66" s="78">
        <f ca="1">IFERROR(__xludf.DUMMYFUNCTION("IMPORTRANGE(""https://docs.google.com/spreadsheets/d/19KBlQQs7uwvsao6t2n-KvW3Ax8J8uRRfZPq1zPbXgKc/edit?usp=sharing"",""ระยอง!J87"")"),0)</f>
        <v>0</v>
      </c>
      <c r="AK66" s="74">
        <f ca="1">IFERROR(__xludf.DUMMYFUNCTION("IMPORTRANGE(""https://docs.google.com/spreadsheets/d/19KBlQQs7uwvsao6t2n-KvW3Ax8J8uRRfZPq1zPbXgKc/edit?usp=sharing"",""ระยอง!I88"")"),0)</f>
        <v>0</v>
      </c>
      <c r="AL66" s="74">
        <f ca="1">IFERROR(__xludf.DUMMYFUNCTION("IMPORTRANGE(""https://docs.google.com/spreadsheets/d/19KBlQQs7uwvsao6t2n-KvW3Ax8J8uRRfZPq1zPbXgKc/edit?usp=sharing"",""ระยอง!I89"")"),0)</f>
        <v>0</v>
      </c>
      <c r="AM66" s="78">
        <f ca="1">IFERROR(__xludf.DUMMYFUNCTION("IMPORTRANGE(""https://docs.google.com/spreadsheets/d/19KBlQQs7uwvsao6t2n-KvW3Ax8J8uRRfZPq1zPbXgKc/edit?usp=sharing"",""ระยอง!J88"")"),0)</f>
        <v>0</v>
      </c>
      <c r="AN66" s="78">
        <f ca="1">IFERROR(__xludf.DUMMYFUNCTION("IMPORTRANGE(""https://docs.google.com/spreadsheets/d/19KBlQQs7uwvsao6t2n-KvW3Ax8J8uRRfZPq1zPbXgKc/edit?usp=sharing"",""ระยอง!J89"")"),0)</f>
        <v>0</v>
      </c>
      <c r="AO66" s="74">
        <f ca="1">IFERROR(__xludf.DUMMYFUNCTION("IMPORTRANGE(""https://docs.google.com/spreadsheets/d/19KBlQQs7uwvsao6t2n-KvW3Ax8J8uRRfZPq1zPbXgKc/edit?usp=sharing"",""ระยอง!I90"")"),0)</f>
        <v>0</v>
      </c>
      <c r="AP66" s="78">
        <f ca="1">IFERROR(__xludf.DUMMYFUNCTION("IMPORTRANGE(""https://docs.google.com/spreadsheets/d/19KBlQQs7uwvsao6t2n-KvW3Ax8J8uRRfZPq1zPbXgKc/edit?usp=sharing"",""ระยอง!J90"")"),0)</f>
        <v>0</v>
      </c>
      <c r="AQ66" s="76">
        <f t="shared" ca="1" si="43"/>
        <v>0</v>
      </c>
    </row>
    <row r="67" spans="1:43" ht="21" customHeight="1" x14ac:dyDescent="0.3">
      <c r="A67" s="70">
        <v>15</v>
      </c>
      <c r="B67" s="71" t="s">
        <v>95</v>
      </c>
      <c r="C67" s="72">
        <f t="shared" ca="1" si="27"/>
        <v>0</v>
      </c>
      <c r="D67" s="73">
        <f t="shared" ca="1" si="56"/>
        <v>0</v>
      </c>
      <c r="E67" s="74">
        <f ca="1">IFERROR(__xludf.DUMMYFUNCTION("IMPORTRANGE(""https://docs.google.com/spreadsheets/d/1-uDff_7J0KD5mKrp0Vvzr7lt3OU09vwQwhkpOPPYv2Y/edit?usp=sharing"",""งบพรบ!AN67"")"),0)</f>
        <v>0</v>
      </c>
      <c r="F67" s="74">
        <f ca="1">IFERROR(__xludf.DUMMYFUNCTION("IMPORTRANGE(""https://docs.google.com/spreadsheets/d/1-uDff_7J0KD5mKrp0Vvzr7lt3OU09vwQwhkpOPPYv2Y/edit?usp=sharing"",""งบพรบ!AO67"")"),0)</f>
        <v>0</v>
      </c>
      <c r="G67" s="74">
        <f ca="1">IFERROR(__xludf.DUMMYFUNCTION("IMPORTRANGE(""https://docs.google.com/spreadsheets/d/1-uDff_7J0KD5mKrp0Vvzr7lt3OU09vwQwhkpOPPYv2Y/edit?usp=sharing"",""งบพรบ!AP67"")"),0)</f>
        <v>0</v>
      </c>
      <c r="H67" s="74">
        <f ca="1">IFERROR(__xludf.DUMMYFUNCTION("IMPORTRANGE(""https://docs.google.com/spreadsheets/d/1-uDff_7J0KD5mKrp0Vvzr7lt3OU09vwQwhkpOPPYv2Y/edit?usp=sharing"",""งบพรบ!AR67"")"),0)</f>
        <v>0</v>
      </c>
      <c r="I67" s="74">
        <f ca="1">IFERROR(__xludf.DUMMYFUNCTION("IMPORTRANGE(""https://docs.google.com/spreadsheets/d/1-uDff_7J0KD5mKrp0Vvzr7lt3OU09vwQwhkpOPPYv2Y/edit?usp=sharing"",""งบพรบ!AS67"")"),0)</f>
        <v>0</v>
      </c>
      <c r="J67" s="74">
        <f t="shared" ca="1" si="29"/>
        <v>0</v>
      </c>
      <c r="K67" s="75">
        <f t="shared" ca="1" si="30"/>
        <v>0</v>
      </c>
      <c r="L67" s="74">
        <f ca="1">IFERROR(__xludf.DUMMYFUNCTION("IMPORTRANGE(""https://docs.google.com/spreadsheets/d/1-uDff_7J0KD5mKrp0Vvzr7lt3OU09vwQwhkpOPPYv2Y/edit?usp=sharing"",""งบพรบ!AT67"")"),0)</f>
        <v>0</v>
      </c>
      <c r="M67" s="76">
        <f t="shared" ca="1" si="31"/>
        <v>0</v>
      </c>
      <c r="N67" s="76">
        <f t="shared" ca="1" si="32"/>
        <v>0</v>
      </c>
      <c r="O67" s="77">
        <f ca="1">IFERROR(__xludf.DUMMYFUNCTION("IMPORTRANGE(""https://docs.google.com/spreadsheets/d/1-uDff_7J0KD5mKrp0Vvzr7lt3OU09vwQwhkpOPPYv2Y/edit?usp=sharing"",""งบพรบ!AU67"")"),0)</f>
        <v>0</v>
      </c>
      <c r="P67" s="77">
        <f t="shared" ca="1" si="33"/>
        <v>0</v>
      </c>
      <c r="Q67" s="76">
        <f t="shared" ca="1" si="34"/>
        <v>0</v>
      </c>
      <c r="R67" s="67">
        <f ca="1">IFERROR(__xludf.DUMMYFUNCTION("IMPORTRANGE(""https://docs.google.com/spreadsheets/d/1jQ6P4QcrGM89YfqcC_PxOHGCMq5ezhucwJd8ci-NHng/edit?usp=sharing"",""ราชบุรี!Q72"")"),0)</f>
        <v>0</v>
      </c>
      <c r="S67" s="67">
        <f ca="1">IFERROR(__xludf.DUMMYFUNCTION("IMPORTRANGE(""https://docs.google.com/spreadsheets/d/1jQ6P4QcrGM89YfqcC_PxOHGCMq5ezhucwJd8ci-NHng/edit?usp=sharing"",""ราชบุรี!R72"")"),0)</f>
        <v>0</v>
      </c>
      <c r="T67" s="67">
        <f ca="1">IFERROR(__xludf.DUMMYFUNCTION("IMPORTRANGE(""https://docs.google.com/spreadsheets/d/1jQ6P4QcrGM89YfqcC_PxOHGCMq5ezhucwJd8ci-NHng/edit?usp=sharing"",""ราชบุรี!S72"")"),0)</f>
        <v>0</v>
      </c>
      <c r="U67" s="68">
        <f t="shared" ca="1" si="36"/>
        <v>0</v>
      </c>
      <c r="V67" s="68">
        <f t="shared" ca="1" si="37"/>
        <v>0</v>
      </c>
      <c r="W67" s="78">
        <f t="shared" ca="1" si="38"/>
        <v>0</v>
      </c>
      <c r="X67" s="78">
        <f t="shared" ca="1" si="39"/>
        <v>0</v>
      </c>
      <c r="Y67" s="78">
        <f t="shared" ca="1" si="57"/>
        <v>0</v>
      </c>
      <c r="Z67" s="79">
        <f t="shared" ca="1" si="40"/>
        <v>0</v>
      </c>
      <c r="AA67" s="78">
        <f t="shared" ca="1" si="58"/>
        <v>0</v>
      </c>
      <c r="AB67" s="79">
        <f t="shared" ca="1" si="41"/>
        <v>0</v>
      </c>
      <c r="AC67" s="74">
        <f ca="1">IFERROR(__xludf.DUMMYFUNCTION("IMPORTRANGE(""https://docs.google.com/spreadsheets/d/1jQ6P4QcrGM89YfqcC_PxOHGCMq5ezhucwJd8ci-NHng/edit?usp=sharing"",""ราชบุรี!I84"")"),0)</f>
        <v>0</v>
      </c>
      <c r="AD67" s="74">
        <f ca="1">IFERROR(__xludf.DUMMYFUNCTION("IMPORTRANGE(""https://docs.google.com/spreadsheets/d/1jQ6P4QcrGM89YfqcC_PxOHGCMq5ezhucwJd8ci-NHng/edit?usp=sharing"",""ราชบุรี!I85"")"),0)</f>
        <v>0</v>
      </c>
      <c r="AE67" s="78">
        <f ca="1">IFERROR(__xludf.DUMMYFUNCTION("IMPORTRANGE(""https://docs.google.com/spreadsheets/d/1jQ6P4QcrGM89YfqcC_PxOHGCMq5ezhucwJd8ci-NHng/edit?usp=sharing"",""ราชบุรี!J84"")"),0)</f>
        <v>0</v>
      </c>
      <c r="AF67" s="78">
        <f ca="1">IFERROR(__xludf.DUMMYFUNCTION("IMPORTRANGE(""https://docs.google.com/spreadsheets/d/1jQ6P4QcrGM89YfqcC_PxOHGCMq5ezhucwJd8ci-NHng/edit?usp=sharing"",""ราชบุรี!J85"")"),0)</f>
        <v>0</v>
      </c>
      <c r="AG67" s="74">
        <f ca="1">IFERROR(__xludf.DUMMYFUNCTION("IMPORTRANGE(""https://docs.google.com/spreadsheets/d/1jQ6P4QcrGM89YfqcC_PxOHGCMq5ezhucwJd8ci-NHng/edit?usp=sharing"",""ราชบุรี!I86"")"),0)</f>
        <v>0</v>
      </c>
      <c r="AH67" s="74">
        <f ca="1">IFERROR(__xludf.DUMMYFUNCTION("IMPORTRANGE(""https://docs.google.com/spreadsheets/d/1jQ6P4QcrGM89YfqcC_PxOHGCMq5ezhucwJd8ci-NHng/edit?usp=sharing"",""ราชบุรี!I87"")"),0)</f>
        <v>0</v>
      </c>
      <c r="AI67" s="78">
        <f ca="1">IFERROR(__xludf.DUMMYFUNCTION("IMPORTRANGE(""https://docs.google.com/spreadsheets/d/1jQ6P4QcrGM89YfqcC_PxOHGCMq5ezhucwJd8ci-NHng/edit?usp=sharing"",""ราชบุรี!J86"")"),0)</f>
        <v>0</v>
      </c>
      <c r="AJ67" s="78">
        <f ca="1">IFERROR(__xludf.DUMMYFUNCTION("IMPORTRANGE(""https://docs.google.com/spreadsheets/d/1jQ6P4QcrGM89YfqcC_PxOHGCMq5ezhucwJd8ci-NHng/edit?usp=sharing"",""ราชบุรี!J87"")"),0)</f>
        <v>0</v>
      </c>
      <c r="AK67" s="74">
        <f ca="1">IFERROR(__xludf.DUMMYFUNCTION("IMPORTRANGE(""https://docs.google.com/spreadsheets/d/1jQ6P4QcrGM89YfqcC_PxOHGCMq5ezhucwJd8ci-NHng/edit?usp=sharing"",""ราชบุรี!I88"")"),0)</f>
        <v>0</v>
      </c>
      <c r="AL67" s="74">
        <f ca="1">IFERROR(__xludf.DUMMYFUNCTION("IMPORTRANGE(""https://docs.google.com/spreadsheets/d/1jQ6P4QcrGM89YfqcC_PxOHGCMq5ezhucwJd8ci-NHng/edit?usp=sharing"",""ราชบุรี!I89"")"),0)</f>
        <v>0</v>
      </c>
      <c r="AM67" s="78">
        <f ca="1">IFERROR(__xludf.DUMMYFUNCTION("IMPORTRANGE(""https://docs.google.com/spreadsheets/d/1jQ6P4QcrGM89YfqcC_PxOHGCMq5ezhucwJd8ci-NHng/edit?usp=sharing"",""ราชบุรี!J88"")"),0)</f>
        <v>0</v>
      </c>
      <c r="AN67" s="78">
        <f ca="1">IFERROR(__xludf.DUMMYFUNCTION("IMPORTRANGE(""https://docs.google.com/spreadsheets/d/1jQ6P4QcrGM89YfqcC_PxOHGCMq5ezhucwJd8ci-NHng/edit?usp=sharing"",""ราชบุรี!J89"")"),0)</f>
        <v>0</v>
      </c>
      <c r="AO67" s="74">
        <f ca="1">IFERROR(__xludf.DUMMYFUNCTION("IMPORTRANGE(""https://docs.google.com/spreadsheets/d/1jQ6P4QcrGM89YfqcC_PxOHGCMq5ezhucwJd8ci-NHng/edit?usp=sharing"",""ราชบุรี!I90"")"),0)</f>
        <v>0</v>
      </c>
      <c r="AP67" s="78">
        <f ca="1">IFERROR(__xludf.DUMMYFUNCTION("IMPORTRANGE(""https://docs.google.com/spreadsheets/d/1jQ6P4QcrGM89YfqcC_PxOHGCMq5ezhucwJd8ci-NHng/edit?usp=sharing"",""ราชบุรี!J90"")"),0)</f>
        <v>0</v>
      </c>
      <c r="AQ67" s="76">
        <f t="shared" ca="1" si="43"/>
        <v>0</v>
      </c>
    </row>
    <row r="68" spans="1:43" ht="24" customHeight="1" x14ac:dyDescent="0.3">
      <c r="A68" s="70">
        <v>16</v>
      </c>
      <c r="B68" s="71" t="s">
        <v>96</v>
      </c>
      <c r="C68" s="72">
        <f t="shared" ca="1" si="27"/>
        <v>565200</v>
      </c>
      <c r="D68" s="73">
        <f t="shared" ca="1" si="56"/>
        <v>565200</v>
      </c>
      <c r="E68" s="74">
        <f ca="1">IFERROR(__xludf.DUMMYFUNCTION("IMPORTRANGE(""https://docs.google.com/spreadsheets/d/1-uDff_7J0KD5mKrp0Vvzr7lt3OU09vwQwhkpOPPYv2Y/edit?usp=sharing"",""งบพรบ!AN68"")"),259200)</f>
        <v>259200</v>
      </c>
      <c r="F68" s="74">
        <f ca="1">IFERROR(__xludf.DUMMYFUNCTION("IMPORTRANGE(""https://docs.google.com/spreadsheets/d/1-uDff_7J0KD5mKrp0Vvzr7lt3OU09vwQwhkpOPPYv2Y/edit?usp=sharing"",""งบพรบ!AO68"")"),306000)</f>
        <v>306000</v>
      </c>
      <c r="G68" s="74">
        <f ca="1">IFERROR(__xludf.DUMMYFUNCTION("IMPORTRANGE(""https://docs.google.com/spreadsheets/d/1-uDff_7J0KD5mKrp0Vvzr7lt3OU09vwQwhkpOPPYv2Y/edit?usp=sharing"",""งบพรบ!AP68"")"),0)</f>
        <v>0</v>
      </c>
      <c r="H68" s="74">
        <f ca="1">IFERROR(__xludf.DUMMYFUNCTION("IMPORTRANGE(""https://docs.google.com/spreadsheets/d/1-uDff_7J0KD5mKrp0Vvzr7lt3OU09vwQwhkpOPPYv2Y/edit?usp=sharing"",""งบพรบ!AR68"")"),565200)</f>
        <v>565200</v>
      </c>
      <c r="I68" s="74">
        <f ca="1">IFERROR(__xludf.DUMMYFUNCTION("IMPORTRANGE(""https://docs.google.com/spreadsheets/d/1-uDff_7J0KD5mKrp0Vvzr7lt3OU09vwQwhkpOPPYv2Y/edit?usp=sharing"",""งบพรบ!AS68"")"),0)</f>
        <v>0</v>
      </c>
      <c r="J68" s="74">
        <f t="shared" ca="1" si="29"/>
        <v>508998.85</v>
      </c>
      <c r="K68" s="75">
        <f t="shared" ca="1" si="30"/>
        <v>90.056413658881809</v>
      </c>
      <c r="L68" s="74">
        <f ca="1">IFERROR(__xludf.DUMMYFUNCTION("IMPORTRANGE(""https://docs.google.com/spreadsheets/d/1-uDff_7J0KD5mKrp0Vvzr7lt3OU09vwQwhkpOPPYv2Y/edit?usp=sharing"",""งบพรบ!AT68"")"),508998.85)</f>
        <v>508998.85</v>
      </c>
      <c r="M68" s="76">
        <f t="shared" ca="1" si="31"/>
        <v>90.056413658881809</v>
      </c>
      <c r="N68" s="76">
        <f t="shared" ca="1" si="32"/>
        <v>90.056413658881809</v>
      </c>
      <c r="O68" s="77">
        <f ca="1">IFERROR(__xludf.DUMMYFUNCTION("IMPORTRANGE(""https://docs.google.com/spreadsheets/d/1-uDff_7J0KD5mKrp0Vvzr7lt3OU09vwQwhkpOPPYv2Y/edit?usp=sharing"",""งบพรบ!AU68"")"),0)</f>
        <v>0</v>
      </c>
      <c r="P68" s="77">
        <f t="shared" ca="1" si="33"/>
        <v>0</v>
      </c>
      <c r="Q68" s="76">
        <f t="shared" ca="1" si="34"/>
        <v>0</v>
      </c>
      <c r="R68" s="67">
        <f ca="1">IFERROR(__xludf.DUMMYFUNCTION("IMPORTRANGE(""https://docs.google.com/spreadsheets/d/1lufeA2cfFqM-elVq2hznhDzC6Pr7wkJ9ZG_sYNGCMCU/edit?usp=sharing"",""ลพบุรี!Q72"")"),1000800)</f>
        <v>1000800</v>
      </c>
      <c r="S68" s="67">
        <f ca="1">IFERROR(__xludf.DUMMYFUNCTION("IMPORTRANGE(""https://docs.google.com/spreadsheets/d/1lufeA2cfFqM-elVq2hznhDzC6Pr7wkJ9ZG_sYNGCMCU/edit?usp=sharing"",""ลพบุรี!R72"")"),1000800)</f>
        <v>1000800</v>
      </c>
      <c r="T68" s="67">
        <f ca="1">IFERROR(__xludf.DUMMYFUNCTION("IMPORTRANGE(""https://docs.google.com/spreadsheets/d/1lufeA2cfFqM-elVq2hznhDzC6Pr7wkJ9ZG_sYNGCMCU/edit?usp=sharing"",""ลพบุรี!S72"")"),199141)</f>
        <v>199141</v>
      </c>
      <c r="U68" s="68">
        <f t="shared" ca="1" si="36"/>
        <v>19.898181454836131</v>
      </c>
      <c r="V68" s="68">
        <f t="shared" ca="1" si="37"/>
        <v>19.898181454836131</v>
      </c>
      <c r="W68" s="78">
        <f t="shared" ca="1" si="38"/>
        <v>2</v>
      </c>
      <c r="X68" s="78">
        <f t="shared" ca="1" si="39"/>
        <v>101</v>
      </c>
      <c r="Y68" s="78">
        <f t="shared" ca="1" si="57"/>
        <v>1</v>
      </c>
      <c r="Z68" s="79">
        <f t="shared" ca="1" si="40"/>
        <v>50</v>
      </c>
      <c r="AA68" s="78">
        <f t="shared" ca="1" si="58"/>
        <v>51</v>
      </c>
      <c r="AB68" s="79">
        <f t="shared" ca="1" si="41"/>
        <v>50.495049504950494</v>
      </c>
      <c r="AC68" s="78">
        <f ca="1">IFERROR(__xludf.DUMMYFUNCTION("IMPORTRANGE(""https://docs.google.com/spreadsheets/d/1lufeA2cfFqM-elVq2hznhDzC6Pr7wkJ9ZG_sYNGCMCU/edit?usp=sharing"",""ลพบุรี!I84"")"),1)</f>
        <v>1</v>
      </c>
      <c r="AD68" s="78">
        <f ca="1">IFERROR(__xludf.DUMMYFUNCTION("IMPORTRANGE(""https://docs.google.com/spreadsheets/d/1lufeA2cfFqM-elVq2hznhDzC6Pr7wkJ9ZG_sYNGCMCU/edit?usp=sharing"",""ลพบุรี!I85"")"),50)</f>
        <v>50</v>
      </c>
      <c r="AE68" s="78">
        <f ca="1">IFERROR(__xludf.DUMMYFUNCTION("IMPORTRANGE(""https://docs.google.com/spreadsheets/d/1lufeA2cfFqM-elVq2hznhDzC6Pr7wkJ9ZG_sYNGCMCU/edit?usp=sharing"",""ลพบุรี!J84"")"),0)</f>
        <v>0</v>
      </c>
      <c r="AF68" s="78">
        <f ca="1">IFERROR(__xludf.DUMMYFUNCTION("IMPORTRANGE(""https://docs.google.com/spreadsheets/d/1lufeA2cfFqM-elVq2hznhDzC6Pr7wkJ9ZG_sYNGCMCU/edit?usp=sharing"",""ลพบุรี!J85"")"),0)</f>
        <v>0</v>
      </c>
      <c r="AG68" s="78">
        <f ca="1">IFERROR(__xludf.DUMMYFUNCTION("IMPORTRANGE(""https://docs.google.com/spreadsheets/d/1lufeA2cfFqM-elVq2hznhDzC6Pr7wkJ9ZG_sYNGCMCU/edit?usp=sharing"",""ลพบุรี!I86"")"),0)</f>
        <v>0</v>
      </c>
      <c r="AH68" s="78">
        <f ca="1">IFERROR(__xludf.DUMMYFUNCTION("IMPORTRANGE(""https://docs.google.com/spreadsheets/d/1lufeA2cfFqM-elVq2hznhDzC6Pr7wkJ9ZG_sYNGCMCU/edit?usp=sharing"",""ลพบุรี!I87"")"),0)</f>
        <v>0</v>
      </c>
      <c r="AI68" s="78">
        <f ca="1">IFERROR(__xludf.DUMMYFUNCTION("IMPORTRANGE(""https://docs.google.com/spreadsheets/d/1lufeA2cfFqM-elVq2hznhDzC6Pr7wkJ9ZG_sYNGCMCU/edit?usp=sharing"",""ลพบุรี!J86"")"),0)</f>
        <v>0</v>
      </c>
      <c r="AJ68" s="78">
        <f ca="1">IFERROR(__xludf.DUMMYFUNCTION("IMPORTRANGE(""https://docs.google.com/spreadsheets/d/1lufeA2cfFqM-elVq2hznhDzC6Pr7wkJ9ZG_sYNGCMCU/edit?usp=sharing"",""ลพบุรี!J87"")"),0)</f>
        <v>0</v>
      </c>
      <c r="AK68" s="74">
        <f ca="1">IFERROR(__xludf.DUMMYFUNCTION("IMPORTRANGE(""https://docs.google.com/spreadsheets/d/1lufeA2cfFqM-elVq2hznhDzC6Pr7wkJ9ZG_sYNGCMCU/edit?usp=sharing"",""ลพบุรี!I88"")"),1)</f>
        <v>1</v>
      </c>
      <c r="AL68" s="74">
        <f ca="1">IFERROR(__xludf.DUMMYFUNCTION("IMPORTRANGE(""https://docs.google.com/spreadsheets/d/1lufeA2cfFqM-elVq2hznhDzC6Pr7wkJ9ZG_sYNGCMCU/edit?usp=sharing"",""ลพบุรี!I89"")"),51)</f>
        <v>51</v>
      </c>
      <c r="AM68" s="78">
        <f ca="1">IFERROR(__xludf.DUMMYFUNCTION("IMPORTRANGE(""https://docs.google.com/spreadsheets/d/1lufeA2cfFqM-elVq2hznhDzC6Pr7wkJ9ZG_sYNGCMCU/edit?usp=sharing"",""ลพบุรี!J88"")"),1)</f>
        <v>1</v>
      </c>
      <c r="AN68" s="78">
        <f ca="1">IFERROR(__xludf.DUMMYFUNCTION("IMPORTRANGE(""https://docs.google.com/spreadsheets/d/1lufeA2cfFqM-elVq2hznhDzC6Pr7wkJ9ZG_sYNGCMCU/edit?usp=sharing"",""ลพบุรี!J89"")"),51)</f>
        <v>51</v>
      </c>
      <c r="AO68" s="78">
        <f ca="1">IFERROR(__xludf.DUMMYFUNCTION("IMPORTRANGE(""https://docs.google.com/spreadsheets/d/1lufeA2cfFqM-elVq2hznhDzC6Pr7wkJ9ZG_sYNGCMCU/edit?usp=sharing"",""ลพบุรี!I90"")"),2)</f>
        <v>2</v>
      </c>
      <c r="AP68" s="78">
        <f ca="1">IFERROR(__xludf.DUMMYFUNCTION("IMPORTRANGE(""https://docs.google.com/spreadsheets/d/1lufeA2cfFqM-elVq2hznhDzC6Pr7wkJ9ZG_sYNGCMCU/edit?usp=sharing"",""ลพบุรี!J90"")"),0)</f>
        <v>0</v>
      </c>
      <c r="AQ68" s="79">
        <f t="shared" ca="1" si="43"/>
        <v>0</v>
      </c>
    </row>
    <row r="69" spans="1:43" ht="21" customHeight="1" x14ac:dyDescent="0.3">
      <c r="A69" s="70">
        <v>17</v>
      </c>
      <c r="B69" s="71" t="s">
        <v>97</v>
      </c>
      <c r="C69" s="72">
        <f t="shared" ca="1" si="27"/>
        <v>497100</v>
      </c>
      <c r="D69" s="73">
        <f t="shared" ca="1" si="56"/>
        <v>497100</v>
      </c>
      <c r="E69" s="74">
        <f ca="1">IFERROR(__xludf.DUMMYFUNCTION("IMPORTRANGE(""https://docs.google.com/spreadsheets/d/1-uDff_7J0KD5mKrp0Vvzr7lt3OU09vwQwhkpOPPYv2Y/edit?usp=sharing"",""งบพรบ!AN69"")"),303100)</f>
        <v>303100</v>
      </c>
      <c r="F69" s="74">
        <f ca="1">IFERROR(__xludf.DUMMYFUNCTION("IMPORTRANGE(""https://docs.google.com/spreadsheets/d/1-uDff_7J0KD5mKrp0Vvzr7lt3OU09vwQwhkpOPPYv2Y/edit?usp=sharing"",""งบพรบ!AO69"")"),194000)</f>
        <v>194000</v>
      </c>
      <c r="G69" s="74">
        <f ca="1">IFERROR(__xludf.DUMMYFUNCTION("IMPORTRANGE(""https://docs.google.com/spreadsheets/d/1-uDff_7J0KD5mKrp0Vvzr7lt3OU09vwQwhkpOPPYv2Y/edit?usp=sharing"",""งบพรบ!AP69"")"),0)</f>
        <v>0</v>
      </c>
      <c r="H69" s="74">
        <f ca="1">IFERROR(__xludf.DUMMYFUNCTION("IMPORTRANGE(""https://docs.google.com/spreadsheets/d/1-uDff_7J0KD5mKrp0Vvzr7lt3OU09vwQwhkpOPPYv2Y/edit?usp=sharing"",""งบพรบ!AR69"")"),497100)</f>
        <v>497100</v>
      </c>
      <c r="I69" s="74">
        <f ca="1">IFERROR(__xludf.DUMMYFUNCTION("IMPORTRANGE(""https://docs.google.com/spreadsheets/d/1-uDff_7J0KD5mKrp0Vvzr7lt3OU09vwQwhkpOPPYv2Y/edit?usp=sharing"",""งบพรบ!AS69"")"),0)</f>
        <v>0</v>
      </c>
      <c r="J69" s="74">
        <f t="shared" ca="1" si="29"/>
        <v>465592.36</v>
      </c>
      <c r="K69" s="75">
        <f t="shared" ca="1" si="30"/>
        <v>93.66170991752162</v>
      </c>
      <c r="L69" s="74">
        <f ca="1">IFERROR(__xludf.DUMMYFUNCTION("IMPORTRANGE(""https://docs.google.com/spreadsheets/d/1-uDff_7J0KD5mKrp0Vvzr7lt3OU09vwQwhkpOPPYv2Y/edit?usp=sharing"",""งบพรบ!AT69"")"),465592.36)</f>
        <v>465592.36</v>
      </c>
      <c r="M69" s="76">
        <f t="shared" ca="1" si="31"/>
        <v>93.66170991752162</v>
      </c>
      <c r="N69" s="76">
        <f t="shared" ca="1" si="32"/>
        <v>93.66170991752162</v>
      </c>
      <c r="O69" s="77">
        <f ca="1">IFERROR(__xludf.DUMMYFUNCTION("IMPORTRANGE(""https://docs.google.com/spreadsheets/d/1-uDff_7J0KD5mKrp0Vvzr7lt3OU09vwQwhkpOPPYv2Y/edit?usp=sharing"",""งบพรบ!AU69"")"),0)</f>
        <v>0</v>
      </c>
      <c r="P69" s="77">
        <f t="shared" ca="1" si="33"/>
        <v>0</v>
      </c>
      <c r="Q69" s="76">
        <f t="shared" ca="1" si="34"/>
        <v>0</v>
      </c>
      <c r="R69" s="67">
        <f ca="1">IFERROR(__xludf.DUMMYFUNCTION("IMPORTRANGE(""https://docs.google.com/spreadsheets/d/10oOiF7loTyfsTkbd4MpaIm0HQ9SwB7IYHdIUvt-U1Uc/edit?usp=sharing"",""สระแก้ว!Q72"")"),585080)</f>
        <v>585080</v>
      </c>
      <c r="S69" s="67">
        <f ca="1">IFERROR(__xludf.DUMMYFUNCTION("IMPORTRANGE(""https://docs.google.com/spreadsheets/d/10oOiF7loTyfsTkbd4MpaIm0HQ9SwB7IYHdIUvt-U1Uc/edit?usp=sharing"",""สระแก้ว!R72"")"),585080)</f>
        <v>585080</v>
      </c>
      <c r="T69" s="67">
        <f ca="1">IFERROR(__xludf.DUMMYFUNCTION("IMPORTRANGE(""https://docs.google.com/spreadsheets/d/10oOiF7loTyfsTkbd4MpaIm0HQ9SwB7IYHdIUvt-U1Uc/edit?usp=sharing"",""สระแก้ว!S72"")"),426870)</f>
        <v>426870</v>
      </c>
      <c r="U69" s="68">
        <f t="shared" ca="1" si="36"/>
        <v>72.959253435427627</v>
      </c>
      <c r="V69" s="68">
        <f t="shared" ca="1" si="37"/>
        <v>72.959253435427627</v>
      </c>
      <c r="W69" s="78">
        <f t="shared" ca="1" si="38"/>
        <v>1</v>
      </c>
      <c r="X69" s="78">
        <f t="shared" ca="1" si="39"/>
        <v>69</v>
      </c>
      <c r="Y69" s="78">
        <f t="shared" ca="1" si="57"/>
        <v>1</v>
      </c>
      <c r="Z69" s="79">
        <f t="shared" ca="1" si="40"/>
        <v>100</v>
      </c>
      <c r="AA69" s="78">
        <f t="shared" ca="1" si="58"/>
        <v>69</v>
      </c>
      <c r="AB69" s="79">
        <f t="shared" ca="1" si="41"/>
        <v>100</v>
      </c>
      <c r="AC69" s="74">
        <f ca="1">IFERROR(__xludf.DUMMYFUNCTION("IMPORTRANGE(""https://docs.google.com/spreadsheets/d/10oOiF7loTyfsTkbd4MpaIm0HQ9SwB7IYHdIUvt-U1Uc/edit?usp=sharing"",""สระแก้ว!I84"")"),0)</f>
        <v>0</v>
      </c>
      <c r="AD69" s="74">
        <f ca="1">IFERROR(__xludf.DUMMYFUNCTION("IMPORTRANGE(""https://docs.google.com/spreadsheets/d/10oOiF7loTyfsTkbd4MpaIm0HQ9SwB7IYHdIUvt-U1Uc/edit?usp=sharing"",""สระแก้ว!I85"")"),0)</f>
        <v>0</v>
      </c>
      <c r="AE69" s="78">
        <f ca="1">IFERROR(__xludf.DUMMYFUNCTION("IMPORTRANGE(""https://docs.google.com/spreadsheets/d/10oOiF7loTyfsTkbd4MpaIm0HQ9SwB7IYHdIUvt-U1Uc/edit?usp=sharing"",""สระแก้ว!J84"")"),1)</f>
        <v>1</v>
      </c>
      <c r="AF69" s="78">
        <f ca="1">IFERROR(__xludf.DUMMYFUNCTION("IMPORTRANGE(""https://docs.google.com/spreadsheets/d/10oOiF7loTyfsTkbd4MpaIm0HQ9SwB7IYHdIUvt-U1Uc/edit?usp=sharing"",""สระแก้ว!J85"")"),69)</f>
        <v>69</v>
      </c>
      <c r="AG69" s="74">
        <f ca="1">IFERROR(__xludf.DUMMYFUNCTION("IMPORTRANGE(""https://docs.google.com/spreadsheets/d/10oOiF7loTyfsTkbd4MpaIm0HQ9SwB7IYHdIUvt-U1Uc/edit?usp=sharing"",""สระแก้ว!I86"")"),0)</f>
        <v>0</v>
      </c>
      <c r="AH69" s="74">
        <f ca="1">IFERROR(__xludf.DUMMYFUNCTION("IMPORTRANGE(""https://docs.google.com/spreadsheets/d/10oOiF7loTyfsTkbd4MpaIm0HQ9SwB7IYHdIUvt-U1Uc/edit?usp=sharing"",""สระแก้ว!I87"")"),0)</f>
        <v>0</v>
      </c>
      <c r="AI69" s="78">
        <f ca="1">IFERROR(__xludf.DUMMYFUNCTION("IMPORTRANGE(""https://docs.google.com/spreadsheets/d/10oOiF7loTyfsTkbd4MpaIm0HQ9SwB7IYHdIUvt-U1Uc/edit?usp=sharing"",""สระแก้ว!J86"")"),0)</f>
        <v>0</v>
      </c>
      <c r="AJ69" s="78">
        <f ca="1">IFERROR(__xludf.DUMMYFUNCTION("IMPORTRANGE(""https://docs.google.com/spreadsheets/d/10oOiF7loTyfsTkbd4MpaIm0HQ9SwB7IYHdIUvt-U1Uc/edit?usp=sharing"",""สระแก้ว!J87"")"),0)</f>
        <v>0</v>
      </c>
      <c r="AK69" s="74">
        <f ca="1">IFERROR(__xludf.DUMMYFUNCTION("IMPORTRANGE(""https://docs.google.com/spreadsheets/d/10oOiF7loTyfsTkbd4MpaIm0HQ9SwB7IYHdIUvt-U1Uc/edit?usp=sharing"",""สระแก้ว!I88"")"),1)</f>
        <v>1</v>
      </c>
      <c r="AL69" s="74">
        <f ca="1">IFERROR(__xludf.DUMMYFUNCTION("IMPORTRANGE(""https://docs.google.com/spreadsheets/d/10oOiF7loTyfsTkbd4MpaIm0HQ9SwB7IYHdIUvt-U1Uc/edit?usp=sharing"",""สระแก้ว!I89"")"),69)</f>
        <v>69</v>
      </c>
      <c r="AM69" s="78">
        <f ca="1">IFERROR(__xludf.DUMMYFUNCTION("IMPORTRANGE(""https://docs.google.com/spreadsheets/d/10oOiF7loTyfsTkbd4MpaIm0HQ9SwB7IYHdIUvt-U1Uc/edit?usp=sharing"",""สระแก้ว!J88"")"),0)</f>
        <v>0</v>
      </c>
      <c r="AN69" s="78">
        <f ca="1">IFERROR(__xludf.DUMMYFUNCTION("IMPORTRANGE(""https://docs.google.com/spreadsheets/d/10oOiF7loTyfsTkbd4MpaIm0HQ9SwB7IYHdIUvt-U1Uc/edit?usp=sharing"",""สระแก้ว!J89"")"),0)</f>
        <v>0</v>
      </c>
      <c r="AO69" s="74">
        <f ca="1">IFERROR(__xludf.DUMMYFUNCTION("IMPORTRANGE(""https://docs.google.com/spreadsheets/d/10oOiF7loTyfsTkbd4MpaIm0HQ9SwB7IYHdIUvt-U1Uc/edit?usp=sharing"",""สระแก้ว!I90"")"),1)</f>
        <v>1</v>
      </c>
      <c r="AP69" s="78">
        <f ca="1">IFERROR(__xludf.DUMMYFUNCTION("IMPORTRANGE(""https://docs.google.com/spreadsheets/d/10oOiF7loTyfsTkbd4MpaIm0HQ9SwB7IYHdIUvt-U1Uc/edit?usp=sharing"",""สระแก้ว!J90"")"),0)</f>
        <v>0</v>
      </c>
      <c r="AQ69" s="76">
        <f t="shared" ca="1" si="43"/>
        <v>0</v>
      </c>
    </row>
    <row r="70" spans="1:43" ht="21" customHeight="1" x14ac:dyDescent="0.3">
      <c r="A70" s="70">
        <v>18</v>
      </c>
      <c r="B70" s="71" t="s">
        <v>98</v>
      </c>
      <c r="C70" s="72">
        <f t="shared" ca="1" si="27"/>
        <v>0</v>
      </c>
      <c r="D70" s="73">
        <f t="shared" ca="1" si="56"/>
        <v>0</v>
      </c>
      <c r="E70" s="74">
        <f ca="1">IFERROR(__xludf.DUMMYFUNCTION("IMPORTRANGE(""https://docs.google.com/spreadsheets/d/1-uDff_7J0KD5mKrp0Vvzr7lt3OU09vwQwhkpOPPYv2Y/edit?usp=sharing"",""งบพรบ!AN70"")"),0)</f>
        <v>0</v>
      </c>
      <c r="F70" s="74">
        <f ca="1">IFERROR(__xludf.DUMMYFUNCTION("IMPORTRANGE(""https://docs.google.com/spreadsheets/d/1-uDff_7J0KD5mKrp0Vvzr7lt3OU09vwQwhkpOPPYv2Y/edit?usp=sharing"",""งบพรบ!AO70"")"),0)</f>
        <v>0</v>
      </c>
      <c r="G70" s="74">
        <f ca="1">IFERROR(__xludf.DUMMYFUNCTION("IMPORTRANGE(""https://docs.google.com/spreadsheets/d/1-uDff_7J0KD5mKrp0Vvzr7lt3OU09vwQwhkpOPPYv2Y/edit?usp=sharing"",""งบพรบ!AP70"")"),0)</f>
        <v>0</v>
      </c>
      <c r="H70" s="74">
        <f ca="1">IFERROR(__xludf.DUMMYFUNCTION("IMPORTRANGE(""https://docs.google.com/spreadsheets/d/1-uDff_7J0KD5mKrp0Vvzr7lt3OU09vwQwhkpOPPYv2Y/edit?usp=sharing"",""งบพรบ!AR70"")"),0)</f>
        <v>0</v>
      </c>
      <c r="I70" s="74">
        <f ca="1">IFERROR(__xludf.DUMMYFUNCTION("IMPORTRANGE(""https://docs.google.com/spreadsheets/d/1-uDff_7J0KD5mKrp0Vvzr7lt3OU09vwQwhkpOPPYv2Y/edit?usp=sharing"",""งบพรบ!AS70"")"),0)</f>
        <v>0</v>
      </c>
      <c r="J70" s="74">
        <f t="shared" ca="1" si="29"/>
        <v>0</v>
      </c>
      <c r="K70" s="75">
        <f t="shared" ca="1" si="30"/>
        <v>0</v>
      </c>
      <c r="L70" s="74">
        <f ca="1">IFERROR(__xludf.DUMMYFUNCTION("IMPORTRANGE(""https://docs.google.com/spreadsheets/d/1-uDff_7J0KD5mKrp0Vvzr7lt3OU09vwQwhkpOPPYv2Y/edit?usp=sharing"",""งบพรบ!AT70"")"),0)</f>
        <v>0</v>
      </c>
      <c r="M70" s="76">
        <f t="shared" ca="1" si="31"/>
        <v>0</v>
      </c>
      <c r="N70" s="76">
        <f t="shared" ca="1" si="32"/>
        <v>0</v>
      </c>
      <c r="O70" s="77">
        <f ca="1">IFERROR(__xludf.DUMMYFUNCTION("IMPORTRANGE(""https://docs.google.com/spreadsheets/d/1-uDff_7J0KD5mKrp0Vvzr7lt3OU09vwQwhkpOPPYv2Y/edit?usp=sharing"",""งบพรบ!AU70"")"),0)</f>
        <v>0</v>
      </c>
      <c r="P70" s="77">
        <f t="shared" ca="1" si="33"/>
        <v>0</v>
      </c>
      <c r="Q70" s="76">
        <f t="shared" ca="1" si="34"/>
        <v>0</v>
      </c>
      <c r="R70" s="67">
        <f ca="1">IFERROR(__xludf.DUMMYFUNCTION("IMPORTRANGE(""https://docs.google.com/spreadsheets/d/1xmPlrr1QbdSIKvl1dWUl9K4PjAfSL9oeMr_37QVzcxc/edit?usp=sharing"",""สระบุรี!Q72"")"),0)</f>
        <v>0</v>
      </c>
      <c r="S70" s="67">
        <f ca="1">IFERROR(__xludf.DUMMYFUNCTION("IMPORTRANGE(""https://docs.google.com/spreadsheets/d/1xmPlrr1QbdSIKvl1dWUl9K4PjAfSL9oeMr_37QVzcxc/edit?usp=sharing"",""สระบุรี!R72"")"),0)</f>
        <v>0</v>
      </c>
      <c r="T70" s="67">
        <f ca="1">IFERROR(__xludf.DUMMYFUNCTION("IMPORTRANGE(""https://docs.google.com/spreadsheets/d/1xmPlrr1QbdSIKvl1dWUl9K4PjAfSL9oeMr_37QVzcxc/edit?usp=sharing"",""สระบุรี!S72"")"),0)</f>
        <v>0</v>
      </c>
      <c r="U70" s="68">
        <f t="shared" ca="1" si="36"/>
        <v>0</v>
      </c>
      <c r="V70" s="68">
        <f t="shared" ca="1" si="37"/>
        <v>0</v>
      </c>
      <c r="W70" s="78">
        <f t="shared" ca="1" si="38"/>
        <v>0</v>
      </c>
      <c r="X70" s="78">
        <f t="shared" ca="1" si="39"/>
        <v>0</v>
      </c>
      <c r="Y70" s="78">
        <f t="shared" ca="1" si="57"/>
        <v>0</v>
      </c>
      <c r="Z70" s="79">
        <f t="shared" ca="1" si="40"/>
        <v>0</v>
      </c>
      <c r="AA70" s="78">
        <f t="shared" ca="1" si="58"/>
        <v>0</v>
      </c>
      <c r="AB70" s="79">
        <f t="shared" ca="1" si="41"/>
        <v>0</v>
      </c>
      <c r="AC70" s="74">
        <f ca="1">IFERROR(__xludf.DUMMYFUNCTION("IMPORTRANGE(""https://docs.google.com/spreadsheets/d/1xmPlrr1QbdSIKvl1dWUl9K4PjAfSL9oeMr_37QVzcxc/edit?usp=sharing"",""สระบุรี!I84"")"),0)</f>
        <v>0</v>
      </c>
      <c r="AD70" s="74">
        <f ca="1">IFERROR(__xludf.DUMMYFUNCTION("IMPORTRANGE(""https://docs.google.com/spreadsheets/d/1xmPlrr1QbdSIKvl1dWUl9K4PjAfSL9oeMr_37QVzcxc/edit?usp=sharing"",""สระบุรี!I85"")"),0)</f>
        <v>0</v>
      </c>
      <c r="AE70" s="78">
        <f ca="1">IFERROR(__xludf.DUMMYFUNCTION("IMPORTRANGE(""https://docs.google.com/spreadsheets/d/1xmPlrr1QbdSIKvl1dWUl9K4PjAfSL9oeMr_37QVzcxc/edit?usp=sharing"",""สระบุรี!J84"")"),0)</f>
        <v>0</v>
      </c>
      <c r="AF70" s="78">
        <f ca="1">IFERROR(__xludf.DUMMYFUNCTION("IMPORTRANGE(""https://docs.google.com/spreadsheets/d/1xmPlrr1QbdSIKvl1dWUl9K4PjAfSL9oeMr_37QVzcxc/edit?usp=sharing"",""สระบุรี!J85"")"),0)</f>
        <v>0</v>
      </c>
      <c r="AG70" s="74">
        <f ca="1">IFERROR(__xludf.DUMMYFUNCTION("IMPORTRANGE(""https://docs.google.com/spreadsheets/d/1xmPlrr1QbdSIKvl1dWUl9K4PjAfSL9oeMr_37QVzcxc/edit?usp=sharing"",""สระบุรี!I86"")"),0)</f>
        <v>0</v>
      </c>
      <c r="AH70" s="74">
        <f ca="1">IFERROR(__xludf.DUMMYFUNCTION("IMPORTRANGE(""https://docs.google.com/spreadsheets/d/1xmPlrr1QbdSIKvl1dWUl9K4PjAfSL9oeMr_37QVzcxc/edit?usp=sharing"",""สระบุรี!I87"")"),0)</f>
        <v>0</v>
      </c>
      <c r="AI70" s="78">
        <f ca="1">IFERROR(__xludf.DUMMYFUNCTION("IMPORTRANGE(""https://docs.google.com/spreadsheets/d/1xmPlrr1QbdSIKvl1dWUl9K4PjAfSL9oeMr_37QVzcxc/edit?usp=sharing"",""สระบุรี!J86"")"),0)</f>
        <v>0</v>
      </c>
      <c r="AJ70" s="78">
        <f ca="1">IFERROR(__xludf.DUMMYFUNCTION("IMPORTRANGE(""https://docs.google.com/spreadsheets/d/1xmPlrr1QbdSIKvl1dWUl9K4PjAfSL9oeMr_37QVzcxc/edit?usp=sharing"",""สระบุรี!J87"")"),0)</f>
        <v>0</v>
      </c>
      <c r="AK70" s="74">
        <f ca="1">IFERROR(__xludf.DUMMYFUNCTION("IMPORTRANGE(""https://docs.google.com/spreadsheets/d/1xmPlrr1QbdSIKvl1dWUl9K4PjAfSL9oeMr_37QVzcxc/edit?usp=sharing"",""สระบุรี!I88"")"),0)</f>
        <v>0</v>
      </c>
      <c r="AL70" s="74">
        <f ca="1">IFERROR(__xludf.DUMMYFUNCTION("IMPORTRANGE(""https://docs.google.com/spreadsheets/d/1xmPlrr1QbdSIKvl1dWUl9K4PjAfSL9oeMr_37QVzcxc/edit?usp=sharing"",""สระบุรี!I89"")"),0)</f>
        <v>0</v>
      </c>
      <c r="AM70" s="78">
        <f ca="1">IFERROR(__xludf.DUMMYFUNCTION("IMPORTRANGE(""https://docs.google.com/spreadsheets/d/1xmPlrr1QbdSIKvl1dWUl9K4PjAfSL9oeMr_37QVzcxc/edit?usp=sharing"",""สระบุรี!J88"")"),0)</f>
        <v>0</v>
      </c>
      <c r="AN70" s="78">
        <f ca="1">IFERROR(__xludf.DUMMYFUNCTION("IMPORTRANGE(""https://docs.google.com/spreadsheets/d/1xmPlrr1QbdSIKvl1dWUl9K4PjAfSL9oeMr_37QVzcxc/edit?usp=sharing"",""สระบุรี!J89"")"),0)</f>
        <v>0</v>
      </c>
      <c r="AO70" s="74">
        <f ca="1">IFERROR(__xludf.DUMMYFUNCTION("IMPORTRANGE(""https://docs.google.com/spreadsheets/d/1xmPlrr1QbdSIKvl1dWUl9K4PjAfSL9oeMr_37QVzcxc/edit?usp=sharing"",""สระบุรี!I90"")"),0)</f>
        <v>0</v>
      </c>
      <c r="AP70" s="78">
        <f ca="1">IFERROR(__xludf.DUMMYFUNCTION("IMPORTRANGE(""https://docs.google.com/spreadsheets/d/1xmPlrr1QbdSIKvl1dWUl9K4PjAfSL9oeMr_37QVzcxc/edit?usp=sharing"",""สระบุรี!J90"")"),0)</f>
        <v>0</v>
      </c>
      <c r="AQ70" s="76">
        <f t="shared" ca="1" si="43"/>
        <v>0</v>
      </c>
    </row>
    <row r="71" spans="1:43" ht="21" customHeight="1" x14ac:dyDescent="0.3">
      <c r="A71" s="70">
        <v>19</v>
      </c>
      <c r="B71" s="71" t="s">
        <v>99</v>
      </c>
      <c r="C71" s="72">
        <f t="shared" ca="1" si="27"/>
        <v>0</v>
      </c>
      <c r="D71" s="73">
        <f t="shared" ca="1" si="56"/>
        <v>0</v>
      </c>
      <c r="E71" s="74">
        <f ca="1">IFERROR(__xludf.DUMMYFUNCTION("IMPORTRANGE(""https://docs.google.com/spreadsheets/d/1-uDff_7J0KD5mKrp0Vvzr7lt3OU09vwQwhkpOPPYv2Y/edit?usp=sharing"",""งบพรบ!AN71"")"),0)</f>
        <v>0</v>
      </c>
      <c r="F71" s="74">
        <f ca="1">IFERROR(__xludf.DUMMYFUNCTION("IMPORTRANGE(""https://docs.google.com/spreadsheets/d/1-uDff_7J0KD5mKrp0Vvzr7lt3OU09vwQwhkpOPPYv2Y/edit?usp=sharing"",""งบพรบ!AO71"")"),0)</f>
        <v>0</v>
      </c>
      <c r="G71" s="74">
        <f ca="1">IFERROR(__xludf.DUMMYFUNCTION("IMPORTRANGE(""https://docs.google.com/spreadsheets/d/1-uDff_7J0KD5mKrp0Vvzr7lt3OU09vwQwhkpOPPYv2Y/edit?usp=sharing"",""งบพรบ!AP71"")"),0)</f>
        <v>0</v>
      </c>
      <c r="H71" s="74">
        <f ca="1">IFERROR(__xludf.DUMMYFUNCTION("IMPORTRANGE(""https://docs.google.com/spreadsheets/d/1-uDff_7J0KD5mKrp0Vvzr7lt3OU09vwQwhkpOPPYv2Y/edit?usp=sharing"",""งบพรบ!AR71"")"),0)</f>
        <v>0</v>
      </c>
      <c r="I71" s="74">
        <f ca="1">IFERROR(__xludf.DUMMYFUNCTION("IMPORTRANGE(""https://docs.google.com/spreadsheets/d/1-uDff_7J0KD5mKrp0Vvzr7lt3OU09vwQwhkpOPPYv2Y/edit?usp=sharing"",""งบพรบ!AS71"")"),0)</f>
        <v>0</v>
      </c>
      <c r="J71" s="74">
        <f t="shared" ca="1" si="29"/>
        <v>0</v>
      </c>
      <c r="K71" s="75">
        <f t="shared" ca="1" si="30"/>
        <v>0</v>
      </c>
      <c r="L71" s="74">
        <f ca="1">IFERROR(__xludf.DUMMYFUNCTION("IMPORTRANGE(""https://docs.google.com/spreadsheets/d/1-uDff_7J0KD5mKrp0Vvzr7lt3OU09vwQwhkpOPPYv2Y/edit?usp=sharing"",""งบพรบ!AT71"")"),0)</f>
        <v>0</v>
      </c>
      <c r="M71" s="76">
        <f t="shared" ca="1" si="31"/>
        <v>0</v>
      </c>
      <c r="N71" s="76">
        <f t="shared" ca="1" si="32"/>
        <v>0</v>
      </c>
      <c r="O71" s="77">
        <f ca="1">IFERROR(__xludf.DUMMYFUNCTION("IMPORTRANGE(""https://docs.google.com/spreadsheets/d/1-uDff_7J0KD5mKrp0Vvzr7lt3OU09vwQwhkpOPPYv2Y/edit?usp=sharing"",""งบพรบ!AU71"")"),0)</f>
        <v>0</v>
      </c>
      <c r="P71" s="77">
        <f t="shared" ca="1" si="33"/>
        <v>0</v>
      </c>
      <c r="Q71" s="76">
        <f t="shared" ca="1" si="34"/>
        <v>0</v>
      </c>
      <c r="R71" s="67">
        <f ca="1">IFERROR(__xludf.DUMMYFUNCTION("IMPORTRANGE(""https://docs.google.com/spreadsheets/d/1j51vR6CYVGhABJpv6tkstgok82RLpXieLzW1yOY5rHw/edit?usp=sharing"",""สิงห์บุรี!Q72"")"),0)</f>
        <v>0</v>
      </c>
      <c r="S71" s="67">
        <f ca="1">IFERROR(__xludf.DUMMYFUNCTION("IMPORTRANGE(""https://docs.google.com/spreadsheets/d/1j51vR6CYVGhABJpv6tkstgok82RLpXieLzW1yOY5rHw/edit?usp=sharing"",""สิงห์บุรี!R72"")"),0)</f>
        <v>0</v>
      </c>
      <c r="T71" s="67">
        <f ca="1">IFERROR(__xludf.DUMMYFUNCTION("IMPORTRANGE(""https://docs.google.com/spreadsheets/d/1j51vR6CYVGhABJpv6tkstgok82RLpXieLzW1yOY5rHw/edit?usp=sharing"",""สิงห์บุรี!S72"")"),0)</f>
        <v>0</v>
      </c>
      <c r="U71" s="68">
        <f t="shared" ca="1" si="36"/>
        <v>0</v>
      </c>
      <c r="V71" s="68">
        <f t="shared" ca="1" si="37"/>
        <v>0</v>
      </c>
      <c r="W71" s="78">
        <f t="shared" ca="1" si="38"/>
        <v>0</v>
      </c>
      <c r="X71" s="78">
        <f t="shared" ca="1" si="39"/>
        <v>0</v>
      </c>
      <c r="Y71" s="78">
        <f t="shared" ca="1" si="57"/>
        <v>0</v>
      </c>
      <c r="Z71" s="79">
        <f t="shared" ca="1" si="40"/>
        <v>0</v>
      </c>
      <c r="AA71" s="78">
        <f t="shared" ca="1" si="58"/>
        <v>0</v>
      </c>
      <c r="AB71" s="79">
        <f t="shared" ca="1" si="41"/>
        <v>0</v>
      </c>
      <c r="AC71" s="74">
        <f ca="1">IFERROR(__xludf.DUMMYFUNCTION("IMPORTRANGE(""https://docs.google.com/spreadsheets/d/1j51vR6CYVGhABJpv6tkstgok82RLpXieLzW1yOY5rHw/edit?usp=sharing"",""สิงห์บุรี!I84"")"),0)</f>
        <v>0</v>
      </c>
      <c r="AD71" s="74">
        <f ca="1">IFERROR(__xludf.DUMMYFUNCTION("IMPORTRANGE(""https://docs.google.com/spreadsheets/d/1j51vR6CYVGhABJpv6tkstgok82RLpXieLzW1yOY5rHw/edit?usp=sharing"",""สิงห์บุรี!I85"")"),0)</f>
        <v>0</v>
      </c>
      <c r="AE71" s="78">
        <f ca="1">IFERROR(__xludf.DUMMYFUNCTION("IMPORTRANGE(""https://docs.google.com/spreadsheets/d/1j51vR6CYVGhABJpv6tkstgok82RLpXieLzW1yOY5rHw/edit?usp=sharing"",""สิงห์บุรี!J84"")"),0)</f>
        <v>0</v>
      </c>
      <c r="AF71" s="78">
        <f ca="1">IFERROR(__xludf.DUMMYFUNCTION("IMPORTRANGE(""https://docs.google.com/spreadsheets/d/1j51vR6CYVGhABJpv6tkstgok82RLpXieLzW1yOY5rHw/edit?usp=sharing"",""สิงห์บุรี!J85"")"),0)</f>
        <v>0</v>
      </c>
      <c r="AG71" s="74">
        <f ca="1">IFERROR(__xludf.DUMMYFUNCTION("IMPORTRANGE(""https://docs.google.com/spreadsheets/d/1j51vR6CYVGhABJpv6tkstgok82RLpXieLzW1yOY5rHw/edit?usp=sharing"",""สิงห์บุรี!I86"")"),0)</f>
        <v>0</v>
      </c>
      <c r="AH71" s="74">
        <f ca="1">IFERROR(__xludf.DUMMYFUNCTION("IMPORTRANGE(""https://docs.google.com/spreadsheets/d/1j51vR6CYVGhABJpv6tkstgok82RLpXieLzW1yOY5rHw/edit?usp=sharing"",""สิงห์บุรี!I87"")"),0)</f>
        <v>0</v>
      </c>
      <c r="AI71" s="78">
        <f ca="1">IFERROR(__xludf.DUMMYFUNCTION("IMPORTRANGE(""https://docs.google.com/spreadsheets/d/1j51vR6CYVGhABJpv6tkstgok82RLpXieLzW1yOY5rHw/edit?usp=sharing"",""สิงห์บุรี!J86"")"),0)</f>
        <v>0</v>
      </c>
      <c r="AJ71" s="78">
        <f ca="1">IFERROR(__xludf.DUMMYFUNCTION("IMPORTRANGE(""https://docs.google.com/spreadsheets/d/1j51vR6CYVGhABJpv6tkstgok82RLpXieLzW1yOY5rHw/edit?usp=sharing"",""สิงห์บุรี!J87"")"),0)</f>
        <v>0</v>
      </c>
      <c r="AK71" s="74">
        <f ca="1">IFERROR(__xludf.DUMMYFUNCTION("IMPORTRANGE(""https://docs.google.com/spreadsheets/d/1j51vR6CYVGhABJpv6tkstgok82RLpXieLzW1yOY5rHw/edit?usp=sharing"",""สิงห์บุรี!I88"")"),0)</f>
        <v>0</v>
      </c>
      <c r="AL71" s="74">
        <f ca="1">IFERROR(__xludf.DUMMYFUNCTION("IMPORTRANGE(""https://docs.google.com/spreadsheets/d/1j51vR6CYVGhABJpv6tkstgok82RLpXieLzW1yOY5rHw/edit?usp=sharing"",""สิงห์บุรี!I89"")"),0)</f>
        <v>0</v>
      </c>
      <c r="AM71" s="78">
        <f ca="1">IFERROR(__xludf.DUMMYFUNCTION("IMPORTRANGE(""https://docs.google.com/spreadsheets/d/1j51vR6CYVGhABJpv6tkstgok82RLpXieLzW1yOY5rHw/edit?usp=sharing"",""สิงห์บุรี!J88"")"),0)</f>
        <v>0</v>
      </c>
      <c r="AN71" s="78">
        <f ca="1">IFERROR(__xludf.DUMMYFUNCTION("IMPORTRANGE(""https://docs.google.com/spreadsheets/d/1j51vR6CYVGhABJpv6tkstgok82RLpXieLzW1yOY5rHw/edit?usp=sharing"",""สิงห์บุรี!J89"")"),0)</f>
        <v>0</v>
      </c>
      <c r="AO71" s="74">
        <f ca="1">IFERROR(__xludf.DUMMYFUNCTION("IMPORTRANGE(""https://docs.google.com/spreadsheets/d/1j51vR6CYVGhABJpv6tkstgok82RLpXieLzW1yOY5rHw/edit?usp=sharing"",""สิงห์บุรี!I90"")"),0)</f>
        <v>0</v>
      </c>
      <c r="AP71" s="78">
        <f ca="1">IFERROR(__xludf.DUMMYFUNCTION("IMPORTRANGE(""https://docs.google.com/spreadsheets/d/1j51vR6CYVGhABJpv6tkstgok82RLpXieLzW1yOY5rHw/edit?usp=sharing"",""สิงห์บุรี!J90"")"),0)</f>
        <v>0</v>
      </c>
      <c r="AQ71" s="76">
        <f t="shared" ca="1" si="43"/>
        <v>0</v>
      </c>
    </row>
    <row r="72" spans="1:43" ht="21" customHeight="1" x14ac:dyDescent="0.3">
      <c r="A72" s="70">
        <v>20</v>
      </c>
      <c r="B72" s="71" t="s">
        <v>100</v>
      </c>
      <c r="C72" s="72">
        <f t="shared" ca="1" si="27"/>
        <v>150000</v>
      </c>
      <c r="D72" s="73">
        <f t="shared" ca="1" si="56"/>
        <v>150000</v>
      </c>
      <c r="E72" s="74">
        <f ca="1">IFERROR(__xludf.DUMMYFUNCTION("IMPORTRANGE(""https://docs.google.com/spreadsheets/d/1-uDff_7J0KD5mKrp0Vvzr7lt3OU09vwQwhkpOPPYv2Y/edit?usp=sharing"",""งบพรบ!AN72"")"),0)</f>
        <v>0</v>
      </c>
      <c r="F72" s="74">
        <f ca="1">IFERROR(__xludf.DUMMYFUNCTION("IMPORTRANGE(""https://docs.google.com/spreadsheets/d/1-uDff_7J0KD5mKrp0Vvzr7lt3OU09vwQwhkpOPPYv2Y/edit?usp=sharing"",""งบพรบ!AO72"")"),150000)</f>
        <v>150000</v>
      </c>
      <c r="G72" s="74">
        <f ca="1">IFERROR(__xludf.DUMMYFUNCTION("IMPORTRANGE(""https://docs.google.com/spreadsheets/d/1-uDff_7J0KD5mKrp0Vvzr7lt3OU09vwQwhkpOPPYv2Y/edit?usp=sharing"",""งบพรบ!AP72"")"),0)</f>
        <v>0</v>
      </c>
      <c r="H72" s="74">
        <f ca="1">IFERROR(__xludf.DUMMYFUNCTION("IMPORTRANGE(""https://docs.google.com/spreadsheets/d/1-uDff_7J0KD5mKrp0Vvzr7lt3OU09vwQwhkpOPPYv2Y/edit?usp=sharing"",""งบพรบ!AR72"")"),150000)</f>
        <v>150000</v>
      </c>
      <c r="I72" s="74">
        <f ca="1">IFERROR(__xludf.DUMMYFUNCTION("IMPORTRANGE(""https://docs.google.com/spreadsheets/d/1-uDff_7J0KD5mKrp0Vvzr7lt3OU09vwQwhkpOPPYv2Y/edit?usp=sharing"",""งบพรบ!AS72"")"),0)</f>
        <v>0</v>
      </c>
      <c r="J72" s="74">
        <f t="shared" ca="1" si="29"/>
        <v>121832.34</v>
      </c>
      <c r="K72" s="75">
        <f t="shared" ca="1" si="30"/>
        <v>81.221559999999997</v>
      </c>
      <c r="L72" s="74">
        <f ca="1">IFERROR(__xludf.DUMMYFUNCTION("IMPORTRANGE(""https://docs.google.com/spreadsheets/d/1-uDff_7J0KD5mKrp0Vvzr7lt3OU09vwQwhkpOPPYv2Y/edit?usp=sharing"",""งบพรบ!AT72"")"),121832.34)</f>
        <v>121832.34</v>
      </c>
      <c r="M72" s="76">
        <f t="shared" ca="1" si="31"/>
        <v>81.221559999999997</v>
      </c>
      <c r="N72" s="76">
        <f t="shared" ca="1" si="32"/>
        <v>81.221559999999997</v>
      </c>
      <c r="O72" s="77">
        <f ca="1">IFERROR(__xludf.DUMMYFUNCTION("IMPORTRANGE(""https://docs.google.com/spreadsheets/d/1-uDff_7J0KD5mKrp0Vvzr7lt3OU09vwQwhkpOPPYv2Y/edit?usp=sharing"",""งบพรบ!AU72"")"),0)</f>
        <v>0</v>
      </c>
      <c r="P72" s="77">
        <f t="shared" ca="1" si="33"/>
        <v>0</v>
      </c>
      <c r="Q72" s="76">
        <f t="shared" ca="1" si="34"/>
        <v>0</v>
      </c>
      <c r="R72" s="67">
        <f ca="1">IFERROR(__xludf.DUMMYFUNCTION("IMPORTRANGE(""https://docs.google.com/spreadsheets/d/1H1EalTWKUSzO4Z1-1CwzoDUaVffgrThEBe2sl74kKG0/edit?usp=sharing"",""สุพรรณบุรี!Q72"")"),1881380)</f>
        <v>1881380</v>
      </c>
      <c r="S72" s="67">
        <f ca="1">IFERROR(__xludf.DUMMYFUNCTION("IMPORTRANGE(""https://docs.google.com/spreadsheets/d/1H1EalTWKUSzO4Z1-1CwzoDUaVffgrThEBe2sl74kKG0/edit?usp=sharing"",""สุพรรณบุรี!R72"")"),1884620)</f>
        <v>1884620</v>
      </c>
      <c r="T72" s="67">
        <f ca="1">IFERROR(__xludf.DUMMYFUNCTION("IMPORTRANGE(""https://docs.google.com/spreadsheets/d/1H1EalTWKUSzO4Z1-1CwzoDUaVffgrThEBe2sl74kKG0/edit?usp=sharing"",""สุพรรณบุรี!S72"")"),948484)</f>
        <v>948484</v>
      </c>
      <c r="U72" s="68">
        <f t="shared" ca="1" si="36"/>
        <v>50.414270376000594</v>
      </c>
      <c r="V72" s="68">
        <f t="shared" ca="1" si="37"/>
        <v>50.327599197716253</v>
      </c>
      <c r="W72" s="78">
        <f t="shared" ca="1" si="38"/>
        <v>2</v>
      </c>
      <c r="X72" s="78">
        <f t="shared" ca="1" si="39"/>
        <v>94</v>
      </c>
      <c r="Y72" s="78">
        <f t="shared" ca="1" si="57"/>
        <v>2</v>
      </c>
      <c r="Z72" s="79">
        <f t="shared" ca="1" si="40"/>
        <v>100</v>
      </c>
      <c r="AA72" s="78">
        <f t="shared" ca="1" si="58"/>
        <v>94</v>
      </c>
      <c r="AB72" s="79">
        <f t="shared" ca="1" si="41"/>
        <v>100</v>
      </c>
      <c r="AC72" s="74">
        <f ca="1">IFERROR(__xludf.DUMMYFUNCTION("IMPORTRANGE(""https://docs.google.com/spreadsheets/d/1H1EalTWKUSzO4Z1-1CwzoDUaVffgrThEBe2sl74kKG0/edit?usp=sharing"",""สุพรรณบุรี!I84"")"),0)</f>
        <v>0</v>
      </c>
      <c r="AD72" s="74">
        <f ca="1">IFERROR(__xludf.DUMMYFUNCTION("IMPORTRANGE(""https://docs.google.com/spreadsheets/d/1H1EalTWKUSzO4Z1-1CwzoDUaVffgrThEBe2sl74kKG0/edit?usp=sharing"",""สุพรรณบุรี!I85"")"),0)</f>
        <v>0</v>
      </c>
      <c r="AE72" s="78">
        <f ca="1">IFERROR(__xludf.DUMMYFUNCTION("IMPORTRANGE(""https://docs.google.com/spreadsheets/d/1H1EalTWKUSzO4Z1-1CwzoDUaVffgrThEBe2sl74kKG0/edit?usp=sharing"",""สุพรรณบุรี!J84"")"),0)</f>
        <v>0</v>
      </c>
      <c r="AF72" s="78">
        <f ca="1">IFERROR(__xludf.DUMMYFUNCTION("IMPORTRANGE(""https://docs.google.com/spreadsheets/d/1H1EalTWKUSzO4Z1-1CwzoDUaVffgrThEBe2sl74kKG0/edit?usp=sharing"",""สุพรรณบุรี!J85"")"),0)</f>
        <v>0</v>
      </c>
      <c r="AG72" s="74">
        <f ca="1">IFERROR(__xludf.DUMMYFUNCTION("IMPORTRANGE(""https://docs.google.com/spreadsheets/d/1H1EalTWKUSzO4Z1-1CwzoDUaVffgrThEBe2sl74kKG0/edit?usp=sharing"",""สุพรรณบุรี!I86"")"),2)</f>
        <v>2</v>
      </c>
      <c r="AH72" s="74">
        <f ca="1">IFERROR(__xludf.DUMMYFUNCTION("IMPORTRANGE(""https://docs.google.com/spreadsheets/d/1H1EalTWKUSzO4Z1-1CwzoDUaVffgrThEBe2sl74kKG0/edit?usp=sharing"",""สุพรรณบุรี!I87"")"),94)</f>
        <v>94</v>
      </c>
      <c r="AI72" s="78">
        <f ca="1">IFERROR(__xludf.DUMMYFUNCTION("IMPORTRANGE(""https://docs.google.com/spreadsheets/d/1H1EalTWKUSzO4Z1-1CwzoDUaVffgrThEBe2sl74kKG0/edit?usp=sharing"",""สุพรรณบุรี!J86"")"),2)</f>
        <v>2</v>
      </c>
      <c r="AJ72" s="78">
        <f ca="1">IFERROR(__xludf.DUMMYFUNCTION("IMPORTRANGE(""https://docs.google.com/spreadsheets/d/1H1EalTWKUSzO4Z1-1CwzoDUaVffgrThEBe2sl74kKG0/edit?usp=sharing"",""สุพรรณบุรี!J87"")"),94)</f>
        <v>94</v>
      </c>
      <c r="AK72" s="74">
        <f ca="1">IFERROR(__xludf.DUMMYFUNCTION("IMPORTRANGE(""https://docs.google.com/spreadsheets/d/1H1EalTWKUSzO4Z1-1CwzoDUaVffgrThEBe2sl74kKG0/edit?usp=sharing"",""สุพรรณบุรี!I88"")"),0)</f>
        <v>0</v>
      </c>
      <c r="AL72" s="74">
        <f ca="1">IFERROR(__xludf.DUMMYFUNCTION("IMPORTRANGE(""https://docs.google.com/spreadsheets/d/1H1EalTWKUSzO4Z1-1CwzoDUaVffgrThEBe2sl74kKG0/edit?usp=sharing"",""สุพรรณบุรี!I89"")"),0)</f>
        <v>0</v>
      </c>
      <c r="AM72" s="78">
        <f ca="1">IFERROR(__xludf.DUMMYFUNCTION("IMPORTRANGE(""https://docs.google.com/spreadsheets/d/1H1EalTWKUSzO4Z1-1CwzoDUaVffgrThEBe2sl74kKG0/edit?usp=sharing"",""สุพรรณบุรี!J88"")"),0)</f>
        <v>0</v>
      </c>
      <c r="AN72" s="78">
        <f ca="1">IFERROR(__xludf.DUMMYFUNCTION("IMPORTRANGE(""https://docs.google.com/spreadsheets/d/1H1EalTWKUSzO4Z1-1CwzoDUaVffgrThEBe2sl74kKG0/edit?usp=sharing"",""สุพรรณบุรี!J89"")"),0)</f>
        <v>0</v>
      </c>
      <c r="AO72" s="74">
        <f ca="1">IFERROR(__xludf.DUMMYFUNCTION("IMPORTRANGE(""https://docs.google.com/spreadsheets/d/1H1EalTWKUSzO4Z1-1CwzoDUaVffgrThEBe2sl74kKG0/edit?usp=sharing"",""สุพรรณบุรี!I90"")"),2)</f>
        <v>2</v>
      </c>
      <c r="AP72" s="78">
        <f ca="1">IFERROR(__xludf.DUMMYFUNCTION("IMPORTRANGE(""https://docs.google.com/spreadsheets/d/1H1EalTWKUSzO4Z1-1CwzoDUaVffgrThEBe2sl74kKG0/edit?usp=sharing"",""สุพรรณบุรี!J90"")"),2)</f>
        <v>2</v>
      </c>
      <c r="AQ72" s="76">
        <f t="shared" ca="1" si="43"/>
        <v>100</v>
      </c>
    </row>
    <row r="73" spans="1:43" ht="21" customHeight="1" x14ac:dyDescent="0.3">
      <c r="A73" s="80">
        <v>21</v>
      </c>
      <c r="B73" s="81" t="s">
        <v>101</v>
      </c>
      <c r="C73" s="82">
        <f t="shared" ca="1" si="27"/>
        <v>0</v>
      </c>
      <c r="D73" s="83">
        <f t="shared" ca="1" si="56"/>
        <v>0</v>
      </c>
      <c r="E73" s="84">
        <f ca="1">IFERROR(__xludf.DUMMYFUNCTION("IMPORTRANGE(""https://docs.google.com/spreadsheets/d/1-uDff_7J0KD5mKrp0Vvzr7lt3OU09vwQwhkpOPPYv2Y/edit?usp=sharing"",""งบพรบ!AN73"")"),0)</f>
        <v>0</v>
      </c>
      <c r="F73" s="84">
        <f ca="1">IFERROR(__xludf.DUMMYFUNCTION("IMPORTRANGE(""https://docs.google.com/spreadsheets/d/1-uDff_7J0KD5mKrp0Vvzr7lt3OU09vwQwhkpOPPYv2Y/edit?usp=sharing"",""งบพรบ!AO73"")"),0)</f>
        <v>0</v>
      </c>
      <c r="G73" s="84">
        <f ca="1">IFERROR(__xludf.DUMMYFUNCTION("IMPORTRANGE(""https://docs.google.com/spreadsheets/d/1-uDff_7J0KD5mKrp0Vvzr7lt3OU09vwQwhkpOPPYv2Y/edit?usp=sharing"",""งบพรบ!AP73"")"),0)</f>
        <v>0</v>
      </c>
      <c r="H73" s="84">
        <f ca="1">IFERROR(__xludf.DUMMYFUNCTION("IMPORTRANGE(""https://docs.google.com/spreadsheets/d/1-uDff_7J0KD5mKrp0Vvzr7lt3OU09vwQwhkpOPPYv2Y/edit?usp=sharing"",""งบพรบ!AR73"")"),0)</f>
        <v>0</v>
      </c>
      <c r="I73" s="84">
        <f ca="1">IFERROR(__xludf.DUMMYFUNCTION("IMPORTRANGE(""https://docs.google.com/spreadsheets/d/1-uDff_7J0KD5mKrp0Vvzr7lt3OU09vwQwhkpOPPYv2Y/edit?usp=sharing"",""งบพรบ!AS73"")"),0)</f>
        <v>0</v>
      </c>
      <c r="J73" s="84">
        <f t="shared" ca="1" si="29"/>
        <v>0</v>
      </c>
      <c r="K73" s="85">
        <f t="shared" ca="1" si="30"/>
        <v>0</v>
      </c>
      <c r="L73" s="84">
        <f ca="1">IFERROR(__xludf.DUMMYFUNCTION("IMPORTRANGE(""https://docs.google.com/spreadsheets/d/1-uDff_7J0KD5mKrp0Vvzr7lt3OU09vwQwhkpOPPYv2Y/edit?usp=sharing"",""งบพรบ!AT73"")"),0)</f>
        <v>0</v>
      </c>
      <c r="M73" s="86">
        <f t="shared" ca="1" si="31"/>
        <v>0</v>
      </c>
      <c r="N73" s="86">
        <f t="shared" ca="1" si="32"/>
        <v>0</v>
      </c>
      <c r="O73" s="87">
        <f ca="1">IFERROR(__xludf.DUMMYFUNCTION("IMPORTRANGE(""https://docs.google.com/spreadsheets/d/1-uDff_7J0KD5mKrp0Vvzr7lt3OU09vwQwhkpOPPYv2Y/edit?usp=sharing"",""งบพรบ!AU73"")"),0)</f>
        <v>0</v>
      </c>
      <c r="P73" s="87">
        <f t="shared" ca="1" si="33"/>
        <v>0</v>
      </c>
      <c r="Q73" s="86">
        <f t="shared" ca="1" si="34"/>
        <v>0</v>
      </c>
      <c r="R73" s="88">
        <f ca="1">IFERROR(__xludf.DUMMYFUNCTION("IMPORTRANGE(""https://docs.google.com/spreadsheets/d/1BmIruG_sIrJLYao_Pdr7zVArWsfoBt2692TMi6x_854/edit?usp=sharing"",""อ่างทอง!Q72"")"),0)</f>
        <v>0</v>
      </c>
      <c r="S73" s="88">
        <f ca="1">IFERROR(__xludf.DUMMYFUNCTION("IMPORTRANGE(""https://docs.google.com/spreadsheets/d/1BmIruG_sIrJLYao_Pdr7zVArWsfoBt2692TMi6x_854/edit?usp=sharing"",""อ่างทอง!R72"")"),0)</f>
        <v>0</v>
      </c>
      <c r="T73" s="88">
        <f ca="1">IFERROR(__xludf.DUMMYFUNCTION("IMPORTRANGE(""https://docs.google.com/spreadsheets/d/1BmIruG_sIrJLYao_Pdr7zVArWsfoBt2692TMi6x_854/edit?usp=sharing"",""อ่างทอง!S72"")"),0)</f>
        <v>0</v>
      </c>
      <c r="U73" s="89">
        <f t="shared" ca="1" si="36"/>
        <v>0</v>
      </c>
      <c r="V73" s="89">
        <f t="shared" ca="1" si="37"/>
        <v>0</v>
      </c>
      <c r="W73" s="90">
        <f t="shared" ca="1" si="38"/>
        <v>0</v>
      </c>
      <c r="X73" s="90">
        <f t="shared" ca="1" si="39"/>
        <v>0</v>
      </c>
      <c r="Y73" s="90">
        <f t="shared" ca="1" si="57"/>
        <v>0</v>
      </c>
      <c r="Z73" s="91">
        <f t="shared" ca="1" si="40"/>
        <v>0</v>
      </c>
      <c r="AA73" s="90">
        <f t="shared" ca="1" si="58"/>
        <v>0</v>
      </c>
      <c r="AB73" s="91">
        <f t="shared" ca="1" si="41"/>
        <v>0</v>
      </c>
      <c r="AC73" s="84">
        <f ca="1">IFERROR(__xludf.DUMMYFUNCTION("IMPORTRANGE(""https://docs.google.com/spreadsheets/d/1BmIruG_sIrJLYao_Pdr7zVArWsfoBt2692TMi6x_854/edit?usp=sharing"",""อ่างทอง!I84"")"),0)</f>
        <v>0</v>
      </c>
      <c r="AD73" s="84">
        <f ca="1">IFERROR(__xludf.DUMMYFUNCTION("IMPORTRANGE(""https://docs.google.com/spreadsheets/d/1BmIruG_sIrJLYao_Pdr7zVArWsfoBt2692TMi6x_854/edit?usp=sharing"",""อ่างทอง!I85"")"),0)</f>
        <v>0</v>
      </c>
      <c r="AE73" s="90">
        <f ca="1">IFERROR(__xludf.DUMMYFUNCTION("IMPORTRANGE(""https://docs.google.com/spreadsheets/d/1BmIruG_sIrJLYao_Pdr7zVArWsfoBt2692TMi6x_854/edit?usp=sharing"",""อ่างทอง!J84"")"),0)</f>
        <v>0</v>
      </c>
      <c r="AF73" s="90">
        <f ca="1">IFERROR(__xludf.DUMMYFUNCTION("IMPORTRANGE(""https://docs.google.com/spreadsheets/d/1BmIruG_sIrJLYao_Pdr7zVArWsfoBt2692TMi6x_854/edit?usp=sharing"",""อ่างทอง!J85"")"),0)</f>
        <v>0</v>
      </c>
      <c r="AG73" s="84">
        <f ca="1">IFERROR(__xludf.DUMMYFUNCTION("IMPORTRANGE(""https://docs.google.com/spreadsheets/d/1BmIruG_sIrJLYao_Pdr7zVArWsfoBt2692TMi6x_854/edit?usp=sharing"",""อ่างทอง!I86"")"),0)</f>
        <v>0</v>
      </c>
      <c r="AH73" s="84">
        <f ca="1">IFERROR(__xludf.DUMMYFUNCTION("IMPORTRANGE(""https://docs.google.com/spreadsheets/d/1BmIruG_sIrJLYao_Pdr7zVArWsfoBt2692TMi6x_854/edit?usp=sharing"",""อ่างทอง!I87"")"),0)</f>
        <v>0</v>
      </c>
      <c r="AI73" s="90">
        <f ca="1">IFERROR(__xludf.DUMMYFUNCTION("IMPORTRANGE(""https://docs.google.com/spreadsheets/d/1BmIruG_sIrJLYao_Pdr7zVArWsfoBt2692TMi6x_854/edit?usp=sharing"",""อ่างทอง!J86"")"),0)</f>
        <v>0</v>
      </c>
      <c r="AJ73" s="90">
        <f ca="1">IFERROR(__xludf.DUMMYFUNCTION("IMPORTRANGE(""https://docs.google.com/spreadsheets/d/1BmIruG_sIrJLYao_Pdr7zVArWsfoBt2692TMi6x_854/edit?usp=sharing"",""อ่างทอง!J87"")"),0)</f>
        <v>0</v>
      </c>
      <c r="AK73" s="84">
        <f ca="1">IFERROR(__xludf.DUMMYFUNCTION("IMPORTRANGE(""https://docs.google.com/spreadsheets/d/1BmIruG_sIrJLYao_Pdr7zVArWsfoBt2692TMi6x_854/edit?usp=sharing"",""อ่างทอง!I88"")"),0)</f>
        <v>0</v>
      </c>
      <c r="AL73" s="84">
        <f ca="1">IFERROR(__xludf.DUMMYFUNCTION("IMPORTRANGE(""https://docs.google.com/spreadsheets/d/1BmIruG_sIrJLYao_Pdr7zVArWsfoBt2692TMi6x_854/edit?usp=sharing"",""อ่างทอง!I89"")"),0)</f>
        <v>0</v>
      </c>
      <c r="AM73" s="90">
        <f ca="1">IFERROR(__xludf.DUMMYFUNCTION("IMPORTRANGE(""https://docs.google.com/spreadsheets/d/1BmIruG_sIrJLYao_Pdr7zVArWsfoBt2692TMi6x_854/edit?usp=sharing"",""อ่างทอง!J88"")"),0)</f>
        <v>0</v>
      </c>
      <c r="AN73" s="90">
        <f ca="1">IFERROR(__xludf.DUMMYFUNCTION("IMPORTRANGE(""https://docs.google.com/spreadsheets/d/1BmIruG_sIrJLYao_Pdr7zVArWsfoBt2692TMi6x_854/edit?usp=sharing"",""อ่างทอง!J89"")"),0)</f>
        <v>0</v>
      </c>
      <c r="AO73" s="84">
        <f ca="1">IFERROR(__xludf.DUMMYFUNCTION("IMPORTRANGE(""https://docs.google.com/spreadsheets/d/1BmIruG_sIrJLYao_Pdr7zVArWsfoBt2692TMi6x_854/edit?usp=sharing"",""อ่างทอง!I90"")"),0)</f>
        <v>0</v>
      </c>
      <c r="AP73" s="90">
        <f ca="1">IFERROR(__xludf.DUMMYFUNCTION("IMPORTRANGE(""https://docs.google.com/spreadsheets/d/1BmIruG_sIrJLYao_Pdr7zVArWsfoBt2692TMi6x_854/edit?usp=sharing"",""อ่างทอง!J90"")"),0)</f>
        <v>0</v>
      </c>
      <c r="AQ73" s="86">
        <f t="shared" ca="1" si="43"/>
        <v>0</v>
      </c>
    </row>
    <row r="74" spans="1:43" ht="21" customHeight="1" x14ac:dyDescent="0.3">
      <c r="A74" s="664" t="s">
        <v>102</v>
      </c>
      <c r="B74" s="647"/>
      <c r="C74" s="98">
        <f t="shared" ca="1" si="27"/>
        <v>795900</v>
      </c>
      <c r="D74" s="52">
        <f t="shared" ref="D74:I74" ca="1" si="59">SUM(D75:D88)</f>
        <v>795900</v>
      </c>
      <c r="E74" s="52">
        <f t="shared" ca="1" si="59"/>
        <v>306900</v>
      </c>
      <c r="F74" s="52">
        <f t="shared" ca="1" si="59"/>
        <v>489000</v>
      </c>
      <c r="G74" s="52">
        <f t="shared" ca="1" si="59"/>
        <v>0</v>
      </c>
      <c r="H74" s="52">
        <f t="shared" ca="1" si="59"/>
        <v>795900</v>
      </c>
      <c r="I74" s="52">
        <f t="shared" ca="1" si="59"/>
        <v>0</v>
      </c>
      <c r="J74" s="52">
        <f t="shared" ca="1" si="29"/>
        <v>705618.02</v>
      </c>
      <c r="K74" s="53">
        <f t="shared" ca="1" si="30"/>
        <v>88.656617665535876</v>
      </c>
      <c r="L74" s="52">
        <f ca="1">SUM(L75:L88)</f>
        <v>705618.02</v>
      </c>
      <c r="M74" s="54">
        <f t="shared" ca="1" si="31"/>
        <v>88.656617665535876</v>
      </c>
      <c r="N74" s="54">
        <f t="shared" ca="1" si="32"/>
        <v>88.656617665535876</v>
      </c>
      <c r="O74" s="55">
        <f ca="1">SUM(O75:O88)</f>
        <v>0</v>
      </c>
      <c r="P74" s="55">
        <f t="shared" ca="1" si="33"/>
        <v>0</v>
      </c>
      <c r="Q74" s="54">
        <f t="shared" ca="1" si="34"/>
        <v>0</v>
      </c>
      <c r="R74" s="93">
        <f t="shared" ref="R74:T74" ca="1" si="60">SUM(R75:R88)</f>
        <v>1525812</v>
      </c>
      <c r="S74" s="93">
        <f t="shared" ca="1" si="60"/>
        <v>1106852</v>
      </c>
      <c r="T74" s="93">
        <f t="shared" ca="1" si="60"/>
        <v>758402</v>
      </c>
      <c r="U74" s="94">
        <f t="shared" ca="1" si="36"/>
        <v>49.704812912731057</v>
      </c>
      <c r="V74" s="94">
        <f t="shared" ca="1" si="37"/>
        <v>68.518826365223177</v>
      </c>
      <c r="W74" s="52">
        <f t="shared" ca="1" si="38"/>
        <v>4</v>
      </c>
      <c r="X74" s="52">
        <f t="shared" ca="1" si="39"/>
        <v>121</v>
      </c>
      <c r="Y74" s="52">
        <f ca="1">SUM(Y75:Y88)</f>
        <v>4</v>
      </c>
      <c r="Z74" s="99">
        <f t="shared" ca="1" si="40"/>
        <v>100</v>
      </c>
      <c r="AA74" s="52">
        <f ca="1">SUM(AA75:AA88)</f>
        <v>121</v>
      </c>
      <c r="AB74" s="54">
        <f t="shared" ca="1" si="41"/>
        <v>100</v>
      </c>
      <c r="AC74" s="52">
        <f t="shared" ref="AC74:AP74" ca="1" si="61">SUM(AC75:AC88)</f>
        <v>1</v>
      </c>
      <c r="AD74" s="52">
        <f t="shared" ca="1" si="61"/>
        <v>31</v>
      </c>
      <c r="AE74" s="52">
        <f t="shared" ca="1" si="61"/>
        <v>1</v>
      </c>
      <c r="AF74" s="52">
        <f t="shared" ca="1" si="61"/>
        <v>31</v>
      </c>
      <c r="AG74" s="52">
        <f t="shared" ca="1" si="61"/>
        <v>2</v>
      </c>
      <c r="AH74" s="52">
        <f t="shared" ca="1" si="61"/>
        <v>60</v>
      </c>
      <c r="AI74" s="52">
        <f t="shared" ca="1" si="61"/>
        <v>2</v>
      </c>
      <c r="AJ74" s="52">
        <f t="shared" ca="1" si="61"/>
        <v>60</v>
      </c>
      <c r="AK74" s="52">
        <f t="shared" ca="1" si="61"/>
        <v>1</v>
      </c>
      <c r="AL74" s="52">
        <f t="shared" ca="1" si="61"/>
        <v>30</v>
      </c>
      <c r="AM74" s="52">
        <f t="shared" ca="1" si="61"/>
        <v>1</v>
      </c>
      <c r="AN74" s="52">
        <f t="shared" ca="1" si="61"/>
        <v>30</v>
      </c>
      <c r="AO74" s="52">
        <f t="shared" ca="1" si="61"/>
        <v>4</v>
      </c>
      <c r="AP74" s="52">
        <f t="shared" ca="1" si="61"/>
        <v>3</v>
      </c>
      <c r="AQ74" s="54">
        <f t="shared" ca="1" si="43"/>
        <v>75</v>
      </c>
    </row>
    <row r="75" spans="1:43" ht="21" customHeight="1" x14ac:dyDescent="0.3">
      <c r="A75" s="58">
        <v>1</v>
      </c>
      <c r="B75" s="59" t="s">
        <v>103</v>
      </c>
      <c r="C75" s="95">
        <f t="shared" ca="1" si="27"/>
        <v>0</v>
      </c>
      <c r="D75" s="61">
        <f t="shared" ref="D75:D88" ca="1" si="62">+E75+F75</f>
        <v>0</v>
      </c>
      <c r="E75" s="62">
        <f ca="1">IFERROR(__xludf.DUMMYFUNCTION("IMPORTRANGE(""https://docs.google.com/spreadsheets/d/1-uDff_7J0KD5mKrp0Vvzr7lt3OU09vwQwhkpOPPYv2Y/edit?usp=sharing"",""งบพรบ!AN75"")"),0)</f>
        <v>0</v>
      </c>
      <c r="F75" s="62">
        <f ca="1">IFERROR(__xludf.DUMMYFUNCTION("IMPORTRANGE(""https://docs.google.com/spreadsheets/d/1-uDff_7J0KD5mKrp0Vvzr7lt3OU09vwQwhkpOPPYv2Y/edit?usp=sharing"",""งบพรบ!AO75"")"),0)</f>
        <v>0</v>
      </c>
      <c r="G75" s="100">
        <f ca="1">IFERROR(__xludf.DUMMYFUNCTION("IMPORTRANGE(""https://docs.google.com/spreadsheets/d/1-uDff_7J0KD5mKrp0Vvzr7lt3OU09vwQwhkpOPPYv2Y/edit?usp=sharing"",""งบพรบ!AP75"")"),0)</f>
        <v>0</v>
      </c>
      <c r="H75" s="100">
        <f ca="1">IFERROR(__xludf.DUMMYFUNCTION("IMPORTRANGE(""https://docs.google.com/spreadsheets/d/1-uDff_7J0KD5mKrp0Vvzr7lt3OU09vwQwhkpOPPYv2Y/edit?usp=sharing"",""งบพรบ!AR75"")"),0)</f>
        <v>0</v>
      </c>
      <c r="I75" s="100">
        <f ca="1">IFERROR(__xludf.DUMMYFUNCTION("IMPORTRANGE(""https://docs.google.com/spreadsheets/d/1-uDff_7J0KD5mKrp0Vvzr7lt3OU09vwQwhkpOPPYv2Y/edit?usp=sharing"",""งบพรบ!AS75"")"),0)</f>
        <v>0</v>
      </c>
      <c r="J75" s="100">
        <f t="shared" ca="1" si="29"/>
        <v>0</v>
      </c>
      <c r="K75" s="101">
        <f t="shared" ca="1" si="30"/>
        <v>0</v>
      </c>
      <c r="L75" s="74">
        <f ca="1">IFERROR(__xludf.DUMMYFUNCTION("IMPORTRANGE(""https://docs.google.com/spreadsheets/d/1-uDff_7J0KD5mKrp0Vvzr7lt3OU09vwQwhkpOPPYv2Y/edit?usp=sharing"",""งบพรบ!AT75"")"),0)</f>
        <v>0</v>
      </c>
      <c r="M75" s="65">
        <f t="shared" ca="1" si="31"/>
        <v>0</v>
      </c>
      <c r="N75" s="65">
        <f t="shared" ca="1" si="32"/>
        <v>0</v>
      </c>
      <c r="O75" s="66">
        <f ca="1">IFERROR(__xludf.DUMMYFUNCTION("IMPORTRANGE(""https://docs.google.com/spreadsheets/d/1-uDff_7J0KD5mKrp0Vvzr7lt3OU09vwQwhkpOPPYv2Y/edit?usp=sharing"",""งบพรบ!AU75"")"),0)</f>
        <v>0</v>
      </c>
      <c r="P75" s="66">
        <f t="shared" ca="1" si="33"/>
        <v>0</v>
      </c>
      <c r="Q75" s="65">
        <f t="shared" ca="1" si="34"/>
        <v>0</v>
      </c>
      <c r="R75" s="67">
        <f ca="1">IFERROR(__xludf.DUMMYFUNCTION("IMPORTRANGE(""https://docs.google.com/spreadsheets/d/1kKUcYdkIfrgTSj8iHHHB2MD2FAtwyyocFgqGQn6ADyI/edit?usp=sharing"",""กระบี่!Q72"")"),0)</f>
        <v>0</v>
      </c>
      <c r="S75" s="67">
        <f ca="1">IFERROR(__xludf.DUMMYFUNCTION("IMPORTRANGE(""https://docs.google.com/spreadsheets/d/1kKUcYdkIfrgTSj8iHHHB2MD2FAtwyyocFgqGQn6ADyI/edit?usp=sharing"",""กระบี่!R72"")"),0)</f>
        <v>0</v>
      </c>
      <c r="T75" s="67">
        <f ca="1">IFERROR(__xludf.DUMMYFUNCTION("IMPORTRANGE(""https://docs.google.com/spreadsheets/d/1kKUcYdkIfrgTSj8iHHHB2MD2FAtwyyocFgqGQn6ADyI/edit?usp=sharing"",""กระบี่!S72"")"),0)</f>
        <v>0</v>
      </c>
      <c r="U75" s="68">
        <f t="shared" ca="1" si="36"/>
        <v>0</v>
      </c>
      <c r="V75" s="68">
        <f t="shared" ca="1" si="37"/>
        <v>0</v>
      </c>
      <c r="W75" s="63">
        <f t="shared" ca="1" si="38"/>
        <v>0</v>
      </c>
      <c r="X75" s="63">
        <f t="shared" ca="1" si="39"/>
        <v>0</v>
      </c>
      <c r="Y75" s="63">
        <f t="shared" ref="Y75:Y88" ca="1" si="63">AE75+AI75+AM75</f>
        <v>0</v>
      </c>
      <c r="Z75" s="69">
        <f t="shared" ca="1" si="40"/>
        <v>0</v>
      </c>
      <c r="AA75" s="63">
        <f t="shared" ref="AA75:AA88" ca="1" si="64">AF75+AJ75+AN75</f>
        <v>0</v>
      </c>
      <c r="AB75" s="69">
        <f t="shared" ca="1" si="41"/>
        <v>0</v>
      </c>
      <c r="AC75" s="62">
        <f ca="1">IFERROR(__xludf.DUMMYFUNCTION("IMPORTRANGE(""https://docs.google.com/spreadsheets/d/1kKUcYdkIfrgTSj8iHHHB2MD2FAtwyyocFgqGQn6ADyI/edit?usp=sharing"",""กระบี่!I84"")"),0)</f>
        <v>0</v>
      </c>
      <c r="AD75" s="62">
        <f ca="1">IFERROR(__xludf.DUMMYFUNCTION("IMPORTRANGE(""https://docs.google.com/spreadsheets/d/1kKUcYdkIfrgTSj8iHHHB2MD2FAtwyyocFgqGQn6ADyI/edit?usp=sharing"",""กระบี่!I85"")"),0)</f>
        <v>0</v>
      </c>
      <c r="AE75" s="63">
        <f ca="1">IFERROR(__xludf.DUMMYFUNCTION("IMPORTRANGE(""https://docs.google.com/spreadsheets/d/1kKUcYdkIfrgTSj8iHHHB2MD2FAtwyyocFgqGQn6ADyI/edit?usp=sharing"",""กระบี่!J84"")"),0)</f>
        <v>0</v>
      </c>
      <c r="AF75" s="63">
        <f ca="1">IFERROR(__xludf.DUMMYFUNCTION("IMPORTRANGE(""https://docs.google.com/spreadsheets/d/1kKUcYdkIfrgTSj8iHHHB2MD2FAtwyyocFgqGQn6ADyI/edit?usp=sharing"",""กระบี่!J85"")"),0)</f>
        <v>0</v>
      </c>
      <c r="AG75" s="62">
        <f ca="1">IFERROR(__xludf.DUMMYFUNCTION("IMPORTRANGE(""https://docs.google.com/spreadsheets/d/1kKUcYdkIfrgTSj8iHHHB2MD2FAtwyyocFgqGQn6ADyI/edit?usp=sharing"",""กระบี่!I86"")"),0)</f>
        <v>0</v>
      </c>
      <c r="AH75" s="62">
        <f ca="1">IFERROR(__xludf.DUMMYFUNCTION("IMPORTRANGE(""https://docs.google.com/spreadsheets/d/1kKUcYdkIfrgTSj8iHHHB2MD2FAtwyyocFgqGQn6ADyI/edit?usp=sharing"",""กระบี่!I87"")"),0)</f>
        <v>0</v>
      </c>
      <c r="AI75" s="63">
        <f ca="1">IFERROR(__xludf.DUMMYFUNCTION("IMPORTRANGE(""https://docs.google.com/spreadsheets/d/1kKUcYdkIfrgTSj8iHHHB2MD2FAtwyyocFgqGQn6ADyI/edit?usp=sharing"",""กระบี่!J86"")"),0)</f>
        <v>0</v>
      </c>
      <c r="AJ75" s="63">
        <f ca="1">IFERROR(__xludf.DUMMYFUNCTION("IMPORTRANGE(""https://docs.google.com/spreadsheets/d/1kKUcYdkIfrgTSj8iHHHB2MD2FAtwyyocFgqGQn6ADyI/edit?usp=sharing"",""กระบี่!J87"")"),0)</f>
        <v>0</v>
      </c>
      <c r="AK75" s="62">
        <f ca="1">IFERROR(__xludf.DUMMYFUNCTION("IMPORTRANGE(""https://docs.google.com/spreadsheets/d/1kKUcYdkIfrgTSj8iHHHB2MD2FAtwyyocFgqGQn6ADyI/edit?usp=sharing"",""กระบี่!I88"")"),0)</f>
        <v>0</v>
      </c>
      <c r="AL75" s="62">
        <f ca="1">IFERROR(__xludf.DUMMYFUNCTION("IMPORTRANGE(""https://docs.google.com/spreadsheets/d/1kKUcYdkIfrgTSj8iHHHB2MD2FAtwyyocFgqGQn6ADyI/edit?usp=sharing"",""กระบี่!I89"")"),0)</f>
        <v>0</v>
      </c>
      <c r="AM75" s="63">
        <f ca="1">IFERROR(__xludf.DUMMYFUNCTION("IMPORTRANGE(""https://docs.google.com/spreadsheets/d/1kKUcYdkIfrgTSj8iHHHB2MD2FAtwyyocFgqGQn6ADyI/edit?usp=sharing"",""กระบี่!J88"")"),0)</f>
        <v>0</v>
      </c>
      <c r="AN75" s="63">
        <f ca="1">IFERROR(__xludf.DUMMYFUNCTION("IMPORTRANGE(""https://docs.google.com/spreadsheets/d/1kKUcYdkIfrgTSj8iHHHB2MD2FAtwyyocFgqGQn6ADyI/edit?usp=sharing"",""กระบี่!J89"")"),0)</f>
        <v>0</v>
      </c>
      <c r="AO75" s="62">
        <f ca="1">IFERROR(__xludf.DUMMYFUNCTION("IMPORTRANGE(""https://docs.google.com/spreadsheets/d/1kKUcYdkIfrgTSj8iHHHB2MD2FAtwyyocFgqGQn6ADyI/edit?usp=sharing"",""กระบี่!I90"")"),0)</f>
        <v>0</v>
      </c>
      <c r="AP75" s="63">
        <f ca="1">IFERROR(__xludf.DUMMYFUNCTION("IMPORTRANGE(""https://docs.google.com/spreadsheets/d/1kKUcYdkIfrgTSj8iHHHB2MD2FAtwyyocFgqGQn6ADyI/edit?usp=sharing"",""กระบี่!J90"")"),0)</f>
        <v>0</v>
      </c>
      <c r="AQ75" s="65">
        <f t="shared" ca="1" si="43"/>
        <v>0</v>
      </c>
    </row>
    <row r="76" spans="1:43" ht="21" customHeight="1" x14ac:dyDescent="0.3">
      <c r="A76" s="70">
        <v>2</v>
      </c>
      <c r="B76" s="71" t="s">
        <v>104</v>
      </c>
      <c r="C76" s="72">
        <f t="shared" ca="1" si="27"/>
        <v>142000</v>
      </c>
      <c r="D76" s="73">
        <f t="shared" ca="1" si="62"/>
        <v>142000</v>
      </c>
      <c r="E76" s="74">
        <f ca="1">IFERROR(__xludf.DUMMYFUNCTION("IMPORTRANGE(""https://docs.google.com/spreadsheets/d/1-uDff_7J0KD5mKrp0Vvzr7lt3OU09vwQwhkpOPPYv2Y/edit?usp=sharing"",""งบพรบ!AN76"")"),0)</f>
        <v>0</v>
      </c>
      <c r="F76" s="74">
        <f ca="1">IFERROR(__xludf.DUMMYFUNCTION("IMPORTRANGE(""https://docs.google.com/spreadsheets/d/1-uDff_7J0KD5mKrp0Vvzr7lt3OU09vwQwhkpOPPYv2Y/edit?usp=sharing"",""งบพรบ!AO76"")"),142000)</f>
        <v>142000</v>
      </c>
      <c r="G76" s="74">
        <f ca="1">IFERROR(__xludf.DUMMYFUNCTION("IMPORTRANGE(""https://docs.google.com/spreadsheets/d/1-uDff_7J0KD5mKrp0Vvzr7lt3OU09vwQwhkpOPPYv2Y/edit?usp=sharing"",""งบพรบ!AP76"")"),0)</f>
        <v>0</v>
      </c>
      <c r="H76" s="74">
        <f ca="1">IFERROR(__xludf.DUMMYFUNCTION("IMPORTRANGE(""https://docs.google.com/spreadsheets/d/1-uDff_7J0KD5mKrp0Vvzr7lt3OU09vwQwhkpOPPYv2Y/edit?usp=sharing"",""งบพรบ!AR76"")"),142000)</f>
        <v>142000</v>
      </c>
      <c r="I76" s="74">
        <f ca="1">IFERROR(__xludf.DUMMYFUNCTION("IMPORTRANGE(""https://docs.google.com/spreadsheets/d/1-uDff_7J0KD5mKrp0Vvzr7lt3OU09vwQwhkpOPPYv2Y/edit?usp=sharing"",""งบพรบ!AS76"")"),0)</f>
        <v>0</v>
      </c>
      <c r="J76" s="74">
        <f t="shared" ca="1" si="29"/>
        <v>113701</v>
      </c>
      <c r="K76" s="75">
        <f t="shared" ca="1" si="30"/>
        <v>80.071126760563374</v>
      </c>
      <c r="L76" s="74">
        <f ca="1">IFERROR(__xludf.DUMMYFUNCTION("IMPORTRANGE(""https://docs.google.com/spreadsheets/d/1-uDff_7J0KD5mKrp0Vvzr7lt3OU09vwQwhkpOPPYv2Y/edit?usp=sharing"",""งบพรบ!AT76"")"),113701)</f>
        <v>113701</v>
      </c>
      <c r="M76" s="76">
        <f t="shared" ca="1" si="31"/>
        <v>80.071126760563374</v>
      </c>
      <c r="N76" s="76">
        <f t="shared" ca="1" si="32"/>
        <v>80.071126760563374</v>
      </c>
      <c r="O76" s="77">
        <f ca="1">IFERROR(__xludf.DUMMYFUNCTION("IMPORTRANGE(""https://docs.google.com/spreadsheets/d/1-uDff_7J0KD5mKrp0Vvzr7lt3OU09vwQwhkpOPPYv2Y/edit?usp=sharing"",""งบพรบ!AU76"")"),0)</f>
        <v>0</v>
      </c>
      <c r="P76" s="77">
        <f t="shared" ca="1" si="33"/>
        <v>0</v>
      </c>
      <c r="Q76" s="76">
        <f t="shared" ca="1" si="34"/>
        <v>0</v>
      </c>
      <c r="R76" s="67">
        <f ca="1">IFERROR(__xludf.DUMMYFUNCTION("IMPORTRANGE(""https://docs.google.com/spreadsheets/d/1GwtLaSlNZkLk7iDqcyZz22giiy40b_usZZBXYciEN1U/edit?usp=sharing"",""ชุมพร!Q72"")"),388700)</f>
        <v>388700</v>
      </c>
      <c r="S76" s="67">
        <f ca="1">IFERROR(__xludf.DUMMYFUNCTION("IMPORTRANGE(""https://docs.google.com/spreadsheets/d/1GwtLaSlNZkLk7iDqcyZz22giiy40b_usZZBXYciEN1U/edit?usp=sharing"",""ชุมพร!R72"")"),388700)</f>
        <v>388700</v>
      </c>
      <c r="T76" s="67">
        <f ca="1">IFERROR(__xludf.DUMMYFUNCTION("IMPORTRANGE(""https://docs.google.com/spreadsheets/d/1GwtLaSlNZkLk7iDqcyZz22giiy40b_usZZBXYciEN1U/edit?usp=sharing"",""ชุมพร!S72"")"),177330)</f>
        <v>177330</v>
      </c>
      <c r="U76" s="68">
        <f t="shared" ca="1" si="36"/>
        <v>45.621301775147927</v>
      </c>
      <c r="V76" s="68">
        <f t="shared" ca="1" si="37"/>
        <v>45.621301775147927</v>
      </c>
      <c r="W76" s="78">
        <f t="shared" ca="1" si="38"/>
        <v>1</v>
      </c>
      <c r="X76" s="78">
        <f t="shared" ca="1" si="39"/>
        <v>30</v>
      </c>
      <c r="Y76" s="78">
        <f t="shared" ca="1" si="63"/>
        <v>1</v>
      </c>
      <c r="Z76" s="79">
        <f t="shared" ca="1" si="40"/>
        <v>100</v>
      </c>
      <c r="AA76" s="78">
        <f t="shared" ca="1" si="64"/>
        <v>30</v>
      </c>
      <c r="AB76" s="79">
        <f t="shared" ca="1" si="41"/>
        <v>100</v>
      </c>
      <c r="AC76" s="74">
        <f ca="1">IFERROR(__xludf.DUMMYFUNCTION("IMPORTRANGE(""https://docs.google.com/spreadsheets/d/1GwtLaSlNZkLk7iDqcyZz22giiy40b_usZZBXYciEN1U/edit?usp=sharing"",""ชุมพร!I84"")"),0)</f>
        <v>0</v>
      </c>
      <c r="AD76" s="74">
        <f ca="1">IFERROR(__xludf.DUMMYFUNCTION("IMPORTRANGE(""https://docs.google.com/spreadsheets/d/1GwtLaSlNZkLk7iDqcyZz22giiy40b_usZZBXYciEN1U/edit?usp=sharing"",""ชุมพร!I85"")"),0)</f>
        <v>0</v>
      </c>
      <c r="AE76" s="78">
        <f ca="1">IFERROR(__xludf.DUMMYFUNCTION("IMPORTRANGE(""https://docs.google.com/spreadsheets/d/1GwtLaSlNZkLk7iDqcyZz22giiy40b_usZZBXYciEN1U/edit?usp=sharing"",""ชุมพร!J84"")"),0)</f>
        <v>0</v>
      </c>
      <c r="AF76" s="78">
        <f ca="1">IFERROR(__xludf.DUMMYFUNCTION("IMPORTRANGE(""https://docs.google.com/spreadsheets/d/1GwtLaSlNZkLk7iDqcyZz22giiy40b_usZZBXYciEN1U/edit?usp=sharing"",""ชุมพร!J85"")"),0)</f>
        <v>0</v>
      </c>
      <c r="AG76" s="74">
        <f ca="1">IFERROR(__xludf.DUMMYFUNCTION("IMPORTRANGE(""https://docs.google.com/spreadsheets/d/1GwtLaSlNZkLk7iDqcyZz22giiy40b_usZZBXYciEN1U/edit?usp=sharing"",""ชุมพร!I86"")"),1)</f>
        <v>1</v>
      </c>
      <c r="AH76" s="74">
        <f ca="1">IFERROR(__xludf.DUMMYFUNCTION("IMPORTRANGE(""https://docs.google.com/spreadsheets/d/1GwtLaSlNZkLk7iDqcyZz22giiy40b_usZZBXYciEN1U/edit?usp=sharing"",""ชุมพร!I87"")"),30)</f>
        <v>30</v>
      </c>
      <c r="AI76" s="78">
        <f ca="1">IFERROR(__xludf.DUMMYFUNCTION("IMPORTRANGE(""https://docs.google.com/spreadsheets/d/1GwtLaSlNZkLk7iDqcyZz22giiy40b_usZZBXYciEN1U/edit?usp=sharing"",""ชุมพร!J86"")"),1)</f>
        <v>1</v>
      </c>
      <c r="AJ76" s="78">
        <f ca="1">IFERROR(__xludf.DUMMYFUNCTION("IMPORTRANGE(""https://docs.google.com/spreadsheets/d/1GwtLaSlNZkLk7iDqcyZz22giiy40b_usZZBXYciEN1U/edit?usp=sharing"",""ชุมพร!J87"")"),30)</f>
        <v>30</v>
      </c>
      <c r="AK76" s="74">
        <f ca="1">IFERROR(__xludf.DUMMYFUNCTION("IMPORTRANGE(""https://docs.google.com/spreadsheets/d/1GwtLaSlNZkLk7iDqcyZz22giiy40b_usZZBXYciEN1U/edit?usp=sharing"",""ชุมพร!I88"")"),0)</f>
        <v>0</v>
      </c>
      <c r="AL76" s="74">
        <f ca="1">IFERROR(__xludf.DUMMYFUNCTION("IMPORTRANGE(""https://docs.google.com/spreadsheets/d/1GwtLaSlNZkLk7iDqcyZz22giiy40b_usZZBXYciEN1U/edit?usp=sharing"",""ชุมพร!I89"")"),0)</f>
        <v>0</v>
      </c>
      <c r="AM76" s="78">
        <f ca="1">IFERROR(__xludf.DUMMYFUNCTION("IMPORTRANGE(""https://docs.google.com/spreadsheets/d/1GwtLaSlNZkLk7iDqcyZz22giiy40b_usZZBXYciEN1U/edit?usp=sharing"",""ชุมพร!J88"")"),0)</f>
        <v>0</v>
      </c>
      <c r="AN76" s="78">
        <f ca="1">IFERROR(__xludf.DUMMYFUNCTION("IMPORTRANGE(""https://docs.google.com/spreadsheets/d/1GwtLaSlNZkLk7iDqcyZz22giiy40b_usZZBXYciEN1U/edit?usp=sharing"",""ชุมพร!J89"")"),0)</f>
        <v>0</v>
      </c>
      <c r="AO76" s="74">
        <f ca="1">IFERROR(__xludf.DUMMYFUNCTION("IMPORTRANGE(""https://docs.google.com/spreadsheets/d/1GwtLaSlNZkLk7iDqcyZz22giiy40b_usZZBXYciEN1U/edit?usp=sharing"",""ชุมพร!I90"")"),1)</f>
        <v>1</v>
      </c>
      <c r="AP76" s="78">
        <f ca="1">IFERROR(__xludf.DUMMYFUNCTION("IMPORTRANGE(""https://docs.google.com/spreadsheets/d/1GwtLaSlNZkLk7iDqcyZz22giiy40b_usZZBXYciEN1U/edit?usp=sharing"",""ชุมพร!J90"")"),0)</f>
        <v>0</v>
      </c>
      <c r="AQ76" s="76">
        <f t="shared" ca="1" si="43"/>
        <v>0</v>
      </c>
    </row>
    <row r="77" spans="1:43" ht="21" customHeight="1" x14ac:dyDescent="0.3">
      <c r="A77" s="70">
        <v>3</v>
      </c>
      <c r="B77" s="71" t="s">
        <v>105</v>
      </c>
      <c r="C77" s="72">
        <f t="shared" ca="1" si="27"/>
        <v>0</v>
      </c>
      <c r="D77" s="73">
        <f t="shared" ca="1" si="62"/>
        <v>0</v>
      </c>
      <c r="E77" s="74">
        <f ca="1">IFERROR(__xludf.DUMMYFUNCTION("IMPORTRANGE(""https://docs.google.com/spreadsheets/d/1-uDff_7J0KD5mKrp0Vvzr7lt3OU09vwQwhkpOPPYv2Y/edit?usp=sharing"",""งบพรบ!AN77"")"),0)</f>
        <v>0</v>
      </c>
      <c r="F77" s="74">
        <f ca="1">IFERROR(__xludf.DUMMYFUNCTION("IMPORTRANGE(""https://docs.google.com/spreadsheets/d/1-uDff_7J0KD5mKrp0Vvzr7lt3OU09vwQwhkpOPPYv2Y/edit?usp=sharing"",""งบพรบ!AO77"")"),0)</f>
        <v>0</v>
      </c>
      <c r="G77" s="74">
        <f ca="1">IFERROR(__xludf.DUMMYFUNCTION("IMPORTRANGE(""https://docs.google.com/spreadsheets/d/1-uDff_7J0KD5mKrp0Vvzr7lt3OU09vwQwhkpOPPYv2Y/edit?usp=sharing"",""งบพรบ!AP77"")"),0)</f>
        <v>0</v>
      </c>
      <c r="H77" s="74">
        <f ca="1">IFERROR(__xludf.DUMMYFUNCTION("IMPORTRANGE(""https://docs.google.com/spreadsheets/d/1-uDff_7J0KD5mKrp0Vvzr7lt3OU09vwQwhkpOPPYv2Y/edit?usp=sharing"",""งบพรบ!AR77"")"),0)</f>
        <v>0</v>
      </c>
      <c r="I77" s="74">
        <f ca="1">IFERROR(__xludf.DUMMYFUNCTION("IMPORTRANGE(""https://docs.google.com/spreadsheets/d/1-uDff_7J0KD5mKrp0Vvzr7lt3OU09vwQwhkpOPPYv2Y/edit?usp=sharing"",""งบพรบ!AS77"")"),0)</f>
        <v>0</v>
      </c>
      <c r="J77" s="74">
        <f t="shared" ca="1" si="29"/>
        <v>0</v>
      </c>
      <c r="K77" s="75">
        <f t="shared" ca="1" si="30"/>
        <v>0</v>
      </c>
      <c r="L77" s="74">
        <f ca="1">IFERROR(__xludf.DUMMYFUNCTION("IMPORTRANGE(""https://docs.google.com/spreadsheets/d/1-uDff_7J0KD5mKrp0Vvzr7lt3OU09vwQwhkpOPPYv2Y/edit?usp=sharing"",""งบพรบ!AT77"")"),0)</f>
        <v>0</v>
      </c>
      <c r="M77" s="76">
        <f t="shared" ca="1" si="31"/>
        <v>0</v>
      </c>
      <c r="N77" s="76">
        <f t="shared" ca="1" si="32"/>
        <v>0</v>
      </c>
      <c r="O77" s="77">
        <f ca="1">IFERROR(__xludf.DUMMYFUNCTION("IMPORTRANGE(""https://docs.google.com/spreadsheets/d/1-uDff_7J0KD5mKrp0Vvzr7lt3OU09vwQwhkpOPPYv2Y/edit?usp=sharing"",""งบพรบ!AU77"")"),0)</f>
        <v>0</v>
      </c>
      <c r="P77" s="77">
        <f t="shared" ca="1" si="33"/>
        <v>0</v>
      </c>
      <c r="Q77" s="76">
        <f t="shared" ca="1" si="34"/>
        <v>0</v>
      </c>
      <c r="R77" s="67">
        <f ca="1">IFERROR(__xludf.DUMMYFUNCTION("IMPORTRANGE(""https://docs.google.com/spreadsheets/d/16pAz3pOhQEZBhvFNMa5KGgZS6iKWpsKX0pg6tQmwFpo/edit?usp=sharing"",""ตรัง!Q72"")"),0)</f>
        <v>0</v>
      </c>
      <c r="S77" s="67">
        <f ca="1">IFERROR(__xludf.DUMMYFUNCTION("IMPORTRANGE(""https://docs.google.com/spreadsheets/d/16pAz3pOhQEZBhvFNMa5KGgZS6iKWpsKX0pg6tQmwFpo/edit?usp=sharing"",""ตรัง!R72"")"),0)</f>
        <v>0</v>
      </c>
      <c r="T77" s="67">
        <f ca="1">IFERROR(__xludf.DUMMYFUNCTION("IMPORTRANGE(""https://docs.google.com/spreadsheets/d/16pAz3pOhQEZBhvFNMa5KGgZS6iKWpsKX0pg6tQmwFpo/edit?usp=sharing"",""ตรัง!S72"")"),0)</f>
        <v>0</v>
      </c>
      <c r="U77" s="68">
        <f t="shared" ca="1" si="36"/>
        <v>0</v>
      </c>
      <c r="V77" s="68">
        <f t="shared" ca="1" si="37"/>
        <v>0</v>
      </c>
      <c r="W77" s="78">
        <f t="shared" ca="1" si="38"/>
        <v>0</v>
      </c>
      <c r="X77" s="78">
        <f t="shared" ca="1" si="39"/>
        <v>0</v>
      </c>
      <c r="Y77" s="78">
        <f t="shared" ca="1" si="63"/>
        <v>0</v>
      </c>
      <c r="Z77" s="79">
        <f t="shared" ca="1" si="40"/>
        <v>0</v>
      </c>
      <c r="AA77" s="78">
        <f t="shared" ca="1" si="64"/>
        <v>0</v>
      </c>
      <c r="AB77" s="79">
        <f t="shared" ca="1" si="41"/>
        <v>0</v>
      </c>
      <c r="AC77" s="74">
        <f ca="1">IFERROR(__xludf.DUMMYFUNCTION("IMPORTRANGE(""https://docs.google.com/spreadsheets/d/16pAz3pOhQEZBhvFNMa5KGgZS6iKWpsKX0pg6tQmwFpo/edit?usp=sharing"",""ตรัง!I84"")"),0)</f>
        <v>0</v>
      </c>
      <c r="AD77" s="74">
        <f ca="1">IFERROR(__xludf.DUMMYFUNCTION("IMPORTRANGE(""https://docs.google.com/spreadsheets/d/16pAz3pOhQEZBhvFNMa5KGgZS6iKWpsKX0pg6tQmwFpo/edit?usp=sharing"",""ตรัง!I85"")"),0)</f>
        <v>0</v>
      </c>
      <c r="AE77" s="78">
        <f ca="1">IFERROR(__xludf.DUMMYFUNCTION("IMPORTRANGE(""https://docs.google.com/spreadsheets/d/16pAz3pOhQEZBhvFNMa5KGgZS6iKWpsKX0pg6tQmwFpo/edit?usp=sharing"",""ตรัง!J84"")"),0)</f>
        <v>0</v>
      </c>
      <c r="AF77" s="78">
        <f ca="1">IFERROR(__xludf.DUMMYFUNCTION("IMPORTRANGE(""https://docs.google.com/spreadsheets/d/16pAz3pOhQEZBhvFNMa5KGgZS6iKWpsKX0pg6tQmwFpo/edit?usp=sharing"",""ตรัง!J85"")"),0)</f>
        <v>0</v>
      </c>
      <c r="AG77" s="74">
        <f ca="1">IFERROR(__xludf.DUMMYFUNCTION("IMPORTRANGE(""https://docs.google.com/spreadsheets/d/16pAz3pOhQEZBhvFNMa5KGgZS6iKWpsKX0pg6tQmwFpo/edit?usp=sharing"",""ตรัง!I86"")"),0)</f>
        <v>0</v>
      </c>
      <c r="AH77" s="74">
        <f ca="1">IFERROR(__xludf.DUMMYFUNCTION("IMPORTRANGE(""https://docs.google.com/spreadsheets/d/16pAz3pOhQEZBhvFNMa5KGgZS6iKWpsKX0pg6tQmwFpo/edit?usp=sharing"",""ตรัง!I87"")"),0)</f>
        <v>0</v>
      </c>
      <c r="AI77" s="78">
        <f ca="1">IFERROR(__xludf.DUMMYFUNCTION("IMPORTRANGE(""https://docs.google.com/spreadsheets/d/16pAz3pOhQEZBhvFNMa5KGgZS6iKWpsKX0pg6tQmwFpo/edit?usp=sharing"",""ตรัง!J86"")"),0)</f>
        <v>0</v>
      </c>
      <c r="AJ77" s="78">
        <f ca="1">IFERROR(__xludf.DUMMYFUNCTION("IMPORTRANGE(""https://docs.google.com/spreadsheets/d/16pAz3pOhQEZBhvFNMa5KGgZS6iKWpsKX0pg6tQmwFpo/edit?usp=sharing"",""ตรัง!J87"")"),0)</f>
        <v>0</v>
      </c>
      <c r="AK77" s="74">
        <f ca="1">IFERROR(__xludf.DUMMYFUNCTION("IMPORTRANGE(""https://docs.google.com/spreadsheets/d/16pAz3pOhQEZBhvFNMa5KGgZS6iKWpsKX0pg6tQmwFpo/edit?usp=sharing"",""ตรัง!I88"")"),0)</f>
        <v>0</v>
      </c>
      <c r="AL77" s="74">
        <f ca="1">IFERROR(__xludf.DUMMYFUNCTION("IMPORTRANGE(""https://docs.google.com/spreadsheets/d/16pAz3pOhQEZBhvFNMa5KGgZS6iKWpsKX0pg6tQmwFpo/edit?usp=sharing"",""ตรัง!I89"")"),0)</f>
        <v>0</v>
      </c>
      <c r="AM77" s="78">
        <f ca="1">IFERROR(__xludf.DUMMYFUNCTION("IMPORTRANGE(""https://docs.google.com/spreadsheets/d/16pAz3pOhQEZBhvFNMa5KGgZS6iKWpsKX0pg6tQmwFpo/edit?usp=sharing"",""ตรัง!J88"")"),0)</f>
        <v>0</v>
      </c>
      <c r="AN77" s="78">
        <f ca="1">IFERROR(__xludf.DUMMYFUNCTION("IMPORTRANGE(""https://docs.google.com/spreadsheets/d/16pAz3pOhQEZBhvFNMa5KGgZS6iKWpsKX0pg6tQmwFpo/edit?usp=sharing"",""ตรัง!J89"")"),0)</f>
        <v>0</v>
      </c>
      <c r="AO77" s="74">
        <f ca="1">IFERROR(__xludf.DUMMYFUNCTION("IMPORTRANGE(""https://docs.google.com/spreadsheets/d/16pAz3pOhQEZBhvFNMa5KGgZS6iKWpsKX0pg6tQmwFpo/edit?usp=sharing"",""ตรัง!I90"")"),0)</f>
        <v>0</v>
      </c>
      <c r="AP77" s="78">
        <f ca="1">IFERROR(__xludf.DUMMYFUNCTION("IMPORTRANGE(""https://docs.google.com/spreadsheets/d/16pAz3pOhQEZBhvFNMa5KGgZS6iKWpsKX0pg6tQmwFpo/edit?usp=sharing"",""ตรัง!J90"")"),0)</f>
        <v>0</v>
      </c>
      <c r="AQ77" s="76">
        <f t="shared" ca="1" si="43"/>
        <v>0</v>
      </c>
    </row>
    <row r="78" spans="1:43" ht="21" customHeight="1" x14ac:dyDescent="0.3">
      <c r="A78" s="70">
        <v>4</v>
      </c>
      <c r="B78" s="71" t="s">
        <v>106</v>
      </c>
      <c r="C78" s="72">
        <f t="shared" ca="1" si="27"/>
        <v>0</v>
      </c>
      <c r="D78" s="73">
        <f t="shared" ca="1" si="62"/>
        <v>0</v>
      </c>
      <c r="E78" s="74">
        <f ca="1">IFERROR(__xludf.DUMMYFUNCTION("IMPORTRANGE(""https://docs.google.com/spreadsheets/d/1-uDff_7J0KD5mKrp0Vvzr7lt3OU09vwQwhkpOPPYv2Y/edit?usp=sharing"",""งบพรบ!AN78"")"),0)</f>
        <v>0</v>
      </c>
      <c r="F78" s="74">
        <f ca="1">IFERROR(__xludf.DUMMYFUNCTION("IMPORTRANGE(""https://docs.google.com/spreadsheets/d/1-uDff_7J0KD5mKrp0Vvzr7lt3OU09vwQwhkpOPPYv2Y/edit?usp=sharing"",""งบพรบ!AO78"")"),0)</f>
        <v>0</v>
      </c>
      <c r="G78" s="74">
        <f ca="1">IFERROR(__xludf.DUMMYFUNCTION("IMPORTRANGE(""https://docs.google.com/spreadsheets/d/1-uDff_7J0KD5mKrp0Vvzr7lt3OU09vwQwhkpOPPYv2Y/edit?usp=sharing"",""งบพรบ!AP78"")"),0)</f>
        <v>0</v>
      </c>
      <c r="H78" s="74">
        <f ca="1">IFERROR(__xludf.DUMMYFUNCTION("IMPORTRANGE(""https://docs.google.com/spreadsheets/d/1-uDff_7J0KD5mKrp0Vvzr7lt3OU09vwQwhkpOPPYv2Y/edit?usp=sharing"",""งบพรบ!AR78"")"),0)</f>
        <v>0</v>
      </c>
      <c r="I78" s="74">
        <f ca="1">IFERROR(__xludf.DUMMYFUNCTION("IMPORTRANGE(""https://docs.google.com/spreadsheets/d/1-uDff_7J0KD5mKrp0Vvzr7lt3OU09vwQwhkpOPPYv2Y/edit?usp=sharing"",""งบพรบ!AS78"")"),0)</f>
        <v>0</v>
      </c>
      <c r="J78" s="74">
        <f t="shared" ca="1" si="29"/>
        <v>0</v>
      </c>
      <c r="K78" s="75">
        <f t="shared" ca="1" si="30"/>
        <v>0</v>
      </c>
      <c r="L78" s="74">
        <f ca="1">IFERROR(__xludf.DUMMYFUNCTION("IMPORTRANGE(""https://docs.google.com/spreadsheets/d/1-uDff_7J0KD5mKrp0Vvzr7lt3OU09vwQwhkpOPPYv2Y/edit?usp=sharing"",""งบพรบ!AT78"")"),0)</f>
        <v>0</v>
      </c>
      <c r="M78" s="76">
        <f t="shared" ca="1" si="31"/>
        <v>0</v>
      </c>
      <c r="N78" s="76">
        <f t="shared" ca="1" si="32"/>
        <v>0</v>
      </c>
      <c r="O78" s="77">
        <f ca="1">IFERROR(__xludf.DUMMYFUNCTION("IMPORTRANGE(""https://docs.google.com/spreadsheets/d/1-uDff_7J0KD5mKrp0Vvzr7lt3OU09vwQwhkpOPPYv2Y/edit?usp=sharing"",""งบพรบ!AU78"")"),0)</f>
        <v>0</v>
      </c>
      <c r="P78" s="77">
        <f t="shared" ca="1" si="33"/>
        <v>0</v>
      </c>
      <c r="Q78" s="76">
        <f t="shared" ca="1" si="34"/>
        <v>0</v>
      </c>
      <c r="R78" s="67">
        <f ca="1">IFERROR(__xludf.DUMMYFUNCTION("IMPORTRANGE(""https://docs.google.com/spreadsheets/d/1Dj4jcHCTV9JXKCaMoheSXS52JE63kDKyG7bPXnFogHk/edit?usp=sharing"",""นครศรีธรรมราช!Q72"")"),0)</f>
        <v>0</v>
      </c>
      <c r="S78" s="67">
        <f ca="1">IFERROR(__xludf.DUMMYFUNCTION("IMPORTRANGE(""https://docs.google.com/spreadsheets/d/1Dj4jcHCTV9JXKCaMoheSXS52JE63kDKyG7bPXnFogHk/edit?usp=sharing"",""นครศรีธรรมราช!R72"")"),0)</f>
        <v>0</v>
      </c>
      <c r="T78" s="67">
        <f ca="1">IFERROR(__xludf.DUMMYFUNCTION("IMPORTRANGE(""https://docs.google.com/spreadsheets/d/1Dj4jcHCTV9JXKCaMoheSXS52JE63kDKyG7bPXnFogHk/edit?usp=sharing"",""นครศรีธรรมราช!S72"")"),0)</f>
        <v>0</v>
      </c>
      <c r="U78" s="68">
        <f t="shared" ca="1" si="36"/>
        <v>0</v>
      </c>
      <c r="V78" s="68">
        <f t="shared" ca="1" si="37"/>
        <v>0</v>
      </c>
      <c r="W78" s="78">
        <f t="shared" ca="1" si="38"/>
        <v>0</v>
      </c>
      <c r="X78" s="78">
        <f t="shared" ca="1" si="39"/>
        <v>0</v>
      </c>
      <c r="Y78" s="78">
        <f t="shared" ca="1" si="63"/>
        <v>0</v>
      </c>
      <c r="Z78" s="79">
        <f t="shared" ca="1" si="40"/>
        <v>0</v>
      </c>
      <c r="AA78" s="78">
        <f t="shared" ca="1" si="64"/>
        <v>0</v>
      </c>
      <c r="AB78" s="79">
        <f t="shared" ca="1" si="41"/>
        <v>0</v>
      </c>
      <c r="AC78" s="74">
        <f ca="1">IFERROR(__xludf.DUMMYFUNCTION("IMPORTRANGE(""https://docs.google.com/spreadsheets/d/1Dj4jcHCTV9JXKCaMoheSXS52JE63kDKyG7bPXnFogHk/edit?usp=sharing"",""นครศรีธรรมราช!I84"")"),0)</f>
        <v>0</v>
      </c>
      <c r="AD78" s="74">
        <f ca="1">IFERROR(__xludf.DUMMYFUNCTION("IMPORTRANGE(""https://docs.google.com/spreadsheets/d/1Dj4jcHCTV9JXKCaMoheSXS52JE63kDKyG7bPXnFogHk/edit?usp=sharing"",""นครศรีธรรมราช!I85"")"),0)</f>
        <v>0</v>
      </c>
      <c r="AE78" s="78">
        <f ca="1">IFERROR(__xludf.DUMMYFUNCTION("IMPORTRANGE(""https://docs.google.com/spreadsheets/d/1Dj4jcHCTV9JXKCaMoheSXS52JE63kDKyG7bPXnFogHk/edit?usp=sharing"",""นครศรีธรรมราช!J84"")"),0)</f>
        <v>0</v>
      </c>
      <c r="AF78" s="78">
        <f ca="1">IFERROR(__xludf.DUMMYFUNCTION("IMPORTRANGE(""https://docs.google.com/spreadsheets/d/1Dj4jcHCTV9JXKCaMoheSXS52JE63kDKyG7bPXnFogHk/edit?usp=sharing"",""นครศรีธรรมราช!J85"")"),0)</f>
        <v>0</v>
      </c>
      <c r="AG78" s="74">
        <f ca="1">IFERROR(__xludf.DUMMYFUNCTION("IMPORTRANGE(""https://docs.google.com/spreadsheets/d/1Dj4jcHCTV9JXKCaMoheSXS52JE63kDKyG7bPXnFogHk/edit?usp=sharing"",""นครศรีธรรมราช!I86"")"),0)</f>
        <v>0</v>
      </c>
      <c r="AH78" s="74">
        <f ca="1">IFERROR(__xludf.DUMMYFUNCTION("IMPORTRANGE(""https://docs.google.com/spreadsheets/d/1Dj4jcHCTV9JXKCaMoheSXS52JE63kDKyG7bPXnFogHk/edit?usp=sharing"",""นครศรีธรรมราช!I87"")"),0)</f>
        <v>0</v>
      </c>
      <c r="AI78" s="78">
        <f ca="1">IFERROR(__xludf.DUMMYFUNCTION("IMPORTRANGE(""https://docs.google.com/spreadsheets/d/1Dj4jcHCTV9JXKCaMoheSXS52JE63kDKyG7bPXnFogHk/edit?usp=sharing"",""นครศรีธรรมราช!J86"")"),0)</f>
        <v>0</v>
      </c>
      <c r="AJ78" s="78">
        <f ca="1">IFERROR(__xludf.DUMMYFUNCTION("IMPORTRANGE(""https://docs.google.com/spreadsheets/d/1Dj4jcHCTV9JXKCaMoheSXS52JE63kDKyG7bPXnFogHk/edit?usp=sharing"",""นครศรีธรรมราช!J87"")"),0)</f>
        <v>0</v>
      </c>
      <c r="AK78" s="74">
        <f ca="1">IFERROR(__xludf.DUMMYFUNCTION("IMPORTRANGE(""https://docs.google.com/spreadsheets/d/1Dj4jcHCTV9JXKCaMoheSXS52JE63kDKyG7bPXnFogHk/edit?usp=sharing"",""นครศรีธรรมราช!I88"")"),0)</f>
        <v>0</v>
      </c>
      <c r="AL78" s="74">
        <f ca="1">IFERROR(__xludf.DUMMYFUNCTION("IMPORTRANGE(""https://docs.google.com/spreadsheets/d/1Dj4jcHCTV9JXKCaMoheSXS52JE63kDKyG7bPXnFogHk/edit?usp=sharing"",""นครศรีธรรมราช!I89"")"),0)</f>
        <v>0</v>
      </c>
      <c r="AM78" s="78">
        <f ca="1">IFERROR(__xludf.DUMMYFUNCTION("IMPORTRANGE(""https://docs.google.com/spreadsheets/d/1Dj4jcHCTV9JXKCaMoheSXS52JE63kDKyG7bPXnFogHk/edit?usp=sharing"",""นครศรีธรรมราช!J88"")"),0)</f>
        <v>0</v>
      </c>
      <c r="AN78" s="78">
        <f ca="1">IFERROR(__xludf.DUMMYFUNCTION("IMPORTRANGE(""https://docs.google.com/spreadsheets/d/1Dj4jcHCTV9JXKCaMoheSXS52JE63kDKyG7bPXnFogHk/edit?usp=sharing"",""นครศรีธรรมราช!J89"")"),0)</f>
        <v>0</v>
      </c>
      <c r="AO78" s="74">
        <f ca="1">IFERROR(__xludf.DUMMYFUNCTION("IMPORTRANGE(""https://docs.google.com/spreadsheets/d/1Dj4jcHCTV9JXKCaMoheSXS52JE63kDKyG7bPXnFogHk/edit?usp=sharing"",""นครศรีธรรมราช!I90"")"),0)</f>
        <v>0</v>
      </c>
      <c r="AP78" s="78">
        <f ca="1">IFERROR(__xludf.DUMMYFUNCTION("IMPORTRANGE(""https://docs.google.com/spreadsheets/d/1Dj4jcHCTV9JXKCaMoheSXS52JE63kDKyG7bPXnFogHk/edit?usp=sharing"",""นครศรีธรรมราช!J90"")"),0)</f>
        <v>0</v>
      </c>
      <c r="AQ78" s="76">
        <f t="shared" ca="1" si="43"/>
        <v>0</v>
      </c>
    </row>
    <row r="79" spans="1:43" ht="21" customHeight="1" x14ac:dyDescent="0.3">
      <c r="A79" s="70">
        <v>5</v>
      </c>
      <c r="B79" s="71" t="s">
        <v>107</v>
      </c>
      <c r="C79" s="72">
        <f t="shared" ca="1" si="27"/>
        <v>0</v>
      </c>
      <c r="D79" s="73">
        <f t="shared" ca="1" si="62"/>
        <v>0</v>
      </c>
      <c r="E79" s="74">
        <f ca="1">IFERROR(__xludf.DUMMYFUNCTION("IMPORTRANGE(""https://docs.google.com/spreadsheets/d/1-uDff_7J0KD5mKrp0Vvzr7lt3OU09vwQwhkpOPPYv2Y/edit?usp=sharing"",""งบพรบ!AN79"")"),0)</f>
        <v>0</v>
      </c>
      <c r="F79" s="74">
        <f ca="1">IFERROR(__xludf.DUMMYFUNCTION("IMPORTRANGE(""https://docs.google.com/spreadsheets/d/1-uDff_7J0KD5mKrp0Vvzr7lt3OU09vwQwhkpOPPYv2Y/edit?usp=sharing"",""งบพรบ!AO79"")"),0)</f>
        <v>0</v>
      </c>
      <c r="G79" s="74">
        <f ca="1">IFERROR(__xludf.DUMMYFUNCTION("IMPORTRANGE(""https://docs.google.com/spreadsheets/d/1-uDff_7J0KD5mKrp0Vvzr7lt3OU09vwQwhkpOPPYv2Y/edit?usp=sharing"",""งบพรบ!AP79"")"),0)</f>
        <v>0</v>
      </c>
      <c r="H79" s="74">
        <f ca="1">IFERROR(__xludf.DUMMYFUNCTION("IMPORTRANGE(""https://docs.google.com/spreadsheets/d/1-uDff_7J0KD5mKrp0Vvzr7lt3OU09vwQwhkpOPPYv2Y/edit?usp=sharing"",""งบพรบ!AR79"")"),0)</f>
        <v>0</v>
      </c>
      <c r="I79" s="74">
        <f ca="1">IFERROR(__xludf.DUMMYFUNCTION("IMPORTRANGE(""https://docs.google.com/spreadsheets/d/1-uDff_7J0KD5mKrp0Vvzr7lt3OU09vwQwhkpOPPYv2Y/edit?usp=sharing"",""งบพรบ!AS79"")"),0)</f>
        <v>0</v>
      </c>
      <c r="J79" s="74">
        <f t="shared" ca="1" si="29"/>
        <v>0</v>
      </c>
      <c r="K79" s="75">
        <f t="shared" ca="1" si="30"/>
        <v>0</v>
      </c>
      <c r="L79" s="74">
        <f ca="1">IFERROR(__xludf.DUMMYFUNCTION("IMPORTRANGE(""https://docs.google.com/spreadsheets/d/1-uDff_7J0KD5mKrp0Vvzr7lt3OU09vwQwhkpOPPYv2Y/edit?usp=sharing"",""งบพรบ!AT79"")"),0)</f>
        <v>0</v>
      </c>
      <c r="M79" s="76">
        <f t="shared" ca="1" si="31"/>
        <v>0</v>
      </c>
      <c r="N79" s="76">
        <f t="shared" ca="1" si="32"/>
        <v>0</v>
      </c>
      <c r="O79" s="77">
        <f ca="1">IFERROR(__xludf.DUMMYFUNCTION("IMPORTRANGE(""https://docs.google.com/spreadsheets/d/1-uDff_7J0KD5mKrp0Vvzr7lt3OU09vwQwhkpOPPYv2Y/edit?usp=sharing"",""งบพรบ!AU79"")"),0)</f>
        <v>0</v>
      </c>
      <c r="P79" s="77">
        <f t="shared" ca="1" si="33"/>
        <v>0</v>
      </c>
      <c r="Q79" s="76">
        <f t="shared" ca="1" si="34"/>
        <v>0</v>
      </c>
      <c r="R79" s="67">
        <f ca="1">IFERROR(__xludf.DUMMYFUNCTION("IMPORTRANGE(""https://docs.google.com/spreadsheets/d/1iodCdmuK2GR3jzUwk8tpccY2JHQQA-87DLOtJP-ooyU/edit?usp=sharing"",""นราธิวาส!Q72"")"),0)</f>
        <v>0</v>
      </c>
      <c r="S79" s="67">
        <f ca="1">IFERROR(__xludf.DUMMYFUNCTION("IMPORTRANGE(""https://docs.google.com/spreadsheets/d/1iodCdmuK2GR3jzUwk8tpccY2JHQQA-87DLOtJP-ooyU/edit?usp=sharing"",""นราธิวาส!R72"")"),0)</f>
        <v>0</v>
      </c>
      <c r="T79" s="67">
        <f ca="1">IFERROR(__xludf.DUMMYFUNCTION("IMPORTRANGE(""https://docs.google.com/spreadsheets/d/1iodCdmuK2GR3jzUwk8tpccY2JHQQA-87DLOtJP-ooyU/edit?usp=sharing"",""นราธิวาส!S72"")"),0)</f>
        <v>0</v>
      </c>
      <c r="U79" s="68">
        <f t="shared" ca="1" si="36"/>
        <v>0</v>
      </c>
      <c r="V79" s="68">
        <f t="shared" ca="1" si="37"/>
        <v>0</v>
      </c>
      <c r="W79" s="78">
        <f t="shared" ca="1" si="38"/>
        <v>0</v>
      </c>
      <c r="X79" s="78">
        <f t="shared" ca="1" si="39"/>
        <v>0</v>
      </c>
      <c r="Y79" s="78">
        <f t="shared" ca="1" si="63"/>
        <v>0</v>
      </c>
      <c r="Z79" s="79">
        <f t="shared" ca="1" si="40"/>
        <v>0</v>
      </c>
      <c r="AA79" s="78">
        <f t="shared" ca="1" si="64"/>
        <v>0</v>
      </c>
      <c r="AB79" s="79">
        <f t="shared" ca="1" si="41"/>
        <v>0</v>
      </c>
      <c r="AC79" s="74">
        <f ca="1">IFERROR(__xludf.DUMMYFUNCTION("IMPORTRANGE(""https://docs.google.com/spreadsheets/d/1iodCdmuK2GR3jzUwk8tpccY2JHQQA-87DLOtJP-ooyU/edit?usp=sharing"",""นราธิวาส!I84"")"),0)</f>
        <v>0</v>
      </c>
      <c r="AD79" s="74">
        <f ca="1">IFERROR(__xludf.DUMMYFUNCTION("IMPORTRANGE(""https://docs.google.com/spreadsheets/d/1iodCdmuK2GR3jzUwk8tpccY2JHQQA-87DLOtJP-ooyU/edit?usp=sharing"",""นราธิวาส!I85"")"),0)</f>
        <v>0</v>
      </c>
      <c r="AE79" s="78">
        <f ca="1">IFERROR(__xludf.DUMMYFUNCTION("IMPORTRANGE(""https://docs.google.com/spreadsheets/d/1iodCdmuK2GR3jzUwk8tpccY2JHQQA-87DLOtJP-ooyU/edit?usp=sharing"",""นราธิวาส!J84"")"),0)</f>
        <v>0</v>
      </c>
      <c r="AF79" s="78">
        <f ca="1">IFERROR(__xludf.DUMMYFUNCTION("IMPORTRANGE(""https://docs.google.com/spreadsheets/d/1iodCdmuK2GR3jzUwk8tpccY2JHQQA-87DLOtJP-ooyU/edit?usp=sharing"",""นราธิวาส!J85"")"),0)</f>
        <v>0</v>
      </c>
      <c r="AG79" s="74">
        <f ca="1">IFERROR(__xludf.DUMMYFUNCTION("IMPORTRANGE(""https://docs.google.com/spreadsheets/d/1iodCdmuK2GR3jzUwk8tpccY2JHQQA-87DLOtJP-ooyU/edit?usp=sharing"",""นราธิวาส!I86"")"),0)</f>
        <v>0</v>
      </c>
      <c r="AH79" s="74">
        <f ca="1">IFERROR(__xludf.DUMMYFUNCTION("IMPORTRANGE(""https://docs.google.com/spreadsheets/d/1iodCdmuK2GR3jzUwk8tpccY2JHQQA-87DLOtJP-ooyU/edit?usp=sharing"",""นราธิวาส!I87"")"),0)</f>
        <v>0</v>
      </c>
      <c r="AI79" s="78">
        <f ca="1">IFERROR(__xludf.DUMMYFUNCTION("IMPORTRANGE(""https://docs.google.com/spreadsheets/d/1iodCdmuK2GR3jzUwk8tpccY2JHQQA-87DLOtJP-ooyU/edit?usp=sharing"",""นราธิวาส!J86"")"),0)</f>
        <v>0</v>
      </c>
      <c r="AJ79" s="78">
        <f ca="1">IFERROR(__xludf.DUMMYFUNCTION("IMPORTRANGE(""https://docs.google.com/spreadsheets/d/1iodCdmuK2GR3jzUwk8tpccY2JHQQA-87DLOtJP-ooyU/edit?usp=sharing"",""นราธิวาส!J87"")"),0)</f>
        <v>0</v>
      </c>
      <c r="AK79" s="74">
        <f ca="1">IFERROR(__xludf.DUMMYFUNCTION("IMPORTRANGE(""https://docs.google.com/spreadsheets/d/1iodCdmuK2GR3jzUwk8tpccY2JHQQA-87DLOtJP-ooyU/edit?usp=sharing"",""นราธิวาส!I88"")"),0)</f>
        <v>0</v>
      </c>
      <c r="AL79" s="74">
        <f ca="1">IFERROR(__xludf.DUMMYFUNCTION("IMPORTRANGE(""https://docs.google.com/spreadsheets/d/1iodCdmuK2GR3jzUwk8tpccY2JHQQA-87DLOtJP-ooyU/edit?usp=sharing"",""นราธิวาส!I89"")"),0)</f>
        <v>0</v>
      </c>
      <c r="AM79" s="78">
        <f ca="1">IFERROR(__xludf.DUMMYFUNCTION("IMPORTRANGE(""https://docs.google.com/spreadsheets/d/1iodCdmuK2GR3jzUwk8tpccY2JHQQA-87DLOtJP-ooyU/edit?usp=sharing"",""นราธิวาส!J88"")"),0)</f>
        <v>0</v>
      </c>
      <c r="AN79" s="78">
        <f ca="1">IFERROR(__xludf.DUMMYFUNCTION("IMPORTRANGE(""https://docs.google.com/spreadsheets/d/1iodCdmuK2GR3jzUwk8tpccY2JHQQA-87DLOtJP-ooyU/edit?usp=sharing"",""นราธิวาส!J89"")"),0)</f>
        <v>0</v>
      </c>
      <c r="AO79" s="74">
        <f ca="1">IFERROR(__xludf.DUMMYFUNCTION("IMPORTRANGE(""https://docs.google.com/spreadsheets/d/1iodCdmuK2GR3jzUwk8tpccY2JHQQA-87DLOtJP-ooyU/edit?usp=sharing"",""นราธิวาส!I90"")"),0)</f>
        <v>0</v>
      </c>
      <c r="AP79" s="78">
        <f ca="1">IFERROR(__xludf.DUMMYFUNCTION("IMPORTRANGE(""https://docs.google.com/spreadsheets/d/1iodCdmuK2GR3jzUwk8tpccY2JHQQA-87DLOtJP-ooyU/edit?usp=sharing"",""นราธิวาส!J90"")"),0)</f>
        <v>0</v>
      </c>
      <c r="AQ79" s="76">
        <f t="shared" ca="1" si="43"/>
        <v>0</v>
      </c>
    </row>
    <row r="80" spans="1:43" ht="21" customHeight="1" x14ac:dyDescent="0.3">
      <c r="A80" s="70">
        <v>6</v>
      </c>
      <c r="B80" s="71" t="s">
        <v>108</v>
      </c>
      <c r="C80" s="72">
        <f t="shared" ca="1" si="27"/>
        <v>0</v>
      </c>
      <c r="D80" s="73">
        <f t="shared" ca="1" si="62"/>
        <v>0</v>
      </c>
      <c r="E80" s="74">
        <f ca="1">IFERROR(__xludf.DUMMYFUNCTION("IMPORTRANGE(""https://docs.google.com/spreadsheets/d/1-uDff_7J0KD5mKrp0Vvzr7lt3OU09vwQwhkpOPPYv2Y/edit?usp=sharing"",""งบพรบ!AN80"")"),0)</f>
        <v>0</v>
      </c>
      <c r="F80" s="74">
        <f ca="1">IFERROR(__xludf.DUMMYFUNCTION("IMPORTRANGE(""https://docs.google.com/spreadsheets/d/1-uDff_7J0KD5mKrp0Vvzr7lt3OU09vwQwhkpOPPYv2Y/edit?usp=sharing"",""งบพรบ!AO80"")"),0)</f>
        <v>0</v>
      </c>
      <c r="G80" s="74">
        <f ca="1">IFERROR(__xludf.DUMMYFUNCTION("IMPORTRANGE(""https://docs.google.com/spreadsheets/d/1-uDff_7J0KD5mKrp0Vvzr7lt3OU09vwQwhkpOPPYv2Y/edit?usp=sharing"",""งบพรบ!AP80"")"),0)</f>
        <v>0</v>
      </c>
      <c r="H80" s="74">
        <f ca="1">IFERROR(__xludf.DUMMYFUNCTION("IMPORTRANGE(""https://docs.google.com/spreadsheets/d/1-uDff_7J0KD5mKrp0Vvzr7lt3OU09vwQwhkpOPPYv2Y/edit?usp=sharing"",""งบพรบ!AR80"")"),0)</f>
        <v>0</v>
      </c>
      <c r="I80" s="74">
        <f ca="1">IFERROR(__xludf.DUMMYFUNCTION("IMPORTRANGE(""https://docs.google.com/spreadsheets/d/1-uDff_7J0KD5mKrp0Vvzr7lt3OU09vwQwhkpOPPYv2Y/edit?usp=sharing"",""งบพรบ!AS80"")"),0)</f>
        <v>0</v>
      </c>
      <c r="J80" s="74">
        <f t="shared" ca="1" si="29"/>
        <v>0</v>
      </c>
      <c r="K80" s="75">
        <f t="shared" ca="1" si="30"/>
        <v>0</v>
      </c>
      <c r="L80" s="74">
        <f ca="1">IFERROR(__xludf.DUMMYFUNCTION("IMPORTRANGE(""https://docs.google.com/spreadsheets/d/1-uDff_7J0KD5mKrp0Vvzr7lt3OU09vwQwhkpOPPYv2Y/edit?usp=sharing"",""งบพรบ!AT80"")"),0)</f>
        <v>0</v>
      </c>
      <c r="M80" s="76">
        <f t="shared" ca="1" si="31"/>
        <v>0</v>
      </c>
      <c r="N80" s="76">
        <f t="shared" ca="1" si="32"/>
        <v>0</v>
      </c>
      <c r="O80" s="77">
        <f ca="1">IFERROR(__xludf.DUMMYFUNCTION("IMPORTRANGE(""https://docs.google.com/spreadsheets/d/1-uDff_7J0KD5mKrp0Vvzr7lt3OU09vwQwhkpOPPYv2Y/edit?usp=sharing"",""งบพรบ!AU80"")"),0)</f>
        <v>0</v>
      </c>
      <c r="P80" s="77">
        <f t="shared" ca="1" si="33"/>
        <v>0</v>
      </c>
      <c r="Q80" s="76">
        <f t="shared" ca="1" si="34"/>
        <v>0</v>
      </c>
      <c r="R80" s="67">
        <f ca="1">IFERROR(__xludf.DUMMYFUNCTION("IMPORTRANGE(""https://docs.google.com/spreadsheets/d/1SDNX3JhDdYRuIOsj0Wh2M-Qa_eaXl0NbWmhAOTbfQAs/edit?usp=sharing"",""ปัตตานี!Q72"")"),0)</f>
        <v>0</v>
      </c>
      <c r="S80" s="67">
        <f ca="1">IFERROR(__xludf.DUMMYFUNCTION("IMPORTRANGE(""https://docs.google.com/spreadsheets/d/1SDNX3JhDdYRuIOsj0Wh2M-Qa_eaXl0NbWmhAOTbfQAs/edit?usp=sharing"",""ปัตตานี!R72"")"),0)</f>
        <v>0</v>
      </c>
      <c r="T80" s="67">
        <f ca="1">IFERROR(__xludf.DUMMYFUNCTION("IMPORTRANGE(""https://docs.google.com/spreadsheets/d/1SDNX3JhDdYRuIOsj0Wh2M-Qa_eaXl0NbWmhAOTbfQAs/edit?usp=sharing"",""ปัตตานี!S72"")"),0)</f>
        <v>0</v>
      </c>
      <c r="U80" s="68">
        <f t="shared" ca="1" si="36"/>
        <v>0</v>
      </c>
      <c r="V80" s="68">
        <f t="shared" ca="1" si="37"/>
        <v>0</v>
      </c>
      <c r="W80" s="78">
        <f t="shared" ca="1" si="38"/>
        <v>0</v>
      </c>
      <c r="X80" s="78">
        <f t="shared" ca="1" si="39"/>
        <v>0</v>
      </c>
      <c r="Y80" s="78">
        <f t="shared" ca="1" si="63"/>
        <v>0</v>
      </c>
      <c r="Z80" s="79">
        <f t="shared" ca="1" si="40"/>
        <v>0</v>
      </c>
      <c r="AA80" s="78">
        <f t="shared" ca="1" si="64"/>
        <v>0</v>
      </c>
      <c r="AB80" s="79">
        <f t="shared" ca="1" si="41"/>
        <v>0</v>
      </c>
      <c r="AC80" s="74">
        <f ca="1">IFERROR(__xludf.DUMMYFUNCTION("IMPORTRANGE(""https://docs.google.com/spreadsheets/d/1SDNX3JhDdYRuIOsj0Wh2M-Qa_eaXl0NbWmhAOTbfQAs/edit?usp=sharing"",""ปัตตานี!I84"")"),0)</f>
        <v>0</v>
      </c>
      <c r="AD80" s="74">
        <f ca="1">IFERROR(__xludf.DUMMYFUNCTION("IMPORTRANGE(""https://docs.google.com/spreadsheets/d/1SDNX3JhDdYRuIOsj0Wh2M-Qa_eaXl0NbWmhAOTbfQAs/edit?usp=sharing"",""ปัตตานี!I85"")"),0)</f>
        <v>0</v>
      </c>
      <c r="AE80" s="78">
        <f ca="1">IFERROR(__xludf.DUMMYFUNCTION("IMPORTRANGE(""https://docs.google.com/spreadsheets/d/1SDNX3JhDdYRuIOsj0Wh2M-Qa_eaXl0NbWmhAOTbfQAs/edit?usp=sharing"",""ปัตตานี!J84"")"),0)</f>
        <v>0</v>
      </c>
      <c r="AF80" s="78">
        <f ca="1">IFERROR(__xludf.DUMMYFUNCTION("IMPORTRANGE(""https://docs.google.com/spreadsheets/d/1SDNX3JhDdYRuIOsj0Wh2M-Qa_eaXl0NbWmhAOTbfQAs/edit?usp=sharing"",""ปัตตานี!J85"")"),0)</f>
        <v>0</v>
      </c>
      <c r="AG80" s="74">
        <f ca="1">IFERROR(__xludf.DUMMYFUNCTION("IMPORTRANGE(""https://docs.google.com/spreadsheets/d/1SDNX3JhDdYRuIOsj0Wh2M-Qa_eaXl0NbWmhAOTbfQAs/edit?usp=sharing"",""ปัตตานี!I86"")"),0)</f>
        <v>0</v>
      </c>
      <c r="AH80" s="74">
        <f ca="1">IFERROR(__xludf.DUMMYFUNCTION("IMPORTRANGE(""https://docs.google.com/spreadsheets/d/1SDNX3JhDdYRuIOsj0Wh2M-Qa_eaXl0NbWmhAOTbfQAs/edit?usp=sharing"",""ปัตตานี!I87"")"),0)</f>
        <v>0</v>
      </c>
      <c r="AI80" s="78">
        <f ca="1">IFERROR(__xludf.DUMMYFUNCTION("IMPORTRANGE(""https://docs.google.com/spreadsheets/d/1SDNX3JhDdYRuIOsj0Wh2M-Qa_eaXl0NbWmhAOTbfQAs/edit?usp=sharing"",""ปัตตานี!J86"")"),0)</f>
        <v>0</v>
      </c>
      <c r="AJ80" s="78">
        <f ca="1">IFERROR(__xludf.DUMMYFUNCTION("IMPORTRANGE(""https://docs.google.com/spreadsheets/d/1SDNX3JhDdYRuIOsj0Wh2M-Qa_eaXl0NbWmhAOTbfQAs/edit?usp=sharing"",""ปัตตานี!J87"")"),0)</f>
        <v>0</v>
      </c>
      <c r="AK80" s="74">
        <f ca="1">IFERROR(__xludf.DUMMYFUNCTION("IMPORTRANGE(""https://docs.google.com/spreadsheets/d/1SDNX3JhDdYRuIOsj0Wh2M-Qa_eaXl0NbWmhAOTbfQAs/edit?usp=sharing"",""ปัตตานี!I88"")"),0)</f>
        <v>0</v>
      </c>
      <c r="AL80" s="74">
        <f ca="1">IFERROR(__xludf.DUMMYFUNCTION("IMPORTRANGE(""https://docs.google.com/spreadsheets/d/1SDNX3JhDdYRuIOsj0Wh2M-Qa_eaXl0NbWmhAOTbfQAs/edit?usp=sharing"",""ปัตตานี!I89"")"),0)</f>
        <v>0</v>
      </c>
      <c r="AM80" s="78">
        <f ca="1">IFERROR(__xludf.DUMMYFUNCTION("IMPORTRANGE(""https://docs.google.com/spreadsheets/d/1SDNX3JhDdYRuIOsj0Wh2M-Qa_eaXl0NbWmhAOTbfQAs/edit?usp=sharing"",""ปัตตานี!J88"")"),0)</f>
        <v>0</v>
      </c>
      <c r="AN80" s="78">
        <f ca="1">IFERROR(__xludf.DUMMYFUNCTION("IMPORTRANGE(""https://docs.google.com/spreadsheets/d/1SDNX3JhDdYRuIOsj0Wh2M-Qa_eaXl0NbWmhAOTbfQAs/edit?usp=sharing"",""ปัตตานี!J89"")"),0)</f>
        <v>0</v>
      </c>
      <c r="AO80" s="74">
        <f ca="1">IFERROR(__xludf.DUMMYFUNCTION("IMPORTRANGE(""https://docs.google.com/spreadsheets/d/1SDNX3JhDdYRuIOsj0Wh2M-Qa_eaXl0NbWmhAOTbfQAs/edit?usp=sharing"",""ปัตตานี!I90"")"),0)</f>
        <v>0</v>
      </c>
      <c r="AP80" s="78">
        <f ca="1">IFERROR(__xludf.DUMMYFUNCTION("IMPORTRANGE(""https://docs.google.com/spreadsheets/d/1SDNX3JhDdYRuIOsj0Wh2M-Qa_eaXl0NbWmhAOTbfQAs/edit?usp=sharing"",""ปัตตานี!J90"")"),0)</f>
        <v>0</v>
      </c>
      <c r="AQ80" s="76">
        <f t="shared" ca="1" si="43"/>
        <v>0</v>
      </c>
    </row>
    <row r="81" spans="1:43" ht="21" customHeight="1" x14ac:dyDescent="0.3">
      <c r="A81" s="70">
        <v>7</v>
      </c>
      <c r="B81" s="71" t="s">
        <v>109</v>
      </c>
      <c r="C81" s="72">
        <f t="shared" ca="1" si="27"/>
        <v>0</v>
      </c>
      <c r="D81" s="73">
        <f t="shared" ca="1" si="62"/>
        <v>0</v>
      </c>
      <c r="E81" s="74">
        <f ca="1">IFERROR(__xludf.DUMMYFUNCTION("IMPORTRANGE(""https://docs.google.com/spreadsheets/d/1-uDff_7J0KD5mKrp0Vvzr7lt3OU09vwQwhkpOPPYv2Y/edit?usp=sharing"",""งบพรบ!AN81"")"),0)</f>
        <v>0</v>
      </c>
      <c r="F81" s="74">
        <f ca="1">IFERROR(__xludf.DUMMYFUNCTION("IMPORTRANGE(""https://docs.google.com/spreadsheets/d/1-uDff_7J0KD5mKrp0Vvzr7lt3OU09vwQwhkpOPPYv2Y/edit?usp=sharing"",""งบพรบ!AO81"")"),0)</f>
        <v>0</v>
      </c>
      <c r="G81" s="74">
        <f ca="1">IFERROR(__xludf.DUMMYFUNCTION("IMPORTRANGE(""https://docs.google.com/spreadsheets/d/1-uDff_7J0KD5mKrp0Vvzr7lt3OU09vwQwhkpOPPYv2Y/edit?usp=sharing"",""งบพรบ!AP81"")"),0)</f>
        <v>0</v>
      </c>
      <c r="H81" s="74">
        <f ca="1">IFERROR(__xludf.DUMMYFUNCTION("IMPORTRANGE(""https://docs.google.com/spreadsheets/d/1-uDff_7J0KD5mKrp0Vvzr7lt3OU09vwQwhkpOPPYv2Y/edit?usp=sharing"",""งบพรบ!AR81"")"),0)</f>
        <v>0</v>
      </c>
      <c r="I81" s="74">
        <f ca="1">IFERROR(__xludf.DUMMYFUNCTION("IMPORTRANGE(""https://docs.google.com/spreadsheets/d/1-uDff_7J0KD5mKrp0Vvzr7lt3OU09vwQwhkpOPPYv2Y/edit?usp=sharing"",""งบพรบ!AS81"")"),0)</f>
        <v>0</v>
      </c>
      <c r="J81" s="74">
        <f t="shared" ca="1" si="29"/>
        <v>0</v>
      </c>
      <c r="K81" s="75">
        <f t="shared" ca="1" si="30"/>
        <v>0</v>
      </c>
      <c r="L81" s="74">
        <f ca="1">IFERROR(__xludf.DUMMYFUNCTION("IMPORTRANGE(""https://docs.google.com/spreadsheets/d/1-uDff_7J0KD5mKrp0Vvzr7lt3OU09vwQwhkpOPPYv2Y/edit?usp=sharing"",""งบพรบ!AT81"")"),0)</f>
        <v>0</v>
      </c>
      <c r="M81" s="76">
        <f t="shared" ca="1" si="31"/>
        <v>0</v>
      </c>
      <c r="N81" s="76">
        <f t="shared" ca="1" si="32"/>
        <v>0</v>
      </c>
      <c r="O81" s="77">
        <f ca="1">IFERROR(__xludf.DUMMYFUNCTION("IMPORTRANGE(""https://docs.google.com/spreadsheets/d/1-uDff_7J0KD5mKrp0Vvzr7lt3OU09vwQwhkpOPPYv2Y/edit?usp=sharing"",""งบพรบ!AU81"")"),0)</f>
        <v>0</v>
      </c>
      <c r="P81" s="77">
        <f t="shared" ca="1" si="33"/>
        <v>0</v>
      </c>
      <c r="Q81" s="76">
        <f t="shared" ca="1" si="34"/>
        <v>0</v>
      </c>
      <c r="R81" s="67">
        <f ca="1">IFERROR(__xludf.DUMMYFUNCTION("IMPORTRANGE(""https://docs.google.com/spreadsheets/d/16JDLGguT8s5DsGCND1KcwHP_AWR_zDMTqLHPLJUKhaU/edit?usp=sharing"",""พังงา!Q72"")"),0)</f>
        <v>0</v>
      </c>
      <c r="S81" s="67">
        <f ca="1">IFERROR(__xludf.DUMMYFUNCTION("IMPORTRANGE(""https://docs.google.com/spreadsheets/d/16JDLGguT8s5DsGCND1KcwHP_AWR_zDMTqLHPLJUKhaU/edit?usp=sharing"",""พังงา!R72"")"),0)</f>
        <v>0</v>
      </c>
      <c r="T81" s="67">
        <f ca="1">IFERROR(__xludf.DUMMYFUNCTION("IMPORTRANGE(""https://docs.google.com/spreadsheets/d/16JDLGguT8s5DsGCND1KcwHP_AWR_zDMTqLHPLJUKhaU/edit?usp=sharing"",""พังงา!S72"")"),0)</f>
        <v>0</v>
      </c>
      <c r="U81" s="68">
        <f t="shared" ca="1" si="36"/>
        <v>0</v>
      </c>
      <c r="V81" s="68">
        <f t="shared" ca="1" si="37"/>
        <v>0</v>
      </c>
      <c r="W81" s="78">
        <f t="shared" ca="1" si="38"/>
        <v>0</v>
      </c>
      <c r="X81" s="78">
        <f t="shared" ca="1" si="39"/>
        <v>0</v>
      </c>
      <c r="Y81" s="78">
        <f t="shared" ca="1" si="63"/>
        <v>0</v>
      </c>
      <c r="Z81" s="79">
        <f t="shared" ca="1" si="40"/>
        <v>0</v>
      </c>
      <c r="AA81" s="78">
        <f t="shared" ca="1" si="64"/>
        <v>0</v>
      </c>
      <c r="AB81" s="79">
        <f t="shared" ca="1" si="41"/>
        <v>0</v>
      </c>
      <c r="AC81" s="74">
        <f ca="1">IFERROR(__xludf.DUMMYFUNCTION("IMPORTRANGE(""https://docs.google.com/spreadsheets/d/16JDLGguT8s5DsGCND1KcwHP_AWR_zDMTqLHPLJUKhaU/edit?usp=sharing"",""พังงา!I84"")"),0)</f>
        <v>0</v>
      </c>
      <c r="AD81" s="74">
        <f ca="1">IFERROR(__xludf.DUMMYFUNCTION("IMPORTRANGE(""https://docs.google.com/spreadsheets/d/16JDLGguT8s5DsGCND1KcwHP_AWR_zDMTqLHPLJUKhaU/edit?usp=sharing"",""พังงา!I85"")"),0)</f>
        <v>0</v>
      </c>
      <c r="AE81" s="78">
        <f ca="1">IFERROR(__xludf.DUMMYFUNCTION("IMPORTRANGE(""https://docs.google.com/spreadsheets/d/16JDLGguT8s5DsGCND1KcwHP_AWR_zDMTqLHPLJUKhaU/edit?usp=sharing"",""พังงา!J84"")"),0)</f>
        <v>0</v>
      </c>
      <c r="AF81" s="78">
        <f ca="1">IFERROR(__xludf.DUMMYFUNCTION("IMPORTRANGE(""https://docs.google.com/spreadsheets/d/16JDLGguT8s5DsGCND1KcwHP_AWR_zDMTqLHPLJUKhaU/edit?usp=sharing"",""พังงา!J85"")"),0)</f>
        <v>0</v>
      </c>
      <c r="AG81" s="74">
        <f ca="1">IFERROR(__xludf.DUMMYFUNCTION("IMPORTRANGE(""https://docs.google.com/spreadsheets/d/16JDLGguT8s5DsGCND1KcwHP_AWR_zDMTqLHPLJUKhaU/edit?usp=sharing"",""พังงา!I86"")"),0)</f>
        <v>0</v>
      </c>
      <c r="AH81" s="74">
        <f ca="1">IFERROR(__xludf.DUMMYFUNCTION("IMPORTRANGE(""https://docs.google.com/spreadsheets/d/16JDLGguT8s5DsGCND1KcwHP_AWR_zDMTqLHPLJUKhaU/edit?usp=sharing"",""พังงา!I87"")"),0)</f>
        <v>0</v>
      </c>
      <c r="AI81" s="78">
        <f ca="1">IFERROR(__xludf.DUMMYFUNCTION("IMPORTRANGE(""https://docs.google.com/spreadsheets/d/16JDLGguT8s5DsGCND1KcwHP_AWR_zDMTqLHPLJUKhaU/edit?usp=sharing"",""พังงา!J86"")"),0)</f>
        <v>0</v>
      </c>
      <c r="AJ81" s="78">
        <f ca="1">IFERROR(__xludf.DUMMYFUNCTION("IMPORTRANGE(""https://docs.google.com/spreadsheets/d/16JDLGguT8s5DsGCND1KcwHP_AWR_zDMTqLHPLJUKhaU/edit?usp=sharing"",""พังงา!J87"")"),0)</f>
        <v>0</v>
      </c>
      <c r="AK81" s="74">
        <f ca="1">IFERROR(__xludf.DUMMYFUNCTION("IMPORTRANGE(""https://docs.google.com/spreadsheets/d/16JDLGguT8s5DsGCND1KcwHP_AWR_zDMTqLHPLJUKhaU/edit?usp=sharing"",""พังงา!I88"")"),0)</f>
        <v>0</v>
      </c>
      <c r="AL81" s="74">
        <f ca="1">IFERROR(__xludf.DUMMYFUNCTION("IMPORTRANGE(""https://docs.google.com/spreadsheets/d/16JDLGguT8s5DsGCND1KcwHP_AWR_zDMTqLHPLJUKhaU/edit?usp=sharing"",""พังงา!I89"")"),0)</f>
        <v>0</v>
      </c>
      <c r="AM81" s="78">
        <f ca="1">IFERROR(__xludf.DUMMYFUNCTION("IMPORTRANGE(""https://docs.google.com/spreadsheets/d/16JDLGguT8s5DsGCND1KcwHP_AWR_zDMTqLHPLJUKhaU/edit?usp=sharing"",""พังงา!J88"")"),0)</f>
        <v>0</v>
      </c>
      <c r="AN81" s="78">
        <f ca="1">IFERROR(__xludf.DUMMYFUNCTION("IMPORTRANGE(""https://docs.google.com/spreadsheets/d/16JDLGguT8s5DsGCND1KcwHP_AWR_zDMTqLHPLJUKhaU/edit?usp=sharing"",""พังงา!J89"")"),0)</f>
        <v>0</v>
      </c>
      <c r="AO81" s="74">
        <f ca="1">IFERROR(__xludf.DUMMYFUNCTION("IMPORTRANGE(""https://docs.google.com/spreadsheets/d/16JDLGguT8s5DsGCND1KcwHP_AWR_zDMTqLHPLJUKhaU/edit?usp=sharing"",""พังงา!I90"")"),0)</f>
        <v>0</v>
      </c>
      <c r="AP81" s="78">
        <f ca="1">IFERROR(__xludf.DUMMYFUNCTION("IMPORTRANGE(""https://docs.google.com/spreadsheets/d/16JDLGguT8s5DsGCND1KcwHP_AWR_zDMTqLHPLJUKhaU/edit?usp=sharing"",""พังงา!J90"")"),0)</f>
        <v>0</v>
      </c>
      <c r="AQ81" s="76">
        <f t="shared" ca="1" si="43"/>
        <v>0</v>
      </c>
    </row>
    <row r="82" spans="1:43" ht="21" customHeight="1" x14ac:dyDescent="0.3">
      <c r="A82" s="70">
        <v>8</v>
      </c>
      <c r="B82" s="71" t="s">
        <v>110</v>
      </c>
      <c r="C82" s="72">
        <f t="shared" ca="1" si="27"/>
        <v>503900</v>
      </c>
      <c r="D82" s="73">
        <f t="shared" ca="1" si="62"/>
        <v>503900</v>
      </c>
      <c r="E82" s="74">
        <f ca="1">IFERROR(__xludf.DUMMYFUNCTION("IMPORTRANGE(""https://docs.google.com/spreadsheets/d/1-uDff_7J0KD5mKrp0Vvzr7lt3OU09vwQwhkpOPPYv2Y/edit?usp=sharing"",""งบพรบ!AN82"")"),306900)</f>
        <v>306900</v>
      </c>
      <c r="F82" s="74">
        <f ca="1">IFERROR(__xludf.DUMMYFUNCTION("IMPORTRANGE(""https://docs.google.com/spreadsheets/d/1-uDff_7J0KD5mKrp0Vvzr7lt3OU09vwQwhkpOPPYv2Y/edit?usp=sharing"",""งบพรบ!AO82"")"),197000)</f>
        <v>197000</v>
      </c>
      <c r="G82" s="74">
        <f ca="1">IFERROR(__xludf.DUMMYFUNCTION("IMPORTRANGE(""https://docs.google.com/spreadsheets/d/1-uDff_7J0KD5mKrp0Vvzr7lt3OU09vwQwhkpOPPYv2Y/edit?usp=sharing"",""งบพรบ!AP82"")"),0)</f>
        <v>0</v>
      </c>
      <c r="H82" s="74">
        <f ca="1">IFERROR(__xludf.DUMMYFUNCTION("IMPORTRANGE(""https://docs.google.com/spreadsheets/d/1-uDff_7J0KD5mKrp0Vvzr7lt3OU09vwQwhkpOPPYv2Y/edit?usp=sharing"",""งบพรบ!AR82"")"),503900)</f>
        <v>503900</v>
      </c>
      <c r="I82" s="74">
        <f ca="1">IFERROR(__xludf.DUMMYFUNCTION("IMPORTRANGE(""https://docs.google.com/spreadsheets/d/1-uDff_7J0KD5mKrp0Vvzr7lt3OU09vwQwhkpOPPYv2Y/edit?usp=sharing"",""งบพรบ!AS82"")"),0)</f>
        <v>0</v>
      </c>
      <c r="J82" s="74">
        <f t="shared" ca="1" si="29"/>
        <v>467917.02</v>
      </c>
      <c r="K82" s="75">
        <f t="shared" ca="1" si="30"/>
        <v>92.859102996626319</v>
      </c>
      <c r="L82" s="74">
        <f ca="1">IFERROR(__xludf.DUMMYFUNCTION("IMPORTRANGE(""https://docs.google.com/spreadsheets/d/1-uDff_7J0KD5mKrp0Vvzr7lt3OU09vwQwhkpOPPYv2Y/edit?usp=sharing"",""งบพรบ!AT82"")"),467917.02)</f>
        <v>467917.02</v>
      </c>
      <c r="M82" s="76">
        <f t="shared" ca="1" si="31"/>
        <v>92.859102996626319</v>
      </c>
      <c r="N82" s="76">
        <f t="shared" ca="1" si="32"/>
        <v>92.859102996626319</v>
      </c>
      <c r="O82" s="77">
        <f ca="1">IFERROR(__xludf.DUMMYFUNCTION("IMPORTRANGE(""https://docs.google.com/spreadsheets/d/1-uDff_7J0KD5mKrp0Vvzr7lt3OU09vwQwhkpOPPYv2Y/edit?usp=sharing"",""งบพรบ!AU82"")"),0)</f>
        <v>0</v>
      </c>
      <c r="P82" s="77">
        <f t="shared" ca="1" si="33"/>
        <v>0</v>
      </c>
      <c r="Q82" s="76">
        <f t="shared" ca="1" si="34"/>
        <v>0</v>
      </c>
      <c r="R82" s="67">
        <f ca="1">IFERROR(__xludf.DUMMYFUNCTION("IMPORTRANGE(""https://docs.google.com/spreadsheets/d/17ht0gPKzzT3PObBL1XJkeRmntBXI7wGjpLV7QorqlTk/edit?usp=sharing"",""พัทลุง!Q72"")"),344592)</f>
        <v>344592</v>
      </c>
      <c r="S82" s="67">
        <f ca="1">IFERROR(__xludf.DUMMYFUNCTION("IMPORTRANGE(""https://docs.google.com/spreadsheets/d/17ht0gPKzzT3PObBL1XJkeRmntBXI7wGjpLV7QorqlTk/edit?usp=sharing"",""พัทลุง!R72"")"),224592)</f>
        <v>224592</v>
      </c>
      <c r="T82" s="67">
        <f ca="1">IFERROR(__xludf.DUMMYFUNCTION("IMPORTRANGE(""https://docs.google.com/spreadsheets/d/17ht0gPKzzT3PObBL1XJkeRmntBXI7wGjpLV7QorqlTk/edit?usp=sharing"",""พัทลุง!S72"")"),163672)</f>
        <v>163672</v>
      </c>
      <c r="U82" s="68">
        <f t="shared" ca="1" si="36"/>
        <v>47.497330175976224</v>
      </c>
      <c r="V82" s="68">
        <f t="shared" ca="1" si="37"/>
        <v>72.875258246063979</v>
      </c>
      <c r="W82" s="78">
        <f t="shared" ca="1" si="38"/>
        <v>1</v>
      </c>
      <c r="X82" s="78">
        <f t="shared" ca="1" si="39"/>
        <v>30</v>
      </c>
      <c r="Y82" s="78">
        <f t="shared" ca="1" si="63"/>
        <v>1</v>
      </c>
      <c r="Z82" s="79">
        <f t="shared" ca="1" si="40"/>
        <v>100</v>
      </c>
      <c r="AA82" s="78">
        <f t="shared" ca="1" si="64"/>
        <v>30</v>
      </c>
      <c r="AB82" s="79">
        <f t="shared" ca="1" si="41"/>
        <v>100</v>
      </c>
      <c r="AC82" s="74">
        <f ca="1">IFERROR(__xludf.DUMMYFUNCTION("IMPORTRANGE(""https://docs.google.com/spreadsheets/d/17ht0gPKzzT3PObBL1XJkeRmntBXI7wGjpLV7QorqlTk/edit?usp=sharing"",""พัทลุง!I84"")"),0)</f>
        <v>0</v>
      </c>
      <c r="AD82" s="74">
        <f ca="1">IFERROR(__xludf.DUMMYFUNCTION("IMPORTRANGE(""https://docs.google.com/spreadsheets/d/17ht0gPKzzT3PObBL1XJkeRmntBXI7wGjpLV7QorqlTk/edit?usp=sharing"",""พัทลุง!I85"")"),0)</f>
        <v>0</v>
      </c>
      <c r="AE82" s="78">
        <f ca="1">IFERROR(__xludf.DUMMYFUNCTION("IMPORTRANGE(""https://docs.google.com/spreadsheets/d/17ht0gPKzzT3PObBL1XJkeRmntBXI7wGjpLV7QorqlTk/edit?usp=sharing"",""พัทลุง!J84"")"),0)</f>
        <v>0</v>
      </c>
      <c r="AF82" s="78">
        <f ca="1">IFERROR(__xludf.DUMMYFUNCTION("IMPORTRANGE(""https://docs.google.com/spreadsheets/d/17ht0gPKzzT3PObBL1XJkeRmntBXI7wGjpLV7QorqlTk/edit?usp=sharing"",""พัทลุง!J85"")"),0)</f>
        <v>0</v>
      </c>
      <c r="AG82" s="74">
        <f ca="1">IFERROR(__xludf.DUMMYFUNCTION("IMPORTRANGE(""https://docs.google.com/spreadsheets/d/17ht0gPKzzT3PObBL1XJkeRmntBXI7wGjpLV7QorqlTk/edit?usp=sharing"",""พัทลุง!I86"")"),0)</f>
        <v>0</v>
      </c>
      <c r="AH82" s="74">
        <f ca="1">IFERROR(__xludf.DUMMYFUNCTION("IMPORTRANGE(""https://docs.google.com/spreadsheets/d/17ht0gPKzzT3PObBL1XJkeRmntBXI7wGjpLV7QorqlTk/edit?usp=sharing"",""พัทลุง!I87"")"),0)</f>
        <v>0</v>
      </c>
      <c r="AI82" s="78">
        <f ca="1">IFERROR(__xludf.DUMMYFUNCTION("IMPORTRANGE(""https://docs.google.com/spreadsheets/d/17ht0gPKzzT3PObBL1XJkeRmntBXI7wGjpLV7QorqlTk/edit?usp=sharing"",""พัทลุง!J86"")"),0)</f>
        <v>0</v>
      </c>
      <c r="AJ82" s="78">
        <f ca="1">IFERROR(__xludf.DUMMYFUNCTION("IMPORTRANGE(""https://docs.google.com/spreadsheets/d/17ht0gPKzzT3PObBL1XJkeRmntBXI7wGjpLV7QorqlTk/edit?usp=sharing"",""พัทลุง!J87"")"),0)</f>
        <v>0</v>
      </c>
      <c r="AK82" s="74">
        <f ca="1">IFERROR(__xludf.DUMMYFUNCTION("IMPORTRANGE(""https://docs.google.com/spreadsheets/d/17ht0gPKzzT3PObBL1XJkeRmntBXI7wGjpLV7QorqlTk/edit?usp=sharing"",""พัทลุง!I88"")"),1)</f>
        <v>1</v>
      </c>
      <c r="AL82" s="74">
        <f ca="1">IFERROR(__xludf.DUMMYFUNCTION("IMPORTRANGE(""https://docs.google.com/spreadsheets/d/17ht0gPKzzT3PObBL1XJkeRmntBXI7wGjpLV7QorqlTk/edit?usp=sharing"",""พัทลุง!I89"")"),30)</f>
        <v>30</v>
      </c>
      <c r="AM82" s="78">
        <f ca="1">IFERROR(__xludf.DUMMYFUNCTION("IMPORTRANGE(""https://docs.google.com/spreadsheets/d/17ht0gPKzzT3PObBL1XJkeRmntBXI7wGjpLV7QorqlTk/edit?usp=sharing"",""พัทลุง!J88"")"),1)</f>
        <v>1</v>
      </c>
      <c r="AN82" s="78">
        <f ca="1">IFERROR(__xludf.DUMMYFUNCTION("IMPORTRANGE(""https://docs.google.com/spreadsheets/d/17ht0gPKzzT3PObBL1XJkeRmntBXI7wGjpLV7QorqlTk/edit?usp=sharing"",""พัทลุง!J89"")"),30)</f>
        <v>30</v>
      </c>
      <c r="AO82" s="74">
        <f ca="1">IFERROR(__xludf.DUMMYFUNCTION("IMPORTRANGE(""https://docs.google.com/spreadsheets/d/17ht0gPKzzT3PObBL1XJkeRmntBXI7wGjpLV7QorqlTk/edit?usp=sharing"",""พัทลุง!I90"")"),1)</f>
        <v>1</v>
      </c>
      <c r="AP82" s="78">
        <f ca="1">IFERROR(__xludf.DUMMYFUNCTION("IMPORTRANGE(""https://docs.google.com/spreadsheets/d/17ht0gPKzzT3PObBL1XJkeRmntBXI7wGjpLV7QorqlTk/edit?usp=sharing"",""พัทลุง!J90"")"),1)</f>
        <v>1</v>
      </c>
      <c r="AQ82" s="76">
        <f t="shared" ca="1" si="43"/>
        <v>100</v>
      </c>
    </row>
    <row r="83" spans="1:43" ht="21" customHeight="1" x14ac:dyDescent="0.3">
      <c r="A83" s="70">
        <v>9</v>
      </c>
      <c r="B83" s="71" t="s">
        <v>111</v>
      </c>
      <c r="C83" s="72">
        <f t="shared" ca="1" si="27"/>
        <v>0</v>
      </c>
      <c r="D83" s="73">
        <f t="shared" ca="1" si="62"/>
        <v>0</v>
      </c>
      <c r="E83" s="74">
        <f ca="1">IFERROR(__xludf.DUMMYFUNCTION("IMPORTRANGE(""https://docs.google.com/spreadsheets/d/1-uDff_7J0KD5mKrp0Vvzr7lt3OU09vwQwhkpOPPYv2Y/edit?usp=sharing"",""งบพรบ!AN83"")"),0)</f>
        <v>0</v>
      </c>
      <c r="F83" s="74">
        <f ca="1">IFERROR(__xludf.DUMMYFUNCTION("IMPORTRANGE(""https://docs.google.com/spreadsheets/d/1-uDff_7J0KD5mKrp0Vvzr7lt3OU09vwQwhkpOPPYv2Y/edit?usp=sharing"",""งบพรบ!AO83"")"),0)</f>
        <v>0</v>
      </c>
      <c r="G83" s="74">
        <f ca="1">IFERROR(__xludf.DUMMYFUNCTION("IMPORTRANGE(""https://docs.google.com/spreadsheets/d/1-uDff_7J0KD5mKrp0Vvzr7lt3OU09vwQwhkpOPPYv2Y/edit?usp=sharing"",""งบพรบ!AP83"")"),0)</f>
        <v>0</v>
      </c>
      <c r="H83" s="74">
        <f ca="1">IFERROR(__xludf.DUMMYFUNCTION("IMPORTRANGE(""https://docs.google.com/spreadsheets/d/1-uDff_7J0KD5mKrp0Vvzr7lt3OU09vwQwhkpOPPYv2Y/edit?usp=sharing"",""งบพรบ!AR83"")"),0)</f>
        <v>0</v>
      </c>
      <c r="I83" s="74">
        <f ca="1">IFERROR(__xludf.DUMMYFUNCTION("IMPORTRANGE(""https://docs.google.com/spreadsheets/d/1-uDff_7J0KD5mKrp0Vvzr7lt3OU09vwQwhkpOPPYv2Y/edit?usp=sharing"",""งบพรบ!AS83"")"),0)</f>
        <v>0</v>
      </c>
      <c r="J83" s="74">
        <f t="shared" ca="1" si="29"/>
        <v>0</v>
      </c>
      <c r="K83" s="75">
        <f t="shared" ca="1" si="30"/>
        <v>0</v>
      </c>
      <c r="L83" s="74">
        <f ca="1">IFERROR(__xludf.DUMMYFUNCTION("IMPORTRANGE(""https://docs.google.com/spreadsheets/d/1-uDff_7J0KD5mKrp0Vvzr7lt3OU09vwQwhkpOPPYv2Y/edit?usp=sharing"",""งบพรบ!AT83"")"),0)</f>
        <v>0</v>
      </c>
      <c r="M83" s="76">
        <f t="shared" ca="1" si="31"/>
        <v>0</v>
      </c>
      <c r="N83" s="76">
        <f t="shared" ca="1" si="32"/>
        <v>0</v>
      </c>
      <c r="O83" s="77">
        <f ca="1">IFERROR(__xludf.DUMMYFUNCTION("IMPORTRANGE(""https://docs.google.com/spreadsheets/d/1-uDff_7J0KD5mKrp0Vvzr7lt3OU09vwQwhkpOPPYv2Y/edit?usp=sharing"",""งบพรบ!AU83"")"),0)</f>
        <v>0</v>
      </c>
      <c r="P83" s="77">
        <f t="shared" ca="1" si="33"/>
        <v>0</v>
      </c>
      <c r="Q83" s="76">
        <f t="shared" ca="1" si="34"/>
        <v>0</v>
      </c>
      <c r="R83" s="67">
        <f ca="1">IFERROR(__xludf.DUMMYFUNCTION("IMPORTRANGE(""https://docs.google.com/spreadsheets/d/1rd4qoM1q_hsgaolqNGfrim9gbsoLxQsda4-vOz5x_BM/edit?usp=sharing"",""ภูเก็ต!Q72"")"),0)</f>
        <v>0</v>
      </c>
      <c r="S83" s="67">
        <f ca="1">IFERROR(__xludf.DUMMYFUNCTION("IMPORTRANGE(""https://docs.google.com/spreadsheets/d/1rd4qoM1q_hsgaolqNGfrim9gbsoLxQsda4-vOz5x_BM/edit?usp=sharing"",""ภูเก็ต!R72"")"),0)</f>
        <v>0</v>
      </c>
      <c r="T83" s="67">
        <f ca="1">IFERROR(__xludf.DUMMYFUNCTION("IMPORTRANGE(""https://docs.google.com/spreadsheets/d/1rd4qoM1q_hsgaolqNGfrim9gbsoLxQsda4-vOz5x_BM/edit?usp=sharing"",""ภูเก็ต!S72"")"),0)</f>
        <v>0</v>
      </c>
      <c r="U83" s="68">
        <f t="shared" ca="1" si="36"/>
        <v>0</v>
      </c>
      <c r="V83" s="68">
        <f t="shared" ca="1" si="37"/>
        <v>0</v>
      </c>
      <c r="W83" s="78">
        <f t="shared" ca="1" si="38"/>
        <v>0</v>
      </c>
      <c r="X83" s="78">
        <f t="shared" ca="1" si="39"/>
        <v>0</v>
      </c>
      <c r="Y83" s="78">
        <f t="shared" ca="1" si="63"/>
        <v>0</v>
      </c>
      <c r="Z83" s="79">
        <f t="shared" ca="1" si="40"/>
        <v>0</v>
      </c>
      <c r="AA83" s="78">
        <f t="shared" ca="1" si="64"/>
        <v>0</v>
      </c>
      <c r="AB83" s="79">
        <f t="shared" ca="1" si="41"/>
        <v>0</v>
      </c>
      <c r="AC83" s="74">
        <f ca="1">IFERROR(__xludf.DUMMYFUNCTION("IMPORTRANGE(""https://docs.google.com/spreadsheets/d/1rd4qoM1q_hsgaolqNGfrim9gbsoLxQsda4-vOz5x_BM/edit?usp=sharing"",""ภูเก็ต!I84"")"),0)</f>
        <v>0</v>
      </c>
      <c r="AD83" s="74">
        <f ca="1">IFERROR(__xludf.DUMMYFUNCTION("IMPORTRANGE(""https://docs.google.com/spreadsheets/d/1rd4qoM1q_hsgaolqNGfrim9gbsoLxQsda4-vOz5x_BM/edit?usp=sharing"",""ภูเก็ต!I85"")"),0)</f>
        <v>0</v>
      </c>
      <c r="AE83" s="78">
        <f ca="1">IFERROR(__xludf.DUMMYFUNCTION("IMPORTRANGE(""https://docs.google.com/spreadsheets/d/1rd4qoM1q_hsgaolqNGfrim9gbsoLxQsda4-vOz5x_BM/edit?usp=sharing"",""ภูเก็ต!J84"")"),0)</f>
        <v>0</v>
      </c>
      <c r="AF83" s="78">
        <f ca="1">IFERROR(__xludf.DUMMYFUNCTION("IMPORTRANGE(""https://docs.google.com/spreadsheets/d/1rd4qoM1q_hsgaolqNGfrim9gbsoLxQsda4-vOz5x_BM/edit?usp=sharing"",""ภูเก็ต!J85"")"),0)</f>
        <v>0</v>
      </c>
      <c r="AG83" s="74">
        <f ca="1">IFERROR(__xludf.DUMMYFUNCTION("IMPORTRANGE(""https://docs.google.com/spreadsheets/d/1rd4qoM1q_hsgaolqNGfrim9gbsoLxQsda4-vOz5x_BM/edit?usp=sharing"",""ภูเก็ต!I86"")"),0)</f>
        <v>0</v>
      </c>
      <c r="AH83" s="74">
        <f ca="1">IFERROR(__xludf.DUMMYFUNCTION("IMPORTRANGE(""https://docs.google.com/spreadsheets/d/1rd4qoM1q_hsgaolqNGfrim9gbsoLxQsda4-vOz5x_BM/edit?usp=sharing"",""ภูเก็ต!I87"")"),0)</f>
        <v>0</v>
      </c>
      <c r="AI83" s="78">
        <f ca="1">IFERROR(__xludf.DUMMYFUNCTION("IMPORTRANGE(""https://docs.google.com/spreadsheets/d/1rd4qoM1q_hsgaolqNGfrim9gbsoLxQsda4-vOz5x_BM/edit?usp=sharing"",""ภูเก็ต!J86"")"),0)</f>
        <v>0</v>
      </c>
      <c r="AJ83" s="78">
        <f ca="1">IFERROR(__xludf.DUMMYFUNCTION("IMPORTRANGE(""https://docs.google.com/spreadsheets/d/1rd4qoM1q_hsgaolqNGfrim9gbsoLxQsda4-vOz5x_BM/edit?usp=sharing"",""ภูเก็ต!J87"")"),0)</f>
        <v>0</v>
      </c>
      <c r="AK83" s="74">
        <f ca="1">IFERROR(__xludf.DUMMYFUNCTION("IMPORTRANGE(""https://docs.google.com/spreadsheets/d/1rd4qoM1q_hsgaolqNGfrim9gbsoLxQsda4-vOz5x_BM/edit?usp=sharing"",""ภูเก็ต!I88"")"),0)</f>
        <v>0</v>
      </c>
      <c r="AL83" s="74">
        <f ca="1">IFERROR(__xludf.DUMMYFUNCTION("IMPORTRANGE(""https://docs.google.com/spreadsheets/d/1rd4qoM1q_hsgaolqNGfrim9gbsoLxQsda4-vOz5x_BM/edit?usp=sharing"",""ภูเก็ต!I89"")"),0)</f>
        <v>0</v>
      </c>
      <c r="AM83" s="78">
        <f ca="1">IFERROR(__xludf.DUMMYFUNCTION("IMPORTRANGE(""https://docs.google.com/spreadsheets/d/1rd4qoM1q_hsgaolqNGfrim9gbsoLxQsda4-vOz5x_BM/edit?usp=sharing"",""ภูเก็ต!J88"")"),0)</f>
        <v>0</v>
      </c>
      <c r="AN83" s="78">
        <f ca="1">IFERROR(__xludf.DUMMYFUNCTION("IMPORTRANGE(""https://docs.google.com/spreadsheets/d/1rd4qoM1q_hsgaolqNGfrim9gbsoLxQsda4-vOz5x_BM/edit?usp=sharing"",""ภูเก็ต!J89"")"),0)</f>
        <v>0</v>
      </c>
      <c r="AO83" s="74">
        <f ca="1">IFERROR(__xludf.DUMMYFUNCTION("IMPORTRANGE(""https://docs.google.com/spreadsheets/d/1rd4qoM1q_hsgaolqNGfrim9gbsoLxQsda4-vOz5x_BM/edit?usp=sharing"",""ภูเก็ต!I90"")"),0)</f>
        <v>0</v>
      </c>
      <c r="AP83" s="78">
        <f ca="1">IFERROR(__xludf.DUMMYFUNCTION("IMPORTRANGE(""https://docs.google.com/spreadsheets/d/1rd4qoM1q_hsgaolqNGfrim9gbsoLxQsda4-vOz5x_BM/edit?usp=sharing"",""ภูเก็ต!J90"")"),0)</f>
        <v>0</v>
      </c>
      <c r="AQ83" s="76">
        <f t="shared" ca="1" si="43"/>
        <v>0</v>
      </c>
    </row>
    <row r="84" spans="1:43" ht="21" customHeight="1" x14ac:dyDescent="0.3">
      <c r="A84" s="70">
        <v>10</v>
      </c>
      <c r="B84" s="71" t="s">
        <v>112</v>
      </c>
      <c r="C84" s="72">
        <f t="shared" ca="1" si="27"/>
        <v>0</v>
      </c>
      <c r="D84" s="73">
        <f t="shared" ca="1" si="62"/>
        <v>0</v>
      </c>
      <c r="E84" s="74">
        <f ca="1">IFERROR(__xludf.DUMMYFUNCTION("IMPORTRANGE(""https://docs.google.com/spreadsheets/d/1-uDff_7J0KD5mKrp0Vvzr7lt3OU09vwQwhkpOPPYv2Y/edit?usp=sharing"",""งบพรบ!AN84"")"),0)</f>
        <v>0</v>
      </c>
      <c r="F84" s="74">
        <f ca="1">IFERROR(__xludf.DUMMYFUNCTION("IMPORTRANGE(""https://docs.google.com/spreadsheets/d/1-uDff_7J0KD5mKrp0Vvzr7lt3OU09vwQwhkpOPPYv2Y/edit?usp=sharing"",""งบพรบ!AO84"")"),0)</f>
        <v>0</v>
      </c>
      <c r="G84" s="74">
        <f ca="1">IFERROR(__xludf.DUMMYFUNCTION("IMPORTRANGE(""https://docs.google.com/spreadsheets/d/1-uDff_7J0KD5mKrp0Vvzr7lt3OU09vwQwhkpOPPYv2Y/edit?usp=sharing"",""งบพรบ!AP84"")"),0)</f>
        <v>0</v>
      </c>
      <c r="H84" s="74">
        <f ca="1">IFERROR(__xludf.DUMMYFUNCTION("IMPORTRANGE(""https://docs.google.com/spreadsheets/d/1-uDff_7J0KD5mKrp0Vvzr7lt3OU09vwQwhkpOPPYv2Y/edit?usp=sharing"",""งบพรบ!AR84"")"),0)</f>
        <v>0</v>
      </c>
      <c r="I84" s="74">
        <f ca="1">IFERROR(__xludf.DUMMYFUNCTION("IMPORTRANGE(""https://docs.google.com/spreadsheets/d/1-uDff_7J0KD5mKrp0Vvzr7lt3OU09vwQwhkpOPPYv2Y/edit?usp=sharing"",""งบพรบ!AS84"")"),0)</f>
        <v>0</v>
      </c>
      <c r="J84" s="74">
        <f t="shared" ca="1" si="29"/>
        <v>0</v>
      </c>
      <c r="K84" s="75">
        <f t="shared" ca="1" si="30"/>
        <v>0</v>
      </c>
      <c r="L84" s="74">
        <f ca="1">IFERROR(__xludf.DUMMYFUNCTION("IMPORTRANGE(""https://docs.google.com/spreadsheets/d/1-uDff_7J0KD5mKrp0Vvzr7lt3OU09vwQwhkpOPPYv2Y/edit?usp=sharing"",""งบพรบ!AT84"")"),0)</f>
        <v>0</v>
      </c>
      <c r="M84" s="76">
        <f t="shared" ca="1" si="31"/>
        <v>0</v>
      </c>
      <c r="N84" s="76">
        <f t="shared" ca="1" si="32"/>
        <v>0</v>
      </c>
      <c r="O84" s="77">
        <f ca="1">IFERROR(__xludf.DUMMYFUNCTION("IMPORTRANGE(""https://docs.google.com/spreadsheets/d/1-uDff_7J0KD5mKrp0Vvzr7lt3OU09vwQwhkpOPPYv2Y/edit?usp=sharing"",""งบพรบ!AU84"")"),0)</f>
        <v>0</v>
      </c>
      <c r="P84" s="77">
        <f t="shared" ca="1" si="33"/>
        <v>0</v>
      </c>
      <c r="Q84" s="76">
        <f t="shared" ca="1" si="34"/>
        <v>0</v>
      </c>
      <c r="R84" s="67">
        <f ca="1">IFERROR(__xludf.DUMMYFUNCTION("IMPORTRANGE(""https://docs.google.com/spreadsheets/d/1woKwKjgoLssDvPcPeVyezB5izizAn4X1JDrys69n6xI/edit?usp=sharing"",""ยะลา!Q72"")"),0)</f>
        <v>0</v>
      </c>
      <c r="S84" s="67">
        <f ca="1">IFERROR(__xludf.DUMMYFUNCTION("IMPORTRANGE(""https://docs.google.com/spreadsheets/d/1woKwKjgoLssDvPcPeVyezB5izizAn4X1JDrys69n6xI/edit?usp=sharing"",""ยะลา!R72"")"),0)</f>
        <v>0</v>
      </c>
      <c r="T84" s="67">
        <f ca="1">IFERROR(__xludf.DUMMYFUNCTION("IMPORTRANGE(""https://docs.google.com/spreadsheets/d/1woKwKjgoLssDvPcPeVyezB5izizAn4X1JDrys69n6xI/edit?usp=sharing"",""ยะลา!S72"")"),0)</f>
        <v>0</v>
      </c>
      <c r="U84" s="68">
        <f t="shared" ca="1" si="36"/>
        <v>0</v>
      </c>
      <c r="V84" s="68">
        <f t="shared" ca="1" si="37"/>
        <v>0</v>
      </c>
      <c r="W84" s="78">
        <f t="shared" ca="1" si="38"/>
        <v>0</v>
      </c>
      <c r="X84" s="78">
        <f t="shared" ca="1" si="39"/>
        <v>0</v>
      </c>
      <c r="Y84" s="78">
        <f t="shared" ca="1" si="63"/>
        <v>0</v>
      </c>
      <c r="Z84" s="79">
        <f t="shared" ca="1" si="40"/>
        <v>0</v>
      </c>
      <c r="AA84" s="78">
        <f t="shared" ca="1" si="64"/>
        <v>0</v>
      </c>
      <c r="AB84" s="79">
        <f t="shared" ca="1" si="41"/>
        <v>0</v>
      </c>
      <c r="AC84" s="74">
        <f ca="1">IFERROR(__xludf.DUMMYFUNCTION("IMPORTRANGE(""https://docs.google.com/spreadsheets/d/1woKwKjgoLssDvPcPeVyezB5izizAn4X1JDrys69n6xI/edit?usp=sharing"",""ยะลา!I84"")"),0)</f>
        <v>0</v>
      </c>
      <c r="AD84" s="74">
        <f ca="1">IFERROR(__xludf.DUMMYFUNCTION("IMPORTRANGE(""https://docs.google.com/spreadsheets/d/1woKwKjgoLssDvPcPeVyezB5izizAn4X1JDrys69n6xI/edit?usp=sharing"",""ยะลา!I85"")"),0)</f>
        <v>0</v>
      </c>
      <c r="AE84" s="78">
        <f ca="1">IFERROR(__xludf.DUMMYFUNCTION("IMPORTRANGE(""https://docs.google.com/spreadsheets/d/1woKwKjgoLssDvPcPeVyezB5izizAn4X1JDrys69n6xI/edit?usp=sharing"",""ยะลา!J84"")"),0)</f>
        <v>0</v>
      </c>
      <c r="AF84" s="78">
        <f ca="1">IFERROR(__xludf.DUMMYFUNCTION("IMPORTRANGE(""https://docs.google.com/spreadsheets/d/1woKwKjgoLssDvPcPeVyezB5izizAn4X1JDrys69n6xI/edit?usp=sharing"",""ยะลา!J85"")"),0)</f>
        <v>0</v>
      </c>
      <c r="AG84" s="74">
        <f ca="1">IFERROR(__xludf.DUMMYFUNCTION("IMPORTRANGE(""https://docs.google.com/spreadsheets/d/1woKwKjgoLssDvPcPeVyezB5izizAn4X1JDrys69n6xI/edit?usp=sharing"",""ยะลา!I86"")"),0)</f>
        <v>0</v>
      </c>
      <c r="AH84" s="74">
        <f ca="1">IFERROR(__xludf.DUMMYFUNCTION("IMPORTRANGE(""https://docs.google.com/spreadsheets/d/1woKwKjgoLssDvPcPeVyezB5izizAn4X1JDrys69n6xI/edit?usp=sharing"",""ยะลา!I87"")"),0)</f>
        <v>0</v>
      </c>
      <c r="AI84" s="78">
        <f ca="1">IFERROR(__xludf.DUMMYFUNCTION("IMPORTRANGE(""https://docs.google.com/spreadsheets/d/1woKwKjgoLssDvPcPeVyezB5izizAn4X1JDrys69n6xI/edit?usp=sharing"",""ยะลา!J86"")"),0)</f>
        <v>0</v>
      </c>
      <c r="AJ84" s="78">
        <f ca="1">IFERROR(__xludf.DUMMYFUNCTION("IMPORTRANGE(""https://docs.google.com/spreadsheets/d/1woKwKjgoLssDvPcPeVyezB5izizAn4X1JDrys69n6xI/edit?usp=sharing"",""ยะลา!J87"")"),0)</f>
        <v>0</v>
      </c>
      <c r="AK84" s="74">
        <f ca="1">IFERROR(__xludf.DUMMYFUNCTION("IMPORTRANGE(""https://docs.google.com/spreadsheets/d/1woKwKjgoLssDvPcPeVyezB5izizAn4X1JDrys69n6xI/edit?usp=sharing"",""ยะลา!I88"")"),0)</f>
        <v>0</v>
      </c>
      <c r="AL84" s="74">
        <f ca="1">IFERROR(__xludf.DUMMYFUNCTION("IMPORTRANGE(""https://docs.google.com/spreadsheets/d/1woKwKjgoLssDvPcPeVyezB5izizAn4X1JDrys69n6xI/edit?usp=sharing"",""ยะลา!I89"")"),0)</f>
        <v>0</v>
      </c>
      <c r="AM84" s="78">
        <f ca="1">IFERROR(__xludf.DUMMYFUNCTION("IMPORTRANGE(""https://docs.google.com/spreadsheets/d/1woKwKjgoLssDvPcPeVyezB5izizAn4X1JDrys69n6xI/edit?usp=sharing"",""ยะลา!J88"")"),0)</f>
        <v>0</v>
      </c>
      <c r="AN84" s="78">
        <f ca="1">IFERROR(__xludf.DUMMYFUNCTION("IMPORTRANGE(""https://docs.google.com/spreadsheets/d/1woKwKjgoLssDvPcPeVyezB5izizAn4X1JDrys69n6xI/edit?usp=sharing"",""ยะลา!J89"")"),0)</f>
        <v>0</v>
      </c>
      <c r="AO84" s="74">
        <f ca="1">IFERROR(__xludf.DUMMYFUNCTION("IMPORTRANGE(""https://docs.google.com/spreadsheets/d/1woKwKjgoLssDvPcPeVyezB5izizAn4X1JDrys69n6xI/edit?usp=sharing"",""ยะลา!I90"")"),0)</f>
        <v>0</v>
      </c>
      <c r="AP84" s="78">
        <f ca="1">IFERROR(__xludf.DUMMYFUNCTION("IMPORTRANGE(""https://docs.google.com/spreadsheets/d/1woKwKjgoLssDvPcPeVyezB5izizAn4X1JDrys69n6xI/edit?usp=sharing"",""ยะลา!J90"")"),0)</f>
        <v>0</v>
      </c>
      <c r="AQ84" s="76">
        <f t="shared" ca="1" si="43"/>
        <v>0</v>
      </c>
    </row>
    <row r="85" spans="1:43" ht="21" customHeight="1" x14ac:dyDescent="0.3">
      <c r="A85" s="70">
        <v>11</v>
      </c>
      <c r="B85" s="71" t="s">
        <v>113</v>
      </c>
      <c r="C85" s="72">
        <f t="shared" ca="1" si="27"/>
        <v>0</v>
      </c>
      <c r="D85" s="73">
        <f t="shared" ca="1" si="62"/>
        <v>0</v>
      </c>
      <c r="E85" s="74">
        <f ca="1">IFERROR(__xludf.DUMMYFUNCTION("IMPORTRANGE(""https://docs.google.com/spreadsheets/d/1-uDff_7J0KD5mKrp0Vvzr7lt3OU09vwQwhkpOPPYv2Y/edit?usp=sharing"",""งบพรบ!AN85"")"),0)</f>
        <v>0</v>
      </c>
      <c r="F85" s="74">
        <f ca="1">IFERROR(__xludf.DUMMYFUNCTION("IMPORTRANGE(""https://docs.google.com/spreadsheets/d/1-uDff_7J0KD5mKrp0Vvzr7lt3OU09vwQwhkpOPPYv2Y/edit?usp=sharing"",""งบพรบ!AO85"")"),0)</f>
        <v>0</v>
      </c>
      <c r="G85" s="74">
        <f ca="1">IFERROR(__xludf.DUMMYFUNCTION("IMPORTRANGE(""https://docs.google.com/spreadsheets/d/1-uDff_7J0KD5mKrp0Vvzr7lt3OU09vwQwhkpOPPYv2Y/edit?usp=sharing"",""งบพรบ!AP85"")"),0)</f>
        <v>0</v>
      </c>
      <c r="H85" s="74">
        <f ca="1">IFERROR(__xludf.DUMMYFUNCTION("IMPORTRANGE(""https://docs.google.com/spreadsheets/d/1-uDff_7J0KD5mKrp0Vvzr7lt3OU09vwQwhkpOPPYv2Y/edit?usp=sharing"",""งบพรบ!AR85"")"),0)</f>
        <v>0</v>
      </c>
      <c r="I85" s="74">
        <f ca="1">IFERROR(__xludf.DUMMYFUNCTION("IMPORTRANGE(""https://docs.google.com/spreadsheets/d/1-uDff_7J0KD5mKrp0Vvzr7lt3OU09vwQwhkpOPPYv2Y/edit?usp=sharing"",""งบพรบ!AS85"")"),0)</f>
        <v>0</v>
      </c>
      <c r="J85" s="74">
        <f t="shared" ca="1" si="29"/>
        <v>0</v>
      </c>
      <c r="K85" s="75">
        <f t="shared" ca="1" si="30"/>
        <v>0</v>
      </c>
      <c r="L85" s="74">
        <f ca="1">IFERROR(__xludf.DUMMYFUNCTION("IMPORTRANGE(""https://docs.google.com/spreadsheets/d/1-uDff_7J0KD5mKrp0Vvzr7lt3OU09vwQwhkpOPPYv2Y/edit?usp=sharing"",""งบพรบ!AT85"")"),0)</f>
        <v>0</v>
      </c>
      <c r="M85" s="76">
        <f t="shared" ca="1" si="31"/>
        <v>0</v>
      </c>
      <c r="N85" s="76">
        <f t="shared" ca="1" si="32"/>
        <v>0</v>
      </c>
      <c r="O85" s="77">
        <f ca="1">IFERROR(__xludf.DUMMYFUNCTION("IMPORTRANGE(""https://docs.google.com/spreadsheets/d/1-uDff_7J0KD5mKrp0Vvzr7lt3OU09vwQwhkpOPPYv2Y/edit?usp=sharing"",""งบพรบ!AU85"")"),0)</f>
        <v>0</v>
      </c>
      <c r="P85" s="77">
        <f t="shared" ca="1" si="33"/>
        <v>0</v>
      </c>
      <c r="Q85" s="76">
        <f t="shared" ca="1" si="34"/>
        <v>0</v>
      </c>
      <c r="R85" s="67">
        <f ca="1">IFERROR(__xludf.DUMMYFUNCTION("IMPORTRANGE(""https://docs.google.com/spreadsheets/d/1qfrKjzMhm2HJfxQ-qVlJlJQ25Hne1d0khsySbZyGtPA/edit?usp=sharing"",""ระนอง!Q72"")"),0)</f>
        <v>0</v>
      </c>
      <c r="S85" s="67">
        <f ca="1">IFERROR(__xludf.DUMMYFUNCTION("IMPORTRANGE(""https://docs.google.com/spreadsheets/d/1qfrKjzMhm2HJfxQ-qVlJlJQ25Hne1d0khsySbZyGtPA/edit?usp=sharing"",""ระนอง!R72"")"),0)</f>
        <v>0</v>
      </c>
      <c r="T85" s="67">
        <f ca="1">IFERROR(__xludf.DUMMYFUNCTION("IMPORTRANGE(""https://docs.google.com/spreadsheets/d/1qfrKjzMhm2HJfxQ-qVlJlJQ25Hne1d0khsySbZyGtPA/edit?usp=sharing"",""ระนอง!S72"")"),0)</f>
        <v>0</v>
      </c>
      <c r="U85" s="68">
        <f t="shared" ca="1" si="36"/>
        <v>0</v>
      </c>
      <c r="V85" s="68">
        <f t="shared" ca="1" si="37"/>
        <v>0</v>
      </c>
      <c r="W85" s="78">
        <f t="shared" ca="1" si="38"/>
        <v>0</v>
      </c>
      <c r="X85" s="78">
        <f t="shared" ca="1" si="39"/>
        <v>0</v>
      </c>
      <c r="Y85" s="78">
        <f t="shared" ca="1" si="63"/>
        <v>0</v>
      </c>
      <c r="Z85" s="79">
        <f t="shared" ca="1" si="40"/>
        <v>0</v>
      </c>
      <c r="AA85" s="78">
        <f t="shared" ca="1" si="64"/>
        <v>0</v>
      </c>
      <c r="AB85" s="79">
        <f t="shared" ca="1" si="41"/>
        <v>0</v>
      </c>
      <c r="AC85" s="74">
        <f ca="1">IFERROR(__xludf.DUMMYFUNCTION("IMPORTRANGE(""https://docs.google.com/spreadsheets/d/1qfrKjzMhm2HJfxQ-qVlJlJQ25Hne1d0khsySbZyGtPA/edit?usp=sharing"",""ระนอง!I84"")"),0)</f>
        <v>0</v>
      </c>
      <c r="AD85" s="74">
        <f ca="1">IFERROR(__xludf.DUMMYFUNCTION("IMPORTRANGE(""https://docs.google.com/spreadsheets/d/1qfrKjzMhm2HJfxQ-qVlJlJQ25Hne1d0khsySbZyGtPA/edit?usp=sharing"",""ระนอง!I85"")"),0)</f>
        <v>0</v>
      </c>
      <c r="AE85" s="78">
        <f ca="1">IFERROR(__xludf.DUMMYFUNCTION("IMPORTRANGE(""https://docs.google.com/spreadsheets/d/1qfrKjzMhm2HJfxQ-qVlJlJQ25Hne1d0khsySbZyGtPA/edit?usp=sharing"",""ระนอง!J84"")"),0)</f>
        <v>0</v>
      </c>
      <c r="AF85" s="78">
        <f ca="1">IFERROR(__xludf.DUMMYFUNCTION("IMPORTRANGE(""https://docs.google.com/spreadsheets/d/1qfrKjzMhm2HJfxQ-qVlJlJQ25Hne1d0khsySbZyGtPA/edit?usp=sharing"",""ระนอง!J85"")"),0)</f>
        <v>0</v>
      </c>
      <c r="AG85" s="74">
        <f ca="1">IFERROR(__xludf.DUMMYFUNCTION("IMPORTRANGE(""https://docs.google.com/spreadsheets/d/1qfrKjzMhm2HJfxQ-qVlJlJQ25Hne1d0khsySbZyGtPA/edit?usp=sharing"",""ระนอง!I86"")"),0)</f>
        <v>0</v>
      </c>
      <c r="AH85" s="74">
        <f ca="1">IFERROR(__xludf.DUMMYFUNCTION("IMPORTRANGE(""https://docs.google.com/spreadsheets/d/1qfrKjzMhm2HJfxQ-qVlJlJQ25Hne1d0khsySbZyGtPA/edit?usp=sharing"",""ระนอง!I87"")"),0)</f>
        <v>0</v>
      </c>
      <c r="AI85" s="78">
        <f ca="1">IFERROR(__xludf.DUMMYFUNCTION("IMPORTRANGE(""https://docs.google.com/spreadsheets/d/1qfrKjzMhm2HJfxQ-qVlJlJQ25Hne1d0khsySbZyGtPA/edit?usp=sharing"",""ระนอง!J86"")"),0)</f>
        <v>0</v>
      </c>
      <c r="AJ85" s="78">
        <f ca="1">IFERROR(__xludf.DUMMYFUNCTION("IMPORTRANGE(""https://docs.google.com/spreadsheets/d/1qfrKjzMhm2HJfxQ-qVlJlJQ25Hne1d0khsySbZyGtPA/edit?usp=sharing"",""ระนอง!J87"")"),0)</f>
        <v>0</v>
      </c>
      <c r="AK85" s="74">
        <f ca="1">IFERROR(__xludf.DUMMYFUNCTION("IMPORTRANGE(""https://docs.google.com/spreadsheets/d/1qfrKjzMhm2HJfxQ-qVlJlJQ25Hne1d0khsySbZyGtPA/edit?usp=sharing"",""ระนอง!I88"")"),0)</f>
        <v>0</v>
      </c>
      <c r="AL85" s="74">
        <f ca="1">IFERROR(__xludf.DUMMYFUNCTION("IMPORTRANGE(""https://docs.google.com/spreadsheets/d/1qfrKjzMhm2HJfxQ-qVlJlJQ25Hne1d0khsySbZyGtPA/edit?usp=sharing"",""ระนอง!I89"")"),0)</f>
        <v>0</v>
      </c>
      <c r="AM85" s="78">
        <f ca="1">IFERROR(__xludf.DUMMYFUNCTION("IMPORTRANGE(""https://docs.google.com/spreadsheets/d/1qfrKjzMhm2HJfxQ-qVlJlJQ25Hne1d0khsySbZyGtPA/edit?usp=sharing"",""ระนอง!J88"")"),0)</f>
        <v>0</v>
      </c>
      <c r="AN85" s="78">
        <f ca="1">IFERROR(__xludf.DUMMYFUNCTION("IMPORTRANGE(""https://docs.google.com/spreadsheets/d/1qfrKjzMhm2HJfxQ-qVlJlJQ25Hne1d0khsySbZyGtPA/edit?usp=sharing"",""ระนอง!J89"")"),0)</f>
        <v>0</v>
      </c>
      <c r="AO85" s="74">
        <f ca="1">IFERROR(__xludf.DUMMYFUNCTION("IMPORTRANGE(""https://docs.google.com/spreadsheets/d/1qfrKjzMhm2HJfxQ-qVlJlJQ25Hne1d0khsySbZyGtPA/edit?usp=sharing"",""ระนอง!I90"")"),0)</f>
        <v>0</v>
      </c>
      <c r="AP85" s="78">
        <f ca="1">IFERROR(__xludf.DUMMYFUNCTION("IMPORTRANGE(""https://docs.google.com/spreadsheets/d/1qfrKjzMhm2HJfxQ-qVlJlJQ25Hne1d0khsySbZyGtPA/edit?usp=sharing"",""ระนอง!J90"")"),0)</f>
        <v>0</v>
      </c>
      <c r="AQ85" s="76">
        <f t="shared" ca="1" si="43"/>
        <v>0</v>
      </c>
    </row>
    <row r="86" spans="1:43" ht="24" customHeight="1" x14ac:dyDescent="0.3">
      <c r="A86" s="70">
        <v>12</v>
      </c>
      <c r="B86" s="71" t="s">
        <v>114</v>
      </c>
      <c r="C86" s="72">
        <f t="shared" ca="1" si="27"/>
        <v>0</v>
      </c>
      <c r="D86" s="73">
        <f t="shared" ca="1" si="62"/>
        <v>0</v>
      </c>
      <c r="E86" s="74">
        <f ca="1">IFERROR(__xludf.DUMMYFUNCTION("IMPORTRANGE(""https://docs.google.com/spreadsheets/d/1-uDff_7J0KD5mKrp0Vvzr7lt3OU09vwQwhkpOPPYv2Y/edit?usp=sharing"",""งบพรบ!AN86"")"),0)</f>
        <v>0</v>
      </c>
      <c r="F86" s="74">
        <f ca="1">IFERROR(__xludf.DUMMYFUNCTION("IMPORTRANGE(""https://docs.google.com/spreadsheets/d/1-uDff_7J0KD5mKrp0Vvzr7lt3OU09vwQwhkpOPPYv2Y/edit?usp=sharing"",""งบพรบ!AO86"")"),0)</f>
        <v>0</v>
      </c>
      <c r="G86" s="74">
        <f ca="1">IFERROR(__xludf.DUMMYFUNCTION("IMPORTRANGE(""https://docs.google.com/spreadsheets/d/1-uDff_7J0KD5mKrp0Vvzr7lt3OU09vwQwhkpOPPYv2Y/edit?usp=sharing"",""งบพรบ!AP86"")"),0)</f>
        <v>0</v>
      </c>
      <c r="H86" s="74">
        <f ca="1">IFERROR(__xludf.DUMMYFUNCTION("IMPORTRANGE(""https://docs.google.com/spreadsheets/d/1-uDff_7J0KD5mKrp0Vvzr7lt3OU09vwQwhkpOPPYv2Y/edit?usp=sharing"",""งบพรบ!AR86"")"),0)</f>
        <v>0</v>
      </c>
      <c r="I86" s="74">
        <f ca="1">IFERROR(__xludf.DUMMYFUNCTION("IMPORTRANGE(""https://docs.google.com/spreadsheets/d/1-uDff_7J0KD5mKrp0Vvzr7lt3OU09vwQwhkpOPPYv2Y/edit?usp=sharing"",""งบพรบ!AS86"")"),0)</f>
        <v>0</v>
      </c>
      <c r="J86" s="74">
        <f t="shared" ca="1" si="29"/>
        <v>0</v>
      </c>
      <c r="K86" s="75">
        <f t="shared" ca="1" si="30"/>
        <v>0</v>
      </c>
      <c r="L86" s="74">
        <f ca="1">IFERROR(__xludf.DUMMYFUNCTION("IMPORTRANGE(""https://docs.google.com/spreadsheets/d/1-uDff_7J0KD5mKrp0Vvzr7lt3OU09vwQwhkpOPPYv2Y/edit?usp=sharing"",""งบพรบ!AT86"")"),0)</f>
        <v>0</v>
      </c>
      <c r="M86" s="76">
        <f t="shared" ca="1" si="31"/>
        <v>0</v>
      </c>
      <c r="N86" s="76">
        <f t="shared" ca="1" si="32"/>
        <v>0</v>
      </c>
      <c r="O86" s="77">
        <f ca="1">IFERROR(__xludf.DUMMYFUNCTION("IMPORTRANGE(""https://docs.google.com/spreadsheets/d/1-uDff_7J0KD5mKrp0Vvzr7lt3OU09vwQwhkpOPPYv2Y/edit?usp=sharing"",""งบพรบ!AU86"")"),0)</f>
        <v>0</v>
      </c>
      <c r="P86" s="77">
        <f t="shared" ca="1" si="33"/>
        <v>0</v>
      </c>
      <c r="Q86" s="76">
        <f t="shared" ca="1" si="34"/>
        <v>0</v>
      </c>
      <c r="R86" s="67">
        <f ca="1">IFERROR(__xludf.DUMMYFUNCTION("IMPORTRANGE(""https://docs.google.com/spreadsheets/d/1IbSCnFOKpZsnFogBHJnL_isstZVaOMnFiIN0fGTPZZw/edit?usp=sharing"",""สงขลา!Q72"")"),0)</f>
        <v>0</v>
      </c>
      <c r="S86" s="67">
        <f ca="1">IFERROR(__xludf.DUMMYFUNCTION("IMPORTRANGE(""https://docs.google.com/spreadsheets/d/1IbSCnFOKpZsnFogBHJnL_isstZVaOMnFiIN0fGTPZZw/edit?usp=sharing"",""สงขลา!R72"")"),0)</f>
        <v>0</v>
      </c>
      <c r="T86" s="67">
        <f ca="1">IFERROR(__xludf.DUMMYFUNCTION("IMPORTRANGE(""https://docs.google.com/spreadsheets/d/1IbSCnFOKpZsnFogBHJnL_isstZVaOMnFiIN0fGTPZZw/edit?usp=sharing"",""สงขลา!S72"")"),0)</f>
        <v>0</v>
      </c>
      <c r="U86" s="68">
        <f t="shared" ca="1" si="36"/>
        <v>0</v>
      </c>
      <c r="V86" s="68">
        <f t="shared" ca="1" si="37"/>
        <v>0</v>
      </c>
      <c r="W86" s="78">
        <f t="shared" ca="1" si="38"/>
        <v>0</v>
      </c>
      <c r="X86" s="78">
        <f t="shared" ca="1" si="39"/>
        <v>0</v>
      </c>
      <c r="Y86" s="78">
        <f t="shared" ca="1" si="63"/>
        <v>0</v>
      </c>
      <c r="Z86" s="79">
        <f t="shared" ca="1" si="40"/>
        <v>0</v>
      </c>
      <c r="AA86" s="78">
        <f t="shared" ca="1" si="64"/>
        <v>0</v>
      </c>
      <c r="AB86" s="79">
        <f t="shared" ca="1" si="41"/>
        <v>0</v>
      </c>
      <c r="AC86" s="74">
        <f ca="1">IFERROR(__xludf.DUMMYFUNCTION("IMPORTRANGE(""https://docs.google.com/spreadsheets/d/1IbSCnFOKpZsnFogBHJnL_isstZVaOMnFiIN0fGTPZZw/edit?usp=sharing"",""สงขลา!I84"")"),0)</f>
        <v>0</v>
      </c>
      <c r="AD86" s="74">
        <f ca="1">IFERROR(__xludf.DUMMYFUNCTION("IMPORTRANGE(""https://docs.google.com/spreadsheets/d/1IbSCnFOKpZsnFogBHJnL_isstZVaOMnFiIN0fGTPZZw/edit?usp=sharing"",""สงขลา!I85"")"),0)</f>
        <v>0</v>
      </c>
      <c r="AE86" s="78">
        <f ca="1">IFERROR(__xludf.DUMMYFUNCTION("IMPORTRANGE(""https://docs.google.com/spreadsheets/d/1IbSCnFOKpZsnFogBHJnL_isstZVaOMnFiIN0fGTPZZw/edit?usp=sharing"",""สงขลา!J84"")"),0)</f>
        <v>0</v>
      </c>
      <c r="AF86" s="78">
        <f ca="1">IFERROR(__xludf.DUMMYFUNCTION("IMPORTRANGE(""https://docs.google.com/spreadsheets/d/1IbSCnFOKpZsnFogBHJnL_isstZVaOMnFiIN0fGTPZZw/edit?usp=sharing"",""สงขลา!J85"")"),0)</f>
        <v>0</v>
      </c>
      <c r="AG86" s="74">
        <f ca="1">IFERROR(__xludf.DUMMYFUNCTION("IMPORTRANGE(""https://docs.google.com/spreadsheets/d/1IbSCnFOKpZsnFogBHJnL_isstZVaOMnFiIN0fGTPZZw/edit?usp=sharing"",""สงขลา!I86"")"),0)</f>
        <v>0</v>
      </c>
      <c r="AH86" s="74">
        <f ca="1">IFERROR(__xludf.DUMMYFUNCTION("IMPORTRANGE(""https://docs.google.com/spreadsheets/d/1IbSCnFOKpZsnFogBHJnL_isstZVaOMnFiIN0fGTPZZw/edit?usp=sharing"",""สงขลา!I87"")"),0)</f>
        <v>0</v>
      </c>
      <c r="AI86" s="78">
        <f ca="1">IFERROR(__xludf.DUMMYFUNCTION("IMPORTRANGE(""https://docs.google.com/spreadsheets/d/1IbSCnFOKpZsnFogBHJnL_isstZVaOMnFiIN0fGTPZZw/edit?usp=sharing"",""สงขลา!J86"")"),0)</f>
        <v>0</v>
      </c>
      <c r="AJ86" s="78">
        <f ca="1">IFERROR(__xludf.DUMMYFUNCTION("IMPORTRANGE(""https://docs.google.com/spreadsheets/d/1IbSCnFOKpZsnFogBHJnL_isstZVaOMnFiIN0fGTPZZw/edit?usp=sharing"",""สงขลา!J87"")"),0)</f>
        <v>0</v>
      </c>
      <c r="AK86" s="74">
        <f ca="1">IFERROR(__xludf.DUMMYFUNCTION("IMPORTRANGE(""https://docs.google.com/spreadsheets/d/1IbSCnFOKpZsnFogBHJnL_isstZVaOMnFiIN0fGTPZZw/edit?usp=sharing"",""สงขลา!I88"")"),0)</f>
        <v>0</v>
      </c>
      <c r="AL86" s="74">
        <f ca="1">IFERROR(__xludf.DUMMYFUNCTION("IMPORTRANGE(""https://docs.google.com/spreadsheets/d/1IbSCnFOKpZsnFogBHJnL_isstZVaOMnFiIN0fGTPZZw/edit?usp=sharing"",""สงขลา!I89"")"),0)</f>
        <v>0</v>
      </c>
      <c r="AM86" s="78">
        <f ca="1">IFERROR(__xludf.DUMMYFUNCTION("IMPORTRANGE(""https://docs.google.com/spreadsheets/d/1IbSCnFOKpZsnFogBHJnL_isstZVaOMnFiIN0fGTPZZw/edit?usp=sharing"",""สงขลา!J88"")"),0)</f>
        <v>0</v>
      </c>
      <c r="AN86" s="78">
        <f ca="1">IFERROR(__xludf.DUMMYFUNCTION("IMPORTRANGE(""https://docs.google.com/spreadsheets/d/1IbSCnFOKpZsnFogBHJnL_isstZVaOMnFiIN0fGTPZZw/edit?usp=sharing"",""สงขลา!J89"")"),0)</f>
        <v>0</v>
      </c>
      <c r="AO86" s="74">
        <f ca="1">IFERROR(__xludf.DUMMYFUNCTION("IMPORTRANGE(""https://docs.google.com/spreadsheets/d/1IbSCnFOKpZsnFogBHJnL_isstZVaOMnFiIN0fGTPZZw/edit?usp=sharing"",""สงขลา!I90"")"),0)</f>
        <v>0</v>
      </c>
      <c r="AP86" s="78">
        <f ca="1">IFERROR(__xludf.DUMMYFUNCTION("IMPORTRANGE(""https://docs.google.com/spreadsheets/d/1IbSCnFOKpZsnFogBHJnL_isstZVaOMnFiIN0fGTPZZw/edit?usp=sharing"",""สงขลา!J90"")"),0)</f>
        <v>0</v>
      </c>
      <c r="AQ86" s="76">
        <f t="shared" ca="1" si="43"/>
        <v>0</v>
      </c>
    </row>
    <row r="87" spans="1:43" ht="24" customHeight="1" x14ac:dyDescent="0.3">
      <c r="A87" s="70">
        <v>13</v>
      </c>
      <c r="B87" s="71" t="s">
        <v>115</v>
      </c>
      <c r="C87" s="72">
        <f t="shared" ca="1" si="27"/>
        <v>0</v>
      </c>
      <c r="D87" s="73">
        <f t="shared" ca="1" si="62"/>
        <v>0</v>
      </c>
      <c r="E87" s="74">
        <f ca="1">IFERROR(__xludf.DUMMYFUNCTION("IMPORTRANGE(""https://docs.google.com/spreadsheets/d/1-uDff_7J0KD5mKrp0Vvzr7lt3OU09vwQwhkpOPPYv2Y/edit?usp=sharing"",""งบพรบ!AN87"")"),0)</f>
        <v>0</v>
      </c>
      <c r="F87" s="74">
        <f ca="1">IFERROR(__xludf.DUMMYFUNCTION("IMPORTRANGE(""https://docs.google.com/spreadsheets/d/1-uDff_7J0KD5mKrp0Vvzr7lt3OU09vwQwhkpOPPYv2Y/edit?usp=sharing"",""งบพรบ!AO87"")"),0)</f>
        <v>0</v>
      </c>
      <c r="G87" s="74">
        <f ca="1">IFERROR(__xludf.DUMMYFUNCTION("IMPORTRANGE(""https://docs.google.com/spreadsheets/d/1-uDff_7J0KD5mKrp0Vvzr7lt3OU09vwQwhkpOPPYv2Y/edit?usp=sharing"",""งบพรบ!AP87"")"),0)</f>
        <v>0</v>
      </c>
      <c r="H87" s="74">
        <f ca="1">IFERROR(__xludf.DUMMYFUNCTION("IMPORTRANGE(""https://docs.google.com/spreadsheets/d/1-uDff_7J0KD5mKrp0Vvzr7lt3OU09vwQwhkpOPPYv2Y/edit?usp=sharing"",""งบพรบ!AR87"")"),0)</f>
        <v>0</v>
      </c>
      <c r="I87" s="74">
        <f ca="1">IFERROR(__xludf.DUMMYFUNCTION("IMPORTRANGE(""https://docs.google.com/spreadsheets/d/1-uDff_7J0KD5mKrp0Vvzr7lt3OU09vwQwhkpOPPYv2Y/edit?usp=sharing"",""งบพรบ!AS87"")"),0)</f>
        <v>0</v>
      </c>
      <c r="J87" s="74">
        <f t="shared" ca="1" si="29"/>
        <v>0</v>
      </c>
      <c r="K87" s="75">
        <f t="shared" ca="1" si="30"/>
        <v>0</v>
      </c>
      <c r="L87" s="74">
        <f ca="1">IFERROR(__xludf.DUMMYFUNCTION("IMPORTRANGE(""https://docs.google.com/spreadsheets/d/1-uDff_7J0KD5mKrp0Vvzr7lt3OU09vwQwhkpOPPYv2Y/edit?usp=sharing"",""งบพรบ!AT87"")"),0)</f>
        <v>0</v>
      </c>
      <c r="M87" s="76">
        <f t="shared" ca="1" si="31"/>
        <v>0</v>
      </c>
      <c r="N87" s="76">
        <f t="shared" ca="1" si="32"/>
        <v>0</v>
      </c>
      <c r="O87" s="77">
        <f ca="1">IFERROR(__xludf.DUMMYFUNCTION("IMPORTRANGE(""https://docs.google.com/spreadsheets/d/1-uDff_7J0KD5mKrp0Vvzr7lt3OU09vwQwhkpOPPYv2Y/edit?usp=sharing"",""งบพรบ!AU87"")"),0)</f>
        <v>0</v>
      </c>
      <c r="P87" s="77">
        <f t="shared" ca="1" si="33"/>
        <v>0</v>
      </c>
      <c r="Q87" s="76">
        <f t="shared" ca="1" si="34"/>
        <v>0</v>
      </c>
      <c r="R87" s="67">
        <f ca="1">IFERROR(__xludf.DUMMYFUNCTION("IMPORTRANGE(""https://docs.google.com/spreadsheets/d/1q9nWasZJ-K8bFGvbE9n0qSRuKGA4Toe3Y89cKCiVtCU/edit?usp=sharing"",""สตูล!Q72"")"),0)</f>
        <v>0</v>
      </c>
      <c r="S87" s="67">
        <f ca="1">IFERROR(__xludf.DUMMYFUNCTION("IMPORTRANGE(""https://docs.google.com/spreadsheets/d/1q9nWasZJ-K8bFGvbE9n0qSRuKGA4Toe3Y89cKCiVtCU/edit?usp=sharing"",""สตูล!R72"")"),0)</f>
        <v>0</v>
      </c>
      <c r="T87" s="67">
        <f ca="1">IFERROR(__xludf.DUMMYFUNCTION("IMPORTRANGE(""https://docs.google.com/spreadsheets/d/1q9nWasZJ-K8bFGvbE9n0qSRuKGA4Toe3Y89cKCiVtCU/edit?usp=sharing"",""สตูล!S72"")"),0)</f>
        <v>0</v>
      </c>
      <c r="U87" s="68">
        <f t="shared" ca="1" si="36"/>
        <v>0</v>
      </c>
      <c r="V87" s="68">
        <f t="shared" ca="1" si="37"/>
        <v>0</v>
      </c>
      <c r="W87" s="78">
        <f t="shared" ca="1" si="38"/>
        <v>0</v>
      </c>
      <c r="X87" s="78">
        <f t="shared" ca="1" si="39"/>
        <v>0</v>
      </c>
      <c r="Y87" s="78">
        <f t="shared" ca="1" si="63"/>
        <v>0</v>
      </c>
      <c r="Z87" s="79">
        <f t="shared" ca="1" si="40"/>
        <v>0</v>
      </c>
      <c r="AA87" s="78">
        <f t="shared" ca="1" si="64"/>
        <v>0</v>
      </c>
      <c r="AB87" s="79">
        <f t="shared" ca="1" si="41"/>
        <v>0</v>
      </c>
      <c r="AC87" s="74">
        <f ca="1">IFERROR(__xludf.DUMMYFUNCTION("IMPORTRANGE(""https://docs.google.com/spreadsheets/d/1q9nWasZJ-K8bFGvbE9n0qSRuKGA4Toe3Y89cKCiVtCU/edit?usp=sharing"",""สตูล!I84"")"),0)</f>
        <v>0</v>
      </c>
      <c r="AD87" s="74">
        <f ca="1">IFERROR(__xludf.DUMMYFUNCTION("IMPORTRANGE(""https://docs.google.com/spreadsheets/d/1q9nWasZJ-K8bFGvbE9n0qSRuKGA4Toe3Y89cKCiVtCU/edit?usp=sharing"",""สตูล!I85"")"),0)</f>
        <v>0</v>
      </c>
      <c r="AE87" s="78">
        <f ca="1">IFERROR(__xludf.DUMMYFUNCTION("IMPORTRANGE(""https://docs.google.com/spreadsheets/d/1q9nWasZJ-K8bFGvbE9n0qSRuKGA4Toe3Y89cKCiVtCU/edit?usp=sharing"",""สตูล!J84"")"),0)</f>
        <v>0</v>
      </c>
      <c r="AF87" s="78">
        <f ca="1">IFERROR(__xludf.DUMMYFUNCTION("IMPORTRANGE(""https://docs.google.com/spreadsheets/d/1q9nWasZJ-K8bFGvbE9n0qSRuKGA4Toe3Y89cKCiVtCU/edit?usp=sharing"",""สตูล!J85"")"),0)</f>
        <v>0</v>
      </c>
      <c r="AG87" s="74">
        <f ca="1">IFERROR(__xludf.DUMMYFUNCTION("IMPORTRANGE(""https://docs.google.com/spreadsheets/d/1q9nWasZJ-K8bFGvbE9n0qSRuKGA4Toe3Y89cKCiVtCU/edit?usp=sharing"",""สตูล!I86"")"),0)</f>
        <v>0</v>
      </c>
      <c r="AH87" s="74">
        <f ca="1">IFERROR(__xludf.DUMMYFUNCTION("IMPORTRANGE(""https://docs.google.com/spreadsheets/d/1q9nWasZJ-K8bFGvbE9n0qSRuKGA4Toe3Y89cKCiVtCU/edit?usp=sharing"",""สตูล!I87"")"),0)</f>
        <v>0</v>
      </c>
      <c r="AI87" s="78">
        <f ca="1">IFERROR(__xludf.DUMMYFUNCTION("IMPORTRANGE(""https://docs.google.com/spreadsheets/d/1q9nWasZJ-K8bFGvbE9n0qSRuKGA4Toe3Y89cKCiVtCU/edit?usp=sharing"",""สตูล!J86"")"),0)</f>
        <v>0</v>
      </c>
      <c r="AJ87" s="78">
        <f ca="1">IFERROR(__xludf.DUMMYFUNCTION("IMPORTRANGE(""https://docs.google.com/spreadsheets/d/1q9nWasZJ-K8bFGvbE9n0qSRuKGA4Toe3Y89cKCiVtCU/edit?usp=sharing"",""สตูล!J87"")"),0)</f>
        <v>0</v>
      </c>
      <c r="AK87" s="74">
        <f ca="1">IFERROR(__xludf.DUMMYFUNCTION("IMPORTRANGE(""https://docs.google.com/spreadsheets/d/1q9nWasZJ-K8bFGvbE9n0qSRuKGA4Toe3Y89cKCiVtCU/edit?usp=sharing"",""สตูล!I88"")"),0)</f>
        <v>0</v>
      </c>
      <c r="AL87" s="74">
        <f ca="1">IFERROR(__xludf.DUMMYFUNCTION("IMPORTRANGE(""https://docs.google.com/spreadsheets/d/1q9nWasZJ-K8bFGvbE9n0qSRuKGA4Toe3Y89cKCiVtCU/edit?usp=sharing"",""สตูล!I89"")"),0)</f>
        <v>0</v>
      </c>
      <c r="AM87" s="78">
        <f ca="1">IFERROR(__xludf.DUMMYFUNCTION("IMPORTRANGE(""https://docs.google.com/spreadsheets/d/1q9nWasZJ-K8bFGvbE9n0qSRuKGA4Toe3Y89cKCiVtCU/edit?usp=sharing"",""สตูล!J88"")"),0)</f>
        <v>0</v>
      </c>
      <c r="AN87" s="78">
        <f ca="1">IFERROR(__xludf.DUMMYFUNCTION("IMPORTRANGE(""https://docs.google.com/spreadsheets/d/1q9nWasZJ-K8bFGvbE9n0qSRuKGA4Toe3Y89cKCiVtCU/edit?usp=sharing"",""สตูล!J89"")"),0)</f>
        <v>0</v>
      </c>
      <c r="AO87" s="74">
        <f ca="1">IFERROR(__xludf.DUMMYFUNCTION("IMPORTRANGE(""https://docs.google.com/spreadsheets/d/1q9nWasZJ-K8bFGvbE9n0qSRuKGA4Toe3Y89cKCiVtCU/edit?usp=sharing"",""สตูล!I90"")"),0)</f>
        <v>0</v>
      </c>
      <c r="AP87" s="78">
        <f ca="1">IFERROR(__xludf.DUMMYFUNCTION("IMPORTRANGE(""https://docs.google.com/spreadsheets/d/1q9nWasZJ-K8bFGvbE9n0qSRuKGA4Toe3Y89cKCiVtCU/edit?usp=sharing"",""สตูล!J90"")"),0)</f>
        <v>0</v>
      </c>
      <c r="AQ87" s="76">
        <f t="shared" ca="1" si="43"/>
        <v>0</v>
      </c>
    </row>
    <row r="88" spans="1:43" ht="24" customHeight="1" x14ac:dyDescent="0.3">
      <c r="A88" s="80">
        <v>14</v>
      </c>
      <c r="B88" s="81" t="s">
        <v>116</v>
      </c>
      <c r="C88" s="82">
        <f t="shared" ca="1" si="27"/>
        <v>150000</v>
      </c>
      <c r="D88" s="83">
        <f t="shared" ca="1" si="62"/>
        <v>150000</v>
      </c>
      <c r="E88" s="84">
        <f ca="1">IFERROR(__xludf.DUMMYFUNCTION("IMPORTRANGE(""https://docs.google.com/spreadsheets/d/1-uDff_7J0KD5mKrp0Vvzr7lt3OU09vwQwhkpOPPYv2Y/edit?usp=sharing"",""งบพรบ!AN88"")"),0)</f>
        <v>0</v>
      </c>
      <c r="F88" s="84">
        <f ca="1">IFERROR(__xludf.DUMMYFUNCTION("IMPORTRANGE(""https://docs.google.com/spreadsheets/d/1-uDff_7J0KD5mKrp0Vvzr7lt3OU09vwQwhkpOPPYv2Y/edit?usp=sharing"",""งบพรบ!AO88"")"),150000)</f>
        <v>150000</v>
      </c>
      <c r="G88" s="84">
        <f ca="1">IFERROR(__xludf.DUMMYFUNCTION("IMPORTRANGE(""https://docs.google.com/spreadsheets/d/1-uDff_7J0KD5mKrp0Vvzr7lt3OU09vwQwhkpOPPYv2Y/edit?usp=sharing"",""งบพรบ!AP88"")"),0)</f>
        <v>0</v>
      </c>
      <c r="H88" s="84">
        <f ca="1">IFERROR(__xludf.DUMMYFUNCTION("IMPORTRANGE(""https://docs.google.com/spreadsheets/d/1-uDff_7J0KD5mKrp0Vvzr7lt3OU09vwQwhkpOPPYv2Y/edit?usp=sharing"",""งบพรบ!AR88"")"),150000)</f>
        <v>150000</v>
      </c>
      <c r="I88" s="84">
        <f ca="1">IFERROR(__xludf.DUMMYFUNCTION("IMPORTRANGE(""https://docs.google.com/spreadsheets/d/1-uDff_7J0KD5mKrp0Vvzr7lt3OU09vwQwhkpOPPYv2Y/edit?usp=sharing"",""งบพรบ!AS88"")"),0)</f>
        <v>0</v>
      </c>
      <c r="J88" s="84">
        <f t="shared" ca="1" si="29"/>
        <v>124000</v>
      </c>
      <c r="K88" s="85">
        <f t="shared" ca="1" si="30"/>
        <v>82.666666666666671</v>
      </c>
      <c r="L88" s="84">
        <f ca="1">IFERROR(__xludf.DUMMYFUNCTION("IMPORTRANGE(""https://docs.google.com/spreadsheets/d/1-uDff_7J0KD5mKrp0Vvzr7lt3OU09vwQwhkpOPPYv2Y/edit?usp=sharing"",""งบพรบ!AT88"")"),124000)</f>
        <v>124000</v>
      </c>
      <c r="M88" s="86">
        <f t="shared" ca="1" si="31"/>
        <v>82.666666666666671</v>
      </c>
      <c r="N88" s="86">
        <f t="shared" ca="1" si="32"/>
        <v>82.666666666666671</v>
      </c>
      <c r="O88" s="87">
        <f ca="1">IFERROR(__xludf.DUMMYFUNCTION("IMPORTRANGE(""https://docs.google.com/spreadsheets/d/1-uDff_7J0KD5mKrp0Vvzr7lt3OU09vwQwhkpOPPYv2Y/edit?usp=sharing"",""งบพรบ!AU88"")"),0)</f>
        <v>0</v>
      </c>
      <c r="P88" s="87">
        <f t="shared" ca="1" si="33"/>
        <v>0</v>
      </c>
      <c r="Q88" s="86">
        <f t="shared" ca="1" si="34"/>
        <v>0</v>
      </c>
      <c r="R88" s="88">
        <f ca="1">IFERROR(__xludf.DUMMYFUNCTION("IMPORTRANGE(""https://docs.google.com/spreadsheets/d/18T20gbkS_WBjdscyTOV05cvq_JqvqQ17C81mpxf7Ncs/edit?usp=sharing"",""สุราษฎร์ธานี!Q72"")"),792520)</f>
        <v>792520</v>
      </c>
      <c r="S88" s="88">
        <f ca="1">IFERROR(__xludf.DUMMYFUNCTION("IMPORTRANGE(""https://docs.google.com/spreadsheets/d/18T20gbkS_WBjdscyTOV05cvq_JqvqQ17C81mpxf7Ncs/edit?usp=sharing"",""สุราษฎร์ธานี!R72"")"),493560)</f>
        <v>493560</v>
      </c>
      <c r="T88" s="88">
        <f ca="1">IFERROR(__xludf.DUMMYFUNCTION("IMPORTRANGE(""https://docs.google.com/spreadsheets/d/18T20gbkS_WBjdscyTOV05cvq_JqvqQ17C81mpxf7Ncs/edit?usp=sharing"",""สุราษฎร์ธานี!S72"")"),417400)</f>
        <v>417400</v>
      </c>
      <c r="U88" s="89">
        <f t="shared" ca="1" si="36"/>
        <v>52.667440569323169</v>
      </c>
      <c r="V88" s="89">
        <f t="shared" ca="1" si="37"/>
        <v>84.569251965313228</v>
      </c>
      <c r="W88" s="90">
        <f t="shared" ca="1" si="38"/>
        <v>2</v>
      </c>
      <c r="X88" s="90">
        <f t="shared" ca="1" si="39"/>
        <v>61</v>
      </c>
      <c r="Y88" s="90">
        <f t="shared" ca="1" si="63"/>
        <v>2</v>
      </c>
      <c r="Z88" s="79">
        <f t="shared" ca="1" si="40"/>
        <v>100</v>
      </c>
      <c r="AA88" s="90">
        <f t="shared" ca="1" si="64"/>
        <v>61</v>
      </c>
      <c r="AB88" s="91">
        <f t="shared" ca="1" si="41"/>
        <v>100</v>
      </c>
      <c r="AC88" s="84">
        <f ca="1">IFERROR(__xludf.DUMMYFUNCTION("IMPORTRANGE(""https://docs.google.com/spreadsheets/d/18T20gbkS_WBjdscyTOV05cvq_JqvqQ17C81mpxf7Ncs/edit?usp=sharing"",""สุราษฎร์ธานี!I84"")"),1)</f>
        <v>1</v>
      </c>
      <c r="AD88" s="84">
        <f ca="1">IFERROR(__xludf.DUMMYFUNCTION("IMPORTRANGE(""https://docs.google.com/spreadsheets/d/18T20gbkS_WBjdscyTOV05cvq_JqvqQ17C81mpxf7Ncs/edit?usp=sharing"",""สุราษฎร์ธานี!I85"")"),31)</f>
        <v>31</v>
      </c>
      <c r="AE88" s="90">
        <f ca="1">IFERROR(__xludf.DUMMYFUNCTION("IMPORTRANGE(""https://docs.google.com/spreadsheets/d/18T20gbkS_WBjdscyTOV05cvq_JqvqQ17C81mpxf7Ncs/edit?usp=sharing"",""สุราษฎร์ธานี!J84"")"),1)</f>
        <v>1</v>
      </c>
      <c r="AF88" s="90">
        <f ca="1">IFERROR(__xludf.DUMMYFUNCTION("IMPORTRANGE(""https://docs.google.com/spreadsheets/d/18T20gbkS_WBjdscyTOV05cvq_JqvqQ17C81mpxf7Ncs/edit?usp=sharing"",""สุราษฎร์ธานี!J85"")"),31)</f>
        <v>31</v>
      </c>
      <c r="AG88" s="84">
        <f ca="1">IFERROR(__xludf.DUMMYFUNCTION("IMPORTRANGE(""https://docs.google.com/spreadsheets/d/18T20gbkS_WBjdscyTOV05cvq_JqvqQ17C81mpxf7Ncs/edit?usp=sharing"",""สุราษฎร์ธานี!I86"")"),1)</f>
        <v>1</v>
      </c>
      <c r="AH88" s="84">
        <f ca="1">IFERROR(__xludf.DUMMYFUNCTION("IMPORTRANGE(""https://docs.google.com/spreadsheets/d/18T20gbkS_WBjdscyTOV05cvq_JqvqQ17C81mpxf7Ncs/edit?usp=sharing"",""สุราษฎร์ธานี!I87"")"),30)</f>
        <v>30</v>
      </c>
      <c r="AI88" s="90">
        <f ca="1">IFERROR(__xludf.DUMMYFUNCTION("IMPORTRANGE(""https://docs.google.com/spreadsheets/d/18T20gbkS_WBjdscyTOV05cvq_JqvqQ17C81mpxf7Ncs/edit?usp=sharing"",""สุราษฎร์ธานี!J86"")"),1)</f>
        <v>1</v>
      </c>
      <c r="AJ88" s="90">
        <f ca="1">IFERROR(__xludf.DUMMYFUNCTION("IMPORTRANGE(""https://docs.google.com/spreadsheets/d/18T20gbkS_WBjdscyTOV05cvq_JqvqQ17C81mpxf7Ncs/edit?usp=sharing"",""สุราษฎร์ธานี!J87"")"),30)</f>
        <v>30</v>
      </c>
      <c r="AK88" s="84">
        <f ca="1">IFERROR(__xludf.DUMMYFUNCTION("IMPORTRANGE(""https://docs.google.com/spreadsheets/d/18T20gbkS_WBjdscyTOV05cvq_JqvqQ17C81mpxf7Ncs/edit?usp=sharing"",""สุราษฎร์ธานี!I88"")"),0)</f>
        <v>0</v>
      </c>
      <c r="AL88" s="84">
        <f ca="1">IFERROR(__xludf.DUMMYFUNCTION("IMPORTRANGE(""https://docs.google.com/spreadsheets/d/18T20gbkS_WBjdscyTOV05cvq_JqvqQ17C81mpxf7Ncs/edit?usp=sharing"",""สุราษฎร์ธานี!I89"")"),0)</f>
        <v>0</v>
      </c>
      <c r="AM88" s="90">
        <f ca="1">IFERROR(__xludf.DUMMYFUNCTION("IMPORTRANGE(""https://docs.google.com/spreadsheets/d/18T20gbkS_WBjdscyTOV05cvq_JqvqQ17C81mpxf7Ncs/edit?usp=sharing"",""สุราษฎร์ธานี!J88"")"),0)</f>
        <v>0</v>
      </c>
      <c r="AN88" s="90">
        <f ca="1">IFERROR(__xludf.DUMMYFUNCTION("IMPORTRANGE(""https://docs.google.com/spreadsheets/d/18T20gbkS_WBjdscyTOV05cvq_JqvqQ17C81mpxf7Ncs/edit?usp=sharing"",""สุราษฎร์ธานี!J89"")"),0)</f>
        <v>0</v>
      </c>
      <c r="AO88" s="84">
        <f ca="1">IFERROR(__xludf.DUMMYFUNCTION("IMPORTRANGE(""https://docs.google.com/spreadsheets/d/18T20gbkS_WBjdscyTOV05cvq_JqvqQ17C81mpxf7Ncs/edit?usp=sharing"",""สุราษฎร์ธานี!I90"")"),2)</f>
        <v>2</v>
      </c>
      <c r="AP88" s="90">
        <f ca="1">IFERROR(__xludf.DUMMYFUNCTION("IMPORTRANGE(""https://docs.google.com/spreadsheets/d/18T20gbkS_WBjdscyTOV05cvq_JqvqQ17C81mpxf7Ncs/edit?usp=sharing"",""สุราษฎร์ธานี!J90"")"),2)</f>
        <v>2</v>
      </c>
      <c r="AQ88" s="86">
        <f t="shared" ca="1" si="43"/>
        <v>100</v>
      </c>
    </row>
    <row r="89" spans="1:43" ht="21" customHeight="1" x14ac:dyDescent="0.2">
      <c r="A89" s="668" t="s">
        <v>117</v>
      </c>
      <c r="B89" s="647"/>
      <c r="C89" s="39">
        <f t="shared" ref="C89:Q89" ca="1" si="65">SUM(C90:C108)</f>
        <v>2332600</v>
      </c>
      <c r="D89" s="39">
        <f t="shared" ca="1" si="65"/>
        <v>2332600</v>
      </c>
      <c r="E89" s="39">
        <f t="shared" ca="1" si="65"/>
        <v>1901600</v>
      </c>
      <c r="F89" s="39">
        <f t="shared" ca="1" si="65"/>
        <v>431000</v>
      </c>
      <c r="G89" s="39">
        <f t="shared" ca="1" si="65"/>
        <v>0</v>
      </c>
      <c r="H89" s="39">
        <f t="shared" ca="1" si="65"/>
        <v>2252600</v>
      </c>
      <c r="I89" s="39">
        <f t="shared" ca="1" si="65"/>
        <v>0</v>
      </c>
      <c r="J89" s="39">
        <f t="shared" ca="1" si="65"/>
        <v>2064333.06</v>
      </c>
      <c r="K89" s="39">
        <f t="shared" ca="1" si="65"/>
        <v>234.59227566148851</v>
      </c>
      <c r="L89" s="39">
        <f t="shared" ca="1" si="65"/>
        <v>2064333.06</v>
      </c>
      <c r="M89" s="39">
        <f t="shared" ca="1" si="65"/>
        <v>234.59227566148851</v>
      </c>
      <c r="N89" s="39">
        <f t="shared" ca="1" si="65"/>
        <v>221.74336741205474</v>
      </c>
      <c r="O89" s="39">
        <f t="shared" ca="1" si="65"/>
        <v>0</v>
      </c>
      <c r="P89" s="39">
        <f t="shared" ca="1" si="65"/>
        <v>0</v>
      </c>
      <c r="Q89" s="39">
        <f t="shared" ca="1" si="65"/>
        <v>0</v>
      </c>
      <c r="R89" s="39">
        <f t="shared" ref="R89:T89" ca="1" si="66">SUM(R90:R106)</f>
        <v>1245215</v>
      </c>
      <c r="S89" s="39">
        <f t="shared" ca="1" si="66"/>
        <v>1235835</v>
      </c>
      <c r="T89" s="39">
        <f t="shared" ca="1" si="66"/>
        <v>26130</v>
      </c>
      <c r="U89" s="39">
        <f t="shared" ca="1" si="36"/>
        <v>2.0984328007613144</v>
      </c>
      <c r="V89" s="39">
        <f t="shared" ca="1" si="37"/>
        <v>2.1143599266892426</v>
      </c>
      <c r="W89" s="39"/>
      <c r="X89" s="39"/>
      <c r="Y89" s="39"/>
      <c r="Z89" s="39"/>
      <c r="AA89" s="39"/>
      <c r="AB89" s="41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41"/>
    </row>
    <row r="90" spans="1:43" ht="24" customHeight="1" x14ac:dyDescent="0.25">
      <c r="A90" s="102"/>
      <c r="B90" s="103" t="s">
        <v>118</v>
      </c>
      <c r="C90" s="95">
        <f t="shared" ref="C90:C108" ca="1" si="67">D90+G90</f>
        <v>0</v>
      </c>
      <c r="D90" s="61">
        <f t="shared" ref="D90:D108" ca="1" si="68">+E90+F90</f>
        <v>0</v>
      </c>
      <c r="E90" s="62">
        <f ca="1">IFERROR(__xludf.DUMMYFUNCTION("IMPORTRANGE(""https://docs.google.com/spreadsheets/d/1-uDff_7J0KD5mKrp0Vvzr7lt3OU09vwQwhkpOPPYv2Y/edit?usp=sharing"",""งบพรบ!AN90"")"),0)</f>
        <v>0</v>
      </c>
      <c r="F90" s="62">
        <f ca="1">IFERROR(__xludf.DUMMYFUNCTION("IMPORTRANGE(""https://docs.google.com/spreadsheets/d/1-uDff_7J0KD5mKrp0Vvzr7lt3OU09vwQwhkpOPPYv2Y/edit?usp=sharing"",""งบพรบ!AO90"")"),0)</f>
        <v>0</v>
      </c>
      <c r="G90" s="62">
        <f ca="1">IFERROR(__xludf.DUMMYFUNCTION("IMPORTRANGE(""https://docs.google.com/spreadsheets/d/1-uDff_7J0KD5mKrp0Vvzr7lt3OU09vwQwhkpOPPYv2Y/edit?usp=sharing"",""งบพรบ!AP90"")"),0)</f>
        <v>0</v>
      </c>
      <c r="H90" s="62">
        <f ca="1">IFERROR(__xludf.DUMMYFUNCTION("IMPORTRANGE(""https://docs.google.com/spreadsheets/d/1-uDff_7J0KD5mKrp0Vvzr7lt3OU09vwQwhkpOPPYv2Y/edit?usp=sharing"",""งบพรบ!AR90"")"),0)</f>
        <v>0</v>
      </c>
      <c r="I90" s="62">
        <f ca="1">IFERROR(__xludf.DUMMYFUNCTION("IMPORTRANGE(""https://docs.google.com/spreadsheets/d/1-uDff_7J0KD5mKrp0Vvzr7lt3OU09vwQwhkpOPPYv2Y/edit?usp=sharing"",""งบพรบ!AS90"")"),0)</f>
        <v>0</v>
      </c>
      <c r="J90" s="62">
        <f t="shared" ref="J90:J108" ca="1" si="69">L90+O90</f>
        <v>0</v>
      </c>
      <c r="K90" s="104">
        <f t="shared" ref="K90:K108" ca="1" si="70">IF(C90&gt;0,J90*100/C90,0)</f>
        <v>0</v>
      </c>
      <c r="L90" s="62">
        <f ca="1">IFERROR(__xludf.DUMMYFUNCTION("IMPORTRANGE(""https://docs.google.com/spreadsheets/d/1-uDff_7J0KD5mKrp0Vvzr7lt3OU09vwQwhkpOPPYv2Y/edit?usp=sharing"",""งบพรบ!AT90"")"),0)</f>
        <v>0</v>
      </c>
      <c r="M90" s="65">
        <f t="shared" ref="M90:M108" ca="1" si="71">IF(D90&gt;0,L90*100/D90,0)</f>
        <v>0</v>
      </c>
      <c r="N90" s="65">
        <f t="shared" ref="N90:N108" ca="1" si="72">IF(H90&gt;0,L90*100/H90,0)</f>
        <v>0</v>
      </c>
      <c r="O90" s="66">
        <f ca="1">IFERROR(__xludf.DUMMYFUNCTION("IMPORTRANGE(""https://docs.google.com/spreadsheets/d/1-uDff_7J0KD5mKrp0Vvzr7lt3OU09vwQwhkpOPPYv2Y/edit?usp=sharing"",""งบพรบ!AU90"")"),0)</f>
        <v>0</v>
      </c>
      <c r="P90" s="66">
        <f t="shared" ref="P90:P108" ca="1" si="73">IF(G90&gt;0,O90*100/G90,0)</f>
        <v>0</v>
      </c>
      <c r="Q90" s="65">
        <f t="shared" ref="Q90:Q108" ca="1" si="74">IF(I90&gt;0,O90*100/I90,0)</f>
        <v>0</v>
      </c>
      <c r="R90" s="66">
        <v>0</v>
      </c>
      <c r="S90" s="66">
        <v>0</v>
      </c>
      <c r="T90" s="66">
        <v>0</v>
      </c>
      <c r="U90" s="65">
        <f t="shared" si="36"/>
        <v>0</v>
      </c>
      <c r="V90" s="65">
        <f t="shared" si="37"/>
        <v>0</v>
      </c>
      <c r="W90" s="62"/>
      <c r="X90" s="62"/>
      <c r="Y90" s="62"/>
      <c r="Z90" s="79"/>
      <c r="AA90" s="62"/>
      <c r="AB90" s="65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5"/>
    </row>
    <row r="91" spans="1:43" ht="24" customHeight="1" x14ac:dyDescent="0.25">
      <c r="A91" s="105"/>
      <c r="B91" s="106" t="s">
        <v>119</v>
      </c>
      <c r="C91" s="72">
        <f t="shared" ca="1" si="67"/>
        <v>0</v>
      </c>
      <c r="D91" s="73">
        <f t="shared" ca="1" si="68"/>
        <v>0</v>
      </c>
      <c r="E91" s="74">
        <f ca="1">IFERROR(__xludf.DUMMYFUNCTION("IMPORTRANGE(""https://docs.google.com/spreadsheets/d/1-uDff_7J0KD5mKrp0Vvzr7lt3OU09vwQwhkpOPPYv2Y/edit?usp=sharing"",""งบพรบ!AN91"")"),0)</f>
        <v>0</v>
      </c>
      <c r="F91" s="74">
        <f ca="1">IFERROR(__xludf.DUMMYFUNCTION("IMPORTRANGE(""https://docs.google.com/spreadsheets/d/1-uDff_7J0KD5mKrp0Vvzr7lt3OU09vwQwhkpOPPYv2Y/edit?usp=sharing"",""งบพรบ!AO91"")"),0)</f>
        <v>0</v>
      </c>
      <c r="G91" s="74">
        <f ca="1">IFERROR(__xludf.DUMMYFUNCTION("IMPORTRANGE(""https://docs.google.com/spreadsheets/d/1-uDff_7J0KD5mKrp0Vvzr7lt3OU09vwQwhkpOPPYv2Y/edit?usp=sharing"",""งบพรบ!AP91"")"),0)</f>
        <v>0</v>
      </c>
      <c r="H91" s="74">
        <f ca="1">IFERROR(__xludf.DUMMYFUNCTION("IMPORTRANGE(""https://docs.google.com/spreadsheets/d/1-uDff_7J0KD5mKrp0Vvzr7lt3OU09vwQwhkpOPPYv2Y/edit?usp=sharing"",""งบพรบ!AR91"")"),0)</f>
        <v>0</v>
      </c>
      <c r="I91" s="74">
        <f ca="1">IFERROR(__xludf.DUMMYFUNCTION("IMPORTRANGE(""https://docs.google.com/spreadsheets/d/1-uDff_7J0KD5mKrp0Vvzr7lt3OU09vwQwhkpOPPYv2Y/edit?usp=sharing"",""งบพรบ!AS91"")"),0)</f>
        <v>0</v>
      </c>
      <c r="J91" s="74">
        <f t="shared" ca="1" si="69"/>
        <v>0</v>
      </c>
      <c r="K91" s="75">
        <f t="shared" ca="1" si="70"/>
        <v>0</v>
      </c>
      <c r="L91" s="74">
        <f ca="1">IFERROR(__xludf.DUMMYFUNCTION("IMPORTRANGE(""https://docs.google.com/spreadsheets/d/1-uDff_7J0KD5mKrp0Vvzr7lt3OU09vwQwhkpOPPYv2Y/edit?usp=sharing"",""งบพรบ!AT91"")"),0)</f>
        <v>0</v>
      </c>
      <c r="M91" s="76">
        <f t="shared" ca="1" si="71"/>
        <v>0</v>
      </c>
      <c r="N91" s="76">
        <f t="shared" ca="1" si="72"/>
        <v>0</v>
      </c>
      <c r="O91" s="77">
        <f ca="1">IFERROR(__xludf.DUMMYFUNCTION("IMPORTRANGE(""https://docs.google.com/spreadsheets/d/1-uDff_7J0KD5mKrp0Vvzr7lt3OU09vwQwhkpOPPYv2Y/edit?usp=sharing"",""งบพรบ!AU91"")"),0)</f>
        <v>0</v>
      </c>
      <c r="P91" s="77">
        <f t="shared" ca="1" si="73"/>
        <v>0</v>
      </c>
      <c r="Q91" s="76">
        <f t="shared" ca="1" si="74"/>
        <v>0</v>
      </c>
      <c r="R91" s="77">
        <v>0</v>
      </c>
      <c r="S91" s="77">
        <v>0</v>
      </c>
      <c r="T91" s="77">
        <v>0</v>
      </c>
      <c r="U91" s="76">
        <f t="shared" si="36"/>
        <v>0</v>
      </c>
      <c r="V91" s="76">
        <f t="shared" si="37"/>
        <v>0</v>
      </c>
      <c r="W91" s="74"/>
      <c r="X91" s="74"/>
      <c r="Y91" s="74"/>
      <c r="Z91" s="79"/>
      <c r="AA91" s="74"/>
      <c r="AB91" s="76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6"/>
    </row>
    <row r="92" spans="1:43" ht="24" customHeight="1" x14ac:dyDescent="0.25">
      <c r="A92" s="105"/>
      <c r="B92" s="106" t="s">
        <v>120</v>
      </c>
      <c r="C92" s="72">
        <f t="shared" ca="1" si="67"/>
        <v>0</v>
      </c>
      <c r="D92" s="73">
        <f t="shared" ca="1" si="68"/>
        <v>0</v>
      </c>
      <c r="E92" s="74">
        <f ca="1">IFERROR(__xludf.DUMMYFUNCTION("IMPORTRANGE(""https://docs.google.com/spreadsheets/d/1-uDff_7J0KD5mKrp0Vvzr7lt3OU09vwQwhkpOPPYv2Y/edit?usp=sharing"",""งบพรบ!AN92"")"),0)</f>
        <v>0</v>
      </c>
      <c r="F92" s="74">
        <f ca="1">IFERROR(__xludf.DUMMYFUNCTION("IMPORTRANGE(""https://docs.google.com/spreadsheets/d/1-uDff_7J0KD5mKrp0Vvzr7lt3OU09vwQwhkpOPPYv2Y/edit?usp=sharing"",""งบพรบ!AO92"")"),0)</f>
        <v>0</v>
      </c>
      <c r="G92" s="74">
        <f ca="1">IFERROR(__xludf.DUMMYFUNCTION("IMPORTRANGE(""https://docs.google.com/spreadsheets/d/1-uDff_7J0KD5mKrp0Vvzr7lt3OU09vwQwhkpOPPYv2Y/edit?usp=sharing"",""งบพรบ!AP92"")"),0)</f>
        <v>0</v>
      </c>
      <c r="H92" s="74">
        <f ca="1">IFERROR(__xludf.DUMMYFUNCTION("IMPORTRANGE(""https://docs.google.com/spreadsheets/d/1-uDff_7J0KD5mKrp0Vvzr7lt3OU09vwQwhkpOPPYv2Y/edit?usp=sharing"",""งบพรบ!AR92"")"),0)</f>
        <v>0</v>
      </c>
      <c r="I92" s="74">
        <f ca="1">IFERROR(__xludf.DUMMYFUNCTION("IMPORTRANGE(""https://docs.google.com/spreadsheets/d/1-uDff_7J0KD5mKrp0Vvzr7lt3OU09vwQwhkpOPPYv2Y/edit?usp=sharing"",""งบพรบ!AS92"")"),0)</f>
        <v>0</v>
      </c>
      <c r="J92" s="74">
        <f t="shared" ca="1" si="69"/>
        <v>0</v>
      </c>
      <c r="K92" s="75">
        <f t="shared" ca="1" si="70"/>
        <v>0</v>
      </c>
      <c r="L92" s="74">
        <f ca="1">IFERROR(__xludf.DUMMYFUNCTION("IMPORTRANGE(""https://docs.google.com/spreadsheets/d/1-uDff_7J0KD5mKrp0Vvzr7lt3OU09vwQwhkpOPPYv2Y/edit?usp=sharing"",""งบพรบ!AT92"")"),0)</f>
        <v>0</v>
      </c>
      <c r="M92" s="76">
        <f t="shared" ca="1" si="71"/>
        <v>0</v>
      </c>
      <c r="N92" s="76">
        <f t="shared" ca="1" si="72"/>
        <v>0</v>
      </c>
      <c r="O92" s="77">
        <f ca="1">IFERROR(__xludf.DUMMYFUNCTION("IMPORTRANGE(""https://docs.google.com/spreadsheets/d/1-uDff_7J0KD5mKrp0Vvzr7lt3OU09vwQwhkpOPPYv2Y/edit?usp=sharing"",""งบพรบ!AU92"")"),0)</f>
        <v>0</v>
      </c>
      <c r="P92" s="77">
        <f t="shared" ca="1" si="73"/>
        <v>0</v>
      </c>
      <c r="Q92" s="76">
        <f t="shared" ca="1" si="74"/>
        <v>0</v>
      </c>
      <c r="R92" s="77">
        <v>0</v>
      </c>
      <c r="S92" s="77">
        <v>0</v>
      </c>
      <c r="T92" s="77">
        <v>0</v>
      </c>
      <c r="U92" s="76">
        <f t="shared" si="36"/>
        <v>0</v>
      </c>
      <c r="V92" s="76">
        <f t="shared" si="37"/>
        <v>0</v>
      </c>
      <c r="W92" s="74"/>
      <c r="X92" s="74"/>
      <c r="Y92" s="74"/>
      <c r="Z92" s="79"/>
      <c r="AA92" s="74"/>
      <c r="AB92" s="76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6"/>
    </row>
    <row r="93" spans="1:43" ht="24" customHeight="1" x14ac:dyDescent="0.25">
      <c r="A93" s="105"/>
      <c r="B93" s="106" t="s">
        <v>121</v>
      </c>
      <c r="C93" s="72">
        <f t="shared" ca="1" si="67"/>
        <v>70000</v>
      </c>
      <c r="D93" s="73">
        <f t="shared" ca="1" si="68"/>
        <v>70000</v>
      </c>
      <c r="E93" s="74">
        <f ca="1">IFERROR(__xludf.DUMMYFUNCTION("IMPORTRANGE(""https://docs.google.com/spreadsheets/d/1-uDff_7J0KD5mKrp0Vvzr7lt3OU09vwQwhkpOPPYv2Y/edit?usp=sharing"",""งบพรบ!AN93"")"),70000)</f>
        <v>70000</v>
      </c>
      <c r="F93" s="74">
        <f ca="1">IFERROR(__xludf.DUMMYFUNCTION("IMPORTRANGE(""https://docs.google.com/spreadsheets/d/1-uDff_7J0KD5mKrp0Vvzr7lt3OU09vwQwhkpOPPYv2Y/edit?usp=sharing"",""งบพรบ!AO93"")"),0)</f>
        <v>0</v>
      </c>
      <c r="G93" s="74">
        <f ca="1">IFERROR(__xludf.DUMMYFUNCTION("IMPORTRANGE(""https://docs.google.com/spreadsheets/d/1-uDff_7J0KD5mKrp0Vvzr7lt3OU09vwQwhkpOPPYv2Y/edit?usp=sharing"",""งบพรบ!AP93"")"),0)</f>
        <v>0</v>
      </c>
      <c r="H93" s="74">
        <f ca="1">IFERROR(__xludf.DUMMYFUNCTION("IMPORTRANGE(""https://docs.google.com/spreadsheets/d/1-uDff_7J0KD5mKrp0Vvzr7lt3OU09vwQwhkpOPPYv2Y/edit?usp=sharing"",""งบพรบ!AR93"")"),70000)</f>
        <v>70000</v>
      </c>
      <c r="I93" s="74">
        <f ca="1">IFERROR(__xludf.DUMMYFUNCTION("IMPORTRANGE(""https://docs.google.com/spreadsheets/d/1-uDff_7J0KD5mKrp0Vvzr7lt3OU09vwQwhkpOPPYv2Y/edit?usp=sharing"",""งบพรบ!AS93"")"),0)</f>
        <v>0</v>
      </c>
      <c r="J93" s="74">
        <f t="shared" ca="1" si="69"/>
        <v>70000</v>
      </c>
      <c r="K93" s="75">
        <f t="shared" ca="1" si="70"/>
        <v>100</v>
      </c>
      <c r="L93" s="74">
        <f ca="1">IFERROR(__xludf.DUMMYFUNCTION("IMPORTRANGE(""https://docs.google.com/spreadsheets/d/1-uDff_7J0KD5mKrp0Vvzr7lt3OU09vwQwhkpOPPYv2Y/edit?usp=sharing"",""งบพรบ!AT93"")"),70000)</f>
        <v>70000</v>
      </c>
      <c r="M93" s="76">
        <f t="shared" ca="1" si="71"/>
        <v>100</v>
      </c>
      <c r="N93" s="76">
        <f t="shared" ca="1" si="72"/>
        <v>100</v>
      </c>
      <c r="O93" s="77">
        <f ca="1">IFERROR(__xludf.DUMMYFUNCTION("IMPORTRANGE(""https://docs.google.com/spreadsheets/d/1-uDff_7J0KD5mKrp0Vvzr7lt3OU09vwQwhkpOPPYv2Y/edit?usp=sharing"",""งบพรบ!AU93"")"),0)</f>
        <v>0</v>
      </c>
      <c r="P93" s="77">
        <f t="shared" ca="1" si="73"/>
        <v>0</v>
      </c>
      <c r="Q93" s="76">
        <f t="shared" ca="1" si="74"/>
        <v>0</v>
      </c>
      <c r="R93" s="77">
        <v>0</v>
      </c>
      <c r="S93" s="77">
        <v>0</v>
      </c>
      <c r="T93" s="77">
        <v>0</v>
      </c>
      <c r="U93" s="76">
        <f t="shared" si="36"/>
        <v>0</v>
      </c>
      <c r="V93" s="76">
        <f t="shared" si="37"/>
        <v>0</v>
      </c>
      <c r="W93" s="74"/>
      <c r="X93" s="74"/>
      <c r="Y93" s="74"/>
      <c r="Z93" s="76"/>
      <c r="AA93" s="74"/>
      <c r="AB93" s="76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6"/>
    </row>
    <row r="94" spans="1:43" ht="24" customHeight="1" x14ac:dyDescent="0.25">
      <c r="A94" s="105"/>
      <c r="B94" s="106" t="s">
        <v>122</v>
      </c>
      <c r="C94" s="72">
        <f t="shared" ca="1" si="67"/>
        <v>0</v>
      </c>
      <c r="D94" s="73">
        <f t="shared" ca="1" si="68"/>
        <v>0</v>
      </c>
      <c r="E94" s="74">
        <f ca="1">IFERROR(__xludf.DUMMYFUNCTION("IMPORTRANGE(""https://docs.google.com/spreadsheets/d/1-uDff_7J0KD5mKrp0Vvzr7lt3OU09vwQwhkpOPPYv2Y/edit?usp=sharing"",""งบพรบ!AN94"")"),0)</f>
        <v>0</v>
      </c>
      <c r="F94" s="74">
        <f ca="1">IFERROR(__xludf.DUMMYFUNCTION("IMPORTRANGE(""https://docs.google.com/spreadsheets/d/1-uDff_7J0KD5mKrp0Vvzr7lt3OU09vwQwhkpOPPYv2Y/edit?usp=sharing"",""งบพรบ!AO94"")"),0)</f>
        <v>0</v>
      </c>
      <c r="G94" s="74">
        <f ca="1">IFERROR(__xludf.DUMMYFUNCTION("IMPORTRANGE(""https://docs.google.com/spreadsheets/d/1-uDff_7J0KD5mKrp0Vvzr7lt3OU09vwQwhkpOPPYv2Y/edit?usp=sharing"",""งบพรบ!AP94"")"),0)</f>
        <v>0</v>
      </c>
      <c r="H94" s="74">
        <f ca="1">IFERROR(__xludf.DUMMYFUNCTION("IMPORTRANGE(""https://docs.google.com/spreadsheets/d/1-uDff_7J0KD5mKrp0Vvzr7lt3OU09vwQwhkpOPPYv2Y/edit?usp=sharing"",""งบพรบ!AR94"")"),0)</f>
        <v>0</v>
      </c>
      <c r="I94" s="74">
        <f ca="1">IFERROR(__xludf.DUMMYFUNCTION("IMPORTRANGE(""https://docs.google.com/spreadsheets/d/1-uDff_7J0KD5mKrp0Vvzr7lt3OU09vwQwhkpOPPYv2Y/edit?usp=sharing"",""งบพรบ!AS94"")"),0)</f>
        <v>0</v>
      </c>
      <c r="J94" s="74">
        <f t="shared" ca="1" si="69"/>
        <v>0</v>
      </c>
      <c r="K94" s="75">
        <f t="shared" ca="1" si="70"/>
        <v>0</v>
      </c>
      <c r="L94" s="74">
        <f ca="1">IFERROR(__xludf.DUMMYFUNCTION("IMPORTRANGE(""https://docs.google.com/spreadsheets/d/1-uDff_7J0KD5mKrp0Vvzr7lt3OU09vwQwhkpOPPYv2Y/edit?usp=sharing"",""งบพรบ!AT94"")"),0)</f>
        <v>0</v>
      </c>
      <c r="M94" s="76">
        <f t="shared" ca="1" si="71"/>
        <v>0</v>
      </c>
      <c r="N94" s="76">
        <f t="shared" ca="1" si="72"/>
        <v>0</v>
      </c>
      <c r="O94" s="77">
        <f ca="1">IFERROR(__xludf.DUMMYFUNCTION("IMPORTRANGE(""https://docs.google.com/spreadsheets/d/1-uDff_7J0KD5mKrp0Vvzr7lt3OU09vwQwhkpOPPYv2Y/edit?usp=sharing"",""งบพรบ!AU94"")"),0)</f>
        <v>0</v>
      </c>
      <c r="P94" s="77">
        <f t="shared" ca="1" si="73"/>
        <v>0</v>
      </c>
      <c r="Q94" s="76">
        <f t="shared" ca="1" si="74"/>
        <v>0</v>
      </c>
      <c r="R94" s="77">
        <v>0</v>
      </c>
      <c r="S94" s="77">
        <v>0</v>
      </c>
      <c r="T94" s="77">
        <v>0</v>
      </c>
      <c r="U94" s="76">
        <f t="shared" si="36"/>
        <v>0</v>
      </c>
      <c r="V94" s="76">
        <f t="shared" si="37"/>
        <v>0</v>
      </c>
      <c r="W94" s="74"/>
      <c r="X94" s="74"/>
      <c r="Y94" s="74"/>
      <c r="Z94" s="76"/>
      <c r="AA94" s="74"/>
      <c r="AB94" s="76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6"/>
    </row>
    <row r="95" spans="1:43" ht="24" customHeight="1" x14ac:dyDescent="0.25">
      <c r="A95" s="105"/>
      <c r="B95" s="106" t="s">
        <v>123</v>
      </c>
      <c r="C95" s="72">
        <f t="shared" ca="1" si="67"/>
        <v>0</v>
      </c>
      <c r="D95" s="73">
        <f t="shared" ca="1" si="68"/>
        <v>0</v>
      </c>
      <c r="E95" s="74">
        <f ca="1">IFERROR(__xludf.DUMMYFUNCTION("IMPORTRANGE(""https://docs.google.com/spreadsheets/d/1-uDff_7J0KD5mKrp0Vvzr7lt3OU09vwQwhkpOPPYv2Y/edit?usp=sharing"",""งบพรบ!AN95"")"),0)</f>
        <v>0</v>
      </c>
      <c r="F95" s="74">
        <f ca="1">IFERROR(__xludf.DUMMYFUNCTION("IMPORTRANGE(""https://docs.google.com/spreadsheets/d/1-uDff_7J0KD5mKrp0Vvzr7lt3OU09vwQwhkpOPPYv2Y/edit?usp=sharing"",""งบพรบ!AO95"")"),0)</f>
        <v>0</v>
      </c>
      <c r="G95" s="74">
        <f ca="1">IFERROR(__xludf.DUMMYFUNCTION("IMPORTRANGE(""https://docs.google.com/spreadsheets/d/1-uDff_7J0KD5mKrp0Vvzr7lt3OU09vwQwhkpOPPYv2Y/edit?usp=sharing"",""งบพรบ!AP95"")"),0)</f>
        <v>0</v>
      </c>
      <c r="H95" s="74">
        <f ca="1">IFERROR(__xludf.DUMMYFUNCTION("IMPORTRANGE(""https://docs.google.com/spreadsheets/d/1-uDff_7J0KD5mKrp0Vvzr7lt3OU09vwQwhkpOPPYv2Y/edit?usp=sharing"",""งบพรบ!AR95"")"),0)</f>
        <v>0</v>
      </c>
      <c r="I95" s="74">
        <f ca="1">IFERROR(__xludf.DUMMYFUNCTION("IMPORTRANGE(""https://docs.google.com/spreadsheets/d/1-uDff_7J0KD5mKrp0Vvzr7lt3OU09vwQwhkpOPPYv2Y/edit?usp=sharing"",""งบพรบ!AS95"")"),0)</f>
        <v>0</v>
      </c>
      <c r="J95" s="74">
        <f t="shared" ca="1" si="69"/>
        <v>0</v>
      </c>
      <c r="K95" s="75">
        <f t="shared" ca="1" si="70"/>
        <v>0</v>
      </c>
      <c r="L95" s="74">
        <f ca="1">IFERROR(__xludf.DUMMYFUNCTION("IMPORTRANGE(""https://docs.google.com/spreadsheets/d/1-uDff_7J0KD5mKrp0Vvzr7lt3OU09vwQwhkpOPPYv2Y/edit?usp=sharing"",""งบพรบ!AT95"")"),0)</f>
        <v>0</v>
      </c>
      <c r="M95" s="76">
        <f t="shared" ca="1" si="71"/>
        <v>0</v>
      </c>
      <c r="N95" s="76">
        <f t="shared" ca="1" si="72"/>
        <v>0</v>
      </c>
      <c r="O95" s="77">
        <f ca="1">IFERROR(__xludf.DUMMYFUNCTION("IMPORTRANGE(""https://docs.google.com/spreadsheets/d/1-uDff_7J0KD5mKrp0Vvzr7lt3OU09vwQwhkpOPPYv2Y/edit?usp=sharing"",""งบพรบ!AU95"")"),0)</f>
        <v>0</v>
      </c>
      <c r="P95" s="77">
        <f t="shared" ca="1" si="73"/>
        <v>0</v>
      </c>
      <c r="Q95" s="76">
        <f t="shared" ca="1" si="74"/>
        <v>0</v>
      </c>
      <c r="R95" s="77">
        <v>0</v>
      </c>
      <c r="S95" s="77">
        <v>0</v>
      </c>
      <c r="T95" s="77">
        <v>0</v>
      </c>
      <c r="U95" s="76">
        <f t="shared" si="36"/>
        <v>0</v>
      </c>
      <c r="V95" s="76">
        <f t="shared" si="37"/>
        <v>0</v>
      </c>
      <c r="W95" s="74"/>
      <c r="X95" s="74"/>
      <c r="Y95" s="74"/>
      <c r="Z95" s="76"/>
      <c r="AA95" s="74"/>
      <c r="AB95" s="76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6"/>
    </row>
    <row r="96" spans="1:43" ht="24" customHeight="1" x14ac:dyDescent="0.25">
      <c r="A96" s="105"/>
      <c r="B96" s="106" t="s">
        <v>124</v>
      </c>
      <c r="C96" s="72">
        <f t="shared" ca="1" si="67"/>
        <v>0</v>
      </c>
      <c r="D96" s="73">
        <f t="shared" ca="1" si="68"/>
        <v>0</v>
      </c>
      <c r="E96" s="74">
        <f ca="1">IFERROR(__xludf.DUMMYFUNCTION("IMPORTRANGE(""https://docs.google.com/spreadsheets/d/1-uDff_7J0KD5mKrp0Vvzr7lt3OU09vwQwhkpOPPYv2Y/edit?usp=sharing"",""งบพรบ!AN96"")"),0)</f>
        <v>0</v>
      </c>
      <c r="F96" s="74">
        <f ca="1">IFERROR(__xludf.DUMMYFUNCTION("IMPORTRANGE(""https://docs.google.com/spreadsheets/d/1-uDff_7J0KD5mKrp0Vvzr7lt3OU09vwQwhkpOPPYv2Y/edit?usp=sharing"",""งบพรบ!AO96"")"),0)</f>
        <v>0</v>
      </c>
      <c r="G96" s="74">
        <f ca="1">IFERROR(__xludf.DUMMYFUNCTION("IMPORTRANGE(""https://docs.google.com/spreadsheets/d/1-uDff_7J0KD5mKrp0Vvzr7lt3OU09vwQwhkpOPPYv2Y/edit?usp=sharing"",""งบพรบ!AP96"")"),0)</f>
        <v>0</v>
      </c>
      <c r="H96" s="74">
        <f ca="1">IFERROR(__xludf.DUMMYFUNCTION("IMPORTRANGE(""https://docs.google.com/spreadsheets/d/1-uDff_7J0KD5mKrp0Vvzr7lt3OU09vwQwhkpOPPYv2Y/edit?usp=sharing"",""งบพรบ!AR96"")"),0)</f>
        <v>0</v>
      </c>
      <c r="I96" s="74">
        <f ca="1">IFERROR(__xludf.DUMMYFUNCTION("IMPORTRANGE(""https://docs.google.com/spreadsheets/d/1-uDff_7J0KD5mKrp0Vvzr7lt3OU09vwQwhkpOPPYv2Y/edit?usp=sharing"",""งบพรบ!AS96"")"),0)</f>
        <v>0</v>
      </c>
      <c r="J96" s="74">
        <f t="shared" ca="1" si="69"/>
        <v>0</v>
      </c>
      <c r="K96" s="75">
        <f t="shared" ca="1" si="70"/>
        <v>0</v>
      </c>
      <c r="L96" s="74">
        <f ca="1">IFERROR(__xludf.DUMMYFUNCTION("IMPORTRANGE(""https://docs.google.com/spreadsheets/d/1-uDff_7J0KD5mKrp0Vvzr7lt3OU09vwQwhkpOPPYv2Y/edit?usp=sharing"",""งบพรบ!AT96"")"),0)</f>
        <v>0</v>
      </c>
      <c r="M96" s="76">
        <f t="shared" ca="1" si="71"/>
        <v>0</v>
      </c>
      <c r="N96" s="76">
        <f t="shared" ca="1" si="72"/>
        <v>0</v>
      </c>
      <c r="O96" s="77">
        <f ca="1">IFERROR(__xludf.DUMMYFUNCTION("IMPORTRANGE(""https://docs.google.com/spreadsheets/d/1-uDff_7J0KD5mKrp0Vvzr7lt3OU09vwQwhkpOPPYv2Y/edit?usp=sharing"",""งบพรบ!AU96"")"),0)</f>
        <v>0</v>
      </c>
      <c r="P96" s="77">
        <f t="shared" ca="1" si="73"/>
        <v>0</v>
      </c>
      <c r="Q96" s="76">
        <f t="shared" ca="1" si="74"/>
        <v>0</v>
      </c>
      <c r="R96" s="77">
        <v>0</v>
      </c>
      <c r="S96" s="77">
        <v>0</v>
      </c>
      <c r="T96" s="77">
        <v>0</v>
      </c>
      <c r="U96" s="76">
        <f t="shared" si="36"/>
        <v>0</v>
      </c>
      <c r="V96" s="76">
        <f t="shared" si="37"/>
        <v>0</v>
      </c>
      <c r="W96" s="74"/>
      <c r="X96" s="74"/>
      <c r="Y96" s="74"/>
      <c r="Z96" s="76"/>
      <c r="AA96" s="74"/>
      <c r="AB96" s="76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6"/>
    </row>
    <row r="97" spans="1:43" ht="24" customHeight="1" x14ac:dyDescent="0.25">
      <c r="A97" s="105"/>
      <c r="B97" s="106" t="s">
        <v>125</v>
      </c>
      <c r="C97" s="72">
        <f t="shared" ca="1" si="67"/>
        <v>0</v>
      </c>
      <c r="D97" s="73">
        <f t="shared" ca="1" si="68"/>
        <v>0</v>
      </c>
      <c r="E97" s="74">
        <f ca="1">IFERROR(__xludf.DUMMYFUNCTION("IMPORTRANGE(""https://docs.google.com/spreadsheets/d/1-uDff_7J0KD5mKrp0Vvzr7lt3OU09vwQwhkpOPPYv2Y/edit?usp=sharing"",""งบพรบ!AN97"")"),0)</f>
        <v>0</v>
      </c>
      <c r="F97" s="74">
        <f ca="1">IFERROR(__xludf.DUMMYFUNCTION("IMPORTRANGE(""https://docs.google.com/spreadsheets/d/1-uDff_7J0KD5mKrp0Vvzr7lt3OU09vwQwhkpOPPYv2Y/edit?usp=sharing"",""งบพรบ!AO97"")"),0)</f>
        <v>0</v>
      </c>
      <c r="G97" s="74">
        <f ca="1">IFERROR(__xludf.DUMMYFUNCTION("IMPORTRANGE(""https://docs.google.com/spreadsheets/d/1-uDff_7J0KD5mKrp0Vvzr7lt3OU09vwQwhkpOPPYv2Y/edit?usp=sharing"",""งบพรบ!AP97"")"),0)</f>
        <v>0</v>
      </c>
      <c r="H97" s="74">
        <f ca="1">IFERROR(__xludf.DUMMYFUNCTION("IMPORTRANGE(""https://docs.google.com/spreadsheets/d/1-uDff_7J0KD5mKrp0Vvzr7lt3OU09vwQwhkpOPPYv2Y/edit?usp=sharing"",""งบพรบ!AR97"")"),0)</f>
        <v>0</v>
      </c>
      <c r="I97" s="74">
        <f ca="1">IFERROR(__xludf.DUMMYFUNCTION("IMPORTRANGE(""https://docs.google.com/spreadsheets/d/1-uDff_7J0KD5mKrp0Vvzr7lt3OU09vwQwhkpOPPYv2Y/edit?usp=sharing"",""งบพรบ!AS97"")"),0)</f>
        <v>0</v>
      </c>
      <c r="J97" s="74">
        <f t="shared" ca="1" si="69"/>
        <v>0</v>
      </c>
      <c r="K97" s="75">
        <f t="shared" ca="1" si="70"/>
        <v>0</v>
      </c>
      <c r="L97" s="74">
        <f ca="1">IFERROR(__xludf.DUMMYFUNCTION("IMPORTRANGE(""https://docs.google.com/spreadsheets/d/1-uDff_7J0KD5mKrp0Vvzr7lt3OU09vwQwhkpOPPYv2Y/edit?usp=sharing"",""งบพรบ!AT97"")"),0)</f>
        <v>0</v>
      </c>
      <c r="M97" s="76">
        <f t="shared" ca="1" si="71"/>
        <v>0</v>
      </c>
      <c r="N97" s="76">
        <f t="shared" ca="1" si="72"/>
        <v>0</v>
      </c>
      <c r="O97" s="77">
        <f ca="1">IFERROR(__xludf.DUMMYFUNCTION("IMPORTRANGE(""https://docs.google.com/spreadsheets/d/1-uDff_7J0KD5mKrp0Vvzr7lt3OU09vwQwhkpOPPYv2Y/edit?usp=sharing"",""งบพรบ!AU97"")"),0)</f>
        <v>0</v>
      </c>
      <c r="P97" s="77">
        <f t="shared" ca="1" si="73"/>
        <v>0</v>
      </c>
      <c r="Q97" s="76">
        <f t="shared" ca="1" si="74"/>
        <v>0</v>
      </c>
      <c r="R97" s="77">
        <v>0</v>
      </c>
      <c r="S97" s="77">
        <v>0</v>
      </c>
      <c r="T97" s="77">
        <v>0</v>
      </c>
      <c r="U97" s="76">
        <f t="shared" si="36"/>
        <v>0</v>
      </c>
      <c r="V97" s="76">
        <f t="shared" si="37"/>
        <v>0</v>
      </c>
      <c r="W97" s="74"/>
      <c r="X97" s="74"/>
      <c r="Y97" s="74"/>
      <c r="Z97" s="76"/>
      <c r="AA97" s="74"/>
      <c r="AB97" s="76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6"/>
    </row>
    <row r="98" spans="1:43" ht="24" customHeight="1" x14ac:dyDescent="0.25">
      <c r="A98" s="105"/>
      <c r="B98" s="106" t="s">
        <v>126</v>
      </c>
      <c r="C98" s="72">
        <f t="shared" ca="1" si="67"/>
        <v>0</v>
      </c>
      <c r="D98" s="73">
        <f t="shared" ca="1" si="68"/>
        <v>0</v>
      </c>
      <c r="E98" s="74">
        <f ca="1">IFERROR(__xludf.DUMMYFUNCTION("IMPORTRANGE(""https://docs.google.com/spreadsheets/d/1-uDff_7J0KD5mKrp0Vvzr7lt3OU09vwQwhkpOPPYv2Y/edit?usp=sharing"",""งบพรบ!AN98"")"),0)</f>
        <v>0</v>
      </c>
      <c r="F98" s="74">
        <f ca="1">IFERROR(__xludf.DUMMYFUNCTION("IMPORTRANGE(""https://docs.google.com/spreadsheets/d/1-uDff_7J0KD5mKrp0Vvzr7lt3OU09vwQwhkpOPPYv2Y/edit?usp=sharing"",""งบพรบ!AO98"")"),0)</f>
        <v>0</v>
      </c>
      <c r="G98" s="74">
        <f ca="1">IFERROR(__xludf.DUMMYFUNCTION("IMPORTRANGE(""https://docs.google.com/spreadsheets/d/1-uDff_7J0KD5mKrp0Vvzr7lt3OU09vwQwhkpOPPYv2Y/edit?usp=sharing"",""งบพรบ!AP98"")"),0)</f>
        <v>0</v>
      </c>
      <c r="H98" s="74">
        <f ca="1">IFERROR(__xludf.DUMMYFUNCTION("IMPORTRANGE(""https://docs.google.com/spreadsheets/d/1-uDff_7J0KD5mKrp0Vvzr7lt3OU09vwQwhkpOPPYv2Y/edit?usp=sharing"",""งบพรบ!AR98"")"),0)</f>
        <v>0</v>
      </c>
      <c r="I98" s="74">
        <f ca="1">IFERROR(__xludf.DUMMYFUNCTION("IMPORTRANGE(""https://docs.google.com/spreadsheets/d/1-uDff_7J0KD5mKrp0Vvzr7lt3OU09vwQwhkpOPPYv2Y/edit?usp=sharing"",""งบพรบ!AS98"")"),0)</f>
        <v>0</v>
      </c>
      <c r="J98" s="74">
        <f t="shared" ca="1" si="69"/>
        <v>0</v>
      </c>
      <c r="K98" s="75">
        <f t="shared" ca="1" si="70"/>
        <v>0</v>
      </c>
      <c r="L98" s="74">
        <f ca="1">IFERROR(__xludf.DUMMYFUNCTION("IMPORTRANGE(""https://docs.google.com/spreadsheets/d/1-uDff_7J0KD5mKrp0Vvzr7lt3OU09vwQwhkpOPPYv2Y/edit?usp=sharing"",""งบพรบ!AT98"")"),0)</f>
        <v>0</v>
      </c>
      <c r="M98" s="76">
        <f t="shared" ca="1" si="71"/>
        <v>0</v>
      </c>
      <c r="N98" s="76">
        <f t="shared" ca="1" si="72"/>
        <v>0</v>
      </c>
      <c r="O98" s="77">
        <f ca="1">IFERROR(__xludf.DUMMYFUNCTION("IMPORTRANGE(""https://docs.google.com/spreadsheets/d/1-uDff_7J0KD5mKrp0Vvzr7lt3OU09vwQwhkpOPPYv2Y/edit?usp=sharing"",""งบพรบ!AU98"")"),0)</f>
        <v>0</v>
      </c>
      <c r="P98" s="77">
        <f t="shared" ca="1" si="73"/>
        <v>0</v>
      </c>
      <c r="Q98" s="76">
        <f t="shared" ca="1" si="74"/>
        <v>0</v>
      </c>
      <c r="R98" s="77">
        <v>0</v>
      </c>
      <c r="S98" s="77">
        <v>0</v>
      </c>
      <c r="T98" s="77">
        <v>0</v>
      </c>
      <c r="U98" s="76">
        <f t="shared" si="36"/>
        <v>0</v>
      </c>
      <c r="V98" s="76">
        <f t="shared" si="37"/>
        <v>0</v>
      </c>
      <c r="W98" s="74"/>
      <c r="X98" s="74"/>
      <c r="Y98" s="74"/>
      <c r="Z98" s="76"/>
      <c r="AA98" s="74"/>
      <c r="AB98" s="76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6"/>
    </row>
    <row r="99" spans="1:43" ht="24" customHeight="1" x14ac:dyDescent="0.25">
      <c r="A99" s="105"/>
      <c r="B99" s="106" t="s">
        <v>127</v>
      </c>
      <c r="C99" s="72">
        <f t="shared" ca="1" si="67"/>
        <v>0</v>
      </c>
      <c r="D99" s="73">
        <f t="shared" ca="1" si="68"/>
        <v>0</v>
      </c>
      <c r="E99" s="74">
        <f ca="1">IFERROR(__xludf.DUMMYFUNCTION("IMPORTRANGE(""https://docs.google.com/spreadsheets/d/1-uDff_7J0KD5mKrp0Vvzr7lt3OU09vwQwhkpOPPYv2Y/edit?usp=sharing"",""งบพรบ!AN99"")"),0)</f>
        <v>0</v>
      </c>
      <c r="F99" s="74">
        <f ca="1">IFERROR(__xludf.DUMMYFUNCTION("IMPORTRANGE(""https://docs.google.com/spreadsheets/d/1-uDff_7J0KD5mKrp0Vvzr7lt3OU09vwQwhkpOPPYv2Y/edit?usp=sharing"",""งบพรบ!AO99"")"),0)</f>
        <v>0</v>
      </c>
      <c r="G99" s="74">
        <f ca="1">IFERROR(__xludf.DUMMYFUNCTION("IMPORTRANGE(""https://docs.google.com/spreadsheets/d/1-uDff_7J0KD5mKrp0Vvzr7lt3OU09vwQwhkpOPPYv2Y/edit?usp=sharing"",""งบพรบ!AP99"")"),0)</f>
        <v>0</v>
      </c>
      <c r="H99" s="74">
        <f ca="1">IFERROR(__xludf.DUMMYFUNCTION("IMPORTRANGE(""https://docs.google.com/spreadsheets/d/1-uDff_7J0KD5mKrp0Vvzr7lt3OU09vwQwhkpOPPYv2Y/edit?usp=sharing"",""งบพรบ!AR99"")"),0)</f>
        <v>0</v>
      </c>
      <c r="I99" s="74">
        <f ca="1">IFERROR(__xludf.DUMMYFUNCTION("IMPORTRANGE(""https://docs.google.com/spreadsheets/d/1-uDff_7J0KD5mKrp0Vvzr7lt3OU09vwQwhkpOPPYv2Y/edit?usp=sharing"",""งบพรบ!AS99"")"),0)</f>
        <v>0</v>
      </c>
      <c r="J99" s="74">
        <f t="shared" ca="1" si="69"/>
        <v>0</v>
      </c>
      <c r="K99" s="75">
        <f t="shared" ca="1" si="70"/>
        <v>0</v>
      </c>
      <c r="L99" s="74">
        <f ca="1">IFERROR(__xludf.DUMMYFUNCTION("IMPORTRANGE(""https://docs.google.com/spreadsheets/d/1-uDff_7J0KD5mKrp0Vvzr7lt3OU09vwQwhkpOPPYv2Y/edit?usp=sharing"",""งบพรบ!AT99"")"),0)</f>
        <v>0</v>
      </c>
      <c r="M99" s="76">
        <f t="shared" ca="1" si="71"/>
        <v>0</v>
      </c>
      <c r="N99" s="76">
        <f t="shared" ca="1" si="72"/>
        <v>0</v>
      </c>
      <c r="O99" s="77">
        <f ca="1">IFERROR(__xludf.DUMMYFUNCTION("IMPORTRANGE(""https://docs.google.com/spreadsheets/d/1-uDff_7J0KD5mKrp0Vvzr7lt3OU09vwQwhkpOPPYv2Y/edit?usp=sharing"",""งบพรบ!AU99"")"),0)</f>
        <v>0</v>
      </c>
      <c r="P99" s="77">
        <f t="shared" ca="1" si="73"/>
        <v>0</v>
      </c>
      <c r="Q99" s="76">
        <f t="shared" ca="1" si="74"/>
        <v>0</v>
      </c>
      <c r="R99" s="77">
        <v>0</v>
      </c>
      <c r="S99" s="77">
        <v>0</v>
      </c>
      <c r="T99" s="77">
        <v>0</v>
      </c>
      <c r="U99" s="76">
        <f t="shared" si="36"/>
        <v>0</v>
      </c>
      <c r="V99" s="76">
        <f t="shared" si="37"/>
        <v>0</v>
      </c>
      <c r="W99" s="74"/>
      <c r="X99" s="74"/>
      <c r="Y99" s="74"/>
      <c r="Z99" s="76"/>
      <c r="AA99" s="74"/>
      <c r="AB99" s="76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6"/>
    </row>
    <row r="100" spans="1:43" ht="24" customHeight="1" x14ac:dyDescent="0.25">
      <c r="A100" s="105"/>
      <c r="B100" s="106" t="s">
        <v>128</v>
      </c>
      <c r="C100" s="72">
        <f t="shared" ca="1" si="67"/>
        <v>0</v>
      </c>
      <c r="D100" s="73">
        <f t="shared" ca="1" si="68"/>
        <v>0</v>
      </c>
      <c r="E100" s="74">
        <f ca="1">IFERROR(__xludf.DUMMYFUNCTION("IMPORTRANGE(""https://docs.google.com/spreadsheets/d/1-uDff_7J0KD5mKrp0Vvzr7lt3OU09vwQwhkpOPPYv2Y/edit?usp=sharing"",""งบพรบ!AN100"")"),0)</f>
        <v>0</v>
      </c>
      <c r="F100" s="74">
        <f ca="1">IFERROR(__xludf.DUMMYFUNCTION("IMPORTRANGE(""https://docs.google.com/spreadsheets/d/1-uDff_7J0KD5mKrp0Vvzr7lt3OU09vwQwhkpOPPYv2Y/edit?usp=sharing"",""งบพรบ!AO100"")"),0)</f>
        <v>0</v>
      </c>
      <c r="G100" s="74">
        <f ca="1">IFERROR(__xludf.DUMMYFUNCTION("IMPORTRANGE(""https://docs.google.com/spreadsheets/d/1-uDff_7J0KD5mKrp0Vvzr7lt3OU09vwQwhkpOPPYv2Y/edit?usp=sharing"",""งบพรบ!AP100"")"),0)</f>
        <v>0</v>
      </c>
      <c r="H100" s="74">
        <f ca="1">IFERROR(__xludf.DUMMYFUNCTION("IMPORTRANGE(""https://docs.google.com/spreadsheets/d/1-uDff_7J0KD5mKrp0Vvzr7lt3OU09vwQwhkpOPPYv2Y/edit?usp=sharing"",""งบพรบ!AR100"")"),0)</f>
        <v>0</v>
      </c>
      <c r="I100" s="74">
        <f ca="1">IFERROR(__xludf.DUMMYFUNCTION("IMPORTRANGE(""https://docs.google.com/spreadsheets/d/1-uDff_7J0KD5mKrp0Vvzr7lt3OU09vwQwhkpOPPYv2Y/edit?usp=sharing"",""งบพรบ!AS100"")"),0)</f>
        <v>0</v>
      </c>
      <c r="J100" s="74">
        <f t="shared" ca="1" si="69"/>
        <v>0</v>
      </c>
      <c r="K100" s="75">
        <f t="shared" ca="1" si="70"/>
        <v>0</v>
      </c>
      <c r="L100" s="74">
        <f ca="1">IFERROR(__xludf.DUMMYFUNCTION("IMPORTRANGE(""https://docs.google.com/spreadsheets/d/1-uDff_7J0KD5mKrp0Vvzr7lt3OU09vwQwhkpOPPYv2Y/edit?usp=sharing"",""งบพรบ!AT100"")"),0)</f>
        <v>0</v>
      </c>
      <c r="M100" s="76">
        <f t="shared" ca="1" si="71"/>
        <v>0</v>
      </c>
      <c r="N100" s="76">
        <f t="shared" ca="1" si="72"/>
        <v>0</v>
      </c>
      <c r="O100" s="77">
        <f ca="1">IFERROR(__xludf.DUMMYFUNCTION("IMPORTRANGE(""https://docs.google.com/spreadsheets/d/1-uDff_7J0KD5mKrp0Vvzr7lt3OU09vwQwhkpOPPYv2Y/edit?usp=sharing"",""งบพรบ!AU100"")"),0)</f>
        <v>0</v>
      </c>
      <c r="P100" s="77">
        <f t="shared" ca="1" si="73"/>
        <v>0</v>
      </c>
      <c r="Q100" s="76">
        <f t="shared" ca="1" si="74"/>
        <v>0</v>
      </c>
      <c r="R100" s="77">
        <v>0</v>
      </c>
      <c r="S100" s="77">
        <v>0</v>
      </c>
      <c r="T100" s="77">
        <v>0</v>
      </c>
      <c r="U100" s="76">
        <f t="shared" si="36"/>
        <v>0</v>
      </c>
      <c r="V100" s="76">
        <f t="shared" si="37"/>
        <v>0</v>
      </c>
      <c r="W100" s="74"/>
      <c r="X100" s="74"/>
      <c r="Y100" s="74"/>
      <c r="Z100" s="76"/>
      <c r="AA100" s="74"/>
      <c r="AB100" s="76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6"/>
    </row>
    <row r="101" spans="1:43" ht="24" customHeight="1" x14ac:dyDescent="0.25">
      <c r="A101" s="105"/>
      <c r="B101" s="106" t="s">
        <v>129</v>
      </c>
      <c r="C101" s="72">
        <f t="shared" ca="1" si="67"/>
        <v>2172500</v>
      </c>
      <c r="D101" s="73">
        <f t="shared" ca="1" si="68"/>
        <v>2172500</v>
      </c>
      <c r="E101" s="74">
        <f ca="1">IFERROR(__xludf.DUMMYFUNCTION("IMPORTRANGE(""https://docs.google.com/spreadsheets/d/1-uDff_7J0KD5mKrp0Vvzr7lt3OU09vwQwhkpOPPYv2Y/edit?usp=sharing"",""งบพรบ!AN101"")"),1741500)</f>
        <v>1741500</v>
      </c>
      <c r="F101" s="74">
        <f ca="1">IFERROR(__xludf.DUMMYFUNCTION("IMPORTRANGE(""https://docs.google.com/spreadsheets/d/1-uDff_7J0KD5mKrp0Vvzr7lt3OU09vwQwhkpOPPYv2Y/edit?usp=sharing"",""งบพรบ!AO101"")"),431000)</f>
        <v>431000</v>
      </c>
      <c r="G101" s="74">
        <f ca="1">IFERROR(__xludf.DUMMYFUNCTION("IMPORTRANGE(""https://docs.google.com/spreadsheets/d/1-uDff_7J0KD5mKrp0Vvzr7lt3OU09vwQwhkpOPPYv2Y/edit?usp=sharing"",""งบพรบ!AP101"")"),0)</f>
        <v>0</v>
      </c>
      <c r="H101" s="74">
        <f ca="1">IFERROR(__xludf.DUMMYFUNCTION("IMPORTRANGE(""https://docs.google.com/spreadsheets/d/1-uDff_7J0KD5mKrp0Vvzr7lt3OU09vwQwhkpOPPYv2Y/edit?usp=sharing"",""งบพรบ!AR101"")"),2022500)</f>
        <v>2022500</v>
      </c>
      <c r="I101" s="74">
        <f ca="1">IFERROR(__xludf.DUMMYFUNCTION("IMPORTRANGE(""https://docs.google.com/spreadsheets/d/1-uDff_7J0KD5mKrp0Vvzr7lt3OU09vwQwhkpOPPYv2Y/edit?usp=sharing"",""งบพรบ!AS101"")"),0)</f>
        <v>0</v>
      </c>
      <c r="J101" s="74">
        <f t="shared" ca="1" si="69"/>
        <v>1954108.06</v>
      </c>
      <c r="K101" s="75">
        <f t="shared" ca="1" si="70"/>
        <v>89.947436593785966</v>
      </c>
      <c r="L101" s="74">
        <f ca="1">IFERROR(__xludf.DUMMYFUNCTION("IMPORTRANGE(""https://docs.google.com/spreadsheets/d/1-uDff_7J0KD5mKrp0Vvzr7lt3OU09vwQwhkpOPPYv2Y/edit?usp=sharing"",""งบพรบ!AT101"")"),1954108.06)</f>
        <v>1954108.06</v>
      </c>
      <c r="M101" s="76">
        <f t="shared" ca="1" si="71"/>
        <v>89.947436593785966</v>
      </c>
      <c r="N101" s="76">
        <f t="shared" ca="1" si="72"/>
        <v>96.618445488257109</v>
      </c>
      <c r="O101" s="77">
        <f ca="1">IFERROR(__xludf.DUMMYFUNCTION("IMPORTRANGE(""https://docs.google.com/spreadsheets/d/1-uDff_7J0KD5mKrp0Vvzr7lt3OU09vwQwhkpOPPYv2Y/edit?usp=sharing"",""งบพรบ!AU101"")"),0)</f>
        <v>0</v>
      </c>
      <c r="P101" s="77">
        <f t="shared" ca="1" si="73"/>
        <v>0</v>
      </c>
      <c r="Q101" s="76">
        <f t="shared" ca="1" si="74"/>
        <v>0</v>
      </c>
      <c r="R101" s="77">
        <f ca="1">IFERROR(__xludf.DUMMYFUNCTION("IMPORTRANGE(""https://docs.google.com/spreadsheets/d/1ItG2mGa2ceCfYo0BwxsXqNm01IGEUdYcSSLTEv9YCik/edit?usp=sharing"",""เบิกจ่ายกองทุน!BE92"")"),1245215)</f>
        <v>1245215</v>
      </c>
      <c r="S101" s="77">
        <f ca="1">IFERROR(__xludf.DUMMYFUNCTION("IMPORTRANGE(""https://docs.google.com/spreadsheets/d/1ItG2mGa2ceCfYo0BwxsXqNm01IGEUdYcSSLTEv9YCik/edit?usp=sharing"",""เบิกจ่ายกองทุน!BF92"")"),1235835)</f>
        <v>1235835</v>
      </c>
      <c r="T101" s="77">
        <f ca="1">IFERROR(__xludf.DUMMYFUNCTION("IMPORTRANGE(""https://docs.google.com/spreadsheets/d/1ItG2mGa2ceCfYo0BwxsXqNm01IGEUdYcSSLTEv9YCik/edit?usp=sharing"",""เบิกจ่ายกองทุน!BG92"")"),26130)</f>
        <v>26130</v>
      </c>
      <c r="U101" s="76">
        <f t="shared" ca="1" si="36"/>
        <v>2.0984328007613144</v>
      </c>
      <c r="V101" s="76">
        <f t="shared" ca="1" si="37"/>
        <v>2.1143599266892426</v>
      </c>
      <c r="W101" s="74"/>
      <c r="X101" s="74"/>
      <c r="Y101" s="74"/>
      <c r="Z101" s="76"/>
      <c r="AA101" s="74"/>
      <c r="AB101" s="76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6"/>
    </row>
    <row r="102" spans="1:43" ht="24" customHeight="1" x14ac:dyDescent="0.25">
      <c r="A102" s="105"/>
      <c r="B102" s="106" t="s">
        <v>130</v>
      </c>
      <c r="C102" s="72">
        <f t="shared" ca="1" si="67"/>
        <v>0</v>
      </c>
      <c r="D102" s="73">
        <f t="shared" ca="1" si="68"/>
        <v>0</v>
      </c>
      <c r="E102" s="74">
        <f ca="1">IFERROR(__xludf.DUMMYFUNCTION("IMPORTRANGE(""https://docs.google.com/spreadsheets/d/1-uDff_7J0KD5mKrp0Vvzr7lt3OU09vwQwhkpOPPYv2Y/edit?usp=sharing"",""งบพรบ!AN102"")"),0)</f>
        <v>0</v>
      </c>
      <c r="F102" s="74">
        <f ca="1">IFERROR(__xludf.DUMMYFUNCTION("IMPORTRANGE(""https://docs.google.com/spreadsheets/d/1-uDff_7J0KD5mKrp0Vvzr7lt3OU09vwQwhkpOPPYv2Y/edit?usp=sharing"",""งบพรบ!AO102"")"),0)</f>
        <v>0</v>
      </c>
      <c r="G102" s="74">
        <f ca="1">IFERROR(__xludf.DUMMYFUNCTION("IMPORTRANGE(""https://docs.google.com/spreadsheets/d/1-uDff_7J0KD5mKrp0Vvzr7lt3OU09vwQwhkpOPPYv2Y/edit?usp=sharing"",""งบพรบ!AP102"")"),0)</f>
        <v>0</v>
      </c>
      <c r="H102" s="74">
        <f ca="1">IFERROR(__xludf.DUMMYFUNCTION("IMPORTRANGE(""https://docs.google.com/spreadsheets/d/1-uDff_7J0KD5mKrp0Vvzr7lt3OU09vwQwhkpOPPYv2Y/edit?usp=sharing"",""งบพรบ!AR102"")"),0)</f>
        <v>0</v>
      </c>
      <c r="I102" s="74">
        <f ca="1">IFERROR(__xludf.DUMMYFUNCTION("IMPORTRANGE(""https://docs.google.com/spreadsheets/d/1-uDff_7J0KD5mKrp0Vvzr7lt3OU09vwQwhkpOPPYv2Y/edit?usp=sharing"",""งบพรบ!AS102"")"),0)</f>
        <v>0</v>
      </c>
      <c r="J102" s="74">
        <f t="shared" ca="1" si="69"/>
        <v>0</v>
      </c>
      <c r="K102" s="75">
        <f t="shared" ca="1" si="70"/>
        <v>0</v>
      </c>
      <c r="L102" s="74">
        <f ca="1">IFERROR(__xludf.DUMMYFUNCTION("IMPORTRANGE(""https://docs.google.com/spreadsheets/d/1-uDff_7J0KD5mKrp0Vvzr7lt3OU09vwQwhkpOPPYv2Y/edit?usp=sharing"",""งบพรบ!AT102"")"),0)</f>
        <v>0</v>
      </c>
      <c r="M102" s="76">
        <f t="shared" ca="1" si="71"/>
        <v>0</v>
      </c>
      <c r="N102" s="76">
        <f t="shared" ca="1" si="72"/>
        <v>0</v>
      </c>
      <c r="O102" s="77">
        <f ca="1">IFERROR(__xludf.DUMMYFUNCTION("IMPORTRANGE(""https://docs.google.com/spreadsheets/d/1-uDff_7J0KD5mKrp0Vvzr7lt3OU09vwQwhkpOPPYv2Y/edit?usp=sharing"",""งบพรบ!AU102"")"),0)</f>
        <v>0</v>
      </c>
      <c r="P102" s="77">
        <f t="shared" ca="1" si="73"/>
        <v>0</v>
      </c>
      <c r="Q102" s="76">
        <f t="shared" ca="1" si="74"/>
        <v>0</v>
      </c>
      <c r="R102" s="77">
        <v>0</v>
      </c>
      <c r="S102" s="77">
        <v>0</v>
      </c>
      <c r="T102" s="77">
        <v>0</v>
      </c>
      <c r="U102" s="76">
        <f t="shared" si="36"/>
        <v>0</v>
      </c>
      <c r="V102" s="76">
        <f t="shared" si="37"/>
        <v>0</v>
      </c>
      <c r="W102" s="74"/>
      <c r="X102" s="74"/>
      <c r="Y102" s="74"/>
      <c r="Z102" s="76"/>
      <c r="AA102" s="74"/>
      <c r="AB102" s="76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6"/>
    </row>
    <row r="103" spans="1:43" ht="24" customHeight="1" x14ac:dyDescent="0.25">
      <c r="A103" s="105"/>
      <c r="B103" s="106" t="s">
        <v>131</v>
      </c>
      <c r="C103" s="72">
        <f t="shared" ca="1" si="67"/>
        <v>0</v>
      </c>
      <c r="D103" s="73">
        <f t="shared" ca="1" si="68"/>
        <v>0</v>
      </c>
      <c r="E103" s="74">
        <f ca="1">IFERROR(__xludf.DUMMYFUNCTION("IMPORTRANGE(""https://docs.google.com/spreadsheets/d/1-uDff_7J0KD5mKrp0Vvzr7lt3OU09vwQwhkpOPPYv2Y/edit?usp=sharing"",""งบพรบ!AN103"")"),0)</f>
        <v>0</v>
      </c>
      <c r="F103" s="74">
        <f ca="1">IFERROR(__xludf.DUMMYFUNCTION("IMPORTRANGE(""https://docs.google.com/spreadsheets/d/1-uDff_7J0KD5mKrp0Vvzr7lt3OU09vwQwhkpOPPYv2Y/edit?usp=sharing"",""งบพรบ!AO103"")"),0)</f>
        <v>0</v>
      </c>
      <c r="G103" s="74">
        <f ca="1">IFERROR(__xludf.DUMMYFUNCTION("IMPORTRANGE(""https://docs.google.com/spreadsheets/d/1-uDff_7J0KD5mKrp0Vvzr7lt3OU09vwQwhkpOPPYv2Y/edit?usp=sharing"",""งบพรบ!AP103"")"),0)</f>
        <v>0</v>
      </c>
      <c r="H103" s="74">
        <f ca="1">IFERROR(__xludf.DUMMYFUNCTION("IMPORTRANGE(""https://docs.google.com/spreadsheets/d/1-uDff_7J0KD5mKrp0Vvzr7lt3OU09vwQwhkpOPPYv2Y/edit?usp=sharing"",""งบพรบ!AR103"")"),0)</f>
        <v>0</v>
      </c>
      <c r="I103" s="74">
        <f ca="1">IFERROR(__xludf.DUMMYFUNCTION("IMPORTRANGE(""https://docs.google.com/spreadsheets/d/1-uDff_7J0KD5mKrp0Vvzr7lt3OU09vwQwhkpOPPYv2Y/edit?usp=sharing"",""งบพรบ!AS103"")"),0)</f>
        <v>0</v>
      </c>
      <c r="J103" s="74">
        <f t="shared" ca="1" si="69"/>
        <v>0</v>
      </c>
      <c r="K103" s="75">
        <f t="shared" ca="1" si="70"/>
        <v>0</v>
      </c>
      <c r="L103" s="74">
        <f ca="1">IFERROR(__xludf.DUMMYFUNCTION("IMPORTRANGE(""https://docs.google.com/spreadsheets/d/1-uDff_7J0KD5mKrp0Vvzr7lt3OU09vwQwhkpOPPYv2Y/edit?usp=sharing"",""งบพรบ!AT103"")"),0)</f>
        <v>0</v>
      </c>
      <c r="M103" s="76">
        <f t="shared" ca="1" si="71"/>
        <v>0</v>
      </c>
      <c r="N103" s="76">
        <f t="shared" ca="1" si="72"/>
        <v>0</v>
      </c>
      <c r="O103" s="77">
        <f ca="1">IFERROR(__xludf.DUMMYFUNCTION("IMPORTRANGE(""https://docs.google.com/spreadsheets/d/1-uDff_7J0KD5mKrp0Vvzr7lt3OU09vwQwhkpOPPYv2Y/edit?usp=sharing"",""งบพรบ!AU103"")"),0)</f>
        <v>0</v>
      </c>
      <c r="P103" s="77">
        <f t="shared" ca="1" si="73"/>
        <v>0</v>
      </c>
      <c r="Q103" s="76">
        <f t="shared" ca="1" si="74"/>
        <v>0</v>
      </c>
      <c r="R103" s="107">
        <v>0</v>
      </c>
      <c r="S103" s="107">
        <v>0</v>
      </c>
      <c r="T103" s="107">
        <v>0</v>
      </c>
      <c r="U103" s="108">
        <f t="shared" si="36"/>
        <v>0</v>
      </c>
      <c r="V103" s="108">
        <f t="shared" si="37"/>
        <v>0</v>
      </c>
      <c r="W103" s="74"/>
      <c r="X103" s="74"/>
      <c r="Y103" s="74"/>
      <c r="Z103" s="76"/>
      <c r="AA103" s="74"/>
      <c r="AB103" s="76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6"/>
    </row>
    <row r="104" spans="1:43" ht="24" customHeight="1" x14ac:dyDescent="0.25">
      <c r="A104" s="105"/>
      <c r="B104" s="106" t="s">
        <v>132</v>
      </c>
      <c r="C104" s="72">
        <f t="shared" ca="1" si="67"/>
        <v>90100</v>
      </c>
      <c r="D104" s="73">
        <f t="shared" ca="1" si="68"/>
        <v>90100</v>
      </c>
      <c r="E104" s="74">
        <f ca="1">IFERROR(__xludf.DUMMYFUNCTION("IMPORTRANGE(""https://docs.google.com/spreadsheets/d/1-uDff_7J0KD5mKrp0Vvzr7lt3OU09vwQwhkpOPPYv2Y/edit?usp=sharing"",""งบพรบ!AN104"")"),90100)</f>
        <v>90100</v>
      </c>
      <c r="F104" s="74">
        <f ca="1">IFERROR(__xludf.DUMMYFUNCTION("IMPORTRANGE(""https://docs.google.com/spreadsheets/d/1-uDff_7J0KD5mKrp0Vvzr7lt3OU09vwQwhkpOPPYv2Y/edit?usp=sharing"",""งบพรบ!AO104"")"),0)</f>
        <v>0</v>
      </c>
      <c r="G104" s="74">
        <f ca="1">IFERROR(__xludf.DUMMYFUNCTION("IMPORTRANGE(""https://docs.google.com/spreadsheets/d/1-uDff_7J0KD5mKrp0Vvzr7lt3OU09vwQwhkpOPPYv2Y/edit?usp=sharing"",""งบพรบ!AP104"")"),0)</f>
        <v>0</v>
      </c>
      <c r="H104" s="74">
        <f ca="1">IFERROR(__xludf.DUMMYFUNCTION("IMPORTRANGE(""https://docs.google.com/spreadsheets/d/1-uDff_7J0KD5mKrp0Vvzr7lt3OU09vwQwhkpOPPYv2Y/edit?usp=sharing"",""งบพรบ!AR104"")"),160100)</f>
        <v>160100</v>
      </c>
      <c r="I104" s="74">
        <f ca="1">IFERROR(__xludf.DUMMYFUNCTION("IMPORTRANGE(""https://docs.google.com/spreadsheets/d/1-uDff_7J0KD5mKrp0Vvzr7lt3OU09vwQwhkpOPPYv2Y/edit?usp=sharing"",""งบพรบ!AS104"")"),0)</f>
        <v>0</v>
      </c>
      <c r="J104" s="74">
        <f t="shared" ca="1" si="69"/>
        <v>40225</v>
      </c>
      <c r="K104" s="75">
        <f t="shared" ca="1" si="70"/>
        <v>44.644839067702556</v>
      </c>
      <c r="L104" s="74">
        <f ca="1">IFERROR(__xludf.DUMMYFUNCTION("IMPORTRANGE(""https://docs.google.com/spreadsheets/d/1-uDff_7J0KD5mKrp0Vvzr7lt3OU09vwQwhkpOPPYv2Y/edit?usp=sharing"",""งบพรบ!AT104"")"),40225)</f>
        <v>40225</v>
      </c>
      <c r="M104" s="76">
        <f t="shared" ca="1" si="71"/>
        <v>44.644839067702556</v>
      </c>
      <c r="N104" s="76">
        <f t="shared" ca="1" si="72"/>
        <v>25.124921923797626</v>
      </c>
      <c r="O104" s="77">
        <f ca="1">IFERROR(__xludf.DUMMYFUNCTION("IMPORTRANGE(""https://docs.google.com/spreadsheets/d/1-uDff_7J0KD5mKrp0Vvzr7lt3OU09vwQwhkpOPPYv2Y/edit?usp=sharing"",""งบพรบ!AU104"")"),0)</f>
        <v>0</v>
      </c>
      <c r="P104" s="77">
        <f t="shared" ca="1" si="73"/>
        <v>0</v>
      </c>
      <c r="Q104" s="76">
        <f t="shared" ca="1" si="74"/>
        <v>0</v>
      </c>
      <c r="R104" s="77">
        <v>0</v>
      </c>
      <c r="S104" s="77">
        <v>0</v>
      </c>
      <c r="T104" s="77">
        <v>0</v>
      </c>
      <c r="U104" s="76">
        <f t="shared" si="36"/>
        <v>0</v>
      </c>
      <c r="V104" s="76">
        <f t="shared" si="37"/>
        <v>0</v>
      </c>
      <c r="W104" s="74"/>
      <c r="X104" s="74"/>
      <c r="Y104" s="74"/>
      <c r="Z104" s="76"/>
      <c r="AA104" s="74"/>
      <c r="AB104" s="76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6"/>
    </row>
    <row r="105" spans="1:43" ht="24" customHeight="1" x14ac:dyDescent="0.25">
      <c r="A105" s="105"/>
      <c r="B105" s="109" t="s">
        <v>133</v>
      </c>
      <c r="C105" s="72">
        <f t="shared" ca="1" si="67"/>
        <v>0</v>
      </c>
      <c r="D105" s="73">
        <f t="shared" ca="1" si="68"/>
        <v>0</v>
      </c>
      <c r="E105" s="74">
        <f ca="1">IFERROR(__xludf.DUMMYFUNCTION("IMPORTRANGE(""https://docs.google.com/spreadsheets/d/1-uDff_7J0KD5mKrp0Vvzr7lt3OU09vwQwhkpOPPYv2Y/edit?usp=sharing"",""งบพรบ!AN105"")"),0)</f>
        <v>0</v>
      </c>
      <c r="F105" s="74">
        <f ca="1">IFERROR(__xludf.DUMMYFUNCTION("IMPORTRANGE(""https://docs.google.com/spreadsheets/d/1-uDff_7J0KD5mKrp0Vvzr7lt3OU09vwQwhkpOPPYv2Y/edit?usp=sharing"",""งบพรบ!AO105"")"),0)</f>
        <v>0</v>
      </c>
      <c r="G105" s="74">
        <f ca="1">IFERROR(__xludf.DUMMYFUNCTION("IMPORTRANGE(""https://docs.google.com/spreadsheets/d/1-uDff_7J0KD5mKrp0Vvzr7lt3OU09vwQwhkpOPPYv2Y/edit?usp=sharing"",""งบพรบ!AP105"")"),0)</f>
        <v>0</v>
      </c>
      <c r="H105" s="74">
        <f ca="1">IFERROR(__xludf.DUMMYFUNCTION("IMPORTRANGE(""https://docs.google.com/spreadsheets/d/1-uDff_7J0KD5mKrp0Vvzr7lt3OU09vwQwhkpOPPYv2Y/edit?usp=sharing"",""งบพรบ!AR105"")"),0)</f>
        <v>0</v>
      </c>
      <c r="I105" s="74">
        <f ca="1">IFERROR(__xludf.DUMMYFUNCTION("IMPORTRANGE(""https://docs.google.com/spreadsheets/d/1-uDff_7J0KD5mKrp0Vvzr7lt3OU09vwQwhkpOPPYv2Y/edit?usp=sharing"",""งบพรบ!AS105"")"),0)</f>
        <v>0</v>
      </c>
      <c r="J105" s="74">
        <f t="shared" ca="1" si="69"/>
        <v>0</v>
      </c>
      <c r="K105" s="75">
        <f t="shared" ca="1" si="70"/>
        <v>0</v>
      </c>
      <c r="L105" s="74">
        <f ca="1">IFERROR(__xludf.DUMMYFUNCTION("IMPORTRANGE(""https://docs.google.com/spreadsheets/d/1-uDff_7J0KD5mKrp0Vvzr7lt3OU09vwQwhkpOPPYv2Y/edit?usp=sharing"",""งบพรบ!AT105"")"),0)</f>
        <v>0</v>
      </c>
      <c r="M105" s="76">
        <f t="shared" ca="1" si="71"/>
        <v>0</v>
      </c>
      <c r="N105" s="76">
        <f t="shared" ca="1" si="72"/>
        <v>0</v>
      </c>
      <c r="O105" s="77">
        <f ca="1">IFERROR(__xludf.DUMMYFUNCTION("IMPORTRANGE(""https://docs.google.com/spreadsheets/d/1-uDff_7J0KD5mKrp0Vvzr7lt3OU09vwQwhkpOPPYv2Y/edit?usp=sharing"",""งบพรบ!AU105"")"),0)</f>
        <v>0</v>
      </c>
      <c r="P105" s="77">
        <f t="shared" ca="1" si="73"/>
        <v>0</v>
      </c>
      <c r="Q105" s="76">
        <f t="shared" ca="1" si="74"/>
        <v>0</v>
      </c>
      <c r="R105" s="110">
        <v>0</v>
      </c>
      <c r="S105" s="110">
        <v>0</v>
      </c>
      <c r="T105" s="110">
        <v>0</v>
      </c>
      <c r="U105" s="111">
        <f t="shared" si="36"/>
        <v>0</v>
      </c>
      <c r="V105" s="111">
        <f t="shared" si="37"/>
        <v>0</v>
      </c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</row>
    <row r="106" spans="1:43" ht="24" customHeight="1" x14ac:dyDescent="0.25">
      <c r="A106" s="105"/>
      <c r="B106" s="109" t="s">
        <v>134</v>
      </c>
      <c r="C106" s="72">
        <f t="shared" ca="1" si="67"/>
        <v>0</v>
      </c>
      <c r="D106" s="73">
        <f t="shared" ca="1" si="68"/>
        <v>0</v>
      </c>
      <c r="E106" s="74">
        <f ca="1">IFERROR(__xludf.DUMMYFUNCTION("IMPORTRANGE(""https://docs.google.com/spreadsheets/d/1-uDff_7J0KD5mKrp0Vvzr7lt3OU09vwQwhkpOPPYv2Y/edit?usp=sharing"",""งบพรบ!AN106"")"),0)</f>
        <v>0</v>
      </c>
      <c r="F106" s="74">
        <f ca="1">IFERROR(__xludf.DUMMYFUNCTION("IMPORTRANGE(""https://docs.google.com/spreadsheets/d/1-uDff_7J0KD5mKrp0Vvzr7lt3OU09vwQwhkpOPPYv2Y/edit?usp=sharing"",""งบพรบ!AO106"")"),0)</f>
        <v>0</v>
      </c>
      <c r="G106" s="74">
        <f ca="1">IFERROR(__xludf.DUMMYFUNCTION("IMPORTRANGE(""https://docs.google.com/spreadsheets/d/1-uDff_7J0KD5mKrp0Vvzr7lt3OU09vwQwhkpOPPYv2Y/edit?usp=sharing"",""งบพรบ!AP106"")"),0)</f>
        <v>0</v>
      </c>
      <c r="H106" s="74">
        <f ca="1">IFERROR(__xludf.DUMMYFUNCTION("IMPORTRANGE(""https://docs.google.com/spreadsheets/d/1-uDff_7J0KD5mKrp0Vvzr7lt3OU09vwQwhkpOPPYv2Y/edit?usp=sharing"",""งบพรบ!AR106"")"),0)</f>
        <v>0</v>
      </c>
      <c r="I106" s="74">
        <f ca="1">IFERROR(__xludf.DUMMYFUNCTION("IMPORTRANGE(""https://docs.google.com/spreadsheets/d/1-uDff_7J0KD5mKrp0Vvzr7lt3OU09vwQwhkpOPPYv2Y/edit?usp=sharing"",""งบพรบ!AS106"")"),0)</f>
        <v>0</v>
      </c>
      <c r="J106" s="74">
        <f t="shared" ca="1" si="69"/>
        <v>0</v>
      </c>
      <c r="K106" s="75">
        <f t="shared" ca="1" si="70"/>
        <v>0</v>
      </c>
      <c r="L106" s="74">
        <f ca="1">IFERROR(__xludf.DUMMYFUNCTION("IMPORTRANGE(""https://docs.google.com/spreadsheets/d/1-uDff_7J0KD5mKrp0Vvzr7lt3OU09vwQwhkpOPPYv2Y/edit?usp=sharing"",""งบพรบ!AT106"")"),0)</f>
        <v>0</v>
      </c>
      <c r="M106" s="76">
        <f t="shared" ca="1" si="71"/>
        <v>0</v>
      </c>
      <c r="N106" s="76">
        <f t="shared" ca="1" si="72"/>
        <v>0</v>
      </c>
      <c r="O106" s="77">
        <f ca="1">IFERROR(__xludf.DUMMYFUNCTION("IMPORTRANGE(""https://docs.google.com/spreadsheets/d/1-uDff_7J0KD5mKrp0Vvzr7lt3OU09vwQwhkpOPPYv2Y/edit?usp=sharing"",""งบพรบ!AU106"")"),0)</f>
        <v>0</v>
      </c>
      <c r="P106" s="77">
        <f t="shared" ca="1" si="73"/>
        <v>0</v>
      </c>
      <c r="Q106" s="76">
        <f t="shared" ca="1" si="74"/>
        <v>0</v>
      </c>
      <c r="R106" s="77">
        <v>0</v>
      </c>
      <c r="S106" s="77">
        <v>0</v>
      </c>
      <c r="T106" s="77">
        <v>0</v>
      </c>
      <c r="U106" s="76">
        <f t="shared" si="36"/>
        <v>0</v>
      </c>
      <c r="V106" s="76">
        <f t="shared" si="37"/>
        <v>0</v>
      </c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</row>
    <row r="107" spans="1:43" ht="24" customHeight="1" x14ac:dyDescent="0.25">
      <c r="A107" s="105"/>
      <c r="B107" s="109" t="s">
        <v>26</v>
      </c>
      <c r="C107" s="72">
        <f t="shared" ca="1" si="67"/>
        <v>0</v>
      </c>
      <c r="D107" s="73">
        <f t="shared" ca="1" si="68"/>
        <v>0</v>
      </c>
      <c r="E107" s="74">
        <f ca="1">IFERROR(__xludf.DUMMYFUNCTION("IMPORTRANGE(""https://docs.google.com/spreadsheets/d/1-uDff_7J0KD5mKrp0Vvzr7lt3OU09vwQwhkpOPPYv2Y/edit?usp=sharing"",""งบพรบ!AN107"")"),0)</f>
        <v>0</v>
      </c>
      <c r="F107" s="74">
        <f ca="1">IFERROR(__xludf.DUMMYFUNCTION("IMPORTRANGE(""https://docs.google.com/spreadsheets/d/1-uDff_7J0KD5mKrp0Vvzr7lt3OU09vwQwhkpOPPYv2Y/edit?usp=sharing"",""งบพรบ!AO107"")"),0)</f>
        <v>0</v>
      </c>
      <c r="G107" s="74">
        <f ca="1">IFERROR(__xludf.DUMMYFUNCTION("IMPORTRANGE(""https://docs.google.com/spreadsheets/d/1-uDff_7J0KD5mKrp0Vvzr7lt3OU09vwQwhkpOPPYv2Y/edit?usp=sharing"",""งบพรบ!AP107"")"),0)</f>
        <v>0</v>
      </c>
      <c r="H107" s="74">
        <f ca="1">IFERROR(__xludf.DUMMYFUNCTION("IMPORTRANGE(""https://docs.google.com/spreadsheets/d/1-uDff_7J0KD5mKrp0Vvzr7lt3OU09vwQwhkpOPPYv2Y/edit?usp=sharing"",""งบพรบ!AR107"")"),0)</f>
        <v>0</v>
      </c>
      <c r="I107" s="74">
        <f ca="1">IFERROR(__xludf.DUMMYFUNCTION("IMPORTRANGE(""https://docs.google.com/spreadsheets/d/1-uDff_7J0KD5mKrp0Vvzr7lt3OU09vwQwhkpOPPYv2Y/edit?usp=sharing"",""งบพรบ!AS107"")"),0)</f>
        <v>0</v>
      </c>
      <c r="J107" s="74">
        <f t="shared" ca="1" si="69"/>
        <v>0</v>
      </c>
      <c r="K107" s="75">
        <f t="shared" ca="1" si="70"/>
        <v>0</v>
      </c>
      <c r="L107" s="74">
        <f ca="1">IFERROR(__xludf.DUMMYFUNCTION("IMPORTRANGE(""https://docs.google.com/spreadsheets/d/1-uDff_7J0KD5mKrp0Vvzr7lt3OU09vwQwhkpOPPYv2Y/edit?usp=sharing"",""งบพรบ!AT107"")"),0)</f>
        <v>0</v>
      </c>
      <c r="M107" s="76">
        <f t="shared" ca="1" si="71"/>
        <v>0</v>
      </c>
      <c r="N107" s="76">
        <f t="shared" ca="1" si="72"/>
        <v>0</v>
      </c>
      <c r="O107" s="77">
        <f ca="1">IFERROR(__xludf.DUMMYFUNCTION("IMPORTRANGE(""https://docs.google.com/spreadsheets/d/1-uDff_7J0KD5mKrp0Vvzr7lt3OU09vwQwhkpOPPYv2Y/edit?usp=sharing"",""งบพรบ!AU107"")"),0)</f>
        <v>0</v>
      </c>
      <c r="P107" s="77">
        <f t="shared" ca="1" si="73"/>
        <v>0</v>
      </c>
      <c r="Q107" s="76">
        <f t="shared" ca="1" si="74"/>
        <v>0</v>
      </c>
      <c r="R107" s="77">
        <v>0</v>
      </c>
      <c r="S107" s="77">
        <v>0</v>
      </c>
      <c r="T107" s="77">
        <v>0</v>
      </c>
      <c r="U107" s="76">
        <f t="shared" si="36"/>
        <v>0</v>
      </c>
      <c r="V107" s="76">
        <f t="shared" si="37"/>
        <v>0</v>
      </c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</row>
    <row r="108" spans="1:43" ht="24" customHeight="1" x14ac:dyDescent="0.25">
      <c r="A108" s="112"/>
      <c r="B108" s="113" t="s">
        <v>135</v>
      </c>
      <c r="C108" s="82">
        <f t="shared" ca="1" si="67"/>
        <v>0</v>
      </c>
      <c r="D108" s="83">
        <f t="shared" ca="1" si="68"/>
        <v>0</v>
      </c>
      <c r="E108" s="84">
        <f ca="1">IFERROR(__xludf.DUMMYFUNCTION("IMPORTRANGE(""https://docs.google.com/spreadsheets/d/1-uDff_7J0KD5mKrp0Vvzr7lt3OU09vwQwhkpOPPYv2Y/edit?usp=sharing"",""งบพรบ!AN108"")"),0)</f>
        <v>0</v>
      </c>
      <c r="F108" s="84">
        <f ca="1">IFERROR(__xludf.DUMMYFUNCTION("IMPORTRANGE(""https://docs.google.com/spreadsheets/d/1-uDff_7J0KD5mKrp0Vvzr7lt3OU09vwQwhkpOPPYv2Y/edit?usp=sharing"",""งบพรบ!AO108"")"),0)</f>
        <v>0</v>
      </c>
      <c r="G108" s="84">
        <f ca="1">IFERROR(__xludf.DUMMYFUNCTION("IMPORTRANGE(""https://docs.google.com/spreadsheets/d/1-uDff_7J0KD5mKrp0Vvzr7lt3OU09vwQwhkpOPPYv2Y/edit?usp=sharing"",""งบพรบ!AP108"")"),0)</f>
        <v>0</v>
      </c>
      <c r="H108" s="84">
        <f ca="1">IFERROR(__xludf.DUMMYFUNCTION("IMPORTRANGE(""https://docs.google.com/spreadsheets/d/1-uDff_7J0KD5mKrp0Vvzr7lt3OU09vwQwhkpOPPYv2Y/edit?usp=sharing"",""งบพรบ!AR108"")"),0)</f>
        <v>0</v>
      </c>
      <c r="I108" s="84">
        <f ca="1">IFERROR(__xludf.DUMMYFUNCTION("IMPORTRANGE(""https://docs.google.com/spreadsheets/d/1-uDff_7J0KD5mKrp0Vvzr7lt3OU09vwQwhkpOPPYv2Y/edit?usp=sharing"",""งบพรบ!AS108"")"),0)</f>
        <v>0</v>
      </c>
      <c r="J108" s="84">
        <f t="shared" ca="1" si="69"/>
        <v>0</v>
      </c>
      <c r="K108" s="85">
        <f t="shared" ca="1" si="70"/>
        <v>0</v>
      </c>
      <c r="L108" s="84">
        <f ca="1">IFERROR(__xludf.DUMMYFUNCTION("IMPORTRANGE(""https://docs.google.com/spreadsheets/d/1-uDff_7J0KD5mKrp0Vvzr7lt3OU09vwQwhkpOPPYv2Y/edit?usp=sharing"",""งบพรบ!AT108"")"),0)</f>
        <v>0</v>
      </c>
      <c r="M108" s="86">
        <f t="shared" ca="1" si="71"/>
        <v>0</v>
      </c>
      <c r="N108" s="86">
        <f t="shared" ca="1" si="72"/>
        <v>0</v>
      </c>
      <c r="O108" s="87">
        <f ca="1">IFERROR(__xludf.DUMMYFUNCTION("IMPORTRANGE(""https://docs.google.com/spreadsheets/d/1-uDff_7J0KD5mKrp0Vvzr7lt3OU09vwQwhkpOPPYv2Y/edit?usp=sharing"",""งบพรบ!AU108"")"),0)</f>
        <v>0</v>
      </c>
      <c r="P108" s="87">
        <f t="shared" ca="1" si="73"/>
        <v>0</v>
      </c>
      <c r="Q108" s="86">
        <f t="shared" ca="1" si="74"/>
        <v>0</v>
      </c>
      <c r="R108" s="87">
        <v>0</v>
      </c>
      <c r="S108" s="87">
        <v>0</v>
      </c>
      <c r="T108" s="87">
        <v>0</v>
      </c>
      <c r="U108" s="86">
        <f t="shared" si="36"/>
        <v>0</v>
      </c>
      <c r="V108" s="86">
        <f t="shared" si="37"/>
        <v>0</v>
      </c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</row>
  </sheetData>
  <mergeCells count="44">
    <mergeCell ref="I5:I6"/>
    <mergeCell ref="J5:K5"/>
    <mergeCell ref="D5:D6"/>
    <mergeCell ref="E5:E6"/>
    <mergeCell ref="F5:F6"/>
    <mergeCell ref="G5:G6"/>
    <mergeCell ref="H5:H6"/>
    <mergeCell ref="A74:B74"/>
    <mergeCell ref="A89:B89"/>
    <mergeCell ref="C2:V2"/>
    <mergeCell ref="W2:AQ2"/>
    <mergeCell ref="C3:Q3"/>
    <mergeCell ref="W3:AN3"/>
    <mergeCell ref="AO3:AQ4"/>
    <mergeCell ref="J4:Q4"/>
    <mergeCell ref="AP5:AQ5"/>
    <mergeCell ref="C4:G4"/>
    <mergeCell ref="H4:I4"/>
    <mergeCell ref="W4:AB4"/>
    <mergeCell ref="AC4:AF4"/>
    <mergeCell ref="AG4:AJ4"/>
    <mergeCell ref="AK4:AN4"/>
    <mergeCell ref="C5:C6"/>
    <mergeCell ref="A2:B6"/>
    <mergeCell ref="A7:B7"/>
    <mergeCell ref="A13:B13"/>
    <mergeCell ref="A31:B31"/>
    <mergeCell ref="A52:B52"/>
    <mergeCell ref="AE5:AF5"/>
    <mergeCell ref="AG5:AH5"/>
    <mergeCell ref="AI5:AJ5"/>
    <mergeCell ref="AK5:AL5"/>
    <mergeCell ref="AM5:AN5"/>
    <mergeCell ref="L5:N5"/>
    <mergeCell ref="O5:Q5"/>
    <mergeCell ref="W5:X5"/>
    <mergeCell ref="Y5:AB5"/>
    <mergeCell ref="AC5:AD5"/>
    <mergeCell ref="R3:V3"/>
    <mergeCell ref="R4:R6"/>
    <mergeCell ref="S4:S6"/>
    <mergeCell ref="T4:T6"/>
    <mergeCell ref="U4:U6"/>
    <mergeCell ref="V4:V6"/>
  </mergeCells>
  <conditionalFormatting sqref="A1">
    <cfRule type="colorScale" priority="3">
      <colorScale>
        <cfvo type="min"/>
        <cfvo type="max"/>
        <color rgb="FFFFFFFF"/>
        <color rgb="FF57BB8A"/>
      </colorScale>
    </cfRule>
  </conditionalFormatting>
  <conditionalFormatting sqref="K14:K30 K32:K51 K53:K73 K75:K88 K90:K108">
    <cfRule type="colorScale" priority="1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U14:U108">
    <cfRule type="colorScale" priority="4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Z14:Z30 AB14:AB30 Z32:Z51 AB32:AB51 Z53:Z73 AB53:AB73 Z75:Z88 AB75:AB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rintOptions horizontalCentered="1"/>
  <pageMargins left="0.31496062992125984" right="0.31496062992125984" top="0.74803149606299213" bottom="0.74803149606299213" header="0" footer="0"/>
  <pageSetup paperSize="9" scale="44" orientation="landscape" r:id="rId1"/>
  <rowBreaks count="4" manualBreakCount="4">
    <brk id="51" max="16383" man="1"/>
    <brk id="88" man="1"/>
    <brk id="73" man="1"/>
    <brk id="3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  <outlinePr summaryBelow="0" summaryRight="0"/>
  </sheetPr>
  <dimension ref="A1:AG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93"/>
      <c r="S1" s="293"/>
      <c r="T1" s="293"/>
      <c r="U1" s="294"/>
      <c r="V1" s="294"/>
      <c r="W1" s="294"/>
      <c r="X1" s="294"/>
      <c r="Y1" s="294"/>
      <c r="Z1" s="294"/>
      <c r="AA1" s="294"/>
      <c r="AB1" s="294"/>
      <c r="AC1" s="118"/>
      <c r="AD1" s="118"/>
      <c r="AE1" s="118"/>
      <c r="AF1" s="118"/>
      <c r="AG1" s="118"/>
    </row>
    <row r="2" spans="1:33" ht="24" customHeight="1" x14ac:dyDescent="0.2">
      <c r="A2" s="657" t="s">
        <v>1</v>
      </c>
      <c r="B2" s="658"/>
      <c r="C2" s="669" t="s">
        <v>205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7"/>
      <c r="R2" s="670" t="s">
        <v>206</v>
      </c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7"/>
    </row>
    <row r="3" spans="1:33" ht="30" customHeight="1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23" t="s">
        <v>207</v>
      </c>
      <c r="S3" s="674"/>
      <c r="T3" s="658"/>
      <c r="U3" s="723" t="s">
        <v>6</v>
      </c>
      <c r="V3" s="674"/>
      <c r="W3" s="658"/>
      <c r="X3" s="723" t="s">
        <v>208</v>
      </c>
      <c r="Y3" s="674"/>
      <c r="Z3" s="674"/>
      <c r="AA3" s="674"/>
      <c r="AB3" s="658"/>
      <c r="AC3" s="687" t="s">
        <v>209</v>
      </c>
      <c r="AD3" s="674"/>
      <c r="AE3" s="674"/>
      <c r="AF3" s="674"/>
      <c r="AG3" s="658"/>
    </row>
    <row r="4" spans="1:33" ht="30" customHeight="1" x14ac:dyDescent="0.2">
      <c r="A4" s="659"/>
      <c r="B4" s="660"/>
      <c r="C4" s="677" t="s">
        <v>8</v>
      </c>
      <c r="D4" s="646"/>
      <c r="E4" s="646"/>
      <c r="F4" s="646"/>
      <c r="G4" s="647"/>
      <c r="H4" s="678" t="s">
        <v>9</v>
      </c>
      <c r="I4" s="647"/>
      <c r="J4" s="676" t="s">
        <v>10</v>
      </c>
      <c r="K4" s="646"/>
      <c r="L4" s="646"/>
      <c r="M4" s="646"/>
      <c r="N4" s="646"/>
      <c r="O4" s="646"/>
      <c r="P4" s="646"/>
      <c r="Q4" s="647"/>
      <c r="R4" s="661"/>
      <c r="S4" s="675"/>
      <c r="T4" s="662"/>
      <c r="U4" s="661"/>
      <c r="V4" s="675"/>
      <c r="W4" s="662"/>
      <c r="X4" s="661"/>
      <c r="Y4" s="675"/>
      <c r="Z4" s="675"/>
      <c r="AA4" s="675"/>
      <c r="AB4" s="662"/>
      <c r="AC4" s="661"/>
      <c r="AD4" s="675"/>
      <c r="AE4" s="675"/>
      <c r="AF4" s="675"/>
      <c r="AG4" s="662"/>
    </row>
    <row r="5" spans="1:33" ht="45" customHeight="1" x14ac:dyDescent="0.3">
      <c r="A5" s="659"/>
      <c r="B5" s="660"/>
      <c r="C5" s="679" t="s">
        <v>20</v>
      </c>
      <c r="D5" s="680" t="s">
        <v>21</v>
      </c>
      <c r="E5" s="681" t="s">
        <v>22</v>
      </c>
      <c r="F5" s="682" t="s">
        <v>23</v>
      </c>
      <c r="G5" s="683" t="s">
        <v>24</v>
      </c>
      <c r="H5" s="651" t="s">
        <v>25</v>
      </c>
      <c r="I5" s="651" t="s">
        <v>26</v>
      </c>
      <c r="J5" s="653" t="s">
        <v>27</v>
      </c>
      <c r="K5" s="647"/>
      <c r="L5" s="653" t="s">
        <v>25</v>
      </c>
      <c r="M5" s="646"/>
      <c r="N5" s="647"/>
      <c r="O5" s="654" t="s">
        <v>26</v>
      </c>
      <c r="P5" s="646"/>
      <c r="Q5" s="647"/>
      <c r="R5" s="295" t="s">
        <v>28</v>
      </c>
      <c r="S5" s="724" t="s">
        <v>29</v>
      </c>
      <c r="T5" s="647"/>
      <c r="U5" s="295" t="s">
        <v>28</v>
      </c>
      <c r="V5" s="725" t="s">
        <v>29</v>
      </c>
      <c r="W5" s="647"/>
      <c r="X5" s="295" t="s">
        <v>28</v>
      </c>
      <c r="Y5" s="726" t="s">
        <v>210</v>
      </c>
      <c r="Z5" s="647"/>
      <c r="AA5" s="726" t="s">
        <v>211</v>
      </c>
      <c r="AB5" s="647"/>
      <c r="AC5" s="296" t="s">
        <v>28</v>
      </c>
      <c r="AD5" s="722" t="s">
        <v>212</v>
      </c>
      <c r="AE5" s="647"/>
      <c r="AF5" s="722" t="s">
        <v>213</v>
      </c>
      <c r="AG5" s="647"/>
    </row>
    <row r="6" spans="1:33" ht="30" customHeight="1" x14ac:dyDescent="0.3">
      <c r="A6" s="661"/>
      <c r="B6" s="662"/>
      <c r="C6" s="650"/>
      <c r="D6" s="650"/>
      <c r="E6" s="650"/>
      <c r="F6" s="650"/>
      <c r="G6" s="650"/>
      <c r="H6" s="650"/>
      <c r="I6" s="650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295" t="s">
        <v>140</v>
      </c>
      <c r="S6" s="297" t="s">
        <v>140</v>
      </c>
      <c r="T6" s="297" t="s">
        <v>31</v>
      </c>
      <c r="U6" s="295" t="s">
        <v>35</v>
      </c>
      <c r="V6" s="297" t="s">
        <v>35</v>
      </c>
      <c r="W6" s="298" t="s">
        <v>31</v>
      </c>
      <c r="X6" s="295" t="s">
        <v>35</v>
      </c>
      <c r="Y6" s="297" t="s">
        <v>35</v>
      </c>
      <c r="Z6" s="298" t="s">
        <v>31</v>
      </c>
      <c r="AA6" s="297" t="s">
        <v>35</v>
      </c>
      <c r="AB6" s="298" t="s">
        <v>31</v>
      </c>
      <c r="AC6" s="296" t="s">
        <v>35</v>
      </c>
      <c r="AD6" s="299" t="s">
        <v>35</v>
      </c>
      <c r="AE6" s="300" t="s">
        <v>31</v>
      </c>
      <c r="AF6" s="299" t="s">
        <v>35</v>
      </c>
      <c r="AG6" s="300" t="s">
        <v>31</v>
      </c>
    </row>
    <row r="7" spans="1:33" ht="24" customHeight="1" x14ac:dyDescent="0.3">
      <c r="A7" s="663" t="s">
        <v>38</v>
      </c>
      <c r="B7" s="647"/>
      <c r="C7" s="126">
        <f t="shared" ref="C7:C9" ca="1" si="0">D7+G7</f>
        <v>7015000</v>
      </c>
      <c r="D7" s="127">
        <f t="shared" ref="D7:E7" ca="1" si="1">D8+D9+D12</f>
        <v>7015000</v>
      </c>
      <c r="E7" s="128">
        <f t="shared" ca="1" si="1"/>
        <v>3156700</v>
      </c>
      <c r="F7" s="129">
        <f ca="1">F8+F9</f>
        <v>3858300</v>
      </c>
      <c r="G7" s="130">
        <f t="shared" ref="G7:I7" ca="1" si="2">G8+G9+G12</f>
        <v>0</v>
      </c>
      <c r="H7" s="131">
        <f t="shared" ca="1" si="2"/>
        <v>7015000</v>
      </c>
      <c r="I7" s="131">
        <f t="shared" ca="1" si="2"/>
        <v>0</v>
      </c>
      <c r="J7" s="132">
        <f t="shared" ref="J7:J9" ca="1" si="3">L7+O7</f>
        <v>5431255.8900000006</v>
      </c>
      <c r="K7" s="133">
        <f t="shared" ref="K7:K9" ca="1" si="4">IF(C7&gt;0,J7*100/C7,0)</f>
        <v>77.423462437633646</v>
      </c>
      <c r="L7" s="132">
        <f ca="1">L8+L9+L12</f>
        <v>5431255.8900000006</v>
      </c>
      <c r="M7" s="27">
        <f t="shared" ref="M7:M9" ca="1" si="5">IF(D7&gt;0,L7*100/D7,0)</f>
        <v>77.423462437633646</v>
      </c>
      <c r="N7" s="27">
        <f t="shared" ref="N7:N9" ca="1" si="6">IF(H7&gt;0,L7*100/H7,0)</f>
        <v>77.423462437633646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8">
        <f t="shared" ref="R7:S7" ca="1" si="9">R8</f>
        <v>10000</v>
      </c>
      <c r="S7" s="29">
        <f t="shared" ca="1" si="9"/>
        <v>8200</v>
      </c>
      <c r="T7" s="30">
        <f t="shared" ref="T7:T8" ca="1" si="10">IF(R7&gt;0,S7*100/R7,0)</f>
        <v>82</v>
      </c>
      <c r="U7" s="28">
        <f t="shared" ref="U7:V7" ca="1" si="11">U8</f>
        <v>1000</v>
      </c>
      <c r="V7" s="29">
        <f t="shared" ca="1" si="11"/>
        <v>843</v>
      </c>
      <c r="W7" s="30">
        <f t="shared" ref="W7:W8" ca="1" si="12">IF(U7&gt;0,V7*100/U7,0)</f>
        <v>84.3</v>
      </c>
      <c r="X7" s="28">
        <f t="shared" ref="X7:Y7" ca="1" si="13">X8</f>
        <v>1000</v>
      </c>
      <c r="Y7" s="29">
        <f t="shared" ca="1" si="13"/>
        <v>843</v>
      </c>
      <c r="Z7" s="30">
        <f t="shared" ref="Z7:Z8" ca="1" si="14">IF(X7&gt;0,Y7*100/X7,0)</f>
        <v>84.3</v>
      </c>
      <c r="AA7" s="301">
        <f ca="1">AA8</f>
        <v>843</v>
      </c>
      <c r="AB7" s="302">
        <f t="shared" ref="AB7:AB9" ca="1" si="15">IF(X7&gt;0,AA7*100/X7,0)</f>
        <v>84.3</v>
      </c>
      <c r="AC7" s="211">
        <f t="shared" ref="AC7:AD7" ca="1" si="16">AC8</f>
        <v>1000</v>
      </c>
      <c r="AD7" s="212">
        <f t="shared" ca="1" si="16"/>
        <v>662</v>
      </c>
      <c r="AE7" s="213">
        <f t="shared" ref="AE7:AE8" ca="1" si="17">IF(AC7&gt;0,AD7*100/AC7,0)</f>
        <v>66.2</v>
      </c>
      <c r="AF7" s="212">
        <f ca="1">AF8</f>
        <v>662</v>
      </c>
      <c r="AG7" s="213">
        <f t="shared" ref="AG7:AG9" ca="1" si="18">IF(AC7&gt;0,AF7*100/AC7,0)</f>
        <v>66.2</v>
      </c>
    </row>
    <row r="8" spans="1:33" ht="28.5" customHeight="1" x14ac:dyDescent="0.3">
      <c r="A8" s="31" t="s">
        <v>39</v>
      </c>
      <c r="B8" s="31"/>
      <c r="C8" s="136">
        <f t="shared" ca="1" si="0"/>
        <v>5362150</v>
      </c>
      <c r="D8" s="136">
        <f t="shared" ref="D8:I8" ca="1" si="19">+D13+D31+D52+D74</f>
        <v>5362150</v>
      </c>
      <c r="E8" s="136">
        <f t="shared" ca="1" si="19"/>
        <v>2300400</v>
      </c>
      <c r="F8" s="136">
        <f t="shared" ca="1" si="19"/>
        <v>3061750</v>
      </c>
      <c r="G8" s="136">
        <f t="shared" ca="1" si="19"/>
        <v>0</v>
      </c>
      <c r="H8" s="136">
        <f t="shared" ca="1" si="19"/>
        <v>5748490</v>
      </c>
      <c r="I8" s="136">
        <f t="shared" ca="1" si="19"/>
        <v>0</v>
      </c>
      <c r="J8" s="136">
        <f t="shared" ca="1" si="3"/>
        <v>4350003.2000000002</v>
      </c>
      <c r="K8" s="137">
        <f t="shared" ca="1" si="4"/>
        <v>81.124235614445695</v>
      </c>
      <c r="L8" s="136">
        <f ca="1">+L13+L31+L52+L74</f>
        <v>4350003.2000000002</v>
      </c>
      <c r="M8" s="37">
        <f t="shared" ca="1" si="5"/>
        <v>81.124235614445695</v>
      </c>
      <c r="N8" s="37">
        <f t="shared" ca="1" si="6"/>
        <v>75.672101717146589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2">
        <f t="shared" ref="R8:S8" ca="1" si="20">+R13+R31+R52+R74</f>
        <v>10000</v>
      </c>
      <c r="S8" s="32">
        <f t="shared" ca="1" si="20"/>
        <v>8200</v>
      </c>
      <c r="T8" s="34">
        <f t="shared" ca="1" si="10"/>
        <v>82</v>
      </c>
      <c r="U8" s="32">
        <f t="shared" ref="U8:V8" ca="1" si="21">+U13+U31+U52+U74</f>
        <v>1000</v>
      </c>
      <c r="V8" s="32">
        <f t="shared" ca="1" si="21"/>
        <v>843</v>
      </c>
      <c r="W8" s="34">
        <f t="shared" ca="1" si="12"/>
        <v>84.3</v>
      </c>
      <c r="X8" s="32">
        <f t="shared" ref="X8:Y8" ca="1" si="22">+X13+X31+X52+X74</f>
        <v>1000</v>
      </c>
      <c r="Y8" s="32">
        <f t="shared" ca="1" si="22"/>
        <v>843</v>
      </c>
      <c r="Z8" s="34">
        <f t="shared" ca="1" si="14"/>
        <v>84.3</v>
      </c>
      <c r="AA8" s="303">
        <f ca="1">+AA13+AA31+AA52+AA74</f>
        <v>843</v>
      </c>
      <c r="AB8" s="304">
        <f t="shared" ca="1" si="15"/>
        <v>84.3</v>
      </c>
      <c r="AC8" s="136">
        <f t="shared" ref="AC8:AD8" ca="1" si="23">+AC13+AC31+AC52+AC74</f>
        <v>1000</v>
      </c>
      <c r="AD8" s="136">
        <f t="shared" ca="1" si="23"/>
        <v>662</v>
      </c>
      <c r="AE8" s="37">
        <f t="shared" ca="1" si="17"/>
        <v>66.2</v>
      </c>
      <c r="AF8" s="136">
        <f ca="1">+AF13+AF31+AF52+AF74</f>
        <v>662</v>
      </c>
      <c r="AG8" s="37">
        <f t="shared" ca="1" si="18"/>
        <v>66.2</v>
      </c>
    </row>
    <row r="9" spans="1:33" ht="28.5" customHeight="1" x14ac:dyDescent="0.3">
      <c r="A9" s="38" t="s">
        <v>40</v>
      </c>
      <c r="B9" s="38"/>
      <c r="C9" s="139">
        <f t="shared" ca="1" si="0"/>
        <v>1652850</v>
      </c>
      <c r="D9" s="139">
        <f t="shared" ref="D9:I9" ca="1" si="24">+D89</f>
        <v>1652850</v>
      </c>
      <c r="E9" s="139">
        <f t="shared" ca="1" si="24"/>
        <v>856300</v>
      </c>
      <c r="F9" s="139">
        <f t="shared" ca="1" si="24"/>
        <v>796550</v>
      </c>
      <c r="G9" s="139">
        <f t="shared" ca="1" si="24"/>
        <v>0</v>
      </c>
      <c r="H9" s="139">
        <f t="shared" ca="1" si="24"/>
        <v>1266510</v>
      </c>
      <c r="I9" s="139">
        <f t="shared" ca="1" si="24"/>
        <v>0</v>
      </c>
      <c r="J9" s="139">
        <f t="shared" ca="1" si="3"/>
        <v>1081252.69</v>
      </c>
      <c r="K9" s="140">
        <f t="shared" ca="1" si="4"/>
        <v>65.4174722449103</v>
      </c>
      <c r="L9" s="139">
        <f ca="1">+L89</f>
        <v>1081252.69</v>
      </c>
      <c r="M9" s="44">
        <f t="shared" ca="1" si="5"/>
        <v>65.4174722449103</v>
      </c>
      <c r="N9" s="44">
        <f t="shared" ca="1" si="6"/>
        <v>85.372613718012488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39"/>
      <c r="S9" s="39"/>
      <c r="T9" s="41"/>
      <c r="U9" s="39"/>
      <c r="V9" s="39"/>
      <c r="W9" s="41"/>
      <c r="X9" s="39"/>
      <c r="Y9" s="39"/>
      <c r="Z9" s="41"/>
      <c r="AA9" s="305"/>
      <c r="AB9" s="306">
        <f t="shared" si="15"/>
        <v>0</v>
      </c>
      <c r="AC9" s="246"/>
      <c r="AD9" s="246"/>
      <c r="AE9" s="247"/>
      <c r="AF9" s="246"/>
      <c r="AG9" s="44">
        <f t="shared" si="18"/>
        <v>0</v>
      </c>
    </row>
    <row r="10" spans="1:33" ht="28.5" hidden="1" customHeight="1" x14ac:dyDescent="0.3">
      <c r="A10" s="45"/>
      <c r="B10" s="45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46"/>
      <c r="S10" s="46"/>
      <c r="T10" s="48"/>
      <c r="U10" s="46"/>
      <c r="V10" s="46"/>
      <c r="W10" s="48"/>
      <c r="X10" s="46"/>
      <c r="Y10" s="46"/>
      <c r="Z10" s="48"/>
      <c r="AA10" s="307"/>
      <c r="AB10" s="308"/>
      <c r="AC10" s="214"/>
      <c r="AD10" s="214"/>
      <c r="AE10" s="196"/>
      <c r="AF10" s="214"/>
      <c r="AG10" s="196"/>
    </row>
    <row r="11" spans="1:33" ht="28.5" hidden="1" customHeight="1" x14ac:dyDescent="0.3">
      <c r="A11" s="45"/>
      <c r="B11" s="45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46"/>
      <c r="S11" s="46"/>
      <c r="T11" s="48"/>
      <c r="U11" s="46"/>
      <c r="V11" s="46"/>
      <c r="W11" s="48"/>
      <c r="X11" s="46"/>
      <c r="Y11" s="46"/>
      <c r="Z11" s="48"/>
      <c r="AA11" s="307"/>
      <c r="AB11" s="308"/>
      <c r="AC11" s="214"/>
      <c r="AD11" s="214"/>
      <c r="AE11" s="196"/>
      <c r="AF11" s="214"/>
      <c r="AG11" s="196"/>
    </row>
    <row r="12" spans="1:33" ht="28.5" hidden="1" customHeight="1" x14ac:dyDescent="0.3">
      <c r="A12" s="45"/>
      <c r="B12" s="45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46"/>
      <c r="S12" s="46"/>
      <c r="T12" s="48"/>
      <c r="U12" s="46"/>
      <c r="V12" s="46"/>
      <c r="W12" s="48"/>
      <c r="X12" s="46"/>
      <c r="Y12" s="46"/>
      <c r="Z12" s="48"/>
      <c r="AA12" s="307"/>
      <c r="AB12" s="308"/>
      <c r="AC12" s="214"/>
      <c r="AD12" s="214"/>
      <c r="AE12" s="196"/>
      <c r="AF12" s="214"/>
      <c r="AG12" s="196"/>
    </row>
    <row r="13" spans="1:33" ht="28.5" customHeight="1" x14ac:dyDescent="0.3">
      <c r="A13" s="664" t="s">
        <v>41</v>
      </c>
      <c r="B13" s="647"/>
      <c r="C13" s="145">
        <f t="shared" ref="C13:C88" ca="1" si="25">D13+G13</f>
        <v>2328140</v>
      </c>
      <c r="D13" s="145">
        <f t="shared" ref="D13:I13" ca="1" si="26">SUM(D14:D30)</f>
        <v>2328140</v>
      </c>
      <c r="E13" s="145">
        <f t="shared" ca="1" si="26"/>
        <v>1007100</v>
      </c>
      <c r="F13" s="145">
        <f t="shared" ca="1" si="26"/>
        <v>1321040</v>
      </c>
      <c r="G13" s="145">
        <f t="shared" ca="1" si="26"/>
        <v>0</v>
      </c>
      <c r="H13" s="145">
        <f t="shared" ca="1" si="26"/>
        <v>2485730</v>
      </c>
      <c r="I13" s="145">
        <f t="shared" ca="1" si="26"/>
        <v>0</v>
      </c>
      <c r="J13" s="145">
        <f t="shared" ref="J13:J88" ca="1" si="27">L13+O13</f>
        <v>2017700.23</v>
      </c>
      <c r="K13" s="146">
        <f t="shared" ref="K13:K88" ca="1" si="28">IF(C13&gt;0,J13*100/C13,0)</f>
        <v>86.665760220605293</v>
      </c>
      <c r="L13" s="145">
        <f ca="1">SUM(L14:L30)</f>
        <v>2017700.23</v>
      </c>
      <c r="M13" s="57">
        <f t="shared" ref="M13:M88" ca="1" si="29">IF(D13&gt;0,L13*100/D13,0)</f>
        <v>86.665760220605293</v>
      </c>
      <c r="N13" s="57">
        <f t="shared" ref="N13:N88" ca="1" si="30">IF(H13&gt;0,L13*100/H13,0)</f>
        <v>81.171335181214374</v>
      </c>
      <c r="O13" s="56">
        <f ca="1">SUM(O14:O30)</f>
        <v>0</v>
      </c>
      <c r="P13" s="56">
        <f t="shared" ref="P13:P88" ca="1" si="31">IF(G13&gt;0,O13*100/G13,0)</f>
        <v>0</v>
      </c>
      <c r="Q13" s="57">
        <f t="shared" ref="Q13:Q88" ca="1" si="32">IF(I13&gt;0,O13*100/I13,0)</f>
        <v>0</v>
      </c>
      <c r="R13" s="52">
        <f t="shared" ref="R13:S13" ca="1" si="33">SUM(R14:R30)</f>
        <v>4100</v>
      </c>
      <c r="S13" s="52">
        <f t="shared" ca="1" si="33"/>
        <v>4100</v>
      </c>
      <c r="T13" s="54">
        <f t="shared" ref="T13:T88" ca="1" si="34">IF(R13&gt;0,S13*100/R13,0)</f>
        <v>100</v>
      </c>
      <c r="U13" s="52">
        <f t="shared" ref="U13:V13" ca="1" si="35">SUM(U14:U30)</f>
        <v>410</v>
      </c>
      <c r="V13" s="52">
        <f t="shared" ca="1" si="35"/>
        <v>423</v>
      </c>
      <c r="W13" s="54">
        <f t="shared" ref="W13:W88" ca="1" si="36">IF(U13&gt;0,V13*100/U13,0)</f>
        <v>103.17073170731707</v>
      </c>
      <c r="X13" s="52">
        <f t="shared" ref="X13:Y13" ca="1" si="37">SUM(X14:X30)</f>
        <v>410</v>
      </c>
      <c r="Y13" s="52">
        <f t="shared" ca="1" si="37"/>
        <v>423</v>
      </c>
      <c r="Z13" s="54">
        <f t="shared" ref="Z13:Z88" ca="1" si="38">IF(X13&gt;0,Y13*100/X13,0)</f>
        <v>103.17073170731707</v>
      </c>
      <c r="AA13" s="309">
        <f ca="1">SUM(AA14:AA30)</f>
        <v>423</v>
      </c>
      <c r="AB13" s="310">
        <f t="shared" ref="AB13:AB88" ca="1" si="39">IF(X13&gt;0,AA13*100/X13,0)</f>
        <v>103.17073170731707</v>
      </c>
      <c r="AC13" s="145">
        <f t="shared" ref="AC13:AD13" ca="1" si="40">SUM(AC14:AC30)</f>
        <v>410</v>
      </c>
      <c r="AD13" s="145">
        <f t="shared" ca="1" si="40"/>
        <v>372</v>
      </c>
      <c r="AE13" s="57">
        <f t="shared" ref="AE13:AE88" ca="1" si="41">IF(AC13&gt;0,AD13*100/AC13,0)</f>
        <v>90.731707317073173</v>
      </c>
      <c r="AF13" s="145">
        <f ca="1">SUM(AF14:AF30)</f>
        <v>372</v>
      </c>
      <c r="AG13" s="57">
        <f t="shared" ref="AG13:AG88" ca="1" si="42">IF(AC13&gt;0,AF13*100/AC13,0)</f>
        <v>90.731707317073173</v>
      </c>
    </row>
    <row r="14" spans="1:33" ht="24" customHeight="1" x14ac:dyDescent="0.3">
      <c r="A14" s="58">
        <v>1</v>
      </c>
      <c r="B14" s="59" t="s">
        <v>42</v>
      </c>
      <c r="C14" s="149">
        <f t="shared" ca="1" si="25"/>
        <v>243520</v>
      </c>
      <c r="D14" s="150">
        <f t="shared" ref="D14:D30" ca="1" si="43">+E14+F14</f>
        <v>243520</v>
      </c>
      <c r="E14" s="151">
        <f ca="1">IFERROR(__xludf.DUMMYFUNCTION("IMPORTRANGE(""https://docs.google.com/spreadsheets/d/1-uDff_7J0KD5mKrp0Vvzr7lt3OU09vwQwhkpOPPYv2Y/edit?usp=sharing"",""งบพรบ!DP14"")"),129400)</f>
        <v>129400</v>
      </c>
      <c r="F14" s="151">
        <f ca="1">IFERROR(__xludf.DUMMYFUNCTION("IMPORTRANGE(""https://docs.google.com/spreadsheets/d/1-uDff_7J0KD5mKrp0Vvzr7lt3OU09vwQwhkpOPPYv2Y/edit?usp=sharing"",""งบพรบ!DQ14"")"),114120)</f>
        <v>114120</v>
      </c>
      <c r="G14" s="152">
        <f ca="1">IFERROR(__xludf.DUMMYFUNCTION("IMPORTRANGE(""https://docs.google.com/spreadsheets/d/1-uDff_7J0KD5mKrp0Vvzr7lt3OU09vwQwhkpOPPYv2Y/edit?usp=sharing"",""งบพรบ!DR14"")"),0)</f>
        <v>0</v>
      </c>
      <c r="H14" s="152">
        <f ca="1">IFERROR(__xludf.DUMMYFUNCTION("IMPORTRANGE(""https://docs.google.com/spreadsheets/d/1-uDff_7J0KD5mKrp0Vvzr7lt3OU09vwQwhkpOPPYv2Y/edit?usp=sharing"",""งบพรบ!DT14"")"),251180)</f>
        <v>251180</v>
      </c>
      <c r="I14" s="152">
        <f ca="1">IFERROR(__xludf.DUMMYFUNCTION("IMPORTRANGE(""https://docs.google.com/spreadsheets/d/1-uDff_7J0KD5mKrp0Vvzr7lt3OU09vwQwhkpOPPYv2Y/edit?usp=sharing"",""งบพรบ!DU14"")"),0)</f>
        <v>0</v>
      </c>
      <c r="J14" s="152">
        <f t="shared" ca="1" si="27"/>
        <v>219194</v>
      </c>
      <c r="K14" s="153">
        <f t="shared" ca="1" si="28"/>
        <v>90.010676741130098</v>
      </c>
      <c r="L14" s="152">
        <f ca="1">IFERROR(__xludf.DUMMYFUNCTION("IMPORTRANGE(""https://docs.google.com/spreadsheets/d/1-uDff_7J0KD5mKrp0Vvzr7lt3OU09vwQwhkpOPPYv2Y/edit?usp=sharing"",""งบพรบ!DV14"")"),219194)</f>
        <v>219194</v>
      </c>
      <c r="M14" s="68">
        <f t="shared" ca="1" si="29"/>
        <v>90.010676741130098</v>
      </c>
      <c r="N14" s="68">
        <f t="shared" ca="1" si="30"/>
        <v>87.265705868301623</v>
      </c>
      <c r="O14" s="67">
        <f ca="1">IFERROR(__xludf.DUMMYFUNCTION("IMPORTRANGE(""https://docs.google.com/spreadsheets/d/1-uDff_7J0KD5mKrp0Vvzr7lt3OU09vwQwhkpOPPYv2Y/edit?usp=sharing"",""งบพรบ!DW14"")"),0)</f>
        <v>0</v>
      </c>
      <c r="P14" s="67">
        <f t="shared" ca="1" si="31"/>
        <v>0</v>
      </c>
      <c r="Q14" s="68">
        <f t="shared" ca="1" si="32"/>
        <v>0</v>
      </c>
      <c r="R14" s="63">
        <f ca="1">IFERROR(__xludf.DUMMYFUNCTION("IMPORTRANGE(""https://docs.google.com/spreadsheets/d/1jTcq05yEiRwXcBMLjiodW9e4biSGYWAHcDj22rKWQ3s/edit?usp=sharing"",""กำแพงเพชร!I292"")"),500)</f>
        <v>500</v>
      </c>
      <c r="S14" s="63">
        <f ca="1">IFERROR(__xludf.DUMMYFUNCTION("IMPORTRANGE(""https://docs.google.com/spreadsheets/d/1jTcq05yEiRwXcBMLjiodW9e4biSGYWAHcDj22rKWQ3s/edit?usp=sharing"",""กำแพงเพชร!J292"")"),500)</f>
        <v>500</v>
      </c>
      <c r="T14" s="69">
        <f t="shared" ca="1" si="34"/>
        <v>100</v>
      </c>
      <c r="U14" s="63">
        <f ca="1">IFERROR(__xludf.DUMMYFUNCTION("IMPORTRANGE(""https://docs.google.com/spreadsheets/d/1jTcq05yEiRwXcBMLjiodW9e4biSGYWAHcDj22rKWQ3s/edit?usp=sharing"",""กำแพงเพชร!I293"")"),50)</f>
        <v>50</v>
      </c>
      <c r="V14" s="63">
        <f ca="1">IFERROR(__xludf.DUMMYFUNCTION("IMPORTRANGE(""https://docs.google.com/spreadsheets/d/1jTcq05yEiRwXcBMLjiodW9e4biSGYWAHcDj22rKWQ3s/edit?usp=sharing"",""กำแพงเพชร!J293"")"),50)</f>
        <v>50</v>
      </c>
      <c r="W14" s="69">
        <f t="shared" ca="1" si="36"/>
        <v>100</v>
      </c>
      <c r="X14" s="63">
        <f ca="1">IFERROR(__xludf.DUMMYFUNCTION("IMPORTRANGE(""https://docs.google.com/spreadsheets/d/1jTcq05yEiRwXcBMLjiodW9e4biSGYWAHcDj22rKWQ3s/edit?usp=sharing"",""กำแพงเพชร!I295"")"),50)</f>
        <v>50</v>
      </c>
      <c r="Y14" s="63">
        <f ca="1">IFERROR(__xludf.DUMMYFUNCTION("IMPORTRANGE(""https://docs.google.com/spreadsheets/d/1jTcq05yEiRwXcBMLjiodW9e4biSGYWAHcDj22rKWQ3s/edit?usp=sharing"",""กำแพงเพชร!J295"")"),50)</f>
        <v>50</v>
      </c>
      <c r="Z14" s="69">
        <f t="shared" ca="1" si="38"/>
        <v>100</v>
      </c>
      <c r="AA14" s="311">
        <f ca="1">IFERROR(__xludf.DUMMYFUNCTION("IMPORTRANGE(""https://docs.google.com/spreadsheets/d/1jTcq05yEiRwXcBMLjiodW9e4biSGYWAHcDj22rKWQ3s/edit?usp=sharing"",""กำแพงเพชร!J296"")"),50)</f>
        <v>50</v>
      </c>
      <c r="AB14" s="312">
        <f t="shared" ca="1" si="39"/>
        <v>100</v>
      </c>
      <c r="AC14" s="313">
        <f ca="1">IFERROR(__xludf.DUMMYFUNCTION("IMPORTRANGE(""https://docs.google.com/spreadsheets/d/1jTcq05yEiRwXcBMLjiodW9e4biSGYWAHcDj22rKWQ3s/edit?usp=sharing"",""กำแพงเพชร!I295"")"),50)</f>
        <v>50</v>
      </c>
      <c r="AD14" s="313">
        <f ca="1">IFERROR(__xludf.DUMMYFUNCTION("IMPORTRANGE(""https://docs.google.com/spreadsheets/d/1jTcq05yEiRwXcBMLjiodW9e4biSGYWAHcDj22rKWQ3s/edit?usp=sharing"",""กำแพงเพชร!J298"")"),50)</f>
        <v>50</v>
      </c>
      <c r="AE14" s="314">
        <f t="shared" ca="1" si="41"/>
        <v>100</v>
      </c>
      <c r="AF14" s="313">
        <f ca="1">IFERROR(__xludf.DUMMYFUNCTION("IMPORTRANGE(""https://docs.google.com/spreadsheets/d/1jTcq05yEiRwXcBMLjiodW9e4biSGYWAHcDj22rKWQ3s/edit?usp=sharing"",""กำแพงเพชร!J299"")"),50)</f>
        <v>50</v>
      </c>
      <c r="AG14" s="314">
        <f t="shared" ca="1" si="42"/>
        <v>100</v>
      </c>
    </row>
    <row r="15" spans="1:33" ht="24" customHeight="1" x14ac:dyDescent="0.3">
      <c r="A15" s="70">
        <v>2</v>
      </c>
      <c r="B15" s="71" t="s">
        <v>43</v>
      </c>
      <c r="C15" s="149">
        <f t="shared" ca="1" si="25"/>
        <v>85120</v>
      </c>
      <c r="D15" s="150">
        <f t="shared" ca="1" si="43"/>
        <v>85120</v>
      </c>
      <c r="E15" s="151">
        <f ca="1">IFERROR(__xludf.DUMMYFUNCTION("IMPORTRANGE(""https://docs.google.com/spreadsheets/d/1-uDff_7J0KD5mKrp0Vvzr7lt3OU09vwQwhkpOPPYv2Y/edit?usp=sharing"",""งบพรบ!DP15"")"),0)</f>
        <v>0</v>
      </c>
      <c r="F15" s="151">
        <f ca="1">IFERROR(__xludf.DUMMYFUNCTION("IMPORTRANGE(""https://docs.google.com/spreadsheets/d/1-uDff_7J0KD5mKrp0Vvzr7lt3OU09vwQwhkpOPPYv2Y/edit?usp=sharing"",""งบพรบ!DQ15"")"),85120)</f>
        <v>85120</v>
      </c>
      <c r="G15" s="151">
        <f ca="1">IFERROR(__xludf.DUMMYFUNCTION("IMPORTRANGE(""https://docs.google.com/spreadsheets/d/1-uDff_7J0KD5mKrp0Vvzr7lt3OU09vwQwhkpOPPYv2Y/edit?usp=sharing"",""งบพรบ!DR15"")"),0)</f>
        <v>0</v>
      </c>
      <c r="H15" s="151">
        <f ca="1">IFERROR(__xludf.DUMMYFUNCTION("IMPORTRANGE(""https://docs.google.com/spreadsheets/d/1-uDff_7J0KD5mKrp0Vvzr7lt3OU09vwQwhkpOPPYv2Y/edit?usp=sharing"",""งบพรบ!DT15"")"),101640)</f>
        <v>101640</v>
      </c>
      <c r="I15" s="151">
        <f ca="1">IFERROR(__xludf.DUMMYFUNCTION("IMPORTRANGE(""https://docs.google.com/spreadsheets/d/1-uDff_7J0KD5mKrp0Vvzr7lt3OU09vwQwhkpOPPYv2Y/edit?usp=sharing"",""งบพรบ!DU15"")"),0)</f>
        <v>0</v>
      </c>
      <c r="J15" s="151">
        <f t="shared" ca="1" si="27"/>
        <v>92765</v>
      </c>
      <c r="K15" s="154">
        <f t="shared" ca="1" si="28"/>
        <v>108.98143796992481</v>
      </c>
      <c r="L15" s="151">
        <f ca="1">IFERROR(__xludf.DUMMYFUNCTION("IMPORTRANGE(""https://docs.google.com/spreadsheets/d/1-uDff_7J0KD5mKrp0Vvzr7lt3OU09vwQwhkpOPPYv2Y/edit?usp=sharing"",""งบพรบ!DV15"")"),92765)</f>
        <v>92765</v>
      </c>
      <c r="M15" s="68">
        <f t="shared" ca="1" si="29"/>
        <v>108.98143796992481</v>
      </c>
      <c r="N15" s="68">
        <f t="shared" ca="1" si="30"/>
        <v>91.268201495474216</v>
      </c>
      <c r="O15" s="67">
        <f ca="1">IFERROR(__xludf.DUMMYFUNCTION("IMPORTRANGE(""https://docs.google.com/spreadsheets/d/1-uDff_7J0KD5mKrp0Vvzr7lt3OU09vwQwhkpOPPYv2Y/edit?usp=sharing"",""งบพรบ!DW15"")"),0)</f>
        <v>0</v>
      </c>
      <c r="P15" s="67">
        <f t="shared" ca="1" si="31"/>
        <v>0</v>
      </c>
      <c r="Q15" s="68">
        <f t="shared" ca="1" si="32"/>
        <v>0</v>
      </c>
      <c r="R15" s="78">
        <f ca="1">IFERROR(__xludf.DUMMYFUNCTION("IMPORTRANGE(""https://docs.google.com/spreadsheets/d/1KS0zmDSZPk8KnTAbGN-Xk6MtX1YRZD0ldgdt20K4CRk/edit?usp=sharing"",""เชียงราย!I292"")"),300)</f>
        <v>300</v>
      </c>
      <c r="S15" s="78">
        <f ca="1">IFERROR(__xludf.DUMMYFUNCTION("IMPORTRANGE(""https://docs.google.com/spreadsheets/d/1KS0zmDSZPk8KnTAbGN-Xk6MtX1YRZD0ldgdt20K4CRk/edit?usp=sharing"",""เชียงราย!J292"")"),300)</f>
        <v>300</v>
      </c>
      <c r="T15" s="79">
        <f t="shared" ca="1" si="34"/>
        <v>100</v>
      </c>
      <c r="U15" s="78">
        <f ca="1">IFERROR(__xludf.DUMMYFUNCTION("IMPORTRANGE(""https://docs.google.com/spreadsheets/d/1KS0zmDSZPk8KnTAbGN-Xk6MtX1YRZD0ldgdt20K4CRk/edit?usp=sharing"",""เชียงราย!I293"")"),30)</f>
        <v>30</v>
      </c>
      <c r="V15" s="78">
        <f ca="1">IFERROR(__xludf.DUMMYFUNCTION("IMPORTRANGE(""https://docs.google.com/spreadsheets/d/1KS0zmDSZPk8KnTAbGN-Xk6MtX1YRZD0ldgdt20K4CRk/edit?usp=sharing"",""เชียงราย!J293"")"),30)</f>
        <v>30</v>
      </c>
      <c r="W15" s="79">
        <f t="shared" ca="1" si="36"/>
        <v>100</v>
      </c>
      <c r="X15" s="78">
        <f ca="1">IFERROR(__xludf.DUMMYFUNCTION("IMPORTRANGE(""https://docs.google.com/spreadsheets/d/1KS0zmDSZPk8KnTAbGN-Xk6MtX1YRZD0ldgdt20K4CRk/edit?usp=sharing"",""เชียงราย!I295"")"),30)</f>
        <v>30</v>
      </c>
      <c r="Y15" s="78">
        <f ca="1">IFERROR(__xludf.DUMMYFUNCTION("IMPORTRANGE(""https://docs.google.com/spreadsheets/d/1KS0zmDSZPk8KnTAbGN-Xk6MtX1YRZD0ldgdt20K4CRk/edit?usp=sharing"",""เชียงราย!J295"")"),30)</f>
        <v>30</v>
      </c>
      <c r="Z15" s="79">
        <f t="shared" ca="1" si="38"/>
        <v>100</v>
      </c>
      <c r="AA15" s="315">
        <f ca="1">IFERROR(__xludf.DUMMYFUNCTION("IMPORTRANGE(""https://docs.google.com/spreadsheets/d/1KS0zmDSZPk8KnTAbGN-Xk6MtX1YRZD0ldgdt20K4CRk/edit?usp=sharing"",""เชียงราย!J296"")"),30)</f>
        <v>30</v>
      </c>
      <c r="AB15" s="316">
        <f t="shared" ca="1" si="39"/>
        <v>100</v>
      </c>
      <c r="AC15" s="317">
        <f ca="1">IFERROR(__xludf.DUMMYFUNCTION("IMPORTRANGE(""https://docs.google.com/spreadsheets/d/1KS0zmDSZPk8KnTAbGN-Xk6MtX1YRZD0ldgdt20K4CRk/edit?usp=sharing"",""เชียงราย!I295"")"),30)</f>
        <v>30</v>
      </c>
      <c r="AD15" s="317">
        <f ca="1">IFERROR(__xludf.DUMMYFUNCTION("IMPORTRANGE(""https://docs.google.com/spreadsheets/d/1KS0zmDSZPk8KnTAbGN-Xk6MtX1YRZD0ldgdt20K4CRk/edit?usp=sharing"",""เชียงราย!J298"")"),30)</f>
        <v>30</v>
      </c>
      <c r="AE15" s="318">
        <f t="shared" ca="1" si="41"/>
        <v>100</v>
      </c>
      <c r="AF15" s="317">
        <f ca="1">IFERROR(__xludf.DUMMYFUNCTION("IMPORTRANGE(""https://docs.google.com/spreadsheets/d/1KS0zmDSZPk8KnTAbGN-Xk6MtX1YRZD0ldgdt20K4CRk/edit?usp=sharing"",""เชียงราย!J299"")"),30)</f>
        <v>30</v>
      </c>
      <c r="AG15" s="318">
        <f t="shared" ca="1" si="42"/>
        <v>100</v>
      </c>
    </row>
    <row r="16" spans="1:33" ht="24" customHeight="1" x14ac:dyDescent="0.3">
      <c r="A16" s="70">
        <v>3</v>
      </c>
      <c r="B16" s="71" t="s">
        <v>44</v>
      </c>
      <c r="C16" s="149">
        <f t="shared" ca="1" si="25"/>
        <v>71120</v>
      </c>
      <c r="D16" s="150">
        <f t="shared" ca="1" si="43"/>
        <v>71120</v>
      </c>
      <c r="E16" s="151">
        <f ca="1">IFERROR(__xludf.DUMMYFUNCTION("IMPORTRANGE(""https://docs.google.com/spreadsheets/d/1-uDff_7J0KD5mKrp0Vvzr7lt3OU09vwQwhkpOPPYv2Y/edit?usp=sharing"",""งบพรบ!DP16"")"),0)</f>
        <v>0</v>
      </c>
      <c r="F16" s="151">
        <f ca="1">IFERROR(__xludf.DUMMYFUNCTION("IMPORTRANGE(""https://docs.google.com/spreadsheets/d/1-uDff_7J0KD5mKrp0Vvzr7lt3OU09vwQwhkpOPPYv2Y/edit?usp=sharing"",""งบพรบ!DQ16"")"),71120)</f>
        <v>71120</v>
      </c>
      <c r="G16" s="151">
        <f ca="1">IFERROR(__xludf.DUMMYFUNCTION("IMPORTRANGE(""https://docs.google.com/spreadsheets/d/1-uDff_7J0KD5mKrp0Vvzr7lt3OU09vwQwhkpOPPYv2Y/edit?usp=sharing"",""งบพรบ!DR16"")"),0)</f>
        <v>0</v>
      </c>
      <c r="H16" s="151">
        <f ca="1">IFERROR(__xludf.DUMMYFUNCTION("IMPORTRANGE(""https://docs.google.com/spreadsheets/d/1-uDff_7J0KD5mKrp0Vvzr7lt3OU09vwQwhkpOPPYv2Y/edit?usp=sharing"",""งบพรบ!DT16"")"),71120)</f>
        <v>71120</v>
      </c>
      <c r="I16" s="151">
        <f ca="1">IFERROR(__xludf.DUMMYFUNCTION("IMPORTRANGE(""https://docs.google.com/spreadsheets/d/1-uDff_7J0KD5mKrp0Vvzr7lt3OU09vwQwhkpOPPYv2Y/edit?usp=sharing"",""งบพรบ!DU16"")"),0)</f>
        <v>0</v>
      </c>
      <c r="J16" s="151">
        <f t="shared" ca="1" si="27"/>
        <v>63540</v>
      </c>
      <c r="K16" s="154">
        <f t="shared" ca="1" si="28"/>
        <v>89.341957255343075</v>
      </c>
      <c r="L16" s="151">
        <f ca="1">IFERROR(__xludf.DUMMYFUNCTION("IMPORTRANGE(""https://docs.google.com/spreadsheets/d/1-uDff_7J0KD5mKrp0Vvzr7lt3OU09vwQwhkpOPPYv2Y/edit?usp=sharing"",""งบพรบ!DV16"")"),63540)</f>
        <v>63540</v>
      </c>
      <c r="M16" s="68">
        <f t="shared" ca="1" si="29"/>
        <v>89.341957255343075</v>
      </c>
      <c r="N16" s="68">
        <f t="shared" ca="1" si="30"/>
        <v>89.341957255343075</v>
      </c>
      <c r="O16" s="67">
        <f ca="1">IFERROR(__xludf.DUMMYFUNCTION("IMPORTRANGE(""https://docs.google.com/spreadsheets/d/1-uDff_7J0KD5mKrp0Vvzr7lt3OU09vwQwhkpOPPYv2Y/edit?usp=sharing"",""งบพรบ!DW16"")"),0)</f>
        <v>0</v>
      </c>
      <c r="P16" s="67">
        <f t="shared" ca="1" si="31"/>
        <v>0</v>
      </c>
      <c r="Q16" s="68">
        <f t="shared" ca="1" si="32"/>
        <v>0</v>
      </c>
      <c r="R16" s="78">
        <f ca="1">IFERROR(__xludf.DUMMYFUNCTION("IMPORTRANGE(""https://docs.google.com/spreadsheets/d/1rEDxBtusbi64tE0zunoIbsTVV16HeL0oJ6trHQeQ7K8/edit?usp=sharing"",""เชียงใหม่!I292"")"),200)</f>
        <v>200</v>
      </c>
      <c r="S16" s="78">
        <f ca="1">IFERROR(__xludf.DUMMYFUNCTION("IMPORTRANGE(""https://docs.google.com/spreadsheets/d/1rEDxBtusbi64tE0zunoIbsTVV16HeL0oJ6trHQeQ7K8/edit?usp=sharing"",""เชียงใหม่!J292"")"),200)</f>
        <v>200</v>
      </c>
      <c r="T16" s="79">
        <f t="shared" ca="1" si="34"/>
        <v>100</v>
      </c>
      <c r="U16" s="78">
        <f ca="1">IFERROR(__xludf.DUMMYFUNCTION("IMPORTRANGE(""https://docs.google.com/spreadsheets/d/1rEDxBtusbi64tE0zunoIbsTVV16HeL0oJ6trHQeQ7K8/edit?usp=sharing"",""เชียงใหม่!I293"")"),20)</f>
        <v>20</v>
      </c>
      <c r="V16" s="78">
        <f ca="1">IFERROR(__xludf.DUMMYFUNCTION("IMPORTRANGE(""https://docs.google.com/spreadsheets/d/1rEDxBtusbi64tE0zunoIbsTVV16HeL0oJ6trHQeQ7K8/edit?usp=sharing"",""เชียงใหม่!J293"")"),20)</f>
        <v>20</v>
      </c>
      <c r="W16" s="79">
        <f t="shared" ca="1" si="36"/>
        <v>100</v>
      </c>
      <c r="X16" s="78">
        <f ca="1">IFERROR(__xludf.DUMMYFUNCTION("IMPORTRANGE(""https://docs.google.com/spreadsheets/d/1rEDxBtusbi64tE0zunoIbsTVV16HeL0oJ6trHQeQ7K8/edit?usp=sharing"",""เชียงใหม่!I295"")"),20)</f>
        <v>20</v>
      </c>
      <c r="Y16" s="78">
        <f ca="1">IFERROR(__xludf.DUMMYFUNCTION("IMPORTRANGE(""https://docs.google.com/spreadsheets/d/1rEDxBtusbi64tE0zunoIbsTVV16HeL0oJ6trHQeQ7K8/edit?usp=sharing"",""เชียงใหม่!J295"")"),20)</f>
        <v>20</v>
      </c>
      <c r="Z16" s="79">
        <f t="shared" ca="1" si="38"/>
        <v>100</v>
      </c>
      <c r="AA16" s="315">
        <f ca="1">IFERROR(__xludf.DUMMYFUNCTION("IMPORTRANGE(""https://docs.google.com/spreadsheets/d/1rEDxBtusbi64tE0zunoIbsTVV16HeL0oJ6trHQeQ7K8/edit?usp=sharing"",""เชียงใหม่!J296"")"),20)</f>
        <v>20</v>
      </c>
      <c r="AB16" s="316">
        <f t="shared" ca="1" si="39"/>
        <v>100</v>
      </c>
      <c r="AC16" s="317">
        <f ca="1">IFERROR(__xludf.DUMMYFUNCTION("IMPORTRANGE(""https://docs.google.com/spreadsheets/d/1rEDxBtusbi64tE0zunoIbsTVV16HeL0oJ6trHQeQ7K8/edit?usp=sharing"",""เชียงใหม่!I295"")"),20)</f>
        <v>20</v>
      </c>
      <c r="AD16" s="317">
        <f ca="1">IFERROR(__xludf.DUMMYFUNCTION("IMPORTRANGE(""https://docs.google.com/spreadsheets/d/1rEDxBtusbi64tE0zunoIbsTVV16HeL0oJ6trHQeQ7K8/edit?usp=sharing"",""เชียงใหม่!J298"")"),20)</f>
        <v>20</v>
      </c>
      <c r="AE16" s="318">
        <f t="shared" ca="1" si="41"/>
        <v>100</v>
      </c>
      <c r="AF16" s="317">
        <f ca="1">IFERROR(__xludf.DUMMYFUNCTION("IMPORTRANGE(""https://docs.google.com/spreadsheets/d/1rEDxBtusbi64tE0zunoIbsTVV16HeL0oJ6trHQeQ7K8/edit?usp=sharing"",""เชียงใหม่!J299"")"),20)</f>
        <v>20</v>
      </c>
      <c r="AG16" s="318">
        <f t="shared" ca="1" si="42"/>
        <v>100</v>
      </c>
    </row>
    <row r="17" spans="1:33" ht="24" customHeight="1" x14ac:dyDescent="0.3">
      <c r="A17" s="70">
        <v>4</v>
      </c>
      <c r="B17" s="71" t="s">
        <v>45</v>
      </c>
      <c r="C17" s="149">
        <f t="shared" ca="1" si="25"/>
        <v>71120</v>
      </c>
      <c r="D17" s="150">
        <f t="shared" ca="1" si="43"/>
        <v>71120</v>
      </c>
      <c r="E17" s="151">
        <f ca="1">IFERROR(__xludf.DUMMYFUNCTION("IMPORTRANGE(""https://docs.google.com/spreadsheets/d/1-uDff_7J0KD5mKrp0Vvzr7lt3OU09vwQwhkpOPPYv2Y/edit?usp=sharing"",""งบพรบ!DP17"")"),0)</f>
        <v>0</v>
      </c>
      <c r="F17" s="151">
        <f ca="1">IFERROR(__xludf.DUMMYFUNCTION("IMPORTRANGE(""https://docs.google.com/spreadsheets/d/1-uDff_7J0KD5mKrp0Vvzr7lt3OU09vwQwhkpOPPYv2Y/edit?usp=sharing"",""งบพรบ!DQ17"")"),71120)</f>
        <v>71120</v>
      </c>
      <c r="G17" s="151">
        <f ca="1">IFERROR(__xludf.DUMMYFUNCTION("IMPORTRANGE(""https://docs.google.com/spreadsheets/d/1-uDff_7J0KD5mKrp0Vvzr7lt3OU09vwQwhkpOPPYv2Y/edit?usp=sharing"",""งบพรบ!DR17"")"),0)</f>
        <v>0</v>
      </c>
      <c r="H17" s="151">
        <f ca="1">IFERROR(__xludf.DUMMYFUNCTION("IMPORTRANGE(""https://docs.google.com/spreadsheets/d/1-uDff_7J0KD5mKrp0Vvzr7lt3OU09vwQwhkpOPPYv2Y/edit?usp=sharing"",""งบพรบ!DT17"")"),80950)</f>
        <v>80950</v>
      </c>
      <c r="I17" s="151">
        <f ca="1">IFERROR(__xludf.DUMMYFUNCTION("IMPORTRANGE(""https://docs.google.com/spreadsheets/d/1-uDff_7J0KD5mKrp0Vvzr7lt3OU09vwQwhkpOPPYv2Y/edit?usp=sharing"",""งบพรบ!DU17"")"),0)</f>
        <v>0</v>
      </c>
      <c r="J17" s="151">
        <f t="shared" ca="1" si="27"/>
        <v>65370</v>
      </c>
      <c r="K17" s="154">
        <f t="shared" ca="1" si="28"/>
        <v>91.915073115860523</v>
      </c>
      <c r="L17" s="151">
        <f ca="1">IFERROR(__xludf.DUMMYFUNCTION("IMPORTRANGE(""https://docs.google.com/spreadsheets/d/1-uDff_7J0KD5mKrp0Vvzr7lt3OU09vwQwhkpOPPYv2Y/edit?usp=sharing"",""งบพรบ!DV17"")"),65370)</f>
        <v>65370</v>
      </c>
      <c r="M17" s="68">
        <f t="shared" ca="1" si="29"/>
        <v>91.915073115860523</v>
      </c>
      <c r="N17" s="68">
        <f t="shared" ca="1" si="30"/>
        <v>80.75355157504633</v>
      </c>
      <c r="O17" s="67">
        <f ca="1">IFERROR(__xludf.DUMMYFUNCTION("IMPORTRANGE(""https://docs.google.com/spreadsheets/d/1-uDff_7J0KD5mKrp0Vvzr7lt3OU09vwQwhkpOPPYv2Y/edit?usp=sharing"",""งบพรบ!DW17"")"),0)</f>
        <v>0</v>
      </c>
      <c r="P17" s="67">
        <f t="shared" ca="1" si="31"/>
        <v>0</v>
      </c>
      <c r="Q17" s="68">
        <f t="shared" ca="1" si="32"/>
        <v>0</v>
      </c>
      <c r="R17" s="78">
        <f ca="1">IFERROR(__xludf.DUMMYFUNCTION("IMPORTRANGE(""https://docs.google.com/spreadsheets/d/1W6MnUbDkMi6xHnHko_XkFDO9kkuL6Wqyc-6OCDFjW9I/edit?usp=sharing"",""ตาก!I292"")"),200)</f>
        <v>200</v>
      </c>
      <c r="S17" s="78">
        <f ca="1">IFERROR(__xludf.DUMMYFUNCTION("IMPORTRANGE(""https://docs.google.com/spreadsheets/d/1W6MnUbDkMi6xHnHko_XkFDO9kkuL6Wqyc-6OCDFjW9I/edit?usp=sharing"",""ตาก!J292"")"),200)</f>
        <v>200</v>
      </c>
      <c r="T17" s="79">
        <f t="shared" ca="1" si="34"/>
        <v>100</v>
      </c>
      <c r="U17" s="78">
        <f ca="1">IFERROR(__xludf.DUMMYFUNCTION("IMPORTRANGE(""https://docs.google.com/spreadsheets/d/1W6MnUbDkMi6xHnHko_XkFDO9kkuL6Wqyc-6OCDFjW9I/edit?usp=sharing"",""ตาก!I293"")"),20)</f>
        <v>20</v>
      </c>
      <c r="V17" s="78">
        <f ca="1">IFERROR(__xludf.DUMMYFUNCTION("IMPORTRANGE(""https://docs.google.com/spreadsheets/d/1W6MnUbDkMi6xHnHko_XkFDO9kkuL6Wqyc-6OCDFjW9I/edit?usp=sharing"",""ตาก!J293"")"),20)</f>
        <v>20</v>
      </c>
      <c r="W17" s="79">
        <f t="shared" ca="1" si="36"/>
        <v>100</v>
      </c>
      <c r="X17" s="78">
        <f ca="1">IFERROR(__xludf.DUMMYFUNCTION("IMPORTRANGE(""https://docs.google.com/spreadsheets/d/1W6MnUbDkMi6xHnHko_XkFDO9kkuL6Wqyc-6OCDFjW9I/edit?usp=sharing"",""ตาก!I295"")"),20)</f>
        <v>20</v>
      </c>
      <c r="Y17" s="78">
        <f ca="1">IFERROR(__xludf.DUMMYFUNCTION("IMPORTRANGE(""https://docs.google.com/spreadsheets/d/1W6MnUbDkMi6xHnHko_XkFDO9kkuL6Wqyc-6OCDFjW9I/edit?usp=sharing"",""ตาก!J295"")"),20)</f>
        <v>20</v>
      </c>
      <c r="Z17" s="79">
        <f t="shared" ca="1" si="38"/>
        <v>100</v>
      </c>
      <c r="AA17" s="315">
        <f ca="1">IFERROR(__xludf.DUMMYFUNCTION("IMPORTRANGE(""https://docs.google.com/spreadsheets/d/1W6MnUbDkMi6xHnHko_XkFDO9kkuL6Wqyc-6OCDFjW9I/edit?usp=sharing"",""ตาก!J296"")"),20)</f>
        <v>20</v>
      </c>
      <c r="AB17" s="316">
        <f t="shared" ca="1" si="39"/>
        <v>100</v>
      </c>
      <c r="AC17" s="317">
        <f ca="1">IFERROR(__xludf.DUMMYFUNCTION("IMPORTRANGE(""https://docs.google.com/spreadsheets/d/1W6MnUbDkMi6xHnHko_XkFDO9kkuL6Wqyc-6OCDFjW9I/edit?usp=sharing"",""ตาก!I295"")"),20)</f>
        <v>20</v>
      </c>
      <c r="AD17" s="317">
        <f ca="1">IFERROR(__xludf.DUMMYFUNCTION("IMPORTRANGE(""https://docs.google.com/spreadsheets/d/1W6MnUbDkMi6xHnHko_XkFDO9kkuL6Wqyc-6OCDFjW9I/edit?usp=sharing"",""ตาก!J298"")"),20)</f>
        <v>20</v>
      </c>
      <c r="AE17" s="318">
        <f t="shared" ca="1" si="41"/>
        <v>100</v>
      </c>
      <c r="AF17" s="317">
        <f ca="1">IFERROR(__xludf.DUMMYFUNCTION("IMPORTRANGE(""https://docs.google.com/spreadsheets/d/1W6MnUbDkMi6xHnHko_XkFDO9kkuL6Wqyc-6OCDFjW9I/edit?usp=sharing"",""ตาก!J299"")"),20)</f>
        <v>20</v>
      </c>
      <c r="AG17" s="318">
        <f t="shared" ca="1" si="42"/>
        <v>100</v>
      </c>
    </row>
    <row r="18" spans="1:33" ht="24" customHeight="1" x14ac:dyDescent="0.3">
      <c r="A18" s="70">
        <v>5</v>
      </c>
      <c r="B18" s="71" t="s">
        <v>46</v>
      </c>
      <c r="C18" s="149">
        <f t="shared" ca="1" si="25"/>
        <v>236720</v>
      </c>
      <c r="D18" s="150">
        <f t="shared" ca="1" si="43"/>
        <v>236720</v>
      </c>
      <c r="E18" s="151">
        <f ca="1">IFERROR(__xludf.DUMMYFUNCTION("IMPORTRANGE(""https://docs.google.com/spreadsheets/d/1-uDff_7J0KD5mKrp0Vvzr7lt3OU09vwQwhkpOPPYv2Y/edit?usp=sharing"",""งบพรบ!DP18"")"),122600)</f>
        <v>122600</v>
      </c>
      <c r="F18" s="151">
        <f ca="1">IFERROR(__xludf.DUMMYFUNCTION("IMPORTRANGE(""https://docs.google.com/spreadsheets/d/1-uDff_7J0KD5mKrp0Vvzr7lt3OU09vwQwhkpOPPYv2Y/edit?usp=sharing"",""งบพรบ!DQ18"")"),114120)</f>
        <v>114120</v>
      </c>
      <c r="G18" s="151">
        <f ca="1">IFERROR(__xludf.DUMMYFUNCTION("IMPORTRANGE(""https://docs.google.com/spreadsheets/d/1-uDff_7J0KD5mKrp0Vvzr7lt3OU09vwQwhkpOPPYv2Y/edit?usp=sharing"",""งบพรบ!DR18"")"),0)</f>
        <v>0</v>
      </c>
      <c r="H18" s="151">
        <f ca="1">IFERROR(__xludf.DUMMYFUNCTION("IMPORTRANGE(""https://docs.google.com/spreadsheets/d/1-uDff_7J0KD5mKrp0Vvzr7lt3OU09vwQwhkpOPPYv2Y/edit?usp=sharing"",""งบพรบ!DT18"")"),243020)</f>
        <v>243020</v>
      </c>
      <c r="I18" s="151">
        <f ca="1">IFERROR(__xludf.DUMMYFUNCTION("IMPORTRANGE(""https://docs.google.com/spreadsheets/d/1-uDff_7J0KD5mKrp0Vvzr7lt3OU09vwQwhkpOPPYv2Y/edit?usp=sharing"",""งบพรบ!DU18"")"),0)</f>
        <v>0</v>
      </c>
      <c r="J18" s="151">
        <f t="shared" ca="1" si="27"/>
        <v>221586.1</v>
      </c>
      <c r="K18" s="154">
        <f t="shared" ca="1" si="28"/>
        <v>93.60683507941873</v>
      </c>
      <c r="L18" s="151">
        <f ca="1">IFERROR(__xludf.DUMMYFUNCTION("IMPORTRANGE(""https://docs.google.com/spreadsheets/d/1-uDff_7J0KD5mKrp0Vvzr7lt3OU09vwQwhkpOPPYv2Y/edit?usp=sharing"",""งบพรบ!DV18"")"),221586.1)</f>
        <v>221586.1</v>
      </c>
      <c r="M18" s="68">
        <f t="shared" ca="1" si="29"/>
        <v>93.60683507941873</v>
      </c>
      <c r="N18" s="68">
        <f t="shared" ca="1" si="30"/>
        <v>91.180190930787589</v>
      </c>
      <c r="O18" s="67">
        <f ca="1">IFERROR(__xludf.DUMMYFUNCTION("IMPORTRANGE(""https://docs.google.com/spreadsheets/d/1-uDff_7J0KD5mKrp0Vvzr7lt3OU09vwQwhkpOPPYv2Y/edit?usp=sharing"",""งบพรบ!DW18"")"),0)</f>
        <v>0</v>
      </c>
      <c r="P18" s="67">
        <f t="shared" ca="1" si="31"/>
        <v>0</v>
      </c>
      <c r="Q18" s="68">
        <f t="shared" ca="1" si="32"/>
        <v>0</v>
      </c>
      <c r="R18" s="78">
        <f ca="1">IFERROR(__xludf.DUMMYFUNCTION("IMPORTRANGE(""https://docs.google.com/spreadsheets/d/1IQAWArduLkta9LpYo4a_ULsyqdta6-6aDDiwpUnQT6c/edit?usp=sharing"",""นครสวรรค์!I292"")"),500)</f>
        <v>500</v>
      </c>
      <c r="S18" s="78">
        <f ca="1">IFERROR(__xludf.DUMMYFUNCTION("IMPORTRANGE(""https://docs.google.com/spreadsheets/d/1IQAWArduLkta9LpYo4a_ULsyqdta6-6aDDiwpUnQT6c/edit?usp=sharing"",""นครสวรรค์!J292"")"),500)</f>
        <v>500</v>
      </c>
      <c r="T18" s="79">
        <f t="shared" ca="1" si="34"/>
        <v>100</v>
      </c>
      <c r="U18" s="78">
        <f ca="1">IFERROR(__xludf.DUMMYFUNCTION("IMPORTRANGE(""https://docs.google.com/spreadsheets/d/1IQAWArduLkta9LpYo4a_ULsyqdta6-6aDDiwpUnQT6c/edit?usp=sharing"",""นครสวรรค์!I293"")"),50)</f>
        <v>50</v>
      </c>
      <c r="V18" s="78">
        <f ca="1">IFERROR(__xludf.DUMMYFUNCTION("IMPORTRANGE(""https://docs.google.com/spreadsheets/d/1IQAWArduLkta9LpYo4a_ULsyqdta6-6aDDiwpUnQT6c/edit?usp=sharing"",""นครสวรรค์!J293"")"),50)</f>
        <v>50</v>
      </c>
      <c r="W18" s="79">
        <f t="shared" ca="1" si="36"/>
        <v>100</v>
      </c>
      <c r="X18" s="78">
        <f ca="1">IFERROR(__xludf.DUMMYFUNCTION("IMPORTRANGE(""https://docs.google.com/spreadsheets/d/1IQAWArduLkta9LpYo4a_ULsyqdta6-6aDDiwpUnQT6c/edit?usp=sharing"",""นครสวรรค์!I295"")"),50)</f>
        <v>50</v>
      </c>
      <c r="Y18" s="78">
        <f ca="1">IFERROR(__xludf.DUMMYFUNCTION("IMPORTRANGE(""https://docs.google.com/spreadsheets/d/1IQAWArduLkta9LpYo4a_ULsyqdta6-6aDDiwpUnQT6c/edit?usp=sharing"",""นครสวรรค์!J295"")"),50)</f>
        <v>50</v>
      </c>
      <c r="Z18" s="79">
        <f t="shared" ca="1" si="38"/>
        <v>100</v>
      </c>
      <c r="AA18" s="315">
        <f ca="1">IFERROR(__xludf.DUMMYFUNCTION("IMPORTRANGE(""https://docs.google.com/spreadsheets/d/1IQAWArduLkta9LpYo4a_ULsyqdta6-6aDDiwpUnQT6c/edit?usp=sharing"",""นครสวรรค์!J296"")"),50)</f>
        <v>50</v>
      </c>
      <c r="AB18" s="316">
        <f t="shared" ca="1" si="39"/>
        <v>100</v>
      </c>
      <c r="AC18" s="317">
        <f ca="1">IFERROR(__xludf.DUMMYFUNCTION("IMPORTRANGE(""https://docs.google.com/spreadsheets/d/1IQAWArduLkta9LpYo4a_ULsyqdta6-6aDDiwpUnQT6c/edit?usp=sharing"",""นครสวรรค์!I295"")"),50)</f>
        <v>50</v>
      </c>
      <c r="AD18" s="317">
        <f ca="1">IFERROR(__xludf.DUMMYFUNCTION("IMPORTRANGE(""https://docs.google.com/spreadsheets/d/1IQAWArduLkta9LpYo4a_ULsyqdta6-6aDDiwpUnQT6c/edit?usp=sharing"",""นครสวรรค์!J298"")"),50)</f>
        <v>50</v>
      </c>
      <c r="AE18" s="318">
        <f t="shared" ca="1" si="41"/>
        <v>100</v>
      </c>
      <c r="AF18" s="317">
        <f ca="1">IFERROR(__xludf.DUMMYFUNCTION("IMPORTRANGE(""https://docs.google.com/spreadsheets/d/1IQAWArduLkta9LpYo4a_ULsyqdta6-6aDDiwpUnQT6c/edit?usp=sharing"",""นครสวรรค์!J299"")"),50)</f>
        <v>50</v>
      </c>
      <c r="AG18" s="318">
        <f t="shared" ca="1" si="42"/>
        <v>100</v>
      </c>
    </row>
    <row r="19" spans="1:33" ht="24" customHeight="1" x14ac:dyDescent="0.3">
      <c r="A19" s="70">
        <v>6</v>
      </c>
      <c r="B19" s="71" t="s">
        <v>47</v>
      </c>
      <c r="C19" s="149">
        <f t="shared" ca="1" si="25"/>
        <v>181820</v>
      </c>
      <c r="D19" s="150">
        <f t="shared" ca="1" si="43"/>
        <v>181820</v>
      </c>
      <c r="E19" s="151">
        <f ca="1">IFERROR(__xludf.DUMMYFUNCTION("IMPORTRANGE(""https://docs.google.com/spreadsheets/d/1-uDff_7J0KD5mKrp0Vvzr7lt3OU09vwQwhkpOPPYv2Y/edit?usp=sharing"",""งบพรบ!DP19"")"),125700)</f>
        <v>125700</v>
      </c>
      <c r="F19" s="151">
        <f ca="1">IFERROR(__xludf.DUMMYFUNCTION("IMPORTRANGE(""https://docs.google.com/spreadsheets/d/1-uDff_7J0KD5mKrp0Vvzr7lt3OU09vwQwhkpOPPYv2Y/edit?usp=sharing"",""งบพรบ!DQ19"")"),56120)</f>
        <v>56120</v>
      </c>
      <c r="G19" s="151">
        <f ca="1">IFERROR(__xludf.DUMMYFUNCTION("IMPORTRANGE(""https://docs.google.com/spreadsheets/d/1-uDff_7J0KD5mKrp0Vvzr7lt3OU09vwQwhkpOPPYv2Y/edit?usp=sharing"",""งบพรบ!DR19"")"),0)</f>
        <v>0</v>
      </c>
      <c r="H19" s="151">
        <f ca="1">IFERROR(__xludf.DUMMYFUNCTION("IMPORTRANGE(""https://docs.google.com/spreadsheets/d/1-uDff_7J0KD5mKrp0Vvzr7lt3OU09vwQwhkpOPPYv2Y/edit?usp=sharing"",""งบพรบ!DT19"")"),194430)</f>
        <v>194430</v>
      </c>
      <c r="I19" s="151">
        <f ca="1">IFERROR(__xludf.DUMMYFUNCTION("IMPORTRANGE(""https://docs.google.com/spreadsheets/d/1-uDff_7J0KD5mKrp0Vvzr7lt3OU09vwQwhkpOPPYv2Y/edit?usp=sharing"",""งบพรบ!DU19"")"),0)</f>
        <v>0</v>
      </c>
      <c r="J19" s="151">
        <f t="shared" ca="1" si="27"/>
        <v>142111.15</v>
      </c>
      <c r="K19" s="154">
        <f t="shared" ca="1" si="28"/>
        <v>78.160350896491039</v>
      </c>
      <c r="L19" s="151">
        <f ca="1">IFERROR(__xludf.DUMMYFUNCTION("IMPORTRANGE(""https://docs.google.com/spreadsheets/d/1-uDff_7J0KD5mKrp0Vvzr7lt3OU09vwQwhkpOPPYv2Y/edit?usp=sharing"",""งบพรบ!DV19"")"),142111.15)</f>
        <v>142111.15</v>
      </c>
      <c r="M19" s="68">
        <f t="shared" ca="1" si="29"/>
        <v>78.160350896491039</v>
      </c>
      <c r="N19" s="68">
        <f t="shared" ca="1" si="30"/>
        <v>73.09116391503369</v>
      </c>
      <c r="O19" s="67">
        <f ca="1">IFERROR(__xludf.DUMMYFUNCTION("IMPORTRANGE(""https://docs.google.com/spreadsheets/d/1-uDff_7J0KD5mKrp0Vvzr7lt3OU09vwQwhkpOPPYv2Y/edit?usp=sharing"",""งบพรบ!DW19"")"),0)</f>
        <v>0</v>
      </c>
      <c r="P19" s="67">
        <f t="shared" ca="1" si="31"/>
        <v>0</v>
      </c>
      <c r="Q19" s="68">
        <f t="shared" ca="1" si="32"/>
        <v>0</v>
      </c>
      <c r="R19" s="78">
        <f ca="1">IFERROR(__xludf.DUMMYFUNCTION("IMPORTRANGE(""https://docs.google.com/spreadsheets/d/10s13Sk5xrltsiR-Zkbmk5DwIaDIKO8XlbJAfqyT7Gvg/edit?usp=sharing"",""น่าน!I292"")"),100)</f>
        <v>100</v>
      </c>
      <c r="S19" s="78">
        <f ca="1">IFERROR(__xludf.DUMMYFUNCTION("IMPORTRANGE(""https://docs.google.com/spreadsheets/d/10s13Sk5xrltsiR-Zkbmk5DwIaDIKO8XlbJAfqyT7Gvg/edit?usp=sharing"",""น่าน!J292"")"),100)</f>
        <v>100</v>
      </c>
      <c r="T19" s="79">
        <f t="shared" ca="1" si="34"/>
        <v>100</v>
      </c>
      <c r="U19" s="78">
        <f ca="1">IFERROR(__xludf.DUMMYFUNCTION("IMPORTRANGE(""https://docs.google.com/spreadsheets/d/10s13Sk5xrltsiR-Zkbmk5DwIaDIKO8XlbJAfqyT7Gvg/edit?usp=sharing"",""น่าน!I293"")"),10)</f>
        <v>10</v>
      </c>
      <c r="V19" s="78">
        <f ca="1">IFERROR(__xludf.DUMMYFUNCTION("IMPORTRANGE(""https://docs.google.com/spreadsheets/d/10s13Sk5xrltsiR-Zkbmk5DwIaDIKO8XlbJAfqyT7Gvg/edit?usp=sharing"",""น่าน!J293"")"),10)</f>
        <v>10</v>
      </c>
      <c r="W19" s="79">
        <f t="shared" ca="1" si="36"/>
        <v>100</v>
      </c>
      <c r="X19" s="78">
        <f ca="1">IFERROR(__xludf.DUMMYFUNCTION("IMPORTRANGE(""https://docs.google.com/spreadsheets/d/10s13Sk5xrltsiR-Zkbmk5DwIaDIKO8XlbJAfqyT7Gvg/edit?usp=sharing"",""น่าน!I295"")"),10)</f>
        <v>10</v>
      </c>
      <c r="Y19" s="78">
        <f ca="1">IFERROR(__xludf.DUMMYFUNCTION("IMPORTRANGE(""https://docs.google.com/spreadsheets/d/10s13Sk5xrltsiR-Zkbmk5DwIaDIKO8XlbJAfqyT7Gvg/edit?usp=sharing"",""น่าน!J295"")"),10)</f>
        <v>10</v>
      </c>
      <c r="Z19" s="79">
        <f t="shared" ca="1" si="38"/>
        <v>100</v>
      </c>
      <c r="AA19" s="315">
        <f ca="1">IFERROR(__xludf.DUMMYFUNCTION("IMPORTRANGE(""https://docs.google.com/spreadsheets/d/10s13Sk5xrltsiR-Zkbmk5DwIaDIKO8XlbJAfqyT7Gvg/edit?usp=sharing"",""น่าน!J296"")"),10)</f>
        <v>10</v>
      </c>
      <c r="AB19" s="316">
        <f t="shared" ca="1" si="39"/>
        <v>100</v>
      </c>
      <c r="AC19" s="317">
        <f ca="1">IFERROR(__xludf.DUMMYFUNCTION("IMPORTRANGE(""https://docs.google.com/spreadsheets/d/10s13Sk5xrltsiR-Zkbmk5DwIaDIKO8XlbJAfqyT7Gvg/edit?usp=sharing"",""น่าน!I295"")"),10)</f>
        <v>10</v>
      </c>
      <c r="AD19" s="317">
        <f ca="1">IFERROR(__xludf.DUMMYFUNCTION("IMPORTRANGE(""https://docs.google.com/spreadsheets/d/10s13Sk5xrltsiR-Zkbmk5DwIaDIKO8XlbJAfqyT7Gvg/edit?usp=sharing"",""น่าน!J298"")"),10)</f>
        <v>10</v>
      </c>
      <c r="AE19" s="318">
        <f t="shared" ca="1" si="41"/>
        <v>100</v>
      </c>
      <c r="AF19" s="317">
        <f ca="1">IFERROR(__xludf.DUMMYFUNCTION("IMPORTRANGE(""https://docs.google.com/spreadsheets/d/10s13Sk5xrltsiR-Zkbmk5DwIaDIKO8XlbJAfqyT7Gvg/edit?usp=sharing"",""น่าน!J299"")"),10)</f>
        <v>10</v>
      </c>
      <c r="AG19" s="318">
        <f t="shared" ca="1" si="42"/>
        <v>100</v>
      </c>
    </row>
    <row r="20" spans="1:33" ht="24" customHeight="1" x14ac:dyDescent="0.3">
      <c r="A20" s="70">
        <v>7</v>
      </c>
      <c r="B20" s="71" t="s">
        <v>48</v>
      </c>
      <c r="C20" s="149">
        <f t="shared" ca="1" si="25"/>
        <v>56120</v>
      </c>
      <c r="D20" s="150">
        <f t="shared" ca="1" si="43"/>
        <v>56120</v>
      </c>
      <c r="E20" s="151">
        <f ca="1">IFERROR(__xludf.DUMMYFUNCTION("IMPORTRANGE(""https://docs.google.com/spreadsheets/d/1-uDff_7J0KD5mKrp0Vvzr7lt3OU09vwQwhkpOPPYv2Y/edit?usp=sharing"",""งบพรบ!DP20"")"),0)</f>
        <v>0</v>
      </c>
      <c r="F20" s="151">
        <f ca="1">IFERROR(__xludf.DUMMYFUNCTION("IMPORTRANGE(""https://docs.google.com/spreadsheets/d/1-uDff_7J0KD5mKrp0Vvzr7lt3OU09vwQwhkpOPPYv2Y/edit?usp=sharing"",""งบพรบ!DQ20"")"),56120)</f>
        <v>56120</v>
      </c>
      <c r="G20" s="151">
        <f ca="1">IFERROR(__xludf.DUMMYFUNCTION("IMPORTRANGE(""https://docs.google.com/spreadsheets/d/1-uDff_7J0KD5mKrp0Vvzr7lt3OU09vwQwhkpOPPYv2Y/edit?usp=sharing"",""งบพรบ!DR20"")"),0)</f>
        <v>0</v>
      </c>
      <c r="H20" s="151">
        <f ca="1">IFERROR(__xludf.DUMMYFUNCTION("IMPORTRANGE(""https://docs.google.com/spreadsheets/d/1-uDff_7J0KD5mKrp0Vvzr7lt3OU09vwQwhkpOPPYv2Y/edit?usp=sharing"",""งบพรบ!DT20"")"),68970)</f>
        <v>68970</v>
      </c>
      <c r="I20" s="151">
        <f ca="1">IFERROR(__xludf.DUMMYFUNCTION("IMPORTRANGE(""https://docs.google.com/spreadsheets/d/1-uDff_7J0KD5mKrp0Vvzr7lt3OU09vwQwhkpOPPYv2Y/edit?usp=sharing"",""งบพรบ!DU20"")"),0)</f>
        <v>0</v>
      </c>
      <c r="J20" s="151">
        <f t="shared" ca="1" si="27"/>
        <v>68970</v>
      </c>
      <c r="K20" s="154">
        <f t="shared" ca="1" si="28"/>
        <v>122.89736279401284</v>
      </c>
      <c r="L20" s="151">
        <f ca="1">IFERROR(__xludf.DUMMYFUNCTION("IMPORTRANGE(""https://docs.google.com/spreadsheets/d/1-uDff_7J0KD5mKrp0Vvzr7lt3OU09vwQwhkpOPPYv2Y/edit?usp=sharing"",""งบพรบ!DV20"")"),68970)</f>
        <v>68970</v>
      </c>
      <c r="M20" s="68">
        <f t="shared" ca="1" si="29"/>
        <v>122.89736279401284</v>
      </c>
      <c r="N20" s="68">
        <f t="shared" ca="1" si="30"/>
        <v>100</v>
      </c>
      <c r="O20" s="67">
        <f ca="1">IFERROR(__xludf.DUMMYFUNCTION("IMPORTRANGE(""https://docs.google.com/spreadsheets/d/1-uDff_7J0KD5mKrp0Vvzr7lt3OU09vwQwhkpOPPYv2Y/edit?usp=sharing"",""งบพรบ!DW20"")"),0)</f>
        <v>0</v>
      </c>
      <c r="P20" s="67">
        <f t="shared" ca="1" si="31"/>
        <v>0</v>
      </c>
      <c r="Q20" s="68">
        <f t="shared" ca="1" si="32"/>
        <v>0</v>
      </c>
      <c r="R20" s="78">
        <f ca="1">IFERROR(__xludf.DUMMYFUNCTION("IMPORTRANGE(""https://docs.google.com/spreadsheets/d/1uu4nAn4Dbi1XREnLKKotUANlKXa7yCgRcgq8HEzQYW8/edit?usp=sharing"",""พะเยา!I292"")"),100)</f>
        <v>100</v>
      </c>
      <c r="S20" s="78">
        <f ca="1">IFERROR(__xludf.DUMMYFUNCTION("IMPORTRANGE(""https://docs.google.com/spreadsheets/d/1uu4nAn4Dbi1XREnLKKotUANlKXa7yCgRcgq8HEzQYW8/edit?usp=sharing"",""พะเยา!J292"")"),100)</f>
        <v>100</v>
      </c>
      <c r="T20" s="79">
        <f t="shared" ca="1" si="34"/>
        <v>100</v>
      </c>
      <c r="U20" s="78">
        <f ca="1">IFERROR(__xludf.DUMMYFUNCTION("IMPORTRANGE(""https://docs.google.com/spreadsheets/d/1uu4nAn4Dbi1XREnLKKotUANlKXa7yCgRcgq8HEzQYW8/edit?usp=sharing"",""พะเยา!I293"")"),10)</f>
        <v>10</v>
      </c>
      <c r="V20" s="78">
        <f ca="1">IFERROR(__xludf.DUMMYFUNCTION("IMPORTRANGE(""https://docs.google.com/spreadsheets/d/1uu4nAn4Dbi1XREnLKKotUANlKXa7yCgRcgq8HEzQYW8/edit?usp=sharing"",""พะเยา!J293"")"),10)</f>
        <v>10</v>
      </c>
      <c r="W20" s="79">
        <f t="shared" ca="1" si="36"/>
        <v>100</v>
      </c>
      <c r="X20" s="78">
        <f ca="1">IFERROR(__xludf.DUMMYFUNCTION("IMPORTRANGE(""https://docs.google.com/spreadsheets/d/1uu4nAn4Dbi1XREnLKKotUANlKXa7yCgRcgq8HEzQYW8/edit?usp=sharing"",""พะเยา!I295"")"),10)</f>
        <v>10</v>
      </c>
      <c r="Y20" s="78">
        <f ca="1">IFERROR(__xludf.DUMMYFUNCTION("IMPORTRANGE(""https://docs.google.com/spreadsheets/d/1uu4nAn4Dbi1XREnLKKotUANlKXa7yCgRcgq8HEzQYW8/edit?usp=sharing"",""พะเยา!J295"")"),10)</f>
        <v>10</v>
      </c>
      <c r="Z20" s="79">
        <f t="shared" ca="1" si="38"/>
        <v>100</v>
      </c>
      <c r="AA20" s="315">
        <f ca="1">IFERROR(__xludf.DUMMYFUNCTION("IMPORTRANGE(""https://docs.google.com/spreadsheets/d/1uu4nAn4Dbi1XREnLKKotUANlKXa7yCgRcgq8HEzQYW8/edit?usp=sharing"",""พะเยา!J296"")"),10)</f>
        <v>10</v>
      </c>
      <c r="AB20" s="316">
        <f t="shared" ca="1" si="39"/>
        <v>100</v>
      </c>
      <c r="AC20" s="317">
        <f ca="1">IFERROR(__xludf.DUMMYFUNCTION("IMPORTRANGE(""https://docs.google.com/spreadsheets/d/1uu4nAn4Dbi1XREnLKKotUANlKXa7yCgRcgq8HEzQYW8/edit?usp=sharing"",""พะเยา!I295"")"),10)</f>
        <v>10</v>
      </c>
      <c r="AD20" s="317">
        <f ca="1">IFERROR(__xludf.DUMMYFUNCTION("IMPORTRANGE(""https://docs.google.com/spreadsheets/d/1uu4nAn4Dbi1XREnLKKotUANlKXa7yCgRcgq8HEzQYW8/edit?usp=sharing"",""พะเยา!J298"")"),10)</f>
        <v>10</v>
      </c>
      <c r="AE20" s="318">
        <f t="shared" ca="1" si="41"/>
        <v>100</v>
      </c>
      <c r="AF20" s="317">
        <f ca="1">IFERROR(__xludf.DUMMYFUNCTION("IMPORTRANGE(""https://docs.google.com/spreadsheets/d/1uu4nAn4Dbi1XREnLKKotUANlKXa7yCgRcgq8HEzQYW8/edit?usp=sharing"",""พะเยา!J299"")"),10)</f>
        <v>10</v>
      </c>
      <c r="AG20" s="318">
        <f t="shared" ca="1" si="42"/>
        <v>100</v>
      </c>
    </row>
    <row r="21" spans="1:33" ht="24" customHeight="1" x14ac:dyDescent="0.3">
      <c r="A21" s="70">
        <v>8</v>
      </c>
      <c r="B21" s="71" t="s">
        <v>49</v>
      </c>
      <c r="C21" s="149">
        <f t="shared" ca="1" si="25"/>
        <v>174320</v>
      </c>
      <c r="D21" s="150">
        <f t="shared" ca="1" si="43"/>
        <v>174320</v>
      </c>
      <c r="E21" s="151">
        <f ca="1">IFERROR(__xludf.DUMMYFUNCTION("IMPORTRANGE(""https://docs.google.com/spreadsheets/d/1-uDff_7J0KD5mKrp0Vvzr7lt3OU09vwQwhkpOPPYv2Y/edit?usp=sharing"",""งบพรบ!DP21"")"),118200)</f>
        <v>118200</v>
      </c>
      <c r="F21" s="151">
        <f ca="1">IFERROR(__xludf.DUMMYFUNCTION("IMPORTRANGE(""https://docs.google.com/spreadsheets/d/1-uDff_7J0KD5mKrp0Vvzr7lt3OU09vwQwhkpOPPYv2Y/edit?usp=sharing"",""งบพรบ!DQ21"")"),56120)</f>
        <v>56120</v>
      </c>
      <c r="G21" s="151">
        <f ca="1">IFERROR(__xludf.DUMMYFUNCTION("IMPORTRANGE(""https://docs.google.com/spreadsheets/d/1-uDff_7J0KD5mKrp0Vvzr7lt3OU09vwQwhkpOPPYv2Y/edit?usp=sharing"",""งบพรบ!DR21"")"),0)</f>
        <v>0</v>
      </c>
      <c r="H21" s="151">
        <f ca="1">IFERROR(__xludf.DUMMYFUNCTION("IMPORTRANGE(""https://docs.google.com/spreadsheets/d/1-uDff_7J0KD5mKrp0Vvzr7lt3OU09vwQwhkpOPPYv2Y/edit?usp=sharing"",""งบพรบ!DT21"")"),183590)</f>
        <v>183590</v>
      </c>
      <c r="I21" s="151">
        <f ca="1">IFERROR(__xludf.DUMMYFUNCTION("IMPORTRANGE(""https://docs.google.com/spreadsheets/d/1-uDff_7J0KD5mKrp0Vvzr7lt3OU09vwQwhkpOPPYv2Y/edit?usp=sharing"",""งบพรบ!DU21"")"),0)</f>
        <v>0</v>
      </c>
      <c r="J21" s="151">
        <f t="shared" ca="1" si="27"/>
        <v>143121.66</v>
      </c>
      <c r="K21" s="154">
        <f t="shared" ca="1" si="28"/>
        <v>82.102833868747126</v>
      </c>
      <c r="L21" s="151">
        <f ca="1">IFERROR(__xludf.DUMMYFUNCTION("IMPORTRANGE(""https://docs.google.com/spreadsheets/d/1-uDff_7J0KD5mKrp0Vvzr7lt3OU09vwQwhkpOPPYv2Y/edit?usp=sharing"",""งบพรบ!DV21"")"),143121.66)</f>
        <v>143121.66</v>
      </c>
      <c r="M21" s="68">
        <f t="shared" ca="1" si="29"/>
        <v>82.102833868747126</v>
      </c>
      <c r="N21" s="68">
        <f t="shared" ca="1" si="30"/>
        <v>77.957219892150988</v>
      </c>
      <c r="O21" s="67">
        <f ca="1">IFERROR(__xludf.DUMMYFUNCTION("IMPORTRANGE(""https://docs.google.com/spreadsheets/d/1-uDff_7J0KD5mKrp0Vvzr7lt3OU09vwQwhkpOPPYv2Y/edit?usp=sharing"",""งบพรบ!DW21"")"),0)</f>
        <v>0</v>
      </c>
      <c r="P21" s="67">
        <f t="shared" ca="1" si="31"/>
        <v>0</v>
      </c>
      <c r="Q21" s="68">
        <f t="shared" ca="1" si="32"/>
        <v>0</v>
      </c>
      <c r="R21" s="78">
        <f ca="1">IFERROR(__xludf.DUMMYFUNCTION("IMPORTRANGE(""https://docs.google.com/spreadsheets/d/1xfJKIQxVOaPDIICqsflNlLu3JacTDk1FP9RH4phX7mI/edit?usp=sharing"",""พิจิตร!I292"")"),100)</f>
        <v>100</v>
      </c>
      <c r="S21" s="78">
        <f ca="1">IFERROR(__xludf.DUMMYFUNCTION("IMPORTRANGE(""https://docs.google.com/spreadsheets/d/1xfJKIQxVOaPDIICqsflNlLu3JacTDk1FP9RH4phX7mI/edit?usp=sharing"",""พิจิตร!J292"")"),100)</f>
        <v>100</v>
      </c>
      <c r="T21" s="79">
        <f t="shared" ca="1" si="34"/>
        <v>100</v>
      </c>
      <c r="U21" s="78">
        <f ca="1">IFERROR(__xludf.DUMMYFUNCTION("IMPORTRANGE(""https://docs.google.com/spreadsheets/d/1xfJKIQxVOaPDIICqsflNlLu3JacTDk1FP9RH4phX7mI/edit?usp=sharing"",""พิจิตร!I293"")"),10)</f>
        <v>10</v>
      </c>
      <c r="V21" s="78">
        <f ca="1">IFERROR(__xludf.DUMMYFUNCTION("IMPORTRANGE(""https://docs.google.com/spreadsheets/d/1xfJKIQxVOaPDIICqsflNlLu3JacTDk1FP9RH4phX7mI/edit?usp=sharing"",""พิจิตร!J293"")"),10)</f>
        <v>10</v>
      </c>
      <c r="W21" s="79">
        <f t="shared" ca="1" si="36"/>
        <v>100</v>
      </c>
      <c r="X21" s="78">
        <f ca="1">IFERROR(__xludf.DUMMYFUNCTION("IMPORTRANGE(""https://docs.google.com/spreadsheets/d/1xfJKIQxVOaPDIICqsflNlLu3JacTDk1FP9RH4phX7mI/edit?usp=sharing"",""พิจิตร!I295"")"),10)</f>
        <v>10</v>
      </c>
      <c r="Y21" s="78">
        <f ca="1">IFERROR(__xludf.DUMMYFUNCTION("IMPORTRANGE(""https://docs.google.com/spreadsheets/d/1xfJKIQxVOaPDIICqsflNlLu3JacTDk1FP9RH4phX7mI/edit?usp=sharing"",""พิจิตร!J295"")"),10)</f>
        <v>10</v>
      </c>
      <c r="Z21" s="79">
        <f t="shared" ca="1" si="38"/>
        <v>100</v>
      </c>
      <c r="AA21" s="315">
        <f ca="1">IFERROR(__xludf.DUMMYFUNCTION("IMPORTRANGE(""https://docs.google.com/spreadsheets/d/1xfJKIQxVOaPDIICqsflNlLu3JacTDk1FP9RH4phX7mI/edit?usp=sharing"",""พิจิตร!J296"")"),10)</f>
        <v>10</v>
      </c>
      <c r="AB21" s="316">
        <f t="shared" ca="1" si="39"/>
        <v>100</v>
      </c>
      <c r="AC21" s="317">
        <f ca="1">IFERROR(__xludf.DUMMYFUNCTION("IMPORTRANGE(""https://docs.google.com/spreadsheets/d/1xfJKIQxVOaPDIICqsflNlLu3JacTDk1FP9RH4phX7mI/edit?usp=sharing"",""พิจิตร!I295"")"),10)</f>
        <v>10</v>
      </c>
      <c r="AD21" s="317">
        <f ca="1">IFERROR(__xludf.DUMMYFUNCTION("IMPORTRANGE(""https://docs.google.com/spreadsheets/d/1xfJKIQxVOaPDIICqsflNlLu3JacTDk1FP9RH4phX7mI/edit?usp=sharing"",""พิจิตร!J298"")"),10)</f>
        <v>10</v>
      </c>
      <c r="AE21" s="318">
        <f t="shared" ca="1" si="41"/>
        <v>100</v>
      </c>
      <c r="AF21" s="317">
        <f ca="1">IFERROR(__xludf.DUMMYFUNCTION("IMPORTRANGE(""https://docs.google.com/spreadsheets/d/1xfJKIQxVOaPDIICqsflNlLu3JacTDk1FP9RH4phX7mI/edit?usp=sharing"",""พิจิตร!J299"")"),10)</f>
        <v>10</v>
      </c>
      <c r="AG21" s="318">
        <f t="shared" ca="1" si="42"/>
        <v>100</v>
      </c>
    </row>
    <row r="22" spans="1:33" ht="24" customHeight="1" x14ac:dyDescent="0.3">
      <c r="A22" s="70">
        <v>9</v>
      </c>
      <c r="B22" s="71" t="s">
        <v>50</v>
      </c>
      <c r="C22" s="149">
        <f t="shared" ca="1" si="25"/>
        <v>187220</v>
      </c>
      <c r="D22" s="150">
        <f t="shared" ca="1" si="43"/>
        <v>187220</v>
      </c>
      <c r="E22" s="151">
        <f ca="1">IFERROR(__xludf.DUMMYFUNCTION("IMPORTRANGE(""https://docs.google.com/spreadsheets/d/1-uDff_7J0KD5mKrp0Vvzr7lt3OU09vwQwhkpOPPYv2Y/edit?usp=sharing"",""งบพรบ!DP22"")"),131100)</f>
        <v>131100</v>
      </c>
      <c r="F22" s="151">
        <f ca="1">IFERROR(__xludf.DUMMYFUNCTION("IMPORTRANGE(""https://docs.google.com/spreadsheets/d/1-uDff_7J0KD5mKrp0Vvzr7lt3OU09vwQwhkpOPPYv2Y/edit?usp=sharing"",""งบพรบ!DQ22"")"),56120)</f>
        <v>56120</v>
      </c>
      <c r="G22" s="151">
        <f ca="1">IFERROR(__xludf.DUMMYFUNCTION("IMPORTRANGE(""https://docs.google.com/spreadsheets/d/1-uDff_7J0KD5mKrp0Vvzr7lt3OU09vwQwhkpOPPYv2Y/edit?usp=sharing"",""งบพรบ!DR22"")"),0)</f>
        <v>0</v>
      </c>
      <c r="H22" s="151">
        <f ca="1">IFERROR(__xludf.DUMMYFUNCTION("IMPORTRANGE(""https://docs.google.com/spreadsheets/d/1-uDff_7J0KD5mKrp0Vvzr7lt3OU09vwQwhkpOPPYv2Y/edit?usp=sharing"",""งบพรบ!DT22"")"),196730)</f>
        <v>196730</v>
      </c>
      <c r="I22" s="151">
        <f ca="1">IFERROR(__xludf.DUMMYFUNCTION("IMPORTRANGE(""https://docs.google.com/spreadsheets/d/1-uDff_7J0KD5mKrp0Vvzr7lt3OU09vwQwhkpOPPYv2Y/edit?usp=sharing"",""งบพรบ!DU22"")"),0)</f>
        <v>0</v>
      </c>
      <c r="J22" s="151">
        <f t="shared" ca="1" si="27"/>
        <v>127064.59</v>
      </c>
      <c r="K22" s="154">
        <f t="shared" ca="1" si="28"/>
        <v>67.86913257130648</v>
      </c>
      <c r="L22" s="151">
        <f ca="1">IFERROR(__xludf.DUMMYFUNCTION("IMPORTRANGE(""https://docs.google.com/spreadsheets/d/1-uDff_7J0KD5mKrp0Vvzr7lt3OU09vwQwhkpOPPYv2Y/edit?usp=sharing"",""งบพรบ!DV22"")"),127064.59)</f>
        <v>127064.59</v>
      </c>
      <c r="M22" s="68">
        <f t="shared" ca="1" si="29"/>
        <v>67.86913257130648</v>
      </c>
      <c r="N22" s="68">
        <f t="shared" ca="1" si="30"/>
        <v>64.588313932801299</v>
      </c>
      <c r="O22" s="67">
        <f ca="1">IFERROR(__xludf.DUMMYFUNCTION("IMPORTRANGE(""https://docs.google.com/spreadsheets/d/1-uDff_7J0KD5mKrp0Vvzr7lt3OU09vwQwhkpOPPYv2Y/edit?usp=sharing"",""งบพรบ!DW22"")"),0)</f>
        <v>0</v>
      </c>
      <c r="P22" s="67">
        <f t="shared" ca="1" si="31"/>
        <v>0</v>
      </c>
      <c r="Q22" s="68">
        <f t="shared" ca="1" si="32"/>
        <v>0</v>
      </c>
      <c r="R22" s="78">
        <f ca="1">IFERROR(__xludf.DUMMYFUNCTION("IMPORTRANGE(""https://docs.google.com/spreadsheets/d/1JtRfZkJMHtEhI5RdRHxYUG4FIZHqKDpNyIuN7A1Q0_k/edit?usp=sharing"",""พิษณุโลก!I292"")"),100)</f>
        <v>100</v>
      </c>
      <c r="S22" s="78">
        <f ca="1">IFERROR(__xludf.DUMMYFUNCTION("IMPORTRANGE(""https://docs.google.com/spreadsheets/d/1JtRfZkJMHtEhI5RdRHxYUG4FIZHqKDpNyIuN7A1Q0_k/edit?usp=sharing"",""พิษณุโลก!J292"")"),100)</f>
        <v>100</v>
      </c>
      <c r="T22" s="79">
        <f t="shared" ca="1" si="34"/>
        <v>100</v>
      </c>
      <c r="U22" s="78">
        <f ca="1">IFERROR(__xludf.DUMMYFUNCTION("IMPORTRANGE(""https://docs.google.com/spreadsheets/d/1JtRfZkJMHtEhI5RdRHxYUG4FIZHqKDpNyIuN7A1Q0_k/edit?usp=sharing"",""พิษณุโลก!I293"")"),10)</f>
        <v>10</v>
      </c>
      <c r="V22" s="78">
        <f ca="1">IFERROR(__xludf.DUMMYFUNCTION("IMPORTRANGE(""https://docs.google.com/spreadsheets/d/1JtRfZkJMHtEhI5RdRHxYUG4FIZHqKDpNyIuN7A1Q0_k/edit?usp=sharing"",""พิษณุโลก!J293"")"),10)</f>
        <v>10</v>
      </c>
      <c r="W22" s="79">
        <f t="shared" ca="1" si="36"/>
        <v>100</v>
      </c>
      <c r="X22" s="78">
        <f ca="1">IFERROR(__xludf.DUMMYFUNCTION("IMPORTRANGE(""https://docs.google.com/spreadsheets/d/1JtRfZkJMHtEhI5RdRHxYUG4FIZHqKDpNyIuN7A1Q0_k/edit?usp=sharing"",""พิษณุโลก!I295"")"),10)</f>
        <v>10</v>
      </c>
      <c r="Y22" s="78">
        <f ca="1">IFERROR(__xludf.DUMMYFUNCTION("IMPORTRANGE(""https://docs.google.com/spreadsheets/d/1JtRfZkJMHtEhI5RdRHxYUG4FIZHqKDpNyIuN7A1Q0_k/edit?usp=sharing"",""พิษณุโลก!J295"")"),10)</f>
        <v>10</v>
      </c>
      <c r="Z22" s="79">
        <f t="shared" ca="1" si="38"/>
        <v>100</v>
      </c>
      <c r="AA22" s="315">
        <f ca="1">IFERROR(__xludf.DUMMYFUNCTION("IMPORTRANGE(""https://docs.google.com/spreadsheets/d/1JtRfZkJMHtEhI5RdRHxYUG4FIZHqKDpNyIuN7A1Q0_k/edit?usp=sharing"",""พิษณุโลก!J296"")"),10)</f>
        <v>10</v>
      </c>
      <c r="AB22" s="316">
        <f t="shared" ca="1" si="39"/>
        <v>100</v>
      </c>
      <c r="AC22" s="317">
        <f ca="1">IFERROR(__xludf.DUMMYFUNCTION("IMPORTRANGE(""https://docs.google.com/spreadsheets/d/1JtRfZkJMHtEhI5RdRHxYUG4FIZHqKDpNyIuN7A1Q0_k/edit?usp=sharing"",""พิษณุโลก!I295"")"),10)</f>
        <v>10</v>
      </c>
      <c r="AD22" s="317">
        <f ca="1">IFERROR(__xludf.DUMMYFUNCTION("IMPORTRANGE(""https://docs.google.com/spreadsheets/d/1JtRfZkJMHtEhI5RdRHxYUG4FIZHqKDpNyIuN7A1Q0_k/edit?usp=sharing"",""พิษณุโลก!J298"")"),10)</f>
        <v>10</v>
      </c>
      <c r="AE22" s="318">
        <f t="shared" ca="1" si="41"/>
        <v>100</v>
      </c>
      <c r="AF22" s="317">
        <f ca="1">IFERROR(__xludf.DUMMYFUNCTION("IMPORTRANGE(""https://docs.google.com/spreadsheets/d/1JtRfZkJMHtEhI5RdRHxYUG4FIZHqKDpNyIuN7A1Q0_k/edit?usp=sharing"",""พิษณุโลก!J299"")"),10)</f>
        <v>10</v>
      </c>
      <c r="AG22" s="318">
        <f t="shared" ca="1" si="42"/>
        <v>100</v>
      </c>
    </row>
    <row r="23" spans="1:33" ht="24" customHeight="1" x14ac:dyDescent="0.3">
      <c r="A23" s="70">
        <v>10</v>
      </c>
      <c r="B23" s="71" t="s">
        <v>51</v>
      </c>
      <c r="C23" s="149">
        <f t="shared" ca="1" si="25"/>
        <v>265720</v>
      </c>
      <c r="D23" s="150">
        <f t="shared" ca="1" si="43"/>
        <v>265720</v>
      </c>
      <c r="E23" s="151">
        <f ca="1">IFERROR(__xludf.DUMMYFUNCTION("IMPORTRANGE(""https://docs.google.com/spreadsheets/d/1-uDff_7J0KD5mKrp0Vvzr7lt3OU09vwQwhkpOPPYv2Y/edit?usp=sharing"",""งบพรบ!DP23"")"),122600)</f>
        <v>122600</v>
      </c>
      <c r="F23" s="151">
        <f ca="1">IFERROR(__xludf.DUMMYFUNCTION("IMPORTRANGE(""https://docs.google.com/spreadsheets/d/1-uDff_7J0KD5mKrp0Vvzr7lt3OU09vwQwhkpOPPYv2Y/edit?usp=sharing"",""งบพรบ!DQ23"")"),143120)</f>
        <v>143120</v>
      </c>
      <c r="G23" s="151">
        <f ca="1">IFERROR(__xludf.DUMMYFUNCTION("IMPORTRANGE(""https://docs.google.com/spreadsheets/d/1-uDff_7J0KD5mKrp0Vvzr7lt3OU09vwQwhkpOPPYv2Y/edit?usp=sharing"",""งบพรบ!DR23"")"),0)</f>
        <v>0</v>
      </c>
      <c r="H23" s="151">
        <f ca="1">IFERROR(__xludf.DUMMYFUNCTION("IMPORTRANGE(""https://docs.google.com/spreadsheets/d/1-uDff_7J0KD5mKrp0Vvzr7lt3OU09vwQwhkpOPPYv2Y/edit?usp=sharing"",""งบพรบ!DT23"")"),275230)</f>
        <v>275230</v>
      </c>
      <c r="I23" s="151">
        <f ca="1">IFERROR(__xludf.DUMMYFUNCTION("IMPORTRANGE(""https://docs.google.com/spreadsheets/d/1-uDff_7J0KD5mKrp0Vvzr7lt3OU09vwQwhkpOPPYv2Y/edit?usp=sharing"",""งบพรบ!DU23"")"),0)</f>
        <v>0</v>
      </c>
      <c r="J23" s="151">
        <f t="shared" ca="1" si="27"/>
        <v>236286.3</v>
      </c>
      <c r="K23" s="154">
        <f t="shared" ca="1" si="28"/>
        <v>88.923039289477643</v>
      </c>
      <c r="L23" s="151">
        <f ca="1">IFERROR(__xludf.DUMMYFUNCTION("IMPORTRANGE(""https://docs.google.com/spreadsheets/d/1-uDff_7J0KD5mKrp0Vvzr7lt3OU09vwQwhkpOPPYv2Y/edit?usp=sharing"",""งบพรบ!DV23"")"),236286.3)</f>
        <v>236286.3</v>
      </c>
      <c r="M23" s="68">
        <f t="shared" ca="1" si="29"/>
        <v>88.923039289477643</v>
      </c>
      <c r="N23" s="68">
        <f t="shared" ca="1" si="30"/>
        <v>85.850488682193074</v>
      </c>
      <c r="O23" s="67">
        <f ca="1">IFERROR(__xludf.DUMMYFUNCTION("IMPORTRANGE(""https://docs.google.com/spreadsheets/d/1-uDff_7J0KD5mKrp0Vvzr7lt3OU09vwQwhkpOPPYv2Y/edit?usp=sharing"",""งบพรบ!DW23"")"),0)</f>
        <v>0</v>
      </c>
      <c r="P23" s="67">
        <f t="shared" ca="1" si="31"/>
        <v>0</v>
      </c>
      <c r="Q23" s="68">
        <f t="shared" ca="1" si="32"/>
        <v>0</v>
      </c>
      <c r="R23" s="78">
        <f ca="1">IFERROR(__xludf.DUMMYFUNCTION("IMPORTRANGE(""https://docs.google.com/spreadsheets/d/1xlcVZWUNn6SuWm0c307h32SiGkd9BaeQWlAktfD3KO8/edit?usp=sharing"",""เพชรบูรณ์!I292"")"),700)</f>
        <v>700</v>
      </c>
      <c r="S23" s="78">
        <f ca="1">IFERROR(__xludf.DUMMYFUNCTION("IMPORTRANGE(""https://docs.google.com/spreadsheets/d/1xlcVZWUNn6SuWm0c307h32SiGkd9BaeQWlAktfD3KO8/edit?usp=sharing"",""เพชรบูรณ์!J292"")"),700)</f>
        <v>700</v>
      </c>
      <c r="T23" s="79">
        <f t="shared" ca="1" si="34"/>
        <v>100</v>
      </c>
      <c r="U23" s="78">
        <f ca="1">IFERROR(__xludf.DUMMYFUNCTION("IMPORTRANGE(""https://docs.google.com/spreadsheets/d/1xlcVZWUNn6SuWm0c307h32SiGkd9BaeQWlAktfD3KO8/edit?usp=sharing"",""เพชรบูรณ์!I293"")"),70)</f>
        <v>70</v>
      </c>
      <c r="V23" s="78">
        <f ca="1">IFERROR(__xludf.DUMMYFUNCTION("IMPORTRANGE(""https://docs.google.com/spreadsheets/d/1xlcVZWUNn6SuWm0c307h32SiGkd9BaeQWlAktfD3KO8/edit?usp=sharing"",""เพชรบูรณ์!J293"")"),70)</f>
        <v>70</v>
      </c>
      <c r="W23" s="79">
        <f t="shared" ca="1" si="36"/>
        <v>100</v>
      </c>
      <c r="X23" s="78">
        <f ca="1">IFERROR(__xludf.DUMMYFUNCTION("IMPORTRANGE(""https://docs.google.com/spreadsheets/d/1xlcVZWUNn6SuWm0c307h32SiGkd9BaeQWlAktfD3KO8/edit?usp=sharing"",""เพชรบูรณ์!I295"")"),70)</f>
        <v>70</v>
      </c>
      <c r="Y23" s="78">
        <f ca="1">IFERROR(__xludf.DUMMYFUNCTION("IMPORTRANGE(""https://docs.google.com/spreadsheets/d/1xlcVZWUNn6SuWm0c307h32SiGkd9BaeQWlAktfD3KO8/edit?usp=sharing"",""เพชรบูรณ์!J295"")"),70)</f>
        <v>70</v>
      </c>
      <c r="Z23" s="79">
        <f t="shared" ca="1" si="38"/>
        <v>100</v>
      </c>
      <c r="AA23" s="315">
        <f ca="1">IFERROR(__xludf.DUMMYFUNCTION("IMPORTRANGE(""https://docs.google.com/spreadsheets/d/1xlcVZWUNn6SuWm0c307h32SiGkd9BaeQWlAktfD3KO8/edit?usp=sharing"",""เพชรบูรณ์!J296"")"),70)</f>
        <v>70</v>
      </c>
      <c r="AB23" s="316">
        <f t="shared" ca="1" si="39"/>
        <v>100</v>
      </c>
      <c r="AC23" s="317">
        <f ca="1">IFERROR(__xludf.DUMMYFUNCTION("IMPORTRANGE(""https://docs.google.com/spreadsheets/d/1xlcVZWUNn6SuWm0c307h32SiGkd9BaeQWlAktfD3KO8/edit?usp=sharing"",""เพชรบูรณ์!I295"")"),70)</f>
        <v>70</v>
      </c>
      <c r="AD23" s="317">
        <f ca="1">IFERROR(__xludf.DUMMYFUNCTION("IMPORTRANGE(""https://docs.google.com/spreadsheets/d/1xlcVZWUNn6SuWm0c307h32SiGkd9BaeQWlAktfD3KO8/edit?usp=sharing"",""เพชรบูรณ์!J298"")"),70)</f>
        <v>70</v>
      </c>
      <c r="AE23" s="318">
        <f t="shared" ca="1" si="41"/>
        <v>100</v>
      </c>
      <c r="AF23" s="317">
        <f ca="1">IFERROR(__xludf.DUMMYFUNCTION("IMPORTRANGE(""https://docs.google.com/spreadsheets/d/1xlcVZWUNn6SuWm0c307h32SiGkd9BaeQWlAktfD3KO8/edit?usp=sharing"",""เพชรบูรณ์!J299"")"),70)</f>
        <v>70</v>
      </c>
      <c r="AG23" s="318">
        <f t="shared" ca="1" si="42"/>
        <v>100</v>
      </c>
    </row>
    <row r="24" spans="1:33" ht="24" customHeight="1" x14ac:dyDescent="0.3">
      <c r="A24" s="70">
        <v>11</v>
      </c>
      <c r="B24" s="71" t="s">
        <v>52</v>
      </c>
      <c r="C24" s="149">
        <f t="shared" ca="1" si="25"/>
        <v>56120</v>
      </c>
      <c r="D24" s="150">
        <f t="shared" ca="1" si="43"/>
        <v>56120</v>
      </c>
      <c r="E24" s="151">
        <f ca="1">IFERROR(__xludf.DUMMYFUNCTION("IMPORTRANGE(""https://docs.google.com/spreadsheets/d/1-uDff_7J0KD5mKrp0Vvzr7lt3OU09vwQwhkpOPPYv2Y/edit?usp=sharing"",""งบพรบ!DP24"")"),0)</f>
        <v>0</v>
      </c>
      <c r="F24" s="151">
        <f ca="1">IFERROR(__xludf.DUMMYFUNCTION("IMPORTRANGE(""https://docs.google.com/spreadsheets/d/1-uDff_7J0KD5mKrp0Vvzr7lt3OU09vwQwhkpOPPYv2Y/edit?usp=sharing"",""งบพรบ!DQ24"")"),56120)</f>
        <v>56120</v>
      </c>
      <c r="G24" s="151">
        <f ca="1">IFERROR(__xludf.DUMMYFUNCTION("IMPORTRANGE(""https://docs.google.com/spreadsheets/d/1-uDff_7J0KD5mKrp0Vvzr7lt3OU09vwQwhkpOPPYv2Y/edit?usp=sharing"",""งบพรบ!DR24"")"),0)</f>
        <v>0</v>
      </c>
      <c r="H24" s="151">
        <f ca="1">IFERROR(__xludf.DUMMYFUNCTION("IMPORTRANGE(""https://docs.google.com/spreadsheets/d/1-uDff_7J0KD5mKrp0Vvzr7lt3OU09vwQwhkpOPPYv2Y/edit?usp=sharing"",""งบพรบ!DT24"")"),67770)</f>
        <v>67770</v>
      </c>
      <c r="I24" s="151">
        <f ca="1">IFERROR(__xludf.DUMMYFUNCTION("IMPORTRANGE(""https://docs.google.com/spreadsheets/d/1-uDff_7J0KD5mKrp0Vvzr7lt3OU09vwQwhkpOPPYv2Y/edit?usp=sharing"",""งบพรบ!DU24"")"),0)</f>
        <v>0</v>
      </c>
      <c r="J24" s="151">
        <f t="shared" ca="1" si="27"/>
        <v>58719.47</v>
      </c>
      <c r="K24" s="154">
        <f t="shared" ca="1" si="28"/>
        <v>104.63198503207413</v>
      </c>
      <c r="L24" s="151">
        <f ca="1">IFERROR(__xludf.DUMMYFUNCTION("IMPORTRANGE(""https://docs.google.com/spreadsheets/d/1-uDff_7J0KD5mKrp0Vvzr7lt3OU09vwQwhkpOPPYv2Y/edit?usp=sharing"",""งบพรบ!DV24"")"),58719.47)</f>
        <v>58719.47</v>
      </c>
      <c r="M24" s="68">
        <f t="shared" ca="1" si="29"/>
        <v>104.63198503207413</v>
      </c>
      <c r="N24" s="68">
        <f t="shared" ca="1" si="30"/>
        <v>86.645226501401794</v>
      </c>
      <c r="O24" s="67">
        <f ca="1">IFERROR(__xludf.DUMMYFUNCTION("IMPORTRANGE(""https://docs.google.com/spreadsheets/d/1-uDff_7J0KD5mKrp0Vvzr7lt3OU09vwQwhkpOPPYv2Y/edit?usp=sharing"",""งบพรบ!DW24"")"),0)</f>
        <v>0</v>
      </c>
      <c r="P24" s="67">
        <f t="shared" ca="1" si="31"/>
        <v>0</v>
      </c>
      <c r="Q24" s="68">
        <f t="shared" ca="1" si="32"/>
        <v>0</v>
      </c>
      <c r="R24" s="78">
        <f ca="1">IFERROR(__xludf.DUMMYFUNCTION("IMPORTRANGE(""https://docs.google.com/spreadsheets/d/1lOVebEIsI9qjGXl6EX66luk7wiuP2tBaryw-wKvv4e0/edit?usp=sharing"",""แพร่!I292"")"),100)</f>
        <v>100</v>
      </c>
      <c r="S24" s="78">
        <f ca="1">IFERROR(__xludf.DUMMYFUNCTION("IMPORTRANGE(""https://docs.google.com/spreadsheets/d/1lOVebEIsI9qjGXl6EX66luk7wiuP2tBaryw-wKvv4e0/edit?usp=sharing"",""แพร่!J292"")"),100)</f>
        <v>100</v>
      </c>
      <c r="T24" s="79">
        <f t="shared" ca="1" si="34"/>
        <v>100</v>
      </c>
      <c r="U24" s="78">
        <f ca="1">IFERROR(__xludf.DUMMYFUNCTION("IMPORTRANGE(""https://docs.google.com/spreadsheets/d/1lOVebEIsI9qjGXl6EX66luk7wiuP2tBaryw-wKvv4e0/edit?usp=sharing"",""แพร่!I293"")"),10)</f>
        <v>10</v>
      </c>
      <c r="V24" s="78">
        <f ca="1">IFERROR(__xludf.DUMMYFUNCTION("IMPORTRANGE(""https://docs.google.com/spreadsheets/d/1lOVebEIsI9qjGXl6EX66luk7wiuP2tBaryw-wKvv4e0/edit?usp=sharing"",""แพร่!J293"")"),10)</f>
        <v>10</v>
      </c>
      <c r="W24" s="79">
        <f t="shared" ca="1" si="36"/>
        <v>100</v>
      </c>
      <c r="X24" s="78">
        <f ca="1">IFERROR(__xludf.DUMMYFUNCTION("IMPORTRANGE(""https://docs.google.com/spreadsheets/d/1lOVebEIsI9qjGXl6EX66luk7wiuP2tBaryw-wKvv4e0/edit?usp=sharing"",""แพร่!I295"")"),10)</f>
        <v>10</v>
      </c>
      <c r="Y24" s="78">
        <f ca="1">IFERROR(__xludf.DUMMYFUNCTION("IMPORTRANGE(""https://docs.google.com/spreadsheets/d/1lOVebEIsI9qjGXl6EX66luk7wiuP2tBaryw-wKvv4e0/edit?usp=sharing"",""แพร่!J295"")"),10)</f>
        <v>10</v>
      </c>
      <c r="Z24" s="79">
        <f t="shared" ca="1" si="38"/>
        <v>100</v>
      </c>
      <c r="AA24" s="315">
        <f ca="1">IFERROR(__xludf.DUMMYFUNCTION("IMPORTRANGE(""https://docs.google.com/spreadsheets/d/1lOVebEIsI9qjGXl6EX66luk7wiuP2tBaryw-wKvv4e0/edit?usp=sharing"",""แพร่!J296"")"),10)</f>
        <v>10</v>
      </c>
      <c r="AB24" s="316">
        <f t="shared" ca="1" si="39"/>
        <v>100</v>
      </c>
      <c r="AC24" s="317">
        <f ca="1">IFERROR(__xludf.DUMMYFUNCTION("IMPORTRANGE(""https://docs.google.com/spreadsheets/d/1lOVebEIsI9qjGXl6EX66luk7wiuP2tBaryw-wKvv4e0/edit?usp=sharing"",""แพร่!I295"")"),10)</f>
        <v>10</v>
      </c>
      <c r="AD24" s="317">
        <f ca="1">IFERROR(__xludf.DUMMYFUNCTION("IMPORTRANGE(""https://docs.google.com/spreadsheets/d/1lOVebEIsI9qjGXl6EX66luk7wiuP2tBaryw-wKvv4e0/edit?usp=sharing"",""แพร่!J298"")"),10)</f>
        <v>10</v>
      </c>
      <c r="AE24" s="318">
        <f t="shared" ca="1" si="41"/>
        <v>100</v>
      </c>
      <c r="AF24" s="317">
        <f ca="1">IFERROR(__xludf.DUMMYFUNCTION("IMPORTRANGE(""https://docs.google.com/spreadsheets/d/1lOVebEIsI9qjGXl6EX66luk7wiuP2tBaryw-wKvv4e0/edit?usp=sharing"",""แพร่!J299"")"),10)</f>
        <v>10</v>
      </c>
      <c r="AG24" s="318">
        <f t="shared" ca="1" si="42"/>
        <v>100</v>
      </c>
    </row>
    <row r="25" spans="1:33" ht="24" customHeight="1" x14ac:dyDescent="0.3">
      <c r="A25" s="70">
        <v>12</v>
      </c>
      <c r="B25" s="71" t="s">
        <v>53</v>
      </c>
      <c r="C25" s="149">
        <f t="shared" ca="1" si="25"/>
        <v>185220</v>
      </c>
      <c r="D25" s="150">
        <f t="shared" ca="1" si="43"/>
        <v>185220</v>
      </c>
      <c r="E25" s="151">
        <f ca="1">IFERROR(__xludf.DUMMYFUNCTION("IMPORTRANGE(""https://docs.google.com/spreadsheets/d/1-uDff_7J0KD5mKrp0Vvzr7lt3OU09vwQwhkpOPPYv2Y/edit?usp=sharing"",""งบพรบ!DP25"")"),127100)</f>
        <v>127100</v>
      </c>
      <c r="F25" s="151">
        <f ca="1">IFERROR(__xludf.DUMMYFUNCTION("IMPORTRANGE(""https://docs.google.com/spreadsheets/d/1-uDff_7J0KD5mKrp0Vvzr7lt3OU09vwQwhkpOPPYv2Y/edit?usp=sharing"",""งบพรบ!DQ25"")"),58120)</f>
        <v>58120</v>
      </c>
      <c r="G25" s="151">
        <f ca="1">IFERROR(__xludf.DUMMYFUNCTION("IMPORTRANGE(""https://docs.google.com/spreadsheets/d/1-uDff_7J0KD5mKrp0Vvzr7lt3OU09vwQwhkpOPPYv2Y/edit?usp=sharing"",""งบพรบ!DR25"")"),0)</f>
        <v>0</v>
      </c>
      <c r="H25" s="151">
        <f ca="1">IFERROR(__xludf.DUMMYFUNCTION("IMPORTRANGE(""https://docs.google.com/spreadsheets/d/1-uDff_7J0KD5mKrp0Vvzr7lt3OU09vwQwhkpOPPYv2Y/edit?usp=sharing"",""งบพรบ!DT25"")"),185220)</f>
        <v>185220</v>
      </c>
      <c r="I25" s="151">
        <f ca="1">IFERROR(__xludf.DUMMYFUNCTION("IMPORTRANGE(""https://docs.google.com/spreadsheets/d/1-uDff_7J0KD5mKrp0Vvzr7lt3OU09vwQwhkpOPPYv2Y/edit?usp=sharing"",""งบพรบ!DU25"")"),0)</f>
        <v>0</v>
      </c>
      <c r="J25" s="151">
        <f t="shared" ca="1" si="27"/>
        <v>133630.96</v>
      </c>
      <c r="K25" s="154">
        <f t="shared" ca="1" si="28"/>
        <v>72.147154734909833</v>
      </c>
      <c r="L25" s="151">
        <f ca="1">IFERROR(__xludf.DUMMYFUNCTION("IMPORTRANGE(""https://docs.google.com/spreadsheets/d/1-uDff_7J0KD5mKrp0Vvzr7lt3OU09vwQwhkpOPPYv2Y/edit?usp=sharing"",""งบพรบ!DV25"")"),133630.96)</f>
        <v>133630.96</v>
      </c>
      <c r="M25" s="68">
        <f t="shared" ca="1" si="29"/>
        <v>72.147154734909833</v>
      </c>
      <c r="N25" s="68">
        <f t="shared" ca="1" si="30"/>
        <v>72.147154734909833</v>
      </c>
      <c r="O25" s="67">
        <f ca="1">IFERROR(__xludf.DUMMYFUNCTION("IMPORTRANGE(""https://docs.google.com/spreadsheets/d/1-uDff_7J0KD5mKrp0Vvzr7lt3OU09vwQwhkpOPPYv2Y/edit?usp=sharing"",""งบพรบ!DW25"")"),0)</f>
        <v>0</v>
      </c>
      <c r="P25" s="67">
        <f t="shared" ca="1" si="31"/>
        <v>0</v>
      </c>
      <c r="Q25" s="68">
        <f t="shared" ca="1" si="32"/>
        <v>0</v>
      </c>
      <c r="R25" s="78">
        <f ca="1">IFERROR(__xludf.DUMMYFUNCTION("IMPORTRANGE(""https://docs.google.com/spreadsheets/d/1dQrvX0vEcN7Gu0fnZ0B5S90AeR19zth4XlExFBeExMY/edit?usp=sharing"",""แม่ฮ่องสอน!I292"")"),100)</f>
        <v>100</v>
      </c>
      <c r="S25" s="78">
        <f ca="1">IFERROR(__xludf.DUMMYFUNCTION("IMPORTRANGE(""https://docs.google.com/spreadsheets/d/1dQrvX0vEcN7Gu0fnZ0B5S90AeR19zth4XlExFBeExMY/edit?usp=sharing"",""แม่ฮ่องสอน!J292"")"),100)</f>
        <v>100</v>
      </c>
      <c r="T25" s="79">
        <f t="shared" ca="1" si="34"/>
        <v>100</v>
      </c>
      <c r="U25" s="78">
        <f ca="1">IFERROR(__xludf.DUMMYFUNCTION("IMPORTRANGE(""https://docs.google.com/spreadsheets/d/1dQrvX0vEcN7Gu0fnZ0B5S90AeR19zth4XlExFBeExMY/edit?usp=sharing"",""แม่ฮ่องสอน!I293"")"),10)</f>
        <v>10</v>
      </c>
      <c r="V25" s="78">
        <f ca="1">IFERROR(__xludf.DUMMYFUNCTION("IMPORTRANGE(""https://docs.google.com/spreadsheets/d/1dQrvX0vEcN7Gu0fnZ0B5S90AeR19zth4XlExFBeExMY/edit?usp=sharing"",""แม่ฮ่องสอน!J293"")"),21)</f>
        <v>21</v>
      </c>
      <c r="W25" s="79">
        <f t="shared" ca="1" si="36"/>
        <v>210</v>
      </c>
      <c r="X25" s="78">
        <f ca="1">IFERROR(__xludf.DUMMYFUNCTION("IMPORTRANGE(""https://docs.google.com/spreadsheets/d/1dQrvX0vEcN7Gu0fnZ0B5S90AeR19zth4XlExFBeExMY/edit?usp=sharing"",""แม่ฮ่องสอน!I295"")"),10)</f>
        <v>10</v>
      </c>
      <c r="Y25" s="78">
        <f ca="1">IFERROR(__xludf.DUMMYFUNCTION("IMPORTRANGE(""https://docs.google.com/spreadsheets/d/1dQrvX0vEcN7Gu0fnZ0B5S90AeR19zth4XlExFBeExMY/edit?usp=sharing"",""แม่ฮ่องสอน!J295"")"),21)</f>
        <v>21</v>
      </c>
      <c r="Z25" s="79">
        <f t="shared" ca="1" si="38"/>
        <v>210</v>
      </c>
      <c r="AA25" s="315">
        <f ca="1">IFERROR(__xludf.DUMMYFUNCTION("IMPORTRANGE(""https://docs.google.com/spreadsheets/d/1dQrvX0vEcN7Gu0fnZ0B5S90AeR19zth4XlExFBeExMY/edit?usp=sharing"",""แม่ฮ่องสอน!J296"")"),21)</f>
        <v>21</v>
      </c>
      <c r="AB25" s="316">
        <f t="shared" ca="1" si="39"/>
        <v>210</v>
      </c>
      <c r="AC25" s="317">
        <f ca="1">IFERROR(__xludf.DUMMYFUNCTION("IMPORTRANGE(""https://docs.google.com/spreadsheets/d/1dQrvX0vEcN7Gu0fnZ0B5S90AeR19zth4XlExFBeExMY/edit?usp=sharing"",""แม่ฮ่องสอน!I295"")"),10)</f>
        <v>10</v>
      </c>
      <c r="AD25" s="317">
        <f ca="1">IFERROR(__xludf.DUMMYFUNCTION("IMPORTRANGE(""https://docs.google.com/spreadsheets/d/1dQrvX0vEcN7Gu0fnZ0B5S90AeR19zth4XlExFBeExMY/edit?usp=sharing"",""แม่ฮ่องสอน!J298"")"),0)</f>
        <v>0</v>
      </c>
      <c r="AE25" s="318">
        <f t="shared" ca="1" si="41"/>
        <v>0</v>
      </c>
      <c r="AF25" s="317">
        <f ca="1">IFERROR(__xludf.DUMMYFUNCTION("IMPORTRANGE(""https://docs.google.com/spreadsheets/d/1dQrvX0vEcN7Gu0fnZ0B5S90AeR19zth4XlExFBeExMY/edit?usp=sharing"",""แม่ฮ่องสอน!J299"")"),0)</f>
        <v>0</v>
      </c>
      <c r="AG25" s="318">
        <f t="shared" ca="1" si="42"/>
        <v>0</v>
      </c>
    </row>
    <row r="26" spans="1:33" ht="24" customHeight="1" x14ac:dyDescent="0.3">
      <c r="A26" s="70">
        <v>13</v>
      </c>
      <c r="B26" s="71" t="s">
        <v>54</v>
      </c>
      <c r="C26" s="149">
        <f t="shared" ca="1" si="25"/>
        <v>85120</v>
      </c>
      <c r="D26" s="150">
        <f t="shared" ca="1" si="43"/>
        <v>85120</v>
      </c>
      <c r="E26" s="151">
        <f ca="1">IFERROR(__xludf.DUMMYFUNCTION("IMPORTRANGE(""https://docs.google.com/spreadsheets/d/1-uDff_7J0KD5mKrp0Vvzr7lt3OU09vwQwhkpOPPYv2Y/edit?usp=sharing"",""งบพรบ!DP26"")"),0)</f>
        <v>0</v>
      </c>
      <c r="F26" s="151">
        <f ca="1">IFERROR(__xludf.DUMMYFUNCTION("IMPORTRANGE(""https://docs.google.com/spreadsheets/d/1-uDff_7J0KD5mKrp0Vvzr7lt3OU09vwQwhkpOPPYv2Y/edit?usp=sharing"",""งบพรบ!DQ26"")"),85120)</f>
        <v>85120</v>
      </c>
      <c r="G26" s="151">
        <f ca="1">IFERROR(__xludf.DUMMYFUNCTION("IMPORTRANGE(""https://docs.google.com/spreadsheets/d/1-uDff_7J0KD5mKrp0Vvzr7lt3OU09vwQwhkpOPPYv2Y/edit?usp=sharing"",""งบพรบ!DR26"")"),0)</f>
        <v>0</v>
      </c>
      <c r="H26" s="151">
        <f ca="1">IFERROR(__xludf.DUMMYFUNCTION("IMPORTRANGE(""https://docs.google.com/spreadsheets/d/1-uDff_7J0KD5mKrp0Vvzr7lt3OU09vwQwhkpOPPYv2Y/edit?usp=sharing"",""งบพรบ!DT26"")"),97170)</f>
        <v>97170</v>
      </c>
      <c r="I26" s="151">
        <f ca="1">IFERROR(__xludf.DUMMYFUNCTION("IMPORTRANGE(""https://docs.google.com/spreadsheets/d/1-uDff_7J0KD5mKrp0Vvzr7lt3OU09vwQwhkpOPPYv2Y/edit?usp=sharing"",""งบพรบ!DU26"")"),0)</f>
        <v>0</v>
      </c>
      <c r="J26" s="151">
        <f t="shared" ca="1" si="27"/>
        <v>75082</v>
      </c>
      <c r="K26" s="154">
        <f t="shared" ca="1" si="28"/>
        <v>88.20723684210526</v>
      </c>
      <c r="L26" s="151">
        <f ca="1">IFERROR(__xludf.DUMMYFUNCTION("IMPORTRANGE(""https://docs.google.com/spreadsheets/d/1-uDff_7J0KD5mKrp0Vvzr7lt3OU09vwQwhkpOPPYv2Y/edit?usp=sharing"",""งบพรบ!DV26"")"),75082)</f>
        <v>75082</v>
      </c>
      <c r="M26" s="68">
        <f t="shared" ca="1" si="29"/>
        <v>88.20723684210526</v>
      </c>
      <c r="N26" s="68">
        <f t="shared" ca="1" si="30"/>
        <v>77.268704332612941</v>
      </c>
      <c r="O26" s="67">
        <f ca="1">IFERROR(__xludf.DUMMYFUNCTION("IMPORTRANGE(""https://docs.google.com/spreadsheets/d/1-uDff_7J0KD5mKrp0Vvzr7lt3OU09vwQwhkpOPPYv2Y/edit?usp=sharing"",""งบพรบ!DW26"")"),0)</f>
        <v>0</v>
      </c>
      <c r="P26" s="67">
        <f t="shared" ca="1" si="31"/>
        <v>0</v>
      </c>
      <c r="Q26" s="68">
        <f t="shared" ca="1" si="32"/>
        <v>0</v>
      </c>
      <c r="R26" s="78">
        <f ca="1">IFERROR(__xludf.DUMMYFUNCTION("IMPORTRANGE(""https://docs.google.com/spreadsheets/d/1DY4XTNNwjluuxqdfdn6qvOSlMRrZqUtmYcZR0ttFiG4/edit?usp=sharing"",""ลำปาง!I292"")"),300)</f>
        <v>300</v>
      </c>
      <c r="S26" s="78">
        <f ca="1">IFERROR(__xludf.DUMMYFUNCTION("IMPORTRANGE(""https://docs.google.com/spreadsheets/d/1DY4XTNNwjluuxqdfdn6qvOSlMRrZqUtmYcZR0ttFiG4/edit?usp=sharing"",""ลำปาง!J292"")"),300)</f>
        <v>300</v>
      </c>
      <c r="T26" s="79">
        <f t="shared" ca="1" si="34"/>
        <v>100</v>
      </c>
      <c r="U26" s="78">
        <f ca="1">IFERROR(__xludf.DUMMYFUNCTION("IMPORTRANGE(""https://docs.google.com/spreadsheets/d/1DY4XTNNwjluuxqdfdn6qvOSlMRrZqUtmYcZR0ttFiG4/edit?usp=sharing"",""ลำปาง!I293"")"),30)</f>
        <v>30</v>
      </c>
      <c r="V26" s="78">
        <f ca="1">IFERROR(__xludf.DUMMYFUNCTION("IMPORTRANGE(""https://docs.google.com/spreadsheets/d/1DY4XTNNwjluuxqdfdn6qvOSlMRrZqUtmYcZR0ttFiG4/edit?usp=sharing"",""ลำปาง!J293"")"),30)</f>
        <v>30</v>
      </c>
      <c r="W26" s="79">
        <f t="shared" ca="1" si="36"/>
        <v>100</v>
      </c>
      <c r="X26" s="78">
        <f ca="1">IFERROR(__xludf.DUMMYFUNCTION("IMPORTRANGE(""https://docs.google.com/spreadsheets/d/1DY4XTNNwjluuxqdfdn6qvOSlMRrZqUtmYcZR0ttFiG4/edit?usp=sharing"",""ลำปาง!I295"")"),30)</f>
        <v>30</v>
      </c>
      <c r="Y26" s="78">
        <f ca="1">IFERROR(__xludf.DUMMYFUNCTION("IMPORTRANGE(""https://docs.google.com/spreadsheets/d/1DY4XTNNwjluuxqdfdn6qvOSlMRrZqUtmYcZR0ttFiG4/edit?usp=sharing"",""ลำปาง!J295"")"),30)</f>
        <v>30</v>
      </c>
      <c r="Z26" s="79">
        <f t="shared" ca="1" si="38"/>
        <v>100</v>
      </c>
      <c r="AA26" s="315">
        <f ca="1">IFERROR(__xludf.DUMMYFUNCTION("IMPORTRANGE(""https://docs.google.com/spreadsheets/d/1DY4XTNNwjluuxqdfdn6qvOSlMRrZqUtmYcZR0ttFiG4/edit?usp=sharing"",""ลำปาง!J296"")"),30)</f>
        <v>30</v>
      </c>
      <c r="AB26" s="316">
        <f t="shared" ca="1" si="39"/>
        <v>100</v>
      </c>
      <c r="AC26" s="317">
        <f ca="1">IFERROR(__xludf.DUMMYFUNCTION("IMPORTRANGE(""https://docs.google.com/spreadsheets/d/1DY4XTNNwjluuxqdfdn6qvOSlMRrZqUtmYcZR0ttFiG4/edit?usp=sharing"",""ลำปาง!I295"")"),30)</f>
        <v>30</v>
      </c>
      <c r="AD26" s="317">
        <f ca="1">IFERROR(__xludf.DUMMYFUNCTION("IMPORTRANGE(""https://docs.google.com/spreadsheets/d/1DY4XTNNwjluuxqdfdn6qvOSlMRrZqUtmYcZR0ttFiG4/edit?usp=sharing"",""ลำปาง!J298"")"),30)</f>
        <v>30</v>
      </c>
      <c r="AE26" s="318">
        <f t="shared" ca="1" si="41"/>
        <v>100</v>
      </c>
      <c r="AF26" s="317">
        <f ca="1">IFERROR(__xludf.DUMMYFUNCTION("IMPORTRANGE(""https://docs.google.com/spreadsheets/d/1DY4XTNNwjluuxqdfdn6qvOSlMRrZqUtmYcZR0ttFiG4/edit?usp=sharing"",""ลำปาง!J299"")"),30)</f>
        <v>30</v>
      </c>
      <c r="AG26" s="318">
        <f t="shared" ca="1" si="42"/>
        <v>100</v>
      </c>
    </row>
    <row r="27" spans="1:33" ht="24" customHeight="1" x14ac:dyDescent="0.3">
      <c r="A27" s="70">
        <v>14</v>
      </c>
      <c r="B27" s="71" t="s">
        <v>55</v>
      </c>
      <c r="C27" s="149">
        <f t="shared" ca="1" si="25"/>
        <v>56120</v>
      </c>
      <c r="D27" s="150">
        <f t="shared" ca="1" si="43"/>
        <v>56120</v>
      </c>
      <c r="E27" s="151">
        <f ca="1">IFERROR(__xludf.DUMMYFUNCTION("IMPORTRANGE(""https://docs.google.com/spreadsheets/d/1-uDff_7J0KD5mKrp0Vvzr7lt3OU09vwQwhkpOPPYv2Y/edit?usp=sharing"",""งบพรบ!DP27"")"),0)</f>
        <v>0</v>
      </c>
      <c r="F27" s="151">
        <f ca="1">IFERROR(__xludf.DUMMYFUNCTION("IMPORTRANGE(""https://docs.google.com/spreadsheets/d/1-uDff_7J0KD5mKrp0Vvzr7lt3OU09vwQwhkpOPPYv2Y/edit?usp=sharing"",""งบพรบ!DQ27"")"),56120)</f>
        <v>56120</v>
      </c>
      <c r="G27" s="151">
        <f ca="1">IFERROR(__xludf.DUMMYFUNCTION("IMPORTRANGE(""https://docs.google.com/spreadsheets/d/1-uDff_7J0KD5mKrp0Vvzr7lt3OU09vwQwhkpOPPYv2Y/edit?usp=sharing"",""งบพรบ!DR27"")"),0)</f>
        <v>0</v>
      </c>
      <c r="H27" s="151">
        <f ca="1">IFERROR(__xludf.DUMMYFUNCTION("IMPORTRANGE(""https://docs.google.com/spreadsheets/d/1-uDff_7J0KD5mKrp0Vvzr7lt3OU09vwQwhkpOPPYv2Y/edit?usp=sharing"",""งบพรบ!DT27"")"),68730)</f>
        <v>68730</v>
      </c>
      <c r="I27" s="151">
        <f ca="1">IFERROR(__xludf.DUMMYFUNCTION("IMPORTRANGE(""https://docs.google.com/spreadsheets/d/1-uDff_7J0KD5mKrp0Vvzr7lt3OU09vwQwhkpOPPYv2Y/edit?usp=sharing"",""งบพรบ!DU27"")"),0)</f>
        <v>0</v>
      </c>
      <c r="J27" s="151">
        <f t="shared" ca="1" si="27"/>
        <v>49100</v>
      </c>
      <c r="K27" s="154">
        <f t="shared" ca="1" si="28"/>
        <v>87.49109052031362</v>
      </c>
      <c r="L27" s="151">
        <f ca="1">IFERROR(__xludf.DUMMYFUNCTION("IMPORTRANGE(""https://docs.google.com/spreadsheets/d/1-uDff_7J0KD5mKrp0Vvzr7lt3OU09vwQwhkpOPPYv2Y/edit?usp=sharing"",""งบพรบ!DV27"")"),49100)</f>
        <v>49100</v>
      </c>
      <c r="M27" s="68">
        <f t="shared" ca="1" si="29"/>
        <v>87.49109052031362</v>
      </c>
      <c r="N27" s="68">
        <f t="shared" ca="1" si="30"/>
        <v>71.43896406227266</v>
      </c>
      <c r="O27" s="67">
        <f ca="1">IFERROR(__xludf.DUMMYFUNCTION("IMPORTRANGE(""https://docs.google.com/spreadsheets/d/1-uDff_7J0KD5mKrp0Vvzr7lt3OU09vwQwhkpOPPYv2Y/edit?usp=sharing"",""งบพรบ!DW27"")"),0)</f>
        <v>0</v>
      </c>
      <c r="P27" s="67">
        <f t="shared" ca="1" si="31"/>
        <v>0</v>
      </c>
      <c r="Q27" s="68">
        <f t="shared" ca="1" si="32"/>
        <v>0</v>
      </c>
      <c r="R27" s="78">
        <f ca="1">IFERROR(__xludf.DUMMYFUNCTION("IMPORTRANGE(""https://docs.google.com/spreadsheets/d/1ICwG78r0OFT8biBlxnBF8r7she7gNSzOvJ958PWT09c/edit?usp=sharing"",""ลำพูน!I292"")"),100)</f>
        <v>100</v>
      </c>
      <c r="S27" s="78">
        <f ca="1">IFERROR(__xludf.DUMMYFUNCTION("IMPORTRANGE(""https://docs.google.com/spreadsheets/d/1ICwG78r0OFT8biBlxnBF8r7she7gNSzOvJ958PWT09c/edit?usp=sharing"",""ลำพูน!J292"")"),100)</f>
        <v>100</v>
      </c>
      <c r="T27" s="79">
        <f t="shared" ca="1" si="34"/>
        <v>100</v>
      </c>
      <c r="U27" s="78">
        <f ca="1">IFERROR(__xludf.DUMMYFUNCTION("IMPORTRANGE(""https://docs.google.com/spreadsheets/d/1ICwG78r0OFT8biBlxnBF8r7she7gNSzOvJ958PWT09c/edit?usp=sharing"",""ลำพูน!I293"")"),10)</f>
        <v>10</v>
      </c>
      <c r="V27" s="78">
        <f ca="1">IFERROR(__xludf.DUMMYFUNCTION("IMPORTRANGE(""https://docs.google.com/spreadsheets/d/1ICwG78r0OFT8biBlxnBF8r7she7gNSzOvJ958PWT09c/edit?usp=sharing"",""ลำพูน!J293"")"),12)</f>
        <v>12</v>
      </c>
      <c r="W27" s="79">
        <f t="shared" ca="1" si="36"/>
        <v>120</v>
      </c>
      <c r="X27" s="78">
        <f ca="1">IFERROR(__xludf.DUMMYFUNCTION("IMPORTRANGE(""https://docs.google.com/spreadsheets/d/1ICwG78r0OFT8biBlxnBF8r7she7gNSzOvJ958PWT09c/edit?usp=sharing"",""ลำพูน!I295"")"),10)</f>
        <v>10</v>
      </c>
      <c r="Y27" s="78">
        <f ca="1">IFERROR(__xludf.DUMMYFUNCTION("IMPORTRANGE(""https://docs.google.com/spreadsheets/d/1ICwG78r0OFT8biBlxnBF8r7she7gNSzOvJ958PWT09c/edit?usp=sharing"",""ลำพูน!J295"")"),12)</f>
        <v>12</v>
      </c>
      <c r="Z27" s="79">
        <f t="shared" ca="1" si="38"/>
        <v>120</v>
      </c>
      <c r="AA27" s="315">
        <f ca="1">IFERROR(__xludf.DUMMYFUNCTION("IMPORTRANGE(""https://docs.google.com/spreadsheets/d/1ICwG78r0OFT8biBlxnBF8r7she7gNSzOvJ958PWT09c/edit?usp=sharing"",""ลำพูน!J296"")"),12)</f>
        <v>12</v>
      </c>
      <c r="AB27" s="316">
        <f t="shared" ca="1" si="39"/>
        <v>120</v>
      </c>
      <c r="AC27" s="317">
        <f ca="1">IFERROR(__xludf.DUMMYFUNCTION("IMPORTRANGE(""https://docs.google.com/spreadsheets/d/1ICwG78r0OFT8biBlxnBF8r7she7gNSzOvJ958PWT09c/edit?usp=sharing"",""ลำพูน!I295"")"),10)</f>
        <v>10</v>
      </c>
      <c r="AD27" s="317">
        <f ca="1">IFERROR(__xludf.DUMMYFUNCTION("IMPORTRANGE(""https://docs.google.com/spreadsheets/d/1ICwG78r0OFT8biBlxnBF8r7she7gNSzOvJ958PWT09c/edit?usp=sharing"",""ลำพูน!J298"")"),12)</f>
        <v>12</v>
      </c>
      <c r="AE27" s="318">
        <f t="shared" ca="1" si="41"/>
        <v>120</v>
      </c>
      <c r="AF27" s="317">
        <f ca="1">IFERROR(__xludf.DUMMYFUNCTION("IMPORTRANGE(""https://docs.google.com/spreadsheets/d/1ICwG78r0OFT8biBlxnBF8r7she7gNSzOvJ958PWT09c/edit?usp=sharing"",""ลำพูน!J299"")"),12)</f>
        <v>12</v>
      </c>
      <c r="AG27" s="318">
        <f t="shared" ca="1" si="42"/>
        <v>120</v>
      </c>
    </row>
    <row r="28" spans="1:33" ht="24" customHeight="1" x14ac:dyDescent="0.3">
      <c r="A28" s="70">
        <v>15</v>
      </c>
      <c r="B28" s="71" t="s">
        <v>56</v>
      </c>
      <c r="C28" s="149">
        <f t="shared" ca="1" si="25"/>
        <v>201520</v>
      </c>
      <c r="D28" s="150">
        <f t="shared" ca="1" si="43"/>
        <v>201520</v>
      </c>
      <c r="E28" s="151">
        <f ca="1">IFERROR(__xludf.DUMMYFUNCTION("IMPORTRANGE(""https://docs.google.com/spreadsheets/d/1-uDff_7J0KD5mKrp0Vvzr7lt3OU09vwQwhkpOPPYv2Y/edit?usp=sharing"",""งบพรบ!DP28"")"),130400)</f>
        <v>130400</v>
      </c>
      <c r="F28" s="151">
        <f ca="1">IFERROR(__xludf.DUMMYFUNCTION("IMPORTRANGE(""https://docs.google.com/spreadsheets/d/1-uDff_7J0KD5mKrp0Vvzr7lt3OU09vwQwhkpOPPYv2Y/edit?usp=sharing"",""งบพรบ!DQ28"")"),71120)</f>
        <v>71120</v>
      </c>
      <c r="G28" s="151">
        <f ca="1">IFERROR(__xludf.DUMMYFUNCTION("IMPORTRANGE(""https://docs.google.com/spreadsheets/d/1-uDff_7J0KD5mKrp0Vvzr7lt3OU09vwQwhkpOPPYv2Y/edit?usp=sharing"",""งบพรบ!DR28"")"),0)</f>
        <v>0</v>
      </c>
      <c r="H28" s="151">
        <f ca="1">IFERROR(__xludf.DUMMYFUNCTION("IMPORTRANGE(""https://docs.google.com/spreadsheets/d/1-uDff_7J0KD5mKrp0Vvzr7lt3OU09vwQwhkpOPPYv2Y/edit?usp=sharing"",""งบพรบ!DT28"")"),211430)</f>
        <v>211430</v>
      </c>
      <c r="I28" s="151">
        <f ca="1">IFERROR(__xludf.DUMMYFUNCTION("IMPORTRANGE(""https://docs.google.com/spreadsheets/d/1-uDff_7J0KD5mKrp0Vvzr7lt3OU09vwQwhkpOPPYv2Y/edit?usp=sharing"",""งบพรบ!DU28"")"),0)</f>
        <v>0</v>
      </c>
      <c r="J28" s="151">
        <f t="shared" ca="1" si="27"/>
        <v>171349</v>
      </c>
      <c r="K28" s="154">
        <f t="shared" ca="1" si="28"/>
        <v>85.028285033743543</v>
      </c>
      <c r="L28" s="151">
        <f ca="1">IFERROR(__xludf.DUMMYFUNCTION("IMPORTRANGE(""https://docs.google.com/spreadsheets/d/1-uDff_7J0KD5mKrp0Vvzr7lt3OU09vwQwhkpOPPYv2Y/edit?usp=sharing"",""งบพรบ!DV28"")"),171349)</f>
        <v>171349</v>
      </c>
      <c r="M28" s="68">
        <f t="shared" ca="1" si="29"/>
        <v>85.028285033743543</v>
      </c>
      <c r="N28" s="68">
        <f t="shared" ca="1" si="30"/>
        <v>81.042898358794872</v>
      </c>
      <c r="O28" s="67">
        <f ca="1">IFERROR(__xludf.DUMMYFUNCTION("IMPORTRANGE(""https://docs.google.com/spreadsheets/d/1-uDff_7J0KD5mKrp0Vvzr7lt3OU09vwQwhkpOPPYv2Y/edit?usp=sharing"",""งบพรบ!DW28"")"),0)</f>
        <v>0</v>
      </c>
      <c r="P28" s="67">
        <f t="shared" ca="1" si="31"/>
        <v>0</v>
      </c>
      <c r="Q28" s="68">
        <f t="shared" ca="1" si="32"/>
        <v>0</v>
      </c>
      <c r="R28" s="78">
        <f ca="1">IFERROR(__xludf.DUMMYFUNCTION("IMPORTRANGE(""https://docs.google.com/spreadsheets/d/1B0f2xJpZUC6Z0xXnqKlZtEPzsf6L84eP1r1Q15seqRM/edit?usp=sharing"",""สุโขทัย!I292"")"),200)</f>
        <v>200</v>
      </c>
      <c r="S28" s="78">
        <f ca="1">IFERROR(__xludf.DUMMYFUNCTION("IMPORTRANGE(""https://docs.google.com/spreadsheets/d/1B0f2xJpZUC6Z0xXnqKlZtEPzsf6L84eP1r1Q15seqRM/edit?usp=sharing"",""สุโขทัย!J292"")"),200)</f>
        <v>200</v>
      </c>
      <c r="T28" s="79">
        <f t="shared" ca="1" si="34"/>
        <v>100</v>
      </c>
      <c r="U28" s="78">
        <f ca="1">IFERROR(__xludf.DUMMYFUNCTION("IMPORTRANGE(""https://docs.google.com/spreadsheets/d/1B0f2xJpZUC6Z0xXnqKlZtEPzsf6L84eP1r1Q15seqRM/edit?usp=sharing"",""สุโขทัย!I293"")"),20)</f>
        <v>20</v>
      </c>
      <c r="V28" s="78">
        <f ca="1">IFERROR(__xludf.DUMMYFUNCTION("IMPORTRANGE(""https://docs.google.com/spreadsheets/d/1B0f2xJpZUC6Z0xXnqKlZtEPzsf6L84eP1r1Q15seqRM/edit?usp=sharing"",""สุโขทัย!J293"")"),20)</f>
        <v>20</v>
      </c>
      <c r="W28" s="79">
        <f t="shared" ca="1" si="36"/>
        <v>100</v>
      </c>
      <c r="X28" s="78">
        <f ca="1">IFERROR(__xludf.DUMMYFUNCTION("IMPORTRANGE(""https://docs.google.com/spreadsheets/d/1B0f2xJpZUC6Z0xXnqKlZtEPzsf6L84eP1r1Q15seqRM/edit?usp=sharing"",""สุโขทัย!I295"")"),20)</f>
        <v>20</v>
      </c>
      <c r="Y28" s="78">
        <f ca="1">IFERROR(__xludf.DUMMYFUNCTION("IMPORTRANGE(""https://docs.google.com/spreadsheets/d/1B0f2xJpZUC6Z0xXnqKlZtEPzsf6L84eP1r1Q15seqRM/edit?usp=sharing"",""สุโขทัย!J295"")"),20)</f>
        <v>20</v>
      </c>
      <c r="Z28" s="79">
        <f t="shared" ca="1" si="38"/>
        <v>100</v>
      </c>
      <c r="AA28" s="315">
        <f ca="1">IFERROR(__xludf.DUMMYFUNCTION("IMPORTRANGE(""https://docs.google.com/spreadsheets/d/1B0f2xJpZUC6Z0xXnqKlZtEPzsf6L84eP1r1Q15seqRM/edit?usp=sharing"",""สุโขทัย!J296"")"),20)</f>
        <v>20</v>
      </c>
      <c r="AB28" s="316">
        <f t="shared" ca="1" si="39"/>
        <v>100</v>
      </c>
      <c r="AC28" s="317">
        <f ca="1">IFERROR(__xludf.DUMMYFUNCTION("IMPORTRANGE(""https://docs.google.com/spreadsheets/d/1B0f2xJpZUC6Z0xXnqKlZtEPzsf6L84eP1r1Q15seqRM/edit?usp=sharing"",""สุโขทัย!I295"")"),20)</f>
        <v>20</v>
      </c>
      <c r="AD28" s="317">
        <f ca="1">IFERROR(__xludf.DUMMYFUNCTION("IMPORTRANGE(""https://docs.google.com/spreadsheets/d/1B0f2xJpZUC6Z0xXnqKlZtEPzsf6L84eP1r1Q15seqRM/edit?usp=sharing"",""สุโขทัย!J298"")"),20)</f>
        <v>20</v>
      </c>
      <c r="AE28" s="318">
        <f t="shared" ca="1" si="41"/>
        <v>100</v>
      </c>
      <c r="AF28" s="317">
        <f ca="1">IFERROR(__xludf.DUMMYFUNCTION("IMPORTRANGE(""https://docs.google.com/spreadsheets/d/1B0f2xJpZUC6Z0xXnqKlZtEPzsf6L84eP1r1Q15seqRM/edit?usp=sharing"",""สุโขทัย!J299"")"),20)</f>
        <v>20</v>
      </c>
      <c r="AG28" s="318">
        <f t="shared" ca="1" si="42"/>
        <v>100</v>
      </c>
    </row>
    <row r="29" spans="1:33" ht="24" customHeight="1" x14ac:dyDescent="0.3">
      <c r="A29" s="70">
        <v>16</v>
      </c>
      <c r="B29" s="71" t="s">
        <v>57</v>
      </c>
      <c r="C29" s="149">
        <f t="shared" ca="1" si="25"/>
        <v>71120</v>
      </c>
      <c r="D29" s="150">
        <f t="shared" ca="1" si="43"/>
        <v>71120</v>
      </c>
      <c r="E29" s="151">
        <f ca="1">IFERROR(__xludf.DUMMYFUNCTION("IMPORTRANGE(""https://docs.google.com/spreadsheets/d/1-uDff_7J0KD5mKrp0Vvzr7lt3OU09vwQwhkpOPPYv2Y/edit?usp=sharing"",""งบพรบ!DP29"")"),0)</f>
        <v>0</v>
      </c>
      <c r="F29" s="151">
        <f ca="1">IFERROR(__xludf.DUMMYFUNCTION("IMPORTRANGE(""https://docs.google.com/spreadsheets/d/1-uDff_7J0KD5mKrp0Vvzr7lt3OU09vwQwhkpOPPYv2Y/edit?usp=sharing"",""งบพรบ!DQ29"")"),71120)</f>
        <v>71120</v>
      </c>
      <c r="G29" s="151">
        <f ca="1">IFERROR(__xludf.DUMMYFUNCTION("IMPORTRANGE(""https://docs.google.com/spreadsheets/d/1-uDff_7J0KD5mKrp0Vvzr7lt3OU09vwQwhkpOPPYv2Y/edit?usp=sharing"",""งบพรบ!DR29"")"),0)</f>
        <v>0</v>
      </c>
      <c r="H29" s="151">
        <f ca="1">IFERROR(__xludf.DUMMYFUNCTION("IMPORTRANGE(""https://docs.google.com/spreadsheets/d/1-uDff_7J0KD5mKrp0Vvzr7lt3OU09vwQwhkpOPPYv2Y/edit?usp=sharing"",""งบพรบ!DT29"")"),82210)</f>
        <v>82210</v>
      </c>
      <c r="I29" s="151">
        <f ca="1">IFERROR(__xludf.DUMMYFUNCTION("IMPORTRANGE(""https://docs.google.com/spreadsheets/d/1-uDff_7J0KD5mKrp0Vvzr7lt3OU09vwQwhkpOPPYv2Y/edit?usp=sharing"",""งบพรบ!DU29"")"),0)</f>
        <v>0</v>
      </c>
      <c r="J29" s="151">
        <f t="shared" ca="1" si="27"/>
        <v>76481.5</v>
      </c>
      <c r="K29" s="154">
        <f t="shared" ca="1" si="28"/>
        <v>107.5386670416198</v>
      </c>
      <c r="L29" s="151">
        <f ca="1">IFERROR(__xludf.DUMMYFUNCTION("IMPORTRANGE(""https://docs.google.com/spreadsheets/d/1-uDff_7J0KD5mKrp0Vvzr7lt3OU09vwQwhkpOPPYv2Y/edit?usp=sharing"",""งบพรบ!DV29"")"),76481.5)</f>
        <v>76481.5</v>
      </c>
      <c r="M29" s="68">
        <f t="shared" ca="1" si="29"/>
        <v>107.5386670416198</v>
      </c>
      <c r="N29" s="68">
        <f t="shared" ca="1" si="30"/>
        <v>93.031869602238174</v>
      </c>
      <c r="O29" s="67">
        <f ca="1">IFERROR(__xludf.DUMMYFUNCTION("IMPORTRANGE(""https://docs.google.com/spreadsheets/d/1-uDff_7J0KD5mKrp0Vvzr7lt3OU09vwQwhkpOPPYv2Y/edit?usp=sharing"",""งบพรบ!DW29"")"),0)</f>
        <v>0</v>
      </c>
      <c r="P29" s="67">
        <f t="shared" ca="1" si="31"/>
        <v>0</v>
      </c>
      <c r="Q29" s="68">
        <f t="shared" ca="1" si="32"/>
        <v>0</v>
      </c>
      <c r="R29" s="78">
        <f ca="1">IFERROR(__xludf.DUMMYFUNCTION("IMPORTRANGE(""https://docs.google.com/spreadsheets/d/1v0b9pFQCsKUVExMei7AgY2yQkdeNQvtOssygGsXbiKo/edit?usp=sharing"",""อุตรดิตถ์!I292"")"),200)</f>
        <v>200</v>
      </c>
      <c r="S29" s="78">
        <f ca="1">IFERROR(__xludf.DUMMYFUNCTION("IMPORTRANGE(""https://docs.google.com/spreadsheets/d/1v0b9pFQCsKUVExMei7AgY2yQkdeNQvtOssygGsXbiKo/edit?usp=sharing"",""อุตรดิตถ์!J292"")"),200)</f>
        <v>200</v>
      </c>
      <c r="T29" s="79">
        <f t="shared" ca="1" si="34"/>
        <v>100</v>
      </c>
      <c r="U29" s="78">
        <f ca="1">IFERROR(__xludf.DUMMYFUNCTION("IMPORTRANGE(""https://docs.google.com/spreadsheets/d/1v0b9pFQCsKUVExMei7AgY2yQkdeNQvtOssygGsXbiKo/edit?usp=sharing"",""อุตรดิตถ์!I293"")"),20)</f>
        <v>20</v>
      </c>
      <c r="V29" s="78">
        <f ca="1">IFERROR(__xludf.DUMMYFUNCTION("IMPORTRANGE(""https://docs.google.com/spreadsheets/d/1v0b9pFQCsKUVExMei7AgY2yQkdeNQvtOssygGsXbiKo/edit?usp=sharing"",""อุตรดิตถ์!J293"")"),20)</f>
        <v>20</v>
      </c>
      <c r="W29" s="79">
        <f t="shared" ca="1" si="36"/>
        <v>100</v>
      </c>
      <c r="X29" s="78">
        <f ca="1">IFERROR(__xludf.DUMMYFUNCTION("IMPORTRANGE(""https://docs.google.com/spreadsheets/d/1v0b9pFQCsKUVExMei7AgY2yQkdeNQvtOssygGsXbiKo/edit?usp=sharing"",""อุตรดิตถ์!I295"")"),20)</f>
        <v>20</v>
      </c>
      <c r="Y29" s="78">
        <f ca="1">IFERROR(__xludf.DUMMYFUNCTION("IMPORTRANGE(""https://docs.google.com/spreadsheets/d/1v0b9pFQCsKUVExMei7AgY2yQkdeNQvtOssygGsXbiKo/edit?usp=sharing"",""อุตรดิตถ์!J295"")"),20)</f>
        <v>20</v>
      </c>
      <c r="Z29" s="79">
        <f t="shared" ca="1" si="38"/>
        <v>100</v>
      </c>
      <c r="AA29" s="315">
        <f ca="1">IFERROR(__xludf.DUMMYFUNCTION("IMPORTRANGE(""https://docs.google.com/spreadsheets/d/1v0b9pFQCsKUVExMei7AgY2yQkdeNQvtOssygGsXbiKo/edit?usp=sharing"",""อุตรดิตถ์!J296"")"),20)</f>
        <v>20</v>
      </c>
      <c r="AB29" s="316">
        <f t="shared" ca="1" si="39"/>
        <v>100</v>
      </c>
      <c r="AC29" s="317">
        <f ca="1">IFERROR(__xludf.DUMMYFUNCTION("IMPORTRANGE(""https://docs.google.com/spreadsheets/d/1v0b9pFQCsKUVExMei7AgY2yQkdeNQvtOssygGsXbiKo/edit?usp=sharing"",""อุตรดิตถ์!I295"")"),20)</f>
        <v>20</v>
      </c>
      <c r="AD29" s="317">
        <f ca="1">IFERROR(__xludf.DUMMYFUNCTION("IMPORTRANGE(""https://docs.google.com/spreadsheets/d/1v0b9pFQCsKUVExMei7AgY2yQkdeNQvtOssygGsXbiKo/edit?usp=sharing"",""อุตรดิตถ์!J298"")"),20)</f>
        <v>20</v>
      </c>
      <c r="AE29" s="318">
        <f t="shared" ca="1" si="41"/>
        <v>100</v>
      </c>
      <c r="AF29" s="317">
        <f ca="1">IFERROR(__xludf.DUMMYFUNCTION("IMPORTRANGE(""https://docs.google.com/spreadsheets/d/1v0b9pFQCsKUVExMei7AgY2yQkdeNQvtOssygGsXbiKo/edit?usp=sharing"",""อุตรดิตถ์!J299"")"),20)</f>
        <v>20</v>
      </c>
      <c r="AG29" s="318">
        <f t="shared" ca="1" si="42"/>
        <v>100</v>
      </c>
    </row>
    <row r="30" spans="1:33" ht="24" customHeight="1" x14ac:dyDescent="0.3">
      <c r="A30" s="80">
        <v>17</v>
      </c>
      <c r="B30" s="81" t="s">
        <v>58</v>
      </c>
      <c r="C30" s="157">
        <f t="shared" ca="1" si="25"/>
        <v>100120</v>
      </c>
      <c r="D30" s="158">
        <f t="shared" ca="1" si="43"/>
        <v>100120</v>
      </c>
      <c r="E30" s="159">
        <f ca="1">IFERROR(__xludf.DUMMYFUNCTION("IMPORTRANGE(""https://docs.google.com/spreadsheets/d/1-uDff_7J0KD5mKrp0Vvzr7lt3OU09vwQwhkpOPPYv2Y/edit?usp=sharing"",""งบพรบ!DP30"")"),0)</f>
        <v>0</v>
      </c>
      <c r="F30" s="159">
        <f ca="1">IFERROR(__xludf.DUMMYFUNCTION("IMPORTRANGE(""https://docs.google.com/spreadsheets/d/1-uDff_7J0KD5mKrp0Vvzr7lt3OU09vwQwhkpOPPYv2Y/edit?usp=sharing"",""งบพรบ!DQ30"")"),100120)</f>
        <v>100120</v>
      </c>
      <c r="G30" s="159">
        <f ca="1">IFERROR(__xludf.DUMMYFUNCTION("IMPORTRANGE(""https://docs.google.com/spreadsheets/d/1-uDff_7J0KD5mKrp0Vvzr7lt3OU09vwQwhkpOPPYv2Y/edit?usp=sharing"",""งบพรบ!DR30"")"),0)</f>
        <v>0</v>
      </c>
      <c r="H30" s="159">
        <f ca="1">IFERROR(__xludf.DUMMYFUNCTION("IMPORTRANGE(""https://docs.google.com/spreadsheets/d/1-uDff_7J0KD5mKrp0Vvzr7lt3OU09vwQwhkpOPPYv2Y/edit?usp=sharing"",""งบพรบ!DT30"")"),106340)</f>
        <v>106340</v>
      </c>
      <c r="I30" s="159">
        <f ca="1">IFERROR(__xludf.DUMMYFUNCTION("IMPORTRANGE(""https://docs.google.com/spreadsheets/d/1-uDff_7J0KD5mKrp0Vvzr7lt3OU09vwQwhkpOPPYv2Y/edit?usp=sharing"",""งบพรบ!DU30"")"),0)</f>
        <v>0</v>
      </c>
      <c r="J30" s="159">
        <f t="shared" ca="1" si="27"/>
        <v>73328.5</v>
      </c>
      <c r="K30" s="160">
        <f t="shared" ca="1" si="28"/>
        <v>73.240611266480229</v>
      </c>
      <c r="L30" s="159">
        <f ca="1">IFERROR(__xludf.DUMMYFUNCTION("IMPORTRANGE(""https://docs.google.com/spreadsheets/d/1-uDff_7J0KD5mKrp0Vvzr7lt3OU09vwQwhkpOPPYv2Y/edit?usp=sharing"",""งบพรบ!DV30"")"),73328.5)</f>
        <v>73328.5</v>
      </c>
      <c r="M30" s="89">
        <f t="shared" ca="1" si="29"/>
        <v>73.240611266480229</v>
      </c>
      <c r="N30" s="89">
        <f t="shared" ca="1" si="30"/>
        <v>68.956648485988339</v>
      </c>
      <c r="O30" s="88">
        <f ca="1">IFERROR(__xludf.DUMMYFUNCTION("IMPORTRANGE(""https://docs.google.com/spreadsheets/d/1-uDff_7J0KD5mKrp0Vvzr7lt3OU09vwQwhkpOPPYv2Y/edit?usp=sharing"",""งบพรบ!DW30"")"),0)</f>
        <v>0</v>
      </c>
      <c r="P30" s="88">
        <f t="shared" ca="1" si="31"/>
        <v>0</v>
      </c>
      <c r="Q30" s="89">
        <f t="shared" ca="1" si="32"/>
        <v>0</v>
      </c>
      <c r="R30" s="90">
        <f ca="1">IFERROR(__xludf.DUMMYFUNCTION("IMPORTRANGE(""https://docs.google.com/spreadsheets/d/1UsNK1e-WWiCo2PvGqdNfdme4m17_Ezd3J69EeeiQPD0/edit?usp=sharing"",""อุทัยธานี!I292"")"),300)</f>
        <v>300</v>
      </c>
      <c r="S30" s="90">
        <f ca="1">IFERROR(__xludf.DUMMYFUNCTION("IMPORTRANGE(""https://docs.google.com/spreadsheets/d/1UsNK1e-WWiCo2PvGqdNfdme4m17_Ezd3J69EeeiQPD0/edit?usp=sharing"",""อุทัยธานี!J292"")"),300)</f>
        <v>300</v>
      </c>
      <c r="T30" s="91">
        <f t="shared" ca="1" si="34"/>
        <v>100</v>
      </c>
      <c r="U30" s="90">
        <f ca="1">IFERROR(__xludf.DUMMYFUNCTION("IMPORTRANGE(""https://docs.google.com/spreadsheets/d/1UsNK1e-WWiCo2PvGqdNfdme4m17_Ezd3J69EeeiQPD0/edit?usp=sharing"",""อุทัยธานี!I293"")"),30)</f>
        <v>30</v>
      </c>
      <c r="V30" s="90">
        <f ca="1">IFERROR(__xludf.DUMMYFUNCTION("IMPORTRANGE(""https://docs.google.com/spreadsheets/d/1UsNK1e-WWiCo2PvGqdNfdme4m17_Ezd3J69EeeiQPD0/edit?usp=sharing"",""อุทัยธานี!J293"")"),30)</f>
        <v>30</v>
      </c>
      <c r="W30" s="91">
        <f t="shared" ca="1" si="36"/>
        <v>100</v>
      </c>
      <c r="X30" s="90">
        <f ca="1">IFERROR(__xludf.DUMMYFUNCTION("IMPORTRANGE(""https://docs.google.com/spreadsheets/d/1UsNK1e-WWiCo2PvGqdNfdme4m17_Ezd3J69EeeiQPD0/edit?usp=sharing"",""อุทัยธานี!I295"")"),30)</f>
        <v>30</v>
      </c>
      <c r="Y30" s="90">
        <f ca="1">IFERROR(__xludf.DUMMYFUNCTION("IMPORTRANGE(""https://docs.google.com/spreadsheets/d/1UsNK1e-WWiCo2PvGqdNfdme4m17_Ezd3J69EeeiQPD0/edit?usp=sharing"",""อุทัยธานี!J295"")"),30)</f>
        <v>30</v>
      </c>
      <c r="Z30" s="91">
        <f t="shared" ca="1" si="38"/>
        <v>100</v>
      </c>
      <c r="AA30" s="319">
        <f ca="1">IFERROR(__xludf.DUMMYFUNCTION("IMPORTRANGE(""https://docs.google.com/spreadsheets/d/1UsNK1e-WWiCo2PvGqdNfdme4m17_Ezd3J69EeeiQPD0/edit?usp=sharing"",""อุทัยธานี!J296"")"),30)</f>
        <v>30</v>
      </c>
      <c r="AB30" s="320">
        <f t="shared" ca="1" si="39"/>
        <v>100</v>
      </c>
      <c r="AC30" s="321">
        <f ca="1">IFERROR(__xludf.DUMMYFUNCTION("IMPORTRANGE(""https://docs.google.com/spreadsheets/d/1UsNK1e-WWiCo2PvGqdNfdme4m17_Ezd3J69EeeiQPD0/edit?usp=sharing"",""อุทัยธานี!I295"")"),30)</f>
        <v>30</v>
      </c>
      <c r="AD30" s="321">
        <f ca="1">IFERROR(__xludf.DUMMYFUNCTION("IMPORTRANGE(""https://docs.google.com/spreadsheets/d/1UsNK1e-WWiCo2PvGqdNfdme4m17_Ezd3J69EeeiQPD0/edit?usp=sharing"",""อุทัยธานี!J298"")"),0)</f>
        <v>0</v>
      </c>
      <c r="AE30" s="322">
        <f t="shared" ca="1" si="41"/>
        <v>0</v>
      </c>
      <c r="AF30" s="321">
        <f ca="1">IFERROR(__xludf.DUMMYFUNCTION("IMPORTRANGE(""https://docs.google.com/spreadsheets/d/1UsNK1e-WWiCo2PvGqdNfdme4m17_Ezd3J69EeeiQPD0/edit?usp=sharing"",""อุทัยธานี!J299"")"),0)</f>
        <v>0</v>
      </c>
      <c r="AG30" s="322">
        <f t="shared" ca="1" si="42"/>
        <v>0</v>
      </c>
    </row>
    <row r="31" spans="1:33" ht="21" customHeight="1" x14ac:dyDescent="0.3">
      <c r="A31" s="665" t="s">
        <v>59</v>
      </c>
      <c r="B31" s="666"/>
      <c r="C31" s="161">
        <f t="shared" ca="1" si="25"/>
        <v>2051670</v>
      </c>
      <c r="D31" s="161">
        <f t="shared" ref="D31:I31" ca="1" si="44">SUM(D32:D51)</f>
        <v>2051670</v>
      </c>
      <c r="E31" s="161">
        <f t="shared" ca="1" si="44"/>
        <v>807700</v>
      </c>
      <c r="F31" s="161">
        <f t="shared" ca="1" si="44"/>
        <v>1243970</v>
      </c>
      <c r="G31" s="161">
        <f t="shared" ca="1" si="44"/>
        <v>0</v>
      </c>
      <c r="H31" s="161">
        <f t="shared" ca="1" si="44"/>
        <v>2239710</v>
      </c>
      <c r="I31" s="161">
        <f t="shared" ca="1" si="44"/>
        <v>0</v>
      </c>
      <c r="J31" s="161">
        <f t="shared" ca="1" si="27"/>
        <v>1609158.14</v>
      </c>
      <c r="K31" s="162">
        <f t="shared" ca="1" si="28"/>
        <v>78.431625943743384</v>
      </c>
      <c r="L31" s="161">
        <f ca="1">SUM(L32:L51)</f>
        <v>1609158.14</v>
      </c>
      <c r="M31" s="94">
        <f t="shared" ca="1" si="29"/>
        <v>78.431625943743384</v>
      </c>
      <c r="N31" s="94">
        <f t="shared" ca="1" si="30"/>
        <v>71.846718548383492</v>
      </c>
      <c r="O31" s="93">
        <f ca="1">SUM(O32:O51)</f>
        <v>0</v>
      </c>
      <c r="P31" s="93">
        <f t="shared" ca="1" si="31"/>
        <v>0</v>
      </c>
      <c r="Q31" s="94">
        <f t="shared" ca="1" si="32"/>
        <v>0</v>
      </c>
      <c r="R31" s="52">
        <f t="shared" ref="R31:S31" ca="1" si="45">SUM(R32:R51)</f>
        <v>4400</v>
      </c>
      <c r="S31" s="52">
        <f t="shared" ca="1" si="45"/>
        <v>3700</v>
      </c>
      <c r="T31" s="54">
        <f t="shared" ca="1" si="34"/>
        <v>84.090909090909093</v>
      </c>
      <c r="U31" s="52">
        <f t="shared" ref="U31:V31" ca="1" si="46">SUM(U32:U51)</f>
        <v>440</v>
      </c>
      <c r="V31" s="52">
        <f t="shared" ca="1" si="46"/>
        <v>380</v>
      </c>
      <c r="W31" s="54">
        <f t="shared" ca="1" si="36"/>
        <v>86.36363636363636</v>
      </c>
      <c r="X31" s="52">
        <f t="shared" ref="X31:Y31" ca="1" si="47">SUM(X32:X51)</f>
        <v>440</v>
      </c>
      <c r="Y31" s="52">
        <f t="shared" ca="1" si="47"/>
        <v>380</v>
      </c>
      <c r="Z31" s="54">
        <f t="shared" ca="1" si="38"/>
        <v>86.36363636363636</v>
      </c>
      <c r="AA31" s="309">
        <f ca="1">SUM(AA32:AA51)</f>
        <v>380</v>
      </c>
      <c r="AB31" s="310">
        <f t="shared" ca="1" si="39"/>
        <v>86.36363636363636</v>
      </c>
      <c r="AC31" s="145">
        <f t="shared" ref="AC31:AD31" ca="1" si="48">SUM(AC32:AC51)</f>
        <v>440</v>
      </c>
      <c r="AD31" s="145">
        <f t="shared" ca="1" si="48"/>
        <v>250</v>
      </c>
      <c r="AE31" s="57">
        <f t="shared" ca="1" si="41"/>
        <v>56.81818181818182</v>
      </c>
      <c r="AF31" s="145">
        <f ca="1">SUM(AF32:AF51)</f>
        <v>250</v>
      </c>
      <c r="AG31" s="57">
        <f t="shared" ca="1" si="42"/>
        <v>56.81818181818182</v>
      </c>
    </row>
    <row r="32" spans="1:33" ht="21" customHeight="1" x14ac:dyDescent="0.3">
      <c r="A32" s="58">
        <v>1</v>
      </c>
      <c r="B32" s="59" t="s">
        <v>60</v>
      </c>
      <c r="C32" s="149">
        <f t="shared" ca="1" si="25"/>
        <v>203420</v>
      </c>
      <c r="D32" s="150">
        <f t="shared" ref="D32:D51" ca="1" si="49">+E32+F32</f>
        <v>203420</v>
      </c>
      <c r="E32" s="151">
        <f ca="1">IFERROR(__xludf.DUMMYFUNCTION("IMPORTRANGE(""https://docs.google.com/spreadsheets/d/1-uDff_7J0KD5mKrp0Vvzr7lt3OU09vwQwhkpOPPYv2Y/edit?usp=sharing"",""งบพรบ!DP32"")"),132300)</f>
        <v>132300</v>
      </c>
      <c r="F32" s="151">
        <f ca="1">IFERROR(__xludf.DUMMYFUNCTION("IMPORTRANGE(""https://docs.google.com/spreadsheets/d/1-uDff_7J0KD5mKrp0Vvzr7lt3OU09vwQwhkpOPPYv2Y/edit?usp=sharing"",""งบพรบ!DQ32"")"),71120)</f>
        <v>71120</v>
      </c>
      <c r="G32" s="152">
        <f ca="1">IFERROR(__xludf.DUMMYFUNCTION("IMPORTRANGE(""https://docs.google.com/spreadsheets/d/1-uDff_7J0KD5mKrp0Vvzr7lt3OU09vwQwhkpOPPYv2Y/edit?usp=sharing"",""งบพรบ!DR32"")"),0)</f>
        <v>0</v>
      </c>
      <c r="H32" s="152">
        <f ca="1">IFERROR(__xludf.DUMMYFUNCTION("IMPORTRANGE(""https://docs.google.com/spreadsheets/d/1-uDff_7J0KD5mKrp0Vvzr7lt3OU09vwQwhkpOPPYv2Y/edit?usp=sharing"",""งบพรบ!DT32"")"),214830)</f>
        <v>214830</v>
      </c>
      <c r="I32" s="152">
        <f ca="1">IFERROR(__xludf.DUMMYFUNCTION("IMPORTRANGE(""https://docs.google.com/spreadsheets/d/1-uDff_7J0KD5mKrp0Vvzr7lt3OU09vwQwhkpOPPYv2Y/edit?usp=sharing"",""งบพรบ!DU32"")"),0)</f>
        <v>0</v>
      </c>
      <c r="J32" s="152">
        <f t="shared" ca="1" si="27"/>
        <v>214319.58</v>
      </c>
      <c r="K32" s="153">
        <f t="shared" ca="1" si="28"/>
        <v>105.35816537213647</v>
      </c>
      <c r="L32" s="152">
        <f ca="1">IFERROR(__xludf.DUMMYFUNCTION("IMPORTRANGE(""https://docs.google.com/spreadsheets/d/1-uDff_7J0KD5mKrp0Vvzr7lt3OU09vwQwhkpOPPYv2Y/edit?usp=sharing"",""งบพรบ!DV32"")"),214319.58)</f>
        <v>214319.58</v>
      </c>
      <c r="M32" s="68">
        <f t="shared" ca="1" si="29"/>
        <v>105.35816537213647</v>
      </c>
      <c r="N32" s="68">
        <f t="shared" ca="1" si="30"/>
        <v>99.762407484988131</v>
      </c>
      <c r="O32" s="67">
        <f ca="1">IFERROR(__xludf.DUMMYFUNCTION("IMPORTRANGE(""https://docs.google.com/spreadsheets/d/1-uDff_7J0KD5mKrp0Vvzr7lt3OU09vwQwhkpOPPYv2Y/edit?usp=sharing"",""งบพรบ!DW32"")"),0)</f>
        <v>0</v>
      </c>
      <c r="P32" s="67">
        <f t="shared" ca="1" si="31"/>
        <v>0</v>
      </c>
      <c r="Q32" s="68">
        <f t="shared" ca="1" si="32"/>
        <v>0</v>
      </c>
      <c r="R32" s="63">
        <f ca="1">IFERROR(__xludf.DUMMYFUNCTION("IMPORTRANGE(""https://docs.google.com/spreadsheets/d/1yhBcrRPreicbMKl9Bu_Snb2-OcQAF62RKfhTLhJ2eAA/edit?usp=sharing"",""กาฬสินธุ์!I292"")"),200)</f>
        <v>200</v>
      </c>
      <c r="S32" s="63">
        <f ca="1">IFERROR(__xludf.DUMMYFUNCTION("IMPORTRANGE(""https://docs.google.com/spreadsheets/d/1yhBcrRPreicbMKl9Bu_Snb2-OcQAF62RKfhTLhJ2eAA/edit?usp=sharing"",""กาฬสินธุ์!J292"")"),200)</f>
        <v>200</v>
      </c>
      <c r="T32" s="69">
        <f t="shared" ca="1" si="34"/>
        <v>100</v>
      </c>
      <c r="U32" s="63">
        <f ca="1">IFERROR(__xludf.DUMMYFUNCTION("IMPORTRANGE(""https://docs.google.com/spreadsheets/d/1yhBcrRPreicbMKl9Bu_Snb2-OcQAF62RKfhTLhJ2eAA/edit?usp=sharing"",""กาฬสินธุ์!I293"")"),20)</f>
        <v>20</v>
      </c>
      <c r="V32" s="63">
        <f ca="1">IFERROR(__xludf.DUMMYFUNCTION("IMPORTRANGE(""https://docs.google.com/spreadsheets/d/1yhBcrRPreicbMKl9Bu_Snb2-OcQAF62RKfhTLhJ2eAA/edit?usp=sharing"",""กาฬสินธุ์!J293"")"),20)</f>
        <v>20</v>
      </c>
      <c r="W32" s="69">
        <f t="shared" ca="1" si="36"/>
        <v>100</v>
      </c>
      <c r="X32" s="63">
        <f ca="1">IFERROR(__xludf.DUMMYFUNCTION("IMPORTRANGE(""https://docs.google.com/spreadsheets/d/1yhBcrRPreicbMKl9Bu_Snb2-OcQAF62RKfhTLhJ2eAA/edit?usp=sharing"",""กาฬสินธุ์!I295"")"),20)</f>
        <v>20</v>
      </c>
      <c r="Y32" s="63">
        <f ca="1">IFERROR(__xludf.DUMMYFUNCTION("IMPORTRANGE(""https://docs.google.com/spreadsheets/d/1yhBcrRPreicbMKl9Bu_Snb2-OcQAF62RKfhTLhJ2eAA/edit?usp=sharing"",""กาฬสินธุ์!J295"")"),20)</f>
        <v>20</v>
      </c>
      <c r="Z32" s="69">
        <f t="shared" ca="1" si="38"/>
        <v>100</v>
      </c>
      <c r="AA32" s="311">
        <f ca="1">IFERROR(__xludf.DUMMYFUNCTION("IMPORTRANGE(""https://docs.google.com/spreadsheets/d/1yhBcrRPreicbMKl9Bu_Snb2-OcQAF62RKfhTLhJ2eAA/edit?usp=sharing"",""กาฬสินธุ์!J296"")"),20)</f>
        <v>20</v>
      </c>
      <c r="AB32" s="312">
        <f t="shared" ca="1" si="39"/>
        <v>100</v>
      </c>
      <c r="AC32" s="313">
        <f ca="1">IFERROR(__xludf.DUMMYFUNCTION("IMPORTRANGE(""https://docs.google.com/spreadsheets/d/1yhBcrRPreicbMKl9Bu_Snb2-OcQAF62RKfhTLhJ2eAA/edit?usp=sharing"",""กาฬสินธุ์!I295"")"),20)</f>
        <v>20</v>
      </c>
      <c r="AD32" s="313">
        <f ca="1">IFERROR(__xludf.DUMMYFUNCTION("IMPORTRANGE(""https://docs.google.com/spreadsheets/d/1yhBcrRPreicbMKl9Bu_Snb2-OcQAF62RKfhTLhJ2eAA/edit?usp=sharing"",""กาฬสินธุ์!J298"")"),20)</f>
        <v>20</v>
      </c>
      <c r="AE32" s="314">
        <f t="shared" ca="1" si="41"/>
        <v>100</v>
      </c>
      <c r="AF32" s="313">
        <f ca="1">IFERROR(__xludf.DUMMYFUNCTION("IMPORTRANGE(""https://docs.google.com/spreadsheets/d/1yhBcrRPreicbMKl9Bu_Snb2-OcQAF62RKfhTLhJ2eAA/edit?usp=sharing"",""กาฬสินธุ์!J299"")"),20)</f>
        <v>20</v>
      </c>
      <c r="AG32" s="314">
        <f t="shared" ca="1" si="42"/>
        <v>100</v>
      </c>
    </row>
    <row r="33" spans="1:33" ht="21" customHeight="1" x14ac:dyDescent="0.3">
      <c r="A33" s="70">
        <v>2</v>
      </c>
      <c r="B33" s="71" t="s">
        <v>61</v>
      </c>
      <c r="C33" s="149">
        <f t="shared" ca="1" si="25"/>
        <v>85700</v>
      </c>
      <c r="D33" s="150">
        <f t="shared" ca="1" si="49"/>
        <v>85700</v>
      </c>
      <c r="E33" s="151">
        <f ca="1">IFERROR(__xludf.DUMMYFUNCTION("IMPORTRANGE(""https://docs.google.com/spreadsheets/d/1-uDff_7J0KD5mKrp0Vvzr7lt3OU09vwQwhkpOPPYv2Y/edit?usp=sharing"",""งบพรบ!DP33"")"),0)</f>
        <v>0</v>
      </c>
      <c r="F33" s="151">
        <f ca="1">IFERROR(__xludf.DUMMYFUNCTION("IMPORTRANGE(""https://docs.google.com/spreadsheets/d/1-uDff_7J0KD5mKrp0Vvzr7lt3OU09vwQwhkpOPPYv2Y/edit?usp=sharing"",""งบพรบ!DQ33"")"),85700)</f>
        <v>85700</v>
      </c>
      <c r="G33" s="151">
        <f ca="1">IFERROR(__xludf.DUMMYFUNCTION("IMPORTRANGE(""https://docs.google.com/spreadsheets/d/1-uDff_7J0KD5mKrp0Vvzr7lt3OU09vwQwhkpOPPYv2Y/edit?usp=sharing"",""งบพรบ!DR33"")"),0)</f>
        <v>0</v>
      </c>
      <c r="H33" s="151">
        <f ca="1">IFERROR(__xludf.DUMMYFUNCTION("IMPORTRANGE(""https://docs.google.com/spreadsheets/d/1-uDff_7J0KD5mKrp0Vvzr7lt3OU09vwQwhkpOPPYv2Y/edit?usp=sharing"",""งบพรบ!DT33"")"),96630)</f>
        <v>96630</v>
      </c>
      <c r="I33" s="151">
        <f ca="1">IFERROR(__xludf.DUMMYFUNCTION("IMPORTRANGE(""https://docs.google.com/spreadsheets/d/1-uDff_7J0KD5mKrp0Vvzr7lt3OU09vwQwhkpOPPYv2Y/edit?usp=sharing"",""งบพรบ!DU33"")"),0)</f>
        <v>0</v>
      </c>
      <c r="J33" s="151">
        <f t="shared" ca="1" si="27"/>
        <v>56763</v>
      </c>
      <c r="K33" s="154">
        <f t="shared" ca="1" si="28"/>
        <v>66.234539089848312</v>
      </c>
      <c r="L33" s="151">
        <f ca="1">IFERROR(__xludf.DUMMYFUNCTION("IMPORTRANGE(""https://docs.google.com/spreadsheets/d/1-uDff_7J0KD5mKrp0Vvzr7lt3OU09vwQwhkpOPPYv2Y/edit?usp=sharing"",""งบพรบ!DV33"")"),56763)</f>
        <v>56763</v>
      </c>
      <c r="M33" s="68">
        <f t="shared" ca="1" si="29"/>
        <v>66.234539089848312</v>
      </c>
      <c r="N33" s="68">
        <f t="shared" ca="1" si="30"/>
        <v>58.742626513505122</v>
      </c>
      <c r="O33" s="67">
        <f ca="1">IFERROR(__xludf.DUMMYFUNCTION("IMPORTRANGE(""https://docs.google.com/spreadsheets/d/1-uDff_7J0KD5mKrp0Vvzr7lt3OU09vwQwhkpOPPYv2Y/edit?usp=sharing"",""งบพรบ!DW33"")"),0)</f>
        <v>0</v>
      </c>
      <c r="P33" s="67">
        <f t="shared" ca="1" si="31"/>
        <v>0</v>
      </c>
      <c r="Q33" s="68">
        <f t="shared" ca="1" si="32"/>
        <v>0</v>
      </c>
      <c r="R33" s="78">
        <f ca="1">IFERROR(__xludf.DUMMYFUNCTION("IMPORTRANGE(""https://docs.google.com/spreadsheets/d/1aHkj4IaQMThhwWwevcOymEh837vdxeC_PycurhTbGFA/edit?usp=sharing"",""ขอนแก่น!I292"")"),300)</f>
        <v>300</v>
      </c>
      <c r="S33" s="78">
        <f ca="1">IFERROR(__xludf.DUMMYFUNCTION("IMPORTRANGE(""https://docs.google.com/spreadsheets/d/1aHkj4IaQMThhwWwevcOymEh837vdxeC_PycurhTbGFA/edit?usp=sharing"",""ขอนแก่น!J292"")"),300)</f>
        <v>300</v>
      </c>
      <c r="T33" s="79">
        <f t="shared" ca="1" si="34"/>
        <v>100</v>
      </c>
      <c r="U33" s="78">
        <f ca="1">IFERROR(__xludf.DUMMYFUNCTION("IMPORTRANGE(""https://docs.google.com/spreadsheets/d/1aHkj4IaQMThhwWwevcOymEh837vdxeC_PycurhTbGFA/edit?usp=sharing"",""ขอนแก่น!I293"")"),30)</f>
        <v>30</v>
      </c>
      <c r="V33" s="78">
        <f ca="1">IFERROR(__xludf.DUMMYFUNCTION("IMPORTRANGE(""https://docs.google.com/spreadsheets/d/1aHkj4IaQMThhwWwevcOymEh837vdxeC_PycurhTbGFA/edit?usp=sharing"",""ขอนแก่น!J293"")"),30)</f>
        <v>30</v>
      </c>
      <c r="W33" s="79">
        <f t="shared" ca="1" si="36"/>
        <v>100</v>
      </c>
      <c r="X33" s="78">
        <f ca="1">IFERROR(__xludf.DUMMYFUNCTION("IMPORTRANGE(""https://docs.google.com/spreadsheets/d/1aHkj4IaQMThhwWwevcOymEh837vdxeC_PycurhTbGFA/edit?usp=sharing"",""ขอนแก่น!I295"")"),30)</f>
        <v>30</v>
      </c>
      <c r="Y33" s="78">
        <f ca="1">IFERROR(__xludf.DUMMYFUNCTION("IMPORTRANGE(""https://docs.google.com/spreadsheets/d/1aHkj4IaQMThhwWwevcOymEh837vdxeC_PycurhTbGFA/edit?usp=sharing"",""ขอนแก่น!J295"")"),30)</f>
        <v>30</v>
      </c>
      <c r="Z33" s="79">
        <f t="shared" ca="1" si="38"/>
        <v>100</v>
      </c>
      <c r="AA33" s="315">
        <f ca="1">IFERROR(__xludf.DUMMYFUNCTION("IMPORTRANGE(""https://docs.google.com/spreadsheets/d/1aHkj4IaQMThhwWwevcOymEh837vdxeC_PycurhTbGFA/edit?usp=sharing"",""ขอนแก่น!J296"")"),30)</f>
        <v>30</v>
      </c>
      <c r="AB33" s="316">
        <f t="shared" ca="1" si="39"/>
        <v>100</v>
      </c>
      <c r="AC33" s="317">
        <f ca="1">IFERROR(__xludf.DUMMYFUNCTION("IMPORTRANGE(""https://docs.google.com/spreadsheets/d/1aHkj4IaQMThhwWwevcOymEh837vdxeC_PycurhTbGFA/edit?usp=sharing"",""ขอนแก่น!I295"")"),30)</f>
        <v>30</v>
      </c>
      <c r="AD33" s="317">
        <f ca="1">IFERROR(__xludf.DUMMYFUNCTION("IMPORTRANGE(""https://docs.google.com/spreadsheets/d/1aHkj4IaQMThhwWwevcOymEh837vdxeC_PycurhTbGFA/edit?usp=sharing"",""ขอนแก่น!J298"")"),30)</f>
        <v>30</v>
      </c>
      <c r="AE33" s="318">
        <f t="shared" ca="1" si="41"/>
        <v>100</v>
      </c>
      <c r="AF33" s="317">
        <f ca="1">IFERROR(__xludf.DUMMYFUNCTION("IMPORTRANGE(""https://docs.google.com/spreadsheets/d/1aHkj4IaQMThhwWwevcOymEh837vdxeC_PycurhTbGFA/edit?usp=sharing"",""ขอนแก่น!J299"")"),30)</f>
        <v>30</v>
      </c>
      <c r="AG33" s="318">
        <f t="shared" ca="1" si="42"/>
        <v>100</v>
      </c>
    </row>
    <row r="34" spans="1:33" ht="21" customHeight="1" x14ac:dyDescent="0.3">
      <c r="A34" s="70">
        <v>3</v>
      </c>
      <c r="B34" s="71" t="s">
        <v>62</v>
      </c>
      <c r="C34" s="149">
        <f t="shared" ca="1" si="25"/>
        <v>272520</v>
      </c>
      <c r="D34" s="150">
        <f t="shared" ca="1" si="49"/>
        <v>272520</v>
      </c>
      <c r="E34" s="151">
        <f ca="1">IFERROR(__xludf.DUMMYFUNCTION("IMPORTRANGE(""https://docs.google.com/spreadsheets/d/1-uDff_7J0KD5mKrp0Vvzr7lt3OU09vwQwhkpOPPYv2Y/edit?usp=sharing"",""งบพรบ!DP34"")"),129400)</f>
        <v>129400</v>
      </c>
      <c r="F34" s="151">
        <f ca="1">IFERROR(__xludf.DUMMYFUNCTION("IMPORTRANGE(""https://docs.google.com/spreadsheets/d/1-uDff_7J0KD5mKrp0Vvzr7lt3OU09vwQwhkpOPPYv2Y/edit?usp=sharing"",""งบพรบ!DQ34"")"),143120)</f>
        <v>143120</v>
      </c>
      <c r="G34" s="151">
        <f ca="1">IFERROR(__xludf.DUMMYFUNCTION("IMPORTRANGE(""https://docs.google.com/spreadsheets/d/1-uDff_7J0KD5mKrp0Vvzr7lt3OU09vwQwhkpOPPYv2Y/edit?usp=sharing"",""งบพรบ!DR34"")"),0)</f>
        <v>0</v>
      </c>
      <c r="H34" s="151">
        <f ca="1">IFERROR(__xludf.DUMMYFUNCTION("IMPORTRANGE(""https://docs.google.com/spreadsheets/d/1-uDff_7J0KD5mKrp0Vvzr7lt3OU09vwQwhkpOPPYv2Y/edit?usp=sharing"",""งบพรบ!DT34"")"),281870)</f>
        <v>281870</v>
      </c>
      <c r="I34" s="151">
        <f ca="1">IFERROR(__xludf.DUMMYFUNCTION("IMPORTRANGE(""https://docs.google.com/spreadsheets/d/1-uDff_7J0KD5mKrp0Vvzr7lt3OU09vwQwhkpOPPYv2Y/edit?usp=sharing"",""งบพรบ!DU34"")"),0)</f>
        <v>0</v>
      </c>
      <c r="J34" s="151">
        <f t="shared" ca="1" si="27"/>
        <v>216534.6</v>
      </c>
      <c r="K34" s="154">
        <f t="shared" ca="1" si="28"/>
        <v>79.456406869220601</v>
      </c>
      <c r="L34" s="151">
        <f ca="1">IFERROR(__xludf.DUMMYFUNCTION("IMPORTRANGE(""https://docs.google.com/spreadsheets/d/1-uDff_7J0KD5mKrp0Vvzr7lt3OU09vwQwhkpOPPYv2Y/edit?usp=sharing"",""งบพรบ!DV34"")"),216534.6)</f>
        <v>216534.6</v>
      </c>
      <c r="M34" s="68">
        <f t="shared" ca="1" si="29"/>
        <v>79.456406869220601</v>
      </c>
      <c r="N34" s="68">
        <f t="shared" ca="1" si="30"/>
        <v>76.82073296200376</v>
      </c>
      <c r="O34" s="67">
        <f ca="1">IFERROR(__xludf.DUMMYFUNCTION("IMPORTRANGE(""https://docs.google.com/spreadsheets/d/1-uDff_7J0KD5mKrp0Vvzr7lt3OU09vwQwhkpOPPYv2Y/edit?usp=sharing"",""งบพรบ!DW34"")"),0)</f>
        <v>0</v>
      </c>
      <c r="P34" s="67">
        <f t="shared" ca="1" si="31"/>
        <v>0</v>
      </c>
      <c r="Q34" s="68">
        <f t="shared" ca="1" si="32"/>
        <v>0</v>
      </c>
      <c r="R34" s="78">
        <f ca="1">IFERROR(__xludf.DUMMYFUNCTION("IMPORTRANGE(""https://docs.google.com/spreadsheets/d/1FvTu2DsIWUjP6WCWra38Bkj_oOl_sOMf14r5Fg5srxU/edit?usp=sharing"",""ชัยภูมิ!I292"")"),700)</f>
        <v>700</v>
      </c>
      <c r="S34" s="78">
        <f ca="1">IFERROR(__xludf.DUMMYFUNCTION("IMPORTRANGE(""https://docs.google.com/spreadsheets/d/1FvTu2DsIWUjP6WCWra38Bkj_oOl_sOMf14r5Fg5srxU/edit?usp=sharing"",""ชัยภูมิ!J292"")"),700)</f>
        <v>700</v>
      </c>
      <c r="T34" s="79">
        <f t="shared" ca="1" si="34"/>
        <v>100</v>
      </c>
      <c r="U34" s="78">
        <f ca="1">IFERROR(__xludf.DUMMYFUNCTION("IMPORTRANGE(""https://docs.google.com/spreadsheets/d/1FvTu2DsIWUjP6WCWra38Bkj_oOl_sOMf14r5Fg5srxU/edit?usp=sharing"",""ชัยภูมิ!I293"")"),70)</f>
        <v>70</v>
      </c>
      <c r="V34" s="78">
        <f ca="1">IFERROR(__xludf.DUMMYFUNCTION("IMPORTRANGE(""https://docs.google.com/spreadsheets/d/1FvTu2DsIWUjP6WCWra38Bkj_oOl_sOMf14r5Fg5srxU/edit?usp=sharing"",""ชัยภูมิ!J293"")"),70)</f>
        <v>70</v>
      </c>
      <c r="W34" s="79">
        <f t="shared" ca="1" si="36"/>
        <v>100</v>
      </c>
      <c r="X34" s="78">
        <f ca="1">IFERROR(__xludf.DUMMYFUNCTION("IMPORTRANGE(""https://docs.google.com/spreadsheets/d/1FvTu2DsIWUjP6WCWra38Bkj_oOl_sOMf14r5Fg5srxU/edit?usp=sharing"",""ชัยภูมิ!I295"")"),70)</f>
        <v>70</v>
      </c>
      <c r="Y34" s="78">
        <f ca="1">IFERROR(__xludf.DUMMYFUNCTION("IMPORTRANGE(""https://docs.google.com/spreadsheets/d/1FvTu2DsIWUjP6WCWra38Bkj_oOl_sOMf14r5Fg5srxU/edit?usp=sharing"",""ชัยภูมิ!J295"")"),70)</f>
        <v>70</v>
      </c>
      <c r="Z34" s="79">
        <f t="shared" ca="1" si="38"/>
        <v>100</v>
      </c>
      <c r="AA34" s="315">
        <f ca="1">IFERROR(__xludf.DUMMYFUNCTION("IMPORTRANGE(""https://docs.google.com/spreadsheets/d/1FvTu2DsIWUjP6WCWra38Bkj_oOl_sOMf14r5Fg5srxU/edit?usp=sharing"",""ชัยภูมิ!J296"")"),70)</f>
        <v>70</v>
      </c>
      <c r="AB34" s="316">
        <f t="shared" ca="1" si="39"/>
        <v>100</v>
      </c>
      <c r="AC34" s="317">
        <f ca="1">IFERROR(__xludf.DUMMYFUNCTION("IMPORTRANGE(""https://docs.google.com/spreadsheets/d/1FvTu2DsIWUjP6WCWra38Bkj_oOl_sOMf14r5Fg5srxU/edit?usp=sharing"",""ชัยภูมิ!I295"")"),70)</f>
        <v>70</v>
      </c>
      <c r="AD34" s="317">
        <f ca="1">IFERROR(__xludf.DUMMYFUNCTION("IMPORTRANGE(""https://docs.google.com/spreadsheets/d/1FvTu2DsIWUjP6WCWra38Bkj_oOl_sOMf14r5Fg5srxU/edit?usp=sharing"",""ชัยภูมิ!J298"")"),70)</f>
        <v>70</v>
      </c>
      <c r="AE34" s="318">
        <f t="shared" ca="1" si="41"/>
        <v>100</v>
      </c>
      <c r="AF34" s="317">
        <f ca="1">IFERROR(__xludf.DUMMYFUNCTION("IMPORTRANGE(""https://docs.google.com/spreadsheets/d/1FvTu2DsIWUjP6WCWra38Bkj_oOl_sOMf14r5Fg5srxU/edit?usp=sharing"",""ชัยภูมิ!J299"")"),70)</f>
        <v>70</v>
      </c>
      <c r="AG34" s="318">
        <f t="shared" ca="1" si="42"/>
        <v>100</v>
      </c>
    </row>
    <row r="35" spans="1:33" ht="21" customHeight="1" x14ac:dyDescent="0.3">
      <c r="A35" s="70">
        <v>4</v>
      </c>
      <c r="B35" s="71" t="s">
        <v>63</v>
      </c>
      <c r="C35" s="149">
        <f t="shared" ca="1" si="25"/>
        <v>42150</v>
      </c>
      <c r="D35" s="150">
        <f t="shared" ca="1" si="49"/>
        <v>42150</v>
      </c>
      <c r="E35" s="151">
        <f ca="1">IFERROR(__xludf.DUMMYFUNCTION("IMPORTRANGE(""https://docs.google.com/spreadsheets/d/1-uDff_7J0KD5mKrp0Vvzr7lt3OU09vwQwhkpOPPYv2Y/edit?usp=sharing"",""งบพรบ!DP35"")"),0)</f>
        <v>0</v>
      </c>
      <c r="F35" s="151">
        <f ca="1">IFERROR(__xludf.DUMMYFUNCTION("IMPORTRANGE(""https://docs.google.com/spreadsheets/d/1-uDff_7J0KD5mKrp0Vvzr7lt3OU09vwQwhkpOPPYv2Y/edit?usp=sharing"",""งบพรบ!DQ35"")"),42150)</f>
        <v>42150</v>
      </c>
      <c r="G35" s="151">
        <f ca="1">IFERROR(__xludf.DUMMYFUNCTION("IMPORTRANGE(""https://docs.google.com/spreadsheets/d/1-uDff_7J0KD5mKrp0Vvzr7lt3OU09vwQwhkpOPPYv2Y/edit?usp=sharing"",""งบพรบ!DR35"")"),0)</f>
        <v>0</v>
      </c>
      <c r="H35" s="151">
        <f ca="1">IFERROR(__xludf.DUMMYFUNCTION("IMPORTRANGE(""https://docs.google.com/spreadsheets/d/1-uDff_7J0KD5mKrp0Vvzr7lt3OU09vwQwhkpOPPYv2Y/edit?usp=sharing"",""งบพรบ!DT35"")"),58350)</f>
        <v>58350</v>
      </c>
      <c r="I35" s="151">
        <f ca="1">IFERROR(__xludf.DUMMYFUNCTION("IMPORTRANGE(""https://docs.google.com/spreadsheets/d/1-uDff_7J0KD5mKrp0Vvzr7lt3OU09vwQwhkpOPPYv2Y/edit?usp=sharing"",""งบพรบ!DU35"")"),0)</f>
        <v>0</v>
      </c>
      <c r="J35" s="151">
        <f t="shared" ca="1" si="27"/>
        <v>22770.5</v>
      </c>
      <c r="K35" s="154">
        <f t="shared" ca="1" si="28"/>
        <v>54.022538552787665</v>
      </c>
      <c r="L35" s="151">
        <f ca="1">IFERROR(__xludf.DUMMYFUNCTION("IMPORTRANGE(""https://docs.google.com/spreadsheets/d/1-uDff_7J0KD5mKrp0Vvzr7lt3OU09vwQwhkpOPPYv2Y/edit?usp=sharing"",""งบพรบ!DV35"")"),22770.5)</f>
        <v>22770.5</v>
      </c>
      <c r="M35" s="68">
        <f t="shared" ca="1" si="29"/>
        <v>54.022538552787665</v>
      </c>
      <c r="N35" s="68">
        <f t="shared" ca="1" si="30"/>
        <v>39.023993144815769</v>
      </c>
      <c r="O35" s="67">
        <f ca="1">IFERROR(__xludf.DUMMYFUNCTION("IMPORTRANGE(""https://docs.google.com/spreadsheets/d/1-uDff_7J0KD5mKrp0Vvzr7lt3OU09vwQwhkpOPPYv2Y/edit?usp=sharing"",""งบพรบ!DW35"")"),0)</f>
        <v>0</v>
      </c>
      <c r="P35" s="67">
        <f t="shared" ca="1" si="31"/>
        <v>0</v>
      </c>
      <c r="Q35" s="68">
        <f t="shared" ca="1" si="32"/>
        <v>0</v>
      </c>
      <c r="R35" s="78">
        <f ca="1">IFERROR(__xludf.DUMMYFUNCTION("IMPORTRANGE(""https://docs.google.com/spreadsheets/d/1XVB7oCJ3pr-vBUdflwPQ8Z2LlzhnCvZaaYjAfP-647E/edit?usp=sharing"",""นครพนม!I292"")"),100)</f>
        <v>100</v>
      </c>
      <c r="S35" s="78">
        <f ca="1">IFERROR(__xludf.DUMMYFUNCTION("IMPORTRANGE(""https://docs.google.com/spreadsheets/d/1XVB7oCJ3pr-vBUdflwPQ8Z2LlzhnCvZaaYjAfP-647E/edit?usp=sharing"",""นครพนม!J292"")"),0)</f>
        <v>0</v>
      </c>
      <c r="T35" s="79">
        <f t="shared" ca="1" si="34"/>
        <v>0</v>
      </c>
      <c r="U35" s="78">
        <f ca="1">IFERROR(__xludf.DUMMYFUNCTION("IMPORTRANGE(""https://docs.google.com/spreadsheets/d/1XVB7oCJ3pr-vBUdflwPQ8Z2LlzhnCvZaaYjAfP-647E/edit?usp=sharing"",""นครพนม!I293"")"),10)</f>
        <v>10</v>
      </c>
      <c r="V35" s="78">
        <f ca="1">IFERROR(__xludf.DUMMYFUNCTION("IMPORTRANGE(""https://docs.google.com/spreadsheets/d/1XVB7oCJ3pr-vBUdflwPQ8Z2LlzhnCvZaaYjAfP-647E/edit?usp=sharing"",""นครพนม!J293"")"),0)</f>
        <v>0</v>
      </c>
      <c r="W35" s="79">
        <f t="shared" ca="1" si="36"/>
        <v>0</v>
      </c>
      <c r="X35" s="78">
        <f ca="1">IFERROR(__xludf.DUMMYFUNCTION("IMPORTRANGE(""https://docs.google.com/spreadsheets/d/1XVB7oCJ3pr-vBUdflwPQ8Z2LlzhnCvZaaYjAfP-647E/edit?usp=sharing"",""นครพนม!I295"")"),10)</f>
        <v>10</v>
      </c>
      <c r="Y35" s="78">
        <f ca="1">IFERROR(__xludf.DUMMYFUNCTION("IMPORTRANGE(""https://docs.google.com/spreadsheets/d/1XVB7oCJ3pr-vBUdflwPQ8Z2LlzhnCvZaaYjAfP-647E/edit?usp=sharing"",""นครพนม!J295"")"),0)</f>
        <v>0</v>
      </c>
      <c r="Z35" s="79">
        <f t="shared" ca="1" si="38"/>
        <v>0</v>
      </c>
      <c r="AA35" s="315">
        <f ca="1">IFERROR(__xludf.DUMMYFUNCTION("IMPORTRANGE(""https://docs.google.com/spreadsheets/d/1XVB7oCJ3pr-vBUdflwPQ8Z2LlzhnCvZaaYjAfP-647E/edit?usp=sharing"",""นครพนม!J296"")"),0)</f>
        <v>0</v>
      </c>
      <c r="AB35" s="316">
        <f t="shared" ca="1" si="39"/>
        <v>0</v>
      </c>
      <c r="AC35" s="317">
        <f ca="1">IFERROR(__xludf.DUMMYFUNCTION("IMPORTRANGE(""https://docs.google.com/spreadsheets/d/1XVB7oCJ3pr-vBUdflwPQ8Z2LlzhnCvZaaYjAfP-647E/edit?usp=sharing"",""นครพนม!I295"")"),10)</f>
        <v>10</v>
      </c>
      <c r="AD35" s="317">
        <f ca="1">IFERROR(__xludf.DUMMYFUNCTION("IMPORTRANGE(""https://docs.google.com/spreadsheets/d/1XVB7oCJ3pr-vBUdflwPQ8Z2LlzhnCvZaaYjAfP-647E/edit?usp=sharing"",""นครพนม!J298"")"),0)</f>
        <v>0</v>
      </c>
      <c r="AE35" s="318">
        <f t="shared" ca="1" si="41"/>
        <v>0</v>
      </c>
      <c r="AF35" s="317">
        <f ca="1">IFERROR(__xludf.DUMMYFUNCTION("IMPORTRANGE(""https://docs.google.com/spreadsheets/d/1XVB7oCJ3pr-vBUdflwPQ8Z2LlzhnCvZaaYjAfP-647E/edit?usp=sharing"",""นครพนม!J299"")"),0)</f>
        <v>0</v>
      </c>
      <c r="AG35" s="318">
        <f t="shared" ca="1" si="42"/>
        <v>0</v>
      </c>
    </row>
    <row r="36" spans="1:33" ht="21" customHeight="1" x14ac:dyDescent="0.3">
      <c r="A36" s="70">
        <v>5</v>
      </c>
      <c r="B36" s="71" t="s">
        <v>64</v>
      </c>
      <c r="C36" s="149">
        <f t="shared" ca="1" si="25"/>
        <v>269520</v>
      </c>
      <c r="D36" s="150">
        <f t="shared" ca="1" si="49"/>
        <v>269520</v>
      </c>
      <c r="E36" s="151">
        <f ca="1">IFERROR(__xludf.DUMMYFUNCTION("IMPORTRANGE(""https://docs.google.com/spreadsheets/d/1-uDff_7J0KD5mKrp0Vvzr7lt3OU09vwQwhkpOPPYv2Y/edit?usp=sharing"",""งบพรบ!DP36"")"),140400)</f>
        <v>140400</v>
      </c>
      <c r="F36" s="151">
        <f ca="1">IFERROR(__xludf.DUMMYFUNCTION("IMPORTRANGE(""https://docs.google.com/spreadsheets/d/1-uDff_7J0KD5mKrp0Vvzr7lt3OU09vwQwhkpOPPYv2Y/edit?usp=sharing"",""งบพรบ!DQ36"")"),129120)</f>
        <v>129120</v>
      </c>
      <c r="G36" s="151">
        <f ca="1">IFERROR(__xludf.DUMMYFUNCTION("IMPORTRANGE(""https://docs.google.com/spreadsheets/d/1-uDff_7J0KD5mKrp0Vvzr7lt3OU09vwQwhkpOPPYv2Y/edit?usp=sharing"",""งบพรบ!DR36"")"),0)</f>
        <v>0</v>
      </c>
      <c r="H36" s="151">
        <f ca="1">IFERROR(__xludf.DUMMYFUNCTION("IMPORTRANGE(""https://docs.google.com/spreadsheets/d/1-uDff_7J0KD5mKrp0Vvzr7lt3OU09vwQwhkpOPPYv2Y/edit?usp=sharing"",""งบพรบ!DT36"")"),278230)</f>
        <v>278230</v>
      </c>
      <c r="I36" s="151">
        <f ca="1">IFERROR(__xludf.DUMMYFUNCTION("IMPORTRANGE(""https://docs.google.com/spreadsheets/d/1-uDff_7J0KD5mKrp0Vvzr7lt3OU09vwQwhkpOPPYv2Y/edit?usp=sharing"",""งบพรบ!DU36"")"),0)</f>
        <v>0</v>
      </c>
      <c r="J36" s="151">
        <f t="shared" ca="1" si="27"/>
        <v>163046.75</v>
      </c>
      <c r="K36" s="154">
        <f t="shared" ca="1" si="28"/>
        <v>60.49523226476699</v>
      </c>
      <c r="L36" s="151">
        <f ca="1">IFERROR(__xludf.DUMMYFUNCTION("IMPORTRANGE(""https://docs.google.com/spreadsheets/d/1-uDff_7J0KD5mKrp0Vvzr7lt3OU09vwQwhkpOPPYv2Y/edit?usp=sharing"",""งบพรบ!DV36"")"),163046.75)</f>
        <v>163046.75</v>
      </c>
      <c r="M36" s="68">
        <f t="shared" ca="1" si="29"/>
        <v>60.49523226476699</v>
      </c>
      <c r="N36" s="68">
        <f t="shared" ca="1" si="30"/>
        <v>58.601426877044169</v>
      </c>
      <c r="O36" s="67">
        <f ca="1">IFERROR(__xludf.DUMMYFUNCTION("IMPORTRANGE(""https://docs.google.com/spreadsheets/d/1-uDff_7J0KD5mKrp0Vvzr7lt3OU09vwQwhkpOPPYv2Y/edit?usp=sharing"",""งบพรบ!DW36"")"),0)</f>
        <v>0</v>
      </c>
      <c r="P36" s="67">
        <f t="shared" ca="1" si="31"/>
        <v>0</v>
      </c>
      <c r="Q36" s="68">
        <f t="shared" ca="1" si="32"/>
        <v>0</v>
      </c>
      <c r="R36" s="78">
        <f ca="1">IFERROR(__xludf.DUMMYFUNCTION("IMPORTRANGE(""https://docs.google.com/spreadsheets/d/1Mnpb-8PYAgn85W6KOTD40hc_Xc55CaLfHoGAbrZ8tls/edit?usp=sharing"",""นครราชสีมา!I292"")"),600)</f>
        <v>600</v>
      </c>
      <c r="S36" s="78">
        <f ca="1">IFERROR(__xludf.DUMMYFUNCTION("IMPORTRANGE(""https://docs.google.com/spreadsheets/d/1Mnpb-8PYAgn85W6KOTD40hc_Xc55CaLfHoGAbrZ8tls/edit?usp=sharing"",""นครราชสีมา!J292"")"),600)</f>
        <v>600</v>
      </c>
      <c r="T36" s="79">
        <f t="shared" ca="1" si="34"/>
        <v>100</v>
      </c>
      <c r="U36" s="78">
        <f ca="1">IFERROR(__xludf.DUMMYFUNCTION("IMPORTRANGE(""https://docs.google.com/spreadsheets/d/1Mnpb-8PYAgn85W6KOTD40hc_Xc55CaLfHoGAbrZ8tls/edit?usp=sharing"",""นครราชสีมา!I293"")"),60)</f>
        <v>60</v>
      </c>
      <c r="V36" s="78">
        <f ca="1">IFERROR(__xludf.DUMMYFUNCTION("IMPORTRANGE(""https://docs.google.com/spreadsheets/d/1Mnpb-8PYAgn85W6KOTD40hc_Xc55CaLfHoGAbrZ8tls/edit?usp=sharing"",""นครราชสีมา!J293"")"),60)</f>
        <v>60</v>
      </c>
      <c r="W36" s="79">
        <f t="shared" ca="1" si="36"/>
        <v>100</v>
      </c>
      <c r="X36" s="78">
        <f ca="1">IFERROR(__xludf.DUMMYFUNCTION("IMPORTRANGE(""https://docs.google.com/spreadsheets/d/1Mnpb-8PYAgn85W6KOTD40hc_Xc55CaLfHoGAbrZ8tls/edit?usp=sharing"",""นครราชสีมา!I295"")"),60)</f>
        <v>60</v>
      </c>
      <c r="Y36" s="78">
        <f ca="1">IFERROR(__xludf.DUMMYFUNCTION("IMPORTRANGE(""https://docs.google.com/spreadsheets/d/1Mnpb-8PYAgn85W6KOTD40hc_Xc55CaLfHoGAbrZ8tls/edit?usp=sharing"",""นครราชสีมา!J295"")"),60)</f>
        <v>60</v>
      </c>
      <c r="Z36" s="79">
        <f t="shared" ca="1" si="38"/>
        <v>100</v>
      </c>
      <c r="AA36" s="315">
        <f ca="1">IFERROR(__xludf.DUMMYFUNCTION("IMPORTRANGE(""https://docs.google.com/spreadsheets/d/1Mnpb-8PYAgn85W6KOTD40hc_Xc55CaLfHoGAbrZ8tls/edit?usp=sharing"",""นครราชสีมา!J296"")"),60)</f>
        <v>60</v>
      </c>
      <c r="AB36" s="316">
        <f t="shared" ca="1" si="39"/>
        <v>100</v>
      </c>
      <c r="AC36" s="317">
        <f ca="1">IFERROR(__xludf.DUMMYFUNCTION("IMPORTRANGE(""https://docs.google.com/spreadsheets/d/1Mnpb-8PYAgn85W6KOTD40hc_Xc55CaLfHoGAbrZ8tls/edit?usp=sharing"",""นครราชสีมา!I295"")"),60)</f>
        <v>60</v>
      </c>
      <c r="AD36" s="317">
        <f ca="1">IFERROR(__xludf.DUMMYFUNCTION("IMPORTRANGE(""https://docs.google.com/spreadsheets/d/1Mnpb-8PYAgn85W6KOTD40hc_Xc55CaLfHoGAbrZ8tls/edit?usp=sharing"",""นครราชสีมา!J298"")"),0)</f>
        <v>0</v>
      </c>
      <c r="AE36" s="318">
        <f t="shared" ca="1" si="41"/>
        <v>0</v>
      </c>
      <c r="AF36" s="317">
        <f ca="1">IFERROR(__xludf.DUMMYFUNCTION("IMPORTRANGE(""https://docs.google.com/spreadsheets/d/1Mnpb-8PYAgn85W6KOTD40hc_Xc55CaLfHoGAbrZ8tls/edit?usp=sharing"",""นครราชสีมา!J299"")"),0)</f>
        <v>0</v>
      </c>
      <c r="AG36" s="318">
        <f t="shared" ca="1" si="42"/>
        <v>0</v>
      </c>
    </row>
    <row r="37" spans="1:33" ht="21" customHeight="1" x14ac:dyDescent="0.3">
      <c r="A37" s="70">
        <v>6</v>
      </c>
      <c r="B37" s="71" t="s">
        <v>65</v>
      </c>
      <c r="C37" s="149">
        <f t="shared" ca="1" si="25"/>
        <v>42150</v>
      </c>
      <c r="D37" s="150">
        <f t="shared" ca="1" si="49"/>
        <v>42150</v>
      </c>
      <c r="E37" s="151">
        <f ca="1">IFERROR(__xludf.DUMMYFUNCTION("IMPORTRANGE(""https://docs.google.com/spreadsheets/d/1-uDff_7J0KD5mKrp0Vvzr7lt3OU09vwQwhkpOPPYv2Y/edit?usp=sharing"",""งบพรบ!DP37"")"),0)</f>
        <v>0</v>
      </c>
      <c r="F37" s="151">
        <f ca="1">IFERROR(__xludf.DUMMYFUNCTION("IMPORTRANGE(""https://docs.google.com/spreadsheets/d/1-uDff_7J0KD5mKrp0Vvzr7lt3OU09vwQwhkpOPPYv2Y/edit?usp=sharing"",""งบพรบ!DQ37"")"),42150)</f>
        <v>42150</v>
      </c>
      <c r="G37" s="151">
        <f ca="1">IFERROR(__xludf.DUMMYFUNCTION("IMPORTRANGE(""https://docs.google.com/spreadsheets/d/1-uDff_7J0KD5mKrp0Vvzr7lt3OU09vwQwhkpOPPYv2Y/edit?usp=sharing"",""งบพรบ!DR37"")"),0)</f>
        <v>0</v>
      </c>
      <c r="H37" s="151">
        <f ca="1">IFERROR(__xludf.DUMMYFUNCTION("IMPORTRANGE(""https://docs.google.com/spreadsheets/d/1-uDff_7J0KD5mKrp0Vvzr7lt3OU09vwQwhkpOPPYv2Y/edit?usp=sharing"",""งบพรบ!DT37"")"),58350)</f>
        <v>58350</v>
      </c>
      <c r="I37" s="151">
        <f ca="1">IFERROR(__xludf.DUMMYFUNCTION("IMPORTRANGE(""https://docs.google.com/spreadsheets/d/1-uDff_7J0KD5mKrp0Vvzr7lt3OU09vwQwhkpOPPYv2Y/edit?usp=sharing"",""งบพรบ!DU37"")"),0)</f>
        <v>0</v>
      </c>
      <c r="J37" s="151">
        <f t="shared" ca="1" si="27"/>
        <v>50250</v>
      </c>
      <c r="K37" s="154">
        <f t="shared" ca="1" si="28"/>
        <v>119.2170818505338</v>
      </c>
      <c r="L37" s="151">
        <f ca="1">IFERROR(__xludf.DUMMYFUNCTION("IMPORTRANGE(""https://docs.google.com/spreadsheets/d/1-uDff_7J0KD5mKrp0Vvzr7lt3OU09vwQwhkpOPPYv2Y/edit?usp=sharing"",""งบพรบ!DV37"")"),50250)</f>
        <v>50250</v>
      </c>
      <c r="M37" s="68">
        <f t="shared" ca="1" si="29"/>
        <v>119.2170818505338</v>
      </c>
      <c r="N37" s="68">
        <f t="shared" ca="1" si="30"/>
        <v>86.11825192802057</v>
      </c>
      <c r="O37" s="67">
        <f ca="1">IFERROR(__xludf.DUMMYFUNCTION("IMPORTRANGE(""https://docs.google.com/spreadsheets/d/1-uDff_7J0KD5mKrp0Vvzr7lt3OU09vwQwhkpOPPYv2Y/edit?usp=sharing"",""งบพรบ!DW37"")"),0)</f>
        <v>0</v>
      </c>
      <c r="P37" s="67">
        <f t="shared" ca="1" si="31"/>
        <v>0</v>
      </c>
      <c r="Q37" s="68">
        <f t="shared" ca="1" si="32"/>
        <v>0</v>
      </c>
      <c r="R37" s="78">
        <f ca="1">IFERROR(__xludf.DUMMYFUNCTION("IMPORTRANGE(""https://docs.google.com/spreadsheets/d/1xoDLGBv9CYbyosIhki0kTq6IpYNj-gpjxfobnaDiut0/edit?usp=sharing"",""บึงกาฬ!I292"")"),100)</f>
        <v>100</v>
      </c>
      <c r="S37" s="78">
        <f ca="1">IFERROR(__xludf.DUMMYFUNCTION("IMPORTRANGE(""https://docs.google.com/spreadsheets/d/1xoDLGBv9CYbyosIhki0kTq6IpYNj-gpjxfobnaDiut0/edit?usp=sharing"",""บึงกาฬ!J292"")"),0)</f>
        <v>0</v>
      </c>
      <c r="T37" s="79">
        <f t="shared" ca="1" si="34"/>
        <v>0</v>
      </c>
      <c r="U37" s="78">
        <f ca="1">IFERROR(__xludf.DUMMYFUNCTION("IMPORTRANGE(""https://docs.google.com/spreadsheets/d/1xoDLGBv9CYbyosIhki0kTq6IpYNj-gpjxfobnaDiut0/edit?usp=sharing"",""บึงกาฬ!I293"")"),10)</f>
        <v>10</v>
      </c>
      <c r="V37" s="78">
        <f ca="1">IFERROR(__xludf.DUMMYFUNCTION("IMPORTRANGE(""https://docs.google.com/spreadsheets/d/1xoDLGBv9CYbyosIhki0kTq6IpYNj-gpjxfobnaDiut0/edit?usp=sharing"",""บึงกาฬ!J293"")"),0)</f>
        <v>0</v>
      </c>
      <c r="W37" s="79">
        <f t="shared" ca="1" si="36"/>
        <v>0</v>
      </c>
      <c r="X37" s="78">
        <f ca="1">IFERROR(__xludf.DUMMYFUNCTION("IMPORTRANGE(""https://docs.google.com/spreadsheets/d/1xoDLGBv9CYbyosIhki0kTq6IpYNj-gpjxfobnaDiut0/edit?usp=sharing"",""บึงกาฬ!I295"")"),10)</f>
        <v>10</v>
      </c>
      <c r="Y37" s="78">
        <f ca="1">IFERROR(__xludf.DUMMYFUNCTION("IMPORTRANGE(""https://docs.google.com/spreadsheets/d/1xoDLGBv9CYbyosIhki0kTq6IpYNj-gpjxfobnaDiut0/edit?usp=sharing"",""บึงกาฬ!J295"")"),0)</f>
        <v>0</v>
      </c>
      <c r="Z37" s="79">
        <f t="shared" ca="1" si="38"/>
        <v>0</v>
      </c>
      <c r="AA37" s="315">
        <f ca="1">IFERROR(__xludf.DUMMYFUNCTION("IMPORTRANGE(""https://docs.google.com/spreadsheets/d/1xoDLGBv9CYbyosIhki0kTq6IpYNj-gpjxfobnaDiut0/edit?usp=sharing"",""บึงกาฬ!J296"")"),0)</f>
        <v>0</v>
      </c>
      <c r="AB37" s="316">
        <f t="shared" ca="1" si="39"/>
        <v>0</v>
      </c>
      <c r="AC37" s="317">
        <f ca="1">IFERROR(__xludf.DUMMYFUNCTION("IMPORTRANGE(""https://docs.google.com/spreadsheets/d/1xoDLGBv9CYbyosIhki0kTq6IpYNj-gpjxfobnaDiut0/edit?usp=sharing"",""บึงกาฬ!I295"")"),10)</f>
        <v>10</v>
      </c>
      <c r="AD37" s="317">
        <f ca="1">IFERROR(__xludf.DUMMYFUNCTION("IMPORTRANGE(""https://docs.google.com/spreadsheets/d/1xoDLGBv9CYbyosIhki0kTq6IpYNj-gpjxfobnaDiut0/edit?usp=sharing"",""บึงกาฬ!J298"")"),0)</f>
        <v>0</v>
      </c>
      <c r="AE37" s="318">
        <f t="shared" ca="1" si="41"/>
        <v>0</v>
      </c>
      <c r="AF37" s="317">
        <f ca="1">IFERROR(__xludf.DUMMYFUNCTION("IMPORTRANGE(""https://docs.google.com/spreadsheets/d/1xoDLGBv9CYbyosIhki0kTq6IpYNj-gpjxfobnaDiut0/edit?usp=sharing"",""บึงกาฬ!J299"")"),0)</f>
        <v>0</v>
      </c>
      <c r="AG37" s="318">
        <f t="shared" ca="1" si="42"/>
        <v>0</v>
      </c>
    </row>
    <row r="38" spans="1:33" ht="21" customHeight="1" x14ac:dyDescent="0.3">
      <c r="A38" s="70">
        <v>7</v>
      </c>
      <c r="B38" s="71" t="s">
        <v>66</v>
      </c>
      <c r="C38" s="149">
        <f t="shared" ca="1" si="25"/>
        <v>42150</v>
      </c>
      <c r="D38" s="150">
        <f t="shared" ca="1" si="49"/>
        <v>42150</v>
      </c>
      <c r="E38" s="151">
        <f ca="1">IFERROR(__xludf.DUMMYFUNCTION("IMPORTRANGE(""https://docs.google.com/spreadsheets/d/1-uDff_7J0KD5mKrp0Vvzr7lt3OU09vwQwhkpOPPYv2Y/edit?usp=sharing"",""งบพรบ!DP38"")"),0)</f>
        <v>0</v>
      </c>
      <c r="F38" s="151">
        <f ca="1">IFERROR(__xludf.DUMMYFUNCTION("IMPORTRANGE(""https://docs.google.com/spreadsheets/d/1-uDff_7J0KD5mKrp0Vvzr7lt3OU09vwQwhkpOPPYv2Y/edit?usp=sharing"",""งบพรบ!DQ38"")"),42150)</f>
        <v>42150</v>
      </c>
      <c r="G38" s="151">
        <f ca="1">IFERROR(__xludf.DUMMYFUNCTION("IMPORTRANGE(""https://docs.google.com/spreadsheets/d/1-uDff_7J0KD5mKrp0Vvzr7lt3OU09vwQwhkpOPPYv2Y/edit?usp=sharing"",""งบพรบ!DR38"")"),0)</f>
        <v>0</v>
      </c>
      <c r="H38" s="151">
        <f ca="1">IFERROR(__xludf.DUMMYFUNCTION("IMPORTRANGE(""https://docs.google.com/spreadsheets/d/1-uDff_7J0KD5mKrp0Vvzr7lt3OU09vwQwhkpOPPYv2Y/edit?usp=sharing"",""งบพรบ!DT38"")"),51900)</f>
        <v>51900</v>
      </c>
      <c r="I38" s="151">
        <f ca="1">IFERROR(__xludf.DUMMYFUNCTION("IMPORTRANGE(""https://docs.google.com/spreadsheets/d/1-uDff_7J0KD5mKrp0Vvzr7lt3OU09vwQwhkpOPPYv2Y/edit?usp=sharing"",""งบพรบ!DU38"")"),0)</f>
        <v>0</v>
      </c>
      <c r="J38" s="151">
        <f t="shared" ca="1" si="27"/>
        <v>26517</v>
      </c>
      <c r="K38" s="154">
        <f t="shared" ca="1" si="28"/>
        <v>62.911032028469748</v>
      </c>
      <c r="L38" s="151">
        <f ca="1">IFERROR(__xludf.DUMMYFUNCTION("IMPORTRANGE(""https://docs.google.com/spreadsheets/d/1-uDff_7J0KD5mKrp0Vvzr7lt3OU09vwQwhkpOPPYv2Y/edit?usp=sharing"",""งบพรบ!DV38"")"),26517)</f>
        <v>26517</v>
      </c>
      <c r="M38" s="68">
        <f t="shared" ca="1" si="29"/>
        <v>62.911032028469748</v>
      </c>
      <c r="N38" s="68">
        <f t="shared" ca="1" si="30"/>
        <v>51.092485549132945</v>
      </c>
      <c r="O38" s="67">
        <f ca="1">IFERROR(__xludf.DUMMYFUNCTION("IMPORTRANGE(""https://docs.google.com/spreadsheets/d/1-uDff_7J0KD5mKrp0Vvzr7lt3OU09vwQwhkpOPPYv2Y/edit?usp=sharing"",""งบพรบ!DW38"")"),0)</f>
        <v>0</v>
      </c>
      <c r="P38" s="67">
        <f t="shared" ca="1" si="31"/>
        <v>0</v>
      </c>
      <c r="Q38" s="68">
        <f t="shared" ca="1" si="32"/>
        <v>0</v>
      </c>
      <c r="R38" s="78">
        <f ca="1">IFERROR(__xludf.DUMMYFUNCTION("IMPORTRANGE(""https://docs.google.com/spreadsheets/d/1MMPq-JyI6DSgQETxuSiXkesP-P7JHuemnE6QJIa-Nlw/edit?usp=sharing"",""บุรีรัมย์!I292"")"),100)</f>
        <v>100</v>
      </c>
      <c r="S38" s="78">
        <f ca="1">IFERROR(__xludf.DUMMYFUNCTION("IMPORTRANGE(""https://docs.google.com/spreadsheets/d/1MMPq-JyI6DSgQETxuSiXkesP-P7JHuemnE6QJIa-Nlw/edit?usp=sharing"",""บุรีรัมย์!J292"")"),100)</f>
        <v>100</v>
      </c>
      <c r="T38" s="79">
        <f t="shared" ca="1" si="34"/>
        <v>100</v>
      </c>
      <c r="U38" s="78">
        <f ca="1">IFERROR(__xludf.DUMMYFUNCTION("IMPORTRANGE(""https://docs.google.com/spreadsheets/d/1MMPq-JyI6DSgQETxuSiXkesP-P7JHuemnE6QJIa-Nlw/edit?usp=sharing"",""บุรีรัมย์!I293"")"),10)</f>
        <v>10</v>
      </c>
      <c r="V38" s="78">
        <f ca="1">IFERROR(__xludf.DUMMYFUNCTION("IMPORTRANGE(""https://docs.google.com/spreadsheets/d/1MMPq-JyI6DSgQETxuSiXkesP-P7JHuemnE6QJIa-Nlw/edit?usp=sharing"",""บุรีรัมย์!J293"")"),10)</f>
        <v>10</v>
      </c>
      <c r="W38" s="79">
        <f t="shared" ca="1" si="36"/>
        <v>100</v>
      </c>
      <c r="X38" s="78">
        <f ca="1">IFERROR(__xludf.DUMMYFUNCTION("IMPORTRANGE(""https://docs.google.com/spreadsheets/d/1MMPq-JyI6DSgQETxuSiXkesP-P7JHuemnE6QJIa-Nlw/edit?usp=sharing"",""บุรีรัมย์!I295"")"),10)</f>
        <v>10</v>
      </c>
      <c r="Y38" s="78">
        <f ca="1">IFERROR(__xludf.DUMMYFUNCTION("IMPORTRANGE(""https://docs.google.com/spreadsheets/d/1MMPq-JyI6DSgQETxuSiXkesP-P7JHuemnE6QJIa-Nlw/edit?usp=sharing"",""บุรีรัมย์!J295"")"),10)</f>
        <v>10</v>
      </c>
      <c r="Z38" s="79">
        <f t="shared" ca="1" si="38"/>
        <v>100</v>
      </c>
      <c r="AA38" s="315">
        <f ca="1">IFERROR(__xludf.DUMMYFUNCTION("IMPORTRANGE(""https://docs.google.com/spreadsheets/d/1MMPq-JyI6DSgQETxuSiXkesP-P7JHuemnE6QJIa-Nlw/edit?usp=sharing"",""บุรีรัมย์!J296"")"),10)</f>
        <v>10</v>
      </c>
      <c r="AB38" s="316">
        <f t="shared" ca="1" si="39"/>
        <v>100</v>
      </c>
      <c r="AC38" s="317">
        <f ca="1">IFERROR(__xludf.DUMMYFUNCTION("IMPORTRANGE(""https://docs.google.com/spreadsheets/d/1MMPq-JyI6DSgQETxuSiXkesP-P7JHuemnE6QJIa-Nlw/edit?usp=sharing"",""บุรีรัมย์!I295"")"),10)</f>
        <v>10</v>
      </c>
      <c r="AD38" s="317">
        <f ca="1">IFERROR(__xludf.DUMMYFUNCTION("IMPORTRANGE(""https://docs.google.com/spreadsheets/d/1MMPq-JyI6DSgQETxuSiXkesP-P7JHuemnE6QJIa-Nlw/edit?usp=sharing"",""บุรีรัมย์!J298"")"),10)</f>
        <v>10</v>
      </c>
      <c r="AE38" s="318">
        <f t="shared" ca="1" si="41"/>
        <v>100</v>
      </c>
      <c r="AF38" s="317">
        <f ca="1">IFERROR(__xludf.DUMMYFUNCTION("IMPORTRANGE(""https://docs.google.com/spreadsheets/d/1MMPq-JyI6DSgQETxuSiXkesP-P7JHuemnE6QJIa-Nlw/edit?usp=sharing"",""บุรีรัมย์!J299"")"),10)</f>
        <v>10</v>
      </c>
      <c r="AG38" s="318">
        <f t="shared" ca="1" si="42"/>
        <v>100</v>
      </c>
    </row>
    <row r="39" spans="1:33" ht="21" customHeight="1" x14ac:dyDescent="0.3">
      <c r="A39" s="70">
        <v>8</v>
      </c>
      <c r="B39" s="71" t="s">
        <v>67</v>
      </c>
      <c r="C39" s="149">
        <f t="shared" ca="1" si="25"/>
        <v>42150</v>
      </c>
      <c r="D39" s="150">
        <f t="shared" ca="1" si="49"/>
        <v>42150</v>
      </c>
      <c r="E39" s="151">
        <f ca="1">IFERROR(__xludf.DUMMYFUNCTION("IMPORTRANGE(""https://docs.google.com/spreadsheets/d/1-uDff_7J0KD5mKrp0Vvzr7lt3OU09vwQwhkpOPPYv2Y/edit?usp=sharing"",""งบพรบ!DP39"")"),0)</f>
        <v>0</v>
      </c>
      <c r="F39" s="151">
        <f ca="1">IFERROR(__xludf.DUMMYFUNCTION("IMPORTRANGE(""https://docs.google.com/spreadsheets/d/1-uDff_7J0KD5mKrp0Vvzr7lt3OU09vwQwhkpOPPYv2Y/edit?usp=sharing"",""งบพรบ!DQ39"")"),42150)</f>
        <v>42150</v>
      </c>
      <c r="G39" s="151">
        <f ca="1">IFERROR(__xludf.DUMMYFUNCTION("IMPORTRANGE(""https://docs.google.com/spreadsheets/d/1-uDff_7J0KD5mKrp0Vvzr7lt3OU09vwQwhkpOPPYv2Y/edit?usp=sharing"",""งบพรบ!DR39"")"),0)</f>
        <v>0</v>
      </c>
      <c r="H39" s="151">
        <f ca="1">IFERROR(__xludf.DUMMYFUNCTION("IMPORTRANGE(""https://docs.google.com/spreadsheets/d/1-uDff_7J0KD5mKrp0Vvzr7lt3OU09vwQwhkpOPPYv2Y/edit?usp=sharing"",""งบพรบ!DT39"")"),53160)</f>
        <v>53160</v>
      </c>
      <c r="I39" s="151">
        <f ca="1">IFERROR(__xludf.DUMMYFUNCTION("IMPORTRANGE(""https://docs.google.com/spreadsheets/d/1-uDff_7J0KD5mKrp0Vvzr7lt3OU09vwQwhkpOPPYv2Y/edit?usp=sharing"",""งบพรบ!DU39"")"),0)</f>
        <v>0</v>
      </c>
      <c r="J39" s="151">
        <f t="shared" ca="1" si="27"/>
        <v>38950</v>
      </c>
      <c r="K39" s="154">
        <f t="shared" ca="1" si="28"/>
        <v>92.408066429418739</v>
      </c>
      <c r="L39" s="151">
        <f ca="1">IFERROR(__xludf.DUMMYFUNCTION("IMPORTRANGE(""https://docs.google.com/spreadsheets/d/1-uDff_7J0KD5mKrp0Vvzr7lt3OU09vwQwhkpOPPYv2Y/edit?usp=sharing"",""งบพรบ!DV39"")"),38950)</f>
        <v>38950</v>
      </c>
      <c r="M39" s="68">
        <f t="shared" ca="1" si="29"/>
        <v>92.408066429418739</v>
      </c>
      <c r="N39" s="68">
        <f t="shared" ca="1" si="30"/>
        <v>73.269375470278405</v>
      </c>
      <c r="O39" s="67">
        <f ca="1">IFERROR(__xludf.DUMMYFUNCTION("IMPORTRANGE(""https://docs.google.com/spreadsheets/d/1-uDff_7J0KD5mKrp0Vvzr7lt3OU09vwQwhkpOPPYv2Y/edit?usp=sharing"",""งบพรบ!DW39"")"),0)</f>
        <v>0</v>
      </c>
      <c r="P39" s="67">
        <f t="shared" ca="1" si="31"/>
        <v>0</v>
      </c>
      <c r="Q39" s="68">
        <f t="shared" ca="1" si="32"/>
        <v>0</v>
      </c>
      <c r="R39" s="78">
        <f ca="1">IFERROR(__xludf.DUMMYFUNCTION("IMPORTRANGE(""https://docs.google.com/spreadsheets/d/1l6IZ8xUPgMrESzcTYwhA1k_tPjeQjJPTqlm8Gd9eU5g/edit?usp=sharing"",""มหาสารคาม!I292"")"),100)</f>
        <v>100</v>
      </c>
      <c r="S39" s="78">
        <f ca="1">IFERROR(__xludf.DUMMYFUNCTION("IMPORTRANGE(""https://docs.google.com/spreadsheets/d/1l6IZ8xUPgMrESzcTYwhA1k_tPjeQjJPTqlm8Gd9eU5g/edit?usp=sharing"",""มหาสารคาม!J292"")"),0)</f>
        <v>0</v>
      </c>
      <c r="T39" s="79">
        <f t="shared" ca="1" si="34"/>
        <v>0</v>
      </c>
      <c r="U39" s="78">
        <f ca="1">IFERROR(__xludf.DUMMYFUNCTION("IMPORTRANGE(""https://docs.google.com/spreadsheets/d/1l6IZ8xUPgMrESzcTYwhA1k_tPjeQjJPTqlm8Gd9eU5g/edit?usp=sharing"",""มหาสารคาม!I293"")"),10)</f>
        <v>10</v>
      </c>
      <c r="V39" s="78">
        <f ca="1">IFERROR(__xludf.DUMMYFUNCTION("IMPORTRANGE(""https://docs.google.com/spreadsheets/d/1l6IZ8xUPgMrESzcTYwhA1k_tPjeQjJPTqlm8Gd9eU5g/edit?usp=sharing"",""มหาสารคาม!J293"")"),10)</f>
        <v>10</v>
      </c>
      <c r="W39" s="79">
        <f t="shared" ca="1" si="36"/>
        <v>100</v>
      </c>
      <c r="X39" s="78">
        <f ca="1">IFERROR(__xludf.DUMMYFUNCTION("IMPORTRANGE(""https://docs.google.com/spreadsheets/d/1l6IZ8xUPgMrESzcTYwhA1k_tPjeQjJPTqlm8Gd9eU5g/edit?usp=sharing"",""มหาสารคาม!I295"")"),10)</f>
        <v>10</v>
      </c>
      <c r="Y39" s="78">
        <f ca="1">IFERROR(__xludf.DUMMYFUNCTION("IMPORTRANGE(""https://docs.google.com/spreadsheets/d/1l6IZ8xUPgMrESzcTYwhA1k_tPjeQjJPTqlm8Gd9eU5g/edit?usp=sharing"",""มหาสารคาม!J295"")"),10)</f>
        <v>10</v>
      </c>
      <c r="Z39" s="79">
        <f t="shared" ca="1" si="38"/>
        <v>100</v>
      </c>
      <c r="AA39" s="315">
        <f ca="1">IFERROR(__xludf.DUMMYFUNCTION("IMPORTRANGE(""https://docs.google.com/spreadsheets/d/1l6IZ8xUPgMrESzcTYwhA1k_tPjeQjJPTqlm8Gd9eU5g/edit?usp=sharing"",""มหาสารคาม!J296"")"),10)</f>
        <v>10</v>
      </c>
      <c r="AB39" s="316">
        <f t="shared" ca="1" si="39"/>
        <v>100</v>
      </c>
      <c r="AC39" s="317">
        <f ca="1">IFERROR(__xludf.DUMMYFUNCTION("IMPORTRANGE(""https://docs.google.com/spreadsheets/d/1l6IZ8xUPgMrESzcTYwhA1k_tPjeQjJPTqlm8Gd9eU5g/edit?usp=sharing"",""มหาสารคาม!I295"")"),10)</f>
        <v>10</v>
      </c>
      <c r="AD39" s="317">
        <f ca="1">IFERROR(__xludf.DUMMYFUNCTION("IMPORTRANGE(""https://docs.google.com/spreadsheets/d/1l6IZ8xUPgMrESzcTYwhA1k_tPjeQjJPTqlm8Gd9eU5g/edit?usp=sharing"",""มหาสารคาม!J298"")"),0)</f>
        <v>0</v>
      </c>
      <c r="AE39" s="318">
        <f t="shared" ca="1" si="41"/>
        <v>0</v>
      </c>
      <c r="AF39" s="317">
        <f ca="1">IFERROR(__xludf.DUMMYFUNCTION("IMPORTRANGE(""https://docs.google.com/spreadsheets/d/1l6IZ8xUPgMrESzcTYwhA1k_tPjeQjJPTqlm8Gd9eU5g/edit?usp=sharing"",""มหาสารคาม!J299"")"),0)</f>
        <v>0</v>
      </c>
      <c r="AG39" s="318">
        <f t="shared" ca="1" si="42"/>
        <v>0</v>
      </c>
    </row>
    <row r="40" spans="1:33" ht="21" customHeight="1" x14ac:dyDescent="0.3">
      <c r="A40" s="70">
        <v>9</v>
      </c>
      <c r="B40" s="71" t="s">
        <v>68</v>
      </c>
      <c r="C40" s="149">
        <f t="shared" ca="1" si="25"/>
        <v>42150</v>
      </c>
      <c r="D40" s="150">
        <f t="shared" ca="1" si="49"/>
        <v>42150</v>
      </c>
      <c r="E40" s="151">
        <f ca="1">IFERROR(__xludf.DUMMYFUNCTION("IMPORTRANGE(""https://docs.google.com/spreadsheets/d/1-uDff_7J0KD5mKrp0Vvzr7lt3OU09vwQwhkpOPPYv2Y/edit?usp=sharing"",""งบพรบ!DP40"")"),0)</f>
        <v>0</v>
      </c>
      <c r="F40" s="151">
        <f ca="1">IFERROR(__xludf.DUMMYFUNCTION("IMPORTRANGE(""https://docs.google.com/spreadsheets/d/1-uDff_7J0KD5mKrp0Vvzr7lt3OU09vwQwhkpOPPYv2Y/edit?usp=sharing"",""งบพรบ!DQ40"")"),42150)</f>
        <v>42150</v>
      </c>
      <c r="G40" s="151">
        <f ca="1">IFERROR(__xludf.DUMMYFUNCTION("IMPORTRANGE(""https://docs.google.com/spreadsheets/d/1-uDff_7J0KD5mKrp0Vvzr7lt3OU09vwQwhkpOPPYv2Y/edit?usp=sharing"",""งบพรบ!DR40"")"),0)</f>
        <v>0</v>
      </c>
      <c r="H40" s="151">
        <f ca="1">IFERROR(__xludf.DUMMYFUNCTION("IMPORTRANGE(""https://docs.google.com/spreadsheets/d/1-uDff_7J0KD5mKrp0Vvzr7lt3OU09vwQwhkpOPPYv2Y/edit?usp=sharing"",""งบพรบ!DT40"")"),54760)</f>
        <v>54760</v>
      </c>
      <c r="I40" s="151">
        <f ca="1">IFERROR(__xludf.DUMMYFUNCTION("IMPORTRANGE(""https://docs.google.com/spreadsheets/d/1-uDff_7J0KD5mKrp0Vvzr7lt3OU09vwQwhkpOPPYv2Y/edit?usp=sharing"",""งบพรบ!DU40"")"),0)</f>
        <v>0</v>
      </c>
      <c r="J40" s="151">
        <f t="shared" ca="1" si="27"/>
        <v>7080</v>
      </c>
      <c r="K40" s="154">
        <f t="shared" ca="1" si="28"/>
        <v>16.797153024911033</v>
      </c>
      <c r="L40" s="151">
        <f ca="1">IFERROR(__xludf.DUMMYFUNCTION("IMPORTRANGE(""https://docs.google.com/spreadsheets/d/1-uDff_7J0KD5mKrp0Vvzr7lt3OU09vwQwhkpOPPYv2Y/edit?usp=sharing"",""งบพรบ!DV40"")"),7080)</f>
        <v>7080</v>
      </c>
      <c r="M40" s="68">
        <f t="shared" ca="1" si="29"/>
        <v>16.797153024911033</v>
      </c>
      <c r="N40" s="68">
        <f t="shared" ca="1" si="30"/>
        <v>12.929145361577794</v>
      </c>
      <c r="O40" s="67">
        <f ca="1">IFERROR(__xludf.DUMMYFUNCTION("IMPORTRANGE(""https://docs.google.com/spreadsheets/d/1-uDff_7J0KD5mKrp0Vvzr7lt3OU09vwQwhkpOPPYv2Y/edit?usp=sharing"",""งบพรบ!DW40"")"),0)</f>
        <v>0</v>
      </c>
      <c r="P40" s="67">
        <f t="shared" ca="1" si="31"/>
        <v>0</v>
      </c>
      <c r="Q40" s="68">
        <f t="shared" ca="1" si="32"/>
        <v>0</v>
      </c>
      <c r="R40" s="78">
        <f ca="1">IFERROR(__xludf.DUMMYFUNCTION("IMPORTRANGE(""https://docs.google.com/spreadsheets/d/1uB74YLqNjWX6FObjekfB2NtSYigTQyR2rq9u4Ub2Sq4/edit?usp=sharing"",""มุกดาหาร!I292"")"),100)</f>
        <v>100</v>
      </c>
      <c r="S40" s="78">
        <f ca="1">IFERROR(__xludf.DUMMYFUNCTION("IMPORTRANGE(""https://docs.google.com/spreadsheets/d/1uB74YLqNjWX6FObjekfB2NtSYigTQyR2rq9u4Ub2Sq4/edit?usp=sharing"",""มุกดาหาร!J292"")"),0)</f>
        <v>0</v>
      </c>
      <c r="T40" s="79">
        <f t="shared" ca="1" si="34"/>
        <v>0</v>
      </c>
      <c r="U40" s="78">
        <f ca="1">IFERROR(__xludf.DUMMYFUNCTION("IMPORTRANGE(""https://docs.google.com/spreadsheets/d/1uB74YLqNjWX6FObjekfB2NtSYigTQyR2rq9u4Ub2Sq4/edit?usp=sharing"",""มุกดาหาร!I293"")"),10)</f>
        <v>10</v>
      </c>
      <c r="V40" s="78">
        <f ca="1">IFERROR(__xludf.DUMMYFUNCTION("IMPORTRANGE(""https://docs.google.com/spreadsheets/d/1uB74YLqNjWX6FObjekfB2NtSYigTQyR2rq9u4Ub2Sq4/edit?usp=sharing"",""มุกดาหาร!J293"")"),0)</f>
        <v>0</v>
      </c>
      <c r="W40" s="79">
        <f t="shared" ca="1" si="36"/>
        <v>0</v>
      </c>
      <c r="X40" s="78">
        <f ca="1">IFERROR(__xludf.DUMMYFUNCTION("IMPORTRANGE(""https://docs.google.com/spreadsheets/d/1uB74YLqNjWX6FObjekfB2NtSYigTQyR2rq9u4Ub2Sq4/edit?usp=sharing"",""มุกดาหาร!I295"")"),10)</f>
        <v>10</v>
      </c>
      <c r="Y40" s="78">
        <f ca="1">IFERROR(__xludf.DUMMYFUNCTION("IMPORTRANGE(""https://docs.google.com/spreadsheets/d/1uB74YLqNjWX6FObjekfB2NtSYigTQyR2rq9u4Ub2Sq4/edit?usp=sharing"",""มุกดาหาร!J295"")"),0)</f>
        <v>0</v>
      </c>
      <c r="Z40" s="79">
        <f t="shared" ca="1" si="38"/>
        <v>0</v>
      </c>
      <c r="AA40" s="315">
        <f ca="1">IFERROR(__xludf.DUMMYFUNCTION("IMPORTRANGE(""https://docs.google.com/spreadsheets/d/1uB74YLqNjWX6FObjekfB2NtSYigTQyR2rq9u4Ub2Sq4/edit?usp=sharing"",""มุกดาหาร!J296"")"),0)</f>
        <v>0</v>
      </c>
      <c r="AB40" s="316">
        <f t="shared" ca="1" si="39"/>
        <v>0</v>
      </c>
      <c r="AC40" s="317">
        <f ca="1">IFERROR(__xludf.DUMMYFUNCTION("IMPORTRANGE(""https://docs.google.com/spreadsheets/d/1uB74YLqNjWX6FObjekfB2NtSYigTQyR2rq9u4Ub2Sq4/edit?usp=sharing"",""มุกดาหาร!I295"")"),10)</f>
        <v>10</v>
      </c>
      <c r="AD40" s="317">
        <f ca="1">IFERROR(__xludf.DUMMYFUNCTION("IMPORTRANGE(""https://docs.google.com/spreadsheets/d/1uB74YLqNjWX6FObjekfB2NtSYigTQyR2rq9u4Ub2Sq4/edit?usp=sharing"",""มุกดาหาร!J298"")"),0)</f>
        <v>0</v>
      </c>
      <c r="AE40" s="318">
        <f t="shared" ca="1" si="41"/>
        <v>0</v>
      </c>
      <c r="AF40" s="317">
        <f ca="1">IFERROR(__xludf.DUMMYFUNCTION("IMPORTRANGE(""https://docs.google.com/spreadsheets/d/1uB74YLqNjWX6FObjekfB2NtSYigTQyR2rq9u4Ub2Sq4/edit?usp=sharing"",""มุกดาหาร!J299"")"),0)</f>
        <v>0</v>
      </c>
      <c r="AG40" s="318">
        <f t="shared" ca="1" si="42"/>
        <v>0</v>
      </c>
    </row>
    <row r="41" spans="1:33" ht="21" customHeight="1" x14ac:dyDescent="0.3">
      <c r="A41" s="70">
        <v>10</v>
      </c>
      <c r="B41" s="71" t="s">
        <v>69</v>
      </c>
      <c r="C41" s="149">
        <f t="shared" ca="1" si="25"/>
        <v>0</v>
      </c>
      <c r="D41" s="150">
        <f t="shared" ca="1" si="49"/>
        <v>0</v>
      </c>
      <c r="E41" s="151">
        <f ca="1">IFERROR(__xludf.DUMMYFUNCTION("IMPORTRANGE(""https://docs.google.com/spreadsheets/d/1-uDff_7J0KD5mKrp0Vvzr7lt3OU09vwQwhkpOPPYv2Y/edit?usp=sharing"",""งบพรบ!DP41"")"),0)</f>
        <v>0</v>
      </c>
      <c r="F41" s="151">
        <f ca="1">IFERROR(__xludf.DUMMYFUNCTION("IMPORTRANGE(""https://docs.google.com/spreadsheets/d/1-uDff_7J0KD5mKrp0Vvzr7lt3OU09vwQwhkpOPPYv2Y/edit?usp=sharing"",""งบพรบ!DQ41"")"),0)</f>
        <v>0</v>
      </c>
      <c r="G41" s="151">
        <f ca="1">IFERROR(__xludf.DUMMYFUNCTION("IMPORTRANGE(""https://docs.google.com/spreadsheets/d/1-uDff_7J0KD5mKrp0Vvzr7lt3OU09vwQwhkpOPPYv2Y/edit?usp=sharing"",""งบพรบ!DR41"")"),0)</f>
        <v>0</v>
      </c>
      <c r="H41" s="151">
        <f ca="1">IFERROR(__xludf.DUMMYFUNCTION("IMPORTRANGE(""https://docs.google.com/spreadsheets/d/1-uDff_7J0KD5mKrp0Vvzr7lt3OU09vwQwhkpOPPYv2Y/edit?usp=sharing"",""งบพรบ!DT41"")"),0)</f>
        <v>0</v>
      </c>
      <c r="I41" s="151">
        <f ca="1">IFERROR(__xludf.DUMMYFUNCTION("IMPORTRANGE(""https://docs.google.com/spreadsheets/d/1-uDff_7J0KD5mKrp0Vvzr7lt3OU09vwQwhkpOPPYv2Y/edit?usp=sharing"",""งบพรบ!DU41"")"),0)</f>
        <v>0</v>
      </c>
      <c r="J41" s="151">
        <f t="shared" ca="1" si="27"/>
        <v>0</v>
      </c>
      <c r="K41" s="154">
        <f t="shared" ca="1" si="28"/>
        <v>0</v>
      </c>
      <c r="L41" s="151">
        <f ca="1">IFERROR(__xludf.DUMMYFUNCTION("IMPORTRANGE(""https://docs.google.com/spreadsheets/d/1-uDff_7J0KD5mKrp0Vvzr7lt3OU09vwQwhkpOPPYv2Y/edit?usp=sharing"",""งบพรบ!DV41"")"),0)</f>
        <v>0</v>
      </c>
      <c r="M41" s="68">
        <f t="shared" ca="1" si="29"/>
        <v>0</v>
      </c>
      <c r="N41" s="68">
        <f t="shared" ca="1" si="30"/>
        <v>0</v>
      </c>
      <c r="O41" s="67">
        <f ca="1">IFERROR(__xludf.DUMMYFUNCTION("IMPORTRANGE(""https://docs.google.com/spreadsheets/d/1-uDff_7J0KD5mKrp0Vvzr7lt3OU09vwQwhkpOPPYv2Y/edit?usp=sharing"",""งบพรบ!DW41"")"),0)</f>
        <v>0</v>
      </c>
      <c r="P41" s="67">
        <f t="shared" ca="1" si="31"/>
        <v>0</v>
      </c>
      <c r="Q41" s="68">
        <f t="shared" ca="1" si="32"/>
        <v>0</v>
      </c>
      <c r="R41" s="78">
        <f ca="1">IFERROR(__xludf.DUMMYFUNCTION("IMPORTRANGE(""https://docs.google.com/spreadsheets/d/1NexK3geCPxCTO1fzNF8dPec7yZyUx3OaWkFBC9HsQOo/edit?usp=sharing"",""ยโสธร!I292"")"),0)</f>
        <v>0</v>
      </c>
      <c r="S41" s="78">
        <f ca="1">IFERROR(__xludf.DUMMYFUNCTION("IMPORTRANGE(""https://docs.google.com/spreadsheets/d/1NexK3geCPxCTO1fzNF8dPec7yZyUx3OaWkFBC9HsQOo/edit?usp=sharing"",""ยโสธร!J292"")"),0)</f>
        <v>0</v>
      </c>
      <c r="T41" s="79">
        <f t="shared" ca="1" si="34"/>
        <v>0</v>
      </c>
      <c r="U41" s="78">
        <f ca="1">IFERROR(__xludf.DUMMYFUNCTION("IMPORTRANGE(""https://docs.google.com/spreadsheets/d/1NexK3geCPxCTO1fzNF8dPec7yZyUx3OaWkFBC9HsQOo/edit?usp=sharing"",""ยโสธร!I293"")"),0)</f>
        <v>0</v>
      </c>
      <c r="V41" s="78">
        <f ca="1">IFERROR(__xludf.DUMMYFUNCTION("IMPORTRANGE(""https://docs.google.com/spreadsheets/d/1NexK3geCPxCTO1fzNF8dPec7yZyUx3OaWkFBC9HsQOo/edit?usp=sharing"",""ยโสธร!J293"")"),0)</f>
        <v>0</v>
      </c>
      <c r="W41" s="79">
        <f t="shared" ca="1" si="36"/>
        <v>0</v>
      </c>
      <c r="X41" s="78">
        <f ca="1">IFERROR(__xludf.DUMMYFUNCTION("IMPORTRANGE(""https://docs.google.com/spreadsheets/d/1NexK3geCPxCTO1fzNF8dPec7yZyUx3OaWkFBC9HsQOo/edit?usp=sharing"",""ยโสธร!I295"")"),0)</f>
        <v>0</v>
      </c>
      <c r="Y41" s="78">
        <f ca="1">IFERROR(__xludf.DUMMYFUNCTION("IMPORTRANGE(""https://docs.google.com/spreadsheets/d/1NexK3geCPxCTO1fzNF8dPec7yZyUx3OaWkFBC9HsQOo/edit?usp=sharing"",""ยโสธร!J295"")"),0)</f>
        <v>0</v>
      </c>
      <c r="Z41" s="79">
        <f t="shared" ca="1" si="38"/>
        <v>0</v>
      </c>
      <c r="AA41" s="315">
        <f ca="1">IFERROR(__xludf.DUMMYFUNCTION("IMPORTRANGE(""https://docs.google.com/spreadsheets/d/1NexK3geCPxCTO1fzNF8dPec7yZyUx3OaWkFBC9HsQOo/edit?usp=sharing"",""ยโสธร!J296"")"),0)</f>
        <v>0</v>
      </c>
      <c r="AB41" s="316">
        <f t="shared" ca="1" si="39"/>
        <v>0</v>
      </c>
      <c r="AC41" s="317">
        <f ca="1">IFERROR(__xludf.DUMMYFUNCTION("IMPORTRANGE(""https://docs.google.com/spreadsheets/d/1NexK3geCPxCTO1fzNF8dPec7yZyUx3OaWkFBC9HsQOo/edit?usp=sharing"",""ยโสธร!I295"")"),0)</f>
        <v>0</v>
      </c>
      <c r="AD41" s="288" t="str">
        <f ca="1">IFERROR(__xludf.DUMMYFUNCTION("IMPORTRANGE(""https://docs.google.com/spreadsheets/d/1NexK3geCPxCTO1fzNF8dPec7yZyUx3OaWkFBC9HsQOo/edit?usp=sharing"",""ยโสธร!J298"")"),"")</f>
        <v/>
      </c>
      <c r="AE41" s="318">
        <f t="shared" ca="1" si="41"/>
        <v>0</v>
      </c>
      <c r="AF41" s="288" t="str">
        <f ca="1">IFERROR(__xludf.DUMMYFUNCTION("IMPORTRANGE(""https://docs.google.com/spreadsheets/d/1NexK3geCPxCTO1fzNF8dPec7yZyUx3OaWkFBC9HsQOo/edit?usp=sharing"",""ยโสธร!J299"")"),"")</f>
        <v/>
      </c>
      <c r="AG41" s="318">
        <f t="shared" ca="1" si="42"/>
        <v>0</v>
      </c>
    </row>
    <row r="42" spans="1:33" ht="21" customHeight="1" x14ac:dyDescent="0.3">
      <c r="A42" s="70">
        <v>11</v>
      </c>
      <c r="B42" s="71" t="s">
        <v>70</v>
      </c>
      <c r="C42" s="149">
        <f t="shared" ca="1" si="25"/>
        <v>221320</v>
      </c>
      <c r="D42" s="150">
        <f t="shared" ca="1" si="49"/>
        <v>221320</v>
      </c>
      <c r="E42" s="151">
        <f ca="1">IFERROR(__xludf.DUMMYFUNCTION("IMPORTRANGE(""https://docs.google.com/spreadsheets/d/1-uDff_7J0KD5mKrp0Vvzr7lt3OU09vwQwhkpOPPYv2Y/edit?usp=sharing"",""งบพรบ!DP42"")"),136200)</f>
        <v>136200</v>
      </c>
      <c r="F42" s="151">
        <f ca="1">IFERROR(__xludf.DUMMYFUNCTION("IMPORTRANGE(""https://docs.google.com/spreadsheets/d/1-uDff_7J0KD5mKrp0Vvzr7lt3OU09vwQwhkpOPPYv2Y/edit?usp=sharing"",""งบพรบ!DQ42"")"),85120)</f>
        <v>85120</v>
      </c>
      <c r="G42" s="151">
        <f ca="1">IFERROR(__xludf.DUMMYFUNCTION("IMPORTRANGE(""https://docs.google.com/spreadsheets/d/1-uDff_7J0KD5mKrp0Vvzr7lt3OU09vwQwhkpOPPYv2Y/edit?usp=sharing"",""งบพรบ!DR42"")"),0)</f>
        <v>0</v>
      </c>
      <c r="H42" s="151">
        <f ca="1">IFERROR(__xludf.DUMMYFUNCTION("IMPORTRANGE(""https://docs.google.com/spreadsheets/d/1-uDff_7J0KD5mKrp0Vvzr7lt3OU09vwQwhkpOPPYv2Y/edit?usp=sharing"",""งบพรบ!DT42"")"),232570)</f>
        <v>232570</v>
      </c>
      <c r="I42" s="151">
        <f ca="1">IFERROR(__xludf.DUMMYFUNCTION("IMPORTRANGE(""https://docs.google.com/spreadsheets/d/1-uDff_7J0KD5mKrp0Vvzr7lt3OU09vwQwhkpOPPYv2Y/edit?usp=sharing"",""งบพรบ!DU42"")"),0)</f>
        <v>0</v>
      </c>
      <c r="J42" s="151">
        <f t="shared" ca="1" si="27"/>
        <v>198427.8</v>
      </c>
      <c r="K42" s="154">
        <f t="shared" ca="1" si="28"/>
        <v>89.65651545273812</v>
      </c>
      <c r="L42" s="151">
        <f ca="1">IFERROR(__xludf.DUMMYFUNCTION("IMPORTRANGE(""https://docs.google.com/spreadsheets/d/1-uDff_7J0KD5mKrp0Vvzr7lt3OU09vwQwhkpOPPYv2Y/edit?usp=sharing"",""งบพรบ!DV42"")"),198427.8)</f>
        <v>198427.8</v>
      </c>
      <c r="M42" s="68">
        <f t="shared" ca="1" si="29"/>
        <v>89.65651545273812</v>
      </c>
      <c r="N42" s="68">
        <f t="shared" ca="1" si="30"/>
        <v>85.31960270026228</v>
      </c>
      <c r="O42" s="67">
        <f ca="1">IFERROR(__xludf.DUMMYFUNCTION("IMPORTRANGE(""https://docs.google.com/spreadsheets/d/1-uDff_7J0KD5mKrp0Vvzr7lt3OU09vwQwhkpOPPYv2Y/edit?usp=sharing"",""งบพรบ!DW42"")"),0)</f>
        <v>0</v>
      </c>
      <c r="P42" s="67">
        <f t="shared" ca="1" si="31"/>
        <v>0</v>
      </c>
      <c r="Q42" s="68">
        <f t="shared" ca="1" si="32"/>
        <v>0</v>
      </c>
      <c r="R42" s="78">
        <f ca="1">IFERROR(__xludf.DUMMYFUNCTION("IMPORTRANGE(""https://docs.google.com/spreadsheets/d/1v_cJrbBlyqmnHPReHk44g9NrMRdENNlSy_E_c5M9fIg/edit?usp=sharing"",""ร้อยเอ็ด!I292"")"),300)</f>
        <v>300</v>
      </c>
      <c r="S42" s="78">
        <f ca="1">IFERROR(__xludf.DUMMYFUNCTION("IMPORTRANGE(""https://docs.google.com/spreadsheets/d/1v_cJrbBlyqmnHPReHk44g9NrMRdENNlSy_E_c5M9fIg/edit?usp=sharing"",""ร้อยเอ็ด!J292"")"),300)</f>
        <v>300</v>
      </c>
      <c r="T42" s="79">
        <f t="shared" ca="1" si="34"/>
        <v>100</v>
      </c>
      <c r="U42" s="78">
        <f ca="1">IFERROR(__xludf.DUMMYFUNCTION("IMPORTRANGE(""https://docs.google.com/spreadsheets/d/1v_cJrbBlyqmnHPReHk44g9NrMRdENNlSy_E_c5M9fIg/edit?usp=sharing"",""ร้อยเอ็ด!I293"")"),30)</f>
        <v>30</v>
      </c>
      <c r="V42" s="78">
        <f ca="1">IFERROR(__xludf.DUMMYFUNCTION("IMPORTRANGE(""https://docs.google.com/spreadsheets/d/1v_cJrbBlyqmnHPReHk44g9NrMRdENNlSy_E_c5M9fIg/edit?usp=sharing"",""ร้อยเอ็ด!J293"")"),30)</f>
        <v>30</v>
      </c>
      <c r="W42" s="79">
        <f t="shared" ca="1" si="36"/>
        <v>100</v>
      </c>
      <c r="X42" s="78">
        <f ca="1">IFERROR(__xludf.DUMMYFUNCTION("IMPORTRANGE(""https://docs.google.com/spreadsheets/d/1v_cJrbBlyqmnHPReHk44g9NrMRdENNlSy_E_c5M9fIg/edit?usp=sharing"",""ร้อยเอ็ด!I295"")"),30)</f>
        <v>30</v>
      </c>
      <c r="Y42" s="78">
        <f ca="1">IFERROR(__xludf.DUMMYFUNCTION("IMPORTRANGE(""https://docs.google.com/spreadsheets/d/1v_cJrbBlyqmnHPReHk44g9NrMRdENNlSy_E_c5M9fIg/edit?usp=sharing"",""ร้อยเอ็ด!J295"")"),30)</f>
        <v>30</v>
      </c>
      <c r="Z42" s="79">
        <f t="shared" ca="1" si="38"/>
        <v>100</v>
      </c>
      <c r="AA42" s="315">
        <f ca="1">IFERROR(__xludf.DUMMYFUNCTION("IMPORTRANGE(""https://docs.google.com/spreadsheets/d/1v_cJrbBlyqmnHPReHk44g9NrMRdENNlSy_E_c5M9fIg/edit?usp=sharing"",""ร้อยเอ็ด!J296"")"),30)</f>
        <v>30</v>
      </c>
      <c r="AB42" s="316">
        <f t="shared" ca="1" si="39"/>
        <v>100</v>
      </c>
      <c r="AC42" s="317">
        <f ca="1">IFERROR(__xludf.DUMMYFUNCTION("IMPORTRANGE(""https://docs.google.com/spreadsheets/d/1v_cJrbBlyqmnHPReHk44g9NrMRdENNlSy_E_c5M9fIg/edit?usp=sharing"",""ร้อยเอ็ด!I295"")"),30)</f>
        <v>30</v>
      </c>
      <c r="AD42" s="317">
        <f ca="1">IFERROR(__xludf.DUMMYFUNCTION("IMPORTRANGE(""https://docs.google.com/spreadsheets/d/1v_cJrbBlyqmnHPReHk44g9NrMRdENNlSy_E_c5M9fIg/edit?usp=sharing"",""ร้อยเอ็ด!J298"")"),0)</f>
        <v>0</v>
      </c>
      <c r="AE42" s="318">
        <f t="shared" ca="1" si="41"/>
        <v>0</v>
      </c>
      <c r="AF42" s="317">
        <f ca="1">IFERROR(__xludf.DUMMYFUNCTION("IMPORTRANGE(""https://docs.google.com/spreadsheets/d/1v_cJrbBlyqmnHPReHk44g9NrMRdENNlSy_E_c5M9fIg/edit?usp=sharing"",""ร้อยเอ็ด!J299"")"),0)</f>
        <v>0</v>
      </c>
      <c r="AG42" s="318">
        <f t="shared" ca="1" si="42"/>
        <v>0</v>
      </c>
    </row>
    <row r="43" spans="1:33" ht="21" customHeight="1" x14ac:dyDescent="0.3">
      <c r="A43" s="70">
        <v>12</v>
      </c>
      <c r="B43" s="71" t="s">
        <v>71</v>
      </c>
      <c r="C43" s="149">
        <f t="shared" ca="1" si="25"/>
        <v>85700</v>
      </c>
      <c r="D43" s="150">
        <f t="shared" ca="1" si="49"/>
        <v>85700</v>
      </c>
      <c r="E43" s="151">
        <f ca="1">IFERROR(__xludf.DUMMYFUNCTION("IMPORTRANGE(""https://docs.google.com/spreadsheets/d/1-uDff_7J0KD5mKrp0Vvzr7lt3OU09vwQwhkpOPPYv2Y/edit?usp=sharing"",""งบพรบ!DP43"")"),0)</f>
        <v>0</v>
      </c>
      <c r="F43" s="151">
        <f ca="1">IFERROR(__xludf.DUMMYFUNCTION("IMPORTRANGE(""https://docs.google.com/spreadsheets/d/1-uDff_7J0KD5mKrp0Vvzr7lt3OU09vwQwhkpOPPYv2Y/edit?usp=sharing"",""งบพรบ!DQ43"")"),85700)</f>
        <v>85700</v>
      </c>
      <c r="G43" s="151">
        <f ca="1">IFERROR(__xludf.DUMMYFUNCTION("IMPORTRANGE(""https://docs.google.com/spreadsheets/d/1-uDff_7J0KD5mKrp0Vvzr7lt3OU09vwQwhkpOPPYv2Y/edit?usp=sharing"",""งบพรบ!DR43"")"),0)</f>
        <v>0</v>
      </c>
      <c r="H43" s="151">
        <f ca="1">IFERROR(__xludf.DUMMYFUNCTION("IMPORTRANGE(""https://docs.google.com/spreadsheets/d/1-uDff_7J0KD5mKrp0Vvzr7lt3OU09vwQwhkpOPPYv2Y/edit?usp=sharing"",""งบพรบ!DT43"")"),97350)</f>
        <v>97350</v>
      </c>
      <c r="I43" s="151">
        <f ca="1">IFERROR(__xludf.DUMMYFUNCTION("IMPORTRANGE(""https://docs.google.com/spreadsheets/d/1-uDff_7J0KD5mKrp0Vvzr7lt3OU09vwQwhkpOPPYv2Y/edit?usp=sharing"",""งบพรบ!DU43"")"),0)</f>
        <v>0</v>
      </c>
      <c r="J43" s="151">
        <f t="shared" ca="1" si="27"/>
        <v>10580</v>
      </c>
      <c r="K43" s="154">
        <f t="shared" ca="1" si="28"/>
        <v>12.34539089848308</v>
      </c>
      <c r="L43" s="151">
        <f ca="1">IFERROR(__xludf.DUMMYFUNCTION("IMPORTRANGE(""https://docs.google.com/spreadsheets/d/1-uDff_7J0KD5mKrp0Vvzr7lt3OU09vwQwhkpOPPYv2Y/edit?usp=sharing"",""งบพรบ!DV43"")"),10580)</f>
        <v>10580</v>
      </c>
      <c r="M43" s="68">
        <f t="shared" ca="1" si="29"/>
        <v>12.34539089848308</v>
      </c>
      <c r="N43" s="68">
        <f t="shared" ca="1" si="30"/>
        <v>10.868002054442732</v>
      </c>
      <c r="O43" s="67">
        <f ca="1">IFERROR(__xludf.DUMMYFUNCTION("IMPORTRANGE(""https://docs.google.com/spreadsheets/d/1-uDff_7J0KD5mKrp0Vvzr7lt3OU09vwQwhkpOPPYv2Y/edit?usp=sharing"",""งบพรบ!DW43"")"),0)</f>
        <v>0</v>
      </c>
      <c r="P43" s="67">
        <f t="shared" ca="1" si="31"/>
        <v>0</v>
      </c>
      <c r="Q43" s="68">
        <f t="shared" ca="1" si="32"/>
        <v>0</v>
      </c>
      <c r="R43" s="78">
        <f ca="1">IFERROR(__xludf.DUMMYFUNCTION("IMPORTRANGE(""https://docs.google.com/spreadsheets/d/1Ul4RCpCX66NxYADU1QpwAPjOmBzW64SsT11s1wzXw_c/edit?usp=sharing"",""เลย!I292"")"),300)</f>
        <v>300</v>
      </c>
      <c r="S43" s="78">
        <f ca="1">IFERROR(__xludf.DUMMYFUNCTION("IMPORTRANGE(""https://docs.google.com/spreadsheets/d/1Ul4RCpCX66NxYADU1QpwAPjOmBzW64SsT11s1wzXw_c/edit?usp=sharing"",""เลย!J292"")"),0)</f>
        <v>0</v>
      </c>
      <c r="T43" s="79">
        <f t="shared" ca="1" si="34"/>
        <v>0</v>
      </c>
      <c r="U43" s="78">
        <f ca="1">IFERROR(__xludf.DUMMYFUNCTION("IMPORTRANGE(""https://docs.google.com/spreadsheets/d/1Ul4RCpCX66NxYADU1QpwAPjOmBzW64SsT11s1wzXw_c/edit?usp=sharing"",""เลย!I293"")"),30)</f>
        <v>30</v>
      </c>
      <c r="V43" s="78">
        <f ca="1">IFERROR(__xludf.DUMMYFUNCTION("IMPORTRANGE(""https://docs.google.com/spreadsheets/d/1Ul4RCpCX66NxYADU1QpwAPjOmBzW64SsT11s1wzXw_c/edit?usp=sharing"",""เลย!J293"")"),0)</f>
        <v>0</v>
      </c>
      <c r="W43" s="79">
        <f t="shared" ca="1" si="36"/>
        <v>0</v>
      </c>
      <c r="X43" s="78">
        <f ca="1">IFERROR(__xludf.DUMMYFUNCTION("IMPORTRANGE(""https://docs.google.com/spreadsheets/d/1Ul4RCpCX66NxYADU1QpwAPjOmBzW64SsT11s1wzXw_c/edit?usp=sharing"",""เลย!I295"")"),30)</f>
        <v>30</v>
      </c>
      <c r="Y43" s="78">
        <f ca="1">IFERROR(__xludf.DUMMYFUNCTION("IMPORTRANGE(""https://docs.google.com/spreadsheets/d/1Ul4RCpCX66NxYADU1QpwAPjOmBzW64SsT11s1wzXw_c/edit?usp=sharing"",""เลย!J295"")"),0)</f>
        <v>0</v>
      </c>
      <c r="Z43" s="79">
        <f t="shared" ca="1" si="38"/>
        <v>0</v>
      </c>
      <c r="AA43" s="315">
        <f ca="1">IFERROR(__xludf.DUMMYFUNCTION("IMPORTRANGE(""https://docs.google.com/spreadsheets/d/1Ul4RCpCX66NxYADU1QpwAPjOmBzW64SsT11s1wzXw_c/edit?usp=sharing"",""เลย!J296"")"),0)</f>
        <v>0</v>
      </c>
      <c r="AB43" s="316">
        <f t="shared" ca="1" si="39"/>
        <v>0</v>
      </c>
      <c r="AC43" s="317">
        <f ca="1">IFERROR(__xludf.DUMMYFUNCTION("IMPORTRANGE(""https://docs.google.com/spreadsheets/d/1Ul4RCpCX66NxYADU1QpwAPjOmBzW64SsT11s1wzXw_c/edit?usp=sharing"",""เลย!I295"")"),30)</f>
        <v>30</v>
      </c>
      <c r="AD43" s="317">
        <f ca="1">IFERROR(__xludf.DUMMYFUNCTION("IMPORTRANGE(""https://docs.google.com/spreadsheets/d/1Ul4RCpCX66NxYADU1QpwAPjOmBzW64SsT11s1wzXw_c/edit?usp=sharing"",""เลย!J298"")"),0)</f>
        <v>0</v>
      </c>
      <c r="AE43" s="318">
        <f t="shared" ca="1" si="41"/>
        <v>0</v>
      </c>
      <c r="AF43" s="317">
        <f ca="1">IFERROR(__xludf.DUMMYFUNCTION("IMPORTRANGE(""https://docs.google.com/spreadsheets/d/1Ul4RCpCX66NxYADU1QpwAPjOmBzW64SsT11s1wzXw_c/edit?usp=sharing"",""เลย!J299"")"),0)</f>
        <v>0</v>
      </c>
      <c r="AG43" s="318">
        <f t="shared" ca="1" si="42"/>
        <v>0</v>
      </c>
    </row>
    <row r="44" spans="1:33" ht="21" customHeight="1" x14ac:dyDescent="0.3">
      <c r="A44" s="70">
        <v>13</v>
      </c>
      <c r="B44" s="71" t="s">
        <v>72</v>
      </c>
      <c r="C44" s="149">
        <f t="shared" ca="1" si="25"/>
        <v>0</v>
      </c>
      <c r="D44" s="150">
        <f t="shared" ca="1" si="49"/>
        <v>0</v>
      </c>
      <c r="E44" s="151">
        <f ca="1">IFERROR(__xludf.DUMMYFUNCTION("IMPORTRANGE(""https://docs.google.com/spreadsheets/d/1-uDff_7J0KD5mKrp0Vvzr7lt3OU09vwQwhkpOPPYv2Y/edit?usp=sharing"",""งบพรบ!DP44"")"),0)</f>
        <v>0</v>
      </c>
      <c r="F44" s="151">
        <f ca="1">IFERROR(__xludf.DUMMYFUNCTION("IMPORTRANGE(""https://docs.google.com/spreadsheets/d/1-uDff_7J0KD5mKrp0Vvzr7lt3OU09vwQwhkpOPPYv2Y/edit?usp=sharing"",""งบพรบ!DQ44"")"),0)</f>
        <v>0</v>
      </c>
      <c r="G44" s="151">
        <f ca="1">IFERROR(__xludf.DUMMYFUNCTION("IMPORTRANGE(""https://docs.google.com/spreadsheets/d/1-uDff_7J0KD5mKrp0Vvzr7lt3OU09vwQwhkpOPPYv2Y/edit?usp=sharing"",""งบพรบ!DR44"")"),0)</f>
        <v>0</v>
      </c>
      <c r="H44" s="151">
        <f ca="1">IFERROR(__xludf.DUMMYFUNCTION("IMPORTRANGE(""https://docs.google.com/spreadsheets/d/1-uDff_7J0KD5mKrp0Vvzr7lt3OU09vwQwhkpOPPYv2Y/edit?usp=sharing"",""งบพรบ!DT44"")"),0)</f>
        <v>0</v>
      </c>
      <c r="I44" s="151">
        <f ca="1">IFERROR(__xludf.DUMMYFUNCTION("IMPORTRANGE(""https://docs.google.com/spreadsheets/d/1-uDff_7J0KD5mKrp0Vvzr7lt3OU09vwQwhkpOPPYv2Y/edit?usp=sharing"",""งบพรบ!DU44"")"),0)</f>
        <v>0</v>
      </c>
      <c r="J44" s="151">
        <f t="shared" ca="1" si="27"/>
        <v>0</v>
      </c>
      <c r="K44" s="154">
        <f t="shared" ca="1" si="28"/>
        <v>0</v>
      </c>
      <c r="L44" s="151">
        <f ca="1">IFERROR(__xludf.DUMMYFUNCTION("IMPORTRANGE(""https://docs.google.com/spreadsheets/d/1-uDff_7J0KD5mKrp0Vvzr7lt3OU09vwQwhkpOPPYv2Y/edit?usp=sharing"",""งบพรบ!DV44"")"),0)</f>
        <v>0</v>
      </c>
      <c r="M44" s="68">
        <f t="shared" ca="1" si="29"/>
        <v>0</v>
      </c>
      <c r="N44" s="68">
        <f t="shared" ca="1" si="30"/>
        <v>0</v>
      </c>
      <c r="O44" s="67">
        <f ca="1">IFERROR(__xludf.DUMMYFUNCTION("IMPORTRANGE(""https://docs.google.com/spreadsheets/d/1-uDff_7J0KD5mKrp0Vvzr7lt3OU09vwQwhkpOPPYv2Y/edit?usp=sharing"",""งบพรบ!DW44"")"),0)</f>
        <v>0</v>
      </c>
      <c r="P44" s="67">
        <f t="shared" ca="1" si="31"/>
        <v>0</v>
      </c>
      <c r="Q44" s="68">
        <f t="shared" ca="1" si="32"/>
        <v>0</v>
      </c>
      <c r="R44" s="78">
        <f ca="1">IFERROR(__xludf.DUMMYFUNCTION("IMPORTRANGE(""https://docs.google.com/spreadsheets/d/1bRrNKwbHDVktQG10isr5vbWRtt5spIZPpkOSWgbT5ug/edit?usp=sharing"",""ศรีสะเกษ!I292"")"),0)</f>
        <v>0</v>
      </c>
      <c r="S44" s="78">
        <f ca="1">IFERROR(__xludf.DUMMYFUNCTION("IMPORTRANGE(""https://docs.google.com/spreadsheets/d/1bRrNKwbHDVktQG10isr5vbWRtt5spIZPpkOSWgbT5ug/edit?usp=sharing"",""ศรีสะเกษ!J292"")"),0)</f>
        <v>0</v>
      </c>
      <c r="T44" s="79">
        <f t="shared" ca="1" si="34"/>
        <v>0</v>
      </c>
      <c r="U44" s="78">
        <f ca="1">IFERROR(__xludf.DUMMYFUNCTION("IMPORTRANGE(""https://docs.google.com/spreadsheets/d/1bRrNKwbHDVktQG10isr5vbWRtt5spIZPpkOSWgbT5ug/edit?usp=sharing"",""ศรีสะเกษ!I293"")"),0)</f>
        <v>0</v>
      </c>
      <c r="V44" s="78">
        <f ca="1">IFERROR(__xludf.DUMMYFUNCTION("IMPORTRANGE(""https://docs.google.com/spreadsheets/d/1bRrNKwbHDVktQG10isr5vbWRtt5spIZPpkOSWgbT5ug/edit?usp=sharing"",""ศรีสะเกษ!J293"")"),0)</f>
        <v>0</v>
      </c>
      <c r="W44" s="79">
        <f t="shared" ca="1" si="36"/>
        <v>0</v>
      </c>
      <c r="X44" s="78">
        <f ca="1">IFERROR(__xludf.DUMMYFUNCTION("IMPORTRANGE(""https://docs.google.com/spreadsheets/d/1bRrNKwbHDVktQG10isr5vbWRtt5spIZPpkOSWgbT5ug/edit?usp=sharing"",""ศรีสะเกษ!I295"")"),0)</f>
        <v>0</v>
      </c>
      <c r="Y44" s="78">
        <f ca="1">IFERROR(__xludf.DUMMYFUNCTION("IMPORTRANGE(""https://docs.google.com/spreadsheets/d/1bRrNKwbHDVktQG10isr5vbWRtt5spIZPpkOSWgbT5ug/edit?usp=sharing"",""ศรีสะเกษ!J295"")"),0)</f>
        <v>0</v>
      </c>
      <c r="Z44" s="79">
        <f t="shared" ca="1" si="38"/>
        <v>0</v>
      </c>
      <c r="AA44" s="315">
        <f ca="1">IFERROR(__xludf.DUMMYFUNCTION("IMPORTRANGE(""https://docs.google.com/spreadsheets/d/1bRrNKwbHDVktQG10isr5vbWRtt5spIZPpkOSWgbT5ug/edit?usp=sharing"",""ศรีสะเกษ!J296"")"),0)</f>
        <v>0</v>
      </c>
      <c r="AB44" s="316">
        <f t="shared" ca="1" si="39"/>
        <v>0</v>
      </c>
      <c r="AC44" s="317">
        <f ca="1">IFERROR(__xludf.DUMMYFUNCTION("IMPORTRANGE(""https://docs.google.com/spreadsheets/d/1bRrNKwbHDVktQG10isr5vbWRtt5spIZPpkOSWgbT5ug/edit?usp=sharing"",""ศรีสะเกษ!I295"")"),0)</f>
        <v>0</v>
      </c>
      <c r="AD44" s="288" t="str">
        <f ca="1">IFERROR(__xludf.DUMMYFUNCTION("IMPORTRANGE(""https://docs.google.com/spreadsheets/d/1bRrNKwbHDVktQG10isr5vbWRtt5spIZPpkOSWgbT5ug/edit?usp=sharing"",""ศรีสะเกษ!J298"")"),"")</f>
        <v/>
      </c>
      <c r="AE44" s="318">
        <f t="shared" ca="1" si="41"/>
        <v>0</v>
      </c>
      <c r="AF44" s="288" t="str">
        <f ca="1">IFERROR(__xludf.DUMMYFUNCTION("IMPORTRANGE(""https://docs.google.com/spreadsheets/d/1bRrNKwbHDVktQG10isr5vbWRtt5spIZPpkOSWgbT5ug/edit?usp=sharing"",""ศรีสะเกษ!J299"")"),"")</f>
        <v/>
      </c>
      <c r="AG44" s="318">
        <f t="shared" ca="1" si="42"/>
        <v>0</v>
      </c>
    </row>
    <row r="45" spans="1:33" ht="21" customHeight="1" x14ac:dyDescent="0.3">
      <c r="A45" s="70">
        <v>14</v>
      </c>
      <c r="B45" s="71" t="s">
        <v>73</v>
      </c>
      <c r="C45" s="149">
        <f t="shared" ca="1" si="25"/>
        <v>225120</v>
      </c>
      <c r="D45" s="150">
        <f t="shared" ca="1" si="49"/>
        <v>225120</v>
      </c>
      <c r="E45" s="151">
        <f ca="1">IFERROR(__xludf.DUMMYFUNCTION("IMPORTRANGE(""https://docs.google.com/spreadsheets/d/1-uDff_7J0KD5mKrp0Vvzr7lt3OU09vwQwhkpOPPYv2Y/edit?usp=sharing"",""งบพรบ!DP45"")"),140000)</f>
        <v>140000</v>
      </c>
      <c r="F45" s="151">
        <f ca="1">IFERROR(__xludf.DUMMYFUNCTION("IMPORTRANGE(""https://docs.google.com/spreadsheets/d/1-uDff_7J0KD5mKrp0Vvzr7lt3OU09vwQwhkpOPPYv2Y/edit?usp=sharing"",""งบพรบ!DQ45"")"),85120)</f>
        <v>85120</v>
      </c>
      <c r="G45" s="151">
        <f ca="1">IFERROR(__xludf.DUMMYFUNCTION("IMPORTRANGE(""https://docs.google.com/spreadsheets/d/1-uDff_7J0KD5mKrp0Vvzr7lt3OU09vwQwhkpOPPYv2Y/edit?usp=sharing"",""งบพรบ!DR45"")"),0)</f>
        <v>0</v>
      </c>
      <c r="H45" s="151">
        <f ca="1">IFERROR(__xludf.DUMMYFUNCTION("IMPORTRANGE(""https://docs.google.com/spreadsheets/d/1-uDff_7J0KD5mKrp0Vvzr7lt3OU09vwQwhkpOPPYv2Y/edit?usp=sharing"",""งบพรบ!DT45"")"),237570)</f>
        <v>237570</v>
      </c>
      <c r="I45" s="151">
        <f ca="1">IFERROR(__xludf.DUMMYFUNCTION("IMPORTRANGE(""https://docs.google.com/spreadsheets/d/1-uDff_7J0KD5mKrp0Vvzr7lt3OU09vwQwhkpOPPYv2Y/edit?usp=sharing"",""งบพรบ!DU45"")"),0)</f>
        <v>0</v>
      </c>
      <c r="J45" s="151">
        <f t="shared" ca="1" si="27"/>
        <v>174790.61</v>
      </c>
      <c r="K45" s="154">
        <f t="shared" ca="1" si="28"/>
        <v>77.643305792466236</v>
      </c>
      <c r="L45" s="151">
        <f ca="1">IFERROR(__xludf.DUMMYFUNCTION("IMPORTRANGE(""https://docs.google.com/spreadsheets/d/1-uDff_7J0KD5mKrp0Vvzr7lt3OU09vwQwhkpOPPYv2Y/edit?usp=sharing"",""งบพรบ!DV45"")"),174790.61)</f>
        <v>174790.61</v>
      </c>
      <c r="M45" s="68">
        <f t="shared" ca="1" si="29"/>
        <v>77.643305792466236</v>
      </c>
      <c r="N45" s="68">
        <f t="shared" ca="1" si="30"/>
        <v>73.574361240897417</v>
      </c>
      <c r="O45" s="67">
        <f ca="1">IFERROR(__xludf.DUMMYFUNCTION("IMPORTRANGE(""https://docs.google.com/spreadsheets/d/1-uDff_7J0KD5mKrp0Vvzr7lt3OU09vwQwhkpOPPYv2Y/edit?usp=sharing"",""งบพรบ!DW45"")"),0)</f>
        <v>0</v>
      </c>
      <c r="P45" s="67">
        <f t="shared" ca="1" si="31"/>
        <v>0</v>
      </c>
      <c r="Q45" s="68">
        <f t="shared" ca="1" si="32"/>
        <v>0</v>
      </c>
      <c r="R45" s="78">
        <f ca="1">IFERROR(__xludf.DUMMYFUNCTION("IMPORTRANGE(""https://docs.google.com/spreadsheets/d/17P34_Ow5kFBfdQD0qspb2UuPX5zpi6WMrQzslghyvrI/edit?usp=sharing"",""สกลนคร!I292"")"),300)</f>
        <v>300</v>
      </c>
      <c r="S45" s="78">
        <f ca="1">IFERROR(__xludf.DUMMYFUNCTION("IMPORTRANGE(""https://docs.google.com/spreadsheets/d/17P34_Ow5kFBfdQD0qspb2UuPX5zpi6WMrQzslghyvrI/edit?usp=sharing"",""สกลนคร!J292"")"),300)</f>
        <v>300</v>
      </c>
      <c r="T45" s="79">
        <f t="shared" ca="1" si="34"/>
        <v>100</v>
      </c>
      <c r="U45" s="78">
        <f ca="1">IFERROR(__xludf.DUMMYFUNCTION("IMPORTRANGE(""https://docs.google.com/spreadsheets/d/17P34_Ow5kFBfdQD0qspb2UuPX5zpi6WMrQzslghyvrI/edit?usp=sharing"",""สกลนคร!I293"")"),30)</f>
        <v>30</v>
      </c>
      <c r="V45" s="78">
        <f ca="1">IFERROR(__xludf.DUMMYFUNCTION("IMPORTRANGE(""https://docs.google.com/spreadsheets/d/17P34_Ow5kFBfdQD0qspb2UuPX5zpi6WMrQzslghyvrI/edit?usp=sharing"",""สกลนคร!J293"")"),30)</f>
        <v>30</v>
      </c>
      <c r="W45" s="79">
        <f t="shared" ca="1" si="36"/>
        <v>100</v>
      </c>
      <c r="X45" s="78">
        <f ca="1">IFERROR(__xludf.DUMMYFUNCTION("IMPORTRANGE(""https://docs.google.com/spreadsheets/d/17P34_Ow5kFBfdQD0qspb2UuPX5zpi6WMrQzslghyvrI/edit?usp=sharing"",""สกลนคร!I295"")"),30)</f>
        <v>30</v>
      </c>
      <c r="Y45" s="78">
        <f ca="1">IFERROR(__xludf.DUMMYFUNCTION("IMPORTRANGE(""https://docs.google.com/spreadsheets/d/17P34_Ow5kFBfdQD0qspb2UuPX5zpi6WMrQzslghyvrI/edit?usp=sharing"",""สกลนคร!J295"")"),30)</f>
        <v>30</v>
      </c>
      <c r="Z45" s="79">
        <f t="shared" ca="1" si="38"/>
        <v>100</v>
      </c>
      <c r="AA45" s="315">
        <f ca="1">IFERROR(__xludf.DUMMYFUNCTION("IMPORTRANGE(""https://docs.google.com/spreadsheets/d/17P34_Ow5kFBfdQD0qspb2UuPX5zpi6WMrQzslghyvrI/edit?usp=sharing"",""สกลนคร!J296"")"),30)</f>
        <v>30</v>
      </c>
      <c r="AB45" s="316">
        <f t="shared" ca="1" si="39"/>
        <v>100</v>
      </c>
      <c r="AC45" s="317">
        <f ca="1">IFERROR(__xludf.DUMMYFUNCTION("IMPORTRANGE(""https://docs.google.com/spreadsheets/d/17P34_Ow5kFBfdQD0qspb2UuPX5zpi6WMrQzslghyvrI/edit?usp=sharing"",""สกลนคร!I295"")"),30)</f>
        <v>30</v>
      </c>
      <c r="AD45" s="317">
        <f ca="1">IFERROR(__xludf.DUMMYFUNCTION("IMPORTRANGE(""https://docs.google.com/spreadsheets/d/17P34_Ow5kFBfdQD0qspb2UuPX5zpi6WMrQzslghyvrI/edit?usp=sharing"",""สกลนคร!J298"")"),0)</f>
        <v>0</v>
      </c>
      <c r="AE45" s="318">
        <f t="shared" ca="1" si="41"/>
        <v>0</v>
      </c>
      <c r="AF45" s="317">
        <f ca="1">IFERROR(__xludf.DUMMYFUNCTION("IMPORTRANGE(""https://docs.google.com/spreadsheets/d/17P34_Ow5kFBfdQD0qspb2UuPX5zpi6WMrQzslghyvrI/edit?usp=sharing"",""สกลนคร!J299"")"),0)</f>
        <v>0</v>
      </c>
      <c r="AG45" s="318">
        <f t="shared" ca="1" si="42"/>
        <v>0</v>
      </c>
    </row>
    <row r="46" spans="1:33" ht="21" customHeight="1" x14ac:dyDescent="0.3">
      <c r="A46" s="70">
        <v>15</v>
      </c>
      <c r="B46" s="71" t="s">
        <v>74</v>
      </c>
      <c r="C46" s="149">
        <f t="shared" ca="1" si="25"/>
        <v>199520</v>
      </c>
      <c r="D46" s="150">
        <f t="shared" ca="1" si="49"/>
        <v>199520</v>
      </c>
      <c r="E46" s="151">
        <f ca="1">IFERROR(__xludf.DUMMYFUNCTION("IMPORTRANGE(""https://docs.google.com/spreadsheets/d/1-uDff_7J0KD5mKrp0Vvzr7lt3OU09vwQwhkpOPPYv2Y/edit?usp=sharing"",""งบพรบ!DP46"")"),129400)</f>
        <v>129400</v>
      </c>
      <c r="F46" s="151">
        <f ca="1">IFERROR(__xludf.DUMMYFUNCTION("IMPORTRANGE(""https://docs.google.com/spreadsheets/d/1-uDff_7J0KD5mKrp0Vvzr7lt3OU09vwQwhkpOPPYv2Y/edit?usp=sharing"",""งบพรบ!DQ46"")"),70120)</f>
        <v>70120</v>
      </c>
      <c r="G46" s="151">
        <f ca="1">IFERROR(__xludf.DUMMYFUNCTION("IMPORTRANGE(""https://docs.google.com/spreadsheets/d/1-uDff_7J0KD5mKrp0Vvzr7lt3OU09vwQwhkpOPPYv2Y/edit?usp=sharing"",""งบพรบ!DR46"")"),0)</f>
        <v>0</v>
      </c>
      <c r="H46" s="151">
        <f ca="1">IFERROR(__xludf.DUMMYFUNCTION("IMPORTRANGE(""https://docs.google.com/spreadsheets/d/1-uDff_7J0KD5mKrp0Vvzr7lt3OU09vwQwhkpOPPYv2Y/edit?usp=sharing"",""งบพรบ!DT46"")"),210370)</f>
        <v>210370</v>
      </c>
      <c r="I46" s="151">
        <f ca="1">IFERROR(__xludf.DUMMYFUNCTION("IMPORTRANGE(""https://docs.google.com/spreadsheets/d/1-uDff_7J0KD5mKrp0Vvzr7lt3OU09vwQwhkpOPPYv2Y/edit?usp=sharing"",""งบพรบ!DU46"")"),0)</f>
        <v>0</v>
      </c>
      <c r="J46" s="151">
        <f t="shared" ca="1" si="27"/>
        <v>203432.3</v>
      </c>
      <c r="K46" s="154">
        <f t="shared" ca="1" si="28"/>
        <v>101.96085605453088</v>
      </c>
      <c r="L46" s="151">
        <f ca="1">IFERROR(__xludf.DUMMYFUNCTION("IMPORTRANGE(""https://docs.google.com/spreadsheets/d/1-uDff_7J0KD5mKrp0Vvzr7lt3OU09vwQwhkpOPPYv2Y/edit?usp=sharing"",""งบพรบ!DV46"")"),203432.3)</f>
        <v>203432.3</v>
      </c>
      <c r="M46" s="68">
        <f t="shared" ca="1" si="29"/>
        <v>101.96085605453088</v>
      </c>
      <c r="N46" s="68">
        <f t="shared" ca="1" si="30"/>
        <v>96.702143841802538</v>
      </c>
      <c r="O46" s="67">
        <f ca="1">IFERROR(__xludf.DUMMYFUNCTION("IMPORTRANGE(""https://docs.google.com/spreadsheets/d/1-uDff_7J0KD5mKrp0Vvzr7lt3OU09vwQwhkpOPPYv2Y/edit?usp=sharing"",""งบพรบ!DW46"")"),0)</f>
        <v>0</v>
      </c>
      <c r="P46" s="67">
        <f t="shared" ca="1" si="31"/>
        <v>0</v>
      </c>
      <c r="Q46" s="68">
        <f t="shared" ca="1" si="32"/>
        <v>0</v>
      </c>
      <c r="R46" s="78">
        <f ca="1">IFERROR(__xludf.DUMMYFUNCTION("IMPORTRANGE(""https://docs.google.com/spreadsheets/d/1yswqbM3-AEpThF3ZSUa1AcmHnmRTF1vlJ1CZGcJ8YuU/edit?usp=sharing"",""สุรินทร์!I292"")"),200)</f>
        <v>200</v>
      </c>
      <c r="S46" s="78">
        <f ca="1">IFERROR(__xludf.DUMMYFUNCTION("IMPORTRANGE(""https://docs.google.com/spreadsheets/d/1yswqbM3-AEpThF3ZSUa1AcmHnmRTF1vlJ1CZGcJ8YuU/edit?usp=sharing"",""สุรินทร์!J292"")"),200)</f>
        <v>200</v>
      </c>
      <c r="T46" s="79">
        <f t="shared" ca="1" si="34"/>
        <v>100</v>
      </c>
      <c r="U46" s="78">
        <f ca="1">IFERROR(__xludf.DUMMYFUNCTION("IMPORTRANGE(""https://docs.google.com/spreadsheets/d/1yswqbM3-AEpThF3ZSUa1AcmHnmRTF1vlJ1CZGcJ8YuU/edit?usp=sharing"",""สุรินทร์!I293"")"),20)</f>
        <v>20</v>
      </c>
      <c r="V46" s="78">
        <f ca="1">IFERROR(__xludf.DUMMYFUNCTION("IMPORTRANGE(""https://docs.google.com/spreadsheets/d/1yswqbM3-AEpThF3ZSUa1AcmHnmRTF1vlJ1CZGcJ8YuU/edit?usp=sharing"",""สุรินทร์!J293"")"),20)</f>
        <v>20</v>
      </c>
      <c r="W46" s="79">
        <f t="shared" ca="1" si="36"/>
        <v>100</v>
      </c>
      <c r="X46" s="78">
        <f ca="1">IFERROR(__xludf.DUMMYFUNCTION("IMPORTRANGE(""https://docs.google.com/spreadsheets/d/1yswqbM3-AEpThF3ZSUa1AcmHnmRTF1vlJ1CZGcJ8YuU/edit?usp=sharing"",""สุรินทร์!I295"")"),20)</f>
        <v>20</v>
      </c>
      <c r="Y46" s="78">
        <f ca="1">IFERROR(__xludf.DUMMYFUNCTION("IMPORTRANGE(""https://docs.google.com/spreadsheets/d/1yswqbM3-AEpThF3ZSUa1AcmHnmRTF1vlJ1CZGcJ8YuU/edit?usp=sharing"",""สุรินทร์!J295"")"),20)</f>
        <v>20</v>
      </c>
      <c r="Z46" s="79">
        <f t="shared" ca="1" si="38"/>
        <v>100</v>
      </c>
      <c r="AA46" s="315">
        <f ca="1">IFERROR(__xludf.DUMMYFUNCTION("IMPORTRANGE(""https://docs.google.com/spreadsheets/d/1yswqbM3-AEpThF3ZSUa1AcmHnmRTF1vlJ1CZGcJ8YuU/edit?usp=sharing"",""สุรินทร์!J296"")"),20)</f>
        <v>20</v>
      </c>
      <c r="AB46" s="316">
        <f t="shared" ca="1" si="39"/>
        <v>100</v>
      </c>
      <c r="AC46" s="317">
        <f ca="1">IFERROR(__xludf.DUMMYFUNCTION("IMPORTRANGE(""https://docs.google.com/spreadsheets/d/1yswqbM3-AEpThF3ZSUa1AcmHnmRTF1vlJ1CZGcJ8YuU/edit?usp=sharing"",""สุรินทร์!I295"")"),20)</f>
        <v>20</v>
      </c>
      <c r="AD46" s="317">
        <f ca="1">IFERROR(__xludf.DUMMYFUNCTION("IMPORTRANGE(""https://docs.google.com/spreadsheets/d/1yswqbM3-AEpThF3ZSUa1AcmHnmRTF1vlJ1CZGcJ8YuU/edit?usp=sharing"",""สุรินทร์!J298"")"),20)</f>
        <v>20</v>
      </c>
      <c r="AE46" s="318">
        <f t="shared" ca="1" si="41"/>
        <v>100</v>
      </c>
      <c r="AF46" s="317">
        <f ca="1">IFERROR(__xludf.DUMMYFUNCTION("IMPORTRANGE(""https://docs.google.com/spreadsheets/d/1yswqbM3-AEpThF3ZSUa1AcmHnmRTF1vlJ1CZGcJ8YuU/edit?usp=sharing"",""สุรินทร์!J299"")"),20)</f>
        <v>20</v>
      </c>
      <c r="AG46" s="318">
        <f t="shared" ca="1" si="42"/>
        <v>100</v>
      </c>
    </row>
    <row r="47" spans="1:33" ht="21" customHeight="1" x14ac:dyDescent="0.3">
      <c r="A47" s="70">
        <v>16</v>
      </c>
      <c r="B47" s="71" t="s">
        <v>75</v>
      </c>
      <c r="C47" s="149">
        <f t="shared" ca="1" si="25"/>
        <v>0</v>
      </c>
      <c r="D47" s="150">
        <f t="shared" ca="1" si="49"/>
        <v>0</v>
      </c>
      <c r="E47" s="151">
        <f ca="1">IFERROR(__xludf.DUMMYFUNCTION("IMPORTRANGE(""https://docs.google.com/spreadsheets/d/1-uDff_7J0KD5mKrp0Vvzr7lt3OU09vwQwhkpOPPYv2Y/edit?usp=sharing"",""งบพรบ!DP47"")"),0)</f>
        <v>0</v>
      </c>
      <c r="F47" s="151">
        <f ca="1">IFERROR(__xludf.DUMMYFUNCTION("IMPORTRANGE(""https://docs.google.com/spreadsheets/d/1-uDff_7J0KD5mKrp0Vvzr7lt3OU09vwQwhkpOPPYv2Y/edit?usp=sharing"",""งบพรบ!DQ47"")"),0)</f>
        <v>0</v>
      </c>
      <c r="G47" s="151">
        <f ca="1">IFERROR(__xludf.DUMMYFUNCTION("IMPORTRANGE(""https://docs.google.com/spreadsheets/d/1-uDff_7J0KD5mKrp0Vvzr7lt3OU09vwQwhkpOPPYv2Y/edit?usp=sharing"",""งบพรบ!DR47"")"),0)</f>
        <v>0</v>
      </c>
      <c r="H47" s="151">
        <f ca="1">IFERROR(__xludf.DUMMYFUNCTION("IMPORTRANGE(""https://docs.google.com/spreadsheets/d/1-uDff_7J0KD5mKrp0Vvzr7lt3OU09vwQwhkpOPPYv2Y/edit?usp=sharing"",""งบพรบ!DT47"")"),0)</f>
        <v>0</v>
      </c>
      <c r="I47" s="151">
        <f ca="1">IFERROR(__xludf.DUMMYFUNCTION("IMPORTRANGE(""https://docs.google.com/spreadsheets/d/1-uDff_7J0KD5mKrp0Vvzr7lt3OU09vwQwhkpOPPYv2Y/edit?usp=sharing"",""งบพรบ!DU47"")"),0)</f>
        <v>0</v>
      </c>
      <c r="J47" s="151">
        <f t="shared" ca="1" si="27"/>
        <v>0</v>
      </c>
      <c r="K47" s="154">
        <f t="shared" ca="1" si="28"/>
        <v>0</v>
      </c>
      <c r="L47" s="151">
        <f ca="1">IFERROR(__xludf.DUMMYFUNCTION("IMPORTRANGE(""https://docs.google.com/spreadsheets/d/1-uDff_7J0KD5mKrp0Vvzr7lt3OU09vwQwhkpOPPYv2Y/edit?usp=sharing"",""งบพรบ!DV47"")"),0)</f>
        <v>0</v>
      </c>
      <c r="M47" s="68">
        <f t="shared" ca="1" si="29"/>
        <v>0</v>
      </c>
      <c r="N47" s="68">
        <f t="shared" ca="1" si="30"/>
        <v>0</v>
      </c>
      <c r="O47" s="67">
        <f ca="1">IFERROR(__xludf.DUMMYFUNCTION("IMPORTRANGE(""https://docs.google.com/spreadsheets/d/1-uDff_7J0KD5mKrp0Vvzr7lt3OU09vwQwhkpOPPYv2Y/edit?usp=sharing"",""งบพรบ!DW47"")"),0)</f>
        <v>0</v>
      </c>
      <c r="P47" s="67">
        <f t="shared" ca="1" si="31"/>
        <v>0</v>
      </c>
      <c r="Q47" s="68">
        <f t="shared" ca="1" si="32"/>
        <v>0</v>
      </c>
      <c r="R47" s="78">
        <f ca="1">IFERROR(__xludf.DUMMYFUNCTION("IMPORTRANGE(""https://docs.google.com/spreadsheets/d/13JHU_EFbsQOUQ0JSQ3dWy1VTRosIWcDq6Nc99z2qzdc/edit?usp=sharing"",""หนองคาย!I292"")"),0)</f>
        <v>0</v>
      </c>
      <c r="S47" s="78">
        <f ca="1">IFERROR(__xludf.DUMMYFUNCTION("IMPORTRANGE(""https://docs.google.com/spreadsheets/d/13JHU_EFbsQOUQ0JSQ3dWy1VTRosIWcDq6Nc99z2qzdc/edit?usp=sharing"",""หนองคาย!J292"")"),0)</f>
        <v>0</v>
      </c>
      <c r="T47" s="79">
        <f t="shared" ca="1" si="34"/>
        <v>0</v>
      </c>
      <c r="U47" s="78">
        <f ca="1">IFERROR(__xludf.DUMMYFUNCTION("IMPORTRANGE(""https://docs.google.com/spreadsheets/d/13JHU_EFbsQOUQ0JSQ3dWy1VTRosIWcDq6Nc99z2qzdc/edit?usp=sharing"",""หนองคาย!I293"")"),0)</f>
        <v>0</v>
      </c>
      <c r="V47" s="78">
        <f ca="1">IFERROR(__xludf.DUMMYFUNCTION("IMPORTRANGE(""https://docs.google.com/spreadsheets/d/13JHU_EFbsQOUQ0JSQ3dWy1VTRosIWcDq6Nc99z2qzdc/edit?usp=sharing"",""หนองคาย!J293"")"),0)</f>
        <v>0</v>
      </c>
      <c r="W47" s="79">
        <f t="shared" ca="1" si="36"/>
        <v>0</v>
      </c>
      <c r="X47" s="78">
        <f ca="1">IFERROR(__xludf.DUMMYFUNCTION("IMPORTRANGE(""https://docs.google.com/spreadsheets/d/13JHU_EFbsQOUQ0JSQ3dWy1VTRosIWcDq6Nc99z2qzdc/edit?usp=sharing"",""หนองคาย!I295"")"),0)</f>
        <v>0</v>
      </c>
      <c r="Y47" s="78">
        <f ca="1">IFERROR(__xludf.DUMMYFUNCTION("IMPORTRANGE(""https://docs.google.com/spreadsheets/d/13JHU_EFbsQOUQ0JSQ3dWy1VTRosIWcDq6Nc99z2qzdc/edit?usp=sharing"",""หนองคาย!J295"")"),0)</f>
        <v>0</v>
      </c>
      <c r="Z47" s="79">
        <f t="shared" ca="1" si="38"/>
        <v>0</v>
      </c>
      <c r="AA47" s="315">
        <f ca="1">IFERROR(__xludf.DUMMYFUNCTION("IMPORTRANGE(""https://docs.google.com/spreadsheets/d/13JHU_EFbsQOUQ0JSQ3dWy1VTRosIWcDq6Nc99z2qzdc/edit?usp=sharing"",""หนองคาย!J296"")"),0)</f>
        <v>0</v>
      </c>
      <c r="AB47" s="316">
        <f t="shared" ca="1" si="39"/>
        <v>0</v>
      </c>
      <c r="AC47" s="317">
        <f ca="1">IFERROR(__xludf.DUMMYFUNCTION("IMPORTRANGE(""https://docs.google.com/spreadsheets/d/13JHU_EFbsQOUQ0JSQ3dWy1VTRosIWcDq6Nc99z2qzdc/edit?usp=sharing"",""หนองคาย!I295"")"),0)</f>
        <v>0</v>
      </c>
      <c r="AD47" s="288" t="str">
        <f ca="1">IFERROR(__xludf.DUMMYFUNCTION("IMPORTRANGE(""https://docs.google.com/spreadsheets/d/13JHU_EFbsQOUQ0JSQ3dWy1VTRosIWcDq6Nc99z2qzdc/edit?usp=sharing"",""หนองคาย!J298"")"),"")</f>
        <v/>
      </c>
      <c r="AE47" s="318">
        <f t="shared" ca="1" si="41"/>
        <v>0</v>
      </c>
      <c r="AF47" s="288" t="str">
        <f ca="1">IFERROR(__xludf.DUMMYFUNCTION("IMPORTRANGE(""https://docs.google.com/spreadsheets/d/13JHU_EFbsQOUQ0JSQ3dWy1VTRosIWcDq6Nc99z2qzdc/edit?usp=sharing"",""หนองคาย!J299"")"),"")</f>
        <v/>
      </c>
      <c r="AG47" s="318">
        <f t="shared" ca="1" si="42"/>
        <v>0</v>
      </c>
    </row>
    <row r="48" spans="1:33" ht="21" customHeight="1" x14ac:dyDescent="0.3">
      <c r="A48" s="70">
        <v>17</v>
      </c>
      <c r="B48" s="71" t="s">
        <v>76</v>
      </c>
      <c r="C48" s="149">
        <f t="shared" ca="1" si="25"/>
        <v>85700</v>
      </c>
      <c r="D48" s="150">
        <f t="shared" ca="1" si="49"/>
        <v>85700</v>
      </c>
      <c r="E48" s="151">
        <f ca="1">IFERROR(__xludf.DUMMYFUNCTION("IMPORTRANGE(""https://docs.google.com/spreadsheets/d/1-uDff_7J0KD5mKrp0Vvzr7lt3OU09vwQwhkpOPPYv2Y/edit?usp=sharing"",""งบพรบ!DP48"")"),0)</f>
        <v>0</v>
      </c>
      <c r="F48" s="151">
        <f ca="1">IFERROR(__xludf.DUMMYFUNCTION("IMPORTRANGE(""https://docs.google.com/spreadsheets/d/1-uDff_7J0KD5mKrp0Vvzr7lt3OU09vwQwhkpOPPYv2Y/edit?usp=sharing"",""งบพรบ!DQ48"")"),85700)</f>
        <v>85700</v>
      </c>
      <c r="G48" s="151">
        <f ca="1">IFERROR(__xludf.DUMMYFUNCTION("IMPORTRANGE(""https://docs.google.com/spreadsheets/d/1-uDff_7J0KD5mKrp0Vvzr7lt3OU09vwQwhkpOPPYv2Y/edit?usp=sharing"",""งบพรบ!DR48"")"),0)</f>
        <v>0</v>
      </c>
      <c r="H48" s="151">
        <f ca="1">IFERROR(__xludf.DUMMYFUNCTION("IMPORTRANGE(""https://docs.google.com/spreadsheets/d/1-uDff_7J0KD5mKrp0Vvzr7lt3OU09vwQwhkpOPPYv2Y/edit?usp=sharing"",""งบพรบ!DT48"")"),97430)</f>
        <v>97430</v>
      </c>
      <c r="I48" s="151">
        <f ca="1">IFERROR(__xludf.DUMMYFUNCTION("IMPORTRANGE(""https://docs.google.com/spreadsheets/d/1-uDff_7J0KD5mKrp0Vvzr7lt3OU09vwQwhkpOPPYv2Y/edit?usp=sharing"",""งบพรบ!DU48"")"),0)</f>
        <v>0</v>
      </c>
      <c r="J48" s="151">
        <f t="shared" ca="1" si="27"/>
        <v>56920</v>
      </c>
      <c r="K48" s="154">
        <f t="shared" ca="1" si="28"/>
        <v>66.417736289381565</v>
      </c>
      <c r="L48" s="151">
        <f ca="1">IFERROR(__xludf.DUMMYFUNCTION("IMPORTRANGE(""https://docs.google.com/spreadsheets/d/1-uDff_7J0KD5mKrp0Vvzr7lt3OU09vwQwhkpOPPYv2Y/edit?usp=sharing"",""งบพรบ!DV48"")"),56920)</f>
        <v>56920</v>
      </c>
      <c r="M48" s="68">
        <f t="shared" ca="1" si="29"/>
        <v>66.417736289381565</v>
      </c>
      <c r="N48" s="68">
        <f t="shared" ca="1" si="30"/>
        <v>58.421430770809813</v>
      </c>
      <c r="O48" s="67">
        <f ca="1">IFERROR(__xludf.DUMMYFUNCTION("IMPORTRANGE(""https://docs.google.com/spreadsheets/d/1-uDff_7J0KD5mKrp0Vvzr7lt3OU09vwQwhkpOPPYv2Y/edit?usp=sharing"",""งบพรบ!DW48"")"),0)</f>
        <v>0</v>
      </c>
      <c r="P48" s="67">
        <f t="shared" ca="1" si="31"/>
        <v>0</v>
      </c>
      <c r="Q48" s="68">
        <f t="shared" ca="1" si="32"/>
        <v>0</v>
      </c>
      <c r="R48" s="78">
        <f ca="1">IFERROR(__xludf.DUMMYFUNCTION("IMPORTRANGE(""https://docs.google.com/spreadsheets/d/1Hx73zIEgVdDZZaYSTc46Dqv64atFhpr3GelxLbaIN8A/edit?usp=sharing"",""หนองบัวลำภู!I292"")"),300)</f>
        <v>300</v>
      </c>
      <c r="S48" s="78">
        <f ca="1">IFERROR(__xludf.DUMMYFUNCTION("IMPORTRANGE(""https://docs.google.com/spreadsheets/d/1Hx73zIEgVdDZZaYSTc46Dqv64atFhpr3GelxLbaIN8A/edit?usp=sharing"",""หนองบัวลำภู!J292"")"),300)</f>
        <v>300</v>
      </c>
      <c r="T48" s="79">
        <f t="shared" ca="1" si="34"/>
        <v>100</v>
      </c>
      <c r="U48" s="78">
        <f ca="1">IFERROR(__xludf.DUMMYFUNCTION("IMPORTRANGE(""https://docs.google.com/spreadsheets/d/1Hx73zIEgVdDZZaYSTc46Dqv64atFhpr3GelxLbaIN8A/edit?usp=sharing"",""หนองบัวลำภู!I293"")"),30)</f>
        <v>30</v>
      </c>
      <c r="V48" s="78">
        <f ca="1">IFERROR(__xludf.DUMMYFUNCTION("IMPORTRANGE(""https://docs.google.com/spreadsheets/d/1Hx73zIEgVdDZZaYSTc46Dqv64atFhpr3GelxLbaIN8A/edit?usp=sharing"",""หนองบัวลำภู!J293"")"),30)</f>
        <v>30</v>
      </c>
      <c r="W48" s="79">
        <f t="shared" ca="1" si="36"/>
        <v>100</v>
      </c>
      <c r="X48" s="78">
        <f ca="1">IFERROR(__xludf.DUMMYFUNCTION("IMPORTRANGE(""https://docs.google.com/spreadsheets/d/1Hx73zIEgVdDZZaYSTc46Dqv64atFhpr3GelxLbaIN8A/edit?usp=sharing"",""หนองบัวลำภู!I295"")"),30)</f>
        <v>30</v>
      </c>
      <c r="Y48" s="78">
        <f ca="1">IFERROR(__xludf.DUMMYFUNCTION("IMPORTRANGE(""https://docs.google.com/spreadsheets/d/1Hx73zIEgVdDZZaYSTc46Dqv64atFhpr3GelxLbaIN8A/edit?usp=sharing"",""หนองบัวลำภู!J295"")"),30)</f>
        <v>30</v>
      </c>
      <c r="Z48" s="79">
        <f t="shared" ca="1" si="38"/>
        <v>100</v>
      </c>
      <c r="AA48" s="315">
        <f ca="1">IFERROR(__xludf.DUMMYFUNCTION("IMPORTRANGE(""https://docs.google.com/spreadsheets/d/1Hx73zIEgVdDZZaYSTc46Dqv64atFhpr3GelxLbaIN8A/edit?usp=sharing"",""หนองบัวลำภู!J296"")"),30)</f>
        <v>30</v>
      </c>
      <c r="AB48" s="316">
        <f t="shared" ca="1" si="39"/>
        <v>100</v>
      </c>
      <c r="AC48" s="317">
        <f ca="1">IFERROR(__xludf.DUMMYFUNCTION("IMPORTRANGE(""https://docs.google.com/spreadsheets/d/1Hx73zIEgVdDZZaYSTc46Dqv64atFhpr3GelxLbaIN8A/edit?usp=sharing"",""หนองบัวลำภู!I295"")"),30)</f>
        <v>30</v>
      </c>
      <c r="AD48" s="317">
        <f ca="1">IFERROR(__xludf.DUMMYFUNCTION("IMPORTRANGE(""https://docs.google.com/spreadsheets/d/1Hx73zIEgVdDZZaYSTc46Dqv64atFhpr3GelxLbaIN8A/edit?usp=sharing"",""หนองบัวลำภู!J298"")"),30)</f>
        <v>30</v>
      </c>
      <c r="AE48" s="318">
        <f t="shared" ca="1" si="41"/>
        <v>100</v>
      </c>
      <c r="AF48" s="317">
        <f ca="1">IFERROR(__xludf.DUMMYFUNCTION("IMPORTRANGE(""https://docs.google.com/spreadsheets/d/1Hx73zIEgVdDZZaYSTc46Dqv64atFhpr3GelxLbaIN8A/edit?usp=sharing"",""หนองบัวลำภู!J299"")"),30)</f>
        <v>30</v>
      </c>
      <c r="AG48" s="318">
        <f t="shared" ca="1" si="42"/>
        <v>100</v>
      </c>
    </row>
    <row r="49" spans="1:33" ht="21" customHeight="1" x14ac:dyDescent="0.3">
      <c r="A49" s="70">
        <v>18</v>
      </c>
      <c r="B49" s="71" t="s">
        <v>77</v>
      </c>
      <c r="C49" s="149">
        <f t="shared" ca="1" si="25"/>
        <v>0</v>
      </c>
      <c r="D49" s="150">
        <f t="shared" ca="1" si="49"/>
        <v>0</v>
      </c>
      <c r="E49" s="151">
        <f ca="1">IFERROR(__xludf.DUMMYFUNCTION("IMPORTRANGE(""https://docs.google.com/spreadsheets/d/1-uDff_7J0KD5mKrp0Vvzr7lt3OU09vwQwhkpOPPYv2Y/edit?usp=sharing"",""งบพรบ!DP49"")"),0)</f>
        <v>0</v>
      </c>
      <c r="F49" s="151">
        <f ca="1">IFERROR(__xludf.DUMMYFUNCTION("IMPORTRANGE(""https://docs.google.com/spreadsheets/d/1-uDff_7J0KD5mKrp0Vvzr7lt3OU09vwQwhkpOPPYv2Y/edit?usp=sharing"",""งบพรบ!DQ49"")"),0)</f>
        <v>0</v>
      </c>
      <c r="G49" s="151">
        <f ca="1">IFERROR(__xludf.DUMMYFUNCTION("IMPORTRANGE(""https://docs.google.com/spreadsheets/d/1-uDff_7J0KD5mKrp0Vvzr7lt3OU09vwQwhkpOPPYv2Y/edit?usp=sharing"",""งบพรบ!DR49"")"),0)</f>
        <v>0</v>
      </c>
      <c r="H49" s="151">
        <f ca="1">IFERROR(__xludf.DUMMYFUNCTION("IMPORTRANGE(""https://docs.google.com/spreadsheets/d/1-uDff_7J0KD5mKrp0Vvzr7lt3OU09vwQwhkpOPPYv2Y/edit?usp=sharing"",""งบพรบ!DT49"")"),0)</f>
        <v>0</v>
      </c>
      <c r="I49" s="151">
        <f ca="1">IFERROR(__xludf.DUMMYFUNCTION("IMPORTRANGE(""https://docs.google.com/spreadsheets/d/1-uDff_7J0KD5mKrp0Vvzr7lt3OU09vwQwhkpOPPYv2Y/edit?usp=sharing"",""งบพรบ!DU49"")"),0)</f>
        <v>0</v>
      </c>
      <c r="J49" s="151">
        <f t="shared" ca="1" si="27"/>
        <v>0</v>
      </c>
      <c r="K49" s="154">
        <f t="shared" ca="1" si="28"/>
        <v>0</v>
      </c>
      <c r="L49" s="151">
        <f ca="1">IFERROR(__xludf.DUMMYFUNCTION("IMPORTRANGE(""https://docs.google.com/spreadsheets/d/1-uDff_7J0KD5mKrp0Vvzr7lt3OU09vwQwhkpOPPYv2Y/edit?usp=sharing"",""งบพรบ!DV49"")"),0)</f>
        <v>0</v>
      </c>
      <c r="M49" s="68">
        <f t="shared" ca="1" si="29"/>
        <v>0</v>
      </c>
      <c r="N49" s="68">
        <f t="shared" ca="1" si="30"/>
        <v>0</v>
      </c>
      <c r="O49" s="67">
        <f ca="1">IFERROR(__xludf.DUMMYFUNCTION("IMPORTRANGE(""https://docs.google.com/spreadsheets/d/1-uDff_7J0KD5mKrp0Vvzr7lt3OU09vwQwhkpOPPYv2Y/edit?usp=sharing"",""งบพรบ!DW49"")"),0)</f>
        <v>0</v>
      </c>
      <c r="P49" s="67">
        <f t="shared" ca="1" si="31"/>
        <v>0</v>
      </c>
      <c r="Q49" s="68">
        <f t="shared" ca="1" si="32"/>
        <v>0</v>
      </c>
      <c r="R49" s="78">
        <f ca="1">IFERROR(__xludf.DUMMYFUNCTION("IMPORTRANGE(""https://docs.google.com/spreadsheets/d/1lFxr3ctmjFN90yc-xV6jrQ9Ty8BKYVBWnAZ15wcNIJc/edit?usp=sharing"",""อำนาจเจริญ!I292"")"),0)</f>
        <v>0</v>
      </c>
      <c r="S49" s="78">
        <f ca="1">IFERROR(__xludf.DUMMYFUNCTION("IMPORTRANGE(""https://docs.google.com/spreadsheets/d/1lFxr3ctmjFN90yc-xV6jrQ9Ty8BKYVBWnAZ15wcNIJc/edit?usp=sharing"",""อำนาจเจริญ!J292"")"),0)</f>
        <v>0</v>
      </c>
      <c r="T49" s="79">
        <f t="shared" ca="1" si="34"/>
        <v>0</v>
      </c>
      <c r="U49" s="78">
        <f ca="1">IFERROR(__xludf.DUMMYFUNCTION("IMPORTRANGE(""https://docs.google.com/spreadsheets/d/1lFxr3ctmjFN90yc-xV6jrQ9Ty8BKYVBWnAZ15wcNIJc/edit?usp=sharing"",""อำนาจเจริญ!I293"")"),0)</f>
        <v>0</v>
      </c>
      <c r="V49" s="78">
        <f ca="1">IFERROR(__xludf.DUMMYFUNCTION("IMPORTRANGE(""https://docs.google.com/spreadsheets/d/1lFxr3ctmjFN90yc-xV6jrQ9Ty8BKYVBWnAZ15wcNIJc/edit?usp=sharing"",""อำนาจเจริญ!J293"")"),0)</f>
        <v>0</v>
      </c>
      <c r="W49" s="79">
        <f t="shared" ca="1" si="36"/>
        <v>0</v>
      </c>
      <c r="X49" s="78">
        <f ca="1">IFERROR(__xludf.DUMMYFUNCTION("IMPORTRANGE(""https://docs.google.com/spreadsheets/d/1lFxr3ctmjFN90yc-xV6jrQ9Ty8BKYVBWnAZ15wcNIJc/edit?usp=sharing"",""อำนาจเจริญ!I295"")"),0)</f>
        <v>0</v>
      </c>
      <c r="Y49" s="78">
        <f ca="1">IFERROR(__xludf.DUMMYFUNCTION("IMPORTRANGE(""https://docs.google.com/spreadsheets/d/1lFxr3ctmjFN90yc-xV6jrQ9Ty8BKYVBWnAZ15wcNIJc/edit?usp=sharing"",""อำนาจเจริญ!J295"")"),0)</f>
        <v>0</v>
      </c>
      <c r="Z49" s="79">
        <f t="shared" ca="1" si="38"/>
        <v>0</v>
      </c>
      <c r="AA49" s="315">
        <f ca="1">IFERROR(__xludf.DUMMYFUNCTION("IMPORTRANGE(""https://docs.google.com/spreadsheets/d/1lFxr3ctmjFN90yc-xV6jrQ9Ty8BKYVBWnAZ15wcNIJc/edit?usp=sharing"",""อำนาจเจริญ!J296"")"),0)</f>
        <v>0</v>
      </c>
      <c r="AB49" s="316">
        <f t="shared" ca="1" si="39"/>
        <v>0</v>
      </c>
      <c r="AC49" s="317">
        <f ca="1">IFERROR(__xludf.DUMMYFUNCTION("IMPORTRANGE(""https://docs.google.com/spreadsheets/d/1lFxr3ctmjFN90yc-xV6jrQ9Ty8BKYVBWnAZ15wcNIJc/edit?usp=sharing"",""อำนาจเจริญ!I295"")"),0)</f>
        <v>0</v>
      </c>
      <c r="AD49" s="288" t="str">
        <f ca="1">IFERROR(__xludf.DUMMYFUNCTION("IMPORTRANGE(""https://docs.google.com/spreadsheets/d/1lFxr3ctmjFN90yc-xV6jrQ9Ty8BKYVBWnAZ15wcNIJc/edit?usp=sharing"",""อำนาจเจริญ!J298"")"),"")</f>
        <v/>
      </c>
      <c r="AE49" s="318">
        <f t="shared" ca="1" si="41"/>
        <v>0</v>
      </c>
      <c r="AF49" s="288" t="str">
        <f ca="1">IFERROR(__xludf.DUMMYFUNCTION("IMPORTRANGE(""https://docs.google.com/spreadsheets/d/1lFxr3ctmjFN90yc-xV6jrQ9Ty8BKYVBWnAZ15wcNIJc/edit?usp=sharing"",""อำนาจเจริญ!J299"")"),"")</f>
        <v/>
      </c>
      <c r="AG49" s="318">
        <f t="shared" ca="1" si="42"/>
        <v>0</v>
      </c>
    </row>
    <row r="50" spans="1:33" ht="21" customHeight="1" x14ac:dyDescent="0.3">
      <c r="A50" s="70">
        <v>19</v>
      </c>
      <c r="B50" s="71" t="s">
        <v>78</v>
      </c>
      <c r="C50" s="149">
        <f t="shared" ca="1" si="25"/>
        <v>106700</v>
      </c>
      <c r="D50" s="150">
        <f t="shared" ca="1" si="49"/>
        <v>106700</v>
      </c>
      <c r="E50" s="151">
        <f ca="1">IFERROR(__xludf.DUMMYFUNCTION("IMPORTRANGE(""https://docs.google.com/spreadsheets/d/1-uDff_7J0KD5mKrp0Vvzr7lt3OU09vwQwhkpOPPYv2Y/edit?usp=sharing"",""งบพรบ!DP50"")"),0)</f>
        <v>0</v>
      </c>
      <c r="F50" s="151">
        <f ca="1">IFERROR(__xludf.DUMMYFUNCTION("IMPORTRANGE(""https://docs.google.com/spreadsheets/d/1-uDff_7J0KD5mKrp0Vvzr7lt3OU09vwQwhkpOPPYv2Y/edit?usp=sharing"",""งบพรบ!DQ50"")"),106700)</f>
        <v>106700</v>
      </c>
      <c r="G50" s="151">
        <f ca="1">IFERROR(__xludf.DUMMYFUNCTION("IMPORTRANGE(""https://docs.google.com/spreadsheets/d/1-uDff_7J0KD5mKrp0Vvzr7lt3OU09vwQwhkpOPPYv2Y/edit?usp=sharing"",""งบพรบ!DR50"")"),0)</f>
        <v>0</v>
      </c>
      <c r="H50" s="151">
        <f ca="1">IFERROR(__xludf.DUMMYFUNCTION("IMPORTRANGE(""https://docs.google.com/spreadsheets/d/1-uDff_7J0KD5mKrp0Vvzr7lt3OU09vwQwhkpOPPYv2Y/edit?usp=sharing"",""งบพรบ!DT50"")"),118350)</f>
        <v>118350</v>
      </c>
      <c r="I50" s="151">
        <f ca="1">IFERROR(__xludf.DUMMYFUNCTION("IMPORTRANGE(""https://docs.google.com/spreadsheets/d/1-uDff_7J0KD5mKrp0Vvzr7lt3OU09vwQwhkpOPPYv2Y/edit?usp=sharing"",""งบพรบ!DU50"")"),0)</f>
        <v>0</v>
      </c>
      <c r="J50" s="151">
        <f t="shared" ca="1" si="27"/>
        <v>81990</v>
      </c>
      <c r="K50" s="154">
        <f t="shared" ca="1" si="28"/>
        <v>76.841611996251174</v>
      </c>
      <c r="L50" s="151">
        <f ca="1">IFERROR(__xludf.DUMMYFUNCTION("IMPORTRANGE(""https://docs.google.com/spreadsheets/d/1-uDff_7J0KD5mKrp0Vvzr7lt3OU09vwQwhkpOPPYv2Y/edit?usp=sharing"",""งบพรบ!DV50"")"),81990)</f>
        <v>81990</v>
      </c>
      <c r="M50" s="68">
        <f t="shared" ca="1" si="29"/>
        <v>76.841611996251174</v>
      </c>
      <c r="N50" s="68">
        <f t="shared" ca="1" si="30"/>
        <v>69.277566539923953</v>
      </c>
      <c r="O50" s="67">
        <f ca="1">IFERROR(__xludf.DUMMYFUNCTION("IMPORTRANGE(""https://docs.google.com/spreadsheets/d/1-uDff_7J0KD5mKrp0Vvzr7lt3OU09vwQwhkpOPPYv2Y/edit?usp=sharing"",""งบพรบ!DW50"")"),0)</f>
        <v>0</v>
      </c>
      <c r="P50" s="67">
        <f t="shared" ca="1" si="31"/>
        <v>0</v>
      </c>
      <c r="Q50" s="68">
        <f t="shared" ca="1" si="32"/>
        <v>0</v>
      </c>
      <c r="R50" s="78">
        <f ca="1">IFERROR(__xludf.DUMMYFUNCTION("IMPORTRANGE(""https://docs.google.com/spreadsheets/d/1gF7RJpRnL-1oyjyeWxs5SFWEH7y8ahOZsQlyp2A2e-A/edit?usp=sharing"",""อุดรธานี!I292"")"),400)</f>
        <v>400</v>
      </c>
      <c r="S50" s="78">
        <f ca="1">IFERROR(__xludf.DUMMYFUNCTION("IMPORTRANGE(""https://docs.google.com/spreadsheets/d/1gF7RJpRnL-1oyjyeWxs5SFWEH7y8ahOZsQlyp2A2e-A/edit?usp=sharing"",""อุดรธานี!J292"")"),400)</f>
        <v>400</v>
      </c>
      <c r="T50" s="79">
        <f t="shared" ca="1" si="34"/>
        <v>100</v>
      </c>
      <c r="U50" s="78">
        <f ca="1">IFERROR(__xludf.DUMMYFUNCTION("IMPORTRANGE(""https://docs.google.com/spreadsheets/d/1gF7RJpRnL-1oyjyeWxs5SFWEH7y8ahOZsQlyp2A2e-A/edit?usp=sharing"",""อุดรธานี!I293"")"),40)</f>
        <v>40</v>
      </c>
      <c r="V50" s="78">
        <f ca="1">IFERROR(__xludf.DUMMYFUNCTION("IMPORTRANGE(""https://docs.google.com/spreadsheets/d/1gF7RJpRnL-1oyjyeWxs5SFWEH7y8ahOZsQlyp2A2e-A/edit?usp=sharing"",""อุดรธานี!J293"")"),40)</f>
        <v>40</v>
      </c>
      <c r="W50" s="79">
        <f t="shared" ca="1" si="36"/>
        <v>100</v>
      </c>
      <c r="X50" s="78">
        <f ca="1">IFERROR(__xludf.DUMMYFUNCTION("IMPORTRANGE(""https://docs.google.com/spreadsheets/d/1gF7RJpRnL-1oyjyeWxs5SFWEH7y8ahOZsQlyp2A2e-A/edit?usp=sharing"",""อุดรธานี!I295"")"),40)</f>
        <v>40</v>
      </c>
      <c r="Y50" s="78">
        <f ca="1">IFERROR(__xludf.DUMMYFUNCTION("IMPORTRANGE(""https://docs.google.com/spreadsheets/d/1gF7RJpRnL-1oyjyeWxs5SFWEH7y8ahOZsQlyp2A2e-A/edit?usp=sharing"",""อุดรธานี!J295"")"),40)</f>
        <v>40</v>
      </c>
      <c r="Z50" s="79">
        <f t="shared" ca="1" si="38"/>
        <v>100</v>
      </c>
      <c r="AA50" s="315">
        <f ca="1">IFERROR(__xludf.DUMMYFUNCTION("IMPORTRANGE(""https://docs.google.com/spreadsheets/d/1gF7RJpRnL-1oyjyeWxs5SFWEH7y8ahOZsQlyp2A2e-A/edit?usp=sharing"",""อุดรธานี!J296"")"),40)</f>
        <v>40</v>
      </c>
      <c r="AB50" s="316">
        <f t="shared" ca="1" si="39"/>
        <v>100</v>
      </c>
      <c r="AC50" s="317">
        <f ca="1">IFERROR(__xludf.DUMMYFUNCTION("IMPORTRANGE(""https://docs.google.com/spreadsheets/d/1gF7RJpRnL-1oyjyeWxs5SFWEH7y8ahOZsQlyp2A2e-A/edit?usp=sharing"",""อุดรธานี!I295"")"),40)</f>
        <v>40</v>
      </c>
      <c r="AD50" s="317">
        <f ca="1">IFERROR(__xludf.DUMMYFUNCTION("IMPORTRANGE(""https://docs.google.com/spreadsheets/d/1gF7RJpRnL-1oyjyeWxs5SFWEH7y8ahOZsQlyp2A2e-A/edit?usp=sharing"",""อุดรธานี!J298"")"),40)</f>
        <v>40</v>
      </c>
      <c r="AE50" s="318">
        <f t="shared" ca="1" si="41"/>
        <v>100</v>
      </c>
      <c r="AF50" s="317">
        <f ca="1">IFERROR(__xludf.DUMMYFUNCTION("IMPORTRANGE(""https://docs.google.com/spreadsheets/d/1gF7RJpRnL-1oyjyeWxs5SFWEH7y8ahOZsQlyp2A2e-A/edit?usp=sharing"",""อุดรธานี!J299"")"),40)</f>
        <v>40</v>
      </c>
      <c r="AG50" s="318">
        <f t="shared" ca="1" si="42"/>
        <v>100</v>
      </c>
    </row>
    <row r="51" spans="1:33" ht="21" customHeight="1" x14ac:dyDescent="0.3">
      <c r="A51" s="80">
        <v>20</v>
      </c>
      <c r="B51" s="81" t="s">
        <v>79</v>
      </c>
      <c r="C51" s="165">
        <f t="shared" ca="1" si="25"/>
        <v>85700</v>
      </c>
      <c r="D51" s="166">
        <f t="shared" ca="1" si="49"/>
        <v>85700</v>
      </c>
      <c r="E51" s="167">
        <f ca="1">IFERROR(__xludf.DUMMYFUNCTION("IMPORTRANGE(""https://docs.google.com/spreadsheets/d/1-uDff_7J0KD5mKrp0Vvzr7lt3OU09vwQwhkpOPPYv2Y/edit?usp=sharing"",""งบพรบ!DP51"")"),0)</f>
        <v>0</v>
      </c>
      <c r="F51" s="167">
        <f ca="1">IFERROR(__xludf.DUMMYFUNCTION("IMPORTRANGE(""https://docs.google.com/spreadsheets/d/1-uDff_7J0KD5mKrp0Vvzr7lt3OU09vwQwhkpOPPYv2Y/edit?usp=sharing"",""งบพรบ!DQ51"")"),85700)</f>
        <v>85700</v>
      </c>
      <c r="G51" s="167">
        <f ca="1">IFERROR(__xludf.DUMMYFUNCTION("IMPORTRANGE(""https://docs.google.com/spreadsheets/d/1-uDff_7J0KD5mKrp0Vvzr7lt3OU09vwQwhkpOPPYv2Y/edit?usp=sharing"",""งบพรบ!DR51"")"),0)</f>
        <v>0</v>
      </c>
      <c r="H51" s="167">
        <f ca="1">IFERROR(__xludf.DUMMYFUNCTION("IMPORTRANGE(""https://docs.google.com/spreadsheets/d/1-uDff_7J0KD5mKrp0Vvzr7lt3OU09vwQwhkpOPPYv2Y/edit?usp=sharing"",""งบพรบ!DT51"")"),97990)</f>
        <v>97990</v>
      </c>
      <c r="I51" s="167">
        <f ca="1">IFERROR(__xludf.DUMMYFUNCTION("IMPORTRANGE(""https://docs.google.com/spreadsheets/d/1-uDff_7J0KD5mKrp0Vvzr7lt3OU09vwQwhkpOPPYv2Y/edit?usp=sharing"",""งบพรบ!DU51"")"),0)</f>
        <v>0</v>
      </c>
      <c r="J51" s="167">
        <f t="shared" ca="1" si="27"/>
        <v>86786</v>
      </c>
      <c r="K51" s="168">
        <f t="shared" ca="1" si="28"/>
        <v>101.26721120186697</v>
      </c>
      <c r="L51" s="167">
        <f ca="1">IFERROR(__xludf.DUMMYFUNCTION("IMPORTRANGE(""https://docs.google.com/spreadsheets/d/1-uDff_7J0KD5mKrp0Vvzr7lt3OU09vwQwhkpOPPYv2Y/edit?usp=sharing"",""งบพรบ!DV51"")"),86786)</f>
        <v>86786</v>
      </c>
      <c r="M51" s="97">
        <f t="shared" ca="1" si="29"/>
        <v>101.26721120186697</v>
      </c>
      <c r="N51" s="97">
        <f t="shared" ca="1" si="30"/>
        <v>88.566180222471687</v>
      </c>
      <c r="O51" s="96">
        <f ca="1">IFERROR(__xludf.DUMMYFUNCTION("IMPORTRANGE(""https://docs.google.com/spreadsheets/d/1-uDff_7J0KD5mKrp0Vvzr7lt3OU09vwQwhkpOPPYv2Y/edit?usp=sharing"",""งบพรบ!DW51"")"),0)</f>
        <v>0</v>
      </c>
      <c r="P51" s="96">
        <f t="shared" ca="1" si="31"/>
        <v>0</v>
      </c>
      <c r="Q51" s="97">
        <f t="shared" ca="1" si="32"/>
        <v>0</v>
      </c>
      <c r="R51" s="90">
        <f ca="1">IFERROR(__xludf.DUMMYFUNCTION("IMPORTRANGE(""https://docs.google.com/spreadsheets/d/1kfLP0j3INXRa8bTDpcEmoWewMBV61jlFlfzczfjWIgc/edit?usp=sharing"",""อุบลราชธานี!I292"")"),300)</f>
        <v>300</v>
      </c>
      <c r="S51" s="90">
        <f ca="1">IFERROR(__xludf.DUMMYFUNCTION("IMPORTRANGE(""https://docs.google.com/spreadsheets/d/1kfLP0j3INXRa8bTDpcEmoWewMBV61jlFlfzczfjWIgc/edit?usp=sharing"",""อุบลราชธานี!J292"")"),300)</f>
        <v>300</v>
      </c>
      <c r="T51" s="91">
        <f t="shared" ca="1" si="34"/>
        <v>100</v>
      </c>
      <c r="U51" s="90">
        <f ca="1">IFERROR(__xludf.DUMMYFUNCTION("IMPORTRANGE(""https://docs.google.com/spreadsheets/d/1kfLP0j3INXRa8bTDpcEmoWewMBV61jlFlfzczfjWIgc/edit?usp=sharing"",""อุบลราชธานี!I293"")"),30)</f>
        <v>30</v>
      </c>
      <c r="V51" s="90">
        <f ca="1">IFERROR(__xludf.DUMMYFUNCTION("IMPORTRANGE(""https://docs.google.com/spreadsheets/d/1kfLP0j3INXRa8bTDpcEmoWewMBV61jlFlfzczfjWIgc/edit?usp=sharing"",""อุบลราชธานี!J293"")"),30)</f>
        <v>30</v>
      </c>
      <c r="W51" s="91">
        <f t="shared" ca="1" si="36"/>
        <v>100</v>
      </c>
      <c r="X51" s="90">
        <f ca="1">IFERROR(__xludf.DUMMYFUNCTION("IMPORTRANGE(""https://docs.google.com/spreadsheets/d/1kfLP0j3INXRa8bTDpcEmoWewMBV61jlFlfzczfjWIgc/edit?usp=sharing"",""อุบลราชธานี!I295"")"),30)</f>
        <v>30</v>
      </c>
      <c r="Y51" s="90">
        <f ca="1">IFERROR(__xludf.DUMMYFUNCTION("IMPORTRANGE(""https://docs.google.com/spreadsheets/d/1kfLP0j3INXRa8bTDpcEmoWewMBV61jlFlfzczfjWIgc/edit?usp=sharing"",""อุบลราชธานี!J295"")"),30)</f>
        <v>30</v>
      </c>
      <c r="Z51" s="91">
        <f t="shared" ca="1" si="38"/>
        <v>100</v>
      </c>
      <c r="AA51" s="319">
        <f ca="1">IFERROR(__xludf.DUMMYFUNCTION("IMPORTRANGE(""https://docs.google.com/spreadsheets/d/1kfLP0j3INXRa8bTDpcEmoWewMBV61jlFlfzczfjWIgc/edit?usp=sharing"",""อุบลราชธานี!J296"")"),30)</f>
        <v>30</v>
      </c>
      <c r="AB51" s="320">
        <f t="shared" ca="1" si="39"/>
        <v>100</v>
      </c>
      <c r="AC51" s="321">
        <f ca="1">IFERROR(__xludf.DUMMYFUNCTION("IMPORTRANGE(""https://docs.google.com/spreadsheets/d/1kfLP0j3INXRa8bTDpcEmoWewMBV61jlFlfzczfjWIgc/edit?usp=sharing"",""อุบลราชธานี!I295"")"),30)</f>
        <v>30</v>
      </c>
      <c r="AD51" s="321">
        <f ca="1">IFERROR(__xludf.DUMMYFUNCTION("IMPORTRANGE(""https://docs.google.com/spreadsheets/d/1kfLP0j3INXRa8bTDpcEmoWewMBV61jlFlfzczfjWIgc/edit?usp=sharing"",""อุบลราชธานี!J298"")"),30)</f>
        <v>30</v>
      </c>
      <c r="AE51" s="322">
        <f t="shared" ca="1" si="41"/>
        <v>100</v>
      </c>
      <c r="AF51" s="321">
        <f ca="1">IFERROR(__xludf.DUMMYFUNCTION("IMPORTRANGE(""https://docs.google.com/spreadsheets/d/1kfLP0j3INXRa8bTDpcEmoWewMBV61jlFlfzczfjWIgc/edit?usp=sharing"",""อุบลราชธานี!J299"")"),30)</f>
        <v>30</v>
      </c>
      <c r="AG51" s="322">
        <f t="shared" ca="1" si="42"/>
        <v>100</v>
      </c>
    </row>
    <row r="52" spans="1:33" ht="21" customHeight="1" x14ac:dyDescent="0.3">
      <c r="A52" s="712" t="s">
        <v>80</v>
      </c>
      <c r="B52" s="647"/>
      <c r="C52" s="145">
        <f t="shared" ca="1" si="25"/>
        <v>567120</v>
      </c>
      <c r="D52" s="145">
        <f t="shared" ref="D52:I52" ca="1" si="50">SUM(D53:D73)</f>
        <v>567120</v>
      </c>
      <c r="E52" s="145">
        <f t="shared" ca="1" si="50"/>
        <v>126500</v>
      </c>
      <c r="F52" s="145">
        <f t="shared" ca="1" si="50"/>
        <v>440620</v>
      </c>
      <c r="G52" s="145">
        <f t="shared" ca="1" si="50"/>
        <v>0</v>
      </c>
      <c r="H52" s="145">
        <f t="shared" ca="1" si="50"/>
        <v>594900</v>
      </c>
      <c r="I52" s="145">
        <f t="shared" ca="1" si="50"/>
        <v>0</v>
      </c>
      <c r="J52" s="145">
        <f t="shared" ca="1" si="27"/>
        <v>313390</v>
      </c>
      <c r="K52" s="146">
        <f t="shared" ca="1" si="28"/>
        <v>55.259909719283399</v>
      </c>
      <c r="L52" s="145">
        <f ca="1">SUM(L53:L73)</f>
        <v>313390</v>
      </c>
      <c r="M52" s="57">
        <f t="shared" ca="1" si="29"/>
        <v>55.259909719283399</v>
      </c>
      <c r="N52" s="57">
        <f t="shared" ca="1" si="30"/>
        <v>52.67944192301227</v>
      </c>
      <c r="O52" s="56">
        <f ca="1">SUM(O53:O73)</f>
        <v>0</v>
      </c>
      <c r="P52" s="56">
        <f t="shared" ca="1" si="31"/>
        <v>0</v>
      </c>
      <c r="Q52" s="57">
        <f t="shared" ca="1" si="32"/>
        <v>0</v>
      </c>
      <c r="R52" s="52">
        <f t="shared" ref="R52:S52" ca="1" si="51">SUM(R53:R73)</f>
        <v>1400</v>
      </c>
      <c r="S52" s="52">
        <f t="shared" ca="1" si="51"/>
        <v>300</v>
      </c>
      <c r="T52" s="54">
        <f t="shared" ca="1" si="34"/>
        <v>21.428571428571427</v>
      </c>
      <c r="U52" s="52">
        <f t="shared" ref="U52:V52" ca="1" si="52">SUM(U53:U73)</f>
        <v>140</v>
      </c>
      <c r="V52" s="52">
        <f t="shared" ca="1" si="52"/>
        <v>30</v>
      </c>
      <c r="W52" s="54">
        <f t="shared" ca="1" si="36"/>
        <v>21.428571428571427</v>
      </c>
      <c r="X52" s="52">
        <f t="shared" ref="X52:Y52" ca="1" si="53">SUM(X53:X73)</f>
        <v>140</v>
      </c>
      <c r="Y52" s="52">
        <f t="shared" ca="1" si="53"/>
        <v>30</v>
      </c>
      <c r="Z52" s="54">
        <f t="shared" ca="1" si="38"/>
        <v>21.428571428571427</v>
      </c>
      <c r="AA52" s="309">
        <f ca="1">SUM(AA53:AA73)</f>
        <v>30</v>
      </c>
      <c r="AB52" s="310">
        <f t="shared" ca="1" si="39"/>
        <v>21.428571428571427</v>
      </c>
      <c r="AC52" s="145">
        <f t="shared" ref="AC52:AD52" ca="1" si="54">SUM(AC53:AC73)</f>
        <v>140</v>
      </c>
      <c r="AD52" s="145">
        <f t="shared" ca="1" si="54"/>
        <v>30</v>
      </c>
      <c r="AE52" s="57">
        <f t="shared" ca="1" si="41"/>
        <v>21.428571428571427</v>
      </c>
      <c r="AF52" s="145">
        <f ca="1">SUM(AF53:AF73)</f>
        <v>30</v>
      </c>
      <c r="AG52" s="57">
        <f t="shared" ca="1" si="42"/>
        <v>21.428571428571427</v>
      </c>
    </row>
    <row r="53" spans="1:33" ht="21" customHeight="1" x14ac:dyDescent="0.3">
      <c r="A53" s="58">
        <v>1</v>
      </c>
      <c r="B53" s="59" t="s">
        <v>81</v>
      </c>
      <c r="C53" s="149">
        <f t="shared" ca="1" si="25"/>
        <v>106700</v>
      </c>
      <c r="D53" s="150">
        <f t="shared" ref="D53:D73" ca="1" si="55">+E53+F53</f>
        <v>106700</v>
      </c>
      <c r="E53" s="151">
        <f ca="1">IFERROR(__xludf.DUMMYFUNCTION("IMPORTRANGE(""https://docs.google.com/spreadsheets/d/1-uDff_7J0KD5mKrp0Vvzr7lt3OU09vwQwhkpOPPYv2Y/edit?usp=sharing"",""งบพรบ!DP53"")"),0)</f>
        <v>0</v>
      </c>
      <c r="F53" s="151">
        <f ca="1">IFERROR(__xludf.DUMMYFUNCTION("IMPORTRANGE(""https://docs.google.com/spreadsheets/d/1-uDff_7J0KD5mKrp0Vvzr7lt3OU09vwQwhkpOPPYv2Y/edit?usp=sharing"",""งบพรบ!DQ53"")"),106700)</f>
        <v>106700</v>
      </c>
      <c r="G53" s="152">
        <f ca="1">IFERROR(__xludf.DUMMYFUNCTION("IMPORTRANGE(""https://docs.google.com/spreadsheets/d/1-uDff_7J0KD5mKrp0Vvzr7lt3OU09vwQwhkpOPPYv2Y/edit?usp=sharing"",""งบพรบ!DR53"")"),0)</f>
        <v>0</v>
      </c>
      <c r="H53" s="152">
        <f ca="1">IFERROR(__xludf.DUMMYFUNCTION("IMPORTRANGE(""https://docs.google.com/spreadsheets/d/1-uDff_7J0KD5mKrp0Vvzr7lt3OU09vwQwhkpOPPYv2Y/edit?usp=sharing"",""งบพรบ!DT53"")"),112120)</f>
        <v>112120</v>
      </c>
      <c r="I53" s="152">
        <f ca="1">IFERROR(__xludf.DUMMYFUNCTION("IMPORTRANGE(""https://docs.google.com/spreadsheets/d/1-uDff_7J0KD5mKrp0Vvzr7lt3OU09vwQwhkpOPPYv2Y/edit?usp=sharing"",""งบพรบ!DU53"")"),0)</f>
        <v>0</v>
      </c>
      <c r="J53" s="152">
        <f t="shared" ca="1" si="27"/>
        <v>109745</v>
      </c>
      <c r="K53" s="153">
        <f t="shared" ca="1" si="28"/>
        <v>102.85379568884724</v>
      </c>
      <c r="L53" s="152">
        <f ca="1">IFERROR(__xludf.DUMMYFUNCTION("IMPORTRANGE(""https://docs.google.com/spreadsheets/d/1-uDff_7J0KD5mKrp0Vvzr7lt3OU09vwQwhkpOPPYv2Y/edit?usp=sharing"",""งบพรบ!DV53"")"),109745)</f>
        <v>109745</v>
      </c>
      <c r="M53" s="68">
        <f t="shared" ca="1" si="29"/>
        <v>102.85379568884724</v>
      </c>
      <c r="N53" s="68">
        <f t="shared" ca="1" si="30"/>
        <v>97.88173385658223</v>
      </c>
      <c r="O53" s="67">
        <f ca="1">IFERROR(__xludf.DUMMYFUNCTION("IMPORTRANGE(""https://docs.google.com/spreadsheets/d/1-uDff_7J0KD5mKrp0Vvzr7lt3OU09vwQwhkpOPPYv2Y/edit?usp=sharing"",""งบพรบ!DW53"")"),0)</f>
        <v>0</v>
      </c>
      <c r="P53" s="67">
        <f t="shared" ca="1" si="31"/>
        <v>0</v>
      </c>
      <c r="Q53" s="68">
        <f t="shared" ca="1" si="32"/>
        <v>0</v>
      </c>
      <c r="R53" s="63">
        <f ca="1">IFERROR(__xludf.DUMMYFUNCTION("IMPORTRANGE(""https://docs.google.com/spreadsheets/d/13wPX838HrBrQMCywv1BsuMkt4PEKTChp52zj44s2izQ/edit?usp=sharing"",""กาญจนบุรี!I292"")"),400)</f>
        <v>400</v>
      </c>
      <c r="S53" s="63">
        <f ca="1">IFERROR(__xludf.DUMMYFUNCTION("IMPORTRANGE(""https://docs.google.com/spreadsheets/d/13wPX838HrBrQMCywv1BsuMkt4PEKTChp52zj44s2izQ/edit?usp=sharing"",""กาญจนบุรี!J292"")"),0)</f>
        <v>0</v>
      </c>
      <c r="T53" s="69">
        <f t="shared" ca="1" si="34"/>
        <v>0</v>
      </c>
      <c r="U53" s="63">
        <f ca="1">IFERROR(__xludf.DUMMYFUNCTION("IMPORTRANGE(""https://docs.google.com/spreadsheets/d/13wPX838HrBrQMCywv1BsuMkt4PEKTChp52zj44s2izQ/edit?usp=sharing"",""กาญจนบุรี!I293"")"),40)</f>
        <v>40</v>
      </c>
      <c r="V53" s="63">
        <f ca="1">IFERROR(__xludf.DUMMYFUNCTION("IMPORTRANGE(""https://docs.google.com/spreadsheets/d/13wPX838HrBrQMCywv1BsuMkt4PEKTChp52zj44s2izQ/edit?usp=sharing"",""กาญจนบุรี!J293"")"),0)</f>
        <v>0</v>
      </c>
      <c r="W53" s="69">
        <f t="shared" ca="1" si="36"/>
        <v>0</v>
      </c>
      <c r="X53" s="63">
        <f ca="1">IFERROR(__xludf.DUMMYFUNCTION("IMPORTRANGE(""https://docs.google.com/spreadsheets/d/13wPX838HrBrQMCywv1BsuMkt4PEKTChp52zj44s2izQ/edit?usp=sharing"",""กาญจนบุรี!I295"")"),40)</f>
        <v>40</v>
      </c>
      <c r="Y53" s="63">
        <f ca="1">IFERROR(__xludf.DUMMYFUNCTION("IMPORTRANGE(""https://docs.google.com/spreadsheets/d/13wPX838HrBrQMCywv1BsuMkt4PEKTChp52zj44s2izQ/edit?usp=sharing"",""กาญจนบุรี!J295"")"),0)</f>
        <v>0</v>
      </c>
      <c r="Z53" s="69">
        <f t="shared" ca="1" si="38"/>
        <v>0</v>
      </c>
      <c r="AA53" s="311">
        <f ca="1">IFERROR(__xludf.DUMMYFUNCTION("IMPORTRANGE(""https://docs.google.com/spreadsheets/d/13wPX838HrBrQMCywv1BsuMkt4PEKTChp52zj44s2izQ/edit?usp=sharing"",""กาญจนบุรี!J296"")"),0)</f>
        <v>0</v>
      </c>
      <c r="AB53" s="312">
        <f t="shared" ca="1" si="39"/>
        <v>0</v>
      </c>
      <c r="AC53" s="313">
        <f ca="1">IFERROR(__xludf.DUMMYFUNCTION("IMPORTRANGE(""https://docs.google.com/spreadsheets/d/13wPX838HrBrQMCywv1BsuMkt4PEKTChp52zj44s2izQ/edit?usp=sharing"",""กาญจนบุรี!I295"")"),40)</f>
        <v>40</v>
      </c>
      <c r="AD53" s="313">
        <f ca="1">IFERROR(__xludf.DUMMYFUNCTION("IMPORTRANGE(""https://docs.google.com/spreadsheets/d/13wPX838HrBrQMCywv1BsuMkt4PEKTChp52zj44s2izQ/edit?usp=sharing"",""กาญจนบุรี!J298"")"),0)</f>
        <v>0</v>
      </c>
      <c r="AE53" s="314">
        <f t="shared" ca="1" si="41"/>
        <v>0</v>
      </c>
      <c r="AF53" s="313">
        <f ca="1">IFERROR(__xludf.DUMMYFUNCTION("IMPORTRANGE(""https://docs.google.com/spreadsheets/d/13wPX838HrBrQMCywv1BsuMkt4PEKTChp52zj44s2izQ/edit?usp=sharing"",""กาญจนบุรี!J299"")"),0)</f>
        <v>0</v>
      </c>
      <c r="AG53" s="314">
        <f t="shared" ca="1" si="42"/>
        <v>0</v>
      </c>
    </row>
    <row r="54" spans="1:33" ht="21" customHeight="1" x14ac:dyDescent="0.3">
      <c r="A54" s="70">
        <v>2</v>
      </c>
      <c r="B54" s="71" t="s">
        <v>82</v>
      </c>
      <c r="C54" s="149">
        <f t="shared" ca="1" si="25"/>
        <v>0</v>
      </c>
      <c r="D54" s="150">
        <f t="shared" ca="1" si="55"/>
        <v>0</v>
      </c>
      <c r="E54" s="151">
        <f ca="1">IFERROR(__xludf.DUMMYFUNCTION("IMPORTRANGE(""https://docs.google.com/spreadsheets/d/1-uDff_7J0KD5mKrp0Vvzr7lt3OU09vwQwhkpOPPYv2Y/edit?usp=sharing"",""งบพรบ!DP54"")"),0)</f>
        <v>0</v>
      </c>
      <c r="F54" s="151">
        <f ca="1">IFERROR(__xludf.DUMMYFUNCTION("IMPORTRANGE(""https://docs.google.com/spreadsheets/d/1-uDff_7J0KD5mKrp0Vvzr7lt3OU09vwQwhkpOPPYv2Y/edit?usp=sharing"",""งบพรบ!DQ54"")"),0)</f>
        <v>0</v>
      </c>
      <c r="G54" s="151">
        <f ca="1">IFERROR(__xludf.DUMMYFUNCTION("IMPORTRANGE(""https://docs.google.com/spreadsheets/d/1-uDff_7J0KD5mKrp0Vvzr7lt3OU09vwQwhkpOPPYv2Y/edit?usp=sharing"",""งบพรบ!DR54"")"),0)</f>
        <v>0</v>
      </c>
      <c r="H54" s="151">
        <f ca="1">IFERROR(__xludf.DUMMYFUNCTION("IMPORTRANGE(""https://docs.google.com/spreadsheets/d/1-uDff_7J0KD5mKrp0Vvzr7lt3OU09vwQwhkpOPPYv2Y/edit?usp=sharing"",""งบพรบ!DT54"")"),0)</f>
        <v>0</v>
      </c>
      <c r="I54" s="151">
        <f ca="1">IFERROR(__xludf.DUMMYFUNCTION("IMPORTRANGE(""https://docs.google.com/spreadsheets/d/1-uDff_7J0KD5mKrp0Vvzr7lt3OU09vwQwhkpOPPYv2Y/edit?usp=sharing"",""งบพรบ!DU54"")"),0)</f>
        <v>0</v>
      </c>
      <c r="J54" s="151">
        <f t="shared" ca="1" si="27"/>
        <v>0</v>
      </c>
      <c r="K54" s="154">
        <f t="shared" ca="1" si="28"/>
        <v>0</v>
      </c>
      <c r="L54" s="151">
        <f ca="1">IFERROR(__xludf.DUMMYFUNCTION("IMPORTRANGE(""https://docs.google.com/spreadsheets/d/1-uDff_7J0KD5mKrp0Vvzr7lt3OU09vwQwhkpOPPYv2Y/edit?usp=sharing"",""งบพรบ!DV54"")"),0)</f>
        <v>0</v>
      </c>
      <c r="M54" s="68">
        <f t="shared" ca="1" si="29"/>
        <v>0</v>
      </c>
      <c r="N54" s="68">
        <f t="shared" ca="1" si="30"/>
        <v>0</v>
      </c>
      <c r="O54" s="67">
        <f ca="1">IFERROR(__xludf.DUMMYFUNCTION("IMPORTRANGE(""https://docs.google.com/spreadsheets/d/1-uDff_7J0KD5mKrp0Vvzr7lt3OU09vwQwhkpOPPYv2Y/edit?usp=sharing"",""งบพรบ!DW54"")"),0)</f>
        <v>0</v>
      </c>
      <c r="P54" s="67">
        <f t="shared" ca="1" si="31"/>
        <v>0</v>
      </c>
      <c r="Q54" s="68">
        <f t="shared" ca="1" si="32"/>
        <v>0</v>
      </c>
      <c r="R54" s="78">
        <f ca="1">IFERROR(__xludf.DUMMYFUNCTION("IMPORTRANGE(""https://docs.google.com/spreadsheets/d/1ddFKvqj1W1NEiWytbGlB1zMx_ykJDVtmfEQ-6-lIUBA/edit?usp=sharing"",""จันทบุรี!I292"")"),0)</f>
        <v>0</v>
      </c>
      <c r="S54" s="78">
        <f ca="1">IFERROR(__xludf.DUMMYFUNCTION("IMPORTRANGE(""https://docs.google.com/spreadsheets/d/1ddFKvqj1W1NEiWytbGlB1zMx_ykJDVtmfEQ-6-lIUBA/edit?usp=sharing"",""จันทบุรี!J292"")"),0)</f>
        <v>0</v>
      </c>
      <c r="T54" s="79">
        <f t="shared" ca="1" si="34"/>
        <v>0</v>
      </c>
      <c r="U54" s="78">
        <f ca="1">IFERROR(__xludf.DUMMYFUNCTION("IMPORTRANGE(""https://docs.google.com/spreadsheets/d/1ddFKvqj1W1NEiWytbGlB1zMx_ykJDVtmfEQ-6-lIUBA/edit?usp=sharing"",""จันทบุรี!I293"")"),0)</f>
        <v>0</v>
      </c>
      <c r="V54" s="78">
        <f ca="1">IFERROR(__xludf.DUMMYFUNCTION("IMPORTRANGE(""https://docs.google.com/spreadsheets/d/1ddFKvqj1W1NEiWytbGlB1zMx_ykJDVtmfEQ-6-lIUBA/edit?usp=sharing"",""จันทบุรี!J293"")"),0)</f>
        <v>0</v>
      </c>
      <c r="W54" s="79">
        <f t="shared" ca="1" si="36"/>
        <v>0</v>
      </c>
      <c r="X54" s="78">
        <f ca="1">IFERROR(__xludf.DUMMYFUNCTION("IMPORTRANGE(""https://docs.google.com/spreadsheets/d/1ddFKvqj1W1NEiWytbGlB1zMx_ykJDVtmfEQ-6-lIUBA/edit?usp=sharing"",""จันทบุรี!I295"")"),0)</f>
        <v>0</v>
      </c>
      <c r="Y54" s="78">
        <f ca="1">IFERROR(__xludf.DUMMYFUNCTION("IMPORTRANGE(""https://docs.google.com/spreadsheets/d/1ddFKvqj1W1NEiWytbGlB1zMx_ykJDVtmfEQ-6-lIUBA/edit?usp=sharing"",""จันทบุรี!J295"")"),0)</f>
        <v>0</v>
      </c>
      <c r="Z54" s="79">
        <f t="shared" ca="1" si="38"/>
        <v>0</v>
      </c>
      <c r="AA54" s="315">
        <f ca="1">IFERROR(__xludf.DUMMYFUNCTION("IMPORTRANGE(""https://docs.google.com/spreadsheets/d/1ddFKvqj1W1NEiWytbGlB1zMx_ykJDVtmfEQ-6-lIUBA/edit?usp=sharing"",""จันทบุรี!J296"")"),0)</f>
        <v>0</v>
      </c>
      <c r="AB54" s="316">
        <f t="shared" ca="1" si="39"/>
        <v>0</v>
      </c>
      <c r="AC54" s="317">
        <f ca="1">IFERROR(__xludf.DUMMYFUNCTION("IMPORTRANGE(""https://docs.google.com/spreadsheets/d/1ddFKvqj1W1NEiWytbGlB1zMx_ykJDVtmfEQ-6-lIUBA/edit?usp=sharing"",""จันทบุรี!I295"")"),0)</f>
        <v>0</v>
      </c>
      <c r="AD54" s="288" t="str">
        <f ca="1">IFERROR(__xludf.DUMMYFUNCTION("IMPORTRANGE(""https://docs.google.com/spreadsheets/d/1ddFKvqj1W1NEiWytbGlB1zMx_ykJDVtmfEQ-6-lIUBA/edit?usp=sharing"",""จันทบุรี!J298"")"),"")</f>
        <v/>
      </c>
      <c r="AE54" s="318">
        <f t="shared" ca="1" si="41"/>
        <v>0</v>
      </c>
      <c r="AF54" s="288" t="str">
        <f ca="1">IFERROR(__xludf.DUMMYFUNCTION("IMPORTRANGE(""https://docs.google.com/spreadsheets/d/1ddFKvqj1W1NEiWytbGlB1zMx_ykJDVtmfEQ-6-lIUBA/edit?usp=sharing"",""จันทบุรี!J299"")"),"")</f>
        <v/>
      </c>
      <c r="AG54" s="318">
        <f t="shared" ca="1" si="42"/>
        <v>0</v>
      </c>
    </row>
    <row r="55" spans="1:33" ht="21" customHeight="1" x14ac:dyDescent="0.3">
      <c r="A55" s="70">
        <v>3</v>
      </c>
      <c r="B55" s="71" t="s">
        <v>83</v>
      </c>
      <c r="C55" s="149">
        <f t="shared" ca="1" si="25"/>
        <v>42700</v>
      </c>
      <c r="D55" s="150">
        <f t="shared" ca="1" si="55"/>
        <v>42700</v>
      </c>
      <c r="E55" s="151">
        <f ca="1">IFERROR(__xludf.DUMMYFUNCTION("IMPORTRANGE(""https://docs.google.com/spreadsheets/d/1-uDff_7J0KD5mKrp0Vvzr7lt3OU09vwQwhkpOPPYv2Y/edit?usp=sharing"",""งบพรบ!DP55"")"),0)</f>
        <v>0</v>
      </c>
      <c r="F55" s="151">
        <f ca="1">IFERROR(__xludf.DUMMYFUNCTION("IMPORTRANGE(""https://docs.google.com/spreadsheets/d/1-uDff_7J0KD5mKrp0Vvzr7lt3OU09vwQwhkpOPPYv2Y/edit?usp=sharing"",""งบพรบ!DQ55"")"),42700)</f>
        <v>42700</v>
      </c>
      <c r="G55" s="151">
        <f ca="1">IFERROR(__xludf.DUMMYFUNCTION("IMPORTRANGE(""https://docs.google.com/spreadsheets/d/1-uDff_7J0KD5mKrp0Vvzr7lt3OU09vwQwhkpOPPYv2Y/edit?usp=sharing"",""งบพรบ!DR55"")"),0)</f>
        <v>0</v>
      </c>
      <c r="H55" s="151">
        <f ca="1">IFERROR(__xludf.DUMMYFUNCTION("IMPORTRANGE(""https://docs.google.com/spreadsheets/d/1-uDff_7J0KD5mKrp0Vvzr7lt3OU09vwQwhkpOPPYv2Y/edit?usp=sharing"",""งบพรบ!DT55"")"),47880)</f>
        <v>47880</v>
      </c>
      <c r="I55" s="151">
        <f ca="1">IFERROR(__xludf.DUMMYFUNCTION("IMPORTRANGE(""https://docs.google.com/spreadsheets/d/1-uDff_7J0KD5mKrp0Vvzr7lt3OU09vwQwhkpOPPYv2Y/edit?usp=sharing"",""งบพรบ!DU55"")"),0)</f>
        <v>0</v>
      </c>
      <c r="J55" s="151">
        <f t="shared" ca="1" si="27"/>
        <v>47880</v>
      </c>
      <c r="K55" s="154">
        <f t="shared" ca="1" si="28"/>
        <v>112.1311475409836</v>
      </c>
      <c r="L55" s="151">
        <f ca="1">IFERROR(__xludf.DUMMYFUNCTION("IMPORTRANGE(""https://docs.google.com/spreadsheets/d/1-uDff_7J0KD5mKrp0Vvzr7lt3OU09vwQwhkpOPPYv2Y/edit?usp=sharing"",""งบพรบ!DV55"")"),47880)</f>
        <v>47880</v>
      </c>
      <c r="M55" s="68">
        <f t="shared" ca="1" si="29"/>
        <v>112.1311475409836</v>
      </c>
      <c r="N55" s="68">
        <f t="shared" ca="1" si="30"/>
        <v>100</v>
      </c>
      <c r="O55" s="67">
        <f ca="1">IFERROR(__xludf.DUMMYFUNCTION("IMPORTRANGE(""https://docs.google.com/spreadsheets/d/1-uDff_7J0KD5mKrp0Vvzr7lt3OU09vwQwhkpOPPYv2Y/edit?usp=sharing"",""งบพรบ!DW55"")"),0)</f>
        <v>0</v>
      </c>
      <c r="P55" s="67">
        <f t="shared" ca="1" si="31"/>
        <v>0</v>
      </c>
      <c r="Q55" s="68">
        <f t="shared" ca="1" si="32"/>
        <v>0</v>
      </c>
      <c r="R55" s="78">
        <f ca="1">IFERROR(__xludf.DUMMYFUNCTION("IMPORTRANGE(""https://docs.google.com/spreadsheets/d/1T1PQvRODqOBZk8BRht_U031fIS1beLA0Ub2CEytj2q0/edit?usp=sharing"",""ฉะเชิงเทรา!I292"")"),100)</f>
        <v>100</v>
      </c>
      <c r="S55" s="78">
        <f ca="1">IFERROR(__xludf.DUMMYFUNCTION("IMPORTRANGE(""https://docs.google.com/spreadsheets/d/1T1PQvRODqOBZk8BRht_U031fIS1beLA0Ub2CEytj2q0/edit?usp=sharing"",""ฉะเชิงเทรา!J292"")"),100)</f>
        <v>100</v>
      </c>
      <c r="T55" s="79">
        <f t="shared" ca="1" si="34"/>
        <v>100</v>
      </c>
      <c r="U55" s="78">
        <f ca="1">IFERROR(__xludf.DUMMYFUNCTION("IMPORTRANGE(""https://docs.google.com/spreadsheets/d/1T1PQvRODqOBZk8BRht_U031fIS1beLA0Ub2CEytj2q0/edit?usp=sharing"",""ฉะเชิงเทรา!I293"")"),10)</f>
        <v>10</v>
      </c>
      <c r="V55" s="78">
        <f ca="1">IFERROR(__xludf.DUMMYFUNCTION("IMPORTRANGE(""https://docs.google.com/spreadsheets/d/1T1PQvRODqOBZk8BRht_U031fIS1beLA0Ub2CEytj2q0/edit?usp=sharing"",""ฉะเชิงเทรา!J293"")"),10)</f>
        <v>10</v>
      </c>
      <c r="W55" s="79">
        <f t="shared" ca="1" si="36"/>
        <v>100</v>
      </c>
      <c r="X55" s="78">
        <f ca="1">IFERROR(__xludf.DUMMYFUNCTION("IMPORTRANGE(""https://docs.google.com/spreadsheets/d/1T1PQvRODqOBZk8BRht_U031fIS1beLA0Ub2CEytj2q0/edit?usp=sharing"",""ฉะเชิงเทรา!I295"")"),10)</f>
        <v>10</v>
      </c>
      <c r="Y55" s="78">
        <f ca="1">IFERROR(__xludf.DUMMYFUNCTION("IMPORTRANGE(""https://docs.google.com/spreadsheets/d/1T1PQvRODqOBZk8BRht_U031fIS1beLA0Ub2CEytj2q0/edit?usp=sharing"",""ฉะเชิงเทรา!J295"")"),10)</f>
        <v>10</v>
      </c>
      <c r="Z55" s="79">
        <f t="shared" ca="1" si="38"/>
        <v>100</v>
      </c>
      <c r="AA55" s="315">
        <f ca="1">IFERROR(__xludf.DUMMYFUNCTION("IMPORTRANGE(""https://docs.google.com/spreadsheets/d/1T1PQvRODqOBZk8BRht_U031fIS1beLA0Ub2CEytj2q0/edit?usp=sharing"",""ฉะเชิงเทรา!J296"")"),10)</f>
        <v>10</v>
      </c>
      <c r="AB55" s="316">
        <f t="shared" ca="1" si="39"/>
        <v>100</v>
      </c>
      <c r="AC55" s="317">
        <f ca="1">IFERROR(__xludf.DUMMYFUNCTION("IMPORTRANGE(""https://docs.google.com/spreadsheets/d/1T1PQvRODqOBZk8BRht_U031fIS1beLA0Ub2CEytj2q0/edit?usp=sharing"",""ฉะเชิงเทรา!I295"")"),10)</f>
        <v>10</v>
      </c>
      <c r="AD55" s="317">
        <f ca="1">IFERROR(__xludf.DUMMYFUNCTION("IMPORTRANGE(""https://docs.google.com/spreadsheets/d/1T1PQvRODqOBZk8BRht_U031fIS1beLA0Ub2CEytj2q0/edit?usp=sharing"",""ฉะเชิงเทรา!J298"")"),10)</f>
        <v>10</v>
      </c>
      <c r="AE55" s="318">
        <f t="shared" ca="1" si="41"/>
        <v>100</v>
      </c>
      <c r="AF55" s="317">
        <f ca="1">IFERROR(__xludf.DUMMYFUNCTION("IMPORTRANGE(""https://docs.google.com/spreadsheets/d/1T1PQvRODqOBZk8BRht_U031fIS1beLA0Ub2CEytj2q0/edit?usp=sharing"",""ฉะเชิงเทรา!J299"")"),10)</f>
        <v>10</v>
      </c>
      <c r="AG55" s="318">
        <f t="shared" ca="1" si="42"/>
        <v>100</v>
      </c>
    </row>
    <row r="56" spans="1:33" ht="21" customHeight="1" x14ac:dyDescent="0.3">
      <c r="A56" s="70">
        <v>4</v>
      </c>
      <c r="B56" s="71" t="s">
        <v>84</v>
      </c>
      <c r="C56" s="149">
        <f t="shared" ca="1" si="25"/>
        <v>0</v>
      </c>
      <c r="D56" s="150">
        <f t="shared" ca="1" si="55"/>
        <v>0</v>
      </c>
      <c r="E56" s="151">
        <f ca="1">IFERROR(__xludf.DUMMYFUNCTION("IMPORTRANGE(""https://docs.google.com/spreadsheets/d/1-uDff_7J0KD5mKrp0Vvzr7lt3OU09vwQwhkpOPPYv2Y/edit?usp=sharing"",""งบพรบ!DP56"")"),0)</f>
        <v>0</v>
      </c>
      <c r="F56" s="151">
        <f ca="1">IFERROR(__xludf.DUMMYFUNCTION("IMPORTRANGE(""https://docs.google.com/spreadsheets/d/1-uDff_7J0KD5mKrp0Vvzr7lt3OU09vwQwhkpOPPYv2Y/edit?usp=sharing"",""งบพรบ!DQ56"")"),0)</f>
        <v>0</v>
      </c>
      <c r="G56" s="151">
        <f ca="1">IFERROR(__xludf.DUMMYFUNCTION("IMPORTRANGE(""https://docs.google.com/spreadsheets/d/1-uDff_7J0KD5mKrp0Vvzr7lt3OU09vwQwhkpOPPYv2Y/edit?usp=sharing"",""งบพรบ!DR56"")"),0)</f>
        <v>0</v>
      </c>
      <c r="H56" s="151">
        <f ca="1">IFERROR(__xludf.DUMMYFUNCTION("IMPORTRANGE(""https://docs.google.com/spreadsheets/d/1-uDff_7J0KD5mKrp0Vvzr7lt3OU09vwQwhkpOPPYv2Y/edit?usp=sharing"",""งบพรบ!DT56"")"),0)</f>
        <v>0</v>
      </c>
      <c r="I56" s="151">
        <f ca="1">IFERROR(__xludf.DUMMYFUNCTION("IMPORTRANGE(""https://docs.google.com/spreadsheets/d/1-uDff_7J0KD5mKrp0Vvzr7lt3OU09vwQwhkpOPPYv2Y/edit?usp=sharing"",""งบพรบ!DU56"")"),0)</f>
        <v>0</v>
      </c>
      <c r="J56" s="151">
        <f t="shared" ca="1" si="27"/>
        <v>0</v>
      </c>
      <c r="K56" s="154">
        <f t="shared" ca="1" si="28"/>
        <v>0</v>
      </c>
      <c r="L56" s="151">
        <f ca="1">IFERROR(__xludf.DUMMYFUNCTION("IMPORTRANGE(""https://docs.google.com/spreadsheets/d/1-uDff_7J0KD5mKrp0Vvzr7lt3OU09vwQwhkpOPPYv2Y/edit?usp=sharing"",""งบพรบ!DV56"")"),0)</f>
        <v>0</v>
      </c>
      <c r="M56" s="68">
        <f t="shared" ca="1" si="29"/>
        <v>0</v>
      </c>
      <c r="N56" s="68">
        <f t="shared" ca="1" si="30"/>
        <v>0</v>
      </c>
      <c r="O56" s="67">
        <f ca="1">IFERROR(__xludf.DUMMYFUNCTION("IMPORTRANGE(""https://docs.google.com/spreadsheets/d/1-uDff_7J0KD5mKrp0Vvzr7lt3OU09vwQwhkpOPPYv2Y/edit?usp=sharing"",""งบพรบ!DW56"")"),0)</f>
        <v>0</v>
      </c>
      <c r="P56" s="67">
        <f t="shared" ca="1" si="31"/>
        <v>0</v>
      </c>
      <c r="Q56" s="68">
        <f t="shared" ca="1" si="32"/>
        <v>0</v>
      </c>
      <c r="R56" s="78">
        <f ca="1">IFERROR(__xludf.DUMMYFUNCTION("IMPORTRANGE(""https://docs.google.com/spreadsheets/d/11tr1B-Bhyr79v2bkwVh5h_fR-PStkgjlZtkrZpYurG0/edit?usp=sharing"",""ชลบุรี!I292"")"),0)</f>
        <v>0</v>
      </c>
      <c r="S56" s="78">
        <f ca="1">IFERROR(__xludf.DUMMYFUNCTION("IMPORTRANGE(""https://docs.google.com/spreadsheets/d/11tr1B-Bhyr79v2bkwVh5h_fR-PStkgjlZtkrZpYurG0/edit?usp=sharing"",""ชลบุรี!J292"")"),0)</f>
        <v>0</v>
      </c>
      <c r="T56" s="79">
        <f t="shared" ca="1" si="34"/>
        <v>0</v>
      </c>
      <c r="U56" s="78">
        <f ca="1">IFERROR(__xludf.DUMMYFUNCTION("IMPORTRANGE(""https://docs.google.com/spreadsheets/d/11tr1B-Bhyr79v2bkwVh5h_fR-PStkgjlZtkrZpYurG0/edit?usp=sharing"",""ชลบุรี!I293"")"),0)</f>
        <v>0</v>
      </c>
      <c r="V56" s="78">
        <f ca="1">IFERROR(__xludf.DUMMYFUNCTION("IMPORTRANGE(""https://docs.google.com/spreadsheets/d/11tr1B-Bhyr79v2bkwVh5h_fR-PStkgjlZtkrZpYurG0/edit?usp=sharing"",""ชลบุรี!J293"")"),0)</f>
        <v>0</v>
      </c>
      <c r="W56" s="79">
        <f t="shared" ca="1" si="36"/>
        <v>0</v>
      </c>
      <c r="X56" s="78">
        <f ca="1">IFERROR(__xludf.DUMMYFUNCTION("IMPORTRANGE(""https://docs.google.com/spreadsheets/d/11tr1B-Bhyr79v2bkwVh5h_fR-PStkgjlZtkrZpYurG0/edit?usp=sharing"",""ชลบุรี!I295"")"),0)</f>
        <v>0</v>
      </c>
      <c r="Y56" s="78">
        <f ca="1">IFERROR(__xludf.DUMMYFUNCTION("IMPORTRANGE(""https://docs.google.com/spreadsheets/d/11tr1B-Bhyr79v2bkwVh5h_fR-PStkgjlZtkrZpYurG0/edit?usp=sharing"",""ชลบุรี!J295"")"),0)</f>
        <v>0</v>
      </c>
      <c r="Z56" s="79">
        <f t="shared" ca="1" si="38"/>
        <v>0</v>
      </c>
      <c r="AA56" s="315">
        <f ca="1">IFERROR(__xludf.DUMMYFUNCTION("IMPORTRANGE(""https://docs.google.com/spreadsheets/d/11tr1B-Bhyr79v2bkwVh5h_fR-PStkgjlZtkrZpYurG0/edit?usp=sharing"",""ชลบุรี!J296"")"),0)</f>
        <v>0</v>
      </c>
      <c r="AB56" s="316">
        <f t="shared" ca="1" si="39"/>
        <v>0</v>
      </c>
      <c r="AC56" s="317">
        <f ca="1">IFERROR(__xludf.DUMMYFUNCTION("IMPORTRANGE(""https://docs.google.com/spreadsheets/d/11tr1B-Bhyr79v2bkwVh5h_fR-PStkgjlZtkrZpYurG0/edit?usp=sharing"",""ชลบุรี!I295"")"),0)</f>
        <v>0</v>
      </c>
      <c r="AD56" s="288" t="str">
        <f ca="1">IFERROR(__xludf.DUMMYFUNCTION("IMPORTRANGE(""https://docs.google.com/spreadsheets/d/11tr1B-Bhyr79v2bkwVh5h_fR-PStkgjlZtkrZpYurG0/edit?usp=sharing"",""ชลบุรี!J298"")"),"")</f>
        <v/>
      </c>
      <c r="AE56" s="318">
        <f t="shared" ca="1" si="41"/>
        <v>0</v>
      </c>
      <c r="AF56" s="288" t="str">
        <f ca="1">IFERROR(__xludf.DUMMYFUNCTION("IMPORTRANGE(""https://docs.google.com/spreadsheets/d/11tr1B-Bhyr79v2bkwVh5h_fR-PStkgjlZtkrZpYurG0/edit?usp=sharing"",""ชลบุรี!J299"")"),"")</f>
        <v/>
      </c>
      <c r="AG56" s="318">
        <f t="shared" ca="1" si="42"/>
        <v>0</v>
      </c>
    </row>
    <row r="57" spans="1:33" ht="21" customHeight="1" x14ac:dyDescent="0.3">
      <c r="A57" s="70">
        <v>5</v>
      </c>
      <c r="B57" s="71" t="s">
        <v>85</v>
      </c>
      <c r="C57" s="149">
        <f t="shared" ca="1" si="25"/>
        <v>0</v>
      </c>
      <c r="D57" s="150">
        <f t="shared" ca="1" si="55"/>
        <v>0</v>
      </c>
      <c r="E57" s="151">
        <f ca="1">IFERROR(__xludf.DUMMYFUNCTION("IMPORTRANGE(""https://docs.google.com/spreadsheets/d/1-uDff_7J0KD5mKrp0Vvzr7lt3OU09vwQwhkpOPPYv2Y/edit?usp=sharing"",""งบพรบ!DP57"")"),0)</f>
        <v>0</v>
      </c>
      <c r="F57" s="151">
        <f ca="1">IFERROR(__xludf.DUMMYFUNCTION("IMPORTRANGE(""https://docs.google.com/spreadsheets/d/1-uDff_7J0KD5mKrp0Vvzr7lt3OU09vwQwhkpOPPYv2Y/edit?usp=sharing"",""งบพรบ!DQ57"")"),0)</f>
        <v>0</v>
      </c>
      <c r="G57" s="151">
        <f ca="1">IFERROR(__xludf.DUMMYFUNCTION("IMPORTRANGE(""https://docs.google.com/spreadsheets/d/1-uDff_7J0KD5mKrp0Vvzr7lt3OU09vwQwhkpOPPYv2Y/edit?usp=sharing"",""งบพรบ!DR57"")"),0)</f>
        <v>0</v>
      </c>
      <c r="H57" s="151">
        <f ca="1">IFERROR(__xludf.DUMMYFUNCTION("IMPORTRANGE(""https://docs.google.com/spreadsheets/d/1-uDff_7J0KD5mKrp0Vvzr7lt3OU09vwQwhkpOPPYv2Y/edit?usp=sharing"",""งบพรบ!DT57"")"),0)</f>
        <v>0</v>
      </c>
      <c r="I57" s="151">
        <f ca="1">IFERROR(__xludf.DUMMYFUNCTION("IMPORTRANGE(""https://docs.google.com/spreadsheets/d/1-uDff_7J0KD5mKrp0Vvzr7lt3OU09vwQwhkpOPPYv2Y/edit?usp=sharing"",""งบพรบ!DU57"")"),0)</f>
        <v>0</v>
      </c>
      <c r="J57" s="151">
        <f t="shared" ca="1" si="27"/>
        <v>0</v>
      </c>
      <c r="K57" s="154">
        <f t="shared" ca="1" si="28"/>
        <v>0</v>
      </c>
      <c r="L57" s="151">
        <f ca="1">IFERROR(__xludf.DUMMYFUNCTION("IMPORTRANGE(""https://docs.google.com/spreadsheets/d/1-uDff_7J0KD5mKrp0Vvzr7lt3OU09vwQwhkpOPPYv2Y/edit?usp=sharing"",""งบพรบ!DV57"")"),0)</f>
        <v>0</v>
      </c>
      <c r="M57" s="68">
        <f t="shared" ca="1" si="29"/>
        <v>0</v>
      </c>
      <c r="N57" s="68">
        <f t="shared" ca="1" si="30"/>
        <v>0</v>
      </c>
      <c r="O57" s="67">
        <f ca="1">IFERROR(__xludf.DUMMYFUNCTION("IMPORTRANGE(""https://docs.google.com/spreadsheets/d/1-uDff_7J0KD5mKrp0Vvzr7lt3OU09vwQwhkpOPPYv2Y/edit?usp=sharing"",""งบพรบ!DW57"")"),0)</f>
        <v>0</v>
      </c>
      <c r="P57" s="67">
        <f t="shared" ca="1" si="31"/>
        <v>0</v>
      </c>
      <c r="Q57" s="68">
        <f t="shared" ca="1" si="32"/>
        <v>0</v>
      </c>
      <c r="R57" s="78">
        <f ca="1">IFERROR(__xludf.DUMMYFUNCTION("IMPORTRANGE(""https://docs.google.com/spreadsheets/d/1hh-FVnSX0vozXhGluamEcS54Dw9_zqW0N7qJUWgJ0Sw/edit?usp=sharing"",""ชัยนาท!I292"")"),0)</f>
        <v>0</v>
      </c>
      <c r="S57" s="78">
        <f ca="1">IFERROR(__xludf.DUMMYFUNCTION("IMPORTRANGE(""https://docs.google.com/spreadsheets/d/1hh-FVnSX0vozXhGluamEcS54Dw9_zqW0N7qJUWgJ0Sw/edit?usp=sharing"",""ชัยนาท!J292"")"),0)</f>
        <v>0</v>
      </c>
      <c r="T57" s="79">
        <f t="shared" ca="1" si="34"/>
        <v>0</v>
      </c>
      <c r="U57" s="78">
        <f ca="1">IFERROR(__xludf.DUMMYFUNCTION("IMPORTRANGE(""https://docs.google.com/spreadsheets/d/1hh-FVnSX0vozXhGluamEcS54Dw9_zqW0N7qJUWgJ0Sw/edit?usp=sharing"",""ชัยนาท!I293"")"),0)</f>
        <v>0</v>
      </c>
      <c r="V57" s="78">
        <f ca="1">IFERROR(__xludf.DUMMYFUNCTION("IMPORTRANGE(""https://docs.google.com/spreadsheets/d/1hh-FVnSX0vozXhGluamEcS54Dw9_zqW0N7qJUWgJ0Sw/edit?usp=sharing"",""ชัยนาท!J293"")"),0)</f>
        <v>0</v>
      </c>
      <c r="W57" s="79">
        <f t="shared" ca="1" si="36"/>
        <v>0</v>
      </c>
      <c r="X57" s="78">
        <f ca="1">IFERROR(__xludf.DUMMYFUNCTION("IMPORTRANGE(""https://docs.google.com/spreadsheets/d/1hh-FVnSX0vozXhGluamEcS54Dw9_zqW0N7qJUWgJ0Sw/edit?usp=sharing"",""ชัยนาท!I295"")"),0)</f>
        <v>0</v>
      </c>
      <c r="Y57" s="78">
        <f ca="1">IFERROR(__xludf.DUMMYFUNCTION("IMPORTRANGE(""https://docs.google.com/spreadsheets/d/1hh-FVnSX0vozXhGluamEcS54Dw9_zqW0N7qJUWgJ0Sw/edit?usp=sharing"",""ชัยนาท!J295"")"),0)</f>
        <v>0</v>
      </c>
      <c r="Z57" s="79">
        <f t="shared" ca="1" si="38"/>
        <v>0</v>
      </c>
      <c r="AA57" s="315">
        <f ca="1">IFERROR(__xludf.DUMMYFUNCTION("IMPORTRANGE(""https://docs.google.com/spreadsheets/d/1hh-FVnSX0vozXhGluamEcS54Dw9_zqW0N7qJUWgJ0Sw/edit?usp=sharing"",""ชัยนาท!J296"")"),0)</f>
        <v>0</v>
      </c>
      <c r="AB57" s="316">
        <f t="shared" ca="1" si="39"/>
        <v>0</v>
      </c>
      <c r="AC57" s="317">
        <f ca="1">IFERROR(__xludf.DUMMYFUNCTION("IMPORTRANGE(""https://docs.google.com/spreadsheets/d/1hh-FVnSX0vozXhGluamEcS54Dw9_zqW0N7qJUWgJ0Sw/edit?usp=sharing"",""ชัยนาท!I295"")"),0)</f>
        <v>0</v>
      </c>
      <c r="AD57" s="288" t="str">
        <f ca="1">IFERROR(__xludf.DUMMYFUNCTION("IMPORTRANGE(""https://docs.google.com/spreadsheets/d/1hh-FVnSX0vozXhGluamEcS54Dw9_zqW0N7qJUWgJ0Sw/edit?usp=sharing"",""ชัยนาท!J298"")"),"")</f>
        <v/>
      </c>
      <c r="AE57" s="318">
        <f t="shared" ca="1" si="41"/>
        <v>0</v>
      </c>
      <c r="AF57" s="288" t="str">
        <f ca="1">IFERROR(__xludf.DUMMYFUNCTION("IMPORTRANGE(""https://docs.google.com/spreadsheets/d/1hh-FVnSX0vozXhGluamEcS54Dw9_zqW0N7qJUWgJ0Sw/edit?usp=sharing"",""ชัยนาท!J299"")"),"")</f>
        <v/>
      </c>
      <c r="AG57" s="318">
        <f t="shared" ca="1" si="42"/>
        <v>0</v>
      </c>
    </row>
    <row r="58" spans="1:33" ht="21" customHeight="1" x14ac:dyDescent="0.3">
      <c r="A58" s="70">
        <v>6</v>
      </c>
      <c r="B58" s="71" t="s">
        <v>86</v>
      </c>
      <c r="C58" s="149">
        <f t="shared" ca="1" si="25"/>
        <v>0</v>
      </c>
      <c r="D58" s="150">
        <f t="shared" ca="1" si="55"/>
        <v>0</v>
      </c>
      <c r="E58" s="151">
        <f ca="1">IFERROR(__xludf.DUMMYFUNCTION("IMPORTRANGE(""https://docs.google.com/spreadsheets/d/1-uDff_7J0KD5mKrp0Vvzr7lt3OU09vwQwhkpOPPYv2Y/edit?usp=sharing"",""งบพรบ!DP58"")"),0)</f>
        <v>0</v>
      </c>
      <c r="F58" s="151">
        <f ca="1">IFERROR(__xludf.DUMMYFUNCTION("IMPORTRANGE(""https://docs.google.com/spreadsheets/d/1-uDff_7J0KD5mKrp0Vvzr7lt3OU09vwQwhkpOPPYv2Y/edit?usp=sharing"",""งบพรบ!DQ58"")"),0)</f>
        <v>0</v>
      </c>
      <c r="G58" s="151">
        <f ca="1">IFERROR(__xludf.DUMMYFUNCTION("IMPORTRANGE(""https://docs.google.com/spreadsheets/d/1-uDff_7J0KD5mKrp0Vvzr7lt3OU09vwQwhkpOPPYv2Y/edit?usp=sharing"",""งบพรบ!DR58"")"),0)</f>
        <v>0</v>
      </c>
      <c r="H58" s="151">
        <f ca="1">IFERROR(__xludf.DUMMYFUNCTION("IMPORTRANGE(""https://docs.google.com/spreadsheets/d/1-uDff_7J0KD5mKrp0Vvzr7lt3OU09vwQwhkpOPPYv2Y/edit?usp=sharing"",""งบพรบ!DT58"")"),0)</f>
        <v>0</v>
      </c>
      <c r="I58" s="151">
        <f ca="1">IFERROR(__xludf.DUMMYFUNCTION("IMPORTRANGE(""https://docs.google.com/spreadsheets/d/1-uDff_7J0KD5mKrp0Vvzr7lt3OU09vwQwhkpOPPYv2Y/edit?usp=sharing"",""งบพรบ!DU58"")"),0)</f>
        <v>0</v>
      </c>
      <c r="J58" s="151">
        <f t="shared" ca="1" si="27"/>
        <v>0</v>
      </c>
      <c r="K58" s="154">
        <f t="shared" ca="1" si="28"/>
        <v>0</v>
      </c>
      <c r="L58" s="151">
        <f ca="1">IFERROR(__xludf.DUMMYFUNCTION("IMPORTRANGE(""https://docs.google.com/spreadsheets/d/1-uDff_7J0KD5mKrp0Vvzr7lt3OU09vwQwhkpOPPYv2Y/edit?usp=sharing"",""งบพรบ!DV58"")"),0)</f>
        <v>0</v>
      </c>
      <c r="M58" s="68">
        <f t="shared" ca="1" si="29"/>
        <v>0</v>
      </c>
      <c r="N58" s="68">
        <f t="shared" ca="1" si="30"/>
        <v>0</v>
      </c>
      <c r="O58" s="67">
        <f ca="1">IFERROR(__xludf.DUMMYFUNCTION("IMPORTRANGE(""https://docs.google.com/spreadsheets/d/1-uDff_7J0KD5mKrp0Vvzr7lt3OU09vwQwhkpOPPYv2Y/edit?usp=sharing"",""งบพรบ!DW58"")"),0)</f>
        <v>0</v>
      </c>
      <c r="P58" s="67">
        <f t="shared" ca="1" si="31"/>
        <v>0</v>
      </c>
      <c r="Q58" s="68">
        <f t="shared" ca="1" si="32"/>
        <v>0</v>
      </c>
      <c r="R58" s="78">
        <f ca="1">IFERROR(__xludf.DUMMYFUNCTION("IMPORTRANGE(""https://docs.google.com/spreadsheets/d/1jkqa6GXxSacMcY1eN8AHjMNJ_7dDXMJVRLDlaFSOdPM/edit?usp=sharing"",""ตราด!I292"")"),0)</f>
        <v>0</v>
      </c>
      <c r="S58" s="78">
        <f ca="1">IFERROR(__xludf.DUMMYFUNCTION("IMPORTRANGE(""https://docs.google.com/spreadsheets/d/1jkqa6GXxSacMcY1eN8AHjMNJ_7dDXMJVRLDlaFSOdPM/edit?usp=sharing"",""ตราด!J292"")"),0)</f>
        <v>0</v>
      </c>
      <c r="T58" s="79">
        <f t="shared" ca="1" si="34"/>
        <v>0</v>
      </c>
      <c r="U58" s="78">
        <f ca="1">IFERROR(__xludf.DUMMYFUNCTION("IMPORTRANGE(""https://docs.google.com/spreadsheets/d/1jkqa6GXxSacMcY1eN8AHjMNJ_7dDXMJVRLDlaFSOdPM/edit?usp=sharing"",""ตราด!I293"")"),0)</f>
        <v>0</v>
      </c>
      <c r="V58" s="78">
        <f ca="1">IFERROR(__xludf.DUMMYFUNCTION("IMPORTRANGE(""https://docs.google.com/spreadsheets/d/1jkqa6GXxSacMcY1eN8AHjMNJ_7dDXMJVRLDlaFSOdPM/edit?usp=sharing"",""ตราด!J293"")"),0)</f>
        <v>0</v>
      </c>
      <c r="W58" s="79">
        <f t="shared" ca="1" si="36"/>
        <v>0</v>
      </c>
      <c r="X58" s="78">
        <f ca="1">IFERROR(__xludf.DUMMYFUNCTION("IMPORTRANGE(""https://docs.google.com/spreadsheets/d/1jkqa6GXxSacMcY1eN8AHjMNJ_7dDXMJVRLDlaFSOdPM/edit?usp=sharing"",""ตราด!I295"")"),0)</f>
        <v>0</v>
      </c>
      <c r="Y58" s="78">
        <f ca="1">IFERROR(__xludf.DUMMYFUNCTION("IMPORTRANGE(""https://docs.google.com/spreadsheets/d/1jkqa6GXxSacMcY1eN8AHjMNJ_7dDXMJVRLDlaFSOdPM/edit?usp=sharing"",""ตราด!J295"")"),0)</f>
        <v>0</v>
      </c>
      <c r="Z58" s="79">
        <f t="shared" ca="1" si="38"/>
        <v>0</v>
      </c>
      <c r="AA58" s="315">
        <f ca="1">IFERROR(__xludf.DUMMYFUNCTION("IMPORTRANGE(""https://docs.google.com/spreadsheets/d/1jkqa6GXxSacMcY1eN8AHjMNJ_7dDXMJVRLDlaFSOdPM/edit?usp=sharing"",""ตราด!J296"")"),0)</f>
        <v>0</v>
      </c>
      <c r="AB58" s="316">
        <f t="shared" ca="1" si="39"/>
        <v>0</v>
      </c>
      <c r="AC58" s="317">
        <f ca="1">IFERROR(__xludf.DUMMYFUNCTION("IMPORTRANGE(""https://docs.google.com/spreadsheets/d/1jkqa6GXxSacMcY1eN8AHjMNJ_7dDXMJVRLDlaFSOdPM/edit?usp=sharing"",""ตราด!I295"")"),0)</f>
        <v>0</v>
      </c>
      <c r="AD58" s="288" t="str">
        <f ca="1">IFERROR(__xludf.DUMMYFUNCTION("IMPORTRANGE(""https://docs.google.com/spreadsheets/d/1jkqa6GXxSacMcY1eN8AHjMNJ_7dDXMJVRLDlaFSOdPM/edit?usp=sharing"",""ตราด!J298"")"),"")</f>
        <v/>
      </c>
      <c r="AE58" s="318">
        <f t="shared" ca="1" si="41"/>
        <v>0</v>
      </c>
      <c r="AF58" s="288" t="str">
        <f ca="1">IFERROR(__xludf.DUMMYFUNCTION("IMPORTRANGE(""https://docs.google.com/spreadsheets/d/1jkqa6GXxSacMcY1eN8AHjMNJ_7dDXMJVRLDlaFSOdPM/edit?usp=sharing"",""ตราด!J299"")"),"")</f>
        <v/>
      </c>
      <c r="AG58" s="318">
        <f t="shared" ca="1" si="42"/>
        <v>0</v>
      </c>
    </row>
    <row r="59" spans="1:33" ht="21" customHeight="1" x14ac:dyDescent="0.3">
      <c r="A59" s="70">
        <v>7</v>
      </c>
      <c r="B59" s="71" t="s">
        <v>87</v>
      </c>
      <c r="C59" s="149">
        <f t="shared" ca="1" si="25"/>
        <v>0</v>
      </c>
      <c r="D59" s="150">
        <f t="shared" ca="1" si="55"/>
        <v>0</v>
      </c>
      <c r="E59" s="151">
        <f ca="1">IFERROR(__xludf.DUMMYFUNCTION("IMPORTRANGE(""https://docs.google.com/spreadsheets/d/1-uDff_7J0KD5mKrp0Vvzr7lt3OU09vwQwhkpOPPYv2Y/edit?usp=sharing"",""งบพรบ!DP59"")"),0)</f>
        <v>0</v>
      </c>
      <c r="F59" s="151">
        <f ca="1">IFERROR(__xludf.DUMMYFUNCTION("IMPORTRANGE(""https://docs.google.com/spreadsheets/d/1-uDff_7J0KD5mKrp0Vvzr7lt3OU09vwQwhkpOPPYv2Y/edit?usp=sharing"",""งบพรบ!DQ59"")"),0)</f>
        <v>0</v>
      </c>
      <c r="G59" s="151">
        <f ca="1">IFERROR(__xludf.DUMMYFUNCTION("IMPORTRANGE(""https://docs.google.com/spreadsheets/d/1-uDff_7J0KD5mKrp0Vvzr7lt3OU09vwQwhkpOPPYv2Y/edit?usp=sharing"",""งบพรบ!DR59"")"),0)</f>
        <v>0</v>
      </c>
      <c r="H59" s="151">
        <f ca="1">IFERROR(__xludf.DUMMYFUNCTION("IMPORTRANGE(""https://docs.google.com/spreadsheets/d/1-uDff_7J0KD5mKrp0Vvzr7lt3OU09vwQwhkpOPPYv2Y/edit?usp=sharing"",""งบพรบ!DT59"")"),0)</f>
        <v>0</v>
      </c>
      <c r="I59" s="151">
        <f ca="1">IFERROR(__xludf.DUMMYFUNCTION("IMPORTRANGE(""https://docs.google.com/spreadsheets/d/1-uDff_7J0KD5mKrp0Vvzr7lt3OU09vwQwhkpOPPYv2Y/edit?usp=sharing"",""งบพรบ!DU59"")"),0)</f>
        <v>0</v>
      </c>
      <c r="J59" s="151">
        <f t="shared" ca="1" si="27"/>
        <v>0</v>
      </c>
      <c r="K59" s="154">
        <f t="shared" ca="1" si="28"/>
        <v>0</v>
      </c>
      <c r="L59" s="151">
        <f ca="1">IFERROR(__xludf.DUMMYFUNCTION("IMPORTRANGE(""https://docs.google.com/spreadsheets/d/1-uDff_7J0KD5mKrp0Vvzr7lt3OU09vwQwhkpOPPYv2Y/edit?usp=sharing"",""งบพรบ!DV59"")"),0)</f>
        <v>0</v>
      </c>
      <c r="M59" s="68">
        <f t="shared" ca="1" si="29"/>
        <v>0</v>
      </c>
      <c r="N59" s="68">
        <f t="shared" ca="1" si="30"/>
        <v>0</v>
      </c>
      <c r="O59" s="67">
        <f ca="1">IFERROR(__xludf.DUMMYFUNCTION("IMPORTRANGE(""https://docs.google.com/spreadsheets/d/1-uDff_7J0KD5mKrp0Vvzr7lt3OU09vwQwhkpOPPYv2Y/edit?usp=sharing"",""งบพรบ!DW59"")"),0)</f>
        <v>0</v>
      </c>
      <c r="P59" s="67">
        <f t="shared" ca="1" si="31"/>
        <v>0</v>
      </c>
      <c r="Q59" s="68">
        <f t="shared" ca="1" si="32"/>
        <v>0</v>
      </c>
      <c r="R59" s="78">
        <f ca="1">IFERROR(__xludf.DUMMYFUNCTION("IMPORTRANGE(""https://docs.google.com/spreadsheets/d/18hSgUJ3VwClqi_qtULmmW3cLr0oe3OKaSYoKzdpTsYQ/edit?usp=sharing"",""นครนายก!I292"")"),0)</f>
        <v>0</v>
      </c>
      <c r="S59" s="78">
        <f ca="1">IFERROR(__xludf.DUMMYFUNCTION("IMPORTRANGE(""https://docs.google.com/spreadsheets/d/18hSgUJ3VwClqi_qtULmmW3cLr0oe3OKaSYoKzdpTsYQ/edit?usp=sharing"",""นครนายก!J292"")"),0)</f>
        <v>0</v>
      </c>
      <c r="T59" s="79">
        <f t="shared" ca="1" si="34"/>
        <v>0</v>
      </c>
      <c r="U59" s="78">
        <f ca="1">IFERROR(__xludf.DUMMYFUNCTION("IMPORTRANGE(""https://docs.google.com/spreadsheets/d/18hSgUJ3VwClqi_qtULmmW3cLr0oe3OKaSYoKzdpTsYQ/edit?usp=sharing"",""นครนายก!I293"")"),0)</f>
        <v>0</v>
      </c>
      <c r="V59" s="78">
        <f ca="1">IFERROR(__xludf.DUMMYFUNCTION("IMPORTRANGE(""https://docs.google.com/spreadsheets/d/18hSgUJ3VwClqi_qtULmmW3cLr0oe3OKaSYoKzdpTsYQ/edit?usp=sharing"",""นครนายก!J293"")"),0)</f>
        <v>0</v>
      </c>
      <c r="W59" s="79">
        <f t="shared" ca="1" si="36"/>
        <v>0</v>
      </c>
      <c r="X59" s="78">
        <f ca="1">IFERROR(__xludf.DUMMYFUNCTION("IMPORTRANGE(""https://docs.google.com/spreadsheets/d/18hSgUJ3VwClqi_qtULmmW3cLr0oe3OKaSYoKzdpTsYQ/edit?usp=sharing"",""นครนายก!I295"")"),0)</f>
        <v>0</v>
      </c>
      <c r="Y59" s="78">
        <f ca="1">IFERROR(__xludf.DUMMYFUNCTION("IMPORTRANGE(""https://docs.google.com/spreadsheets/d/18hSgUJ3VwClqi_qtULmmW3cLr0oe3OKaSYoKzdpTsYQ/edit?usp=sharing"",""นครนายก!J295"")"),0)</f>
        <v>0</v>
      </c>
      <c r="Z59" s="79">
        <f t="shared" ca="1" si="38"/>
        <v>0</v>
      </c>
      <c r="AA59" s="315">
        <f ca="1">IFERROR(__xludf.DUMMYFUNCTION("IMPORTRANGE(""https://docs.google.com/spreadsheets/d/18hSgUJ3VwClqi_qtULmmW3cLr0oe3OKaSYoKzdpTsYQ/edit?usp=sharing"",""นครนายก!J296"")"),0)</f>
        <v>0</v>
      </c>
      <c r="AB59" s="316">
        <f t="shared" ca="1" si="39"/>
        <v>0</v>
      </c>
      <c r="AC59" s="317">
        <f ca="1">IFERROR(__xludf.DUMMYFUNCTION("IMPORTRANGE(""https://docs.google.com/spreadsheets/d/18hSgUJ3VwClqi_qtULmmW3cLr0oe3OKaSYoKzdpTsYQ/edit?usp=sharing"",""นครนายก!I295"")"),0)</f>
        <v>0</v>
      </c>
      <c r="AD59" s="288" t="str">
        <f ca="1">IFERROR(__xludf.DUMMYFUNCTION("IMPORTRANGE(""https://docs.google.com/spreadsheets/d/18hSgUJ3VwClqi_qtULmmW3cLr0oe3OKaSYoKzdpTsYQ/edit?usp=sharing"",""นครนายก!J298"")"),"")</f>
        <v/>
      </c>
      <c r="AE59" s="318">
        <f t="shared" ca="1" si="41"/>
        <v>0</v>
      </c>
      <c r="AF59" s="288" t="str">
        <f ca="1">IFERROR(__xludf.DUMMYFUNCTION("IMPORTRANGE(""https://docs.google.com/spreadsheets/d/18hSgUJ3VwClqi_qtULmmW3cLr0oe3OKaSYoKzdpTsYQ/edit?usp=sharing"",""นครนายก!J299"")"),"")</f>
        <v/>
      </c>
      <c r="AG59" s="318">
        <f t="shared" ca="1" si="42"/>
        <v>0</v>
      </c>
    </row>
    <row r="60" spans="1:33" ht="21" customHeight="1" x14ac:dyDescent="0.3">
      <c r="A60" s="70">
        <v>8</v>
      </c>
      <c r="B60" s="71" t="s">
        <v>88</v>
      </c>
      <c r="C60" s="149">
        <f t="shared" ca="1" si="25"/>
        <v>0</v>
      </c>
      <c r="D60" s="150">
        <f t="shared" ca="1" si="55"/>
        <v>0</v>
      </c>
      <c r="E60" s="151">
        <f ca="1">IFERROR(__xludf.DUMMYFUNCTION("IMPORTRANGE(""https://docs.google.com/spreadsheets/d/1-uDff_7J0KD5mKrp0Vvzr7lt3OU09vwQwhkpOPPYv2Y/edit?usp=sharing"",""งบพรบ!DP60"")"),0)</f>
        <v>0</v>
      </c>
      <c r="F60" s="151">
        <f ca="1">IFERROR(__xludf.DUMMYFUNCTION("IMPORTRANGE(""https://docs.google.com/spreadsheets/d/1-uDff_7J0KD5mKrp0Vvzr7lt3OU09vwQwhkpOPPYv2Y/edit?usp=sharing"",""งบพรบ!DQ60"")"),0)</f>
        <v>0</v>
      </c>
      <c r="G60" s="151">
        <f ca="1">IFERROR(__xludf.DUMMYFUNCTION("IMPORTRANGE(""https://docs.google.com/spreadsheets/d/1-uDff_7J0KD5mKrp0Vvzr7lt3OU09vwQwhkpOPPYv2Y/edit?usp=sharing"",""งบพรบ!DR60"")"),0)</f>
        <v>0</v>
      </c>
      <c r="H60" s="151">
        <f ca="1">IFERROR(__xludf.DUMMYFUNCTION("IMPORTRANGE(""https://docs.google.com/spreadsheets/d/1-uDff_7J0KD5mKrp0Vvzr7lt3OU09vwQwhkpOPPYv2Y/edit?usp=sharing"",""งบพรบ!DT60"")"),0)</f>
        <v>0</v>
      </c>
      <c r="I60" s="151">
        <f ca="1">IFERROR(__xludf.DUMMYFUNCTION("IMPORTRANGE(""https://docs.google.com/spreadsheets/d/1-uDff_7J0KD5mKrp0Vvzr7lt3OU09vwQwhkpOPPYv2Y/edit?usp=sharing"",""งบพรบ!DU60"")"),0)</f>
        <v>0</v>
      </c>
      <c r="J60" s="151">
        <f t="shared" ca="1" si="27"/>
        <v>0</v>
      </c>
      <c r="K60" s="154">
        <f t="shared" ca="1" si="28"/>
        <v>0</v>
      </c>
      <c r="L60" s="151">
        <f ca="1">IFERROR(__xludf.DUMMYFUNCTION("IMPORTRANGE(""https://docs.google.com/spreadsheets/d/1-uDff_7J0KD5mKrp0Vvzr7lt3OU09vwQwhkpOPPYv2Y/edit?usp=sharing"",""งบพรบ!DV60"")"),0)</f>
        <v>0</v>
      </c>
      <c r="M60" s="68">
        <f t="shared" ca="1" si="29"/>
        <v>0</v>
      </c>
      <c r="N60" s="68">
        <f t="shared" ca="1" si="30"/>
        <v>0</v>
      </c>
      <c r="O60" s="67">
        <f ca="1">IFERROR(__xludf.DUMMYFUNCTION("IMPORTRANGE(""https://docs.google.com/spreadsheets/d/1-uDff_7J0KD5mKrp0Vvzr7lt3OU09vwQwhkpOPPYv2Y/edit?usp=sharing"",""งบพรบ!DW60"")"),0)</f>
        <v>0</v>
      </c>
      <c r="P60" s="67">
        <f t="shared" ca="1" si="31"/>
        <v>0</v>
      </c>
      <c r="Q60" s="68">
        <f t="shared" ca="1" si="32"/>
        <v>0</v>
      </c>
      <c r="R60" s="78">
        <f ca="1">IFERROR(__xludf.DUMMYFUNCTION("IMPORTRANGE(""https://docs.google.com/spreadsheets/d/1YTZo6WM2dQ6Ix6FSdnL5P7uVnVKu40sxZu975tgG10E/edit?usp=sharing"",""นครปฐม!I292"")"),0)</f>
        <v>0</v>
      </c>
      <c r="S60" s="78">
        <f ca="1">IFERROR(__xludf.DUMMYFUNCTION("IMPORTRANGE(""https://docs.google.com/spreadsheets/d/1YTZo6WM2dQ6Ix6FSdnL5P7uVnVKu40sxZu975tgG10E/edit?usp=sharing"",""นครปฐม!J292"")"),0)</f>
        <v>0</v>
      </c>
      <c r="T60" s="79">
        <f t="shared" ca="1" si="34"/>
        <v>0</v>
      </c>
      <c r="U60" s="78">
        <f ca="1">IFERROR(__xludf.DUMMYFUNCTION("IMPORTRANGE(""https://docs.google.com/spreadsheets/d/1YTZo6WM2dQ6Ix6FSdnL5P7uVnVKu40sxZu975tgG10E/edit?usp=sharing"",""นครปฐม!I293"")"),0)</f>
        <v>0</v>
      </c>
      <c r="V60" s="78">
        <f ca="1">IFERROR(__xludf.DUMMYFUNCTION("IMPORTRANGE(""https://docs.google.com/spreadsheets/d/1YTZo6WM2dQ6Ix6FSdnL5P7uVnVKu40sxZu975tgG10E/edit?usp=sharing"",""นครปฐม!J293"")"),0)</f>
        <v>0</v>
      </c>
      <c r="W60" s="79">
        <f t="shared" ca="1" si="36"/>
        <v>0</v>
      </c>
      <c r="X60" s="78">
        <f ca="1">IFERROR(__xludf.DUMMYFUNCTION("IMPORTRANGE(""https://docs.google.com/spreadsheets/d/1YTZo6WM2dQ6Ix6FSdnL5P7uVnVKu40sxZu975tgG10E/edit?usp=sharing"",""นครปฐม!I295"")"),0)</f>
        <v>0</v>
      </c>
      <c r="Y60" s="78">
        <f ca="1">IFERROR(__xludf.DUMMYFUNCTION("IMPORTRANGE(""https://docs.google.com/spreadsheets/d/1YTZo6WM2dQ6Ix6FSdnL5P7uVnVKu40sxZu975tgG10E/edit?usp=sharing"",""นครปฐม!J295"")"),0)</f>
        <v>0</v>
      </c>
      <c r="Z60" s="79">
        <f t="shared" ca="1" si="38"/>
        <v>0</v>
      </c>
      <c r="AA60" s="315">
        <f ca="1">IFERROR(__xludf.DUMMYFUNCTION("IMPORTRANGE(""https://docs.google.com/spreadsheets/d/1YTZo6WM2dQ6Ix6FSdnL5P7uVnVKu40sxZu975tgG10E/edit?usp=sharing"",""นครปฐม!J296"")"),0)</f>
        <v>0</v>
      </c>
      <c r="AB60" s="316">
        <f t="shared" ca="1" si="39"/>
        <v>0</v>
      </c>
      <c r="AC60" s="317">
        <f ca="1">IFERROR(__xludf.DUMMYFUNCTION("IMPORTRANGE(""https://docs.google.com/spreadsheets/d/1YTZo6WM2dQ6Ix6FSdnL5P7uVnVKu40sxZu975tgG10E/edit?usp=sharing"",""นครปฐม!I295"")"),0)</f>
        <v>0</v>
      </c>
      <c r="AD60" s="288" t="str">
        <f ca="1">IFERROR(__xludf.DUMMYFUNCTION("IMPORTRANGE(""https://docs.google.com/spreadsheets/d/1YTZo6WM2dQ6Ix6FSdnL5P7uVnVKu40sxZu975tgG10E/edit?usp=sharing"",""นครปฐม!J298"")"),"")</f>
        <v/>
      </c>
      <c r="AE60" s="318">
        <f t="shared" ca="1" si="41"/>
        <v>0</v>
      </c>
      <c r="AF60" s="288" t="str">
        <f ca="1">IFERROR(__xludf.DUMMYFUNCTION("IMPORTRANGE(""https://docs.google.com/spreadsheets/d/1YTZo6WM2dQ6Ix6FSdnL5P7uVnVKu40sxZu975tgG10E/edit?usp=sharing"",""นครปฐม!J299"")"),"")</f>
        <v/>
      </c>
      <c r="AG60" s="318">
        <f t="shared" ca="1" si="42"/>
        <v>0</v>
      </c>
    </row>
    <row r="61" spans="1:33" ht="21" customHeight="1" x14ac:dyDescent="0.3">
      <c r="A61" s="70">
        <v>9</v>
      </c>
      <c r="B61" s="71" t="s">
        <v>89</v>
      </c>
      <c r="C61" s="149">
        <f t="shared" ca="1" si="25"/>
        <v>0</v>
      </c>
      <c r="D61" s="150">
        <f t="shared" ca="1" si="55"/>
        <v>0</v>
      </c>
      <c r="E61" s="151">
        <f ca="1">IFERROR(__xludf.DUMMYFUNCTION("IMPORTRANGE(""https://docs.google.com/spreadsheets/d/1-uDff_7J0KD5mKrp0Vvzr7lt3OU09vwQwhkpOPPYv2Y/edit?usp=sharing"",""งบพรบ!DP61"")"),0)</f>
        <v>0</v>
      </c>
      <c r="F61" s="151">
        <f ca="1">IFERROR(__xludf.DUMMYFUNCTION("IMPORTRANGE(""https://docs.google.com/spreadsheets/d/1-uDff_7J0KD5mKrp0Vvzr7lt3OU09vwQwhkpOPPYv2Y/edit?usp=sharing"",""งบพรบ!DQ61"")"),0)</f>
        <v>0</v>
      </c>
      <c r="G61" s="151">
        <f ca="1">IFERROR(__xludf.DUMMYFUNCTION("IMPORTRANGE(""https://docs.google.com/spreadsheets/d/1-uDff_7J0KD5mKrp0Vvzr7lt3OU09vwQwhkpOPPYv2Y/edit?usp=sharing"",""งบพรบ!DR61"")"),0)</f>
        <v>0</v>
      </c>
      <c r="H61" s="151">
        <f ca="1">IFERROR(__xludf.DUMMYFUNCTION("IMPORTRANGE(""https://docs.google.com/spreadsheets/d/1-uDff_7J0KD5mKrp0Vvzr7lt3OU09vwQwhkpOPPYv2Y/edit?usp=sharing"",""งบพรบ!DT61"")"),0)</f>
        <v>0</v>
      </c>
      <c r="I61" s="151">
        <f ca="1">IFERROR(__xludf.DUMMYFUNCTION("IMPORTRANGE(""https://docs.google.com/spreadsheets/d/1-uDff_7J0KD5mKrp0Vvzr7lt3OU09vwQwhkpOPPYv2Y/edit?usp=sharing"",""งบพรบ!DU61"")"),0)</f>
        <v>0</v>
      </c>
      <c r="J61" s="151">
        <f t="shared" ca="1" si="27"/>
        <v>0</v>
      </c>
      <c r="K61" s="154">
        <f t="shared" ca="1" si="28"/>
        <v>0</v>
      </c>
      <c r="L61" s="151">
        <f ca="1">IFERROR(__xludf.DUMMYFUNCTION("IMPORTRANGE(""https://docs.google.com/spreadsheets/d/1-uDff_7J0KD5mKrp0Vvzr7lt3OU09vwQwhkpOPPYv2Y/edit?usp=sharing"",""งบพรบ!DV61"")"),0)</f>
        <v>0</v>
      </c>
      <c r="M61" s="68">
        <f t="shared" ca="1" si="29"/>
        <v>0</v>
      </c>
      <c r="N61" s="68">
        <f t="shared" ca="1" si="30"/>
        <v>0</v>
      </c>
      <c r="O61" s="67">
        <f ca="1">IFERROR(__xludf.DUMMYFUNCTION("IMPORTRANGE(""https://docs.google.com/spreadsheets/d/1-uDff_7J0KD5mKrp0Vvzr7lt3OU09vwQwhkpOPPYv2Y/edit?usp=sharing"",""งบพรบ!DW61"")"),0)</f>
        <v>0</v>
      </c>
      <c r="P61" s="67">
        <f t="shared" ca="1" si="31"/>
        <v>0</v>
      </c>
      <c r="Q61" s="68">
        <f t="shared" ca="1" si="32"/>
        <v>0</v>
      </c>
      <c r="R61" s="78">
        <f ca="1">IFERROR(__xludf.DUMMYFUNCTION("IMPORTRANGE(""https://docs.google.com/spreadsheets/d/1OYoGg4WDg5RIzwGeB10padOxJF9E_Vljuvvct_M7RDo/edit?usp=sharing"",""ปทุมธานี!I292"")"),0)</f>
        <v>0</v>
      </c>
      <c r="S61" s="78">
        <f ca="1">IFERROR(__xludf.DUMMYFUNCTION("IMPORTRANGE(""https://docs.google.com/spreadsheets/d/1OYoGg4WDg5RIzwGeB10padOxJF9E_Vljuvvct_M7RDo/edit?usp=sharing"",""ปทุมธานี!J292"")"),0)</f>
        <v>0</v>
      </c>
      <c r="T61" s="79">
        <f t="shared" ca="1" si="34"/>
        <v>0</v>
      </c>
      <c r="U61" s="78">
        <f ca="1">IFERROR(__xludf.DUMMYFUNCTION("IMPORTRANGE(""https://docs.google.com/spreadsheets/d/1OYoGg4WDg5RIzwGeB10padOxJF9E_Vljuvvct_M7RDo/edit?usp=sharing"",""ปทุมธานี!I293"")"),0)</f>
        <v>0</v>
      </c>
      <c r="V61" s="78">
        <f ca="1">IFERROR(__xludf.DUMMYFUNCTION("IMPORTRANGE(""https://docs.google.com/spreadsheets/d/1OYoGg4WDg5RIzwGeB10padOxJF9E_Vljuvvct_M7RDo/edit?usp=sharing"",""ปทุมธานี!J293"")"),0)</f>
        <v>0</v>
      </c>
      <c r="W61" s="79">
        <f t="shared" ca="1" si="36"/>
        <v>0</v>
      </c>
      <c r="X61" s="78">
        <f ca="1">IFERROR(__xludf.DUMMYFUNCTION("IMPORTRANGE(""https://docs.google.com/spreadsheets/d/1OYoGg4WDg5RIzwGeB10padOxJF9E_Vljuvvct_M7RDo/edit?usp=sharing"",""ปทุมธานี!I295"")"),0)</f>
        <v>0</v>
      </c>
      <c r="Y61" s="78">
        <f ca="1">IFERROR(__xludf.DUMMYFUNCTION("IMPORTRANGE(""https://docs.google.com/spreadsheets/d/1OYoGg4WDg5RIzwGeB10padOxJF9E_Vljuvvct_M7RDo/edit?usp=sharing"",""ปทุมธานี!J295"")"),0)</f>
        <v>0</v>
      </c>
      <c r="Z61" s="79">
        <f t="shared" ca="1" si="38"/>
        <v>0</v>
      </c>
      <c r="AA61" s="315">
        <f ca="1">IFERROR(__xludf.DUMMYFUNCTION("IMPORTRANGE(""https://docs.google.com/spreadsheets/d/1OYoGg4WDg5RIzwGeB10padOxJF9E_Vljuvvct_M7RDo/edit?usp=sharing"",""ปทุมธานี!J296"")"),0)</f>
        <v>0</v>
      </c>
      <c r="AB61" s="316">
        <f t="shared" ca="1" si="39"/>
        <v>0</v>
      </c>
      <c r="AC61" s="317">
        <f ca="1">IFERROR(__xludf.DUMMYFUNCTION("IMPORTRANGE(""https://docs.google.com/spreadsheets/d/1OYoGg4WDg5RIzwGeB10padOxJF9E_Vljuvvct_M7RDo/edit?usp=sharing"",""ปทุมธานี!I295"")"),0)</f>
        <v>0</v>
      </c>
      <c r="AD61" s="288" t="str">
        <f ca="1">IFERROR(__xludf.DUMMYFUNCTION("IMPORTRANGE(""https://docs.google.com/spreadsheets/d/1OYoGg4WDg5RIzwGeB10padOxJF9E_Vljuvvct_M7RDo/edit?usp=sharing"",""ปทุมธานี!J298"")"),"")</f>
        <v/>
      </c>
      <c r="AE61" s="318">
        <f t="shared" ca="1" si="41"/>
        <v>0</v>
      </c>
      <c r="AF61" s="288" t="str">
        <f ca="1">IFERROR(__xludf.DUMMYFUNCTION("IMPORTRANGE(""https://docs.google.com/spreadsheets/d/1OYoGg4WDg5RIzwGeB10padOxJF9E_Vljuvvct_M7RDo/edit?usp=sharing"",""ปทุมธานี!J299"")"),"")</f>
        <v/>
      </c>
      <c r="AG61" s="318">
        <f t="shared" ca="1" si="42"/>
        <v>0</v>
      </c>
    </row>
    <row r="62" spans="1:33" ht="21" customHeight="1" x14ac:dyDescent="0.3">
      <c r="A62" s="70">
        <v>10</v>
      </c>
      <c r="B62" s="71" t="s">
        <v>90</v>
      </c>
      <c r="C62" s="149">
        <f t="shared" ca="1" si="25"/>
        <v>0</v>
      </c>
      <c r="D62" s="150">
        <f t="shared" ca="1" si="55"/>
        <v>0</v>
      </c>
      <c r="E62" s="151">
        <f ca="1">IFERROR(__xludf.DUMMYFUNCTION("IMPORTRANGE(""https://docs.google.com/spreadsheets/d/1-uDff_7J0KD5mKrp0Vvzr7lt3OU09vwQwhkpOPPYv2Y/edit?usp=sharing"",""งบพรบ!DP62"")"),0)</f>
        <v>0</v>
      </c>
      <c r="F62" s="151">
        <f ca="1">IFERROR(__xludf.DUMMYFUNCTION("IMPORTRANGE(""https://docs.google.com/spreadsheets/d/1-uDff_7J0KD5mKrp0Vvzr7lt3OU09vwQwhkpOPPYv2Y/edit?usp=sharing"",""งบพรบ!DQ62"")"),0)</f>
        <v>0</v>
      </c>
      <c r="G62" s="151">
        <f ca="1">IFERROR(__xludf.DUMMYFUNCTION("IMPORTRANGE(""https://docs.google.com/spreadsheets/d/1-uDff_7J0KD5mKrp0Vvzr7lt3OU09vwQwhkpOPPYv2Y/edit?usp=sharing"",""งบพรบ!DR62"")"),0)</f>
        <v>0</v>
      </c>
      <c r="H62" s="151">
        <f ca="1">IFERROR(__xludf.DUMMYFUNCTION("IMPORTRANGE(""https://docs.google.com/spreadsheets/d/1-uDff_7J0KD5mKrp0Vvzr7lt3OU09vwQwhkpOPPYv2Y/edit?usp=sharing"",""งบพรบ!DT62"")"),0)</f>
        <v>0</v>
      </c>
      <c r="I62" s="151">
        <f ca="1">IFERROR(__xludf.DUMMYFUNCTION("IMPORTRANGE(""https://docs.google.com/spreadsheets/d/1-uDff_7J0KD5mKrp0Vvzr7lt3OU09vwQwhkpOPPYv2Y/edit?usp=sharing"",""งบพรบ!DU62"")"),0)</f>
        <v>0</v>
      </c>
      <c r="J62" s="151">
        <f t="shared" ca="1" si="27"/>
        <v>0</v>
      </c>
      <c r="K62" s="154">
        <f t="shared" ca="1" si="28"/>
        <v>0</v>
      </c>
      <c r="L62" s="151">
        <f ca="1">IFERROR(__xludf.DUMMYFUNCTION("IMPORTRANGE(""https://docs.google.com/spreadsheets/d/1-uDff_7J0KD5mKrp0Vvzr7lt3OU09vwQwhkpOPPYv2Y/edit?usp=sharing"",""งบพรบ!DV62"")"),0)</f>
        <v>0</v>
      </c>
      <c r="M62" s="68">
        <f t="shared" ca="1" si="29"/>
        <v>0</v>
      </c>
      <c r="N62" s="68">
        <f t="shared" ca="1" si="30"/>
        <v>0</v>
      </c>
      <c r="O62" s="67">
        <f ca="1">IFERROR(__xludf.DUMMYFUNCTION("IMPORTRANGE(""https://docs.google.com/spreadsheets/d/1-uDff_7J0KD5mKrp0Vvzr7lt3OU09vwQwhkpOPPYv2Y/edit?usp=sharing"",""งบพรบ!DW62"")"),0)</f>
        <v>0</v>
      </c>
      <c r="P62" s="67">
        <f t="shared" ca="1" si="31"/>
        <v>0</v>
      </c>
      <c r="Q62" s="68">
        <f t="shared" ca="1" si="32"/>
        <v>0</v>
      </c>
      <c r="R62" s="78">
        <f ca="1">IFERROR(__xludf.DUMMYFUNCTION("IMPORTRANGE(""https://docs.google.com/spreadsheets/d/1GbCIE4D4wk9FUozzqk7SxfDMxDVBwVmI5zcaVUSzKAc/edit?usp=sharing"",""ประจวบคีรีขันธ์!I292"")"),0)</f>
        <v>0</v>
      </c>
      <c r="S62" s="78">
        <f ca="1">IFERROR(__xludf.DUMMYFUNCTION("IMPORTRANGE(""https://docs.google.com/spreadsheets/d/1GbCIE4D4wk9FUozzqk7SxfDMxDVBwVmI5zcaVUSzKAc/edit?usp=sharing"",""ประจวบคีรีขันธ์!J292"")"),0)</f>
        <v>0</v>
      </c>
      <c r="T62" s="79">
        <f t="shared" ca="1" si="34"/>
        <v>0</v>
      </c>
      <c r="U62" s="78">
        <f ca="1">IFERROR(__xludf.DUMMYFUNCTION("IMPORTRANGE(""https://docs.google.com/spreadsheets/d/1GbCIE4D4wk9FUozzqk7SxfDMxDVBwVmI5zcaVUSzKAc/edit?usp=sharing"",""ประจวบคีรีขันธ์!I293"")"),0)</f>
        <v>0</v>
      </c>
      <c r="V62" s="78">
        <f ca="1">IFERROR(__xludf.DUMMYFUNCTION("IMPORTRANGE(""https://docs.google.com/spreadsheets/d/1GbCIE4D4wk9FUozzqk7SxfDMxDVBwVmI5zcaVUSzKAc/edit?usp=sharing"",""ประจวบคีรีขันธ์!J293"")"),0)</f>
        <v>0</v>
      </c>
      <c r="W62" s="79">
        <f t="shared" ca="1" si="36"/>
        <v>0</v>
      </c>
      <c r="X62" s="78">
        <f ca="1">IFERROR(__xludf.DUMMYFUNCTION("IMPORTRANGE(""https://docs.google.com/spreadsheets/d/1GbCIE4D4wk9FUozzqk7SxfDMxDVBwVmI5zcaVUSzKAc/edit?usp=sharing"",""ประจวบคีรีขันธ์!I295"")"),0)</f>
        <v>0</v>
      </c>
      <c r="Y62" s="78">
        <f ca="1">IFERROR(__xludf.DUMMYFUNCTION("IMPORTRANGE(""https://docs.google.com/spreadsheets/d/1GbCIE4D4wk9FUozzqk7SxfDMxDVBwVmI5zcaVUSzKAc/edit?usp=sharing"",""ประจวบคีรีขันธ์!J295"")"),0)</f>
        <v>0</v>
      </c>
      <c r="Z62" s="79">
        <f t="shared" ca="1" si="38"/>
        <v>0</v>
      </c>
      <c r="AA62" s="315">
        <f ca="1">IFERROR(__xludf.DUMMYFUNCTION("IMPORTRANGE(""https://docs.google.com/spreadsheets/d/1GbCIE4D4wk9FUozzqk7SxfDMxDVBwVmI5zcaVUSzKAc/edit?usp=sharing"",""ประจวบคีรีขันธ์!J296"")"),0)</f>
        <v>0</v>
      </c>
      <c r="AB62" s="316">
        <f t="shared" ca="1" si="39"/>
        <v>0</v>
      </c>
      <c r="AC62" s="317">
        <f ca="1">IFERROR(__xludf.DUMMYFUNCTION("IMPORTRANGE(""https://docs.google.com/spreadsheets/d/1GbCIE4D4wk9FUozzqk7SxfDMxDVBwVmI5zcaVUSzKAc/edit?usp=sharing"",""ประจวบคีรีขันธ์!I295"")"),0)</f>
        <v>0</v>
      </c>
      <c r="AD62" s="288" t="str">
        <f ca="1">IFERROR(__xludf.DUMMYFUNCTION("IMPORTRANGE(""https://docs.google.com/spreadsheets/d/1GbCIE4D4wk9FUozzqk7SxfDMxDVBwVmI5zcaVUSzKAc/edit?usp=sharing"",""ประจวบคีรีขันธ์!J298"")"),"")</f>
        <v/>
      </c>
      <c r="AE62" s="318">
        <f t="shared" ca="1" si="41"/>
        <v>0</v>
      </c>
      <c r="AF62" s="288" t="str">
        <f ca="1">IFERROR(__xludf.DUMMYFUNCTION("IMPORTRANGE(""https://docs.google.com/spreadsheets/d/1GbCIE4D4wk9FUozzqk7SxfDMxDVBwVmI5zcaVUSzKAc/edit?usp=sharing"",""ประจวบคีรีขันธ์!J299"")"),"")</f>
        <v/>
      </c>
      <c r="AG62" s="318">
        <f t="shared" ca="1" si="42"/>
        <v>0</v>
      </c>
    </row>
    <row r="63" spans="1:33" ht="21" customHeight="1" x14ac:dyDescent="0.3">
      <c r="A63" s="70">
        <v>11</v>
      </c>
      <c r="B63" s="71" t="s">
        <v>91</v>
      </c>
      <c r="C63" s="149">
        <f t="shared" ca="1" si="25"/>
        <v>0</v>
      </c>
      <c r="D63" s="150">
        <f t="shared" ca="1" si="55"/>
        <v>0</v>
      </c>
      <c r="E63" s="151">
        <f ca="1">IFERROR(__xludf.DUMMYFUNCTION("IMPORTRANGE(""https://docs.google.com/spreadsheets/d/1-uDff_7J0KD5mKrp0Vvzr7lt3OU09vwQwhkpOPPYv2Y/edit?usp=sharing"",""งบพรบ!DP63"")"),0)</f>
        <v>0</v>
      </c>
      <c r="F63" s="151">
        <f ca="1">IFERROR(__xludf.DUMMYFUNCTION("IMPORTRANGE(""https://docs.google.com/spreadsheets/d/1-uDff_7J0KD5mKrp0Vvzr7lt3OU09vwQwhkpOPPYv2Y/edit?usp=sharing"",""งบพรบ!DQ63"")"),0)</f>
        <v>0</v>
      </c>
      <c r="G63" s="151">
        <f ca="1">IFERROR(__xludf.DUMMYFUNCTION("IMPORTRANGE(""https://docs.google.com/spreadsheets/d/1-uDff_7J0KD5mKrp0Vvzr7lt3OU09vwQwhkpOPPYv2Y/edit?usp=sharing"",""งบพรบ!DR63"")"),0)</f>
        <v>0</v>
      </c>
      <c r="H63" s="151">
        <f ca="1">IFERROR(__xludf.DUMMYFUNCTION("IMPORTRANGE(""https://docs.google.com/spreadsheets/d/1-uDff_7J0KD5mKrp0Vvzr7lt3OU09vwQwhkpOPPYv2Y/edit?usp=sharing"",""งบพรบ!DT63"")"),0)</f>
        <v>0</v>
      </c>
      <c r="I63" s="151">
        <f ca="1">IFERROR(__xludf.DUMMYFUNCTION("IMPORTRANGE(""https://docs.google.com/spreadsheets/d/1-uDff_7J0KD5mKrp0Vvzr7lt3OU09vwQwhkpOPPYv2Y/edit?usp=sharing"",""งบพรบ!DU63"")"),0)</f>
        <v>0</v>
      </c>
      <c r="J63" s="151">
        <f t="shared" ca="1" si="27"/>
        <v>0</v>
      </c>
      <c r="K63" s="154">
        <f t="shared" ca="1" si="28"/>
        <v>0</v>
      </c>
      <c r="L63" s="151">
        <f ca="1">IFERROR(__xludf.DUMMYFUNCTION("IMPORTRANGE(""https://docs.google.com/spreadsheets/d/1-uDff_7J0KD5mKrp0Vvzr7lt3OU09vwQwhkpOPPYv2Y/edit?usp=sharing"",""งบพรบ!DV63"")"),0)</f>
        <v>0</v>
      </c>
      <c r="M63" s="68">
        <f t="shared" ca="1" si="29"/>
        <v>0</v>
      </c>
      <c r="N63" s="68">
        <f t="shared" ca="1" si="30"/>
        <v>0</v>
      </c>
      <c r="O63" s="67">
        <f ca="1">IFERROR(__xludf.DUMMYFUNCTION("IMPORTRANGE(""https://docs.google.com/spreadsheets/d/1-uDff_7J0KD5mKrp0Vvzr7lt3OU09vwQwhkpOPPYv2Y/edit?usp=sharing"",""งบพรบ!DW63"")"),0)</f>
        <v>0</v>
      </c>
      <c r="P63" s="67">
        <f t="shared" ca="1" si="31"/>
        <v>0</v>
      </c>
      <c r="Q63" s="68">
        <f t="shared" ca="1" si="32"/>
        <v>0</v>
      </c>
      <c r="R63" s="78">
        <f ca="1">IFERROR(__xludf.DUMMYFUNCTION("IMPORTRANGE(""https://docs.google.com/spreadsheets/d/1vVf6wykvW_lAyu7Yo9L4hUTqHqIeP_qcVuxCtosJEbg/edit?usp=sharing"",""ปราจีนบุรี!I292"")"),0)</f>
        <v>0</v>
      </c>
      <c r="S63" s="78">
        <f ca="1">IFERROR(__xludf.DUMMYFUNCTION("IMPORTRANGE(""https://docs.google.com/spreadsheets/d/1vVf6wykvW_lAyu7Yo9L4hUTqHqIeP_qcVuxCtosJEbg/edit?usp=sharing"",""ปราจีนบุรี!J292"")"),0)</f>
        <v>0</v>
      </c>
      <c r="T63" s="79">
        <f t="shared" ca="1" si="34"/>
        <v>0</v>
      </c>
      <c r="U63" s="78">
        <f ca="1">IFERROR(__xludf.DUMMYFUNCTION("IMPORTRANGE(""https://docs.google.com/spreadsheets/d/1vVf6wykvW_lAyu7Yo9L4hUTqHqIeP_qcVuxCtosJEbg/edit?usp=sharing"",""ปราจีนบุรี!I293"")"),0)</f>
        <v>0</v>
      </c>
      <c r="V63" s="78">
        <f ca="1">IFERROR(__xludf.DUMMYFUNCTION("IMPORTRANGE(""https://docs.google.com/spreadsheets/d/1vVf6wykvW_lAyu7Yo9L4hUTqHqIeP_qcVuxCtosJEbg/edit?usp=sharing"",""ปราจีนบุรี!J293"")"),0)</f>
        <v>0</v>
      </c>
      <c r="W63" s="79">
        <f t="shared" ca="1" si="36"/>
        <v>0</v>
      </c>
      <c r="X63" s="78">
        <f ca="1">IFERROR(__xludf.DUMMYFUNCTION("IMPORTRANGE(""https://docs.google.com/spreadsheets/d/1vVf6wykvW_lAyu7Yo9L4hUTqHqIeP_qcVuxCtosJEbg/edit?usp=sharing"",""ปราจีนบุรี!I295"")"),0)</f>
        <v>0</v>
      </c>
      <c r="Y63" s="78">
        <f ca="1">IFERROR(__xludf.DUMMYFUNCTION("IMPORTRANGE(""https://docs.google.com/spreadsheets/d/1vVf6wykvW_lAyu7Yo9L4hUTqHqIeP_qcVuxCtosJEbg/edit?usp=sharing"",""ปราจีนบุรี!J295"")"),0)</f>
        <v>0</v>
      </c>
      <c r="Z63" s="79">
        <f t="shared" ca="1" si="38"/>
        <v>0</v>
      </c>
      <c r="AA63" s="315">
        <f ca="1">IFERROR(__xludf.DUMMYFUNCTION("IMPORTRANGE(""https://docs.google.com/spreadsheets/d/1vVf6wykvW_lAyu7Yo9L4hUTqHqIeP_qcVuxCtosJEbg/edit?usp=sharing"",""ปราจีนบุรี!J296"")"),0)</f>
        <v>0</v>
      </c>
      <c r="AB63" s="316">
        <f t="shared" ca="1" si="39"/>
        <v>0</v>
      </c>
      <c r="AC63" s="317">
        <f ca="1">IFERROR(__xludf.DUMMYFUNCTION("IMPORTRANGE(""https://docs.google.com/spreadsheets/d/1vVf6wykvW_lAyu7Yo9L4hUTqHqIeP_qcVuxCtosJEbg/edit?usp=sharing"",""ปราจีนบุรี!I295"")"),0)</f>
        <v>0</v>
      </c>
      <c r="AD63" s="288" t="str">
        <f ca="1">IFERROR(__xludf.DUMMYFUNCTION("IMPORTRANGE(""https://docs.google.com/spreadsheets/d/1vVf6wykvW_lAyu7Yo9L4hUTqHqIeP_qcVuxCtosJEbg/edit?usp=sharing"",""ปราจีนบุรี!J298"")"),"")</f>
        <v/>
      </c>
      <c r="AE63" s="318">
        <f t="shared" ca="1" si="41"/>
        <v>0</v>
      </c>
      <c r="AF63" s="288" t="str">
        <f ca="1">IFERROR(__xludf.DUMMYFUNCTION("IMPORTRANGE(""https://docs.google.com/spreadsheets/d/1vVf6wykvW_lAyu7Yo9L4hUTqHqIeP_qcVuxCtosJEbg/edit?usp=sharing"",""ปราจีนบุรี!J299"")"),"")</f>
        <v/>
      </c>
      <c r="AG63" s="318">
        <f t="shared" ca="1" si="42"/>
        <v>0</v>
      </c>
    </row>
    <row r="64" spans="1:33" ht="21" customHeight="1" x14ac:dyDescent="0.3">
      <c r="A64" s="70">
        <v>12</v>
      </c>
      <c r="B64" s="71" t="s">
        <v>92</v>
      </c>
      <c r="C64" s="149">
        <f t="shared" ca="1" si="25"/>
        <v>0</v>
      </c>
      <c r="D64" s="150">
        <f t="shared" ca="1" si="55"/>
        <v>0</v>
      </c>
      <c r="E64" s="151">
        <f ca="1">IFERROR(__xludf.DUMMYFUNCTION("IMPORTRANGE(""https://docs.google.com/spreadsheets/d/1-uDff_7J0KD5mKrp0Vvzr7lt3OU09vwQwhkpOPPYv2Y/edit?usp=sharing"",""งบพรบ!DP64"")"),0)</f>
        <v>0</v>
      </c>
      <c r="F64" s="151">
        <f ca="1">IFERROR(__xludf.DUMMYFUNCTION("IMPORTRANGE(""https://docs.google.com/spreadsheets/d/1-uDff_7J0KD5mKrp0Vvzr7lt3OU09vwQwhkpOPPYv2Y/edit?usp=sharing"",""งบพรบ!DQ64"")"),0)</f>
        <v>0</v>
      </c>
      <c r="G64" s="151">
        <f ca="1">IFERROR(__xludf.DUMMYFUNCTION("IMPORTRANGE(""https://docs.google.com/spreadsheets/d/1-uDff_7J0KD5mKrp0Vvzr7lt3OU09vwQwhkpOPPYv2Y/edit?usp=sharing"",""งบพรบ!DR64"")"),0)</f>
        <v>0</v>
      </c>
      <c r="H64" s="151">
        <f ca="1">IFERROR(__xludf.DUMMYFUNCTION("IMPORTRANGE(""https://docs.google.com/spreadsheets/d/1-uDff_7J0KD5mKrp0Vvzr7lt3OU09vwQwhkpOPPYv2Y/edit?usp=sharing"",""งบพรบ!DT64"")"),0)</f>
        <v>0</v>
      </c>
      <c r="I64" s="151">
        <f ca="1">IFERROR(__xludf.DUMMYFUNCTION("IMPORTRANGE(""https://docs.google.com/spreadsheets/d/1-uDff_7J0KD5mKrp0Vvzr7lt3OU09vwQwhkpOPPYv2Y/edit?usp=sharing"",""งบพรบ!DU64"")"),0)</f>
        <v>0</v>
      </c>
      <c r="J64" s="151">
        <f t="shared" ca="1" si="27"/>
        <v>0</v>
      </c>
      <c r="K64" s="154">
        <f t="shared" ca="1" si="28"/>
        <v>0</v>
      </c>
      <c r="L64" s="151">
        <f ca="1">IFERROR(__xludf.DUMMYFUNCTION("IMPORTRANGE(""https://docs.google.com/spreadsheets/d/1-uDff_7J0KD5mKrp0Vvzr7lt3OU09vwQwhkpOPPYv2Y/edit?usp=sharing"",""งบพรบ!DV64"")"),0)</f>
        <v>0</v>
      </c>
      <c r="M64" s="68">
        <f t="shared" ca="1" si="29"/>
        <v>0</v>
      </c>
      <c r="N64" s="68">
        <f t="shared" ca="1" si="30"/>
        <v>0</v>
      </c>
      <c r="O64" s="67">
        <f ca="1">IFERROR(__xludf.DUMMYFUNCTION("IMPORTRANGE(""https://docs.google.com/spreadsheets/d/1-uDff_7J0KD5mKrp0Vvzr7lt3OU09vwQwhkpOPPYv2Y/edit?usp=sharing"",""งบพรบ!DW64"")"),0)</f>
        <v>0</v>
      </c>
      <c r="P64" s="67">
        <f t="shared" ca="1" si="31"/>
        <v>0</v>
      </c>
      <c r="Q64" s="68">
        <f t="shared" ca="1" si="32"/>
        <v>0</v>
      </c>
      <c r="R64" s="78">
        <f ca="1">IFERROR(__xludf.DUMMYFUNCTION("IMPORTRANGE(""https://docs.google.com/spreadsheets/d/1BIDqLLg5jk3v59G8NlR8rk5xfQDKne0sAvZHSj7TI6I/edit?usp=sharing"",""พระนครศรีอยุธยา!I292"")"),0)</f>
        <v>0</v>
      </c>
      <c r="S64" s="78">
        <f ca="1">IFERROR(__xludf.DUMMYFUNCTION("IMPORTRANGE(""https://docs.google.com/spreadsheets/d/1BIDqLLg5jk3v59G8NlR8rk5xfQDKne0sAvZHSj7TI6I/edit?usp=sharing"",""พระนครศรีอยุธยา!J292"")"),0)</f>
        <v>0</v>
      </c>
      <c r="T64" s="79">
        <f t="shared" ca="1" si="34"/>
        <v>0</v>
      </c>
      <c r="U64" s="78">
        <f ca="1">IFERROR(__xludf.DUMMYFUNCTION("IMPORTRANGE(""https://docs.google.com/spreadsheets/d/1BIDqLLg5jk3v59G8NlR8rk5xfQDKne0sAvZHSj7TI6I/edit?usp=sharing"",""พระนครศรีอยุธยา!I293"")"),0)</f>
        <v>0</v>
      </c>
      <c r="V64" s="78">
        <f ca="1">IFERROR(__xludf.DUMMYFUNCTION("IMPORTRANGE(""https://docs.google.com/spreadsheets/d/1BIDqLLg5jk3v59G8NlR8rk5xfQDKne0sAvZHSj7TI6I/edit?usp=sharing"",""พระนครศรีอยุธยา!J293"")"),0)</f>
        <v>0</v>
      </c>
      <c r="W64" s="79">
        <f t="shared" ca="1" si="36"/>
        <v>0</v>
      </c>
      <c r="X64" s="78">
        <f ca="1">IFERROR(__xludf.DUMMYFUNCTION("IMPORTRANGE(""https://docs.google.com/spreadsheets/d/1BIDqLLg5jk3v59G8NlR8rk5xfQDKne0sAvZHSj7TI6I/edit?usp=sharing"",""พระนครศรีอยุธยา!I295"")"),0)</f>
        <v>0</v>
      </c>
      <c r="Y64" s="78">
        <f ca="1">IFERROR(__xludf.DUMMYFUNCTION("IMPORTRANGE(""https://docs.google.com/spreadsheets/d/1BIDqLLg5jk3v59G8NlR8rk5xfQDKne0sAvZHSj7TI6I/edit?usp=sharing"",""พระนครศรีอยุธยา!J295"")"),0)</f>
        <v>0</v>
      </c>
      <c r="Z64" s="79">
        <f t="shared" ca="1" si="38"/>
        <v>0</v>
      </c>
      <c r="AA64" s="315">
        <f ca="1">IFERROR(__xludf.DUMMYFUNCTION("IMPORTRANGE(""https://docs.google.com/spreadsheets/d/1BIDqLLg5jk3v59G8NlR8rk5xfQDKne0sAvZHSj7TI6I/edit?usp=sharing"",""พระนครศรีอยุธยา!J296"")"),0)</f>
        <v>0</v>
      </c>
      <c r="AB64" s="316">
        <f t="shared" ca="1" si="39"/>
        <v>0</v>
      </c>
      <c r="AC64" s="317">
        <f ca="1">IFERROR(__xludf.DUMMYFUNCTION("IMPORTRANGE(""https://docs.google.com/spreadsheets/d/1BIDqLLg5jk3v59G8NlR8rk5xfQDKne0sAvZHSj7TI6I/edit?usp=sharing"",""พระนครศรีอยุธยา!I295"")"),0)</f>
        <v>0</v>
      </c>
      <c r="AD64" s="288" t="str">
        <f ca="1">IFERROR(__xludf.DUMMYFUNCTION("IMPORTRANGE(""https://docs.google.com/spreadsheets/d/1BIDqLLg5jk3v59G8NlR8rk5xfQDKne0sAvZHSj7TI6I/edit?usp=sharing"",""พระนครศรีอยุธยา!J298"")"),"")</f>
        <v/>
      </c>
      <c r="AE64" s="318">
        <f t="shared" ca="1" si="41"/>
        <v>0</v>
      </c>
      <c r="AF64" s="288" t="str">
        <f ca="1">IFERROR(__xludf.DUMMYFUNCTION("IMPORTRANGE(""https://docs.google.com/spreadsheets/d/1BIDqLLg5jk3v59G8NlR8rk5xfQDKne0sAvZHSj7TI6I/edit?usp=sharing"",""พระนครศรีอยุธยา!J299"")"),"")</f>
        <v/>
      </c>
      <c r="AG64" s="318">
        <f t="shared" ca="1" si="42"/>
        <v>0</v>
      </c>
    </row>
    <row r="65" spans="1:33" ht="21" customHeight="1" x14ac:dyDescent="0.3">
      <c r="A65" s="70">
        <v>13</v>
      </c>
      <c r="B65" s="71" t="s">
        <v>93</v>
      </c>
      <c r="C65" s="149">
        <f t="shared" ca="1" si="25"/>
        <v>0</v>
      </c>
      <c r="D65" s="150">
        <f t="shared" ca="1" si="55"/>
        <v>0</v>
      </c>
      <c r="E65" s="151">
        <f ca="1">IFERROR(__xludf.DUMMYFUNCTION("IMPORTRANGE(""https://docs.google.com/spreadsheets/d/1-uDff_7J0KD5mKrp0Vvzr7lt3OU09vwQwhkpOPPYv2Y/edit?usp=sharing"",""งบพรบ!DP65"")"),0)</f>
        <v>0</v>
      </c>
      <c r="F65" s="151">
        <f ca="1">IFERROR(__xludf.DUMMYFUNCTION("IMPORTRANGE(""https://docs.google.com/spreadsheets/d/1-uDff_7J0KD5mKrp0Vvzr7lt3OU09vwQwhkpOPPYv2Y/edit?usp=sharing"",""งบพรบ!DQ65"")"),0)</f>
        <v>0</v>
      </c>
      <c r="G65" s="151">
        <f ca="1">IFERROR(__xludf.DUMMYFUNCTION("IMPORTRANGE(""https://docs.google.com/spreadsheets/d/1-uDff_7J0KD5mKrp0Vvzr7lt3OU09vwQwhkpOPPYv2Y/edit?usp=sharing"",""งบพรบ!DR65"")"),0)</f>
        <v>0</v>
      </c>
      <c r="H65" s="151">
        <f ca="1">IFERROR(__xludf.DUMMYFUNCTION("IMPORTRANGE(""https://docs.google.com/spreadsheets/d/1-uDff_7J0KD5mKrp0Vvzr7lt3OU09vwQwhkpOPPYv2Y/edit?usp=sharing"",""งบพรบ!DT65"")"),0)</f>
        <v>0</v>
      </c>
      <c r="I65" s="151">
        <f ca="1">IFERROR(__xludf.DUMMYFUNCTION("IMPORTRANGE(""https://docs.google.com/spreadsheets/d/1-uDff_7J0KD5mKrp0Vvzr7lt3OU09vwQwhkpOPPYv2Y/edit?usp=sharing"",""งบพรบ!DU65"")"),0)</f>
        <v>0</v>
      </c>
      <c r="J65" s="151">
        <f t="shared" ca="1" si="27"/>
        <v>0</v>
      </c>
      <c r="K65" s="154">
        <f t="shared" ca="1" si="28"/>
        <v>0</v>
      </c>
      <c r="L65" s="151">
        <f ca="1">IFERROR(__xludf.DUMMYFUNCTION("IMPORTRANGE(""https://docs.google.com/spreadsheets/d/1-uDff_7J0KD5mKrp0Vvzr7lt3OU09vwQwhkpOPPYv2Y/edit?usp=sharing"",""งบพรบ!DV65"")"),0)</f>
        <v>0</v>
      </c>
      <c r="M65" s="68">
        <f t="shared" ca="1" si="29"/>
        <v>0</v>
      </c>
      <c r="N65" s="68">
        <f t="shared" ca="1" si="30"/>
        <v>0</v>
      </c>
      <c r="O65" s="67">
        <f ca="1">IFERROR(__xludf.DUMMYFUNCTION("IMPORTRANGE(""https://docs.google.com/spreadsheets/d/1-uDff_7J0KD5mKrp0Vvzr7lt3OU09vwQwhkpOPPYv2Y/edit?usp=sharing"",""งบพรบ!DW65"")"),0)</f>
        <v>0</v>
      </c>
      <c r="P65" s="67">
        <f t="shared" ca="1" si="31"/>
        <v>0</v>
      </c>
      <c r="Q65" s="68">
        <f t="shared" ca="1" si="32"/>
        <v>0</v>
      </c>
      <c r="R65" s="78">
        <f ca="1">IFERROR(__xludf.DUMMYFUNCTION("IMPORTRANGE(""https://docs.google.com/spreadsheets/d/1YXvxf8Yu6_rV4hTBrwMqAcAnv6DfhUxh5emyM3CJp_w/edit?usp=sharing"",""เพชรบุรี!I292"")"),0)</f>
        <v>0</v>
      </c>
      <c r="S65" s="78">
        <f ca="1">IFERROR(__xludf.DUMMYFUNCTION("IMPORTRANGE(""https://docs.google.com/spreadsheets/d/1YXvxf8Yu6_rV4hTBrwMqAcAnv6DfhUxh5emyM3CJp_w/edit?usp=sharing"",""เพชรบุรี!J292"")"),0)</f>
        <v>0</v>
      </c>
      <c r="T65" s="79">
        <f t="shared" ca="1" si="34"/>
        <v>0</v>
      </c>
      <c r="U65" s="78">
        <f ca="1">IFERROR(__xludf.DUMMYFUNCTION("IMPORTRANGE(""https://docs.google.com/spreadsheets/d/1YXvxf8Yu6_rV4hTBrwMqAcAnv6DfhUxh5emyM3CJp_w/edit?usp=sharing"",""เพชรบุรี!I293"")"),0)</f>
        <v>0</v>
      </c>
      <c r="V65" s="78">
        <f ca="1">IFERROR(__xludf.DUMMYFUNCTION("IMPORTRANGE(""https://docs.google.com/spreadsheets/d/1YXvxf8Yu6_rV4hTBrwMqAcAnv6DfhUxh5emyM3CJp_w/edit?usp=sharing"",""เพชรบุรี!J293"")"),0)</f>
        <v>0</v>
      </c>
      <c r="W65" s="79">
        <f t="shared" ca="1" si="36"/>
        <v>0</v>
      </c>
      <c r="X65" s="78">
        <f ca="1">IFERROR(__xludf.DUMMYFUNCTION("IMPORTRANGE(""https://docs.google.com/spreadsheets/d/1YXvxf8Yu6_rV4hTBrwMqAcAnv6DfhUxh5emyM3CJp_w/edit?usp=sharing"",""เพชรบุรี!I295"")"),0)</f>
        <v>0</v>
      </c>
      <c r="Y65" s="78">
        <f ca="1">IFERROR(__xludf.DUMMYFUNCTION("IMPORTRANGE(""https://docs.google.com/spreadsheets/d/1YXvxf8Yu6_rV4hTBrwMqAcAnv6DfhUxh5emyM3CJp_w/edit?usp=sharing"",""เพชรบุรี!J295"")"),0)</f>
        <v>0</v>
      </c>
      <c r="Z65" s="79">
        <f t="shared" ca="1" si="38"/>
        <v>0</v>
      </c>
      <c r="AA65" s="315">
        <f ca="1">IFERROR(__xludf.DUMMYFUNCTION("IMPORTRANGE(""https://docs.google.com/spreadsheets/d/1YXvxf8Yu6_rV4hTBrwMqAcAnv6DfhUxh5emyM3CJp_w/edit?usp=sharing"",""เพชรบุรี!J296"")"),0)</f>
        <v>0</v>
      </c>
      <c r="AB65" s="316">
        <f t="shared" ca="1" si="39"/>
        <v>0</v>
      </c>
      <c r="AC65" s="317">
        <f ca="1">IFERROR(__xludf.DUMMYFUNCTION("IMPORTRANGE(""https://docs.google.com/spreadsheets/d/1YXvxf8Yu6_rV4hTBrwMqAcAnv6DfhUxh5emyM3CJp_w/edit?usp=sharing"",""เพชรบุรี!I295"")"),0)</f>
        <v>0</v>
      </c>
      <c r="AD65" s="288" t="str">
        <f ca="1">IFERROR(__xludf.DUMMYFUNCTION("IMPORTRANGE(""https://docs.google.com/spreadsheets/d/1YXvxf8Yu6_rV4hTBrwMqAcAnv6DfhUxh5emyM3CJp_w/edit?usp=sharing"",""เพชรบุรี!J298"")"),"")</f>
        <v/>
      </c>
      <c r="AE65" s="318">
        <f t="shared" ca="1" si="41"/>
        <v>0</v>
      </c>
      <c r="AF65" s="288" t="str">
        <f ca="1">IFERROR(__xludf.DUMMYFUNCTION("IMPORTRANGE(""https://docs.google.com/spreadsheets/d/1YXvxf8Yu6_rV4hTBrwMqAcAnv6DfhUxh5emyM3CJp_w/edit?usp=sharing"",""เพชรบุรี!J299"")"),"")</f>
        <v/>
      </c>
      <c r="AG65" s="318">
        <f t="shared" ca="1" si="42"/>
        <v>0</v>
      </c>
    </row>
    <row r="66" spans="1:33" ht="21" customHeight="1" x14ac:dyDescent="0.3">
      <c r="A66" s="70">
        <v>14</v>
      </c>
      <c r="B66" s="71" t="s">
        <v>94</v>
      </c>
      <c r="C66" s="149">
        <f t="shared" ca="1" si="25"/>
        <v>0</v>
      </c>
      <c r="D66" s="150">
        <f t="shared" ca="1" si="55"/>
        <v>0</v>
      </c>
      <c r="E66" s="151">
        <f ca="1">IFERROR(__xludf.DUMMYFUNCTION("IMPORTRANGE(""https://docs.google.com/spreadsheets/d/1-uDff_7J0KD5mKrp0Vvzr7lt3OU09vwQwhkpOPPYv2Y/edit?usp=sharing"",""งบพรบ!DP66"")"),0)</f>
        <v>0</v>
      </c>
      <c r="F66" s="151">
        <f ca="1">IFERROR(__xludf.DUMMYFUNCTION("IMPORTRANGE(""https://docs.google.com/spreadsheets/d/1-uDff_7J0KD5mKrp0Vvzr7lt3OU09vwQwhkpOPPYv2Y/edit?usp=sharing"",""งบพรบ!DQ66"")"),0)</f>
        <v>0</v>
      </c>
      <c r="G66" s="151">
        <f ca="1">IFERROR(__xludf.DUMMYFUNCTION("IMPORTRANGE(""https://docs.google.com/spreadsheets/d/1-uDff_7J0KD5mKrp0Vvzr7lt3OU09vwQwhkpOPPYv2Y/edit?usp=sharing"",""งบพรบ!DR66"")"),0)</f>
        <v>0</v>
      </c>
      <c r="H66" s="151">
        <f ca="1">IFERROR(__xludf.DUMMYFUNCTION("IMPORTRANGE(""https://docs.google.com/spreadsheets/d/1-uDff_7J0KD5mKrp0Vvzr7lt3OU09vwQwhkpOPPYv2Y/edit?usp=sharing"",""งบพรบ!DT66"")"),0)</f>
        <v>0</v>
      </c>
      <c r="I66" s="151">
        <f ca="1">IFERROR(__xludf.DUMMYFUNCTION("IMPORTRANGE(""https://docs.google.com/spreadsheets/d/1-uDff_7J0KD5mKrp0Vvzr7lt3OU09vwQwhkpOPPYv2Y/edit?usp=sharing"",""งบพรบ!DU66"")"),0)</f>
        <v>0</v>
      </c>
      <c r="J66" s="151">
        <f t="shared" ca="1" si="27"/>
        <v>0</v>
      </c>
      <c r="K66" s="154">
        <f t="shared" ca="1" si="28"/>
        <v>0</v>
      </c>
      <c r="L66" s="151">
        <f ca="1">IFERROR(__xludf.DUMMYFUNCTION("IMPORTRANGE(""https://docs.google.com/spreadsheets/d/1-uDff_7J0KD5mKrp0Vvzr7lt3OU09vwQwhkpOPPYv2Y/edit?usp=sharing"",""งบพรบ!DV66"")"),0)</f>
        <v>0</v>
      </c>
      <c r="M66" s="68">
        <f t="shared" ca="1" si="29"/>
        <v>0</v>
      </c>
      <c r="N66" s="68">
        <f t="shared" ca="1" si="30"/>
        <v>0</v>
      </c>
      <c r="O66" s="67">
        <f ca="1">IFERROR(__xludf.DUMMYFUNCTION("IMPORTRANGE(""https://docs.google.com/spreadsheets/d/1-uDff_7J0KD5mKrp0Vvzr7lt3OU09vwQwhkpOPPYv2Y/edit?usp=sharing"",""งบพรบ!DW66"")"),0)</f>
        <v>0</v>
      </c>
      <c r="P66" s="67">
        <f t="shared" ca="1" si="31"/>
        <v>0</v>
      </c>
      <c r="Q66" s="68">
        <f t="shared" ca="1" si="32"/>
        <v>0</v>
      </c>
      <c r="R66" s="78">
        <f ca="1">IFERROR(__xludf.DUMMYFUNCTION("IMPORTRANGE(""https://docs.google.com/spreadsheets/d/19KBlQQs7uwvsao6t2n-KvW3Ax8J8uRRfZPq1zPbXgKc/edit?usp=sharing"",""ระยอง!I292"")"),0)</f>
        <v>0</v>
      </c>
      <c r="S66" s="78">
        <f ca="1">IFERROR(__xludf.DUMMYFUNCTION("IMPORTRANGE(""https://docs.google.com/spreadsheets/d/19KBlQQs7uwvsao6t2n-KvW3Ax8J8uRRfZPq1zPbXgKc/edit?usp=sharing"",""ระยอง!J292"")"),0)</f>
        <v>0</v>
      </c>
      <c r="T66" s="79">
        <f t="shared" ca="1" si="34"/>
        <v>0</v>
      </c>
      <c r="U66" s="78">
        <f ca="1">IFERROR(__xludf.DUMMYFUNCTION("IMPORTRANGE(""https://docs.google.com/spreadsheets/d/19KBlQQs7uwvsao6t2n-KvW3Ax8J8uRRfZPq1zPbXgKc/edit?usp=sharing"",""ระยอง!I293"")"),0)</f>
        <v>0</v>
      </c>
      <c r="V66" s="78">
        <f ca="1">IFERROR(__xludf.DUMMYFUNCTION("IMPORTRANGE(""https://docs.google.com/spreadsheets/d/19KBlQQs7uwvsao6t2n-KvW3Ax8J8uRRfZPq1zPbXgKc/edit?usp=sharing"",""ระยอง!J293"")"),0)</f>
        <v>0</v>
      </c>
      <c r="W66" s="79">
        <f t="shared" ca="1" si="36"/>
        <v>0</v>
      </c>
      <c r="X66" s="78">
        <f ca="1">IFERROR(__xludf.DUMMYFUNCTION("IMPORTRANGE(""https://docs.google.com/spreadsheets/d/19KBlQQs7uwvsao6t2n-KvW3Ax8J8uRRfZPq1zPbXgKc/edit?usp=sharing"",""ระยอง!I295"")"),0)</f>
        <v>0</v>
      </c>
      <c r="Y66" s="78">
        <f ca="1">IFERROR(__xludf.DUMMYFUNCTION("IMPORTRANGE(""https://docs.google.com/spreadsheets/d/19KBlQQs7uwvsao6t2n-KvW3Ax8J8uRRfZPq1zPbXgKc/edit?usp=sharing"",""ระยอง!J295"")"),0)</f>
        <v>0</v>
      </c>
      <c r="Z66" s="79">
        <f t="shared" ca="1" si="38"/>
        <v>0</v>
      </c>
      <c r="AA66" s="315">
        <f ca="1">IFERROR(__xludf.DUMMYFUNCTION("IMPORTRANGE(""https://docs.google.com/spreadsheets/d/19KBlQQs7uwvsao6t2n-KvW3Ax8J8uRRfZPq1zPbXgKc/edit?usp=sharing"",""ระยอง!J296"")"),0)</f>
        <v>0</v>
      </c>
      <c r="AB66" s="316">
        <f t="shared" ca="1" si="39"/>
        <v>0</v>
      </c>
      <c r="AC66" s="317">
        <f ca="1">IFERROR(__xludf.DUMMYFUNCTION("IMPORTRANGE(""https://docs.google.com/spreadsheets/d/19KBlQQs7uwvsao6t2n-KvW3Ax8J8uRRfZPq1zPbXgKc/edit?usp=sharing"",""ระยอง!I295"")"),0)</f>
        <v>0</v>
      </c>
      <c r="AD66" s="288" t="str">
        <f ca="1">IFERROR(__xludf.DUMMYFUNCTION("IMPORTRANGE(""https://docs.google.com/spreadsheets/d/19KBlQQs7uwvsao6t2n-KvW3Ax8J8uRRfZPq1zPbXgKc/edit?usp=sharing"",""ระยอง!J298"")"),"")</f>
        <v/>
      </c>
      <c r="AE66" s="318">
        <f t="shared" ca="1" si="41"/>
        <v>0</v>
      </c>
      <c r="AF66" s="288" t="str">
        <f ca="1">IFERROR(__xludf.DUMMYFUNCTION("IMPORTRANGE(""https://docs.google.com/spreadsheets/d/19KBlQQs7uwvsao6t2n-KvW3Ax8J8uRRfZPq1zPbXgKc/edit?usp=sharing"",""ระยอง!J299"")"),"")</f>
        <v/>
      </c>
      <c r="AG66" s="318">
        <f t="shared" ca="1" si="42"/>
        <v>0</v>
      </c>
    </row>
    <row r="67" spans="1:33" ht="21" customHeight="1" x14ac:dyDescent="0.3">
      <c r="A67" s="70">
        <v>15</v>
      </c>
      <c r="B67" s="71" t="s">
        <v>95</v>
      </c>
      <c r="C67" s="149">
        <f t="shared" ca="1" si="25"/>
        <v>42700</v>
      </c>
      <c r="D67" s="150">
        <f t="shared" ca="1" si="55"/>
        <v>42700</v>
      </c>
      <c r="E67" s="151">
        <f ca="1">IFERROR(__xludf.DUMMYFUNCTION("IMPORTRANGE(""https://docs.google.com/spreadsheets/d/1-uDff_7J0KD5mKrp0Vvzr7lt3OU09vwQwhkpOPPYv2Y/edit?usp=sharing"",""งบพรบ!DP67"")"),0)</f>
        <v>0</v>
      </c>
      <c r="F67" s="151">
        <f ca="1">IFERROR(__xludf.DUMMYFUNCTION("IMPORTRANGE(""https://docs.google.com/spreadsheets/d/1-uDff_7J0KD5mKrp0Vvzr7lt3OU09vwQwhkpOPPYv2Y/edit?usp=sharing"",""งบพรบ!DQ67"")"),42700)</f>
        <v>42700</v>
      </c>
      <c r="G67" s="151">
        <f ca="1">IFERROR(__xludf.DUMMYFUNCTION("IMPORTRANGE(""https://docs.google.com/spreadsheets/d/1-uDff_7J0KD5mKrp0Vvzr7lt3OU09vwQwhkpOPPYv2Y/edit?usp=sharing"",""งบพรบ!DR67"")"),0)</f>
        <v>0</v>
      </c>
      <c r="H67" s="151">
        <f ca="1">IFERROR(__xludf.DUMMYFUNCTION("IMPORTRANGE(""https://docs.google.com/spreadsheets/d/1-uDff_7J0KD5mKrp0Vvzr7lt3OU09vwQwhkpOPPYv2Y/edit?usp=sharing"",""งบพรบ!DT67"")"),48120)</f>
        <v>48120</v>
      </c>
      <c r="I67" s="151">
        <f ca="1">IFERROR(__xludf.DUMMYFUNCTION("IMPORTRANGE(""https://docs.google.com/spreadsheets/d/1-uDff_7J0KD5mKrp0Vvzr7lt3OU09vwQwhkpOPPYv2Y/edit?usp=sharing"",""งบพรบ!DU67"")"),0)</f>
        <v>0</v>
      </c>
      <c r="J67" s="151">
        <f t="shared" ca="1" si="27"/>
        <v>14269</v>
      </c>
      <c r="K67" s="154">
        <f t="shared" ca="1" si="28"/>
        <v>33.41686182669789</v>
      </c>
      <c r="L67" s="151">
        <f ca="1">IFERROR(__xludf.DUMMYFUNCTION("IMPORTRANGE(""https://docs.google.com/spreadsheets/d/1-uDff_7J0KD5mKrp0Vvzr7lt3OU09vwQwhkpOPPYv2Y/edit?usp=sharing"",""งบพรบ!DV67"")"),14269)</f>
        <v>14269</v>
      </c>
      <c r="M67" s="68">
        <f t="shared" ca="1" si="29"/>
        <v>33.41686182669789</v>
      </c>
      <c r="N67" s="68">
        <f t="shared" ca="1" si="30"/>
        <v>29.652950955943474</v>
      </c>
      <c r="O67" s="67">
        <f ca="1">IFERROR(__xludf.DUMMYFUNCTION("IMPORTRANGE(""https://docs.google.com/spreadsheets/d/1-uDff_7J0KD5mKrp0Vvzr7lt3OU09vwQwhkpOPPYv2Y/edit?usp=sharing"",""งบพรบ!DW67"")"),0)</f>
        <v>0</v>
      </c>
      <c r="P67" s="67">
        <f t="shared" ca="1" si="31"/>
        <v>0</v>
      </c>
      <c r="Q67" s="68">
        <f t="shared" ca="1" si="32"/>
        <v>0</v>
      </c>
      <c r="R67" s="78">
        <f ca="1">IFERROR(__xludf.DUMMYFUNCTION("IMPORTRANGE(""https://docs.google.com/spreadsheets/d/1jQ6P4QcrGM89YfqcC_PxOHGCMq5ezhucwJd8ci-NHng/edit?usp=sharing"",""ราชบุรี!I292"")"),100)</f>
        <v>100</v>
      </c>
      <c r="S67" s="78">
        <f ca="1">IFERROR(__xludf.DUMMYFUNCTION("IMPORTRANGE(""https://docs.google.com/spreadsheets/d/1jQ6P4QcrGM89YfqcC_PxOHGCMq5ezhucwJd8ci-NHng/edit?usp=sharing"",""ราชบุรี!J292"")"),100)</f>
        <v>100</v>
      </c>
      <c r="T67" s="79">
        <f t="shared" ca="1" si="34"/>
        <v>100</v>
      </c>
      <c r="U67" s="78">
        <f ca="1">IFERROR(__xludf.DUMMYFUNCTION("IMPORTRANGE(""https://docs.google.com/spreadsheets/d/1jQ6P4QcrGM89YfqcC_PxOHGCMq5ezhucwJd8ci-NHng/edit?usp=sharing"",""ราชบุรี!I293"")"),10)</f>
        <v>10</v>
      </c>
      <c r="V67" s="78">
        <f ca="1">IFERROR(__xludf.DUMMYFUNCTION("IMPORTRANGE(""https://docs.google.com/spreadsheets/d/1jQ6P4QcrGM89YfqcC_PxOHGCMq5ezhucwJd8ci-NHng/edit?usp=sharing"",""ราชบุรี!J293"")"),10)</f>
        <v>10</v>
      </c>
      <c r="W67" s="79">
        <f t="shared" ca="1" si="36"/>
        <v>100</v>
      </c>
      <c r="X67" s="78">
        <f ca="1">IFERROR(__xludf.DUMMYFUNCTION("IMPORTRANGE(""https://docs.google.com/spreadsheets/d/1jQ6P4QcrGM89YfqcC_PxOHGCMq5ezhucwJd8ci-NHng/edit?usp=sharing"",""ราชบุรี!I295"")"),10)</f>
        <v>10</v>
      </c>
      <c r="Y67" s="78">
        <f ca="1">IFERROR(__xludf.DUMMYFUNCTION("IMPORTRANGE(""https://docs.google.com/spreadsheets/d/1jQ6P4QcrGM89YfqcC_PxOHGCMq5ezhucwJd8ci-NHng/edit?usp=sharing"",""ราชบุรี!J295"")"),10)</f>
        <v>10</v>
      </c>
      <c r="Z67" s="79">
        <f t="shared" ca="1" si="38"/>
        <v>100</v>
      </c>
      <c r="AA67" s="315">
        <f ca="1">IFERROR(__xludf.DUMMYFUNCTION("IMPORTRANGE(""https://docs.google.com/spreadsheets/d/1jQ6P4QcrGM89YfqcC_PxOHGCMq5ezhucwJd8ci-NHng/edit?usp=sharing"",""ราชบุรี!J296"")"),10)</f>
        <v>10</v>
      </c>
      <c r="AB67" s="316">
        <f t="shared" ca="1" si="39"/>
        <v>100</v>
      </c>
      <c r="AC67" s="317">
        <f ca="1">IFERROR(__xludf.DUMMYFUNCTION("IMPORTRANGE(""https://docs.google.com/spreadsheets/d/1jQ6P4QcrGM89YfqcC_PxOHGCMq5ezhucwJd8ci-NHng/edit?usp=sharing"",""ราชบุรี!I295"")"),10)</f>
        <v>10</v>
      </c>
      <c r="AD67" s="317">
        <f ca="1">IFERROR(__xludf.DUMMYFUNCTION("IMPORTRANGE(""https://docs.google.com/spreadsheets/d/1jQ6P4QcrGM89YfqcC_PxOHGCMq5ezhucwJd8ci-NHng/edit?usp=sharing"",""ราชบุรี!J298"")"),10)</f>
        <v>10</v>
      </c>
      <c r="AE67" s="318">
        <f t="shared" ca="1" si="41"/>
        <v>100</v>
      </c>
      <c r="AF67" s="317">
        <f ca="1">IFERROR(__xludf.DUMMYFUNCTION("IMPORTRANGE(""https://docs.google.com/spreadsheets/d/1jQ6P4QcrGM89YfqcC_PxOHGCMq5ezhucwJd8ci-NHng/edit?usp=sharing"",""ราชบุรี!J299"")"),10)</f>
        <v>10</v>
      </c>
      <c r="AG67" s="318">
        <f t="shared" ca="1" si="42"/>
        <v>100</v>
      </c>
    </row>
    <row r="68" spans="1:33" ht="24" customHeight="1" x14ac:dyDescent="0.3">
      <c r="A68" s="70">
        <v>16</v>
      </c>
      <c r="B68" s="71" t="s">
        <v>96</v>
      </c>
      <c r="C68" s="149">
        <f t="shared" ca="1" si="25"/>
        <v>85700</v>
      </c>
      <c r="D68" s="150">
        <f t="shared" ca="1" si="55"/>
        <v>85700</v>
      </c>
      <c r="E68" s="151">
        <f ca="1">IFERROR(__xludf.DUMMYFUNCTION("IMPORTRANGE(""https://docs.google.com/spreadsheets/d/1-uDff_7J0KD5mKrp0Vvzr7lt3OU09vwQwhkpOPPYv2Y/edit?usp=sharing"",""งบพรบ!DP68"")"),0)</f>
        <v>0</v>
      </c>
      <c r="F68" s="151">
        <f ca="1">IFERROR(__xludf.DUMMYFUNCTION("IMPORTRANGE(""https://docs.google.com/spreadsheets/d/1-uDff_7J0KD5mKrp0Vvzr7lt3OU09vwQwhkpOPPYv2Y/edit?usp=sharing"",""งบพรบ!DQ68"")"),85700)</f>
        <v>85700</v>
      </c>
      <c r="G68" s="151">
        <f ca="1">IFERROR(__xludf.DUMMYFUNCTION("IMPORTRANGE(""https://docs.google.com/spreadsheets/d/1-uDff_7J0KD5mKrp0Vvzr7lt3OU09vwQwhkpOPPYv2Y/edit?usp=sharing"",""งบพรบ!DR68"")"),0)</f>
        <v>0</v>
      </c>
      <c r="H68" s="151">
        <f ca="1">IFERROR(__xludf.DUMMYFUNCTION("IMPORTRANGE(""https://docs.google.com/spreadsheets/d/1-uDff_7J0KD5mKrp0Vvzr7lt3OU09vwQwhkpOPPYv2Y/edit?usp=sharing"",""งบพรบ!DT68"")"),88070)</f>
        <v>88070</v>
      </c>
      <c r="I68" s="151">
        <f ca="1">IFERROR(__xludf.DUMMYFUNCTION("IMPORTRANGE(""https://docs.google.com/spreadsheets/d/1-uDff_7J0KD5mKrp0Vvzr7lt3OU09vwQwhkpOPPYv2Y/edit?usp=sharing"",""งบพรบ!DU68"")"),0)</f>
        <v>0</v>
      </c>
      <c r="J68" s="151">
        <f t="shared" ca="1" si="27"/>
        <v>2370</v>
      </c>
      <c r="K68" s="154">
        <f t="shared" ca="1" si="28"/>
        <v>2.7654609101516918</v>
      </c>
      <c r="L68" s="151">
        <f ca="1">IFERROR(__xludf.DUMMYFUNCTION("IMPORTRANGE(""https://docs.google.com/spreadsheets/d/1-uDff_7J0KD5mKrp0Vvzr7lt3OU09vwQwhkpOPPYv2Y/edit?usp=sharing"",""งบพรบ!DV68"")"),2370)</f>
        <v>2370</v>
      </c>
      <c r="M68" s="68">
        <f t="shared" ca="1" si="29"/>
        <v>2.7654609101516918</v>
      </c>
      <c r="N68" s="68">
        <f t="shared" ca="1" si="30"/>
        <v>2.6910412172135802</v>
      </c>
      <c r="O68" s="67">
        <f ca="1">IFERROR(__xludf.DUMMYFUNCTION("IMPORTRANGE(""https://docs.google.com/spreadsheets/d/1-uDff_7J0KD5mKrp0Vvzr7lt3OU09vwQwhkpOPPYv2Y/edit?usp=sharing"",""งบพรบ!DW68"")"),0)</f>
        <v>0</v>
      </c>
      <c r="P68" s="67">
        <f t="shared" ca="1" si="31"/>
        <v>0</v>
      </c>
      <c r="Q68" s="68">
        <f t="shared" ca="1" si="32"/>
        <v>0</v>
      </c>
      <c r="R68" s="78">
        <f ca="1">IFERROR(__xludf.DUMMYFUNCTION("IMPORTRANGE(""https://docs.google.com/spreadsheets/d/1lufeA2cfFqM-elVq2hznhDzC6Pr7wkJ9ZG_sYNGCMCU/edit?usp=sharing"",""ลพบุรี!I292"")"),300)</f>
        <v>300</v>
      </c>
      <c r="S68" s="78">
        <f ca="1">IFERROR(__xludf.DUMMYFUNCTION("IMPORTRANGE(""https://docs.google.com/spreadsheets/d/1lufeA2cfFqM-elVq2hznhDzC6Pr7wkJ9ZG_sYNGCMCU/edit?usp=sharing"",""ลพบุรี!J292"")"),0)</f>
        <v>0</v>
      </c>
      <c r="T68" s="79">
        <f t="shared" ca="1" si="34"/>
        <v>0</v>
      </c>
      <c r="U68" s="78">
        <f ca="1">IFERROR(__xludf.DUMMYFUNCTION("IMPORTRANGE(""https://docs.google.com/spreadsheets/d/1lufeA2cfFqM-elVq2hznhDzC6Pr7wkJ9ZG_sYNGCMCU/edit?usp=sharing"",""ลพบุรี!I293"")"),30)</f>
        <v>30</v>
      </c>
      <c r="V68" s="78">
        <f ca="1">IFERROR(__xludf.DUMMYFUNCTION("IMPORTRANGE(""https://docs.google.com/spreadsheets/d/1lufeA2cfFqM-elVq2hznhDzC6Pr7wkJ9ZG_sYNGCMCU/edit?usp=sharing"",""ลพบุรี!J293"")"),0)</f>
        <v>0</v>
      </c>
      <c r="W68" s="79">
        <f t="shared" ca="1" si="36"/>
        <v>0</v>
      </c>
      <c r="X68" s="78">
        <f ca="1">IFERROR(__xludf.DUMMYFUNCTION("IMPORTRANGE(""https://docs.google.com/spreadsheets/d/1lufeA2cfFqM-elVq2hznhDzC6Pr7wkJ9ZG_sYNGCMCU/edit?usp=sharing"",""ลพบุรี!I295"")"),30)</f>
        <v>30</v>
      </c>
      <c r="Y68" s="78">
        <f ca="1">IFERROR(__xludf.DUMMYFUNCTION("IMPORTRANGE(""https://docs.google.com/spreadsheets/d/1lufeA2cfFqM-elVq2hznhDzC6Pr7wkJ9ZG_sYNGCMCU/edit?usp=sharing"",""ลพบุรี!J295"")"),0)</f>
        <v>0</v>
      </c>
      <c r="Z68" s="79">
        <f t="shared" ca="1" si="38"/>
        <v>0</v>
      </c>
      <c r="AA68" s="315">
        <f ca="1">IFERROR(__xludf.DUMMYFUNCTION("IMPORTRANGE(""https://docs.google.com/spreadsheets/d/1lufeA2cfFqM-elVq2hznhDzC6Pr7wkJ9ZG_sYNGCMCU/edit?usp=sharing"",""ลพบุรี!J296"")"),0)</f>
        <v>0</v>
      </c>
      <c r="AB68" s="316">
        <f t="shared" ca="1" si="39"/>
        <v>0</v>
      </c>
      <c r="AC68" s="317">
        <f ca="1">IFERROR(__xludf.DUMMYFUNCTION("IMPORTRANGE(""https://docs.google.com/spreadsheets/d/1lufeA2cfFqM-elVq2hznhDzC6Pr7wkJ9ZG_sYNGCMCU/edit?usp=sharing"",""ลพบุรี!I295"")"),30)</f>
        <v>30</v>
      </c>
      <c r="AD68" s="317">
        <f ca="1">IFERROR(__xludf.DUMMYFUNCTION("IMPORTRANGE(""https://docs.google.com/spreadsheets/d/1lufeA2cfFqM-elVq2hznhDzC6Pr7wkJ9ZG_sYNGCMCU/edit?usp=sharing"",""ลพบุรี!J298"")"),0)</f>
        <v>0</v>
      </c>
      <c r="AE68" s="318">
        <f t="shared" ca="1" si="41"/>
        <v>0</v>
      </c>
      <c r="AF68" s="317">
        <f ca="1">IFERROR(__xludf.DUMMYFUNCTION("IMPORTRANGE(""https://docs.google.com/spreadsheets/d/1lufeA2cfFqM-elVq2hznhDzC6Pr7wkJ9ZG_sYNGCMCU/edit?usp=sharing"",""ลพบุรี!J299"")"),0)</f>
        <v>0</v>
      </c>
      <c r="AG68" s="318">
        <f t="shared" ca="1" si="42"/>
        <v>0</v>
      </c>
    </row>
    <row r="69" spans="1:33" ht="21" customHeight="1" x14ac:dyDescent="0.3">
      <c r="A69" s="70">
        <v>17</v>
      </c>
      <c r="B69" s="71" t="s">
        <v>97</v>
      </c>
      <c r="C69" s="149">
        <f t="shared" ca="1" si="25"/>
        <v>106700</v>
      </c>
      <c r="D69" s="150">
        <f t="shared" ca="1" si="55"/>
        <v>106700</v>
      </c>
      <c r="E69" s="151">
        <f ca="1">IFERROR(__xludf.DUMMYFUNCTION("IMPORTRANGE(""https://docs.google.com/spreadsheets/d/1-uDff_7J0KD5mKrp0Vvzr7lt3OU09vwQwhkpOPPYv2Y/edit?usp=sharing"",""งบพรบ!DP69"")"),0)</f>
        <v>0</v>
      </c>
      <c r="F69" s="151">
        <f ca="1">IFERROR(__xludf.DUMMYFUNCTION("IMPORTRANGE(""https://docs.google.com/spreadsheets/d/1-uDff_7J0KD5mKrp0Vvzr7lt3OU09vwQwhkpOPPYv2Y/edit?usp=sharing"",""งบพรบ!DQ69"")"),106700)</f>
        <v>106700</v>
      </c>
      <c r="G69" s="151">
        <f ca="1">IFERROR(__xludf.DUMMYFUNCTION("IMPORTRANGE(""https://docs.google.com/spreadsheets/d/1-uDff_7J0KD5mKrp0Vvzr7lt3OU09vwQwhkpOPPYv2Y/edit?usp=sharing"",""งบพรบ!DR69"")"),0)</f>
        <v>0</v>
      </c>
      <c r="H69" s="151">
        <f ca="1">IFERROR(__xludf.DUMMYFUNCTION("IMPORTRANGE(""https://docs.google.com/spreadsheets/d/1-uDff_7J0KD5mKrp0Vvzr7lt3OU09vwQwhkpOPPYv2Y/edit?usp=sharing"",""งบพรบ!DT69"")"),113530)</f>
        <v>113530</v>
      </c>
      <c r="I69" s="151">
        <f ca="1">IFERROR(__xludf.DUMMYFUNCTION("IMPORTRANGE(""https://docs.google.com/spreadsheets/d/1-uDff_7J0KD5mKrp0Vvzr7lt3OU09vwQwhkpOPPYv2Y/edit?usp=sharing"",""งบพรบ!DU69"")"),0)</f>
        <v>0</v>
      </c>
      <c r="J69" s="151">
        <f t="shared" ca="1" si="27"/>
        <v>0</v>
      </c>
      <c r="K69" s="154">
        <f t="shared" ca="1" si="28"/>
        <v>0</v>
      </c>
      <c r="L69" s="151">
        <f ca="1">IFERROR(__xludf.DUMMYFUNCTION("IMPORTRANGE(""https://docs.google.com/spreadsheets/d/1-uDff_7J0KD5mKrp0Vvzr7lt3OU09vwQwhkpOPPYv2Y/edit?usp=sharing"",""งบพรบ!DV69"")"),0)</f>
        <v>0</v>
      </c>
      <c r="M69" s="68">
        <f t="shared" ca="1" si="29"/>
        <v>0</v>
      </c>
      <c r="N69" s="68">
        <f t="shared" ca="1" si="30"/>
        <v>0</v>
      </c>
      <c r="O69" s="67">
        <f ca="1">IFERROR(__xludf.DUMMYFUNCTION("IMPORTRANGE(""https://docs.google.com/spreadsheets/d/1-uDff_7J0KD5mKrp0Vvzr7lt3OU09vwQwhkpOPPYv2Y/edit?usp=sharing"",""งบพรบ!DW69"")"),0)</f>
        <v>0</v>
      </c>
      <c r="P69" s="67">
        <f t="shared" ca="1" si="31"/>
        <v>0</v>
      </c>
      <c r="Q69" s="68">
        <f t="shared" ca="1" si="32"/>
        <v>0</v>
      </c>
      <c r="R69" s="78">
        <f ca="1">IFERROR(__xludf.DUMMYFUNCTION("IMPORTRANGE(""https://docs.google.com/spreadsheets/d/10oOiF7loTyfsTkbd4MpaIm0HQ9SwB7IYHdIUvt-U1Uc/edit?usp=sharing"",""สระแก้ว!I292"")"),400)</f>
        <v>400</v>
      </c>
      <c r="S69" s="78">
        <f ca="1">IFERROR(__xludf.DUMMYFUNCTION("IMPORTRANGE(""https://docs.google.com/spreadsheets/d/10oOiF7loTyfsTkbd4MpaIm0HQ9SwB7IYHdIUvt-U1Uc/edit?usp=sharing"",""สระแก้ว!J292"")"),0)</f>
        <v>0</v>
      </c>
      <c r="T69" s="79">
        <f t="shared" ca="1" si="34"/>
        <v>0</v>
      </c>
      <c r="U69" s="78">
        <f ca="1">IFERROR(__xludf.DUMMYFUNCTION("IMPORTRANGE(""https://docs.google.com/spreadsheets/d/10oOiF7loTyfsTkbd4MpaIm0HQ9SwB7IYHdIUvt-U1Uc/edit?usp=sharing"",""สระแก้ว!I293"")"),40)</f>
        <v>40</v>
      </c>
      <c r="V69" s="78">
        <f ca="1">IFERROR(__xludf.DUMMYFUNCTION("IMPORTRANGE(""https://docs.google.com/spreadsheets/d/10oOiF7loTyfsTkbd4MpaIm0HQ9SwB7IYHdIUvt-U1Uc/edit?usp=sharing"",""สระแก้ว!J293"")"),0)</f>
        <v>0</v>
      </c>
      <c r="W69" s="79">
        <f t="shared" ca="1" si="36"/>
        <v>0</v>
      </c>
      <c r="X69" s="78">
        <f ca="1">IFERROR(__xludf.DUMMYFUNCTION("IMPORTRANGE(""https://docs.google.com/spreadsheets/d/10oOiF7loTyfsTkbd4MpaIm0HQ9SwB7IYHdIUvt-U1Uc/edit?usp=sharing"",""สระแก้ว!I295"")"),40)</f>
        <v>40</v>
      </c>
      <c r="Y69" s="78">
        <f ca="1">IFERROR(__xludf.DUMMYFUNCTION("IMPORTRANGE(""https://docs.google.com/spreadsheets/d/10oOiF7loTyfsTkbd4MpaIm0HQ9SwB7IYHdIUvt-U1Uc/edit?usp=sharing"",""สระแก้ว!J295"")"),0)</f>
        <v>0</v>
      </c>
      <c r="Z69" s="79">
        <f t="shared" ca="1" si="38"/>
        <v>0</v>
      </c>
      <c r="AA69" s="315">
        <f ca="1">IFERROR(__xludf.DUMMYFUNCTION("IMPORTRANGE(""https://docs.google.com/spreadsheets/d/10oOiF7loTyfsTkbd4MpaIm0HQ9SwB7IYHdIUvt-U1Uc/edit?usp=sharing"",""สระแก้ว!J296"")"),0)</f>
        <v>0</v>
      </c>
      <c r="AB69" s="316">
        <f t="shared" ca="1" si="39"/>
        <v>0</v>
      </c>
      <c r="AC69" s="317">
        <f ca="1">IFERROR(__xludf.DUMMYFUNCTION("IMPORTRANGE(""https://docs.google.com/spreadsheets/d/10oOiF7loTyfsTkbd4MpaIm0HQ9SwB7IYHdIUvt-U1Uc/edit?usp=sharing"",""สระแก้ว!I295"")"),40)</f>
        <v>40</v>
      </c>
      <c r="AD69" s="317">
        <f ca="1">IFERROR(__xludf.DUMMYFUNCTION("IMPORTRANGE(""https://docs.google.com/spreadsheets/d/10oOiF7loTyfsTkbd4MpaIm0HQ9SwB7IYHdIUvt-U1Uc/edit?usp=sharing"",""สระแก้ว!J298"")"),0)</f>
        <v>0</v>
      </c>
      <c r="AE69" s="318">
        <f t="shared" ca="1" si="41"/>
        <v>0</v>
      </c>
      <c r="AF69" s="317">
        <f ca="1">IFERROR(__xludf.DUMMYFUNCTION("IMPORTRANGE(""https://docs.google.com/spreadsheets/d/10oOiF7loTyfsTkbd4MpaIm0HQ9SwB7IYHdIUvt-U1Uc/edit?usp=sharing"",""สระแก้ว!J299"")"),0)</f>
        <v>0</v>
      </c>
      <c r="AG69" s="318">
        <f t="shared" ca="1" si="42"/>
        <v>0</v>
      </c>
    </row>
    <row r="70" spans="1:33" ht="21" customHeight="1" x14ac:dyDescent="0.3">
      <c r="A70" s="70">
        <v>18</v>
      </c>
      <c r="B70" s="71" t="s">
        <v>98</v>
      </c>
      <c r="C70" s="149">
        <f t="shared" ca="1" si="25"/>
        <v>0</v>
      </c>
      <c r="D70" s="150">
        <f t="shared" ca="1" si="55"/>
        <v>0</v>
      </c>
      <c r="E70" s="151">
        <f ca="1">IFERROR(__xludf.DUMMYFUNCTION("IMPORTRANGE(""https://docs.google.com/spreadsheets/d/1-uDff_7J0KD5mKrp0Vvzr7lt3OU09vwQwhkpOPPYv2Y/edit?usp=sharing"",""งบพรบ!DP70"")"),0)</f>
        <v>0</v>
      </c>
      <c r="F70" s="151">
        <f ca="1">IFERROR(__xludf.DUMMYFUNCTION("IMPORTRANGE(""https://docs.google.com/spreadsheets/d/1-uDff_7J0KD5mKrp0Vvzr7lt3OU09vwQwhkpOPPYv2Y/edit?usp=sharing"",""งบพรบ!DQ70"")"),0)</f>
        <v>0</v>
      </c>
      <c r="G70" s="151">
        <f ca="1">IFERROR(__xludf.DUMMYFUNCTION("IMPORTRANGE(""https://docs.google.com/spreadsheets/d/1-uDff_7J0KD5mKrp0Vvzr7lt3OU09vwQwhkpOPPYv2Y/edit?usp=sharing"",""งบพรบ!DR70"")"),0)</f>
        <v>0</v>
      </c>
      <c r="H70" s="151">
        <f ca="1">IFERROR(__xludf.DUMMYFUNCTION("IMPORTRANGE(""https://docs.google.com/spreadsheets/d/1-uDff_7J0KD5mKrp0Vvzr7lt3OU09vwQwhkpOPPYv2Y/edit?usp=sharing"",""งบพรบ!DT70"")"),0)</f>
        <v>0</v>
      </c>
      <c r="I70" s="151">
        <f ca="1">IFERROR(__xludf.DUMMYFUNCTION("IMPORTRANGE(""https://docs.google.com/spreadsheets/d/1-uDff_7J0KD5mKrp0Vvzr7lt3OU09vwQwhkpOPPYv2Y/edit?usp=sharing"",""งบพรบ!DU70"")"),0)</f>
        <v>0</v>
      </c>
      <c r="J70" s="151">
        <f t="shared" ca="1" si="27"/>
        <v>0</v>
      </c>
      <c r="K70" s="154">
        <f t="shared" ca="1" si="28"/>
        <v>0</v>
      </c>
      <c r="L70" s="151">
        <f ca="1">IFERROR(__xludf.DUMMYFUNCTION("IMPORTRANGE(""https://docs.google.com/spreadsheets/d/1-uDff_7J0KD5mKrp0Vvzr7lt3OU09vwQwhkpOPPYv2Y/edit?usp=sharing"",""งบพรบ!DV70"")"),0)</f>
        <v>0</v>
      </c>
      <c r="M70" s="68">
        <f t="shared" ca="1" si="29"/>
        <v>0</v>
      </c>
      <c r="N70" s="68">
        <f t="shared" ca="1" si="30"/>
        <v>0</v>
      </c>
      <c r="O70" s="67">
        <f ca="1">IFERROR(__xludf.DUMMYFUNCTION("IMPORTRANGE(""https://docs.google.com/spreadsheets/d/1-uDff_7J0KD5mKrp0Vvzr7lt3OU09vwQwhkpOPPYv2Y/edit?usp=sharing"",""งบพรบ!DW70"")"),0)</f>
        <v>0</v>
      </c>
      <c r="P70" s="67">
        <f t="shared" ca="1" si="31"/>
        <v>0</v>
      </c>
      <c r="Q70" s="68">
        <f t="shared" ca="1" si="32"/>
        <v>0</v>
      </c>
      <c r="R70" s="78">
        <f ca="1">IFERROR(__xludf.DUMMYFUNCTION("IMPORTRANGE(""https://docs.google.com/spreadsheets/d/1xmPlrr1QbdSIKvl1dWUl9K4PjAfSL9oeMr_37QVzcxc/edit?usp=sharing"",""สระบุรี!I292"")"),0)</f>
        <v>0</v>
      </c>
      <c r="S70" s="78">
        <f ca="1">IFERROR(__xludf.DUMMYFUNCTION("IMPORTRANGE(""https://docs.google.com/spreadsheets/d/1xmPlrr1QbdSIKvl1dWUl9K4PjAfSL9oeMr_37QVzcxc/edit?usp=sharing"",""สระบุรี!J292"")"),0)</f>
        <v>0</v>
      </c>
      <c r="T70" s="79">
        <f t="shared" ca="1" si="34"/>
        <v>0</v>
      </c>
      <c r="U70" s="78">
        <f ca="1">IFERROR(__xludf.DUMMYFUNCTION("IMPORTRANGE(""https://docs.google.com/spreadsheets/d/1xmPlrr1QbdSIKvl1dWUl9K4PjAfSL9oeMr_37QVzcxc/edit?usp=sharing"",""สระบุรี!I293"")"),0)</f>
        <v>0</v>
      </c>
      <c r="V70" s="78">
        <f ca="1">IFERROR(__xludf.DUMMYFUNCTION("IMPORTRANGE(""https://docs.google.com/spreadsheets/d/1xmPlrr1QbdSIKvl1dWUl9K4PjAfSL9oeMr_37QVzcxc/edit?usp=sharing"",""สระบุรี!J293"")"),0)</f>
        <v>0</v>
      </c>
      <c r="W70" s="79">
        <f t="shared" ca="1" si="36"/>
        <v>0</v>
      </c>
      <c r="X70" s="78">
        <f ca="1">IFERROR(__xludf.DUMMYFUNCTION("IMPORTRANGE(""https://docs.google.com/spreadsheets/d/1xmPlrr1QbdSIKvl1dWUl9K4PjAfSL9oeMr_37QVzcxc/edit?usp=sharing"",""สระบุรี!I295"")"),0)</f>
        <v>0</v>
      </c>
      <c r="Y70" s="78">
        <f ca="1">IFERROR(__xludf.DUMMYFUNCTION("IMPORTRANGE(""https://docs.google.com/spreadsheets/d/1xmPlrr1QbdSIKvl1dWUl9K4PjAfSL9oeMr_37QVzcxc/edit?usp=sharing"",""สระบุรี!J295"")"),0)</f>
        <v>0</v>
      </c>
      <c r="Z70" s="79">
        <f t="shared" ca="1" si="38"/>
        <v>0</v>
      </c>
      <c r="AA70" s="315">
        <f ca="1">IFERROR(__xludf.DUMMYFUNCTION("IMPORTRANGE(""https://docs.google.com/spreadsheets/d/1xmPlrr1QbdSIKvl1dWUl9K4PjAfSL9oeMr_37QVzcxc/edit?usp=sharing"",""สระบุรี!J296"")"),0)</f>
        <v>0</v>
      </c>
      <c r="AB70" s="316">
        <f t="shared" ca="1" si="39"/>
        <v>0</v>
      </c>
      <c r="AC70" s="317">
        <f ca="1">IFERROR(__xludf.DUMMYFUNCTION("IMPORTRANGE(""https://docs.google.com/spreadsheets/d/1xmPlrr1QbdSIKvl1dWUl9K4PjAfSL9oeMr_37QVzcxc/edit?usp=sharing"",""สระบุรี!I295"")"),0)</f>
        <v>0</v>
      </c>
      <c r="AD70" s="288" t="str">
        <f ca="1">IFERROR(__xludf.DUMMYFUNCTION("IMPORTRANGE(""https://docs.google.com/spreadsheets/d/1xmPlrr1QbdSIKvl1dWUl9K4PjAfSL9oeMr_37QVzcxc/edit?usp=sharing"",""สระบุรี!J298"")"),"")</f>
        <v/>
      </c>
      <c r="AE70" s="318">
        <f t="shared" ca="1" si="41"/>
        <v>0</v>
      </c>
      <c r="AF70" s="288" t="str">
        <f ca="1">IFERROR(__xludf.DUMMYFUNCTION("IMPORTRANGE(""https://docs.google.com/spreadsheets/d/1xmPlrr1QbdSIKvl1dWUl9K4PjAfSL9oeMr_37QVzcxc/edit?usp=sharing"",""สระบุรี!J299"")"),"")</f>
        <v/>
      </c>
      <c r="AG70" s="318">
        <f t="shared" ca="1" si="42"/>
        <v>0</v>
      </c>
    </row>
    <row r="71" spans="1:33" ht="21" customHeight="1" x14ac:dyDescent="0.3">
      <c r="A71" s="70">
        <v>19</v>
      </c>
      <c r="B71" s="71" t="s">
        <v>99</v>
      </c>
      <c r="C71" s="149">
        <f t="shared" ca="1" si="25"/>
        <v>0</v>
      </c>
      <c r="D71" s="150">
        <f t="shared" ca="1" si="55"/>
        <v>0</v>
      </c>
      <c r="E71" s="151">
        <f ca="1">IFERROR(__xludf.DUMMYFUNCTION("IMPORTRANGE(""https://docs.google.com/spreadsheets/d/1-uDff_7J0KD5mKrp0Vvzr7lt3OU09vwQwhkpOPPYv2Y/edit?usp=sharing"",""งบพรบ!DP71"")"),0)</f>
        <v>0</v>
      </c>
      <c r="F71" s="151">
        <f ca="1">IFERROR(__xludf.DUMMYFUNCTION("IMPORTRANGE(""https://docs.google.com/spreadsheets/d/1-uDff_7J0KD5mKrp0Vvzr7lt3OU09vwQwhkpOPPYv2Y/edit?usp=sharing"",""งบพรบ!DQ71"")"),0)</f>
        <v>0</v>
      </c>
      <c r="G71" s="151">
        <f ca="1">IFERROR(__xludf.DUMMYFUNCTION("IMPORTRANGE(""https://docs.google.com/spreadsheets/d/1-uDff_7J0KD5mKrp0Vvzr7lt3OU09vwQwhkpOPPYv2Y/edit?usp=sharing"",""งบพรบ!DR71"")"),0)</f>
        <v>0</v>
      </c>
      <c r="H71" s="151">
        <f ca="1">IFERROR(__xludf.DUMMYFUNCTION("IMPORTRANGE(""https://docs.google.com/spreadsheets/d/1-uDff_7J0KD5mKrp0Vvzr7lt3OU09vwQwhkpOPPYv2Y/edit?usp=sharing"",""งบพรบ!DT71"")"),0)</f>
        <v>0</v>
      </c>
      <c r="I71" s="151">
        <f ca="1">IFERROR(__xludf.DUMMYFUNCTION("IMPORTRANGE(""https://docs.google.com/spreadsheets/d/1-uDff_7J0KD5mKrp0Vvzr7lt3OU09vwQwhkpOPPYv2Y/edit?usp=sharing"",""งบพรบ!DU71"")"),0)</f>
        <v>0</v>
      </c>
      <c r="J71" s="151">
        <f t="shared" ca="1" si="27"/>
        <v>0</v>
      </c>
      <c r="K71" s="154">
        <f t="shared" ca="1" si="28"/>
        <v>0</v>
      </c>
      <c r="L71" s="151">
        <f ca="1">IFERROR(__xludf.DUMMYFUNCTION("IMPORTRANGE(""https://docs.google.com/spreadsheets/d/1-uDff_7J0KD5mKrp0Vvzr7lt3OU09vwQwhkpOPPYv2Y/edit?usp=sharing"",""งบพรบ!DV71"")"),0)</f>
        <v>0</v>
      </c>
      <c r="M71" s="68">
        <f t="shared" ca="1" si="29"/>
        <v>0</v>
      </c>
      <c r="N71" s="68">
        <f t="shared" ca="1" si="30"/>
        <v>0</v>
      </c>
      <c r="O71" s="67">
        <f ca="1">IFERROR(__xludf.DUMMYFUNCTION("IMPORTRANGE(""https://docs.google.com/spreadsheets/d/1-uDff_7J0KD5mKrp0Vvzr7lt3OU09vwQwhkpOPPYv2Y/edit?usp=sharing"",""งบพรบ!DW71"")"),0)</f>
        <v>0</v>
      </c>
      <c r="P71" s="67">
        <f t="shared" ca="1" si="31"/>
        <v>0</v>
      </c>
      <c r="Q71" s="68">
        <f t="shared" ca="1" si="32"/>
        <v>0</v>
      </c>
      <c r="R71" s="78">
        <f ca="1">IFERROR(__xludf.DUMMYFUNCTION("IMPORTRANGE(""https://docs.google.com/spreadsheets/d/1j51vR6CYVGhABJpv6tkstgok82RLpXieLzW1yOY5rHw/edit?usp=sharing"",""สิงห์บุรี!I292"")"),0)</f>
        <v>0</v>
      </c>
      <c r="S71" s="78">
        <f ca="1">IFERROR(__xludf.DUMMYFUNCTION("IMPORTRANGE(""https://docs.google.com/spreadsheets/d/1j51vR6CYVGhABJpv6tkstgok82RLpXieLzW1yOY5rHw/edit?usp=sharing"",""สิงห์บุรี!J292"")"),0)</f>
        <v>0</v>
      </c>
      <c r="T71" s="79">
        <f t="shared" ca="1" si="34"/>
        <v>0</v>
      </c>
      <c r="U71" s="78">
        <f ca="1">IFERROR(__xludf.DUMMYFUNCTION("IMPORTRANGE(""https://docs.google.com/spreadsheets/d/1j51vR6CYVGhABJpv6tkstgok82RLpXieLzW1yOY5rHw/edit?usp=sharing"",""สิงห์บุรี!I293"")"),0)</f>
        <v>0</v>
      </c>
      <c r="V71" s="78">
        <f ca="1">IFERROR(__xludf.DUMMYFUNCTION("IMPORTRANGE(""https://docs.google.com/spreadsheets/d/1j51vR6CYVGhABJpv6tkstgok82RLpXieLzW1yOY5rHw/edit?usp=sharing"",""สิงห์บุรี!J293"")"),0)</f>
        <v>0</v>
      </c>
      <c r="W71" s="79">
        <f t="shared" ca="1" si="36"/>
        <v>0</v>
      </c>
      <c r="X71" s="78">
        <f ca="1">IFERROR(__xludf.DUMMYFUNCTION("IMPORTRANGE(""https://docs.google.com/spreadsheets/d/1j51vR6CYVGhABJpv6tkstgok82RLpXieLzW1yOY5rHw/edit?usp=sharing"",""สิงห์บุรี!I295"")"),0)</f>
        <v>0</v>
      </c>
      <c r="Y71" s="78">
        <f ca="1">IFERROR(__xludf.DUMMYFUNCTION("IMPORTRANGE(""https://docs.google.com/spreadsheets/d/1j51vR6CYVGhABJpv6tkstgok82RLpXieLzW1yOY5rHw/edit?usp=sharing"",""สิงห์บุรี!J295"")"),0)</f>
        <v>0</v>
      </c>
      <c r="Z71" s="79">
        <f t="shared" ca="1" si="38"/>
        <v>0</v>
      </c>
      <c r="AA71" s="315">
        <f ca="1">IFERROR(__xludf.DUMMYFUNCTION("IMPORTRANGE(""https://docs.google.com/spreadsheets/d/1j51vR6CYVGhABJpv6tkstgok82RLpXieLzW1yOY5rHw/edit?usp=sharing"",""สิงห์บุรี!J296"")"),0)</f>
        <v>0</v>
      </c>
      <c r="AB71" s="316">
        <f t="shared" ca="1" si="39"/>
        <v>0</v>
      </c>
      <c r="AC71" s="317">
        <f ca="1">IFERROR(__xludf.DUMMYFUNCTION("IMPORTRANGE(""https://docs.google.com/spreadsheets/d/1j51vR6CYVGhABJpv6tkstgok82RLpXieLzW1yOY5rHw/edit?usp=sharing"",""สิงห์บุรี!I295"")"),0)</f>
        <v>0</v>
      </c>
      <c r="AD71" s="288" t="str">
        <f ca="1">IFERROR(__xludf.DUMMYFUNCTION("IMPORTRANGE(""https://docs.google.com/spreadsheets/d/1j51vR6CYVGhABJpv6tkstgok82RLpXieLzW1yOY5rHw/edit?usp=sharing"",""สิงห์บุรี!J298"")"),"")</f>
        <v/>
      </c>
      <c r="AE71" s="318">
        <f t="shared" ca="1" si="41"/>
        <v>0</v>
      </c>
      <c r="AF71" s="288" t="str">
        <f ca="1">IFERROR(__xludf.DUMMYFUNCTION("IMPORTRANGE(""https://docs.google.com/spreadsheets/d/1j51vR6CYVGhABJpv6tkstgok82RLpXieLzW1yOY5rHw/edit?usp=sharing"",""สิงห์บุรี!J299"")"),"")</f>
        <v/>
      </c>
      <c r="AG71" s="318">
        <f t="shared" ca="1" si="42"/>
        <v>0</v>
      </c>
    </row>
    <row r="72" spans="1:33" ht="21" customHeight="1" x14ac:dyDescent="0.3">
      <c r="A72" s="70">
        <v>20</v>
      </c>
      <c r="B72" s="71" t="s">
        <v>100</v>
      </c>
      <c r="C72" s="149">
        <f t="shared" ca="1" si="25"/>
        <v>182620</v>
      </c>
      <c r="D72" s="150">
        <f t="shared" ca="1" si="55"/>
        <v>182620</v>
      </c>
      <c r="E72" s="151">
        <f ca="1">IFERROR(__xludf.DUMMYFUNCTION("IMPORTRANGE(""https://docs.google.com/spreadsheets/d/1-uDff_7J0KD5mKrp0Vvzr7lt3OU09vwQwhkpOPPYv2Y/edit?usp=sharing"",""งบพรบ!DP72"")"),126500)</f>
        <v>126500</v>
      </c>
      <c r="F72" s="151">
        <f ca="1">IFERROR(__xludf.DUMMYFUNCTION("IMPORTRANGE(""https://docs.google.com/spreadsheets/d/1-uDff_7J0KD5mKrp0Vvzr7lt3OU09vwQwhkpOPPYv2Y/edit?usp=sharing"",""งบพรบ!DQ72"")"),56120)</f>
        <v>56120</v>
      </c>
      <c r="G72" s="151">
        <f ca="1">IFERROR(__xludf.DUMMYFUNCTION("IMPORTRANGE(""https://docs.google.com/spreadsheets/d/1-uDff_7J0KD5mKrp0Vvzr7lt3OU09vwQwhkpOPPYv2Y/edit?usp=sharing"",""งบพรบ!DR72"")"),0)</f>
        <v>0</v>
      </c>
      <c r="H72" s="151">
        <f ca="1">IFERROR(__xludf.DUMMYFUNCTION("IMPORTRANGE(""https://docs.google.com/spreadsheets/d/1-uDff_7J0KD5mKrp0Vvzr7lt3OU09vwQwhkpOPPYv2Y/edit?usp=sharing"",""งบพรบ!DT72"")"),185180)</f>
        <v>185180</v>
      </c>
      <c r="I72" s="151">
        <f ca="1">IFERROR(__xludf.DUMMYFUNCTION("IMPORTRANGE(""https://docs.google.com/spreadsheets/d/1-uDff_7J0KD5mKrp0Vvzr7lt3OU09vwQwhkpOPPYv2Y/edit?usp=sharing"",""งบพรบ!DU72"")"),0)</f>
        <v>0</v>
      </c>
      <c r="J72" s="151">
        <f t="shared" ca="1" si="27"/>
        <v>139126</v>
      </c>
      <c r="K72" s="154">
        <f t="shared" ca="1" si="28"/>
        <v>76.183331508049505</v>
      </c>
      <c r="L72" s="151">
        <f ca="1">IFERROR(__xludf.DUMMYFUNCTION("IMPORTRANGE(""https://docs.google.com/spreadsheets/d/1-uDff_7J0KD5mKrp0Vvzr7lt3OU09vwQwhkpOPPYv2Y/edit?usp=sharing"",""งบพรบ!DV72"")"),139126)</f>
        <v>139126</v>
      </c>
      <c r="M72" s="68">
        <f t="shared" ca="1" si="29"/>
        <v>76.183331508049505</v>
      </c>
      <c r="N72" s="68">
        <f t="shared" ca="1" si="30"/>
        <v>75.130143644022027</v>
      </c>
      <c r="O72" s="67">
        <f ca="1">IFERROR(__xludf.DUMMYFUNCTION("IMPORTRANGE(""https://docs.google.com/spreadsheets/d/1-uDff_7J0KD5mKrp0Vvzr7lt3OU09vwQwhkpOPPYv2Y/edit?usp=sharing"",""งบพรบ!DW72"")"),0)</f>
        <v>0</v>
      </c>
      <c r="P72" s="67">
        <f t="shared" ca="1" si="31"/>
        <v>0</v>
      </c>
      <c r="Q72" s="68">
        <f t="shared" ca="1" si="32"/>
        <v>0</v>
      </c>
      <c r="R72" s="78">
        <f ca="1">IFERROR(__xludf.DUMMYFUNCTION("IMPORTRANGE(""https://docs.google.com/spreadsheets/d/1H1EalTWKUSzO4Z1-1CwzoDUaVffgrThEBe2sl74kKG0/edit?usp=sharing"",""สุพรรณบุรี!I292"")"),100)</f>
        <v>100</v>
      </c>
      <c r="S72" s="78">
        <f ca="1">IFERROR(__xludf.DUMMYFUNCTION("IMPORTRANGE(""https://docs.google.com/spreadsheets/d/1H1EalTWKUSzO4Z1-1CwzoDUaVffgrThEBe2sl74kKG0/edit?usp=sharing"",""สุพรรณบุรี!J292"")"),100)</f>
        <v>100</v>
      </c>
      <c r="T72" s="79">
        <f t="shared" ca="1" si="34"/>
        <v>100</v>
      </c>
      <c r="U72" s="78">
        <f ca="1">IFERROR(__xludf.DUMMYFUNCTION("IMPORTRANGE(""https://docs.google.com/spreadsheets/d/1H1EalTWKUSzO4Z1-1CwzoDUaVffgrThEBe2sl74kKG0/edit?usp=sharing"",""สุพรรณบุรี!I293"")"),10)</f>
        <v>10</v>
      </c>
      <c r="V72" s="78">
        <f ca="1">IFERROR(__xludf.DUMMYFUNCTION("IMPORTRANGE(""https://docs.google.com/spreadsheets/d/1H1EalTWKUSzO4Z1-1CwzoDUaVffgrThEBe2sl74kKG0/edit?usp=sharing"",""สุพรรณบุรี!J293"")"),10)</f>
        <v>10</v>
      </c>
      <c r="W72" s="79">
        <f t="shared" ca="1" si="36"/>
        <v>100</v>
      </c>
      <c r="X72" s="78">
        <f ca="1">IFERROR(__xludf.DUMMYFUNCTION("IMPORTRANGE(""https://docs.google.com/spreadsheets/d/1H1EalTWKUSzO4Z1-1CwzoDUaVffgrThEBe2sl74kKG0/edit?usp=sharing"",""สุพรรณบุรี!I295"")"),10)</f>
        <v>10</v>
      </c>
      <c r="Y72" s="78">
        <f ca="1">IFERROR(__xludf.DUMMYFUNCTION("IMPORTRANGE(""https://docs.google.com/spreadsheets/d/1H1EalTWKUSzO4Z1-1CwzoDUaVffgrThEBe2sl74kKG0/edit?usp=sharing"",""สุพรรณบุรี!J295"")"),10)</f>
        <v>10</v>
      </c>
      <c r="Z72" s="79">
        <f t="shared" ca="1" si="38"/>
        <v>100</v>
      </c>
      <c r="AA72" s="315">
        <f ca="1">IFERROR(__xludf.DUMMYFUNCTION("IMPORTRANGE(""https://docs.google.com/spreadsheets/d/1H1EalTWKUSzO4Z1-1CwzoDUaVffgrThEBe2sl74kKG0/edit?usp=sharing"",""สุพรรณบุรี!J296"")"),10)</f>
        <v>10</v>
      </c>
      <c r="AB72" s="316">
        <f t="shared" ca="1" si="39"/>
        <v>100</v>
      </c>
      <c r="AC72" s="317">
        <f ca="1">IFERROR(__xludf.DUMMYFUNCTION("IMPORTRANGE(""https://docs.google.com/spreadsheets/d/1H1EalTWKUSzO4Z1-1CwzoDUaVffgrThEBe2sl74kKG0/edit?usp=sharing"",""สุพรรณบุรี!I295"")"),10)</f>
        <v>10</v>
      </c>
      <c r="AD72" s="317">
        <f ca="1">IFERROR(__xludf.DUMMYFUNCTION("IMPORTRANGE(""https://docs.google.com/spreadsheets/d/1H1EalTWKUSzO4Z1-1CwzoDUaVffgrThEBe2sl74kKG0/edit?usp=sharing"",""สุพรรณบุรี!J298"")"),10)</f>
        <v>10</v>
      </c>
      <c r="AE72" s="318">
        <f t="shared" ca="1" si="41"/>
        <v>100</v>
      </c>
      <c r="AF72" s="317">
        <f ca="1">IFERROR(__xludf.DUMMYFUNCTION("IMPORTRANGE(""https://docs.google.com/spreadsheets/d/1H1EalTWKUSzO4Z1-1CwzoDUaVffgrThEBe2sl74kKG0/edit?usp=sharing"",""สุพรรณบุรี!J299"")"),10)</f>
        <v>10</v>
      </c>
      <c r="AG72" s="318">
        <f t="shared" ca="1" si="42"/>
        <v>100</v>
      </c>
    </row>
    <row r="73" spans="1:33" ht="21" customHeight="1" x14ac:dyDescent="0.3">
      <c r="A73" s="80">
        <v>21</v>
      </c>
      <c r="B73" s="81" t="s">
        <v>101</v>
      </c>
      <c r="C73" s="157">
        <f t="shared" ca="1" si="25"/>
        <v>0</v>
      </c>
      <c r="D73" s="158">
        <f t="shared" ca="1" si="55"/>
        <v>0</v>
      </c>
      <c r="E73" s="159">
        <f ca="1">IFERROR(__xludf.DUMMYFUNCTION("IMPORTRANGE(""https://docs.google.com/spreadsheets/d/1-uDff_7J0KD5mKrp0Vvzr7lt3OU09vwQwhkpOPPYv2Y/edit?usp=sharing"",""งบพรบ!DP73"")"),0)</f>
        <v>0</v>
      </c>
      <c r="F73" s="159">
        <f ca="1">IFERROR(__xludf.DUMMYFUNCTION("IMPORTRANGE(""https://docs.google.com/spreadsheets/d/1-uDff_7J0KD5mKrp0Vvzr7lt3OU09vwQwhkpOPPYv2Y/edit?usp=sharing"",""งบพรบ!DQ73"")"),0)</f>
        <v>0</v>
      </c>
      <c r="G73" s="159">
        <f ca="1">IFERROR(__xludf.DUMMYFUNCTION("IMPORTRANGE(""https://docs.google.com/spreadsheets/d/1-uDff_7J0KD5mKrp0Vvzr7lt3OU09vwQwhkpOPPYv2Y/edit?usp=sharing"",""งบพรบ!DR73"")"),0)</f>
        <v>0</v>
      </c>
      <c r="H73" s="159">
        <f ca="1">IFERROR(__xludf.DUMMYFUNCTION("IMPORTRANGE(""https://docs.google.com/spreadsheets/d/1-uDff_7J0KD5mKrp0Vvzr7lt3OU09vwQwhkpOPPYv2Y/edit?usp=sharing"",""งบพรบ!DT73"")"),0)</f>
        <v>0</v>
      </c>
      <c r="I73" s="159">
        <f ca="1">IFERROR(__xludf.DUMMYFUNCTION("IMPORTRANGE(""https://docs.google.com/spreadsheets/d/1-uDff_7J0KD5mKrp0Vvzr7lt3OU09vwQwhkpOPPYv2Y/edit?usp=sharing"",""งบพรบ!DU73"")"),0)</f>
        <v>0</v>
      </c>
      <c r="J73" s="159">
        <f t="shared" ca="1" si="27"/>
        <v>0</v>
      </c>
      <c r="K73" s="160">
        <f t="shared" ca="1" si="28"/>
        <v>0</v>
      </c>
      <c r="L73" s="159">
        <f ca="1">IFERROR(__xludf.DUMMYFUNCTION("IMPORTRANGE(""https://docs.google.com/spreadsheets/d/1-uDff_7J0KD5mKrp0Vvzr7lt3OU09vwQwhkpOPPYv2Y/edit?usp=sharing"",""งบพรบ!DV73"")"),0)</f>
        <v>0</v>
      </c>
      <c r="M73" s="89">
        <f t="shared" ca="1" si="29"/>
        <v>0</v>
      </c>
      <c r="N73" s="89">
        <f t="shared" ca="1" si="30"/>
        <v>0</v>
      </c>
      <c r="O73" s="88">
        <f ca="1">IFERROR(__xludf.DUMMYFUNCTION("IMPORTRANGE(""https://docs.google.com/spreadsheets/d/1-uDff_7J0KD5mKrp0Vvzr7lt3OU09vwQwhkpOPPYv2Y/edit?usp=sharing"",""งบพรบ!DW73"")"),0)</f>
        <v>0</v>
      </c>
      <c r="P73" s="88">
        <f t="shared" ca="1" si="31"/>
        <v>0</v>
      </c>
      <c r="Q73" s="89">
        <f t="shared" ca="1" si="32"/>
        <v>0</v>
      </c>
      <c r="R73" s="90">
        <f ca="1">IFERROR(__xludf.DUMMYFUNCTION("IMPORTRANGE(""https://docs.google.com/spreadsheets/d/1BmIruG_sIrJLYao_Pdr7zVArWsfoBt2692TMi6x_854/edit?usp=sharing"",""อ่างทอง!I292"")"),0)</f>
        <v>0</v>
      </c>
      <c r="S73" s="90">
        <f ca="1">IFERROR(__xludf.DUMMYFUNCTION("IMPORTRANGE(""https://docs.google.com/spreadsheets/d/1BmIruG_sIrJLYao_Pdr7zVArWsfoBt2692TMi6x_854/edit?usp=sharing"",""อ่างทอง!J292"")"),0)</f>
        <v>0</v>
      </c>
      <c r="T73" s="91">
        <f t="shared" ca="1" si="34"/>
        <v>0</v>
      </c>
      <c r="U73" s="90">
        <f ca="1">IFERROR(__xludf.DUMMYFUNCTION("IMPORTRANGE(""https://docs.google.com/spreadsheets/d/1BmIruG_sIrJLYao_Pdr7zVArWsfoBt2692TMi6x_854/edit?usp=sharing"",""อ่างทอง!I293"")"),0)</f>
        <v>0</v>
      </c>
      <c r="V73" s="90">
        <f ca="1">IFERROR(__xludf.DUMMYFUNCTION("IMPORTRANGE(""https://docs.google.com/spreadsheets/d/1BmIruG_sIrJLYao_Pdr7zVArWsfoBt2692TMi6x_854/edit?usp=sharing"",""อ่างทอง!J293"")"),0)</f>
        <v>0</v>
      </c>
      <c r="W73" s="91">
        <f t="shared" ca="1" si="36"/>
        <v>0</v>
      </c>
      <c r="X73" s="90">
        <f ca="1">IFERROR(__xludf.DUMMYFUNCTION("IMPORTRANGE(""https://docs.google.com/spreadsheets/d/1BmIruG_sIrJLYao_Pdr7zVArWsfoBt2692TMi6x_854/edit?usp=sharing"",""อ่างทอง!I295"")"),0)</f>
        <v>0</v>
      </c>
      <c r="Y73" s="90">
        <f ca="1">IFERROR(__xludf.DUMMYFUNCTION("IMPORTRANGE(""https://docs.google.com/spreadsheets/d/1BmIruG_sIrJLYao_Pdr7zVArWsfoBt2692TMi6x_854/edit?usp=sharing"",""อ่างทอง!J295"")"),0)</f>
        <v>0</v>
      </c>
      <c r="Z73" s="91">
        <f t="shared" ca="1" si="38"/>
        <v>0</v>
      </c>
      <c r="AA73" s="319">
        <f ca="1">IFERROR(__xludf.DUMMYFUNCTION("IMPORTRANGE(""https://docs.google.com/spreadsheets/d/1BmIruG_sIrJLYao_Pdr7zVArWsfoBt2692TMi6x_854/edit?usp=sharing"",""อ่างทอง!J296"")"),0)</f>
        <v>0</v>
      </c>
      <c r="AB73" s="320">
        <f t="shared" ca="1" si="39"/>
        <v>0</v>
      </c>
      <c r="AC73" s="321">
        <f ca="1">IFERROR(__xludf.DUMMYFUNCTION("IMPORTRANGE(""https://docs.google.com/spreadsheets/d/1BmIruG_sIrJLYao_Pdr7zVArWsfoBt2692TMi6x_854/edit?usp=sharing"",""อ่างทอง!I295"")"),0)</f>
        <v>0</v>
      </c>
      <c r="AD73" s="323" t="str">
        <f ca="1">IFERROR(__xludf.DUMMYFUNCTION("IMPORTRANGE(""https://docs.google.com/spreadsheets/d/1BmIruG_sIrJLYao_Pdr7zVArWsfoBt2692TMi6x_854/edit?usp=sharing"",""อ่างทอง!J298"")"),"")</f>
        <v/>
      </c>
      <c r="AE73" s="322">
        <f t="shared" ca="1" si="41"/>
        <v>0</v>
      </c>
      <c r="AF73" s="323" t="str">
        <f ca="1">IFERROR(__xludf.DUMMYFUNCTION("IMPORTRANGE(""https://docs.google.com/spreadsheets/d/1BmIruG_sIrJLYao_Pdr7zVArWsfoBt2692TMi6x_854/edit?usp=sharing"",""อ่างทอง!J299"")"),"")</f>
        <v/>
      </c>
      <c r="AG73" s="322">
        <f t="shared" ca="1" si="42"/>
        <v>0</v>
      </c>
    </row>
    <row r="74" spans="1:33" ht="21" customHeight="1" x14ac:dyDescent="0.3">
      <c r="A74" s="664" t="s">
        <v>102</v>
      </c>
      <c r="B74" s="647"/>
      <c r="C74" s="161">
        <f t="shared" ca="1" si="25"/>
        <v>415220</v>
      </c>
      <c r="D74" s="161">
        <f t="shared" ref="D74:I74" ca="1" si="56">SUM(D75:D88)</f>
        <v>415220</v>
      </c>
      <c r="E74" s="161">
        <f t="shared" ca="1" si="56"/>
        <v>359100</v>
      </c>
      <c r="F74" s="161">
        <f t="shared" ca="1" si="56"/>
        <v>56120</v>
      </c>
      <c r="G74" s="161">
        <f t="shared" ca="1" si="56"/>
        <v>0</v>
      </c>
      <c r="H74" s="161">
        <f t="shared" ca="1" si="56"/>
        <v>428150</v>
      </c>
      <c r="I74" s="161">
        <f t="shared" ca="1" si="56"/>
        <v>0</v>
      </c>
      <c r="J74" s="161">
        <f t="shared" ca="1" si="27"/>
        <v>409754.83</v>
      </c>
      <c r="K74" s="162">
        <f t="shared" ca="1" si="28"/>
        <v>98.683789316506918</v>
      </c>
      <c r="L74" s="161">
        <f ca="1">SUM(L75:L88)</f>
        <v>409754.83</v>
      </c>
      <c r="M74" s="94">
        <f t="shared" ca="1" si="29"/>
        <v>98.683789316506918</v>
      </c>
      <c r="N74" s="94">
        <f t="shared" ca="1" si="30"/>
        <v>95.703568842695319</v>
      </c>
      <c r="O74" s="93">
        <f ca="1">SUM(O75:O88)</f>
        <v>0</v>
      </c>
      <c r="P74" s="93">
        <f t="shared" ca="1" si="31"/>
        <v>0</v>
      </c>
      <c r="Q74" s="94">
        <f t="shared" ca="1" si="32"/>
        <v>0</v>
      </c>
      <c r="R74" s="52">
        <f t="shared" ref="R74:S74" ca="1" si="57">SUM(R75:R88)</f>
        <v>100</v>
      </c>
      <c r="S74" s="52">
        <f t="shared" ca="1" si="57"/>
        <v>100</v>
      </c>
      <c r="T74" s="54">
        <f t="shared" ca="1" si="34"/>
        <v>100</v>
      </c>
      <c r="U74" s="52">
        <f t="shared" ref="U74:V74" ca="1" si="58">SUM(U75:U88)</f>
        <v>10</v>
      </c>
      <c r="V74" s="52">
        <f t="shared" ca="1" si="58"/>
        <v>10</v>
      </c>
      <c r="W74" s="54">
        <f t="shared" ca="1" si="36"/>
        <v>100</v>
      </c>
      <c r="X74" s="52">
        <f t="shared" ref="X74:Y74" ca="1" si="59">SUM(X75:X88)</f>
        <v>10</v>
      </c>
      <c r="Y74" s="52">
        <f t="shared" ca="1" si="59"/>
        <v>10</v>
      </c>
      <c r="Z74" s="54">
        <f t="shared" ca="1" si="38"/>
        <v>100</v>
      </c>
      <c r="AA74" s="309">
        <f ca="1">SUM(AA75:AA88)</f>
        <v>10</v>
      </c>
      <c r="AB74" s="310">
        <f t="shared" ca="1" si="39"/>
        <v>100</v>
      </c>
      <c r="AC74" s="145">
        <f t="shared" ref="AC74:AD74" ca="1" si="60">SUM(AC75:AC88)</f>
        <v>10</v>
      </c>
      <c r="AD74" s="145">
        <f t="shared" ca="1" si="60"/>
        <v>10</v>
      </c>
      <c r="AE74" s="57">
        <f t="shared" ca="1" si="41"/>
        <v>100</v>
      </c>
      <c r="AF74" s="145">
        <f ca="1">SUM(AF75:AF88)</f>
        <v>10</v>
      </c>
      <c r="AG74" s="57">
        <f t="shared" ca="1" si="42"/>
        <v>100</v>
      </c>
    </row>
    <row r="75" spans="1:33" ht="21" customHeight="1" x14ac:dyDescent="0.3">
      <c r="A75" s="58">
        <v>1</v>
      </c>
      <c r="B75" s="59" t="s">
        <v>103</v>
      </c>
      <c r="C75" s="149">
        <f t="shared" ca="1" si="25"/>
        <v>0</v>
      </c>
      <c r="D75" s="150">
        <f t="shared" ref="D75:D88" ca="1" si="61">+E75+F75</f>
        <v>0</v>
      </c>
      <c r="E75" s="151">
        <f ca="1">IFERROR(__xludf.DUMMYFUNCTION("IMPORTRANGE(""https://docs.google.com/spreadsheets/d/1-uDff_7J0KD5mKrp0Vvzr7lt3OU09vwQwhkpOPPYv2Y/edit?usp=sharing"",""งบพรบ!DP75"")"),0)</f>
        <v>0</v>
      </c>
      <c r="F75" s="151">
        <f ca="1">IFERROR(__xludf.DUMMYFUNCTION("IMPORTRANGE(""https://docs.google.com/spreadsheets/d/1-uDff_7J0KD5mKrp0Vvzr7lt3OU09vwQwhkpOPPYv2Y/edit?usp=sharing"",""งบพรบ!DQ75"")"),0)</f>
        <v>0</v>
      </c>
      <c r="G75" s="151">
        <f ca="1">IFERROR(__xludf.DUMMYFUNCTION("IMPORTRANGE(""https://docs.google.com/spreadsheets/d/1-uDff_7J0KD5mKrp0Vvzr7lt3OU09vwQwhkpOPPYv2Y/edit?usp=sharing"",""งบพรบ!DR75"")"),0)</f>
        <v>0</v>
      </c>
      <c r="H75" s="151">
        <f ca="1">IFERROR(__xludf.DUMMYFUNCTION("IMPORTRANGE(""https://docs.google.com/spreadsheets/d/1-uDff_7J0KD5mKrp0Vvzr7lt3OU09vwQwhkpOPPYv2Y/edit?usp=sharing"",""งบพรบ!DT75"")"),0)</f>
        <v>0</v>
      </c>
      <c r="I75" s="151">
        <f ca="1">IFERROR(__xludf.DUMMYFUNCTION("IMPORTRANGE(""https://docs.google.com/spreadsheets/d/1-uDff_7J0KD5mKrp0Vvzr7lt3OU09vwQwhkpOPPYv2Y/edit?usp=sharing"",""งบพรบ!DU75"")"),0)</f>
        <v>0</v>
      </c>
      <c r="J75" s="151">
        <f t="shared" ca="1" si="27"/>
        <v>0</v>
      </c>
      <c r="K75" s="154">
        <f t="shared" ca="1" si="28"/>
        <v>0</v>
      </c>
      <c r="L75" s="151">
        <f ca="1">IFERROR(__xludf.DUMMYFUNCTION("IMPORTRANGE(""https://docs.google.com/spreadsheets/d/1-uDff_7J0KD5mKrp0Vvzr7lt3OU09vwQwhkpOPPYv2Y/edit?usp=sharing"",""งบพรบ!DV75"")"),0)</f>
        <v>0</v>
      </c>
      <c r="M75" s="68">
        <f t="shared" ca="1" si="29"/>
        <v>0</v>
      </c>
      <c r="N75" s="68">
        <f t="shared" ca="1" si="30"/>
        <v>0</v>
      </c>
      <c r="O75" s="67">
        <f ca="1">IFERROR(__xludf.DUMMYFUNCTION("IMPORTRANGE(""https://docs.google.com/spreadsheets/d/1-uDff_7J0KD5mKrp0Vvzr7lt3OU09vwQwhkpOPPYv2Y/edit?usp=sharing"",""งบพรบ!DW75"")"),0)</f>
        <v>0</v>
      </c>
      <c r="P75" s="67">
        <f t="shared" ca="1" si="31"/>
        <v>0</v>
      </c>
      <c r="Q75" s="68">
        <f t="shared" ca="1" si="32"/>
        <v>0</v>
      </c>
      <c r="R75" s="63">
        <f ca="1">IFERROR(__xludf.DUMMYFUNCTION("IMPORTRANGE(""https://docs.google.com/spreadsheets/d/1kKUcYdkIfrgTSj8iHHHB2MD2FAtwyyocFgqGQn6ADyI/edit?usp=sharing"",""กระบี่!I292"")"),0)</f>
        <v>0</v>
      </c>
      <c r="S75" s="63">
        <f ca="1">IFERROR(__xludf.DUMMYFUNCTION("IMPORTRANGE(""https://docs.google.com/spreadsheets/d/1kKUcYdkIfrgTSj8iHHHB2MD2FAtwyyocFgqGQn6ADyI/edit?usp=sharing"",""กระบี่!J292"")"),0)</f>
        <v>0</v>
      </c>
      <c r="T75" s="69">
        <f t="shared" ca="1" si="34"/>
        <v>0</v>
      </c>
      <c r="U75" s="63">
        <f ca="1">IFERROR(__xludf.DUMMYFUNCTION("IMPORTRANGE(""https://docs.google.com/spreadsheets/d/1kKUcYdkIfrgTSj8iHHHB2MD2FAtwyyocFgqGQn6ADyI/edit?usp=sharing"",""กระบี่!I293"")"),0)</f>
        <v>0</v>
      </c>
      <c r="V75" s="63">
        <f ca="1">IFERROR(__xludf.DUMMYFUNCTION("IMPORTRANGE(""https://docs.google.com/spreadsheets/d/1kKUcYdkIfrgTSj8iHHHB2MD2FAtwyyocFgqGQn6ADyI/edit?usp=sharing"",""กระบี่!J293"")"),0)</f>
        <v>0</v>
      </c>
      <c r="W75" s="69">
        <f t="shared" ca="1" si="36"/>
        <v>0</v>
      </c>
      <c r="X75" s="63">
        <f ca="1">IFERROR(__xludf.DUMMYFUNCTION("IMPORTRANGE(""https://docs.google.com/spreadsheets/d/1kKUcYdkIfrgTSj8iHHHB2MD2FAtwyyocFgqGQn6ADyI/edit?usp=sharing"",""กระบี่!I295"")"),0)</f>
        <v>0</v>
      </c>
      <c r="Y75" s="63">
        <f ca="1">IFERROR(__xludf.DUMMYFUNCTION("IMPORTRANGE(""https://docs.google.com/spreadsheets/d/1kKUcYdkIfrgTSj8iHHHB2MD2FAtwyyocFgqGQn6ADyI/edit?usp=sharing"",""กระบี่!J295"")"),0)</f>
        <v>0</v>
      </c>
      <c r="Z75" s="69">
        <f t="shared" ca="1" si="38"/>
        <v>0</v>
      </c>
      <c r="AA75" s="311">
        <f ca="1">IFERROR(__xludf.DUMMYFUNCTION("IMPORTRANGE(""https://docs.google.com/spreadsheets/d/1kKUcYdkIfrgTSj8iHHHB2MD2FAtwyyocFgqGQn6ADyI/edit?usp=sharing"",""กระบี่!J296"")"),0)</f>
        <v>0</v>
      </c>
      <c r="AB75" s="312">
        <f t="shared" ca="1" si="39"/>
        <v>0</v>
      </c>
      <c r="AC75" s="313">
        <f ca="1">IFERROR(__xludf.DUMMYFUNCTION("IMPORTRANGE(""https://docs.google.com/spreadsheets/d/1kKUcYdkIfrgTSj8iHHHB2MD2FAtwyyocFgqGQn6ADyI/edit?usp=sharing"",""กระบี่!I295"")"),0)</f>
        <v>0</v>
      </c>
      <c r="AD75" s="324" t="str">
        <f ca="1">IFERROR(__xludf.DUMMYFUNCTION("IMPORTRANGE(""https://docs.google.com/spreadsheets/d/1kKUcYdkIfrgTSj8iHHHB2MD2FAtwyyocFgqGQn6ADyI/edit?usp=sharing"",""กระบี่!J298"")"),"")</f>
        <v/>
      </c>
      <c r="AE75" s="314">
        <f t="shared" ca="1" si="41"/>
        <v>0</v>
      </c>
      <c r="AF75" s="324" t="str">
        <f ca="1">IFERROR(__xludf.DUMMYFUNCTION("IMPORTRANGE(""https://docs.google.com/spreadsheets/d/1kKUcYdkIfrgTSj8iHHHB2MD2FAtwyyocFgqGQn6ADyI/edit?usp=sharing"",""กระบี่!J299"")"),"")</f>
        <v/>
      </c>
      <c r="AG75" s="314">
        <f t="shared" ca="1" si="42"/>
        <v>0</v>
      </c>
    </row>
    <row r="76" spans="1:33" ht="21" customHeight="1" x14ac:dyDescent="0.3">
      <c r="A76" s="70">
        <v>2</v>
      </c>
      <c r="B76" s="71" t="s">
        <v>104</v>
      </c>
      <c r="C76" s="149">
        <f t="shared" ca="1" si="25"/>
        <v>0</v>
      </c>
      <c r="D76" s="150">
        <f t="shared" ca="1" si="61"/>
        <v>0</v>
      </c>
      <c r="E76" s="151">
        <f ca="1">IFERROR(__xludf.DUMMYFUNCTION("IMPORTRANGE(""https://docs.google.com/spreadsheets/d/1-uDff_7J0KD5mKrp0Vvzr7lt3OU09vwQwhkpOPPYv2Y/edit?usp=sharing"",""งบพรบ!DP76"")"),0)</f>
        <v>0</v>
      </c>
      <c r="F76" s="151">
        <f ca="1">IFERROR(__xludf.DUMMYFUNCTION("IMPORTRANGE(""https://docs.google.com/spreadsheets/d/1-uDff_7J0KD5mKrp0Vvzr7lt3OU09vwQwhkpOPPYv2Y/edit?usp=sharing"",""งบพรบ!DQ76"")"),0)</f>
        <v>0</v>
      </c>
      <c r="G76" s="151">
        <f ca="1">IFERROR(__xludf.DUMMYFUNCTION("IMPORTRANGE(""https://docs.google.com/spreadsheets/d/1-uDff_7J0KD5mKrp0Vvzr7lt3OU09vwQwhkpOPPYv2Y/edit?usp=sharing"",""งบพรบ!DR76"")"),0)</f>
        <v>0</v>
      </c>
      <c r="H76" s="151">
        <f ca="1">IFERROR(__xludf.DUMMYFUNCTION("IMPORTRANGE(""https://docs.google.com/spreadsheets/d/1-uDff_7J0KD5mKrp0Vvzr7lt3OU09vwQwhkpOPPYv2Y/edit?usp=sharing"",""งบพรบ!DT76"")"),0)</f>
        <v>0</v>
      </c>
      <c r="I76" s="151">
        <f ca="1">IFERROR(__xludf.DUMMYFUNCTION("IMPORTRANGE(""https://docs.google.com/spreadsheets/d/1-uDff_7J0KD5mKrp0Vvzr7lt3OU09vwQwhkpOPPYv2Y/edit?usp=sharing"",""งบพรบ!DU76"")"),0)</f>
        <v>0</v>
      </c>
      <c r="J76" s="151">
        <f t="shared" ca="1" si="27"/>
        <v>0</v>
      </c>
      <c r="K76" s="154">
        <f t="shared" ca="1" si="28"/>
        <v>0</v>
      </c>
      <c r="L76" s="151">
        <f ca="1">IFERROR(__xludf.DUMMYFUNCTION("IMPORTRANGE(""https://docs.google.com/spreadsheets/d/1-uDff_7J0KD5mKrp0Vvzr7lt3OU09vwQwhkpOPPYv2Y/edit?usp=sharing"",""งบพรบ!DV76"")"),0)</f>
        <v>0</v>
      </c>
      <c r="M76" s="68">
        <f t="shared" ca="1" si="29"/>
        <v>0</v>
      </c>
      <c r="N76" s="68">
        <f t="shared" ca="1" si="30"/>
        <v>0</v>
      </c>
      <c r="O76" s="67">
        <f ca="1">IFERROR(__xludf.DUMMYFUNCTION("IMPORTRANGE(""https://docs.google.com/spreadsheets/d/1-uDff_7J0KD5mKrp0Vvzr7lt3OU09vwQwhkpOPPYv2Y/edit?usp=sharing"",""งบพรบ!DW76"")"),0)</f>
        <v>0</v>
      </c>
      <c r="P76" s="67">
        <f t="shared" ca="1" si="31"/>
        <v>0</v>
      </c>
      <c r="Q76" s="68">
        <f t="shared" ca="1" si="32"/>
        <v>0</v>
      </c>
      <c r="R76" s="78">
        <f ca="1">IFERROR(__xludf.DUMMYFUNCTION("IMPORTRANGE(""https://docs.google.com/spreadsheets/d/1GwtLaSlNZkLk7iDqcyZz22giiy40b_usZZBXYciEN1U/edit?usp=sharing"",""ชุมพร!I292"")"),0)</f>
        <v>0</v>
      </c>
      <c r="S76" s="78">
        <f ca="1">IFERROR(__xludf.DUMMYFUNCTION("IMPORTRANGE(""https://docs.google.com/spreadsheets/d/1GwtLaSlNZkLk7iDqcyZz22giiy40b_usZZBXYciEN1U/edit?usp=sharing"",""ชุมพร!J292"")"),0)</f>
        <v>0</v>
      </c>
      <c r="T76" s="79">
        <f t="shared" ca="1" si="34"/>
        <v>0</v>
      </c>
      <c r="U76" s="78">
        <f ca="1">IFERROR(__xludf.DUMMYFUNCTION("IMPORTRANGE(""https://docs.google.com/spreadsheets/d/1GwtLaSlNZkLk7iDqcyZz22giiy40b_usZZBXYciEN1U/edit?usp=sharing"",""ชุมพร!I293"")"),0)</f>
        <v>0</v>
      </c>
      <c r="V76" s="78">
        <f ca="1">IFERROR(__xludf.DUMMYFUNCTION("IMPORTRANGE(""https://docs.google.com/spreadsheets/d/1GwtLaSlNZkLk7iDqcyZz22giiy40b_usZZBXYciEN1U/edit?usp=sharing"",""ชุมพร!J293"")"),0)</f>
        <v>0</v>
      </c>
      <c r="W76" s="79">
        <f t="shared" ca="1" si="36"/>
        <v>0</v>
      </c>
      <c r="X76" s="78">
        <f ca="1">IFERROR(__xludf.DUMMYFUNCTION("IMPORTRANGE(""https://docs.google.com/spreadsheets/d/1GwtLaSlNZkLk7iDqcyZz22giiy40b_usZZBXYciEN1U/edit?usp=sharing"",""ชุมพร!I295"")"),0)</f>
        <v>0</v>
      </c>
      <c r="Y76" s="78">
        <f ca="1">IFERROR(__xludf.DUMMYFUNCTION("IMPORTRANGE(""https://docs.google.com/spreadsheets/d/1GwtLaSlNZkLk7iDqcyZz22giiy40b_usZZBXYciEN1U/edit?usp=sharing"",""ชุมพร!J295"")"),0)</f>
        <v>0</v>
      </c>
      <c r="Z76" s="79">
        <f t="shared" ca="1" si="38"/>
        <v>0</v>
      </c>
      <c r="AA76" s="315">
        <f ca="1">IFERROR(__xludf.DUMMYFUNCTION("IMPORTRANGE(""https://docs.google.com/spreadsheets/d/1GwtLaSlNZkLk7iDqcyZz22giiy40b_usZZBXYciEN1U/edit?usp=sharing"",""ชุมพร!J296"")"),0)</f>
        <v>0</v>
      </c>
      <c r="AB76" s="316">
        <f t="shared" ca="1" si="39"/>
        <v>0</v>
      </c>
      <c r="AC76" s="317">
        <f ca="1">IFERROR(__xludf.DUMMYFUNCTION("IMPORTRANGE(""https://docs.google.com/spreadsheets/d/1GwtLaSlNZkLk7iDqcyZz22giiy40b_usZZBXYciEN1U/edit?usp=sharing"",""ชุมพร!I295"")"),0)</f>
        <v>0</v>
      </c>
      <c r="AD76" s="288" t="str">
        <f ca="1">IFERROR(__xludf.DUMMYFUNCTION("IMPORTRANGE(""https://docs.google.com/spreadsheets/d/1GwtLaSlNZkLk7iDqcyZz22giiy40b_usZZBXYciEN1U/edit?usp=sharing"",""ชุมพร!J298"")"),"")</f>
        <v/>
      </c>
      <c r="AE76" s="318">
        <f t="shared" ca="1" si="41"/>
        <v>0</v>
      </c>
      <c r="AF76" s="288" t="str">
        <f ca="1">IFERROR(__xludf.DUMMYFUNCTION("IMPORTRANGE(""https://docs.google.com/spreadsheets/d/1GwtLaSlNZkLk7iDqcyZz22giiy40b_usZZBXYciEN1U/edit?usp=sharing"",""ชุมพร!J299"")"),"")</f>
        <v/>
      </c>
      <c r="AG76" s="318">
        <f t="shared" ca="1" si="42"/>
        <v>0</v>
      </c>
    </row>
    <row r="77" spans="1:33" ht="21" customHeight="1" x14ac:dyDescent="0.3">
      <c r="A77" s="70">
        <v>3</v>
      </c>
      <c r="B77" s="71" t="s">
        <v>105</v>
      </c>
      <c r="C77" s="149">
        <f t="shared" ca="1" si="25"/>
        <v>0</v>
      </c>
      <c r="D77" s="150">
        <f t="shared" ca="1" si="61"/>
        <v>0</v>
      </c>
      <c r="E77" s="151">
        <f ca="1">IFERROR(__xludf.DUMMYFUNCTION("IMPORTRANGE(""https://docs.google.com/spreadsheets/d/1-uDff_7J0KD5mKrp0Vvzr7lt3OU09vwQwhkpOPPYv2Y/edit?usp=sharing"",""งบพรบ!DP77"")"),0)</f>
        <v>0</v>
      </c>
      <c r="F77" s="151">
        <f ca="1">IFERROR(__xludf.DUMMYFUNCTION("IMPORTRANGE(""https://docs.google.com/spreadsheets/d/1-uDff_7J0KD5mKrp0Vvzr7lt3OU09vwQwhkpOPPYv2Y/edit?usp=sharing"",""งบพรบ!DQ77"")"),0)</f>
        <v>0</v>
      </c>
      <c r="G77" s="151">
        <f ca="1">IFERROR(__xludf.DUMMYFUNCTION("IMPORTRANGE(""https://docs.google.com/spreadsheets/d/1-uDff_7J0KD5mKrp0Vvzr7lt3OU09vwQwhkpOPPYv2Y/edit?usp=sharing"",""งบพรบ!DR77"")"),0)</f>
        <v>0</v>
      </c>
      <c r="H77" s="151">
        <f ca="1">IFERROR(__xludf.DUMMYFUNCTION("IMPORTRANGE(""https://docs.google.com/spreadsheets/d/1-uDff_7J0KD5mKrp0Vvzr7lt3OU09vwQwhkpOPPYv2Y/edit?usp=sharing"",""งบพรบ!DT77"")"),0)</f>
        <v>0</v>
      </c>
      <c r="I77" s="151">
        <f ca="1">IFERROR(__xludf.DUMMYFUNCTION("IMPORTRANGE(""https://docs.google.com/spreadsheets/d/1-uDff_7J0KD5mKrp0Vvzr7lt3OU09vwQwhkpOPPYv2Y/edit?usp=sharing"",""งบพรบ!DU77"")"),0)</f>
        <v>0</v>
      </c>
      <c r="J77" s="151">
        <f t="shared" ca="1" si="27"/>
        <v>0</v>
      </c>
      <c r="K77" s="154">
        <f t="shared" ca="1" si="28"/>
        <v>0</v>
      </c>
      <c r="L77" s="151">
        <f ca="1">IFERROR(__xludf.DUMMYFUNCTION("IMPORTRANGE(""https://docs.google.com/spreadsheets/d/1-uDff_7J0KD5mKrp0Vvzr7lt3OU09vwQwhkpOPPYv2Y/edit?usp=sharing"",""งบพรบ!DV77"")"),0)</f>
        <v>0</v>
      </c>
      <c r="M77" s="68">
        <f t="shared" ca="1" si="29"/>
        <v>0</v>
      </c>
      <c r="N77" s="68">
        <f t="shared" ca="1" si="30"/>
        <v>0</v>
      </c>
      <c r="O77" s="67">
        <f ca="1">IFERROR(__xludf.DUMMYFUNCTION("IMPORTRANGE(""https://docs.google.com/spreadsheets/d/1-uDff_7J0KD5mKrp0Vvzr7lt3OU09vwQwhkpOPPYv2Y/edit?usp=sharing"",""งบพรบ!DW77"")"),0)</f>
        <v>0</v>
      </c>
      <c r="P77" s="67">
        <f t="shared" ca="1" si="31"/>
        <v>0</v>
      </c>
      <c r="Q77" s="68">
        <f t="shared" ca="1" si="32"/>
        <v>0</v>
      </c>
      <c r="R77" s="78">
        <f ca="1">IFERROR(__xludf.DUMMYFUNCTION("IMPORTRANGE(""https://docs.google.com/spreadsheets/d/16pAz3pOhQEZBhvFNMa5KGgZS6iKWpsKX0pg6tQmwFpo/edit?usp=sharing"",""ตรัง!I292"")"),0)</f>
        <v>0</v>
      </c>
      <c r="S77" s="78">
        <f ca="1">IFERROR(__xludf.DUMMYFUNCTION("IMPORTRANGE(""https://docs.google.com/spreadsheets/d/16pAz3pOhQEZBhvFNMa5KGgZS6iKWpsKX0pg6tQmwFpo/edit?usp=sharing"",""ตรัง!J292"")"),0)</f>
        <v>0</v>
      </c>
      <c r="T77" s="79">
        <f t="shared" ca="1" si="34"/>
        <v>0</v>
      </c>
      <c r="U77" s="78">
        <f ca="1">IFERROR(__xludf.DUMMYFUNCTION("IMPORTRANGE(""https://docs.google.com/spreadsheets/d/16pAz3pOhQEZBhvFNMa5KGgZS6iKWpsKX0pg6tQmwFpo/edit?usp=sharing"",""ตรัง!I293"")"),0)</f>
        <v>0</v>
      </c>
      <c r="V77" s="78">
        <f ca="1">IFERROR(__xludf.DUMMYFUNCTION("IMPORTRANGE(""https://docs.google.com/spreadsheets/d/16pAz3pOhQEZBhvFNMa5KGgZS6iKWpsKX0pg6tQmwFpo/edit?usp=sharing"",""ตรัง!J293"")"),0)</f>
        <v>0</v>
      </c>
      <c r="W77" s="79">
        <f t="shared" ca="1" si="36"/>
        <v>0</v>
      </c>
      <c r="X77" s="78">
        <f ca="1">IFERROR(__xludf.DUMMYFUNCTION("IMPORTRANGE(""https://docs.google.com/spreadsheets/d/16pAz3pOhQEZBhvFNMa5KGgZS6iKWpsKX0pg6tQmwFpo/edit?usp=sharing"",""ตรัง!I295"")"),0)</f>
        <v>0</v>
      </c>
      <c r="Y77" s="78">
        <f ca="1">IFERROR(__xludf.DUMMYFUNCTION("IMPORTRANGE(""https://docs.google.com/spreadsheets/d/16pAz3pOhQEZBhvFNMa5KGgZS6iKWpsKX0pg6tQmwFpo/edit?usp=sharing"",""ตรัง!J295"")"),0)</f>
        <v>0</v>
      </c>
      <c r="Z77" s="79">
        <f t="shared" ca="1" si="38"/>
        <v>0</v>
      </c>
      <c r="AA77" s="315">
        <f ca="1">IFERROR(__xludf.DUMMYFUNCTION("IMPORTRANGE(""https://docs.google.com/spreadsheets/d/16pAz3pOhQEZBhvFNMa5KGgZS6iKWpsKX0pg6tQmwFpo/edit?usp=sharing"",""ตรัง!J296"")"),0)</f>
        <v>0</v>
      </c>
      <c r="AB77" s="316">
        <f t="shared" ca="1" si="39"/>
        <v>0</v>
      </c>
      <c r="AC77" s="317">
        <f ca="1">IFERROR(__xludf.DUMMYFUNCTION("IMPORTRANGE(""https://docs.google.com/spreadsheets/d/16pAz3pOhQEZBhvFNMa5KGgZS6iKWpsKX0pg6tQmwFpo/edit?usp=sharing"",""ตรัง!I295"")"),0)</f>
        <v>0</v>
      </c>
      <c r="AD77" s="288" t="str">
        <f ca="1">IFERROR(__xludf.DUMMYFUNCTION("IMPORTRANGE(""https://docs.google.com/spreadsheets/d/16pAz3pOhQEZBhvFNMa5KGgZS6iKWpsKX0pg6tQmwFpo/edit?usp=sharing"",""ตรัง!J298"")"),"")</f>
        <v/>
      </c>
      <c r="AE77" s="318">
        <f t="shared" ca="1" si="41"/>
        <v>0</v>
      </c>
      <c r="AF77" s="288" t="str">
        <f ca="1">IFERROR(__xludf.DUMMYFUNCTION("IMPORTRANGE(""https://docs.google.com/spreadsheets/d/16pAz3pOhQEZBhvFNMa5KGgZS6iKWpsKX0pg6tQmwFpo/edit?usp=sharing"",""ตรัง!J299"")"),"")</f>
        <v/>
      </c>
      <c r="AG77" s="318">
        <f t="shared" ca="1" si="42"/>
        <v>0</v>
      </c>
    </row>
    <row r="78" spans="1:33" ht="21" customHeight="1" x14ac:dyDescent="0.3">
      <c r="A78" s="70">
        <v>4</v>
      </c>
      <c r="B78" s="71" t="s">
        <v>106</v>
      </c>
      <c r="C78" s="149">
        <f t="shared" ca="1" si="25"/>
        <v>0</v>
      </c>
      <c r="D78" s="150">
        <f t="shared" ca="1" si="61"/>
        <v>0</v>
      </c>
      <c r="E78" s="151">
        <f ca="1">IFERROR(__xludf.DUMMYFUNCTION("IMPORTRANGE(""https://docs.google.com/spreadsheets/d/1-uDff_7J0KD5mKrp0Vvzr7lt3OU09vwQwhkpOPPYv2Y/edit?usp=sharing"",""งบพรบ!DP78"")"),0)</f>
        <v>0</v>
      </c>
      <c r="F78" s="151">
        <f ca="1">IFERROR(__xludf.DUMMYFUNCTION("IMPORTRANGE(""https://docs.google.com/spreadsheets/d/1-uDff_7J0KD5mKrp0Vvzr7lt3OU09vwQwhkpOPPYv2Y/edit?usp=sharing"",""งบพรบ!DQ78"")"),0)</f>
        <v>0</v>
      </c>
      <c r="G78" s="151">
        <f ca="1">IFERROR(__xludf.DUMMYFUNCTION("IMPORTRANGE(""https://docs.google.com/spreadsheets/d/1-uDff_7J0KD5mKrp0Vvzr7lt3OU09vwQwhkpOPPYv2Y/edit?usp=sharing"",""งบพรบ!DR78"")"),0)</f>
        <v>0</v>
      </c>
      <c r="H78" s="151">
        <f ca="1">IFERROR(__xludf.DUMMYFUNCTION("IMPORTRANGE(""https://docs.google.com/spreadsheets/d/1-uDff_7J0KD5mKrp0Vvzr7lt3OU09vwQwhkpOPPYv2Y/edit?usp=sharing"",""งบพรบ!DT78"")"),0)</f>
        <v>0</v>
      </c>
      <c r="I78" s="151">
        <f ca="1">IFERROR(__xludf.DUMMYFUNCTION("IMPORTRANGE(""https://docs.google.com/spreadsheets/d/1-uDff_7J0KD5mKrp0Vvzr7lt3OU09vwQwhkpOPPYv2Y/edit?usp=sharing"",""งบพรบ!DU78"")"),0)</f>
        <v>0</v>
      </c>
      <c r="J78" s="151">
        <f t="shared" ca="1" si="27"/>
        <v>0</v>
      </c>
      <c r="K78" s="154">
        <f t="shared" ca="1" si="28"/>
        <v>0</v>
      </c>
      <c r="L78" s="151">
        <f ca="1">IFERROR(__xludf.DUMMYFUNCTION("IMPORTRANGE(""https://docs.google.com/spreadsheets/d/1-uDff_7J0KD5mKrp0Vvzr7lt3OU09vwQwhkpOPPYv2Y/edit?usp=sharing"",""งบพรบ!DV78"")"),0)</f>
        <v>0</v>
      </c>
      <c r="M78" s="68">
        <f t="shared" ca="1" si="29"/>
        <v>0</v>
      </c>
      <c r="N78" s="68">
        <f t="shared" ca="1" si="30"/>
        <v>0</v>
      </c>
      <c r="O78" s="67">
        <f ca="1">IFERROR(__xludf.DUMMYFUNCTION("IMPORTRANGE(""https://docs.google.com/spreadsheets/d/1-uDff_7J0KD5mKrp0Vvzr7lt3OU09vwQwhkpOPPYv2Y/edit?usp=sharing"",""งบพรบ!DW78"")"),0)</f>
        <v>0</v>
      </c>
      <c r="P78" s="67">
        <f t="shared" ca="1" si="31"/>
        <v>0</v>
      </c>
      <c r="Q78" s="68">
        <f t="shared" ca="1" si="32"/>
        <v>0</v>
      </c>
      <c r="R78" s="78">
        <f ca="1">IFERROR(__xludf.DUMMYFUNCTION("IMPORTRANGE(""https://docs.google.com/spreadsheets/d/1Dj4jcHCTV9JXKCaMoheSXS52JE63kDKyG7bPXnFogHk/edit?usp=sharing"",""นครศรีธรรมราช!I292"")"),0)</f>
        <v>0</v>
      </c>
      <c r="S78" s="78">
        <f ca="1">IFERROR(__xludf.DUMMYFUNCTION("IMPORTRANGE(""https://docs.google.com/spreadsheets/d/1Dj4jcHCTV9JXKCaMoheSXS52JE63kDKyG7bPXnFogHk/edit?usp=sharing"",""นครศรีธรรมราช!J292"")"),0)</f>
        <v>0</v>
      </c>
      <c r="T78" s="79">
        <f t="shared" ca="1" si="34"/>
        <v>0</v>
      </c>
      <c r="U78" s="78">
        <f ca="1">IFERROR(__xludf.DUMMYFUNCTION("IMPORTRANGE(""https://docs.google.com/spreadsheets/d/1Dj4jcHCTV9JXKCaMoheSXS52JE63kDKyG7bPXnFogHk/edit?usp=sharing"",""นครศรีธรรมราช!I293"")"),0)</f>
        <v>0</v>
      </c>
      <c r="V78" s="78">
        <f ca="1">IFERROR(__xludf.DUMMYFUNCTION("IMPORTRANGE(""https://docs.google.com/spreadsheets/d/1Dj4jcHCTV9JXKCaMoheSXS52JE63kDKyG7bPXnFogHk/edit?usp=sharing"",""นครศรีธรรมราช!J293"")"),0)</f>
        <v>0</v>
      </c>
      <c r="W78" s="79">
        <f t="shared" ca="1" si="36"/>
        <v>0</v>
      </c>
      <c r="X78" s="78">
        <f ca="1">IFERROR(__xludf.DUMMYFUNCTION("IMPORTRANGE(""https://docs.google.com/spreadsheets/d/1Dj4jcHCTV9JXKCaMoheSXS52JE63kDKyG7bPXnFogHk/edit?usp=sharing"",""นครศรีธรรมราช!I295"")"),0)</f>
        <v>0</v>
      </c>
      <c r="Y78" s="78">
        <f ca="1">IFERROR(__xludf.DUMMYFUNCTION("IMPORTRANGE(""https://docs.google.com/spreadsheets/d/1Dj4jcHCTV9JXKCaMoheSXS52JE63kDKyG7bPXnFogHk/edit?usp=sharing"",""นครศรีธรรมราช!J295"")"),0)</f>
        <v>0</v>
      </c>
      <c r="Z78" s="79">
        <f t="shared" ca="1" si="38"/>
        <v>0</v>
      </c>
      <c r="AA78" s="315">
        <f ca="1">IFERROR(__xludf.DUMMYFUNCTION("IMPORTRANGE(""https://docs.google.com/spreadsheets/d/1Dj4jcHCTV9JXKCaMoheSXS52JE63kDKyG7bPXnFogHk/edit?usp=sharing"",""นครศรีธรรมราช!J296"")"),0)</f>
        <v>0</v>
      </c>
      <c r="AB78" s="316">
        <f t="shared" ca="1" si="39"/>
        <v>0</v>
      </c>
      <c r="AC78" s="317">
        <f ca="1">IFERROR(__xludf.DUMMYFUNCTION("IMPORTRANGE(""https://docs.google.com/spreadsheets/d/1Dj4jcHCTV9JXKCaMoheSXS52JE63kDKyG7bPXnFogHk/edit?usp=sharing"",""นครศรีธรรมราช!I295"")"),0)</f>
        <v>0</v>
      </c>
      <c r="AD78" s="288" t="str">
        <f ca="1">IFERROR(__xludf.DUMMYFUNCTION("IMPORTRANGE(""https://docs.google.com/spreadsheets/d/1Dj4jcHCTV9JXKCaMoheSXS52JE63kDKyG7bPXnFogHk/edit?usp=sharing"",""นครศรีธรรมราช!J298"")"),"")</f>
        <v/>
      </c>
      <c r="AE78" s="318">
        <f t="shared" ca="1" si="41"/>
        <v>0</v>
      </c>
      <c r="AF78" s="288" t="str">
        <f ca="1">IFERROR(__xludf.DUMMYFUNCTION("IMPORTRANGE(""https://docs.google.com/spreadsheets/d/1Dj4jcHCTV9JXKCaMoheSXS52JE63kDKyG7bPXnFogHk/edit?usp=sharing"",""นครศรีธรรมราช!J299"")"),"")</f>
        <v/>
      </c>
      <c r="AG78" s="318">
        <f t="shared" ca="1" si="42"/>
        <v>0</v>
      </c>
    </row>
    <row r="79" spans="1:33" ht="21" customHeight="1" x14ac:dyDescent="0.3">
      <c r="A79" s="70">
        <v>5</v>
      </c>
      <c r="B79" s="71" t="s">
        <v>107</v>
      </c>
      <c r="C79" s="149">
        <f t="shared" ca="1" si="25"/>
        <v>0</v>
      </c>
      <c r="D79" s="150">
        <f t="shared" ca="1" si="61"/>
        <v>0</v>
      </c>
      <c r="E79" s="151">
        <f ca="1">IFERROR(__xludf.DUMMYFUNCTION("IMPORTRANGE(""https://docs.google.com/spreadsheets/d/1-uDff_7J0KD5mKrp0Vvzr7lt3OU09vwQwhkpOPPYv2Y/edit?usp=sharing"",""งบพรบ!DP79"")"),0)</f>
        <v>0</v>
      </c>
      <c r="F79" s="151">
        <f ca="1">IFERROR(__xludf.DUMMYFUNCTION("IMPORTRANGE(""https://docs.google.com/spreadsheets/d/1-uDff_7J0KD5mKrp0Vvzr7lt3OU09vwQwhkpOPPYv2Y/edit?usp=sharing"",""งบพรบ!DQ79"")"),0)</f>
        <v>0</v>
      </c>
      <c r="G79" s="151">
        <f ca="1">IFERROR(__xludf.DUMMYFUNCTION("IMPORTRANGE(""https://docs.google.com/spreadsheets/d/1-uDff_7J0KD5mKrp0Vvzr7lt3OU09vwQwhkpOPPYv2Y/edit?usp=sharing"",""งบพรบ!DR79"")"),0)</f>
        <v>0</v>
      </c>
      <c r="H79" s="151">
        <f ca="1">IFERROR(__xludf.DUMMYFUNCTION("IMPORTRANGE(""https://docs.google.com/spreadsheets/d/1-uDff_7J0KD5mKrp0Vvzr7lt3OU09vwQwhkpOPPYv2Y/edit?usp=sharing"",""งบพรบ!DT79"")"),0)</f>
        <v>0</v>
      </c>
      <c r="I79" s="151">
        <f ca="1">IFERROR(__xludf.DUMMYFUNCTION("IMPORTRANGE(""https://docs.google.com/spreadsheets/d/1-uDff_7J0KD5mKrp0Vvzr7lt3OU09vwQwhkpOPPYv2Y/edit?usp=sharing"",""งบพรบ!DU79"")"),0)</f>
        <v>0</v>
      </c>
      <c r="J79" s="151">
        <f t="shared" ca="1" si="27"/>
        <v>0</v>
      </c>
      <c r="K79" s="154">
        <f t="shared" ca="1" si="28"/>
        <v>0</v>
      </c>
      <c r="L79" s="151">
        <f ca="1">IFERROR(__xludf.DUMMYFUNCTION("IMPORTRANGE(""https://docs.google.com/spreadsheets/d/1-uDff_7J0KD5mKrp0Vvzr7lt3OU09vwQwhkpOPPYv2Y/edit?usp=sharing"",""งบพรบ!DV79"")"),0)</f>
        <v>0</v>
      </c>
      <c r="M79" s="68">
        <f t="shared" ca="1" si="29"/>
        <v>0</v>
      </c>
      <c r="N79" s="68">
        <f t="shared" ca="1" si="30"/>
        <v>0</v>
      </c>
      <c r="O79" s="67">
        <f ca="1">IFERROR(__xludf.DUMMYFUNCTION("IMPORTRANGE(""https://docs.google.com/spreadsheets/d/1-uDff_7J0KD5mKrp0Vvzr7lt3OU09vwQwhkpOPPYv2Y/edit?usp=sharing"",""งบพรบ!DW79"")"),0)</f>
        <v>0</v>
      </c>
      <c r="P79" s="67">
        <f t="shared" ca="1" si="31"/>
        <v>0</v>
      </c>
      <c r="Q79" s="68">
        <f t="shared" ca="1" si="32"/>
        <v>0</v>
      </c>
      <c r="R79" s="78">
        <f ca="1">IFERROR(__xludf.DUMMYFUNCTION("IMPORTRANGE(""https://docs.google.com/spreadsheets/d/1iodCdmuK2GR3jzUwk8tpccY2JHQQA-87DLOtJP-ooyU/edit?usp=sharing"",""นราธิวาส!I292"")"),0)</f>
        <v>0</v>
      </c>
      <c r="S79" s="78">
        <f ca="1">IFERROR(__xludf.DUMMYFUNCTION("IMPORTRANGE(""https://docs.google.com/spreadsheets/d/1iodCdmuK2GR3jzUwk8tpccY2JHQQA-87DLOtJP-ooyU/edit?usp=sharing"",""นราธิวาส!J292"")"),0)</f>
        <v>0</v>
      </c>
      <c r="T79" s="79">
        <f t="shared" ca="1" si="34"/>
        <v>0</v>
      </c>
      <c r="U79" s="78">
        <f ca="1">IFERROR(__xludf.DUMMYFUNCTION("IMPORTRANGE(""https://docs.google.com/spreadsheets/d/1iodCdmuK2GR3jzUwk8tpccY2JHQQA-87DLOtJP-ooyU/edit?usp=sharing"",""นราธิวาส!I293"")"),0)</f>
        <v>0</v>
      </c>
      <c r="V79" s="78">
        <f ca="1">IFERROR(__xludf.DUMMYFUNCTION("IMPORTRANGE(""https://docs.google.com/spreadsheets/d/1iodCdmuK2GR3jzUwk8tpccY2JHQQA-87DLOtJP-ooyU/edit?usp=sharing"",""นราธิวาส!J293"")"),0)</f>
        <v>0</v>
      </c>
      <c r="W79" s="79">
        <f t="shared" ca="1" si="36"/>
        <v>0</v>
      </c>
      <c r="X79" s="78">
        <f ca="1">IFERROR(__xludf.DUMMYFUNCTION("IMPORTRANGE(""https://docs.google.com/spreadsheets/d/1iodCdmuK2GR3jzUwk8tpccY2JHQQA-87DLOtJP-ooyU/edit?usp=sharing"",""นราธิวาส!I295"")"),0)</f>
        <v>0</v>
      </c>
      <c r="Y79" s="78">
        <f ca="1">IFERROR(__xludf.DUMMYFUNCTION("IMPORTRANGE(""https://docs.google.com/spreadsheets/d/1iodCdmuK2GR3jzUwk8tpccY2JHQQA-87DLOtJP-ooyU/edit?usp=sharing"",""นราธิวาส!J295"")"),0)</f>
        <v>0</v>
      </c>
      <c r="Z79" s="79">
        <f t="shared" ca="1" si="38"/>
        <v>0</v>
      </c>
      <c r="AA79" s="315">
        <f ca="1">IFERROR(__xludf.DUMMYFUNCTION("IMPORTRANGE(""https://docs.google.com/spreadsheets/d/1iodCdmuK2GR3jzUwk8tpccY2JHQQA-87DLOtJP-ooyU/edit?usp=sharing"",""นราธิวาส!J296"")"),0)</f>
        <v>0</v>
      </c>
      <c r="AB79" s="316">
        <f t="shared" ca="1" si="39"/>
        <v>0</v>
      </c>
      <c r="AC79" s="317">
        <f ca="1">IFERROR(__xludf.DUMMYFUNCTION("IMPORTRANGE(""https://docs.google.com/spreadsheets/d/1iodCdmuK2GR3jzUwk8tpccY2JHQQA-87DLOtJP-ooyU/edit?usp=sharing"",""นราธิวาส!I295"")"),0)</f>
        <v>0</v>
      </c>
      <c r="AD79" s="288" t="str">
        <f ca="1">IFERROR(__xludf.DUMMYFUNCTION("IMPORTRANGE(""https://docs.google.com/spreadsheets/d/1iodCdmuK2GR3jzUwk8tpccY2JHQQA-87DLOtJP-ooyU/edit?usp=sharing"",""นราธิวาส!J298"")"),"")</f>
        <v/>
      </c>
      <c r="AE79" s="318">
        <f t="shared" ca="1" si="41"/>
        <v>0</v>
      </c>
      <c r="AF79" s="288" t="str">
        <f ca="1">IFERROR(__xludf.DUMMYFUNCTION("IMPORTRANGE(""https://docs.google.com/spreadsheets/d/1iodCdmuK2GR3jzUwk8tpccY2JHQQA-87DLOtJP-ooyU/edit?usp=sharing"",""นราธิวาส!J299"")"),"")</f>
        <v/>
      </c>
      <c r="AG79" s="318">
        <f t="shared" ca="1" si="42"/>
        <v>0</v>
      </c>
    </row>
    <row r="80" spans="1:33" ht="21" customHeight="1" x14ac:dyDescent="0.3">
      <c r="A80" s="70">
        <v>6</v>
      </c>
      <c r="B80" s="71" t="s">
        <v>108</v>
      </c>
      <c r="C80" s="149">
        <f t="shared" ca="1" si="25"/>
        <v>0</v>
      </c>
      <c r="D80" s="150">
        <f t="shared" ca="1" si="61"/>
        <v>0</v>
      </c>
      <c r="E80" s="151">
        <f ca="1">IFERROR(__xludf.DUMMYFUNCTION("IMPORTRANGE(""https://docs.google.com/spreadsheets/d/1-uDff_7J0KD5mKrp0Vvzr7lt3OU09vwQwhkpOPPYv2Y/edit?usp=sharing"",""งบพรบ!DP80"")"),0)</f>
        <v>0</v>
      </c>
      <c r="F80" s="151">
        <f ca="1">IFERROR(__xludf.DUMMYFUNCTION("IMPORTRANGE(""https://docs.google.com/spreadsheets/d/1-uDff_7J0KD5mKrp0Vvzr7lt3OU09vwQwhkpOPPYv2Y/edit?usp=sharing"",""งบพรบ!DQ80"")"),0)</f>
        <v>0</v>
      </c>
      <c r="G80" s="151">
        <f ca="1">IFERROR(__xludf.DUMMYFUNCTION("IMPORTRANGE(""https://docs.google.com/spreadsheets/d/1-uDff_7J0KD5mKrp0Vvzr7lt3OU09vwQwhkpOPPYv2Y/edit?usp=sharing"",""งบพรบ!DR80"")"),0)</f>
        <v>0</v>
      </c>
      <c r="H80" s="151">
        <f ca="1">IFERROR(__xludf.DUMMYFUNCTION("IMPORTRANGE(""https://docs.google.com/spreadsheets/d/1-uDff_7J0KD5mKrp0Vvzr7lt3OU09vwQwhkpOPPYv2Y/edit?usp=sharing"",""งบพรบ!DT80"")"),0)</f>
        <v>0</v>
      </c>
      <c r="I80" s="151">
        <f ca="1">IFERROR(__xludf.DUMMYFUNCTION("IMPORTRANGE(""https://docs.google.com/spreadsheets/d/1-uDff_7J0KD5mKrp0Vvzr7lt3OU09vwQwhkpOPPYv2Y/edit?usp=sharing"",""งบพรบ!DU80"")"),0)</f>
        <v>0</v>
      </c>
      <c r="J80" s="151">
        <f t="shared" ca="1" si="27"/>
        <v>0</v>
      </c>
      <c r="K80" s="154">
        <f t="shared" ca="1" si="28"/>
        <v>0</v>
      </c>
      <c r="L80" s="151">
        <f ca="1">IFERROR(__xludf.DUMMYFUNCTION("IMPORTRANGE(""https://docs.google.com/spreadsheets/d/1-uDff_7J0KD5mKrp0Vvzr7lt3OU09vwQwhkpOPPYv2Y/edit?usp=sharing"",""งบพรบ!DV80"")"),0)</f>
        <v>0</v>
      </c>
      <c r="M80" s="68">
        <f t="shared" ca="1" si="29"/>
        <v>0</v>
      </c>
      <c r="N80" s="68">
        <f t="shared" ca="1" si="30"/>
        <v>0</v>
      </c>
      <c r="O80" s="67">
        <f ca="1">IFERROR(__xludf.DUMMYFUNCTION("IMPORTRANGE(""https://docs.google.com/spreadsheets/d/1-uDff_7J0KD5mKrp0Vvzr7lt3OU09vwQwhkpOPPYv2Y/edit?usp=sharing"",""งบพรบ!DW80"")"),0)</f>
        <v>0</v>
      </c>
      <c r="P80" s="67">
        <f t="shared" ca="1" si="31"/>
        <v>0</v>
      </c>
      <c r="Q80" s="68">
        <f t="shared" ca="1" si="32"/>
        <v>0</v>
      </c>
      <c r="R80" s="78">
        <f ca="1">IFERROR(__xludf.DUMMYFUNCTION("IMPORTRANGE(""https://docs.google.com/spreadsheets/d/1SDNX3JhDdYRuIOsj0Wh2M-Qa_eaXl0NbWmhAOTbfQAs/edit?usp=sharing"",""ปัตตานี!I292"")"),0)</f>
        <v>0</v>
      </c>
      <c r="S80" s="78">
        <f ca="1">IFERROR(__xludf.DUMMYFUNCTION("IMPORTRANGE(""https://docs.google.com/spreadsheets/d/1SDNX3JhDdYRuIOsj0Wh2M-Qa_eaXl0NbWmhAOTbfQAs/edit?usp=sharing"",""ปัตตานี!J292"")"),0)</f>
        <v>0</v>
      </c>
      <c r="T80" s="79">
        <f t="shared" ca="1" si="34"/>
        <v>0</v>
      </c>
      <c r="U80" s="78">
        <f ca="1">IFERROR(__xludf.DUMMYFUNCTION("IMPORTRANGE(""https://docs.google.com/spreadsheets/d/1SDNX3JhDdYRuIOsj0Wh2M-Qa_eaXl0NbWmhAOTbfQAs/edit?usp=sharing"",""ปัตตานี!I293"")"),0)</f>
        <v>0</v>
      </c>
      <c r="V80" s="78">
        <f ca="1">IFERROR(__xludf.DUMMYFUNCTION("IMPORTRANGE(""https://docs.google.com/spreadsheets/d/1SDNX3JhDdYRuIOsj0Wh2M-Qa_eaXl0NbWmhAOTbfQAs/edit?usp=sharing"",""ปัตตานี!J293"")"),0)</f>
        <v>0</v>
      </c>
      <c r="W80" s="79">
        <f t="shared" ca="1" si="36"/>
        <v>0</v>
      </c>
      <c r="X80" s="78">
        <f ca="1">IFERROR(__xludf.DUMMYFUNCTION("IMPORTRANGE(""https://docs.google.com/spreadsheets/d/1SDNX3JhDdYRuIOsj0Wh2M-Qa_eaXl0NbWmhAOTbfQAs/edit?usp=sharing"",""ปัตตานี!I295"")"),0)</f>
        <v>0</v>
      </c>
      <c r="Y80" s="78">
        <f ca="1">IFERROR(__xludf.DUMMYFUNCTION("IMPORTRANGE(""https://docs.google.com/spreadsheets/d/1SDNX3JhDdYRuIOsj0Wh2M-Qa_eaXl0NbWmhAOTbfQAs/edit?usp=sharing"",""ปัตตานี!J295"")"),0)</f>
        <v>0</v>
      </c>
      <c r="Z80" s="79">
        <f t="shared" ca="1" si="38"/>
        <v>0</v>
      </c>
      <c r="AA80" s="315">
        <f ca="1">IFERROR(__xludf.DUMMYFUNCTION("IMPORTRANGE(""https://docs.google.com/spreadsheets/d/1SDNX3JhDdYRuIOsj0Wh2M-Qa_eaXl0NbWmhAOTbfQAs/edit?usp=sharing"",""ปัตตานี!J296"")"),0)</f>
        <v>0</v>
      </c>
      <c r="AB80" s="316">
        <f t="shared" ca="1" si="39"/>
        <v>0</v>
      </c>
      <c r="AC80" s="317">
        <f ca="1">IFERROR(__xludf.DUMMYFUNCTION("IMPORTRANGE(""https://docs.google.com/spreadsheets/d/1SDNX3JhDdYRuIOsj0Wh2M-Qa_eaXl0NbWmhAOTbfQAs/edit?usp=sharing"",""ปัตตานี!I295"")"),0)</f>
        <v>0</v>
      </c>
      <c r="AD80" s="288" t="str">
        <f ca="1">IFERROR(__xludf.DUMMYFUNCTION("IMPORTRANGE(""https://docs.google.com/spreadsheets/d/1SDNX3JhDdYRuIOsj0Wh2M-Qa_eaXl0NbWmhAOTbfQAs/edit?usp=sharing"",""ปัตตานี!J298"")"),"")</f>
        <v/>
      </c>
      <c r="AE80" s="318">
        <f t="shared" ca="1" si="41"/>
        <v>0</v>
      </c>
      <c r="AF80" s="288" t="str">
        <f ca="1">IFERROR(__xludf.DUMMYFUNCTION("IMPORTRANGE(""https://docs.google.com/spreadsheets/d/1SDNX3JhDdYRuIOsj0Wh2M-Qa_eaXl0NbWmhAOTbfQAs/edit?usp=sharing"",""ปัตตานี!J299"")"),"")</f>
        <v/>
      </c>
      <c r="AG80" s="318">
        <f t="shared" ca="1" si="42"/>
        <v>0</v>
      </c>
    </row>
    <row r="81" spans="1:33" ht="21" customHeight="1" x14ac:dyDescent="0.3">
      <c r="A81" s="70">
        <v>7</v>
      </c>
      <c r="B81" s="71" t="s">
        <v>109</v>
      </c>
      <c r="C81" s="149">
        <f t="shared" ca="1" si="25"/>
        <v>0</v>
      </c>
      <c r="D81" s="150">
        <f t="shared" ca="1" si="61"/>
        <v>0</v>
      </c>
      <c r="E81" s="151">
        <f ca="1">IFERROR(__xludf.DUMMYFUNCTION("IMPORTRANGE(""https://docs.google.com/spreadsheets/d/1-uDff_7J0KD5mKrp0Vvzr7lt3OU09vwQwhkpOPPYv2Y/edit?usp=sharing"",""งบพรบ!DP81"")"),0)</f>
        <v>0</v>
      </c>
      <c r="F81" s="151">
        <f ca="1">IFERROR(__xludf.DUMMYFUNCTION("IMPORTRANGE(""https://docs.google.com/spreadsheets/d/1-uDff_7J0KD5mKrp0Vvzr7lt3OU09vwQwhkpOPPYv2Y/edit?usp=sharing"",""งบพรบ!DQ81"")"),0)</f>
        <v>0</v>
      </c>
      <c r="G81" s="151">
        <f ca="1">IFERROR(__xludf.DUMMYFUNCTION("IMPORTRANGE(""https://docs.google.com/spreadsheets/d/1-uDff_7J0KD5mKrp0Vvzr7lt3OU09vwQwhkpOPPYv2Y/edit?usp=sharing"",""งบพรบ!DR81"")"),0)</f>
        <v>0</v>
      </c>
      <c r="H81" s="151">
        <f ca="1">IFERROR(__xludf.DUMMYFUNCTION("IMPORTRANGE(""https://docs.google.com/spreadsheets/d/1-uDff_7J0KD5mKrp0Vvzr7lt3OU09vwQwhkpOPPYv2Y/edit?usp=sharing"",""งบพรบ!DT81"")"),0)</f>
        <v>0</v>
      </c>
      <c r="I81" s="151">
        <f ca="1">IFERROR(__xludf.DUMMYFUNCTION("IMPORTRANGE(""https://docs.google.com/spreadsheets/d/1-uDff_7J0KD5mKrp0Vvzr7lt3OU09vwQwhkpOPPYv2Y/edit?usp=sharing"",""งบพรบ!DU81"")"),0)</f>
        <v>0</v>
      </c>
      <c r="J81" s="151">
        <f t="shared" ca="1" si="27"/>
        <v>0</v>
      </c>
      <c r="K81" s="154">
        <f t="shared" ca="1" si="28"/>
        <v>0</v>
      </c>
      <c r="L81" s="151">
        <f ca="1">IFERROR(__xludf.DUMMYFUNCTION("IMPORTRANGE(""https://docs.google.com/spreadsheets/d/1-uDff_7J0KD5mKrp0Vvzr7lt3OU09vwQwhkpOPPYv2Y/edit?usp=sharing"",""งบพรบ!DV81"")"),0)</f>
        <v>0</v>
      </c>
      <c r="M81" s="68">
        <f t="shared" ca="1" si="29"/>
        <v>0</v>
      </c>
      <c r="N81" s="68">
        <f t="shared" ca="1" si="30"/>
        <v>0</v>
      </c>
      <c r="O81" s="67">
        <f ca="1">IFERROR(__xludf.DUMMYFUNCTION("IMPORTRANGE(""https://docs.google.com/spreadsheets/d/1-uDff_7J0KD5mKrp0Vvzr7lt3OU09vwQwhkpOPPYv2Y/edit?usp=sharing"",""งบพรบ!DW81"")"),0)</f>
        <v>0</v>
      </c>
      <c r="P81" s="67">
        <f t="shared" ca="1" si="31"/>
        <v>0</v>
      </c>
      <c r="Q81" s="68">
        <f t="shared" ca="1" si="32"/>
        <v>0</v>
      </c>
      <c r="R81" s="78">
        <f ca="1">IFERROR(__xludf.DUMMYFUNCTION("IMPORTRANGE(""https://docs.google.com/spreadsheets/d/16JDLGguT8s5DsGCND1KcwHP_AWR_zDMTqLHPLJUKhaU/edit?usp=sharing"",""พังงา!I292"")"),0)</f>
        <v>0</v>
      </c>
      <c r="S81" s="78">
        <f ca="1">IFERROR(__xludf.DUMMYFUNCTION("IMPORTRANGE(""https://docs.google.com/spreadsheets/d/16JDLGguT8s5DsGCND1KcwHP_AWR_zDMTqLHPLJUKhaU/edit?usp=sharing"",""พังงา!J292"")"),0)</f>
        <v>0</v>
      </c>
      <c r="T81" s="79">
        <f t="shared" ca="1" si="34"/>
        <v>0</v>
      </c>
      <c r="U81" s="78">
        <f ca="1">IFERROR(__xludf.DUMMYFUNCTION("IMPORTRANGE(""https://docs.google.com/spreadsheets/d/16JDLGguT8s5DsGCND1KcwHP_AWR_zDMTqLHPLJUKhaU/edit?usp=sharing"",""พังงา!I293"")"),0)</f>
        <v>0</v>
      </c>
      <c r="V81" s="78">
        <f ca="1">IFERROR(__xludf.DUMMYFUNCTION("IMPORTRANGE(""https://docs.google.com/spreadsheets/d/16JDLGguT8s5DsGCND1KcwHP_AWR_zDMTqLHPLJUKhaU/edit?usp=sharing"",""พังงา!J293"")"),0)</f>
        <v>0</v>
      </c>
      <c r="W81" s="79">
        <f t="shared" ca="1" si="36"/>
        <v>0</v>
      </c>
      <c r="X81" s="78">
        <f ca="1">IFERROR(__xludf.DUMMYFUNCTION("IMPORTRANGE(""https://docs.google.com/spreadsheets/d/16JDLGguT8s5DsGCND1KcwHP_AWR_zDMTqLHPLJUKhaU/edit?usp=sharing"",""พังงา!I295"")"),0)</f>
        <v>0</v>
      </c>
      <c r="Y81" s="78">
        <f ca="1">IFERROR(__xludf.DUMMYFUNCTION("IMPORTRANGE(""https://docs.google.com/spreadsheets/d/16JDLGguT8s5DsGCND1KcwHP_AWR_zDMTqLHPLJUKhaU/edit?usp=sharing"",""พังงา!J295"")"),0)</f>
        <v>0</v>
      </c>
      <c r="Z81" s="79">
        <f t="shared" ca="1" si="38"/>
        <v>0</v>
      </c>
      <c r="AA81" s="315">
        <f ca="1">IFERROR(__xludf.DUMMYFUNCTION("IMPORTRANGE(""https://docs.google.com/spreadsheets/d/16JDLGguT8s5DsGCND1KcwHP_AWR_zDMTqLHPLJUKhaU/edit?usp=sharing"",""พังงา!J296"")"),0)</f>
        <v>0</v>
      </c>
      <c r="AB81" s="316">
        <f t="shared" ca="1" si="39"/>
        <v>0</v>
      </c>
      <c r="AC81" s="317">
        <f ca="1">IFERROR(__xludf.DUMMYFUNCTION("IMPORTRANGE(""https://docs.google.com/spreadsheets/d/16JDLGguT8s5DsGCND1KcwHP_AWR_zDMTqLHPLJUKhaU/edit?usp=sharing"",""พังงา!I295"")"),0)</f>
        <v>0</v>
      </c>
      <c r="AD81" s="288" t="str">
        <f ca="1">IFERROR(__xludf.DUMMYFUNCTION("IMPORTRANGE(""https://docs.google.com/spreadsheets/d/16JDLGguT8s5DsGCND1KcwHP_AWR_zDMTqLHPLJUKhaU/edit?usp=sharing"",""พังงา!J298"")"),"")</f>
        <v/>
      </c>
      <c r="AE81" s="318">
        <f t="shared" ca="1" si="41"/>
        <v>0</v>
      </c>
      <c r="AF81" s="288" t="str">
        <f ca="1">IFERROR(__xludf.DUMMYFUNCTION("IMPORTRANGE(""https://docs.google.com/spreadsheets/d/16JDLGguT8s5DsGCND1KcwHP_AWR_zDMTqLHPLJUKhaU/edit?usp=sharing"",""พังงา!J299"")"),"")</f>
        <v/>
      </c>
      <c r="AG81" s="318">
        <f t="shared" ca="1" si="42"/>
        <v>0</v>
      </c>
    </row>
    <row r="82" spans="1:33" ht="21" customHeight="1" x14ac:dyDescent="0.3">
      <c r="A82" s="70">
        <v>8</v>
      </c>
      <c r="B82" s="71" t="s">
        <v>110</v>
      </c>
      <c r="C82" s="149">
        <f t="shared" ca="1" si="25"/>
        <v>0</v>
      </c>
      <c r="D82" s="150">
        <f t="shared" ca="1" si="61"/>
        <v>0</v>
      </c>
      <c r="E82" s="151">
        <f ca="1">IFERROR(__xludf.DUMMYFUNCTION("IMPORTRANGE(""https://docs.google.com/spreadsheets/d/1-uDff_7J0KD5mKrp0Vvzr7lt3OU09vwQwhkpOPPYv2Y/edit?usp=sharing"",""งบพรบ!DP82"")"),0)</f>
        <v>0</v>
      </c>
      <c r="F82" s="151">
        <f ca="1">IFERROR(__xludf.DUMMYFUNCTION("IMPORTRANGE(""https://docs.google.com/spreadsheets/d/1-uDff_7J0KD5mKrp0Vvzr7lt3OU09vwQwhkpOPPYv2Y/edit?usp=sharing"",""งบพรบ!DQ82"")"),0)</f>
        <v>0</v>
      </c>
      <c r="G82" s="151">
        <f ca="1">IFERROR(__xludf.DUMMYFUNCTION("IMPORTRANGE(""https://docs.google.com/spreadsheets/d/1-uDff_7J0KD5mKrp0Vvzr7lt3OU09vwQwhkpOPPYv2Y/edit?usp=sharing"",""งบพรบ!DR82"")"),0)</f>
        <v>0</v>
      </c>
      <c r="H82" s="151">
        <f ca="1">IFERROR(__xludf.DUMMYFUNCTION("IMPORTRANGE(""https://docs.google.com/spreadsheets/d/1-uDff_7J0KD5mKrp0Vvzr7lt3OU09vwQwhkpOPPYv2Y/edit?usp=sharing"",""งบพรบ!DT82"")"),0)</f>
        <v>0</v>
      </c>
      <c r="I82" s="151">
        <f ca="1">IFERROR(__xludf.DUMMYFUNCTION("IMPORTRANGE(""https://docs.google.com/spreadsheets/d/1-uDff_7J0KD5mKrp0Vvzr7lt3OU09vwQwhkpOPPYv2Y/edit?usp=sharing"",""งบพรบ!DU82"")"),0)</f>
        <v>0</v>
      </c>
      <c r="J82" s="151">
        <f t="shared" ca="1" si="27"/>
        <v>0</v>
      </c>
      <c r="K82" s="154">
        <f t="shared" ca="1" si="28"/>
        <v>0</v>
      </c>
      <c r="L82" s="151">
        <f ca="1">IFERROR(__xludf.DUMMYFUNCTION("IMPORTRANGE(""https://docs.google.com/spreadsheets/d/1-uDff_7J0KD5mKrp0Vvzr7lt3OU09vwQwhkpOPPYv2Y/edit?usp=sharing"",""งบพรบ!DV82"")"),0)</f>
        <v>0</v>
      </c>
      <c r="M82" s="68">
        <f t="shared" ca="1" si="29"/>
        <v>0</v>
      </c>
      <c r="N82" s="68">
        <f t="shared" ca="1" si="30"/>
        <v>0</v>
      </c>
      <c r="O82" s="67">
        <f ca="1">IFERROR(__xludf.DUMMYFUNCTION("IMPORTRANGE(""https://docs.google.com/spreadsheets/d/1-uDff_7J0KD5mKrp0Vvzr7lt3OU09vwQwhkpOPPYv2Y/edit?usp=sharing"",""งบพรบ!DW82"")"),0)</f>
        <v>0</v>
      </c>
      <c r="P82" s="67">
        <f t="shared" ca="1" si="31"/>
        <v>0</v>
      </c>
      <c r="Q82" s="68">
        <f t="shared" ca="1" si="32"/>
        <v>0</v>
      </c>
      <c r="R82" s="78">
        <f ca="1">IFERROR(__xludf.DUMMYFUNCTION("IMPORTRANGE(""https://docs.google.com/spreadsheets/d/17ht0gPKzzT3PObBL1XJkeRmntBXI7wGjpLV7QorqlTk/edit?usp=sharing"",""พัทลุง!I292"")"),0)</f>
        <v>0</v>
      </c>
      <c r="S82" s="78">
        <f ca="1">IFERROR(__xludf.DUMMYFUNCTION("IMPORTRANGE(""https://docs.google.com/spreadsheets/d/17ht0gPKzzT3PObBL1XJkeRmntBXI7wGjpLV7QorqlTk/edit?usp=sharing"",""พัทลุง!J292"")"),0)</f>
        <v>0</v>
      </c>
      <c r="T82" s="79">
        <f t="shared" ca="1" si="34"/>
        <v>0</v>
      </c>
      <c r="U82" s="78">
        <f ca="1">IFERROR(__xludf.DUMMYFUNCTION("IMPORTRANGE(""https://docs.google.com/spreadsheets/d/17ht0gPKzzT3PObBL1XJkeRmntBXI7wGjpLV7QorqlTk/edit?usp=sharing"",""พัทลุง!I293"")"),0)</f>
        <v>0</v>
      </c>
      <c r="V82" s="78">
        <f ca="1">IFERROR(__xludf.DUMMYFUNCTION("IMPORTRANGE(""https://docs.google.com/spreadsheets/d/17ht0gPKzzT3PObBL1XJkeRmntBXI7wGjpLV7QorqlTk/edit?usp=sharing"",""พัทลุง!J293"")"),0)</f>
        <v>0</v>
      </c>
      <c r="W82" s="79">
        <f t="shared" ca="1" si="36"/>
        <v>0</v>
      </c>
      <c r="X82" s="78">
        <f ca="1">IFERROR(__xludf.DUMMYFUNCTION("IMPORTRANGE(""https://docs.google.com/spreadsheets/d/17ht0gPKzzT3PObBL1XJkeRmntBXI7wGjpLV7QorqlTk/edit?usp=sharing"",""พัทลุง!I295"")"),0)</f>
        <v>0</v>
      </c>
      <c r="Y82" s="78">
        <f ca="1">IFERROR(__xludf.DUMMYFUNCTION("IMPORTRANGE(""https://docs.google.com/spreadsheets/d/17ht0gPKzzT3PObBL1XJkeRmntBXI7wGjpLV7QorqlTk/edit?usp=sharing"",""พัทลุง!J295"")"),0)</f>
        <v>0</v>
      </c>
      <c r="Z82" s="79">
        <f t="shared" ca="1" si="38"/>
        <v>0</v>
      </c>
      <c r="AA82" s="315">
        <f ca="1">IFERROR(__xludf.DUMMYFUNCTION("IMPORTRANGE(""https://docs.google.com/spreadsheets/d/17ht0gPKzzT3PObBL1XJkeRmntBXI7wGjpLV7QorqlTk/edit?usp=sharing"",""พัทลุง!J296"")"),0)</f>
        <v>0</v>
      </c>
      <c r="AB82" s="316">
        <f t="shared" ca="1" si="39"/>
        <v>0</v>
      </c>
      <c r="AC82" s="317">
        <f ca="1">IFERROR(__xludf.DUMMYFUNCTION("IMPORTRANGE(""https://docs.google.com/spreadsheets/d/17ht0gPKzzT3PObBL1XJkeRmntBXI7wGjpLV7QorqlTk/edit?usp=sharing"",""พัทลุง!I295"")"),0)</f>
        <v>0</v>
      </c>
      <c r="AD82" s="288" t="str">
        <f ca="1">IFERROR(__xludf.DUMMYFUNCTION("IMPORTRANGE(""https://docs.google.com/spreadsheets/d/17ht0gPKzzT3PObBL1XJkeRmntBXI7wGjpLV7QorqlTk/edit?usp=sharing"",""พัทลุง!J298"")"),"")</f>
        <v/>
      </c>
      <c r="AE82" s="318">
        <f t="shared" ca="1" si="41"/>
        <v>0</v>
      </c>
      <c r="AF82" s="288" t="str">
        <f ca="1">IFERROR(__xludf.DUMMYFUNCTION("IMPORTRANGE(""https://docs.google.com/spreadsheets/d/17ht0gPKzzT3PObBL1XJkeRmntBXI7wGjpLV7QorqlTk/edit?usp=sharing"",""พัทลุง!J299"")"),"")</f>
        <v/>
      </c>
      <c r="AG82" s="318">
        <f t="shared" ca="1" si="42"/>
        <v>0</v>
      </c>
    </row>
    <row r="83" spans="1:33" ht="21" customHeight="1" x14ac:dyDescent="0.3">
      <c r="A83" s="70">
        <v>9</v>
      </c>
      <c r="B83" s="71" t="s">
        <v>111</v>
      </c>
      <c r="C83" s="149">
        <f t="shared" ca="1" si="25"/>
        <v>0</v>
      </c>
      <c r="D83" s="150">
        <f t="shared" ca="1" si="61"/>
        <v>0</v>
      </c>
      <c r="E83" s="151">
        <f ca="1">IFERROR(__xludf.DUMMYFUNCTION("IMPORTRANGE(""https://docs.google.com/spreadsheets/d/1-uDff_7J0KD5mKrp0Vvzr7lt3OU09vwQwhkpOPPYv2Y/edit?usp=sharing"",""งบพรบ!DP83"")"),0)</f>
        <v>0</v>
      </c>
      <c r="F83" s="151">
        <f ca="1">IFERROR(__xludf.DUMMYFUNCTION("IMPORTRANGE(""https://docs.google.com/spreadsheets/d/1-uDff_7J0KD5mKrp0Vvzr7lt3OU09vwQwhkpOPPYv2Y/edit?usp=sharing"",""งบพรบ!DQ83"")"),0)</f>
        <v>0</v>
      </c>
      <c r="G83" s="151">
        <f ca="1">IFERROR(__xludf.DUMMYFUNCTION("IMPORTRANGE(""https://docs.google.com/spreadsheets/d/1-uDff_7J0KD5mKrp0Vvzr7lt3OU09vwQwhkpOPPYv2Y/edit?usp=sharing"",""งบพรบ!DR83"")"),0)</f>
        <v>0</v>
      </c>
      <c r="H83" s="151">
        <f ca="1">IFERROR(__xludf.DUMMYFUNCTION("IMPORTRANGE(""https://docs.google.com/spreadsheets/d/1-uDff_7J0KD5mKrp0Vvzr7lt3OU09vwQwhkpOPPYv2Y/edit?usp=sharing"",""งบพรบ!DT83"")"),0)</f>
        <v>0</v>
      </c>
      <c r="I83" s="151">
        <f ca="1">IFERROR(__xludf.DUMMYFUNCTION("IMPORTRANGE(""https://docs.google.com/spreadsheets/d/1-uDff_7J0KD5mKrp0Vvzr7lt3OU09vwQwhkpOPPYv2Y/edit?usp=sharing"",""งบพรบ!DU83"")"),0)</f>
        <v>0</v>
      </c>
      <c r="J83" s="151">
        <f t="shared" ca="1" si="27"/>
        <v>0</v>
      </c>
      <c r="K83" s="154">
        <f t="shared" ca="1" si="28"/>
        <v>0</v>
      </c>
      <c r="L83" s="151">
        <f ca="1">IFERROR(__xludf.DUMMYFUNCTION("IMPORTRANGE(""https://docs.google.com/spreadsheets/d/1-uDff_7J0KD5mKrp0Vvzr7lt3OU09vwQwhkpOPPYv2Y/edit?usp=sharing"",""งบพรบ!DV83"")"),0)</f>
        <v>0</v>
      </c>
      <c r="M83" s="68">
        <f t="shared" ca="1" si="29"/>
        <v>0</v>
      </c>
      <c r="N83" s="68">
        <f t="shared" ca="1" si="30"/>
        <v>0</v>
      </c>
      <c r="O83" s="67">
        <f ca="1">IFERROR(__xludf.DUMMYFUNCTION("IMPORTRANGE(""https://docs.google.com/spreadsheets/d/1-uDff_7J0KD5mKrp0Vvzr7lt3OU09vwQwhkpOPPYv2Y/edit?usp=sharing"",""งบพรบ!DW83"")"),0)</f>
        <v>0</v>
      </c>
      <c r="P83" s="67">
        <f t="shared" ca="1" si="31"/>
        <v>0</v>
      </c>
      <c r="Q83" s="68">
        <f t="shared" ca="1" si="32"/>
        <v>0</v>
      </c>
      <c r="R83" s="78">
        <f ca="1">IFERROR(__xludf.DUMMYFUNCTION("IMPORTRANGE(""https://docs.google.com/spreadsheets/d/1rd4qoM1q_hsgaolqNGfrim9gbsoLxQsda4-vOz5x_BM/edit?usp=sharing"",""ภูเก็ต!I292"")"),0)</f>
        <v>0</v>
      </c>
      <c r="S83" s="78">
        <f ca="1">IFERROR(__xludf.DUMMYFUNCTION("IMPORTRANGE(""https://docs.google.com/spreadsheets/d/1rd4qoM1q_hsgaolqNGfrim9gbsoLxQsda4-vOz5x_BM/edit?usp=sharing"",""ภูเก็ต!J292"")"),0)</f>
        <v>0</v>
      </c>
      <c r="T83" s="79">
        <f t="shared" ca="1" si="34"/>
        <v>0</v>
      </c>
      <c r="U83" s="78">
        <f ca="1">IFERROR(__xludf.DUMMYFUNCTION("IMPORTRANGE(""https://docs.google.com/spreadsheets/d/1rd4qoM1q_hsgaolqNGfrim9gbsoLxQsda4-vOz5x_BM/edit?usp=sharing"",""ภูเก็ต!I293"")"),0)</f>
        <v>0</v>
      </c>
      <c r="V83" s="78">
        <f ca="1">IFERROR(__xludf.DUMMYFUNCTION("IMPORTRANGE(""https://docs.google.com/spreadsheets/d/1rd4qoM1q_hsgaolqNGfrim9gbsoLxQsda4-vOz5x_BM/edit?usp=sharing"",""ภูเก็ต!J293"")"),0)</f>
        <v>0</v>
      </c>
      <c r="W83" s="79">
        <f t="shared" ca="1" si="36"/>
        <v>0</v>
      </c>
      <c r="X83" s="78">
        <f ca="1">IFERROR(__xludf.DUMMYFUNCTION("IMPORTRANGE(""https://docs.google.com/spreadsheets/d/1rd4qoM1q_hsgaolqNGfrim9gbsoLxQsda4-vOz5x_BM/edit?usp=sharing"",""ภูเก็ต!I295"")"),0)</f>
        <v>0</v>
      </c>
      <c r="Y83" s="78">
        <f ca="1">IFERROR(__xludf.DUMMYFUNCTION("IMPORTRANGE(""https://docs.google.com/spreadsheets/d/1rd4qoM1q_hsgaolqNGfrim9gbsoLxQsda4-vOz5x_BM/edit?usp=sharing"",""ภูเก็ต!J295"")"),0)</f>
        <v>0</v>
      </c>
      <c r="Z83" s="79">
        <f t="shared" ca="1" si="38"/>
        <v>0</v>
      </c>
      <c r="AA83" s="315">
        <f ca="1">IFERROR(__xludf.DUMMYFUNCTION("IMPORTRANGE(""https://docs.google.com/spreadsheets/d/1rd4qoM1q_hsgaolqNGfrim9gbsoLxQsda4-vOz5x_BM/edit?usp=sharing"",""ภูเก็ต!J296"")"),0)</f>
        <v>0</v>
      </c>
      <c r="AB83" s="316">
        <f t="shared" ca="1" si="39"/>
        <v>0</v>
      </c>
      <c r="AC83" s="317">
        <f ca="1">IFERROR(__xludf.DUMMYFUNCTION("IMPORTRANGE(""https://docs.google.com/spreadsheets/d/1rd4qoM1q_hsgaolqNGfrim9gbsoLxQsda4-vOz5x_BM/edit?usp=sharing"",""ภูเก็ต!I295"")"),0)</f>
        <v>0</v>
      </c>
      <c r="AD83" s="288" t="str">
        <f ca="1">IFERROR(__xludf.DUMMYFUNCTION("IMPORTRANGE(""https://docs.google.com/spreadsheets/d/1rd4qoM1q_hsgaolqNGfrim9gbsoLxQsda4-vOz5x_BM/edit?usp=sharing"",""ภูเก็ต!J298"")"),"")</f>
        <v/>
      </c>
      <c r="AE83" s="318">
        <f t="shared" ca="1" si="41"/>
        <v>0</v>
      </c>
      <c r="AF83" s="288" t="str">
        <f ca="1">IFERROR(__xludf.DUMMYFUNCTION("IMPORTRANGE(""https://docs.google.com/spreadsheets/d/1rd4qoM1q_hsgaolqNGfrim9gbsoLxQsda4-vOz5x_BM/edit?usp=sharing"",""ภูเก็ต!J299"")"),"")</f>
        <v/>
      </c>
      <c r="AG83" s="318">
        <f t="shared" ca="1" si="42"/>
        <v>0</v>
      </c>
    </row>
    <row r="84" spans="1:33" ht="21" customHeight="1" x14ac:dyDescent="0.3">
      <c r="A84" s="70">
        <v>10</v>
      </c>
      <c r="B84" s="71" t="s">
        <v>112</v>
      </c>
      <c r="C84" s="149">
        <f t="shared" ca="1" si="25"/>
        <v>0</v>
      </c>
      <c r="D84" s="150">
        <f t="shared" ca="1" si="61"/>
        <v>0</v>
      </c>
      <c r="E84" s="151">
        <f ca="1">IFERROR(__xludf.DUMMYFUNCTION("IMPORTRANGE(""https://docs.google.com/spreadsheets/d/1-uDff_7J0KD5mKrp0Vvzr7lt3OU09vwQwhkpOPPYv2Y/edit?usp=sharing"",""งบพรบ!DP84"")"),0)</f>
        <v>0</v>
      </c>
      <c r="F84" s="151">
        <f ca="1">IFERROR(__xludf.DUMMYFUNCTION("IMPORTRANGE(""https://docs.google.com/spreadsheets/d/1-uDff_7J0KD5mKrp0Vvzr7lt3OU09vwQwhkpOPPYv2Y/edit?usp=sharing"",""งบพรบ!DQ84"")"),0)</f>
        <v>0</v>
      </c>
      <c r="G84" s="151">
        <f ca="1">IFERROR(__xludf.DUMMYFUNCTION("IMPORTRANGE(""https://docs.google.com/spreadsheets/d/1-uDff_7J0KD5mKrp0Vvzr7lt3OU09vwQwhkpOPPYv2Y/edit?usp=sharing"",""งบพรบ!DR84"")"),0)</f>
        <v>0</v>
      </c>
      <c r="H84" s="151">
        <f ca="1">IFERROR(__xludf.DUMMYFUNCTION("IMPORTRANGE(""https://docs.google.com/spreadsheets/d/1-uDff_7J0KD5mKrp0Vvzr7lt3OU09vwQwhkpOPPYv2Y/edit?usp=sharing"",""งบพรบ!DT84"")"),0)</f>
        <v>0</v>
      </c>
      <c r="I84" s="151">
        <f ca="1">IFERROR(__xludf.DUMMYFUNCTION("IMPORTRANGE(""https://docs.google.com/spreadsheets/d/1-uDff_7J0KD5mKrp0Vvzr7lt3OU09vwQwhkpOPPYv2Y/edit?usp=sharing"",""งบพรบ!DU84"")"),0)</f>
        <v>0</v>
      </c>
      <c r="J84" s="151">
        <f t="shared" ca="1" si="27"/>
        <v>0</v>
      </c>
      <c r="K84" s="154">
        <f t="shared" ca="1" si="28"/>
        <v>0</v>
      </c>
      <c r="L84" s="151">
        <f ca="1">IFERROR(__xludf.DUMMYFUNCTION("IMPORTRANGE(""https://docs.google.com/spreadsheets/d/1-uDff_7J0KD5mKrp0Vvzr7lt3OU09vwQwhkpOPPYv2Y/edit?usp=sharing"",""งบพรบ!DV84"")"),0)</f>
        <v>0</v>
      </c>
      <c r="M84" s="68">
        <f t="shared" ca="1" si="29"/>
        <v>0</v>
      </c>
      <c r="N84" s="68">
        <f t="shared" ca="1" si="30"/>
        <v>0</v>
      </c>
      <c r="O84" s="67">
        <f ca="1">IFERROR(__xludf.DUMMYFUNCTION("IMPORTRANGE(""https://docs.google.com/spreadsheets/d/1-uDff_7J0KD5mKrp0Vvzr7lt3OU09vwQwhkpOPPYv2Y/edit?usp=sharing"",""งบพรบ!DW84"")"),0)</f>
        <v>0</v>
      </c>
      <c r="P84" s="67">
        <f t="shared" ca="1" si="31"/>
        <v>0</v>
      </c>
      <c r="Q84" s="68">
        <f t="shared" ca="1" si="32"/>
        <v>0</v>
      </c>
      <c r="R84" s="78">
        <f ca="1">IFERROR(__xludf.DUMMYFUNCTION("IMPORTRANGE(""https://docs.google.com/spreadsheets/d/1woKwKjgoLssDvPcPeVyezB5izizAn4X1JDrys69n6xI/edit?usp=sharing"",""ยะลา!I292"")"),0)</f>
        <v>0</v>
      </c>
      <c r="S84" s="78">
        <f ca="1">IFERROR(__xludf.DUMMYFUNCTION("IMPORTRANGE(""https://docs.google.com/spreadsheets/d/1woKwKjgoLssDvPcPeVyezB5izizAn4X1JDrys69n6xI/edit?usp=sharing"",""ยะลา!J292"")"),0)</f>
        <v>0</v>
      </c>
      <c r="T84" s="79">
        <f t="shared" ca="1" si="34"/>
        <v>0</v>
      </c>
      <c r="U84" s="78">
        <f ca="1">IFERROR(__xludf.DUMMYFUNCTION("IMPORTRANGE(""https://docs.google.com/spreadsheets/d/1woKwKjgoLssDvPcPeVyezB5izizAn4X1JDrys69n6xI/edit?usp=sharing"",""ยะลา!I293"")"),0)</f>
        <v>0</v>
      </c>
      <c r="V84" s="78">
        <f ca="1">IFERROR(__xludf.DUMMYFUNCTION("IMPORTRANGE(""https://docs.google.com/spreadsheets/d/1woKwKjgoLssDvPcPeVyezB5izizAn4X1JDrys69n6xI/edit?usp=sharing"",""ยะลา!J293"")"),0)</f>
        <v>0</v>
      </c>
      <c r="W84" s="79">
        <f t="shared" ca="1" si="36"/>
        <v>0</v>
      </c>
      <c r="X84" s="78">
        <f ca="1">IFERROR(__xludf.DUMMYFUNCTION("IMPORTRANGE(""https://docs.google.com/spreadsheets/d/1woKwKjgoLssDvPcPeVyezB5izizAn4X1JDrys69n6xI/edit?usp=sharing"",""ยะลา!I295"")"),0)</f>
        <v>0</v>
      </c>
      <c r="Y84" s="78">
        <f ca="1">IFERROR(__xludf.DUMMYFUNCTION("IMPORTRANGE(""https://docs.google.com/spreadsheets/d/1woKwKjgoLssDvPcPeVyezB5izizAn4X1JDrys69n6xI/edit?usp=sharing"",""ยะลา!J295"")"),0)</f>
        <v>0</v>
      </c>
      <c r="Z84" s="79">
        <f t="shared" ca="1" si="38"/>
        <v>0</v>
      </c>
      <c r="AA84" s="315">
        <f ca="1">IFERROR(__xludf.DUMMYFUNCTION("IMPORTRANGE(""https://docs.google.com/spreadsheets/d/1woKwKjgoLssDvPcPeVyezB5izizAn4X1JDrys69n6xI/edit?usp=sharing"",""ยะลา!J296"")"),0)</f>
        <v>0</v>
      </c>
      <c r="AB84" s="316">
        <f t="shared" ca="1" si="39"/>
        <v>0</v>
      </c>
      <c r="AC84" s="317">
        <f ca="1">IFERROR(__xludf.DUMMYFUNCTION("IMPORTRANGE(""https://docs.google.com/spreadsheets/d/1woKwKjgoLssDvPcPeVyezB5izizAn4X1JDrys69n6xI/edit?usp=sharing"",""ยะลา!I295"")"),0)</f>
        <v>0</v>
      </c>
      <c r="AD84" s="288" t="str">
        <f ca="1">IFERROR(__xludf.DUMMYFUNCTION("IMPORTRANGE(""https://docs.google.com/spreadsheets/d/1woKwKjgoLssDvPcPeVyezB5izizAn4X1JDrys69n6xI/edit?usp=sharing"",""ยะลา!J298"")"),"")</f>
        <v/>
      </c>
      <c r="AE84" s="318">
        <f t="shared" ca="1" si="41"/>
        <v>0</v>
      </c>
      <c r="AF84" s="288" t="str">
        <f ca="1">IFERROR(__xludf.DUMMYFUNCTION("IMPORTRANGE(""https://docs.google.com/spreadsheets/d/1woKwKjgoLssDvPcPeVyezB5izizAn4X1JDrys69n6xI/edit?usp=sharing"",""ยะลา!J299"")"),"")</f>
        <v/>
      </c>
      <c r="AG84" s="318">
        <f t="shared" ca="1" si="42"/>
        <v>0</v>
      </c>
    </row>
    <row r="85" spans="1:33" ht="21" customHeight="1" x14ac:dyDescent="0.3">
      <c r="A85" s="70">
        <v>11</v>
      </c>
      <c r="B85" s="71" t="s">
        <v>113</v>
      </c>
      <c r="C85" s="149">
        <f t="shared" ca="1" si="25"/>
        <v>0</v>
      </c>
      <c r="D85" s="150">
        <f t="shared" ca="1" si="61"/>
        <v>0</v>
      </c>
      <c r="E85" s="151">
        <f ca="1">IFERROR(__xludf.DUMMYFUNCTION("IMPORTRANGE(""https://docs.google.com/spreadsheets/d/1-uDff_7J0KD5mKrp0Vvzr7lt3OU09vwQwhkpOPPYv2Y/edit?usp=sharing"",""งบพรบ!DP85"")"),0)</f>
        <v>0</v>
      </c>
      <c r="F85" s="151">
        <f ca="1">IFERROR(__xludf.DUMMYFUNCTION("IMPORTRANGE(""https://docs.google.com/spreadsheets/d/1-uDff_7J0KD5mKrp0Vvzr7lt3OU09vwQwhkpOPPYv2Y/edit?usp=sharing"",""งบพรบ!DQ85"")"),0)</f>
        <v>0</v>
      </c>
      <c r="G85" s="151">
        <f ca="1">IFERROR(__xludf.DUMMYFUNCTION("IMPORTRANGE(""https://docs.google.com/spreadsheets/d/1-uDff_7J0KD5mKrp0Vvzr7lt3OU09vwQwhkpOPPYv2Y/edit?usp=sharing"",""งบพรบ!DR85"")"),0)</f>
        <v>0</v>
      </c>
      <c r="H85" s="151">
        <f ca="1">IFERROR(__xludf.DUMMYFUNCTION("IMPORTRANGE(""https://docs.google.com/spreadsheets/d/1-uDff_7J0KD5mKrp0Vvzr7lt3OU09vwQwhkpOPPYv2Y/edit?usp=sharing"",""งบพรบ!DT85"")"),0)</f>
        <v>0</v>
      </c>
      <c r="I85" s="151">
        <f ca="1">IFERROR(__xludf.DUMMYFUNCTION("IMPORTRANGE(""https://docs.google.com/spreadsheets/d/1-uDff_7J0KD5mKrp0Vvzr7lt3OU09vwQwhkpOPPYv2Y/edit?usp=sharing"",""งบพรบ!DU85"")"),0)</f>
        <v>0</v>
      </c>
      <c r="J85" s="151">
        <f t="shared" ca="1" si="27"/>
        <v>0</v>
      </c>
      <c r="K85" s="154">
        <f t="shared" ca="1" si="28"/>
        <v>0</v>
      </c>
      <c r="L85" s="151">
        <f ca="1">IFERROR(__xludf.DUMMYFUNCTION("IMPORTRANGE(""https://docs.google.com/spreadsheets/d/1-uDff_7J0KD5mKrp0Vvzr7lt3OU09vwQwhkpOPPYv2Y/edit?usp=sharing"",""งบพรบ!DV85"")"),0)</f>
        <v>0</v>
      </c>
      <c r="M85" s="68">
        <f t="shared" ca="1" si="29"/>
        <v>0</v>
      </c>
      <c r="N85" s="68">
        <f t="shared" ca="1" si="30"/>
        <v>0</v>
      </c>
      <c r="O85" s="67">
        <f ca="1">IFERROR(__xludf.DUMMYFUNCTION("IMPORTRANGE(""https://docs.google.com/spreadsheets/d/1-uDff_7J0KD5mKrp0Vvzr7lt3OU09vwQwhkpOPPYv2Y/edit?usp=sharing"",""งบพรบ!DW85"")"),0)</f>
        <v>0</v>
      </c>
      <c r="P85" s="67">
        <f t="shared" ca="1" si="31"/>
        <v>0</v>
      </c>
      <c r="Q85" s="68">
        <f t="shared" ca="1" si="32"/>
        <v>0</v>
      </c>
      <c r="R85" s="78">
        <f ca="1">IFERROR(__xludf.DUMMYFUNCTION("IMPORTRANGE(""https://docs.google.com/spreadsheets/d/1qfrKjzMhm2HJfxQ-qVlJlJQ25Hne1d0khsySbZyGtPA/edit?usp=sharing"",""ระนอง!I292"")"),0)</f>
        <v>0</v>
      </c>
      <c r="S85" s="78">
        <f ca="1">IFERROR(__xludf.DUMMYFUNCTION("IMPORTRANGE(""https://docs.google.com/spreadsheets/d/1qfrKjzMhm2HJfxQ-qVlJlJQ25Hne1d0khsySbZyGtPA/edit?usp=sharing"",""ระนอง!J292"")"),0)</f>
        <v>0</v>
      </c>
      <c r="T85" s="79">
        <f t="shared" ca="1" si="34"/>
        <v>0</v>
      </c>
      <c r="U85" s="78">
        <f ca="1">IFERROR(__xludf.DUMMYFUNCTION("IMPORTRANGE(""https://docs.google.com/spreadsheets/d/1qfrKjzMhm2HJfxQ-qVlJlJQ25Hne1d0khsySbZyGtPA/edit?usp=sharing"",""ระนอง!I293"")"),0)</f>
        <v>0</v>
      </c>
      <c r="V85" s="78">
        <f ca="1">IFERROR(__xludf.DUMMYFUNCTION("IMPORTRANGE(""https://docs.google.com/spreadsheets/d/1qfrKjzMhm2HJfxQ-qVlJlJQ25Hne1d0khsySbZyGtPA/edit?usp=sharing"",""ระนอง!J293"")"),0)</f>
        <v>0</v>
      </c>
      <c r="W85" s="79">
        <f t="shared" ca="1" si="36"/>
        <v>0</v>
      </c>
      <c r="X85" s="78">
        <f ca="1">IFERROR(__xludf.DUMMYFUNCTION("IMPORTRANGE(""https://docs.google.com/spreadsheets/d/1qfrKjzMhm2HJfxQ-qVlJlJQ25Hne1d0khsySbZyGtPA/edit?usp=sharing"",""ระนอง!I295"")"),0)</f>
        <v>0</v>
      </c>
      <c r="Y85" s="78">
        <f ca="1">IFERROR(__xludf.DUMMYFUNCTION("IMPORTRANGE(""https://docs.google.com/spreadsheets/d/1qfrKjzMhm2HJfxQ-qVlJlJQ25Hne1d0khsySbZyGtPA/edit?usp=sharing"",""ระนอง!J295"")"),0)</f>
        <v>0</v>
      </c>
      <c r="Z85" s="79">
        <f t="shared" ca="1" si="38"/>
        <v>0</v>
      </c>
      <c r="AA85" s="315">
        <f ca="1">IFERROR(__xludf.DUMMYFUNCTION("IMPORTRANGE(""https://docs.google.com/spreadsheets/d/1qfrKjzMhm2HJfxQ-qVlJlJQ25Hne1d0khsySbZyGtPA/edit?usp=sharing"",""ระนอง!J296"")"),0)</f>
        <v>0</v>
      </c>
      <c r="AB85" s="316">
        <f t="shared" ca="1" si="39"/>
        <v>0</v>
      </c>
      <c r="AC85" s="317">
        <f ca="1">IFERROR(__xludf.DUMMYFUNCTION("IMPORTRANGE(""https://docs.google.com/spreadsheets/d/1qfrKjzMhm2HJfxQ-qVlJlJQ25Hne1d0khsySbZyGtPA/edit?usp=sharing"",""ระนอง!I295"")"),0)</f>
        <v>0</v>
      </c>
      <c r="AD85" s="288" t="str">
        <f ca="1">IFERROR(__xludf.DUMMYFUNCTION("IMPORTRANGE(""https://docs.google.com/spreadsheets/d/1qfrKjzMhm2HJfxQ-qVlJlJQ25Hne1d0khsySbZyGtPA/edit?usp=sharing"",""ระนอง!J298"")"),"")</f>
        <v/>
      </c>
      <c r="AE85" s="318">
        <f t="shared" ca="1" si="41"/>
        <v>0</v>
      </c>
      <c r="AF85" s="288" t="str">
        <f ca="1">IFERROR(__xludf.DUMMYFUNCTION("IMPORTRANGE(""https://docs.google.com/spreadsheets/d/1qfrKjzMhm2HJfxQ-qVlJlJQ25Hne1d0khsySbZyGtPA/edit?usp=sharing"",""ระนอง!J299"")"),"")</f>
        <v/>
      </c>
      <c r="AG85" s="318">
        <f t="shared" ca="1" si="42"/>
        <v>0</v>
      </c>
    </row>
    <row r="86" spans="1:33" ht="24" customHeight="1" x14ac:dyDescent="0.3">
      <c r="A86" s="70">
        <v>12</v>
      </c>
      <c r="B86" s="71" t="s">
        <v>114</v>
      </c>
      <c r="C86" s="149">
        <f t="shared" ca="1" si="25"/>
        <v>0</v>
      </c>
      <c r="D86" s="150">
        <f t="shared" ca="1" si="61"/>
        <v>0</v>
      </c>
      <c r="E86" s="151">
        <f ca="1">IFERROR(__xludf.DUMMYFUNCTION("IMPORTRANGE(""https://docs.google.com/spreadsheets/d/1-uDff_7J0KD5mKrp0Vvzr7lt3OU09vwQwhkpOPPYv2Y/edit?usp=sharing"",""งบพรบ!DP86"")"),0)</f>
        <v>0</v>
      </c>
      <c r="F86" s="151">
        <f ca="1">IFERROR(__xludf.DUMMYFUNCTION("IMPORTRANGE(""https://docs.google.com/spreadsheets/d/1-uDff_7J0KD5mKrp0Vvzr7lt3OU09vwQwhkpOPPYv2Y/edit?usp=sharing"",""งบพรบ!DQ86"")"),0)</f>
        <v>0</v>
      </c>
      <c r="G86" s="151">
        <f ca="1">IFERROR(__xludf.DUMMYFUNCTION("IMPORTRANGE(""https://docs.google.com/spreadsheets/d/1-uDff_7J0KD5mKrp0Vvzr7lt3OU09vwQwhkpOPPYv2Y/edit?usp=sharing"",""งบพรบ!DR86"")"),0)</f>
        <v>0</v>
      </c>
      <c r="H86" s="151">
        <f ca="1">IFERROR(__xludf.DUMMYFUNCTION("IMPORTRANGE(""https://docs.google.com/spreadsheets/d/1-uDff_7J0KD5mKrp0Vvzr7lt3OU09vwQwhkpOPPYv2Y/edit?usp=sharing"",""งบพรบ!DT86"")"),0)</f>
        <v>0</v>
      </c>
      <c r="I86" s="151">
        <f ca="1">IFERROR(__xludf.DUMMYFUNCTION("IMPORTRANGE(""https://docs.google.com/spreadsheets/d/1-uDff_7J0KD5mKrp0Vvzr7lt3OU09vwQwhkpOPPYv2Y/edit?usp=sharing"",""งบพรบ!DU86"")"),0)</f>
        <v>0</v>
      </c>
      <c r="J86" s="151">
        <f t="shared" ca="1" si="27"/>
        <v>0</v>
      </c>
      <c r="K86" s="154">
        <f t="shared" ca="1" si="28"/>
        <v>0</v>
      </c>
      <c r="L86" s="151">
        <f ca="1">IFERROR(__xludf.DUMMYFUNCTION("IMPORTRANGE(""https://docs.google.com/spreadsheets/d/1-uDff_7J0KD5mKrp0Vvzr7lt3OU09vwQwhkpOPPYv2Y/edit?usp=sharing"",""งบพรบ!DV86"")"),0)</f>
        <v>0</v>
      </c>
      <c r="M86" s="68">
        <f t="shared" ca="1" si="29"/>
        <v>0</v>
      </c>
      <c r="N86" s="68">
        <f t="shared" ca="1" si="30"/>
        <v>0</v>
      </c>
      <c r="O86" s="67">
        <f ca="1">IFERROR(__xludf.DUMMYFUNCTION("IMPORTRANGE(""https://docs.google.com/spreadsheets/d/1-uDff_7J0KD5mKrp0Vvzr7lt3OU09vwQwhkpOPPYv2Y/edit?usp=sharing"",""งบพรบ!DW86"")"),0)</f>
        <v>0</v>
      </c>
      <c r="P86" s="67">
        <f t="shared" ca="1" si="31"/>
        <v>0</v>
      </c>
      <c r="Q86" s="68">
        <f t="shared" ca="1" si="32"/>
        <v>0</v>
      </c>
      <c r="R86" s="78">
        <f ca="1">IFERROR(__xludf.DUMMYFUNCTION("IMPORTRANGE(""https://docs.google.com/spreadsheets/d/1IbSCnFOKpZsnFogBHJnL_isstZVaOMnFiIN0fGTPZZw/edit?usp=sharing"",""สงขลา!I292"")"),0)</f>
        <v>0</v>
      </c>
      <c r="S86" s="78">
        <f ca="1">IFERROR(__xludf.DUMMYFUNCTION("IMPORTRANGE(""https://docs.google.com/spreadsheets/d/1IbSCnFOKpZsnFogBHJnL_isstZVaOMnFiIN0fGTPZZw/edit?usp=sharing"",""สงขลา!J292"")"),0)</f>
        <v>0</v>
      </c>
      <c r="T86" s="79">
        <f t="shared" ca="1" si="34"/>
        <v>0</v>
      </c>
      <c r="U86" s="78">
        <f ca="1">IFERROR(__xludf.DUMMYFUNCTION("IMPORTRANGE(""https://docs.google.com/spreadsheets/d/1IbSCnFOKpZsnFogBHJnL_isstZVaOMnFiIN0fGTPZZw/edit?usp=sharing"",""สงขลา!I293"")"),0)</f>
        <v>0</v>
      </c>
      <c r="V86" s="78">
        <f ca="1">IFERROR(__xludf.DUMMYFUNCTION("IMPORTRANGE(""https://docs.google.com/spreadsheets/d/1IbSCnFOKpZsnFogBHJnL_isstZVaOMnFiIN0fGTPZZw/edit?usp=sharing"",""สงขลา!J293"")"),0)</f>
        <v>0</v>
      </c>
      <c r="W86" s="79">
        <f t="shared" ca="1" si="36"/>
        <v>0</v>
      </c>
      <c r="X86" s="78">
        <f ca="1">IFERROR(__xludf.DUMMYFUNCTION("IMPORTRANGE(""https://docs.google.com/spreadsheets/d/1IbSCnFOKpZsnFogBHJnL_isstZVaOMnFiIN0fGTPZZw/edit?usp=sharing"",""สงขลา!I295"")"),0)</f>
        <v>0</v>
      </c>
      <c r="Y86" s="78">
        <f ca="1">IFERROR(__xludf.DUMMYFUNCTION("IMPORTRANGE(""https://docs.google.com/spreadsheets/d/1IbSCnFOKpZsnFogBHJnL_isstZVaOMnFiIN0fGTPZZw/edit?usp=sharing"",""สงขลา!J295"")"),0)</f>
        <v>0</v>
      </c>
      <c r="Z86" s="79">
        <f t="shared" ca="1" si="38"/>
        <v>0</v>
      </c>
      <c r="AA86" s="315">
        <f ca="1">IFERROR(__xludf.DUMMYFUNCTION("IMPORTRANGE(""https://docs.google.com/spreadsheets/d/1IbSCnFOKpZsnFogBHJnL_isstZVaOMnFiIN0fGTPZZw/edit?usp=sharing"",""สงขลา!J296"")"),0)</f>
        <v>0</v>
      </c>
      <c r="AB86" s="316">
        <f t="shared" ca="1" si="39"/>
        <v>0</v>
      </c>
      <c r="AC86" s="317">
        <f ca="1">IFERROR(__xludf.DUMMYFUNCTION("IMPORTRANGE(""https://docs.google.com/spreadsheets/d/1IbSCnFOKpZsnFogBHJnL_isstZVaOMnFiIN0fGTPZZw/edit?usp=sharing"",""สงขลา!I295"")"),0)</f>
        <v>0</v>
      </c>
      <c r="AD86" s="288" t="str">
        <f ca="1">IFERROR(__xludf.DUMMYFUNCTION("IMPORTRANGE(""https://docs.google.com/spreadsheets/d/1IbSCnFOKpZsnFogBHJnL_isstZVaOMnFiIN0fGTPZZw/edit?usp=sharing"",""สงขลา!J298"")"),"")</f>
        <v/>
      </c>
      <c r="AE86" s="318">
        <f t="shared" ca="1" si="41"/>
        <v>0</v>
      </c>
      <c r="AF86" s="288" t="str">
        <f ca="1">IFERROR(__xludf.DUMMYFUNCTION("IMPORTRANGE(""https://docs.google.com/spreadsheets/d/1IbSCnFOKpZsnFogBHJnL_isstZVaOMnFiIN0fGTPZZw/edit?usp=sharing"",""สงขลา!J299"")"),"")</f>
        <v/>
      </c>
      <c r="AG86" s="318">
        <f t="shared" ca="1" si="42"/>
        <v>0</v>
      </c>
    </row>
    <row r="87" spans="1:33" ht="24" customHeight="1" x14ac:dyDescent="0.3">
      <c r="A87" s="70">
        <v>13</v>
      </c>
      <c r="B87" s="71" t="s">
        <v>115</v>
      </c>
      <c r="C87" s="149">
        <f t="shared" ca="1" si="25"/>
        <v>0</v>
      </c>
      <c r="D87" s="150">
        <f t="shared" ca="1" si="61"/>
        <v>0</v>
      </c>
      <c r="E87" s="151">
        <f ca="1">IFERROR(__xludf.DUMMYFUNCTION("IMPORTRANGE(""https://docs.google.com/spreadsheets/d/1-uDff_7J0KD5mKrp0Vvzr7lt3OU09vwQwhkpOPPYv2Y/edit?usp=sharing"",""งบพรบ!DP87"")"),0)</f>
        <v>0</v>
      </c>
      <c r="F87" s="151">
        <f ca="1">IFERROR(__xludf.DUMMYFUNCTION("IMPORTRANGE(""https://docs.google.com/spreadsheets/d/1-uDff_7J0KD5mKrp0Vvzr7lt3OU09vwQwhkpOPPYv2Y/edit?usp=sharing"",""งบพรบ!DQ87"")"),0)</f>
        <v>0</v>
      </c>
      <c r="G87" s="151">
        <f ca="1">IFERROR(__xludf.DUMMYFUNCTION("IMPORTRANGE(""https://docs.google.com/spreadsheets/d/1-uDff_7J0KD5mKrp0Vvzr7lt3OU09vwQwhkpOPPYv2Y/edit?usp=sharing"",""งบพรบ!DR87"")"),0)</f>
        <v>0</v>
      </c>
      <c r="H87" s="151">
        <f ca="1">IFERROR(__xludf.DUMMYFUNCTION("IMPORTRANGE(""https://docs.google.com/spreadsheets/d/1-uDff_7J0KD5mKrp0Vvzr7lt3OU09vwQwhkpOPPYv2Y/edit?usp=sharing"",""งบพรบ!DT87"")"),0)</f>
        <v>0</v>
      </c>
      <c r="I87" s="151">
        <f ca="1">IFERROR(__xludf.DUMMYFUNCTION("IMPORTRANGE(""https://docs.google.com/spreadsheets/d/1-uDff_7J0KD5mKrp0Vvzr7lt3OU09vwQwhkpOPPYv2Y/edit?usp=sharing"",""งบพรบ!DU87"")"),0)</f>
        <v>0</v>
      </c>
      <c r="J87" s="151">
        <f t="shared" ca="1" si="27"/>
        <v>0</v>
      </c>
      <c r="K87" s="154">
        <f t="shared" ca="1" si="28"/>
        <v>0</v>
      </c>
      <c r="L87" s="151">
        <f ca="1">IFERROR(__xludf.DUMMYFUNCTION("IMPORTRANGE(""https://docs.google.com/spreadsheets/d/1-uDff_7J0KD5mKrp0Vvzr7lt3OU09vwQwhkpOPPYv2Y/edit?usp=sharing"",""งบพรบ!DV87"")"),0)</f>
        <v>0</v>
      </c>
      <c r="M87" s="68">
        <f t="shared" ca="1" si="29"/>
        <v>0</v>
      </c>
      <c r="N87" s="68">
        <f t="shared" ca="1" si="30"/>
        <v>0</v>
      </c>
      <c r="O87" s="67">
        <f ca="1">IFERROR(__xludf.DUMMYFUNCTION("IMPORTRANGE(""https://docs.google.com/spreadsheets/d/1-uDff_7J0KD5mKrp0Vvzr7lt3OU09vwQwhkpOPPYv2Y/edit?usp=sharing"",""งบพรบ!DW87"")"),0)</f>
        <v>0</v>
      </c>
      <c r="P87" s="67">
        <f t="shared" ca="1" si="31"/>
        <v>0</v>
      </c>
      <c r="Q87" s="68">
        <f t="shared" ca="1" si="32"/>
        <v>0</v>
      </c>
      <c r="R87" s="78">
        <f ca="1">IFERROR(__xludf.DUMMYFUNCTION("IMPORTRANGE(""https://docs.google.com/spreadsheets/d/1q9nWasZJ-K8bFGvbE9n0qSRuKGA4Toe3Y89cKCiVtCU/edit?usp=sharing"",""สตูล!I292"")"),0)</f>
        <v>0</v>
      </c>
      <c r="S87" s="78">
        <f ca="1">IFERROR(__xludf.DUMMYFUNCTION("IMPORTRANGE(""https://docs.google.com/spreadsheets/d/1q9nWasZJ-K8bFGvbE9n0qSRuKGA4Toe3Y89cKCiVtCU/edit?usp=sharing"",""สตูล!J292"")"),0)</f>
        <v>0</v>
      </c>
      <c r="T87" s="79">
        <f t="shared" ca="1" si="34"/>
        <v>0</v>
      </c>
      <c r="U87" s="78">
        <f ca="1">IFERROR(__xludf.DUMMYFUNCTION("IMPORTRANGE(""https://docs.google.com/spreadsheets/d/1q9nWasZJ-K8bFGvbE9n0qSRuKGA4Toe3Y89cKCiVtCU/edit?usp=sharing"",""สตูล!I293"")"),0)</f>
        <v>0</v>
      </c>
      <c r="V87" s="78">
        <f ca="1">IFERROR(__xludf.DUMMYFUNCTION("IMPORTRANGE(""https://docs.google.com/spreadsheets/d/1q9nWasZJ-K8bFGvbE9n0qSRuKGA4Toe3Y89cKCiVtCU/edit?usp=sharing"",""สตูล!J293"")"),0)</f>
        <v>0</v>
      </c>
      <c r="W87" s="79">
        <f t="shared" ca="1" si="36"/>
        <v>0</v>
      </c>
      <c r="X87" s="78">
        <f ca="1">IFERROR(__xludf.DUMMYFUNCTION("IMPORTRANGE(""https://docs.google.com/spreadsheets/d/1q9nWasZJ-K8bFGvbE9n0qSRuKGA4Toe3Y89cKCiVtCU/edit?usp=sharing"",""สตูล!I295"")"),0)</f>
        <v>0</v>
      </c>
      <c r="Y87" s="78">
        <f ca="1">IFERROR(__xludf.DUMMYFUNCTION("IMPORTRANGE(""https://docs.google.com/spreadsheets/d/1q9nWasZJ-K8bFGvbE9n0qSRuKGA4Toe3Y89cKCiVtCU/edit?usp=sharing"",""สตูล!J295"")"),0)</f>
        <v>0</v>
      </c>
      <c r="Z87" s="79">
        <f t="shared" ca="1" si="38"/>
        <v>0</v>
      </c>
      <c r="AA87" s="315">
        <f ca="1">IFERROR(__xludf.DUMMYFUNCTION("IMPORTRANGE(""https://docs.google.com/spreadsheets/d/1q9nWasZJ-K8bFGvbE9n0qSRuKGA4Toe3Y89cKCiVtCU/edit?usp=sharing"",""สตูล!J296"")"),0)</f>
        <v>0</v>
      </c>
      <c r="AB87" s="316">
        <f t="shared" ca="1" si="39"/>
        <v>0</v>
      </c>
      <c r="AC87" s="317">
        <f ca="1">IFERROR(__xludf.DUMMYFUNCTION("IMPORTRANGE(""https://docs.google.com/spreadsheets/d/1q9nWasZJ-K8bFGvbE9n0qSRuKGA4Toe3Y89cKCiVtCU/edit?usp=sharing"",""สตูล!I295"")"),0)</f>
        <v>0</v>
      </c>
      <c r="AD87" s="288" t="str">
        <f ca="1">IFERROR(__xludf.DUMMYFUNCTION("IMPORTRANGE(""https://docs.google.com/spreadsheets/d/1q9nWasZJ-K8bFGvbE9n0qSRuKGA4Toe3Y89cKCiVtCU/edit?usp=sharing"",""สตูล!J298"")"),"")</f>
        <v/>
      </c>
      <c r="AE87" s="318">
        <f t="shared" ca="1" si="41"/>
        <v>0</v>
      </c>
      <c r="AF87" s="288" t="str">
        <f ca="1">IFERROR(__xludf.DUMMYFUNCTION("IMPORTRANGE(""https://docs.google.com/spreadsheets/d/1q9nWasZJ-K8bFGvbE9n0qSRuKGA4Toe3Y89cKCiVtCU/edit?usp=sharing"",""สตูล!J299"")"),"")</f>
        <v/>
      </c>
      <c r="AG87" s="318">
        <f t="shared" ca="1" si="42"/>
        <v>0</v>
      </c>
    </row>
    <row r="88" spans="1:33" ht="24" customHeight="1" x14ac:dyDescent="0.3">
      <c r="A88" s="80">
        <v>14</v>
      </c>
      <c r="B88" s="81" t="s">
        <v>116</v>
      </c>
      <c r="C88" s="157">
        <f t="shared" ca="1" si="25"/>
        <v>415220</v>
      </c>
      <c r="D88" s="158">
        <f t="shared" ca="1" si="61"/>
        <v>415220</v>
      </c>
      <c r="E88" s="159">
        <f ca="1">IFERROR(__xludf.DUMMYFUNCTION("IMPORTRANGE(""https://docs.google.com/spreadsheets/d/1-uDff_7J0KD5mKrp0Vvzr7lt3OU09vwQwhkpOPPYv2Y/edit?usp=sharing"",""งบพรบ!DP88"")"),359100)</f>
        <v>359100</v>
      </c>
      <c r="F88" s="159">
        <f ca="1">IFERROR(__xludf.DUMMYFUNCTION("IMPORTRANGE(""https://docs.google.com/spreadsheets/d/1-uDff_7J0KD5mKrp0Vvzr7lt3OU09vwQwhkpOPPYv2Y/edit?usp=sharing"",""งบพรบ!DQ88"")"),56120)</f>
        <v>56120</v>
      </c>
      <c r="G88" s="159">
        <f ca="1">IFERROR(__xludf.DUMMYFUNCTION("IMPORTRANGE(""https://docs.google.com/spreadsheets/d/1-uDff_7J0KD5mKrp0Vvzr7lt3OU09vwQwhkpOPPYv2Y/edit?usp=sharing"",""งบพรบ!DR88"")"),0)</f>
        <v>0</v>
      </c>
      <c r="H88" s="159">
        <f ca="1">IFERROR(__xludf.DUMMYFUNCTION("IMPORTRANGE(""https://docs.google.com/spreadsheets/d/1-uDff_7J0KD5mKrp0Vvzr7lt3OU09vwQwhkpOPPYv2Y/edit?usp=sharing"",""งบพรบ!DT88"")"),428150)</f>
        <v>428150</v>
      </c>
      <c r="I88" s="159">
        <f ca="1">IFERROR(__xludf.DUMMYFUNCTION("IMPORTRANGE(""https://docs.google.com/spreadsheets/d/1-uDff_7J0KD5mKrp0Vvzr7lt3OU09vwQwhkpOPPYv2Y/edit?usp=sharing"",""งบพรบ!DU88"")"),0)</f>
        <v>0</v>
      </c>
      <c r="J88" s="159">
        <f t="shared" ca="1" si="27"/>
        <v>409754.83</v>
      </c>
      <c r="K88" s="160">
        <f t="shared" ca="1" si="28"/>
        <v>98.683789316506918</v>
      </c>
      <c r="L88" s="159">
        <f ca="1">IFERROR(__xludf.DUMMYFUNCTION("IMPORTRANGE(""https://docs.google.com/spreadsheets/d/1-uDff_7J0KD5mKrp0Vvzr7lt3OU09vwQwhkpOPPYv2Y/edit?usp=sharing"",""งบพรบ!DV88"")"),409754.83)</f>
        <v>409754.83</v>
      </c>
      <c r="M88" s="89">
        <f t="shared" ca="1" si="29"/>
        <v>98.683789316506918</v>
      </c>
      <c r="N88" s="89">
        <f t="shared" ca="1" si="30"/>
        <v>95.703568842695319</v>
      </c>
      <c r="O88" s="88">
        <f ca="1">IFERROR(__xludf.DUMMYFUNCTION("IMPORTRANGE(""https://docs.google.com/spreadsheets/d/1-uDff_7J0KD5mKrp0Vvzr7lt3OU09vwQwhkpOPPYv2Y/edit?usp=sharing"",""งบพรบ!DW88"")"),0)</f>
        <v>0</v>
      </c>
      <c r="P88" s="88">
        <f t="shared" ca="1" si="31"/>
        <v>0</v>
      </c>
      <c r="Q88" s="89">
        <f t="shared" ca="1" si="32"/>
        <v>0</v>
      </c>
      <c r="R88" s="90">
        <f ca="1">IFERROR(__xludf.DUMMYFUNCTION("IMPORTRANGE(""https://docs.google.com/spreadsheets/d/18T20gbkS_WBjdscyTOV05cvq_JqvqQ17C81mpxf7Ncs/edit?usp=sharing"",""สุราษฎร์ธานี!I292"")"),100)</f>
        <v>100</v>
      </c>
      <c r="S88" s="90">
        <f ca="1">IFERROR(__xludf.DUMMYFUNCTION("IMPORTRANGE(""https://docs.google.com/spreadsheets/d/18T20gbkS_WBjdscyTOV05cvq_JqvqQ17C81mpxf7Ncs/edit?usp=sharing"",""สุราษฎร์ธานี!J292"")"),100)</f>
        <v>100</v>
      </c>
      <c r="T88" s="91">
        <f t="shared" ca="1" si="34"/>
        <v>100</v>
      </c>
      <c r="U88" s="90">
        <f ca="1">IFERROR(__xludf.DUMMYFUNCTION("IMPORTRANGE(""https://docs.google.com/spreadsheets/d/18T20gbkS_WBjdscyTOV05cvq_JqvqQ17C81mpxf7Ncs/edit?usp=sharing"",""สุราษฎร์ธานี!I293"")"),10)</f>
        <v>10</v>
      </c>
      <c r="V88" s="90">
        <f ca="1">IFERROR(__xludf.DUMMYFUNCTION("IMPORTRANGE(""https://docs.google.com/spreadsheets/d/18T20gbkS_WBjdscyTOV05cvq_JqvqQ17C81mpxf7Ncs/edit?usp=sharing"",""สุราษฎร์ธานี!J293"")"),10)</f>
        <v>10</v>
      </c>
      <c r="W88" s="91">
        <f t="shared" ca="1" si="36"/>
        <v>100</v>
      </c>
      <c r="X88" s="90">
        <f ca="1">IFERROR(__xludf.DUMMYFUNCTION("IMPORTRANGE(""https://docs.google.com/spreadsheets/d/18T20gbkS_WBjdscyTOV05cvq_JqvqQ17C81mpxf7Ncs/edit?usp=sharing"",""สุราษฎร์ธานี!I295"")"),10)</f>
        <v>10</v>
      </c>
      <c r="Y88" s="90">
        <f ca="1">IFERROR(__xludf.DUMMYFUNCTION("IMPORTRANGE(""https://docs.google.com/spreadsheets/d/18T20gbkS_WBjdscyTOV05cvq_JqvqQ17C81mpxf7Ncs/edit?usp=sharing"",""สุราษฎร์ธานี!J295"")"),10)</f>
        <v>10</v>
      </c>
      <c r="Z88" s="91">
        <f t="shared" ca="1" si="38"/>
        <v>100</v>
      </c>
      <c r="AA88" s="319">
        <f ca="1">IFERROR(__xludf.DUMMYFUNCTION("IMPORTRANGE(""https://docs.google.com/spreadsheets/d/18T20gbkS_WBjdscyTOV05cvq_JqvqQ17C81mpxf7Ncs/edit?usp=sharing"",""สุราษฎร์ธานี!J296"")"),10)</f>
        <v>10</v>
      </c>
      <c r="AB88" s="320">
        <f t="shared" ca="1" si="39"/>
        <v>100</v>
      </c>
      <c r="AC88" s="321">
        <f ca="1">IFERROR(__xludf.DUMMYFUNCTION("IMPORTRANGE(""https://docs.google.com/spreadsheets/d/18T20gbkS_WBjdscyTOV05cvq_JqvqQ17C81mpxf7Ncs/edit?usp=sharing"",""สุราษฎร์ธานี!I295"")"),10)</f>
        <v>10</v>
      </c>
      <c r="AD88" s="321">
        <f ca="1">IFERROR(__xludf.DUMMYFUNCTION("IMPORTRANGE(""https://docs.google.com/spreadsheets/d/18T20gbkS_WBjdscyTOV05cvq_JqvqQ17C81mpxf7Ncs/edit?usp=sharing"",""สุราษฎร์ธานี!J298"")"),10)</f>
        <v>10</v>
      </c>
      <c r="AE88" s="322">
        <f t="shared" ca="1" si="41"/>
        <v>100</v>
      </c>
      <c r="AF88" s="321">
        <f ca="1">IFERROR(__xludf.DUMMYFUNCTION("IMPORTRANGE(""https://docs.google.com/spreadsheets/d/18T20gbkS_WBjdscyTOV05cvq_JqvqQ17C81mpxf7Ncs/edit?usp=sharing"",""สุราษฎร์ธานี!J299"")"),10)</f>
        <v>10</v>
      </c>
      <c r="AG88" s="322">
        <f t="shared" ca="1" si="42"/>
        <v>100</v>
      </c>
    </row>
    <row r="89" spans="1:33" ht="21" customHeight="1" x14ac:dyDescent="0.3">
      <c r="A89" s="698" t="s">
        <v>117</v>
      </c>
      <c r="B89" s="662"/>
      <c r="C89" s="200">
        <f t="shared" ref="C89:Q89" ca="1" si="62">SUM(C90:C106)</f>
        <v>1652850</v>
      </c>
      <c r="D89" s="39">
        <f t="shared" ca="1" si="62"/>
        <v>1652850</v>
      </c>
      <c r="E89" s="39">
        <f t="shared" ca="1" si="62"/>
        <v>856300</v>
      </c>
      <c r="F89" s="39">
        <f t="shared" ca="1" si="62"/>
        <v>796550</v>
      </c>
      <c r="G89" s="39">
        <f t="shared" ca="1" si="62"/>
        <v>0</v>
      </c>
      <c r="H89" s="39">
        <f t="shared" ca="1" si="62"/>
        <v>1266510</v>
      </c>
      <c r="I89" s="39">
        <f t="shared" ca="1" si="62"/>
        <v>0</v>
      </c>
      <c r="J89" s="39">
        <f t="shared" ca="1" si="62"/>
        <v>1081252.69</v>
      </c>
      <c r="K89" s="40">
        <f t="shared" ca="1" si="62"/>
        <v>96.950470880903225</v>
      </c>
      <c r="L89" s="39">
        <f t="shared" ca="1" si="62"/>
        <v>1081252.69</v>
      </c>
      <c r="M89" s="40">
        <f t="shared" ca="1" si="62"/>
        <v>96.950470880903225</v>
      </c>
      <c r="N89" s="40">
        <f t="shared" ca="1" si="62"/>
        <v>360.6808729739696</v>
      </c>
      <c r="O89" s="39">
        <f t="shared" ca="1" si="62"/>
        <v>0</v>
      </c>
      <c r="P89" s="39">
        <f t="shared" ca="1" si="62"/>
        <v>0</v>
      </c>
      <c r="Q89" s="39">
        <f t="shared" ca="1" si="62"/>
        <v>0</v>
      </c>
      <c r="R89" s="305"/>
      <c r="S89" s="305"/>
      <c r="T89" s="306"/>
      <c r="U89" s="305"/>
      <c r="V89" s="305"/>
      <c r="W89" s="306"/>
      <c r="X89" s="305"/>
      <c r="Y89" s="305"/>
      <c r="Z89" s="306"/>
      <c r="AA89" s="305"/>
      <c r="AB89" s="306"/>
      <c r="AC89" s="246"/>
      <c r="AD89" s="246"/>
      <c r="AE89" s="247"/>
      <c r="AF89" s="246"/>
      <c r="AG89" s="247"/>
    </row>
    <row r="90" spans="1:33" ht="24" customHeight="1" x14ac:dyDescent="0.3">
      <c r="A90" s="102"/>
      <c r="B90" s="103" t="s">
        <v>118</v>
      </c>
      <c r="C90" s="170">
        <f t="shared" ref="C90:C108" ca="1" si="63">D90+G90</f>
        <v>0</v>
      </c>
      <c r="D90" s="171">
        <f t="shared" ref="D90:D108" ca="1" si="64">+E90+F90</f>
        <v>0</v>
      </c>
      <c r="E90" s="62">
        <f ca="1">IFERROR(__xludf.DUMMYFUNCTION("IMPORTRANGE(""https://docs.google.com/spreadsheets/d/1-uDff_7J0KD5mKrp0Vvzr7lt3OU09vwQwhkpOPPYv2Y/edit?usp=sharing"",""งบพรบ!DP90"")"),0)</f>
        <v>0</v>
      </c>
      <c r="F90" s="62">
        <f ca="1">IFERROR(__xludf.DUMMYFUNCTION("IMPORTRANGE(""https://docs.google.com/spreadsheets/d/1-uDff_7J0KD5mKrp0Vvzr7lt3OU09vwQwhkpOPPYv2Y/edit?usp=sharing"",""งบพรบ!DQ90"")"),0)</f>
        <v>0</v>
      </c>
      <c r="G90" s="62">
        <f ca="1">IFERROR(__xludf.DUMMYFUNCTION("IMPORTRANGE(""https://docs.google.com/spreadsheets/d/1-uDff_7J0KD5mKrp0Vvzr7lt3OU09vwQwhkpOPPYv2Y/edit?usp=sharing"",""งบพรบ!DR90"")"),0)</f>
        <v>0</v>
      </c>
      <c r="H90" s="62">
        <f ca="1">IFERROR(__xludf.DUMMYFUNCTION("IMPORTRANGE(""https://docs.google.com/spreadsheets/d/1-uDff_7J0KD5mKrp0Vvzr7lt3OU09vwQwhkpOPPYv2Y/edit?usp=sharing"",""งบพรบ!DT90"")"),0)</f>
        <v>0</v>
      </c>
      <c r="I90" s="62">
        <f ca="1">IFERROR(__xludf.DUMMYFUNCTION("IMPORTRANGE(""https://docs.google.com/spreadsheets/d/1-uDff_7J0KD5mKrp0Vvzr7lt3OU09vwQwhkpOPPYv2Y/edit?usp=sharing"",""งบพรบ!DU90"")"),0)</f>
        <v>0</v>
      </c>
      <c r="J90" s="62">
        <f t="shared" ref="J90:J108" ca="1" si="65">L90+O90</f>
        <v>0</v>
      </c>
      <c r="K90" s="104">
        <f t="shared" ref="K90:K108" ca="1" si="66">IF(C90&gt;0,J90*100/C90,0)</f>
        <v>0</v>
      </c>
      <c r="L90" s="62">
        <f ca="1">IFERROR(__xludf.DUMMYFUNCTION("IMPORTRANGE(""https://docs.google.com/spreadsheets/d/1-uDff_7J0KD5mKrp0Vvzr7lt3OU09vwQwhkpOPPYv2Y/edit?usp=sharing"",""งบพรบ!DV90"")"),0)</f>
        <v>0</v>
      </c>
      <c r="M90" s="65">
        <f t="shared" ref="M90:M108" ca="1" si="67">IF(D90&gt;0,L90*100/D90,0)</f>
        <v>0</v>
      </c>
      <c r="N90" s="65">
        <f t="shared" ref="N90:N108" ca="1" si="68">IF(H90&gt;0,L90*100/H90,0)</f>
        <v>0</v>
      </c>
      <c r="O90" s="66">
        <f ca="1">IFERROR(__xludf.DUMMYFUNCTION("IMPORTRANGE(""https://docs.google.com/spreadsheets/d/1-uDff_7J0KD5mKrp0Vvzr7lt3OU09vwQwhkpOPPYv2Y/edit?usp=sharing"",""งบพรบ!DW90"")"),0)</f>
        <v>0</v>
      </c>
      <c r="P90" s="66">
        <f t="shared" ref="P90:P108" ca="1" si="69">IF(G90&gt;0,O90*100/G90,0)</f>
        <v>0</v>
      </c>
      <c r="Q90" s="65">
        <f t="shared" ref="Q90:Q108" ca="1" si="70">IF(I90&gt;0,O90*100/I90,0)</f>
        <v>0</v>
      </c>
      <c r="R90" s="325"/>
      <c r="S90" s="325"/>
      <c r="T90" s="326"/>
      <c r="U90" s="325"/>
      <c r="V90" s="325"/>
      <c r="W90" s="326"/>
      <c r="X90" s="325"/>
      <c r="Y90" s="325"/>
      <c r="Z90" s="326"/>
      <c r="AA90" s="325"/>
      <c r="AB90" s="326"/>
      <c r="AC90" s="327"/>
      <c r="AD90" s="327"/>
      <c r="AE90" s="328"/>
      <c r="AF90" s="327"/>
      <c r="AG90" s="328"/>
    </row>
    <row r="91" spans="1:33" ht="24" customHeight="1" x14ac:dyDescent="0.3">
      <c r="A91" s="105"/>
      <c r="B91" s="106" t="s">
        <v>119</v>
      </c>
      <c r="C91" s="173">
        <f t="shared" ca="1" si="63"/>
        <v>0</v>
      </c>
      <c r="D91" s="174">
        <f t="shared" ca="1" si="64"/>
        <v>0</v>
      </c>
      <c r="E91" s="74">
        <f ca="1">IFERROR(__xludf.DUMMYFUNCTION("IMPORTRANGE(""https://docs.google.com/spreadsheets/d/1-uDff_7J0KD5mKrp0Vvzr7lt3OU09vwQwhkpOPPYv2Y/edit?usp=sharing"",""งบพรบ!DP91"")"),0)</f>
        <v>0</v>
      </c>
      <c r="F91" s="74">
        <f ca="1">IFERROR(__xludf.DUMMYFUNCTION("IMPORTRANGE(""https://docs.google.com/spreadsheets/d/1-uDff_7J0KD5mKrp0Vvzr7lt3OU09vwQwhkpOPPYv2Y/edit?usp=sharing"",""งบพรบ!DQ91"")"),0)</f>
        <v>0</v>
      </c>
      <c r="G91" s="74">
        <f ca="1">IFERROR(__xludf.DUMMYFUNCTION("IMPORTRANGE(""https://docs.google.com/spreadsheets/d/1-uDff_7J0KD5mKrp0Vvzr7lt3OU09vwQwhkpOPPYv2Y/edit?usp=sharing"",""งบพรบ!DR91"")"),0)</f>
        <v>0</v>
      </c>
      <c r="H91" s="74">
        <f ca="1">IFERROR(__xludf.DUMMYFUNCTION("IMPORTRANGE(""https://docs.google.com/spreadsheets/d/1-uDff_7J0KD5mKrp0Vvzr7lt3OU09vwQwhkpOPPYv2Y/edit?usp=sharing"",""งบพรบ!DT91"")"),0)</f>
        <v>0</v>
      </c>
      <c r="I91" s="74">
        <f ca="1">IFERROR(__xludf.DUMMYFUNCTION("IMPORTRANGE(""https://docs.google.com/spreadsheets/d/1-uDff_7J0KD5mKrp0Vvzr7lt3OU09vwQwhkpOPPYv2Y/edit?usp=sharing"",""งบพรบ!DU91"")"),0)</f>
        <v>0</v>
      </c>
      <c r="J91" s="74">
        <f t="shared" ca="1" si="65"/>
        <v>0</v>
      </c>
      <c r="K91" s="75">
        <f t="shared" ca="1" si="66"/>
        <v>0</v>
      </c>
      <c r="L91" s="74">
        <f ca="1">IFERROR(__xludf.DUMMYFUNCTION("IMPORTRANGE(""https://docs.google.com/spreadsheets/d/1-uDff_7J0KD5mKrp0Vvzr7lt3OU09vwQwhkpOPPYv2Y/edit?usp=sharing"",""งบพรบ!DV91"")"),0)</f>
        <v>0</v>
      </c>
      <c r="M91" s="76">
        <f t="shared" ca="1" si="67"/>
        <v>0</v>
      </c>
      <c r="N91" s="76">
        <f t="shared" ca="1" si="68"/>
        <v>0</v>
      </c>
      <c r="O91" s="77">
        <f ca="1">IFERROR(__xludf.DUMMYFUNCTION("IMPORTRANGE(""https://docs.google.com/spreadsheets/d/1-uDff_7J0KD5mKrp0Vvzr7lt3OU09vwQwhkpOPPYv2Y/edit?usp=sharing"",""งบพรบ!DW91"")"),0)</f>
        <v>0</v>
      </c>
      <c r="P91" s="77">
        <f t="shared" ca="1" si="69"/>
        <v>0</v>
      </c>
      <c r="Q91" s="76">
        <f t="shared" ca="1" si="70"/>
        <v>0</v>
      </c>
      <c r="R91" s="329"/>
      <c r="S91" s="329"/>
      <c r="T91" s="330"/>
      <c r="U91" s="329"/>
      <c r="V91" s="329"/>
      <c r="W91" s="330"/>
      <c r="X91" s="329"/>
      <c r="Y91" s="329"/>
      <c r="Z91" s="330"/>
      <c r="AA91" s="329"/>
      <c r="AB91" s="330"/>
      <c r="AC91" s="291"/>
      <c r="AD91" s="291"/>
      <c r="AE91" s="331"/>
      <c r="AF91" s="291"/>
      <c r="AG91" s="331"/>
    </row>
    <row r="92" spans="1:33" ht="24" customHeight="1" x14ac:dyDescent="0.3">
      <c r="A92" s="105"/>
      <c r="B92" s="106" t="s">
        <v>120</v>
      </c>
      <c r="C92" s="173">
        <f t="shared" ca="1" si="63"/>
        <v>0</v>
      </c>
      <c r="D92" s="174">
        <f t="shared" ca="1" si="64"/>
        <v>0</v>
      </c>
      <c r="E92" s="74">
        <f ca="1">IFERROR(__xludf.DUMMYFUNCTION("IMPORTRANGE(""https://docs.google.com/spreadsheets/d/1-uDff_7J0KD5mKrp0Vvzr7lt3OU09vwQwhkpOPPYv2Y/edit?usp=sharing"",""งบพรบ!DP92"")"),0)</f>
        <v>0</v>
      </c>
      <c r="F92" s="74">
        <f ca="1">IFERROR(__xludf.DUMMYFUNCTION("IMPORTRANGE(""https://docs.google.com/spreadsheets/d/1-uDff_7J0KD5mKrp0Vvzr7lt3OU09vwQwhkpOPPYv2Y/edit?usp=sharing"",""งบพรบ!DQ92"")"),0)</f>
        <v>0</v>
      </c>
      <c r="G92" s="74">
        <f ca="1">IFERROR(__xludf.DUMMYFUNCTION("IMPORTRANGE(""https://docs.google.com/spreadsheets/d/1-uDff_7J0KD5mKrp0Vvzr7lt3OU09vwQwhkpOPPYv2Y/edit?usp=sharing"",""งบพรบ!DR92"")"),0)</f>
        <v>0</v>
      </c>
      <c r="H92" s="74">
        <f ca="1">IFERROR(__xludf.DUMMYFUNCTION("IMPORTRANGE(""https://docs.google.com/spreadsheets/d/1-uDff_7J0KD5mKrp0Vvzr7lt3OU09vwQwhkpOPPYv2Y/edit?usp=sharing"",""งบพรบ!DT92"")"),0)</f>
        <v>0</v>
      </c>
      <c r="I92" s="74">
        <f ca="1">IFERROR(__xludf.DUMMYFUNCTION("IMPORTRANGE(""https://docs.google.com/spreadsheets/d/1-uDff_7J0KD5mKrp0Vvzr7lt3OU09vwQwhkpOPPYv2Y/edit?usp=sharing"",""งบพรบ!DU92"")"),0)</f>
        <v>0</v>
      </c>
      <c r="J92" s="74">
        <f t="shared" ca="1" si="65"/>
        <v>0</v>
      </c>
      <c r="K92" s="75">
        <f t="shared" ca="1" si="66"/>
        <v>0</v>
      </c>
      <c r="L92" s="74">
        <f ca="1">IFERROR(__xludf.DUMMYFUNCTION("IMPORTRANGE(""https://docs.google.com/spreadsheets/d/1-uDff_7J0KD5mKrp0Vvzr7lt3OU09vwQwhkpOPPYv2Y/edit?usp=sharing"",""งบพรบ!DV92"")"),0)</f>
        <v>0</v>
      </c>
      <c r="M92" s="76">
        <f t="shared" ca="1" si="67"/>
        <v>0</v>
      </c>
      <c r="N92" s="76">
        <f t="shared" ca="1" si="68"/>
        <v>0</v>
      </c>
      <c r="O92" s="77">
        <f ca="1">IFERROR(__xludf.DUMMYFUNCTION("IMPORTRANGE(""https://docs.google.com/spreadsheets/d/1-uDff_7J0KD5mKrp0Vvzr7lt3OU09vwQwhkpOPPYv2Y/edit?usp=sharing"",""งบพรบ!DW92"")"),0)</f>
        <v>0</v>
      </c>
      <c r="P92" s="77">
        <f t="shared" ca="1" si="69"/>
        <v>0</v>
      </c>
      <c r="Q92" s="76">
        <f t="shared" ca="1" si="70"/>
        <v>0</v>
      </c>
      <c r="R92" s="329"/>
      <c r="S92" s="329"/>
      <c r="T92" s="330"/>
      <c r="U92" s="329"/>
      <c r="V92" s="329"/>
      <c r="W92" s="330"/>
      <c r="X92" s="329"/>
      <c r="Y92" s="329"/>
      <c r="Z92" s="330"/>
      <c r="AA92" s="329"/>
      <c r="AB92" s="330"/>
      <c r="AC92" s="291"/>
      <c r="AD92" s="291"/>
      <c r="AE92" s="331"/>
      <c r="AF92" s="291"/>
      <c r="AG92" s="331"/>
    </row>
    <row r="93" spans="1:33" ht="24" customHeight="1" x14ac:dyDescent="0.3">
      <c r="A93" s="105"/>
      <c r="B93" s="106" t="s">
        <v>121</v>
      </c>
      <c r="C93" s="173">
        <f t="shared" ca="1" si="63"/>
        <v>0</v>
      </c>
      <c r="D93" s="174">
        <f t="shared" ca="1" si="64"/>
        <v>0</v>
      </c>
      <c r="E93" s="74">
        <f ca="1">IFERROR(__xludf.DUMMYFUNCTION("IMPORTRANGE(""https://docs.google.com/spreadsheets/d/1-uDff_7J0KD5mKrp0Vvzr7lt3OU09vwQwhkpOPPYv2Y/edit?usp=sharing"",""งบพรบ!DP93"")"),0)</f>
        <v>0</v>
      </c>
      <c r="F93" s="74">
        <f ca="1">IFERROR(__xludf.DUMMYFUNCTION("IMPORTRANGE(""https://docs.google.com/spreadsheets/d/1-uDff_7J0KD5mKrp0Vvzr7lt3OU09vwQwhkpOPPYv2Y/edit?usp=sharing"",""งบพรบ!DQ93"")"),0)</f>
        <v>0</v>
      </c>
      <c r="G93" s="74">
        <f ca="1">IFERROR(__xludf.DUMMYFUNCTION("IMPORTRANGE(""https://docs.google.com/spreadsheets/d/1-uDff_7J0KD5mKrp0Vvzr7lt3OU09vwQwhkpOPPYv2Y/edit?usp=sharing"",""งบพรบ!DR93"")"),0)</f>
        <v>0</v>
      </c>
      <c r="H93" s="74">
        <f ca="1">IFERROR(__xludf.DUMMYFUNCTION("IMPORTRANGE(""https://docs.google.com/spreadsheets/d/1-uDff_7J0KD5mKrp0Vvzr7lt3OU09vwQwhkpOPPYv2Y/edit?usp=sharing"",""งบพรบ!DT93"")"),259400)</f>
        <v>259400</v>
      </c>
      <c r="I93" s="74">
        <f ca="1">IFERROR(__xludf.DUMMYFUNCTION("IMPORTRANGE(""https://docs.google.com/spreadsheets/d/1-uDff_7J0KD5mKrp0Vvzr7lt3OU09vwQwhkpOPPYv2Y/edit?usp=sharing"",""งบพรบ!DU93"")"),0)</f>
        <v>0</v>
      </c>
      <c r="J93" s="74">
        <f t="shared" ca="1" si="65"/>
        <v>259400</v>
      </c>
      <c r="K93" s="75">
        <f t="shared" ca="1" si="66"/>
        <v>0</v>
      </c>
      <c r="L93" s="74">
        <f ca="1">IFERROR(__xludf.DUMMYFUNCTION("IMPORTRANGE(""https://docs.google.com/spreadsheets/d/1-uDff_7J0KD5mKrp0Vvzr7lt3OU09vwQwhkpOPPYv2Y/edit?usp=sharing"",""งบพรบ!DV93"")"),259400)</f>
        <v>259400</v>
      </c>
      <c r="M93" s="76">
        <f t="shared" ca="1" si="67"/>
        <v>0</v>
      </c>
      <c r="N93" s="76">
        <f t="shared" ca="1" si="68"/>
        <v>100</v>
      </c>
      <c r="O93" s="77">
        <f ca="1">IFERROR(__xludf.DUMMYFUNCTION("IMPORTRANGE(""https://docs.google.com/spreadsheets/d/1-uDff_7J0KD5mKrp0Vvzr7lt3OU09vwQwhkpOPPYv2Y/edit?usp=sharing"",""งบพรบ!DW93"")"),0)</f>
        <v>0</v>
      </c>
      <c r="P93" s="77">
        <f t="shared" ca="1" si="69"/>
        <v>0</v>
      </c>
      <c r="Q93" s="76">
        <f t="shared" ca="1" si="70"/>
        <v>0</v>
      </c>
      <c r="R93" s="329"/>
      <c r="S93" s="329"/>
      <c r="T93" s="330"/>
      <c r="U93" s="329"/>
      <c r="V93" s="329"/>
      <c r="W93" s="330"/>
      <c r="X93" s="329"/>
      <c r="Y93" s="329"/>
      <c r="Z93" s="330"/>
      <c r="AA93" s="329"/>
      <c r="AB93" s="330"/>
      <c r="AC93" s="291"/>
      <c r="AD93" s="291"/>
      <c r="AE93" s="331"/>
      <c r="AF93" s="291"/>
      <c r="AG93" s="331"/>
    </row>
    <row r="94" spans="1:33" ht="24" customHeight="1" x14ac:dyDescent="0.3">
      <c r="A94" s="105"/>
      <c r="B94" s="106" t="s">
        <v>122</v>
      </c>
      <c r="C94" s="173">
        <f t="shared" ca="1" si="63"/>
        <v>0</v>
      </c>
      <c r="D94" s="174">
        <f t="shared" ca="1" si="64"/>
        <v>0</v>
      </c>
      <c r="E94" s="74">
        <f ca="1">IFERROR(__xludf.DUMMYFUNCTION("IMPORTRANGE(""https://docs.google.com/spreadsheets/d/1-uDff_7J0KD5mKrp0Vvzr7lt3OU09vwQwhkpOPPYv2Y/edit?usp=sharing"",""งบพรบ!DP94"")"),0)</f>
        <v>0</v>
      </c>
      <c r="F94" s="74">
        <f ca="1">IFERROR(__xludf.DUMMYFUNCTION("IMPORTRANGE(""https://docs.google.com/spreadsheets/d/1-uDff_7J0KD5mKrp0Vvzr7lt3OU09vwQwhkpOPPYv2Y/edit?usp=sharing"",""งบพรบ!DQ94"")"),0)</f>
        <v>0</v>
      </c>
      <c r="G94" s="74">
        <f ca="1">IFERROR(__xludf.DUMMYFUNCTION("IMPORTRANGE(""https://docs.google.com/spreadsheets/d/1-uDff_7J0KD5mKrp0Vvzr7lt3OU09vwQwhkpOPPYv2Y/edit?usp=sharing"",""งบพรบ!DR94"")"),0)</f>
        <v>0</v>
      </c>
      <c r="H94" s="74">
        <f ca="1">IFERROR(__xludf.DUMMYFUNCTION("IMPORTRANGE(""https://docs.google.com/spreadsheets/d/1-uDff_7J0KD5mKrp0Vvzr7lt3OU09vwQwhkpOPPYv2Y/edit?usp=sharing"",""งบพรบ!DT94"")"),0)</f>
        <v>0</v>
      </c>
      <c r="I94" s="74">
        <f ca="1">IFERROR(__xludf.DUMMYFUNCTION("IMPORTRANGE(""https://docs.google.com/spreadsheets/d/1-uDff_7J0KD5mKrp0Vvzr7lt3OU09vwQwhkpOPPYv2Y/edit?usp=sharing"",""งบพรบ!DU94"")"),0)</f>
        <v>0</v>
      </c>
      <c r="J94" s="74">
        <f t="shared" ca="1" si="65"/>
        <v>0</v>
      </c>
      <c r="K94" s="75">
        <f t="shared" ca="1" si="66"/>
        <v>0</v>
      </c>
      <c r="L94" s="74">
        <f ca="1">IFERROR(__xludf.DUMMYFUNCTION("IMPORTRANGE(""https://docs.google.com/spreadsheets/d/1-uDff_7J0KD5mKrp0Vvzr7lt3OU09vwQwhkpOPPYv2Y/edit?usp=sharing"",""งบพรบ!DV94"")"),0)</f>
        <v>0</v>
      </c>
      <c r="M94" s="76">
        <f t="shared" ca="1" si="67"/>
        <v>0</v>
      </c>
      <c r="N94" s="76">
        <f t="shared" ca="1" si="68"/>
        <v>0</v>
      </c>
      <c r="O94" s="77">
        <f ca="1">IFERROR(__xludf.DUMMYFUNCTION("IMPORTRANGE(""https://docs.google.com/spreadsheets/d/1-uDff_7J0KD5mKrp0Vvzr7lt3OU09vwQwhkpOPPYv2Y/edit?usp=sharing"",""งบพรบ!DW94"")"),0)</f>
        <v>0</v>
      </c>
      <c r="P94" s="77">
        <f t="shared" ca="1" si="69"/>
        <v>0</v>
      </c>
      <c r="Q94" s="76">
        <f t="shared" ca="1" si="70"/>
        <v>0</v>
      </c>
      <c r="R94" s="329"/>
      <c r="S94" s="329"/>
      <c r="T94" s="330"/>
      <c r="U94" s="329"/>
      <c r="V94" s="329"/>
      <c r="W94" s="330"/>
      <c r="X94" s="329"/>
      <c r="Y94" s="329"/>
      <c r="Z94" s="330"/>
      <c r="AA94" s="329"/>
      <c r="AB94" s="330"/>
      <c r="AC94" s="291"/>
      <c r="AD94" s="291"/>
      <c r="AE94" s="331"/>
      <c r="AF94" s="291"/>
      <c r="AG94" s="331"/>
    </row>
    <row r="95" spans="1:33" ht="24" customHeight="1" x14ac:dyDescent="0.3">
      <c r="A95" s="105"/>
      <c r="B95" s="106" t="s">
        <v>123</v>
      </c>
      <c r="C95" s="173">
        <f t="shared" ca="1" si="63"/>
        <v>0</v>
      </c>
      <c r="D95" s="174">
        <f t="shared" ca="1" si="64"/>
        <v>0</v>
      </c>
      <c r="E95" s="74">
        <f ca="1">IFERROR(__xludf.DUMMYFUNCTION("IMPORTRANGE(""https://docs.google.com/spreadsheets/d/1-uDff_7J0KD5mKrp0Vvzr7lt3OU09vwQwhkpOPPYv2Y/edit?usp=sharing"",""งบพรบ!DP95"")"),0)</f>
        <v>0</v>
      </c>
      <c r="F95" s="74">
        <f ca="1">IFERROR(__xludf.DUMMYFUNCTION("IMPORTRANGE(""https://docs.google.com/spreadsheets/d/1-uDff_7J0KD5mKrp0Vvzr7lt3OU09vwQwhkpOPPYv2Y/edit?usp=sharing"",""งบพรบ!DQ95"")"),0)</f>
        <v>0</v>
      </c>
      <c r="G95" s="74">
        <f ca="1">IFERROR(__xludf.DUMMYFUNCTION("IMPORTRANGE(""https://docs.google.com/spreadsheets/d/1-uDff_7J0KD5mKrp0Vvzr7lt3OU09vwQwhkpOPPYv2Y/edit?usp=sharing"",""งบพรบ!DR95"")"),0)</f>
        <v>0</v>
      </c>
      <c r="H95" s="74">
        <f ca="1">IFERROR(__xludf.DUMMYFUNCTION("IMPORTRANGE(""https://docs.google.com/spreadsheets/d/1-uDff_7J0KD5mKrp0Vvzr7lt3OU09vwQwhkpOPPYv2Y/edit?usp=sharing"",""งบพรบ!DT95"")"),10500)</f>
        <v>10500</v>
      </c>
      <c r="I95" s="74">
        <f ca="1">IFERROR(__xludf.DUMMYFUNCTION("IMPORTRANGE(""https://docs.google.com/spreadsheets/d/1-uDff_7J0KD5mKrp0Vvzr7lt3OU09vwQwhkpOPPYv2Y/edit?usp=sharing"",""งบพรบ!DU95"")"),0)</f>
        <v>0</v>
      </c>
      <c r="J95" s="74">
        <f t="shared" ca="1" si="65"/>
        <v>10500</v>
      </c>
      <c r="K95" s="75">
        <f t="shared" ca="1" si="66"/>
        <v>0</v>
      </c>
      <c r="L95" s="74">
        <f ca="1">IFERROR(__xludf.DUMMYFUNCTION("IMPORTRANGE(""https://docs.google.com/spreadsheets/d/1-uDff_7J0KD5mKrp0Vvzr7lt3OU09vwQwhkpOPPYv2Y/edit?usp=sharing"",""งบพรบ!DV95"")"),10500)</f>
        <v>10500</v>
      </c>
      <c r="M95" s="76">
        <f t="shared" ca="1" si="67"/>
        <v>0</v>
      </c>
      <c r="N95" s="76">
        <f t="shared" ca="1" si="68"/>
        <v>100</v>
      </c>
      <c r="O95" s="77">
        <f ca="1">IFERROR(__xludf.DUMMYFUNCTION("IMPORTRANGE(""https://docs.google.com/spreadsheets/d/1-uDff_7J0KD5mKrp0Vvzr7lt3OU09vwQwhkpOPPYv2Y/edit?usp=sharing"",""งบพรบ!DW95"")"),0)</f>
        <v>0</v>
      </c>
      <c r="P95" s="77">
        <f t="shared" ca="1" si="69"/>
        <v>0</v>
      </c>
      <c r="Q95" s="76">
        <f t="shared" ca="1" si="70"/>
        <v>0</v>
      </c>
      <c r="R95" s="329"/>
      <c r="S95" s="329"/>
      <c r="T95" s="330"/>
      <c r="U95" s="329"/>
      <c r="V95" s="329"/>
      <c r="W95" s="330"/>
      <c r="X95" s="329"/>
      <c r="Y95" s="329"/>
      <c r="Z95" s="330"/>
      <c r="AA95" s="329"/>
      <c r="AB95" s="330"/>
      <c r="AC95" s="291"/>
      <c r="AD95" s="291"/>
      <c r="AE95" s="331"/>
      <c r="AF95" s="291"/>
      <c r="AG95" s="331"/>
    </row>
    <row r="96" spans="1:33" ht="24" customHeight="1" x14ac:dyDescent="0.3">
      <c r="A96" s="105"/>
      <c r="B96" s="106" t="s">
        <v>124</v>
      </c>
      <c r="C96" s="173">
        <f t="shared" ca="1" si="63"/>
        <v>0</v>
      </c>
      <c r="D96" s="174">
        <f t="shared" ca="1" si="64"/>
        <v>0</v>
      </c>
      <c r="E96" s="74">
        <f ca="1">IFERROR(__xludf.DUMMYFUNCTION("IMPORTRANGE(""https://docs.google.com/spreadsheets/d/1-uDff_7J0KD5mKrp0Vvzr7lt3OU09vwQwhkpOPPYv2Y/edit?usp=sharing"",""งบพรบ!DP96"")"),0)</f>
        <v>0</v>
      </c>
      <c r="F96" s="74">
        <f ca="1">IFERROR(__xludf.DUMMYFUNCTION("IMPORTRANGE(""https://docs.google.com/spreadsheets/d/1-uDff_7J0KD5mKrp0Vvzr7lt3OU09vwQwhkpOPPYv2Y/edit?usp=sharing"",""งบพรบ!DQ96"")"),0)</f>
        <v>0</v>
      </c>
      <c r="G96" s="74">
        <f ca="1">IFERROR(__xludf.DUMMYFUNCTION("IMPORTRANGE(""https://docs.google.com/spreadsheets/d/1-uDff_7J0KD5mKrp0Vvzr7lt3OU09vwQwhkpOPPYv2Y/edit?usp=sharing"",""งบพรบ!DR96"")"),0)</f>
        <v>0</v>
      </c>
      <c r="H96" s="74">
        <f ca="1">IFERROR(__xludf.DUMMYFUNCTION("IMPORTRANGE(""https://docs.google.com/spreadsheets/d/1-uDff_7J0KD5mKrp0Vvzr7lt3OU09vwQwhkpOPPYv2Y/edit?usp=sharing"",""งบพรบ!DT96"")"),0)</f>
        <v>0</v>
      </c>
      <c r="I96" s="74">
        <f ca="1">IFERROR(__xludf.DUMMYFUNCTION("IMPORTRANGE(""https://docs.google.com/spreadsheets/d/1-uDff_7J0KD5mKrp0Vvzr7lt3OU09vwQwhkpOPPYv2Y/edit?usp=sharing"",""งบพรบ!DU96"")"),0)</f>
        <v>0</v>
      </c>
      <c r="J96" s="74">
        <f t="shared" ca="1" si="65"/>
        <v>0</v>
      </c>
      <c r="K96" s="75">
        <f t="shared" ca="1" si="66"/>
        <v>0</v>
      </c>
      <c r="L96" s="74">
        <f ca="1">IFERROR(__xludf.DUMMYFUNCTION("IMPORTRANGE(""https://docs.google.com/spreadsheets/d/1-uDff_7J0KD5mKrp0Vvzr7lt3OU09vwQwhkpOPPYv2Y/edit?usp=sharing"",""งบพรบ!DV96"")"),0)</f>
        <v>0</v>
      </c>
      <c r="M96" s="76">
        <f t="shared" ca="1" si="67"/>
        <v>0</v>
      </c>
      <c r="N96" s="76">
        <f t="shared" ca="1" si="68"/>
        <v>0</v>
      </c>
      <c r="O96" s="77">
        <f ca="1">IFERROR(__xludf.DUMMYFUNCTION("IMPORTRANGE(""https://docs.google.com/spreadsheets/d/1-uDff_7J0KD5mKrp0Vvzr7lt3OU09vwQwhkpOPPYv2Y/edit?usp=sharing"",""งบพรบ!DW96"")"),0)</f>
        <v>0</v>
      </c>
      <c r="P96" s="77">
        <f t="shared" ca="1" si="69"/>
        <v>0</v>
      </c>
      <c r="Q96" s="76">
        <f t="shared" ca="1" si="70"/>
        <v>0</v>
      </c>
      <c r="R96" s="329"/>
      <c r="S96" s="329"/>
      <c r="T96" s="330"/>
      <c r="U96" s="329"/>
      <c r="V96" s="329"/>
      <c r="W96" s="330"/>
      <c r="X96" s="329"/>
      <c r="Y96" s="329"/>
      <c r="Z96" s="330"/>
      <c r="AA96" s="329"/>
      <c r="AB96" s="330"/>
      <c r="AC96" s="291"/>
      <c r="AD96" s="291"/>
      <c r="AE96" s="331"/>
      <c r="AF96" s="291"/>
      <c r="AG96" s="331"/>
    </row>
    <row r="97" spans="1:33" ht="24" customHeight="1" x14ac:dyDescent="0.3">
      <c r="A97" s="105"/>
      <c r="B97" s="106" t="s">
        <v>125</v>
      </c>
      <c r="C97" s="173">
        <f t="shared" ca="1" si="63"/>
        <v>0</v>
      </c>
      <c r="D97" s="174">
        <f t="shared" ca="1" si="64"/>
        <v>0</v>
      </c>
      <c r="E97" s="74">
        <f ca="1">IFERROR(__xludf.DUMMYFUNCTION("IMPORTRANGE(""https://docs.google.com/spreadsheets/d/1-uDff_7J0KD5mKrp0Vvzr7lt3OU09vwQwhkpOPPYv2Y/edit?usp=sharing"",""งบพรบ!DP97"")"),0)</f>
        <v>0</v>
      </c>
      <c r="F97" s="74">
        <f ca="1">IFERROR(__xludf.DUMMYFUNCTION("IMPORTRANGE(""https://docs.google.com/spreadsheets/d/1-uDff_7J0KD5mKrp0Vvzr7lt3OU09vwQwhkpOPPYv2Y/edit?usp=sharing"",""งบพรบ!DQ97"")"),0)</f>
        <v>0</v>
      </c>
      <c r="G97" s="74">
        <f ca="1">IFERROR(__xludf.DUMMYFUNCTION("IMPORTRANGE(""https://docs.google.com/spreadsheets/d/1-uDff_7J0KD5mKrp0Vvzr7lt3OU09vwQwhkpOPPYv2Y/edit?usp=sharing"",""งบพรบ!DR97"")"),0)</f>
        <v>0</v>
      </c>
      <c r="H97" s="74">
        <f ca="1">IFERROR(__xludf.DUMMYFUNCTION("IMPORTRANGE(""https://docs.google.com/spreadsheets/d/1-uDff_7J0KD5mKrp0Vvzr7lt3OU09vwQwhkpOPPYv2Y/edit?usp=sharing"",""งบพรบ!DT97"")"),0)</f>
        <v>0</v>
      </c>
      <c r="I97" s="74">
        <f ca="1">IFERROR(__xludf.DUMMYFUNCTION("IMPORTRANGE(""https://docs.google.com/spreadsheets/d/1-uDff_7J0KD5mKrp0Vvzr7lt3OU09vwQwhkpOPPYv2Y/edit?usp=sharing"",""งบพรบ!DU97"")"),0)</f>
        <v>0</v>
      </c>
      <c r="J97" s="74">
        <f t="shared" ca="1" si="65"/>
        <v>0</v>
      </c>
      <c r="K97" s="75">
        <f t="shared" ca="1" si="66"/>
        <v>0</v>
      </c>
      <c r="L97" s="74">
        <f ca="1">IFERROR(__xludf.DUMMYFUNCTION("IMPORTRANGE(""https://docs.google.com/spreadsheets/d/1-uDff_7J0KD5mKrp0Vvzr7lt3OU09vwQwhkpOPPYv2Y/edit?usp=sharing"",""งบพรบ!DV97"")"),0)</f>
        <v>0</v>
      </c>
      <c r="M97" s="76">
        <f t="shared" ca="1" si="67"/>
        <v>0</v>
      </c>
      <c r="N97" s="76">
        <f t="shared" ca="1" si="68"/>
        <v>0</v>
      </c>
      <c r="O97" s="77">
        <f ca="1">IFERROR(__xludf.DUMMYFUNCTION("IMPORTRANGE(""https://docs.google.com/spreadsheets/d/1-uDff_7J0KD5mKrp0Vvzr7lt3OU09vwQwhkpOPPYv2Y/edit?usp=sharing"",""งบพรบ!DW97"")"),0)</f>
        <v>0</v>
      </c>
      <c r="P97" s="77">
        <f t="shared" ca="1" si="69"/>
        <v>0</v>
      </c>
      <c r="Q97" s="76">
        <f t="shared" ca="1" si="70"/>
        <v>0</v>
      </c>
      <c r="R97" s="329"/>
      <c r="S97" s="329"/>
      <c r="T97" s="330"/>
      <c r="U97" s="329"/>
      <c r="V97" s="329"/>
      <c r="W97" s="330"/>
      <c r="X97" s="329"/>
      <c r="Y97" s="329"/>
      <c r="Z97" s="330"/>
      <c r="AA97" s="329"/>
      <c r="AB97" s="330"/>
      <c r="AC97" s="291"/>
      <c r="AD97" s="291"/>
      <c r="AE97" s="331"/>
      <c r="AF97" s="291"/>
      <c r="AG97" s="331"/>
    </row>
    <row r="98" spans="1:33" ht="24" customHeight="1" x14ac:dyDescent="0.3">
      <c r="A98" s="105"/>
      <c r="B98" s="106" t="s">
        <v>126</v>
      </c>
      <c r="C98" s="173">
        <f t="shared" ca="1" si="63"/>
        <v>0</v>
      </c>
      <c r="D98" s="174">
        <f t="shared" ca="1" si="64"/>
        <v>0</v>
      </c>
      <c r="E98" s="74">
        <f ca="1">IFERROR(__xludf.DUMMYFUNCTION("IMPORTRANGE(""https://docs.google.com/spreadsheets/d/1-uDff_7J0KD5mKrp0Vvzr7lt3OU09vwQwhkpOPPYv2Y/edit?usp=sharing"",""งบพรบ!DP98"")"),0)</f>
        <v>0</v>
      </c>
      <c r="F98" s="74">
        <f ca="1">IFERROR(__xludf.DUMMYFUNCTION("IMPORTRANGE(""https://docs.google.com/spreadsheets/d/1-uDff_7J0KD5mKrp0Vvzr7lt3OU09vwQwhkpOPPYv2Y/edit?usp=sharing"",""งบพรบ!DQ98"")"),0)</f>
        <v>0</v>
      </c>
      <c r="G98" s="74">
        <f ca="1">IFERROR(__xludf.DUMMYFUNCTION("IMPORTRANGE(""https://docs.google.com/spreadsheets/d/1-uDff_7J0KD5mKrp0Vvzr7lt3OU09vwQwhkpOPPYv2Y/edit?usp=sharing"",""งบพรบ!DR98"")"),0)</f>
        <v>0</v>
      </c>
      <c r="H98" s="74">
        <f ca="1">IFERROR(__xludf.DUMMYFUNCTION("IMPORTRANGE(""https://docs.google.com/spreadsheets/d/1-uDff_7J0KD5mKrp0Vvzr7lt3OU09vwQwhkpOPPYv2Y/edit?usp=sharing"",""งบพรบ!DT98"")"),0)</f>
        <v>0</v>
      </c>
      <c r="I98" s="74">
        <f ca="1">IFERROR(__xludf.DUMMYFUNCTION("IMPORTRANGE(""https://docs.google.com/spreadsheets/d/1-uDff_7J0KD5mKrp0Vvzr7lt3OU09vwQwhkpOPPYv2Y/edit?usp=sharing"",""งบพรบ!DU98"")"),0)</f>
        <v>0</v>
      </c>
      <c r="J98" s="74">
        <f t="shared" ca="1" si="65"/>
        <v>0</v>
      </c>
      <c r="K98" s="75">
        <f t="shared" ca="1" si="66"/>
        <v>0</v>
      </c>
      <c r="L98" s="74">
        <f ca="1">IFERROR(__xludf.DUMMYFUNCTION("IMPORTRANGE(""https://docs.google.com/spreadsheets/d/1-uDff_7J0KD5mKrp0Vvzr7lt3OU09vwQwhkpOPPYv2Y/edit?usp=sharing"",""งบพรบ!DV98"")"),0)</f>
        <v>0</v>
      </c>
      <c r="M98" s="76">
        <f t="shared" ca="1" si="67"/>
        <v>0</v>
      </c>
      <c r="N98" s="76">
        <f t="shared" ca="1" si="68"/>
        <v>0</v>
      </c>
      <c r="O98" s="77">
        <f ca="1">IFERROR(__xludf.DUMMYFUNCTION("IMPORTRANGE(""https://docs.google.com/spreadsheets/d/1-uDff_7J0KD5mKrp0Vvzr7lt3OU09vwQwhkpOPPYv2Y/edit?usp=sharing"",""งบพรบ!DW98"")"),0)</f>
        <v>0</v>
      </c>
      <c r="P98" s="77">
        <f t="shared" ca="1" si="69"/>
        <v>0</v>
      </c>
      <c r="Q98" s="76">
        <f t="shared" ca="1" si="70"/>
        <v>0</v>
      </c>
      <c r="R98" s="329"/>
      <c r="S98" s="329"/>
      <c r="T98" s="330"/>
      <c r="U98" s="329"/>
      <c r="V98" s="329"/>
      <c r="W98" s="330"/>
      <c r="X98" s="329"/>
      <c r="Y98" s="329"/>
      <c r="Z98" s="330"/>
      <c r="AA98" s="329"/>
      <c r="AB98" s="330"/>
      <c r="AC98" s="291"/>
      <c r="AD98" s="291"/>
      <c r="AE98" s="331"/>
      <c r="AF98" s="291"/>
      <c r="AG98" s="331"/>
    </row>
    <row r="99" spans="1:33" ht="24" customHeight="1" x14ac:dyDescent="0.3">
      <c r="A99" s="105"/>
      <c r="B99" s="106" t="s">
        <v>127</v>
      </c>
      <c r="C99" s="173">
        <f t="shared" ca="1" si="63"/>
        <v>0</v>
      </c>
      <c r="D99" s="174">
        <f t="shared" ca="1" si="64"/>
        <v>0</v>
      </c>
      <c r="E99" s="74">
        <f ca="1">IFERROR(__xludf.DUMMYFUNCTION("IMPORTRANGE(""https://docs.google.com/spreadsheets/d/1-uDff_7J0KD5mKrp0Vvzr7lt3OU09vwQwhkpOPPYv2Y/edit?usp=sharing"",""งบพรบ!DP99"")"),0)</f>
        <v>0</v>
      </c>
      <c r="F99" s="74">
        <f ca="1">IFERROR(__xludf.DUMMYFUNCTION("IMPORTRANGE(""https://docs.google.com/spreadsheets/d/1-uDff_7J0KD5mKrp0Vvzr7lt3OU09vwQwhkpOPPYv2Y/edit?usp=sharing"",""งบพรบ!DQ99"")"),0)</f>
        <v>0</v>
      </c>
      <c r="G99" s="74">
        <f ca="1">IFERROR(__xludf.DUMMYFUNCTION("IMPORTRANGE(""https://docs.google.com/spreadsheets/d/1-uDff_7J0KD5mKrp0Vvzr7lt3OU09vwQwhkpOPPYv2Y/edit?usp=sharing"",""งบพรบ!DR99"")"),0)</f>
        <v>0</v>
      </c>
      <c r="H99" s="74">
        <f ca="1">IFERROR(__xludf.DUMMYFUNCTION("IMPORTRANGE(""https://docs.google.com/spreadsheets/d/1-uDff_7J0KD5mKrp0Vvzr7lt3OU09vwQwhkpOPPYv2Y/edit?usp=sharing"",""งบพรบ!DT99"")"),0)</f>
        <v>0</v>
      </c>
      <c r="I99" s="74">
        <f ca="1">IFERROR(__xludf.DUMMYFUNCTION("IMPORTRANGE(""https://docs.google.com/spreadsheets/d/1-uDff_7J0KD5mKrp0Vvzr7lt3OU09vwQwhkpOPPYv2Y/edit?usp=sharing"",""งบพรบ!DU99"")"),0)</f>
        <v>0</v>
      </c>
      <c r="J99" s="74">
        <f t="shared" ca="1" si="65"/>
        <v>0</v>
      </c>
      <c r="K99" s="75">
        <f t="shared" ca="1" si="66"/>
        <v>0</v>
      </c>
      <c r="L99" s="74">
        <f ca="1">IFERROR(__xludf.DUMMYFUNCTION("IMPORTRANGE(""https://docs.google.com/spreadsheets/d/1-uDff_7J0KD5mKrp0Vvzr7lt3OU09vwQwhkpOPPYv2Y/edit?usp=sharing"",""งบพรบ!DV99"")"),0)</f>
        <v>0</v>
      </c>
      <c r="M99" s="76">
        <f t="shared" ca="1" si="67"/>
        <v>0</v>
      </c>
      <c r="N99" s="76">
        <f t="shared" ca="1" si="68"/>
        <v>0</v>
      </c>
      <c r="O99" s="77">
        <f ca="1">IFERROR(__xludf.DUMMYFUNCTION("IMPORTRANGE(""https://docs.google.com/spreadsheets/d/1-uDff_7J0KD5mKrp0Vvzr7lt3OU09vwQwhkpOPPYv2Y/edit?usp=sharing"",""งบพรบ!DW99"")"),0)</f>
        <v>0</v>
      </c>
      <c r="P99" s="77">
        <f t="shared" ca="1" si="69"/>
        <v>0</v>
      </c>
      <c r="Q99" s="76">
        <f t="shared" ca="1" si="70"/>
        <v>0</v>
      </c>
      <c r="R99" s="329"/>
      <c r="S99" s="329"/>
      <c r="T99" s="330"/>
      <c r="U99" s="329"/>
      <c r="V99" s="329"/>
      <c r="W99" s="330"/>
      <c r="X99" s="329"/>
      <c r="Y99" s="329"/>
      <c r="Z99" s="330"/>
      <c r="AA99" s="329"/>
      <c r="AB99" s="330"/>
      <c r="AC99" s="291"/>
      <c r="AD99" s="291"/>
      <c r="AE99" s="331"/>
      <c r="AF99" s="291"/>
      <c r="AG99" s="331"/>
    </row>
    <row r="100" spans="1:33" ht="24" customHeight="1" x14ac:dyDescent="0.3">
      <c r="A100" s="105"/>
      <c r="B100" s="106" t="s">
        <v>128</v>
      </c>
      <c r="C100" s="173">
        <f t="shared" ca="1" si="63"/>
        <v>0</v>
      </c>
      <c r="D100" s="174">
        <f t="shared" ca="1" si="64"/>
        <v>0</v>
      </c>
      <c r="E100" s="74">
        <f ca="1">IFERROR(__xludf.DUMMYFUNCTION("IMPORTRANGE(""https://docs.google.com/spreadsheets/d/1-uDff_7J0KD5mKrp0Vvzr7lt3OU09vwQwhkpOPPYv2Y/edit?usp=sharing"",""งบพรบ!DP100"")"),0)</f>
        <v>0</v>
      </c>
      <c r="F100" s="74">
        <f ca="1">IFERROR(__xludf.DUMMYFUNCTION("IMPORTRANGE(""https://docs.google.com/spreadsheets/d/1-uDff_7J0KD5mKrp0Vvzr7lt3OU09vwQwhkpOPPYv2Y/edit?usp=sharing"",""งบพรบ!DQ100"")"),0)</f>
        <v>0</v>
      </c>
      <c r="G100" s="74">
        <f ca="1">IFERROR(__xludf.DUMMYFUNCTION("IMPORTRANGE(""https://docs.google.com/spreadsheets/d/1-uDff_7J0KD5mKrp0Vvzr7lt3OU09vwQwhkpOPPYv2Y/edit?usp=sharing"",""งบพรบ!DR100"")"),0)</f>
        <v>0</v>
      </c>
      <c r="H100" s="74">
        <f ca="1">IFERROR(__xludf.DUMMYFUNCTION("IMPORTRANGE(""https://docs.google.com/spreadsheets/d/1-uDff_7J0KD5mKrp0Vvzr7lt3OU09vwQwhkpOPPYv2Y/edit?usp=sharing"",""งบพรบ!DT100"")"),0)</f>
        <v>0</v>
      </c>
      <c r="I100" s="74">
        <f ca="1">IFERROR(__xludf.DUMMYFUNCTION("IMPORTRANGE(""https://docs.google.com/spreadsheets/d/1-uDff_7J0KD5mKrp0Vvzr7lt3OU09vwQwhkpOPPYv2Y/edit?usp=sharing"",""งบพรบ!DU100"")"),0)</f>
        <v>0</v>
      </c>
      <c r="J100" s="74">
        <f t="shared" ca="1" si="65"/>
        <v>0</v>
      </c>
      <c r="K100" s="75">
        <f t="shared" ca="1" si="66"/>
        <v>0</v>
      </c>
      <c r="L100" s="74">
        <f ca="1">IFERROR(__xludf.DUMMYFUNCTION("IMPORTRANGE(""https://docs.google.com/spreadsheets/d/1-uDff_7J0KD5mKrp0Vvzr7lt3OU09vwQwhkpOPPYv2Y/edit?usp=sharing"",""งบพรบ!DV100"")"),0)</f>
        <v>0</v>
      </c>
      <c r="M100" s="76">
        <f t="shared" ca="1" si="67"/>
        <v>0</v>
      </c>
      <c r="N100" s="76">
        <f t="shared" ca="1" si="68"/>
        <v>0</v>
      </c>
      <c r="O100" s="77">
        <f ca="1">IFERROR(__xludf.DUMMYFUNCTION("IMPORTRANGE(""https://docs.google.com/spreadsheets/d/1-uDff_7J0KD5mKrp0Vvzr7lt3OU09vwQwhkpOPPYv2Y/edit?usp=sharing"",""งบพรบ!DW100"")"),0)</f>
        <v>0</v>
      </c>
      <c r="P100" s="77">
        <f t="shared" ca="1" si="69"/>
        <v>0</v>
      </c>
      <c r="Q100" s="76">
        <f t="shared" ca="1" si="70"/>
        <v>0</v>
      </c>
      <c r="R100" s="329"/>
      <c r="S100" s="329"/>
      <c r="T100" s="330"/>
      <c r="U100" s="329"/>
      <c r="V100" s="329"/>
      <c r="W100" s="330"/>
      <c r="X100" s="329"/>
      <c r="Y100" s="329"/>
      <c r="Z100" s="330"/>
      <c r="AA100" s="329"/>
      <c r="AB100" s="330"/>
      <c r="AC100" s="291"/>
      <c r="AD100" s="291"/>
      <c r="AE100" s="331"/>
      <c r="AF100" s="291"/>
      <c r="AG100" s="331"/>
    </row>
    <row r="101" spans="1:33" ht="24" customHeight="1" x14ac:dyDescent="0.3">
      <c r="A101" s="105"/>
      <c r="B101" s="106" t="s">
        <v>129</v>
      </c>
      <c r="C101" s="173">
        <f t="shared" ca="1" si="63"/>
        <v>993450</v>
      </c>
      <c r="D101" s="174">
        <f t="shared" ca="1" si="64"/>
        <v>993450</v>
      </c>
      <c r="E101" s="74">
        <f ca="1">IFERROR(__xludf.DUMMYFUNCTION("IMPORTRANGE(""https://docs.google.com/spreadsheets/d/1-uDff_7J0KD5mKrp0Vvzr7lt3OU09vwQwhkpOPPYv2Y/edit?usp=sharing"",""งบพรบ!DP101"")"),196900)</f>
        <v>196900</v>
      </c>
      <c r="F101" s="74">
        <f ca="1">IFERROR(__xludf.DUMMYFUNCTION("IMPORTRANGE(""https://docs.google.com/spreadsheets/d/1-uDff_7J0KD5mKrp0Vvzr7lt3OU09vwQwhkpOPPYv2Y/edit?usp=sharing"",""งบพรบ!DQ101"")"),796550)</f>
        <v>796550</v>
      </c>
      <c r="G101" s="74">
        <f ca="1">IFERROR(__xludf.DUMMYFUNCTION("IMPORTRANGE(""https://docs.google.com/spreadsheets/d/1-uDff_7J0KD5mKrp0Vvzr7lt3OU09vwQwhkpOPPYv2Y/edit?usp=sharing"",""งบพรบ!DR101"")"),0)</f>
        <v>0</v>
      </c>
      <c r="H101" s="74">
        <f ca="1">IFERROR(__xludf.DUMMYFUNCTION("IMPORTRANGE(""https://docs.google.com/spreadsheets/d/1-uDff_7J0KD5mKrp0Vvzr7lt3OU09vwQwhkpOPPYv2Y/edit?usp=sharing"",""งบพรบ!DT101"")"),596610)</f>
        <v>596610</v>
      </c>
      <c r="I101" s="74">
        <f ca="1">IFERROR(__xludf.DUMMYFUNCTION("IMPORTRANGE(""https://docs.google.com/spreadsheets/d/1-uDff_7J0KD5mKrp0Vvzr7lt3OU09vwQwhkpOPPYv2Y/edit?usp=sharing"",""งบพรบ!DU101"")"),0)</f>
        <v>0</v>
      </c>
      <c r="J101" s="74">
        <f t="shared" ca="1" si="65"/>
        <v>511702.69</v>
      </c>
      <c r="K101" s="75">
        <f t="shared" ca="1" si="66"/>
        <v>51.507644068649654</v>
      </c>
      <c r="L101" s="74">
        <f ca="1">IFERROR(__xludf.DUMMYFUNCTION("IMPORTRANGE(""https://docs.google.com/spreadsheets/d/1-uDff_7J0KD5mKrp0Vvzr7lt3OU09vwQwhkpOPPYv2Y/edit?usp=sharing"",""งบพรบ!DV101"")"),511702.69)</f>
        <v>511702.69</v>
      </c>
      <c r="M101" s="76">
        <f t="shared" ca="1" si="67"/>
        <v>51.507644068649654</v>
      </c>
      <c r="N101" s="76">
        <f t="shared" ca="1" si="68"/>
        <v>85.768372973969591</v>
      </c>
      <c r="O101" s="77">
        <f ca="1">IFERROR(__xludf.DUMMYFUNCTION("IMPORTRANGE(""https://docs.google.com/spreadsheets/d/1-uDff_7J0KD5mKrp0Vvzr7lt3OU09vwQwhkpOPPYv2Y/edit?usp=sharing"",""งบพรบ!DW101"")"),0)</f>
        <v>0</v>
      </c>
      <c r="P101" s="77">
        <f t="shared" ca="1" si="69"/>
        <v>0</v>
      </c>
      <c r="Q101" s="76">
        <f t="shared" ca="1" si="70"/>
        <v>0</v>
      </c>
      <c r="R101" s="329"/>
      <c r="S101" s="329"/>
      <c r="T101" s="330"/>
      <c r="U101" s="329"/>
      <c r="V101" s="329"/>
      <c r="W101" s="330"/>
      <c r="X101" s="329"/>
      <c r="Y101" s="329"/>
      <c r="Z101" s="330"/>
      <c r="AA101" s="329"/>
      <c r="AB101" s="330"/>
      <c r="AC101" s="291"/>
      <c r="AD101" s="291"/>
      <c r="AE101" s="331"/>
      <c r="AF101" s="291"/>
      <c r="AG101" s="331"/>
    </row>
    <row r="102" spans="1:33" ht="24" customHeight="1" x14ac:dyDescent="0.3">
      <c r="A102" s="105"/>
      <c r="B102" s="106" t="s">
        <v>130</v>
      </c>
      <c r="C102" s="173">
        <f t="shared" ca="1" si="63"/>
        <v>0</v>
      </c>
      <c r="D102" s="174">
        <f t="shared" ca="1" si="64"/>
        <v>0</v>
      </c>
      <c r="E102" s="74">
        <f ca="1">IFERROR(__xludf.DUMMYFUNCTION("IMPORTRANGE(""https://docs.google.com/spreadsheets/d/1-uDff_7J0KD5mKrp0Vvzr7lt3OU09vwQwhkpOPPYv2Y/edit?usp=sharing"",""งบพรบ!DP102"")"),0)</f>
        <v>0</v>
      </c>
      <c r="F102" s="74">
        <f ca="1">IFERROR(__xludf.DUMMYFUNCTION("IMPORTRANGE(""https://docs.google.com/spreadsheets/d/1-uDff_7J0KD5mKrp0Vvzr7lt3OU09vwQwhkpOPPYv2Y/edit?usp=sharing"",""งบพรบ!DQ102"")"),0)</f>
        <v>0</v>
      </c>
      <c r="G102" s="74">
        <f ca="1">IFERROR(__xludf.DUMMYFUNCTION("IMPORTRANGE(""https://docs.google.com/spreadsheets/d/1-uDff_7J0KD5mKrp0Vvzr7lt3OU09vwQwhkpOPPYv2Y/edit?usp=sharing"",""งบพรบ!DR102"")"),0)</f>
        <v>0</v>
      </c>
      <c r="H102" s="74">
        <f ca="1">IFERROR(__xludf.DUMMYFUNCTION("IMPORTRANGE(""https://docs.google.com/spreadsheets/d/1-uDff_7J0KD5mKrp0Vvzr7lt3OU09vwQwhkpOPPYv2Y/edit?usp=sharing"",""งบพรบ!DT102"")"),0)</f>
        <v>0</v>
      </c>
      <c r="I102" s="74">
        <f ca="1">IFERROR(__xludf.DUMMYFUNCTION("IMPORTRANGE(""https://docs.google.com/spreadsheets/d/1-uDff_7J0KD5mKrp0Vvzr7lt3OU09vwQwhkpOPPYv2Y/edit?usp=sharing"",""งบพรบ!DU102"")"),0)</f>
        <v>0</v>
      </c>
      <c r="J102" s="74">
        <f t="shared" ca="1" si="65"/>
        <v>0</v>
      </c>
      <c r="K102" s="75">
        <f t="shared" ca="1" si="66"/>
        <v>0</v>
      </c>
      <c r="L102" s="74">
        <f ca="1">IFERROR(__xludf.DUMMYFUNCTION("IMPORTRANGE(""https://docs.google.com/spreadsheets/d/1-uDff_7J0KD5mKrp0Vvzr7lt3OU09vwQwhkpOPPYv2Y/edit?usp=sharing"",""งบพรบ!DV102"")"),0)</f>
        <v>0</v>
      </c>
      <c r="M102" s="76">
        <f t="shared" ca="1" si="67"/>
        <v>0</v>
      </c>
      <c r="N102" s="76">
        <f t="shared" ca="1" si="68"/>
        <v>0</v>
      </c>
      <c r="O102" s="77">
        <f ca="1">IFERROR(__xludf.DUMMYFUNCTION("IMPORTRANGE(""https://docs.google.com/spreadsheets/d/1-uDff_7J0KD5mKrp0Vvzr7lt3OU09vwQwhkpOPPYv2Y/edit?usp=sharing"",""งบพรบ!DW102"")"),0)</f>
        <v>0</v>
      </c>
      <c r="P102" s="77">
        <f t="shared" ca="1" si="69"/>
        <v>0</v>
      </c>
      <c r="Q102" s="76">
        <f t="shared" ca="1" si="70"/>
        <v>0</v>
      </c>
      <c r="R102" s="329"/>
      <c r="S102" s="329"/>
      <c r="T102" s="330"/>
      <c r="U102" s="329"/>
      <c r="V102" s="329"/>
      <c r="W102" s="330"/>
      <c r="X102" s="329"/>
      <c r="Y102" s="329"/>
      <c r="Z102" s="330"/>
      <c r="AA102" s="329"/>
      <c r="AB102" s="330"/>
      <c r="AC102" s="291"/>
      <c r="AD102" s="291"/>
      <c r="AE102" s="331"/>
      <c r="AF102" s="291"/>
      <c r="AG102" s="331"/>
    </row>
    <row r="103" spans="1:33" ht="24" customHeight="1" x14ac:dyDescent="0.3">
      <c r="A103" s="105"/>
      <c r="B103" s="106" t="s">
        <v>131</v>
      </c>
      <c r="C103" s="173">
        <f t="shared" ca="1" si="63"/>
        <v>0</v>
      </c>
      <c r="D103" s="174">
        <f t="shared" ca="1" si="64"/>
        <v>0</v>
      </c>
      <c r="E103" s="74">
        <f ca="1">IFERROR(__xludf.DUMMYFUNCTION("IMPORTRANGE(""https://docs.google.com/spreadsheets/d/1-uDff_7J0KD5mKrp0Vvzr7lt3OU09vwQwhkpOPPYv2Y/edit?usp=sharing"",""งบพรบ!DP103"")"),0)</f>
        <v>0</v>
      </c>
      <c r="F103" s="74">
        <f ca="1">IFERROR(__xludf.DUMMYFUNCTION("IMPORTRANGE(""https://docs.google.com/spreadsheets/d/1-uDff_7J0KD5mKrp0Vvzr7lt3OU09vwQwhkpOPPYv2Y/edit?usp=sharing"",""งบพรบ!DQ103"")"),0)</f>
        <v>0</v>
      </c>
      <c r="G103" s="74">
        <f ca="1">IFERROR(__xludf.DUMMYFUNCTION("IMPORTRANGE(""https://docs.google.com/spreadsheets/d/1-uDff_7J0KD5mKrp0Vvzr7lt3OU09vwQwhkpOPPYv2Y/edit?usp=sharing"",""งบพรบ!DR103"")"),0)</f>
        <v>0</v>
      </c>
      <c r="H103" s="74">
        <f ca="1">IFERROR(__xludf.DUMMYFUNCTION("IMPORTRANGE(""https://docs.google.com/spreadsheets/d/1-uDff_7J0KD5mKrp0Vvzr7lt3OU09vwQwhkpOPPYv2Y/edit?usp=sharing"",""งบพรบ!DT103"")"),0)</f>
        <v>0</v>
      </c>
      <c r="I103" s="74">
        <f ca="1">IFERROR(__xludf.DUMMYFUNCTION("IMPORTRANGE(""https://docs.google.com/spreadsheets/d/1-uDff_7J0KD5mKrp0Vvzr7lt3OU09vwQwhkpOPPYv2Y/edit?usp=sharing"",""งบพรบ!DU103"")"),0)</f>
        <v>0</v>
      </c>
      <c r="J103" s="74">
        <f t="shared" ca="1" si="65"/>
        <v>0</v>
      </c>
      <c r="K103" s="75">
        <f t="shared" ca="1" si="66"/>
        <v>0</v>
      </c>
      <c r="L103" s="74">
        <f ca="1">IFERROR(__xludf.DUMMYFUNCTION("IMPORTRANGE(""https://docs.google.com/spreadsheets/d/1-uDff_7J0KD5mKrp0Vvzr7lt3OU09vwQwhkpOPPYv2Y/edit?usp=sharing"",""งบพรบ!DV103"")"),0)</f>
        <v>0</v>
      </c>
      <c r="M103" s="76">
        <f t="shared" ca="1" si="67"/>
        <v>0</v>
      </c>
      <c r="N103" s="76">
        <f t="shared" ca="1" si="68"/>
        <v>0</v>
      </c>
      <c r="O103" s="77">
        <f ca="1">IFERROR(__xludf.DUMMYFUNCTION("IMPORTRANGE(""https://docs.google.com/spreadsheets/d/1-uDff_7J0KD5mKrp0Vvzr7lt3OU09vwQwhkpOPPYv2Y/edit?usp=sharing"",""งบพรบ!DW103"")"),0)</f>
        <v>0</v>
      </c>
      <c r="P103" s="77">
        <f t="shared" ca="1" si="69"/>
        <v>0</v>
      </c>
      <c r="Q103" s="76">
        <f t="shared" ca="1" si="70"/>
        <v>0</v>
      </c>
      <c r="R103" s="332"/>
      <c r="S103" s="332"/>
      <c r="T103" s="333"/>
      <c r="U103" s="332"/>
      <c r="V103" s="332"/>
      <c r="W103" s="333"/>
      <c r="X103" s="332"/>
      <c r="Y103" s="332"/>
      <c r="Z103" s="333"/>
      <c r="AA103" s="332"/>
      <c r="AB103" s="333"/>
      <c r="AC103" s="334"/>
      <c r="AD103" s="334"/>
      <c r="AE103" s="335"/>
      <c r="AF103" s="334"/>
      <c r="AG103" s="335"/>
    </row>
    <row r="104" spans="1:33" ht="24" customHeight="1" x14ac:dyDescent="0.3">
      <c r="A104" s="105"/>
      <c r="B104" s="106" t="s">
        <v>132</v>
      </c>
      <c r="C104" s="173">
        <f t="shared" ca="1" si="63"/>
        <v>659400</v>
      </c>
      <c r="D104" s="174">
        <f t="shared" ca="1" si="64"/>
        <v>659400</v>
      </c>
      <c r="E104" s="74">
        <f ca="1">IFERROR(__xludf.DUMMYFUNCTION("IMPORTRANGE(""https://docs.google.com/spreadsheets/d/1-uDff_7J0KD5mKrp0Vvzr7lt3OU09vwQwhkpOPPYv2Y/edit?usp=sharing"",""งบพรบ!DP104"")"),659400)</f>
        <v>659400</v>
      </c>
      <c r="F104" s="74">
        <f ca="1">IFERROR(__xludf.DUMMYFUNCTION("IMPORTRANGE(""https://docs.google.com/spreadsheets/d/1-uDff_7J0KD5mKrp0Vvzr7lt3OU09vwQwhkpOPPYv2Y/edit?usp=sharing"",""งบพรบ!DQ104"")"),0)</f>
        <v>0</v>
      </c>
      <c r="G104" s="74">
        <f ca="1">IFERROR(__xludf.DUMMYFUNCTION("IMPORTRANGE(""https://docs.google.com/spreadsheets/d/1-uDff_7J0KD5mKrp0Vvzr7lt3OU09vwQwhkpOPPYv2Y/edit?usp=sharing"",""งบพรบ!DR104"")"),0)</f>
        <v>0</v>
      </c>
      <c r="H104" s="74">
        <f ca="1">IFERROR(__xludf.DUMMYFUNCTION("IMPORTRANGE(""https://docs.google.com/spreadsheets/d/1-uDff_7J0KD5mKrp0Vvzr7lt3OU09vwQwhkpOPPYv2Y/edit?usp=sharing"",""งบพรบ!DT104"")"),400000)</f>
        <v>400000</v>
      </c>
      <c r="I104" s="74">
        <f ca="1">IFERROR(__xludf.DUMMYFUNCTION("IMPORTRANGE(""https://docs.google.com/spreadsheets/d/1-uDff_7J0KD5mKrp0Vvzr7lt3OU09vwQwhkpOPPYv2Y/edit?usp=sharing"",""งบพรบ!DU104"")"),0)</f>
        <v>0</v>
      </c>
      <c r="J104" s="74">
        <f t="shared" ca="1" si="65"/>
        <v>299650</v>
      </c>
      <c r="K104" s="75">
        <f t="shared" ca="1" si="66"/>
        <v>45.442826812253564</v>
      </c>
      <c r="L104" s="74">
        <f ca="1">IFERROR(__xludf.DUMMYFUNCTION("IMPORTRANGE(""https://docs.google.com/spreadsheets/d/1-uDff_7J0KD5mKrp0Vvzr7lt3OU09vwQwhkpOPPYv2Y/edit?usp=sharing"",""งบพรบ!DV104"")"),299650)</f>
        <v>299650</v>
      </c>
      <c r="M104" s="76">
        <f t="shared" ca="1" si="67"/>
        <v>45.442826812253564</v>
      </c>
      <c r="N104" s="76">
        <f t="shared" ca="1" si="68"/>
        <v>74.912499999999994</v>
      </c>
      <c r="O104" s="77">
        <f ca="1">IFERROR(__xludf.DUMMYFUNCTION("IMPORTRANGE(""https://docs.google.com/spreadsheets/d/1-uDff_7J0KD5mKrp0Vvzr7lt3OU09vwQwhkpOPPYv2Y/edit?usp=sharing"",""งบพรบ!DW104"")"),0)</f>
        <v>0</v>
      </c>
      <c r="P104" s="77">
        <f t="shared" ca="1" si="69"/>
        <v>0</v>
      </c>
      <c r="Q104" s="76">
        <f t="shared" ca="1" si="70"/>
        <v>0</v>
      </c>
      <c r="R104" s="329"/>
      <c r="S104" s="329"/>
      <c r="T104" s="330"/>
      <c r="U104" s="329"/>
      <c r="V104" s="329"/>
      <c r="W104" s="330"/>
      <c r="X104" s="329"/>
      <c r="Y104" s="329"/>
      <c r="Z104" s="330"/>
      <c r="AA104" s="329"/>
      <c r="AB104" s="330"/>
      <c r="AC104" s="291"/>
      <c r="AD104" s="291"/>
      <c r="AE104" s="331"/>
      <c r="AF104" s="291"/>
      <c r="AG104" s="331"/>
    </row>
    <row r="105" spans="1:33" ht="24" customHeight="1" x14ac:dyDescent="0.3">
      <c r="A105" s="105"/>
      <c r="B105" s="109" t="s">
        <v>133</v>
      </c>
      <c r="C105" s="173">
        <f t="shared" ca="1" si="63"/>
        <v>0</v>
      </c>
      <c r="D105" s="174">
        <f t="shared" ca="1" si="64"/>
        <v>0</v>
      </c>
      <c r="E105" s="74">
        <f ca="1">IFERROR(__xludf.DUMMYFUNCTION("IMPORTRANGE(""https://docs.google.com/spreadsheets/d/1-uDff_7J0KD5mKrp0Vvzr7lt3OU09vwQwhkpOPPYv2Y/edit?usp=sharing"",""งบพรบ!DP105"")"),0)</f>
        <v>0</v>
      </c>
      <c r="F105" s="74">
        <f ca="1">IFERROR(__xludf.DUMMYFUNCTION("IMPORTRANGE(""https://docs.google.com/spreadsheets/d/1-uDff_7J0KD5mKrp0Vvzr7lt3OU09vwQwhkpOPPYv2Y/edit?usp=sharing"",""งบพรบ!DQ105"")"),0)</f>
        <v>0</v>
      </c>
      <c r="G105" s="74">
        <f ca="1">IFERROR(__xludf.DUMMYFUNCTION("IMPORTRANGE(""https://docs.google.com/spreadsheets/d/1-uDff_7J0KD5mKrp0Vvzr7lt3OU09vwQwhkpOPPYv2Y/edit?usp=sharing"",""งบพรบ!DR105"")"),0)</f>
        <v>0</v>
      </c>
      <c r="H105" s="74">
        <f ca="1">IFERROR(__xludf.DUMMYFUNCTION("IMPORTRANGE(""https://docs.google.com/spreadsheets/d/1-uDff_7J0KD5mKrp0Vvzr7lt3OU09vwQwhkpOPPYv2Y/edit?usp=sharing"",""งบพรบ!DT105"")"),0)</f>
        <v>0</v>
      </c>
      <c r="I105" s="74">
        <f ca="1">IFERROR(__xludf.DUMMYFUNCTION("IMPORTRANGE(""https://docs.google.com/spreadsheets/d/1-uDff_7J0KD5mKrp0Vvzr7lt3OU09vwQwhkpOPPYv2Y/edit?usp=sharing"",""งบพรบ!DU105"")"),0)</f>
        <v>0</v>
      </c>
      <c r="J105" s="74">
        <f t="shared" ca="1" si="65"/>
        <v>0</v>
      </c>
      <c r="K105" s="75">
        <f t="shared" ca="1" si="66"/>
        <v>0</v>
      </c>
      <c r="L105" s="74">
        <f ca="1">IFERROR(__xludf.DUMMYFUNCTION("IMPORTRANGE(""https://docs.google.com/spreadsheets/d/1-uDff_7J0KD5mKrp0Vvzr7lt3OU09vwQwhkpOPPYv2Y/edit?usp=sharing"",""งบพรบ!DV105"")"),0)</f>
        <v>0</v>
      </c>
      <c r="M105" s="76">
        <f t="shared" ca="1" si="67"/>
        <v>0</v>
      </c>
      <c r="N105" s="76">
        <f t="shared" ca="1" si="68"/>
        <v>0</v>
      </c>
      <c r="O105" s="77">
        <f ca="1">IFERROR(__xludf.DUMMYFUNCTION("IMPORTRANGE(""https://docs.google.com/spreadsheets/d/1-uDff_7J0KD5mKrp0Vvzr7lt3OU09vwQwhkpOPPYv2Y/edit?usp=sharing"",""งบพรบ!DW105"")"),0)</f>
        <v>0</v>
      </c>
      <c r="P105" s="77">
        <f t="shared" ca="1" si="69"/>
        <v>0</v>
      </c>
      <c r="Q105" s="76">
        <f t="shared" ca="1" si="70"/>
        <v>0</v>
      </c>
      <c r="R105" s="336"/>
      <c r="S105" s="336"/>
      <c r="T105" s="336"/>
      <c r="U105" s="336"/>
      <c r="V105" s="336"/>
      <c r="W105" s="336"/>
      <c r="X105" s="336"/>
      <c r="Y105" s="336"/>
      <c r="Z105" s="336"/>
      <c r="AA105" s="336"/>
      <c r="AB105" s="336"/>
      <c r="AC105" s="284"/>
      <c r="AD105" s="284"/>
      <c r="AE105" s="284"/>
      <c r="AF105" s="284"/>
      <c r="AG105" s="284"/>
    </row>
    <row r="106" spans="1:33" ht="24" customHeight="1" x14ac:dyDescent="0.3">
      <c r="A106" s="105"/>
      <c r="B106" s="109" t="s">
        <v>134</v>
      </c>
      <c r="C106" s="173">
        <f t="shared" ca="1" si="63"/>
        <v>0</v>
      </c>
      <c r="D106" s="174">
        <f t="shared" ca="1" si="64"/>
        <v>0</v>
      </c>
      <c r="E106" s="74">
        <f ca="1">IFERROR(__xludf.DUMMYFUNCTION("IMPORTRANGE(""https://docs.google.com/spreadsheets/d/1-uDff_7J0KD5mKrp0Vvzr7lt3OU09vwQwhkpOPPYv2Y/edit?usp=sharing"",""งบพรบ!DP106"")"),0)</f>
        <v>0</v>
      </c>
      <c r="F106" s="74">
        <f ca="1">IFERROR(__xludf.DUMMYFUNCTION("IMPORTRANGE(""https://docs.google.com/spreadsheets/d/1-uDff_7J0KD5mKrp0Vvzr7lt3OU09vwQwhkpOPPYv2Y/edit?usp=sharing"",""งบพรบ!DQ106"")"),0)</f>
        <v>0</v>
      </c>
      <c r="G106" s="74">
        <f ca="1">IFERROR(__xludf.DUMMYFUNCTION("IMPORTRANGE(""https://docs.google.com/spreadsheets/d/1-uDff_7J0KD5mKrp0Vvzr7lt3OU09vwQwhkpOPPYv2Y/edit?usp=sharing"",""งบพรบ!DR106"")"),0)</f>
        <v>0</v>
      </c>
      <c r="H106" s="74">
        <f ca="1">IFERROR(__xludf.DUMMYFUNCTION("IMPORTRANGE(""https://docs.google.com/spreadsheets/d/1-uDff_7J0KD5mKrp0Vvzr7lt3OU09vwQwhkpOPPYv2Y/edit?usp=sharing"",""งบพรบ!DT106"")"),0)</f>
        <v>0</v>
      </c>
      <c r="I106" s="74">
        <f ca="1">IFERROR(__xludf.DUMMYFUNCTION("IMPORTRANGE(""https://docs.google.com/spreadsheets/d/1-uDff_7J0KD5mKrp0Vvzr7lt3OU09vwQwhkpOPPYv2Y/edit?usp=sharing"",""งบพรบ!DU106"")"),0)</f>
        <v>0</v>
      </c>
      <c r="J106" s="74">
        <f t="shared" ca="1" si="65"/>
        <v>0</v>
      </c>
      <c r="K106" s="75">
        <f t="shared" ca="1" si="66"/>
        <v>0</v>
      </c>
      <c r="L106" s="74">
        <f ca="1">IFERROR(__xludf.DUMMYFUNCTION("IMPORTRANGE(""https://docs.google.com/spreadsheets/d/1-uDff_7J0KD5mKrp0Vvzr7lt3OU09vwQwhkpOPPYv2Y/edit?usp=sharing"",""งบพรบ!DV106"")"),0)</f>
        <v>0</v>
      </c>
      <c r="M106" s="76">
        <f t="shared" ca="1" si="67"/>
        <v>0</v>
      </c>
      <c r="N106" s="76">
        <f t="shared" ca="1" si="68"/>
        <v>0</v>
      </c>
      <c r="O106" s="77">
        <f ca="1">IFERROR(__xludf.DUMMYFUNCTION("IMPORTRANGE(""https://docs.google.com/spreadsheets/d/1-uDff_7J0KD5mKrp0Vvzr7lt3OU09vwQwhkpOPPYv2Y/edit?usp=sharing"",""งบพรบ!DW106"")"),0)</f>
        <v>0</v>
      </c>
      <c r="P106" s="77">
        <f t="shared" ca="1" si="69"/>
        <v>0</v>
      </c>
      <c r="Q106" s="76">
        <f t="shared" ca="1" si="70"/>
        <v>0</v>
      </c>
      <c r="R106" s="329"/>
      <c r="S106" s="329"/>
      <c r="T106" s="329"/>
      <c r="U106" s="329"/>
      <c r="V106" s="329"/>
      <c r="W106" s="329"/>
      <c r="X106" s="329"/>
      <c r="Y106" s="329"/>
      <c r="Z106" s="329"/>
      <c r="AA106" s="329"/>
      <c r="AB106" s="329"/>
      <c r="AC106" s="291"/>
      <c r="AD106" s="291"/>
      <c r="AE106" s="291"/>
      <c r="AF106" s="291"/>
      <c r="AG106" s="291"/>
    </row>
    <row r="107" spans="1:33" ht="24" customHeight="1" x14ac:dyDescent="0.3">
      <c r="A107" s="105"/>
      <c r="B107" s="109" t="s">
        <v>26</v>
      </c>
      <c r="C107" s="173">
        <f t="shared" ca="1" si="63"/>
        <v>0</v>
      </c>
      <c r="D107" s="174">
        <f t="shared" ca="1" si="64"/>
        <v>0</v>
      </c>
      <c r="E107" s="74">
        <f ca="1">IFERROR(__xludf.DUMMYFUNCTION("IMPORTRANGE(""https://docs.google.com/spreadsheets/d/1-uDff_7J0KD5mKrp0Vvzr7lt3OU09vwQwhkpOPPYv2Y/edit?usp=sharing"",""งบพรบ!DP107"")"),0)</f>
        <v>0</v>
      </c>
      <c r="F107" s="74">
        <f ca="1">IFERROR(__xludf.DUMMYFUNCTION("IMPORTRANGE(""https://docs.google.com/spreadsheets/d/1-uDff_7J0KD5mKrp0Vvzr7lt3OU09vwQwhkpOPPYv2Y/edit?usp=sharing"",""งบพรบ!DQ107"")"),0)</f>
        <v>0</v>
      </c>
      <c r="G107" s="74">
        <f ca="1">IFERROR(__xludf.DUMMYFUNCTION("IMPORTRANGE(""https://docs.google.com/spreadsheets/d/1-uDff_7J0KD5mKrp0Vvzr7lt3OU09vwQwhkpOPPYv2Y/edit?usp=sharing"",""งบพรบ!DR107"")"),0)</f>
        <v>0</v>
      </c>
      <c r="H107" s="74">
        <f ca="1">IFERROR(__xludf.DUMMYFUNCTION("IMPORTRANGE(""https://docs.google.com/spreadsheets/d/1-uDff_7J0KD5mKrp0Vvzr7lt3OU09vwQwhkpOPPYv2Y/edit?usp=sharing"",""งบพรบ!DT107"")"),0)</f>
        <v>0</v>
      </c>
      <c r="I107" s="74">
        <f ca="1">IFERROR(__xludf.DUMMYFUNCTION("IMPORTRANGE(""https://docs.google.com/spreadsheets/d/1-uDff_7J0KD5mKrp0Vvzr7lt3OU09vwQwhkpOPPYv2Y/edit?usp=sharing"",""งบพรบ!DU107"")"),0)</f>
        <v>0</v>
      </c>
      <c r="J107" s="74">
        <f t="shared" ca="1" si="65"/>
        <v>0</v>
      </c>
      <c r="K107" s="75">
        <f t="shared" ca="1" si="66"/>
        <v>0</v>
      </c>
      <c r="L107" s="74">
        <f ca="1">IFERROR(__xludf.DUMMYFUNCTION("IMPORTRANGE(""https://docs.google.com/spreadsheets/d/1-uDff_7J0KD5mKrp0Vvzr7lt3OU09vwQwhkpOPPYv2Y/edit?usp=sharing"",""งบพรบ!DV107"")"),0)</f>
        <v>0</v>
      </c>
      <c r="M107" s="76">
        <f t="shared" ca="1" si="67"/>
        <v>0</v>
      </c>
      <c r="N107" s="76">
        <f t="shared" ca="1" si="68"/>
        <v>0</v>
      </c>
      <c r="O107" s="77">
        <f ca="1">IFERROR(__xludf.DUMMYFUNCTION("IMPORTRANGE(""https://docs.google.com/spreadsheets/d/1-uDff_7J0KD5mKrp0Vvzr7lt3OU09vwQwhkpOPPYv2Y/edit?usp=sharing"",""งบพรบ!DW107"")"),0)</f>
        <v>0</v>
      </c>
      <c r="P107" s="77">
        <f t="shared" ca="1" si="69"/>
        <v>0</v>
      </c>
      <c r="Q107" s="76">
        <f t="shared" ca="1" si="70"/>
        <v>0</v>
      </c>
      <c r="R107" s="329"/>
      <c r="S107" s="329"/>
      <c r="T107" s="329"/>
      <c r="U107" s="329"/>
      <c r="V107" s="329"/>
      <c r="W107" s="329"/>
      <c r="X107" s="329"/>
      <c r="Y107" s="329"/>
      <c r="Z107" s="329"/>
      <c r="AA107" s="329"/>
      <c r="AB107" s="329"/>
      <c r="AC107" s="291"/>
      <c r="AD107" s="291"/>
      <c r="AE107" s="291"/>
      <c r="AF107" s="291"/>
      <c r="AG107" s="291"/>
    </row>
    <row r="108" spans="1:33" ht="24" customHeight="1" x14ac:dyDescent="0.3">
      <c r="A108" s="112"/>
      <c r="B108" s="113" t="s">
        <v>135</v>
      </c>
      <c r="C108" s="193">
        <f t="shared" ca="1" si="63"/>
        <v>0</v>
      </c>
      <c r="D108" s="194">
        <f t="shared" ca="1" si="64"/>
        <v>0</v>
      </c>
      <c r="E108" s="84">
        <f ca="1">IFERROR(__xludf.DUMMYFUNCTION("IMPORTRANGE(""https://docs.google.com/spreadsheets/d/1-uDff_7J0KD5mKrp0Vvzr7lt3OU09vwQwhkpOPPYv2Y/edit?usp=sharing"",""งบพรบ!DP108"")"),0)</f>
        <v>0</v>
      </c>
      <c r="F108" s="84">
        <f ca="1">IFERROR(__xludf.DUMMYFUNCTION("IMPORTRANGE(""https://docs.google.com/spreadsheets/d/1-uDff_7J0KD5mKrp0Vvzr7lt3OU09vwQwhkpOPPYv2Y/edit?usp=sharing"",""งบพรบ!DQ108"")"),0)</f>
        <v>0</v>
      </c>
      <c r="G108" s="84">
        <f ca="1">IFERROR(__xludf.DUMMYFUNCTION("IMPORTRANGE(""https://docs.google.com/spreadsheets/d/1-uDff_7J0KD5mKrp0Vvzr7lt3OU09vwQwhkpOPPYv2Y/edit?usp=sharing"",""งบพรบ!DR108"")"),0)</f>
        <v>0</v>
      </c>
      <c r="H108" s="84">
        <f ca="1">IFERROR(__xludf.DUMMYFUNCTION("IMPORTRANGE(""https://docs.google.com/spreadsheets/d/1-uDff_7J0KD5mKrp0Vvzr7lt3OU09vwQwhkpOPPYv2Y/edit?usp=sharing"",""งบพรบ!DT108"")"),0)</f>
        <v>0</v>
      </c>
      <c r="I108" s="84">
        <f ca="1">IFERROR(__xludf.DUMMYFUNCTION("IMPORTRANGE(""https://docs.google.com/spreadsheets/d/1-uDff_7J0KD5mKrp0Vvzr7lt3OU09vwQwhkpOPPYv2Y/edit?usp=sharing"",""งบพรบ!DU108"")"),0)</f>
        <v>0</v>
      </c>
      <c r="J108" s="84">
        <f t="shared" ca="1" si="65"/>
        <v>0</v>
      </c>
      <c r="K108" s="85">
        <f t="shared" ca="1" si="66"/>
        <v>0</v>
      </c>
      <c r="L108" s="84">
        <f ca="1">IFERROR(__xludf.DUMMYFUNCTION("IMPORTRANGE(""https://docs.google.com/spreadsheets/d/1-uDff_7J0KD5mKrp0Vvzr7lt3OU09vwQwhkpOPPYv2Y/edit?usp=sharing"",""งบพรบ!DV108"")"),0)</f>
        <v>0</v>
      </c>
      <c r="M108" s="86">
        <f t="shared" ca="1" si="67"/>
        <v>0</v>
      </c>
      <c r="N108" s="86">
        <f t="shared" ca="1" si="68"/>
        <v>0</v>
      </c>
      <c r="O108" s="87">
        <f ca="1">IFERROR(__xludf.DUMMYFUNCTION("IMPORTRANGE(""https://docs.google.com/spreadsheets/d/1-uDff_7J0KD5mKrp0Vvzr7lt3OU09vwQwhkpOPPYv2Y/edit?usp=sharing"",""งบพรบ!DW108"")"),0)</f>
        <v>0</v>
      </c>
      <c r="P108" s="87">
        <f t="shared" ca="1" si="69"/>
        <v>0</v>
      </c>
      <c r="Q108" s="86">
        <f t="shared" ca="1" si="70"/>
        <v>0</v>
      </c>
      <c r="R108" s="337"/>
      <c r="S108" s="337"/>
      <c r="T108" s="337"/>
      <c r="U108" s="337"/>
      <c r="V108" s="337"/>
      <c r="W108" s="337"/>
      <c r="X108" s="337"/>
      <c r="Y108" s="337"/>
      <c r="Z108" s="337"/>
      <c r="AA108" s="337"/>
      <c r="AB108" s="337"/>
      <c r="AC108" s="292"/>
      <c r="AD108" s="292"/>
      <c r="AE108" s="292"/>
      <c r="AF108" s="292"/>
      <c r="AG108" s="292"/>
    </row>
  </sheetData>
  <mergeCells count="33">
    <mergeCell ref="A89:B89"/>
    <mergeCell ref="E5:E6"/>
    <mergeCell ref="F5:F6"/>
    <mergeCell ref="G5:G6"/>
    <mergeCell ref="H5:H6"/>
    <mergeCell ref="A7:B7"/>
    <mergeCell ref="A13:B13"/>
    <mergeCell ref="A31:B31"/>
    <mergeCell ref="A52:B52"/>
    <mergeCell ref="A74:B74"/>
    <mergeCell ref="AF5:AG5"/>
    <mergeCell ref="A2:B6"/>
    <mergeCell ref="C2:Q2"/>
    <mergeCell ref="R2:AG2"/>
    <mergeCell ref="R3:T4"/>
    <mergeCell ref="U3:W4"/>
    <mergeCell ref="X3:AB4"/>
    <mergeCell ref="AC3:AG4"/>
    <mergeCell ref="C5:C6"/>
    <mergeCell ref="D5:D6"/>
    <mergeCell ref="I5:I6"/>
    <mergeCell ref="J5:K5"/>
    <mergeCell ref="L5:N5"/>
    <mergeCell ref="O5:Q5"/>
    <mergeCell ref="S5:T5"/>
    <mergeCell ref="V5:W5"/>
    <mergeCell ref="C3:Q3"/>
    <mergeCell ref="C4:G4"/>
    <mergeCell ref="H4:I4"/>
    <mergeCell ref="J4:Q4"/>
    <mergeCell ref="AD5:AE5"/>
    <mergeCell ref="Y5:Z5"/>
    <mergeCell ref="AA5:AB5"/>
  </mergeCells>
  <conditionalFormatting sqref="K14:K108">
    <cfRule type="colorScale" priority="1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T14:T88 W14:W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  <outlinePr summaryBelow="0" summaryRight="0"/>
  </sheetPr>
  <dimension ref="A1:T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30" customHeight="1" x14ac:dyDescent="0.2">
      <c r="A2" s="657" t="s">
        <v>1</v>
      </c>
      <c r="B2" s="658"/>
      <c r="C2" s="727" t="s">
        <v>214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727" t="s">
        <v>29</v>
      </c>
      <c r="S2" s="646"/>
      <c r="T2" s="647"/>
    </row>
    <row r="3" spans="1:20" ht="30" customHeight="1" x14ac:dyDescent="0.2">
      <c r="A3" s="659"/>
      <c r="B3" s="660"/>
      <c r="C3" s="728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29" t="s">
        <v>215</v>
      </c>
      <c r="S3" s="674"/>
      <c r="T3" s="658"/>
    </row>
    <row r="4" spans="1:20" ht="30" customHeight="1" x14ac:dyDescent="0.2">
      <c r="A4" s="659"/>
      <c r="B4" s="660"/>
      <c r="C4" s="677" t="s">
        <v>8</v>
      </c>
      <c r="D4" s="646"/>
      <c r="E4" s="646"/>
      <c r="F4" s="646"/>
      <c r="G4" s="647"/>
      <c r="H4" s="678" t="s">
        <v>9</v>
      </c>
      <c r="I4" s="647"/>
      <c r="J4" s="676" t="s">
        <v>10</v>
      </c>
      <c r="K4" s="646"/>
      <c r="L4" s="646"/>
      <c r="M4" s="646"/>
      <c r="N4" s="646"/>
      <c r="O4" s="646"/>
      <c r="P4" s="646"/>
      <c r="Q4" s="647"/>
      <c r="R4" s="661"/>
      <c r="S4" s="675"/>
      <c r="T4" s="662"/>
    </row>
    <row r="5" spans="1:20" ht="30" customHeight="1" x14ac:dyDescent="0.3">
      <c r="A5" s="659"/>
      <c r="B5" s="660"/>
      <c r="C5" s="731" t="s">
        <v>20</v>
      </c>
      <c r="D5" s="732" t="s">
        <v>21</v>
      </c>
      <c r="E5" s="733" t="s">
        <v>22</v>
      </c>
      <c r="F5" s="734" t="s">
        <v>23</v>
      </c>
      <c r="G5" s="735" t="s">
        <v>24</v>
      </c>
      <c r="H5" s="651" t="s">
        <v>25</v>
      </c>
      <c r="I5" s="651" t="s">
        <v>26</v>
      </c>
      <c r="J5" s="653" t="s">
        <v>27</v>
      </c>
      <c r="K5" s="647"/>
      <c r="L5" s="653" t="s">
        <v>25</v>
      </c>
      <c r="M5" s="646"/>
      <c r="N5" s="647"/>
      <c r="O5" s="654" t="s">
        <v>26</v>
      </c>
      <c r="P5" s="646"/>
      <c r="Q5" s="647"/>
      <c r="R5" s="7" t="s">
        <v>28</v>
      </c>
      <c r="S5" s="730" t="s">
        <v>29</v>
      </c>
      <c r="T5" s="647"/>
    </row>
    <row r="6" spans="1:20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7" t="s">
        <v>216</v>
      </c>
      <c r="S6" s="15" t="s">
        <v>216</v>
      </c>
      <c r="T6" s="14" t="s">
        <v>31</v>
      </c>
    </row>
    <row r="7" spans="1:20" ht="24" customHeight="1" x14ac:dyDescent="0.3">
      <c r="A7" s="663" t="s">
        <v>38</v>
      </c>
      <c r="B7" s="647"/>
      <c r="C7" s="126">
        <f t="shared" ref="C7:C9" ca="1" si="0">D7+G7</f>
        <v>8980200</v>
      </c>
      <c r="D7" s="127">
        <f t="shared" ref="D7:E7" ca="1" si="1">D8+D9+D12</f>
        <v>4109200</v>
      </c>
      <c r="E7" s="128">
        <f t="shared" ca="1" si="1"/>
        <v>1849100</v>
      </c>
      <c r="F7" s="129">
        <f ca="1">F8+F9</f>
        <v>2260100</v>
      </c>
      <c r="G7" s="130">
        <f t="shared" ref="G7:I7" ca="1" si="2">G8+G9+G12</f>
        <v>4871000</v>
      </c>
      <c r="H7" s="131">
        <f t="shared" ca="1" si="2"/>
        <v>4109200</v>
      </c>
      <c r="I7" s="131">
        <f t="shared" ca="1" si="2"/>
        <v>4561800</v>
      </c>
      <c r="J7" s="132">
        <f t="shared" ref="J7:J9" ca="1" si="3">L7+O7</f>
        <v>6789827.8300000001</v>
      </c>
      <c r="K7" s="133">
        <f t="shared" ref="K7:K9" ca="1" si="4">IF(C7&gt;0,J7*100/C7,0)</f>
        <v>75.608870960557667</v>
      </c>
      <c r="L7" s="132">
        <f ca="1">L8+L9+L12</f>
        <v>2399005.81</v>
      </c>
      <c r="M7" s="27">
        <f t="shared" ref="M7:M8" ca="1" si="5">IF(D7&gt;0,L7*100/D7,0)</f>
        <v>58.381334809695318</v>
      </c>
      <c r="N7" s="27">
        <f t="shared" ref="N7:N9" ca="1" si="6">IF(H7&gt;0,L7*100/H7,0)</f>
        <v>58.381334809695318</v>
      </c>
      <c r="O7" s="26">
        <f ca="1">O8+O9+O12</f>
        <v>4390822.0199999996</v>
      </c>
      <c r="P7" s="26">
        <f t="shared" ref="P7:P9" ca="1" si="7">IF(G7&gt;0,O7*100/G7,0)</f>
        <v>90.142106754259899</v>
      </c>
      <c r="Q7" s="27">
        <f t="shared" ref="Q7:Q9" ca="1" si="8">IF(I7&gt;0,O7*100/I7,0)</f>
        <v>96.251962383269742</v>
      </c>
      <c r="R7" s="211">
        <f t="shared" ref="R7:S7" ca="1" si="9">R8</f>
        <v>16</v>
      </c>
      <c r="S7" s="212">
        <f t="shared" ca="1" si="9"/>
        <v>13</v>
      </c>
      <c r="T7" s="213">
        <f t="shared" ref="T7:T8" ca="1" si="10">IF(R7&gt;0,S7*100/R7,0)</f>
        <v>81.25</v>
      </c>
    </row>
    <row r="8" spans="1:20" ht="28.5" customHeight="1" x14ac:dyDescent="0.3">
      <c r="A8" s="31" t="s">
        <v>39</v>
      </c>
      <c r="B8" s="31"/>
      <c r="C8" s="136">
        <f t="shared" ca="1" si="0"/>
        <v>6391000</v>
      </c>
      <c r="D8" s="136">
        <f t="shared" ref="D8:I8" ca="1" si="11">+D13+D31+D52+D74</f>
        <v>1520000</v>
      </c>
      <c r="E8" s="136">
        <f t="shared" ca="1" si="11"/>
        <v>0</v>
      </c>
      <c r="F8" s="136">
        <f t="shared" ca="1" si="11"/>
        <v>1520000</v>
      </c>
      <c r="G8" s="136">
        <f t="shared" ca="1" si="11"/>
        <v>4871000</v>
      </c>
      <c r="H8" s="136">
        <f t="shared" ca="1" si="11"/>
        <v>1587500</v>
      </c>
      <c r="I8" s="136">
        <f t="shared" ca="1" si="11"/>
        <v>4561800</v>
      </c>
      <c r="J8" s="136">
        <f t="shared" ca="1" si="3"/>
        <v>5306661.13</v>
      </c>
      <c r="K8" s="137">
        <f t="shared" ca="1" si="4"/>
        <v>83.033345798779536</v>
      </c>
      <c r="L8" s="136">
        <f ca="1">+L13+L31+L52+L74</f>
        <v>915839.1100000001</v>
      </c>
      <c r="M8" s="37">
        <f t="shared" ca="1" si="5"/>
        <v>60.252573026315801</v>
      </c>
      <c r="N8" s="37">
        <f t="shared" ca="1" si="6"/>
        <v>57.690652598425203</v>
      </c>
      <c r="O8" s="36">
        <f ca="1">+O13+O31+O52+O74</f>
        <v>4390822.0199999996</v>
      </c>
      <c r="P8" s="36">
        <f t="shared" ca="1" si="7"/>
        <v>90.142106754259899</v>
      </c>
      <c r="Q8" s="37">
        <f t="shared" ca="1" si="8"/>
        <v>96.251962383269742</v>
      </c>
      <c r="R8" s="276">
        <f t="shared" ref="R8:S8" ca="1" si="12">+R13+R31+R52+R74</f>
        <v>16</v>
      </c>
      <c r="S8" s="136">
        <f t="shared" ca="1" si="12"/>
        <v>13</v>
      </c>
      <c r="T8" s="37">
        <f t="shared" ca="1" si="10"/>
        <v>81.25</v>
      </c>
    </row>
    <row r="9" spans="1:20" ht="28.5" customHeight="1" x14ac:dyDescent="0.3">
      <c r="A9" s="38" t="s">
        <v>40</v>
      </c>
      <c r="B9" s="38"/>
      <c r="C9" s="139">
        <f t="shared" ca="1" si="0"/>
        <v>2589200</v>
      </c>
      <c r="D9" s="139">
        <f t="shared" ref="D9:I9" ca="1" si="13">+D89</f>
        <v>2589200</v>
      </c>
      <c r="E9" s="139">
        <f t="shared" ca="1" si="13"/>
        <v>1849100</v>
      </c>
      <c r="F9" s="139">
        <f t="shared" ca="1" si="13"/>
        <v>740100</v>
      </c>
      <c r="G9" s="139">
        <f t="shared" ca="1" si="13"/>
        <v>0</v>
      </c>
      <c r="H9" s="139">
        <f t="shared" ca="1" si="13"/>
        <v>2521700</v>
      </c>
      <c r="I9" s="139">
        <f t="shared" ca="1" si="13"/>
        <v>0</v>
      </c>
      <c r="J9" s="139">
        <f t="shared" ca="1" si="3"/>
        <v>1483166.7</v>
      </c>
      <c r="K9" s="140">
        <f t="shared" ca="1" si="4"/>
        <v>57.282817086358719</v>
      </c>
      <c r="L9" s="139">
        <f ca="1">+L89</f>
        <v>1483166.7</v>
      </c>
      <c r="M9" s="44">
        <f ca="1">IF(D9&gt;0,L9*100/D9,0)</f>
        <v>57.282817086358719</v>
      </c>
      <c r="N9" s="44">
        <f t="shared" ca="1" si="6"/>
        <v>58.816143871198001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246"/>
      <c r="S9" s="246"/>
      <c r="T9" s="247"/>
    </row>
    <row r="10" spans="1:20" ht="28.5" hidden="1" customHeight="1" x14ac:dyDescent="0.3">
      <c r="A10" s="45"/>
      <c r="B10" s="45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214"/>
      <c r="S10" s="214"/>
      <c r="T10" s="196"/>
    </row>
    <row r="11" spans="1:20" ht="28.5" hidden="1" customHeight="1" x14ac:dyDescent="0.3">
      <c r="A11" s="45"/>
      <c r="B11" s="45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214"/>
      <c r="S11" s="214"/>
      <c r="T11" s="196"/>
    </row>
    <row r="12" spans="1:20" ht="28.5" hidden="1" customHeight="1" x14ac:dyDescent="0.3">
      <c r="A12" s="45"/>
      <c r="B12" s="45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214"/>
      <c r="S12" s="214"/>
      <c r="T12" s="196"/>
    </row>
    <row r="13" spans="1:20" ht="19.5" x14ac:dyDescent="0.3">
      <c r="A13" s="664" t="s">
        <v>41</v>
      </c>
      <c r="B13" s="647"/>
      <c r="C13" s="145">
        <f t="shared" ref="C13:C88" ca="1" si="14">D13+G13</f>
        <v>125000</v>
      </c>
      <c r="D13" s="145">
        <f t="shared" ref="D13:I13" ca="1" si="15">SUM(D14:D30)</f>
        <v>125000</v>
      </c>
      <c r="E13" s="145">
        <f t="shared" ca="1" si="15"/>
        <v>0</v>
      </c>
      <c r="F13" s="145">
        <f t="shared" ca="1" si="15"/>
        <v>125000</v>
      </c>
      <c r="G13" s="145">
        <f t="shared" ca="1" si="15"/>
        <v>0</v>
      </c>
      <c r="H13" s="145">
        <f t="shared" ca="1" si="15"/>
        <v>192500</v>
      </c>
      <c r="I13" s="145">
        <f t="shared" ca="1" si="15"/>
        <v>0</v>
      </c>
      <c r="J13" s="145">
        <f t="shared" ref="J13:J88" ca="1" si="16">L13+O13</f>
        <v>151700</v>
      </c>
      <c r="K13" s="146">
        <f t="shared" ref="K13:K88" ca="1" si="17">IF(C13&gt;0,J13*100/C13,0)</f>
        <v>121.36</v>
      </c>
      <c r="L13" s="145">
        <f ca="1">SUM(L14:L30)</f>
        <v>151700</v>
      </c>
      <c r="M13" s="57">
        <f t="shared" ref="M13:M88" ca="1" si="18">IF(D13&gt;0,L13*100/D13,0)</f>
        <v>121.36</v>
      </c>
      <c r="N13" s="57">
        <f t="shared" ref="N13:N88" ca="1" si="19">IF(H13&gt;0,L13*100/H13,0)</f>
        <v>78.805194805194802</v>
      </c>
      <c r="O13" s="56">
        <f ca="1">SUM(O14:O30)</f>
        <v>0</v>
      </c>
      <c r="P13" s="56">
        <f t="shared" ref="P13:P88" ca="1" si="20">IF(G13&gt;0,O13*100/G13,0)</f>
        <v>0</v>
      </c>
      <c r="Q13" s="57">
        <f t="shared" ref="Q13:Q88" ca="1" si="21">IF(I13&gt;0,O13*100/I13,0)</f>
        <v>0</v>
      </c>
      <c r="R13" s="277">
        <f t="shared" ref="R13:S13" ca="1" si="22">SUM(R14:R30)</f>
        <v>3</v>
      </c>
      <c r="S13" s="145">
        <f t="shared" ca="1" si="22"/>
        <v>1</v>
      </c>
      <c r="T13" s="57">
        <f t="shared" ref="T13:T88" ca="1" si="23">IF(R13&gt;0,S13*100/R13,0)</f>
        <v>33.333333333333336</v>
      </c>
    </row>
    <row r="14" spans="1:20" ht="24" customHeight="1" x14ac:dyDescent="0.3">
      <c r="A14" s="58">
        <v>1</v>
      </c>
      <c r="B14" s="59" t="s">
        <v>42</v>
      </c>
      <c r="C14" s="149">
        <f t="shared" ca="1" si="14"/>
        <v>0</v>
      </c>
      <c r="D14" s="150">
        <f t="shared" ref="D14:D30" ca="1" si="24">+E14+F14</f>
        <v>0</v>
      </c>
      <c r="E14" s="151">
        <f ca="1">IFERROR(__xludf.DUMMYFUNCTION("IMPORTRANGE(""https://docs.google.com/spreadsheets/d/1-uDff_7J0KD5mKrp0Vvzr7lt3OU09vwQwhkpOPPYv2Y/edit?usp=sharing"",""งบพรบ!EJ14"")"),0)</f>
        <v>0</v>
      </c>
      <c r="F14" s="151">
        <f ca="1">IFERROR(__xludf.DUMMYFUNCTION("IMPORTRANGE(""https://docs.google.com/spreadsheets/d/1-uDff_7J0KD5mKrp0Vvzr7lt3OU09vwQwhkpOPPYv2Y/edit?usp=sharing"",""งบพรบ!EK14"")"),0)</f>
        <v>0</v>
      </c>
      <c r="G14" s="152">
        <f ca="1">IFERROR(__xludf.DUMMYFUNCTION("IMPORTRANGE(""https://docs.google.com/spreadsheets/d/1-uDff_7J0KD5mKrp0Vvzr7lt3OU09vwQwhkpOPPYv2Y/edit?usp=sharing"",""งบพรบ!EL14"")"),0)</f>
        <v>0</v>
      </c>
      <c r="H14" s="152">
        <f ca="1">IFERROR(__xludf.DUMMYFUNCTION("IMPORTRANGE(""https://docs.google.com/spreadsheets/d/1-uDff_7J0KD5mKrp0Vvzr7lt3OU09vwQwhkpOPPYv2Y/edit?usp=sharing"",""งบพรบ!EN14"")"),0)</f>
        <v>0</v>
      </c>
      <c r="I14" s="152">
        <f ca="1">IFERROR(__xludf.DUMMYFUNCTION("IMPORTRANGE(""https://docs.google.com/spreadsheets/d/1-uDff_7J0KD5mKrp0Vvzr7lt3OU09vwQwhkpOPPYv2Y/edit?usp=sharing"",""งบพรบ!EO14"")"),0)</f>
        <v>0</v>
      </c>
      <c r="J14" s="152">
        <f t="shared" ca="1" si="16"/>
        <v>0</v>
      </c>
      <c r="K14" s="153">
        <f t="shared" ca="1" si="17"/>
        <v>0</v>
      </c>
      <c r="L14" s="152">
        <f ca="1">IFERROR(__xludf.DUMMYFUNCTION("IMPORTRANGE(""https://docs.google.com/spreadsheets/d/1-uDff_7J0KD5mKrp0Vvzr7lt3OU09vwQwhkpOPPYv2Y/edit?usp=sharing"",""งบพรบ!EP14"")"),0)</f>
        <v>0</v>
      </c>
      <c r="M14" s="68">
        <f t="shared" ca="1" si="18"/>
        <v>0</v>
      </c>
      <c r="N14" s="68">
        <f t="shared" ca="1" si="19"/>
        <v>0</v>
      </c>
      <c r="O14" s="67">
        <f ca="1">IFERROR(__xludf.DUMMYFUNCTION("IMPORTRANGE(""https://docs.google.com/spreadsheets/d/1-uDff_7J0KD5mKrp0Vvzr7lt3OU09vwQwhkpOPPYv2Y/edit?usp=sharing"",""งบพรบ!EQ14"")"),0)</f>
        <v>0</v>
      </c>
      <c r="P14" s="67">
        <f t="shared" ca="1" si="20"/>
        <v>0</v>
      </c>
      <c r="Q14" s="68">
        <f t="shared" ca="1" si="21"/>
        <v>0</v>
      </c>
      <c r="R14" s="278">
        <f ca="1">IFERROR(__xludf.DUMMYFUNCTION("IMPORTRANGE(""https://docs.google.com/spreadsheets/d/1jTcq05yEiRwXcBMLjiodW9e4biSGYWAHcDj22rKWQ3s/edit?usp=sharing"",""กำแพงเพชร!I330"")"),1)</f>
        <v>1</v>
      </c>
      <c r="S14" s="152">
        <f ca="1">IFERROR(__xludf.DUMMYFUNCTION("IMPORTRANGE(""https://docs.google.com/spreadsheets/d/1jTcq05yEiRwXcBMLjiodW9e4biSGYWAHcDj22rKWQ3s/edit?usp=sharing"",""กำแพงเพชร!J330"")"),0)</f>
        <v>0</v>
      </c>
      <c r="T14" s="216">
        <f t="shared" ca="1" si="23"/>
        <v>0</v>
      </c>
    </row>
    <row r="15" spans="1:20" ht="24" customHeight="1" x14ac:dyDescent="0.3">
      <c r="A15" s="70">
        <v>2</v>
      </c>
      <c r="B15" s="71" t="s">
        <v>43</v>
      </c>
      <c r="C15" s="149">
        <f t="shared" ca="1" si="14"/>
        <v>0</v>
      </c>
      <c r="D15" s="150">
        <f t="shared" ca="1" si="24"/>
        <v>0</v>
      </c>
      <c r="E15" s="151">
        <f ca="1">IFERROR(__xludf.DUMMYFUNCTION("IMPORTRANGE(""https://docs.google.com/spreadsheets/d/1-uDff_7J0KD5mKrp0Vvzr7lt3OU09vwQwhkpOPPYv2Y/edit?usp=sharing"",""งบพรบ!EJ15"")"),0)</f>
        <v>0</v>
      </c>
      <c r="F15" s="151">
        <f ca="1">IFERROR(__xludf.DUMMYFUNCTION("IMPORTRANGE(""https://docs.google.com/spreadsheets/d/1-uDff_7J0KD5mKrp0Vvzr7lt3OU09vwQwhkpOPPYv2Y/edit?usp=sharing"",""งบพรบ!EK15"")"),0)</f>
        <v>0</v>
      </c>
      <c r="G15" s="151">
        <f ca="1">IFERROR(__xludf.DUMMYFUNCTION("IMPORTRANGE(""https://docs.google.com/spreadsheets/d/1-uDff_7J0KD5mKrp0Vvzr7lt3OU09vwQwhkpOPPYv2Y/edit?usp=sharing"",""งบพรบ!EL15"")"),0)</f>
        <v>0</v>
      </c>
      <c r="H15" s="151">
        <f ca="1">IFERROR(__xludf.DUMMYFUNCTION("IMPORTRANGE(""https://docs.google.com/spreadsheets/d/1-uDff_7J0KD5mKrp0Vvzr7lt3OU09vwQwhkpOPPYv2Y/edit?usp=sharing"",""งบพรบ!EN15"")"),0)</f>
        <v>0</v>
      </c>
      <c r="I15" s="151">
        <f ca="1">IFERROR(__xludf.DUMMYFUNCTION("IMPORTRANGE(""https://docs.google.com/spreadsheets/d/1-uDff_7J0KD5mKrp0Vvzr7lt3OU09vwQwhkpOPPYv2Y/edit?usp=sharing"",""งบพรบ!EO15"")"),0)</f>
        <v>0</v>
      </c>
      <c r="J15" s="151">
        <f t="shared" ca="1" si="16"/>
        <v>0</v>
      </c>
      <c r="K15" s="154">
        <f t="shared" ca="1" si="17"/>
        <v>0</v>
      </c>
      <c r="L15" s="151">
        <f ca="1">IFERROR(__xludf.DUMMYFUNCTION("IMPORTRANGE(""https://docs.google.com/spreadsheets/d/1-uDff_7J0KD5mKrp0Vvzr7lt3OU09vwQwhkpOPPYv2Y/edit?usp=sharing"",""งบพรบ!EP15"")"),0)</f>
        <v>0</v>
      </c>
      <c r="M15" s="68">
        <f t="shared" ca="1" si="18"/>
        <v>0</v>
      </c>
      <c r="N15" s="68">
        <f t="shared" ca="1" si="19"/>
        <v>0</v>
      </c>
      <c r="O15" s="67">
        <f ca="1">IFERROR(__xludf.DUMMYFUNCTION("IMPORTRANGE(""https://docs.google.com/spreadsheets/d/1-uDff_7J0KD5mKrp0Vvzr7lt3OU09vwQwhkpOPPYv2Y/edit?usp=sharing"",""งบพรบ!EQ15"")"),0)</f>
        <v>0</v>
      </c>
      <c r="P15" s="67">
        <f t="shared" ca="1" si="20"/>
        <v>0</v>
      </c>
      <c r="Q15" s="68">
        <f t="shared" ca="1" si="21"/>
        <v>0</v>
      </c>
      <c r="R15" s="278">
        <f ca="1">IFERROR(__xludf.DUMMYFUNCTION("IMPORTRANGE(""https://docs.google.com/spreadsheets/d/1KS0zmDSZPk8KnTAbGN-Xk6MtX1YRZD0ldgdt20K4CRk/edit?usp=sharing"",""เชียงราย!I330"")"),0)</f>
        <v>0</v>
      </c>
      <c r="S15" s="152">
        <f ca="1">IFERROR(__xludf.DUMMYFUNCTION("IMPORTRANGE(""https://docs.google.com/spreadsheets/d/1KS0zmDSZPk8KnTAbGN-Xk6MtX1YRZD0ldgdt20K4CRk/edit?usp=sharing"",""เชียงราย!J330"")"),0)</f>
        <v>0</v>
      </c>
      <c r="T15" s="216">
        <f t="shared" ca="1" si="23"/>
        <v>0</v>
      </c>
    </row>
    <row r="16" spans="1:20" ht="24" customHeight="1" x14ac:dyDescent="0.3">
      <c r="A16" s="70">
        <v>3</v>
      </c>
      <c r="B16" s="71" t="s">
        <v>44</v>
      </c>
      <c r="C16" s="149">
        <f t="shared" ca="1" si="14"/>
        <v>0</v>
      </c>
      <c r="D16" s="150">
        <f t="shared" ca="1" si="24"/>
        <v>0</v>
      </c>
      <c r="E16" s="151">
        <f ca="1">IFERROR(__xludf.DUMMYFUNCTION("IMPORTRANGE(""https://docs.google.com/spreadsheets/d/1-uDff_7J0KD5mKrp0Vvzr7lt3OU09vwQwhkpOPPYv2Y/edit?usp=sharing"",""งบพรบ!EJ16"")"),0)</f>
        <v>0</v>
      </c>
      <c r="F16" s="151">
        <f ca="1">IFERROR(__xludf.DUMMYFUNCTION("IMPORTRANGE(""https://docs.google.com/spreadsheets/d/1-uDff_7J0KD5mKrp0Vvzr7lt3OU09vwQwhkpOPPYv2Y/edit?usp=sharing"",""งบพรบ!EK16"")"),0)</f>
        <v>0</v>
      </c>
      <c r="G16" s="151">
        <f ca="1">IFERROR(__xludf.DUMMYFUNCTION("IMPORTRANGE(""https://docs.google.com/spreadsheets/d/1-uDff_7J0KD5mKrp0Vvzr7lt3OU09vwQwhkpOPPYv2Y/edit?usp=sharing"",""งบพรบ!EL16"")"),0)</f>
        <v>0</v>
      </c>
      <c r="H16" s="151">
        <f ca="1">IFERROR(__xludf.DUMMYFUNCTION("IMPORTRANGE(""https://docs.google.com/spreadsheets/d/1-uDff_7J0KD5mKrp0Vvzr7lt3OU09vwQwhkpOPPYv2Y/edit?usp=sharing"",""งบพรบ!EN16"")"),0)</f>
        <v>0</v>
      </c>
      <c r="I16" s="151">
        <f ca="1">IFERROR(__xludf.DUMMYFUNCTION("IMPORTRANGE(""https://docs.google.com/spreadsheets/d/1-uDff_7J0KD5mKrp0Vvzr7lt3OU09vwQwhkpOPPYv2Y/edit?usp=sharing"",""งบพรบ!EO16"")"),0)</f>
        <v>0</v>
      </c>
      <c r="J16" s="151">
        <f t="shared" ca="1" si="16"/>
        <v>0</v>
      </c>
      <c r="K16" s="154">
        <f t="shared" ca="1" si="17"/>
        <v>0</v>
      </c>
      <c r="L16" s="151">
        <f ca="1">IFERROR(__xludf.DUMMYFUNCTION("IMPORTRANGE(""https://docs.google.com/spreadsheets/d/1-uDff_7J0KD5mKrp0Vvzr7lt3OU09vwQwhkpOPPYv2Y/edit?usp=sharing"",""งบพรบ!EP16"")"),0)</f>
        <v>0</v>
      </c>
      <c r="M16" s="68">
        <f t="shared" ca="1" si="18"/>
        <v>0</v>
      </c>
      <c r="N16" s="68">
        <f t="shared" ca="1" si="19"/>
        <v>0</v>
      </c>
      <c r="O16" s="67">
        <f ca="1">IFERROR(__xludf.DUMMYFUNCTION("IMPORTRANGE(""https://docs.google.com/spreadsheets/d/1-uDff_7J0KD5mKrp0Vvzr7lt3OU09vwQwhkpOPPYv2Y/edit?usp=sharing"",""งบพรบ!EQ16"")"),0)</f>
        <v>0</v>
      </c>
      <c r="P16" s="67">
        <f t="shared" ca="1" si="20"/>
        <v>0</v>
      </c>
      <c r="Q16" s="68">
        <f t="shared" ca="1" si="21"/>
        <v>0</v>
      </c>
      <c r="R16" s="278">
        <f ca="1">IFERROR(__xludf.DUMMYFUNCTION("IMPORTRANGE(""https://docs.google.com/spreadsheets/d/1rEDxBtusbi64tE0zunoIbsTVV16HeL0oJ6trHQeQ7K8/edit?usp=sharing"",""เชียงใหม่!I330"")"),1)</f>
        <v>1</v>
      </c>
      <c r="S16" s="152">
        <f ca="1">IFERROR(__xludf.DUMMYFUNCTION("IMPORTRANGE(""https://docs.google.com/spreadsheets/d/1rEDxBtusbi64tE0zunoIbsTVV16HeL0oJ6trHQeQ7K8/edit?usp=sharing"",""เชียงใหม่!J330"")"),0)</f>
        <v>0</v>
      </c>
      <c r="T16" s="216">
        <f t="shared" ca="1" si="23"/>
        <v>0</v>
      </c>
    </row>
    <row r="17" spans="1:20" ht="24" customHeight="1" x14ac:dyDescent="0.3">
      <c r="A17" s="70">
        <v>4</v>
      </c>
      <c r="B17" s="71" t="s">
        <v>45</v>
      </c>
      <c r="C17" s="149">
        <f t="shared" ca="1" si="14"/>
        <v>0</v>
      </c>
      <c r="D17" s="150">
        <f t="shared" ca="1" si="24"/>
        <v>0</v>
      </c>
      <c r="E17" s="151">
        <f ca="1">IFERROR(__xludf.DUMMYFUNCTION("IMPORTRANGE(""https://docs.google.com/spreadsheets/d/1-uDff_7J0KD5mKrp0Vvzr7lt3OU09vwQwhkpOPPYv2Y/edit?usp=sharing"",""งบพรบ!EJ17"")"),0)</f>
        <v>0</v>
      </c>
      <c r="F17" s="151">
        <f ca="1">IFERROR(__xludf.DUMMYFUNCTION("IMPORTRANGE(""https://docs.google.com/spreadsheets/d/1-uDff_7J0KD5mKrp0Vvzr7lt3OU09vwQwhkpOPPYv2Y/edit?usp=sharing"",""งบพรบ!EK17"")"),0)</f>
        <v>0</v>
      </c>
      <c r="G17" s="151">
        <f ca="1">IFERROR(__xludf.DUMMYFUNCTION("IMPORTRANGE(""https://docs.google.com/spreadsheets/d/1-uDff_7J0KD5mKrp0Vvzr7lt3OU09vwQwhkpOPPYv2Y/edit?usp=sharing"",""งบพรบ!EL17"")"),0)</f>
        <v>0</v>
      </c>
      <c r="H17" s="151">
        <f ca="1">IFERROR(__xludf.DUMMYFUNCTION("IMPORTRANGE(""https://docs.google.com/spreadsheets/d/1-uDff_7J0KD5mKrp0Vvzr7lt3OU09vwQwhkpOPPYv2Y/edit?usp=sharing"",""งบพรบ!EN17"")"),0)</f>
        <v>0</v>
      </c>
      <c r="I17" s="151">
        <f ca="1">IFERROR(__xludf.DUMMYFUNCTION("IMPORTRANGE(""https://docs.google.com/spreadsheets/d/1-uDff_7J0KD5mKrp0Vvzr7lt3OU09vwQwhkpOPPYv2Y/edit?usp=sharing"",""งบพรบ!EO17"")"),0)</f>
        <v>0</v>
      </c>
      <c r="J17" s="151">
        <f t="shared" ca="1" si="16"/>
        <v>0</v>
      </c>
      <c r="K17" s="154">
        <f t="shared" ca="1" si="17"/>
        <v>0</v>
      </c>
      <c r="L17" s="151">
        <f ca="1">IFERROR(__xludf.DUMMYFUNCTION("IMPORTRANGE(""https://docs.google.com/spreadsheets/d/1-uDff_7J0KD5mKrp0Vvzr7lt3OU09vwQwhkpOPPYv2Y/edit?usp=sharing"",""งบพรบ!EP17"")"),0)</f>
        <v>0</v>
      </c>
      <c r="M17" s="68">
        <f t="shared" ca="1" si="18"/>
        <v>0</v>
      </c>
      <c r="N17" s="68">
        <f t="shared" ca="1" si="19"/>
        <v>0</v>
      </c>
      <c r="O17" s="67">
        <f ca="1">IFERROR(__xludf.DUMMYFUNCTION("IMPORTRANGE(""https://docs.google.com/spreadsheets/d/1-uDff_7J0KD5mKrp0Vvzr7lt3OU09vwQwhkpOPPYv2Y/edit?usp=sharing"",""งบพรบ!EQ17"")"),0)</f>
        <v>0</v>
      </c>
      <c r="P17" s="67">
        <f t="shared" ca="1" si="20"/>
        <v>0</v>
      </c>
      <c r="Q17" s="68">
        <f t="shared" ca="1" si="21"/>
        <v>0</v>
      </c>
      <c r="R17" s="278">
        <f ca="1">IFERROR(__xludf.DUMMYFUNCTION("IMPORTRANGE(""https://docs.google.com/spreadsheets/d/1W6MnUbDkMi6xHnHko_XkFDO9kkuL6Wqyc-6OCDFjW9I/edit?usp=sharing"",""ตาก!I330"")"),0)</f>
        <v>0</v>
      </c>
      <c r="S17" s="152">
        <f ca="1">IFERROR(__xludf.DUMMYFUNCTION("IMPORTRANGE(""https://docs.google.com/spreadsheets/d/1W6MnUbDkMi6xHnHko_XkFDO9kkuL6Wqyc-6OCDFjW9I/edit?usp=sharing"",""ตาก!J330"")"),0)</f>
        <v>0</v>
      </c>
      <c r="T17" s="216">
        <f t="shared" ca="1" si="23"/>
        <v>0</v>
      </c>
    </row>
    <row r="18" spans="1:20" ht="24" customHeight="1" x14ac:dyDescent="0.3">
      <c r="A18" s="70">
        <v>5</v>
      </c>
      <c r="B18" s="71" t="s">
        <v>46</v>
      </c>
      <c r="C18" s="149">
        <f t="shared" ca="1" si="14"/>
        <v>0</v>
      </c>
      <c r="D18" s="150">
        <f t="shared" ca="1" si="24"/>
        <v>0</v>
      </c>
      <c r="E18" s="151">
        <f ca="1">IFERROR(__xludf.DUMMYFUNCTION("IMPORTRANGE(""https://docs.google.com/spreadsheets/d/1-uDff_7J0KD5mKrp0Vvzr7lt3OU09vwQwhkpOPPYv2Y/edit?usp=sharing"",""งบพรบ!EJ18"")"),0)</f>
        <v>0</v>
      </c>
      <c r="F18" s="151">
        <f ca="1">IFERROR(__xludf.DUMMYFUNCTION("IMPORTRANGE(""https://docs.google.com/spreadsheets/d/1-uDff_7J0KD5mKrp0Vvzr7lt3OU09vwQwhkpOPPYv2Y/edit?usp=sharing"",""งบพรบ!EK18"")"),0)</f>
        <v>0</v>
      </c>
      <c r="G18" s="151">
        <f ca="1">IFERROR(__xludf.DUMMYFUNCTION("IMPORTRANGE(""https://docs.google.com/spreadsheets/d/1-uDff_7J0KD5mKrp0Vvzr7lt3OU09vwQwhkpOPPYv2Y/edit?usp=sharing"",""งบพรบ!EL18"")"),0)</f>
        <v>0</v>
      </c>
      <c r="H18" s="151">
        <f ca="1">IFERROR(__xludf.DUMMYFUNCTION("IMPORTRANGE(""https://docs.google.com/spreadsheets/d/1-uDff_7J0KD5mKrp0Vvzr7lt3OU09vwQwhkpOPPYv2Y/edit?usp=sharing"",""งบพรบ!EN18"")"),0)</f>
        <v>0</v>
      </c>
      <c r="I18" s="151">
        <f ca="1">IFERROR(__xludf.DUMMYFUNCTION("IMPORTRANGE(""https://docs.google.com/spreadsheets/d/1-uDff_7J0KD5mKrp0Vvzr7lt3OU09vwQwhkpOPPYv2Y/edit?usp=sharing"",""งบพรบ!EO18"")"),0)</f>
        <v>0</v>
      </c>
      <c r="J18" s="151">
        <f t="shared" ca="1" si="16"/>
        <v>0</v>
      </c>
      <c r="K18" s="154">
        <f t="shared" ca="1" si="17"/>
        <v>0</v>
      </c>
      <c r="L18" s="151">
        <f ca="1">IFERROR(__xludf.DUMMYFUNCTION("IMPORTRANGE(""https://docs.google.com/spreadsheets/d/1-uDff_7J0KD5mKrp0Vvzr7lt3OU09vwQwhkpOPPYv2Y/edit?usp=sharing"",""งบพรบ!EP18"")"),0)</f>
        <v>0</v>
      </c>
      <c r="M18" s="68">
        <f t="shared" ca="1" si="18"/>
        <v>0</v>
      </c>
      <c r="N18" s="68">
        <f t="shared" ca="1" si="19"/>
        <v>0</v>
      </c>
      <c r="O18" s="67">
        <f ca="1">IFERROR(__xludf.DUMMYFUNCTION("IMPORTRANGE(""https://docs.google.com/spreadsheets/d/1-uDff_7J0KD5mKrp0Vvzr7lt3OU09vwQwhkpOPPYv2Y/edit?usp=sharing"",""งบพรบ!EQ18"")"),0)</f>
        <v>0</v>
      </c>
      <c r="P18" s="67">
        <f t="shared" ca="1" si="20"/>
        <v>0</v>
      </c>
      <c r="Q18" s="68">
        <f t="shared" ca="1" si="21"/>
        <v>0</v>
      </c>
      <c r="R18" s="278">
        <f ca="1">IFERROR(__xludf.DUMMYFUNCTION("IMPORTRANGE(""https://docs.google.com/spreadsheets/d/1IQAWArduLkta9LpYo4a_ULsyqdta6-6aDDiwpUnQT6c/edit?usp=sharing"",""นครสวรรค์!I330"")"),0)</f>
        <v>0</v>
      </c>
      <c r="S18" s="152">
        <f ca="1">IFERROR(__xludf.DUMMYFUNCTION("IMPORTRANGE(""https://docs.google.com/spreadsheets/d/1IQAWArduLkta9LpYo4a_ULsyqdta6-6aDDiwpUnQT6c/edit?usp=sharing"",""นครสวรรค์!J330"")"),0)</f>
        <v>0</v>
      </c>
      <c r="T18" s="216">
        <f t="shared" ca="1" si="23"/>
        <v>0</v>
      </c>
    </row>
    <row r="19" spans="1:20" ht="24" customHeight="1" x14ac:dyDescent="0.3">
      <c r="A19" s="70">
        <v>6</v>
      </c>
      <c r="B19" s="71" t="s">
        <v>47</v>
      </c>
      <c r="C19" s="149">
        <f t="shared" ca="1" si="14"/>
        <v>0</v>
      </c>
      <c r="D19" s="150">
        <f t="shared" ca="1" si="24"/>
        <v>0</v>
      </c>
      <c r="E19" s="151">
        <f ca="1">IFERROR(__xludf.DUMMYFUNCTION("IMPORTRANGE(""https://docs.google.com/spreadsheets/d/1-uDff_7J0KD5mKrp0Vvzr7lt3OU09vwQwhkpOPPYv2Y/edit?usp=sharing"",""งบพรบ!EJ19"")"),0)</f>
        <v>0</v>
      </c>
      <c r="F19" s="151">
        <f ca="1">IFERROR(__xludf.DUMMYFUNCTION("IMPORTRANGE(""https://docs.google.com/spreadsheets/d/1-uDff_7J0KD5mKrp0Vvzr7lt3OU09vwQwhkpOPPYv2Y/edit?usp=sharing"",""งบพรบ!EK19"")"),0)</f>
        <v>0</v>
      </c>
      <c r="G19" s="151">
        <f ca="1">IFERROR(__xludf.DUMMYFUNCTION("IMPORTRANGE(""https://docs.google.com/spreadsheets/d/1-uDff_7J0KD5mKrp0Vvzr7lt3OU09vwQwhkpOPPYv2Y/edit?usp=sharing"",""งบพรบ!EL19"")"),0)</f>
        <v>0</v>
      </c>
      <c r="H19" s="151">
        <f ca="1">IFERROR(__xludf.DUMMYFUNCTION("IMPORTRANGE(""https://docs.google.com/spreadsheets/d/1-uDff_7J0KD5mKrp0Vvzr7lt3OU09vwQwhkpOPPYv2Y/edit?usp=sharing"",""งบพรบ!EN19"")"),0)</f>
        <v>0</v>
      </c>
      <c r="I19" s="151">
        <f ca="1">IFERROR(__xludf.DUMMYFUNCTION("IMPORTRANGE(""https://docs.google.com/spreadsheets/d/1-uDff_7J0KD5mKrp0Vvzr7lt3OU09vwQwhkpOPPYv2Y/edit?usp=sharing"",""งบพรบ!EO19"")"),0)</f>
        <v>0</v>
      </c>
      <c r="J19" s="151">
        <f t="shared" ca="1" si="16"/>
        <v>0</v>
      </c>
      <c r="K19" s="154">
        <f t="shared" ca="1" si="17"/>
        <v>0</v>
      </c>
      <c r="L19" s="151">
        <f ca="1">IFERROR(__xludf.DUMMYFUNCTION("IMPORTRANGE(""https://docs.google.com/spreadsheets/d/1-uDff_7J0KD5mKrp0Vvzr7lt3OU09vwQwhkpOPPYv2Y/edit?usp=sharing"",""งบพรบ!EP19"")"),0)</f>
        <v>0</v>
      </c>
      <c r="M19" s="68">
        <f t="shared" ca="1" si="18"/>
        <v>0</v>
      </c>
      <c r="N19" s="68">
        <f t="shared" ca="1" si="19"/>
        <v>0</v>
      </c>
      <c r="O19" s="67">
        <f ca="1">IFERROR(__xludf.DUMMYFUNCTION("IMPORTRANGE(""https://docs.google.com/spreadsheets/d/1-uDff_7J0KD5mKrp0Vvzr7lt3OU09vwQwhkpOPPYv2Y/edit?usp=sharing"",""งบพรบ!EQ19"")"),0)</f>
        <v>0</v>
      </c>
      <c r="P19" s="67">
        <f t="shared" ca="1" si="20"/>
        <v>0</v>
      </c>
      <c r="Q19" s="68">
        <f t="shared" ca="1" si="21"/>
        <v>0</v>
      </c>
      <c r="R19" s="278">
        <f ca="1">IFERROR(__xludf.DUMMYFUNCTION("IMPORTRANGE(""https://docs.google.com/spreadsheets/d/10s13Sk5xrltsiR-Zkbmk5DwIaDIKO8XlbJAfqyT7Gvg/edit?usp=sharing"",""น่าน!I330"")"),0)</f>
        <v>0</v>
      </c>
      <c r="S19" s="152">
        <f ca="1">IFERROR(__xludf.DUMMYFUNCTION("IMPORTRANGE(""https://docs.google.com/spreadsheets/d/10s13Sk5xrltsiR-Zkbmk5DwIaDIKO8XlbJAfqyT7Gvg/edit?usp=sharing"",""น่าน!J330"")"),0)</f>
        <v>0</v>
      </c>
      <c r="T19" s="216">
        <f t="shared" ca="1" si="23"/>
        <v>0</v>
      </c>
    </row>
    <row r="20" spans="1:20" ht="24" customHeight="1" x14ac:dyDescent="0.3">
      <c r="A20" s="70">
        <v>7</v>
      </c>
      <c r="B20" s="71" t="s">
        <v>48</v>
      </c>
      <c r="C20" s="149">
        <f t="shared" ca="1" si="14"/>
        <v>0</v>
      </c>
      <c r="D20" s="150">
        <f t="shared" ca="1" si="24"/>
        <v>0</v>
      </c>
      <c r="E20" s="151">
        <f ca="1">IFERROR(__xludf.DUMMYFUNCTION("IMPORTRANGE(""https://docs.google.com/spreadsheets/d/1-uDff_7J0KD5mKrp0Vvzr7lt3OU09vwQwhkpOPPYv2Y/edit?usp=sharing"",""งบพรบ!EJ20"")"),0)</f>
        <v>0</v>
      </c>
      <c r="F20" s="151">
        <f ca="1">IFERROR(__xludf.DUMMYFUNCTION("IMPORTRANGE(""https://docs.google.com/spreadsheets/d/1-uDff_7J0KD5mKrp0Vvzr7lt3OU09vwQwhkpOPPYv2Y/edit?usp=sharing"",""งบพรบ!EK20"")"),0)</f>
        <v>0</v>
      </c>
      <c r="G20" s="151">
        <f ca="1">IFERROR(__xludf.DUMMYFUNCTION("IMPORTRANGE(""https://docs.google.com/spreadsheets/d/1-uDff_7J0KD5mKrp0Vvzr7lt3OU09vwQwhkpOPPYv2Y/edit?usp=sharing"",""งบพรบ!EL20"")"),0)</f>
        <v>0</v>
      </c>
      <c r="H20" s="151">
        <f ca="1">IFERROR(__xludf.DUMMYFUNCTION("IMPORTRANGE(""https://docs.google.com/spreadsheets/d/1-uDff_7J0KD5mKrp0Vvzr7lt3OU09vwQwhkpOPPYv2Y/edit?usp=sharing"",""งบพรบ!EN20"")"),67500)</f>
        <v>67500</v>
      </c>
      <c r="I20" s="151">
        <f ca="1">IFERROR(__xludf.DUMMYFUNCTION("IMPORTRANGE(""https://docs.google.com/spreadsheets/d/1-uDff_7J0KD5mKrp0Vvzr7lt3OU09vwQwhkpOPPYv2Y/edit?usp=sharing"",""งบพรบ!EO20"")"),0)</f>
        <v>0</v>
      </c>
      <c r="J20" s="151">
        <f t="shared" ca="1" si="16"/>
        <v>67000</v>
      </c>
      <c r="K20" s="154">
        <f t="shared" ca="1" si="17"/>
        <v>0</v>
      </c>
      <c r="L20" s="151">
        <f ca="1">IFERROR(__xludf.DUMMYFUNCTION("IMPORTRANGE(""https://docs.google.com/spreadsheets/d/1-uDff_7J0KD5mKrp0Vvzr7lt3OU09vwQwhkpOPPYv2Y/edit?usp=sharing"",""งบพรบ!EP20"")"),67000)</f>
        <v>67000</v>
      </c>
      <c r="M20" s="68">
        <f t="shared" ca="1" si="18"/>
        <v>0</v>
      </c>
      <c r="N20" s="68">
        <f t="shared" ca="1" si="19"/>
        <v>99.259259259259252</v>
      </c>
      <c r="O20" s="67">
        <f ca="1">IFERROR(__xludf.DUMMYFUNCTION("IMPORTRANGE(""https://docs.google.com/spreadsheets/d/1-uDff_7J0KD5mKrp0Vvzr7lt3OU09vwQwhkpOPPYv2Y/edit?usp=sharing"",""งบพรบ!EQ20"")"),0)</f>
        <v>0</v>
      </c>
      <c r="P20" s="67">
        <f t="shared" ca="1" si="20"/>
        <v>0</v>
      </c>
      <c r="Q20" s="68">
        <f t="shared" ca="1" si="21"/>
        <v>0</v>
      </c>
      <c r="R20" s="278">
        <f ca="1">IFERROR(__xludf.DUMMYFUNCTION("IMPORTRANGE(""https://docs.google.com/spreadsheets/d/1uu4nAn4Dbi1XREnLKKotUANlKXa7yCgRcgq8HEzQYW8/edit?usp=sharing"",""พะเยา!I330"")"),0)</f>
        <v>0</v>
      </c>
      <c r="S20" s="152">
        <f ca="1">IFERROR(__xludf.DUMMYFUNCTION("IMPORTRANGE(""https://docs.google.com/spreadsheets/d/1uu4nAn4Dbi1XREnLKKotUANlKXa7yCgRcgq8HEzQYW8/edit?usp=sharing"",""พะเยา!J330"")"),0)</f>
        <v>0</v>
      </c>
      <c r="T20" s="216">
        <f t="shared" ca="1" si="23"/>
        <v>0</v>
      </c>
    </row>
    <row r="21" spans="1:20" ht="24" customHeight="1" x14ac:dyDescent="0.3">
      <c r="A21" s="70">
        <v>8</v>
      </c>
      <c r="B21" s="71" t="s">
        <v>49</v>
      </c>
      <c r="C21" s="149">
        <f t="shared" ca="1" si="14"/>
        <v>0</v>
      </c>
      <c r="D21" s="150">
        <f t="shared" ca="1" si="24"/>
        <v>0</v>
      </c>
      <c r="E21" s="151">
        <f ca="1">IFERROR(__xludf.DUMMYFUNCTION("IMPORTRANGE(""https://docs.google.com/spreadsheets/d/1-uDff_7J0KD5mKrp0Vvzr7lt3OU09vwQwhkpOPPYv2Y/edit?usp=sharing"",""งบพรบ!EJ21"")"),0)</f>
        <v>0</v>
      </c>
      <c r="F21" s="151">
        <f ca="1">IFERROR(__xludf.DUMMYFUNCTION("IMPORTRANGE(""https://docs.google.com/spreadsheets/d/1-uDff_7J0KD5mKrp0Vvzr7lt3OU09vwQwhkpOPPYv2Y/edit?usp=sharing"",""งบพรบ!EK21"")"),0)</f>
        <v>0</v>
      </c>
      <c r="G21" s="151">
        <f ca="1">IFERROR(__xludf.DUMMYFUNCTION("IMPORTRANGE(""https://docs.google.com/spreadsheets/d/1-uDff_7J0KD5mKrp0Vvzr7lt3OU09vwQwhkpOPPYv2Y/edit?usp=sharing"",""งบพรบ!EL21"")"),0)</f>
        <v>0</v>
      </c>
      <c r="H21" s="151">
        <f ca="1">IFERROR(__xludf.DUMMYFUNCTION("IMPORTRANGE(""https://docs.google.com/spreadsheets/d/1-uDff_7J0KD5mKrp0Vvzr7lt3OU09vwQwhkpOPPYv2Y/edit?usp=sharing"",""งบพรบ!EN21"")"),0)</f>
        <v>0</v>
      </c>
      <c r="I21" s="151">
        <f ca="1">IFERROR(__xludf.DUMMYFUNCTION("IMPORTRANGE(""https://docs.google.com/spreadsheets/d/1-uDff_7J0KD5mKrp0Vvzr7lt3OU09vwQwhkpOPPYv2Y/edit?usp=sharing"",""งบพรบ!EO21"")"),0)</f>
        <v>0</v>
      </c>
      <c r="J21" s="151">
        <f t="shared" ca="1" si="16"/>
        <v>0</v>
      </c>
      <c r="K21" s="154">
        <f t="shared" ca="1" si="17"/>
        <v>0</v>
      </c>
      <c r="L21" s="151">
        <f ca="1">IFERROR(__xludf.DUMMYFUNCTION("IMPORTRANGE(""https://docs.google.com/spreadsheets/d/1-uDff_7J0KD5mKrp0Vvzr7lt3OU09vwQwhkpOPPYv2Y/edit?usp=sharing"",""งบพรบ!EP21"")"),0)</f>
        <v>0</v>
      </c>
      <c r="M21" s="68">
        <f t="shared" ca="1" si="18"/>
        <v>0</v>
      </c>
      <c r="N21" s="68">
        <f t="shared" ca="1" si="19"/>
        <v>0</v>
      </c>
      <c r="O21" s="67">
        <f ca="1">IFERROR(__xludf.DUMMYFUNCTION("IMPORTRANGE(""https://docs.google.com/spreadsheets/d/1-uDff_7J0KD5mKrp0Vvzr7lt3OU09vwQwhkpOPPYv2Y/edit?usp=sharing"",""งบพรบ!EQ21"")"),0)</f>
        <v>0</v>
      </c>
      <c r="P21" s="67">
        <f t="shared" ca="1" si="20"/>
        <v>0</v>
      </c>
      <c r="Q21" s="68">
        <f t="shared" ca="1" si="21"/>
        <v>0</v>
      </c>
      <c r="R21" s="278">
        <f ca="1">IFERROR(__xludf.DUMMYFUNCTION("IMPORTRANGE(""https://docs.google.com/spreadsheets/d/1xfJKIQxVOaPDIICqsflNlLu3JacTDk1FP9RH4phX7mI/edit?usp=sharing"",""พิจิตร!I330"")"),0)</f>
        <v>0</v>
      </c>
      <c r="S21" s="152">
        <f ca="1">IFERROR(__xludf.DUMMYFUNCTION("IMPORTRANGE(""https://docs.google.com/spreadsheets/d/1xfJKIQxVOaPDIICqsflNlLu3JacTDk1FP9RH4phX7mI/edit?usp=sharing"",""พิจิตร!J330"")"),0)</f>
        <v>0</v>
      </c>
      <c r="T21" s="216">
        <f t="shared" ca="1" si="23"/>
        <v>0</v>
      </c>
    </row>
    <row r="22" spans="1:20" ht="24" customHeight="1" x14ac:dyDescent="0.3">
      <c r="A22" s="70">
        <v>9</v>
      </c>
      <c r="B22" s="71" t="s">
        <v>50</v>
      </c>
      <c r="C22" s="149">
        <f t="shared" ca="1" si="14"/>
        <v>0</v>
      </c>
      <c r="D22" s="150">
        <f t="shared" ca="1" si="24"/>
        <v>0</v>
      </c>
      <c r="E22" s="151">
        <f ca="1">IFERROR(__xludf.DUMMYFUNCTION("IMPORTRANGE(""https://docs.google.com/spreadsheets/d/1-uDff_7J0KD5mKrp0Vvzr7lt3OU09vwQwhkpOPPYv2Y/edit?usp=sharing"",""งบพรบ!EJ22"")"),0)</f>
        <v>0</v>
      </c>
      <c r="F22" s="151">
        <f ca="1">IFERROR(__xludf.DUMMYFUNCTION("IMPORTRANGE(""https://docs.google.com/spreadsheets/d/1-uDff_7J0KD5mKrp0Vvzr7lt3OU09vwQwhkpOPPYv2Y/edit?usp=sharing"",""งบพรบ!EK22"")"),0)</f>
        <v>0</v>
      </c>
      <c r="G22" s="151">
        <f ca="1">IFERROR(__xludf.DUMMYFUNCTION("IMPORTRANGE(""https://docs.google.com/spreadsheets/d/1-uDff_7J0KD5mKrp0Vvzr7lt3OU09vwQwhkpOPPYv2Y/edit?usp=sharing"",""งบพรบ!EL22"")"),0)</f>
        <v>0</v>
      </c>
      <c r="H22" s="151">
        <f ca="1">IFERROR(__xludf.DUMMYFUNCTION("IMPORTRANGE(""https://docs.google.com/spreadsheets/d/1-uDff_7J0KD5mKrp0Vvzr7lt3OU09vwQwhkpOPPYv2Y/edit?usp=sharing"",""งบพรบ!EN22"")"),0)</f>
        <v>0</v>
      </c>
      <c r="I22" s="151">
        <f ca="1">IFERROR(__xludf.DUMMYFUNCTION("IMPORTRANGE(""https://docs.google.com/spreadsheets/d/1-uDff_7J0KD5mKrp0Vvzr7lt3OU09vwQwhkpOPPYv2Y/edit?usp=sharing"",""งบพรบ!EO22"")"),0)</f>
        <v>0</v>
      </c>
      <c r="J22" s="151">
        <f t="shared" ca="1" si="16"/>
        <v>0</v>
      </c>
      <c r="K22" s="154">
        <f t="shared" ca="1" si="17"/>
        <v>0</v>
      </c>
      <c r="L22" s="151">
        <f ca="1">IFERROR(__xludf.DUMMYFUNCTION("IMPORTRANGE(""https://docs.google.com/spreadsheets/d/1-uDff_7J0KD5mKrp0Vvzr7lt3OU09vwQwhkpOPPYv2Y/edit?usp=sharing"",""งบพรบ!EP22"")"),0)</f>
        <v>0</v>
      </c>
      <c r="M22" s="68">
        <f t="shared" ca="1" si="18"/>
        <v>0</v>
      </c>
      <c r="N22" s="68">
        <f t="shared" ca="1" si="19"/>
        <v>0</v>
      </c>
      <c r="O22" s="67">
        <f ca="1">IFERROR(__xludf.DUMMYFUNCTION("IMPORTRANGE(""https://docs.google.com/spreadsheets/d/1-uDff_7J0KD5mKrp0Vvzr7lt3OU09vwQwhkpOPPYv2Y/edit?usp=sharing"",""งบพรบ!EQ22"")"),0)</f>
        <v>0</v>
      </c>
      <c r="P22" s="67">
        <f t="shared" ca="1" si="20"/>
        <v>0</v>
      </c>
      <c r="Q22" s="68">
        <f t="shared" ca="1" si="21"/>
        <v>0</v>
      </c>
      <c r="R22" s="278">
        <f ca="1">IFERROR(__xludf.DUMMYFUNCTION("IMPORTRANGE(""https://docs.google.com/spreadsheets/d/1JtRfZkJMHtEhI5RdRHxYUG4FIZHqKDpNyIuN7A1Q0_k/edit?usp=sharing"",""พิษณุโลก!I330"")"),0)</f>
        <v>0</v>
      </c>
      <c r="S22" s="152">
        <f ca="1">IFERROR(__xludf.DUMMYFUNCTION("IMPORTRANGE(""https://docs.google.com/spreadsheets/d/1JtRfZkJMHtEhI5RdRHxYUG4FIZHqKDpNyIuN7A1Q0_k/edit?usp=sharing"",""พิษณุโลก!J330"")"),0)</f>
        <v>0</v>
      </c>
      <c r="T22" s="216">
        <f t="shared" ca="1" si="23"/>
        <v>0</v>
      </c>
    </row>
    <row r="23" spans="1:20" ht="24" customHeight="1" x14ac:dyDescent="0.3">
      <c r="A23" s="70">
        <v>10</v>
      </c>
      <c r="B23" s="71" t="s">
        <v>51</v>
      </c>
      <c r="C23" s="149">
        <f t="shared" ca="1" si="14"/>
        <v>0</v>
      </c>
      <c r="D23" s="150">
        <f t="shared" ca="1" si="24"/>
        <v>0</v>
      </c>
      <c r="E23" s="151">
        <f ca="1">IFERROR(__xludf.DUMMYFUNCTION("IMPORTRANGE(""https://docs.google.com/spreadsheets/d/1-uDff_7J0KD5mKrp0Vvzr7lt3OU09vwQwhkpOPPYv2Y/edit?usp=sharing"",""งบพรบ!EJ23"")"),0)</f>
        <v>0</v>
      </c>
      <c r="F23" s="151">
        <f ca="1">IFERROR(__xludf.DUMMYFUNCTION("IMPORTRANGE(""https://docs.google.com/spreadsheets/d/1-uDff_7J0KD5mKrp0Vvzr7lt3OU09vwQwhkpOPPYv2Y/edit?usp=sharing"",""งบพรบ!EK23"")"),0)</f>
        <v>0</v>
      </c>
      <c r="G23" s="151">
        <f ca="1">IFERROR(__xludf.DUMMYFUNCTION("IMPORTRANGE(""https://docs.google.com/spreadsheets/d/1-uDff_7J0KD5mKrp0Vvzr7lt3OU09vwQwhkpOPPYv2Y/edit?usp=sharing"",""งบพรบ!EL23"")"),0)</f>
        <v>0</v>
      </c>
      <c r="H23" s="151">
        <f ca="1">IFERROR(__xludf.DUMMYFUNCTION("IMPORTRANGE(""https://docs.google.com/spreadsheets/d/1-uDff_7J0KD5mKrp0Vvzr7lt3OU09vwQwhkpOPPYv2Y/edit?usp=sharing"",""งบพรบ!EN23"")"),0)</f>
        <v>0</v>
      </c>
      <c r="I23" s="151">
        <f ca="1">IFERROR(__xludf.DUMMYFUNCTION("IMPORTRANGE(""https://docs.google.com/spreadsheets/d/1-uDff_7J0KD5mKrp0Vvzr7lt3OU09vwQwhkpOPPYv2Y/edit?usp=sharing"",""งบพรบ!EO23"")"),0)</f>
        <v>0</v>
      </c>
      <c r="J23" s="151">
        <f t="shared" ca="1" si="16"/>
        <v>0</v>
      </c>
      <c r="K23" s="154">
        <f t="shared" ca="1" si="17"/>
        <v>0</v>
      </c>
      <c r="L23" s="151">
        <f ca="1">IFERROR(__xludf.DUMMYFUNCTION("IMPORTRANGE(""https://docs.google.com/spreadsheets/d/1-uDff_7J0KD5mKrp0Vvzr7lt3OU09vwQwhkpOPPYv2Y/edit?usp=sharing"",""งบพรบ!EP23"")"),0)</f>
        <v>0</v>
      </c>
      <c r="M23" s="68">
        <f t="shared" ca="1" si="18"/>
        <v>0</v>
      </c>
      <c r="N23" s="68">
        <f t="shared" ca="1" si="19"/>
        <v>0</v>
      </c>
      <c r="O23" s="67">
        <f ca="1">IFERROR(__xludf.DUMMYFUNCTION("IMPORTRANGE(""https://docs.google.com/spreadsheets/d/1-uDff_7J0KD5mKrp0Vvzr7lt3OU09vwQwhkpOPPYv2Y/edit?usp=sharing"",""งบพรบ!EQ23"")"),0)</f>
        <v>0</v>
      </c>
      <c r="P23" s="67">
        <f t="shared" ca="1" si="20"/>
        <v>0</v>
      </c>
      <c r="Q23" s="68">
        <f t="shared" ca="1" si="21"/>
        <v>0</v>
      </c>
      <c r="R23" s="278">
        <f ca="1">IFERROR(__xludf.DUMMYFUNCTION("IMPORTRANGE(""https://docs.google.com/spreadsheets/d/1xlcVZWUNn6SuWm0c307h32SiGkd9BaeQWlAktfD3KO8/edit?usp=sharing"",""เพชรบูรณ์!I330"")"),0)</f>
        <v>0</v>
      </c>
      <c r="S23" s="152">
        <f ca="1">IFERROR(__xludf.DUMMYFUNCTION("IMPORTRANGE(""https://docs.google.com/spreadsheets/d/1xlcVZWUNn6SuWm0c307h32SiGkd9BaeQWlAktfD3KO8/edit?usp=sharing"",""เพชรบูรณ์!J330"")"),0)</f>
        <v>0</v>
      </c>
      <c r="T23" s="216">
        <f t="shared" ca="1" si="23"/>
        <v>0</v>
      </c>
    </row>
    <row r="24" spans="1:20" ht="24" customHeight="1" x14ac:dyDescent="0.3">
      <c r="A24" s="70">
        <v>11</v>
      </c>
      <c r="B24" s="71" t="s">
        <v>52</v>
      </c>
      <c r="C24" s="149">
        <f t="shared" ca="1" si="14"/>
        <v>0</v>
      </c>
      <c r="D24" s="150">
        <f t="shared" ca="1" si="24"/>
        <v>0</v>
      </c>
      <c r="E24" s="151">
        <f ca="1">IFERROR(__xludf.DUMMYFUNCTION("IMPORTRANGE(""https://docs.google.com/spreadsheets/d/1-uDff_7J0KD5mKrp0Vvzr7lt3OU09vwQwhkpOPPYv2Y/edit?usp=sharing"",""งบพรบ!EJ24"")"),0)</f>
        <v>0</v>
      </c>
      <c r="F24" s="151">
        <f ca="1">IFERROR(__xludf.DUMMYFUNCTION("IMPORTRANGE(""https://docs.google.com/spreadsheets/d/1-uDff_7J0KD5mKrp0Vvzr7lt3OU09vwQwhkpOPPYv2Y/edit?usp=sharing"",""งบพรบ!EK24"")"),0)</f>
        <v>0</v>
      </c>
      <c r="G24" s="151">
        <f ca="1">IFERROR(__xludf.DUMMYFUNCTION("IMPORTRANGE(""https://docs.google.com/spreadsheets/d/1-uDff_7J0KD5mKrp0Vvzr7lt3OU09vwQwhkpOPPYv2Y/edit?usp=sharing"",""งบพรบ!EL24"")"),0)</f>
        <v>0</v>
      </c>
      <c r="H24" s="151">
        <f ca="1">IFERROR(__xludf.DUMMYFUNCTION("IMPORTRANGE(""https://docs.google.com/spreadsheets/d/1-uDff_7J0KD5mKrp0Vvzr7lt3OU09vwQwhkpOPPYv2Y/edit?usp=sharing"",""งบพรบ!EN24"")"),0)</f>
        <v>0</v>
      </c>
      <c r="I24" s="151">
        <f ca="1">IFERROR(__xludf.DUMMYFUNCTION("IMPORTRANGE(""https://docs.google.com/spreadsheets/d/1-uDff_7J0KD5mKrp0Vvzr7lt3OU09vwQwhkpOPPYv2Y/edit?usp=sharing"",""งบพรบ!EO24"")"),0)</f>
        <v>0</v>
      </c>
      <c r="J24" s="151">
        <f t="shared" ca="1" si="16"/>
        <v>0</v>
      </c>
      <c r="K24" s="154">
        <f t="shared" ca="1" si="17"/>
        <v>0</v>
      </c>
      <c r="L24" s="151">
        <f ca="1">IFERROR(__xludf.DUMMYFUNCTION("IMPORTRANGE(""https://docs.google.com/spreadsheets/d/1-uDff_7J0KD5mKrp0Vvzr7lt3OU09vwQwhkpOPPYv2Y/edit?usp=sharing"",""งบพรบ!EP24"")"),0)</f>
        <v>0</v>
      </c>
      <c r="M24" s="68">
        <f t="shared" ca="1" si="18"/>
        <v>0</v>
      </c>
      <c r="N24" s="68">
        <f t="shared" ca="1" si="19"/>
        <v>0</v>
      </c>
      <c r="O24" s="67">
        <f ca="1">IFERROR(__xludf.DUMMYFUNCTION("IMPORTRANGE(""https://docs.google.com/spreadsheets/d/1-uDff_7J0KD5mKrp0Vvzr7lt3OU09vwQwhkpOPPYv2Y/edit?usp=sharing"",""งบพรบ!EQ24"")"),0)</f>
        <v>0</v>
      </c>
      <c r="P24" s="67">
        <f t="shared" ca="1" si="20"/>
        <v>0</v>
      </c>
      <c r="Q24" s="68">
        <f t="shared" ca="1" si="21"/>
        <v>0</v>
      </c>
      <c r="R24" s="278">
        <f ca="1">IFERROR(__xludf.DUMMYFUNCTION("IMPORTRANGE(""https://docs.google.com/spreadsheets/d/1lOVebEIsI9qjGXl6EX66luk7wiuP2tBaryw-wKvv4e0/edit?usp=sharing"",""แพร่!I330"")"),0)</f>
        <v>0</v>
      </c>
      <c r="S24" s="152">
        <f ca="1">IFERROR(__xludf.DUMMYFUNCTION("IMPORTRANGE(""https://docs.google.com/spreadsheets/d/1lOVebEIsI9qjGXl6EX66luk7wiuP2tBaryw-wKvv4e0/edit?usp=sharing"",""แพร่!J330"")"),0)</f>
        <v>0</v>
      </c>
      <c r="T24" s="216">
        <f t="shared" ca="1" si="23"/>
        <v>0</v>
      </c>
    </row>
    <row r="25" spans="1:20" ht="24" customHeight="1" x14ac:dyDescent="0.3">
      <c r="A25" s="70">
        <v>12</v>
      </c>
      <c r="B25" s="71" t="s">
        <v>53</v>
      </c>
      <c r="C25" s="149">
        <f t="shared" ca="1" si="14"/>
        <v>0</v>
      </c>
      <c r="D25" s="150">
        <f t="shared" ca="1" si="24"/>
        <v>0</v>
      </c>
      <c r="E25" s="151">
        <f ca="1">IFERROR(__xludf.DUMMYFUNCTION("IMPORTRANGE(""https://docs.google.com/spreadsheets/d/1-uDff_7J0KD5mKrp0Vvzr7lt3OU09vwQwhkpOPPYv2Y/edit?usp=sharing"",""งบพรบ!EJ25"")"),0)</f>
        <v>0</v>
      </c>
      <c r="F25" s="151">
        <f ca="1">IFERROR(__xludf.DUMMYFUNCTION("IMPORTRANGE(""https://docs.google.com/spreadsheets/d/1-uDff_7J0KD5mKrp0Vvzr7lt3OU09vwQwhkpOPPYv2Y/edit?usp=sharing"",""งบพรบ!EK25"")"),0)</f>
        <v>0</v>
      </c>
      <c r="G25" s="151">
        <f ca="1">IFERROR(__xludf.DUMMYFUNCTION("IMPORTRANGE(""https://docs.google.com/spreadsheets/d/1-uDff_7J0KD5mKrp0Vvzr7lt3OU09vwQwhkpOPPYv2Y/edit?usp=sharing"",""งบพรบ!EL25"")"),0)</f>
        <v>0</v>
      </c>
      <c r="H25" s="151">
        <f ca="1">IFERROR(__xludf.DUMMYFUNCTION("IMPORTRANGE(""https://docs.google.com/spreadsheets/d/1-uDff_7J0KD5mKrp0Vvzr7lt3OU09vwQwhkpOPPYv2Y/edit?usp=sharing"",""งบพรบ!EN25"")"),0)</f>
        <v>0</v>
      </c>
      <c r="I25" s="151">
        <f ca="1">IFERROR(__xludf.DUMMYFUNCTION("IMPORTRANGE(""https://docs.google.com/spreadsheets/d/1-uDff_7J0KD5mKrp0Vvzr7lt3OU09vwQwhkpOPPYv2Y/edit?usp=sharing"",""งบพรบ!EO25"")"),0)</f>
        <v>0</v>
      </c>
      <c r="J25" s="151">
        <f t="shared" ca="1" si="16"/>
        <v>0</v>
      </c>
      <c r="K25" s="154">
        <f t="shared" ca="1" si="17"/>
        <v>0</v>
      </c>
      <c r="L25" s="151">
        <f ca="1">IFERROR(__xludf.DUMMYFUNCTION("IMPORTRANGE(""https://docs.google.com/spreadsheets/d/1-uDff_7J0KD5mKrp0Vvzr7lt3OU09vwQwhkpOPPYv2Y/edit?usp=sharing"",""งบพรบ!EP25"")"),0)</f>
        <v>0</v>
      </c>
      <c r="M25" s="68">
        <f t="shared" ca="1" si="18"/>
        <v>0</v>
      </c>
      <c r="N25" s="68">
        <f t="shared" ca="1" si="19"/>
        <v>0</v>
      </c>
      <c r="O25" s="67">
        <f ca="1">IFERROR(__xludf.DUMMYFUNCTION("IMPORTRANGE(""https://docs.google.com/spreadsheets/d/1-uDff_7J0KD5mKrp0Vvzr7lt3OU09vwQwhkpOPPYv2Y/edit?usp=sharing"",""งบพรบ!EQ25"")"),0)</f>
        <v>0</v>
      </c>
      <c r="P25" s="67">
        <f t="shared" ca="1" si="20"/>
        <v>0</v>
      </c>
      <c r="Q25" s="68">
        <f t="shared" ca="1" si="21"/>
        <v>0</v>
      </c>
      <c r="R25" s="278">
        <f ca="1">IFERROR(__xludf.DUMMYFUNCTION("IMPORTRANGE(""https://docs.google.com/spreadsheets/d/1dQrvX0vEcN7Gu0fnZ0B5S90AeR19zth4XlExFBeExMY/edit?usp=sharing"",""แม่ฮ่องสอน!I330"")"),0)</f>
        <v>0</v>
      </c>
      <c r="S25" s="152">
        <f ca="1">IFERROR(__xludf.DUMMYFUNCTION("IMPORTRANGE(""https://docs.google.com/spreadsheets/d/1dQrvX0vEcN7Gu0fnZ0B5S90AeR19zth4XlExFBeExMY/edit?usp=sharing"",""แม่ฮ่องสอน!J330"")"),0)</f>
        <v>0</v>
      </c>
      <c r="T25" s="216">
        <f t="shared" ca="1" si="23"/>
        <v>0</v>
      </c>
    </row>
    <row r="26" spans="1:20" ht="24" customHeight="1" x14ac:dyDescent="0.3">
      <c r="A26" s="70">
        <v>13</v>
      </c>
      <c r="B26" s="71" t="s">
        <v>54</v>
      </c>
      <c r="C26" s="149">
        <f t="shared" ca="1" si="14"/>
        <v>0</v>
      </c>
      <c r="D26" s="150">
        <f t="shared" ca="1" si="24"/>
        <v>0</v>
      </c>
      <c r="E26" s="151">
        <f ca="1">IFERROR(__xludf.DUMMYFUNCTION("IMPORTRANGE(""https://docs.google.com/spreadsheets/d/1-uDff_7J0KD5mKrp0Vvzr7lt3OU09vwQwhkpOPPYv2Y/edit?usp=sharing"",""งบพรบ!EJ26"")"),0)</f>
        <v>0</v>
      </c>
      <c r="F26" s="151">
        <f ca="1">IFERROR(__xludf.DUMMYFUNCTION("IMPORTRANGE(""https://docs.google.com/spreadsheets/d/1-uDff_7J0KD5mKrp0Vvzr7lt3OU09vwQwhkpOPPYv2Y/edit?usp=sharing"",""งบพรบ!EK26"")"),0)</f>
        <v>0</v>
      </c>
      <c r="G26" s="151">
        <f ca="1">IFERROR(__xludf.DUMMYFUNCTION("IMPORTRANGE(""https://docs.google.com/spreadsheets/d/1-uDff_7J0KD5mKrp0Vvzr7lt3OU09vwQwhkpOPPYv2Y/edit?usp=sharing"",""งบพรบ!EL26"")"),0)</f>
        <v>0</v>
      </c>
      <c r="H26" s="151">
        <f ca="1">IFERROR(__xludf.DUMMYFUNCTION("IMPORTRANGE(""https://docs.google.com/spreadsheets/d/1-uDff_7J0KD5mKrp0Vvzr7lt3OU09vwQwhkpOPPYv2Y/edit?usp=sharing"",""งบพรบ!EN26"")"),0)</f>
        <v>0</v>
      </c>
      <c r="I26" s="151">
        <f ca="1">IFERROR(__xludf.DUMMYFUNCTION("IMPORTRANGE(""https://docs.google.com/spreadsheets/d/1-uDff_7J0KD5mKrp0Vvzr7lt3OU09vwQwhkpOPPYv2Y/edit?usp=sharing"",""งบพรบ!EO26"")"),0)</f>
        <v>0</v>
      </c>
      <c r="J26" s="151">
        <f t="shared" ca="1" si="16"/>
        <v>0</v>
      </c>
      <c r="K26" s="154">
        <f t="shared" ca="1" si="17"/>
        <v>0</v>
      </c>
      <c r="L26" s="151">
        <f ca="1">IFERROR(__xludf.DUMMYFUNCTION("IMPORTRANGE(""https://docs.google.com/spreadsheets/d/1-uDff_7J0KD5mKrp0Vvzr7lt3OU09vwQwhkpOPPYv2Y/edit?usp=sharing"",""งบพรบ!EP26"")"),0)</f>
        <v>0</v>
      </c>
      <c r="M26" s="68">
        <f t="shared" ca="1" si="18"/>
        <v>0</v>
      </c>
      <c r="N26" s="68">
        <f t="shared" ca="1" si="19"/>
        <v>0</v>
      </c>
      <c r="O26" s="67">
        <f ca="1">IFERROR(__xludf.DUMMYFUNCTION("IMPORTRANGE(""https://docs.google.com/spreadsheets/d/1-uDff_7J0KD5mKrp0Vvzr7lt3OU09vwQwhkpOPPYv2Y/edit?usp=sharing"",""งบพรบ!EQ26"")"),0)</f>
        <v>0</v>
      </c>
      <c r="P26" s="67">
        <f t="shared" ca="1" si="20"/>
        <v>0</v>
      </c>
      <c r="Q26" s="68">
        <f t="shared" ca="1" si="21"/>
        <v>0</v>
      </c>
      <c r="R26" s="279">
        <f ca="1">IFERROR(__xludf.DUMMYFUNCTION("IMPORTRANGE(""https://docs.google.com/spreadsheets/d/1DY4XTNNwjluuxqdfdn6qvOSlMRrZqUtmYcZR0ttFiG4/edit?usp=sharing"",""ลำปาง!I330"")"),0)</f>
        <v>0</v>
      </c>
      <c r="S26" s="152">
        <f ca="1">IFERROR(__xludf.DUMMYFUNCTION("IMPORTRANGE(""https://docs.google.com/spreadsheets/d/1DY4XTNNwjluuxqdfdn6qvOSlMRrZqUtmYcZR0ttFiG4/edit?usp=sharing"",""ลำปาง!J330"")"),0)</f>
        <v>0</v>
      </c>
      <c r="T26" s="216">
        <f t="shared" ca="1" si="23"/>
        <v>0</v>
      </c>
    </row>
    <row r="27" spans="1:20" ht="24" customHeight="1" x14ac:dyDescent="0.3">
      <c r="A27" s="70">
        <v>14</v>
      </c>
      <c r="B27" s="71" t="s">
        <v>55</v>
      </c>
      <c r="C27" s="149">
        <f t="shared" ca="1" si="14"/>
        <v>0</v>
      </c>
      <c r="D27" s="150">
        <f t="shared" ca="1" si="24"/>
        <v>0</v>
      </c>
      <c r="E27" s="151">
        <f ca="1">IFERROR(__xludf.DUMMYFUNCTION("IMPORTRANGE(""https://docs.google.com/spreadsheets/d/1-uDff_7J0KD5mKrp0Vvzr7lt3OU09vwQwhkpOPPYv2Y/edit?usp=sharing"",""งบพรบ!EJ27"")"),0)</f>
        <v>0</v>
      </c>
      <c r="F27" s="151">
        <f ca="1">IFERROR(__xludf.DUMMYFUNCTION("IMPORTRANGE(""https://docs.google.com/spreadsheets/d/1-uDff_7J0KD5mKrp0Vvzr7lt3OU09vwQwhkpOPPYv2Y/edit?usp=sharing"",""งบพรบ!EK27"")"),0)</f>
        <v>0</v>
      </c>
      <c r="G27" s="151">
        <f ca="1">IFERROR(__xludf.DUMMYFUNCTION("IMPORTRANGE(""https://docs.google.com/spreadsheets/d/1-uDff_7J0KD5mKrp0Vvzr7lt3OU09vwQwhkpOPPYv2Y/edit?usp=sharing"",""งบพรบ!EL27"")"),0)</f>
        <v>0</v>
      </c>
      <c r="H27" s="151">
        <f ca="1">IFERROR(__xludf.DUMMYFUNCTION("IMPORTRANGE(""https://docs.google.com/spreadsheets/d/1-uDff_7J0KD5mKrp0Vvzr7lt3OU09vwQwhkpOPPYv2Y/edit?usp=sharing"",""งบพรบ!EN27"")"),0)</f>
        <v>0</v>
      </c>
      <c r="I27" s="151">
        <f ca="1">IFERROR(__xludf.DUMMYFUNCTION("IMPORTRANGE(""https://docs.google.com/spreadsheets/d/1-uDff_7J0KD5mKrp0Vvzr7lt3OU09vwQwhkpOPPYv2Y/edit?usp=sharing"",""งบพรบ!EO27"")"),0)</f>
        <v>0</v>
      </c>
      <c r="J27" s="151">
        <f t="shared" ca="1" si="16"/>
        <v>0</v>
      </c>
      <c r="K27" s="154">
        <f t="shared" ca="1" si="17"/>
        <v>0</v>
      </c>
      <c r="L27" s="151">
        <f ca="1">IFERROR(__xludf.DUMMYFUNCTION("IMPORTRANGE(""https://docs.google.com/spreadsheets/d/1-uDff_7J0KD5mKrp0Vvzr7lt3OU09vwQwhkpOPPYv2Y/edit?usp=sharing"",""งบพรบ!EP27"")"),0)</f>
        <v>0</v>
      </c>
      <c r="M27" s="68">
        <f t="shared" ca="1" si="18"/>
        <v>0</v>
      </c>
      <c r="N27" s="68">
        <f t="shared" ca="1" si="19"/>
        <v>0</v>
      </c>
      <c r="O27" s="67">
        <f ca="1">IFERROR(__xludf.DUMMYFUNCTION("IMPORTRANGE(""https://docs.google.com/spreadsheets/d/1-uDff_7J0KD5mKrp0Vvzr7lt3OU09vwQwhkpOPPYv2Y/edit?usp=sharing"",""งบพรบ!EQ27"")"),0)</f>
        <v>0</v>
      </c>
      <c r="P27" s="67">
        <f t="shared" ca="1" si="20"/>
        <v>0</v>
      </c>
      <c r="Q27" s="68">
        <f t="shared" ca="1" si="21"/>
        <v>0</v>
      </c>
      <c r="R27" s="278">
        <f ca="1">IFERROR(__xludf.DUMMYFUNCTION("IMPORTRANGE(""https://docs.google.com/spreadsheets/d/1ICwG78r0OFT8biBlxnBF8r7she7gNSzOvJ958PWT09c/edit?usp=sharing"",""ลำพูน!I330"")"),0)</f>
        <v>0</v>
      </c>
      <c r="S27" s="152">
        <f ca="1">IFERROR(__xludf.DUMMYFUNCTION("IMPORTRANGE(""https://docs.google.com/spreadsheets/d/1ICwG78r0OFT8biBlxnBF8r7she7gNSzOvJ958PWT09c/edit?usp=sharing"",""ลำพูน!J330"")"),0)</f>
        <v>0</v>
      </c>
      <c r="T27" s="216">
        <f t="shared" ca="1" si="23"/>
        <v>0</v>
      </c>
    </row>
    <row r="28" spans="1:20" ht="24" customHeight="1" x14ac:dyDescent="0.3">
      <c r="A28" s="70">
        <v>15</v>
      </c>
      <c r="B28" s="71" t="s">
        <v>56</v>
      </c>
      <c r="C28" s="149">
        <f t="shared" ca="1" si="14"/>
        <v>0</v>
      </c>
      <c r="D28" s="150">
        <f t="shared" ca="1" si="24"/>
        <v>0</v>
      </c>
      <c r="E28" s="151">
        <f ca="1">IFERROR(__xludf.DUMMYFUNCTION("IMPORTRANGE(""https://docs.google.com/spreadsheets/d/1-uDff_7J0KD5mKrp0Vvzr7lt3OU09vwQwhkpOPPYv2Y/edit?usp=sharing"",""งบพรบ!EJ28"")"),0)</f>
        <v>0</v>
      </c>
      <c r="F28" s="151">
        <f ca="1">IFERROR(__xludf.DUMMYFUNCTION("IMPORTRANGE(""https://docs.google.com/spreadsheets/d/1-uDff_7J0KD5mKrp0Vvzr7lt3OU09vwQwhkpOPPYv2Y/edit?usp=sharing"",""งบพรบ!EK28"")"),0)</f>
        <v>0</v>
      </c>
      <c r="G28" s="151">
        <f ca="1">IFERROR(__xludf.DUMMYFUNCTION("IMPORTRANGE(""https://docs.google.com/spreadsheets/d/1-uDff_7J0KD5mKrp0Vvzr7lt3OU09vwQwhkpOPPYv2Y/edit?usp=sharing"",""งบพรบ!EL28"")"),0)</f>
        <v>0</v>
      </c>
      <c r="H28" s="151">
        <f ca="1">IFERROR(__xludf.DUMMYFUNCTION("IMPORTRANGE(""https://docs.google.com/spreadsheets/d/1-uDff_7J0KD5mKrp0Vvzr7lt3OU09vwQwhkpOPPYv2Y/edit?usp=sharing"",""งบพรบ!EN28"")"),0)</f>
        <v>0</v>
      </c>
      <c r="I28" s="151">
        <f ca="1">IFERROR(__xludf.DUMMYFUNCTION("IMPORTRANGE(""https://docs.google.com/spreadsheets/d/1-uDff_7J0KD5mKrp0Vvzr7lt3OU09vwQwhkpOPPYv2Y/edit?usp=sharing"",""งบพรบ!EO28"")"),0)</f>
        <v>0</v>
      </c>
      <c r="J28" s="151">
        <f t="shared" ca="1" si="16"/>
        <v>0</v>
      </c>
      <c r="K28" s="154">
        <f t="shared" ca="1" si="17"/>
        <v>0</v>
      </c>
      <c r="L28" s="151">
        <f ca="1">IFERROR(__xludf.DUMMYFUNCTION("IMPORTRANGE(""https://docs.google.com/spreadsheets/d/1-uDff_7J0KD5mKrp0Vvzr7lt3OU09vwQwhkpOPPYv2Y/edit?usp=sharing"",""งบพรบ!EP28"")"),0)</f>
        <v>0</v>
      </c>
      <c r="M28" s="68">
        <f t="shared" ca="1" si="18"/>
        <v>0</v>
      </c>
      <c r="N28" s="68">
        <f t="shared" ca="1" si="19"/>
        <v>0</v>
      </c>
      <c r="O28" s="67">
        <f ca="1">IFERROR(__xludf.DUMMYFUNCTION("IMPORTRANGE(""https://docs.google.com/spreadsheets/d/1-uDff_7J0KD5mKrp0Vvzr7lt3OU09vwQwhkpOPPYv2Y/edit?usp=sharing"",""งบพรบ!EQ28"")"),0)</f>
        <v>0</v>
      </c>
      <c r="P28" s="67">
        <f t="shared" ca="1" si="20"/>
        <v>0</v>
      </c>
      <c r="Q28" s="68">
        <f t="shared" ca="1" si="21"/>
        <v>0</v>
      </c>
      <c r="R28" s="278">
        <f ca="1">IFERROR(__xludf.DUMMYFUNCTION("IMPORTRANGE(""https://docs.google.com/spreadsheets/d/1B0f2xJpZUC6Z0xXnqKlZtEPzsf6L84eP1r1Q15seqRM/edit?usp=sharing"",""สุโขทัย!I330"")"),0)</f>
        <v>0</v>
      </c>
      <c r="S28" s="152">
        <f ca="1">IFERROR(__xludf.DUMMYFUNCTION("IMPORTRANGE(""https://docs.google.com/spreadsheets/d/1B0f2xJpZUC6Z0xXnqKlZtEPzsf6L84eP1r1Q15seqRM/edit?usp=sharing"",""สุโขทัย!J330"")"),0)</f>
        <v>0</v>
      </c>
      <c r="T28" s="216">
        <f t="shared" ca="1" si="23"/>
        <v>0</v>
      </c>
    </row>
    <row r="29" spans="1:20" ht="24" customHeight="1" x14ac:dyDescent="0.3">
      <c r="A29" s="70">
        <v>16</v>
      </c>
      <c r="B29" s="71" t="s">
        <v>57</v>
      </c>
      <c r="C29" s="149">
        <f t="shared" ca="1" si="14"/>
        <v>0</v>
      </c>
      <c r="D29" s="150">
        <f t="shared" ca="1" si="24"/>
        <v>0</v>
      </c>
      <c r="E29" s="151">
        <f ca="1">IFERROR(__xludf.DUMMYFUNCTION("IMPORTRANGE(""https://docs.google.com/spreadsheets/d/1-uDff_7J0KD5mKrp0Vvzr7lt3OU09vwQwhkpOPPYv2Y/edit?usp=sharing"",""งบพรบ!EJ29"")"),0)</f>
        <v>0</v>
      </c>
      <c r="F29" s="151">
        <f ca="1">IFERROR(__xludf.DUMMYFUNCTION("IMPORTRANGE(""https://docs.google.com/spreadsheets/d/1-uDff_7J0KD5mKrp0Vvzr7lt3OU09vwQwhkpOPPYv2Y/edit?usp=sharing"",""งบพรบ!EK29"")"),0)</f>
        <v>0</v>
      </c>
      <c r="G29" s="151">
        <f ca="1">IFERROR(__xludf.DUMMYFUNCTION("IMPORTRANGE(""https://docs.google.com/spreadsheets/d/1-uDff_7J0KD5mKrp0Vvzr7lt3OU09vwQwhkpOPPYv2Y/edit?usp=sharing"",""งบพรบ!EL29"")"),0)</f>
        <v>0</v>
      </c>
      <c r="H29" s="151">
        <f ca="1">IFERROR(__xludf.DUMMYFUNCTION("IMPORTRANGE(""https://docs.google.com/spreadsheets/d/1-uDff_7J0KD5mKrp0Vvzr7lt3OU09vwQwhkpOPPYv2Y/edit?usp=sharing"",""งบพรบ!EN29"")"),0)</f>
        <v>0</v>
      </c>
      <c r="I29" s="151">
        <f ca="1">IFERROR(__xludf.DUMMYFUNCTION("IMPORTRANGE(""https://docs.google.com/spreadsheets/d/1-uDff_7J0KD5mKrp0Vvzr7lt3OU09vwQwhkpOPPYv2Y/edit?usp=sharing"",""งบพรบ!EO29"")"),0)</f>
        <v>0</v>
      </c>
      <c r="J29" s="151">
        <f t="shared" ca="1" si="16"/>
        <v>0</v>
      </c>
      <c r="K29" s="154">
        <f t="shared" ca="1" si="17"/>
        <v>0</v>
      </c>
      <c r="L29" s="151">
        <f ca="1">IFERROR(__xludf.DUMMYFUNCTION("IMPORTRANGE(""https://docs.google.com/spreadsheets/d/1-uDff_7J0KD5mKrp0Vvzr7lt3OU09vwQwhkpOPPYv2Y/edit?usp=sharing"",""งบพรบ!EP29"")"),0)</f>
        <v>0</v>
      </c>
      <c r="M29" s="68">
        <f t="shared" ca="1" si="18"/>
        <v>0</v>
      </c>
      <c r="N29" s="68">
        <f t="shared" ca="1" si="19"/>
        <v>0</v>
      </c>
      <c r="O29" s="67">
        <f ca="1">IFERROR(__xludf.DUMMYFUNCTION("IMPORTRANGE(""https://docs.google.com/spreadsheets/d/1-uDff_7J0KD5mKrp0Vvzr7lt3OU09vwQwhkpOPPYv2Y/edit?usp=sharing"",""งบพรบ!EQ29"")"),0)</f>
        <v>0</v>
      </c>
      <c r="P29" s="67">
        <f t="shared" ca="1" si="20"/>
        <v>0</v>
      </c>
      <c r="Q29" s="68">
        <f t="shared" ca="1" si="21"/>
        <v>0</v>
      </c>
      <c r="R29" s="278">
        <f ca="1">IFERROR(__xludf.DUMMYFUNCTION("IMPORTRANGE(""https://docs.google.com/spreadsheets/d/1v0b9pFQCsKUVExMei7AgY2yQkdeNQvtOssygGsXbiKo/edit?usp=sharing"",""อุตรดิตถ์!I330"")"),0)</f>
        <v>0</v>
      </c>
      <c r="S29" s="152">
        <f ca="1">IFERROR(__xludf.DUMMYFUNCTION("IMPORTRANGE(""https://docs.google.com/spreadsheets/d/1v0b9pFQCsKUVExMei7AgY2yQkdeNQvtOssygGsXbiKo/edit?usp=sharing"",""อุตรดิตถ์!J330"")"),0)</f>
        <v>0</v>
      </c>
      <c r="T29" s="216">
        <f t="shared" ca="1" si="23"/>
        <v>0</v>
      </c>
    </row>
    <row r="30" spans="1:20" ht="24" customHeight="1" x14ac:dyDescent="0.3">
      <c r="A30" s="80">
        <v>17</v>
      </c>
      <c r="B30" s="81" t="s">
        <v>58</v>
      </c>
      <c r="C30" s="157">
        <f t="shared" ca="1" si="14"/>
        <v>125000</v>
      </c>
      <c r="D30" s="158">
        <f t="shared" ca="1" si="24"/>
        <v>125000</v>
      </c>
      <c r="E30" s="159">
        <f ca="1">IFERROR(__xludf.DUMMYFUNCTION("IMPORTRANGE(""https://docs.google.com/spreadsheets/d/1-uDff_7J0KD5mKrp0Vvzr7lt3OU09vwQwhkpOPPYv2Y/edit?usp=sharing"",""งบพรบ!EJ30"")"),0)</f>
        <v>0</v>
      </c>
      <c r="F30" s="159">
        <f ca="1">IFERROR(__xludf.DUMMYFUNCTION("IMPORTRANGE(""https://docs.google.com/spreadsheets/d/1-uDff_7J0KD5mKrp0Vvzr7lt3OU09vwQwhkpOPPYv2Y/edit?usp=sharing"",""งบพรบ!EK30"")"),125000)</f>
        <v>125000</v>
      </c>
      <c r="G30" s="159">
        <f ca="1">IFERROR(__xludf.DUMMYFUNCTION("IMPORTRANGE(""https://docs.google.com/spreadsheets/d/1-uDff_7J0KD5mKrp0Vvzr7lt3OU09vwQwhkpOPPYv2Y/edit?usp=sharing"",""งบพรบ!EL30"")"),0)</f>
        <v>0</v>
      </c>
      <c r="H30" s="159">
        <f ca="1">IFERROR(__xludf.DUMMYFUNCTION("IMPORTRANGE(""https://docs.google.com/spreadsheets/d/1-uDff_7J0KD5mKrp0Vvzr7lt3OU09vwQwhkpOPPYv2Y/edit?usp=sharing"",""งบพรบ!EN30"")"),125000)</f>
        <v>125000</v>
      </c>
      <c r="I30" s="159">
        <f ca="1">IFERROR(__xludf.DUMMYFUNCTION("IMPORTRANGE(""https://docs.google.com/spreadsheets/d/1-uDff_7J0KD5mKrp0Vvzr7lt3OU09vwQwhkpOPPYv2Y/edit?usp=sharing"",""งบพรบ!EO30"")"),0)</f>
        <v>0</v>
      </c>
      <c r="J30" s="159">
        <f t="shared" ca="1" si="16"/>
        <v>84700</v>
      </c>
      <c r="K30" s="160">
        <f t="shared" ca="1" si="17"/>
        <v>67.760000000000005</v>
      </c>
      <c r="L30" s="159">
        <f ca="1">IFERROR(__xludf.DUMMYFUNCTION("IMPORTRANGE(""https://docs.google.com/spreadsheets/d/1-uDff_7J0KD5mKrp0Vvzr7lt3OU09vwQwhkpOPPYv2Y/edit?usp=sharing"",""งบพรบ!EP30"")"),84700)</f>
        <v>84700</v>
      </c>
      <c r="M30" s="89">
        <f t="shared" ca="1" si="18"/>
        <v>67.760000000000005</v>
      </c>
      <c r="N30" s="89">
        <f t="shared" ca="1" si="19"/>
        <v>67.760000000000005</v>
      </c>
      <c r="O30" s="88">
        <f ca="1">IFERROR(__xludf.DUMMYFUNCTION("IMPORTRANGE(""https://docs.google.com/spreadsheets/d/1-uDff_7J0KD5mKrp0Vvzr7lt3OU09vwQwhkpOPPYv2Y/edit?usp=sharing"",""งบพรบ!EQ30"")"),0)</f>
        <v>0</v>
      </c>
      <c r="P30" s="88">
        <f t="shared" ca="1" si="20"/>
        <v>0</v>
      </c>
      <c r="Q30" s="89">
        <f t="shared" ca="1" si="21"/>
        <v>0</v>
      </c>
      <c r="R30" s="280">
        <f ca="1">IFERROR(__xludf.DUMMYFUNCTION("IMPORTRANGE(""https://docs.google.com/spreadsheets/d/1UsNK1e-WWiCo2PvGqdNfdme4m17_Ezd3J69EeeiQPD0/edit?usp=sharing"",""อุทัยธานี!I330"")"),1)</f>
        <v>1</v>
      </c>
      <c r="S30" s="191">
        <f ca="1">IFERROR(__xludf.DUMMYFUNCTION("IMPORTRANGE(""https://docs.google.com/spreadsheets/d/1UsNK1e-WWiCo2PvGqdNfdme4m17_Ezd3J69EeeiQPD0/edit?usp=sharing"",""อุทัยธานี!J330"")"),1)</f>
        <v>1</v>
      </c>
      <c r="T30" s="218">
        <f t="shared" ca="1" si="23"/>
        <v>100</v>
      </c>
    </row>
    <row r="31" spans="1:20" ht="21" customHeight="1" x14ac:dyDescent="0.3">
      <c r="A31" s="665" t="s">
        <v>59</v>
      </c>
      <c r="B31" s="666"/>
      <c r="C31" s="161">
        <f t="shared" ca="1" si="14"/>
        <v>300000</v>
      </c>
      <c r="D31" s="161">
        <f t="shared" ref="D31:I31" ca="1" si="25">SUM(D32:D51)</f>
        <v>300000</v>
      </c>
      <c r="E31" s="161">
        <f t="shared" ca="1" si="25"/>
        <v>0</v>
      </c>
      <c r="F31" s="161">
        <f t="shared" ca="1" si="25"/>
        <v>300000</v>
      </c>
      <c r="G31" s="161">
        <f t="shared" ca="1" si="25"/>
        <v>0</v>
      </c>
      <c r="H31" s="161">
        <f t="shared" ca="1" si="25"/>
        <v>300000</v>
      </c>
      <c r="I31" s="161">
        <f t="shared" ca="1" si="25"/>
        <v>0</v>
      </c>
      <c r="J31" s="161">
        <f t="shared" ca="1" si="16"/>
        <v>66321.239999999991</v>
      </c>
      <c r="K31" s="162">
        <f t="shared" ca="1" si="17"/>
        <v>22.107079999999996</v>
      </c>
      <c r="L31" s="161">
        <f ca="1">SUM(L32:L51)</f>
        <v>66321.239999999991</v>
      </c>
      <c r="M31" s="94">
        <f t="shared" ca="1" si="18"/>
        <v>22.107079999999996</v>
      </c>
      <c r="N31" s="94">
        <f t="shared" ca="1" si="19"/>
        <v>22.107079999999996</v>
      </c>
      <c r="O31" s="93">
        <f ca="1">SUM(O32:O51)</f>
        <v>0</v>
      </c>
      <c r="P31" s="93">
        <f t="shared" ca="1" si="20"/>
        <v>0</v>
      </c>
      <c r="Q31" s="94">
        <f t="shared" ca="1" si="21"/>
        <v>0</v>
      </c>
      <c r="R31" s="282">
        <f t="shared" ref="R31:S31" ca="1" si="26">SUM(R32:R51)</f>
        <v>3</v>
      </c>
      <c r="S31" s="161">
        <f t="shared" ca="1" si="26"/>
        <v>2</v>
      </c>
      <c r="T31" s="94">
        <f t="shared" ca="1" si="23"/>
        <v>66.666666666666671</v>
      </c>
    </row>
    <row r="32" spans="1:20" ht="21" customHeight="1" x14ac:dyDescent="0.3">
      <c r="A32" s="58">
        <v>1</v>
      </c>
      <c r="B32" s="59" t="s">
        <v>60</v>
      </c>
      <c r="C32" s="149">
        <f t="shared" ca="1" si="14"/>
        <v>125000</v>
      </c>
      <c r="D32" s="150">
        <f t="shared" ref="D32:D51" ca="1" si="27">+E32+F32</f>
        <v>125000</v>
      </c>
      <c r="E32" s="151">
        <f ca="1">IFERROR(__xludf.DUMMYFUNCTION("IMPORTRANGE(""https://docs.google.com/spreadsheets/d/1-uDff_7J0KD5mKrp0Vvzr7lt3OU09vwQwhkpOPPYv2Y/edit?usp=sharing"",""งบพรบ!EJ32"")"),0)</f>
        <v>0</v>
      </c>
      <c r="F32" s="151">
        <f ca="1">IFERROR(__xludf.DUMMYFUNCTION("IMPORTRANGE(""https://docs.google.com/spreadsheets/d/1-uDff_7J0KD5mKrp0Vvzr7lt3OU09vwQwhkpOPPYv2Y/edit?usp=sharing"",""งบพรบ!EK32"")"),125000)</f>
        <v>125000</v>
      </c>
      <c r="G32" s="152">
        <f ca="1">IFERROR(__xludf.DUMMYFUNCTION("IMPORTRANGE(""https://docs.google.com/spreadsheets/d/1-uDff_7J0KD5mKrp0Vvzr7lt3OU09vwQwhkpOPPYv2Y/edit?usp=sharing"",""งบพรบ!EL32"")"),0)</f>
        <v>0</v>
      </c>
      <c r="H32" s="152">
        <f ca="1">IFERROR(__xludf.DUMMYFUNCTION("IMPORTRANGE(""https://docs.google.com/spreadsheets/d/1-uDff_7J0KD5mKrp0Vvzr7lt3OU09vwQwhkpOPPYv2Y/edit?usp=sharing"",""งบพรบ!EN32"")"),125000)</f>
        <v>125000</v>
      </c>
      <c r="I32" s="152">
        <f ca="1">IFERROR(__xludf.DUMMYFUNCTION("IMPORTRANGE(""https://docs.google.com/spreadsheets/d/1-uDff_7J0KD5mKrp0Vvzr7lt3OU09vwQwhkpOPPYv2Y/edit?usp=sharing"",""งบพรบ!EO32"")"),0)</f>
        <v>0</v>
      </c>
      <c r="J32" s="152">
        <f t="shared" ca="1" si="16"/>
        <v>43694.99</v>
      </c>
      <c r="K32" s="153">
        <f t="shared" ca="1" si="17"/>
        <v>34.955992000000002</v>
      </c>
      <c r="L32" s="152">
        <f ca="1">IFERROR(__xludf.DUMMYFUNCTION("IMPORTRANGE(""https://docs.google.com/spreadsheets/d/1-uDff_7J0KD5mKrp0Vvzr7lt3OU09vwQwhkpOPPYv2Y/edit?usp=sharing"",""งบพรบ!EP32"")"),43694.99)</f>
        <v>43694.99</v>
      </c>
      <c r="M32" s="68">
        <f t="shared" ca="1" si="18"/>
        <v>34.955992000000002</v>
      </c>
      <c r="N32" s="68">
        <f t="shared" ca="1" si="19"/>
        <v>34.955992000000002</v>
      </c>
      <c r="O32" s="67">
        <f ca="1">IFERROR(__xludf.DUMMYFUNCTION("IMPORTRANGE(""https://docs.google.com/spreadsheets/d/1-uDff_7J0KD5mKrp0Vvzr7lt3OU09vwQwhkpOPPYv2Y/edit?usp=sharing"",""งบพรบ!EQ32"")"),0)</f>
        <v>0</v>
      </c>
      <c r="P32" s="67">
        <f t="shared" ca="1" si="20"/>
        <v>0</v>
      </c>
      <c r="Q32" s="68">
        <f t="shared" ca="1" si="21"/>
        <v>0</v>
      </c>
      <c r="R32" s="278">
        <f ca="1">IFERROR(__xludf.DUMMYFUNCTION("IMPORTRANGE(""https://docs.google.com/spreadsheets/d/1yhBcrRPreicbMKl9Bu_Snb2-OcQAF62RKfhTLhJ2eAA/edit?usp=sharing"",""กาฬสินธุ์!I330"")"),1)</f>
        <v>1</v>
      </c>
      <c r="S32" s="152">
        <f ca="1">IFERROR(__xludf.DUMMYFUNCTION("IMPORTRANGE(""https://docs.google.com/spreadsheets/d/1yhBcrRPreicbMKl9Bu_Snb2-OcQAF62RKfhTLhJ2eAA/edit?usp=sharing"",""กาฬสินธุ์!J330"")"),1)</f>
        <v>1</v>
      </c>
      <c r="T32" s="216">
        <f t="shared" ca="1" si="23"/>
        <v>100</v>
      </c>
    </row>
    <row r="33" spans="1:20" ht="21" customHeight="1" x14ac:dyDescent="0.3">
      <c r="A33" s="70">
        <v>2</v>
      </c>
      <c r="B33" s="71" t="s">
        <v>61</v>
      </c>
      <c r="C33" s="149">
        <f t="shared" ca="1" si="14"/>
        <v>0</v>
      </c>
      <c r="D33" s="150">
        <f t="shared" ca="1" si="27"/>
        <v>0</v>
      </c>
      <c r="E33" s="151">
        <f ca="1">IFERROR(__xludf.DUMMYFUNCTION("IMPORTRANGE(""https://docs.google.com/spreadsheets/d/1-uDff_7J0KD5mKrp0Vvzr7lt3OU09vwQwhkpOPPYv2Y/edit?usp=sharing"",""งบพรบ!EJ33"")"),0)</f>
        <v>0</v>
      </c>
      <c r="F33" s="151">
        <f ca="1">IFERROR(__xludf.DUMMYFUNCTION("IMPORTRANGE(""https://docs.google.com/spreadsheets/d/1-uDff_7J0KD5mKrp0Vvzr7lt3OU09vwQwhkpOPPYv2Y/edit?usp=sharing"",""งบพรบ!EK33"")"),0)</f>
        <v>0</v>
      </c>
      <c r="G33" s="151">
        <f ca="1">IFERROR(__xludf.DUMMYFUNCTION("IMPORTRANGE(""https://docs.google.com/spreadsheets/d/1-uDff_7J0KD5mKrp0Vvzr7lt3OU09vwQwhkpOPPYv2Y/edit?usp=sharing"",""งบพรบ!EL33"")"),0)</f>
        <v>0</v>
      </c>
      <c r="H33" s="151">
        <f ca="1">IFERROR(__xludf.DUMMYFUNCTION("IMPORTRANGE(""https://docs.google.com/spreadsheets/d/1-uDff_7J0KD5mKrp0Vvzr7lt3OU09vwQwhkpOPPYv2Y/edit?usp=sharing"",""งบพรบ!EN33"")"),0)</f>
        <v>0</v>
      </c>
      <c r="I33" s="151">
        <f ca="1">IFERROR(__xludf.DUMMYFUNCTION("IMPORTRANGE(""https://docs.google.com/spreadsheets/d/1-uDff_7J0KD5mKrp0Vvzr7lt3OU09vwQwhkpOPPYv2Y/edit?usp=sharing"",""งบพรบ!EO33"")"),0)</f>
        <v>0</v>
      </c>
      <c r="J33" s="151">
        <f t="shared" ca="1" si="16"/>
        <v>0</v>
      </c>
      <c r="K33" s="154">
        <f t="shared" ca="1" si="17"/>
        <v>0</v>
      </c>
      <c r="L33" s="151">
        <f ca="1">IFERROR(__xludf.DUMMYFUNCTION("IMPORTRANGE(""https://docs.google.com/spreadsheets/d/1-uDff_7J0KD5mKrp0Vvzr7lt3OU09vwQwhkpOPPYv2Y/edit?usp=sharing"",""งบพรบ!EP33"")"),0)</f>
        <v>0</v>
      </c>
      <c r="M33" s="68">
        <f t="shared" ca="1" si="18"/>
        <v>0</v>
      </c>
      <c r="N33" s="68">
        <f t="shared" ca="1" si="19"/>
        <v>0</v>
      </c>
      <c r="O33" s="67">
        <f ca="1">IFERROR(__xludf.DUMMYFUNCTION("IMPORTRANGE(""https://docs.google.com/spreadsheets/d/1-uDff_7J0KD5mKrp0Vvzr7lt3OU09vwQwhkpOPPYv2Y/edit?usp=sharing"",""งบพรบ!EQ33"")"),0)</f>
        <v>0</v>
      </c>
      <c r="P33" s="67">
        <f t="shared" ca="1" si="20"/>
        <v>0</v>
      </c>
      <c r="Q33" s="68">
        <f t="shared" ca="1" si="21"/>
        <v>0</v>
      </c>
      <c r="R33" s="279">
        <f ca="1">IFERROR(__xludf.DUMMYFUNCTION("IMPORTRANGE(""https://docs.google.com/spreadsheets/d/1aHkj4IaQMThhwWwevcOymEh837vdxeC_PycurhTbGFA/edit?usp=sharing"",""ขอนแก่น!I330"")"),0)</f>
        <v>0</v>
      </c>
      <c r="S33" s="152">
        <f ca="1">IFERROR(__xludf.DUMMYFUNCTION("IMPORTRANGE(""https://docs.google.com/spreadsheets/d/1aHkj4IaQMThhwWwevcOymEh837vdxeC_PycurhTbGFA/edit?usp=sharing"",""ขอนแก่น!J330"")"),0)</f>
        <v>0</v>
      </c>
      <c r="T33" s="216">
        <f t="shared" ca="1" si="23"/>
        <v>0</v>
      </c>
    </row>
    <row r="34" spans="1:20" ht="21" customHeight="1" x14ac:dyDescent="0.3">
      <c r="A34" s="70">
        <v>3</v>
      </c>
      <c r="B34" s="71" t="s">
        <v>62</v>
      </c>
      <c r="C34" s="149">
        <f t="shared" ca="1" si="14"/>
        <v>0</v>
      </c>
      <c r="D34" s="150">
        <f t="shared" ca="1" si="27"/>
        <v>0</v>
      </c>
      <c r="E34" s="151">
        <f ca="1">IFERROR(__xludf.DUMMYFUNCTION("IMPORTRANGE(""https://docs.google.com/spreadsheets/d/1-uDff_7J0KD5mKrp0Vvzr7lt3OU09vwQwhkpOPPYv2Y/edit?usp=sharing"",""งบพรบ!EJ34"")"),0)</f>
        <v>0</v>
      </c>
      <c r="F34" s="151">
        <f ca="1">IFERROR(__xludf.DUMMYFUNCTION("IMPORTRANGE(""https://docs.google.com/spreadsheets/d/1-uDff_7J0KD5mKrp0Vvzr7lt3OU09vwQwhkpOPPYv2Y/edit?usp=sharing"",""งบพรบ!EK34"")"),0)</f>
        <v>0</v>
      </c>
      <c r="G34" s="151">
        <f ca="1">IFERROR(__xludf.DUMMYFUNCTION("IMPORTRANGE(""https://docs.google.com/spreadsheets/d/1-uDff_7J0KD5mKrp0Vvzr7lt3OU09vwQwhkpOPPYv2Y/edit?usp=sharing"",""งบพรบ!EL34"")"),0)</f>
        <v>0</v>
      </c>
      <c r="H34" s="151">
        <f ca="1">IFERROR(__xludf.DUMMYFUNCTION("IMPORTRANGE(""https://docs.google.com/spreadsheets/d/1-uDff_7J0KD5mKrp0Vvzr7lt3OU09vwQwhkpOPPYv2Y/edit?usp=sharing"",""งบพรบ!EN34"")"),0)</f>
        <v>0</v>
      </c>
      <c r="I34" s="151">
        <f ca="1">IFERROR(__xludf.DUMMYFUNCTION("IMPORTRANGE(""https://docs.google.com/spreadsheets/d/1-uDff_7J0KD5mKrp0Vvzr7lt3OU09vwQwhkpOPPYv2Y/edit?usp=sharing"",""งบพรบ!EO34"")"),0)</f>
        <v>0</v>
      </c>
      <c r="J34" s="151">
        <f t="shared" ca="1" si="16"/>
        <v>0</v>
      </c>
      <c r="K34" s="154">
        <f t="shared" ca="1" si="17"/>
        <v>0</v>
      </c>
      <c r="L34" s="151">
        <f ca="1">IFERROR(__xludf.DUMMYFUNCTION("IMPORTRANGE(""https://docs.google.com/spreadsheets/d/1-uDff_7J0KD5mKrp0Vvzr7lt3OU09vwQwhkpOPPYv2Y/edit?usp=sharing"",""งบพรบ!EP34"")"),0)</f>
        <v>0</v>
      </c>
      <c r="M34" s="68">
        <f t="shared" ca="1" si="18"/>
        <v>0</v>
      </c>
      <c r="N34" s="68">
        <f t="shared" ca="1" si="19"/>
        <v>0</v>
      </c>
      <c r="O34" s="67">
        <f ca="1">IFERROR(__xludf.DUMMYFUNCTION("IMPORTRANGE(""https://docs.google.com/spreadsheets/d/1-uDff_7J0KD5mKrp0Vvzr7lt3OU09vwQwhkpOPPYv2Y/edit?usp=sharing"",""งบพรบ!EQ34"")"),0)</f>
        <v>0</v>
      </c>
      <c r="P34" s="67">
        <f t="shared" ca="1" si="20"/>
        <v>0</v>
      </c>
      <c r="Q34" s="68">
        <f t="shared" ca="1" si="21"/>
        <v>0</v>
      </c>
      <c r="R34" s="278">
        <f ca="1">IFERROR(__xludf.DUMMYFUNCTION("IMPORTRANGE(""https://docs.google.com/spreadsheets/d/1FvTu2DsIWUjP6WCWra38Bkj_oOl_sOMf14r5Fg5srxU/edit?usp=sharing"",""ชัยภูมิ!I330"")"),0)</f>
        <v>0</v>
      </c>
      <c r="S34" s="152">
        <f ca="1">IFERROR(__xludf.DUMMYFUNCTION("IMPORTRANGE(""https://docs.google.com/spreadsheets/d/1FvTu2DsIWUjP6WCWra38Bkj_oOl_sOMf14r5Fg5srxU/edit?usp=sharing"",""ชัยภูมิ!J330"")"),0)</f>
        <v>0</v>
      </c>
      <c r="T34" s="216">
        <f t="shared" ca="1" si="23"/>
        <v>0</v>
      </c>
    </row>
    <row r="35" spans="1:20" ht="21" customHeight="1" x14ac:dyDescent="0.3">
      <c r="A35" s="70">
        <v>4</v>
      </c>
      <c r="B35" s="71" t="s">
        <v>63</v>
      </c>
      <c r="C35" s="149">
        <f t="shared" ca="1" si="14"/>
        <v>0</v>
      </c>
      <c r="D35" s="150">
        <f t="shared" ca="1" si="27"/>
        <v>0</v>
      </c>
      <c r="E35" s="151">
        <f ca="1">IFERROR(__xludf.DUMMYFUNCTION("IMPORTRANGE(""https://docs.google.com/spreadsheets/d/1-uDff_7J0KD5mKrp0Vvzr7lt3OU09vwQwhkpOPPYv2Y/edit?usp=sharing"",""งบพรบ!EJ35"")"),0)</f>
        <v>0</v>
      </c>
      <c r="F35" s="151">
        <f ca="1">IFERROR(__xludf.DUMMYFUNCTION("IMPORTRANGE(""https://docs.google.com/spreadsheets/d/1-uDff_7J0KD5mKrp0Vvzr7lt3OU09vwQwhkpOPPYv2Y/edit?usp=sharing"",""งบพรบ!EK35"")"),0)</f>
        <v>0</v>
      </c>
      <c r="G35" s="151">
        <f ca="1">IFERROR(__xludf.DUMMYFUNCTION("IMPORTRANGE(""https://docs.google.com/spreadsheets/d/1-uDff_7J0KD5mKrp0Vvzr7lt3OU09vwQwhkpOPPYv2Y/edit?usp=sharing"",""งบพรบ!EL35"")"),0)</f>
        <v>0</v>
      </c>
      <c r="H35" s="151">
        <f ca="1">IFERROR(__xludf.DUMMYFUNCTION("IMPORTRANGE(""https://docs.google.com/spreadsheets/d/1-uDff_7J0KD5mKrp0Vvzr7lt3OU09vwQwhkpOPPYv2Y/edit?usp=sharing"",""งบพรบ!EN35"")"),0)</f>
        <v>0</v>
      </c>
      <c r="I35" s="151">
        <f ca="1">IFERROR(__xludf.DUMMYFUNCTION("IMPORTRANGE(""https://docs.google.com/spreadsheets/d/1-uDff_7J0KD5mKrp0Vvzr7lt3OU09vwQwhkpOPPYv2Y/edit?usp=sharing"",""งบพรบ!EO35"")"),0)</f>
        <v>0</v>
      </c>
      <c r="J35" s="151">
        <f t="shared" ca="1" si="16"/>
        <v>0</v>
      </c>
      <c r="K35" s="154">
        <f t="shared" ca="1" si="17"/>
        <v>0</v>
      </c>
      <c r="L35" s="151">
        <f ca="1">IFERROR(__xludf.DUMMYFUNCTION("IMPORTRANGE(""https://docs.google.com/spreadsheets/d/1-uDff_7J0KD5mKrp0Vvzr7lt3OU09vwQwhkpOPPYv2Y/edit?usp=sharing"",""งบพรบ!EP35"")"),0)</f>
        <v>0</v>
      </c>
      <c r="M35" s="68">
        <f t="shared" ca="1" si="18"/>
        <v>0</v>
      </c>
      <c r="N35" s="68">
        <f t="shared" ca="1" si="19"/>
        <v>0</v>
      </c>
      <c r="O35" s="67">
        <f ca="1">IFERROR(__xludf.DUMMYFUNCTION("IMPORTRANGE(""https://docs.google.com/spreadsheets/d/1-uDff_7J0KD5mKrp0Vvzr7lt3OU09vwQwhkpOPPYv2Y/edit?usp=sharing"",""งบพรบ!EQ35"")"),0)</f>
        <v>0</v>
      </c>
      <c r="P35" s="67">
        <f t="shared" ca="1" si="20"/>
        <v>0</v>
      </c>
      <c r="Q35" s="68">
        <f t="shared" ca="1" si="21"/>
        <v>0</v>
      </c>
      <c r="R35" s="278">
        <f ca="1">IFERROR(__xludf.DUMMYFUNCTION("IMPORTRANGE(""https://docs.google.com/spreadsheets/d/1XVB7oCJ3pr-vBUdflwPQ8Z2LlzhnCvZaaYjAfP-647E/edit?usp=sharing"",""นครพนม!I330"")"),0)</f>
        <v>0</v>
      </c>
      <c r="S35" s="152">
        <f ca="1">IFERROR(__xludf.DUMMYFUNCTION("IMPORTRANGE(""https://docs.google.com/spreadsheets/d/1XVB7oCJ3pr-vBUdflwPQ8Z2LlzhnCvZaaYjAfP-647E/edit?usp=sharing"",""นครพนม!J330"")"),0)</f>
        <v>0</v>
      </c>
      <c r="T35" s="216">
        <f t="shared" ca="1" si="23"/>
        <v>0</v>
      </c>
    </row>
    <row r="36" spans="1:20" ht="21" customHeight="1" x14ac:dyDescent="0.3">
      <c r="A36" s="70">
        <v>5</v>
      </c>
      <c r="B36" s="71" t="s">
        <v>64</v>
      </c>
      <c r="C36" s="149">
        <f t="shared" ca="1" si="14"/>
        <v>175000</v>
      </c>
      <c r="D36" s="150">
        <f t="shared" ca="1" si="27"/>
        <v>175000</v>
      </c>
      <c r="E36" s="151">
        <f ca="1">IFERROR(__xludf.DUMMYFUNCTION("IMPORTRANGE(""https://docs.google.com/spreadsheets/d/1-uDff_7J0KD5mKrp0Vvzr7lt3OU09vwQwhkpOPPYv2Y/edit?usp=sharing"",""งบพรบ!EJ36"")"),0)</f>
        <v>0</v>
      </c>
      <c r="F36" s="151">
        <f ca="1">IFERROR(__xludf.DUMMYFUNCTION("IMPORTRANGE(""https://docs.google.com/spreadsheets/d/1-uDff_7J0KD5mKrp0Vvzr7lt3OU09vwQwhkpOPPYv2Y/edit?usp=sharing"",""งบพรบ!EK36"")"),175000)</f>
        <v>175000</v>
      </c>
      <c r="G36" s="151">
        <f ca="1">IFERROR(__xludf.DUMMYFUNCTION("IMPORTRANGE(""https://docs.google.com/spreadsheets/d/1-uDff_7J0KD5mKrp0Vvzr7lt3OU09vwQwhkpOPPYv2Y/edit?usp=sharing"",""งบพรบ!EL36"")"),0)</f>
        <v>0</v>
      </c>
      <c r="H36" s="151">
        <f ca="1">IFERROR(__xludf.DUMMYFUNCTION("IMPORTRANGE(""https://docs.google.com/spreadsheets/d/1-uDff_7J0KD5mKrp0Vvzr7lt3OU09vwQwhkpOPPYv2Y/edit?usp=sharing"",""งบพรบ!EN36"")"),175000)</f>
        <v>175000</v>
      </c>
      <c r="I36" s="151">
        <f ca="1">IFERROR(__xludf.DUMMYFUNCTION("IMPORTRANGE(""https://docs.google.com/spreadsheets/d/1-uDff_7J0KD5mKrp0Vvzr7lt3OU09vwQwhkpOPPYv2Y/edit?usp=sharing"",""งบพรบ!EO36"")"),0)</f>
        <v>0</v>
      </c>
      <c r="J36" s="151">
        <f t="shared" ca="1" si="16"/>
        <v>22626.25</v>
      </c>
      <c r="K36" s="154">
        <f t="shared" ca="1" si="17"/>
        <v>12.929285714285715</v>
      </c>
      <c r="L36" s="151">
        <f ca="1">IFERROR(__xludf.DUMMYFUNCTION("IMPORTRANGE(""https://docs.google.com/spreadsheets/d/1-uDff_7J0KD5mKrp0Vvzr7lt3OU09vwQwhkpOPPYv2Y/edit?usp=sharing"",""งบพรบ!EP36"")"),22626.25)</f>
        <v>22626.25</v>
      </c>
      <c r="M36" s="68">
        <f t="shared" ca="1" si="18"/>
        <v>12.929285714285715</v>
      </c>
      <c r="N36" s="68">
        <f t="shared" ca="1" si="19"/>
        <v>12.929285714285715</v>
      </c>
      <c r="O36" s="67">
        <f ca="1">IFERROR(__xludf.DUMMYFUNCTION("IMPORTRANGE(""https://docs.google.com/spreadsheets/d/1-uDff_7J0KD5mKrp0Vvzr7lt3OU09vwQwhkpOPPYv2Y/edit?usp=sharing"",""งบพรบ!EQ36"")"),0)</f>
        <v>0</v>
      </c>
      <c r="P36" s="67">
        <f t="shared" ca="1" si="20"/>
        <v>0</v>
      </c>
      <c r="Q36" s="68">
        <f t="shared" ca="1" si="21"/>
        <v>0</v>
      </c>
      <c r="R36" s="278">
        <f ca="1">IFERROR(__xludf.DUMMYFUNCTION("IMPORTRANGE(""https://docs.google.com/spreadsheets/d/1Mnpb-8PYAgn85W6KOTD40hc_Xc55CaLfHoGAbrZ8tls/edit?usp=sharing"",""นครราชสีมา!I330"")"),2)</f>
        <v>2</v>
      </c>
      <c r="S36" s="152">
        <f ca="1">IFERROR(__xludf.DUMMYFUNCTION("IMPORTRANGE(""https://docs.google.com/spreadsheets/d/1Mnpb-8PYAgn85W6KOTD40hc_Xc55CaLfHoGAbrZ8tls/edit?usp=sharing"",""นครราชสีมา!J330"")"),1)</f>
        <v>1</v>
      </c>
      <c r="T36" s="216">
        <f t="shared" ca="1" si="23"/>
        <v>50</v>
      </c>
    </row>
    <row r="37" spans="1:20" ht="21" customHeight="1" x14ac:dyDescent="0.3">
      <c r="A37" s="70">
        <v>6</v>
      </c>
      <c r="B37" s="71" t="s">
        <v>65</v>
      </c>
      <c r="C37" s="149">
        <f t="shared" ca="1" si="14"/>
        <v>0</v>
      </c>
      <c r="D37" s="150">
        <f t="shared" ca="1" si="27"/>
        <v>0</v>
      </c>
      <c r="E37" s="151">
        <f ca="1">IFERROR(__xludf.DUMMYFUNCTION("IMPORTRANGE(""https://docs.google.com/spreadsheets/d/1-uDff_7J0KD5mKrp0Vvzr7lt3OU09vwQwhkpOPPYv2Y/edit?usp=sharing"",""งบพรบ!EJ37"")"),0)</f>
        <v>0</v>
      </c>
      <c r="F37" s="151">
        <f ca="1">IFERROR(__xludf.DUMMYFUNCTION("IMPORTRANGE(""https://docs.google.com/spreadsheets/d/1-uDff_7J0KD5mKrp0Vvzr7lt3OU09vwQwhkpOPPYv2Y/edit?usp=sharing"",""งบพรบ!EK37"")"),0)</f>
        <v>0</v>
      </c>
      <c r="G37" s="151">
        <f ca="1">IFERROR(__xludf.DUMMYFUNCTION("IMPORTRANGE(""https://docs.google.com/spreadsheets/d/1-uDff_7J0KD5mKrp0Vvzr7lt3OU09vwQwhkpOPPYv2Y/edit?usp=sharing"",""งบพรบ!EL37"")"),0)</f>
        <v>0</v>
      </c>
      <c r="H37" s="151">
        <f ca="1">IFERROR(__xludf.DUMMYFUNCTION("IMPORTRANGE(""https://docs.google.com/spreadsheets/d/1-uDff_7J0KD5mKrp0Vvzr7lt3OU09vwQwhkpOPPYv2Y/edit?usp=sharing"",""งบพรบ!EN37"")"),0)</f>
        <v>0</v>
      </c>
      <c r="I37" s="151">
        <f ca="1">IFERROR(__xludf.DUMMYFUNCTION("IMPORTRANGE(""https://docs.google.com/spreadsheets/d/1-uDff_7J0KD5mKrp0Vvzr7lt3OU09vwQwhkpOPPYv2Y/edit?usp=sharing"",""งบพรบ!EO37"")"),0)</f>
        <v>0</v>
      </c>
      <c r="J37" s="151">
        <f t="shared" ca="1" si="16"/>
        <v>0</v>
      </c>
      <c r="K37" s="154">
        <f t="shared" ca="1" si="17"/>
        <v>0</v>
      </c>
      <c r="L37" s="151">
        <f ca="1">IFERROR(__xludf.DUMMYFUNCTION("IMPORTRANGE(""https://docs.google.com/spreadsheets/d/1-uDff_7J0KD5mKrp0Vvzr7lt3OU09vwQwhkpOPPYv2Y/edit?usp=sharing"",""งบพรบ!EP37"")"),0)</f>
        <v>0</v>
      </c>
      <c r="M37" s="68">
        <f t="shared" ca="1" si="18"/>
        <v>0</v>
      </c>
      <c r="N37" s="68">
        <f t="shared" ca="1" si="19"/>
        <v>0</v>
      </c>
      <c r="O37" s="67">
        <f ca="1">IFERROR(__xludf.DUMMYFUNCTION("IMPORTRANGE(""https://docs.google.com/spreadsheets/d/1-uDff_7J0KD5mKrp0Vvzr7lt3OU09vwQwhkpOPPYv2Y/edit?usp=sharing"",""งบพรบ!EQ37"")"),0)</f>
        <v>0</v>
      </c>
      <c r="P37" s="67">
        <f t="shared" ca="1" si="20"/>
        <v>0</v>
      </c>
      <c r="Q37" s="68">
        <f t="shared" ca="1" si="21"/>
        <v>0</v>
      </c>
      <c r="R37" s="278">
        <f ca="1">IFERROR(__xludf.DUMMYFUNCTION("IMPORTRANGE(""https://docs.google.com/spreadsheets/d/1xoDLGBv9CYbyosIhki0kTq6IpYNj-gpjxfobnaDiut0/edit?usp=sharing"",""บึงกาฬ!I330"")"),0)</f>
        <v>0</v>
      </c>
      <c r="S37" s="152">
        <f ca="1">IFERROR(__xludf.DUMMYFUNCTION("IMPORTRANGE(""https://docs.google.com/spreadsheets/d/1xoDLGBv9CYbyosIhki0kTq6IpYNj-gpjxfobnaDiut0/edit?usp=sharing"",""บึงกาฬ!J330"")"),0)</f>
        <v>0</v>
      </c>
      <c r="T37" s="216">
        <f t="shared" ca="1" si="23"/>
        <v>0</v>
      </c>
    </row>
    <row r="38" spans="1:20" ht="21" customHeight="1" x14ac:dyDescent="0.3">
      <c r="A38" s="70">
        <v>7</v>
      </c>
      <c r="B38" s="71" t="s">
        <v>66</v>
      </c>
      <c r="C38" s="149">
        <f t="shared" ca="1" si="14"/>
        <v>0</v>
      </c>
      <c r="D38" s="150">
        <f t="shared" ca="1" si="27"/>
        <v>0</v>
      </c>
      <c r="E38" s="151">
        <f ca="1">IFERROR(__xludf.DUMMYFUNCTION("IMPORTRANGE(""https://docs.google.com/spreadsheets/d/1-uDff_7J0KD5mKrp0Vvzr7lt3OU09vwQwhkpOPPYv2Y/edit?usp=sharing"",""งบพรบ!EJ38"")"),0)</f>
        <v>0</v>
      </c>
      <c r="F38" s="151">
        <f ca="1">IFERROR(__xludf.DUMMYFUNCTION("IMPORTRANGE(""https://docs.google.com/spreadsheets/d/1-uDff_7J0KD5mKrp0Vvzr7lt3OU09vwQwhkpOPPYv2Y/edit?usp=sharing"",""งบพรบ!EK38"")"),0)</f>
        <v>0</v>
      </c>
      <c r="G38" s="151">
        <f ca="1">IFERROR(__xludf.DUMMYFUNCTION("IMPORTRANGE(""https://docs.google.com/spreadsheets/d/1-uDff_7J0KD5mKrp0Vvzr7lt3OU09vwQwhkpOPPYv2Y/edit?usp=sharing"",""งบพรบ!EL38"")"),0)</f>
        <v>0</v>
      </c>
      <c r="H38" s="151">
        <f ca="1">IFERROR(__xludf.DUMMYFUNCTION("IMPORTRANGE(""https://docs.google.com/spreadsheets/d/1-uDff_7J0KD5mKrp0Vvzr7lt3OU09vwQwhkpOPPYv2Y/edit?usp=sharing"",""งบพรบ!EN38"")"),0)</f>
        <v>0</v>
      </c>
      <c r="I38" s="151">
        <f ca="1">IFERROR(__xludf.DUMMYFUNCTION("IMPORTRANGE(""https://docs.google.com/spreadsheets/d/1-uDff_7J0KD5mKrp0Vvzr7lt3OU09vwQwhkpOPPYv2Y/edit?usp=sharing"",""งบพรบ!EO38"")"),0)</f>
        <v>0</v>
      </c>
      <c r="J38" s="151">
        <f t="shared" ca="1" si="16"/>
        <v>0</v>
      </c>
      <c r="K38" s="154">
        <f t="shared" ca="1" si="17"/>
        <v>0</v>
      </c>
      <c r="L38" s="151">
        <f ca="1">IFERROR(__xludf.DUMMYFUNCTION("IMPORTRANGE(""https://docs.google.com/spreadsheets/d/1-uDff_7J0KD5mKrp0Vvzr7lt3OU09vwQwhkpOPPYv2Y/edit?usp=sharing"",""งบพรบ!EP38"")"),0)</f>
        <v>0</v>
      </c>
      <c r="M38" s="68">
        <f t="shared" ca="1" si="18"/>
        <v>0</v>
      </c>
      <c r="N38" s="68">
        <f t="shared" ca="1" si="19"/>
        <v>0</v>
      </c>
      <c r="O38" s="67">
        <f ca="1">IFERROR(__xludf.DUMMYFUNCTION("IMPORTRANGE(""https://docs.google.com/spreadsheets/d/1-uDff_7J0KD5mKrp0Vvzr7lt3OU09vwQwhkpOPPYv2Y/edit?usp=sharing"",""งบพรบ!EQ38"")"),0)</f>
        <v>0</v>
      </c>
      <c r="P38" s="67">
        <f t="shared" ca="1" si="20"/>
        <v>0</v>
      </c>
      <c r="Q38" s="68">
        <f t="shared" ca="1" si="21"/>
        <v>0</v>
      </c>
      <c r="R38" s="278">
        <f ca="1">IFERROR(__xludf.DUMMYFUNCTION("IMPORTRANGE(""https://docs.google.com/spreadsheets/d/1MMPq-JyI6DSgQETxuSiXkesP-P7JHuemnE6QJIa-Nlw/edit?usp=sharing"",""บุรีรัมย์!I330"")"),0)</f>
        <v>0</v>
      </c>
      <c r="S38" s="152">
        <f ca="1">IFERROR(__xludf.DUMMYFUNCTION("IMPORTRANGE(""https://docs.google.com/spreadsheets/d/1MMPq-JyI6DSgQETxuSiXkesP-P7JHuemnE6QJIa-Nlw/edit?usp=sharing"",""บุรีรัมย์!J330"")"),0)</f>
        <v>0</v>
      </c>
      <c r="T38" s="216">
        <f t="shared" ca="1" si="23"/>
        <v>0</v>
      </c>
    </row>
    <row r="39" spans="1:20" ht="21" customHeight="1" x14ac:dyDescent="0.3">
      <c r="A39" s="70">
        <v>8</v>
      </c>
      <c r="B39" s="71" t="s">
        <v>67</v>
      </c>
      <c r="C39" s="149">
        <f t="shared" ca="1" si="14"/>
        <v>0</v>
      </c>
      <c r="D39" s="150">
        <f t="shared" ca="1" si="27"/>
        <v>0</v>
      </c>
      <c r="E39" s="151">
        <f ca="1">IFERROR(__xludf.DUMMYFUNCTION("IMPORTRANGE(""https://docs.google.com/spreadsheets/d/1-uDff_7J0KD5mKrp0Vvzr7lt3OU09vwQwhkpOPPYv2Y/edit?usp=sharing"",""งบพรบ!EJ39"")"),0)</f>
        <v>0</v>
      </c>
      <c r="F39" s="151">
        <f ca="1">IFERROR(__xludf.DUMMYFUNCTION("IMPORTRANGE(""https://docs.google.com/spreadsheets/d/1-uDff_7J0KD5mKrp0Vvzr7lt3OU09vwQwhkpOPPYv2Y/edit?usp=sharing"",""งบพรบ!EK39"")"),0)</f>
        <v>0</v>
      </c>
      <c r="G39" s="151">
        <f ca="1">IFERROR(__xludf.DUMMYFUNCTION("IMPORTRANGE(""https://docs.google.com/spreadsheets/d/1-uDff_7J0KD5mKrp0Vvzr7lt3OU09vwQwhkpOPPYv2Y/edit?usp=sharing"",""งบพรบ!EL39"")"),0)</f>
        <v>0</v>
      </c>
      <c r="H39" s="151">
        <f ca="1">IFERROR(__xludf.DUMMYFUNCTION("IMPORTRANGE(""https://docs.google.com/spreadsheets/d/1-uDff_7J0KD5mKrp0Vvzr7lt3OU09vwQwhkpOPPYv2Y/edit?usp=sharing"",""งบพรบ!EN39"")"),0)</f>
        <v>0</v>
      </c>
      <c r="I39" s="151">
        <f ca="1">IFERROR(__xludf.DUMMYFUNCTION("IMPORTRANGE(""https://docs.google.com/spreadsheets/d/1-uDff_7J0KD5mKrp0Vvzr7lt3OU09vwQwhkpOPPYv2Y/edit?usp=sharing"",""งบพรบ!EO39"")"),0)</f>
        <v>0</v>
      </c>
      <c r="J39" s="151">
        <f t="shared" ca="1" si="16"/>
        <v>0</v>
      </c>
      <c r="K39" s="154">
        <f t="shared" ca="1" si="17"/>
        <v>0</v>
      </c>
      <c r="L39" s="151">
        <f ca="1">IFERROR(__xludf.DUMMYFUNCTION("IMPORTRANGE(""https://docs.google.com/spreadsheets/d/1-uDff_7J0KD5mKrp0Vvzr7lt3OU09vwQwhkpOPPYv2Y/edit?usp=sharing"",""งบพรบ!EP39"")"),0)</f>
        <v>0</v>
      </c>
      <c r="M39" s="68">
        <f t="shared" ca="1" si="18"/>
        <v>0</v>
      </c>
      <c r="N39" s="68">
        <f t="shared" ca="1" si="19"/>
        <v>0</v>
      </c>
      <c r="O39" s="67">
        <f ca="1">IFERROR(__xludf.DUMMYFUNCTION("IMPORTRANGE(""https://docs.google.com/spreadsheets/d/1-uDff_7J0KD5mKrp0Vvzr7lt3OU09vwQwhkpOPPYv2Y/edit?usp=sharing"",""งบพรบ!EQ39"")"),0)</f>
        <v>0</v>
      </c>
      <c r="P39" s="67">
        <f t="shared" ca="1" si="20"/>
        <v>0</v>
      </c>
      <c r="Q39" s="68">
        <f t="shared" ca="1" si="21"/>
        <v>0</v>
      </c>
      <c r="R39" s="278">
        <f ca="1">IFERROR(__xludf.DUMMYFUNCTION("IMPORTRANGE(""https://docs.google.com/spreadsheets/d/1l6IZ8xUPgMrESzcTYwhA1k_tPjeQjJPTqlm8Gd9eU5g/edit?usp=sharing"",""มหาสารคาม!I330"")"),0)</f>
        <v>0</v>
      </c>
      <c r="S39" s="152">
        <f ca="1">IFERROR(__xludf.DUMMYFUNCTION("IMPORTRANGE(""https://docs.google.com/spreadsheets/d/1l6IZ8xUPgMrESzcTYwhA1k_tPjeQjJPTqlm8Gd9eU5g/edit?usp=sharing"",""มหาสารคาม!J330"")"),0)</f>
        <v>0</v>
      </c>
      <c r="T39" s="216">
        <f t="shared" ca="1" si="23"/>
        <v>0</v>
      </c>
    </row>
    <row r="40" spans="1:20" ht="21" customHeight="1" x14ac:dyDescent="0.3">
      <c r="A40" s="70">
        <v>9</v>
      </c>
      <c r="B40" s="71" t="s">
        <v>68</v>
      </c>
      <c r="C40" s="149">
        <f t="shared" ca="1" si="14"/>
        <v>0</v>
      </c>
      <c r="D40" s="150">
        <f t="shared" ca="1" si="27"/>
        <v>0</v>
      </c>
      <c r="E40" s="151">
        <f ca="1">IFERROR(__xludf.DUMMYFUNCTION("IMPORTRANGE(""https://docs.google.com/spreadsheets/d/1-uDff_7J0KD5mKrp0Vvzr7lt3OU09vwQwhkpOPPYv2Y/edit?usp=sharing"",""งบพรบ!EJ40"")"),0)</f>
        <v>0</v>
      </c>
      <c r="F40" s="151">
        <f ca="1">IFERROR(__xludf.DUMMYFUNCTION("IMPORTRANGE(""https://docs.google.com/spreadsheets/d/1-uDff_7J0KD5mKrp0Vvzr7lt3OU09vwQwhkpOPPYv2Y/edit?usp=sharing"",""งบพรบ!EK40"")"),0)</f>
        <v>0</v>
      </c>
      <c r="G40" s="151">
        <f ca="1">IFERROR(__xludf.DUMMYFUNCTION("IMPORTRANGE(""https://docs.google.com/spreadsheets/d/1-uDff_7J0KD5mKrp0Vvzr7lt3OU09vwQwhkpOPPYv2Y/edit?usp=sharing"",""งบพรบ!EL40"")"),0)</f>
        <v>0</v>
      </c>
      <c r="H40" s="151">
        <f ca="1">IFERROR(__xludf.DUMMYFUNCTION("IMPORTRANGE(""https://docs.google.com/spreadsheets/d/1-uDff_7J0KD5mKrp0Vvzr7lt3OU09vwQwhkpOPPYv2Y/edit?usp=sharing"",""งบพรบ!EN40"")"),0)</f>
        <v>0</v>
      </c>
      <c r="I40" s="151">
        <f ca="1">IFERROR(__xludf.DUMMYFUNCTION("IMPORTRANGE(""https://docs.google.com/spreadsheets/d/1-uDff_7J0KD5mKrp0Vvzr7lt3OU09vwQwhkpOPPYv2Y/edit?usp=sharing"",""งบพรบ!EO40"")"),0)</f>
        <v>0</v>
      </c>
      <c r="J40" s="151">
        <f t="shared" ca="1" si="16"/>
        <v>0</v>
      </c>
      <c r="K40" s="154">
        <f t="shared" ca="1" si="17"/>
        <v>0</v>
      </c>
      <c r="L40" s="151">
        <f ca="1">IFERROR(__xludf.DUMMYFUNCTION("IMPORTRANGE(""https://docs.google.com/spreadsheets/d/1-uDff_7J0KD5mKrp0Vvzr7lt3OU09vwQwhkpOPPYv2Y/edit?usp=sharing"",""งบพรบ!EP40"")"),0)</f>
        <v>0</v>
      </c>
      <c r="M40" s="68">
        <f t="shared" ca="1" si="18"/>
        <v>0</v>
      </c>
      <c r="N40" s="68">
        <f t="shared" ca="1" si="19"/>
        <v>0</v>
      </c>
      <c r="O40" s="67">
        <f ca="1">IFERROR(__xludf.DUMMYFUNCTION("IMPORTRANGE(""https://docs.google.com/spreadsheets/d/1-uDff_7J0KD5mKrp0Vvzr7lt3OU09vwQwhkpOPPYv2Y/edit?usp=sharing"",""งบพรบ!EQ40"")"),0)</f>
        <v>0</v>
      </c>
      <c r="P40" s="67">
        <f t="shared" ca="1" si="20"/>
        <v>0</v>
      </c>
      <c r="Q40" s="68">
        <f t="shared" ca="1" si="21"/>
        <v>0</v>
      </c>
      <c r="R40" s="279">
        <f ca="1">IFERROR(__xludf.DUMMYFUNCTION("IMPORTRANGE(""https://docs.google.com/spreadsheets/d/1uB74YLqNjWX6FObjekfB2NtSYigTQyR2rq9u4Ub2Sq4/edit?usp=sharing"",""มุกดาหาร!I330"")"),0)</f>
        <v>0</v>
      </c>
      <c r="S40" s="152">
        <f ca="1">IFERROR(__xludf.DUMMYFUNCTION("IMPORTRANGE(""https://docs.google.com/spreadsheets/d/1uB74YLqNjWX6FObjekfB2NtSYigTQyR2rq9u4Ub2Sq4/edit?usp=sharing"",""มุกดาหาร!J330"")"),0)</f>
        <v>0</v>
      </c>
      <c r="T40" s="216">
        <f t="shared" ca="1" si="23"/>
        <v>0</v>
      </c>
    </row>
    <row r="41" spans="1:20" ht="21" customHeight="1" x14ac:dyDescent="0.3">
      <c r="A41" s="70">
        <v>10</v>
      </c>
      <c r="B41" s="71" t="s">
        <v>69</v>
      </c>
      <c r="C41" s="149">
        <f t="shared" ca="1" si="14"/>
        <v>0</v>
      </c>
      <c r="D41" s="150">
        <f t="shared" ca="1" si="27"/>
        <v>0</v>
      </c>
      <c r="E41" s="151">
        <f ca="1">IFERROR(__xludf.DUMMYFUNCTION("IMPORTRANGE(""https://docs.google.com/spreadsheets/d/1-uDff_7J0KD5mKrp0Vvzr7lt3OU09vwQwhkpOPPYv2Y/edit?usp=sharing"",""งบพรบ!EJ41"")"),0)</f>
        <v>0</v>
      </c>
      <c r="F41" s="151">
        <f ca="1">IFERROR(__xludf.DUMMYFUNCTION("IMPORTRANGE(""https://docs.google.com/spreadsheets/d/1-uDff_7J0KD5mKrp0Vvzr7lt3OU09vwQwhkpOPPYv2Y/edit?usp=sharing"",""งบพรบ!EK41"")"),0)</f>
        <v>0</v>
      </c>
      <c r="G41" s="151">
        <f ca="1">IFERROR(__xludf.DUMMYFUNCTION("IMPORTRANGE(""https://docs.google.com/spreadsheets/d/1-uDff_7J0KD5mKrp0Vvzr7lt3OU09vwQwhkpOPPYv2Y/edit?usp=sharing"",""งบพรบ!EL41"")"),0)</f>
        <v>0</v>
      </c>
      <c r="H41" s="151">
        <f ca="1">IFERROR(__xludf.DUMMYFUNCTION("IMPORTRANGE(""https://docs.google.com/spreadsheets/d/1-uDff_7J0KD5mKrp0Vvzr7lt3OU09vwQwhkpOPPYv2Y/edit?usp=sharing"",""งบพรบ!EN41"")"),0)</f>
        <v>0</v>
      </c>
      <c r="I41" s="151">
        <f ca="1">IFERROR(__xludf.DUMMYFUNCTION("IMPORTRANGE(""https://docs.google.com/spreadsheets/d/1-uDff_7J0KD5mKrp0Vvzr7lt3OU09vwQwhkpOPPYv2Y/edit?usp=sharing"",""งบพรบ!EO41"")"),0)</f>
        <v>0</v>
      </c>
      <c r="J41" s="151">
        <f t="shared" ca="1" si="16"/>
        <v>0</v>
      </c>
      <c r="K41" s="154">
        <f t="shared" ca="1" si="17"/>
        <v>0</v>
      </c>
      <c r="L41" s="151">
        <f ca="1">IFERROR(__xludf.DUMMYFUNCTION("IMPORTRANGE(""https://docs.google.com/spreadsheets/d/1-uDff_7J0KD5mKrp0Vvzr7lt3OU09vwQwhkpOPPYv2Y/edit?usp=sharing"",""งบพรบ!EP41"")"),0)</f>
        <v>0</v>
      </c>
      <c r="M41" s="68">
        <f t="shared" ca="1" si="18"/>
        <v>0</v>
      </c>
      <c r="N41" s="68">
        <f t="shared" ca="1" si="19"/>
        <v>0</v>
      </c>
      <c r="O41" s="67">
        <f ca="1">IFERROR(__xludf.DUMMYFUNCTION("IMPORTRANGE(""https://docs.google.com/spreadsheets/d/1-uDff_7J0KD5mKrp0Vvzr7lt3OU09vwQwhkpOPPYv2Y/edit?usp=sharing"",""งบพรบ!EQ41"")"),0)</f>
        <v>0</v>
      </c>
      <c r="P41" s="67">
        <f t="shared" ca="1" si="20"/>
        <v>0</v>
      </c>
      <c r="Q41" s="68">
        <f t="shared" ca="1" si="21"/>
        <v>0</v>
      </c>
      <c r="R41" s="279">
        <f ca="1">IFERROR(__xludf.DUMMYFUNCTION("IMPORTRANGE(""https://docs.google.com/spreadsheets/d/1NexK3geCPxCTO1fzNF8dPec7yZyUx3OaWkFBC9HsQOo/edit?usp=sharing"",""ยโสธร!I330"")"),0)</f>
        <v>0</v>
      </c>
      <c r="S41" s="152">
        <f ca="1">IFERROR(__xludf.DUMMYFUNCTION("IMPORTRANGE(""https://docs.google.com/spreadsheets/d/1NexK3geCPxCTO1fzNF8dPec7yZyUx3OaWkFBC9HsQOo/edit?usp=sharing"",""ยโสธร!J330"")"),0)</f>
        <v>0</v>
      </c>
      <c r="T41" s="216">
        <f t="shared" ca="1" si="23"/>
        <v>0</v>
      </c>
    </row>
    <row r="42" spans="1:20" ht="21" customHeight="1" x14ac:dyDescent="0.3">
      <c r="A42" s="70">
        <v>11</v>
      </c>
      <c r="B42" s="71" t="s">
        <v>70</v>
      </c>
      <c r="C42" s="149">
        <f t="shared" ca="1" si="14"/>
        <v>0</v>
      </c>
      <c r="D42" s="150">
        <f t="shared" ca="1" si="27"/>
        <v>0</v>
      </c>
      <c r="E42" s="151">
        <f ca="1">IFERROR(__xludf.DUMMYFUNCTION("IMPORTRANGE(""https://docs.google.com/spreadsheets/d/1-uDff_7J0KD5mKrp0Vvzr7lt3OU09vwQwhkpOPPYv2Y/edit?usp=sharing"",""งบพรบ!EJ42"")"),0)</f>
        <v>0</v>
      </c>
      <c r="F42" s="151">
        <f ca="1">IFERROR(__xludf.DUMMYFUNCTION("IMPORTRANGE(""https://docs.google.com/spreadsheets/d/1-uDff_7J0KD5mKrp0Vvzr7lt3OU09vwQwhkpOPPYv2Y/edit?usp=sharing"",""งบพรบ!EK42"")"),0)</f>
        <v>0</v>
      </c>
      <c r="G42" s="151">
        <f ca="1">IFERROR(__xludf.DUMMYFUNCTION("IMPORTRANGE(""https://docs.google.com/spreadsheets/d/1-uDff_7J0KD5mKrp0Vvzr7lt3OU09vwQwhkpOPPYv2Y/edit?usp=sharing"",""งบพรบ!EL42"")"),0)</f>
        <v>0</v>
      </c>
      <c r="H42" s="151">
        <f ca="1">IFERROR(__xludf.DUMMYFUNCTION("IMPORTRANGE(""https://docs.google.com/spreadsheets/d/1-uDff_7J0KD5mKrp0Vvzr7lt3OU09vwQwhkpOPPYv2Y/edit?usp=sharing"",""งบพรบ!EN42"")"),0)</f>
        <v>0</v>
      </c>
      <c r="I42" s="151">
        <f ca="1">IFERROR(__xludf.DUMMYFUNCTION("IMPORTRANGE(""https://docs.google.com/spreadsheets/d/1-uDff_7J0KD5mKrp0Vvzr7lt3OU09vwQwhkpOPPYv2Y/edit?usp=sharing"",""งบพรบ!EO42"")"),0)</f>
        <v>0</v>
      </c>
      <c r="J42" s="151">
        <f t="shared" ca="1" si="16"/>
        <v>0</v>
      </c>
      <c r="K42" s="154">
        <f t="shared" ca="1" si="17"/>
        <v>0</v>
      </c>
      <c r="L42" s="151">
        <f ca="1">IFERROR(__xludf.DUMMYFUNCTION("IMPORTRANGE(""https://docs.google.com/spreadsheets/d/1-uDff_7J0KD5mKrp0Vvzr7lt3OU09vwQwhkpOPPYv2Y/edit?usp=sharing"",""งบพรบ!EP42"")"),0)</f>
        <v>0</v>
      </c>
      <c r="M42" s="68">
        <f t="shared" ca="1" si="18"/>
        <v>0</v>
      </c>
      <c r="N42" s="68">
        <f t="shared" ca="1" si="19"/>
        <v>0</v>
      </c>
      <c r="O42" s="67">
        <f ca="1">IFERROR(__xludf.DUMMYFUNCTION("IMPORTRANGE(""https://docs.google.com/spreadsheets/d/1-uDff_7J0KD5mKrp0Vvzr7lt3OU09vwQwhkpOPPYv2Y/edit?usp=sharing"",""งบพรบ!EQ42"")"),0)</f>
        <v>0</v>
      </c>
      <c r="P42" s="67">
        <f t="shared" ca="1" si="20"/>
        <v>0</v>
      </c>
      <c r="Q42" s="68">
        <f t="shared" ca="1" si="21"/>
        <v>0</v>
      </c>
      <c r="R42" s="278">
        <f ca="1">IFERROR(__xludf.DUMMYFUNCTION("IMPORTRANGE(""https://docs.google.com/spreadsheets/d/1v_cJrbBlyqmnHPReHk44g9NrMRdENNlSy_E_c5M9fIg/edit?usp=sharing"",""ร้อยเอ็ด!I330"")"),0)</f>
        <v>0</v>
      </c>
      <c r="S42" s="152">
        <f ca="1">IFERROR(__xludf.DUMMYFUNCTION("IMPORTRANGE(""https://docs.google.com/spreadsheets/d/1v_cJrbBlyqmnHPReHk44g9NrMRdENNlSy_E_c5M9fIg/edit?usp=sharing"",""ร้อยเอ็ด!J330"")"),0)</f>
        <v>0</v>
      </c>
      <c r="T42" s="216">
        <f t="shared" ca="1" si="23"/>
        <v>0</v>
      </c>
    </row>
    <row r="43" spans="1:20" ht="21" customHeight="1" x14ac:dyDescent="0.3">
      <c r="A43" s="70">
        <v>12</v>
      </c>
      <c r="B43" s="71" t="s">
        <v>71</v>
      </c>
      <c r="C43" s="149">
        <f t="shared" ca="1" si="14"/>
        <v>0</v>
      </c>
      <c r="D43" s="150">
        <f t="shared" ca="1" si="27"/>
        <v>0</v>
      </c>
      <c r="E43" s="151">
        <f ca="1">IFERROR(__xludf.DUMMYFUNCTION("IMPORTRANGE(""https://docs.google.com/spreadsheets/d/1-uDff_7J0KD5mKrp0Vvzr7lt3OU09vwQwhkpOPPYv2Y/edit?usp=sharing"",""งบพรบ!EJ43"")"),0)</f>
        <v>0</v>
      </c>
      <c r="F43" s="151">
        <f ca="1">IFERROR(__xludf.DUMMYFUNCTION("IMPORTRANGE(""https://docs.google.com/spreadsheets/d/1-uDff_7J0KD5mKrp0Vvzr7lt3OU09vwQwhkpOPPYv2Y/edit?usp=sharing"",""งบพรบ!EK43"")"),0)</f>
        <v>0</v>
      </c>
      <c r="G43" s="151">
        <f ca="1">IFERROR(__xludf.DUMMYFUNCTION("IMPORTRANGE(""https://docs.google.com/spreadsheets/d/1-uDff_7J0KD5mKrp0Vvzr7lt3OU09vwQwhkpOPPYv2Y/edit?usp=sharing"",""งบพรบ!EL43"")"),0)</f>
        <v>0</v>
      </c>
      <c r="H43" s="151">
        <f ca="1">IFERROR(__xludf.DUMMYFUNCTION("IMPORTRANGE(""https://docs.google.com/spreadsheets/d/1-uDff_7J0KD5mKrp0Vvzr7lt3OU09vwQwhkpOPPYv2Y/edit?usp=sharing"",""งบพรบ!EN43"")"),0)</f>
        <v>0</v>
      </c>
      <c r="I43" s="151">
        <f ca="1">IFERROR(__xludf.DUMMYFUNCTION("IMPORTRANGE(""https://docs.google.com/spreadsheets/d/1-uDff_7J0KD5mKrp0Vvzr7lt3OU09vwQwhkpOPPYv2Y/edit?usp=sharing"",""งบพรบ!EO43"")"),0)</f>
        <v>0</v>
      </c>
      <c r="J43" s="151">
        <f t="shared" ca="1" si="16"/>
        <v>0</v>
      </c>
      <c r="K43" s="154">
        <f t="shared" ca="1" si="17"/>
        <v>0</v>
      </c>
      <c r="L43" s="151">
        <f ca="1">IFERROR(__xludf.DUMMYFUNCTION("IMPORTRANGE(""https://docs.google.com/spreadsheets/d/1-uDff_7J0KD5mKrp0Vvzr7lt3OU09vwQwhkpOPPYv2Y/edit?usp=sharing"",""งบพรบ!EP43"")"),0)</f>
        <v>0</v>
      </c>
      <c r="M43" s="68">
        <f t="shared" ca="1" si="18"/>
        <v>0</v>
      </c>
      <c r="N43" s="68">
        <f t="shared" ca="1" si="19"/>
        <v>0</v>
      </c>
      <c r="O43" s="67">
        <f ca="1">IFERROR(__xludf.DUMMYFUNCTION("IMPORTRANGE(""https://docs.google.com/spreadsheets/d/1-uDff_7J0KD5mKrp0Vvzr7lt3OU09vwQwhkpOPPYv2Y/edit?usp=sharing"",""งบพรบ!EQ43"")"),0)</f>
        <v>0</v>
      </c>
      <c r="P43" s="67">
        <f t="shared" ca="1" si="20"/>
        <v>0</v>
      </c>
      <c r="Q43" s="68">
        <f t="shared" ca="1" si="21"/>
        <v>0</v>
      </c>
      <c r="R43" s="278">
        <f ca="1">IFERROR(__xludf.DUMMYFUNCTION("IMPORTRANGE(""https://docs.google.com/spreadsheets/d/1Ul4RCpCX66NxYADU1QpwAPjOmBzW64SsT11s1wzXw_c/edit?usp=sharing"",""เลย!I330"")"),0)</f>
        <v>0</v>
      </c>
      <c r="S43" s="152">
        <f ca="1">IFERROR(__xludf.DUMMYFUNCTION("IMPORTRANGE(""https://docs.google.com/spreadsheets/d/1Ul4RCpCX66NxYADU1QpwAPjOmBzW64SsT11s1wzXw_c/edit?usp=sharing"",""เลย!J330"")"),0)</f>
        <v>0</v>
      </c>
      <c r="T43" s="216">
        <f t="shared" ca="1" si="23"/>
        <v>0</v>
      </c>
    </row>
    <row r="44" spans="1:20" ht="21" customHeight="1" x14ac:dyDescent="0.3">
      <c r="A44" s="70">
        <v>13</v>
      </c>
      <c r="B44" s="71" t="s">
        <v>72</v>
      </c>
      <c r="C44" s="149">
        <f t="shared" ca="1" si="14"/>
        <v>0</v>
      </c>
      <c r="D44" s="150">
        <f t="shared" ca="1" si="27"/>
        <v>0</v>
      </c>
      <c r="E44" s="151">
        <f ca="1">IFERROR(__xludf.DUMMYFUNCTION("IMPORTRANGE(""https://docs.google.com/spreadsheets/d/1-uDff_7J0KD5mKrp0Vvzr7lt3OU09vwQwhkpOPPYv2Y/edit?usp=sharing"",""งบพรบ!EJ44"")"),0)</f>
        <v>0</v>
      </c>
      <c r="F44" s="151">
        <f ca="1">IFERROR(__xludf.DUMMYFUNCTION("IMPORTRANGE(""https://docs.google.com/spreadsheets/d/1-uDff_7J0KD5mKrp0Vvzr7lt3OU09vwQwhkpOPPYv2Y/edit?usp=sharing"",""งบพรบ!EK44"")"),0)</f>
        <v>0</v>
      </c>
      <c r="G44" s="151">
        <f ca="1">IFERROR(__xludf.DUMMYFUNCTION("IMPORTRANGE(""https://docs.google.com/spreadsheets/d/1-uDff_7J0KD5mKrp0Vvzr7lt3OU09vwQwhkpOPPYv2Y/edit?usp=sharing"",""งบพรบ!EL44"")"),0)</f>
        <v>0</v>
      </c>
      <c r="H44" s="151">
        <f ca="1">IFERROR(__xludf.DUMMYFUNCTION("IMPORTRANGE(""https://docs.google.com/spreadsheets/d/1-uDff_7J0KD5mKrp0Vvzr7lt3OU09vwQwhkpOPPYv2Y/edit?usp=sharing"",""งบพรบ!EN44"")"),0)</f>
        <v>0</v>
      </c>
      <c r="I44" s="151">
        <f ca="1">IFERROR(__xludf.DUMMYFUNCTION("IMPORTRANGE(""https://docs.google.com/spreadsheets/d/1-uDff_7J0KD5mKrp0Vvzr7lt3OU09vwQwhkpOPPYv2Y/edit?usp=sharing"",""งบพรบ!EO44"")"),0)</f>
        <v>0</v>
      </c>
      <c r="J44" s="151">
        <f t="shared" ca="1" si="16"/>
        <v>0</v>
      </c>
      <c r="K44" s="154">
        <f t="shared" ca="1" si="17"/>
        <v>0</v>
      </c>
      <c r="L44" s="151">
        <f ca="1">IFERROR(__xludf.DUMMYFUNCTION("IMPORTRANGE(""https://docs.google.com/spreadsheets/d/1-uDff_7J0KD5mKrp0Vvzr7lt3OU09vwQwhkpOPPYv2Y/edit?usp=sharing"",""งบพรบ!EP44"")"),0)</f>
        <v>0</v>
      </c>
      <c r="M44" s="68">
        <f t="shared" ca="1" si="18"/>
        <v>0</v>
      </c>
      <c r="N44" s="68">
        <f t="shared" ca="1" si="19"/>
        <v>0</v>
      </c>
      <c r="O44" s="67">
        <f ca="1">IFERROR(__xludf.DUMMYFUNCTION("IMPORTRANGE(""https://docs.google.com/spreadsheets/d/1-uDff_7J0KD5mKrp0Vvzr7lt3OU09vwQwhkpOPPYv2Y/edit?usp=sharing"",""งบพรบ!EQ44"")"),0)</f>
        <v>0</v>
      </c>
      <c r="P44" s="67">
        <f t="shared" ca="1" si="20"/>
        <v>0</v>
      </c>
      <c r="Q44" s="68">
        <f t="shared" ca="1" si="21"/>
        <v>0</v>
      </c>
      <c r="R44" s="279">
        <f ca="1">IFERROR(__xludf.DUMMYFUNCTION("IMPORTRANGE(""https://docs.google.com/spreadsheets/d/1bRrNKwbHDVktQG10isr5vbWRtt5spIZPpkOSWgbT5ug/edit?usp=sharing"",""ศรีสะเกษ!I330"")"),0)</f>
        <v>0</v>
      </c>
      <c r="S44" s="152">
        <f ca="1">IFERROR(__xludf.DUMMYFUNCTION("IMPORTRANGE(""https://docs.google.com/spreadsheets/d/1bRrNKwbHDVktQG10isr5vbWRtt5spIZPpkOSWgbT5ug/edit?usp=sharing"",""ศรีสะเกษ!J330"")"),0)</f>
        <v>0</v>
      </c>
      <c r="T44" s="216">
        <f t="shared" ca="1" si="23"/>
        <v>0</v>
      </c>
    </row>
    <row r="45" spans="1:20" ht="21" customHeight="1" x14ac:dyDescent="0.3">
      <c r="A45" s="70">
        <v>14</v>
      </c>
      <c r="B45" s="71" t="s">
        <v>73</v>
      </c>
      <c r="C45" s="149">
        <f t="shared" ca="1" si="14"/>
        <v>0</v>
      </c>
      <c r="D45" s="150">
        <f t="shared" ca="1" si="27"/>
        <v>0</v>
      </c>
      <c r="E45" s="151">
        <f ca="1">IFERROR(__xludf.DUMMYFUNCTION("IMPORTRANGE(""https://docs.google.com/spreadsheets/d/1-uDff_7J0KD5mKrp0Vvzr7lt3OU09vwQwhkpOPPYv2Y/edit?usp=sharing"",""งบพรบ!EJ45"")"),0)</f>
        <v>0</v>
      </c>
      <c r="F45" s="151">
        <f ca="1">IFERROR(__xludf.DUMMYFUNCTION("IMPORTRANGE(""https://docs.google.com/spreadsheets/d/1-uDff_7J0KD5mKrp0Vvzr7lt3OU09vwQwhkpOPPYv2Y/edit?usp=sharing"",""งบพรบ!EK45"")"),0)</f>
        <v>0</v>
      </c>
      <c r="G45" s="151">
        <f ca="1">IFERROR(__xludf.DUMMYFUNCTION("IMPORTRANGE(""https://docs.google.com/spreadsheets/d/1-uDff_7J0KD5mKrp0Vvzr7lt3OU09vwQwhkpOPPYv2Y/edit?usp=sharing"",""งบพรบ!EL45"")"),0)</f>
        <v>0</v>
      </c>
      <c r="H45" s="151">
        <f ca="1">IFERROR(__xludf.DUMMYFUNCTION("IMPORTRANGE(""https://docs.google.com/spreadsheets/d/1-uDff_7J0KD5mKrp0Vvzr7lt3OU09vwQwhkpOPPYv2Y/edit?usp=sharing"",""งบพรบ!EN45"")"),0)</f>
        <v>0</v>
      </c>
      <c r="I45" s="151">
        <f ca="1">IFERROR(__xludf.DUMMYFUNCTION("IMPORTRANGE(""https://docs.google.com/spreadsheets/d/1-uDff_7J0KD5mKrp0Vvzr7lt3OU09vwQwhkpOPPYv2Y/edit?usp=sharing"",""งบพรบ!EO45"")"),0)</f>
        <v>0</v>
      </c>
      <c r="J45" s="151">
        <f t="shared" ca="1" si="16"/>
        <v>0</v>
      </c>
      <c r="K45" s="154">
        <f t="shared" ca="1" si="17"/>
        <v>0</v>
      </c>
      <c r="L45" s="151">
        <f ca="1">IFERROR(__xludf.DUMMYFUNCTION("IMPORTRANGE(""https://docs.google.com/spreadsheets/d/1-uDff_7J0KD5mKrp0Vvzr7lt3OU09vwQwhkpOPPYv2Y/edit?usp=sharing"",""งบพรบ!EP45"")"),0)</f>
        <v>0</v>
      </c>
      <c r="M45" s="68">
        <f t="shared" ca="1" si="18"/>
        <v>0</v>
      </c>
      <c r="N45" s="68">
        <f t="shared" ca="1" si="19"/>
        <v>0</v>
      </c>
      <c r="O45" s="67">
        <f ca="1">IFERROR(__xludf.DUMMYFUNCTION("IMPORTRANGE(""https://docs.google.com/spreadsheets/d/1-uDff_7J0KD5mKrp0Vvzr7lt3OU09vwQwhkpOPPYv2Y/edit?usp=sharing"",""งบพรบ!EQ45"")"),0)</f>
        <v>0</v>
      </c>
      <c r="P45" s="67">
        <f t="shared" ca="1" si="20"/>
        <v>0</v>
      </c>
      <c r="Q45" s="68">
        <f t="shared" ca="1" si="21"/>
        <v>0</v>
      </c>
      <c r="R45" s="278">
        <f ca="1">IFERROR(__xludf.DUMMYFUNCTION("IMPORTRANGE(""https://docs.google.com/spreadsheets/d/17P34_Ow5kFBfdQD0qspb2UuPX5zpi6WMrQzslghyvrI/edit?usp=sharing"",""สกลนคร!I330"")"),0)</f>
        <v>0</v>
      </c>
      <c r="S45" s="152">
        <f ca="1">IFERROR(__xludf.DUMMYFUNCTION("IMPORTRANGE(""https://docs.google.com/spreadsheets/d/17P34_Ow5kFBfdQD0qspb2UuPX5zpi6WMrQzslghyvrI/edit?usp=sharing"",""สกลนคร!J330"")"),0)</f>
        <v>0</v>
      </c>
      <c r="T45" s="216">
        <f t="shared" ca="1" si="23"/>
        <v>0</v>
      </c>
    </row>
    <row r="46" spans="1:20" ht="21" customHeight="1" x14ac:dyDescent="0.3">
      <c r="A46" s="70">
        <v>15</v>
      </c>
      <c r="B46" s="71" t="s">
        <v>74</v>
      </c>
      <c r="C46" s="149">
        <f t="shared" ca="1" si="14"/>
        <v>0</v>
      </c>
      <c r="D46" s="150">
        <f t="shared" ca="1" si="27"/>
        <v>0</v>
      </c>
      <c r="E46" s="151">
        <f ca="1">IFERROR(__xludf.DUMMYFUNCTION("IMPORTRANGE(""https://docs.google.com/spreadsheets/d/1-uDff_7J0KD5mKrp0Vvzr7lt3OU09vwQwhkpOPPYv2Y/edit?usp=sharing"",""งบพรบ!EJ46"")"),0)</f>
        <v>0</v>
      </c>
      <c r="F46" s="151">
        <f ca="1">IFERROR(__xludf.DUMMYFUNCTION("IMPORTRANGE(""https://docs.google.com/spreadsheets/d/1-uDff_7J0KD5mKrp0Vvzr7lt3OU09vwQwhkpOPPYv2Y/edit?usp=sharing"",""งบพรบ!EK46"")"),0)</f>
        <v>0</v>
      </c>
      <c r="G46" s="151">
        <f ca="1">IFERROR(__xludf.DUMMYFUNCTION("IMPORTRANGE(""https://docs.google.com/spreadsheets/d/1-uDff_7J0KD5mKrp0Vvzr7lt3OU09vwQwhkpOPPYv2Y/edit?usp=sharing"",""งบพรบ!EL46"")"),0)</f>
        <v>0</v>
      </c>
      <c r="H46" s="151">
        <f ca="1">IFERROR(__xludf.DUMMYFUNCTION("IMPORTRANGE(""https://docs.google.com/spreadsheets/d/1-uDff_7J0KD5mKrp0Vvzr7lt3OU09vwQwhkpOPPYv2Y/edit?usp=sharing"",""งบพรบ!EN46"")"),0)</f>
        <v>0</v>
      </c>
      <c r="I46" s="151">
        <f ca="1">IFERROR(__xludf.DUMMYFUNCTION("IMPORTRANGE(""https://docs.google.com/spreadsheets/d/1-uDff_7J0KD5mKrp0Vvzr7lt3OU09vwQwhkpOPPYv2Y/edit?usp=sharing"",""งบพรบ!EO46"")"),0)</f>
        <v>0</v>
      </c>
      <c r="J46" s="151">
        <f t="shared" ca="1" si="16"/>
        <v>0</v>
      </c>
      <c r="K46" s="154">
        <f t="shared" ca="1" si="17"/>
        <v>0</v>
      </c>
      <c r="L46" s="151">
        <f ca="1">IFERROR(__xludf.DUMMYFUNCTION("IMPORTRANGE(""https://docs.google.com/spreadsheets/d/1-uDff_7J0KD5mKrp0Vvzr7lt3OU09vwQwhkpOPPYv2Y/edit?usp=sharing"",""งบพรบ!EP46"")"),0)</f>
        <v>0</v>
      </c>
      <c r="M46" s="68">
        <f t="shared" ca="1" si="18"/>
        <v>0</v>
      </c>
      <c r="N46" s="68">
        <f t="shared" ca="1" si="19"/>
        <v>0</v>
      </c>
      <c r="O46" s="67">
        <f ca="1">IFERROR(__xludf.DUMMYFUNCTION("IMPORTRANGE(""https://docs.google.com/spreadsheets/d/1-uDff_7J0KD5mKrp0Vvzr7lt3OU09vwQwhkpOPPYv2Y/edit?usp=sharing"",""งบพรบ!EQ46"")"),0)</f>
        <v>0</v>
      </c>
      <c r="P46" s="67">
        <f t="shared" ca="1" si="20"/>
        <v>0</v>
      </c>
      <c r="Q46" s="68">
        <f t="shared" ca="1" si="21"/>
        <v>0</v>
      </c>
      <c r="R46" s="278">
        <f ca="1">IFERROR(__xludf.DUMMYFUNCTION("IMPORTRANGE(""https://docs.google.com/spreadsheets/d/1yswqbM3-AEpThF3ZSUa1AcmHnmRTF1vlJ1CZGcJ8YuU/edit?usp=sharing"",""สุรินทร์!I330"")"),0)</f>
        <v>0</v>
      </c>
      <c r="S46" s="152">
        <f ca="1">IFERROR(__xludf.DUMMYFUNCTION("IMPORTRANGE(""https://docs.google.com/spreadsheets/d/1yswqbM3-AEpThF3ZSUa1AcmHnmRTF1vlJ1CZGcJ8YuU/edit?usp=sharing"",""สุรินทร์!J330"")"),0)</f>
        <v>0</v>
      </c>
      <c r="T46" s="216">
        <f t="shared" ca="1" si="23"/>
        <v>0</v>
      </c>
    </row>
    <row r="47" spans="1:20" ht="21" customHeight="1" x14ac:dyDescent="0.3">
      <c r="A47" s="70">
        <v>16</v>
      </c>
      <c r="B47" s="71" t="s">
        <v>75</v>
      </c>
      <c r="C47" s="149">
        <f t="shared" ca="1" si="14"/>
        <v>0</v>
      </c>
      <c r="D47" s="150">
        <f t="shared" ca="1" si="27"/>
        <v>0</v>
      </c>
      <c r="E47" s="151">
        <f ca="1">IFERROR(__xludf.DUMMYFUNCTION("IMPORTRANGE(""https://docs.google.com/spreadsheets/d/1-uDff_7J0KD5mKrp0Vvzr7lt3OU09vwQwhkpOPPYv2Y/edit?usp=sharing"",""งบพรบ!EJ47"")"),0)</f>
        <v>0</v>
      </c>
      <c r="F47" s="151">
        <f ca="1">IFERROR(__xludf.DUMMYFUNCTION("IMPORTRANGE(""https://docs.google.com/spreadsheets/d/1-uDff_7J0KD5mKrp0Vvzr7lt3OU09vwQwhkpOPPYv2Y/edit?usp=sharing"",""งบพรบ!EK47"")"),0)</f>
        <v>0</v>
      </c>
      <c r="G47" s="151">
        <f ca="1">IFERROR(__xludf.DUMMYFUNCTION("IMPORTRANGE(""https://docs.google.com/spreadsheets/d/1-uDff_7J0KD5mKrp0Vvzr7lt3OU09vwQwhkpOPPYv2Y/edit?usp=sharing"",""งบพรบ!EL47"")"),0)</f>
        <v>0</v>
      </c>
      <c r="H47" s="151">
        <f ca="1">IFERROR(__xludf.DUMMYFUNCTION("IMPORTRANGE(""https://docs.google.com/spreadsheets/d/1-uDff_7J0KD5mKrp0Vvzr7lt3OU09vwQwhkpOPPYv2Y/edit?usp=sharing"",""งบพรบ!EN47"")"),0)</f>
        <v>0</v>
      </c>
      <c r="I47" s="151">
        <f ca="1">IFERROR(__xludf.DUMMYFUNCTION("IMPORTRANGE(""https://docs.google.com/spreadsheets/d/1-uDff_7J0KD5mKrp0Vvzr7lt3OU09vwQwhkpOPPYv2Y/edit?usp=sharing"",""งบพรบ!EO47"")"),0)</f>
        <v>0</v>
      </c>
      <c r="J47" s="151">
        <f t="shared" ca="1" si="16"/>
        <v>0</v>
      </c>
      <c r="K47" s="154">
        <f t="shared" ca="1" si="17"/>
        <v>0</v>
      </c>
      <c r="L47" s="151">
        <f ca="1">IFERROR(__xludf.DUMMYFUNCTION("IMPORTRANGE(""https://docs.google.com/spreadsheets/d/1-uDff_7J0KD5mKrp0Vvzr7lt3OU09vwQwhkpOPPYv2Y/edit?usp=sharing"",""งบพรบ!EP47"")"),0)</f>
        <v>0</v>
      </c>
      <c r="M47" s="68">
        <f t="shared" ca="1" si="18"/>
        <v>0</v>
      </c>
      <c r="N47" s="68">
        <f t="shared" ca="1" si="19"/>
        <v>0</v>
      </c>
      <c r="O47" s="67">
        <f ca="1">IFERROR(__xludf.DUMMYFUNCTION("IMPORTRANGE(""https://docs.google.com/spreadsheets/d/1-uDff_7J0KD5mKrp0Vvzr7lt3OU09vwQwhkpOPPYv2Y/edit?usp=sharing"",""งบพรบ!EQ47"")"),0)</f>
        <v>0</v>
      </c>
      <c r="P47" s="67">
        <f t="shared" ca="1" si="20"/>
        <v>0</v>
      </c>
      <c r="Q47" s="68">
        <f t="shared" ca="1" si="21"/>
        <v>0</v>
      </c>
      <c r="R47" s="278">
        <f ca="1">IFERROR(__xludf.DUMMYFUNCTION("IMPORTRANGE(""https://docs.google.com/spreadsheets/d/13JHU_EFbsQOUQ0JSQ3dWy1VTRosIWcDq6Nc99z2qzdc/edit?usp=sharing"",""หนองคาย!I330"")"),0)</f>
        <v>0</v>
      </c>
      <c r="S47" s="152">
        <f ca="1">IFERROR(__xludf.DUMMYFUNCTION("IMPORTRANGE(""https://docs.google.com/spreadsheets/d/13JHU_EFbsQOUQ0JSQ3dWy1VTRosIWcDq6Nc99z2qzdc/edit?usp=sharing"",""หนองคาย!J330"")"),0)</f>
        <v>0</v>
      </c>
      <c r="T47" s="216">
        <f t="shared" ca="1" si="23"/>
        <v>0</v>
      </c>
    </row>
    <row r="48" spans="1:20" ht="21" customHeight="1" x14ac:dyDescent="0.3">
      <c r="A48" s="70">
        <v>17</v>
      </c>
      <c r="B48" s="71" t="s">
        <v>76</v>
      </c>
      <c r="C48" s="149">
        <f t="shared" ca="1" si="14"/>
        <v>0</v>
      </c>
      <c r="D48" s="150">
        <f t="shared" ca="1" si="27"/>
        <v>0</v>
      </c>
      <c r="E48" s="151">
        <f ca="1">IFERROR(__xludf.DUMMYFUNCTION("IMPORTRANGE(""https://docs.google.com/spreadsheets/d/1-uDff_7J0KD5mKrp0Vvzr7lt3OU09vwQwhkpOPPYv2Y/edit?usp=sharing"",""งบพรบ!EJ48"")"),0)</f>
        <v>0</v>
      </c>
      <c r="F48" s="151">
        <f ca="1">IFERROR(__xludf.DUMMYFUNCTION("IMPORTRANGE(""https://docs.google.com/spreadsheets/d/1-uDff_7J0KD5mKrp0Vvzr7lt3OU09vwQwhkpOPPYv2Y/edit?usp=sharing"",""งบพรบ!EK48"")"),0)</f>
        <v>0</v>
      </c>
      <c r="G48" s="151">
        <f ca="1">IFERROR(__xludf.DUMMYFUNCTION("IMPORTRANGE(""https://docs.google.com/spreadsheets/d/1-uDff_7J0KD5mKrp0Vvzr7lt3OU09vwQwhkpOPPYv2Y/edit?usp=sharing"",""งบพรบ!EL48"")"),0)</f>
        <v>0</v>
      </c>
      <c r="H48" s="151">
        <f ca="1">IFERROR(__xludf.DUMMYFUNCTION("IMPORTRANGE(""https://docs.google.com/spreadsheets/d/1-uDff_7J0KD5mKrp0Vvzr7lt3OU09vwQwhkpOPPYv2Y/edit?usp=sharing"",""งบพรบ!EN48"")"),0)</f>
        <v>0</v>
      </c>
      <c r="I48" s="151">
        <f ca="1">IFERROR(__xludf.DUMMYFUNCTION("IMPORTRANGE(""https://docs.google.com/spreadsheets/d/1-uDff_7J0KD5mKrp0Vvzr7lt3OU09vwQwhkpOPPYv2Y/edit?usp=sharing"",""งบพรบ!EO48"")"),0)</f>
        <v>0</v>
      </c>
      <c r="J48" s="151">
        <f t="shared" ca="1" si="16"/>
        <v>0</v>
      </c>
      <c r="K48" s="154">
        <f t="shared" ca="1" si="17"/>
        <v>0</v>
      </c>
      <c r="L48" s="151">
        <f ca="1">IFERROR(__xludf.DUMMYFUNCTION("IMPORTRANGE(""https://docs.google.com/spreadsheets/d/1-uDff_7J0KD5mKrp0Vvzr7lt3OU09vwQwhkpOPPYv2Y/edit?usp=sharing"",""งบพรบ!EP48"")"),0)</f>
        <v>0</v>
      </c>
      <c r="M48" s="68">
        <f t="shared" ca="1" si="18"/>
        <v>0</v>
      </c>
      <c r="N48" s="68">
        <f t="shared" ca="1" si="19"/>
        <v>0</v>
      </c>
      <c r="O48" s="67">
        <f ca="1">IFERROR(__xludf.DUMMYFUNCTION("IMPORTRANGE(""https://docs.google.com/spreadsheets/d/1-uDff_7J0KD5mKrp0Vvzr7lt3OU09vwQwhkpOPPYv2Y/edit?usp=sharing"",""งบพรบ!EQ48"")"),0)</f>
        <v>0</v>
      </c>
      <c r="P48" s="67">
        <f t="shared" ca="1" si="20"/>
        <v>0</v>
      </c>
      <c r="Q48" s="68">
        <f t="shared" ca="1" si="21"/>
        <v>0</v>
      </c>
      <c r="R48" s="278">
        <f ca="1">IFERROR(__xludf.DUMMYFUNCTION("IMPORTRANGE(""https://docs.google.com/spreadsheets/d/1Hx73zIEgVdDZZaYSTc46Dqv64atFhpr3GelxLbaIN8A/edit?usp=sharing"",""หนองบัวลำภู!I330"")"),0)</f>
        <v>0</v>
      </c>
      <c r="S48" s="152">
        <f ca="1">IFERROR(__xludf.DUMMYFUNCTION("IMPORTRANGE(""https://docs.google.com/spreadsheets/d/1Hx73zIEgVdDZZaYSTc46Dqv64atFhpr3GelxLbaIN8A/edit?usp=sharing"",""หนองบัวลำภู!J330"")"),0)</f>
        <v>0</v>
      </c>
      <c r="T48" s="216">
        <f t="shared" ca="1" si="23"/>
        <v>0</v>
      </c>
    </row>
    <row r="49" spans="1:20" ht="21" customHeight="1" x14ac:dyDescent="0.3">
      <c r="A49" s="70">
        <v>18</v>
      </c>
      <c r="B49" s="71" t="s">
        <v>77</v>
      </c>
      <c r="C49" s="149">
        <f t="shared" ca="1" si="14"/>
        <v>0</v>
      </c>
      <c r="D49" s="150">
        <f t="shared" ca="1" si="27"/>
        <v>0</v>
      </c>
      <c r="E49" s="151">
        <f ca="1">IFERROR(__xludf.DUMMYFUNCTION("IMPORTRANGE(""https://docs.google.com/spreadsheets/d/1-uDff_7J0KD5mKrp0Vvzr7lt3OU09vwQwhkpOPPYv2Y/edit?usp=sharing"",""งบพรบ!EJ49"")"),0)</f>
        <v>0</v>
      </c>
      <c r="F49" s="151">
        <f ca="1">IFERROR(__xludf.DUMMYFUNCTION("IMPORTRANGE(""https://docs.google.com/spreadsheets/d/1-uDff_7J0KD5mKrp0Vvzr7lt3OU09vwQwhkpOPPYv2Y/edit?usp=sharing"",""งบพรบ!EK49"")"),0)</f>
        <v>0</v>
      </c>
      <c r="G49" s="151">
        <f ca="1">IFERROR(__xludf.DUMMYFUNCTION("IMPORTRANGE(""https://docs.google.com/spreadsheets/d/1-uDff_7J0KD5mKrp0Vvzr7lt3OU09vwQwhkpOPPYv2Y/edit?usp=sharing"",""งบพรบ!EL49"")"),0)</f>
        <v>0</v>
      </c>
      <c r="H49" s="151">
        <f ca="1">IFERROR(__xludf.DUMMYFUNCTION("IMPORTRANGE(""https://docs.google.com/spreadsheets/d/1-uDff_7J0KD5mKrp0Vvzr7lt3OU09vwQwhkpOPPYv2Y/edit?usp=sharing"",""งบพรบ!EN49"")"),0)</f>
        <v>0</v>
      </c>
      <c r="I49" s="151">
        <f ca="1">IFERROR(__xludf.DUMMYFUNCTION("IMPORTRANGE(""https://docs.google.com/spreadsheets/d/1-uDff_7J0KD5mKrp0Vvzr7lt3OU09vwQwhkpOPPYv2Y/edit?usp=sharing"",""งบพรบ!EO49"")"),0)</f>
        <v>0</v>
      </c>
      <c r="J49" s="151">
        <f t="shared" ca="1" si="16"/>
        <v>0</v>
      </c>
      <c r="K49" s="154">
        <f t="shared" ca="1" si="17"/>
        <v>0</v>
      </c>
      <c r="L49" s="151">
        <f ca="1">IFERROR(__xludf.DUMMYFUNCTION("IMPORTRANGE(""https://docs.google.com/spreadsheets/d/1-uDff_7J0KD5mKrp0Vvzr7lt3OU09vwQwhkpOPPYv2Y/edit?usp=sharing"",""งบพรบ!EP49"")"),0)</f>
        <v>0</v>
      </c>
      <c r="M49" s="68">
        <f t="shared" ca="1" si="18"/>
        <v>0</v>
      </c>
      <c r="N49" s="68">
        <f t="shared" ca="1" si="19"/>
        <v>0</v>
      </c>
      <c r="O49" s="67">
        <f ca="1">IFERROR(__xludf.DUMMYFUNCTION("IMPORTRANGE(""https://docs.google.com/spreadsheets/d/1-uDff_7J0KD5mKrp0Vvzr7lt3OU09vwQwhkpOPPYv2Y/edit?usp=sharing"",""งบพรบ!EQ49"")"),0)</f>
        <v>0</v>
      </c>
      <c r="P49" s="67">
        <f t="shared" ca="1" si="20"/>
        <v>0</v>
      </c>
      <c r="Q49" s="68">
        <f t="shared" ca="1" si="21"/>
        <v>0</v>
      </c>
      <c r="R49" s="278">
        <f ca="1">IFERROR(__xludf.DUMMYFUNCTION("IMPORTRANGE(""https://docs.google.com/spreadsheets/d/1lFxr3ctmjFN90yc-xV6jrQ9Ty8BKYVBWnAZ15wcNIJc/edit?usp=sharing"",""อำนาจเจริญ!I330"")"),0)</f>
        <v>0</v>
      </c>
      <c r="S49" s="152">
        <f ca="1">IFERROR(__xludf.DUMMYFUNCTION("IMPORTRANGE(""https://docs.google.com/spreadsheets/d/1lFxr3ctmjFN90yc-xV6jrQ9Ty8BKYVBWnAZ15wcNIJc/edit?usp=sharing"",""อำนาจเจริญ!J330"")"),0)</f>
        <v>0</v>
      </c>
      <c r="T49" s="216">
        <f t="shared" ca="1" si="23"/>
        <v>0</v>
      </c>
    </row>
    <row r="50" spans="1:20" ht="21" customHeight="1" x14ac:dyDescent="0.3">
      <c r="A50" s="70">
        <v>19</v>
      </c>
      <c r="B50" s="71" t="s">
        <v>78</v>
      </c>
      <c r="C50" s="149">
        <f t="shared" ca="1" si="14"/>
        <v>0</v>
      </c>
      <c r="D50" s="150">
        <f t="shared" ca="1" si="27"/>
        <v>0</v>
      </c>
      <c r="E50" s="151">
        <f ca="1">IFERROR(__xludf.DUMMYFUNCTION("IMPORTRANGE(""https://docs.google.com/spreadsheets/d/1-uDff_7J0KD5mKrp0Vvzr7lt3OU09vwQwhkpOPPYv2Y/edit?usp=sharing"",""งบพรบ!EJ50"")"),0)</f>
        <v>0</v>
      </c>
      <c r="F50" s="151">
        <f ca="1">IFERROR(__xludf.DUMMYFUNCTION("IMPORTRANGE(""https://docs.google.com/spreadsheets/d/1-uDff_7J0KD5mKrp0Vvzr7lt3OU09vwQwhkpOPPYv2Y/edit?usp=sharing"",""งบพรบ!EK50"")"),0)</f>
        <v>0</v>
      </c>
      <c r="G50" s="151">
        <f ca="1">IFERROR(__xludf.DUMMYFUNCTION("IMPORTRANGE(""https://docs.google.com/spreadsheets/d/1-uDff_7J0KD5mKrp0Vvzr7lt3OU09vwQwhkpOPPYv2Y/edit?usp=sharing"",""งบพรบ!EL50"")"),0)</f>
        <v>0</v>
      </c>
      <c r="H50" s="151">
        <f ca="1">IFERROR(__xludf.DUMMYFUNCTION("IMPORTRANGE(""https://docs.google.com/spreadsheets/d/1-uDff_7J0KD5mKrp0Vvzr7lt3OU09vwQwhkpOPPYv2Y/edit?usp=sharing"",""งบพรบ!EN50"")"),0)</f>
        <v>0</v>
      </c>
      <c r="I50" s="151">
        <f ca="1">IFERROR(__xludf.DUMMYFUNCTION("IMPORTRANGE(""https://docs.google.com/spreadsheets/d/1-uDff_7J0KD5mKrp0Vvzr7lt3OU09vwQwhkpOPPYv2Y/edit?usp=sharing"",""งบพรบ!EO50"")"),0)</f>
        <v>0</v>
      </c>
      <c r="J50" s="151">
        <f t="shared" ca="1" si="16"/>
        <v>0</v>
      </c>
      <c r="K50" s="154">
        <f t="shared" ca="1" si="17"/>
        <v>0</v>
      </c>
      <c r="L50" s="151">
        <f ca="1">IFERROR(__xludf.DUMMYFUNCTION("IMPORTRANGE(""https://docs.google.com/spreadsheets/d/1-uDff_7J0KD5mKrp0Vvzr7lt3OU09vwQwhkpOPPYv2Y/edit?usp=sharing"",""งบพรบ!EP50"")"),0)</f>
        <v>0</v>
      </c>
      <c r="M50" s="68">
        <f t="shared" ca="1" si="18"/>
        <v>0</v>
      </c>
      <c r="N50" s="68">
        <f t="shared" ca="1" si="19"/>
        <v>0</v>
      </c>
      <c r="O50" s="67">
        <f ca="1">IFERROR(__xludf.DUMMYFUNCTION("IMPORTRANGE(""https://docs.google.com/spreadsheets/d/1-uDff_7J0KD5mKrp0Vvzr7lt3OU09vwQwhkpOPPYv2Y/edit?usp=sharing"",""งบพรบ!EQ50"")"),0)</f>
        <v>0</v>
      </c>
      <c r="P50" s="67">
        <f t="shared" ca="1" si="20"/>
        <v>0</v>
      </c>
      <c r="Q50" s="68">
        <f t="shared" ca="1" si="21"/>
        <v>0</v>
      </c>
      <c r="R50" s="278">
        <f ca="1">IFERROR(__xludf.DUMMYFUNCTION("IMPORTRANGE(""https://docs.google.com/spreadsheets/d/1gF7RJpRnL-1oyjyeWxs5SFWEH7y8ahOZsQlyp2A2e-A/edit?usp=sharing"",""อุดรธานี!I330"")"),0)</f>
        <v>0</v>
      </c>
      <c r="S50" s="152">
        <f ca="1">IFERROR(__xludf.DUMMYFUNCTION("IMPORTRANGE(""https://docs.google.com/spreadsheets/d/1gF7RJpRnL-1oyjyeWxs5SFWEH7y8ahOZsQlyp2A2e-A/edit?usp=sharing"",""อุดรธานี!J330"")"),0)</f>
        <v>0</v>
      </c>
      <c r="T50" s="216">
        <f t="shared" ca="1" si="23"/>
        <v>0</v>
      </c>
    </row>
    <row r="51" spans="1:20" ht="21" customHeight="1" x14ac:dyDescent="0.3">
      <c r="A51" s="80">
        <v>20</v>
      </c>
      <c r="B51" s="81" t="s">
        <v>79</v>
      </c>
      <c r="C51" s="165">
        <f t="shared" ca="1" si="14"/>
        <v>0</v>
      </c>
      <c r="D51" s="166">
        <f t="shared" ca="1" si="27"/>
        <v>0</v>
      </c>
      <c r="E51" s="167">
        <f ca="1">IFERROR(__xludf.DUMMYFUNCTION("IMPORTRANGE(""https://docs.google.com/spreadsheets/d/1-uDff_7J0KD5mKrp0Vvzr7lt3OU09vwQwhkpOPPYv2Y/edit?usp=sharing"",""งบพรบ!EJ51"")"),0)</f>
        <v>0</v>
      </c>
      <c r="F51" s="167">
        <f ca="1">IFERROR(__xludf.DUMMYFUNCTION("IMPORTRANGE(""https://docs.google.com/spreadsheets/d/1-uDff_7J0KD5mKrp0Vvzr7lt3OU09vwQwhkpOPPYv2Y/edit?usp=sharing"",""งบพรบ!EK51"")"),0)</f>
        <v>0</v>
      </c>
      <c r="G51" s="167">
        <f ca="1">IFERROR(__xludf.DUMMYFUNCTION("IMPORTRANGE(""https://docs.google.com/spreadsheets/d/1-uDff_7J0KD5mKrp0Vvzr7lt3OU09vwQwhkpOPPYv2Y/edit?usp=sharing"",""งบพรบ!EL51"")"),0)</f>
        <v>0</v>
      </c>
      <c r="H51" s="167">
        <f ca="1">IFERROR(__xludf.DUMMYFUNCTION("IMPORTRANGE(""https://docs.google.com/spreadsheets/d/1-uDff_7J0KD5mKrp0Vvzr7lt3OU09vwQwhkpOPPYv2Y/edit?usp=sharing"",""งบพรบ!EN51"")"),0)</f>
        <v>0</v>
      </c>
      <c r="I51" s="167">
        <f ca="1">IFERROR(__xludf.DUMMYFUNCTION("IMPORTRANGE(""https://docs.google.com/spreadsheets/d/1-uDff_7J0KD5mKrp0Vvzr7lt3OU09vwQwhkpOPPYv2Y/edit?usp=sharing"",""งบพรบ!EO51"")"),0)</f>
        <v>0</v>
      </c>
      <c r="J51" s="167">
        <f t="shared" ca="1" si="16"/>
        <v>0</v>
      </c>
      <c r="K51" s="168">
        <f t="shared" ca="1" si="17"/>
        <v>0</v>
      </c>
      <c r="L51" s="167">
        <f ca="1">IFERROR(__xludf.DUMMYFUNCTION("IMPORTRANGE(""https://docs.google.com/spreadsheets/d/1-uDff_7J0KD5mKrp0Vvzr7lt3OU09vwQwhkpOPPYv2Y/edit?usp=sharing"",""งบพรบ!EP51"")"),0)</f>
        <v>0</v>
      </c>
      <c r="M51" s="97">
        <f t="shared" ca="1" si="18"/>
        <v>0</v>
      </c>
      <c r="N51" s="97">
        <f t="shared" ca="1" si="19"/>
        <v>0</v>
      </c>
      <c r="O51" s="96">
        <f ca="1">IFERROR(__xludf.DUMMYFUNCTION("IMPORTRANGE(""https://docs.google.com/spreadsheets/d/1-uDff_7J0KD5mKrp0Vvzr7lt3OU09vwQwhkpOPPYv2Y/edit?usp=sharing"",""งบพรบ!EQ51"")"),0)</f>
        <v>0</v>
      </c>
      <c r="P51" s="96">
        <f t="shared" ca="1" si="20"/>
        <v>0</v>
      </c>
      <c r="Q51" s="97">
        <f t="shared" ca="1" si="21"/>
        <v>0</v>
      </c>
      <c r="R51" s="280">
        <f ca="1">IFERROR(__xludf.DUMMYFUNCTION("IMPORTRANGE(""https://docs.google.com/spreadsheets/d/1kfLP0j3INXRa8bTDpcEmoWewMBV61jlFlfzczfjWIgc/edit?usp=sharing"",""อุบลราชธานี!I330"")"),0)</f>
        <v>0</v>
      </c>
      <c r="S51" s="191">
        <f ca="1">IFERROR(__xludf.DUMMYFUNCTION("IMPORTRANGE(""https://docs.google.com/spreadsheets/d/1kfLP0j3INXRa8bTDpcEmoWewMBV61jlFlfzczfjWIgc/edit?usp=sharing"",""อุบลราชธานี!J330"")"),0)</f>
        <v>0</v>
      </c>
      <c r="T51" s="218">
        <f t="shared" ca="1" si="23"/>
        <v>0</v>
      </c>
    </row>
    <row r="52" spans="1:20" ht="21" customHeight="1" x14ac:dyDescent="0.3">
      <c r="A52" s="712" t="s">
        <v>80</v>
      </c>
      <c r="B52" s="647"/>
      <c r="C52" s="145">
        <f t="shared" ca="1" si="14"/>
        <v>869000</v>
      </c>
      <c r="D52" s="145">
        <f t="shared" ref="D52:I52" ca="1" si="28">SUM(D53:D73)</f>
        <v>485000</v>
      </c>
      <c r="E52" s="145">
        <f t="shared" ca="1" si="28"/>
        <v>0</v>
      </c>
      <c r="F52" s="145">
        <f t="shared" ca="1" si="28"/>
        <v>485000</v>
      </c>
      <c r="G52" s="145">
        <f t="shared" ca="1" si="28"/>
        <v>384000</v>
      </c>
      <c r="H52" s="145">
        <f t="shared" ca="1" si="28"/>
        <v>485000</v>
      </c>
      <c r="I52" s="145">
        <f t="shared" ca="1" si="28"/>
        <v>288000</v>
      </c>
      <c r="J52" s="145">
        <f t="shared" ca="1" si="16"/>
        <v>537492.26</v>
      </c>
      <c r="K52" s="146">
        <f t="shared" ca="1" si="17"/>
        <v>61.851813578826238</v>
      </c>
      <c r="L52" s="145">
        <f ca="1">SUM(L53:L73)</f>
        <v>249492.26</v>
      </c>
      <c r="M52" s="57">
        <f t="shared" ca="1" si="18"/>
        <v>51.441703092783506</v>
      </c>
      <c r="N52" s="57">
        <f t="shared" ca="1" si="19"/>
        <v>51.441703092783506</v>
      </c>
      <c r="O52" s="56">
        <f ca="1">SUM(O53:O73)</f>
        <v>288000</v>
      </c>
      <c r="P52" s="56">
        <f t="shared" ca="1" si="20"/>
        <v>75</v>
      </c>
      <c r="Q52" s="57">
        <f t="shared" ca="1" si="21"/>
        <v>100</v>
      </c>
      <c r="R52" s="282">
        <f t="shared" ref="R52:S52" ca="1" si="29">SUM(R53:R73)</f>
        <v>5</v>
      </c>
      <c r="S52" s="161">
        <f t="shared" ca="1" si="29"/>
        <v>5</v>
      </c>
      <c r="T52" s="94">
        <f t="shared" ca="1" si="23"/>
        <v>100</v>
      </c>
    </row>
    <row r="53" spans="1:20" ht="21" customHeight="1" x14ac:dyDescent="0.3">
      <c r="A53" s="58">
        <v>1</v>
      </c>
      <c r="B53" s="59" t="s">
        <v>81</v>
      </c>
      <c r="C53" s="149">
        <f t="shared" ca="1" si="14"/>
        <v>509000</v>
      </c>
      <c r="D53" s="150">
        <f t="shared" ref="D53:D73" ca="1" si="30">+E53+F53</f>
        <v>125000</v>
      </c>
      <c r="E53" s="151">
        <f ca="1">IFERROR(__xludf.DUMMYFUNCTION("IMPORTRANGE(""https://docs.google.com/spreadsheets/d/1-uDff_7J0KD5mKrp0Vvzr7lt3OU09vwQwhkpOPPYv2Y/edit?usp=sharing"",""งบพรบ!EJ53"")"),0)</f>
        <v>0</v>
      </c>
      <c r="F53" s="151">
        <f ca="1">IFERROR(__xludf.DUMMYFUNCTION("IMPORTRANGE(""https://docs.google.com/spreadsheets/d/1-uDff_7J0KD5mKrp0Vvzr7lt3OU09vwQwhkpOPPYv2Y/edit?usp=sharing"",""งบพรบ!EK53"")"),125000)</f>
        <v>125000</v>
      </c>
      <c r="G53" s="152">
        <f ca="1">IFERROR(__xludf.DUMMYFUNCTION("IMPORTRANGE(""https://docs.google.com/spreadsheets/d/1-uDff_7J0KD5mKrp0Vvzr7lt3OU09vwQwhkpOPPYv2Y/edit?usp=sharing"",""งบพรบ!EL53"")"),384000)</f>
        <v>384000</v>
      </c>
      <c r="H53" s="152">
        <f ca="1">IFERROR(__xludf.DUMMYFUNCTION("IMPORTRANGE(""https://docs.google.com/spreadsheets/d/1-uDff_7J0KD5mKrp0Vvzr7lt3OU09vwQwhkpOPPYv2Y/edit?usp=sharing"",""งบพรบ!EN53"")"),125000)</f>
        <v>125000</v>
      </c>
      <c r="I53" s="152">
        <f ca="1">IFERROR(__xludf.DUMMYFUNCTION("IMPORTRANGE(""https://docs.google.com/spreadsheets/d/1-uDff_7J0KD5mKrp0Vvzr7lt3OU09vwQwhkpOPPYv2Y/edit?usp=sharing"",""งบพรบ!EO53"")"),288000)</f>
        <v>288000</v>
      </c>
      <c r="J53" s="152">
        <f t="shared" ca="1" si="16"/>
        <v>344191</v>
      </c>
      <c r="K53" s="153">
        <f t="shared" ca="1" si="17"/>
        <v>67.621021611001964</v>
      </c>
      <c r="L53" s="152">
        <f ca="1">IFERROR(__xludf.DUMMYFUNCTION("IMPORTRANGE(""https://docs.google.com/spreadsheets/d/1-uDff_7J0KD5mKrp0Vvzr7lt3OU09vwQwhkpOPPYv2Y/edit?usp=sharing"",""งบพรบ!EP53"")"),56191)</f>
        <v>56191</v>
      </c>
      <c r="M53" s="68">
        <f t="shared" ca="1" si="18"/>
        <v>44.952800000000003</v>
      </c>
      <c r="N53" s="68">
        <f t="shared" ca="1" si="19"/>
        <v>44.952800000000003</v>
      </c>
      <c r="O53" s="67">
        <f ca="1">IFERROR(__xludf.DUMMYFUNCTION("IMPORTRANGE(""https://docs.google.com/spreadsheets/d/1-uDff_7J0KD5mKrp0Vvzr7lt3OU09vwQwhkpOPPYv2Y/edit?usp=sharing"",""งบพรบ!EQ53"")"),288000)</f>
        <v>288000</v>
      </c>
      <c r="P53" s="67">
        <f t="shared" ca="1" si="20"/>
        <v>75</v>
      </c>
      <c r="Q53" s="68">
        <f t="shared" ca="1" si="21"/>
        <v>100</v>
      </c>
      <c r="R53" s="278">
        <f ca="1">IFERROR(__xludf.DUMMYFUNCTION("IMPORTRANGE(""https://docs.google.com/spreadsheets/d/13wPX838HrBrQMCywv1BsuMkt4PEKTChp52zj44s2izQ/edit?usp=sharing"",""กาญจนบุรี!I330"")"),1)</f>
        <v>1</v>
      </c>
      <c r="S53" s="152">
        <f ca="1">IFERROR(__xludf.DUMMYFUNCTION("IMPORTRANGE(""https://docs.google.com/spreadsheets/d/13wPX838HrBrQMCywv1BsuMkt4PEKTChp52zj44s2izQ/edit?usp=sharing"",""กาญจนบุรี!J330"")"),1)</f>
        <v>1</v>
      </c>
      <c r="T53" s="216">
        <f t="shared" ca="1" si="23"/>
        <v>100</v>
      </c>
    </row>
    <row r="54" spans="1:20" ht="21" customHeight="1" x14ac:dyDescent="0.3">
      <c r="A54" s="70">
        <v>2</v>
      </c>
      <c r="B54" s="71" t="s">
        <v>82</v>
      </c>
      <c r="C54" s="149">
        <f t="shared" ca="1" si="14"/>
        <v>0</v>
      </c>
      <c r="D54" s="150">
        <f t="shared" ca="1" si="30"/>
        <v>0</v>
      </c>
      <c r="E54" s="151">
        <f ca="1">IFERROR(__xludf.DUMMYFUNCTION("IMPORTRANGE(""https://docs.google.com/spreadsheets/d/1-uDff_7J0KD5mKrp0Vvzr7lt3OU09vwQwhkpOPPYv2Y/edit?usp=sharing"",""งบพรบ!EJ54"")"),0)</f>
        <v>0</v>
      </c>
      <c r="F54" s="151">
        <f ca="1">IFERROR(__xludf.DUMMYFUNCTION("IMPORTRANGE(""https://docs.google.com/spreadsheets/d/1-uDff_7J0KD5mKrp0Vvzr7lt3OU09vwQwhkpOPPYv2Y/edit?usp=sharing"",""งบพรบ!EK54"")"),0)</f>
        <v>0</v>
      </c>
      <c r="G54" s="151">
        <f ca="1">IFERROR(__xludf.DUMMYFUNCTION("IMPORTRANGE(""https://docs.google.com/spreadsheets/d/1-uDff_7J0KD5mKrp0Vvzr7lt3OU09vwQwhkpOPPYv2Y/edit?usp=sharing"",""งบพรบ!EL54"")"),0)</f>
        <v>0</v>
      </c>
      <c r="H54" s="151">
        <f ca="1">IFERROR(__xludf.DUMMYFUNCTION("IMPORTRANGE(""https://docs.google.com/spreadsheets/d/1-uDff_7J0KD5mKrp0Vvzr7lt3OU09vwQwhkpOPPYv2Y/edit?usp=sharing"",""งบพรบ!EN54"")"),0)</f>
        <v>0</v>
      </c>
      <c r="I54" s="151">
        <f ca="1">IFERROR(__xludf.DUMMYFUNCTION("IMPORTRANGE(""https://docs.google.com/spreadsheets/d/1-uDff_7J0KD5mKrp0Vvzr7lt3OU09vwQwhkpOPPYv2Y/edit?usp=sharing"",""งบพรบ!EO54"")"),0)</f>
        <v>0</v>
      </c>
      <c r="J54" s="151">
        <f t="shared" ca="1" si="16"/>
        <v>0</v>
      </c>
      <c r="K54" s="154">
        <f t="shared" ca="1" si="17"/>
        <v>0</v>
      </c>
      <c r="L54" s="151">
        <f ca="1">IFERROR(__xludf.DUMMYFUNCTION("IMPORTRANGE(""https://docs.google.com/spreadsheets/d/1-uDff_7J0KD5mKrp0Vvzr7lt3OU09vwQwhkpOPPYv2Y/edit?usp=sharing"",""งบพรบ!EP54"")"),0)</f>
        <v>0</v>
      </c>
      <c r="M54" s="68">
        <f t="shared" ca="1" si="18"/>
        <v>0</v>
      </c>
      <c r="N54" s="68">
        <f t="shared" ca="1" si="19"/>
        <v>0</v>
      </c>
      <c r="O54" s="67">
        <f ca="1">IFERROR(__xludf.DUMMYFUNCTION("IMPORTRANGE(""https://docs.google.com/spreadsheets/d/1-uDff_7J0KD5mKrp0Vvzr7lt3OU09vwQwhkpOPPYv2Y/edit?usp=sharing"",""งบพรบ!EQ54"")"),0)</f>
        <v>0</v>
      </c>
      <c r="P54" s="67">
        <f t="shared" ca="1" si="20"/>
        <v>0</v>
      </c>
      <c r="Q54" s="68">
        <f t="shared" ca="1" si="21"/>
        <v>0</v>
      </c>
      <c r="R54" s="278">
        <f ca="1">IFERROR(__xludf.DUMMYFUNCTION("IMPORTRANGE(""https://docs.google.com/spreadsheets/d/1ddFKvqj1W1NEiWytbGlB1zMx_ykJDVtmfEQ-6-lIUBA/edit?usp=sharing"",""จันทบุรี!I330"")"),0)</f>
        <v>0</v>
      </c>
      <c r="S54" s="152">
        <f ca="1">IFERROR(__xludf.DUMMYFUNCTION("IMPORTRANGE(""https://docs.google.com/spreadsheets/d/1ddFKvqj1W1NEiWytbGlB1zMx_ykJDVtmfEQ-6-lIUBA/edit?usp=sharing"",""จันทบุรี!J330"")"),0)</f>
        <v>0</v>
      </c>
      <c r="T54" s="216">
        <f t="shared" ca="1" si="23"/>
        <v>0</v>
      </c>
    </row>
    <row r="55" spans="1:20" ht="21" customHeight="1" x14ac:dyDescent="0.3">
      <c r="A55" s="70">
        <v>3</v>
      </c>
      <c r="B55" s="71" t="s">
        <v>83</v>
      </c>
      <c r="C55" s="149">
        <f t="shared" ca="1" si="14"/>
        <v>0</v>
      </c>
      <c r="D55" s="150">
        <f t="shared" ca="1" si="30"/>
        <v>0</v>
      </c>
      <c r="E55" s="151">
        <f ca="1">IFERROR(__xludf.DUMMYFUNCTION("IMPORTRANGE(""https://docs.google.com/spreadsheets/d/1-uDff_7J0KD5mKrp0Vvzr7lt3OU09vwQwhkpOPPYv2Y/edit?usp=sharing"",""งบพรบ!EJ55"")"),0)</f>
        <v>0</v>
      </c>
      <c r="F55" s="151">
        <f ca="1">IFERROR(__xludf.DUMMYFUNCTION("IMPORTRANGE(""https://docs.google.com/spreadsheets/d/1-uDff_7J0KD5mKrp0Vvzr7lt3OU09vwQwhkpOPPYv2Y/edit?usp=sharing"",""งบพรบ!EK55"")"),0)</f>
        <v>0</v>
      </c>
      <c r="G55" s="151">
        <f ca="1">IFERROR(__xludf.DUMMYFUNCTION("IMPORTRANGE(""https://docs.google.com/spreadsheets/d/1-uDff_7J0KD5mKrp0Vvzr7lt3OU09vwQwhkpOPPYv2Y/edit?usp=sharing"",""งบพรบ!EL55"")"),0)</f>
        <v>0</v>
      </c>
      <c r="H55" s="151">
        <f ca="1">IFERROR(__xludf.DUMMYFUNCTION("IMPORTRANGE(""https://docs.google.com/spreadsheets/d/1-uDff_7J0KD5mKrp0Vvzr7lt3OU09vwQwhkpOPPYv2Y/edit?usp=sharing"",""งบพรบ!EN55"")"),0)</f>
        <v>0</v>
      </c>
      <c r="I55" s="151">
        <f ca="1">IFERROR(__xludf.DUMMYFUNCTION("IMPORTRANGE(""https://docs.google.com/spreadsheets/d/1-uDff_7J0KD5mKrp0Vvzr7lt3OU09vwQwhkpOPPYv2Y/edit?usp=sharing"",""งบพรบ!EO55"")"),0)</f>
        <v>0</v>
      </c>
      <c r="J55" s="151">
        <f t="shared" ca="1" si="16"/>
        <v>0</v>
      </c>
      <c r="K55" s="154">
        <f t="shared" ca="1" si="17"/>
        <v>0</v>
      </c>
      <c r="L55" s="151">
        <f ca="1">IFERROR(__xludf.DUMMYFUNCTION("IMPORTRANGE(""https://docs.google.com/spreadsheets/d/1-uDff_7J0KD5mKrp0Vvzr7lt3OU09vwQwhkpOPPYv2Y/edit?usp=sharing"",""งบพรบ!EP55"")"),0)</f>
        <v>0</v>
      </c>
      <c r="M55" s="68">
        <f t="shared" ca="1" si="18"/>
        <v>0</v>
      </c>
      <c r="N55" s="68">
        <f t="shared" ca="1" si="19"/>
        <v>0</v>
      </c>
      <c r="O55" s="67">
        <f ca="1">IFERROR(__xludf.DUMMYFUNCTION("IMPORTRANGE(""https://docs.google.com/spreadsheets/d/1-uDff_7J0KD5mKrp0Vvzr7lt3OU09vwQwhkpOPPYv2Y/edit?usp=sharing"",""งบพรบ!EQ55"")"),0)</f>
        <v>0</v>
      </c>
      <c r="P55" s="67">
        <f t="shared" ca="1" si="20"/>
        <v>0</v>
      </c>
      <c r="Q55" s="68">
        <f t="shared" ca="1" si="21"/>
        <v>0</v>
      </c>
      <c r="R55" s="278">
        <f ca="1">IFERROR(__xludf.DUMMYFUNCTION("IMPORTRANGE(""https://docs.google.com/spreadsheets/d/1T1PQvRODqOBZk8BRht_U031fIS1beLA0Ub2CEytj2q0/edit?usp=sharing"",""ฉะเชิงเทรา!I330"")"),0)</f>
        <v>0</v>
      </c>
      <c r="S55" s="152">
        <f ca="1">IFERROR(__xludf.DUMMYFUNCTION("IMPORTRANGE(""https://docs.google.com/spreadsheets/d/1T1PQvRODqOBZk8BRht_U031fIS1beLA0Ub2CEytj2q0/edit?usp=sharing"",""ฉะเชิงเทรา!J330"")"),0)</f>
        <v>0</v>
      </c>
      <c r="T55" s="216">
        <f t="shared" ca="1" si="23"/>
        <v>0</v>
      </c>
    </row>
    <row r="56" spans="1:20" ht="21" customHeight="1" x14ac:dyDescent="0.3">
      <c r="A56" s="70">
        <v>4</v>
      </c>
      <c r="B56" s="71" t="s">
        <v>84</v>
      </c>
      <c r="C56" s="149">
        <f t="shared" ca="1" si="14"/>
        <v>175000</v>
      </c>
      <c r="D56" s="150">
        <f t="shared" ca="1" si="30"/>
        <v>175000</v>
      </c>
      <c r="E56" s="151">
        <f ca="1">IFERROR(__xludf.DUMMYFUNCTION("IMPORTRANGE(""https://docs.google.com/spreadsheets/d/1-uDff_7J0KD5mKrp0Vvzr7lt3OU09vwQwhkpOPPYv2Y/edit?usp=sharing"",""งบพรบ!EJ56"")"),0)</f>
        <v>0</v>
      </c>
      <c r="F56" s="151">
        <f ca="1">IFERROR(__xludf.DUMMYFUNCTION("IMPORTRANGE(""https://docs.google.com/spreadsheets/d/1-uDff_7J0KD5mKrp0Vvzr7lt3OU09vwQwhkpOPPYv2Y/edit?usp=sharing"",""งบพรบ!EK56"")"),175000)</f>
        <v>175000</v>
      </c>
      <c r="G56" s="151">
        <f ca="1">IFERROR(__xludf.DUMMYFUNCTION("IMPORTRANGE(""https://docs.google.com/spreadsheets/d/1-uDff_7J0KD5mKrp0Vvzr7lt3OU09vwQwhkpOPPYv2Y/edit?usp=sharing"",""งบพรบ!EL56"")"),0)</f>
        <v>0</v>
      </c>
      <c r="H56" s="151">
        <f ca="1">IFERROR(__xludf.DUMMYFUNCTION("IMPORTRANGE(""https://docs.google.com/spreadsheets/d/1-uDff_7J0KD5mKrp0Vvzr7lt3OU09vwQwhkpOPPYv2Y/edit?usp=sharing"",""งบพรบ!EN56"")"),175000)</f>
        <v>175000</v>
      </c>
      <c r="I56" s="151">
        <f ca="1">IFERROR(__xludf.DUMMYFUNCTION("IMPORTRANGE(""https://docs.google.com/spreadsheets/d/1-uDff_7J0KD5mKrp0Vvzr7lt3OU09vwQwhkpOPPYv2Y/edit?usp=sharing"",""งบพรบ!EO56"")"),0)</f>
        <v>0</v>
      </c>
      <c r="J56" s="151">
        <f t="shared" ca="1" si="16"/>
        <v>135629</v>
      </c>
      <c r="K56" s="154">
        <f t="shared" ca="1" si="17"/>
        <v>77.502285714285719</v>
      </c>
      <c r="L56" s="151">
        <f ca="1">IFERROR(__xludf.DUMMYFUNCTION("IMPORTRANGE(""https://docs.google.com/spreadsheets/d/1-uDff_7J0KD5mKrp0Vvzr7lt3OU09vwQwhkpOPPYv2Y/edit?usp=sharing"",""งบพรบ!EP56"")"),135629)</f>
        <v>135629</v>
      </c>
      <c r="M56" s="68">
        <f t="shared" ca="1" si="18"/>
        <v>77.502285714285719</v>
      </c>
      <c r="N56" s="68">
        <f t="shared" ca="1" si="19"/>
        <v>77.502285714285719</v>
      </c>
      <c r="O56" s="67">
        <f ca="1">IFERROR(__xludf.DUMMYFUNCTION("IMPORTRANGE(""https://docs.google.com/spreadsheets/d/1-uDff_7J0KD5mKrp0Vvzr7lt3OU09vwQwhkpOPPYv2Y/edit?usp=sharing"",""งบพรบ!EQ56"")"),0)</f>
        <v>0</v>
      </c>
      <c r="P56" s="67">
        <f t="shared" ca="1" si="20"/>
        <v>0</v>
      </c>
      <c r="Q56" s="68">
        <f t="shared" ca="1" si="21"/>
        <v>0</v>
      </c>
      <c r="R56" s="278">
        <f ca="1">IFERROR(__xludf.DUMMYFUNCTION("IMPORTRANGE(""https://docs.google.com/spreadsheets/d/11tr1B-Bhyr79v2bkwVh5h_fR-PStkgjlZtkrZpYurG0/edit?usp=sharing"",""ชลบุรี!I330"")"),2)</f>
        <v>2</v>
      </c>
      <c r="S56" s="152">
        <f ca="1">IFERROR(__xludf.DUMMYFUNCTION("IMPORTRANGE(""https://docs.google.com/spreadsheets/d/11tr1B-Bhyr79v2bkwVh5h_fR-PStkgjlZtkrZpYurG0/edit?usp=sharing"",""ชลบุรี!J330"")"),2)</f>
        <v>2</v>
      </c>
      <c r="T56" s="216">
        <f t="shared" ca="1" si="23"/>
        <v>100</v>
      </c>
    </row>
    <row r="57" spans="1:20" ht="21" customHeight="1" x14ac:dyDescent="0.3">
      <c r="A57" s="70">
        <v>5</v>
      </c>
      <c r="B57" s="71" t="s">
        <v>85</v>
      </c>
      <c r="C57" s="149">
        <f t="shared" ca="1" si="14"/>
        <v>0</v>
      </c>
      <c r="D57" s="150">
        <f t="shared" ca="1" si="30"/>
        <v>0</v>
      </c>
      <c r="E57" s="151">
        <f ca="1">IFERROR(__xludf.DUMMYFUNCTION("IMPORTRANGE(""https://docs.google.com/spreadsheets/d/1-uDff_7J0KD5mKrp0Vvzr7lt3OU09vwQwhkpOPPYv2Y/edit?usp=sharing"",""งบพรบ!EJ57"")"),0)</f>
        <v>0</v>
      </c>
      <c r="F57" s="151">
        <f ca="1">IFERROR(__xludf.DUMMYFUNCTION("IMPORTRANGE(""https://docs.google.com/spreadsheets/d/1-uDff_7J0KD5mKrp0Vvzr7lt3OU09vwQwhkpOPPYv2Y/edit?usp=sharing"",""งบพรบ!EK57"")"),0)</f>
        <v>0</v>
      </c>
      <c r="G57" s="151">
        <f ca="1">IFERROR(__xludf.DUMMYFUNCTION("IMPORTRANGE(""https://docs.google.com/spreadsheets/d/1-uDff_7J0KD5mKrp0Vvzr7lt3OU09vwQwhkpOPPYv2Y/edit?usp=sharing"",""งบพรบ!EL57"")"),0)</f>
        <v>0</v>
      </c>
      <c r="H57" s="151">
        <f ca="1">IFERROR(__xludf.DUMMYFUNCTION("IMPORTRANGE(""https://docs.google.com/spreadsheets/d/1-uDff_7J0KD5mKrp0Vvzr7lt3OU09vwQwhkpOPPYv2Y/edit?usp=sharing"",""งบพรบ!EN57"")"),0)</f>
        <v>0</v>
      </c>
      <c r="I57" s="151">
        <f ca="1">IFERROR(__xludf.DUMMYFUNCTION("IMPORTRANGE(""https://docs.google.com/spreadsheets/d/1-uDff_7J0KD5mKrp0Vvzr7lt3OU09vwQwhkpOPPYv2Y/edit?usp=sharing"",""งบพรบ!EO57"")"),0)</f>
        <v>0</v>
      </c>
      <c r="J57" s="151">
        <f t="shared" ca="1" si="16"/>
        <v>0</v>
      </c>
      <c r="K57" s="154">
        <f t="shared" ca="1" si="17"/>
        <v>0</v>
      </c>
      <c r="L57" s="151">
        <f ca="1">IFERROR(__xludf.DUMMYFUNCTION("IMPORTRANGE(""https://docs.google.com/spreadsheets/d/1-uDff_7J0KD5mKrp0Vvzr7lt3OU09vwQwhkpOPPYv2Y/edit?usp=sharing"",""งบพรบ!EP57"")"),0)</f>
        <v>0</v>
      </c>
      <c r="M57" s="68">
        <f t="shared" ca="1" si="18"/>
        <v>0</v>
      </c>
      <c r="N57" s="68">
        <f t="shared" ca="1" si="19"/>
        <v>0</v>
      </c>
      <c r="O57" s="67">
        <f ca="1">IFERROR(__xludf.DUMMYFUNCTION("IMPORTRANGE(""https://docs.google.com/spreadsheets/d/1-uDff_7J0KD5mKrp0Vvzr7lt3OU09vwQwhkpOPPYv2Y/edit?usp=sharing"",""งบพรบ!EQ57"")"),0)</f>
        <v>0</v>
      </c>
      <c r="P57" s="67">
        <f t="shared" ca="1" si="20"/>
        <v>0</v>
      </c>
      <c r="Q57" s="68">
        <f t="shared" ca="1" si="21"/>
        <v>0</v>
      </c>
      <c r="R57" s="278">
        <f ca="1">IFERROR(__xludf.DUMMYFUNCTION("IMPORTRANGE(""https://docs.google.com/spreadsheets/d/1hh-FVnSX0vozXhGluamEcS54Dw9_zqW0N7qJUWgJ0Sw/edit?usp=sharing"",""ชัยนาท!I330"")"),0)</f>
        <v>0</v>
      </c>
      <c r="S57" s="152">
        <f ca="1">IFERROR(__xludf.DUMMYFUNCTION("IMPORTRANGE(""https://docs.google.com/spreadsheets/d/1hh-FVnSX0vozXhGluamEcS54Dw9_zqW0N7qJUWgJ0Sw/edit?usp=sharing"",""ชัยนาท!J330"")"),0)</f>
        <v>0</v>
      </c>
      <c r="T57" s="216">
        <f t="shared" ca="1" si="23"/>
        <v>0</v>
      </c>
    </row>
    <row r="58" spans="1:20" ht="21" customHeight="1" x14ac:dyDescent="0.3">
      <c r="A58" s="70">
        <v>6</v>
      </c>
      <c r="B58" s="71" t="s">
        <v>86</v>
      </c>
      <c r="C58" s="149">
        <f t="shared" ca="1" si="14"/>
        <v>0</v>
      </c>
      <c r="D58" s="150">
        <f t="shared" ca="1" si="30"/>
        <v>0</v>
      </c>
      <c r="E58" s="151">
        <f ca="1">IFERROR(__xludf.DUMMYFUNCTION("IMPORTRANGE(""https://docs.google.com/spreadsheets/d/1-uDff_7J0KD5mKrp0Vvzr7lt3OU09vwQwhkpOPPYv2Y/edit?usp=sharing"",""งบพรบ!EJ58"")"),0)</f>
        <v>0</v>
      </c>
      <c r="F58" s="151">
        <f ca="1">IFERROR(__xludf.DUMMYFUNCTION("IMPORTRANGE(""https://docs.google.com/spreadsheets/d/1-uDff_7J0KD5mKrp0Vvzr7lt3OU09vwQwhkpOPPYv2Y/edit?usp=sharing"",""งบพรบ!EK58"")"),0)</f>
        <v>0</v>
      </c>
      <c r="G58" s="151">
        <f ca="1">IFERROR(__xludf.DUMMYFUNCTION("IMPORTRANGE(""https://docs.google.com/spreadsheets/d/1-uDff_7J0KD5mKrp0Vvzr7lt3OU09vwQwhkpOPPYv2Y/edit?usp=sharing"",""งบพรบ!EL58"")"),0)</f>
        <v>0</v>
      </c>
      <c r="H58" s="151">
        <f ca="1">IFERROR(__xludf.DUMMYFUNCTION("IMPORTRANGE(""https://docs.google.com/spreadsheets/d/1-uDff_7J0KD5mKrp0Vvzr7lt3OU09vwQwhkpOPPYv2Y/edit?usp=sharing"",""งบพรบ!EN58"")"),0)</f>
        <v>0</v>
      </c>
      <c r="I58" s="151">
        <f ca="1">IFERROR(__xludf.DUMMYFUNCTION("IMPORTRANGE(""https://docs.google.com/spreadsheets/d/1-uDff_7J0KD5mKrp0Vvzr7lt3OU09vwQwhkpOPPYv2Y/edit?usp=sharing"",""งบพรบ!EO58"")"),0)</f>
        <v>0</v>
      </c>
      <c r="J58" s="151">
        <f t="shared" ca="1" si="16"/>
        <v>0</v>
      </c>
      <c r="K58" s="154">
        <f t="shared" ca="1" si="17"/>
        <v>0</v>
      </c>
      <c r="L58" s="151">
        <f ca="1">IFERROR(__xludf.DUMMYFUNCTION("IMPORTRANGE(""https://docs.google.com/spreadsheets/d/1-uDff_7J0KD5mKrp0Vvzr7lt3OU09vwQwhkpOPPYv2Y/edit?usp=sharing"",""งบพรบ!EP58"")"),0)</f>
        <v>0</v>
      </c>
      <c r="M58" s="68">
        <f t="shared" ca="1" si="18"/>
        <v>0</v>
      </c>
      <c r="N58" s="68">
        <f t="shared" ca="1" si="19"/>
        <v>0</v>
      </c>
      <c r="O58" s="67">
        <f ca="1">IFERROR(__xludf.DUMMYFUNCTION("IMPORTRANGE(""https://docs.google.com/spreadsheets/d/1-uDff_7J0KD5mKrp0Vvzr7lt3OU09vwQwhkpOPPYv2Y/edit?usp=sharing"",""งบพรบ!EQ58"")"),0)</f>
        <v>0</v>
      </c>
      <c r="P58" s="67">
        <f t="shared" ca="1" si="20"/>
        <v>0</v>
      </c>
      <c r="Q58" s="68">
        <f t="shared" ca="1" si="21"/>
        <v>0</v>
      </c>
      <c r="R58" s="278">
        <f ca="1">IFERROR(__xludf.DUMMYFUNCTION("IMPORTRANGE(""https://docs.google.com/spreadsheets/d/1jkqa6GXxSacMcY1eN8AHjMNJ_7dDXMJVRLDlaFSOdPM/edit?usp=sharing"",""ตราด!I330"")"),0)</f>
        <v>0</v>
      </c>
      <c r="S58" s="152">
        <f ca="1">IFERROR(__xludf.DUMMYFUNCTION("IMPORTRANGE(""https://docs.google.com/spreadsheets/d/1jkqa6GXxSacMcY1eN8AHjMNJ_7dDXMJVRLDlaFSOdPM/edit?usp=sharing"",""ตราด!J330"")"),0)</f>
        <v>0</v>
      </c>
      <c r="T58" s="216">
        <f t="shared" ca="1" si="23"/>
        <v>0</v>
      </c>
    </row>
    <row r="59" spans="1:20" ht="21" customHeight="1" x14ac:dyDescent="0.3">
      <c r="A59" s="70">
        <v>7</v>
      </c>
      <c r="B59" s="71" t="s">
        <v>87</v>
      </c>
      <c r="C59" s="149">
        <f t="shared" ca="1" si="14"/>
        <v>0</v>
      </c>
      <c r="D59" s="150">
        <f t="shared" ca="1" si="30"/>
        <v>0</v>
      </c>
      <c r="E59" s="151">
        <f ca="1">IFERROR(__xludf.DUMMYFUNCTION("IMPORTRANGE(""https://docs.google.com/spreadsheets/d/1-uDff_7J0KD5mKrp0Vvzr7lt3OU09vwQwhkpOPPYv2Y/edit?usp=sharing"",""งบพรบ!EJ59"")"),0)</f>
        <v>0</v>
      </c>
      <c r="F59" s="151">
        <f ca="1">IFERROR(__xludf.DUMMYFUNCTION("IMPORTRANGE(""https://docs.google.com/spreadsheets/d/1-uDff_7J0KD5mKrp0Vvzr7lt3OU09vwQwhkpOPPYv2Y/edit?usp=sharing"",""งบพรบ!EK59"")"),0)</f>
        <v>0</v>
      </c>
      <c r="G59" s="151">
        <f ca="1">IFERROR(__xludf.DUMMYFUNCTION("IMPORTRANGE(""https://docs.google.com/spreadsheets/d/1-uDff_7J0KD5mKrp0Vvzr7lt3OU09vwQwhkpOPPYv2Y/edit?usp=sharing"",""งบพรบ!EL59"")"),0)</f>
        <v>0</v>
      </c>
      <c r="H59" s="151">
        <f ca="1">IFERROR(__xludf.DUMMYFUNCTION("IMPORTRANGE(""https://docs.google.com/spreadsheets/d/1-uDff_7J0KD5mKrp0Vvzr7lt3OU09vwQwhkpOPPYv2Y/edit?usp=sharing"",""งบพรบ!EN59"")"),0)</f>
        <v>0</v>
      </c>
      <c r="I59" s="151">
        <f ca="1">IFERROR(__xludf.DUMMYFUNCTION("IMPORTRANGE(""https://docs.google.com/spreadsheets/d/1-uDff_7J0KD5mKrp0Vvzr7lt3OU09vwQwhkpOPPYv2Y/edit?usp=sharing"",""งบพรบ!EO59"")"),0)</f>
        <v>0</v>
      </c>
      <c r="J59" s="151">
        <f t="shared" ca="1" si="16"/>
        <v>0</v>
      </c>
      <c r="K59" s="154">
        <f t="shared" ca="1" si="17"/>
        <v>0</v>
      </c>
      <c r="L59" s="151">
        <f ca="1">IFERROR(__xludf.DUMMYFUNCTION("IMPORTRANGE(""https://docs.google.com/spreadsheets/d/1-uDff_7J0KD5mKrp0Vvzr7lt3OU09vwQwhkpOPPYv2Y/edit?usp=sharing"",""งบพรบ!EP59"")"),0)</f>
        <v>0</v>
      </c>
      <c r="M59" s="68">
        <f t="shared" ca="1" si="18"/>
        <v>0</v>
      </c>
      <c r="N59" s="68">
        <f t="shared" ca="1" si="19"/>
        <v>0</v>
      </c>
      <c r="O59" s="67">
        <f ca="1">IFERROR(__xludf.DUMMYFUNCTION("IMPORTRANGE(""https://docs.google.com/spreadsheets/d/1-uDff_7J0KD5mKrp0Vvzr7lt3OU09vwQwhkpOPPYv2Y/edit?usp=sharing"",""งบพรบ!EQ59"")"),0)</f>
        <v>0</v>
      </c>
      <c r="P59" s="67">
        <f t="shared" ca="1" si="20"/>
        <v>0</v>
      </c>
      <c r="Q59" s="68">
        <f t="shared" ca="1" si="21"/>
        <v>0</v>
      </c>
      <c r="R59" s="278">
        <f ca="1">IFERROR(__xludf.DUMMYFUNCTION("IMPORTRANGE(""https://docs.google.com/spreadsheets/d/18hSgUJ3VwClqi_qtULmmW3cLr0oe3OKaSYoKzdpTsYQ/edit?usp=sharing"",""นครนายก!I330"")"),0)</f>
        <v>0</v>
      </c>
      <c r="S59" s="152">
        <f ca="1">IFERROR(__xludf.DUMMYFUNCTION("IMPORTRANGE(""https://docs.google.com/spreadsheets/d/18hSgUJ3VwClqi_qtULmmW3cLr0oe3OKaSYoKzdpTsYQ/edit?usp=sharing"",""นครนายก!J330"")"),0)</f>
        <v>0</v>
      </c>
      <c r="T59" s="216">
        <f t="shared" ca="1" si="23"/>
        <v>0</v>
      </c>
    </row>
    <row r="60" spans="1:20" ht="21" customHeight="1" x14ac:dyDescent="0.3">
      <c r="A60" s="70">
        <v>8</v>
      </c>
      <c r="B60" s="71" t="s">
        <v>88</v>
      </c>
      <c r="C60" s="149">
        <f t="shared" ca="1" si="14"/>
        <v>0</v>
      </c>
      <c r="D60" s="150">
        <f t="shared" ca="1" si="30"/>
        <v>0</v>
      </c>
      <c r="E60" s="151">
        <f ca="1">IFERROR(__xludf.DUMMYFUNCTION("IMPORTRANGE(""https://docs.google.com/spreadsheets/d/1-uDff_7J0KD5mKrp0Vvzr7lt3OU09vwQwhkpOPPYv2Y/edit?usp=sharing"",""งบพรบ!EJ60"")"),0)</f>
        <v>0</v>
      </c>
      <c r="F60" s="151">
        <f ca="1">IFERROR(__xludf.DUMMYFUNCTION("IMPORTRANGE(""https://docs.google.com/spreadsheets/d/1-uDff_7J0KD5mKrp0Vvzr7lt3OU09vwQwhkpOPPYv2Y/edit?usp=sharing"",""งบพรบ!EK60"")"),0)</f>
        <v>0</v>
      </c>
      <c r="G60" s="151">
        <f ca="1">IFERROR(__xludf.DUMMYFUNCTION("IMPORTRANGE(""https://docs.google.com/spreadsheets/d/1-uDff_7J0KD5mKrp0Vvzr7lt3OU09vwQwhkpOPPYv2Y/edit?usp=sharing"",""งบพรบ!EL60"")"),0)</f>
        <v>0</v>
      </c>
      <c r="H60" s="151">
        <f ca="1">IFERROR(__xludf.DUMMYFUNCTION("IMPORTRANGE(""https://docs.google.com/spreadsheets/d/1-uDff_7J0KD5mKrp0Vvzr7lt3OU09vwQwhkpOPPYv2Y/edit?usp=sharing"",""งบพรบ!EN60"")"),0)</f>
        <v>0</v>
      </c>
      <c r="I60" s="151">
        <f ca="1">IFERROR(__xludf.DUMMYFUNCTION("IMPORTRANGE(""https://docs.google.com/spreadsheets/d/1-uDff_7J0KD5mKrp0Vvzr7lt3OU09vwQwhkpOPPYv2Y/edit?usp=sharing"",""งบพรบ!EO60"")"),0)</f>
        <v>0</v>
      </c>
      <c r="J60" s="151">
        <f t="shared" ca="1" si="16"/>
        <v>0</v>
      </c>
      <c r="K60" s="154">
        <f t="shared" ca="1" si="17"/>
        <v>0</v>
      </c>
      <c r="L60" s="151">
        <f ca="1">IFERROR(__xludf.DUMMYFUNCTION("IMPORTRANGE(""https://docs.google.com/spreadsheets/d/1-uDff_7J0KD5mKrp0Vvzr7lt3OU09vwQwhkpOPPYv2Y/edit?usp=sharing"",""งบพรบ!EP60"")"),0)</f>
        <v>0</v>
      </c>
      <c r="M60" s="68">
        <f t="shared" ca="1" si="18"/>
        <v>0</v>
      </c>
      <c r="N60" s="68">
        <f t="shared" ca="1" si="19"/>
        <v>0</v>
      </c>
      <c r="O60" s="67">
        <f ca="1">IFERROR(__xludf.DUMMYFUNCTION("IMPORTRANGE(""https://docs.google.com/spreadsheets/d/1-uDff_7J0KD5mKrp0Vvzr7lt3OU09vwQwhkpOPPYv2Y/edit?usp=sharing"",""งบพรบ!EQ60"")"),0)</f>
        <v>0</v>
      </c>
      <c r="P60" s="67">
        <f t="shared" ca="1" si="20"/>
        <v>0</v>
      </c>
      <c r="Q60" s="68">
        <f t="shared" ca="1" si="21"/>
        <v>0</v>
      </c>
      <c r="R60" s="278">
        <f ca="1">IFERROR(__xludf.DUMMYFUNCTION("IMPORTRANGE(""https://docs.google.com/spreadsheets/d/1YTZo6WM2dQ6Ix6FSdnL5P7uVnVKu40sxZu975tgG10E/edit?usp=sharing"",""นครปฐม!I330"")"),0)</f>
        <v>0</v>
      </c>
      <c r="S60" s="152">
        <f ca="1">IFERROR(__xludf.DUMMYFUNCTION("IMPORTRANGE(""https://docs.google.com/spreadsheets/d/1YTZo6WM2dQ6Ix6FSdnL5P7uVnVKu40sxZu975tgG10E/edit?usp=sharing"",""นครปฐม!J330"")"),0)</f>
        <v>0</v>
      </c>
      <c r="T60" s="216">
        <f t="shared" ca="1" si="23"/>
        <v>0</v>
      </c>
    </row>
    <row r="61" spans="1:20" ht="21" customHeight="1" x14ac:dyDescent="0.3">
      <c r="A61" s="70">
        <v>9</v>
      </c>
      <c r="B61" s="71" t="s">
        <v>89</v>
      </c>
      <c r="C61" s="149">
        <f t="shared" ca="1" si="14"/>
        <v>0</v>
      </c>
      <c r="D61" s="150">
        <f t="shared" ca="1" si="30"/>
        <v>0</v>
      </c>
      <c r="E61" s="151">
        <f ca="1">IFERROR(__xludf.DUMMYFUNCTION("IMPORTRANGE(""https://docs.google.com/spreadsheets/d/1-uDff_7J0KD5mKrp0Vvzr7lt3OU09vwQwhkpOPPYv2Y/edit?usp=sharing"",""งบพรบ!EJ61"")"),0)</f>
        <v>0</v>
      </c>
      <c r="F61" s="151">
        <f ca="1">IFERROR(__xludf.DUMMYFUNCTION("IMPORTRANGE(""https://docs.google.com/spreadsheets/d/1-uDff_7J0KD5mKrp0Vvzr7lt3OU09vwQwhkpOPPYv2Y/edit?usp=sharing"",""งบพรบ!EK61"")"),0)</f>
        <v>0</v>
      </c>
      <c r="G61" s="151">
        <f ca="1">IFERROR(__xludf.DUMMYFUNCTION("IMPORTRANGE(""https://docs.google.com/spreadsheets/d/1-uDff_7J0KD5mKrp0Vvzr7lt3OU09vwQwhkpOPPYv2Y/edit?usp=sharing"",""งบพรบ!EL61"")"),0)</f>
        <v>0</v>
      </c>
      <c r="H61" s="151">
        <f ca="1">IFERROR(__xludf.DUMMYFUNCTION("IMPORTRANGE(""https://docs.google.com/spreadsheets/d/1-uDff_7J0KD5mKrp0Vvzr7lt3OU09vwQwhkpOPPYv2Y/edit?usp=sharing"",""งบพรบ!EN61"")"),0)</f>
        <v>0</v>
      </c>
      <c r="I61" s="151">
        <f ca="1">IFERROR(__xludf.DUMMYFUNCTION("IMPORTRANGE(""https://docs.google.com/spreadsheets/d/1-uDff_7J0KD5mKrp0Vvzr7lt3OU09vwQwhkpOPPYv2Y/edit?usp=sharing"",""งบพรบ!EO61"")"),0)</f>
        <v>0</v>
      </c>
      <c r="J61" s="151">
        <f t="shared" ca="1" si="16"/>
        <v>0</v>
      </c>
      <c r="K61" s="154">
        <f t="shared" ca="1" si="17"/>
        <v>0</v>
      </c>
      <c r="L61" s="151">
        <f ca="1">IFERROR(__xludf.DUMMYFUNCTION("IMPORTRANGE(""https://docs.google.com/spreadsheets/d/1-uDff_7J0KD5mKrp0Vvzr7lt3OU09vwQwhkpOPPYv2Y/edit?usp=sharing"",""งบพรบ!EP61"")"),0)</f>
        <v>0</v>
      </c>
      <c r="M61" s="68">
        <f t="shared" ca="1" si="18"/>
        <v>0</v>
      </c>
      <c r="N61" s="68">
        <f t="shared" ca="1" si="19"/>
        <v>0</v>
      </c>
      <c r="O61" s="67">
        <f ca="1">IFERROR(__xludf.DUMMYFUNCTION("IMPORTRANGE(""https://docs.google.com/spreadsheets/d/1-uDff_7J0KD5mKrp0Vvzr7lt3OU09vwQwhkpOPPYv2Y/edit?usp=sharing"",""งบพรบ!EQ61"")"),0)</f>
        <v>0</v>
      </c>
      <c r="P61" s="67">
        <f t="shared" ca="1" si="20"/>
        <v>0</v>
      </c>
      <c r="Q61" s="68">
        <f t="shared" ca="1" si="21"/>
        <v>0</v>
      </c>
      <c r="R61" s="278">
        <f ca="1">IFERROR(__xludf.DUMMYFUNCTION("IMPORTRANGE(""https://docs.google.com/spreadsheets/d/1OYoGg4WDg5RIzwGeB10padOxJF9E_Vljuvvct_M7RDo/edit?usp=sharing"",""ปทุมธานี!I330"")"),0)</f>
        <v>0</v>
      </c>
      <c r="S61" s="152">
        <f ca="1">IFERROR(__xludf.DUMMYFUNCTION("IMPORTRANGE(""https://docs.google.com/spreadsheets/d/1OYoGg4WDg5RIzwGeB10padOxJF9E_Vljuvvct_M7RDo/edit?usp=sharing"",""ปทุมธานี!J330"")"),0)</f>
        <v>0</v>
      </c>
      <c r="T61" s="216">
        <f t="shared" ca="1" si="23"/>
        <v>0</v>
      </c>
    </row>
    <row r="62" spans="1:20" ht="21" customHeight="1" x14ac:dyDescent="0.3">
      <c r="A62" s="70">
        <v>10</v>
      </c>
      <c r="B62" s="71" t="s">
        <v>90</v>
      </c>
      <c r="C62" s="149">
        <f t="shared" ca="1" si="14"/>
        <v>0</v>
      </c>
      <c r="D62" s="150">
        <f t="shared" ca="1" si="30"/>
        <v>0</v>
      </c>
      <c r="E62" s="151">
        <f ca="1">IFERROR(__xludf.DUMMYFUNCTION("IMPORTRANGE(""https://docs.google.com/spreadsheets/d/1-uDff_7J0KD5mKrp0Vvzr7lt3OU09vwQwhkpOPPYv2Y/edit?usp=sharing"",""งบพรบ!EJ62"")"),0)</f>
        <v>0</v>
      </c>
      <c r="F62" s="151">
        <f ca="1">IFERROR(__xludf.DUMMYFUNCTION("IMPORTRANGE(""https://docs.google.com/spreadsheets/d/1-uDff_7J0KD5mKrp0Vvzr7lt3OU09vwQwhkpOPPYv2Y/edit?usp=sharing"",""งบพรบ!EK62"")"),0)</f>
        <v>0</v>
      </c>
      <c r="G62" s="151">
        <f ca="1">IFERROR(__xludf.DUMMYFUNCTION("IMPORTRANGE(""https://docs.google.com/spreadsheets/d/1-uDff_7J0KD5mKrp0Vvzr7lt3OU09vwQwhkpOPPYv2Y/edit?usp=sharing"",""งบพรบ!EL62"")"),0)</f>
        <v>0</v>
      </c>
      <c r="H62" s="151">
        <f ca="1">IFERROR(__xludf.DUMMYFUNCTION("IMPORTRANGE(""https://docs.google.com/spreadsheets/d/1-uDff_7J0KD5mKrp0Vvzr7lt3OU09vwQwhkpOPPYv2Y/edit?usp=sharing"",""งบพรบ!EN62"")"),0)</f>
        <v>0</v>
      </c>
      <c r="I62" s="151">
        <f ca="1">IFERROR(__xludf.DUMMYFUNCTION("IMPORTRANGE(""https://docs.google.com/spreadsheets/d/1-uDff_7J0KD5mKrp0Vvzr7lt3OU09vwQwhkpOPPYv2Y/edit?usp=sharing"",""งบพรบ!EO62"")"),0)</f>
        <v>0</v>
      </c>
      <c r="J62" s="151">
        <f t="shared" ca="1" si="16"/>
        <v>0</v>
      </c>
      <c r="K62" s="154">
        <f t="shared" ca="1" si="17"/>
        <v>0</v>
      </c>
      <c r="L62" s="151">
        <f ca="1">IFERROR(__xludf.DUMMYFUNCTION("IMPORTRANGE(""https://docs.google.com/spreadsheets/d/1-uDff_7J0KD5mKrp0Vvzr7lt3OU09vwQwhkpOPPYv2Y/edit?usp=sharing"",""งบพรบ!EP62"")"),0)</f>
        <v>0</v>
      </c>
      <c r="M62" s="68">
        <f t="shared" ca="1" si="18"/>
        <v>0</v>
      </c>
      <c r="N62" s="68">
        <f t="shared" ca="1" si="19"/>
        <v>0</v>
      </c>
      <c r="O62" s="67">
        <f ca="1">IFERROR(__xludf.DUMMYFUNCTION("IMPORTRANGE(""https://docs.google.com/spreadsheets/d/1-uDff_7J0KD5mKrp0Vvzr7lt3OU09vwQwhkpOPPYv2Y/edit?usp=sharing"",""งบพรบ!EQ62"")"),0)</f>
        <v>0</v>
      </c>
      <c r="P62" s="67">
        <f t="shared" ca="1" si="20"/>
        <v>0</v>
      </c>
      <c r="Q62" s="68">
        <f t="shared" ca="1" si="21"/>
        <v>0</v>
      </c>
      <c r="R62" s="278">
        <f ca="1">IFERROR(__xludf.DUMMYFUNCTION("IMPORTRANGE(""https://docs.google.com/spreadsheets/d/1GbCIE4D4wk9FUozzqk7SxfDMxDVBwVmI5zcaVUSzKAc/edit?usp=sharing"",""ประจวบคีรีขันธ์!I330"")"),0)</f>
        <v>0</v>
      </c>
      <c r="S62" s="152">
        <f ca="1">IFERROR(__xludf.DUMMYFUNCTION("IMPORTRANGE(""https://docs.google.com/spreadsheets/d/1GbCIE4D4wk9FUozzqk7SxfDMxDVBwVmI5zcaVUSzKAc/edit?usp=sharing"",""ประจวบคีรีขันธ์!J330"")"),0)</f>
        <v>0</v>
      </c>
      <c r="T62" s="216">
        <f t="shared" ca="1" si="23"/>
        <v>0</v>
      </c>
    </row>
    <row r="63" spans="1:20" ht="21" customHeight="1" x14ac:dyDescent="0.3">
      <c r="A63" s="70">
        <v>11</v>
      </c>
      <c r="B63" s="71" t="s">
        <v>91</v>
      </c>
      <c r="C63" s="149">
        <f t="shared" ca="1" si="14"/>
        <v>0</v>
      </c>
      <c r="D63" s="150">
        <f t="shared" ca="1" si="30"/>
        <v>0</v>
      </c>
      <c r="E63" s="151">
        <f ca="1">IFERROR(__xludf.DUMMYFUNCTION("IMPORTRANGE(""https://docs.google.com/spreadsheets/d/1-uDff_7J0KD5mKrp0Vvzr7lt3OU09vwQwhkpOPPYv2Y/edit?usp=sharing"",""งบพรบ!EJ63"")"),0)</f>
        <v>0</v>
      </c>
      <c r="F63" s="151">
        <f ca="1">IFERROR(__xludf.DUMMYFUNCTION("IMPORTRANGE(""https://docs.google.com/spreadsheets/d/1-uDff_7J0KD5mKrp0Vvzr7lt3OU09vwQwhkpOPPYv2Y/edit?usp=sharing"",""งบพรบ!EK63"")"),0)</f>
        <v>0</v>
      </c>
      <c r="G63" s="151">
        <f ca="1">IFERROR(__xludf.DUMMYFUNCTION("IMPORTRANGE(""https://docs.google.com/spreadsheets/d/1-uDff_7J0KD5mKrp0Vvzr7lt3OU09vwQwhkpOPPYv2Y/edit?usp=sharing"",""งบพรบ!EL63"")"),0)</f>
        <v>0</v>
      </c>
      <c r="H63" s="151">
        <f ca="1">IFERROR(__xludf.DUMMYFUNCTION("IMPORTRANGE(""https://docs.google.com/spreadsheets/d/1-uDff_7J0KD5mKrp0Vvzr7lt3OU09vwQwhkpOPPYv2Y/edit?usp=sharing"",""งบพรบ!EN63"")"),0)</f>
        <v>0</v>
      </c>
      <c r="I63" s="151">
        <f ca="1">IFERROR(__xludf.DUMMYFUNCTION("IMPORTRANGE(""https://docs.google.com/spreadsheets/d/1-uDff_7J0KD5mKrp0Vvzr7lt3OU09vwQwhkpOPPYv2Y/edit?usp=sharing"",""งบพรบ!EO63"")"),0)</f>
        <v>0</v>
      </c>
      <c r="J63" s="151">
        <f t="shared" ca="1" si="16"/>
        <v>0</v>
      </c>
      <c r="K63" s="154">
        <f t="shared" ca="1" si="17"/>
        <v>0</v>
      </c>
      <c r="L63" s="151">
        <f ca="1">IFERROR(__xludf.DUMMYFUNCTION("IMPORTRANGE(""https://docs.google.com/spreadsheets/d/1-uDff_7J0KD5mKrp0Vvzr7lt3OU09vwQwhkpOPPYv2Y/edit?usp=sharing"",""งบพรบ!EP63"")"),0)</f>
        <v>0</v>
      </c>
      <c r="M63" s="68">
        <f t="shared" ca="1" si="18"/>
        <v>0</v>
      </c>
      <c r="N63" s="68">
        <f t="shared" ca="1" si="19"/>
        <v>0</v>
      </c>
      <c r="O63" s="67">
        <f ca="1">IFERROR(__xludf.DUMMYFUNCTION("IMPORTRANGE(""https://docs.google.com/spreadsheets/d/1-uDff_7J0KD5mKrp0Vvzr7lt3OU09vwQwhkpOPPYv2Y/edit?usp=sharing"",""งบพรบ!EQ63"")"),0)</f>
        <v>0</v>
      </c>
      <c r="P63" s="67">
        <f t="shared" ca="1" si="20"/>
        <v>0</v>
      </c>
      <c r="Q63" s="68">
        <f t="shared" ca="1" si="21"/>
        <v>0</v>
      </c>
      <c r="R63" s="278">
        <f ca="1">IFERROR(__xludf.DUMMYFUNCTION("IMPORTRANGE(""https://docs.google.com/spreadsheets/d/1vVf6wykvW_lAyu7Yo9L4hUTqHqIeP_qcVuxCtosJEbg/edit?usp=sharing"",""ปราจีนบุรี!I330"")"),0)</f>
        <v>0</v>
      </c>
      <c r="S63" s="152">
        <f ca="1">IFERROR(__xludf.DUMMYFUNCTION("IMPORTRANGE(""https://docs.google.com/spreadsheets/d/1vVf6wykvW_lAyu7Yo9L4hUTqHqIeP_qcVuxCtosJEbg/edit?usp=sharing"",""ปราจีนบุรี!J330"")"),0)</f>
        <v>0</v>
      </c>
      <c r="T63" s="216">
        <f t="shared" ca="1" si="23"/>
        <v>0</v>
      </c>
    </row>
    <row r="64" spans="1:20" ht="21" customHeight="1" x14ac:dyDescent="0.3">
      <c r="A64" s="70">
        <v>12</v>
      </c>
      <c r="B64" s="71" t="s">
        <v>92</v>
      </c>
      <c r="C64" s="149">
        <f t="shared" ca="1" si="14"/>
        <v>0</v>
      </c>
      <c r="D64" s="150">
        <f t="shared" ca="1" si="30"/>
        <v>0</v>
      </c>
      <c r="E64" s="151">
        <f ca="1">IFERROR(__xludf.DUMMYFUNCTION("IMPORTRANGE(""https://docs.google.com/spreadsheets/d/1-uDff_7J0KD5mKrp0Vvzr7lt3OU09vwQwhkpOPPYv2Y/edit?usp=sharing"",""งบพรบ!EJ64"")"),0)</f>
        <v>0</v>
      </c>
      <c r="F64" s="151">
        <f ca="1">IFERROR(__xludf.DUMMYFUNCTION("IMPORTRANGE(""https://docs.google.com/spreadsheets/d/1-uDff_7J0KD5mKrp0Vvzr7lt3OU09vwQwhkpOPPYv2Y/edit?usp=sharing"",""งบพรบ!EK64"")"),0)</f>
        <v>0</v>
      </c>
      <c r="G64" s="151">
        <f ca="1">IFERROR(__xludf.DUMMYFUNCTION("IMPORTRANGE(""https://docs.google.com/spreadsheets/d/1-uDff_7J0KD5mKrp0Vvzr7lt3OU09vwQwhkpOPPYv2Y/edit?usp=sharing"",""งบพรบ!EL64"")"),0)</f>
        <v>0</v>
      </c>
      <c r="H64" s="151">
        <f ca="1">IFERROR(__xludf.DUMMYFUNCTION("IMPORTRANGE(""https://docs.google.com/spreadsheets/d/1-uDff_7J0KD5mKrp0Vvzr7lt3OU09vwQwhkpOPPYv2Y/edit?usp=sharing"",""งบพรบ!EN64"")"),0)</f>
        <v>0</v>
      </c>
      <c r="I64" s="151">
        <f ca="1">IFERROR(__xludf.DUMMYFUNCTION("IMPORTRANGE(""https://docs.google.com/spreadsheets/d/1-uDff_7J0KD5mKrp0Vvzr7lt3OU09vwQwhkpOPPYv2Y/edit?usp=sharing"",""งบพรบ!EO64"")"),0)</f>
        <v>0</v>
      </c>
      <c r="J64" s="151">
        <f t="shared" ca="1" si="16"/>
        <v>0</v>
      </c>
      <c r="K64" s="154">
        <f t="shared" ca="1" si="17"/>
        <v>0</v>
      </c>
      <c r="L64" s="151">
        <f ca="1">IFERROR(__xludf.DUMMYFUNCTION("IMPORTRANGE(""https://docs.google.com/spreadsheets/d/1-uDff_7J0KD5mKrp0Vvzr7lt3OU09vwQwhkpOPPYv2Y/edit?usp=sharing"",""งบพรบ!EP64"")"),0)</f>
        <v>0</v>
      </c>
      <c r="M64" s="68">
        <f t="shared" ca="1" si="18"/>
        <v>0</v>
      </c>
      <c r="N64" s="68">
        <f t="shared" ca="1" si="19"/>
        <v>0</v>
      </c>
      <c r="O64" s="67">
        <f ca="1">IFERROR(__xludf.DUMMYFUNCTION("IMPORTRANGE(""https://docs.google.com/spreadsheets/d/1-uDff_7J0KD5mKrp0Vvzr7lt3OU09vwQwhkpOPPYv2Y/edit?usp=sharing"",""งบพรบ!EQ64"")"),0)</f>
        <v>0</v>
      </c>
      <c r="P64" s="67">
        <f t="shared" ca="1" si="20"/>
        <v>0</v>
      </c>
      <c r="Q64" s="68">
        <f t="shared" ca="1" si="21"/>
        <v>0</v>
      </c>
      <c r="R64" s="278">
        <f ca="1">IFERROR(__xludf.DUMMYFUNCTION("IMPORTRANGE(""https://docs.google.com/spreadsheets/d/1BIDqLLg5jk3v59G8NlR8rk5xfQDKne0sAvZHSj7TI6I/edit?usp=sharing"",""พระนครศรีอยุธยา!I330"")"),0)</f>
        <v>0</v>
      </c>
      <c r="S64" s="152">
        <f ca="1">IFERROR(__xludf.DUMMYFUNCTION("IMPORTRANGE(""https://docs.google.com/spreadsheets/d/1BIDqLLg5jk3v59G8NlR8rk5xfQDKne0sAvZHSj7TI6I/edit?usp=sharing"",""พระนครศรีอยุธยา!J330"")"),0)</f>
        <v>0</v>
      </c>
      <c r="T64" s="216">
        <f t="shared" ca="1" si="23"/>
        <v>0</v>
      </c>
    </row>
    <row r="65" spans="1:20" ht="21" customHeight="1" x14ac:dyDescent="0.3">
      <c r="A65" s="70">
        <v>13</v>
      </c>
      <c r="B65" s="71" t="s">
        <v>93</v>
      </c>
      <c r="C65" s="149">
        <f t="shared" ca="1" si="14"/>
        <v>0</v>
      </c>
      <c r="D65" s="150">
        <f t="shared" ca="1" si="30"/>
        <v>0</v>
      </c>
      <c r="E65" s="151">
        <f ca="1">IFERROR(__xludf.DUMMYFUNCTION("IMPORTRANGE(""https://docs.google.com/spreadsheets/d/1-uDff_7J0KD5mKrp0Vvzr7lt3OU09vwQwhkpOPPYv2Y/edit?usp=sharing"",""งบพรบ!EJ65"")"),0)</f>
        <v>0</v>
      </c>
      <c r="F65" s="151">
        <f ca="1">IFERROR(__xludf.DUMMYFUNCTION("IMPORTRANGE(""https://docs.google.com/spreadsheets/d/1-uDff_7J0KD5mKrp0Vvzr7lt3OU09vwQwhkpOPPYv2Y/edit?usp=sharing"",""งบพรบ!EK65"")"),0)</f>
        <v>0</v>
      </c>
      <c r="G65" s="151">
        <f ca="1">IFERROR(__xludf.DUMMYFUNCTION("IMPORTRANGE(""https://docs.google.com/spreadsheets/d/1-uDff_7J0KD5mKrp0Vvzr7lt3OU09vwQwhkpOPPYv2Y/edit?usp=sharing"",""งบพรบ!EL65"")"),0)</f>
        <v>0</v>
      </c>
      <c r="H65" s="151">
        <f ca="1">IFERROR(__xludf.DUMMYFUNCTION("IMPORTRANGE(""https://docs.google.com/spreadsheets/d/1-uDff_7J0KD5mKrp0Vvzr7lt3OU09vwQwhkpOPPYv2Y/edit?usp=sharing"",""งบพรบ!EN65"")"),0)</f>
        <v>0</v>
      </c>
      <c r="I65" s="151">
        <f ca="1">IFERROR(__xludf.DUMMYFUNCTION("IMPORTRANGE(""https://docs.google.com/spreadsheets/d/1-uDff_7J0KD5mKrp0Vvzr7lt3OU09vwQwhkpOPPYv2Y/edit?usp=sharing"",""งบพรบ!EO65"")"),0)</f>
        <v>0</v>
      </c>
      <c r="J65" s="151">
        <f t="shared" ca="1" si="16"/>
        <v>0</v>
      </c>
      <c r="K65" s="154">
        <f t="shared" ca="1" si="17"/>
        <v>0</v>
      </c>
      <c r="L65" s="151">
        <f ca="1">IFERROR(__xludf.DUMMYFUNCTION("IMPORTRANGE(""https://docs.google.com/spreadsheets/d/1-uDff_7J0KD5mKrp0Vvzr7lt3OU09vwQwhkpOPPYv2Y/edit?usp=sharing"",""งบพรบ!EP65"")"),0)</f>
        <v>0</v>
      </c>
      <c r="M65" s="68">
        <f t="shared" ca="1" si="18"/>
        <v>0</v>
      </c>
      <c r="N65" s="68">
        <f t="shared" ca="1" si="19"/>
        <v>0</v>
      </c>
      <c r="O65" s="67">
        <f ca="1">IFERROR(__xludf.DUMMYFUNCTION("IMPORTRANGE(""https://docs.google.com/spreadsheets/d/1-uDff_7J0KD5mKrp0Vvzr7lt3OU09vwQwhkpOPPYv2Y/edit?usp=sharing"",""งบพรบ!EQ65"")"),0)</f>
        <v>0</v>
      </c>
      <c r="P65" s="67">
        <f t="shared" ca="1" si="20"/>
        <v>0</v>
      </c>
      <c r="Q65" s="68">
        <f t="shared" ca="1" si="21"/>
        <v>0</v>
      </c>
      <c r="R65" s="278">
        <f ca="1">IFERROR(__xludf.DUMMYFUNCTION("IMPORTRANGE(""https://docs.google.com/spreadsheets/d/1YXvxf8Yu6_rV4hTBrwMqAcAnv6DfhUxh5emyM3CJp_w/edit?usp=sharing"",""เพชรบุรี!I330"")"),0)</f>
        <v>0</v>
      </c>
      <c r="S65" s="152">
        <f ca="1">IFERROR(__xludf.DUMMYFUNCTION("IMPORTRANGE(""https://docs.google.com/spreadsheets/d/1YXvxf8Yu6_rV4hTBrwMqAcAnv6DfhUxh5emyM3CJp_w/edit?usp=sharing"",""เพชรบุรี!J330"")"),0)</f>
        <v>0</v>
      </c>
      <c r="T65" s="216">
        <f t="shared" ca="1" si="23"/>
        <v>0</v>
      </c>
    </row>
    <row r="66" spans="1:20" ht="21" customHeight="1" x14ac:dyDescent="0.3">
      <c r="A66" s="70">
        <v>14</v>
      </c>
      <c r="B66" s="71" t="s">
        <v>94</v>
      </c>
      <c r="C66" s="149">
        <f t="shared" ca="1" si="14"/>
        <v>0</v>
      </c>
      <c r="D66" s="150">
        <f t="shared" ca="1" si="30"/>
        <v>0</v>
      </c>
      <c r="E66" s="151">
        <f ca="1">IFERROR(__xludf.DUMMYFUNCTION("IMPORTRANGE(""https://docs.google.com/spreadsheets/d/1-uDff_7J0KD5mKrp0Vvzr7lt3OU09vwQwhkpOPPYv2Y/edit?usp=sharing"",""งบพรบ!EJ66"")"),0)</f>
        <v>0</v>
      </c>
      <c r="F66" s="151">
        <f ca="1">IFERROR(__xludf.DUMMYFUNCTION("IMPORTRANGE(""https://docs.google.com/spreadsheets/d/1-uDff_7J0KD5mKrp0Vvzr7lt3OU09vwQwhkpOPPYv2Y/edit?usp=sharing"",""งบพรบ!EK66"")"),0)</f>
        <v>0</v>
      </c>
      <c r="G66" s="151">
        <f ca="1">IFERROR(__xludf.DUMMYFUNCTION("IMPORTRANGE(""https://docs.google.com/spreadsheets/d/1-uDff_7J0KD5mKrp0Vvzr7lt3OU09vwQwhkpOPPYv2Y/edit?usp=sharing"",""งบพรบ!EL66"")"),0)</f>
        <v>0</v>
      </c>
      <c r="H66" s="151">
        <f ca="1">IFERROR(__xludf.DUMMYFUNCTION("IMPORTRANGE(""https://docs.google.com/spreadsheets/d/1-uDff_7J0KD5mKrp0Vvzr7lt3OU09vwQwhkpOPPYv2Y/edit?usp=sharing"",""งบพรบ!EN66"")"),0)</f>
        <v>0</v>
      </c>
      <c r="I66" s="151">
        <f ca="1">IFERROR(__xludf.DUMMYFUNCTION("IMPORTRANGE(""https://docs.google.com/spreadsheets/d/1-uDff_7J0KD5mKrp0Vvzr7lt3OU09vwQwhkpOPPYv2Y/edit?usp=sharing"",""งบพรบ!EO66"")"),0)</f>
        <v>0</v>
      </c>
      <c r="J66" s="151">
        <f t="shared" ca="1" si="16"/>
        <v>0</v>
      </c>
      <c r="K66" s="154">
        <f t="shared" ca="1" si="17"/>
        <v>0</v>
      </c>
      <c r="L66" s="151">
        <f ca="1">IFERROR(__xludf.DUMMYFUNCTION("IMPORTRANGE(""https://docs.google.com/spreadsheets/d/1-uDff_7J0KD5mKrp0Vvzr7lt3OU09vwQwhkpOPPYv2Y/edit?usp=sharing"",""งบพรบ!EP66"")"),0)</f>
        <v>0</v>
      </c>
      <c r="M66" s="68">
        <f t="shared" ca="1" si="18"/>
        <v>0</v>
      </c>
      <c r="N66" s="68">
        <f t="shared" ca="1" si="19"/>
        <v>0</v>
      </c>
      <c r="O66" s="67">
        <f ca="1">IFERROR(__xludf.DUMMYFUNCTION("IMPORTRANGE(""https://docs.google.com/spreadsheets/d/1-uDff_7J0KD5mKrp0Vvzr7lt3OU09vwQwhkpOPPYv2Y/edit?usp=sharing"",""งบพรบ!EQ66"")"),0)</f>
        <v>0</v>
      </c>
      <c r="P66" s="67">
        <f t="shared" ca="1" si="20"/>
        <v>0</v>
      </c>
      <c r="Q66" s="68">
        <f t="shared" ca="1" si="21"/>
        <v>0</v>
      </c>
      <c r="R66" s="278">
        <f ca="1">IFERROR(__xludf.DUMMYFUNCTION("IMPORTRANGE(""https://docs.google.com/spreadsheets/d/19KBlQQs7uwvsao6t2n-KvW3Ax8J8uRRfZPq1zPbXgKc/edit?usp=sharing"",""ระยอง!I330"")"),0)</f>
        <v>0</v>
      </c>
      <c r="S66" s="152">
        <f ca="1">IFERROR(__xludf.DUMMYFUNCTION("IMPORTRANGE(""https://docs.google.com/spreadsheets/d/19KBlQQs7uwvsao6t2n-KvW3Ax8J8uRRfZPq1zPbXgKc/edit?usp=sharing"",""ระยอง!J330"")"),0)</f>
        <v>0</v>
      </c>
      <c r="T66" s="216">
        <f t="shared" ca="1" si="23"/>
        <v>0</v>
      </c>
    </row>
    <row r="67" spans="1:20" ht="21" customHeight="1" x14ac:dyDescent="0.3">
      <c r="A67" s="70">
        <v>15</v>
      </c>
      <c r="B67" s="71" t="s">
        <v>95</v>
      </c>
      <c r="C67" s="149">
        <f t="shared" ca="1" si="14"/>
        <v>0</v>
      </c>
      <c r="D67" s="150">
        <f t="shared" ca="1" si="30"/>
        <v>0</v>
      </c>
      <c r="E67" s="151">
        <f ca="1">IFERROR(__xludf.DUMMYFUNCTION("IMPORTRANGE(""https://docs.google.com/spreadsheets/d/1-uDff_7J0KD5mKrp0Vvzr7lt3OU09vwQwhkpOPPYv2Y/edit?usp=sharing"",""งบพรบ!EJ67"")"),0)</f>
        <v>0</v>
      </c>
      <c r="F67" s="151">
        <f ca="1">IFERROR(__xludf.DUMMYFUNCTION("IMPORTRANGE(""https://docs.google.com/spreadsheets/d/1-uDff_7J0KD5mKrp0Vvzr7lt3OU09vwQwhkpOPPYv2Y/edit?usp=sharing"",""งบพรบ!EK67"")"),0)</f>
        <v>0</v>
      </c>
      <c r="G67" s="151">
        <f ca="1">IFERROR(__xludf.DUMMYFUNCTION("IMPORTRANGE(""https://docs.google.com/spreadsheets/d/1-uDff_7J0KD5mKrp0Vvzr7lt3OU09vwQwhkpOPPYv2Y/edit?usp=sharing"",""งบพรบ!EL67"")"),0)</f>
        <v>0</v>
      </c>
      <c r="H67" s="151">
        <f ca="1">IFERROR(__xludf.DUMMYFUNCTION("IMPORTRANGE(""https://docs.google.com/spreadsheets/d/1-uDff_7J0KD5mKrp0Vvzr7lt3OU09vwQwhkpOPPYv2Y/edit?usp=sharing"",""งบพรบ!EN67"")"),0)</f>
        <v>0</v>
      </c>
      <c r="I67" s="151">
        <f ca="1">IFERROR(__xludf.DUMMYFUNCTION("IMPORTRANGE(""https://docs.google.com/spreadsheets/d/1-uDff_7J0KD5mKrp0Vvzr7lt3OU09vwQwhkpOPPYv2Y/edit?usp=sharing"",""งบพรบ!EO67"")"),0)</f>
        <v>0</v>
      </c>
      <c r="J67" s="151">
        <f t="shared" ca="1" si="16"/>
        <v>0</v>
      </c>
      <c r="K67" s="154">
        <f t="shared" ca="1" si="17"/>
        <v>0</v>
      </c>
      <c r="L67" s="151">
        <f ca="1">IFERROR(__xludf.DUMMYFUNCTION("IMPORTRANGE(""https://docs.google.com/spreadsheets/d/1-uDff_7J0KD5mKrp0Vvzr7lt3OU09vwQwhkpOPPYv2Y/edit?usp=sharing"",""งบพรบ!EP67"")"),0)</f>
        <v>0</v>
      </c>
      <c r="M67" s="68">
        <f t="shared" ca="1" si="18"/>
        <v>0</v>
      </c>
      <c r="N67" s="68">
        <f t="shared" ca="1" si="19"/>
        <v>0</v>
      </c>
      <c r="O67" s="67">
        <f ca="1">IFERROR(__xludf.DUMMYFUNCTION("IMPORTRANGE(""https://docs.google.com/spreadsheets/d/1-uDff_7J0KD5mKrp0Vvzr7lt3OU09vwQwhkpOPPYv2Y/edit?usp=sharing"",""งบพรบ!EQ67"")"),0)</f>
        <v>0</v>
      </c>
      <c r="P67" s="67">
        <f t="shared" ca="1" si="20"/>
        <v>0</v>
      </c>
      <c r="Q67" s="68">
        <f t="shared" ca="1" si="21"/>
        <v>0</v>
      </c>
      <c r="R67" s="279">
        <f ca="1">IFERROR(__xludf.DUMMYFUNCTION("IMPORTRANGE(""https://docs.google.com/spreadsheets/d/1jQ6P4QcrGM89YfqcC_PxOHGCMq5ezhucwJd8ci-NHng/edit?usp=sharing"",""ราชบุรี!I330"")"),0)</f>
        <v>0</v>
      </c>
      <c r="S67" s="152">
        <f ca="1">IFERROR(__xludf.DUMMYFUNCTION("IMPORTRANGE(""https://docs.google.com/spreadsheets/d/1jQ6P4QcrGM89YfqcC_PxOHGCMq5ezhucwJd8ci-NHng/edit?usp=sharing"",""ราชบุรี!J330"")"),0)</f>
        <v>0</v>
      </c>
      <c r="T67" s="216">
        <f t="shared" ca="1" si="23"/>
        <v>0</v>
      </c>
    </row>
    <row r="68" spans="1:20" ht="24" customHeight="1" x14ac:dyDescent="0.3">
      <c r="A68" s="70">
        <v>16</v>
      </c>
      <c r="B68" s="71" t="s">
        <v>96</v>
      </c>
      <c r="C68" s="149">
        <f t="shared" ca="1" si="14"/>
        <v>0</v>
      </c>
      <c r="D68" s="150">
        <f t="shared" ca="1" si="30"/>
        <v>0</v>
      </c>
      <c r="E68" s="151">
        <f ca="1">IFERROR(__xludf.DUMMYFUNCTION("IMPORTRANGE(""https://docs.google.com/spreadsheets/d/1-uDff_7J0KD5mKrp0Vvzr7lt3OU09vwQwhkpOPPYv2Y/edit?usp=sharing"",""งบพรบ!EJ68"")"),0)</f>
        <v>0</v>
      </c>
      <c r="F68" s="151">
        <f ca="1">IFERROR(__xludf.DUMMYFUNCTION("IMPORTRANGE(""https://docs.google.com/spreadsheets/d/1-uDff_7J0KD5mKrp0Vvzr7lt3OU09vwQwhkpOPPYv2Y/edit?usp=sharing"",""งบพรบ!EK68"")"),0)</f>
        <v>0</v>
      </c>
      <c r="G68" s="151">
        <f ca="1">IFERROR(__xludf.DUMMYFUNCTION("IMPORTRANGE(""https://docs.google.com/spreadsheets/d/1-uDff_7J0KD5mKrp0Vvzr7lt3OU09vwQwhkpOPPYv2Y/edit?usp=sharing"",""งบพรบ!EL68"")"),0)</f>
        <v>0</v>
      </c>
      <c r="H68" s="151">
        <f ca="1">IFERROR(__xludf.DUMMYFUNCTION("IMPORTRANGE(""https://docs.google.com/spreadsheets/d/1-uDff_7J0KD5mKrp0Vvzr7lt3OU09vwQwhkpOPPYv2Y/edit?usp=sharing"",""งบพรบ!EN68"")"),0)</f>
        <v>0</v>
      </c>
      <c r="I68" s="151">
        <f ca="1">IFERROR(__xludf.DUMMYFUNCTION("IMPORTRANGE(""https://docs.google.com/spreadsheets/d/1-uDff_7J0KD5mKrp0Vvzr7lt3OU09vwQwhkpOPPYv2Y/edit?usp=sharing"",""งบพรบ!EO68"")"),0)</f>
        <v>0</v>
      </c>
      <c r="J68" s="151">
        <f t="shared" ca="1" si="16"/>
        <v>0</v>
      </c>
      <c r="K68" s="154">
        <f t="shared" ca="1" si="17"/>
        <v>0</v>
      </c>
      <c r="L68" s="151">
        <f ca="1">IFERROR(__xludf.DUMMYFUNCTION("IMPORTRANGE(""https://docs.google.com/spreadsheets/d/1-uDff_7J0KD5mKrp0Vvzr7lt3OU09vwQwhkpOPPYv2Y/edit?usp=sharing"",""งบพรบ!EP68"")"),0)</f>
        <v>0</v>
      </c>
      <c r="M68" s="68">
        <f t="shared" ca="1" si="18"/>
        <v>0</v>
      </c>
      <c r="N68" s="68">
        <f t="shared" ca="1" si="19"/>
        <v>0</v>
      </c>
      <c r="O68" s="67">
        <f ca="1">IFERROR(__xludf.DUMMYFUNCTION("IMPORTRANGE(""https://docs.google.com/spreadsheets/d/1-uDff_7J0KD5mKrp0Vvzr7lt3OU09vwQwhkpOPPYv2Y/edit?usp=sharing"",""งบพรบ!EQ68"")"),0)</f>
        <v>0</v>
      </c>
      <c r="P68" s="67">
        <f t="shared" ca="1" si="20"/>
        <v>0</v>
      </c>
      <c r="Q68" s="68">
        <f t="shared" ca="1" si="21"/>
        <v>0</v>
      </c>
      <c r="R68" s="278">
        <f ca="1">IFERROR(__xludf.DUMMYFUNCTION("IMPORTRANGE(""https://docs.google.com/spreadsheets/d/1lufeA2cfFqM-elVq2hznhDzC6Pr7wkJ9ZG_sYNGCMCU/edit?usp=sharing"",""ลพบุรี!I330"")"),0)</f>
        <v>0</v>
      </c>
      <c r="S68" s="152">
        <f ca="1">IFERROR(__xludf.DUMMYFUNCTION("IMPORTRANGE(""https://docs.google.com/spreadsheets/d/1lufeA2cfFqM-elVq2hznhDzC6Pr7wkJ9ZG_sYNGCMCU/edit?usp=sharing"",""ลพบุรี!J330"")"),0)</f>
        <v>0</v>
      </c>
      <c r="T68" s="216">
        <f t="shared" ca="1" si="23"/>
        <v>0</v>
      </c>
    </row>
    <row r="69" spans="1:20" ht="21" customHeight="1" x14ac:dyDescent="0.3">
      <c r="A69" s="70">
        <v>17</v>
      </c>
      <c r="B69" s="71" t="s">
        <v>97</v>
      </c>
      <c r="C69" s="149">
        <f t="shared" ca="1" si="14"/>
        <v>185000</v>
      </c>
      <c r="D69" s="150">
        <f t="shared" ca="1" si="30"/>
        <v>185000</v>
      </c>
      <c r="E69" s="151">
        <f ca="1">IFERROR(__xludf.DUMMYFUNCTION("IMPORTRANGE(""https://docs.google.com/spreadsheets/d/1-uDff_7J0KD5mKrp0Vvzr7lt3OU09vwQwhkpOPPYv2Y/edit?usp=sharing"",""งบพรบ!EJ69"")"),0)</f>
        <v>0</v>
      </c>
      <c r="F69" s="151">
        <f ca="1">IFERROR(__xludf.DUMMYFUNCTION("IMPORTRANGE(""https://docs.google.com/spreadsheets/d/1-uDff_7J0KD5mKrp0Vvzr7lt3OU09vwQwhkpOPPYv2Y/edit?usp=sharing"",""งบพรบ!EK69"")"),185000)</f>
        <v>185000</v>
      </c>
      <c r="G69" s="151">
        <f ca="1">IFERROR(__xludf.DUMMYFUNCTION("IMPORTRANGE(""https://docs.google.com/spreadsheets/d/1-uDff_7J0KD5mKrp0Vvzr7lt3OU09vwQwhkpOPPYv2Y/edit?usp=sharing"",""งบพรบ!EL69"")"),0)</f>
        <v>0</v>
      </c>
      <c r="H69" s="151">
        <f ca="1">IFERROR(__xludf.DUMMYFUNCTION("IMPORTRANGE(""https://docs.google.com/spreadsheets/d/1-uDff_7J0KD5mKrp0Vvzr7lt3OU09vwQwhkpOPPYv2Y/edit?usp=sharing"",""งบพรบ!EN69"")"),185000)</f>
        <v>185000</v>
      </c>
      <c r="I69" s="151">
        <f ca="1">IFERROR(__xludf.DUMMYFUNCTION("IMPORTRANGE(""https://docs.google.com/spreadsheets/d/1-uDff_7J0KD5mKrp0Vvzr7lt3OU09vwQwhkpOPPYv2Y/edit?usp=sharing"",""งบพรบ!EO69"")"),0)</f>
        <v>0</v>
      </c>
      <c r="J69" s="151">
        <f t="shared" ca="1" si="16"/>
        <v>57672.26</v>
      </c>
      <c r="K69" s="154">
        <f t="shared" ca="1" si="17"/>
        <v>31.174194594594596</v>
      </c>
      <c r="L69" s="151">
        <f ca="1">IFERROR(__xludf.DUMMYFUNCTION("IMPORTRANGE(""https://docs.google.com/spreadsheets/d/1-uDff_7J0KD5mKrp0Vvzr7lt3OU09vwQwhkpOPPYv2Y/edit?usp=sharing"",""งบพรบ!EP69"")"),57672.26)</f>
        <v>57672.26</v>
      </c>
      <c r="M69" s="68">
        <f t="shared" ca="1" si="18"/>
        <v>31.174194594594596</v>
      </c>
      <c r="N69" s="68">
        <f t="shared" ca="1" si="19"/>
        <v>31.174194594594596</v>
      </c>
      <c r="O69" s="67">
        <f ca="1">IFERROR(__xludf.DUMMYFUNCTION("IMPORTRANGE(""https://docs.google.com/spreadsheets/d/1-uDff_7J0KD5mKrp0Vvzr7lt3OU09vwQwhkpOPPYv2Y/edit?usp=sharing"",""งบพรบ!EQ69"")"),0)</f>
        <v>0</v>
      </c>
      <c r="P69" s="67">
        <f t="shared" ca="1" si="20"/>
        <v>0</v>
      </c>
      <c r="Q69" s="68">
        <f t="shared" ca="1" si="21"/>
        <v>0</v>
      </c>
      <c r="R69" s="278">
        <f ca="1">IFERROR(__xludf.DUMMYFUNCTION("IMPORTRANGE(""https://docs.google.com/spreadsheets/d/10oOiF7loTyfsTkbd4MpaIm0HQ9SwB7IYHdIUvt-U1Uc/edit?usp=sharing"",""สระแก้ว!I330"")"),2)</f>
        <v>2</v>
      </c>
      <c r="S69" s="152">
        <f ca="1">IFERROR(__xludf.DUMMYFUNCTION("IMPORTRANGE(""https://docs.google.com/spreadsheets/d/10oOiF7loTyfsTkbd4MpaIm0HQ9SwB7IYHdIUvt-U1Uc/edit?usp=sharing"",""สระแก้ว!J330"")"),2)</f>
        <v>2</v>
      </c>
      <c r="T69" s="216">
        <f t="shared" ca="1" si="23"/>
        <v>100</v>
      </c>
    </row>
    <row r="70" spans="1:20" ht="21" customHeight="1" x14ac:dyDescent="0.3">
      <c r="A70" s="70">
        <v>18</v>
      </c>
      <c r="B70" s="71" t="s">
        <v>98</v>
      </c>
      <c r="C70" s="149">
        <f t="shared" ca="1" si="14"/>
        <v>0</v>
      </c>
      <c r="D70" s="150">
        <f t="shared" ca="1" si="30"/>
        <v>0</v>
      </c>
      <c r="E70" s="151">
        <f ca="1">IFERROR(__xludf.DUMMYFUNCTION("IMPORTRANGE(""https://docs.google.com/spreadsheets/d/1-uDff_7J0KD5mKrp0Vvzr7lt3OU09vwQwhkpOPPYv2Y/edit?usp=sharing"",""งบพรบ!EJ70"")"),0)</f>
        <v>0</v>
      </c>
      <c r="F70" s="151">
        <f ca="1">IFERROR(__xludf.DUMMYFUNCTION("IMPORTRANGE(""https://docs.google.com/spreadsheets/d/1-uDff_7J0KD5mKrp0Vvzr7lt3OU09vwQwhkpOPPYv2Y/edit?usp=sharing"",""งบพรบ!EK70"")"),0)</f>
        <v>0</v>
      </c>
      <c r="G70" s="151">
        <f ca="1">IFERROR(__xludf.DUMMYFUNCTION("IMPORTRANGE(""https://docs.google.com/spreadsheets/d/1-uDff_7J0KD5mKrp0Vvzr7lt3OU09vwQwhkpOPPYv2Y/edit?usp=sharing"",""งบพรบ!EL70"")"),0)</f>
        <v>0</v>
      </c>
      <c r="H70" s="151">
        <f ca="1">IFERROR(__xludf.DUMMYFUNCTION("IMPORTRANGE(""https://docs.google.com/spreadsheets/d/1-uDff_7J0KD5mKrp0Vvzr7lt3OU09vwQwhkpOPPYv2Y/edit?usp=sharing"",""งบพรบ!EN70"")"),0)</f>
        <v>0</v>
      </c>
      <c r="I70" s="151">
        <f ca="1">IFERROR(__xludf.DUMMYFUNCTION("IMPORTRANGE(""https://docs.google.com/spreadsheets/d/1-uDff_7J0KD5mKrp0Vvzr7lt3OU09vwQwhkpOPPYv2Y/edit?usp=sharing"",""งบพรบ!EO70"")"),0)</f>
        <v>0</v>
      </c>
      <c r="J70" s="151">
        <f t="shared" ca="1" si="16"/>
        <v>0</v>
      </c>
      <c r="K70" s="154">
        <f t="shared" ca="1" si="17"/>
        <v>0</v>
      </c>
      <c r="L70" s="151">
        <f ca="1">IFERROR(__xludf.DUMMYFUNCTION("IMPORTRANGE(""https://docs.google.com/spreadsheets/d/1-uDff_7J0KD5mKrp0Vvzr7lt3OU09vwQwhkpOPPYv2Y/edit?usp=sharing"",""งบพรบ!EP70"")"),0)</f>
        <v>0</v>
      </c>
      <c r="M70" s="68">
        <f t="shared" ca="1" si="18"/>
        <v>0</v>
      </c>
      <c r="N70" s="68">
        <f t="shared" ca="1" si="19"/>
        <v>0</v>
      </c>
      <c r="O70" s="67">
        <f ca="1">IFERROR(__xludf.DUMMYFUNCTION("IMPORTRANGE(""https://docs.google.com/spreadsheets/d/1-uDff_7J0KD5mKrp0Vvzr7lt3OU09vwQwhkpOPPYv2Y/edit?usp=sharing"",""งบพรบ!EQ70"")"),0)</f>
        <v>0</v>
      </c>
      <c r="P70" s="67">
        <f t="shared" ca="1" si="20"/>
        <v>0</v>
      </c>
      <c r="Q70" s="68">
        <f t="shared" ca="1" si="21"/>
        <v>0</v>
      </c>
      <c r="R70" s="278">
        <f ca="1">IFERROR(__xludf.DUMMYFUNCTION("IMPORTRANGE(""https://docs.google.com/spreadsheets/d/1xmPlrr1QbdSIKvl1dWUl9K4PjAfSL9oeMr_37QVzcxc/edit?usp=sharing"",""สระบุรี!I330"")"),0)</f>
        <v>0</v>
      </c>
      <c r="S70" s="152">
        <f ca="1">IFERROR(__xludf.DUMMYFUNCTION("IMPORTRANGE(""https://docs.google.com/spreadsheets/d/1xmPlrr1QbdSIKvl1dWUl9K4PjAfSL9oeMr_37QVzcxc/edit?usp=sharing"",""สระบุรี!J330"")"),0)</f>
        <v>0</v>
      </c>
      <c r="T70" s="216">
        <f t="shared" ca="1" si="23"/>
        <v>0</v>
      </c>
    </row>
    <row r="71" spans="1:20" ht="21" customHeight="1" x14ac:dyDescent="0.3">
      <c r="A71" s="70">
        <v>19</v>
      </c>
      <c r="B71" s="71" t="s">
        <v>99</v>
      </c>
      <c r="C71" s="149">
        <f t="shared" ca="1" si="14"/>
        <v>0</v>
      </c>
      <c r="D71" s="150">
        <f t="shared" ca="1" si="30"/>
        <v>0</v>
      </c>
      <c r="E71" s="151">
        <f ca="1">IFERROR(__xludf.DUMMYFUNCTION("IMPORTRANGE(""https://docs.google.com/spreadsheets/d/1-uDff_7J0KD5mKrp0Vvzr7lt3OU09vwQwhkpOPPYv2Y/edit?usp=sharing"",""งบพรบ!EJ71"")"),0)</f>
        <v>0</v>
      </c>
      <c r="F71" s="151">
        <f ca="1">IFERROR(__xludf.DUMMYFUNCTION("IMPORTRANGE(""https://docs.google.com/spreadsheets/d/1-uDff_7J0KD5mKrp0Vvzr7lt3OU09vwQwhkpOPPYv2Y/edit?usp=sharing"",""งบพรบ!EK71"")"),0)</f>
        <v>0</v>
      </c>
      <c r="G71" s="151">
        <f ca="1">IFERROR(__xludf.DUMMYFUNCTION("IMPORTRANGE(""https://docs.google.com/spreadsheets/d/1-uDff_7J0KD5mKrp0Vvzr7lt3OU09vwQwhkpOPPYv2Y/edit?usp=sharing"",""งบพรบ!EL71"")"),0)</f>
        <v>0</v>
      </c>
      <c r="H71" s="151">
        <f ca="1">IFERROR(__xludf.DUMMYFUNCTION("IMPORTRANGE(""https://docs.google.com/spreadsheets/d/1-uDff_7J0KD5mKrp0Vvzr7lt3OU09vwQwhkpOPPYv2Y/edit?usp=sharing"",""งบพรบ!EN71"")"),0)</f>
        <v>0</v>
      </c>
      <c r="I71" s="151">
        <f ca="1">IFERROR(__xludf.DUMMYFUNCTION("IMPORTRANGE(""https://docs.google.com/spreadsheets/d/1-uDff_7J0KD5mKrp0Vvzr7lt3OU09vwQwhkpOPPYv2Y/edit?usp=sharing"",""งบพรบ!EO71"")"),0)</f>
        <v>0</v>
      </c>
      <c r="J71" s="151">
        <f t="shared" ca="1" si="16"/>
        <v>0</v>
      </c>
      <c r="K71" s="154">
        <f t="shared" ca="1" si="17"/>
        <v>0</v>
      </c>
      <c r="L71" s="151">
        <f ca="1">IFERROR(__xludf.DUMMYFUNCTION("IMPORTRANGE(""https://docs.google.com/spreadsheets/d/1-uDff_7J0KD5mKrp0Vvzr7lt3OU09vwQwhkpOPPYv2Y/edit?usp=sharing"",""งบพรบ!EP71"")"),0)</f>
        <v>0</v>
      </c>
      <c r="M71" s="68">
        <f t="shared" ca="1" si="18"/>
        <v>0</v>
      </c>
      <c r="N71" s="68">
        <f t="shared" ca="1" si="19"/>
        <v>0</v>
      </c>
      <c r="O71" s="67">
        <f ca="1">IFERROR(__xludf.DUMMYFUNCTION("IMPORTRANGE(""https://docs.google.com/spreadsheets/d/1-uDff_7J0KD5mKrp0Vvzr7lt3OU09vwQwhkpOPPYv2Y/edit?usp=sharing"",""งบพรบ!EQ71"")"),0)</f>
        <v>0</v>
      </c>
      <c r="P71" s="67">
        <f t="shared" ca="1" si="20"/>
        <v>0</v>
      </c>
      <c r="Q71" s="68">
        <f t="shared" ca="1" si="21"/>
        <v>0</v>
      </c>
      <c r="R71" s="278">
        <f ca="1">IFERROR(__xludf.DUMMYFUNCTION("IMPORTRANGE(""https://docs.google.com/spreadsheets/d/1j51vR6CYVGhABJpv6tkstgok82RLpXieLzW1yOY5rHw/edit?usp=sharing"",""สิงห์บุรี!I330"")"),0)</f>
        <v>0</v>
      </c>
      <c r="S71" s="152">
        <f ca="1">IFERROR(__xludf.DUMMYFUNCTION("IMPORTRANGE(""https://docs.google.com/spreadsheets/d/1j51vR6CYVGhABJpv6tkstgok82RLpXieLzW1yOY5rHw/edit?usp=sharing"",""สิงห์บุรี!J330"")"),0)</f>
        <v>0</v>
      </c>
      <c r="T71" s="216">
        <f t="shared" ca="1" si="23"/>
        <v>0</v>
      </c>
    </row>
    <row r="72" spans="1:20" ht="21" customHeight="1" x14ac:dyDescent="0.3">
      <c r="A72" s="70">
        <v>20</v>
      </c>
      <c r="B72" s="71" t="s">
        <v>100</v>
      </c>
      <c r="C72" s="149">
        <f t="shared" ca="1" si="14"/>
        <v>0</v>
      </c>
      <c r="D72" s="150">
        <f t="shared" ca="1" si="30"/>
        <v>0</v>
      </c>
      <c r="E72" s="151">
        <f ca="1">IFERROR(__xludf.DUMMYFUNCTION("IMPORTRANGE(""https://docs.google.com/spreadsheets/d/1-uDff_7J0KD5mKrp0Vvzr7lt3OU09vwQwhkpOPPYv2Y/edit?usp=sharing"",""งบพรบ!EJ72"")"),0)</f>
        <v>0</v>
      </c>
      <c r="F72" s="151">
        <f ca="1">IFERROR(__xludf.DUMMYFUNCTION("IMPORTRANGE(""https://docs.google.com/spreadsheets/d/1-uDff_7J0KD5mKrp0Vvzr7lt3OU09vwQwhkpOPPYv2Y/edit?usp=sharing"",""งบพรบ!EK72"")"),0)</f>
        <v>0</v>
      </c>
      <c r="G72" s="151">
        <f ca="1">IFERROR(__xludf.DUMMYFUNCTION("IMPORTRANGE(""https://docs.google.com/spreadsheets/d/1-uDff_7J0KD5mKrp0Vvzr7lt3OU09vwQwhkpOPPYv2Y/edit?usp=sharing"",""งบพรบ!EL72"")"),0)</f>
        <v>0</v>
      </c>
      <c r="H72" s="151">
        <f ca="1">IFERROR(__xludf.DUMMYFUNCTION("IMPORTRANGE(""https://docs.google.com/spreadsheets/d/1-uDff_7J0KD5mKrp0Vvzr7lt3OU09vwQwhkpOPPYv2Y/edit?usp=sharing"",""งบพรบ!EN72"")"),0)</f>
        <v>0</v>
      </c>
      <c r="I72" s="151">
        <f ca="1">IFERROR(__xludf.DUMMYFUNCTION("IMPORTRANGE(""https://docs.google.com/spreadsheets/d/1-uDff_7J0KD5mKrp0Vvzr7lt3OU09vwQwhkpOPPYv2Y/edit?usp=sharing"",""งบพรบ!EO72"")"),0)</f>
        <v>0</v>
      </c>
      <c r="J72" s="151">
        <f t="shared" ca="1" si="16"/>
        <v>0</v>
      </c>
      <c r="K72" s="154">
        <f t="shared" ca="1" si="17"/>
        <v>0</v>
      </c>
      <c r="L72" s="151">
        <f ca="1">IFERROR(__xludf.DUMMYFUNCTION("IMPORTRANGE(""https://docs.google.com/spreadsheets/d/1-uDff_7J0KD5mKrp0Vvzr7lt3OU09vwQwhkpOPPYv2Y/edit?usp=sharing"",""งบพรบ!EP72"")"),0)</f>
        <v>0</v>
      </c>
      <c r="M72" s="68">
        <f t="shared" ca="1" si="18"/>
        <v>0</v>
      </c>
      <c r="N72" s="68">
        <f t="shared" ca="1" si="19"/>
        <v>0</v>
      </c>
      <c r="O72" s="67">
        <f ca="1">IFERROR(__xludf.DUMMYFUNCTION("IMPORTRANGE(""https://docs.google.com/spreadsheets/d/1-uDff_7J0KD5mKrp0Vvzr7lt3OU09vwQwhkpOPPYv2Y/edit?usp=sharing"",""งบพรบ!EQ72"")"),0)</f>
        <v>0</v>
      </c>
      <c r="P72" s="67">
        <f t="shared" ca="1" si="20"/>
        <v>0</v>
      </c>
      <c r="Q72" s="68">
        <f t="shared" ca="1" si="21"/>
        <v>0</v>
      </c>
      <c r="R72" s="278">
        <f ca="1">IFERROR(__xludf.DUMMYFUNCTION("IMPORTRANGE(""https://docs.google.com/spreadsheets/d/1H1EalTWKUSzO4Z1-1CwzoDUaVffgrThEBe2sl74kKG0/edit?usp=sharing"",""สุพรรณบุรี!I330"")"),0)</f>
        <v>0</v>
      </c>
      <c r="S72" s="152">
        <f ca="1">IFERROR(__xludf.DUMMYFUNCTION("IMPORTRANGE(""https://docs.google.com/spreadsheets/d/1H1EalTWKUSzO4Z1-1CwzoDUaVffgrThEBe2sl74kKG0/edit?usp=sharing"",""สุพรรณบุรี!J330"")"),0)</f>
        <v>0</v>
      </c>
      <c r="T72" s="216">
        <f t="shared" ca="1" si="23"/>
        <v>0</v>
      </c>
    </row>
    <row r="73" spans="1:20" ht="21" customHeight="1" x14ac:dyDescent="0.3">
      <c r="A73" s="80">
        <v>21</v>
      </c>
      <c r="B73" s="81" t="s">
        <v>101</v>
      </c>
      <c r="C73" s="157">
        <f t="shared" ca="1" si="14"/>
        <v>0</v>
      </c>
      <c r="D73" s="158">
        <f t="shared" ca="1" si="30"/>
        <v>0</v>
      </c>
      <c r="E73" s="159">
        <f ca="1">IFERROR(__xludf.DUMMYFUNCTION("IMPORTRANGE(""https://docs.google.com/spreadsheets/d/1-uDff_7J0KD5mKrp0Vvzr7lt3OU09vwQwhkpOPPYv2Y/edit?usp=sharing"",""งบพรบ!EJ73"")"),0)</f>
        <v>0</v>
      </c>
      <c r="F73" s="159">
        <f ca="1">IFERROR(__xludf.DUMMYFUNCTION("IMPORTRANGE(""https://docs.google.com/spreadsheets/d/1-uDff_7J0KD5mKrp0Vvzr7lt3OU09vwQwhkpOPPYv2Y/edit?usp=sharing"",""งบพรบ!EK73"")"),0)</f>
        <v>0</v>
      </c>
      <c r="G73" s="159">
        <f ca="1">IFERROR(__xludf.DUMMYFUNCTION("IMPORTRANGE(""https://docs.google.com/spreadsheets/d/1-uDff_7J0KD5mKrp0Vvzr7lt3OU09vwQwhkpOPPYv2Y/edit?usp=sharing"",""งบพรบ!EL73"")"),0)</f>
        <v>0</v>
      </c>
      <c r="H73" s="159">
        <f ca="1">IFERROR(__xludf.DUMMYFUNCTION("IMPORTRANGE(""https://docs.google.com/spreadsheets/d/1-uDff_7J0KD5mKrp0Vvzr7lt3OU09vwQwhkpOPPYv2Y/edit?usp=sharing"",""งบพรบ!EN73"")"),0)</f>
        <v>0</v>
      </c>
      <c r="I73" s="159">
        <f ca="1">IFERROR(__xludf.DUMMYFUNCTION("IMPORTRANGE(""https://docs.google.com/spreadsheets/d/1-uDff_7J0KD5mKrp0Vvzr7lt3OU09vwQwhkpOPPYv2Y/edit?usp=sharing"",""งบพรบ!EO73"")"),0)</f>
        <v>0</v>
      </c>
      <c r="J73" s="159">
        <f t="shared" ca="1" si="16"/>
        <v>0</v>
      </c>
      <c r="K73" s="160">
        <f t="shared" ca="1" si="17"/>
        <v>0</v>
      </c>
      <c r="L73" s="159">
        <f ca="1">IFERROR(__xludf.DUMMYFUNCTION("IMPORTRANGE(""https://docs.google.com/spreadsheets/d/1-uDff_7J0KD5mKrp0Vvzr7lt3OU09vwQwhkpOPPYv2Y/edit?usp=sharing"",""งบพรบ!EP73"")"),0)</f>
        <v>0</v>
      </c>
      <c r="M73" s="89">
        <f t="shared" ca="1" si="18"/>
        <v>0</v>
      </c>
      <c r="N73" s="89">
        <f t="shared" ca="1" si="19"/>
        <v>0</v>
      </c>
      <c r="O73" s="88">
        <f ca="1">IFERROR(__xludf.DUMMYFUNCTION("IMPORTRANGE(""https://docs.google.com/spreadsheets/d/1-uDff_7J0KD5mKrp0Vvzr7lt3OU09vwQwhkpOPPYv2Y/edit?usp=sharing"",""งบพรบ!EQ73"")"),0)</f>
        <v>0</v>
      </c>
      <c r="P73" s="88">
        <f t="shared" ca="1" si="20"/>
        <v>0</v>
      </c>
      <c r="Q73" s="89">
        <f t="shared" ca="1" si="21"/>
        <v>0</v>
      </c>
      <c r="R73" s="280">
        <f ca="1">IFERROR(__xludf.DUMMYFUNCTION("IMPORTRANGE(""https://docs.google.com/spreadsheets/d/1BmIruG_sIrJLYao_Pdr7zVArWsfoBt2692TMi6x_854/edit?usp=sharing"",""อ่างทอง!I330"")"),0)</f>
        <v>0</v>
      </c>
      <c r="S73" s="191">
        <f ca="1">IFERROR(__xludf.DUMMYFUNCTION("IMPORTRANGE(""https://docs.google.com/spreadsheets/d/1BmIruG_sIrJLYao_Pdr7zVArWsfoBt2692TMi6x_854/edit?usp=sharing"",""อ่างทอง!J330"")"),0)</f>
        <v>0</v>
      </c>
      <c r="T73" s="218">
        <f t="shared" ca="1" si="23"/>
        <v>0</v>
      </c>
    </row>
    <row r="74" spans="1:20" ht="21" customHeight="1" x14ac:dyDescent="0.3">
      <c r="A74" s="664" t="s">
        <v>102</v>
      </c>
      <c r="B74" s="647"/>
      <c r="C74" s="161">
        <f t="shared" ca="1" si="14"/>
        <v>5097000</v>
      </c>
      <c r="D74" s="161">
        <f t="shared" ref="D74:I74" ca="1" si="31">SUM(D75:D88)</f>
        <v>610000</v>
      </c>
      <c r="E74" s="161">
        <f t="shared" ca="1" si="31"/>
        <v>0</v>
      </c>
      <c r="F74" s="161">
        <f t="shared" ca="1" si="31"/>
        <v>610000</v>
      </c>
      <c r="G74" s="161">
        <f t="shared" ca="1" si="31"/>
        <v>4487000</v>
      </c>
      <c r="H74" s="161">
        <f t="shared" ca="1" si="31"/>
        <v>610000</v>
      </c>
      <c r="I74" s="161">
        <f t="shared" ca="1" si="31"/>
        <v>4273800</v>
      </c>
      <c r="J74" s="161">
        <f t="shared" ca="1" si="16"/>
        <v>4551147.63</v>
      </c>
      <c r="K74" s="162">
        <f t="shared" ca="1" si="17"/>
        <v>89.290712772218953</v>
      </c>
      <c r="L74" s="161">
        <f ca="1">SUM(L75:L88)</f>
        <v>448325.61000000004</v>
      </c>
      <c r="M74" s="94">
        <f t="shared" ca="1" si="18"/>
        <v>73.496001639344271</v>
      </c>
      <c r="N74" s="94">
        <f t="shared" ca="1" si="19"/>
        <v>73.496001639344271</v>
      </c>
      <c r="O74" s="93">
        <f ca="1">SUM(O75:O88)</f>
        <v>4102822.02</v>
      </c>
      <c r="P74" s="93">
        <f t="shared" ca="1" si="20"/>
        <v>91.437976821930022</v>
      </c>
      <c r="Q74" s="94">
        <f t="shared" ca="1" si="21"/>
        <v>95.999392110065983</v>
      </c>
      <c r="R74" s="282">
        <f t="shared" ref="R74:S74" ca="1" si="32">SUM(R75:R88)</f>
        <v>5</v>
      </c>
      <c r="S74" s="161">
        <f t="shared" ca="1" si="32"/>
        <v>5</v>
      </c>
      <c r="T74" s="94">
        <f t="shared" ca="1" si="23"/>
        <v>100</v>
      </c>
    </row>
    <row r="75" spans="1:20" ht="21" customHeight="1" x14ac:dyDescent="0.3">
      <c r="A75" s="58">
        <v>1</v>
      </c>
      <c r="B75" s="59" t="s">
        <v>103</v>
      </c>
      <c r="C75" s="149">
        <f t="shared" ca="1" si="14"/>
        <v>235000</v>
      </c>
      <c r="D75" s="150">
        <f t="shared" ref="D75:D88" ca="1" si="33">+E75+F75</f>
        <v>235000</v>
      </c>
      <c r="E75" s="151">
        <f ca="1">IFERROR(__xludf.DUMMYFUNCTION("IMPORTRANGE(""https://docs.google.com/spreadsheets/d/1-uDff_7J0KD5mKrp0Vvzr7lt3OU09vwQwhkpOPPYv2Y/edit?usp=sharing"",""งบพรบ!EJ75"")"),0)</f>
        <v>0</v>
      </c>
      <c r="F75" s="151">
        <f ca="1">IFERROR(__xludf.DUMMYFUNCTION("IMPORTRANGE(""https://docs.google.com/spreadsheets/d/1-uDff_7J0KD5mKrp0Vvzr7lt3OU09vwQwhkpOPPYv2Y/edit?usp=sharing"",""งบพรบ!EK75"")"),235000)</f>
        <v>235000</v>
      </c>
      <c r="G75" s="151">
        <f ca="1">IFERROR(__xludf.DUMMYFUNCTION("IMPORTRANGE(""https://docs.google.com/spreadsheets/d/1-uDff_7J0KD5mKrp0Vvzr7lt3OU09vwQwhkpOPPYv2Y/edit?usp=sharing"",""งบพรบ!EL75"")"),0)</f>
        <v>0</v>
      </c>
      <c r="H75" s="151">
        <f ca="1">IFERROR(__xludf.DUMMYFUNCTION("IMPORTRANGE(""https://docs.google.com/spreadsheets/d/1-uDff_7J0KD5mKrp0Vvzr7lt3OU09vwQwhkpOPPYv2Y/edit?usp=sharing"",""งบพรบ!EN75"")"),235000)</f>
        <v>235000</v>
      </c>
      <c r="I75" s="151">
        <f ca="1">IFERROR(__xludf.DUMMYFUNCTION("IMPORTRANGE(""https://docs.google.com/spreadsheets/d/1-uDff_7J0KD5mKrp0Vvzr7lt3OU09vwQwhkpOPPYv2Y/edit?usp=sharing"",""งบพรบ!EO75"")"),0)</f>
        <v>0</v>
      </c>
      <c r="J75" s="151">
        <f t="shared" ca="1" si="16"/>
        <v>187159.18</v>
      </c>
      <c r="K75" s="154">
        <f t="shared" ca="1" si="17"/>
        <v>79.642204255319143</v>
      </c>
      <c r="L75" s="151">
        <f ca="1">IFERROR(__xludf.DUMMYFUNCTION("IMPORTRANGE(""https://docs.google.com/spreadsheets/d/1-uDff_7J0KD5mKrp0Vvzr7lt3OU09vwQwhkpOPPYv2Y/edit?usp=sharing"",""งบพรบ!EP75"")"),187159.18)</f>
        <v>187159.18</v>
      </c>
      <c r="M75" s="68">
        <f t="shared" ca="1" si="18"/>
        <v>79.642204255319143</v>
      </c>
      <c r="N75" s="68">
        <f t="shared" ca="1" si="19"/>
        <v>79.642204255319143</v>
      </c>
      <c r="O75" s="67">
        <f ca="1">IFERROR(__xludf.DUMMYFUNCTION("IMPORTRANGE(""https://docs.google.com/spreadsheets/d/1-uDff_7J0KD5mKrp0Vvzr7lt3OU09vwQwhkpOPPYv2Y/edit?usp=sharing"",""งบพรบ!EQ75"")"),0)</f>
        <v>0</v>
      </c>
      <c r="P75" s="67">
        <f t="shared" ca="1" si="20"/>
        <v>0</v>
      </c>
      <c r="Q75" s="68">
        <f t="shared" ca="1" si="21"/>
        <v>0</v>
      </c>
      <c r="R75" s="278">
        <f ca="1">IFERROR(__xludf.DUMMYFUNCTION("IMPORTRANGE(""https://docs.google.com/spreadsheets/d/1kKUcYdkIfrgTSj8iHHHB2MD2FAtwyyocFgqGQn6ADyI/edit?usp=sharing"",""กระบี่!I330"")"),2)</f>
        <v>2</v>
      </c>
      <c r="S75" s="152">
        <f ca="1">IFERROR(__xludf.DUMMYFUNCTION("IMPORTRANGE(""https://docs.google.com/spreadsheets/d/1kKUcYdkIfrgTSj8iHHHB2MD2FAtwyyocFgqGQn6ADyI/edit?usp=sharing"",""กระบี่!J330"")"),2)</f>
        <v>2</v>
      </c>
      <c r="T75" s="216">
        <f t="shared" ca="1" si="23"/>
        <v>100</v>
      </c>
    </row>
    <row r="76" spans="1:20" ht="21" customHeight="1" x14ac:dyDescent="0.3">
      <c r="A76" s="70">
        <v>2</v>
      </c>
      <c r="B76" s="71" t="s">
        <v>104</v>
      </c>
      <c r="C76" s="149">
        <f t="shared" ca="1" si="14"/>
        <v>4612000</v>
      </c>
      <c r="D76" s="150">
        <f t="shared" ca="1" si="33"/>
        <v>125000</v>
      </c>
      <c r="E76" s="151">
        <f ca="1">IFERROR(__xludf.DUMMYFUNCTION("IMPORTRANGE(""https://docs.google.com/spreadsheets/d/1-uDff_7J0KD5mKrp0Vvzr7lt3OU09vwQwhkpOPPYv2Y/edit?usp=sharing"",""งบพรบ!EJ76"")"),0)</f>
        <v>0</v>
      </c>
      <c r="F76" s="151">
        <f ca="1">IFERROR(__xludf.DUMMYFUNCTION("IMPORTRANGE(""https://docs.google.com/spreadsheets/d/1-uDff_7J0KD5mKrp0Vvzr7lt3OU09vwQwhkpOPPYv2Y/edit?usp=sharing"",""งบพรบ!EK76"")"),125000)</f>
        <v>125000</v>
      </c>
      <c r="G76" s="151">
        <f ca="1">IFERROR(__xludf.DUMMYFUNCTION("IMPORTRANGE(""https://docs.google.com/spreadsheets/d/1-uDff_7J0KD5mKrp0Vvzr7lt3OU09vwQwhkpOPPYv2Y/edit?usp=sharing"",""งบพรบ!EL76"")"),4487000)</f>
        <v>4487000</v>
      </c>
      <c r="H76" s="151">
        <f ca="1">IFERROR(__xludf.DUMMYFUNCTION("IMPORTRANGE(""https://docs.google.com/spreadsheets/d/1-uDff_7J0KD5mKrp0Vvzr7lt3OU09vwQwhkpOPPYv2Y/edit?usp=sharing"",""งบพรบ!EN76"")"),125000)</f>
        <v>125000</v>
      </c>
      <c r="I76" s="151">
        <f ca="1">IFERROR(__xludf.DUMMYFUNCTION("IMPORTRANGE(""https://docs.google.com/spreadsheets/d/1-uDff_7J0KD5mKrp0Vvzr7lt3OU09vwQwhkpOPPYv2Y/edit?usp=sharing"",""งบพรบ!EO76"")"),4273800)</f>
        <v>4273800</v>
      </c>
      <c r="J76" s="151">
        <f t="shared" ca="1" si="16"/>
        <v>4170881.12</v>
      </c>
      <c r="K76" s="154">
        <f t="shared" ca="1" si="17"/>
        <v>90.435410234171727</v>
      </c>
      <c r="L76" s="151">
        <f ca="1">IFERROR(__xludf.DUMMYFUNCTION("IMPORTRANGE(""https://docs.google.com/spreadsheets/d/1-uDff_7J0KD5mKrp0Vvzr7lt3OU09vwQwhkpOPPYv2Y/edit?usp=sharing"",""งบพรบ!EP76"")"),68059.1)</f>
        <v>68059.100000000006</v>
      </c>
      <c r="M76" s="68">
        <f t="shared" ca="1" si="18"/>
        <v>54.447280000000006</v>
      </c>
      <c r="N76" s="68">
        <f t="shared" ca="1" si="19"/>
        <v>54.447280000000006</v>
      </c>
      <c r="O76" s="67">
        <f ca="1">IFERROR(__xludf.DUMMYFUNCTION("IMPORTRANGE(""https://docs.google.com/spreadsheets/d/1-uDff_7J0KD5mKrp0Vvzr7lt3OU09vwQwhkpOPPYv2Y/edit?usp=sharing"",""งบพรบ!EQ76"")"),4102822.02)</f>
        <v>4102822.02</v>
      </c>
      <c r="P76" s="67">
        <f t="shared" ca="1" si="20"/>
        <v>91.437976821930022</v>
      </c>
      <c r="Q76" s="68">
        <f t="shared" ca="1" si="21"/>
        <v>95.999392110065983</v>
      </c>
      <c r="R76" s="278">
        <f ca="1">IFERROR(__xludf.DUMMYFUNCTION("IMPORTRANGE(""https://docs.google.com/spreadsheets/d/1GwtLaSlNZkLk7iDqcyZz22giiy40b_usZZBXYciEN1U/edit?usp=sharing"",""ชุมพร!I330"")"),1)</f>
        <v>1</v>
      </c>
      <c r="S76" s="152">
        <f ca="1">IFERROR(__xludf.DUMMYFUNCTION("IMPORTRANGE(""https://docs.google.com/spreadsheets/d/1GwtLaSlNZkLk7iDqcyZz22giiy40b_usZZBXYciEN1U/edit?usp=sharing"",""ชุมพร!J330"")"),1)</f>
        <v>1</v>
      </c>
      <c r="T76" s="216">
        <f t="shared" ca="1" si="23"/>
        <v>100</v>
      </c>
    </row>
    <row r="77" spans="1:20" ht="21" customHeight="1" x14ac:dyDescent="0.3">
      <c r="A77" s="70">
        <v>3</v>
      </c>
      <c r="B77" s="71" t="s">
        <v>105</v>
      </c>
      <c r="C77" s="149">
        <f t="shared" ca="1" si="14"/>
        <v>0</v>
      </c>
      <c r="D77" s="150">
        <f t="shared" ca="1" si="33"/>
        <v>0</v>
      </c>
      <c r="E77" s="151">
        <f ca="1">IFERROR(__xludf.DUMMYFUNCTION("IMPORTRANGE(""https://docs.google.com/spreadsheets/d/1-uDff_7J0KD5mKrp0Vvzr7lt3OU09vwQwhkpOPPYv2Y/edit?usp=sharing"",""งบพรบ!EJ77"")"),0)</f>
        <v>0</v>
      </c>
      <c r="F77" s="151">
        <f ca="1">IFERROR(__xludf.DUMMYFUNCTION("IMPORTRANGE(""https://docs.google.com/spreadsheets/d/1-uDff_7J0KD5mKrp0Vvzr7lt3OU09vwQwhkpOPPYv2Y/edit?usp=sharing"",""งบพรบ!EK77"")"),0)</f>
        <v>0</v>
      </c>
      <c r="G77" s="151">
        <f ca="1">IFERROR(__xludf.DUMMYFUNCTION("IMPORTRANGE(""https://docs.google.com/spreadsheets/d/1-uDff_7J0KD5mKrp0Vvzr7lt3OU09vwQwhkpOPPYv2Y/edit?usp=sharing"",""งบพรบ!EL77"")"),0)</f>
        <v>0</v>
      </c>
      <c r="H77" s="151">
        <f ca="1">IFERROR(__xludf.DUMMYFUNCTION("IMPORTRANGE(""https://docs.google.com/spreadsheets/d/1-uDff_7J0KD5mKrp0Vvzr7lt3OU09vwQwhkpOPPYv2Y/edit?usp=sharing"",""งบพรบ!EN77"")"),0)</f>
        <v>0</v>
      </c>
      <c r="I77" s="151">
        <f ca="1">IFERROR(__xludf.DUMMYFUNCTION("IMPORTRANGE(""https://docs.google.com/spreadsheets/d/1-uDff_7J0KD5mKrp0Vvzr7lt3OU09vwQwhkpOPPYv2Y/edit?usp=sharing"",""งบพรบ!EO77"")"),0)</f>
        <v>0</v>
      </c>
      <c r="J77" s="151">
        <f t="shared" ca="1" si="16"/>
        <v>0</v>
      </c>
      <c r="K77" s="154">
        <f t="shared" ca="1" si="17"/>
        <v>0</v>
      </c>
      <c r="L77" s="151">
        <f ca="1">IFERROR(__xludf.DUMMYFUNCTION("IMPORTRANGE(""https://docs.google.com/spreadsheets/d/1-uDff_7J0KD5mKrp0Vvzr7lt3OU09vwQwhkpOPPYv2Y/edit?usp=sharing"",""งบพรบ!EP77"")"),0)</f>
        <v>0</v>
      </c>
      <c r="M77" s="68">
        <f t="shared" ca="1" si="18"/>
        <v>0</v>
      </c>
      <c r="N77" s="68">
        <f t="shared" ca="1" si="19"/>
        <v>0</v>
      </c>
      <c r="O77" s="67">
        <f ca="1">IFERROR(__xludf.DUMMYFUNCTION("IMPORTRANGE(""https://docs.google.com/spreadsheets/d/1-uDff_7J0KD5mKrp0Vvzr7lt3OU09vwQwhkpOPPYv2Y/edit?usp=sharing"",""งบพรบ!EQ77"")"),0)</f>
        <v>0</v>
      </c>
      <c r="P77" s="67">
        <f t="shared" ca="1" si="20"/>
        <v>0</v>
      </c>
      <c r="Q77" s="68">
        <f t="shared" ca="1" si="21"/>
        <v>0</v>
      </c>
      <c r="R77" s="278">
        <f ca="1">IFERROR(__xludf.DUMMYFUNCTION("IMPORTRANGE(""https://docs.google.com/spreadsheets/d/16pAz3pOhQEZBhvFNMa5KGgZS6iKWpsKX0pg6tQmwFpo/edit?usp=sharing"",""ตรัง!I330"")"),0)</f>
        <v>0</v>
      </c>
      <c r="S77" s="152">
        <f ca="1">IFERROR(__xludf.DUMMYFUNCTION("IMPORTRANGE(""https://docs.google.com/spreadsheets/d/16pAz3pOhQEZBhvFNMa5KGgZS6iKWpsKX0pg6tQmwFpo/edit?usp=sharing"",""ตรัง!J330"")"),0)</f>
        <v>0</v>
      </c>
      <c r="T77" s="216">
        <f t="shared" ca="1" si="23"/>
        <v>0</v>
      </c>
    </row>
    <row r="78" spans="1:20" ht="21" customHeight="1" x14ac:dyDescent="0.3">
      <c r="A78" s="70">
        <v>4</v>
      </c>
      <c r="B78" s="71" t="s">
        <v>106</v>
      </c>
      <c r="C78" s="149">
        <f t="shared" ca="1" si="14"/>
        <v>0</v>
      </c>
      <c r="D78" s="150">
        <f t="shared" ca="1" si="33"/>
        <v>0</v>
      </c>
      <c r="E78" s="151">
        <f ca="1">IFERROR(__xludf.DUMMYFUNCTION("IMPORTRANGE(""https://docs.google.com/spreadsheets/d/1-uDff_7J0KD5mKrp0Vvzr7lt3OU09vwQwhkpOPPYv2Y/edit?usp=sharing"",""งบพรบ!EJ78"")"),0)</f>
        <v>0</v>
      </c>
      <c r="F78" s="151">
        <f ca="1">IFERROR(__xludf.DUMMYFUNCTION("IMPORTRANGE(""https://docs.google.com/spreadsheets/d/1-uDff_7J0KD5mKrp0Vvzr7lt3OU09vwQwhkpOPPYv2Y/edit?usp=sharing"",""งบพรบ!EK78"")"),0)</f>
        <v>0</v>
      </c>
      <c r="G78" s="151">
        <f ca="1">IFERROR(__xludf.DUMMYFUNCTION("IMPORTRANGE(""https://docs.google.com/spreadsheets/d/1-uDff_7J0KD5mKrp0Vvzr7lt3OU09vwQwhkpOPPYv2Y/edit?usp=sharing"",""งบพรบ!EL78"")"),0)</f>
        <v>0</v>
      </c>
      <c r="H78" s="151">
        <f ca="1">IFERROR(__xludf.DUMMYFUNCTION("IMPORTRANGE(""https://docs.google.com/spreadsheets/d/1-uDff_7J0KD5mKrp0Vvzr7lt3OU09vwQwhkpOPPYv2Y/edit?usp=sharing"",""งบพรบ!EN78"")"),0)</f>
        <v>0</v>
      </c>
      <c r="I78" s="151">
        <f ca="1">IFERROR(__xludf.DUMMYFUNCTION("IMPORTRANGE(""https://docs.google.com/spreadsheets/d/1-uDff_7J0KD5mKrp0Vvzr7lt3OU09vwQwhkpOPPYv2Y/edit?usp=sharing"",""งบพรบ!EO78"")"),0)</f>
        <v>0</v>
      </c>
      <c r="J78" s="151">
        <f t="shared" ca="1" si="16"/>
        <v>0</v>
      </c>
      <c r="K78" s="154">
        <f t="shared" ca="1" si="17"/>
        <v>0</v>
      </c>
      <c r="L78" s="151">
        <f ca="1">IFERROR(__xludf.DUMMYFUNCTION("IMPORTRANGE(""https://docs.google.com/spreadsheets/d/1-uDff_7J0KD5mKrp0Vvzr7lt3OU09vwQwhkpOPPYv2Y/edit?usp=sharing"",""งบพรบ!EP78"")"),0)</f>
        <v>0</v>
      </c>
      <c r="M78" s="68">
        <f t="shared" ca="1" si="18"/>
        <v>0</v>
      </c>
      <c r="N78" s="68">
        <f t="shared" ca="1" si="19"/>
        <v>0</v>
      </c>
      <c r="O78" s="67">
        <f ca="1">IFERROR(__xludf.DUMMYFUNCTION("IMPORTRANGE(""https://docs.google.com/spreadsheets/d/1-uDff_7J0KD5mKrp0Vvzr7lt3OU09vwQwhkpOPPYv2Y/edit?usp=sharing"",""งบพรบ!EQ78"")"),0)</f>
        <v>0</v>
      </c>
      <c r="P78" s="67">
        <f t="shared" ca="1" si="20"/>
        <v>0</v>
      </c>
      <c r="Q78" s="68">
        <f t="shared" ca="1" si="21"/>
        <v>0</v>
      </c>
      <c r="R78" s="278">
        <f ca="1">IFERROR(__xludf.DUMMYFUNCTION("IMPORTRANGE(""https://docs.google.com/spreadsheets/d/1Dj4jcHCTV9JXKCaMoheSXS52JE63kDKyG7bPXnFogHk/edit?usp=sharing"",""นครศรีธรรมราช!I330"")"),0)</f>
        <v>0</v>
      </c>
      <c r="S78" s="152">
        <f ca="1">IFERROR(__xludf.DUMMYFUNCTION("IMPORTRANGE(""https://docs.google.com/spreadsheets/d/1Dj4jcHCTV9JXKCaMoheSXS52JE63kDKyG7bPXnFogHk/edit?usp=sharing"",""นครศรีธรรมราช!J330"")"),0)</f>
        <v>0</v>
      </c>
      <c r="T78" s="216">
        <f t="shared" ca="1" si="23"/>
        <v>0</v>
      </c>
    </row>
    <row r="79" spans="1:20" ht="21" customHeight="1" x14ac:dyDescent="0.3">
      <c r="A79" s="70">
        <v>5</v>
      </c>
      <c r="B79" s="71" t="s">
        <v>107</v>
      </c>
      <c r="C79" s="149">
        <f t="shared" ca="1" si="14"/>
        <v>0</v>
      </c>
      <c r="D79" s="150">
        <f t="shared" ca="1" si="33"/>
        <v>0</v>
      </c>
      <c r="E79" s="151">
        <f ca="1">IFERROR(__xludf.DUMMYFUNCTION("IMPORTRANGE(""https://docs.google.com/spreadsheets/d/1-uDff_7J0KD5mKrp0Vvzr7lt3OU09vwQwhkpOPPYv2Y/edit?usp=sharing"",""งบพรบ!EJ79"")"),0)</f>
        <v>0</v>
      </c>
      <c r="F79" s="151">
        <f ca="1">IFERROR(__xludf.DUMMYFUNCTION("IMPORTRANGE(""https://docs.google.com/spreadsheets/d/1-uDff_7J0KD5mKrp0Vvzr7lt3OU09vwQwhkpOPPYv2Y/edit?usp=sharing"",""งบพรบ!EK79"")"),0)</f>
        <v>0</v>
      </c>
      <c r="G79" s="151">
        <f ca="1">IFERROR(__xludf.DUMMYFUNCTION("IMPORTRANGE(""https://docs.google.com/spreadsheets/d/1-uDff_7J0KD5mKrp0Vvzr7lt3OU09vwQwhkpOPPYv2Y/edit?usp=sharing"",""งบพรบ!EL79"")"),0)</f>
        <v>0</v>
      </c>
      <c r="H79" s="151">
        <f ca="1">IFERROR(__xludf.DUMMYFUNCTION("IMPORTRANGE(""https://docs.google.com/spreadsheets/d/1-uDff_7J0KD5mKrp0Vvzr7lt3OU09vwQwhkpOPPYv2Y/edit?usp=sharing"",""งบพรบ!EN79"")"),0)</f>
        <v>0</v>
      </c>
      <c r="I79" s="151">
        <f ca="1">IFERROR(__xludf.DUMMYFUNCTION("IMPORTRANGE(""https://docs.google.com/spreadsheets/d/1-uDff_7J0KD5mKrp0Vvzr7lt3OU09vwQwhkpOPPYv2Y/edit?usp=sharing"",""งบพรบ!EO79"")"),0)</f>
        <v>0</v>
      </c>
      <c r="J79" s="151">
        <f t="shared" ca="1" si="16"/>
        <v>0</v>
      </c>
      <c r="K79" s="154">
        <f t="shared" ca="1" si="17"/>
        <v>0</v>
      </c>
      <c r="L79" s="151">
        <f ca="1">IFERROR(__xludf.DUMMYFUNCTION("IMPORTRANGE(""https://docs.google.com/spreadsheets/d/1-uDff_7J0KD5mKrp0Vvzr7lt3OU09vwQwhkpOPPYv2Y/edit?usp=sharing"",""งบพรบ!EP79"")"),0)</f>
        <v>0</v>
      </c>
      <c r="M79" s="68">
        <f t="shared" ca="1" si="18"/>
        <v>0</v>
      </c>
      <c r="N79" s="68">
        <f t="shared" ca="1" si="19"/>
        <v>0</v>
      </c>
      <c r="O79" s="67">
        <f ca="1">IFERROR(__xludf.DUMMYFUNCTION("IMPORTRANGE(""https://docs.google.com/spreadsheets/d/1-uDff_7J0KD5mKrp0Vvzr7lt3OU09vwQwhkpOPPYv2Y/edit?usp=sharing"",""งบพรบ!EQ79"")"),0)</f>
        <v>0</v>
      </c>
      <c r="P79" s="67">
        <f t="shared" ca="1" si="20"/>
        <v>0</v>
      </c>
      <c r="Q79" s="68">
        <f t="shared" ca="1" si="21"/>
        <v>0</v>
      </c>
      <c r="R79" s="278">
        <f ca="1">IFERROR(__xludf.DUMMYFUNCTION("IMPORTRANGE(""https://docs.google.com/spreadsheets/d/1iodCdmuK2GR3jzUwk8tpccY2JHQQA-87DLOtJP-ooyU/edit?usp=sharing"",""นราธิวาส!I330"")"),0)</f>
        <v>0</v>
      </c>
      <c r="S79" s="152">
        <f ca="1">IFERROR(__xludf.DUMMYFUNCTION("IMPORTRANGE(""https://docs.google.com/spreadsheets/d/1iodCdmuK2GR3jzUwk8tpccY2JHQQA-87DLOtJP-ooyU/edit?usp=sharing"",""นราธิวาส!J330"")"),0)</f>
        <v>0</v>
      </c>
      <c r="T79" s="216">
        <f t="shared" ca="1" si="23"/>
        <v>0</v>
      </c>
    </row>
    <row r="80" spans="1:20" ht="21" customHeight="1" x14ac:dyDescent="0.3">
      <c r="A80" s="70">
        <v>6</v>
      </c>
      <c r="B80" s="71" t="s">
        <v>108</v>
      </c>
      <c r="C80" s="149">
        <f t="shared" ca="1" si="14"/>
        <v>0</v>
      </c>
      <c r="D80" s="150">
        <f t="shared" ca="1" si="33"/>
        <v>0</v>
      </c>
      <c r="E80" s="151">
        <f ca="1">IFERROR(__xludf.DUMMYFUNCTION("IMPORTRANGE(""https://docs.google.com/spreadsheets/d/1-uDff_7J0KD5mKrp0Vvzr7lt3OU09vwQwhkpOPPYv2Y/edit?usp=sharing"",""งบพรบ!EJ80"")"),0)</f>
        <v>0</v>
      </c>
      <c r="F80" s="151">
        <f ca="1">IFERROR(__xludf.DUMMYFUNCTION("IMPORTRANGE(""https://docs.google.com/spreadsheets/d/1-uDff_7J0KD5mKrp0Vvzr7lt3OU09vwQwhkpOPPYv2Y/edit?usp=sharing"",""งบพรบ!EK80"")"),0)</f>
        <v>0</v>
      </c>
      <c r="G80" s="151">
        <f ca="1">IFERROR(__xludf.DUMMYFUNCTION("IMPORTRANGE(""https://docs.google.com/spreadsheets/d/1-uDff_7J0KD5mKrp0Vvzr7lt3OU09vwQwhkpOPPYv2Y/edit?usp=sharing"",""งบพรบ!EL80"")"),0)</f>
        <v>0</v>
      </c>
      <c r="H80" s="151">
        <f ca="1">IFERROR(__xludf.DUMMYFUNCTION("IMPORTRANGE(""https://docs.google.com/spreadsheets/d/1-uDff_7J0KD5mKrp0Vvzr7lt3OU09vwQwhkpOPPYv2Y/edit?usp=sharing"",""งบพรบ!EN80"")"),0)</f>
        <v>0</v>
      </c>
      <c r="I80" s="151">
        <f ca="1">IFERROR(__xludf.DUMMYFUNCTION("IMPORTRANGE(""https://docs.google.com/spreadsheets/d/1-uDff_7J0KD5mKrp0Vvzr7lt3OU09vwQwhkpOPPYv2Y/edit?usp=sharing"",""งบพรบ!EO80"")"),0)</f>
        <v>0</v>
      </c>
      <c r="J80" s="151">
        <f t="shared" ca="1" si="16"/>
        <v>0</v>
      </c>
      <c r="K80" s="154">
        <f t="shared" ca="1" si="17"/>
        <v>0</v>
      </c>
      <c r="L80" s="151">
        <f ca="1">IFERROR(__xludf.DUMMYFUNCTION("IMPORTRANGE(""https://docs.google.com/spreadsheets/d/1-uDff_7J0KD5mKrp0Vvzr7lt3OU09vwQwhkpOPPYv2Y/edit?usp=sharing"",""งบพรบ!EP80"")"),0)</f>
        <v>0</v>
      </c>
      <c r="M80" s="68">
        <f t="shared" ca="1" si="18"/>
        <v>0</v>
      </c>
      <c r="N80" s="68">
        <f t="shared" ca="1" si="19"/>
        <v>0</v>
      </c>
      <c r="O80" s="67">
        <f ca="1">IFERROR(__xludf.DUMMYFUNCTION("IMPORTRANGE(""https://docs.google.com/spreadsheets/d/1-uDff_7J0KD5mKrp0Vvzr7lt3OU09vwQwhkpOPPYv2Y/edit?usp=sharing"",""งบพรบ!EQ80"")"),0)</f>
        <v>0</v>
      </c>
      <c r="P80" s="67">
        <f t="shared" ca="1" si="20"/>
        <v>0</v>
      </c>
      <c r="Q80" s="68">
        <f t="shared" ca="1" si="21"/>
        <v>0</v>
      </c>
      <c r="R80" s="279">
        <f ca="1">IFERROR(__xludf.DUMMYFUNCTION("IMPORTRANGE(""https://docs.google.com/spreadsheets/d/1SDNX3JhDdYRuIOsj0Wh2M-Qa_eaXl0NbWmhAOTbfQAs/edit?usp=sharing"",""ปัตตานี!I330"")"),0)</f>
        <v>0</v>
      </c>
      <c r="S80" s="152">
        <f ca="1">IFERROR(__xludf.DUMMYFUNCTION("IMPORTRANGE(""https://docs.google.com/spreadsheets/d/1SDNX3JhDdYRuIOsj0Wh2M-Qa_eaXl0NbWmhAOTbfQAs/edit?usp=sharing"",""ปัตตานี!J330"")"),0)</f>
        <v>0</v>
      </c>
      <c r="T80" s="216">
        <f t="shared" ca="1" si="23"/>
        <v>0</v>
      </c>
    </row>
    <row r="81" spans="1:20" ht="21" customHeight="1" x14ac:dyDescent="0.3">
      <c r="A81" s="70">
        <v>7</v>
      </c>
      <c r="B81" s="71" t="s">
        <v>109</v>
      </c>
      <c r="C81" s="149">
        <f t="shared" ca="1" si="14"/>
        <v>0</v>
      </c>
      <c r="D81" s="150">
        <f t="shared" ca="1" si="33"/>
        <v>0</v>
      </c>
      <c r="E81" s="151">
        <f ca="1">IFERROR(__xludf.DUMMYFUNCTION("IMPORTRANGE(""https://docs.google.com/spreadsheets/d/1-uDff_7J0KD5mKrp0Vvzr7lt3OU09vwQwhkpOPPYv2Y/edit?usp=sharing"",""งบพรบ!EJ81"")"),0)</f>
        <v>0</v>
      </c>
      <c r="F81" s="151">
        <f ca="1">IFERROR(__xludf.DUMMYFUNCTION("IMPORTRANGE(""https://docs.google.com/spreadsheets/d/1-uDff_7J0KD5mKrp0Vvzr7lt3OU09vwQwhkpOPPYv2Y/edit?usp=sharing"",""งบพรบ!EK81"")"),0)</f>
        <v>0</v>
      </c>
      <c r="G81" s="151">
        <f ca="1">IFERROR(__xludf.DUMMYFUNCTION("IMPORTRANGE(""https://docs.google.com/spreadsheets/d/1-uDff_7J0KD5mKrp0Vvzr7lt3OU09vwQwhkpOPPYv2Y/edit?usp=sharing"",""งบพรบ!EL81"")"),0)</f>
        <v>0</v>
      </c>
      <c r="H81" s="151">
        <f ca="1">IFERROR(__xludf.DUMMYFUNCTION("IMPORTRANGE(""https://docs.google.com/spreadsheets/d/1-uDff_7J0KD5mKrp0Vvzr7lt3OU09vwQwhkpOPPYv2Y/edit?usp=sharing"",""งบพรบ!EN81"")"),0)</f>
        <v>0</v>
      </c>
      <c r="I81" s="151">
        <f ca="1">IFERROR(__xludf.DUMMYFUNCTION("IMPORTRANGE(""https://docs.google.com/spreadsheets/d/1-uDff_7J0KD5mKrp0Vvzr7lt3OU09vwQwhkpOPPYv2Y/edit?usp=sharing"",""งบพรบ!EO81"")"),0)</f>
        <v>0</v>
      </c>
      <c r="J81" s="151">
        <f t="shared" ca="1" si="16"/>
        <v>0</v>
      </c>
      <c r="K81" s="154">
        <f t="shared" ca="1" si="17"/>
        <v>0</v>
      </c>
      <c r="L81" s="151">
        <f ca="1">IFERROR(__xludf.DUMMYFUNCTION("IMPORTRANGE(""https://docs.google.com/spreadsheets/d/1-uDff_7J0KD5mKrp0Vvzr7lt3OU09vwQwhkpOPPYv2Y/edit?usp=sharing"",""งบพรบ!EP81"")"),0)</f>
        <v>0</v>
      </c>
      <c r="M81" s="68">
        <f t="shared" ca="1" si="18"/>
        <v>0</v>
      </c>
      <c r="N81" s="68">
        <f t="shared" ca="1" si="19"/>
        <v>0</v>
      </c>
      <c r="O81" s="67">
        <f ca="1">IFERROR(__xludf.DUMMYFUNCTION("IMPORTRANGE(""https://docs.google.com/spreadsheets/d/1-uDff_7J0KD5mKrp0Vvzr7lt3OU09vwQwhkpOPPYv2Y/edit?usp=sharing"",""งบพรบ!EQ81"")"),0)</f>
        <v>0</v>
      </c>
      <c r="P81" s="67">
        <f t="shared" ca="1" si="20"/>
        <v>0</v>
      </c>
      <c r="Q81" s="68">
        <f t="shared" ca="1" si="21"/>
        <v>0</v>
      </c>
      <c r="R81" s="278">
        <f ca="1">IFERROR(__xludf.DUMMYFUNCTION("IMPORTRANGE(""https://docs.google.com/spreadsheets/d/16JDLGguT8s5DsGCND1KcwHP_AWR_zDMTqLHPLJUKhaU/edit?usp=sharing"",""พังงา!I330"")"),0)</f>
        <v>0</v>
      </c>
      <c r="S81" s="152">
        <f ca="1">IFERROR(__xludf.DUMMYFUNCTION("IMPORTRANGE(""https://docs.google.com/spreadsheets/d/16JDLGguT8s5DsGCND1KcwHP_AWR_zDMTqLHPLJUKhaU/edit?usp=sharing"",""พังงา!J330"")"),0)</f>
        <v>0</v>
      </c>
      <c r="T81" s="216">
        <f t="shared" ca="1" si="23"/>
        <v>0</v>
      </c>
    </row>
    <row r="82" spans="1:20" ht="21" customHeight="1" x14ac:dyDescent="0.3">
      <c r="A82" s="70">
        <v>8</v>
      </c>
      <c r="B82" s="71" t="s">
        <v>110</v>
      </c>
      <c r="C82" s="149">
        <f t="shared" ca="1" si="14"/>
        <v>0</v>
      </c>
      <c r="D82" s="150">
        <f t="shared" ca="1" si="33"/>
        <v>0</v>
      </c>
      <c r="E82" s="151">
        <f ca="1">IFERROR(__xludf.DUMMYFUNCTION("IMPORTRANGE(""https://docs.google.com/spreadsheets/d/1-uDff_7J0KD5mKrp0Vvzr7lt3OU09vwQwhkpOPPYv2Y/edit?usp=sharing"",""งบพรบ!EJ82"")"),0)</f>
        <v>0</v>
      </c>
      <c r="F82" s="151">
        <f ca="1">IFERROR(__xludf.DUMMYFUNCTION("IMPORTRANGE(""https://docs.google.com/spreadsheets/d/1-uDff_7J0KD5mKrp0Vvzr7lt3OU09vwQwhkpOPPYv2Y/edit?usp=sharing"",""งบพรบ!EK82"")"),0)</f>
        <v>0</v>
      </c>
      <c r="G82" s="151">
        <f ca="1">IFERROR(__xludf.DUMMYFUNCTION("IMPORTRANGE(""https://docs.google.com/spreadsheets/d/1-uDff_7J0KD5mKrp0Vvzr7lt3OU09vwQwhkpOPPYv2Y/edit?usp=sharing"",""งบพรบ!EL82"")"),0)</f>
        <v>0</v>
      </c>
      <c r="H82" s="151">
        <f ca="1">IFERROR(__xludf.DUMMYFUNCTION("IMPORTRANGE(""https://docs.google.com/spreadsheets/d/1-uDff_7J0KD5mKrp0Vvzr7lt3OU09vwQwhkpOPPYv2Y/edit?usp=sharing"",""งบพรบ!EN82"")"),0)</f>
        <v>0</v>
      </c>
      <c r="I82" s="151">
        <f ca="1">IFERROR(__xludf.DUMMYFUNCTION("IMPORTRANGE(""https://docs.google.com/spreadsheets/d/1-uDff_7J0KD5mKrp0Vvzr7lt3OU09vwQwhkpOPPYv2Y/edit?usp=sharing"",""งบพรบ!EO82"")"),0)</f>
        <v>0</v>
      </c>
      <c r="J82" s="151">
        <f t="shared" ca="1" si="16"/>
        <v>0</v>
      </c>
      <c r="K82" s="154">
        <f t="shared" ca="1" si="17"/>
        <v>0</v>
      </c>
      <c r="L82" s="151">
        <f ca="1">IFERROR(__xludf.DUMMYFUNCTION("IMPORTRANGE(""https://docs.google.com/spreadsheets/d/1-uDff_7J0KD5mKrp0Vvzr7lt3OU09vwQwhkpOPPYv2Y/edit?usp=sharing"",""งบพรบ!EP82"")"),0)</f>
        <v>0</v>
      </c>
      <c r="M82" s="68">
        <f t="shared" ca="1" si="18"/>
        <v>0</v>
      </c>
      <c r="N82" s="68">
        <f t="shared" ca="1" si="19"/>
        <v>0</v>
      </c>
      <c r="O82" s="67">
        <f ca="1">IFERROR(__xludf.DUMMYFUNCTION("IMPORTRANGE(""https://docs.google.com/spreadsheets/d/1-uDff_7J0KD5mKrp0Vvzr7lt3OU09vwQwhkpOPPYv2Y/edit?usp=sharing"",""งบพรบ!EQ82"")"),0)</f>
        <v>0</v>
      </c>
      <c r="P82" s="67">
        <f t="shared" ca="1" si="20"/>
        <v>0</v>
      </c>
      <c r="Q82" s="68">
        <f t="shared" ca="1" si="21"/>
        <v>0</v>
      </c>
      <c r="R82" s="278">
        <f ca="1">IFERROR(__xludf.DUMMYFUNCTION("IMPORTRANGE(""https://docs.google.com/spreadsheets/d/17ht0gPKzzT3PObBL1XJkeRmntBXI7wGjpLV7QorqlTk/edit?usp=sharing"",""พัทลุง!I330"")"),0)</f>
        <v>0</v>
      </c>
      <c r="S82" s="152">
        <f ca="1">IFERROR(__xludf.DUMMYFUNCTION("IMPORTRANGE(""https://docs.google.com/spreadsheets/d/17ht0gPKzzT3PObBL1XJkeRmntBXI7wGjpLV7QorqlTk/edit?usp=sharing"",""พัทลุง!J330"")"),0)</f>
        <v>0</v>
      </c>
      <c r="T82" s="216">
        <f t="shared" ca="1" si="23"/>
        <v>0</v>
      </c>
    </row>
    <row r="83" spans="1:20" ht="21" customHeight="1" x14ac:dyDescent="0.3">
      <c r="A83" s="70">
        <v>9</v>
      </c>
      <c r="B83" s="71" t="s">
        <v>111</v>
      </c>
      <c r="C83" s="149">
        <f t="shared" ca="1" si="14"/>
        <v>0</v>
      </c>
      <c r="D83" s="150">
        <f t="shared" ca="1" si="33"/>
        <v>0</v>
      </c>
      <c r="E83" s="151">
        <f ca="1">IFERROR(__xludf.DUMMYFUNCTION("IMPORTRANGE(""https://docs.google.com/spreadsheets/d/1-uDff_7J0KD5mKrp0Vvzr7lt3OU09vwQwhkpOPPYv2Y/edit?usp=sharing"",""งบพรบ!EJ83"")"),0)</f>
        <v>0</v>
      </c>
      <c r="F83" s="151">
        <f ca="1">IFERROR(__xludf.DUMMYFUNCTION("IMPORTRANGE(""https://docs.google.com/spreadsheets/d/1-uDff_7J0KD5mKrp0Vvzr7lt3OU09vwQwhkpOPPYv2Y/edit?usp=sharing"",""งบพรบ!EK83"")"),0)</f>
        <v>0</v>
      </c>
      <c r="G83" s="151">
        <f ca="1">IFERROR(__xludf.DUMMYFUNCTION("IMPORTRANGE(""https://docs.google.com/spreadsheets/d/1-uDff_7J0KD5mKrp0Vvzr7lt3OU09vwQwhkpOPPYv2Y/edit?usp=sharing"",""งบพรบ!EL83"")"),0)</f>
        <v>0</v>
      </c>
      <c r="H83" s="151">
        <f ca="1">IFERROR(__xludf.DUMMYFUNCTION("IMPORTRANGE(""https://docs.google.com/spreadsheets/d/1-uDff_7J0KD5mKrp0Vvzr7lt3OU09vwQwhkpOPPYv2Y/edit?usp=sharing"",""งบพรบ!EN83"")"),0)</f>
        <v>0</v>
      </c>
      <c r="I83" s="151">
        <f ca="1">IFERROR(__xludf.DUMMYFUNCTION("IMPORTRANGE(""https://docs.google.com/spreadsheets/d/1-uDff_7J0KD5mKrp0Vvzr7lt3OU09vwQwhkpOPPYv2Y/edit?usp=sharing"",""งบพรบ!EO83"")"),0)</f>
        <v>0</v>
      </c>
      <c r="J83" s="151">
        <f t="shared" ca="1" si="16"/>
        <v>0</v>
      </c>
      <c r="K83" s="154">
        <f t="shared" ca="1" si="17"/>
        <v>0</v>
      </c>
      <c r="L83" s="151">
        <f ca="1">IFERROR(__xludf.DUMMYFUNCTION("IMPORTRANGE(""https://docs.google.com/spreadsheets/d/1-uDff_7J0KD5mKrp0Vvzr7lt3OU09vwQwhkpOPPYv2Y/edit?usp=sharing"",""งบพรบ!EP83"")"),0)</f>
        <v>0</v>
      </c>
      <c r="M83" s="68">
        <f t="shared" ca="1" si="18"/>
        <v>0</v>
      </c>
      <c r="N83" s="68">
        <f t="shared" ca="1" si="19"/>
        <v>0</v>
      </c>
      <c r="O83" s="67">
        <f ca="1">IFERROR(__xludf.DUMMYFUNCTION("IMPORTRANGE(""https://docs.google.com/spreadsheets/d/1-uDff_7J0KD5mKrp0Vvzr7lt3OU09vwQwhkpOPPYv2Y/edit?usp=sharing"",""งบพรบ!EQ83"")"),0)</f>
        <v>0</v>
      </c>
      <c r="P83" s="67">
        <f t="shared" ca="1" si="20"/>
        <v>0</v>
      </c>
      <c r="Q83" s="68">
        <f t="shared" ca="1" si="21"/>
        <v>0</v>
      </c>
      <c r="R83" s="278">
        <f ca="1">IFERROR(__xludf.DUMMYFUNCTION("IMPORTRANGE(""https://docs.google.com/spreadsheets/d/1rd4qoM1q_hsgaolqNGfrim9gbsoLxQsda4-vOz5x_BM/edit?usp=sharing"",""ภูเก็ต!I330"")"),0)</f>
        <v>0</v>
      </c>
      <c r="S83" s="152">
        <f ca="1">IFERROR(__xludf.DUMMYFUNCTION("IMPORTRANGE(""https://docs.google.com/spreadsheets/d/1rd4qoM1q_hsgaolqNGfrim9gbsoLxQsda4-vOz5x_BM/edit?usp=sharing"",""ภูเก็ต!J330"")"),0)</f>
        <v>0</v>
      </c>
      <c r="T83" s="216">
        <f t="shared" ca="1" si="23"/>
        <v>0</v>
      </c>
    </row>
    <row r="84" spans="1:20" ht="21" customHeight="1" x14ac:dyDescent="0.3">
      <c r="A84" s="70">
        <v>10</v>
      </c>
      <c r="B84" s="71" t="s">
        <v>112</v>
      </c>
      <c r="C84" s="149">
        <f t="shared" ca="1" si="14"/>
        <v>0</v>
      </c>
      <c r="D84" s="150">
        <f t="shared" ca="1" si="33"/>
        <v>0</v>
      </c>
      <c r="E84" s="151">
        <f ca="1">IFERROR(__xludf.DUMMYFUNCTION("IMPORTRANGE(""https://docs.google.com/spreadsheets/d/1-uDff_7J0KD5mKrp0Vvzr7lt3OU09vwQwhkpOPPYv2Y/edit?usp=sharing"",""งบพรบ!EJ84"")"),0)</f>
        <v>0</v>
      </c>
      <c r="F84" s="151">
        <f ca="1">IFERROR(__xludf.DUMMYFUNCTION("IMPORTRANGE(""https://docs.google.com/spreadsheets/d/1-uDff_7J0KD5mKrp0Vvzr7lt3OU09vwQwhkpOPPYv2Y/edit?usp=sharing"",""งบพรบ!EK84"")"),0)</f>
        <v>0</v>
      </c>
      <c r="G84" s="151">
        <f ca="1">IFERROR(__xludf.DUMMYFUNCTION("IMPORTRANGE(""https://docs.google.com/spreadsheets/d/1-uDff_7J0KD5mKrp0Vvzr7lt3OU09vwQwhkpOPPYv2Y/edit?usp=sharing"",""งบพรบ!EL84"")"),0)</f>
        <v>0</v>
      </c>
      <c r="H84" s="151">
        <f ca="1">IFERROR(__xludf.DUMMYFUNCTION("IMPORTRANGE(""https://docs.google.com/spreadsheets/d/1-uDff_7J0KD5mKrp0Vvzr7lt3OU09vwQwhkpOPPYv2Y/edit?usp=sharing"",""งบพรบ!EN84"")"),0)</f>
        <v>0</v>
      </c>
      <c r="I84" s="151">
        <f ca="1">IFERROR(__xludf.DUMMYFUNCTION("IMPORTRANGE(""https://docs.google.com/spreadsheets/d/1-uDff_7J0KD5mKrp0Vvzr7lt3OU09vwQwhkpOPPYv2Y/edit?usp=sharing"",""งบพรบ!EO84"")"),0)</f>
        <v>0</v>
      </c>
      <c r="J84" s="151">
        <f t="shared" ca="1" si="16"/>
        <v>0</v>
      </c>
      <c r="K84" s="154">
        <f t="shared" ca="1" si="17"/>
        <v>0</v>
      </c>
      <c r="L84" s="151">
        <f ca="1">IFERROR(__xludf.DUMMYFUNCTION("IMPORTRANGE(""https://docs.google.com/spreadsheets/d/1-uDff_7J0KD5mKrp0Vvzr7lt3OU09vwQwhkpOPPYv2Y/edit?usp=sharing"",""งบพรบ!EP84"")"),0)</f>
        <v>0</v>
      </c>
      <c r="M84" s="68">
        <f t="shared" ca="1" si="18"/>
        <v>0</v>
      </c>
      <c r="N84" s="68">
        <f t="shared" ca="1" si="19"/>
        <v>0</v>
      </c>
      <c r="O84" s="67">
        <f ca="1">IFERROR(__xludf.DUMMYFUNCTION("IMPORTRANGE(""https://docs.google.com/spreadsheets/d/1-uDff_7J0KD5mKrp0Vvzr7lt3OU09vwQwhkpOPPYv2Y/edit?usp=sharing"",""งบพรบ!EQ84"")"),0)</f>
        <v>0</v>
      </c>
      <c r="P84" s="67">
        <f t="shared" ca="1" si="20"/>
        <v>0</v>
      </c>
      <c r="Q84" s="68">
        <f t="shared" ca="1" si="21"/>
        <v>0</v>
      </c>
      <c r="R84" s="278">
        <f ca="1">IFERROR(__xludf.DUMMYFUNCTION("IMPORTRANGE(""https://docs.google.com/spreadsheets/d/1woKwKjgoLssDvPcPeVyezB5izizAn4X1JDrys69n6xI/edit?usp=sharing"",""ยะลา!I330"")"),0)</f>
        <v>0</v>
      </c>
      <c r="S84" s="152">
        <f ca="1">IFERROR(__xludf.DUMMYFUNCTION("IMPORTRANGE(""https://docs.google.com/spreadsheets/d/1woKwKjgoLssDvPcPeVyezB5izizAn4X1JDrys69n6xI/edit?usp=sharing"",""ยะลา!J330"")"),0)</f>
        <v>0</v>
      </c>
      <c r="T84" s="216">
        <f t="shared" ca="1" si="23"/>
        <v>0</v>
      </c>
    </row>
    <row r="85" spans="1:20" ht="21" customHeight="1" x14ac:dyDescent="0.3">
      <c r="A85" s="70">
        <v>11</v>
      </c>
      <c r="B85" s="71" t="s">
        <v>113</v>
      </c>
      <c r="C85" s="149">
        <f t="shared" ca="1" si="14"/>
        <v>0</v>
      </c>
      <c r="D85" s="150">
        <f t="shared" ca="1" si="33"/>
        <v>0</v>
      </c>
      <c r="E85" s="151">
        <f ca="1">IFERROR(__xludf.DUMMYFUNCTION("IMPORTRANGE(""https://docs.google.com/spreadsheets/d/1-uDff_7J0KD5mKrp0Vvzr7lt3OU09vwQwhkpOPPYv2Y/edit?usp=sharing"",""งบพรบ!EJ85"")"),0)</f>
        <v>0</v>
      </c>
      <c r="F85" s="151">
        <f ca="1">IFERROR(__xludf.DUMMYFUNCTION("IMPORTRANGE(""https://docs.google.com/spreadsheets/d/1-uDff_7J0KD5mKrp0Vvzr7lt3OU09vwQwhkpOPPYv2Y/edit?usp=sharing"",""งบพรบ!EK85"")"),0)</f>
        <v>0</v>
      </c>
      <c r="G85" s="151">
        <f ca="1">IFERROR(__xludf.DUMMYFUNCTION("IMPORTRANGE(""https://docs.google.com/spreadsheets/d/1-uDff_7J0KD5mKrp0Vvzr7lt3OU09vwQwhkpOPPYv2Y/edit?usp=sharing"",""งบพรบ!EL85"")"),0)</f>
        <v>0</v>
      </c>
      <c r="H85" s="151">
        <f ca="1">IFERROR(__xludf.DUMMYFUNCTION("IMPORTRANGE(""https://docs.google.com/spreadsheets/d/1-uDff_7J0KD5mKrp0Vvzr7lt3OU09vwQwhkpOPPYv2Y/edit?usp=sharing"",""งบพรบ!EN85"")"),0)</f>
        <v>0</v>
      </c>
      <c r="I85" s="151">
        <f ca="1">IFERROR(__xludf.DUMMYFUNCTION("IMPORTRANGE(""https://docs.google.com/spreadsheets/d/1-uDff_7J0KD5mKrp0Vvzr7lt3OU09vwQwhkpOPPYv2Y/edit?usp=sharing"",""งบพรบ!EO85"")"),0)</f>
        <v>0</v>
      </c>
      <c r="J85" s="151">
        <f t="shared" ca="1" si="16"/>
        <v>0</v>
      </c>
      <c r="K85" s="154">
        <f t="shared" ca="1" si="17"/>
        <v>0</v>
      </c>
      <c r="L85" s="151">
        <f ca="1">IFERROR(__xludf.DUMMYFUNCTION("IMPORTRANGE(""https://docs.google.com/spreadsheets/d/1-uDff_7J0KD5mKrp0Vvzr7lt3OU09vwQwhkpOPPYv2Y/edit?usp=sharing"",""งบพรบ!EP85"")"),0)</f>
        <v>0</v>
      </c>
      <c r="M85" s="68">
        <f t="shared" ca="1" si="18"/>
        <v>0</v>
      </c>
      <c r="N85" s="68">
        <f t="shared" ca="1" si="19"/>
        <v>0</v>
      </c>
      <c r="O85" s="67">
        <f ca="1">IFERROR(__xludf.DUMMYFUNCTION("IMPORTRANGE(""https://docs.google.com/spreadsheets/d/1-uDff_7J0KD5mKrp0Vvzr7lt3OU09vwQwhkpOPPYv2Y/edit?usp=sharing"",""งบพรบ!EQ85"")"),0)</f>
        <v>0</v>
      </c>
      <c r="P85" s="67">
        <f t="shared" ca="1" si="20"/>
        <v>0</v>
      </c>
      <c r="Q85" s="68">
        <f t="shared" ca="1" si="21"/>
        <v>0</v>
      </c>
      <c r="R85" s="278">
        <f ca="1">IFERROR(__xludf.DUMMYFUNCTION("IMPORTRANGE(""https://docs.google.com/spreadsheets/d/1qfrKjzMhm2HJfxQ-qVlJlJQ25Hne1d0khsySbZyGtPA/edit?usp=sharing"",""ระนอง!I330"")"),0)</f>
        <v>0</v>
      </c>
      <c r="S85" s="152">
        <f ca="1">IFERROR(__xludf.DUMMYFUNCTION("IMPORTRANGE(""https://docs.google.com/spreadsheets/d/1qfrKjzMhm2HJfxQ-qVlJlJQ25Hne1d0khsySbZyGtPA/edit?usp=sharing"",""ระนอง!J330"")"),0)</f>
        <v>0</v>
      </c>
      <c r="T85" s="216">
        <f t="shared" ca="1" si="23"/>
        <v>0</v>
      </c>
    </row>
    <row r="86" spans="1:20" ht="24" customHeight="1" x14ac:dyDescent="0.3">
      <c r="A86" s="70">
        <v>12</v>
      </c>
      <c r="B86" s="71" t="s">
        <v>114</v>
      </c>
      <c r="C86" s="149">
        <f t="shared" ca="1" si="14"/>
        <v>125000</v>
      </c>
      <c r="D86" s="150">
        <f t="shared" ca="1" si="33"/>
        <v>125000</v>
      </c>
      <c r="E86" s="151">
        <f ca="1">IFERROR(__xludf.DUMMYFUNCTION("IMPORTRANGE(""https://docs.google.com/spreadsheets/d/1-uDff_7J0KD5mKrp0Vvzr7lt3OU09vwQwhkpOPPYv2Y/edit?usp=sharing"",""งบพรบ!EJ86"")"),0)</f>
        <v>0</v>
      </c>
      <c r="F86" s="151">
        <f ca="1">IFERROR(__xludf.DUMMYFUNCTION("IMPORTRANGE(""https://docs.google.com/spreadsheets/d/1-uDff_7J0KD5mKrp0Vvzr7lt3OU09vwQwhkpOPPYv2Y/edit?usp=sharing"",""งบพรบ!EK86"")"),125000)</f>
        <v>125000</v>
      </c>
      <c r="G86" s="151">
        <f ca="1">IFERROR(__xludf.DUMMYFUNCTION("IMPORTRANGE(""https://docs.google.com/spreadsheets/d/1-uDff_7J0KD5mKrp0Vvzr7lt3OU09vwQwhkpOPPYv2Y/edit?usp=sharing"",""งบพรบ!EL86"")"),0)</f>
        <v>0</v>
      </c>
      <c r="H86" s="151">
        <f ca="1">IFERROR(__xludf.DUMMYFUNCTION("IMPORTRANGE(""https://docs.google.com/spreadsheets/d/1-uDff_7J0KD5mKrp0Vvzr7lt3OU09vwQwhkpOPPYv2Y/edit?usp=sharing"",""งบพรบ!EN86"")"),125000)</f>
        <v>125000</v>
      </c>
      <c r="I86" s="151">
        <f ca="1">IFERROR(__xludf.DUMMYFUNCTION("IMPORTRANGE(""https://docs.google.com/spreadsheets/d/1-uDff_7J0KD5mKrp0Vvzr7lt3OU09vwQwhkpOPPYv2Y/edit?usp=sharing"",""งบพรบ!EO86"")"),0)</f>
        <v>0</v>
      </c>
      <c r="J86" s="151">
        <f t="shared" ca="1" si="16"/>
        <v>100873</v>
      </c>
      <c r="K86" s="154">
        <f t="shared" ca="1" si="17"/>
        <v>80.698400000000007</v>
      </c>
      <c r="L86" s="151">
        <f ca="1">IFERROR(__xludf.DUMMYFUNCTION("IMPORTRANGE(""https://docs.google.com/spreadsheets/d/1-uDff_7J0KD5mKrp0Vvzr7lt3OU09vwQwhkpOPPYv2Y/edit?usp=sharing"",""งบพรบ!EP86"")"),100873)</f>
        <v>100873</v>
      </c>
      <c r="M86" s="68">
        <f t="shared" ca="1" si="18"/>
        <v>80.698400000000007</v>
      </c>
      <c r="N86" s="68">
        <f t="shared" ca="1" si="19"/>
        <v>80.698400000000007</v>
      </c>
      <c r="O86" s="67">
        <f ca="1">IFERROR(__xludf.DUMMYFUNCTION("IMPORTRANGE(""https://docs.google.com/spreadsheets/d/1-uDff_7J0KD5mKrp0Vvzr7lt3OU09vwQwhkpOPPYv2Y/edit?usp=sharing"",""งบพรบ!EQ86"")"),0)</f>
        <v>0</v>
      </c>
      <c r="P86" s="67">
        <f t="shared" ca="1" si="20"/>
        <v>0</v>
      </c>
      <c r="Q86" s="68">
        <f t="shared" ca="1" si="21"/>
        <v>0</v>
      </c>
      <c r="R86" s="278">
        <f ca="1">IFERROR(__xludf.DUMMYFUNCTION("IMPORTRANGE(""https://docs.google.com/spreadsheets/d/1IbSCnFOKpZsnFogBHJnL_isstZVaOMnFiIN0fGTPZZw/edit?usp=sharing"",""สงขลา!I330"")"),1)</f>
        <v>1</v>
      </c>
      <c r="S86" s="152">
        <f ca="1">IFERROR(__xludf.DUMMYFUNCTION("IMPORTRANGE(""https://docs.google.com/spreadsheets/d/1IbSCnFOKpZsnFogBHJnL_isstZVaOMnFiIN0fGTPZZw/edit?usp=sharing"",""สงขลา!J330"")"),1)</f>
        <v>1</v>
      </c>
      <c r="T86" s="216">
        <f t="shared" ca="1" si="23"/>
        <v>100</v>
      </c>
    </row>
    <row r="87" spans="1:20" ht="24" customHeight="1" x14ac:dyDescent="0.3">
      <c r="A87" s="70">
        <v>13</v>
      </c>
      <c r="B87" s="71" t="s">
        <v>115</v>
      </c>
      <c r="C87" s="149">
        <f t="shared" ca="1" si="14"/>
        <v>0</v>
      </c>
      <c r="D87" s="150">
        <f t="shared" ca="1" si="33"/>
        <v>0</v>
      </c>
      <c r="E87" s="151">
        <f ca="1">IFERROR(__xludf.DUMMYFUNCTION("IMPORTRANGE(""https://docs.google.com/spreadsheets/d/1-uDff_7J0KD5mKrp0Vvzr7lt3OU09vwQwhkpOPPYv2Y/edit?usp=sharing"",""งบพรบ!EJ87"")"),0)</f>
        <v>0</v>
      </c>
      <c r="F87" s="151">
        <f ca="1">IFERROR(__xludf.DUMMYFUNCTION("IMPORTRANGE(""https://docs.google.com/spreadsheets/d/1-uDff_7J0KD5mKrp0Vvzr7lt3OU09vwQwhkpOPPYv2Y/edit?usp=sharing"",""งบพรบ!EK87"")"),0)</f>
        <v>0</v>
      </c>
      <c r="G87" s="151">
        <f ca="1">IFERROR(__xludf.DUMMYFUNCTION("IMPORTRANGE(""https://docs.google.com/spreadsheets/d/1-uDff_7J0KD5mKrp0Vvzr7lt3OU09vwQwhkpOPPYv2Y/edit?usp=sharing"",""งบพรบ!EL87"")"),0)</f>
        <v>0</v>
      </c>
      <c r="H87" s="151">
        <f ca="1">IFERROR(__xludf.DUMMYFUNCTION("IMPORTRANGE(""https://docs.google.com/spreadsheets/d/1-uDff_7J0KD5mKrp0Vvzr7lt3OU09vwQwhkpOPPYv2Y/edit?usp=sharing"",""งบพรบ!EN87"")"),0)</f>
        <v>0</v>
      </c>
      <c r="I87" s="151">
        <f ca="1">IFERROR(__xludf.DUMMYFUNCTION("IMPORTRANGE(""https://docs.google.com/spreadsheets/d/1-uDff_7J0KD5mKrp0Vvzr7lt3OU09vwQwhkpOPPYv2Y/edit?usp=sharing"",""งบพรบ!EO87"")"),0)</f>
        <v>0</v>
      </c>
      <c r="J87" s="151">
        <f t="shared" ca="1" si="16"/>
        <v>0</v>
      </c>
      <c r="K87" s="154">
        <f t="shared" ca="1" si="17"/>
        <v>0</v>
      </c>
      <c r="L87" s="151">
        <f ca="1">IFERROR(__xludf.DUMMYFUNCTION("IMPORTRANGE(""https://docs.google.com/spreadsheets/d/1-uDff_7J0KD5mKrp0Vvzr7lt3OU09vwQwhkpOPPYv2Y/edit?usp=sharing"",""งบพรบ!EP87"")"),0)</f>
        <v>0</v>
      </c>
      <c r="M87" s="68">
        <f t="shared" ca="1" si="18"/>
        <v>0</v>
      </c>
      <c r="N87" s="68">
        <f t="shared" ca="1" si="19"/>
        <v>0</v>
      </c>
      <c r="O87" s="67">
        <f ca="1">IFERROR(__xludf.DUMMYFUNCTION("IMPORTRANGE(""https://docs.google.com/spreadsheets/d/1-uDff_7J0KD5mKrp0Vvzr7lt3OU09vwQwhkpOPPYv2Y/edit?usp=sharing"",""งบพรบ!EQ87"")"),0)</f>
        <v>0</v>
      </c>
      <c r="P87" s="67">
        <f t="shared" ca="1" si="20"/>
        <v>0</v>
      </c>
      <c r="Q87" s="68">
        <f t="shared" ca="1" si="21"/>
        <v>0</v>
      </c>
      <c r="R87" s="278">
        <f ca="1">IFERROR(__xludf.DUMMYFUNCTION("IMPORTRANGE(""https://docs.google.com/spreadsheets/d/1q9nWasZJ-K8bFGvbE9n0qSRuKGA4Toe3Y89cKCiVtCU/edit?usp=sharing"",""สตูล!I330"")"),0)</f>
        <v>0</v>
      </c>
      <c r="S87" s="152">
        <f ca="1">IFERROR(__xludf.DUMMYFUNCTION("IMPORTRANGE(""https://docs.google.com/spreadsheets/d/1q9nWasZJ-K8bFGvbE9n0qSRuKGA4Toe3Y89cKCiVtCU/edit?usp=sharing"",""สตูล!J330"")"),0)</f>
        <v>0</v>
      </c>
      <c r="T87" s="216">
        <f t="shared" ca="1" si="23"/>
        <v>0</v>
      </c>
    </row>
    <row r="88" spans="1:20" ht="24" customHeight="1" x14ac:dyDescent="0.3">
      <c r="A88" s="80">
        <v>14</v>
      </c>
      <c r="B88" s="81" t="s">
        <v>116</v>
      </c>
      <c r="C88" s="157">
        <f t="shared" ca="1" si="14"/>
        <v>125000</v>
      </c>
      <c r="D88" s="158">
        <f t="shared" ca="1" si="33"/>
        <v>125000</v>
      </c>
      <c r="E88" s="159">
        <f ca="1">IFERROR(__xludf.DUMMYFUNCTION("IMPORTRANGE(""https://docs.google.com/spreadsheets/d/1-uDff_7J0KD5mKrp0Vvzr7lt3OU09vwQwhkpOPPYv2Y/edit?usp=sharing"",""งบพรบ!EJ88"")"),0)</f>
        <v>0</v>
      </c>
      <c r="F88" s="159">
        <f ca="1">IFERROR(__xludf.DUMMYFUNCTION("IMPORTRANGE(""https://docs.google.com/spreadsheets/d/1-uDff_7J0KD5mKrp0Vvzr7lt3OU09vwQwhkpOPPYv2Y/edit?usp=sharing"",""งบพรบ!EK88"")"),125000)</f>
        <v>125000</v>
      </c>
      <c r="G88" s="159">
        <f ca="1">IFERROR(__xludf.DUMMYFUNCTION("IMPORTRANGE(""https://docs.google.com/spreadsheets/d/1-uDff_7J0KD5mKrp0Vvzr7lt3OU09vwQwhkpOPPYv2Y/edit?usp=sharing"",""งบพรบ!EL88"")"),0)</f>
        <v>0</v>
      </c>
      <c r="H88" s="159">
        <f ca="1">IFERROR(__xludf.DUMMYFUNCTION("IMPORTRANGE(""https://docs.google.com/spreadsheets/d/1-uDff_7J0KD5mKrp0Vvzr7lt3OU09vwQwhkpOPPYv2Y/edit?usp=sharing"",""งบพรบ!EN88"")"),125000)</f>
        <v>125000</v>
      </c>
      <c r="I88" s="159">
        <f ca="1">IFERROR(__xludf.DUMMYFUNCTION("IMPORTRANGE(""https://docs.google.com/spreadsheets/d/1-uDff_7J0KD5mKrp0Vvzr7lt3OU09vwQwhkpOPPYv2Y/edit?usp=sharing"",""งบพรบ!EO88"")"),0)</f>
        <v>0</v>
      </c>
      <c r="J88" s="159">
        <f t="shared" ca="1" si="16"/>
        <v>92234.33</v>
      </c>
      <c r="K88" s="160">
        <f t="shared" ca="1" si="17"/>
        <v>73.787464</v>
      </c>
      <c r="L88" s="159">
        <f ca="1">IFERROR(__xludf.DUMMYFUNCTION("IMPORTRANGE(""https://docs.google.com/spreadsheets/d/1-uDff_7J0KD5mKrp0Vvzr7lt3OU09vwQwhkpOPPYv2Y/edit?usp=sharing"",""งบพรบ!EP88"")"),92234.33)</f>
        <v>92234.33</v>
      </c>
      <c r="M88" s="89">
        <f t="shared" ca="1" si="18"/>
        <v>73.787464</v>
      </c>
      <c r="N88" s="89">
        <f t="shared" ca="1" si="19"/>
        <v>73.787464</v>
      </c>
      <c r="O88" s="88">
        <f ca="1">IFERROR(__xludf.DUMMYFUNCTION("IMPORTRANGE(""https://docs.google.com/spreadsheets/d/1-uDff_7J0KD5mKrp0Vvzr7lt3OU09vwQwhkpOPPYv2Y/edit?usp=sharing"",""งบพรบ!EQ88"")"),0)</f>
        <v>0</v>
      </c>
      <c r="P88" s="88">
        <f t="shared" ca="1" si="20"/>
        <v>0</v>
      </c>
      <c r="Q88" s="89">
        <f t="shared" ca="1" si="21"/>
        <v>0</v>
      </c>
      <c r="R88" s="280">
        <f ca="1">IFERROR(__xludf.DUMMYFUNCTION("IMPORTRANGE(""https://docs.google.com/spreadsheets/d/18T20gbkS_WBjdscyTOV05cvq_JqvqQ17C81mpxf7Ncs/edit?usp=sharing"",""สุราษฎร์ธานี!I330"")"),1)</f>
        <v>1</v>
      </c>
      <c r="S88" s="191">
        <f ca="1">IFERROR(__xludf.DUMMYFUNCTION("IMPORTRANGE(""https://docs.google.com/spreadsheets/d/18T20gbkS_WBjdscyTOV05cvq_JqvqQ17C81mpxf7Ncs/edit?usp=sharing"",""สุราษฎร์ธานี!J330"")"),1)</f>
        <v>1</v>
      </c>
      <c r="T88" s="218">
        <f t="shared" ca="1" si="23"/>
        <v>100</v>
      </c>
    </row>
    <row r="89" spans="1:20" ht="21" customHeight="1" x14ac:dyDescent="0.3">
      <c r="A89" s="698" t="s">
        <v>117</v>
      </c>
      <c r="B89" s="662"/>
      <c r="C89" s="200">
        <f t="shared" ref="C89:Q89" ca="1" si="34">SUM(C90:C106)</f>
        <v>2589200</v>
      </c>
      <c r="D89" s="39">
        <f t="shared" ca="1" si="34"/>
        <v>2589200</v>
      </c>
      <c r="E89" s="39">
        <f t="shared" ca="1" si="34"/>
        <v>1849100</v>
      </c>
      <c r="F89" s="39">
        <f t="shared" ca="1" si="34"/>
        <v>740100</v>
      </c>
      <c r="G89" s="39">
        <f t="shared" ca="1" si="34"/>
        <v>0</v>
      </c>
      <c r="H89" s="39">
        <f t="shared" ca="1" si="34"/>
        <v>2521700</v>
      </c>
      <c r="I89" s="39">
        <f t="shared" ca="1" si="34"/>
        <v>0</v>
      </c>
      <c r="J89" s="39">
        <f t="shared" ca="1" si="34"/>
        <v>1483166.7</v>
      </c>
      <c r="K89" s="40">
        <f t="shared" ca="1" si="34"/>
        <v>141.44987999380885</v>
      </c>
      <c r="L89" s="39">
        <f t="shared" ca="1" si="34"/>
        <v>1483166.7</v>
      </c>
      <c r="M89" s="40">
        <f t="shared" ca="1" si="34"/>
        <v>141.44987999380885</v>
      </c>
      <c r="N89" s="40">
        <f t="shared" ca="1" si="34"/>
        <v>206.06783449821683</v>
      </c>
      <c r="O89" s="39">
        <f t="shared" ca="1" si="34"/>
        <v>0</v>
      </c>
      <c r="P89" s="39">
        <f t="shared" ca="1" si="34"/>
        <v>0</v>
      </c>
      <c r="Q89" s="39">
        <f t="shared" ca="1" si="34"/>
        <v>0</v>
      </c>
      <c r="R89" s="39"/>
      <c r="S89" s="39"/>
      <c r="T89" s="41"/>
    </row>
    <row r="90" spans="1:20" ht="24" customHeight="1" x14ac:dyDescent="0.3">
      <c r="A90" s="102"/>
      <c r="B90" s="103" t="s">
        <v>118</v>
      </c>
      <c r="C90" s="170">
        <f t="shared" ref="C90:C108" ca="1" si="35">D90+G90</f>
        <v>0</v>
      </c>
      <c r="D90" s="171">
        <f t="shared" ref="D90:D108" ca="1" si="36">+E90+F90</f>
        <v>0</v>
      </c>
      <c r="E90" s="62">
        <f ca="1">IFERROR(__xludf.DUMMYFUNCTION("IMPORTRANGE(""https://docs.google.com/spreadsheets/d/1-uDff_7J0KD5mKrp0Vvzr7lt3OU09vwQwhkpOPPYv2Y/edit?usp=sharing"",""งบพรบ!EJ90"")"),0)</f>
        <v>0</v>
      </c>
      <c r="F90" s="62">
        <f ca="1">IFERROR(__xludf.DUMMYFUNCTION("IMPORTRANGE(""https://docs.google.com/spreadsheets/d/1-uDff_7J0KD5mKrp0Vvzr7lt3OU09vwQwhkpOPPYv2Y/edit?usp=sharing"",""งบพรบ!EK90"")"),0)</f>
        <v>0</v>
      </c>
      <c r="G90" s="62">
        <f ca="1">IFERROR(__xludf.DUMMYFUNCTION("IMPORTRANGE(""https://docs.google.com/spreadsheets/d/1-uDff_7J0KD5mKrp0Vvzr7lt3OU09vwQwhkpOPPYv2Y/edit?usp=sharing"",""งบพรบ!EL90"")"),0)</f>
        <v>0</v>
      </c>
      <c r="H90" s="62">
        <f ca="1">IFERROR(__xludf.DUMMYFUNCTION("IMPORTRANGE(""https://docs.google.com/spreadsheets/d/1-uDff_7J0KD5mKrp0Vvzr7lt3OU09vwQwhkpOPPYv2Y/edit?usp=sharing"",""งบพรบ!EN90"")"),0)</f>
        <v>0</v>
      </c>
      <c r="I90" s="62">
        <f ca="1">IFERROR(__xludf.DUMMYFUNCTION("IMPORTRANGE(""https://docs.google.com/spreadsheets/d/1-uDff_7J0KD5mKrp0Vvzr7lt3OU09vwQwhkpOPPYv2Y/edit?usp=sharing"",""งบพรบ!EO90"")"),0)</f>
        <v>0</v>
      </c>
      <c r="J90" s="62">
        <f t="shared" ref="J90:J108" ca="1" si="37">L90+O90</f>
        <v>0</v>
      </c>
      <c r="K90" s="104">
        <f t="shared" ref="K90:K108" ca="1" si="38">IF(C90&gt;0,J90*100/C90,0)</f>
        <v>0</v>
      </c>
      <c r="L90" s="62">
        <f ca="1">IFERROR(__xludf.DUMMYFUNCTION("IMPORTRANGE(""https://docs.google.com/spreadsheets/d/1-uDff_7J0KD5mKrp0Vvzr7lt3OU09vwQwhkpOPPYv2Y/edit?usp=sharing"",""งบพรบ!EP90"")"),0)</f>
        <v>0</v>
      </c>
      <c r="M90" s="65">
        <f t="shared" ref="M90:M108" ca="1" si="39">IF(D90&gt;0,L90*100/D90,0)</f>
        <v>0</v>
      </c>
      <c r="N90" s="65">
        <f t="shared" ref="N90:N108" ca="1" si="40">IF(H90&gt;0,L90*100/H90,0)</f>
        <v>0</v>
      </c>
      <c r="O90" s="66">
        <f ca="1">IFERROR(__xludf.DUMMYFUNCTION("IMPORTRANGE(""https://docs.google.com/spreadsheets/d/1-uDff_7J0KD5mKrp0Vvzr7lt3OU09vwQwhkpOPPYv2Y/edit?usp=sharing"",""งบพรบ!EQ90"")"),0)</f>
        <v>0</v>
      </c>
      <c r="P90" s="66">
        <f t="shared" ref="P90:P108" ca="1" si="41">IF(G90&gt;0,O90*100/G90,0)</f>
        <v>0</v>
      </c>
      <c r="Q90" s="65">
        <f t="shared" ref="Q90:Q108" ca="1" si="42">IF(I90&gt;0,O90*100/I90,0)</f>
        <v>0</v>
      </c>
      <c r="R90" s="62"/>
      <c r="S90" s="62"/>
      <c r="T90" s="65"/>
    </row>
    <row r="91" spans="1:20" ht="24" customHeight="1" x14ac:dyDescent="0.3">
      <c r="A91" s="105"/>
      <c r="B91" s="106" t="s">
        <v>119</v>
      </c>
      <c r="C91" s="173">
        <f t="shared" ca="1" si="35"/>
        <v>0</v>
      </c>
      <c r="D91" s="174">
        <f t="shared" ca="1" si="36"/>
        <v>0</v>
      </c>
      <c r="E91" s="74">
        <f ca="1">IFERROR(__xludf.DUMMYFUNCTION("IMPORTRANGE(""https://docs.google.com/spreadsheets/d/1-uDff_7J0KD5mKrp0Vvzr7lt3OU09vwQwhkpOPPYv2Y/edit?usp=sharing"",""งบพรบ!EJ91"")"),0)</f>
        <v>0</v>
      </c>
      <c r="F91" s="74">
        <f ca="1">IFERROR(__xludf.DUMMYFUNCTION("IMPORTRANGE(""https://docs.google.com/spreadsheets/d/1-uDff_7J0KD5mKrp0Vvzr7lt3OU09vwQwhkpOPPYv2Y/edit?usp=sharing"",""งบพรบ!EK91"")"),0)</f>
        <v>0</v>
      </c>
      <c r="G91" s="74">
        <f ca="1">IFERROR(__xludf.DUMMYFUNCTION("IMPORTRANGE(""https://docs.google.com/spreadsheets/d/1-uDff_7J0KD5mKrp0Vvzr7lt3OU09vwQwhkpOPPYv2Y/edit?usp=sharing"",""งบพรบ!EL91"")"),0)</f>
        <v>0</v>
      </c>
      <c r="H91" s="74">
        <f ca="1">IFERROR(__xludf.DUMMYFUNCTION("IMPORTRANGE(""https://docs.google.com/spreadsheets/d/1-uDff_7J0KD5mKrp0Vvzr7lt3OU09vwQwhkpOPPYv2Y/edit?usp=sharing"",""งบพรบ!EN91"")"),0)</f>
        <v>0</v>
      </c>
      <c r="I91" s="74">
        <f ca="1">IFERROR(__xludf.DUMMYFUNCTION("IMPORTRANGE(""https://docs.google.com/spreadsheets/d/1-uDff_7J0KD5mKrp0Vvzr7lt3OU09vwQwhkpOPPYv2Y/edit?usp=sharing"",""งบพรบ!EO91"")"),0)</f>
        <v>0</v>
      </c>
      <c r="J91" s="74">
        <f t="shared" ca="1" si="37"/>
        <v>0</v>
      </c>
      <c r="K91" s="75">
        <f t="shared" ca="1" si="38"/>
        <v>0</v>
      </c>
      <c r="L91" s="74">
        <f ca="1">IFERROR(__xludf.DUMMYFUNCTION("IMPORTRANGE(""https://docs.google.com/spreadsheets/d/1-uDff_7J0KD5mKrp0Vvzr7lt3OU09vwQwhkpOPPYv2Y/edit?usp=sharing"",""งบพรบ!EP91"")"),0)</f>
        <v>0</v>
      </c>
      <c r="M91" s="76">
        <f t="shared" ca="1" si="39"/>
        <v>0</v>
      </c>
      <c r="N91" s="76">
        <f t="shared" ca="1" si="40"/>
        <v>0</v>
      </c>
      <c r="O91" s="77">
        <f ca="1">IFERROR(__xludf.DUMMYFUNCTION("IMPORTRANGE(""https://docs.google.com/spreadsheets/d/1-uDff_7J0KD5mKrp0Vvzr7lt3OU09vwQwhkpOPPYv2Y/edit?usp=sharing"",""งบพรบ!EQ91"")"),0)</f>
        <v>0</v>
      </c>
      <c r="P91" s="77">
        <f t="shared" ca="1" si="41"/>
        <v>0</v>
      </c>
      <c r="Q91" s="76">
        <f t="shared" ca="1" si="42"/>
        <v>0</v>
      </c>
      <c r="R91" s="74"/>
      <c r="S91" s="74"/>
      <c r="T91" s="76"/>
    </row>
    <row r="92" spans="1:20" ht="24" customHeight="1" x14ac:dyDescent="0.3">
      <c r="A92" s="105"/>
      <c r="B92" s="106" t="s">
        <v>120</v>
      </c>
      <c r="C92" s="173">
        <f t="shared" ca="1" si="35"/>
        <v>0</v>
      </c>
      <c r="D92" s="174">
        <f t="shared" ca="1" si="36"/>
        <v>0</v>
      </c>
      <c r="E92" s="74">
        <f ca="1">IFERROR(__xludf.DUMMYFUNCTION("IMPORTRANGE(""https://docs.google.com/spreadsheets/d/1-uDff_7J0KD5mKrp0Vvzr7lt3OU09vwQwhkpOPPYv2Y/edit?usp=sharing"",""งบพรบ!EJ92"")"),0)</f>
        <v>0</v>
      </c>
      <c r="F92" s="74">
        <f ca="1">IFERROR(__xludf.DUMMYFUNCTION("IMPORTRANGE(""https://docs.google.com/spreadsheets/d/1-uDff_7J0KD5mKrp0Vvzr7lt3OU09vwQwhkpOPPYv2Y/edit?usp=sharing"",""งบพรบ!EK92"")"),0)</f>
        <v>0</v>
      </c>
      <c r="G92" s="74">
        <f ca="1">IFERROR(__xludf.DUMMYFUNCTION("IMPORTRANGE(""https://docs.google.com/spreadsheets/d/1-uDff_7J0KD5mKrp0Vvzr7lt3OU09vwQwhkpOPPYv2Y/edit?usp=sharing"",""งบพรบ!EL92"")"),0)</f>
        <v>0</v>
      </c>
      <c r="H92" s="74">
        <f ca="1">IFERROR(__xludf.DUMMYFUNCTION("IMPORTRANGE(""https://docs.google.com/spreadsheets/d/1-uDff_7J0KD5mKrp0Vvzr7lt3OU09vwQwhkpOPPYv2Y/edit?usp=sharing"",""งบพรบ!EN92"")"),0)</f>
        <v>0</v>
      </c>
      <c r="I92" s="74">
        <f ca="1">IFERROR(__xludf.DUMMYFUNCTION("IMPORTRANGE(""https://docs.google.com/spreadsheets/d/1-uDff_7J0KD5mKrp0Vvzr7lt3OU09vwQwhkpOPPYv2Y/edit?usp=sharing"",""งบพรบ!EO92"")"),0)</f>
        <v>0</v>
      </c>
      <c r="J92" s="74">
        <f t="shared" ca="1" si="37"/>
        <v>0</v>
      </c>
      <c r="K92" s="75">
        <f t="shared" ca="1" si="38"/>
        <v>0</v>
      </c>
      <c r="L92" s="74">
        <f ca="1">IFERROR(__xludf.DUMMYFUNCTION("IMPORTRANGE(""https://docs.google.com/spreadsheets/d/1-uDff_7J0KD5mKrp0Vvzr7lt3OU09vwQwhkpOPPYv2Y/edit?usp=sharing"",""งบพรบ!EP92"")"),0)</f>
        <v>0</v>
      </c>
      <c r="M92" s="76">
        <f t="shared" ca="1" si="39"/>
        <v>0</v>
      </c>
      <c r="N92" s="76">
        <f t="shared" ca="1" si="40"/>
        <v>0</v>
      </c>
      <c r="O92" s="77">
        <f ca="1">IFERROR(__xludf.DUMMYFUNCTION("IMPORTRANGE(""https://docs.google.com/spreadsheets/d/1-uDff_7J0KD5mKrp0Vvzr7lt3OU09vwQwhkpOPPYv2Y/edit?usp=sharing"",""งบพรบ!EQ92"")"),0)</f>
        <v>0</v>
      </c>
      <c r="P92" s="77">
        <f t="shared" ca="1" si="41"/>
        <v>0</v>
      </c>
      <c r="Q92" s="76">
        <f t="shared" ca="1" si="42"/>
        <v>0</v>
      </c>
      <c r="R92" s="74"/>
      <c r="S92" s="74"/>
      <c r="T92" s="76"/>
    </row>
    <row r="93" spans="1:20" ht="24" customHeight="1" x14ac:dyDescent="0.3">
      <c r="A93" s="105"/>
      <c r="B93" s="106" t="s">
        <v>121</v>
      </c>
      <c r="C93" s="173">
        <f t="shared" ca="1" si="35"/>
        <v>0</v>
      </c>
      <c r="D93" s="174">
        <f t="shared" ca="1" si="36"/>
        <v>0</v>
      </c>
      <c r="E93" s="74">
        <f ca="1">IFERROR(__xludf.DUMMYFUNCTION("IMPORTRANGE(""https://docs.google.com/spreadsheets/d/1-uDff_7J0KD5mKrp0Vvzr7lt3OU09vwQwhkpOPPYv2Y/edit?usp=sharing"",""งบพรบ!EJ93"")"),0)</f>
        <v>0</v>
      </c>
      <c r="F93" s="74">
        <f ca="1">IFERROR(__xludf.DUMMYFUNCTION("IMPORTRANGE(""https://docs.google.com/spreadsheets/d/1-uDff_7J0KD5mKrp0Vvzr7lt3OU09vwQwhkpOPPYv2Y/edit?usp=sharing"",""งบพรบ!EK93"")"),0)</f>
        <v>0</v>
      </c>
      <c r="G93" s="74">
        <f ca="1">IFERROR(__xludf.DUMMYFUNCTION("IMPORTRANGE(""https://docs.google.com/spreadsheets/d/1-uDff_7J0KD5mKrp0Vvzr7lt3OU09vwQwhkpOPPYv2Y/edit?usp=sharing"",""งบพรบ!EL93"")"),0)</f>
        <v>0</v>
      </c>
      <c r="H93" s="74">
        <f ca="1">IFERROR(__xludf.DUMMYFUNCTION("IMPORTRANGE(""https://docs.google.com/spreadsheets/d/1-uDff_7J0KD5mKrp0Vvzr7lt3OU09vwQwhkpOPPYv2Y/edit?usp=sharing"",""งบพรบ!EN93"")"),650000)</f>
        <v>650000</v>
      </c>
      <c r="I93" s="74">
        <f ca="1">IFERROR(__xludf.DUMMYFUNCTION("IMPORTRANGE(""https://docs.google.com/spreadsheets/d/1-uDff_7J0KD5mKrp0Vvzr7lt3OU09vwQwhkpOPPYv2Y/edit?usp=sharing"",""งบพรบ!EO93"")"),0)</f>
        <v>0</v>
      </c>
      <c r="J93" s="74">
        <f t="shared" ca="1" si="37"/>
        <v>250000</v>
      </c>
      <c r="K93" s="75">
        <f t="shared" ca="1" si="38"/>
        <v>0</v>
      </c>
      <c r="L93" s="74">
        <f ca="1">IFERROR(__xludf.DUMMYFUNCTION("IMPORTRANGE(""https://docs.google.com/spreadsheets/d/1-uDff_7J0KD5mKrp0Vvzr7lt3OU09vwQwhkpOPPYv2Y/edit?usp=sharing"",""งบพรบ!EP93"")"),250000)</f>
        <v>250000</v>
      </c>
      <c r="M93" s="76">
        <f t="shared" ca="1" si="39"/>
        <v>0</v>
      </c>
      <c r="N93" s="76">
        <f t="shared" ca="1" si="40"/>
        <v>38.46153846153846</v>
      </c>
      <c r="O93" s="77">
        <f ca="1">IFERROR(__xludf.DUMMYFUNCTION("IMPORTRANGE(""https://docs.google.com/spreadsheets/d/1-uDff_7J0KD5mKrp0Vvzr7lt3OU09vwQwhkpOPPYv2Y/edit?usp=sharing"",""งบพรบ!EQ93"")"),0)</f>
        <v>0</v>
      </c>
      <c r="P93" s="77">
        <f t="shared" ca="1" si="41"/>
        <v>0</v>
      </c>
      <c r="Q93" s="76">
        <f t="shared" ca="1" si="42"/>
        <v>0</v>
      </c>
      <c r="R93" s="74"/>
      <c r="S93" s="74"/>
      <c r="T93" s="76"/>
    </row>
    <row r="94" spans="1:20" ht="24" customHeight="1" x14ac:dyDescent="0.3">
      <c r="A94" s="105"/>
      <c r="B94" s="106" t="s">
        <v>122</v>
      </c>
      <c r="C94" s="173">
        <f t="shared" ca="1" si="35"/>
        <v>0</v>
      </c>
      <c r="D94" s="174">
        <f t="shared" ca="1" si="36"/>
        <v>0</v>
      </c>
      <c r="E94" s="74">
        <f ca="1">IFERROR(__xludf.DUMMYFUNCTION("IMPORTRANGE(""https://docs.google.com/spreadsheets/d/1-uDff_7J0KD5mKrp0Vvzr7lt3OU09vwQwhkpOPPYv2Y/edit?usp=sharing"",""งบพรบ!EJ94"")"),0)</f>
        <v>0</v>
      </c>
      <c r="F94" s="74">
        <f ca="1">IFERROR(__xludf.DUMMYFUNCTION("IMPORTRANGE(""https://docs.google.com/spreadsheets/d/1-uDff_7J0KD5mKrp0Vvzr7lt3OU09vwQwhkpOPPYv2Y/edit?usp=sharing"",""งบพรบ!EK94"")"),0)</f>
        <v>0</v>
      </c>
      <c r="G94" s="74">
        <f ca="1">IFERROR(__xludf.DUMMYFUNCTION("IMPORTRANGE(""https://docs.google.com/spreadsheets/d/1-uDff_7J0KD5mKrp0Vvzr7lt3OU09vwQwhkpOPPYv2Y/edit?usp=sharing"",""งบพรบ!EL94"")"),0)</f>
        <v>0</v>
      </c>
      <c r="H94" s="74">
        <f ca="1">IFERROR(__xludf.DUMMYFUNCTION("IMPORTRANGE(""https://docs.google.com/spreadsheets/d/1-uDff_7J0KD5mKrp0Vvzr7lt3OU09vwQwhkpOPPYv2Y/edit?usp=sharing"",""งบพรบ!EN94"")"),0)</f>
        <v>0</v>
      </c>
      <c r="I94" s="74">
        <f ca="1">IFERROR(__xludf.DUMMYFUNCTION("IMPORTRANGE(""https://docs.google.com/spreadsheets/d/1-uDff_7J0KD5mKrp0Vvzr7lt3OU09vwQwhkpOPPYv2Y/edit?usp=sharing"",""งบพรบ!EO94"")"),0)</f>
        <v>0</v>
      </c>
      <c r="J94" s="74">
        <f t="shared" ca="1" si="37"/>
        <v>0</v>
      </c>
      <c r="K94" s="75">
        <f t="shared" ca="1" si="38"/>
        <v>0</v>
      </c>
      <c r="L94" s="74">
        <f ca="1">IFERROR(__xludf.DUMMYFUNCTION("IMPORTRANGE(""https://docs.google.com/spreadsheets/d/1-uDff_7J0KD5mKrp0Vvzr7lt3OU09vwQwhkpOPPYv2Y/edit?usp=sharing"",""งบพรบ!EP94"")"),0)</f>
        <v>0</v>
      </c>
      <c r="M94" s="76">
        <f t="shared" ca="1" si="39"/>
        <v>0</v>
      </c>
      <c r="N94" s="76">
        <f t="shared" ca="1" si="40"/>
        <v>0</v>
      </c>
      <c r="O94" s="77">
        <f ca="1">IFERROR(__xludf.DUMMYFUNCTION("IMPORTRANGE(""https://docs.google.com/spreadsheets/d/1-uDff_7J0KD5mKrp0Vvzr7lt3OU09vwQwhkpOPPYv2Y/edit?usp=sharing"",""งบพรบ!EQ94"")"),0)</f>
        <v>0</v>
      </c>
      <c r="P94" s="77">
        <f t="shared" ca="1" si="41"/>
        <v>0</v>
      </c>
      <c r="Q94" s="76">
        <f t="shared" ca="1" si="42"/>
        <v>0</v>
      </c>
      <c r="R94" s="74"/>
      <c r="S94" s="74"/>
      <c r="T94" s="76"/>
    </row>
    <row r="95" spans="1:20" ht="24" customHeight="1" x14ac:dyDescent="0.3">
      <c r="A95" s="105"/>
      <c r="B95" s="106" t="s">
        <v>123</v>
      </c>
      <c r="C95" s="173">
        <f t="shared" ca="1" si="35"/>
        <v>740100</v>
      </c>
      <c r="D95" s="174">
        <f t="shared" ca="1" si="36"/>
        <v>740100</v>
      </c>
      <c r="E95" s="74">
        <f ca="1">IFERROR(__xludf.DUMMYFUNCTION("IMPORTRANGE(""https://docs.google.com/spreadsheets/d/1-uDff_7J0KD5mKrp0Vvzr7lt3OU09vwQwhkpOPPYv2Y/edit?usp=sharing"",""งบพรบ!EJ95"")"),0)</f>
        <v>0</v>
      </c>
      <c r="F95" s="74">
        <f ca="1">IFERROR(__xludf.DUMMYFUNCTION("IMPORTRANGE(""https://docs.google.com/spreadsheets/d/1-uDff_7J0KD5mKrp0Vvzr7lt3OU09vwQwhkpOPPYv2Y/edit?usp=sharing"",""งบพรบ!EK95"")"),740100)</f>
        <v>740100</v>
      </c>
      <c r="G95" s="74">
        <f ca="1">IFERROR(__xludf.DUMMYFUNCTION("IMPORTRANGE(""https://docs.google.com/spreadsheets/d/1-uDff_7J0KD5mKrp0Vvzr7lt3OU09vwQwhkpOPPYv2Y/edit?usp=sharing"",""งบพรบ!EL95"")"),0)</f>
        <v>0</v>
      </c>
      <c r="H95" s="74">
        <f ca="1">IFERROR(__xludf.DUMMYFUNCTION("IMPORTRANGE(""https://docs.google.com/spreadsheets/d/1-uDff_7J0KD5mKrp0Vvzr7lt3OU09vwQwhkpOPPYv2Y/edit?usp=sharing"",""งบพรบ!EN95"")"),30600)</f>
        <v>30600</v>
      </c>
      <c r="I95" s="74">
        <f ca="1">IFERROR(__xludf.DUMMYFUNCTION("IMPORTRANGE(""https://docs.google.com/spreadsheets/d/1-uDff_7J0KD5mKrp0Vvzr7lt3OU09vwQwhkpOPPYv2Y/edit?usp=sharing"",""งบพรบ!EO95"")"),0)</f>
        <v>0</v>
      </c>
      <c r="J95" s="74">
        <f t="shared" ca="1" si="37"/>
        <v>7580.95</v>
      </c>
      <c r="K95" s="75">
        <f t="shared" ca="1" si="38"/>
        <v>1.0243142818538036</v>
      </c>
      <c r="L95" s="74">
        <f ca="1">IFERROR(__xludf.DUMMYFUNCTION("IMPORTRANGE(""https://docs.google.com/spreadsheets/d/1-uDff_7J0KD5mKrp0Vvzr7lt3OU09vwQwhkpOPPYv2Y/edit?usp=sharing"",""งบพรบ!EP95"")"),7580.95)</f>
        <v>7580.95</v>
      </c>
      <c r="M95" s="76">
        <f t="shared" ca="1" si="39"/>
        <v>1.0243142818538036</v>
      </c>
      <c r="N95" s="76">
        <f t="shared" ca="1" si="40"/>
        <v>24.774346405228759</v>
      </c>
      <c r="O95" s="77">
        <f ca="1">IFERROR(__xludf.DUMMYFUNCTION("IMPORTRANGE(""https://docs.google.com/spreadsheets/d/1-uDff_7J0KD5mKrp0Vvzr7lt3OU09vwQwhkpOPPYv2Y/edit?usp=sharing"",""งบพรบ!EQ95"")"),0)</f>
        <v>0</v>
      </c>
      <c r="P95" s="77">
        <f t="shared" ca="1" si="41"/>
        <v>0</v>
      </c>
      <c r="Q95" s="76">
        <f t="shared" ca="1" si="42"/>
        <v>0</v>
      </c>
      <c r="R95" s="74"/>
      <c r="S95" s="74"/>
      <c r="T95" s="76"/>
    </row>
    <row r="96" spans="1:20" ht="24" customHeight="1" x14ac:dyDescent="0.3">
      <c r="A96" s="105"/>
      <c r="B96" s="106" t="s">
        <v>124</v>
      </c>
      <c r="C96" s="173">
        <f t="shared" ca="1" si="35"/>
        <v>0</v>
      </c>
      <c r="D96" s="174">
        <f t="shared" ca="1" si="36"/>
        <v>0</v>
      </c>
      <c r="E96" s="74">
        <f ca="1">IFERROR(__xludf.DUMMYFUNCTION("IMPORTRANGE(""https://docs.google.com/spreadsheets/d/1-uDff_7J0KD5mKrp0Vvzr7lt3OU09vwQwhkpOPPYv2Y/edit?usp=sharing"",""งบพรบ!EJ96"")"),0)</f>
        <v>0</v>
      </c>
      <c r="F96" s="74">
        <f ca="1">IFERROR(__xludf.DUMMYFUNCTION("IMPORTRANGE(""https://docs.google.com/spreadsheets/d/1-uDff_7J0KD5mKrp0Vvzr7lt3OU09vwQwhkpOPPYv2Y/edit?usp=sharing"",""งบพรบ!EK96"")"),0)</f>
        <v>0</v>
      </c>
      <c r="G96" s="74">
        <f ca="1">IFERROR(__xludf.DUMMYFUNCTION("IMPORTRANGE(""https://docs.google.com/spreadsheets/d/1-uDff_7J0KD5mKrp0Vvzr7lt3OU09vwQwhkpOPPYv2Y/edit?usp=sharing"",""งบพรบ!EL96"")"),0)</f>
        <v>0</v>
      </c>
      <c r="H96" s="74">
        <f ca="1">IFERROR(__xludf.DUMMYFUNCTION("IMPORTRANGE(""https://docs.google.com/spreadsheets/d/1-uDff_7J0KD5mKrp0Vvzr7lt3OU09vwQwhkpOPPYv2Y/edit?usp=sharing"",""งบพรบ!EN96"")"),0)</f>
        <v>0</v>
      </c>
      <c r="I96" s="74">
        <f ca="1">IFERROR(__xludf.DUMMYFUNCTION("IMPORTRANGE(""https://docs.google.com/spreadsheets/d/1-uDff_7J0KD5mKrp0Vvzr7lt3OU09vwQwhkpOPPYv2Y/edit?usp=sharing"",""งบพรบ!EO96"")"),0)</f>
        <v>0</v>
      </c>
      <c r="J96" s="74">
        <f t="shared" ca="1" si="37"/>
        <v>0</v>
      </c>
      <c r="K96" s="75">
        <f t="shared" ca="1" si="38"/>
        <v>0</v>
      </c>
      <c r="L96" s="74">
        <f ca="1">IFERROR(__xludf.DUMMYFUNCTION("IMPORTRANGE(""https://docs.google.com/spreadsheets/d/1-uDff_7J0KD5mKrp0Vvzr7lt3OU09vwQwhkpOPPYv2Y/edit?usp=sharing"",""งบพรบ!EP96"")"),0)</f>
        <v>0</v>
      </c>
      <c r="M96" s="76">
        <f t="shared" ca="1" si="39"/>
        <v>0</v>
      </c>
      <c r="N96" s="76">
        <f t="shared" ca="1" si="40"/>
        <v>0</v>
      </c>
      <c r="O96" s="77">
        <f ca="1">IFERROR(__xludf.DUMMYFUNCTION("IMPORTRANGE(""https://docs.google.com/spreadsheets/d/1-uDff_7J0KD5mKrp0Vvzr7lt3OU09vwQwhkpOPPYv2Y/edit?usp=sharing"",""งบพรบ!EQ96"")"),0)</f>
        <v>0</v>
      </c>
      <c r="P96" s="77">
        <f t="shared" ca="1" si="41"/>
        <v>0</v>
      </c>
      <c r="Q96" s="76">
        <f t="shared" ca="1" si="42"/>
        <v>0</v>
      </c>
      <c r="R96" s="74"/>
      <c r="S96" s="74"/>
      <c r="T96" s="76"/>
    </row>
    <row r="97" spans="1:20" ht="24" customHeight="1" x14ac:dyDescent="0.3">
      <c r="A97" s="105"/>
      <c r="B97" s="106" t="s">
        <v>125</v>
      </c>
      <c r="C97" s="173">
        <f t="shared" ca="1" si="35"/>
        <v>0</v>
      </c>
      <c r="D97" s="174">
        <f t="shared" ca="1" si="36"/>
        <v>0</v>
      </c>
      <c r="E97" s="74">
        <f ca="1">IFERROR(__xludf.DUMMYFUNCTION("IMPORTRANGE(""https://docs.google.com/spreadsheets/d/1-uDff_7J0KD5mKrp0Vvzr7lt3OU09vwQwhkpOPPYv2Y/edit?usp=sharing"",""งบพรบ!EJ97"")"),0)</f>
        <v>0</v>
      </c>
      <c r="F97" s="74">
        <f ca="1">IFERROR(__xludf.DUMMYFUNCTION("IMPORTRANGE(""https://docs.google.com/spreadsheets/d/1-uDff_7J0KD5mKrp0Vvzr7lt3OU09vwQwhkpOPPYv2Y/edit?usp=sharing"",""งบพรบ!EK97"")"),0)</f>
        <v>0</v>
      </c>
      <c r="G97" s="74">
        <f ca="1">IFERROR(__xludf.DUMMYFUNCTION("IMPORTRANGE(""https://docs.google.com/spreadsheets/d/1-uDff_7J0KD5mKrp0Vvzr7lt3OU09vwQwhkpOPPYv2Y/edit?usp=sharing"",""งบพรบ!EL97"")"),0)</f>
        <v>0</v>
      </c>
      <c r="H97" s="74">
        <f ca="1">IFERROR(__xludf.DUMMYFUNCTION("IMPORTRANGE(""https://docs.google.com/spreadsheets/d/1-uDff_7J0KD5mKrp0Vvzr7lt3OU09vwQwhkpOPPYv2Y/edit?usp=sharing"",""งบพรบ!EN97"")"),0)</f>
        <v>0</v>
      </c>
      <c r="I97" s="74">
        <f ca="1">IFERROR(__xludf.DUMMYFUNCTION("IMPORTRANGE(""https://docs.google.com/spreadsheets/d/1-uDff_7J0KD5mKrp0Vvzr7lt3OU09vwQwhkpOPPYv2Y/edit?usp=sharing"",""งบพรบ!EO97"")"),0)</f>
        <v>0</v>
      </c>
      <c r="J97" s="74">
        <f t="shared" ca="1" si="37"/>
        <v>0</v>
      </c>
      <c r="K97" s="75">
        <f t="shared" ca="1" si="38"/>
        <v>0</v>
      </c>
      <c r="L97" s="74">
        <f ca="1">IFERROR(__xludf.DUMMYFUNCTION("IMPORTRANGE(""https://docs.google.com/spreadsheets/d/1-uDff_7J0KD5mKrp0Vvzr7lt3OU09vwQwhkpOPPYv2Y/edit?usp=sharing"",""งบพรบ!EP97"")"),0)</f>
        <v>0</v>
      </c>
      <c r="M97" s="76">
        <f t="shared" ca="1" si="39"/>
        <v>0</v>
      </c>
      <c r="N97" s="76">
        <f t="shared" ca="1" si="40"/>
        <v>0</v>
      </c>
      <c r="O97" s="77">
        <f ca="1">IFERROR(__xludf.DUMMYFUNCTION("IMPORTRANGE(""https://docs.google.com/spreadsheets/d/1-uDff_7J0KD5mKrp0Vvzr7lt3OU09vwQwhkpOPPYv2Y/edit?usp=sharing"",""งบพรบ!EQ97"")"),0)</f>
        <v>0</v>
      </c>
      <c r="P97" s="77">
        <f t="shared" ca="1" si="41"/>
        <v>0</v>
      </c>
      <c r="Q97" s="76">
        <f t="shared" ca="1" si="42"/>
        <v>0</v>
      </c>
      <c r="R97" s="74"/>
      <c r="S97" s="74"/>
      <c r="T97" s="76"/>
    </row>
    <row r="98" spans="1:20" ht="24" customHeight="1" x14ac:dyDescent="0.3">
      <c r="A98" s="105"/>
      <c r="B98" s="106" t="s">
        <v>126</v>
      </c>
      <c r="C98" s="173">
        <f t="shared" ca="1" si="35"/>
        <v>1589500</v>
      </c>
      <c r="D98" s="174">
        <f t="shared" ca="1" si="36"/>
        <v>1589500</v>
      </c>
      <c r="E98" s="74">
        <f ca="1">IFERROR(__xludf.DUMMYFUNCTION("IMPORTRANGE(""https://docs.google.com/spreadsheets/d/1-uDff_7J0KD5mKrp0Vvzr7lt3OU09vwQwhkpOPPYv2Y/edit?usp=sharing"",""งบพรบ!EJ98"")"),1589500)</f>
        <v>1589500</v>
      </c>
      <c r="F98" s="74">
        <f ca="1">IFERROR(__xludf.DUMMYFUNCTION("IMPORTRANGE(""https://docs.google.com/spreadsheets/d/1-uDff_7J0KD5mKrp0Vvzr7lt3OU09vwQwhkpOPPYv2Y/edit?usp=sharing"",""งบพรบ!EK98"")"),0)</f>
        <v>0</v>
      </c>
      <c r="G98" s="74">
        <f ca="1">IFERROR(__xludf.DUMMYFUNCTION("IMPORTRANGE(""https://docs.google.com/spreadsheets/d/1-uDff_7J0KD5mKrp0Vvzr7lt3OU09vwQwhkpOPPYv2Y/edit?usp=sharing"",""งบพรบ!EL98"")"),0)</f>
        <v>0</v>
      </c>
      <c r="H98" s="74">
        <f ca="1">IFERROR(__xludf.DUMMYFUNCTION("IMPORTRANGE(""https://docs.google.com/spreadsheets/d/1-uDff_7J0KD5mKrp0Vvzr7lt3OU09vwQwhkpOPPYv2Y/edit?usp=sharing"",""งบพรบ!EN98"")"),1589500)</f>
        <v>1589500</v>
      </c>
      <c r="I98" s="74">
        <f ca="1">IFERROR(__xludf.DUMMYFUNCTION("IMPORTRANGE(""https://docs.google.com/spreadsheets/d/1-uDff_7J0KD5mKrp0Vvzr7lt3OU09vwQwhkpOPPYv2Y/edit?usp=sharing"",""งบพรบ!EO98"")"),0)</f>
        <v>0</v>
      </c>
      <c r="J98" s="74">
        <f t="shared" ca="1" si="37"/>
        <v>1029118.46</v>
      </c>
      <c r="K98" s="75">
        <f t="shared" ca="1" si="38"/>
        <v>64.744791443850261</v>
      </c>
      <c r="L98" s="74">
        <f ca="1">IFERROR(__xludf.DUMMYFUNCTION("IMPORTRANGE(""https://docs.google.com/spreadsheets/d/1-uDff_7J0KD5mKrp0Vvzr7lt3OU09vwQwhkpOPPYv2Y/edit?usp=sharing"",""งบพรบ!EP98"")"),1029118.46)</f>
        <v>1029118.46</v>
      </c>
      <c r="M98" s="76">
        <f t="shared" ca="1" si="39"/>
        <v>64.744791443850261</v>
      </c>
      <c r="N98" s="76">
        <f t="shared" ca="1" si="40"/>
        <v>64.744791443850261</v>
      </c>
      <c r="O98" s="77">
        <f ca="1">IFERROR(__xludf.DUMMYFUNCTION("IMPORTRANGE(""https://docs.google.com/spreadsheets/d/1-uDff_7J0KD5mKrp0Vvzr7lt3OU09vwQwhkpOPPYv2Y/edit?usp=sharing"",""งบพรบ!EQ98"")"),0)</f>
        <v>0</v>
      </c>
      <c r="P98" s="77">
        <f t="shared" ca="1" si="41"/>
        <v>0</v>
      </c>
      <c r="Q98" s="76">
        <f t="shared" ca="1" si="42"/>
        <v>0</v>
      </c>
      <c r="R98" s="74"/>
      <c r="S98" s="74"/>
      <c r="T98" s="76"/>
    </row>
    <row r="99" spans="1:20" ht="24" customHeight="1" x14ac:dyDescent="0.3">
      <c r="A99" s="105"/>
      <c r="B99" s="106" t="s">
        <v>127</v>
      </c>
      <c r="C99" s="173">
        <f t="shared" ca="1" si="35"/>
        <v>0</v>
      </c>
      <c r="D99" s="174">
        <f t="shared" ca="1" si="36"/>
        <v>0</v>
      </c>
      <c r="E99" s="74">
        <f ca="1">IFERROR(__xludf.DUMMYFUNCTION("IMPORTRANGE(""https://docs.google.com/spreadsheets/d/1-uDff_7J0KD5mKrp0Vvzr7lt3OU09vwQwhkpOPPYv2Y/edit?usp=sharing"",""งบพรบ!EJ99"")"),0)</f>
        <v>0</v>
      </c>
      <c r="F99" s="74">
        <f ca="1">IFERROR(__xludf.DUMMYFUNCTION("IMPORTRANGE(""https://docs.google.com/spreadsheets/d/1-uDff_7J0KD5mKrp0Vvzr7lt3OU09vwQwhkpOPPYv2Y/edit?usp=sharing"",""งบพรบ!EK99"")"),0)</f>
        <v>0</v>
      </c>
      <c r="G99" s="74">
        <f ca="1">IFERROR(__xludf.DUMMYFUNCTION("IMPORTRANGE(""https://docs.google.com/spreadsheets/d/1-uDff_7J0KD5mKrp0Vvzr7lt3OU09vwQwhkpOPPYv2Y/edit?usp=sharing"",""งบพรบ!EL99"")"),0)</f>
        <v>0</v>
      </c>
      <c r="H99" s="74">
        <f ca="1">IFERROR(__xludf.DUMMYFUNCTION("IMPORTRANGE(""https://docs.google.com/spreadsheets/d/1-uDff_7J0KD5mKrp0Vvzr7lt3OU09vwQwhkpOPPYv2Y/edit?usp=sharing"",""งบพรบ!EN99"")"),0)</f>
        <v>0</v>
      </c>
      <c r="I99" s="74">
        <f ca="1">IFERROR(__xludf.DUMMYFUNCTION("IMPORTRANGE(""https://docs.google.com/spreadsheets/d/1-uDff_7J0KD5mKrp0Vvzr7lt3OU09vwQwhkpOPPYv2Y/edit?usp=sharing"",""งบพรบ!EO99"")"),0)</f>
        <v>0</v>
      </c>
      <c r="J99" s="74">
        <f t="shared" ca="1" si="37"/>
        <v>0</v>
      </c>
      <c r="K99" s="75">
        <f t="shared" ca="1" si="38"/>
        <v>0</v>
      </c>
      <c r="L99" s="74">
        <f ca="1">IFERROR(__xludf.DUMMYFUNCTION("IMPORTRANGE(""https://docs.google.com/spreadsheets/d/1-uDff_7J0KD5mKrp0Vvzr7lt3OU09vwQwhkpOPPYv2Y/edit?usp=sharing"",""งบพรบ!EP99"")"),0)</f>
        <v>0</v>
      </c>
      <c r="M99" s="76">
        <f t="shared" ca="1" si="39"/>
        <v>0</v>
      </c>
      <c r="N99" s="76">
        <f t="shared" ca="1" si="40"/>
        <v>0</v>
      </c>
      <c r="O99" s="77">
        <f ca="1">IFERROR(__xludf.DUMMYFUNCTION("IMPORTRANGE(""https://docs.google.com/spreadsheets/d/1-uDff_7J0KD5mKrp0Vvzr7lt3OU09vwQwhkpOPPYv2Y/edit?usp=sharing"",""งบพรบ!EQ99"")"),0)</f>
        <v>0</v>
      </c>
      <c r="P99" s="77">
        <f t="shared" ca="1" si="41"/>
        <v>0</v>
      </c>
      <c r="Q99" s="76">
        <f t="shared" ca="1" si="42"/>
        <v>0</v>
      </c>
      <c r="R99" s="74"/>
      <c r="S99" s="74"/>
      <c r="T99" s="76"/>
    </row>
    <row r="100" spans="1:20" ht="24" customHeight="1" x14ac:dyDescent="0.3">
      <c r="A100" s="105"/>
      <c r="B100" s="106" t="s">
        <v>128</v>
      </c>
      <c r="C100" s="173">
        <f t="shared" ca="1" si="35"/>
        <v>0</v>
      </c>
      <c r="D100" s="174">
        <f t="shared" ca="1" si="36"/>
        <v>0</v>
      </c>
      <c r="E100" s="74">
        <f ca="1">IFERROR(__xludf.DUMMYFUNCTION("IMPORTRANGE(""https://docs.google.com/spreadsheets/d/1-uDff_7J0KD5mKrp0Vvzr7lt3OU09vwQwhkpOPPYv2Y/edit?usp=sharing"",""งบพรบ!EJ100"")"),0)</f>
        <v>0</v>
      </c>
      <c r="F100" s="74">
        <f ca="1">IFERROR(__xludf.DUMMYFUNCTION("IMPORTRANGE(""https://docs.google.com/spreadsheets/d/1-uDff_7J0KD5mKrp0Vvzr7lt3OU09vwQwhkpOPPYv2Y/edit?usp=sharing"",""งบพรบ!EK100"")"),0)</f>
        <v>0</v>
      </c>
      <c r="G100" s="74">
        <f ca="1">IFERROR(__xludf.DUMMYFUNCTION("IMPORTRANGE(""https://docs.google.com/spreadsheets/d/1-uDff_7J0KD5mKrp0Vvzr7lt3OU09vwQwhkpOPPYv2Y/edit?usp=sharing"",""งบพรบ!EL100"")"),0)</f>
        <v>0</v>
      </c>
      <c r="H100" s="74">
        <f ca="1">IFERROR(__xludf.DUMMYFUNCTION("IMPORTRANGE(""https://docs.google.com/spreadsheets/d/1-uDff_7J0KD5mKrp0Vvzr7lt3OU09vwQwhkpOPPYv2Y/edit?usp=sharing"",""งบพรบ!EN100"")"),0)</f>
        <v>0</v>
      </c>
      <c r="I100" s="74">
        <f ca="1">IFERROR(__xludf.DUMMYFUNCTION("IMPORTRANGE(""https://docs.google.com/spreadsheets/d/1-uDff_7J0KD5mKrp0Vvzr7lt3OU09vwQwhkpOPPYv2Y/edit?usp=sharing"",""งบพรบ!EO100"")"),0)</f>
        <v>0</v>
      </c>
      <c r="J100" s="74">
        <f t="shared" ca="1" si="37"/>
        <v>0</v>
      </c>
      <c r="K100" s="75">
        <f t="shared" ca="1" si="38"/>
        <v>0</v>
      </c>
      <c r="L100" s="74">
        <f ca="1">IFERROR(__xludf.DUMMYFUNCTION("IMPORTRANGE(""https://docs.google.com/spreadsheets/d/1-uDff_7J0KD5mKrp0Vvzr7lt3OU09vwQwhkpOPPYv2Y/edit?usp=sharing"",""งบพรบ!EP100"")"),0)</f>
        <v>0</v>
      </c>
      <c r="M100" s="76">
        <f t="shared" ca="1" si="39"/>
        <v>0</v>
      </c>
      <c r="N100" s="76">
        <f t="shared" ca="1" si="40"/>
        <v>0</v>
      </c>
      <c r="O100" s="77">
        <f ca="1">IFERROR(__xludf.DUMMYFUNCTION("IMPORTRANGE(""https://docs.google.com/spreadsheets/d/1-uDff_7J0KD5mKrp0Vvzr7lt3OU09vwQwhkpOPPYv2Y/edit?usp=sharing"",""งบพรบ!EQ100"")"),0)</f>
        <v>0</v>
      </c>
      <c r="P100" s="77">
        <f t="shared" ca="1" si="41"/>
        <v>0</v>
      </c>
      <c r="Q100" s="76">
        <f t="shared" ca="1" si="42"/>
        <v>0</v>
      </c>
      <c r="R100" s="74"/>
      <c r="S100" s="74"/>
      <c r="T100" s="76"/>
    </row>
    <row r="101" spans="1:20" ht="24" customHeight="1" x14ac:dyDescent="0.3">
      <c r="A101" s="105"/>
      <c r="B101" s="106" t="s">
        <v>129</v>
      </c>
      <c r="C101" s="173">
        <f t="shared" ca="1" si="35"/>
        <v>0</v>
      </c>
      <c r="D101" s="174">
        <f t="shared" ca="1" si="36"/>
        <v>0</v>
      </c>
      <c r="E101" s="74">
        <f ca="1">IFERROR(__xludf.DUMMYFUNCTION("IMPORTRANGE(""https://docs.google.com/spreadsheets/d/1-uDff_7J0KD5mKrp0Vvzr7lt3OU09vwQwhkpOPPYv2Y/edit?usp=sharing"",""งบพรบ!EJ101"")"),0)</f>
        <v>0</v>
      </c>
      <c r="F101" s="74">
        <f ca="1">IFERROR(__xludf.DUMMYFUNCTION("IMPORTRANGE(""https://docs.google.com/spreadsheets/d/1-uDff_7J0KD5mKrp0Vvzr7lt3OU09vwQwhkpOPPYv2Y/edit?usp=sharing"",""งบพรบ!EK101"")"),0)</f>
        <v>0</v>
      </c>
      <c r="G101" s="74">
        <f ca="1">IFERROR(__xludf.DUMMYFUNCTION("IMPORTRANGE(""https://docs.google.com/spreadsheets/d/1-uDff_7J0KD5mKrp0Vvzr7lt3OU09vwQwhkpOPPYv2Y/edit?usp=sharing"",""งบพรบ!EL101"")"),0)</f>
        <v>0</v>
      </c>
      <c r="H101" s="74">
        <f ca="1">IFERROR(__xludf.DUMMYFUNCTION("IMPORTRANGE(""https://docs.google.com/spreadsheets/d/1-uDff_7J0KD5mKrp0Vvzr7lt3OU09vwQwhkpOPPYv2Y/edit?usp=sharing"",""งบพรบ!EN101"")"),0)</f>
        <v>0</v>
      </c>
      <c r="I101" s="74">
        <f ca="1">IFERROR(__xludf.DUMMYFUNCTION("IMPORTRANGE(""https://docs.google.com/spreadsheets/d/1-uDff_7J0KD5mKrp0Vvzr7lt3OU09vwQwhkpOPPYv2Y/edit?usp=sharing"",""งบพรบ!EO101"")"),0)</f>
        <v>0</v>
      </c>
      <c r="J101" s="74">
        <f t="shared" ca="1" si="37"/>
        <v>0</v>
      </c>
      <c r="K101" s="75">
        <f t="shared" ca="1" si="38"/>
        <v>0</v>
      </c>
      <c r="L101" s="74">
        <f ca="1">IFERROR(__xludf.DUMMYFUNCTION("IMPORTRANGE(""https://docs.google.com/spreadsheets/d/1-uDff_7J0KD5mKrp0Vvzr7lt3OU09vwQwhkpOPPYv2Y/edit?usp=sharing"",""งบพรบ!EP101"")"),0)</f>
        <v>0</v>
      </c>
      <c r="M101" s="76">
        <f t="shared" ca="1" si="39"/>
        <v>0</v>
      </c>
      <c r="N101" s="76">
        <f t="shared" ca="1" si="40"/>
        <v>0</v>
      </c>
      <c r="O101" s="77">
        <f ca="1">IFERROR(__xludf.DUMMYFUNCTION("IMPORTRANGE(""https://docs.google.com/spreadsheets/d/1-uDff_7J0KD5mKrp0Vvzr7lt3OU09vwQwhkpOPPYv2Y/edit?usp=sharing"",""งบพรบ!EQ101"")"),0)</f>
        <v>0</v>
      </c>
      <c r="P101" s="77">
        <f t="shared" ca="1" si="41"/>
        <v>0</v>
      </c>
      <c r="Q101" s="76">
        <f t="shared" ca="1" si="42"/>
        <v>0</v>
      </c>
      <c r="R101" s="74"/>
      <c r="S101" s="74"/>
      <c r="T101" s="76"/>
    </row>
    <row r="102" spans="1:20" ht="24" customHeight="1" x14ac:dyDescent="0.3">
      <c r="A102" s="105"/>
      <c r="B102" s="106" t="s">
        <v>130</v>
      </c>
      <c r="C102" s="173">
        <f t="shared" ca="1" si="35"/>
        <v>0</v>
      </c>
      <c r="D102" s="174">
        <f t="shared" ca="1" si="36"/>
        <v>0</v>
      </c>
      <c r="E102" s="74">
        <f ca="1">IFERROR(__xludf.DUMMYFUNCTION("IMPORTRANGE(""https://docs.google.com/spreadsheets/d/1-uDff_7J0KD5mKrp0Vvzr7lt3OU09vwQwhkpOPPYv2Y/edit?usp=sharing"",""งบพรบ!EJ102"")"),0)</f>
        <v>0</v>
      </c>
      <c r="F102" s="74">
        <f ca="1">IFERROR(__xludf.DUMMYFUNCTION("IMPORTRANGE(""https://docs.google.com/spreadsheets/d/1-uDff_7J0KD5mKrp0Vvzr7lt3OU09vwQwhkpOPPYv2Y/edit?usp=sharing"",""งบพรบ!EK102"")"),0)</f>
        <v>0</v>
      </c>
      <c r="G102" s="74">
        <f ca="1">IFERROR(__xludf.DUMMYFUNCTION("IMPORTRANGE(""https://docs.google.com/spreadsheets/d/1-uDff_7J0KD5mKrp0Vvzr7lt3OU09vwQwhkpOPPYv2Y/edit?usp=sharing"",""งบพรบ!EL102"")"),0)</f>
        <v>0</v>
      </c>
      <c r="H102" s="74">
        <f ca="1">IFERROR(__xludf.DUMMYFUNCTION("IMPORTRANGE(""https://docs.google.com/spreadsheets/d/1-uDff_7J0KD5mKrp0Vvzr7lt3OU09vwQwhkpOPPYv2Y/edit?usp=sharing"",""งบพรบ!EN102"")"),0)</f>
        <v>0</v>
      </c>
      <c r="I102" s="74">
        <f ca="1">IFERROR(__xludf.DUMMYFUNCTION("IMPORTRANGE(""https://docs.google.com/spreadsheets/d/1-uDff_7J0KD5mKrp0Vvzr7lt3OU09vwQwhkpOPPYv2Y/edit?usp=sharing"",""งบพรบ!EO102"")"),0)</f>
        <v>0</v>
      </c>
      <c r="J102" s="74">
        <f t="shared" ca="1" si="37"/>
        <v>0</v>
      </c>
      <c r="K102" s="75">
        <f t="shared" ca="1" si="38"/>
        <v>0</v>
      </c>
      <c r="L102" s="74">
        <f ca="1">IFERROR(__xludf.DUMMYFUNCTION("IMPORTRANGE(""https://docs.google.com/spreadsheets/d/1-uDff_7J0KD5mKrp0Vvzr7lt3OU09vwQwhkpOPPYv2Y/edit?usp=sharing"",""งบพรบ!EP102"")"),0)</f>
        <v>0</v>
      </c>
      <c r="M102" s="76">
        <f t="shared" ca="1" si="39"/>
        <v>0</v>
      </c>
      <c r="N102" s="76">
        <f t="shared" ca="1" si="40"/>
        <v>0</v>
      </c>
      <c r="O102" s="77">
        <f ca="1">IFERROR(__xludf.DUMMYFUNCTION("IMPORTRANGE(""https://docs.google.com/spreadsheets/d/1-uDff_7J0KD5mKrp0Vvzr7lt3OU09vwQwhkpOPPYv2Y/edit?usp=sharing"",""งบพรบ!EQ102"")"),0)</f>
        <v>0</v>
      </c>
      <c r="P102" s="77">
        <f t="shared" ca="1" si="41"/>
        <v>0</v>
      </c>
      <c r="Q102" s="76">
        <f t="shared" ca="1" si="42"/>
        <v>0</v>
      </c>
      <c r="R102" s="74"/>
      <c r="S102" s="74"/>
      <c r="T102" s="76"/>
    </row>
    <row r="103" spans="1:20" ht="24" customHeight="1" x14ac:dyDescent="0.3">
      <c r="A103" s="105"/>
      <c r="B103" s="106" t="s">
        <v>131</v>
      </c>
      <c r="C103" s="173">
        <f t="shared" ca="1" si="35"/>
        <v>0</v>
      </c>
      <c r="D103" s="174">
        <f t="shared" ca="1" si="36"/>
        <v>0</v>
      </c>
      <c r="E103" s="74">
        <f ca="1">IFERROR(__xludf.DUMMYFUNCTION("IMPORTRANGE(""https://docs.google.com/spreadsheets/d/1-uDff_7J0KD5mKrp0Vvzr7lt3OU09vwQwhkpOPPYv2Y/edit?usp=sharing"",""งบพรบ!EJ103"")"),0)</f>
        <v>0</v>
      </c>
      <c r="F103" s="74">
        <f ca="1">IFERROR(__xludf.DUMMYFUNCTION("IMPORTRANGE(""https://docs.google.com/spreadsheets/d/1-uDff_7J0KD5mKrp0Vvzr7lt3OU09vwQwhkpOPPYv2Y/edit?usp=sharing"",""งบพรบ!EK103"")"),0)</f>
        <v>0</v>
      </c>
      <c r="G103" s="74">
        <f ca="1">IFERROR(__xludf.DUMMYFUNCTION("IMPORTRANGE(""https://docs.google.com/spreadsheets/d/1-uDff_7J0KD5mKrp0Vvzr7lt3OU09vwQwhkpOPPYv2Y/edit?usp=sharing"",""งบพรบ!EL103"")"),0)</f>
        <v>0</v>
      </c>
      <c r="H103" s="74">
        <f ca="1">IFERROR(__xludf.DUMMYFUNCTION("IMPORTRANGE(""https://docs.google.com/spreadsheets/d/1-uDff_7J0KD5mKrp0Vvzr7lt3OU09vwQwhkpOPPYv2Y/edit?usp=sharing"",""งบพรบ!EN103"")"),0)</f>
        <v>0</v>
      </c>
      <c r="I103" s="74">
        <f ca="1">IFERROR(__xludf.DUMMYFUNCTION("IMPORTRANGE(""https://docs.google.com/spreadsheets/d/1-uDff_7J0KD5mKrp0Vvzr7lt3OU09vwQwhkpOPPYv2Y/edit?usp=sharing"",""งบพรบ!EO103"")"),0)</f>
        <v>0</v>
      </c>
      <c r="J103" s="74">
        <f t="shared" ca="1" si="37"/>
        <v>0</v>
      </c>
      <c r="K103" s="75">
        <f t="shared" ca="1" si="38"/>
        <v>0</v>
      </c>
      <c r="L103" s="74">
        <f ca="1">IFERROR(__xludf.DUMMYFUNCTION("IMPORTRANGE(""https://docs.google.com/spreadsheets/d/1-uDff_7J0KD5mKrp0Vvzr7lt3OU09vwQwhkpOPPYv2Y/edit?usp=sharing"",""งบพรบ!EP103"")"),0)</f>
        <v>0</v>
      </c>
      <c r="M103" s="76">
        <f t="shared" ca="1" si="39"/>
        <v>0</v>
      </c>
      <c r="N103" s="76">
        <f t="shared" ca="1" si="40"/>
        <v>0</v>
      </c>
      <c r="O103" s="77">
        <f ca="1">IFERROR(__xludf.DUMMYFUNCTION("IMPORTRANGE(""https://docs.google.com/spreadsheets/d/1-uDff_7J0KD5mKrp0Vvzr7lt3OU09vwQwhkpOPPYv2Y/edit?usp=sharing"",""งบพรบ!EQ103"")"),0)</f>
        <v>0</v>
      </c>
      <c r="P103" s="77">
        <f t="shared" ca="1" si="41"/>
        <v>0</v>
      </c>
      <c r="Q103" s="76">
        <f t="shared" ca="1" si="42"/>
        <v>0</v>
      </c>
      <c r="R103" s="203"/>
      <c r="S103" s="203"/>
      <c r="T103" s="108"/>
    </row>
    <row r="104" spans="1:20" ht="21" customHeight="1" x14ac:dyDescent="0.3">
      <c r="A104" s="105"/>
      <c r="B104" s="106" t="s">
        <v>132</v>
      </c>
      <c r="C104" s="173">
        <f t="shared" ca="1" si="35"/>
        <v>259600</v>
      </c>
      <c r="D104" s="174">
        <f t="shared" ca="1" si="36"/>
        <v>259600</v>
      </c>
      <c r="E104" s="74">
        <f ca="1">IFERROR(__xludf.DUMMYFUNCTION("IMPORTRANGE(""https://docs.google.com/spreadsheets/d/1-uDff_7J0KD5mKrp0Vvzr7lt3OU09vwQwhkpOPPYv2Y/edit?usp=sharing"",""งบพรบ!EJ104"")"),259600)</f>
        <v>259600</v>
      </c>
      <c r="F104" s="74">
        <f ca="1">IFERROR(__xludf.DUMMYFUNCTION("IMPORTRANGE(""https://docs.google.com/spreadsheets/d/1-uDff_7J0KD5mKrp0Vvzr7lt3OU09vwQwhkpOPPYv2Y/edit?usp=sharing"",""งบพรบ!EK104"")"),0)</f>
        <v>0</v>
      </c>
      <c r="G104" s="74">
        <f ca="1">IFERROR(__xludf.DUMMYFUNCTION("IMPORTRANGE(""https://docs.google.com/spreadsheets/d/1-uDff_7J0KD5mKrp0Vvzr7lt3OU09vwQwhkpOPPYv2Y/edit?usp=sharing"",""งบพรบ!EL104"")"),0)</f>
        <v>0</v>
      </c>
      <c r="H104" s="74">
        <f ca="1">IFERROR(__xludf.DUMMYFUNCTION("IMPORTRANGE(""https://docs.google.com/spreadsheets/d/1-uDff_7J0KD5mKrp0Vvzr7lt3OU09vwQwhkpOPPYv2Y/edit?usp=sharing"",""งบพรบ!EN104"")"),251600)</f>
        <v>251600</v>
      </c>
      <c r="I104" s="74">
        <f ca="1">IFERROR(__xludf.DUMMYFUNCTION("IMPORTRANGE(""https://docs.google.com/spreadsheets/d/1-uDff_7J0KD5mKrp0Vvzr7lt3OU09vwQwhkpOPPYv2Y/edit?usp=sharing"",""งบพรบ!EO104"")"),0)</f>
        <v>0</v>
      </c>
      <c r="J104" s="74">
        <f t="shared" ca="1" si="37"/>
        <v>196467.29</v>
      </c>
      <c r="K104" s="75">
        <f t="shared" ca="1" si="38"/>
        <v>75.68077426810477</v>
      </c>
      <c r="L104" s="74">
        <f ca="1">IFERROR(__xludf.DUMMYFUNCTION("IMPORTRANGE(""https://docs.google.com/spreadsheets/d/1-uDff_7J0KD5mKrp0Vvzr7lt3OU09vwQwhkpOPPYv2Y/edit?usp=sharing"",""งบพรบ!EP104"")"),196467.29)</f>
        <v>196467.29</v>
      </c>
      <c r="M104" s="76">
        <f t="shared" ca="1" si="39"/>
        <v>75.68077426810477</v>
      </c>
      <c r="N104" s="76">
        <f t="shared" ca="1" si="40"/>
        <v>78.087158187599357</v>
      </c>
      <c r="O104" s="77">
        <f ca="1">IFERROR(__xludf.DUMMYFUNCTION("IMPORTRANGE(""https://docs.google.com/spreadsheets/d/1-uDff_7J0KD5mKrp0Vvzr7lt3OU09vwQwhkpOPPYv2Y/edit?usp=sharing"",""งบพรบ!EQ104"")"),0)</f>
        <v>0</v>
      </c>
      <c r="P104" s="77">
        <f t="shared" ca="1" si="41"/>
        <v>0</v>
      </c>
      <c r="Q104" s="76">
        <f t="shared" ca="1" si="42"/>
        <v>0</v>
      </c>
      <c r="R104" s="287"/>
      <c r="S104" s="287"/>
      <c r="T104" s="287"/>
    </row>
    <row r="105" spans="1:20" ht="24" customHeight="1" x14ac:dyDescent="0.3">
      <c r="A105" s="105"/>
      <c r="B105" s="109" t="s">
        <v>133</v>
      </c>
      <c r="C105" s="173">
        <f t="shared" ca="1" si="35"/>
        <v>0</v>
      </c>
      <c r="D105" s="174">
        <f t="shared" ca="1" si="36"/>
        <v>0</v>
      </c>
      <c r="E105" s="74">
        <f ca="1">IFERROR(__xludf.DUMMYFUNCTION("IMPORTRANGE(""https://docs.google.com/spreadsheets/d/1-uDff_7J0KD5mKrp0Vvzr7lt3OU09vwQwhkpOPPYv2Y/edit?usp=sharing"",""งบพรบ!EJ105"")"),0)</f>
        <v>0</v>
      </c>
      <c r="F105" s="74">
        <f ca="1">IFERROR(__xludf.DUMMYFUNCTION("IMPORTRANGE(""https://docs.google.com/spreadsheets/d/1-uDff_7J0KD5mKrp0Vvzr7lt3OU09vwQwhkpOPPYv2Y/edit?usp=sharing"",""งบพรบ!EK105"")"),0)</f>
        <v>0</v>
      </c>
      <c r="G105" s="74">
        <f ca="1">IFERROR(__xludf.DUMMYFUNCTION("IMPORTRANGE(""https://docs.google.com/spreadsheets/d/1-uDff_7J0KD5mKrp0Vvzr7lt3OU09vwQwhkpOPPYv2Y/edit?usp=sharing"",""งบพรบ!EL105"")"),0)</f>
        <v>0</v>
      </c>
      <c r="H105" s="74">
        <f ca="1">IFERROR(__xludf.DUMMYFUNCTION("IMPORTRANGE(""https://docs.google.com/spreadsheets/d/1-uDff_7J0KD5mKrp0Vvzr7lt3OU09vwQwhkpOPPYv2Y/edit?usp=sharing"",""งบพรบ!EN105"")"),0)</f>
        <v>0</v>
      </c>
      <c r="I105" s="74">
        <f ca="1">IFERROR(__xludf.DUMMYFUNCTION("IMPORTRANGE(""https://docs.google.com/spreadsheets/d/1-uDff_7J0KD5mKrp0Vvzr7lt3OU09vwQwhkpOPPYv2Y/edit?usp=sharing"",""งบพรบ!EO105"")"),0)</f>
        <v>0</v>
      </c>
      <c r="J105" s="74">
        <f t="shared" ca="1" si="37"/>
        <v>0</v>
      </c>
      <c r="K105" s="75">
        <f t="shared" ca="1" si="38"/>
        <v>0</v>
      </c>
      <c r="L105" s="74">
        <f ca="1">IFERROR(__xludf.DUMMYFUNCTION("IMPORTRANGE(""https://docs.google.com/spreadsheets/d/1-uDff_7J0KD5mKrp0Vvzr7lt3OU09vwQwhkpOPPYv2Y/edit?usp=sharing"",""งบพรบ!EP105"")"),0)</f>
        <v>0</v>
      </c>
      <c r="M105" s="76">
        <f t="shared" ca="1" si="39"/>
        <v>0</v>
      </c>
      <c r="N105" s="76">
        <f t="shared" ca="1" si="40"/>
        <v>0</v>
      </c>
      <c r="O105" s="77">
        <f ca="1">IFERROR(__xludf.DUMMYFUNCTION("IMPORTRANGE(""https://docs.google.com/spreadsheets/d/1-uDff_7J0KD5mKrp0Vvzr7lt3OU09vwQwhkpOPPYv2Y/edit?usp=sharing"",""งบพรบ!EQ105"")"),0)</f>
        <v>0</v>
      </c>
      <c r="P105" s="77">
        <f t="shared" ca="1" si="41"/>
        <v>0</v>
      </c>
      <c r="Q105" s="76">
        <f t="shared" ca="1" si="42"/>
        <v>0</v>
      </c>
      <c r="R105" s="100"/>
      <c r="S105" s="100"/>
      <c r="T105" s="100"/>
    </row>
    <row r="106" spans="1:20" ht="24" customHeight="1" x14ac:dyDescent="0.3">
      <c r="A106" s="105"/>
      <c r="B106" s="109" t="s">
        <v>134</v>
      </c>
      <c r="C106" s="173">
        <f t="shared" ca="1" si="35"/>
        <v>0</v>
      </c>
      <c r="D106" s="174">
        <f t="shared" ca="1" si="36"/>
        <v>0</v>
      </c>
      <c r="E106" s="74">
        <f ca="1">IFERROR(__xludf.DUMMYFUNCTION("IMPORTRANGE(""https://docs.google.com/spreadsheets/d/1-uDff_7J0KD5mKrp0Vvzr7lt3OU09vwQwhkpOPPYv2Y/edit?usp=sharing"",""งบพรบ!EJ106"")"),0)</f>
        <v>0</v>
      </c>
      <c r="F106" s="74">
        <f ca="1">IFERROR(__xludf.DUMMYFUNCTION("IMPORTRANGE(""https://docs.google.com/spreadsheets/d/1-uDff_7J0KD5mKrp0Vvzr7lt3OU09vwQwhkpOPPYv2Y/edit?usp=sharing"",""งบพรบ!EK106"")"),0)</f>
        <v>0</v>
      </c>
      <c r="G106" s="74">
        <f ca="1">IFERROR(__xludf.DUMMYFUNCTION("IMPORTRANGE(""https://docs.google.com/spreadsheets/d/1-uDff_7J0KD5mKrp0Vvzr7lt3OU09vwQwhkpOPPYv2Y/edit?usp=sharing"",""งบพรบ!EL106"")"),0)</f>
        <v>0</v>
      </c>
      <c r="H106" s="74">
        <f ca="1">IFERROR(__xludf.DUMMYFUNCTION("IMPORTRANGE(""https://docs.google.com/spreadsheets/d/1-uDff_7J0KD5mKrp0Vvzr7lt3OU09vwQwhkpOPPYv2Y/edit?usp=sharing"",""งบพรบ!EN106"")"),0)</f>
        <v>0</v>
      </c>
      <c r="I106" s="74">
        <f ca="1">IFERROR(__xludf.DUMMYFUNCTION("IMPORTRANGE(""https://docs.google.com/spreadsheets/d/1-uDff_7J0KD5mKrp0Vvzr7lt3OU09vwQwhkpOPPYv2Y/edit?usp=sharing"",""งบพรบ!EO106"")"),0)</f>
        <v>0</v>
      </c>
      <c r="J106" s="74">
        <f t="shared" ca="1" si="37"/>
        <v>0</v>
      </c>
      <c r="K106" s="75">
        <f t="shared" ca="1" si="38"/>
        <v>0</v>
      </c>
      <c r="L106" s="74">
        <f ca="1">IFERROR(__xludf.DUMMYFUNCTION("IMPORTRANGE(""https://docs.google.com/spreadsheets/d/1-uDff_7J0KD5mKrp0Vvzr7lt3OU09vwQwhkpOPPYv2Y/edit?usp=sharing"",""งบพรบ!EP106"")"),0)</f>
        <v>0</v>
      </c>
      <c r="M106" s="76">
        <f t="shared" ca="1" si="39"/>
        <v>0</v>
      </c>
      <c r="N106" s="76">
        <f t="shared" ca="1" si="40"/>
        <v>0</v>
      </c>
      <c r="O106" s="77">
        <f ca="1">IFERROR(__xludf.DUMMYFUNCTION("IMPORTRANGE(""https://docs.google.com/spreadsheets/d/1-uDff_7J0KD5mKrp0Vvzr7lt3OU09vwQwhkpOPPYv2Y/edit?usp=sharing"",""งบพรบ!EQ106"")"),0)</f>
        <v>0</v>
      </c>
      <c r="P106" s="77">
        <f t="shared" ca="1" si="41"/>
        <v>0</v>
      </c>
      <c r="Q106" s="76">
        <f t="shared" ca="1" si="42"/>
        <v>0</v>
      </c>
      <c r="R106" s="74"/>
      <c r="S106" s="74"/>
      <c r="T106" s="74"/>
    </row>
    <row r="107" spans="1:20" ht="24" customHeight="1" x14ac:dyDescent="0.3">
      <c r="A107" s="105"/>
      <c r="B107" s="109" t="s">
        <v>26</v>
      </c>
      <c r="C107" s="173">
        <f t="shared" ca="1" si="35"/>
        <v>0</v>
      </c>
      <c r="D107" s="174">
        <f t="shared" ca="1" si="36"/>
        <v>0</v>
      </c>
      <c r="E107" s="74">
        <f ca="1">IFERROR(__xludf.DUMMYFUNCTION("IMPORTRANGE(""https://docs.google.com/spreadsheets/d/1-uDff_7J0KD5mKrp0Vvzr7lt3OU09vwQwhkpOPPYv2Y/edit?usp=sharing"",""งบพรบ!EJ107"")"),0)</f>
        <v>0</v>
      </c>
      <c r="F107" s="74">
        <f ca="1">IFERROR(__xludf.DUMMYFUNCTION("IMPORTRANGE(""https://docs.google.com/spreadsheets/d/1-uDff_7J0KD5mKrp0Vvzr7lt3OU09vwQwhkpOPPYv2Y/edit?usp=sharing"",""งบพรบ!EK107"")"),0)</f>
        <v>0</v>
      </c>
      <c r="G107" s="74">
        <f ca="1">IFERROR(__xludf.DUMMYFUNCTION("IMPORTRANGE(""https://docs.google.com/spreadsheets/d/1-uDff_7J0KD5mKrp0Vvzr7lt3OU09vwQwhkpOPPYv2Y/edit?usp=sharing"",""งบพรบ!EL107"")"),0)</f>
        <v>0</v>
      </c>
      <c r="H107" s="74">
        <f ca="1">IFERROR(__xludf.DUMMYFUNCTION("IMPORTRANGE(""https://docs.google.com/spreadsheets/d/1-uDff_7J0KD5mKrp0Vvzr7lt3OU09vwQwhkpOPPYv2Y/edit?usp=sharing"",""งบพรบ!EN107"")"),0)</f>
        <v>0</v>
      </c>
      <c r="I107" s="74">
        <f ca="1">IFERROR(__xludf.DUMMYFUNCTION("IMPORTRANGE(""https://docs.google.com/spreadsheets/d/1-uDff_7J0KD5mKrp0Vvzr7lt3OU09vwQwhkpOPPYv2Y/edit?usp=sharing"",""งบพรบ!EO107"")"),0)</f>
        <v>0</v>
      </c>
      <c r="J107" s="74">
        <f t="shared" ca="1" si="37"/>
        <v>0</v>
      </c>
      <c r="K107" s="75">
        <f t="shared" ca="1" si="38"/>
        <v>0</v>
      </c>
      <c r="L107" s="74">
        <f ca="1">IFERROR(__xludf.DUMMYFUNCTION("IMPORTRANGE(""https://docs.google.com/spreadsheets/d/1-uDff_7J0KD5mKrp0Vvzr7lt3OU09vwQwhkpOPPYv2Y/edit?usp=sharing"",""งบพรบ!EP107"")"),0)</f>
        <v>0</v>
      </c>
      <c r="M107" s="76">
        <f t="shared" ca="1" si="39"/>
        <v>0</v>
      </c>
      <c r="N107" s="76">
        <f t="shared" ca="1" si="40"/>
        <v>0</v>
      </c>
      <c r="O107" s="77">
        <f ca="1">IFERROR(__xludf.DUMMYFUNCTION("IMPORTRANGE(""https://docs.google.com/spreadsheets/d/1-uDff_7J0KD5mKrp0Vvzr7lt3OU09vwQwhkpOPPYv2Y/edit?usp=sharing"",""งบพรบ!EQ107"")"),0)</f>
        <v>0</v>
      </c>
      <c r="P107" s="77">
        <f t="shared" ca="1" si="41"/>
        <v>0</v>
      </c>
      <c r="Q107" s="76">
        <f t="shared" ca="1" si="42"/>
        <v>0</v>
      </c>
      <c r="R107" s="74"/>
      <c r="S107" s="74"/>
      <c r="T107" s="74"/>
    </row>
    <row r="108" spans="1:20" ht="24" customHeight="1" x14ac:dyDescent="0.3">
      <c r="A108" s="112"/>
      <c r="B108" s="113" t="s">
        <v>135</v>
      </c>
      <c r="C108" s="193">
        <f t="shared" ca="1" si="35"/>
        <v>0</v>
      </c>
      <c r="D108" s="194">
        <f t="shared" ca="1" si="36"/>
        <v>0</v>
      </c>
      <c r="E108" s="84">
        <f ca="1">IFERROR(__xludf.DUMMYFUNCTION("IMPORTRANGE(""https://docs.google.com/spreadsheets/d/1-uDff_7J0KD5mKrp0Vvzr7lt3OU09vwQwhkpOPPYv2Y/edit?usp=sharing"",""งบพรบ!EJ108"")"),0)</f>
        <v>0</v>
      </c>
      <c r="F108" s="84">
        <f ca="1">IFERROR(__xludf.DUMMYFUNCTION("IMPORTRANGE(""https://docs.google.com/spreadsheets/d/1-uDff_7J0KD5mKrp0Vvzr7lt3OU09vwQwhkpOPPYv2Y/edit?usp=sharing"",""งบพรบ!EK108"")"),0)</f>
        <v>0</v>
      </c>
      <c r="G108" s="84">
        <f ca="1">IFERROR(__xludf.DUMMYFUNCTION("IMPORTRANGE(""https://docs.google.com/spreadsheets/d/1-uDff_7J0KD5mKrp0Vvzr7lt3OU09vwQwhkpOPPYv2Y/edit?usp=sharing"",""งบพรบ!EL108"")"),0)</f>
        <v>0</v>
      </c>
      <c r="H108" s="84">
        <f ca="1">IFERROR(__xludf.DUMMYFUNCTION("IMPORTRANGE(""https://docs.google.com/spreadsheets/d/1-uDff_7J0KD5mKrp0Vvzr7lt3OU09vwQwhkpOPPYv2Y/edit?usp=sharing"",""งบพรบ!EN108"")"),0)</f>
        <v>0</v>
      </c>
      <c r="I108" s="84">
        <f ca="1">IFERROR(__xludf.DUMMYFUNCTION("IMPORTRANGE(""https://docs.google.com/spreadsheets/d/1-uDff_7J0KD5mKrp0Vvzr7lt3OU09vwQwhkpOPPYv2Y/edit?usp=sharing"",""งบพรบ!EO108"")"),0)</f>
        <v>0</v>
      </c>
      <c r="J108" s="84">
        <f t="shared" ca="1" si="37"/>
        <v>0</v>
      </c>
      <c r="K108" s="85">
        <f t="shared" ca="1" si="38"/>
        <v>0</v>
      </c>
      <c r="L108" s="84">
        <f ca="1">IFERROR(__xludf.DUMMYFUNCTION("IMPORTRANGE(""https://docs.google.com/spreadsheets/d/1-uDff_7J0KD5mKrp0Vvzr7lt3OU09vwQwhkpOPPYv2Y/edit?usp=sharing"",""งบพรบ!EP108"")"),0)</f>
        <v>0</v>
      </c>
      <c r="M108" s="86">
        <f t="shared" ca="1" si="39"/>
        <v>0</v>
      </c>
      <c r="N108" s="86">
        <f t="shared" ca="1" si="40"/>
        <v>0</v>
      </c>
      <c r="O108" s="87">
        <f ca="1">IFERROR(__xludf.DUMMYFUNCTION("IMPORTRANGE(""https://docs.google.com/spreadsheets/d/1-uDff_7J0KD5mKrp0Vvzr7lt3OU09vwQwhkpOPPYv2Y/edit?usp=sharing"",""งบพรบ!EQ108"")"),0)</f>
        <v>0</v>
      </c>
      <c r="P108" s="87">
        <f t="shared" ca="1" si="41"/>
        <v>0</v>
      </c>
      <c r="Q108" s="86">
        <f t="shared" ca="1" si="42"/>
        <v>0</v>
      </c>
      <c r="R108" s="84"/>
      <c r="S108" s="84"/>
      <c r="T108" s="84"/>
    </row>
  </sheetData>
  <mergeCells count="25">
    <mergeCell ref="F5:F6"/>
    <mergeCell ref="G5:G6"/>
    <mergeCell ref="H5:H6"/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I5:I6"/>
    <mergeCell ref="J5:K5"/>
    <mergeCell ref="L5:N5"/>
    <mergeCell ref="O5:Q5"/>
    <mergeCell ref="S5:T5"/>
    <mergeCell ref="C2:Q2"/>
    <mergeCell ref="R2:T2"/>
    <mergeCell ref="C3:Q3"/>
    <mergeCell ref="R3:T4"/>
    <mergeCell ref="C4:G4"/>
    <mergeCell ref="H4:I4"/>
    <mergeCell ref="J4:Q4"/>
  </mergeCells>
  <conditionalFormatting sqref="K14:K30 K32:K51 K53:K73 K75:K88 K90:K108">
    <cfRule type="colorScale" priority="1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Q14:Q30 Q32:Q51 Q53:Q73 Q75:Q88">
    <cfRule type="colorScale" priority="3">
      <colorScale>
        <cfvo type="formula" val="21.67"/>
        <cfvo type="formula" val="43.33"/>
        <cfvo type="formula" val="86.66"/>
        <color rgb="FFFF0000"/>
        <color rgb="FFFFFF00"/>
        <color rgb="FF38761D"/>
      </colorScale>
    </cfRule>
  </conditionalFormatting>
  <conditionalFormatting sqref="T14:T30 T32:T51 T53:T73 T75:T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  <outlinePr summaryBelow="0" summaryRight="0"/>
  </sheetPr>
  <dimension ref="A1:BJ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9" width="16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2.5703125" customWidth="1"/>
    <col min="21" max="21" width="13" customWidth="1"/>
    <col min="22" max="24" width="12.5703125" customWidth="1"/>
    <col min="25" max="25" width="13" customWidth="1"/>
    <col min="26" max="28" width="12.5703125" customWidth="1"/>
    <col min="29" max="29" width="13" customWidth="1"/>
    <col min="30" max="32" width="12.5703125" customWidth="1"/>
    <col min="33" max="33" width="13" customWidth="1"/>
    <col min="34" max="36" width="12.5703125" customWidth="1"/>
    <col min="37" max="37" width="13" customWidth="1"/>
    <col min="38" max="40" width="12.5703125" customWidth="1"/>
    <col min="41" max="41" width="13" customWidth="1"/>
    <col min="42" max="44" width="12.5703125" customWidth="1"/>
    <col min="45" max="45" width="13" customWidth="1"/>
    <col min="46" max="48" width="12.5703125" customWidth="1"/>
    <col min="49" max="49" width="13" customWidth="1"/>
    <col min="50" max="52" width="12.5703125" customWidth="1"/>
    <col min="53" max="53" width="13" customWidth="1"/>
    <col min="54" max="56" width="12.5703125" customWidth="1"/>
    <col min="57" max="57" width="13" customWidth="1"/>
    <col min="58" max="60" width="12.5703125" customWidth="1"/>
    <col min="61" max="61" width="13" customWidth="1"/>
    <col min="62" max="62" width="12.5703125" customWidth="1"/>
  </cols>
  <sheetData>
    <row r="1" spans="1:62" ht="24" customHeight="1" x14ac:dyDescent="0.3">
      <c r="A1" s="338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4"/>
      <c r="S1" s="114"/>
      <c r="T1" s="117"/>
      <c r="U1" s="116"/>
      <c r="V1" s="116"/>
      <c r="W1" s="116"/>
      <c r="X1" s="117"/>
      <c r="Y1" s="116"/>
      <c r="Z1" s="116"/>
      <c r="AA1" s="116"/>
      <c r="AB1" s="117"/>
      <c r="AC1" s="116"/>
      <c r="AD1" s="116"/>
      <c r="AE1" s="116"/>
      <c r="AF1" s="117"/>
      <c r="AG1" s="116"/>
      <c r="AH1" s="116"/>
      <c r="AI1" s="116"/>
      <c r="AJ1" s="117"/>
      <c r="AK1" s="116"/>
      <c r="AL1" s="116"/>
      <c r="AM1" s="116"/>
      <c r="AN1" s="117"/>
      <c r="AO1" s="116"/>
      <c r="AP1" s="116"/>
      <c r="AQ1" s="116"/>
      <c r="AR1" s="117"/>
      <c r="AS1" s="116"/>
      <c r="AT1" s="116"/>
      <c r="AU1" s="116"/>
      <c r="AV1" s="117"/>
      <c r="AW1" s="116"/>
      <c r="AX1" s="116"/>
      <c r="AY1" s="116"/>
      <c r="AZ1" s="117"/>
      <c r="BA1" s="116"/>
      <c r="BB1" s="116"/>
      <c r="BC1" s="116"/>
      <c r="BD1" s="117"/>
      <c r="BE1" s="116"/>
      <c r="BF1" s="116"/>
      <c r="BG1" s="116"/>
      <c r="BH1" s="117"/>
      <c r="BI1" s="116"/>
      <c r="BJ1" s="339"/>
    </row>
    <row r="2" spans="1:62" ht="30" customHeight="1" x14ac:dyDescent="0.2">
      <c r="A2" s="692" t="s">
        <v>1</v>
      </c>
      <c r="B2" s="658"/>
      <c r="C2" s="689" t="s">
        <v>217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7"/>
      <c r="R2" s="689" t="s">
        <v>218</v>
      </c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X2" s="646"/>
      <c r="AY2" s="646"/>
      <c r="AZ2" s="646"/>
      <c r="BA2" s="646"/>
      <c r="BB2" s="646"/>
      <c r="BC2" s="646"/>
      <c r="BD2" s="646"/>
      <c r="BE2" s="646"/>
      <c r="BF2" s="646"/>
      <c r="BG2" s="646"/>
      <c r="BH2" s="646"/>
      <c r="BI2" s="647"/>
      <c r="BJ2" s="340"/>
    </row>
    <row r="3" spans="1:62" ht="30" customHeight="1" x14ac:dyDescent="0.2">
      <c r="A3" s="659"/>
      <c r="B3" s="660"/>
      <c r="C3" s="737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42" t="s">
        <v>219</v>
      </c>
      <c r="S3" s="646"/>
      <c r="T3" s="646"/>
      <c r="U3" s="646"/>
      <c r="V3" s="646"/>
      <c r="W3" s="646"/>
      <c r="X3" s="646"/>
      <c r="Y3" s="646"/>
      <c r="Z3" s="646"/>
      <c r="AA3" s="646"/>
      <c r="AB3" s="646"/>
      <c r="AC3" s="647"/>
      <c r="AD3" s="743" t="s">
        <v>220</v>
      </c>
      <c r="AE3" s="646"/>
      <c r="AF3" s="646"/>
      <c r="AG3" s="646"/>
      <c r="AH3" s="646"/>
      <c r="AI3" s="646"/>
      <c r="AJ3" s="646"/>
      <c r="AK3" s="646"/>
      <c r="AL3" s="646"/>
      <c r="AM3" s="646"/>
      <c r="AN3" s="646"/>
      <c r="AO3" s="647"/>
      <c r="AP3" s="744" t="s">
        <v>221</v>
      </c>
      <c r="AQ3" s="646"/>
      <c r="AR3" s="646"/>
      <c r="AS3" s="646"/>
      <c r="AT3" s="646"/>
      <c r="AU3" s="646"/>
      <c r="AV3" s="646"/>
      <c r="AW3" s="646"/>
      <c r="AX3" s="646"/>
      <c r="AY3" s="646"/>
      <c r="AZ3" s="646"/>
      <c r="BA3" s="647"/>
      <c r="BB3" s="745" t="s">
        <v>222</v>
      </c>
      <c r="BC3" s="646"/>
      <c r="BD3" s="646"/>
      <c r="BE3" s="646"/>
      <c r="BF3" s="646"/>
      <c r="BG3" s="646"/>
      <c r="BH3" s="646"/>
      <c r="BI3" s="647"/>
      <c r="BJ3" s="340"/>
    </row>
    <row r="4" spans="1:62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738" t="s">
        <v>223</v>
      </c>
      <c r="S4" s="646"/>
      <c r="T4" s="646"/>
      <c r="U4" s="647"/>
      <c r="V4" s="738" t="s">
        <v>224</v>
      </c>
      <c r="W4" s="646"/>
      <c r="X4" s="646"/>
      <c r="Y4" s="647"/>
      <c r="Z4" s="738" t="s">
        <v>225</v>
      </c>
      <c r="AA4" s="646"/>
      <c r="AB4" s="646"/>
      <c r="AC4" s="647"/>
      <c r="AD4" s="739" t="s">
        <v>223</v>
      </c>
      <c r="AE4" s="646"/>
      <c r="AF4" s="646"/>
      <c r="AG4" s="647"/>
      <c r="AH4" s="739" t="s">
        <v>224</v>
      </c>
      <c r="AI4" s="646"/>
      <c r="AJ4" s="646"/>
      <c r="AK4" s="647"/>
      <c r="AL4" s="739" t="s">
        <v>225</v>
      </c>
      <c r="AM4" s="646"/>
      <c r="AN4" s="646"/>
      <c r="AO4" s="647"/>
      <c r="AP4" s="740" t="s">
        <v>223</v>
      </c>
      <c r="AQ4" s="646"/>
      <c r="AR4" s="646"/>
      <c r="AS4" s="647"/>
      <c r="AT4" s="740" t="s">
        <v>224</v>
      </c>
      <c r="AU4" s="646"/>
      <c r="AV4" s="646"/>
      <c r="AW4" s="647"/>
      <c r="AX4" s="740" t="s">
        <v>225</v>
      </c>
      <c r="AY4" s="646"/>
      <c r="AZ4" s="646"/>
      <c r="BA4" s="647"/>
      <c r="BB4" s="741" t="s">
        <v>224</v>
      </c>
      <c r="BC4" s="646"/>
      <c r="BD4" s="646"/>
      <c r="BE4" s="647"/>
      <c r="BF4" s="741" t="s">
        <v>225</v>
      </c>
      <c r="BG4" s="646"/>
      <c r="BH4" s="646"/>
      <c r="BI4" s="647"/>
      <c r="BJ4" s="340"/>
    </row>
    <row r="5" spans="1:62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341" t="s">
        <v>28</v>
      </c>
      <c r="S5" s="736" t="s">
        <v>29</v>
      </c>
      <c r="T5" s="646"/>
      <c r="U5" s="647"/>
      <c r="V5" s="341" t="s">
        <v>28</v>
      </c>
      <c r="W5" s="736" t="s">
        <v>29</v>
      </c>
      <c r="X5" s="646"/>
      <c r="Y5" s="647"/>
      <c r="Z5" s="341" t="s">
        <v>28</v>
      </c>
      <c r="AA5" s="736" t="s">
        <v>29</v>
      </c>
      <c r="AB5" s="646"/>
      <c r="AC5" s="647"/>
      <c r="AD5" s="342" t="s">
        <v>28</v>
      </c>
      <c r="AE5" s="736" t="s">
        <v>29</v>
      </c>
      <c r="AF5" s="646"/>
      <c r="AG5" s="647"/>
      <c r="AH5" s="342" t="s">
        <v>28</v>
      </c>
      <c r="AI5" s="736" t="s">
        <v>29</v>
      </c>
      <c r="AJ5" s="646"/>
      <c r="AK5" s="647"/>
      <c r="AL5" s="342" t="s">
        <v>28</v>
      </c>
      <c r="AM5" s="736" t="s">
        <v>29</v>
      </c>
      <c r="AN5" s="646"/>
      <c r="AO5" s="647"/>
      <c r="AP5" s="343" t="s">
        <v>28</v>
      </c>
      <c r="AQ5" s="736" t="s">
        <v>29</v>
      </c>
      <c r="AR5" s="646"/>
      <c r="AS5" s="647"/>
      <c r="AT5" s="343" t="s">
        <v>28</v>
      </c>
      <c r="AU5" s="736" t="s">
        <v>29</v>
      </c>
      <c r="AV5" s="646"/>
      <c r="AW5" s="647"/>
      <c r="AX5" s="343" t="s">
        <v>28</v>
      </c>
      <c r="AY5" s="736" t="s">
        <v>29</v>
      </c>
      <c r="AZ5" s="646"/>
      <c r="BA5" s="647"/>
      <c r="BB5" s="344" t="s">
        <v>28</v>
      </c>
      <c r="BC5" s="736" t="s">
        <v>29</v>
      </c>
      <c r="BD5" s="646"/>
      <c r="BE5" s="647"/>
      <c r="BF5" s="344" t="s">
        <v>28</v>
      </c>
      <c r="BG5" s="736" t="s">
        <v>29</v>
      </c>
      <c r="BH5" s="646"/>
      <c r="BI5" s="647"/>
      <c r="BJ5" s="345"/>
    </row>
    <row r="6" spans="1:62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341" t="s">
        <v>140</v>
      </c>
      <c r="S6" s="346" t="s">
        <v>35</v>
      </c>
      <c r="T6" s="347" t="s">
        <v>140</v>
      </c>
      <c r="U6" s="348" t="s">
        <v>226</v>
      </c>
      <c r="V6" s="341" t="s">
        <v>35</v>
      </c>
      <c r="W6" s="346" t="s">
        <v>35</v>
      </c>
      <c r="X6" s="347" t="s">
        <v>140</v>
      </c>
      <c r="Y6" s="348" t="s">
        <v>227</v>
      </c>
      <c r="Z6" s="341" t="s">
        <v>35</v>
      </c>
      <c r="AA6" s="346" t="s">
        <v>35</v>
      </c>
      <c r="AB6" s="347" t="s">
        <v>140</v>
      </c>
      <c r="AC6" s="348" t="s">
        <v>227</v>
      </c>
      <c r="AD6" s="342" t="s">
        <v>140</v>
      </c>
      <c r="AE6" s="346" t="s">
        <v>35</v>
      </c>
      <c r="AF6" s="347" t="s">
        <v>140</v>
      </c>
      <c r="AG6" s="348" t="s">
        <v>228</v>
      </c>
      <c r="AH6" s="342" t="s">
        <v>35</v>
      </c>
      <c r="AI6" s="346" t="s">
        <v>35</v>
      </c>
      <c r="AJ6" s="347" t="s">
        <v>140</v>
      </c>
      <c r="AK6" s="348" t="s">
        <v>227</v>
      </c>
      <c r="AL6" s="342" t="s">
        <v>35</v>
      </c>
      <c r="AM6" s="346" t="s">
        <v>35</v>
      </c>
      <c r="AN6" s="347" t="s">
        <v>140</v>
      </c>
      <c r="AO6" s="348" t="s">
        <v>227</v>
      </c>
      <c r="AP6" s="343" t="s">
        <v>140</v>
      </c>
      <c r="AQ6" s="346" t="s">
        <v>35</v>
      </c>
      <c r="AR6" s="347" t="s">
        <v>140</v>
      </c>
      <c r="AS6" s="348" t="s">
        <v>228</v>
      </c>
      <c r="AT6" s="343" t="s">
        <v>35</v>
      </c>
      <c r="AU6" s="346" t="s">
        <v>35</v>
      </c>
      <c r="AV6" s="347" t="s">
        <v>140</v>
      </c>
      <c r="AW6" s="348" t="s">
        <v>227</v>
      </c>
      <c r="AX6" s="343" t="s">
        <v>35</v>
      </c>
      <c r="AY6" s="346" t="s">
        <v>35</v>
      </c>
      <c r="AZ6" s="347" t="s">
        <v>140</v>
      </c>
      <c r="BA6" s="348" t="s">
        <v>227</v>
      </c>
      <c r="BB6" s="344" t="s">
        <v>35</v>
      </c>
      <c r="BC6" s="346" t="s">
        <v>35</v>
      </c>
      <c r="BD6" s="347" t="s">
        <v>140</v>
      </c>
      <c r="BE6" s="348" t="s">
        <v>227</v>
      </c>
      <c r="BF6" s="344" t="s">
        <v>35</v>
      </c>
      <c r="BG6" s="346" t="s">
        <v>35</v>
      </c>
      <c r="BH6" s="347" t="s">
        <v>140</v>
      </c>
      <c r="BI6" s="348" t="s">
        <v>227</v>
      </c>
      <c r="BJ6" s="349"/>
    </row>
    <row r="7" spans="1:62" ht="24" customHeight="1" x14ac:dyDescent="0.3">
      <c r="A7" s="694" t="s">
        <v>38</v>
      </c>
      <c r="B7" s="647"/>
      <c r="C7" s="126">
        <f t="shared" ref="C7:C9" ca="1" si="0">D7+G7</f>
        <v>97707500</v>
      </c>
      <c r="D7" s="127">
        <f t="shared" ref="D7:E7" ca="1" si="1">D8+D9+D12</f>
        <v>97707500</v>
      </c>
      <c r="E7" s="128">
        <f t="shared" ca="1" si="1"/>
        <v>45468400</v>
      </c>
      <c r="F7" s="129">
        <f ca="1">F8+F9</f>
        <v>52239100</v>
      </c>
      <c r="G7" s="130">
        <f t="shared" ref="G7:I7" ca="1" si="2">G8+G9+G12</f>
        <v>0</v>
      </c>
      <c r="H7" s="131">
        <f t="shared" ca="1" si="2"/>
        <v>97707500</v>
      </c>
      <c r="I7" s="131">
        <f t="shared" ca="1" si="2"/>
        <v>0</v>
      </c>
      <c r="J7" s="132">
        <f t="shared" ref="J7:J9" ca="1" si="3">L7+O7</f>
        <v>75203977.659999996</v>
      </c>
      <c r="K7" s="133">
        <f t="shared" ref="K7:K9" ca="1" si="4">IF(C7&gt;0,J7*100/C7,0)</f>
        <v>76.968480065501623</v>
      </c>
      <c r="L7" s="132">
        <f ca="1">L8+L9+L12</f>
        <v>75203977.659999996</v>
      </c>
      <c r="M7" s="27">
        <f t="shared" ref="M7:M9" ca="1" si="5">IF(D7&gt;0,L7*100/D7,0)</f>
        <v>76.968480065501623</v>
      </c>
      <c r="N7" s="27">
        <f t="shared" ref="N7:N9" ca="1" si="6">IF(H7&gt;0,L7*100/H7,0)</f>
        <v>76.968480065501623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126">
        <f t="shared" ref="R7:T7" ca="1" si="9">R8</f>
        <v>110145</v>
      </c>
      <c r="S7" s="350">
        <f t="shared" ca="1" si="9"/>
        <v>15484</v>
      </c>
      <c r="T7" s="351">
        <f t="shared" ca="1" si="9"/>
        <v>136300.37999999995</v>
      </c>
      <c r="U7" s="352">
        <f t="shared" ref="U7:U8" ca="1" si="10">IF(R7&gt;0,T7*100/R7,0)</f>
        <v>123.74631621952875</v>
      </c>
      <c r="V7" s="126">
        <f t="shared" ref="V7:X7" ca="1" si="11">V8</f>
        <v>33802</v>
      </c>
      <c r="W7" s="350">
        <f t="shared" ca="1" si="11"/>
        <v>34773</v>
      </c>
      <c r="X7" s="351">
        <f t="shared" ca="1" si="11"/>
        <v>396885.45999999985</v>
      </c>
      <c r="Y7" s="352">
        <f t="shared" ref="Y7:Y8" ca="1" si="12">IF(V7&gt;0,W7*100/V7,0)</f>
        <v>102.87261108810129</v>
      </c>
      <c r="Z7" s="126">
        <f t="shared" ref="Z7:AB7" ca="1" si="13">Z8</f>
        <v>33802</v>
      </c>
      <c r="AA7" s="350">
        <f t="shared" ca="1" si="13"/>
        <v>28366</v>
      </c>
      <c r="AB7" s="351">
        <f t="shared" ca="1" si="13"/>
        <v>332845.65999999974</v>
      </c>
      <c r="AC7" s="352">
        <f t="shared" ref="AC7:AC8" ca="1" si="14">IF(Z7&gt;0,AA7*100/Z7,0)</f>
        <v>83.918111354357734</v>
      </c>
      <c r="AD7" s="353">
        <f t="shared" ref="AD7:AF7" ca="1" si="15">AD8</f>
        <v>46580</v>
      </c>
      <c r="AE7" s="350">
        <f t="shared" ca="1" si="15"/>
        <v>6119</v>
      </c>
      <c r="AF7" s="351">
        <f t="shared" ca="1" si="15"/>
        <v>57779.62</v>
      </c>
      <c r="AG7" s="352">
        <f t="shared" ref="AG7:AG8" ca="1" si="16">IF(AD7&gt;0,AF7*100/AD7,0)</f>
        <v>124.04383855732074</v>
      </c>
      <c r="AH7" s="353">
        <f t="shared" ref="AH7:AJ7" ca="1" si="17">AH8</f>
        <v>4502</v>
      </c>
      <c r="AI7" s="350">
        <f t="shared" ca="1" si="17"/>
        <v>4088</v>
      </c>
      <c r="AJ7" s="351">
        <f t="shared" ca="1" si="17"/>
        <v>38815.010000000009</v>
      </c>
      <c r="AK7" s="352">
        <f t="shared" ref="AK7:AK8" ca="1" si="18">IF(AH7&gt;0,AI7*100/AH7,0)</f>
        <v>90.804087072412258</v>
      </c>
      <c r="AL7" s="353">
        <f t="shared" ref="AL7:AN7" ca="1" si="19">AL8</f>
        <v>4502</v>
      </c>
      <c r="AM7" s="350">
        <f t="shared" ca="1" si="19"/>
        <v>2140</v>
      </c>
      <c r="AN7" s="351">
        <f t="shared" ca="1" si="19"/>
        <v>18575.599999999999</v>
      </c>
      <c r="AO7" s="352">
        <f t="shared" ref="AO7:AO8" ca="1" si="20">IF(AL7&gt;0,AM7*100/AL7,0)</f>
        <v>47.534429142603287</v>
      </c>
      <c r="AP7" s="129">
        <f t="shared" ref="AP7:AR7" ca="1" si="21">AP8</f>
        <v>63565</v>
      </c>
      <c r="AQ7" s="350">
        <f t="shared" ca="1" si="21"/>
        <v>9300</v>
      </c>
      <c r="AR7" s="351">
        <f t="shared" ca="1" si="21"/>
        <v>77473.639999999985</v>
      </c>
      <c r="AS7" s="352">
        <f t="shared" ref="AS7:AS8" ca="1" si="22">IF(AP7&gt;0,AR7*100/AP7,0)</f>
        <v>121.88097223314715</v>
      </c>
      <c r="AT7" s="129">
        <f t="shared" ref="AT7:AV7" ca="1" si="23">AT8</f>
        <v>9930</v>
      </c>
      <c r="AU7" s="350">
        <f t="shared" ca="1" si="23"/>
        <v>7798</v>
      </c>
      <c r="AV7" s="351">
        <f t="shared" ca="1" si="23"/>
        <v>65944.62999999999</v>
      </c>
      <c r="AW7" s="352">
        <f t="shared" ref="AW7:AW8" ca="1" si="24">IF(AT7&gt;0,AU7*100/AT7,0)</f>
        <v>78.52970795568983</v>
      </c>
      <c r="AX7" s="129">
        <f t="shared" ref="AX7:AZ7" ca="1" si="25">AX8</f>
        <v>9930</v>
      </c>
      <c r="AY7" s="350">
        <f t="shared" ca="1" si="25"/>
        <v>4247</v>
      </c>
      <c r="AZ7" s="351">
        <f t="shared" ca="1" si="25"/>
        <v>34315.299999999996</v>
      </c>
      <c r="BA7" s="352">
        <f t="shared" ref="BA7:BA8" ca="1" si="26">IF(AX7&gt;0,AY7*100/AX7,0)</f>
        <v>42.769385699899296</v>
      </c>
      <c r="BB7" s="354">
        <f t="shared" ref="BB7:BD7" ca="1" si="27">BB8</f>
        <v>19370</v>
      </c>
      <c r="BC7" s="350">
        <f t="shared" ca="1" si="27"/>
        <v>22995</v>
      </c>
      <c r="BD7" s="351">
        <f t="shared" ca="1" si="27"/>
        <v>292125.84000000003</v>
      </c>
      <c r="BE7" s="352">
        <f t="shared" ref="BE7:BE8" ca="1" si="28">IF(BB7&gt;0,BC7*100/BB7,0)</f>
        <v>118.71450696954052</v>
      </c>
      <c r="BF7" s="354">
        <f t="shared" ref="BF7:BH7" ca="1" si="29">BF8</f>
        <v>19370</v>
      </c>
      <c r="BG7" s="350">
        <f t="shared" ca="1" si="29"/>
        <v>22056</v>
      </c>
      <c r="BH7" s="351">
        <f t="shared" ca="1" si="29"/>
        <v>279954.82</v>
      </c>
      <c r="BI7" s="352">
        <f t="shared" ref="BI7:BI8" ca="1" si="30">IF(BF7&gt;0,BG7*100/BF7,0)</f>
        <v>113.866804336603</v>
      </c>
      <c r="BJ7" s="339"/>
    </row>
    <row r="8" spans="1:62" ht="28.5" customHeight="1" x14ac:dyDescent="0.3">
      <c r="A8" s="134" t="s">
        <v>39</v>
      </c>
      <c r="B8" s="135"/>
      <c r="C8" s="136">
        <f t="shared" ca="1" si="0"/>
        <v>53843170</v>
      </c>
      <c r="D8" s="136">
        <f t="shared" ref="D8:I8" ca="1" si="31">+D13+D31+D52+D74</f>
        <v>53843170</v>
      </c>
      <c r="E8" s="136">
        <f t="shared" ca="1" si="31"/>
        <v>20988600</v>
      </c>
      <c r="F8" s="136">
        <f t="shared" ca="1" si="31"/>
        <v>32854570</v>
      </c>
      <c r="G8" s="136">
        <f t="shared" ca="1" si="31"/>
        <v>0</v>
      </c>
      <c r="H8" s="136">
        <f t="shared" ca="1" si="31"/>
        <v>62036065.799999997</v>
      </c>
      <c r="I8" s="136">
        <f t="shared" ca="1" si="31"/>
        <v>0</v>
      </c>
      <c r="J8" s="136">
        <f t="shared" ca="1" si="3"/>
        <v>47251543.549999997</v>
      </c>
      <c r="K8" s="137">
        <f t="shared" ca="1" si="4"/>
        <v>87.757729624760202</v>
      </c>
      <c r="L8" s="136">
        <f ca="1">+L13+L31+L52+L74</f>
        <v>47251543.549999997</v>
      </c>
      <c r="M8" s="37">
        <f t="shared" ca="1" si="5"/>
        <v>87.757729624760202</v>
      </c>
      <c r="N8" s="37">
        <f t="shared" ca="1" si="6"/>
        <v>76.167859680747199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276">
        <f t="shared" ref="R8:T8" ca="1" si="32">+R13+R31+R52+R74</f>
        <v>110145</v>
      </c>
      <c r="S8" s="136">
        <f t="shared" ca="1" si="32"/>
        <v>15484</v>
      </c>
      <c r="T8" s="36">
        <f t="shared" ca="1" si="32"/>
        <v>136300.37999999995</v>
      </c>
      <c r="U8" s="37">
        <f t="shared" ca="1" si="10"/>
        <v>123.74631621952875</v>
      </c>
      <c r="V8" s="276">
        <f t="shared" ref="V8:X8" ca="1" si="33">+V13+V31+V52+V74</f>
        <v>33802</v>
      </c>
      <c r="W8" s="136">
        <f t="shared" ca="1" si="33"/>
        <v>34773</v>
      </c>
      <c r="X8" s="36">
        <f t="shared" ca="1" si="33"/>
        <v>396885.45999999985</v>
      </c>
      <c r="Y8" s="37">
        <f t="shared" ca="1" si="12"/>
        <v>102.87261108810129</v>
      </c>
      <c r="Z8" s="276">
        <f t="shared" ref="Z8:AB8" ca="1" si="34">+Z13+Z31+Z52+Z74</f>
        <v>33802</v>
      </c>
      <c r="AA8" s="136">
        <f t="shared" ca="1" si="34"/>
        <v>28366</v>
      </c>
      <c r="AB8" s="36">
        <f t="shared" ca="1" si="34"/>
        <v>332845.65999999974</v>
      </c>
      <c r="AC8" s="37">
        <f t="shared" ca="1" si="14"/>
        <v>83.918111354357734</v>
      </c>
      <c r="AD8" s="276">
        <f t="shared" ref="AD8:AF8" ca="1" si="35">+AD13+AD31+AD52+AD74</f>
        <v>46580</v>
      </c>
      <c r="AE8" s="136">
        <f t="shared" ca="1" si="35"/>
        <v>6119</v>
      </c>
      <c r="AF8" s="36">
        <f t="shared" ca="1" si="35"/>
        <v>57779.62</v>
      </c>
      <c r="AG8" s="37">
        <f t="shared" ca="1" si="16"/>
        <v>124.04383855732074</v>
      </c>
      <c r="AH8" s="276">
        <f t="shared" ref="AH8:AJ8" ca="1" si="36">+AH13+AH31+AH52+AH74</f>
        <v>4502</v>
      </c>
      <c r="AI8" s="136">
        <f t="shared" ca="1" si="36"/>
        <v>4088</v>
      </c>
      <c r="AJ8" s="36">
        <f t="shared" ca="1" si="36"/>
        <v>38815.010000000009</v>
      </c>
      <c r="AK8" s="37">
        <f t="shared" ca="1" si="18"/>
        <v>90.804087072412258</v>
      </c>
      <c r="AL8" s="276">
        <f t="shared" ref="AL8:AN8" ca="1" si="37">+AL13+AL31+AL52+AL74</f>
        <v>4502</v>
      </c>
      <c r="AM8" s="136">
        <f t="shared" ca="1" si="37"/>
        <v>2140</v>
      </c>
      <c r="AN8" s="36">
        <f t="shared" ca="1" si="37"/>
        <v>18575.599999999999</v>
      </c>
      <c r="AO8" s="37">
        <f t="shared" ca="1" si="20"/>
        <v>47.534429142603287</v>
      </c>
      <c r="AP8" s="276">
        <f t="shared" ref="AP8:AR8" ca="1" si="38">+AP13+AP31+AP52+AP74</f>
        <v>63565</v>
      </c>
      <c r="AQ8" s="136">
        <f t="shared" ca="1" si="38"/>
        <v>9300</v>
      </c>
      <c r="AR8" s="36">
        <f t="shared" ca="1" si="38"/>
        <v>77473.639999999985</v>
      </c>
      <c r="AS8" s="37">
        <f t="shared" ca="1" si="22"/>
        <v>121.88097223314715</v>
      </c>
      <c r="AT8" s="276">
        <f t="shared" ref="AT8:AV8" ca="1" si="39">+AT13+AT31+AT52+AT74</f>
        <v>9930</v>
      </c>
      <c r="AU8" s="136">
        <f t="shared" ca="1" si="39"/>
        <v>7798</v>
      </c>
      <c r="AV8" s="36">
        <f t="shared" ca="1" si="39"/>
        <v>65944.62999999999</v>
      </c>
      <c r="AW8" s="37">
        <f t="shared" ca="1" si="24"/>
        <v>78.52970795568983</v>
      </c>
      <c r="AX8" s="276">
        <f t="shared" ref="AX8:AZ8" ca="1" si="40">+AX13+AX31+AX52+AX74</f>
        <v>9930</v>
      </c>
      <c r="AY8" s="136">
        <f t="shared" ca="1" si="40"/>
        <v>4247</v>
      </c>
      <c r="AZ8" s="36">
        <f t="shared" ca="1" si="40"/>
        <v>34315.299999999996</v>
      </c>
      <c r="BA8" s="37">
        <f t="shared" ca="1" si="26"/>
        <v>42.769385699899296</v>
      </c>
      <c r="BB8" s="276">
        <f t="shared" ref="BB8:BD8" ca="1" si="41">+BB13+BB31+BB52+BB74</f>
        <v>19370</v>
      </c>
      <c r="BC8" s="136">
        <f t="shared" ca="1" si="41"/>
        <v>22995</v>
      </c>
      <c r="BD8" s="36">
        <f t="shared" ca="1" si="41"/>
        <v>292125.84000000003</v>
      </c>
      <c r="BE8" s="37">
        <f t="shared" ca="1" si="28"/>
        <v>118.71450696954052</v>
      </c>
      <c r="BF8" s="276">
        <f t="shared" ref="BF8:BH8" ca="1" si="42">+BF13+BF31+BF52+BF74</f>
        <v>19370</v>
      </c>
      <c r="BG8" s="136">
        <f t="shared" ca="1" si="42"/>
        <v>22056</v>
      </c>
      <c r="BH8" s="36">
        <f t="shared" ca="1" si="42"/>
        <v>279954.82</v>
      </c>
      <c r="BI8" s="37">
        <f t="shared" ca="1" si="30"/>
        <v>113.866804336603</v>
      </c>
      <c r="BJ8" s="339"/>
    </row>
    <row r="9" spans="1:62" ht="28.5" customHeight="1" x14ac:dyDescent="0.3">
      <c r="A9" s="245" t="s">
        <v>40</v>
      </c>
      <c r="B9" s="138"/>
      <c r="C9" s="139">
        <f t="shared" ca="1" si="0"/>
        <v>43864330</v>
      </c>
      <c r="D9" s="139">
        <f t="shared" ref="D9:I9" ca="1" si="43">+D89</f>
        <v>43864330</v>
      </c>
      <c r="E9" s="139">
        <f t="shared" ca="1" si="43"/>
        <v>24479800</v>
      </c>
      <c r="F9" s="139">
        <f t="shared" ca="1" si="43"/>
        <v>19384530</v>
      </c>
      <c r="G9" s="139">
        <f t="shared" ca="1" si="43"/>
        <v>0</v>
      </c>
      <c r="H9" s="139">
        <f t="shared" ca="1" si="43"/>
        <v>35671434.200000003</v>
      </c>
      <c r="I9" s="139">
        <f t="shared" ca="1" si="43"/>
        <v>0</v>
      </c>
      <c r="J9" s="139">
        <f t="shared" ca="1" si="3"/>
        <v>27952434.109999999</v>
      </c>
      <c r="K9" s="140">
        <f t="shared" ca="1" si="4"/>
        <v>63.724748810707929</v>
      </c>
      <c r="L9" s="139">
        <f ca="1">+L89</f>
        <v>27952434.109999999</v>
      </c>
      <c r="M9" s="44">
        <f t="shared" ca="1" si="5"/>
        <v>63.724748810707929</v>
      </c>
      <c r="N9" s="44">
        <f t="shared" ca="1" si="6"/>
        <v>78.360836161726283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246"/>
      <c r="S9" s="246"/>
      <c r="T9" s="355"/>
      <c r="U9" s="247"/>
      <c r="V9" s="246"/>
      <c r="W9" s="246"/>
      <c r="X9" s="355"/>
      <c r="Y9" s="247"/>
      <c r="Z9" s="246"/>
      <c r="AA9" s="246"/>
      <c r="AB9" s="355"/>
      <c r="AC9" s="247"/>
      <c r="AD9" s="246"/>
      <c r="AE9" s="246"/>
      <c r="AF9" s="355"/>
      <c r="AG9" s="247"/>
      <c r="AH9" s="246"/>
      <c r="AI9" s="246"/>
      <c r="AJ9" s="355"/>
      <c r="AK9" s="247"/>
      <c r="AL9" s="246"/>
      <c r="AM9" s="246"/>
      <c r="AN9" s="355"/>
      <c r="AO9" s="247"/>
      <c r="AP9" s="246"/>
      <c r="AQ9" s="246"/>
      <c r="AR9" s="355"/>
      <c r="AS9" s="247"/>
      <c r="AT9" s="246"/>
      <c r="AU9" s="246"/>
      <c r="AV9" s="355"/>
      <c r="AW9" s="247"/>
      <c r="AX9" s="246"/>
      <c r="AY9" s="246"/>
      <c r="AZ9" s="355"/>
      <c r="BA9" s="247"/>
      <c r="BB9" s="246"/>
      <c r="BC9" s="246"/>
      <c r="BD9" s="355"/>
      <c r="BE9" s="247"/>
      <c r="BF9" s="246"/>
      <c r="BG9" s="246"/>
      <c r="BH9" s="355"/>
      <c r="BI9" s="247"/>
      <c r="BJ9" s="339"/>
    </row>
    <row r="10" spans="1:62" ht="28.5" hidden="1" customHeight="1" x14ac:dyDescent="0.2">
      <c r="A10" s="142"/>
      <c r="B10" s="142"/>
      <c r="C10" s="214"/>
      <c r="D10" s="214"/>
      <c r="E10" s="214"/>
      <c r="F10" s="214"/>
      <c r="G10" s="214"/>
      <c r="H10" s="214"/>
      <c r="I10" s="214"/>
      <c r="J10" s="214"/>
      <c r="K10" s="249"/>
      <c r="L10" s="214"/>
      <c r="M10" s="196"/>
      <c r="N10" s="196"/>
      <c r="O10" s="195"/>
      <c r="P10" s="195"/>
      <c r="Q10" s="196"/>
      <c r="R10" s="214"/>
      <c r="S10" s="214"/>
      <c r="T10" s="195"/>
      <c r="U10" s="196"/>
      <c r="V10" s="214"/>
      <c r="W10" s="214"/>
      <c r="X10" s="195"/>
      <c r="Y10" s="196"/>
      <c r="Z10" s="214"/>
      <c r="AA10" s="214"/>
      <c r="AB10" s="195"/>
      <c r="AC10" s="196"/>
      <c r="AD10" s="214"/>
      <c r="AE10" s="214"/>
      <c r="AF10" s="195"/>
      <c r="AG10" s="196"/>
      <c r="AH10" s="214"/>
      <c r="AI10" s="214"/>
      <c r="AJ10" s="195"/>
      <c r="AK10" s="196"/>
      <c r="AL10" s="214"/>
      <c r="AM10" s="214"/>
      <c r="AN10" s="195"/>
      <c r="AO10" s="196"/>
      <c r="AP10" s="214"/>
      <c r="AQ10" s="214"/>
      <c r="AR10" s="195"/>
      <c r="AS10" s="196"/>
      <c r="AT10" s="214"/>
      <c r="AU10" s="214"/>
      <c r="AV10" s="195"/>
      <c r="AW10" s="196"/>
      <c r="AX10" s="214"/>
      <c r="AY10" s="214"/>
      <c r="AZ10" s="195"/>
      <c r="BA10" s="196"/>
      <c r="BB10" s="214"/>
      <c r="BC10" s="214"/>
      <c r="BD10" s="195"/>
      <c r="BE10" s="196"/>
      <c r="BF10" s="214"/>
      <c r="BG10" s="214"/>
      <c r="BH10" s="195"/>
      <c r="BI10" s="196"/>
      <c r="BJ10" s="339"/>
    </row>
    <row r="11" spans="1:62" ht="28.5" hidden="1" customHeight="1" x14ac:dyDescent="0.2">
      <c r="A11" s="142"/>
      <c r="B11" s="142"/>
      <c r="C11" s="214"/>
      <c r="D11" s="214"/>
      <c r="E11" s="214"/>
      <c r="F11" s="214"/>
      <c r="G11" s="214"/>
      <c r="H11" s="214"/>
      <c r="I11" s="214"/>
      <c r="J11" s="214"/>
      <c r="K11" s="249"/>
      <c r="L11" s="214"/>
      <c r="M11" s="196"/>
      <c r="N11" s="196"/>
      <c r="O11" s="195"/>
      <c r="P11" s="195"/>
      <c r="Q11" s="196"/>
      <c r="R11" s="214"/>
      <c r="S11" s="214"/>
      <c r="T11" s="195"/>
      <c r="U11" s="196"/>
      <c r="V11" s="214"/>
      <c r="W11" s="214"/>
      <c r="X11" s="195"/>
      <c r="Y11" s="196"/>
      <c r="Z11" s="214"/>
      <c r="AA11" s="214"/>
      <c r="AB11" s="195"/>
      <c r="AC11" s="196"/>
      <c r="AD11" s="214"/>
      <c r="AE11" s="214"/>
      <c r="AF11" s="195"/>
      <c r="AG11" s="196"/>
      <c r="AH11" s="214"/>
      <c r="AI11" s="214"/>
      <c r="AJ11" s="195"/>
      <c r="AK11" s="196"/>
      <c r="AL11" s="214"/>
      <c r="AM11" s="214"/>
      <c r="AN11" s="195"/>
      <c r="AO11" s="196"/>
      <c r="AP11" s="214"/>
      <c r="AQ11" s="214"/>
      <c r="AR11" s="195"/>
      <c r="AS11" s="196"/>
      <c r="AT11" s="214"/>
      <c r="AU11" s="214"/>
      <c r="AV11" s="195"/>
      <c r="AW11" s="196"/>
      <c r="AX11" s="214"/>
      <c r="AY11" s="214"/>
      <c r="AZ11" s="195"/>
      <c r="BA11" s="196"/>
      <c r="BB11" s="214"/>
      <c r="BC11" s="214"/>
      <c r="BD11" s="195"/>
      <c r="BE11" s="196"/>
      <c r="BF11" s="214"/>
      <c r="BG11" s="214"/>
      <c r="BH11" s="195"/>
      <c r="BI11" s="196"/>
      <c r="BJ11" s="339"/>
    </row>
    <row r="12" spans="1:62" ht="28.5" hidden="1" customHeight="1" x14ac:dyDescent="0.2">
      <c r="A12" s="142"/>
      <c r="B12" s="142"/>
      <c r="C12" s="214"/>
      <c r="D12" s="214"/>
      <c r="E12" s="214"/>
      <c r="F12" s="214"/>
      <c r="G12" s="214"/>
      <c r="H12" s="214"/>
      <c r="I12" s="214"/>
      <c r="J12" s="214"/>
      <c r="K12" s="249"/>
      <c r="L12" s="214"/>
      <c r="M12" s="196"/>
      <c r="N12" s="196"/>
      <c r="O12" s="195"/>
      <c r="P12" s="195"/>
      <c r="Q12" s="196"/>
      <c r="R12" s="214"/>
      <c r="S12" s="214"/>
      <c r="T12" s="195"/>
      <c r="U12" s="196"/>
      <c r="V12" s="214"/>
      <c r="W12" s="214"/>
      <c r="X12" s="195"/>
      <c r="Y12" s="196"/>
      <c r="Z12" s="214"/>
      <c r="AA12" s="214"/>
      <c r="AB12" s="195"/>
      <c r="AC12" s="196"/>
      <c r="AD12" s="214"/>
      <c r="AE12" s="214"/>
      <c r="AF12" s="195"/>
      <c r="AG12" s="196"/>
      <c r="AH12" s="214"/>
      <c r="AI12" s="214"/>
      <c r="AJ12" s="195"/>
      <c r="AK12" s="196"/>
      <c r="AL12" s="214"/>
      <c r="AM12" s="214"/>
      <c r="AN12" s="195"/>
      <c r="AO12" s="196"/>
      <c r="AP12" s="214"/>
      <c r="AQ12" s="214"/>
      <c r="AR12" s="195"/>
      <c r="AS12" s="196"/>
      <c r="AT12" s="214"/>
      <c r="AU12" s="214"/>
      <c r="AV12" s="195"/>
      <c r="AW12" s="196"/>
      <c r="AX12" s="214"/>
      <c r="AY12" s="214"/>
      <c r="AZ12" s="195"/>
      <c r="BA12" s="196"/>
      <c r="BB12" s="214"/>
      <c r="BC12" s="214"/>
      <c r="BD12" s="195"/>
      <c r="BE12" s="196"/>
      <c r="BF12" s="214"/>
      <c r="BG12" s="214"/>
      <c r="BH12" s="195"/>
      <c r="BI12" s="196"/>
      <c r="BJ12" s="339"/>
    </row>
    <row r="13" spans="1:62" ht="28.5" customHeight="1" x14ac:dyDescent="0.3">
      <c r="A13" s="695" t="s">
        <v>41</v>
      </c>
      <c r="B13" s="647"/>
      <c r="C13" s="145">
        <f t="shared" ref="C13:C88" ca="1" si="44">D13+G13</f>
        <v>11718970</v>
      </c>
      <c r="D13" s="145">
        <f t="shared" ref="D13:I13" ca="1" si="45">SUM(D14:D30)</f>
        <v>11718970</v>
      </c>
      <c r="E13" s="145">
        <f t="shared" ca="1" si="45"/>
        <v>4445600</v>
      </c>
      <c r="F13" s="145">
        <f t="shared" ca="1" si="45"/>
        <v>7273370</v>
      </c>
      <c r="G13" s="145">
        <f t="shared" ca="1" si="45"/>
        <v>0</v>
      </c>
      <c r="H13" s="145">
        <f t="shared" ca="1" si="45"/>
        <v>13992350</v>
      </c>
      <c r="I13" s="145">
        <f t="shared" ca="1" si="45"/>
        <v>0</v>
      </c>
      <c r="J13" s="145">
        <f t="shared" ref="J13:J88" ca="1" si="46">L13+O13</f>
        <v>10326152.83</v>
      </c>
      <c r="K13" s="146">
        <f t="shared" ref="K13:K88" ca="1" si="47">IF(C13&gt;0,J13*100/C13,0)</f>
        <v>88.114849939883797</v>
      </c>
      <c r="L13" s="145">
        <f ca="1">SUM(L14:L30)</f>
        <v>10326152.83</v>
      </c>
      <c r="M13" s="57">
        <f t="shared" ref="M13:M88" ca="1" si="48">IF(D13&gt;0,L13*100/D13,0)</f>
        <v>88.114849939883797</v>
      </c>
      <c r="N13" s="57">
        <f t="shared" ref="N13:N88" ca="1" si="49">IF(H13&gt;0,L13*100/H13,0)</f>
        <v>73.798560141791768</v>
      </c>
      <c r="O13" s="56">
        <f ca="1">SUM(O14:O30)</f>
        <v>0</v>
      </c>
      <c r="P13" s="56">
        <f t="shared" ref="P13:P88" ca="1" si="50">IF(G13&gt;0,O13*100/G13,0)</f>
        <v>0</v>
      </c>
      <c r="Q13" s="57">
        <f t="shared" ref="Q13:Q88" ca="1" si="51">IF(I13&gt;0,O13*100/I13,0)</f>
        <v>0</v>
      </c>
      <c r="R13" s="277">
        <f t="shared" ref="R13:T13" ca="1" si="52">SUM(R14:R30)</f>
        <v>20770</v>
      </c>
      <c r="S13" s="145">
        <f t="shared" ca="1" si="52"/>
        <v>3309</v>
      </c>
      <c r="T13" s="56">
        <f t="shared" ca="1" si="52"/>
        <v>23876.789999999961</v>
      </c>
      <c r="U13" s="57">
        <f t="shared" ref="U13:U88" ca="1" si="53">IF(R13&gt;0,T13*100/R13,0)</f>
        <v>114.95806451612886</v>
      </c>
      <c r="V13" s="277">
        <f t="shared" ref="V13:X13" ca="1" si="54">SUM(V14:V30)</f>
        <v>9049</v>
      </c>
      <c r="W13" s="145">
        <f t="shared" ca="1" si="54"/>
        <v>9450</v>
      </c>
      <c r="X13" s="56">
        <f t="shared" ca="1" si="54"/>
        <v>96520.249999999898</v>
      </c>
      <c r="Y13" s="57">
        <f t="shared" ref="Y13:Y88" ca="1" si="55">IF(V13&gt;0,W13*100/V13,0)</f>
        <v>104.43142888716986</v>
      </c>
      <c r="Z13" s="277">
        <f t="shared" ref="Z13:AB13" ca="1" si="56">SUM(Z14:Z30)</f>
        <v>9049</v>
      </c>
      <c r="AA13" s="145">
        <f t="shared" ca="1" si="56"/>
        <v>8413</v>
      </c>
      <c r="AB13" s="56">
        <f t="shared" ca="1" si="56"/>
        <v>87953.899999999892</v>
      </c>
      <c r="AC13" s="57">
        <f t="shared" ref="AC13:AC88" ca="1" si="57">IF(Z13&gt;0,AA13*100/Z13,0)</f>
        <v>92.971599071720632</v>
      </c>
      <c r="AD13" s="277">
        <f t="shared" ref="AD13:AF13" ca="1" si="58">SUM(AD14:AD30)</f>
        <v>9460</v>
      </c>
      <c r="AE13" s="145">
        <f t="shared" ca="1" si="58"/>
        <v>1734</v>
      </c>
      <c r="AF13" s="56">
        <f t="shared" ca="1" si="58"/>
        <v>11949.58</v>
      </c>
      <c r="AG13" s="57">
        <f t="shared" ref="AG13:AG88" ca="1" si="59">IF(AD13&gt;0,AF13*100/AD13,0)</f>
        <v>126.31691331923891</v>
      </c>
      <c r="AH13" s="277">
        <f t="shared" ref="AH13:AJ13" ca="1" si="60">SUM(AH14:AH30)</f>
        <v>1032</v>
      </c>
      <c r="AI13" s="145">
        <f t="shared" ca="1" si="60"/>
        <v>1227</v>
      </c>
      <c r="AJ13" s="56">
        <f t="shared" ca="1" si="60"/>
        <v>7410.5700000000006</v>
      </c>
      <c r="AK13" s="57">
        <f t="shared" ref="AK13:AK88" ca="1" si="61">IF(AH13&gt;0,AI13*100/AH13,0)</f>
        <v>118.8953488372093</v>
      </c>
      <c r="AL13" s="277">
        <f t="shared" ref="AL13:AN13" ca="1" si="62">SUM(AL14:AL30)</f>
        <v>1032</v>
      </c>
      <c r="AM13" s="145">
        <f t="shared" ca="1" si="62"/>
        <v>749</v>
      </c>
      <c r="AN13" s="56">
        <f t="shared" ca="1" si="62"/>
        <v>4161.5300000000007</v>
      </c>
      <c r="AO13" s="57">
        <f t="shared" ref="AO13:AO88" ca="1" si="63">IF(AL13&gt;0,AM13*100/AL13,0)</f>
        <v>72.577519379844958</v>
      </c>
      <c r="AP13" s="277">
        <f t="shared" ref="AP13:AR13" ca="1" si="64">SUM(AP14:AP30)</f>
        <v>11310</v>
      </c>
      <c r="AQ13" s="145">
        <f t="shared" ca="1" si="64"/>
        <v>1569</v>
      </c>
      <c r="AR13" s="56">
        <f t="shared" ca="1" si="64"/>
        <v>11858.450000000004</v>
      </c>
      <c r="AS13" s="57">
        <f t="shared" ref="AS13:AS88" ca="1" si="65">IF(AP13&gt;0,AR13*100/AP13,0)</f>
        <v>104.84924845269677</v>
      </c>
      <c r="AT13" s="277">
        <f t="shared" ref="AT13:AV13" ca="1" si="66">SUM(AT14:AT30)</f>
        <v>1873</v>
      </c>
      <c r="AU13" s="145">
        <f t="shared" ca="1" si="66"/>
        <v>1402</v>
      </c>
      <c r="AV13" s="56">
        <f t="shared" ca="1" si="66"/>
        <v>10524.550000000001</v>
      </c>
      <c r="AW13" s="57">
        <f t="shared" ref="AW13:AW88" ca="1" si="67">IF(AT13&gt;0,AU13*100/AT13,0)</f>
        <v>74.853176721836633</v>
      </c>
      <c r="AX13" s="277">
        <f t="shared" ref="AX13:AZ13" ca="1" si="68">SUM(AX14:AX30)</f>
        <v>1873</v>
      </c>
      <c r="AY13" s="145">
        <f t="shared" ca="1" si="68"/>
        <v>944</v>
      </c>
      <c r="AZ13" s="56">
        <f t="shared" ca="1" si="68"/>
        <v>6395.7300000000005</v>
      </c>
      <c r="BA13" s="57">
        <f t="shared" ref="BA13:BA88" ca="1" si="69">IF(AX13&gt;0,AY13*100/AX13,0)</f>
        <v>50.40042712226375</v>
      </c>
      <c r="BB13" s="277">
        <f t="shared" ref="BB13:BD13" ca="1" si="70">SUM(BB14:BB30)</f>
        <v>6144</v>
      </c>
      <c r="BC13" s="145">
        <f t="shared" ca="1" si="70"/>
        <v>6843</v>
      </c>
      <c r="BD13" s="56">
        <f t="shared" ca="1" si="70"/>
        <v>78585.13</v>
      </c>
      <c r="BE13" s="57">
        <f t="shared" ref="BE13:BE88" ca="1" si="71">IF(BB13&gt;0,BC13*100/BB13,0)</f>
        <v>111.376953125</v>
      </c>
      <c r="BF13" s="277">
        <f t="shared" ref="BF13:BH13" ca="1" si="72">SUM(BF14:BF30)</f>
        <v>6144</v>
      </c>
      <c r="BG13" s="145">
        <f t="shared" ca="1" si="72"/>
        <v>6737</v>
      </c>
      <c r="BH13" s="56">
        <f t="shared" ca="1" si="72"/>
        <v>77396.649999999994</v>
      </c>
      <c r="BI13" s="57">
        <f t="shared" ref="BI13:BI88" ca="1" si="73">IF(BF13&gt;0,BG13*100/BF13,0)</f>
        <v>109.65169270833333</v>
      </c>
      <c r="BJ13" s="356"/>
    </row>
    <row r="14" spans="1:62" ht="24" customHeight="1" x14ac:dyDescent="0.3">
      <c r="A14" s="147">
        <v>1</v>
      </c>
      <c r="B14" s="148" t="s">
        <v>42</v>
      </c>
      <c r="C14" s="149">
        <f t="shared" ca="1" si="44"/>
        <v>887480</v>
      </c>
      <c r="D14" s="150">
        <f t="shared" ref="D14:D30" ca="1" si="74">+E14+F14</f>
        <v>887480</v>
      </c>
      <c r="E14" s="151">
        <f ca="1">IFERROR(__xludf.DUMMYFUNCTION("IMPORTRANGE(""https://docs.google.com/spreadsheets/d/1-uDff_7J0KD5mKrp0Vvzr7lt3OU09vwQwhkpOPPYv2Y/edit?usp=sharing"",""งบพรบ!FD14"")"),199500)</f>
        <v>199500</v>
      </c>
      <c r="F14" s="151">
        <f ca="1">IFERROR(__xludf.DUMMYFUNCTION("IMPORTRANGE(""https://docs.google.com/spreadsheets/d/1-uDff_7J0KD5mKrp0Vvzr7lt3OU09vwQwhkpOPPYv2Y/edit?usp=sharing"",""งบพรบ!FE14"")"),687980)</f>
        <v>687980</v>
      </c>
      <c r="G14" s="152">
        <f ca="1">IFERROR(__xludf.DUMMYFUNCTION("IMPORTRANGE(""https://docs.google.com/spreadsheets/d/1-uDff_7J0KD5mKrp0Vvzr7lt3OU09vwQwhkpOPPYv2Y/edit?usp=sharing"",""งบพรบ!FF14"")"),0)</f>
        <v>0</v>
      </c>
      <c r="H14" s="152">
        <f ca="1">IFERROR(__xludf.DUMMYFUNCTION("IMPORTRANGE(""https://docs.google.com/spreadsheets/d/1-uDff_7J0KD5mKrp0Vvzr7lt3OU09vwQwhkpOPPYv2Y/edit?usp=sharing"",""งบพรบ!FH14"")"),1055480)</f>
        <v>1055480</v>
      </c>
      <c r="I14" s="152">
        <f ca="1">IFERROR(__xludf.DUMMYFUNCTION("IMPORTRANGE(""https://docs.google.com/spreadsheets/d/1-uDff_7J0KD5mKrp0Vvzr7lt3OU09vwQwhkpOPPYv2Y/edit?usp=sharing"",""งบพรบ!FI14"")"),0)</f>
        <v>0</v>
      </c>
      <c r="J14" s="152">
        <f t="shared" ca="1" si="46"/>
        <v>696895.83</v>
      </c>
      <c r="K14" s="153">
        <f t="shared" ca="1" si="47"/>
        <v>78.525243385766444</v>
      </c>
      <c r="L14" s="152">
        <f ca="1">IFERROR(__xludf.DUMMYFUNCTION("IMPORTRANGE(""https://docs.google.com/spreadsheets/d/1-uDff_7J0KD5mKrp0Vvzr7lt3OU09vwQwhkpOPPYv2Y/edit?usp=sharing"",""งบพรบ!FJ14"")"),696895.83)</f>
        <v>696895.83</v>
      </c>
      <c r="M14" s="68">
        <f t="shared" ca="1" si="48"/>
        <v>78.525243385766444</v>
      </c>
      <c r="N14" s="68">
        <f t="shared" ca="1" si="49"/>
        <v>66.026436313336106</v>
      </c>
      <c r="O14" s="67">
        <f ca="1">IFERROR(__xludf.DUMMYFUNCTION("IMPORTRANGE(""https://docs.google.com/spreadsheets/d/1-uDff_7J0KD5mKrp0Vvzr7lt3OU09vwQwhkpOPPYv2Y/edit?usp=sharing"",""งบพรบ!FK14"")"),0)</f>
        <v>0</v>
      </c>
      <c r="P14" s="67">
        <f t="shared" ca="1" si="50"/>
        <v>0</v>
      </c>
      <c r="Q14" s="68">
        <f t="shared" ca="1" si="51"/>
        <v>0</v>
      </c>
      <c r="R14" s="149">
        <f ca="1">IFERROR(__xludf.DUMMYFUNCTION("IMPORTRANGE(""https://docs.google.com/spreadsheets/d/1jTcq05yEiRwXcBMLjiodW9e4biSGYWAHcDj22rKWQ3s/edit?usp=sharing"",""กำแพงเพชร!I368"")"),2200)</f>
        <v>2200</v>
      </c>
      <c r="S14" s="152">
        <f ca="1">IFERROR(__xludf.DUMMYFUNCTION("IMPORTRANGE(""https://docs.google.com/spreadsheets/d/1jTcq05yEiRwXcBMLjiodW9e4biSGYWAHcDj22rKWQ3s/edit?usp=sharing"",""กำแพงเพชร!J367"")"),261)</f>
        <v>261</v>
      </c>
      <c r="T14" s="357">
        <f ca="1">IFERROR(__xludf.DUMMYFUNCTION("IMPORTRANGE(""https://docs.google.com/spreadsheets/d/1jTcq05yEiRwXcBMLjiodW9e4biSGYWAHcDj22rKWQ3s/edit?usp=sharing"",""กำแพงเพชร!J368"")"),2544.02)</f>
        <v>2544.02</v>
      </c>
      <c r="U14" s="216">
        <f t="shared" ca="1" si="53"/>
        <v>115.63727272727273</v>
      </c>
      <c r="V14" s="149">
        <f ca="1">IFERROR(__xludf.DUMMYFUNCTION("IMPORTRANGE(""https://docs.google.com/spreadsheets/d/1jTcq05yEiRwXcBMLjiodW9e4biSGYWAHcDj22rKWQ3s/edit?usp=sharing"",""กำแพงเพชร!I369"")"),615)</f>
        <v>615</v>
      </c>
      <c r="W14" s="152">
        <f ca="1">IFERROR(__xludf.DUMMYFUNCTION("IMPORTRANGE(""https://docs.google.com/spreadsheets/d/1jTcq05yEiRwXcBMLjiodW9e4biSGYWAHcDj22rKWQ3s/edit?usp=sharing"",""กำแพงเพชร!J369"")"),762)</f>
        <v>762</v>
      </c>
      <c r="X14" s="357">
        <f ca="1">IFERROR(__xludf.DUMMYFUNCTION("IMPORTRANGE(""https://docs.google.com/spreadsheets/d/1jTcq05yEiRwXcBMLjiodW9e4biSGYWAHcDj22rKWQ3s/edit?usp=sharing"",""กำแพงเพชร!J370"")"),11277.08)</f>
        <v>11277.08</v>
      </c>
      <c r="Y14" s="216">
        <f t="shared" ca="1" si="55"/>
        <v>123.90243902439025</v>
      </c>
      <c r="Z14" s="149">
        <f ca="1">IFERROR(__xludf.DUMMYFUNCTION("IMPORTRANGE(""https://docs.google.com/spreadsheets/d/1jTcq05yEiRwXcBMLjiodW9e4biSGYWAHcDj22rKWQ3s/edit?usp=sharing"",""กำแพงเพชร!I371"")"),615)</f>
        <v>615</v>
      </c>
      <c r="AA14" s="152">
        <f ca="1">IFERROR(__xludf.DUMMYFUNCTION("IMPORTRANGE(""https://docs.google.com/spreadsheets/d/1jTcq05yEiRwXcBMLjiodW9e4biSGYWAHcDj22rKWQ3s/edit?usp=sharing"",""กำแพงเพชร!J371"")"),722)</f>
        <v>722</v>
      </c>
      <c r="AB14" s="357">
        <f ca="1">IFERROR(__xludf.DUMMYFUNCTION("IMPORTRANGE(""https://docs.google.com/spreadsheets/d/1jTcq05yEiRwXcBMLjiodW9e4biSGYWAHcDj22rKWQ3s/edit?usp=sharing"",""กำแพงเพชร!J372"")"),10885.92)</f>
        <v>10885.92</v>
      </c>
      <c r="AC14" s="216">
        <f t="shared" ca="1" si="57"/>
        <v>117.39837398373983</v>
      </c>
      <c r="AD14" s="358">
        <f ca="1">IFERROR(__xludf.DUMMYFUNCTION("IMPORTRANGE(""https://docs.google.com/spreadsheets/d/1eHaY18a8A9IcSdp1K8H6x8fbOy06t2VsZHhMHf-1x7Y/edit?usp=sharing"",""แผน!EM14"")"),700)</f>
        <v>700</v>
      </c>
      <c r="AE14" s="151">
        <f ca="1">IFERROR(__xludf.DUMMYFUNCTION("IMPORTRANGE(""https://docs.google.com/spreadsheets/d/1tdoBKaGub7dwA3U6UFTqxio9LNnvDCQjHKmttSEBsFQ/edit?usp=sharing"",""จัดที่ดิน!E14"")"),133)</f>
        <v>133</v>
      </c>
      <c r="AF14" s="67">
        <f ca="1">IFERROR(__xludf.DUMMYFUNCTION("IMPORTRANGE(""https://docs.google.com/spreadsheets/d/1tdoBKaGub7dwA3U6UFTqxio9LNnvDCQjHKmttSEBsFQ/edit?usp=sharing"",""จัดที่ดิน!F14"")"),1265.76)</f>
        <v>1265.76</v>
      </c>
      <c r="AG14" s="68">
        <f t="shared" ca="1" si="59"/>
        <v>180.82285714285715</v>
      </c>
      <c r="AH14" s="358">
        <f ca="1">IFERROR(__xludf.DUMMYFUNCTION("IMPORTRANGE(""https://docs.google.com/spreadsheets/d/1eHaY18a8A9IcSdp1K8H6x8fbOy06t2VsZHhMHf-1x7Y/edit?usp=sharing"",""แผน!EN14"")"),45)</f>
        <v>45</v>
      </c>
      <c r="AI14" s="151">
        <f ca="1">IFERROR(__xludf.DUMMYFUNCTION("IMPORTRANGE(""https://docs.google.com/spreadsheets/d/1tdoBKaGub7dwA3U6UFTqxio9LNnvDCQjHKmttSEBsFQ/edit?usp=sharing"",""จัดที่ดิน!G14"")"),81)</f>
        <v>81</v>
      </c>
      <c r="AJ14" s="67">
        <f ca="1">IFERROR(__xludf.DUMMYFUNCTION("IMPORTRANGE(""https://docs.google.com/spreadsheets/d/1tdoBKaGub7dwA3U6UFTqxio9LNnvDCQjHKmttSEBsFQ/edit?usp=sharing"",""จัดที่ดิน!H14"")"),673.59)</f>
        <v>673.59</v>
      </c>
      <c r="AK14" s="68">
        <f t="shared" ca="1" si="61"/>
        <v>180</v>
      </c>
      <c r="AL14" s="358">
        <f ca="1">IFERROR(__xludf.DUMMYFUNCTION("IMPORTRANGE(""https://docs.google.com/spreadsheets/d/1eHaY18a8A9IcSdp1K8H6x8fbOy06t2VsZHhMHf-1x7Y/edit?usp=sharing"",""แผน!EN14"")"),45)</f>
        <v>45</v>
      </c>
      <c r="AM14" s="151">
        <f ca="1">IFERROR(__xludf.DUMMYFUNCTION("IMPORTRANGE(""https://docs.google.com/spreadsheets/d/1tdoBKaGub7dwA3U6UFTqxio9LNnvDCQjHKmttSEBsFQ/edit?usp=sharing"",""จัดที่ดิน!I14"")"),81)</f>
        <v>81</v>
      </c>
      <c r="AN14" s="67">
        <f ca="1">IFERROR(__xludf.DUMMYFUNCTION("IMPORTRANGE(""https://docs.google.com/spreadsheets/d/1tdoBKaGub7dwA3U6UFTqxio9LNnvDCQjHKmttSEBsFQ/edit?usp=sharing"",""จัดที่ดิน!J14"")"),673.59)</f>
        <v>673.59</v>
      </c>
      <c r="AO14" s="68">
        <f t="shared" ca="1" si="63"/>
        <v>180</v>
      </c>
      <c r="AP14" s="359">
        <f ca="1">IFERROR(__xludf.DUMMYFUNCTION("IMPORTRANGE(""https://docs.google.com/spreadsheets/d/1eHaY18a8A9IcSdp1K8H6x8fbOy06t2VsZHhMHf-1x7Y/edit?usp=sharing"",""แผน!EO14"")"),1500)</f>
        <v>1500</v>
      </c>
      <c r="AQ14" s="151">
        <f ca="1">IFERROR(__xludf.DUMMYFUNCTION("IMPORTRANGE(""https://docs.google.com/spreadsheets/d/1tdoBKaGub7dwA3U6UFTqxio9LNnvDCQjHKmttSEBsFQ/edit?usp=sharing"",""แบ่งแปลง!D9"")"),128)</f>
        <v>128</v>
      </c>
      <c r="AR14" s="67">
        <f ca="1">IFERROR(__xludf.DUMMYFUNCTION("IMPORTRANGE(""https://docs.google.com/spreadsheets/d/1tdoBKaGub7dwA3U6UFTqxio9LNnvDCQjHKmttSEBsFQ/edit?usp=sharing"",""แบ่งแปลง!F9"")"),1278.26)</f>
        <v>1278.26</v>
      </c>
      <c r="AS14" s="68">
        <f t="shared" ca="1" si="65"/>
        <v>85.217333333333329</v>
      </c>
      <c r="AT14" s="359">
        <f ca="1">IFERROR(__xludf.DUMMYFUNCTION("IMPORTRANGE(""https://docs.google.com/spreadsheets/d/1eHaY18a8A9IcSdp1K8H6x8fbOy06t2VsZHhMHf-1x7Y/edit?usp=sharing"",""แผน!EP14"")"),150)</f>
        <v>150</v>
      </c>
      <c r="AU14" s="151">
        <f ca="1">IFERROR(__xludf.DUMMYFUNCTION("IMPORTRANGE(""https://docs.google.com/spreadsheets/d/1tdoBKaGub7dwA3U6UFTqxio9LNnvDCQjHKmttSEBsFQ/edit?usp=sharing"",""แบ่งแปลง!I9"")"),79)</f>
        <v>79</v>
      </c>
      <c r="AV14" s="67">
        <f ca="1">IFERROR(__xludf.DUMMYFUNCTION("IMPORTRANGE(""https://docs.google.com/spreadsheets/d/1tdoBKaGub7dwA3U6UFTqxio9LNnvDCQjHKmttSEBsFQ/edit?usp=sharing"",""แบ่งแปลง!K9"")"),836.22)</f>
        <v>836.22</v>
      </c>
      <c r="AW14" s="68">
        <f t="shared" ca="1" si="67"/>
        <v>52.666666666666664</v>
      </c>
      <c r="AX14" s="359">
        <f ca="1">IFERROR(__xludf.DUMMYFUNCTION("IMPORTRANGE(""https://docs.google.com/spreadsheets/d/1eHaY18a8A9IcSdp1K8H6x8fbOy06t2VsZHhMHf-1x7Y/edit?usp=sharing"",""แผน!EP14"")"),150)</f>
        <v>150</v>
      </c>
      <c r="AY14" s="151">
        <f ca="1">IFERROR(__xludf.DUMMYFUNCTION("IMPORTRANGE(""https://docs.google.com/spreadsheets/d/1tdoBKaGub7dwA3U6UFTqxio9LNnvDCQjHKmttSEBsFQ/edit?usp=sharing"",""แบ่งแปลง!X9"")"),43)</f>
        <v>43</v>
      </c>
      <c r="AZ14" s="67">
        <f ca="1">IFERROR(__xludf.DUMMYFUNCTION("IMPORTRANGE(""https://docs.google.com/spreadsheets/d/1tdoBKaGub7dwA3U6UFTqxio9LNnvDCQjHKmttSEBsFQ/edit?usp=sharing"",""แบ่งแปลง!Z9"")"),533.3)</f>
        <v>533.29999999999995</v>
      </c>
      <c r="BA14" s="68">
        <f t="shared" ca="1" si="69"/>
        <v>28.666666666666668</v>
      </c>
      <c r="BB14" s="360">
        <f ca="1">IFERROR(__xludf.DUMMYFUNCTION("IMPORTRANGE(""https://docs.google.com/spreadsheets/d/1eHaY18a8A9IcSdp1K8H6x8fbOy06t2VsZHhMHf-1x7Y/edit?usp=sharing"",""แผน!ES14"")"),420)</f>
        <v>420</v>
      </c>
      <c r="BC14" s="151">
        <f ca="1">IFERROR(__xludf.DUMMYFUNCTION("IMPORTRANGE(""https://docs.google.com/spreadsheets/d/1tdoBKaGub7dwA3U6UFTqxio9LNnvDCQjHKmttSEBsFQ/edit?usp=sharing"",""เต็มแปลง!I9"")"),602)</f>
        <v>602</v>
      </c>
      <c r="BD14" s="67">
        <f ca="1">IFERROR(__xludf.DUMMYFUNCTION("IMPORTRANGE(""https://docs.google.com/spreadsheets/d/1tdoBKaGub7dwA3U6UFTqxio9LNnvDCQjHKmttSEBsFQ/edit?usp=sharing"",""เต็มแปลง!K9"")"),9767.27)</f>
        <v>9767.27</v>
      </c>
      <c r="BE14" s="68">
        <f t="shared" ca="1" si="71"/>
        <v>143.33333333333334</v>
      </c>
      <c r="BF14" s="360">
        <f ca="1">IFERROR(__xludf.DUMMYFUNCTION("IMPORTRANGE(""https://docs.google.com/spreadsheets/d/1eHaY18a8A9IcSdp1K8H6x8fbOy06t2VsZHhMHf-1x7Y/edit?usp=sharing"",""แผน!ES14"")"),420)</f>
        <v>420</v>
      </c>
      <c r="BG14" s="151">
        <f ca="1">IFERROR(__xludf.DUMMYFUNCTION("IMPORTRANGE(""https://docs.google.com/spreadsheets/d/1tdoBKaGub7dwA3U6UFTqxio9LNnvDCQjHKmttSEBsFQ/edit?usp=sharing"",""เต็มแปลง!S9"")"),598)</f>
        <v>598</v>
      </c>
      <c r="BH14" s="67">
        <f ca="1">IFERROR(__xludf.DUMMYFUNCTION("IMPORTRANGE(""https://docs.google.com/spreadsheets/d/1tdoBKaGub7dwA3U6UFTqxio9LNnvDCQjHKmttSEBsFQ/edit?usp=sharing"",""เต็มแปลง!U9"")"),9679.02)</f>
        <v>9679.02</v>
      </c>
      <c r="BI14" s="68">
        <f t="shared" ca="1" si="73"/>
        <v>142.38095238095238</v>
      </c>
      <c r="BJ14" s="339"/>
    </row>
    <row r="15" spans="1:62" ht="24" customHeight="1" x14ac:dyDescent="0.3">
      <c r="A15" s="147">
        <v>2</v>
      </c>
      <c r="B15" s="148" t="s">
        <v>43</v>
      </c>
      <c r="C15" s="149">
        <f t="shared" ca="1" si="44"/>
        <v>645420</v>
      </c>
      <c r="D15" s="150">
        <f t="shared" ca="1" si="74"/>
        <v>645420</v>
      </c>
      <c r="E15" s="151">
        <f ca="1">IFERROR(__xludf.DUMMYFUNCTION("IMPORTRANGE(""https://docs.google.com/spreadsheets/d/1-uDff_7J0KD5mKrp0Vvzr7lt3OU09vwQwhkpOPPYv2Y/edit?usp=sharing"",""งบพรบ!FD15"")"),0)</f>
        <v>0</v>
      </c>
      <c r="F15" s="151">
        <f ca="1">IFERROR(__xludf.DUMMYFUNCTION("IMPORTRANGE(""https://docs.google.com/spreadsheets/d/1-uDff_7J0KD5mKrp0Vvzr7lt3OU09vwQwhkpOPPYv2Y/edit?usp=sharing"",""งบพรบ!FE15"")"),645420)</f>
        <v>645420</v>
      </c>
      <c r="G15" s="151">
        <f ca="1">IFERROR(__xludf.DUMMYFUNCTION("IMPORTRANGE(""https://docs.google.com/spreadsheets/d/1-uDff_7J0KD5mKrp0Vvzr7lt3OU09vwQwhkpOPPYv2Y/edit?usp=sharing"",""งบพรบ!FF15"")"),0)</f>
        <v>0</v>
      </c>
      <c r="H15" s="151">
        <f ca="1">IFERROR(__xludf.DUMMYFUNCTION("IMPORTRANGE(""https://docs.google.com/spreadsheets/d/1-uDff_7J0KD5mKrp0Vvzr7lt3OU09vwQwhkpOPPYv2Y/edit?usp=sharing"",""งบพรบ!FH15"")"),793420)</f>
        <v>793420</v>
      </c>
      <c r="I15" s="151">
        <f ca="1">IFERROR(__xludf.DUMMYFUNCTION("IMPORTRANGE(""https://docs.google.com/spreadsheets/d/1-uDff_7J0KD5mKrp0Vvzr7lt3OU09vwQwhkpOPPYv2Y/edit?usp=sharing"",""งบพรบ!FI15"")"),0)</f>
        <v>0</v>
      </c>
      <c r="J15" s="151">
        <f t="shared" ca="1" si="46"/>
        <v>552600.14</v>
      </c>
      <c r="K15" s="154">
        <f t="shared" ca="1" si="47"/>
        <v>85.618688605869053</v>
      </c>
      <c r="L15" s="151">
        <f ca="1">IFERROR(__xludf.DUMMYFUNCTION("IMPORTRANGE(""https://docs.google.com/spreadsheets/d/1-uDff_7J0KD5mKrp0Vvzr7lt3OU09vwQwhkpOPPYv2Y/edit?usp=sharing"",""งบพรบ!FJ15"")"),552600.14)</f>
        <v>552600.14</v>
      </c>
      <c r="M15" s="68">
        <f t="shared" ca="1" si="48"/>
        <v>85.618688605869053</v>
      </c>
      <c r="N15" s="68">
        <f t="shared" ca="1" si="49"/>
        <v>69.647871240956874</v>
      </c>
      <c r="O15" s="67">
        <f ca="1">IFERROR(__xludf.DUMMYFUNCTION("IMPORTRANGE(""https://docs.google.com/spreadsheets/d/1-uDff_7J0KD5mKrp0Vvzr7lt3OU09vwQwhkpOPPYv2Y/edit?usp=sharing"",""งบพรบ!FK15"")"),0)</f>
        <v>0</v>
      </c>
      <c r="P15" s="67">
        <f t="shared" ca="1" si="50"/>
        <v>0</v>
      </c>
      <c r="Q15" s="68">
        <f t="shared" ca="1" si="51"/>
        <v>0</v>
      </c>
      <c r="R15" s="149">
        <f ca="1">IFERROR(__xludf.DUMMYFUNCTION("IMPORTRANGE(""https://docs.google.com/spreadsheets/d/1KS0zmDSZPk8KnTAbGN-Xk6MtX1YRZD0ldgdt20K4CRk/edit?usp=sharing"",""เชียงราย!I368"")"),1450)</f>
        <v>1450</v>
      </c>
      <c r="S15" s="152">
        <f ca="1">IFERROR(__xludf.DUMMYFUNCTION("IMPORTRANGE(""https://docs.google.com/spreadsheets/d/1KS0zmDSZPk8KnTAbGN-Xk6MtX1YRZD0ldgdt20K4CRk/edit?usp=sharing"",""เชียงราย!J367"")"),394)</f>
        <v>394</v>
      </c>
      <c r="T15" s="357">
        <f ca="1">IFERROR(__xludf.DUMMYFUNCTION("IMPORTRANGE(""https://docs.google.com/spreadsheets/d/1KS0zmDSZPk8KnTAbGN-Xk6MtX1YRZD0ldgdt20K4CRk/edit?usp=sharing"",""เชียงราย!J368"")"),1622.6)</f>
        <v>1622.6</v>
      </c>
      <c r="U15" s="216">
        <f t="shared" ca="1" si="53"/>
        <v>111.90344827586208</v>
      </c>
      <c r="V15" s="149">
        <f ca="1">IFERROR(__xludf.DUMMYFUNCTION("IMPORTRANGE(""https://docs.google.com/spreadsheets/d/1KS0zmDSZPk8KnTAbGN-Xk6MtX1YRZD0ldgdt20K4CRk/edit?usp=sharing"",""เชียงราย!I369"")"),895)</f>
        <v>895</v>
      </c>
      <c r="W15" s="152">
        <f ca="1">IFERROR(__xludf.DUMMYFUNCTION("IMPORTRANGE(""https://docs.google.com/spreadsheets/d/1KS0zmDSZPk8KnTAbGN-Xk6MtX1YRZD0ldgdt20K4CRk/edit?usp=sharing"",""เชียงราย!J369"")"),929)</f>
        <v>929</v>
      </c>
      <c r="X15" s="357">
        <f ca="1">IFERROR(__xludf.DUMMYFUNCTION("IMPORTRANGE(""https://docs.google.com/spreadsheets/d/1KS0zmDSZPk8KnTAbGN-Xk6MtX1YRZD0ldgdt20K4CRk/edit?usp=sharing"",""เชียงราย!J370"")"),6416.52)</f>
        <v>6416.52</v>
      </c>
      <c r="Y15" s="216">
        <f t="shared" ca="1" si="55"/>
        <v>103.79888268156425</v>
      </c>
      <c r="Z15" s="149">
        <f ca="1">IFERROR(__xludf.DUMMYFUNCTION("IMPORTRANGE(""https://docs.google.com/spreadsheets/d/1KS0zmDSZPk8KnTAbGN-Xk6MtX1YRZD0ldgdt20K4CRk/edit?usp=sharing"",""เชียงราย!I371"")"),895)</f>
        <v>895</v>
      </c>
      <c r="AA15" s="152">
        <f ca="1">IFERROR(__xludf.DUMMYFUNCTION("IMPORTRANGE(""https://docs.google.com/spreadsheets/d/1KS0zmDSZPk8KnTAbGN-Xk6MtX1YRZD0ldgdt20K4CRk/edit?usp=sharing"",""เชียงราย!J371"")"),830)</f>
        <v>830</v>
      </c>
      <c r="AB15" s="357">
        <f ca="1">IFERROR(__xludf.DUMMYFUNCTION("IMPORTRANGE(""https://docs.google.com/spreadsheets/d/1KS0zmDSZPk8KnTAbGN-Xk6MtX1YRZD0ldgdt20K4CRk/edit?usp=sharing"",""เชียงราย!J372"")"),5489.04)</f>
        <v>5489.04</v>
      </c>
      <c r="AC15" s="216">
        <f t="shared" ca="1" si="57"/>
        <v>92.737430167597765</v>
      </c>
      <c r="AD15" s="358">
        <f ca="1">IFERROR(__xludf.DUMMYFUNCTION("IMPORTRANGE(""https://docs.google.com/spreadsheets/d/1eHaY18a8A9IcSdp1K8H6x8fbOy06t2VsZHhMHf-1x7Y/edit?usp=sharing"",""แผน!EM15"")"),450)</f>
        <v>450</v>
      </c>
      <c r="AE15" s="151">
        <f ca="1">IFERROR(__xludf.DUMMYFUNCTION("IMPORTRANGE(""https://docs.google.com/spreadsheets/d/1tdoBKaGub7dwA3U6UFTqxio9LNnvDCQjHKmttSEBsFQ/edit?usp=sharing"",""จัดที่ดิน!E15"")"),228)</f>
        <v>228</v>
      </c>
      <c r="AF15" s="67">
        <f ca="1">IFERROR(__xludf.DUMMYFUNCTION("IMPORTRANGE(""https://docs.google.com/spreadsheets/d/1tdoBKaGub7dwA3U6UFTqxio9LNnvDCQjHKmttSEBsFQ/edit?usp=sharing"",""จัดที่ดิน!F15"")"),843.03)</f>
        <v>843.03</v>
      </c>
      <c r="AG15" s="68">
        <f t="shared" ca="1" si="59"/>
        <v>187.34</v>
      </c>
      <c r="AH15" s="358">
        <f ca="1">IFERROR(__xludf.DUMMYFUNCTION("IMPORTRANGE(""https://docs.google.com/spreadsheets/d/1eHaY18a8A9IcSdp1K8H6x8fbOy06t2VsZHhMHf-1x7Y/edit?usp=sharing"",""แผน!EN15"")"),45)</f>
        <v>45</v>
      </c>
      <c r="AI15" s="151">
        <f ca="1">IFERROR(__xludf.DUMMYFUNCTION("IMPORTRANGE(""https://docs.google.com/spreadsheets/d/1tdoBKaGub7dwA3U6UFTqxio9LNnvDCQjHKmttSEBsFQ/edit?usp=sharing"",""จัดที่ดิน!G15"")"),204)</f>
        <v>204</v>
      </c>
      <c r="AJ15" s="67">
        <f ca="1">IFERROR(__xludf.DUMMYFUNCTION("IMPORTRANGE(""https://docs.google.com/spreadsheets/d/1tdoBKaGub7dwA3U6UFTqxio9LNnvDCQjHKmttSEBsFQ/edit?usp=sharing"",""จัดที่ดิน!H15"")"),732.13)</f>
        <v>732.13</v>
      </c>
      <c r="AK15" s="68">
        <f t="shared" ca="1" si="61"/>
        <v>453.33333333333331</v>
      </c>
      <c r="AL15" s="358">
        <f ca="1">IFERROR(__xludf.DUMMYFUNCTION("IMPORTRANGE(""https://docs.google.com/spreadsheets/d/1eHaY18a8A9IcSdp1K8H6x8fbOy06t2VsZHhMHf-1x7Y/edit?usp=sharing"",""แผน!EN15"")"),45)</f>
        <v>45</v>
      </c>
      <c r="AM15" s="151">
        <f ca="1">IFERROR(__xludf.DUMMYFUNCTION("IMPORTRANGE(""https://docs.google.com/spreadsheets/d/1tdoBKaGub7dwA3U6UFTqxio9LNnvDCQjHKmttSEBsFQ/edit?usp=sharing"",""จัดที่ดิน!I15"")"),209)</f>
        <v>209</v>
      </c>
      <c r="AN15" s="67">
        <f ca="1">IFERROR(__xludf.DUMMYFUNCTION("IMPORTRANGE(""https://docs.google.com/spreadsheets/d/1tdoBKaGub7dwA3U6UFTqxio9LNnvDCQjHKmttSEBsFQ/edit?usp=sharing"",""จัดที่ดิน!J15"")"),853.71)</f>
        <v>853.71</v>
      </c>
      <c r="AO15" s="68">
        <f t="shared" ca="1" si="63"/>
        <v>464.44444444444446</v>
      </c>
      <c r="AP15" s="359">
        <f ca="1">IFERROR(__xludf.DUMMYFUNCTION("IMPORTRANGE(""https://docs.google.com/spreadsheets/d/1eHaY18a8A9IcSdp1K8H6x8fbOy06t2VsZHhMHf-1x7Y/edit?usp=sharing"",""แผน!EO15"")"),1000)</f>
        <v>1000</v>
      </c>
      <c r="AQ15" s="151">
        <f ca="1">IFERROR(__xludf.DUMMYFUNCTION("IMPORTRANGE(""https://docs.google.com/spreadsheets/d/1tdoBKaGub7dwA3U6UFTqxio9LNnvDCQjHKmttSEBsFQ/edit?usp=sharing"",""แบ่งแปลง!D10"")"),166)</f>
        <v>166</v>
      </c>
      <c r="AR15" s="67">
        <f ca="1">IFERROR(__xludf.DUMMYFUNCTION("IMPORTRANGE(""https://docs.google.com/spreadsheets/d/1tdoBKaGub7dwA3U6UFTqxio9LNnvDCQjHKmttSEBsFQ/edit?usp=sharing"",""แบ่งแปลง!F10"")"),779.57)</f>
        <v>779.57</v>
      </c>
      <c r="AS15" s="68">
        <f t="shared" ca="1" si="65"/>
        <v>77.956999999999994</v>
      </c>
      <c r="AT15" s="359">
        <f ca="1">IFERROR(__xludf.DUMMYFUNCTION("IMPORTRANGE(""https://docs.google.com/spreadsheets/d/1eHaY18a8A9IcSdp1K8H6x8fbOy06t2VsZHhMHf-1x7Y/edit?usp=sharing"",""แผน!EP15"")"),200)</f>
        <v>200</v>
      </c>
      <c r="AU15" s="151">
        <f ca="1">IFERROR(__xludf.DUMMYFUNCTION("IMPORTRANGE(""https://docs.google.com/spreadsheets/d/1tdoBKaGub7dwA3U6UFTqxio9LNnvDCQjHKmttSEBsFQ/edit?usp=sharing"",""แบ่งแปลง!I10"")"),152)</f>
        <v>152</v>
      </c>
      <c r="AV15" s="67">
        <f ca="1">IFERROR(__xludf.DUMMYFUNCTION("IMPORTRANGE(""https://docs.google.com/spreadsheets/d/1tdoBKaGub7dwA3U6UFTqxio9LNnvDCQjHKmttSEBsFQ/edit?usp=sharing"",""แบ่งแปลง!K10"")"),678.03)</f>
        <v>678.03</v>
      </c>
      <c r="AW15" s="68">
        <f t="shared" ca="1" si="67"/>
        <v>76</v>
      </c>
      <c r="AX15" s="359">
        <f ca="1">IFERROR(__xludf.DUMMYFUNCTION("IMPORTRANGE(""https://docs.google.com/spreadsheets/d/1eHaY18a8A9IcSdp1K8H6x8fbOy06t2VsZHhMHf-1x7Y/edit?usp=sharing"",""แผน!EP15"")"),200)</f>
        <v>200</v>
      </c>
      <c r="AY15" s="151">
        <f ca="1">IFERROR(__xludf.DUMMYFUNCTION("IMPORTRANGE(""https://docs.google.com/spreadsheets/d/1tdoBKaGub7dwA3U6UFTqxio9LNnvDCQjHKmttSEBsFQ/edit?usp=sharing"",""แบ่งแปลง!X10"")"),144)</f>
        <v>144</v>
      </c>
      <c r="AZ15" s="67">
        <f ca="1">IFERROR(__xludf.DUMMYFUNCTION("IMPORTRANGE(""https://docs.google.com/spreadsheets/d/1tdoBKaGub7dwA3U6UFTqxio9LNnvDCQjHKmttSEBsFQ/edit?usp=sharing"",""แบ่งแปลง!Z10"")"),701.68)</f>
        <v>701.68</v>
      </c>
      <c r="BA15" s="68">
        <f t="shared" ca="1" si="69"/>
        <v>72</v>
      </c>
      <c r="BB15" s="360">
        <f ca="1">IFERROR(__xludf.DUMMYFUNCTION("IMPORTRANGE(""https://docs.google.com/spreadsheets/d/1eHaY18a8A9IcSdp1K8H6x8fbOy06t2VsZHhMHf-1x7Y/edit?usp=sharing"",""แผน!ES15"")"),650)</f>
        <v>650</v>
      </c>
      <c r="BC15" s="151">
        <f ca="1">IFERROR(__xludf.DUMMYFUNCTION("IMPORTRANGE(""https://docs.google.com/spreadsheets/d/1tdoBKaGub7dwA3U6UFTqxio9LNnvDCQjHKmttSEBsFQ/edit?usp=sharing"",""เต็มแปลง!I10"")"),576)</f>
        <v>576</v>
      </c>
      <c r="BD15" s="67">
        <f ca="1">IFERROR(__xludf.DUMMYFUNCTION("IMPORTRANGE(""https://docs.google.com/spreadsheets/d/1tdoBKaGub7dwA3U6UFTqxio9LNnvDCQjHKmttSEBsFQ/edit?usp=sharing"",""เต็มแปลง!K10"")"),5006.35)</f>
        <v>5006.3500000000004</v>
      </c>
      <c r="BE15" s="68">
        <f t="shared" ca="1" si="71"/>
        <v>88.615384615384613</v>
      </c>
      <c r="BF15" s="360">
        <f ca="1">IFERROR(__xludf.DUMMYFUNCTION("IMPORTRANGE(""https://docs.google.com/spreadsheets/d/1eHaY18a8A9IcSdp1K8H6x8fbOy06t2VsZHhMHf-1x7Y/edit?usp=sharing"",""แผน!ES15"")"),650)</f>
        <v>650</v>
      </c>
      <c r="BG15" s="151">
        <f ca="1">IFERROR(__xludf.DUMMYFUNCTION("IMPORTRANGE(""https://docs.google.com/spreadsheets/d/1tdoBKaGub7dwA3U6UFTqxio9LNnvDCQjHKmttSEBsFQ/edit?usp=sharing"",""เต็มแปลง!S10"")"),479)</f>
        <v>479</v>
      </c>
      <c r="BH15" s="67">
        <f ca="1">IFERROR(__xludf.DUMMYFUNCTION("IMPORTRANGE(""https://docs.google.com/spreadsheets/d/1tdoBKaGub7dwA3U6UFTqxio9LNnvDCQjHKmttSEBsFQ/edit?usp=sharing"",""เต็มแปลง!U10"")"),3933.65)</f>
        <v>3933.65</v>
      </c>
      <c r="BI15" s="68">
        <f t="shared" ca="1" si="73"/>
        <v>73.692307692307693</v>
      </c>
      <c r="BJ15" s="339"/>
    </row>
    <row r="16" spans="1:62" ht="24" customHeight="1" x14ac:dyDescent="0.3">
      <c r="A16" s="147">
        <v>3</v>
      </c>
      <c r="B16" s="148" t="s">
        <v>44</v>
      </c>
      <c r="C16" s="149">
        <f t="shared" ca="1" si="44"/>
        <v>572630</v>
      </c>
      <c r="D16" s="150">
        <f t="shared" ca="1" si="74"/>
        <v>572630</v>
      </c>
      <c r="E16" s="151">
        <f ca="1">IFERROR(__xludf.DUMMYFUNCTION("IMPORTRANGE(""https://docs.google.com/spreadsheets/d/1-uDff_7J0KD5mKrp0Vvzr7lt3OU09vwQwhkpOPPYv2Y/edit?usp=sharing"",""งบพรบ!FD16"")"),261000)</f>
        <v>261000</v>
      </c>
      <c r="F16" s="151">
        <f ca="1">IFERROR(__xludf.DUMMYFUNCTION("IMPORTRANGE(""https://docs.google.com/spreadsheets/d/1-uDff_7J0KD5mKrp0Vvzr7lt3OU09vwQwhkpOPPYv2Y/edit?usp=sharing"",""งบพรบ!FE16"")"),311630)</f>
        <v>311630</v>
      </c>
      <c r="G16" s="151">
        <f ca="1">IFERROR(__xludf.DUMMYFUNCTION("IMPORTRANGE(""https://docs.google.com/spreadsheets/d/1-uDff_7J0KD5mKrp0Vvzr7lt3OU09vwQwhkpOPPYv2Y/edit?usp=sharing"",""งบพรบ!FF16"")"),0)</f>
        <v>0</v>
      </c>
      <c r="H16" s="151">
        <f ca="1">IFERROR(__xludf.DUMMYFUNCTION("IMPORTRANGE(""https://docs.google.com/spreadsheets/d/1-uDff_7J0KD5mKrp0Vvzr7lt3OU09vwQwhkpOPPYv2Y/edit?usp=sharing"",""งบพรบ!FH16"")"),706225)</f>
        <v>706225</v>
      </c>
      <c r="I16" s="151">
        <f ca="1">IFERROR(__xludf.DUMMYFUNCTION("IMPORTRANGE(""https://docs.google.com/spreadsheets/d/1-uDff_7J0KD5mKrp0Vvzr7lt3OU09vwQwhkpOPPYv2Y/edit?usp=sharing"",""งบพรบ!FI16"")"),0)</f>
        <v>0</v>
      </c>
      <c r="J16" s="151">
        <f t="shared" ca="1" si="46"/>
        <v>540980.54</v>
      </c>
      <c r="K16" s="154">
        <f t="shared" ca="1" si="47"/>
        <v>94.472965090896395</v>
      </c>
      <c r="L16" s="151">
        <f ca="1">IFERROR(__xludf.DUMMYFUNCTION("IMPORTRANGE(""https://docs.google.com/spreadsheets/d/1-uDff_7J0KD5mKrp0Vvzr7lt3OU09vwQwhkpOPPYv2Y/edit?usp=sharing"",""งบพรบ!FJ16"")"),540980.54)</f>
        <v>540980.54</v>
      </c>
      <c r="M16" s="68">
        <f t="shared" ca="1" si="48"/>
        <v>94.472965090896395</v>
      </c>
      <c r="N16" s="68">
        <f t="shared" ca="1" si="49"/>
        <v>76.601726078799246</v>
      </c>
      <c r="O16" s="67">
        <f ca="1">IFERROR(__xludf.DUMMYFUNCTION("IMPORTRANGE(""https://docs.google.com/spreadsheets/d/1-uDff_7J0KD5mKrp0Vvzr7lt3OU09vwQwhkpOPPYv2Y/edit?usp=sharing"",""งบพรบ!FK16"")"),0)</f>
        <v>0</v>
      </c>
      <c r="P16" s="67">
        <f t="shared" ca="1" si="50"/>
        <v>0</v>
      </c>
      <c r="Q16" s="68">
        <f t="shared" ca="1" si="51"/>
        <v>0</v>
      </c>
      <c r="R16" s="149">
        <f ca="1">IFERROR(__xludf.DUMMYFUNCTION("IMPORTRANGE(""https://docs.google.com/spreadsheets/d/1rEDxBtusbi64tE0zunoIbsTVV16HeL0oJ6trHQeQ7K8/edit?usp=sharing"",""เชียงใหม่!I368"")"),605)</f>
        <v>605</v>
      </c>
      <c r="S16" s="152">
        <f ca="1">IFERROR(__xludf.DUMMYFUNCTION("IMPORTRANGE(""https://docs.google.com/spreadsheets/d/1rEDxBtusbi64tE0zunoIbsTVV16HeL0oJ6trHQeQ7K8/edit?usp=sharing"",""เชียงใหม่!J367"")"),196)</f>
        <v>196</v>
      </c>
      <c r="T16" s="357">
        <f ca="1">IFERROR(__xludf.DUMMYFUNCTION("IMPORTRANGE(""https://docs.google.com/spreadsheets/d/1rEDxBtusbi64tE0zunoIbsTVV16HeL0oJ6trHQeQ7K8/edit?usp=sharing"",""เชียงใหม่!J368"")"),628.36)</f>
        <v>628.36</v>
      </c>
      <c r="U16" s="216">
        <f t="shared" ca="1" si="53"/>
        <v>103.86115702479339</v>
      </c>
      <c r="V16" s="149">
        <f ca="1">IFERROR(__xludf.DUMMYFUNCTION("IMPORTRANGE(""https://docs.google.com/spreadsheets/d/1rEDxBtusbi64tE0zunoIbsTVV16HeL0oJ6trHQeQ7K8/edit?usp=sharing"",""เชียงใหม่!I369"")"),195)</f>
        <v>195</v>
      </c>
      <c r="W16" s="152">
        <f ca="1">IFERROR(__xludf.DUMMYFUNCTION("IMPORTRANGE(""https://docs.google.com/spreadsheets/d/1rEDxBtusbi64tE0zunoIbsTVV16HeL0oJ6trHQeQ7K8/edit?usp=sharing"",""เชียงใหม่!J369"")"),378)</f>
        <v>378</v>
      </c>
      <c r="X16" s="357">
        <f ca="1">IFERROR(__xludf.DUMMYFUNCTION("IMPORTRANGE(""https://docs.google.com/spreadsheets/d/1rEDxBtusbi64tE0zunoIbsTVV16HeL0oJ6trHQeQ7K8/edit?usp=sharing"",""เชียงใหม่!J370"")"),1932.93)</f>
        <v>1932.93</v>
      </c>
      <c r="Y16" s="216">
        <f t="shared" ca="1" si="55"/>
        <v>193.84615384615384</v>
      </c>
      <c r="Z16" s="149">
        <f ca="1">IFERROR(__xludf.DUMMYFUNCTION("IMPORTRANGE(""https://docs.google.com/spreadsheets/d/1rEDxBtusbi64tE0zunoIbsTVV16HeL0oJ6trHQeQ7K8/edit?usp=sharing"",""เชียงใหม่!I371"")"),195)</f>
        <v>195</v>
      </c>
      <c r="AA16" s="152">
        <f ca="1">IFERROR(__xludf.DUMMYFUNCTION("IMPORTRANGE(""https://docs.google.com/spreadsheets/d/1rEDxBtusbi64tE0zunoIbsTVV16HeL0oJ6trHQeQ7K8/edit?usp=sharing"",""เชียงใหม่!J371"")"),297)</f>
        <v>297</v>
      </c>
      <c r="AB16" s="357">
        <f ca="1">IFERROR(__xludf.DUMMYFUNCTION("IMPORTRANGE(""https://docs.google.com/spreadsheets/d/1rEDxBtusbi64tE0zunoIbsTVV16HeL0oJ6trHQeQ7K8/edit?usp=sharing"",""เชียงใหม่!J372"")"),1731.87)</f>
        <v>1731.87</v>
      </c>
      <c r="AC16" s="216">
        <f t="shared" ca="1" si="57"/>
        <v>152.30769230769232</v>
      </c>
      <c r="AD16" s="358">
        <f ca="1">IFERROR(__xludf.DUMMYFUNCTION("IMPORTRANGE(""https://docs.google.com/spreadsheets/d/1eHaY18a8A9IcSdp1K8H6x8fbOy06t2VsZHhMHf-1x7Y/edit?usp=sharing"",""แผน!EM16"")"),560)</f>
        <v>560</v>
      </c>
      <c r="AE16" s="151">
        <f ca="1">IFERROR(__xludf.DUMMYFUNCTION("IMPORTRANGE(""https://docs.google.com/spreadsheets/d/1tdoBKaGub7dwA3U6UFTqxio9LNnvDCQjHKmttSEBsFQ/edit?usp=sharing"",""จัดที่ดิน!E16"")"),190)</f>
        <v>190</v>
      </c>
      <c r="AF16" s="67">
        <f ca="1">IFERROR(__xludf.DUMMYFUNCTION("IMPORTRANGE(""https://docs.google.com/spreadsheets/d/1tdoBKaGub7dwA3U6UFTqxio9LNnvDCQjHKmttSEBsFQ/edit?usp=sharing"",""จัดที่ดิน!F16"")"),579.64)</f>
        <v>579.64</v>
      </c>
      <c r="AG16" s="68">
        <f t="shared" ca="1" si="59"/>
        <v>103.50714285714285</v>
      </c>
      <c r="AH16" s="358">
        <f ca="1">IFERROR(__xludf.DUMMYFUNCTION("IMPORTRANGE(""https://docs.google.com/spreadsheets/d/1eHaY18a8A9IcSdp1K8H6x8fbOy06t2VsZHhMHf-1x7Y/edit?usp=sharing"",""แผน!EN16"")"),86)</f>
        <v>86</v>
      </c>
      <c r="AI16" s="151">
        <f ca="1">IFERROR(__xludf.DUMMYFUNCTION("IMPORTRANGE(""https://docs.google.com/spreadsheets/d/1tdoBKaGub7dwA3U6UFTqxio9LNnvDCQjHKmttSEBsFQ/edit?usp=sharing"",""จัดที่ดิน!G16"")"),172)</f>
        <v>172</v>
      </c>
      <c r="AJ16" s="67">
        <f ca="1">IFERROR(__xludf.DUMMYFUNCTION("IMPORTRANGE(""https://docs.google.com/spreadsheets/d/1tdoBKaGub7dwA3U6UFTqxio9LNnvDCQjHKmttSEBsFQ/edit?usp=sharing"",""จัดที่ดิน!H16"")"),508.44)</f>
        <v>508.44</v>
      </c>
      <c r="AK16" s="68">
        <f t="shared" ca="1" si="61"/>
        <v>200</v>
      </c>
      <c r="AL16" s="358">
        <f ca="1">IFERROR(__xludf.DUMMYFUNCTION("IMPORTRANGE(""https://docs.google.com/spreadsheets/d/1eHaY18a8A9IcSdp1K8H6x8fbOy06t2VsZHhMHf-1x7Y/edit?usp=sharing"",""แผน!EN16"")"),86)</f>
        <v>86</v>
      </c>
      <c r="AM16" s="151">
        <f ca="1">IFERROR(__xludf.DUMMYFUNCTION("IMPORTRANGE(""https://docs.google.com/spreadsheets/d/1tdoBKaGub7dwA3U6UFTqxio9LNnvDCQjHKmttSEBsFQ/edit?usp=sharing"",""จัดที่ดิน!I16"")"),91)</f>
        <v>91</v>
      </c>
      <c r="AN16" s="67">
        <f ca="1">IFERROR(__xludf.DUMMYFUNCTION("IMPORTRANGE(""https://docs.google.com/spreadsheets/d/1tdoBKaGub7dwA3U6UFTqxio9LNnvDCQjHKmttSEBsFQ/edit?usp=sharing"",""จัดที่ดิน!J16"")"),307.38)</f>
        <v>307.38</v>
      </c>
      <c r="AO16" s="68">
        <f t="shared" ca="1" si="63"/>
        <v>105.81395348837209</v>
      </c>
      <c r="AP16" s="359">
        <f ca="1">IFERROR(__xludf.DUMMYFUNCTION("IMPORTRANGE(""https://docs.google.com/spreadsheets/d/1eHaY18a8A9IcSdp1K8H6x8fbOy06t2VsZHhMHf-1x7Y/edit?usp=sharing"",""แผน!EO16"")"),45)</f>
        <v>45</v>
      </c>
      <c r="AQ16" s="151">
        <f ca="1">IFERROR(__xludf.DUMMYFUNCTION("IMPORTRANGE(""https://docs.google.com/spreadsheets/d/1tdoBKaGub7dwA3U6UFTqxio9LNnvDCQjHKmttSEBsFQ/edit?usp=sharing"",""แบ่งแปลง!D11"")"),6)</f>
        <v>6</v>
      </c>
      <c r="AR16" s="67">
        <f ca="1">IFERROR(__xludf.DUMMYFUNCTION("IMPORTRANGE(""https://docs.google.com/spreadsheets/d/1tdoBKaGub7dwA3U6UFTqxio9LNnvDCQjHKmttSEBsFQ/edit?usp=sharing"",""แบ่งแปลง!F11"")"),48.72)</f>
        <v>48.72</v>
      </c>
      <c r="AS16" s="68">
        <f t="shared" ca="1" si="65"/>
        <v>108.26666666666667</v>
      </c>
      <c r="AT16" s="359">
        <f ca="1">IFERROR(__xludf.DUMMYFUNCTION("IMPORTRANGE(""https://docs.google.com/spreadsheets/d/1eHaY18a8A9IcSdp1K8H6x8fbOy06t2VsZHhMHf-1x7Y/edit?usp=sharing"",""แผน!EP16"")"),9)</f>
        <v>9</v>
      </c>
      <c r="AU16" s="151">
        <f ca="1">IFERROR(__xludf.DUMMYFUNCTION("IMPORTRANGE(""https://docs.google.com/spreadsheets/d/1tdoBKaGub7dwA3U6UFTqxio9LNnvDCQjHKmttSEBsFQ/edit?usp=sharing"",""แบ่งแปลง!I11"")"),6)</f>
        <v>6</v>
      </c>
      <c r="AV16" s="67">
        <f ca="1">IFERROR(__xludf.DUMMYFUNCTION("IMPORTRANGE(""https://docs.google.com/spreadsheets/d/1tdoBKaGub7dwA3U6UFTqxio9LNnvDCQjHKmttSEBsFQ/edit?usp=sharing"",""แบ่งแปลง!K11"")"),48.72)</f>
        <v>48.72</v>
      </c>
      <c r="AW16" s="68">
        <f t="shared" ca="1" si="67"/>
        <v>66.666666666666671</v>
      </c>
      <c r="AX16" s="359">
        <f ca="1">IFERROR(__xludf.DUMMYFUNCTION("IMPORTRANGE(""https://docs.google.com/spreadsheets/d/1eHaY18a8A9IcSdp1K8H6x8fbOy06t2VsZHhMHf-1x7Y/edit?usp=sharing"",""แผน!EP16"")"),9)</f>
        <v>9</v>
      </c>
      <c r="AY16" s="151">
        <f ca="1">IFERROR(__xludf.DUMMYFUNCTION("IMPORTRANGE(""https://docs.google.com/spreadsheets/d/1tdoBKaGub7dwA3U6UFTqxio9LNnvDCQjHKmttSEBsFQ/edit?usp=sharing"",""แบ่งแปลง!X11"")"),6)</f>
        <v>6</v>
      </c>
      <c r="AZ16" s="67">
        <f ca="1">IFERROR(__xludf.DUMMYFUNCTION("IMPORTRANGE(""https://docs.google.com/spreadsheets/d/1tdoBKaGub7dwA3U6UFTqxio9LNnvDCQjHKmttSEBsFQ/edit?usp=sharing"",""แบ่งแปลง!Z11"")"),48.72)</f>
        <v>48.72</v>
      </c>
      <c r="BA16" s="68">
        <f t="shared" ca="1" si="69"/>
        <v>66.666666666666671</v>
      </c>
      <c r="BB16" s="360">
        <f ca="1">IFERROR(__xludf.DUMMYFUNCTION("IMPORTRANGE(""https://docs.google.com/spreadsheets/d/1eHaY18a8A9IcSdp1K8H6x8fbOy06t2VsZHhMHf-1x7Y/edit?usp=sharing"",""แผน!ES16"")"),100)</f>
        <v>100</v>
      </c>
      <c r="BC16" s="151">
        <f ca="1">IFERROR(__xludf.DUMMYFUNCTION("IMPORTRANGE(""https://docs.google.com/spreadsheets/d/1tdoBKaGub7dwA3U6UFTqxio9LNnvDCQjHKmttSEBsFQ/edit?usp=sharing"",""เต็มแปลง!I11"")"),200)</f>
        <v>200</v>
      </c>
      <c r="BD16" s="67">
        <f ca="1">IFERROR(__xludf.DUMMYFUNCTION("IMPORTRANGE(""https://docs.google.com/spreadsheets/d/1tdoBKaGub7dwA3U6UFTqxio9LNnvDCQjHKmttSEBsFQ/edit?usp=sharing"",""เต็มแปลง!K11"")"),1375.78)</f>
        <v>1375.78</v>
      </c>
      <c r="BE16" s="68">
        <f t="shared" ca="1" si="71"/>
        <v>200</v>
      </c>
      <c r="BF16" s="360">
        <f ca="1">IFERROR(__xludf.DUMMYFUNCTION("IMPORTRANGE(""https://docs.google.com/spreadsheets/d/1eHaY18a8A9IcSdp1K8H6x8fbOy06t2VsZHhMHf-1x7Y/edit?usp=sharing"",""แผน!ES16"")"),100)</f>
        <v>100</v>
      </c>
      <c r="BG16" s="151">
        <f ca="1">IFERROR(__xludf.DUMMYFUNCTION("IMPORTRANGE(""https://docs.google.com/spreadsheets/d/1tdoBKaGub7dwA3U6UFTqxio9LNnvDCQjHKmttSEBsFQ/edit?usp=sharing"",""เต็มแปลง!S11"")"),200)</f>
        <v>200</v>
      </c>
      <c r="BH16" s="67">
        <f ca="1">IFERROR(__xludf.DUMMYFUNCTION("IMPORTRANGE(""https://docs.google.com/spreadsheets/d/1tdoBKaGub7dwA3U6UFTqxio9LNnvDCQjHKmttSEBsFQ/edit?usp=sharing"",""เต็มแปลง!U11"")"),1375.78)</f>
        <v>1375.78</v>
      </c>
      <c r="BI16" s="68">
        <f t="shared" ca="1" si="73"/>
        <v>200</v>
      </c>
      <c r="BJ16" s="339"/>
    </row>
    <row r="17" spans="1:62" ht="24" customHeight="1" x14ac:dyDescent="0.3">
      <c r="A17" s="147">
        <v>4</v>
      </c>
      <c r="B17" s="148" t="s">
        <v>45</v>
      </c>
      <c r="C17" s="149">
        <f t="shared" ca="1" si="44"/>
        <v>481500</v>
      </c>
      <c r="D17" s="150">
        <f t="shared" ca="1" si="74"/>
        <v>481500</v>
      </c>
      <c r="E17" s="151">
        <f ca="1">IFERROR(__xludf.DUMMYFUNCTION("IMPORTRANGE(""https://docs.google.com/spreadsheets/d/1-uDff_7J0KD5mKrp0Vvzr7lt3OU09vwQwhkpOPPYv2Y/edit?usp=sharing"",""งบพรบ!FD17"")"),133000)</f>
        <v>133000</v>
      </c>
      <c r="F17" s="151">
        <f ca="1">IFERROR(__xludf.DUMMYFUNCTION("IMPORTRANGE(""https://docs.google.com/spreadsheets/d/1-uDff_7J0KD5mKrp0Vvzr7lt3OU09vwQwhkpOPPYv2Y/edit?usp=sharing"",""งบพรบ!FE17"")"),348500)</f>
        <v>348500</v>
      </c>
      <c r="G17" s="151">
        <f ca="1">IFERROR(__xludf.DUMMYFUNCTION("IMPORTRANGE(""https://docs.google.com/spreadsheets/d/1-uDff_7J0KD5mKrp0Vvzr7lt3OU09vwQwhkpOPPYv2Y/edit?usp=sharing"",""งบพรบ!FF17"")"),0)</f>
        <v>0</v>
      </c>
      <c r="H17" s="151">
        <f ca="1">IFERROR(__xludf.DUMMYFUNCTION("IMPORTRANGE(""https://docs.google.com/spreadsheets/d/1-uDff_7J0KD5mKrp0Vvzr7lt3OU09vwQwhkpOPPYv2Y/edit?usp=sharing"",""งบพรบ!FH17"")"),591000)</f>
        <v>591000</v>
      </c>
      <c r="I17" s="151">
        <f ca="1">IFERROR(__xludf.DUMMYFUNCTION("IMPORTRANGE(""https://docs.google.com/spreadsheets/d/1-uDff_7J0KD5mKrp0Vvzr7lt3OU09vwQwhkpOPPYv2Y/edit?usp=sharing"",""งบพรบ!FI17"")"),0)</f>
        <v>0</v>
      </c>
      <c r="J17" s="151">
        <f t="shared" ca="1" si="46"/>
        <v>441191</v>
      </c>
      <c r="K17" s="154">
        <f t="shared" ca="1" si="47"/>
        <v>91.628452751817235</v>
      </c>
      <c r="L17" s="151">
        <f ca="1">IFERROR(__xludf.DUMMYFUNCTION("IMPORTRANGE(""https://docs.google.com/spreadsheets/d/1-uDff_7J0KD5mKrp0Vvzr7lt3OU09vwQwhkpOPPYv2Y/edit?usp=sharing"",""งบพรบ!FJ17"")"),441191)</f>
        <v>441191</v>
      </c>
      <c r="M17" s="68">
        <f t="shared" ca="1" si="48"/>
        <v>91.628452751817235</v>
      </c>
      <c r="N17" s="68">
        <f t="shared" ca="1" si="49"/>
        <v>74.651607445008466</v>
      </c>
      <c r="O17" s="67">
        <f ca="1">IFERROR(__xludf.DUMMYFUNCTION("IMPORTRANGE(""https://docs.google.com/spreadsheets/d/1-uDff_7J0KD5mKrp0Vvzr7lt3OU09vwQwhkpOPPYv2Y/edit?usp=sharing"",""งบพรบ!FK17"")"),0)</f>
        <v>0</v>
      </c>
      <c r="P17" s="67">
        <f t="shared" ca="1" si="50"/>
        <v>0</v>
      </c>
      <c r="Q17" s="68">
        <f t="shared" ca="1" si="51"/>
        <v>0</v>
      </c>
      <c r="R17" s="149">
        <f ca="1">IFERROR(__xludf.DUMMYFUNCTION("IMPORTRANGE(""https://docs.google.com/spreadsheets/d/1W6MnUbDkMi6xHnHko_XkFDO9kkuL6Wqyc-6OCDFjW9I/edit?usp=sharing"",""ตาก!I368"")"),950)</f>
        <v>950</v>
      </c>
      <c r="S17" s="152">
        <f ca="1">IFERROR(__xludf.DUMMYFUNCTION("IMPORTRANGE(""https://docs.google.com/spreadsheets/d/1W6MnUbDkMi6xHnHko_XkFDO9kkuL6Wqyc-6OCDFjW9I/edit?usp=sharing"",""ตาก!J367"")"),127)</f>
        <v>127</v>
      </c>
      <c r="T17" s="357">
        <f ca="1">IFERROR(__xludf.DUMMYFUNCTION("IMPORTRANGE(""https://docs.google.com/spreadsheets/d/1W6MnUbDkMi6xHnHko_XkFDO9kkuL6Wqyc-6OCDFjW9I/edit?usp=sharing"",""ตาก!J368"")"),1267.38)</f>
        <v>1267.3800000000001</v>
      </c>
      <c r="U17" s="216">
        <f t="shared" ca="1" si="53"/>
        <v>133.40842105263158</v>
      </c>
      <c r="V17" s="149">
        <f ca="1">IFERROR(__xludf.DUMMYFUNCTION("IMPORTRANGE(""https://docs.google.com/spreadsheets/d/1W6MnUbDkMi6xHnHko_XkFDO9kkuL6Wqyc-6OCDFjW9I/edit?usp=sharing"",""ตาก!I369"")"),375)</f>
        <v>375</v>
      </c>
      <c r="W17" s="152">
        <f ca="1">IFERROR(__xludf.DUMMYFUNCTION("IMPORTRANGE(""https://docs.google.com/spreadsheets/d/1W6MnUbDkMi6xHnHko_XkFDO9kkuL6Wqyc-6OCDFjW9I/edit?usp=sharing"",""ตาก!J369"")"),458)</f>
        <v>458</v>
      </c>
      <c r="X17" s="357">
        <f ca="1">IFERROR(__xludf.DUMMYFUNCTION("IMPORTRANGE(""https://docs.google.com/spreadsheets/d/1W6MnUbDkMi6xHnHko_XkFDO9kkuL6Wqyc-6OCDFjW9I/edit?usp=sharing"",""ตาก!J370"")"),6222)</f>
        <v>6222</v>
      </c>
      <c r="Y17" s="216">
        <f t="shared" ca="1" si="55"/>
        <v>122.13333333333334</v>
      </c>
      <c r="Z17" s="149">
        <f ca="1">IFERROR(__xludf.DUMMYFUNCTION("IMPORTRANGE(""https://docs.google.com/spreadsheets/d/1W6MnUbDkMi6xHnHko_XkFDO9kkuL6Wqyc-6OCDFjW9I/edit?usp=sharing"",""ตาก!I371"")"),375)</f>
        <v>375</v>
      </c>
      <c r="AA17" s="152">
        <f ca="1">IFERROR(__xludf.DUMMYFUNCTION("IMPORTRANGE(""https://docs.google.com/spreadsheets/d/1W6MnUbDkMi6xHnHko_XkFDO9kkuL6Wqyc-6OCDFjW9I/edit?usp=sharing"",""ตาก!J371"")"),455)</f>
        <v>455</v>
      </c>
      <c r="AB17" s="357">
        <f ca="1">IFERROR(__xludf.DUMMYFUNCTION("IMPORTRANGE(""https://docs.google.com/spreadsheets/d/1W6MnUbDkMi6xHnHko_XkFDO9kkuL6Wqyc-6OCDFjW9I/edit?usp=sharing"",""ตาก!J372"")"),6159.64)</f>
        <v>6159.64</v>
      </c>
      <c r="AC17" s="216">
        <f t="shared" ca="1" si="57"/>
        <v>121.33333333333333</v>
      </c>
      <c r="AD17" s="358">
        <f ca="1">IFERROR(__xludf.DUMMYFUNCTION("IMPORTRANGE(""https://docs.google.com/spreadsheets/d/1eHaY18a8A9IcSdp1K8H6x8fbOy06t2VsZHhMHf-1x7Y/edit?usp=sharing"",""แผน!EM17"")"),450)</f>
        <v>450</v>
      </c>
      <c r="AE17" s="151">
        <f ca="1">IFERROR(__xludf.DUMMYFUNCTION("IMPORTRANGE(""https://docs.google.com/spreadsheets/d/1tdoBKaGub7dwA3U6UFTqxio9LNnvDCQjHKmttSEBsFQ/edit?usp=sharing"",""จัดที่ดิน!E17"")"),49)</f>
        <v>49</v>
      </c>
      <c r="AF17" s="67">
        <f ca="1">IFERROR(__xludf.DUMMYFUNCTION("IMPORTRANGE(""https://docs.google.com/spreadsheets/d/1tdoBKaGub7dwA3U6UFTqxio9LNnvDCQjHKmttSEBsFQ/edit?usp=sharing"",""จัดที่ดิน!F17"")"),449.94)</f>
        <v>449.94</v>
      </c>
      <c r="AG17" s="68">
        <f t="shared" ca="1" si="59"/>
        <v>99.986666666666665</v>
      </c>
      <c r="AH17" s="358">
        <f ca="1">IFERROR(__xludf.DUMMYFUNCTION("IMPORTRANGE(""https://docs.google.com/spreadsheets/d/1eHaY18a8A9IcSdp1K8H6x8fbOy06t2VsZHhMHf-1x7Y/edit?usp=sharing"",""แผน!EN17"")"),45)</f>
        <v>45</v>
      </c>
      <c r="AI17" s="151">
        <f ca="1">IFERROR(__xludf.DUMMYFUNCTION("IMPORTRANGE(""https://docs.google.com/spreadsheets/d/1tdoBKaGub7dwA3U6UFTqxio9LNnvDCQjHKmttSEBsFQ/edit?usp=sharing"",""จัดที่ดิน!G17"")"),49)</f>
        <v>49</v>
      </c>
      <c r="AJ17" s="67">
        <f ca="1">IFERROR(__xludf.DUMMYFUNCTION("IMPORTRANGE(""https://docs.google.com/spreadsheets/d/1tdoBKaGub7dwA3U6UFTqxio9LNnvDCQjHKmttSEBsFQ/edit?usp=sharing"",""จัดที่ดิน!H17"")"),449.94)</f>
        <v>449.94</v>
      </c>
      <c r="AK17" s="68">
        <f t="shared" ca="1" si="61"/>
        <v>108.88888888888889</v>
      </c>
      <c r="AL17" s="358">
        <f ca="1">IFERROR(__xludf.DUMMYFUNCTION("IMPORTRANGE(""https://docs.google.com/spreadsheets/d/1eHaY18a8A9IcSdp1K8H6x8fbOy06t2VsZHhMHf-1x7Y/edit?usp=sharing"",""แผน!EN17"")"),45)</f>
        <v>45</v>
      </c>
      <c r="AM17" s="151">
        <f ca="1">IFERROR(__xludf.DUMMYFUNCTION("IMPORTRANGE(""https://docs.google.com/spreadsheets/d/1tdoBKaGub7dwA3U6UFTqxio9LNnvDCQjHKmttSEBsFQ/edit?usp=sharing"",""จัดที่ดิน!I17"")"),46)</f>
        <v>46</v>
      </c>
      <c r="AN17" s="67">
        <f ca="1">IFERROR(__xludf.DUMMYFUNCTION("IMPORTRANGE(""https://docs.google.com/spreadsheets/d/1tdoBKaGub7dwA3U6UFTqxio9LNnvDCQjHKmttSEBsFQ/edit?usp=sharing"",""จัดที่ดิน!J17"")"),387.58)</f>
        <v>387.58</v>
      </c>
      <c r="AO17" s="68">
        <f t="shared" ca="1" si="63"/>
        <v>102.22222222222223</v>
      </c>
      <c r="AP17" s="359">
        <f ca="1">IFERROR(__xludf.DUMMYFUNCTION("IMPORTRANGE(""https://docs.google.com/spreadsheets/d/1eHaY18a8A9IcSdp1K8H6x8fbOy06t2VsZHhMHf-1x7Y/edit?usp=sharing"",""แผน!EO17"")"),500)</f>
        <v>500</v>
      </c>
      <c r="AQ17" s="151">
        <f ca="1">IFERROR(__xludf.DUMMYFUNCTION("IMPORTRANGE(""https://docs.google.com/spreadsheets/d/1tdoBKaGub7dwA3U6UFTqxio9LNnvDCQjHKmttSEBsFQ/edit?usp=sharing"",""แบ่งแปลง!D12"")"),78)</f>
        <v>78</v>
      </c>
      <c r="AR17" s="67">
        <f ca="1">IFERROR(__xludf.DUMMYFUNCTION("IMPORTRANGE(""https://docs.google.com/spreadsheets/d/1tdoBKaGub7dwA3U6UFTqxio9LNnvDCQjHKmttSEBsFQ/edit?usp=sharing"",""แบ่งแปลง!F12"")"),817.44)</f>
        <v>817.44</v>
      </c>
      <c r="AS17" s="68">
        <f t="shared" ca="1" si="65"/>
        <v>163.488</v>
      </c>
      <c r="AT17" s="359">
        <f ca="1">IFERROR(__xludf.DUMMYFUNCTION("IMPORTRANGE(""https://docs.google.com/spreadsheets/d/1eHaY18a8A9IcSdp1K8H6x8fbOy06t2VsZHhMHf-1x7Y/edit?usp=sharing"",""แผน!EP17"")"),100)</f>
        <v>100</v>
      </c>
      <c r="AU17" s="151">
        <f ca="1">IFERROR(__xludf.DUMMYFUNCTION("IMPORTRANGE(""https://docs.google.com/spreadsheets/d/1tdoBKaGub7dwA3U6UFTqxio9LNnvDCQjHKmttSEBsFQ/edit?usp=sharing"",""แบ่งแปลง!I12"")"),78)</f>
        <v>78</v>
      </c>
      <c r="AV17" s="67">
        <f ca="1">IFERROR(__xludf.DUMMYFUNCTION("IMPORTRANGE(""https://docs.google.com/spreadsheets/d/1tdoBKaGub7dwA3U6UFTqxio9LNnvDCQjHKmttSEBsFQ/edit?usp=sharing"",""แบ่งแปลง!K12"")"),817.44)</f>
        <v>817.44</v>
      </c>
      <c r="AW17" s="68">
        <f t="shared" ca="1" si="67"/>
        <v>78</v>
      </c>
      <c r="AX17" s="359">
        <f ca="1">IFERROR(__xludf.DUMMYFUNCTION("IMPORTRANGE(""https://docs.google.com/spreadsheets/d/1eHaY18a8A9IcSdp1K8H6x8fbOy06t2VsZHhMHf-1x7Y/edit?usp=sharing"",""แผน!EP17"")"),100)</f>
        <v>100</v>
      </c>
      <c r="AY17" s="151">
        <f ca="1">IFERROR(__xludf.DUMMYFUNCTION("IMPORTRANGE(""https://docs.google.com/spreadsheets/d/1tdoBKaGub7dwA3U6UFTqxio9LNnvDCQjHKmttSEBsFQ/edit?usp=sharing"",""แบ่งแปลง!X12"")"),78)</f>
        <v>78</v>
      </c>
      <c r="AZ17" s="67">
        <f ca="1">IFERROR(__xludf.DUMMYFUNCTION("IMPORTRANGE(""https://docs.google.com/spreadsheets/d/1tdoBKaGub7dwA3U6UFTqxio9LNnvDCQjHKmttSEBsFQ/edit?usp=sharing"",""แบ่งแปลง!Z12"")"),817.44)</f>
        <v>817.44</v>
      </c>
      <c r="BA17" s="68">
        <f t="shared" ca="1" si="69"/>
        <v>78</v>
      </c>
      <c r="BB17" s="360">
        <f ca="1">IFERROR(__xludf.DUMMYFUNCTION("IMPORTRANGE(""https://docs.google.com/spreadsheets/d/1eHaY18a8A9IcSdp1K8H6x8fbOy06t2VsZHhMHf-1x7Y/edit?usp=sharing"",""แผน!ES17"")"),230)</f>
        <v>230</v>
      </c>
      <c r="BC17" s="151">
        <f ca="1">IFERROR(__xludf.DUMMYFUNCTION("IMPORTRANGE(""https://docs.google.com/spreadsheets/d/1tdoBKaGub7dwA3U6UFTqxio9LNnvDCQjHKmttSEBsFQ/edit?usp=sharing"",""เต็มแปลง!I12"")"),334)</f>
        <v>334</v>
      </c>
      <c r="BD17" s="67">
        <f ca="1">IFERROR(__xludf.DUMMYFUNCTION("IMPORTRANGE(""https://docs.google.com/spreadsheets/d/1tdoBKaGub7dwA3U6UFTqxio9LNnvDCQjHKmttSEBsFQ/edit?usp=sharing"",""เต็มแปลง!K12"")"),4954.61)</f>
        <v>4954.6099999999997</v>
      </c>
      <c r="BE17" s="68">
        <f t="shared" ca="1" si="71"/>
        <v>145.21739130434781</v>
      </c>
      <c r="BF17" s="360">
        <f ca="1">IFERROR(__xludf.DUMMYFUNCTION("IMPORTRANGE(""https://docs.google.com/spreadsheets/d/1eHaY18a8A9IcSdp1K8H6x8fbOy06t2VsZHhMHf-1x7Y/edit?usp=sharing"",""แผน!ES17"")"),230)</f>
        <v>230</v>
      </c>
      <c r="BG17" s="151">
        <f ca="1">IFERROR(__xludf.DUMMYFUNCTION("IMPORTRANGE(""https://docs.google.com/spreadsheets/d/1tdoBKaGub7dwA3U6UFTqxio9LNnvDCQjHKmttSEBsFQ/edit?usp=sharing"",""เต็มแปลง!S12"")"),334)</f>
        <v>334</v>
      </c>
      <c r="BH17" s="67">
        <f ca="1">IFERROR(__xludf.DUMMYFUNCTION("IMPORTRANGE(""https://docs.google.com/spreadsheets/d/1tdoBKaGub7dwA3U6UFTqxio9LNnvDCQjHKmttSEBsFQ/edit?usp=sharing"",""เต็มแปลง!U12"")"),4954.61)</f>
        <v>4954.6099999999997</v>
      </c>
      <c r="BI17" s="68">
        <f t="shared" ca="1" si="73"/>
        <v>145.21739130434781</v>
      </c>
      <c r="BJ17" s="339"/>
    </row>
    <row r="18" spans="1:62" ht="24" customHeight="1" x14ac:dyDescent="0.3">
      <c r="A18" s="147">
        <v>5</v>
      </c>
      <c r="B18" s="148" t="s">
        <v>46</v>
      </c>
      <c r="C18" s="149">
        <f t="shared" ca="1" si="44"/>
        <v>736490</v>
      </c>
      <c r="D18" s="150">
        <f t="shared" ca="1" si="74"/>
        <v>736490</v>
      </c>
      <c r="E18" s="151">
        <f ca="1">IFERROR(__xludf.DUMMYFUNCTION("IMPORTRANGE(""https://docs.google.com/spreadsheets/d/1-uDff_7J0KD5mKrp0Vvzr7lt3OU09vwQwhkpOPPYv2Y/edit?usp=sharing"",""งบพรบ!FD18"")"),266000)</f>
        <v>266000</v>
      </c>
      <c r="F18" s="151">
        <f ca="1">IFERROR(__xludf.DUMMYFUNCTION("IMPORTRANGE(""https://docs.google.com/spreadsheets/d/1-uDff_7J0KD5mKrp0Vvzr7lt3OU09vwQwhkpOPPYv2Y/edit?usp=sharing"",""งบพรบ!FE18"")"),470490)</f>
        <v>470490</v>
      </c>
      <c r="G18" s="151">
        <f ca="1">IFERROR(__xludf.DUMMYFUNCTION("IMPORTRANGE(""https://docs.google.com/spreadsheets/d/1-uDff_7J0KD5mKrp0Vvzr7lt3OU09vwQwhkpOPPYv2Y/edit?usp=sharing"",""งบพรบ!FF18"")"),0)</f>
        <v>0</v>
      </c>
      <c r="H18" s="151">
        <f ca="1">IFERROR(__xludf.DUMMYFUNCTION("IMPORTRANGE(""https://docs.google.com/spreadsheets/d/1-uDff_7J0KD5mKrp0Vvzr7lt3OU09vwQwhkpOPPYv2Y/edit?usp=sharing"",""งบพรบ!FH18"")"),863430)</f>
        <v>863430</v>
      </c>
      <c r="I18" s="151">
        <f ca="1">IFERROR(__xludf.DUMMYFUNCTION("IMPORTRANGE(""https://docs.google.com/spreadsheets/d/1-uDff_7J0KD5mKrp0Vvzr7lt3OU09vwQwhkpOPPYv2Y/edit?usp=sharing"",""งบพรบ!FI18"")"),0)</f>
        <v>0</v>
      </c>
      <c r="J18" s="151">
        <f t="shared" ca="1" si="46"/>
        <v>679653</v>
      </c>
      <c r="K18" s="154">
        <f t="shared" ca="1" si="47"/>
        <v>92.282719385191925</v>
      </c>
      <c r="L18" s="151">
        <f ca="1">IFERROR(__xludf.DUMMYFUNCTION("IMPORTRANGE(""https://docs.google.com/spreadsheets/d/1-uDff_7J0KD5mKrp0Vvzr7lt3OU09vwQwhkpOPPYv2Y/edit?usp=sharing"",""งบพรบ!FJ18"")"),679653)</f>
        <v>679653</v>
      </c>
      <c r="M18" s="68">
        <f t="shared" ca="1" si="48"/>
        <v>92.282719385191925</v>
      </c>
      <c r="N18" s="68">
        <f t="shared" ca="1" si="49"/>
        <v>78.715472012786208</v>
      </c>
      <c r="O18" s="67">
        <f ca="1">IFERROR(__xludf.DUMMYFUNCTION("IMPORTRANGE(""https://docs.google.com/spreadsheets/d/1-uDff_7J0KD5mKrp0Vvzr7lt3OU09vwQwhkpOPPYv2Y/edit?usp=sharing"",""งบพรบ!FK18"")"),0)</f>
        <v>0</v>
      </c>
      <c r="P18" s="67">
        <f t="shared" ca="1" si="50"/>
        <v>0</v>
      </c>
      <c r="Q18" s="68">
        <f t="shared" ca="1" si="51"/>
        <v>0</v>
      </c>
      <c r="R18" s="149">
        <f ca="1">IFERROR(__xludf.DUMMYFUNCTION("IMPORTRANGE(""https://docs.google.com/spreadsheets/d/1IQAWArduLkta9LpYo4a_ULsyqdta6-6aDDiwpUnQT6c/edit?usp=sharing"",""นครสวรรค์!I368"")"),2325)</f>
        <v>2325</v>
      </c>
      <c r="S18" s="152">
        <f ca="1">IFERROR(__xludf.DUMMYFUNCTION("IMPORTRANGE(""https://docs.google.com/spreadsheets/d/1IQAWArduLkta9LpYo4a_ULsyqdta6-6aDDiwpUnQT6c/edit?usp=sharing"",""นครสวรรค์!J367"")"),188)</f>
        <v>188</v>
      </c>
      <c r="T18" s="357">
        <f ca="1">IFERROR(__xludf.DUMMYFUNCTION("IMPORTRANGE(""https://docs.google.com/spreadsheets/d/1IQAWArduLkta9LpYo4a_ULsyqdta6-6aDDiwpUnQT6c/edit?usp=sharing"",""นครสวรรค์!J368"")"),2393.17)</f>
        <v>2393.17</v>
      </c>
      <c r="U18" s="216">
        <f t="shared" ca="1" si="53"/>
        <v>102.93204301075269</v>
      </c>
      <c r="V18" s="149">
        <f ca="1">IFERROR(__xludf.DUMMYFUNCTION("IMPORTRANGE(""https://docs.google.com/spreadsheets/d/1IQAWArduLkta9LpYo4a_ULsyqdta6-6aDDiwpUnQT6c/edit?usp=sharing"",""นครสวรรค์!I369"")"),272)</f>
        <v>272</v>
      </c>
      <c r="W18" s="152">
        <f ca="1">IFERROR(__xludf.DUMMYFUNCTION("IMPORTRANGE(""https://docs.google.com/spreadsheets/d/1IQAWArduLkta9LpYo4a_ULsyqdta6-6aDDiwpUnQT6c/edit?usp=sharing"",""นครสวรรค์!J369"")"),360)</f>
        <v>360</v>
      </c>
      <c r="X18" s="357">
        <f ca="1">IFERROR(__xludf.DUMMYFUNCTION("IMPORTRANGE(""https://docs.google.com/spreadsheets/d/1IQAWArduLkta9LpYo4a_ULsyqdta6-6aDDiwpUnQT6c/edit?usp=sharing"",""นครสวรรค์!J370"")"),6048.5)</f>
        <v>6048.5</v>
      </c>
      <c r="Y18" s="216">
        <f t="shared" ca="1" si="55"/>
        <v>132.35294117647058</v>
      </c>
      <c r="Z18" s="149">
        <f ca="1">IFERROR(__xludf.DUMMYFUNCTION("IMPORTRANGE(""https://docs.google.com/spreadsheets/d/1IQAWArduLkta9LpYo4a_ULsyqdta6-6aDDiwpUnQT6c/edit?usp=sharing"",""นครสวรรค์!I371"")"),272)</f>
        <v>272</v>
      </c>
      <c r="AA18" s="152">
        <f ca="1">IFERROR(__xludf.DUMMYFUNCTION("IMPORTRANGE(""https://docs.google.com/spreadsheets/d/1IQAWArduLkta9LpYo4a_ULsyqdta6-6aDDiwpUnQT6c/edit?usp=sharing"",""นครสวรรค์!J371"")"),305)</f>
        <v>305</v>
      </c>
      <c r="AB18" s="357">
        <f ca="1">IFERROR(__xludf.DUMMYFUNCTION("IMPORTRANGE(""https://docs.google.com/spreadsheets/d/1IQAWArduLkta9LpYo4a_ULsyqdta6-6aDDiwpUnQT6c/edit?usp=sharing"",""นครสวรรค์!J372"")"),5137.91)</f>
        <v>5137.91</v>
      </c>
      <c r="AC18" s="216">
        <f t="shared" ca="1" si="57"/>
        <v>112.13235294117646</v>
      </c>
      <c r="AD18" s="358">
        <f ca="1">IFERROR(__xludf.DUMMYFUNCTION("IMPORTRANGE(""https://docs.google.com/spreadsheets/d/1eHaY18a8A9IcSdp1K8H6x8fbOy06t2VsZHhMHf-1x7Y/edit?usp=sharing"",""แผน!EM18"")"),1500)</f>
        <v>1500</v>
      </c>
      <c r="AE18" s="151">
        <f ca="1">IFERROR(__xludf.DUMMYFUNCTION("IMPORTRANGE(""https://docs.google.com/spreadsheets/d/1tdoBKaGub7dwA3U6UFTqxio9LNnvDCQjHKmttSEBsFQ/edit?usp=sharing"",""จัดที่ดิน!E18"")"),121)</f>
        <v>121</v>
      </c>
      <c r="AF18" s="67">
        <f ca="1">IFERROR(__xludf.DUMMYFUNCTION("IMPORTRANGE(""https://docs.google.com/spreadsheets/d/1tdoBKaGub7dwA3U6UFTqxio9LNnvDCQjHKmttSEBsFQ/edit?usp=sharing"",""จัดที่ดิน!F18"")"),1687.19)</f>
        <v>1687.19</v>
      </c>
      <c r="AG18" s="68">
        <f t="shared" ca="1" si="59"/>
        <v>112.47933333333333</v>
      </c>
      <c r="AH18" s="358">
        <f ca="1">IFERROR(__xludf.DUMMYFUNCTION("IMPORTRANGE(""https://docs.google.com/spreadsheets/d/1eHaY18a8A9IcSdp1K8H6x8fbOy06t2VsZHhMHf-1x7Y/edit?usp=sharing"",""แผน!EN18"")"),150)</f>
        <v>150</v>
      </c>
      <c r="AI18" s="151">
        <f ca="1">IFERROR(__xludf.DUMMYFUNCTION("IMPORTRANGE(""https://docs.google.com/spreadsheets/d/1tdoBKaGub7dwA3U6UFTqxio9LNnvDCQjHKmttSEBsFQ/edit?usp=sharing"",""จัดที่ดิน!G18"")"),57)</f>
        <v>57</v>
      </c>
      <c r="AJ18" s="67">
        <f ca="1">IFERROR(__xludf.DUMMYFUNCTION("IMPORTRANGE(""https://docs.google.com/spreadsheets/d/1tdoBKaGub7dwA3U6UFTqxio9LNnvDCQjHKmttSEBsFQ/edit?usp=sharing"",""จัดที่ดิน!H18"")"),931.38)</f>
        <v>931.38</v>
      </c>
      <c r="AK18" s="68">
        <f t="shared" ca="1" si="61"/>
        <v>38</v>
      </c>
      <c r="AL18" s="358">
        <f ca="1">IFERROR(__xludf.DUMMYFUNCTION("IMPORTRANGE(""https://docs.google.com/spreadsheets/d/1eHaY18a8A9IcSdp1K8H6x8fbOy06t2VsZHhMHf-1x7Y/edit?usp=sharing"",""แผน!EN18"")"),150)</f>
        <v>150</v>
      </c>
      <c r="AM18" s="151">
        <f ca="1">IFERROR(__xludf.DUMMYFUNCTION("IMPORTRANGE(""https://docs.google.com/spreadsheets/d/1tdoBKaGub7dwA3U6UFTqxio9LNnvDCQjHKmttSEBsFQ/edit?usp=sharing"",""จัดที่ดิน!I18"")"),2)</f>
        <v>2</v>
      </c>
      <c r="AN18" s="67">
        <f ca="1">IFERROR(__xludf.DUMMYFUNCTION("IMPORTRANGE(""https://docs.google.com/spreadsheets/d/1tdoBKaGub7dwA3U6UFTqxio9LNnvDCQjHKmttSEBsFQ/edit?usp=sharing"",""จัดที่ดิน!J18"")"),20.79)</f>
        <v>20.79</v>
      </c>
      <c r="AO18" s="68">
        <f t="shared" ca="1" si="63"/>
        <v>1.3333333333333333</v>
      </c>
      <c r="AP18" s="359">
        <f ca="1">IFERROR(__xludf.DUMMYFUNCTION("IMPORTRANGE(""https://docs.google.com/spreadsheets/d/1eHaY18a8A9IcSdp1K8H6x8fbOy06t2VsZHhMHf-1x7Y/edit?usp=sharing"",""แผน!EO18"")"),825)</f>
        <v>825</v>
      </c>
      <c r="AQ18" s="151">
        <f ca="1">IFERROR(__xludf.DUMMYFUNCTION("IMPORTRANGE(""https://docs.google.com/spreadsheets/d/1tdoBKaGub7dwA3U6UFTqxio9LNnvDCQjHKmttSEBsFQ/edit?usp=sharing"",""แบ่งแปลง!D13"")"),67)</f>
        <v>67</v>
      </c>
      <c r="AR18" s="67">
        <f ca="1">IFERROR(__xludf.DUMMYFUNCTION("IMPORTRANGE(""https://docs.google.com/spreadsheets/d/1tdoBKaGub7dwA3U6UFTqxio9LNnvDCQjHKmttSEBsFQ/edit?usp=sharing"",""แบ่งแปลง!F13"")"),705.98)</f>
        <v>705.98</v>
      </c>
      <c r="AS18" s="68">
        <f t="shared" ca="1" si="65"/>
        <v>85.573333333333338</v>
      </c>
      <c r="AT18" s="359">
        <f ca="1">IFERROR(__xludf.DUMMYFUNCTION("IMPORTRANGE(""https://docs.google.com/spreadsheets/d/1eHaY18a8A9IcSdp1K8H6x8fbOy06t2VsZHhMHf-1x7Y/edit?usp=sharing"",""แผน!EP18"")"),75)</f>
        <v>75</v>
      </c>
      <c r="AU18" s="151">
        <f ca="1">IFERROR(__xludf.DUMMYFUNCTION("IMPORTRANGE(""https://docs.google.com/spreadsheets/d/1tdoBKaGub7dwA3U6UFTqxio9LNnvDCQjHKmttSEBsFQ/edit?usp=sharing"",""แบ่งแปลง!I13"")"),67)</f>
        <v>67</v>
      </c>
      <c r="AV18" s="67">
        <f ca="1">IFERROR(__xludf.DUMMYFUNCTION("IMPORTRANGE(""https://docs.google.com/spreadsheets/d/1tdoBKaGub7dwA3U6UFTqxio9LNnvDCQjHKmttSEBsFQ/edit?usp=sharing"",""แบ่งแปลง!K13"")"),705.98)</f>
        <v>705.98</v>
      </c>
      <c r="AW18" s="68">
        <f t="shared" ca="1" si="67"/>
        <v>89.333333333333329</v>
      </c>
      <c r="AX18" s="359">
        <f ca="1">IFERROR(__xludf.DUMMYFUNCTION("IMPORTRANGE(""https://docs.google.com/spreadsheets/d/1eHaY18a8A9IcSdp1K8H6x8fbOy06t2VsZHhMHf-1x7Y/edit?usp=sharing"",""แผน!EP18"")"),75)</f>
        <v>75</v>
      </c>
      <c r="AY18" s="151">
        <f ca="1">IFERROR(__xludf.DUMMYFUNCTION("IMPORTRANGE(""https://docs.google.com/spreadsheets/d/1tdoBKaGub7dwA3U6UFTqxio9LNnvDCQjHKmttSEBsFQ/edit?usp=sharing"",""แบ่งแปลง!X13"")"),67)</f>
        <v>67</v>
      </c>
      <c r="AZ18" s="67">
        <f ca="1">IFERROR(__xludf.DUMMYFUNCTION("IMPORTRANGE(""https://docs.google.com/spreadsheets/d/1tdoBKaGub7dwA3U6UFTqxio9LNnvDCQjHKmttSEBsFQ/edit?usp=sharing"",""แบ่งแปลง!Z13"")"),705.98)</f>
        <v>705.98</v>
      </c>
      <c r="BA18" s="68">
        <f t="shared" ca="1" si="69"/>
        <v>89.333333333333329</v>
      </c>
      <c r="BB18" s="360">
        <f ca="1">IFERROR(__xludf.DUMMYFUNCTION("IMPORTRANGE(""https://docs.google.com/spreadsheets/d/1eHaY18a8A9IcSdp1K8H6x8fbOy06t2VsZHhMHf-1x7Y/edit?usp=sharing"",""แผน!ES18"")"),47)</f>
        <v>47</v>
      </c>
      <c r="BC18" s="151">
        <f ca="1">IFERROR(__xludf.DUMMYFUNCTION("IMPORTRANGE(""https://docs.google.com/spreadsheets/d/1tdoBKaGub7dwA3U6UFTqxio9LNnvDCQjHKmttSEBsFQ/edit?usp=sharing"",""เต็มแปลง!I13"")"),236)</f>
        <v>236</v>
      </c>
      <c r="BD18" s="67">
        <f ca="1">IFERROR(__xludf.DUMMYFUNCTION("IMPORTRANGE(""https://docs.google.com/spreadsheets/d/1tdoBKaGub7dwA3U6UFTqxio9LNnvDCQjHKmttSEBsFQ/edit?usp=sharing"",""เต็มแปลง!K13"")"),4411.14)</f>
        <v>4411.1400000000003</v>
      </c>
      <c r="BE18" s="68">
        <f t="shared" ca="1" si="71"/>
        <v>502.12765957446811</v>
      </c>
      <c r="BF18" s="360">
        <f ca="1">IFERROR(__xludf.DUMMYFUNCTION("IMPORTRANGE(""https://docs.google.com/spreadsheets/d/1eHaY18a8A9IcSdp1K8H6x8fbOy06t2VsZHhMHf-1x7Y/edit?usp=sharing"",""แผน!ES18"")"),47)</f>
        <v>47</v>
      </c>
      <c r="BG18" s="151">
        <f ca="1">IFERROR(__xludf.DUMMYFUNCTION("IMPORTRANGE(""https://docs.google.com/spreadsheets/d/1tdoBKaGub7dwA3U6UFTqxio9LNnvDCQjHKmttSEBsFQ/edit?usp=sharing"",""เต็มแปลง!S13"")"),236)</f>
        <v>236</v>
      </c>
      <c r="BH18" s="67">
        <f ca="1">IFERROR(__xludf.DUMMYFUNCTION("IMPORTRANGE(""https://docs.google.com/spreadsheets/d/1tdoBKaGub7dwA3U6UFTqxio9LNnvDCQjHKmttSEBsFQ/edit?usp=sharing"",""เต็มแปลง!U13"")"),4411.14)</f>
        <v>4411.1400000000003</v>
      </c>
      <c r="BI18" s="68">
        <f t="shared" ca="1" si="73"/>
        <v>502.12765957446811</v>
      </c>
      <c r="BJ18" s="339"/>
    </row>
    <row r="19" spans="1:62" ht="24" customHeight="1" x14ac:dyDescent="0.3">
      <c r="A19" s="147">
        <v>6</v>
      </c>
      <c r="B19" s="148" t="s">
        <v>47</v>
      </c>
      <c r="C19" s="149">
        <f t="shared" ca="1" si="44"/>
        <v>1027990</v>
      </c>
      <c r="D19" s="150">
        <f t="shared" ca="1" si="74"/>
        <v>1027990</v>
      </c>
      <c r="E19" s="151">
        <f ca="1">IFERROR(__xludf.DUMMYFUNCTION("IMPORTRANGE(""https://docs.google.com/spreadsheets/d/1-uDff_7J0KD5mKrp0Vvzr7lt3OU09vwQwhkpOPPYv2Y/edit?usp=sharing"",""งบพรบ!FD19"")"),445800)</f>
        <v>445800</v>
      </c>
      <c r="F19" s="151">
        <f ca="1">IFERROR(__xludf.DUMMYFUNCTION("IMPORTRANGE(""https://docs.google.com/spreadsheets/d/1-uDff_7J0KD5mKrp0Vvzr7lt3OU09vwQwhkpOPPYv2Y/edit?usp=sharing"",""งบพรบ!FE19"")"),582190)</f>
        <v>582190</v>
      </c>
      <c r="G19" s="151">
        <f ca="1">IFERROR(__xludf.DUMMYFUNCTION("IMPORTRANGE(""https://docs.google.com/spreadsheets/d/1-uDff_7J0KD5mKrp0Vvzr7lt3OU09vwQwhkpOPPYv2Y/edit?usp=sharing"",""งบพรบ!FF19"")"),0)</f>
        <v>0</v>
      </c>
      <c r="H19" s="151">
        <f ca="1">IFERROR(__xludf.DUMMYFUNCTION("IMPORTRANGE(""https://docs.google.com/spreadsheets/d/1-uDff_7J0KD5mKrp0Vvzr7lt3OU09vwQwhkpOPPYv2Y/edit?usp=sharing"",""งบพรบ!FH19"")"),1223665)</f>
        <v>1223665</v>
      </c>
      <c r="I19" s="151">
        <f ca="1">IFERROR(__xludf.DUMMYFUNCTION("IMPORTRANGE(""https://docs.google.com/spreadsheets/d/1-uDff_7J0KD5mKrp0Vvzr7lt3OU09vwQwhkpOPPYv2Y/edit?usp=sharing"",""งบพรบ!FI19"")"),0)</f>
        <v>0</v>
      </c>
      <c r="J19" s="151">
        <f t="shared" ca="1" si="46"/>
        <v>841372</v>
      </c>
      <c r="K19" s="154">
        <f t="shared" ca="1" si="47"/>
        <v>81.846321462271035</v>
      </c>
      <c r="L19" s="151">
        <f ca="1">IFERROR(__xludf.DUMMYFUNCTION("IMPORTRANGE(""https://docs.google.com/spreadsheets/d/1-uDff_7J0KD5mKrp0Vvzr7lt3OU09vwQwhkpOPPYv2Y/edit?usp=sharing"",""งบพรบ!FJ19"")"),841372)</f>
        <v>841372</v>
      </c>
      <c r="M19" s="68">
        <f t="shared" ca="1" si="48"/>
        <v>81.846321462271035</v>
      </c>
      <c r="N19" s="68">
        <f t="shared" ca="1" si="49"/>
        <v>68.758361152766483</v>
      </c>
      <c r="O19" s="67">
        <f ca="1">IFERROR(__xludf.DUMMYFUNCTION("IMPORTRANGE(""https://docs.google.com/spreadsheets/d/1-uDff_7J0KD5mKrp0Vvzr7lt3OU09vwQwhkpOPPYv2Y/edit?usp=sharing"",""งบพรบ!FK19"")"),0)</f>
        <v>0</v>
      </c>
      <c r="P19" s="67">
        <f t="shared" ca="1" si="50"/>
        <v>0</v>
      </c>
      <c r="Q19" s="68">
        <f t="shared" ca="1" si="51"/>
        <v>0</v>
      </c>
      <c r="R19" s="149">
        <f ca="1">IFERROR(__xludf.DUMMYFUNCTION("IMPORTRANGE(""https://docs.google.com/spreadsheets/d/10s13Sk5xrltsiR-Zkbmk5DwIaDIKO8XlbJAfqyT7Gvg/edit?usp=sharing"",""น่าน!I368"")"),1260)</f>
        <v>1260</v>
      </c>
      <c r="S19" s="152">
        <f ca="1">IFERROR(__xludf.DUMMYFUNCTION("IMPORTRANGE(""https://docs.google.com/spreadsheets/d/10s13Sk5xrltsiR-Zkbmk5DwIaDIKO8XlbJAfqyT7Gvg/edit?usp=sharing"",""น่าน!J367"")"),353)</f>
        <v>353</v>
      </c>
      <c r="T19" s="357">
        <f ca="1">IFERROR(__xludf.DUMMYFUNCTION("IMPORTRANGE(""https://docs.google.com/spreadsheets/d/10s13Sk5xrltsiR-Zkbmk5DwIaDIKO8XlbJAfqyT7Gvg/edit?usp=sharing"",""น่าน!J368"")"),1492.92)</f>
        <v>1492.92</v>
      </c>
      <c r="U19" s="216">
        <f t="shared" ca="1" si="53"/>
        <v>118.48571428571428</v>
      </c>
      <c r="V19" s="149">
        <f ca="1">IFERROR(__xludf.DUMMYFUNCTION("IMPORTRANGE(""https://docs.google.com/spreadsheets/d/10s13Sk5xrltsiR-Zkbmk5DwIaDIKO8XlbJAfqyT7Gvg/edit?usp=sharing"",""น่าน!I369"")"),1837)</f>
        <v>1837</v>
      </c>
      <c r="W19" s="152">
        <f ca="1">IFERROR(__xludf.DUMMYFUNCTION("IMPORTRANGE(""https://docs.google.com/spreadsheets/d/10s13Sk5xrltsiR-Zkbmk5DwIaDIKO8XlbJAfqyT7Gvg/edit?usp=sharing"",""น่าน!J369"")"),1872)</f>
        <v>1872</v>
      </c>
      <c r="X19" s="357">
        <f ca="1">IFERROR(__xludf.DUMMYFUNCTION("IMPORTRANGE(""https://docs.google.com/spreadsheets/d/10s13Sk5xrltsiR-Zkbmk5DwIaDIKO8XlbJAfqyT7Gvg/edit?usp=sharing"",""น่าน!J370"")"),11941.2799999999)</f>
        <v>11941.279999999901</v>
      </c>
      <c r="Y19" s="216">
        <f t="shared" ca="1" si="55"/>
        <v>101.90528034839411</v>
      </c>
      <c r="Z19" s="149">
        <f ca="1">IFERROR(__xludf.DUMMYFUNCTION("IMPORTRANGE(""https://docs.google.com/spreadsheets/d/10s13Sk5xrltsiR-Zkbmk5DwIaDIKO8XlbJAfqyT7Gvg/edit?usp=sharing"",""น่าน!I371"")"),1837)</f>
        <v>1837</v>
      </c>
      <c r="AA19" s="152">
        <f ca="1">IFERROR(__xludf.DUMMYFUNCTION("IMPORTRANGE(""https://docs.google.com/spreadsheets/d/10s13Sk5xrltsiR-Zkbmk5DwIaDIKO8XlbJAfqyT7Gvg/edit?usp=sharing"",""น่าน!J371"")"),1873)</f>
        <v>1873</v>
      </c>
      <c r="AB19" s="357">
        <f ca="1">IFERROR(__xludf.DUMMYFUNCTION("IMPORTRANGE(""https://docs.google.com/spreadsheets/d/10s13Sk5xrltsiR-Zkbmk5DwIaDIKO8XlbJAfqyT7Gvg/edit?usp=sharing"",""น่าน!J372"")"),11954.1999999999)</f>
        <v>11954.199999999901</v>
      </c>
      <c r="AC19" s="216">
        <f t="shared" ca="1" si="57"/>
        <v>101.9597169297768</v>
      </c>
      <c r="AD19" s="358">
        <f ca="1">IFERROR(__xludf.DUMMYFUNCTION("IMPORTRANGE(""https://docs.google.com/spreadsheets/d/1eHaY18a8A9IcSdp1K8H6x8fbOy06t2VsZHhMHf-1x7Y/edit?usp=sharing"",""แผน!EM19"")"),260)</f>
        <v>260</v>
      </c>
      <c r="AE19" s="151">
        <f ca="1">IFERROR(__xludf.DUMMYFUNCTION("IMPORTRANGE(""https://docs.google.com/spreadsheets/d/1tdoBKaGub7dwA3U6UFTqxio9LNnvDCQjHKmttSEBsFQ/edit?usp=sharing"",""จัดที่ดิน!E19"")"),101)</f>
        <v>101</v>
      </c>
      <c r="AF19" s="67">
        <f ca="1">IFERROR(__xludf.DUMMYFUNCTION("IMPORTRANGE(""https://docs.google.com/spreadsheets/d/1tdoBKaGub7dwA3U6UFTqxio9LNnvDCQjHKmttSEBsFQ/edit?usp=sharing"",""จัดที่ดิน!F19"")"),446.66)</f>
        <v>446.66</v>
      </c>
      <c r="AG19" s="68">
        <f t="shared" ca="1" si="59"/>
        <v>171.7923076923077</v>
      </c>
      <c r="AH19" s="358">
        <f ca="1">IFERROR(__xludf.DUMMYFUNCTION("IMPORTRANGE(""https://docs.google.com/spreadsheets/d/1eHaY18a8A9IcSdp1K8H6x8fbOy06t2VsZHhMHf-1x7Y/edit?usp=sharing"",""แผน!EN19"")"),37)</f>
        <v>37</v>
      </c>
      <c r="AI19" s="151">
        <f ca="1">IFERROR(__xludf.DUMMYFUNCTION("IMPORTRANGE(""https://docs.google.com/spreadsheets/d/1tdoBKaGub7dwA3U6UFTqxio9LNnvDCQjHKmttSEBsFQ/edit?usp=sharing"",""จัดที่ดิน!G19"")"),81)</f>
        <v>81</v>
      </c>
      <c r="AJ19" s="67">
        <f ca="1">IFERROR(__xludf.DUMMYFUNCTION("IMPORTRANGE(""https://docs.google.com/spreadsheets/d/1tdoBKaGub7dwA3U6UFTqxio9LNnvDCQjHKmttSEBsFQ/edit?usp=sharing"",""จัดที่ดิน!H19"")"),407.3)</f>
        <v>407.3</v>
      </c>
      <c r="AK19" s="68">
        <f t="shared" ca="1" si="61"/>
        <v>218.91891891891891</v>
      </c>
      <c r="AL19" s="358">
        <f ca="1">IFERROR(__xludf.DUMMYFUNCTION("IMPORTRANGE(""https://docs.google.com/spreadsheets/d/1eHaY18a8A9IcSdp1K8H6x8fbOy06t2VsZHhMHf-1x7Y/edit?usp=sharing"",""แผน!EN19"")"),37)</f>
        <v>37</v>
      </c>
      <c r="AM19" s="151">
        <f ca="1">IFERROR(__xludf.DUMMYFUNCTION("IMPORTRANGE(""https://docs.google.com/spreadsheets/d/1tdoBKaGub7dwA3U6UFTqxio9LNnvDCQjHKmttSEBsFQ/edit?usp=sharing"",""จัดที่ดิน!I19"")"),81)</f>
        <v>81</v>
      </c>
      <c r="AN19" s="67">
        <f ca="1">IFERROR(__xludf.DUMMYFUNCTION("IMPORTRANGE(""https://docs.google.com/spreadsheets/d/1tdoBKaGub7dwA3U6UFTqxio9LNnvDCQjHKmttSEBsFQ/edit?usp=sharing"",""จัดที่ดิน!J19"")"),411.74)</f>
        <v>411.74</v>
      </c>
      <c r="AO19" s="68">
        <f t="shared" ca="1" si="63"/>
        <v>218.91891891891891</v>
      </c>
      <c r="AP19" s="359">
        <f ca="1">IFERROR(__xludf.DUMMYFUNCTION("IMPORTRANGE(""https://docs.google.com/spreadsheets/d/1eHaY18a8A9IcSdp1K8H6x8fbOy06t2VsZHhMHf-1x7Y/edit?usp=sharing"",""แผน!EO19"")"),1000)</f>
        <v>1000</v>
      </c>
      <c r="AQ19" s="151">
        <f ca="1">IFERROR(__xludf.DUMMYFUNCTION("IMPORTRANGE(""https://docs.google.com/spreadsheets/d/1tdoBKaGub7dwA3U6UFTqxio9LNnvDCQjHKmttSEBsFQ/edit?usp=sharing"",""แบ่งแปลง!D14"")"),251)</f>
        <v>251</v>
      </c>
      <c r="AR19" s="67">
        <f ca="1">IFERROR(__xludf.DUMMYFUNCTION("IMPORTRANGE(""https://docs.google.com/spreadsheets/d/1tdoBKaGub7dwA3U6UFTqxio9LNnvDCQjHKmttSEBsFQ/edit?usp=sharing"",""แบ่งแปลง!F14"")"),1039.89)</f>
        <v>1039.8900000000001</v>
      </c>
      <c r="AS19" s="68">
        <f t="shared" ca="1" si="65"/>
        <v>103.98900000000002</v>
      </c>
      <c r="AT19" s="359">
        <f ca="1">IFERROR(__xludf.DUMMYFUNCTION("IMPORTRANGE(""https://docs.google.com/spreadsheets/d/1eHaY18a8A9IcSdp1K8H6x8fbOy06t2VsZHhMHf-1x7Y/edit?usp=sharing"",""แผน!EP19"")"),200)</f>
        <v>200</v>
      </c>
      <c r="AU19" s="151">
        <f ca="1">IFERROR(__xludf.DUMMYFUNCTION("IMPORTRANGE(""https://docs.google.com/spreadsheets/d/1tdoBKaGub7dwA3U6UFTqxio9LNnvDCQjHKmttSEBsFQ/edit?usp=sharing"",""แบ่งแปลง!I14"")"),248)</f>
        <v>248</v>
      </c>
      <c r="AV19" s="67">
        <f ca="1">IFERROR(__xludf.DUMMYFUNCTION("IMPORTRANGE(""https://docs.google.com/spreadsheets/d/1tdoBKaGub7dwA3U6UFTqxio9LNnvDCQjHKmttSEBsFQ/edit?usp=sharing"",""แบ่งแปลง!K14"")"),1034.13)</f>
        <v>1034.1300000000001</v>
      </c>
      <c r="AW19" s="68">
        <f t="shared" ca="1" si="67"/>
        <v>124</v>
      </c>
      <c r="AX19" s="359">
        <f ca="1">IFERROR(__xludf.DUMMYFUNCTION("IMPORTRANGE(""https://docs.google.com/spreadsheets/d/1eHaY18a8A9IcSdp1K8H6x8fbOy06t2VsZHhMHf-1x7Y/edit?usp=sharing"",""แผน!EP19"")"),200)</f>
        <v>200</v>
      </c>
      <c r="AY19" s="151">
        <f ca="1">IFERROR(__xludf.DUMMYFUNCTION("IMPORTRANGE(""https://docs.google.com/spreadsheets/d/1tdoBKaGub7dwA3U6UFTqxio9LNnvDCQjHKmttSEBsFQ/edit?usp=sharing"",""แบ่งแปลง!X14"")"),249)</f>
        <v>249</v>
      </c>
      <c r="AZ19" s="67">
        <f ca="1">IFERROR(__xludf.DUMMYFUNCTION("IMPORTRANGE(""https://docs.google.com/spreadsheets/d/1tdoBKaGub7dwA3U6UFTqxio9LNnvDCQjHKmttSEBsFQ/edit?usp=sharing"",""แบ่งแปลง!Z14"")"),1042.61)</f>
        <v>1042.6099999999999</v>
      </c>
      <c r="BA19" s="68">
        <f t="shared" ca="1" si="69"/>
        <v>124.5</v>
      </c>
      <c r="BB19" s="360">
        <f ca="1">IFERROR(__xludf.DUMMYFUNCTION("IMPORTRANGE(""https://docs.google.com/spreadsheets/d/1eHaY18a8A9IcSdp1K8H6x8fbOy06t2VsZHhMHf-1x7Y/edit?usp=sharing"",""แผน!ES19"")"),1600)</f>
        <v>1600</v>
      </c>
      <c r="BC19" s="151">
        <f ca="1">IFERROR(__xludf.DUMMYFUNCTION("IMPORTRANGE(""https://docs.google.com/spreadsheets/d/1tdoBKaGub7dwA3U6UFTqxio9LNnvDCQjHKmttSEBsFQ/edit?usp=sharing"",""เต็มแปลง!I14"")"),1550)</f>
        <v>1550</v>
      </c>
      <c r="BD19" s="67">
        <f ca="1">IFERROR(__xludf.DUMMYFUNCTION("IMPORTRANGE(""https://docs.google.com/spreadsheets/d/1tdoBKaGub7dwA3U6UFTqxio9LNnvDCQjHKmttSEBsFQ/edit?usp=sharing"",""เต็มแปลง!K14"")"),10499.85)</f>
        <v>10499.85</v>
      </c>
      <c r="BE19" s="68">
        <f t="shared" ca="1" si="71"/>
        <v>96.875</v>
      </c>
      <c r="BF19" s="360">
        <f ca="1">IFERROR(__xludf.DUMMYFUNCTION("IMPORTRANGE(""https://docs.google.com/spreadsheets/d/1eHaY18a8A9IcSdp1K8H6x8fbOy06t2VsZHhMHf-1x7Y/edit?usp=sharing"",""แผน!ES19"")"),1600)</f>
        <v>1600</v>
      </c>
      <c r="BG19" s="151">
        <f ca="1">IFERROR(__xludf.DUMMYFUNCTION("IMPORTRANGE(""https://docs.google.com/spreadsheets/d/1tdoBKaGub7dwA3U6UFTqxio9LNnvDCQjHKmttSEBsFQ/edit?usp=sharing"",""เต็มแปลง!S14"")"),1550)</f>
        <v>1550</v>
      </c>
      <c r="BH19" s="67">
        <f ca="1">IFERROR(__xludf.DUMMYFUNCTION("IMPORTRANGE(""https://docs.google.com/spreadsheets/d/1tdoBKaGub7dwA3U6UFTqxio9LNnvDCQjHKmttSEBsFQ/edit?usp=sharing"",""เต็มแปลง!U14"")"),10499.85)</f>
        <v>10499.85</v>
      </c>
      <c r="BI19" s="68">
        <f t="shared" ca="1" si="73"/>
        <v>96.875</v>
      </c>
      <c r="BJ19" s="339"/>
    </row>
    <row r="20" spans="1:62" ht="24" customHeight="1" x14ac:dyDescent="0.3">
      <c r="A20" s="147">
        <v>7</v>
      </c>
      <c r="B20" s="148" t="s">
        <v>48</v>
      </c>
      <c r="C20" s="149">
        <f t="shared" ca="1" si="44"/>
        <v>313720</v>
      </c>
      <c r="D20" s="150">
        <f t="shared" ca="1" si="74"/>
        <v>313720</v>
      </c>
      <c r="E20" s="151">
        <f ca="1">IFERROR(__xludf.DUMMYFUNCTION("IMPORTRANGE(""https://docs.google.com/spreadsheets/d/1-uDff_7J0KD5mKrp0Vvzr7lt3OU09vwQwhkpOPPYv2Y/edit?usp=sharing"",""งบพรบ!FD20"")"),0)</f>
        <v>0</v>
      </c>
      <c r="F20" s="151">
        <f ca="1">IFERROR(__xludf.DUMMYFUNCTION("IMPORTRANGE(""https://docs.google.com/spreadsheets/d/1-uDff_7J0KD5mKrp0Vvzr7lt3OU09vwQwhkpOPPYv2Y/edit?usp=sharing"",""งบพรบ!FE20"")"),313720)</f>
        <v>313720</v>
      </c>
      <c r="G20" s="151">
        <f ca="1">IFERROR(__xludf.DUMMYFUNCTION("IMPORTRANGE(""https://docs.google.com/spreadsheets/d/1-uDff_7J0KD5mKrp0Vvzr7lt3OU09vwQwhkpOPPYv2Y/edit?usp=sharing"",""งบพรบ!FF20"")"),0)</f>
        <v>0</v>
      </c>
      <c r="H20" s="151">
        <f ca="1">IFERROR(__xludf.DUMMYFUNCTION("IMPORTRANGE(""https://docs.google.com/spreadsheets/d/1-uDff_7J0KD5mKrp0Vvzr7lt3OU09vwQwhkpOPPYv2Y/edit?usp=sharing"",""งบพรบ!FH20"")"),465940)</f>
        <v>465940</v>
      </c>
      <c r="I20" s="151">
        <f ca="1">IFERROR(__xludf.DUMMYFUNCTION("IMPORTRANGE(""https://docs.google.com/spreadsheets/d/1-uDff_7J0KD5mKrp0Vvzr7lt3OU09vwQwhkpOPPYv2Y/edit?usp=sharing"",""งบพรบ!FI20"")"),0)</f>
        <v>0</v>
      </c>
      <c r="J20" s="151">
        <f t="shared" ca="1" si="46"/>
        <v>300085.36</v>
      </c>
      <c r="K20" s="154">
        <f t="shared" ca="1" si="47"/>
        <v>95.653882442942745</v>
      </c>
      <c r="L20" s="151">
        <f ca="1">IFERROR(__xludf.DUMMYFUNCTION("IMPORTRANGE(""https://docs.google.com/spreadsheets/d/1-uDff_7J0KD5mKrp0Vvzr7lt3OU09vwQwhkpOPPYv2Y/edit?usp=sharing"",""งบพรบ!FJ20"")"),300085.36)</f>
        <v>300085.36</v>
      </c>
      <c r="M20" s="68">
        <f t="shared" ca="1" si="48"/>
        <v>95.653882442942745</v>
      </c>
      <c r="N20" s="68">
        <f t="shared" ca="1" si="49"/>
        <v>64.404292398162852</v>
      </c>
      <c r="O20" s="67">
        <f ca="1">IFERROR(__xludf.DUMMYFUNCTION("IMPORTRANGE(""https://docs.google.com/spreadsheets/d/1-uDff_7J0KD5mKrp0Vvzr7lt3OU09vwQwhkpOPPYv2Y/edit?usp=sharing"",""งบพรบ!FK20"")"),0)</f>
        <v>0</v>
      </c>
      <c r="P20" s="67">
        <f t="shared" ca="1" si="50"/>
        <v>0</v>
      </c>
      <c r="Q20" s="68">
        <f t="shared" ca="1" si="51"/>
        <v>0</v>
      </c>
      <c r="R20" s="149">
        <f ca="1">IFERROR(__xludf.DUMMYFUNCTION("IMPORTRANGE(""https://docs.google.com/spreadsheets/d/1uu4nAn4Dbi1XREnLKKotUANlKXa7yCgRcgq8HEzQYW8/edit?usp=sharing"",""พะเยา!I368"")"),610)</f>
        <v>610</v>
      </c>
      <c r="S20" s="152">
        <f ca="1">IFERROR(__xludf.DUMMYFUNCTION("IMPORTRANGE(""https://docs.google.com/spreadsheets/d/1uu4nAn4Dbi1XREnLKKotUANlKXa7yCgRcgq8HEzQYW8/edit?usp=sharing"",""พะเยา!J367"")"),167)</f>
        <v>167</v>
      </c>
      <c r="T20" s="357">
        <f ca="1">IFERROR(__xludf.DUMMYFUNCTION("IMPORTRANGE(""https://docs.google.com/spreadsheets/d/1uu4nAn4Dbi1XREnLKKotUANlKXa7yCgRcgq8HEzQYW8/edit?usp=sharing"",""พะเยา!J368"")"),862.66)</f>
        <v>862.66</v>
      </c>
      <c r="U20" s="216">
        <f t="shared" ca="1" si="53"/>
        <v>141.41967213114754</v>
      </c>
      <c r="V20" s="149">
        <f ca="1">IFERROR(__xludf.DUMMYFUNCTION("IMPORTRANGE(""https://docs.google.com/spreadsheets/d/1uu4nAn4Dbi1XREnLKKotUANlKXa7yCgRcgq8HEzQYW8/edit?usp=sharing"",""พะเยา!I369"")"),171)</f>
        <v>171</v>
      </c>
      <c r="W20" s="152">
        <f ca="1">IFERROR(__xludf.DUMMYFUNCTION("IMPORTRANGE(""https://docs.google.com/spreadsheets/d/1uu4nAn4Dbi1XREnLKKotUANlKXa7yCgRcgq8HEzQYW8/edit?usp=sharing"",""พะเยา!J369"")"),191)</f>
        <v>191</v>
      </c>
      <c r="X20" s="357">
        <f ca="1">IFERROR(__xludf.DUMMYFUNCTION("IMPORTRANGE(""https://docs.google.com/spreadsheets/d/1uu4nAn4Dbi1XREnLKKotUANlKXa7yCgRcgq8HEzQYW8/edit?usp=sharing"",""พะเยา!J370"")"),1272.55)</f>
        <v>1272.55</v>
      </c>
      <c r="Y20" s="216">
        <f t="shared" ca="1" si="55"/>
        <v>111.69590643274854</v>
      </c>
      <c r="Z20" s="149">
        <f ca="1">IFERROR(__xludf.DUMMYFUNCTION("IMPORTRANGE(""https://docs.google.com/spreadsheets/d/1uu4nAn4Dbi1XREnLKKotUANlKXa7yCgRcgq8HEzQYW8/edit?usp=sharing"",""พะเยา!I371"")"),171)</f>
        <v>171</v>
      </c>
      <c r="AA20" s="152">
        <f ca="1">IFERROR(__xludf.DUMMYFUNCTION("IMPORTRANGE(""https://docs.google.com/spreadsheets/d/1uu4nAn4Dbi1XREnLKKotUANlKXa7yCgRcgq8HEzQYW8/edit?usp=sharing"",""พะเยา!J371"")"),206)</f>
        <v>206</v>
      </c>
      <c r="AB20" s="357">
        <f ca="1">IFERROR(__xludf.DUMMYFUNCTION("IMPORTRANGE(""https://docs.google.com/spreadsheets/d/1uu4nAn4Dbi1XREnLKKotUANlKXa7yCgRcgq8HEzQYW8/edit?usp=sharing"",""พะเยา!J372"")"),1291.67)</f>
        <v>1291.67</v>
      </c>
      <c r="AC20" s="216">
        <f t="shared" ca="1" si="57"/>
        <v>120.46783625730994</v>
      </c>
      <c r="AD20" s="358">
        <f ca="1">IFERROR(__xludf.DUMMYFUNCTION("IMPORTRANGE(""https://docs.google.com/spreadsheets/d/1eHaY18a8A9IcSdp1K8H6x8fbOy06t2VsZHhMHf-1x7Y/edit?usp=sharing"",""แผน!EM20"")"),450)</f>
        <v>450</v>
      </c>
      <c r="AE20" s="151">
        <f ca="1">IFERROR(__xludf.DUMMYFUNCTION("IMPORTRANGE(""https://docs.google.com/spreadsheets/d/1tdoBKaGub7dwA3U6UFTqxio9LNnvDCQjHKmttSEBsFQ/edit?usp=sharing"",""จัดที่ดิน!E20"")"),67)</f>
        <v>67</v>
      </c>
      <c r="AF20" s="67">
        <f ca="1">IFERROR(__xludf.DUMMYFUNCTION("IMPORTRANGE(""https://docs.google.com/spreadsheets/d/1tdoBKaGub7dwA3U6UFTqxio9LNnvDCQjHKmttSEBsFQ/edit?usp=sharing"",""จัดที่ดิน!F20"")"),430.89)</f>
        <v>430.89</v>
      </c>
      <c r="AG20" s="68">
        <f t="shared" ca="1" si="59"/>
        <v>95.75333333333333</v>
      </c>
      <c r="AH20" s="358">
        <f ca="1">IFERROR(__xludf.DUMMYFUNCTION("IMPORTRANGE(""https://docs.google.com/spreadsheets/d/1eHaY18a8A9IcSdp1K8H6x8fbOy06t2VsZHhMHf-1x7Y/edit?usp=sharing"",""แผน!EN20"")"),45)</f>
        <v>45</v>
      </c>
      <c r="AI20" s="151">
        <f ca="1">IFERROR(__xludf.DUMMYFUNCTION("IMPORTRANGE(""https://docs.google.com/spreadsheets/d/1tdoBKaGub7dwA3U6UFTqxio9LNnvDCQjHKmttSEBsFQ/edit?usp=sharing"",""จัดที่ดิน!G20"")"),4)</f>
        <v>4</v>
      </c>
      <c r="AJ20" s="67">
        <f ca="1">IFERROR(__xludf.DUMMYFUNCTION("IMPORTRANGE(""https://docs.google.com/spreadsheets/d/1tdoBKaGub7dwA3U6UFTqxio9LNnvDCQjHKmttSEBsFQ/edit?usp=sharing"",""จัดที่ดิน!H20"")"),60.62)</f>
        <v>60.62</v>
      </c>
      <c r="AK20" s="68">
        <f t="shared" ca="1" si="61"/>
        <v>8.8888888888888893</v>
      </c>
      <c r="AL20" s="358">
        <f ca="1">IFERROR(__xludf.DUMMYFUNCTION("IMPORTRANGE(""https://docs.google.com/spreadsheets/d/1eHaY18a8A9IcSdp1K8H6x8fbOy06t2VsZHhMHf-1x7Y/edit?usp=sharing"",""แผน!EN20"")"),45)</f>
        <v>45</v>
      </c>
      <c r="AM20" s="151">
        <f ca="1">IFERROR(__xludf.DUMMYFUNCTION("IMPORTRANGE(""https://docs.google.com/spreadsheets/d/1tdoBKaGub7dwA3U6UFTqxio9LNnvDCQjHKmttSEBsFQ/edit?usp=sharing"",""จัดที่ดิน!I20"")"),1)</f>
        <v>1</v>
      </c>
      <c r="AN20" s="67">
        <f ca="1">IFERROR(__xludf.DUMMYFUNCTION("IMPORTRANGE(""https://docs.google.com/spreadsheets/d/1tdoBKaGub7dwA3U6UFTqxio9LNnvDCQjHKmttSEBsFQ/edit?usp=sharing"",""จัดที่ดิน!J20"")"),4.4)</f>
        <v>4.4000000000000004</v>
      </c>
      <c r="AO20" s="68">
        <f t="shared" ca="1" si="63"/>
        <v>2.2222222222222223</v>
      </c>
      <c r="AP20" s="359">
        <f ca="1">IFERROR(__xludf.DUMMYFUNCTION("IMPORTRANGE(""https://docs.google.com/spreadsheets/d/1eHaY18a8A9IcSdp1K8H6x8fbOy06t2VsZHhMHf-1x7Y/edit?usp=sharing"",""แผน!EO20"")"),160)</f>
        <v>160</v>
      </c>
      <c r="AQ20" s="151">
        <f ca="1">IFERROR(__xludf.DUMMYFUNCTION("IMPORTRANGE(""https://docs.google.com/spreadsheets/d/1tdoBKaGub7dwA3U6UFTqxio9LNnvDCQjHKmttSEBsFQ/edit?usp=sharing"",""แบ่งแปลง!D15"")"),100)</f>
        <v>100</v>
      </c>
      <c r="AR20" s="67">
        <f ca="1">IFERROR(__xludf.DUMMYFUNCTION("IMPORTRANGE(""https://docs.google.com/spreadsheets/d/1tdoBKaGub7dwA3U6UFTqxio9LNnvDCQjHKmttSEBsFQ/edit?usp=sharing"",""แบ่งแปลง!F15"")"),431.77)</f>
        <v>431.77</v>
      </c>
      <c r="AS20" s="68">
        <f t="shared" ca="1" si="65"/>
        <v>269.85624999999999</v>
      </c>
      <c r="AT20" s="359">
        <f ca="1">IFERROR(__xludf.DUMMYFUNCTION("IMPORTRANGE(""https://docs.google.com/spreadsheets/d/1eHaY18a8A9IcSdp1K8H6x8fbOy06t2VsZHhMHf-1x7Y/edit?usp=sharing"",""แผน!EP20"")"),32)</f>
        <v>32</v>
      </c>
      <c r="AU20" s="151">
        <f ca="1">IFERROR(__xludf.DUMMYFUNCTION("IMPORTRANGE(""https://docs.google.com/spreadsheets/d/1tdoBKaGub7dwA3U6UFTqxio9LNnvDCQjHKmttSEBsFQ/edit?usp=sharing"",""แบ่งแปลง!I15"")"),79)</f>
        <v>79</v>
      </c>
      <c r="AV20" s="67">
        <f ca="1">IFERROR(__xludf.DUMMYFUNCTION("IMPORTRANGE(""https://docs.google.com/spreadsheets/d/1tdoBKaGub7dwA3U6UFTqxio9LNnvDCQjHKmttSEBsFQ/edit?usp=sharing"",""แบ่งแปลง!K15"")"),338.17)</f>
        <v>338.17</v>
      </c>
      <c r="AW20" s="68">
        <f t="shared" ca="1" si="67"/>
        <v>246.875</v>
      </c>
      <c r="AX20" s="359">
        <f ca="1">IFERROR(__xludf.DUMMYFUNCTION("IMPORTRANGE(""https://docs.google.com/spreadsheets/d/1eHaY18a8A9IcSdp1K8H6x8fbOy06t2VsZHhMHf-1x7Y/edit?usp=sharing"",""แผน!EP20"")"),32)</f>
        <v>32</v>
      </c>
      <c r="AY20" s="151">
        <f ca="1">IFERROR(__xludf.DUMMYFUNCTION("IMPORTRANGE(""https://docs.google.com/spreadsheets/d/1tdoBKaGub7dwA3U6UFTqxio9LNnvDCQjHKmttSEBsFQ/edit?usp=sharing"",""แบ่งแปลง!X15"")"),98)</f>
        <v>98</v>
      </c>
      <c r="AZ20" s="67">
        <f ca="1">IFERROR(__xludf.DUMMYFUNCTION("IMPORTRANGE(""https://docs.google.com/spreadsheets/d/1tdoBKaGub7dwA3U6UFTqxio9LNnvDCQjHKmttSEBsFQ/edit?usp=sharing"",""แบ่งแปลง!Z15"")"),427.53)</f>
        <v>427.53</v>
      </c>
      <c r="BA20" s="68">
        <f t="shared" ca="1" si="69"/>
        <v>306.25</v>
      </c>
      <c r="BB20" s="360">
        <f ca="1">IFERROR(__xludf.DUMMYFUNCTION("IMPORTRANGE(""https://docs.google.com/spreadsheets/d/1eHaY18a8A9IcSdp1K8H6x8fbOy06t2VsZHhMHf-1x7Y/edit?usp=sharing"",""แผน!ES20"")"),94)</f>
        <v>94</v>
      </c>
      <c r="BC20" s="151">
        <f ca="1">IFERROR(__xludf.DUMMYFUNCTION("IMPORTRANGE(""https://docs.google.com/spreadsheets/d/1tdoBKaGub7dwA3U6UFTqxio9LNnvDCQjHKmttSEBsFQ/edit?usp=sharing"",""เต็มแปลง!I15"")"),108)</f>
        <v>108</v>
      </c>
      <c r="BD20" s="67">
        <f ca="1">IFERROR(__xludf.DUMMYFUNCTION("IMPORTRANGE(""https://docs.google.com/spreadsheets/d/1tdoBKaGub7dwA3U6UFTqxio9LNnvDCQjHKmttSEBsFQ/edit?usp=sharing"",""เต็มแปลง!K15"")"),873.76)</f>
        <v>873.76</v>
      </c>
      <c r="BE20" s="68">
        <f t="shared" ca="1" si="71"/>
        <v>114.8936170212766</v>
      </c>
      <c r="BF20" s="360">
        <f ca="1">IFERROR(__xludf.DUMMYFUNCTION("IMPORTRANGE(""https://docs.google.com/spreadsheets/d/1eHaY18a8A9IcSdp1K8H6x8fbOy06t2VsZHhMHf-1x7Y/edit?usp=sharing"",""แผน!ES20"")"),94)</f>
        <v>94</v>
      </c>
      <c r="BG20" s="151">
        <f ca="1">IFERROR(__xludf.DUMMYFUNCTION("IMPORTRANGE(""https://docs.google.com/spreadsheets/d/1tdoBKaGub7dwA3U6UFTqxio9LNnvDCQjHKmttSEBsFQ/edit?usp=sharing"",""เต็มแปลง!S15"")"),107)</f>
        <v>107</v>
      </c>
      <c r="BH20" s="67">
        <f ca="1">IFERROR(__xludf.DUMMYFUNCTION("IMPORTRANGE(""https://docs.google.com/spreadsheets/d/1tdoBKaGub7dwA3U6UFTqxio9LNnvDCQjHKmttSEBsFQ/edit?usp=sharing"",""เต็มแปลง!U15"")"),859.74)</f>
        <v>859.74</v>
      </c>
      <c r="BI20" s="68">
        <f t="shared" ca="1" si="73"/>
        <v>113.82978723404256</v>
      </c>
      <c r="BJ20" s="339"/>
    </row>
    <row r="21" spans="1:62" ht="24" customHeight="1" x14ac:dyDescent="0.3">
      <c r="A21" s="147">
        <v>8</v>
      </c>
      <c r="B21" s="148" t="s">
        <v>49</v>
      </c>
      <c r="C21" s="149">
        <f t="shared" ca="1" si="44"/>
        <v>837450</v>
      </c>
      <c r="D21" s="150">
        <f t="shared" ca="1" si="74"/>
        <v>837450</v>
      </c>
      <c r="E21" s="151">
        <f ca="1">IFERROR(__xludf.DUMMYFUNCTION("IMPORTRANGE(""https://docs.google.com/spreadsheets/d/1-uDff_7J0KD5mKrp0Vvzr7lt3OU09vwQwhkpOPPYv2Y/edit?usp=sharing"",""งบพรบ!FD21"")"),497800)</f>
        <v>497800</v>
      </c>
      <c r="F21" s="151">
        <f ca="1">IFERROR(__xludf.DUMMYFUNCTION("IMPORTRANGE(""https://docs.google.com/spreadsheets/d/1-uDff_7J0KD5mKrp0Vvzr7lt3OU09vwQwhkpOPPYv2Y/edit?usp=sharing"",""งบพรบ!FE21"")"),339650)</f>
        <v>339650</v>
      </c>
      <c r="G21" s="151">
        <f ca="1">IFERROR(__xludf.DUMMYFUNCTION("IMPORTRANGE(""https://docs.google.com/spreadsheets/d/1-uDff_7J0KD5mKrp0Vvzr7lt3OU09vwQwhkpOPPYv2Y/edit?usp=sharing"",""งบพรบ!FF21"")"),0)</f>
        <v>0</v>
      </c>
      <c r="H21" s="151">
        <f ca="1">IFERROR(__xludf.DUMMYFUNCTION("IMPORTRANGE(""https://docs.google.com/spreadsheets/d/1-uDff_7J0KD5mKrp0Vvzr7lt3OU09vwQwhkpOPPYv2Y/edit?usp=sharing"",""งบพรบ!FH21"")"),1003800)</f>
        <v>1003800</v>
      </c>
      <c r="I21" s="151">
        <f ca="1">IFERROR(__xludf.DUMMYFUNCTION("IMPORTRANGE(""https://docs.google.com/spreadsheets/d/1-uDff_7J0KD5mKrp0Vvzr7lt3OU09vwQwhkpOPPYv2Y/edit?usp=sharing"",""งบพรบ!FI21"")"),0)</f>
        <v>0</v>
      </c>
      <c r="J21" s="151">
        <f t="shared" ca="1" si="46"/>
        <v>721254.85</v>
      </c>
      <c r="K21" s="154">
        <f t="shared" ca="1" si="47"/>
        <v>86.125123887993311</v>
      </c>
      <c r="L21" s="151">
        <f ca="1">IFERROR(__xludf.DUMMYFUNCTION("IMPORTRANGE(""https://docs.google.com/spreadsheets/d/1-uDff_7J0KD5mKrp0Vvzr7lt3OU09vwQwhkpOPPYv2Y/edit?usp=sharing"",""งบพรบ!FJ21"")"),721254.85)</f>
        <v>721254.85</v>
      </c>
      <c r="M21" s="68">
        <f t="shared" ca="1" si="48"/>
        <v>86.125123887993311</v>
      </c>
      <c r="N21" s="68">
        <f t="shared" ca="1" si="49"/>
        <v>71.852445706316004</v>
      </c>
      <c r="O21" s="67">
        <f ca="1">IFERROR(__xludf.DUMMYFUNCTION("IMPORTRANGE(""https://docs.google.com/spreadsheets/d/1-uDff_7J0KD5mKrp0Vvzr7lt3OU09vwQwhkpOPPYv2Y/edit?usp=sharing"",""งบพรบ!FK21"")"),0)</f>
        <v>0</v>
      </c>
      <c r="P21" s="67">
        <f t="shared" ca="1" si="50"/>
        <v>0</v>
      </c>
      <c r="Q21" s="68">
        <f t="shared" ca="1" si="51"/>
        <v>0</v>
      </c>
      <c r="R21" s="149">
        <f ca="1">IFERROR(__xludf.DUMMYFUNCTION("IMPORTRANGE(""https://docs.google.com/spreadsheets/d/1xfJKIQxVOaPDIICqsflNlLu3JacTDk1FP9RH4phX7mI/edit?usp=sharing"",""พิจิตร!I368"")"),810)</f>
        <v>810</v>
      </c>
      <c r="S21" s="152">
        <f ca="1">IFERROR(__xludf.DUMMYFUNCTION("IMPORTRANGE(""https://docs.google.com/spreadsheets/d/1xfJKIQxVOaPDIICqsflNlLu3JacTDk1FP9RH4phX7mI/edit?usp=sharing"",""พิจิตร!J367"")"),141)</f>
        <v>141</v>
      </c>
      <c r="T21" s="357">
        <f ca="1">IFERROR(__xludf.DUMMYFUNCTION("IMPORTRANGE(""https://docs.google.com/spreadsheets/d/1xfJKIQxVOaPDIICqsflNlLu3JacTDk1FP9RH4phX7mI/edit?usp=sharing"",""พิจิตร!J368"")"),1198.81)</f>
        <v>1198.81</v>
      </c>
      <c r="U21" s="216">
        <f t="shared" ca="1" si="53"/>
        <v>148.00123456790124</v>
      </c>
      <c r="V21" s="149">
        <f ca="1">IFERROR(__xludf.DUMMYFUNCTION("IMPORTRANGE(""https://docs.google.com/spreadsheets/d/1xfJKIQxVOaPDIICqsflNlLu3JacTDk1FP9RH4phX7mI/edit?usp=sharing"",""พิจิตร!I369"")"),458)</f>
        <v>458</v>
      </c>
      <c r="W21" s="152">
        <f ca="1">IFERROR(__xludf.DUMMYFUNCTION("IMPORTRANGE(""https://docs.google.com/spreadsheets/d/1xfJKIQxVOaPDIICqsflNlLu3JacTDk1FP9RH4phX7mI/edit?usp=sharing"",""พิจิตร!J369"")"),566)</f>
        <v>566</v>
      </c>
      <c r="X21" s="357">
        <f ca="1">IFERROR(__xludf.DUMMYFUNCTION("IMPORTRANGE(""https://docs.google.com/spreadsheets/d/1xfJKIQxVOaPDIICqsflNlLu3JacTDk1FP9RH4phX7mI/edit?usp=sharing"",""พิจิตร!J370"")"),8555.8)</f>
        <v>8555.7999999999993</v>
      </c>
      <c r="Y21" s="216">
        <f t="shared" ca="1" si="55"/>
        <v>123.58078602620087</v>
      </c>
      <c r="Z21" s="149">
        <f ca="1">IFERROR(__xludf.DUMMYFUNCTION("IMPORTRANGE(""https://docs.google.com/spreadsheets/d/1xfJKIQxVOaPDIICqsflNlLu3JacTDk1FP9RH4phX7mI/edit?usp=sharing"",""พิจิตร!I371"")"),458)</f>
        <v>458</v>
      </c>
      <c r="AA21" s="152">
        <f ca="1">IFERROR(__xludf.DUMMYFUNCTION("IMPORTRANGE(""https://docs.google.com/spreadsheets/d/1xfJKIQxVOaPDIICqsflNlLu3JacTDk1FP9RH4phX7mI/edit?usp=sharing"",""พิจิตร!J371"")"),556)</f>
        <v>556</v>
      </c>
      <c r="AB21" s="357">
        <f ca="1">IFERROR(__xludf.DUMMYFUNCTION("IMPORTRANGE(""https://docs.google.com/spreadsheets/d/1xfJKIQxVOaPDIICqsflNlLu3JacTDk1FP9RH4phX7mI/edit?usp=sharing"",""พิจิตร!J372"")"),8499.71)</f>
        <v>8499.7099999999991</v>
      </c>
      <c r="AC21" s="216">
        <f t="shared" ca="1" si="57"/>
        <v>121.39737991266375</v>
      </c>
      <c r="AD21" s="358">
        <f ca="1">IFERROR(__xludf.DUMMYFUNCTION("IMPORTRANGE(""https://docs.google.com/spreadsheets/d/1eHaY18a8A9IcSdp1K8H6x8fbOy06t2VsZHhMHf-1x7Y/edit?usp=sharing"",""แผน!EM21"")"),40)</f>
        <v>40</v>
      </c>
      <c r="AE21" s="151">
        <f ca="1">IFERROR(__xludf.DUMMYFUNCTION("IMPORTRANGE(""https://docs.google.com/spreadsheets/d/1tdoBKaGub7dwA3U6UFTqxio9LNnvDCQjHKmttSEBsFQ/edit?usp=sharing"",""จัดที่ดิน!E21"")"),15)</f>
        <v>15</v>
      </c>
      <c r="AF21" s="67">
        <f ca="1">IFERROR(__xludf.DUMMYFUNCTION("IMPORTRANGE(""https://docs.google.com/spreadsheets/d/1tdoBKaGub7dwA3U6UFTqxio9LNnvDCQjHKmttSEBsFQ/edit?usp=sharing"",""จัดที่ดิน!F21"")"),69.56)</f>
        <v>69.56</v>
      </c>
      <c r="AG21" s="68">
        <f t="shared" ca="1" si="59"/>
        <v>173.9</v>
      </c>
      <c r="AH21" s="358">
        <f ca="1">IFERROR(__xludf.DUMMYFUNCTION("IMPORTRANGE(""https://docs.google.com/spreadsheets/d/1eHaY18a8A9IcSdp1K8H6x8fbOy06t2VsZHhMHf-1x7Y/edit?usp=sharing"",""แผน!EN21"")"),8)</f>
        <v>8</v>
      </c>
      <c r="AI21" s="151">
        <f ca="1">IFERROR(__xludf.DUMMYFUNCTION("IMPORTRANGE(""https://docs.google.com/spreadsheets/d/1tdoBKaGub7dwA3U6UFTqxio9LNnvDCQjHKmttSEBsFQ/edit?usp=sharing"",""จัดที่ดิน!G21"")"),14)</f>
        <v>14</v>
      </c>
      <c r="AJ21" s="67">
        <f ca="1">IFERROR(__xludf.DUMMYFUNCTION("IMPORTRANGE(""https://docs.google.com/spreadsheets/d/1tdoBKaGub7dwA3U6UFTqxio9LNnvDCQjHKmttSEBsFQ/edit?usp=sharing"",""จัดที่ดิน!H21"")"),69.29)</f>
        <v>69.290000000000006</v>
      </c>
      <c r="AK21" s="68">
        <f t="shared" ca="1" si="61"/>
        <v>175</v>
      </c>
      <c r="AL21" s="358">
        <f ca="1">IFERROR(__xludf.DUMMYFUNCTION("IMPORTRANGE(""https://docs.google.com/spreadsheets/d/1eHaY18a8A9IcSdp1K8H6x8fbOy06t2VsZHhMHf-1x7Y/edit?usp=sharing"",""แผน!EN21"")"),8)</f>
        <v>8</v>
      </c>
      <c r="AM21" s="151">
        <f ca="1">IFERROR(__xludf.DUMMYFUNCTION("IMPORTRANGE(""https://docs.google.com/spreadsheets/d/1tdoBKaGub7dwA3U6UFTqxio9LNnvDCQjHKmttSEBsFQ/edit?usp=sharing"",""จัดที่ดิน!I21"")"),13)</f>
        <v>13</v>
      </c>
      <c r="AN21" s="67">
        <f ca="1">IFERROR(__xludf.DUMMYFUNCTION("IMPORTRANGE(""https://docs.google.com/spreadsheets/d/1tdoBKaGub7dwA3U6UFTqxio9LNnvDCQjHKmttSEBsFQ/edit?usp=sharing"",""จัดที่ดิน!J21"")"),61.09)</f>
        <v>61.09</v>
      </c>
      <c r="AO21" s="68">
        <f t="shared" ca="1" si="63"/>
        <v>162.5</v>
      </c>
      <c r="AP21" s="359">
        <f ca="1">IFERROR(__xludf.DUMMYFUNCTION("IMPORTRANGE(""https://docs.google.com/spreadsheets/d/1eHaY18a8A9IcSdp1K8H6x8fbOy06t2VsZHhMHf-1x7Y/edit?usp=sharing"",""แผน!EO21"")"),770)</f>
        <v>770</v>
      </c>
      <c r="AQ21" s="151">
        <f ca="1">IFERROR(__xludf.DUMMYFUNCTION("IMPORTRANGE(""https://docs.google.com/spreadsheets/d/1tdoBKaGub7dwA3U6UFTqxio9LNnvDCQjHKmttSEBsFQ/edit?usp=sharing"",""แบ่งแปลง!D16"")"),126)</f>
        <v>126</v>
      </c>
      <c r="AR21" s="67">
        <f ca="1">IFERROR(__xludf.DUMMYFUNCTION("IMPORTRANGE(""https://docs.google.com/spreadsheets/d/1tdoBKaGub7dwA3U6UFTqxio9LNnvDCQjHKmttSEBsFQ/edit?usp=sharing"",""แบ่งแปลง!F16"")"),1129.25)</f>
        <v>1129.25</v>
      </c>
      <c r="AS21" s="68">
        <f t="shared" ca="1" si="65"/>
        <v>146.65584415584416</v>
      </c>
      <c r="AT21" s="359">
        <f ca="1">IFERROR(__xludf.DUMMYFUNCTION("IMPORTRANGE(""https://docs.google.com/spreadsheets/d/1eHaY18a8A9IcSdp1K8H6x8fbOy06t2VsZHhMHf-1x7Y/edit?usp=sharing"",""แผน!EP21"")"),160)</f>
        <v>160</v>
      </c>
      <c r="AU21" s="151">
        <f ca="1">IFERROR(__xludf.DUMMYFUNCTION("IMPORTRANGE(""https://docs.google.com/spreadsheets/d/1tdoBKaGub7dwA3U6UFTqxio9LNnvDCQjHKmttSEBsFQ/edit?usp=sharing"",""แบ่งแปลง!I16"")"),128)</f>
        <v>128</v>
      </c>
      <c r="AV21" s="67">
        <f ca="1">IFERROR(__xludf.DUMMYFUNCTION("IMPORTRANGE(""https://docs.google.com/spreadsheets/d/1tdoBKaGub7dwA3U6UFTqxio9LNnvDCQjHKmttSEBsFQ/edit?usp=sharing"",""แบ่งแปลง!K16"")"),1137.93)</f>
        <v>1137.93</v>
      </c>
      <c r="AW21" s="68">
        <f t="shared" ca="1" si="67"/>
        <v>80</v>
      </c>
      <c r="AX21" s="359">
        <f ca="1">IFERROR(__xludf.DUMMYFUNCTION("IMPORTRANGE(""https://docs.google.com/spreadsheets/d/1eHaY18a8A9IcSdp1K8H6x8fbOy06t2VsZHhMHf-1x7Y/edit?usp=sharing"",""แผน!EP21"")"),160)</f>
        <v>160</v>
      </c>
      <c r="AY21" s="151">
        <f ca="1">IFERROR(__xludf.DUMMYFUNCTION("IMPORTRANGE(""https://docs.google.com/spreadsheets/d/1tdoBKaGub7dwA3U6UFTqxio9LNnvDCQjHKmttSEBsFQ/edit?usp=sharing"",""แบ่งแปลง!X16"")"),121)</f>
        <v>121</v>
      </c>
      <c r="AZ21" s="67">
        <f ca="1">IFERROR(__xludf.DUMMYFUNCTION("IMPORTRANGE(""https://docs.google.com/spreadsheets/d/1tdoBKaGub7dwA3U6UFTqxio9LNnvDCQjHKmttSEBsFQ/edit?usp=sharing"",""แบ่งแปลง!Z16"")"),1118.43)</f>
        <v>1118.43</v>
      </c>
      <c r="BA21" s="68">
        <f t="shared" ca="1" si="69"/>
        <v>75.625</v>
      </c>
      <c r="BB21" s="360">
        <f ca="1">IFERROR(__xludf.DUMMYFUNCTION("IMPORTRANGE(""https://docs.google.com/spreadsheets/d/1eHaY18a8A9IcSdp1K8H6x8fbOy06t2VsZHhMHf-1x7Y/edit?usp=sharing"",""แผน!ES21"")"),290)</f>
        <v>290</v>
      </c>
      <c r="BC21" s="151">
        <f ca="1">IFERROR(__xludf.DUMMYFUNCTION("IMPORTRANGE(""https://docs.google.com/spreadsheets/d/1tdoBKaGub7dwA3U6UFTqxio9LNnvDCQjHKmttSEBsFQ/edit?usp=sharing"",""เต็มแปลง!I16"")"),425)</f>
        <v>425</v>
      </c>
      <c r="BD21" s="67">
        <f ca="1">IFERROR(__xludf.DUMMYFUNCTION("IMPORTRANGE(""https://docs.google.com/spreadsheets/d/1tdoBKaGub7dwA3U6UFTqxio9LNnvDCQjHKmttSEBsFQ/edit?usp=sharing"",""เต็มแปลง!K16"")"),7348.58)</f>
        <v>7348.58</v>
      </c>
      <c r="BE21" s="68">
        <f t="shared" ca="1" si="71"/>
        <v>146.55172413793105</v>
      </c>
      <c r="BF21" s="360">
        <f ca="1">IFERROR(__xludf.DUMMYFUNCTION("IMPORTRANGE(""https://docs.google.com/spreadsheets/d/1eHaY18a8A9IcSdp1K8H6x8fbOy06t2VsZHhMHf-1x7Y/edit?usp=sharing"",""แผน!ES21"")"),290)</f>
        <v>290</v>
      </c>
      <c r="BG21" s="151">
        <f ca="1">IFERROR(__xludf.DUMMYFUNCTION("IMPORTRANGE(""https://docs.google.com/spreadsheets/d/1tdoBKaGub7dwA3U6UFTqxio9LNnvDCQjHKmttSEBsFQ/edit?usp=sharing"",""เต็มแปลง!S16"")"),423)</f>
        <v>423</v>
      </c>
      <c r="BH21" s="67">
        <f ca="1">IFERROR(__xludf.DUMMYFUNCTION("IMPORTRANGE(""https://docs.google.com/spreadsheets/d/1tdoBKaGub7dwA3U6UFTqxio9LNnvDCQjHKmttSEBsFQ/edit?usp=sharing"",""เต็มแปลง!U16"")"),7320.19)</f>
        <v>7320.19</v>
      </c>
      <c r="BI21" s="68">
        <f t="shared" ca="1" si="73"/>
        <v>145.86206896551724</v>
      </c>
      <c r="BJ21" s="339"/>
    </row>
    <row r="22" spans="1:62" ht="24" customHeight="1" x14ac:dyDescent="0.3">
      <c r="A22" s="147">
        <v>9</v>
      </c>
      <c r="B22" s="148" t="s">
        <v>50</v>
      </c>
      <c r="C22" s="149">
        <f t="shared" ca="1" si="44"/>
        <v>513470</v>
      </c>
      <c r="D22" s="150">
        <f t="shared" ca="1" si="74"/>
        <v>513470</v>
      </c>
      <c r="E22" s="151">
        <f ca="1">IFERROR(__xludf.DUMMYFUNCTION("IMPORTRANGE(""https://docs.google.com/spreadsheets/d/1-uDff_7J0KD5mKrp0Vvzr7lt3OU09vwQwhkpOPPYv2Y/edit?usp=sharing"",""งบพรบ!FD22"")"),213300)</f>
        <v>213300</v>
      </c>
      <c r="F22" s="151">
        <f ca="1">IFERROR(__xludf.DUMMYFUNCTION("IMPORTRANGE(""https://docs.google.com/spreadsheets/d/1-uDff_7J0KD5mKrp0Vvzr7lt3OU09vwQwhkpOPPYv2Y/edit?usp=sharing"",""งบพรบ!FE22"")"),300170)</f>
        <v>300170</v>
      </c>
      <c r="G22" s="151">
        <f ca="1">IFERROR(__xludf.DUMMYFUNCTION("IMPORTRANGE(""https://docs.google.com/spreadsheets/d/1-uDff_7J0KD5mKrp0Vvzr7lt3OU09vwQwhkpOPPYv2Y/edit?usp=sharing"",""งบพรบ!FF22"")"),0)</f>
        <v>0</v>
      </c>
      <c r="H22" s="151">
        <f ca="1">IFERROR(__xludf.DUMMYFUNCTION("IMPORTRANGE(""https://docs.google.com/spreadsheets/d/1-uDff_7J0KD5mKrp0Vvzr7lt3OU09vwQwhkpOPPYv2Y/edit?usp=sharing"",""งบพรบ!FH22"")"),621470)</f>
        <v>621470</v>
      </c>
      <c r="I22" s="151">
        <f ca="1">IFERROR(__xludf.DUMMYFUNCTION("IMPORTRANGE(""https://docs.google.com/spreadsheets/d/1-uDff_7J0KD5mKrp0Vvzr7lt3OU09vwQwhkpOPPYv2Y/edit?usp=sharing"",""งบพรบ!FI22"")"),0)</f>
        <v>0</v>
      </c>
      <c r="J22" s="151">
        <f t="shared" ca="1" si="46"/>
        <v>421558.43</v>
      </c>
      <c r="K22" s="154">
        <f t="shared" ca="1" si="47"/>
        <v>82.099914308528255</v>
      </c>
      <c r="L22" s="151">
        <f ca="1">IFERROR(__xludf.DUMMYFUNCTION("IMPORTRANGE(""https://docs.google.com/spreadsheets/d/1-uDff_7J0KD5mKrp0Vvzr7lt3OU09vwQwhkpOPPYv2Y/edit?usp=sharing"",""งบพรบ!FJ22"")"),421558.43)</f>
        <v>421558.43</v>
      </c>
      <c r="M22" s="68">
        <f t="shared" ca="1" si="48"/>
        <v>82.099914308528255</v>
      </c>
      <c r="N22" s="68">
        <f t="shared" ca="1" si="49"/>
        <v>67.832466571194104</v>
      </c>
      <c r="O22" s="67">
        <f ca="1">IFERROR(__xludf.DUMMYFUNCTION("IMPORTRANGE(""https://docs.google.com/spreadsheets/d/1-uDff_7J0KD5mKrp0Vvzr7lt3OU09vwQwhkpOPPYv2Y/edit?usp=sharing"",""งบพรบ!FK22"")"),0)</f>
        <v>0</v>
      </c>
      <c r="P22" s="67">
        <f t="shared" ca="1" si="50"/>
        <v>0</v>
      </c>
      <c r="Q22" s="68">
        <f t="shared" ca="1" si="51"/>
        <v>0</v>
      </c>
      <c r="R22" s="149">
        <f ca="1">IFERROR(__xludf.DUMMYFUNCTION("IMPORTRANGE(""https://docs.google.com/spreadsheets/d/1JtRfZkJMHtEhI5RdRHxYUG4FIZHqKDpNyIuN7A1Q0_k/edit?usp=sharing"",""พิษณุโลก!I368"")"),605)</f>
        <v>605</v>
      </c>
      <c r="S22" s="152">
        <f ca="1">IFERROR(__xludf.DUMMYFUNCTION("IMPORTRANGE(""https://docs.google.com/spreadsheets/d/1JtRfZkJMHtEhI5RdRHxYUG4FIZHqKDpNyIuN7A1Q0_k/edit?usp=sharing"",""พิษณุโลก!J367"")"),11)</f>
        <v>11</v>
      </c>
      <c r="T22" s="357">
        <f ca="1">IFERROR(__xludf.DUMMYFUNCTION("IMPORTRANGE(""https://docs.google.com/spreadsheets/d/1JtRfZkJMHtEhI5RdRHxYUG4FIZHqKDpNyIuN7A1Q0_k/edit?usp=sharing"",""พิษณุโลก!J368"")"),52.65)</f>
        <v>52.65</v>
      </c>
      <c r="U22" s="216">
        <f t="shared" ca="1" si="53"/>
        <v>8.7024793388429753</v>
      </c>
      <c r="V22" s="149">
        <f ca="1">IFERROR(__xludf.DUMMYFUNCTION("IMPORTRANGE(""https://docs.google.com/spreadsheets/d/1JtRfZkJMHtEhI5RdRHxYUG4FIZHqKDpNyIuN7A1Q0_k/edit?usp=sharing"",""พิษณุโลก!I369"")"),157)</f>
        <v>157</v>
      </c>
      <c r="W22" s="152">
        <f ca="1">IFERROR(__xludf.DUMMYFUNCTION("IMPORTRANGE(""https://docs.google.com/spreadsheets/d/1JtRfZkJMHtEhI5RdRHxYUG4FIZHqKDpNyIuN7A1Q0_k/edit?usp=sharing"",""พิษณุโลก!J369"")"),147)</f>
        <v>147</v>
      </c>
      <c r="X22" s="357">
        <f ca="1">IFERROR(__xludf.DUMMYFUNCTION("IMPORTRANGE(""https://docs.google.com/spreadsheets/d/1JtRfZkJMHtEhI5RdRHxYUG4FIZHqKDpNyIuN7A1Q0_k/edit?usp=sharing"",""พิษณุโลก!J370"")"),1937.21)</f>
        <v>1937.21</v>
      </c>
      <c r="Y22" s="216">
        <f t="shared" ca="1" si="55"/>
        <v>93.630573248407643</v>
      </c>
      <c r="Z22" s="149">
        <f ca="1">IFERROR(__xludf.DUMMYFUNCTION("IMPORTRANGE(""https://docs.google.com/spreadsheets/d/1JtRfZkJMHtEhI5RdRHxYUG4FIZHqKDpNyIuN7A1Q0_k/edit?usp=sharing"",""พิษณุโลก!I371"")"),157)</f>
        <v>157</v>
      </c>
      <c r="AA22" s="152">
        <f ca="1">IFERROR(__xludf.DUMMYFUNCTION("IMPORTRANGE(""https://docs.google.com/spreadsheets/d/1JtRfZkJMHtEhI5RdRHxYUG4FIZHqKDpNyIuN7A1Q0_k/edit?usp=sharing"",""พิษณุโลก!J371"")"),145)</f>
        <v>145</v>
      </c>
      <c r="AB22" s="357">
        <f ca="1">IFERROR(__xludf.DUMMYFUNCTION("IMPORTRANGE(""https://docs.google.com/spreadsheets/d/1JtRfZkJMHtEhI5RdRHxYUG4FIZHqKDpNyIuN7A1Q0_k/edit?usp=sharing"",""พิษณุโลก!J372"")"),1936.34)</f>
        <v>1936.34</v>
      </c>
      <c r="AC22" s="216">
        <f t="shared" ca="1" si="57"/>
        <v>92.356687898089177</v>
      </c>
      <c r="AD22" s="358">
        <f ca="1">IFERROR(__xludf.DUMMYFUNCTION("IMPORTRANGE(""https://docs.google.com/spreadsheets/d/1eHaY18a8A9IcSdp1K8H6x8fbOy06t2VsZHhMHf-1x7Y/edit?usp=sharing"",""แผน!EM22"")"),450)</f>
        <v>450</v>
      </c>
      <c r="AE22" s="151">
        <f ca="1">IFERROR(__xludf.DUMMYFUNCTION("IMPORTRANGE(""https://docs.google.com/spreadsheets/d/1tdoBKaGub7dwA3U6UFTqxio9LNnvDCQjHKmttSEBsFQ/edit?usp=sharing"",""จัดที่ดิน!E22"")"),1)</f>
        <v>1</v>
      </c>
      <c r="AF22" s="67">
        <f ca="1">IFERROR(__xludf.DUMMYFUNCTION("IMPORTRANGE(""https://docs.google.com/spreadsheets/d/1tdoBKaGub7dwA3U6UFTqxio9LNnvDCQjHKmttSEBsFQ/edit?usp=sharing"",""จัดที่ดิน!F22"")"),1.34)</f>
        <v>1.34</v>
      </c>
      <c r="AG22" s="68">
        <f t="shared" ca="1" si="59"/>
        <v>0.29777777777777775</v>
      </c>
      <c r="AH22" s="358">
        <f ca="1">IFERROR(__xludf.DUMMYFUNCTION("IMPORTRANGE(""https://docs.google.com/spreadsheets/d/1eHaY18a8A9IcSdp1K8H6x8fbOy06t2VsZHhMHf-1x7Y/edit?usp=sharing"",""แผน!EN22"")"),45)</f>
        <v>45</v>
      </c>
      <c r="AI22" s="151">
        <f ca="1">IFERROR(__xludf.DUMMYFUNCTION("IMPORTRANGE(""https://docs.google.com/spreadsheets/d/1tdoBKaGub7dwA3U6UFTqxio9LNnvDCQjHKmttSEBsFQ/edit?usp=sharing"",""จัดที่ดิน!G22"")"),0)</f>
        <v>0</v>
      </c>
      <c r="AJ22" s="67">
        <f ca="1">IFERROR(__xludf.DUMMYFUNCTION("IMPORTRANGE(""https://docs.google.com/spreadsheets/d/1tdoBKaGub7dwA3U6UFTqxio9LNnvDCQjHKmttSEBsFQ/edit?usp=sharing"",""จัดที่ดิน!H22"")"),0)</f>
        <v>0</v>
      </c>
      <c r="AK22" s="68">
        <f t="shared" ca="1" si="61"/>
        <v>0</v>
      </c>
      <c r="AL22" s="358">
        <f ca="1">IFERROR(__xludf.DUMMYFUNCTION("IMPORTRANGE(""https://docs.google.com/spreadsheets/d/1eHaY18a8A9IcSdp1K8H6x8fbOy06t2VsZHhMHf-1x7Y/edit?usp=sharing"",""แผน!EN22"")"),45)</f>
        <v>45</v>
      </c>
      <c r="AM22" s="151">
        <f ca="1">IFERROR(__xludf.DUMMYFUNCTION("IMPORTRANGE(""https://docs.google.com/spreadsheets/d/1tdoBKaGub7dwA3U6UFTqxio9LNnvDCQjHKmttSEBsFQ/edit?usp=sharing"",""จัดที่ดิน!I22"")"),0)</f>
        <v>0</v>
      </c>
      <c r="AN22" s="67">
        <f ca="1">IFERROR(__xludf.DUMMYFUNCTION("IMPORTRANGE(""https://docs.google.com/spreadsheets/d/1tdoBKaGub7dwA3U6UFTqxio9LNnvDCQjHKmttSEBsFQ/edit?usp=sharing"",""จัดที่ดิน!J22"")"),0)</f>
        <v>0</v>
      </c>
      <c r="AO22" s="68">
        <f t="shared" ca="1" si="63"/>
        <v>0</v>
      </c>
      <c r="AP22" s="359">
        <f ca="1">IFERROR(__xludf.DUMMYFUNCTION("IMPORTRANGE(""https://docs.google.com/spreadsheets/d/1eHaY18a8A9IcSdp1K8H6x8fbOy06t2VsZHhMHf-1x7Y/edit?usp=sharing"",""แผน!EO22"")"),155)</f>
        <v>155</v>
      </c>
      <c r="AQ22" s="151">
        <f ca="1">IFERROR(__xludf.DUMMYFUNCTION("IMPORTRANGE(""https://docs.google.com/spreadsheets/d/1tdoBKaGub7dwA3U6UFTqxio9LNnvDCQjHKmttSEBsFQ/edit?usp=sharing"",""แบ่งแปลง!D17"")"),10)</f>
        <v>10</v>
      </c>
      <c r="AR22" s="67">
        <f ca="1">IFERROR(__xludf.DUMMYFUNCTION("IMPORTRANGE(""https://docs.google.com/spreadsheets/d/1tdoBKaGub7dwA3U6UFTqxio9LNnvDCQjHKmttSEBsFQ/edit?usp=sharing"",""แบ่งแปลง!F17"")"),51.31)</f>
        <v>51.31</v>
      </c>
      <c r="AS22" s="68">
        <f t="shared" ca="1" si="65"/>
        <v>33.103225806451611</v>
      </c>
      <c r="AT22" s="359">
        <f ca="1">IFERROR(__xludf.DUMMYFUNCTION("IMPORTRANGE(""https://docs.google.com/spreadsheets/d/1eHaY18a8A9IcSdp1K8H6x8fbOy06t2VsZHhMHf-1x7Y/edit?usp=sharing"",""แผน!EP22"")"),31)</f>
        <v>31</v>
      </c>
      <c r="AU22" s="151">
        <f ca="1">IFERROR(__xludf.DUMMYFUNCTION("IMPORTRANGE(""https://docs.google.com/spreadsheets/d/1tdoBKaGub7dwA3U6UFTqxio9LNnvDCQjHKmttSEBsFQ/edit?usp=sharing"",""แบ่งแปลง!I17"")"),22)</f>
        <v>22</v>
      </c>
      <c r="AV22" s="67">
        <f ca="1">IFERROR(__xludf.DUMMYFUNCTION("IMPORTRANGE(""https://docs.google.com/spreadsheets/d/1tdoBKaGub7dwA3U6UFTqxio9LNnvDCQjHKmttSEBsFQ/edit?usp=sharing"",""แบ่งแปลง!K17"")"),159.81)</f>
        <v>159.81</v>
      </c>
      <c r="AW22" s="68">
        <f t="shared" ca="1" si="67"/>
        <v>70.967741935483872</v>
      </c>
      <c r="AX22" s="359">
        <f ca="1">IFERROR(__xludf.DUMMYFUNCTION("IMPORTRANGE(""https://docs.google.com/spreadsheets/d/1eHaY18a8A9IcSdp1K8H6x8fbOy06t2VsZHhMHf-1x7Y/edit?usp=sharing"",""แผน!EP22"")"),31)</f>
        <v>31</v>
      </c>
      <c r="AY22" s="151">
        <f ca="1">IFERROR(__xludf.DUMMYFUNCTION("IMPORTRANGE(""https://docs.google.com/spreadsheets/d/1tdoBKaGub7dwA3U6UFTqxio9LNnvDCQjHKmttSEBsFQ/edit?usp=sharing"",""แบ่งแปลง!X17"")"),20)</f>
        <v>20</v>
      </c>
      <c r="AZ22" s="67">
        <f ca="1">IFERROR(__xludf.DUMMYFUNCTION("IMPORTRANGE(""https://docs.google.com/spreadsheets/d/1tdoBKaGub7dwA3U6UFTqxio9LNnvDCQjHKmttSEBsFQ/edit?usp=sharing"",""แบ่งแปลง!Z17"")"),158.93)</f>
        <v>158.93</v>
      </c>
      <c r="BA22" s="68">
        <f t="shared" ca="1" si="69"/>
        <v>64.516129032258064</v>
      </c>
      <c r="BB22" s="360">
        <f ca="1">IFERROR(__xludf.DUMMYFUNCTION("IMPORTRANGE(""https://docs.google.com/spreadsheets/d/1eHaY18a8A9IcSdp1K8H6x8fbOy06t2VsZHhMHf-1x7Y/edit?usp=sharing"",""แผน!ES22"")"),81)</f>
        <v>81</v>
      </c>
      <c r="BC22" s="151">
        <f ca="1">IFERROR(__xludf.DUMMYFUNCTION("IMPORTRANGE(""https://docs.google.com/spreadsheets/d/1tdoBKaGub7dwA3U6UFTqxio9LNnvDCQjHKmttSEBsFQ/edit?usp=sharing"",""เต็มแปลง!I17"")"),125)</f>
        <v>125</v>
      </c>
      <c r="BD22" s="67">
        <f ca="1">IFERROR(__xludf.DUMMYFUNCTION("IMPORTRANGE(""https://docs.google.com/spreadsheets/d/1tdoBKaGub7dwA3U6UFTqxio9LNnvDCQjHKmttSEBsFQ/edit?usp=sharing"",""เต็มแปลง!K17"")"),1777.41)</f>
        <v>1777.41</v>
      </c>
      <c r="BE22" s="68">
        <f t="shared" ca="1" si="71"/>
        <v>154.32098765432099</v>
      </c>
      <c r="BF22" s="360">
        <f ca="1">IFERROR(__xludf.DUMMYFUNCTION("IMPORTRANGE(""https://docs.google.com/spreadsheets/d/1eHaY18a8A9IcSdp1K8H6x8fbOy06t2VsZHhMHf-1x7Y/edit?usp=sharing"",""แผน!ES22"")"),81)</f>
        <v>81</v>
      </c>
      <c r="BG22" s="151">
        <f ca="1">IFERROR(__xludf.DUMMYFUNCTION("IMPORTRANGE(""https://docs.google.com/spreadsheets/d/1tdoBKaGub7dwA3U6UFTqxio9LNnvDCQjHKmttSEBsFQ/edit?usp=sharing"",""เต็มแปลง!S17"")"),125)</f>
        <v>125</v>
      </c>
      <c r="BH22" s="67">
        <f ca="1">IFERROR(__xludf.DUMMYFUNCTION("IMPORTRANGE(""https://docs.google.com/spreadsheets/d/1tdoBKaGub7dwA3U6UFTqxio9LNnvDCQjHKmttSEBsFQ/edit?usp=sharing"",""เต็มแปลง!U17"")"),1777.41)</f>
        <v>1777.41</v>
      </c>
      <c r="BI22" s="68">
        <f t="shared" ca="1" si="73"/>
        <v>154.32098765432099</v>
      </c>
      <c r="BJ22" s="339"/>
    </row>
    <row r="23" spans="1:62" ht="24" customHeight="1" x14ac:dyDescent="0.3">
      <c r="A23" s="147">
        <v>10</v>
      </c>
      <c r="B23" s="148" t="s">
        <v>51</v>
      </c>
      <c r="C23" s="149">
        <f t="shared" ca="1" si="44"/>
        <v>1013090</v>
      </c>
      <c r="D23" s="150">
        <f t="shared" ca="1" si="74"/>
        <v>1013090</v>
      </c>
      <c r="E23" s="151">
        <f ca="1">IFERROR(__xludf.DUMMYFUNCTION("IMPORTRANGE(""https://docs.google.com/spreadsheets/d/1-uDff_7J0KD5mKrp0Vvzr7lt3OU09vwQwhkpOPPYv2Y/edit?usp=sharing"",""งบพรบ!FD23"")"),133000)</f>
        <v>133000</v>
      </c>
      <c r="F23" s="151">
        <f ca="1">IFERROR(__xludf.DUMMYFUNCTION("IMPORTRANGE(""https://docs.google.com/spreadsheets/d/1-uDff_7J0KD5mKrp0Vvzr7lt3OU09vwQwhkpOPPYv2Y/edit?usp=sharing"",""งบพรบ!FE23"")"),880090)</f>
        <v>880090</v>
      </c>
      <c r="G23" s="151">
        <f ca="1">IFERROR(__xludf.DUMMYFUNCTION("IMPORTRANGE(""https://docs.google.com/spreadsheets/d/1-uDff_7J0KD5mKrp0Vvzr7lt3OU09vwQwhkpOPPYv2Y/edit?usp=sharing"",""งบพรบ!FF23"")"),0)</f>
        <v>0</v>
      </c>
      <c r="H23" s="151">
        <f ca="1">IFERROR(__xludf.DUMMYFUNCTION("IMPORTRANGE(""https://docs.google.com/spreadsheets/d/1-uDff_7J0KD5mKrp0Vvzr7lt3OU09vwQwhkpOPPYv2Y/edit?usp=sharing"",""งบพรบ!FH23"")"),1141090)</f>
        <v>1141090</v>
      </c>
      <c r="I23" s="151">
        <f ca="1">IFERROR(__xludf.DUMMYFUNCTION("IMPORTRANGE(""https://docs.google.com/spreadsheets/d/1-uDff_7J0KD5mKrp0Vvzr7lt3OU09vwQwhkpOPPYv2Y/edit?usp=sharing"",""งบพรบ!FI23"")"),0)</f>
        <v>0</v>
      </c>
      <c r="J23" s="151">
        <f t="shared" ca="1" si="46"/>
        <v>880694.5</v>
      </c>
      <c r="K23" s="154">
        <f t="shared" ca="1" si="47"/>
        <v>86.931516449673765</v>
      </c>
      <c r="L23" s="151">
        <f ca="1">IFERROR(__xludf.DUMMYFUNCTION("IMPORTRANGE(""https://docs.google.com/spreadsheets/d/1-uDff_7J0KD5mKrp0Vvzr7lt3OU09vwQwhkpOPPYv2Y/edit?usp=sharing"",""งบพรบ!FJ23"")"),880694.5)</f>
        <v>880694.5</v>
      </c>
      <c r="M23" s="68">
        <f t="shared" ca="1" si="48"/>
        <v>86.931516449673765</v>
      </c>
      <c r="N23" s="68">
        <f t="shared" ca="1" si="49"/>
        <v>77.180108492756929</v>
      </c>
      <c r="O23" s="67">
        <f ca="1">IFERROR(__xludf.DUMMYFUNCTION("IMPORTRANGE(""https://docs.google.com/spreadsheets/d/1-uDff_7J0KD5mKrp0Vvzr7lt3OU09vwQwhkpOPPYv2Y/edit?usp=sharing"",""งบพรบ!FK23"")"),0)</f>
        <v>0</v>
      </c>
      <c r="P23" s="67">
        <f t="shared" ca="1" si="50"/>
        <v>0</v>
      </c>
      <c r="Q23" s="68">
        <f t="shared" ca="1" si="51"/>
        <v>0</v>
      </c>
      <c r="R23" s="149">
        <f ca="1">IFERROR(__xludf.DUMMYFUNCTION("IMPORTRANGE(""https://docs.google.com/spreadsheets/d/1xlcVZWUNn6SuWm0c307h32SiGkd9BaeQWlAktfD3KO8/edit?usp=sharing"",""เพชรบูรณ์!I368"")"),3850)</f>
        <v>3850</v>
      </c>
      <c r="S23" s="152">
        <f ca="1">IFERROR(__xludf.DUMMYFUNCTION("IMPORTRANGE(""https://docs.google.com/spreadsheets/d/1xlcVZWUNn6SuWm0c307h32SiGkd9BaeQWlAktfD3KO8/edit?usp=sharing"",""เพชรบูรณ์!J367"")"),384)</f>
        <v>384</v>
      </c>
      <c r="T23" s="357">
        <f ca="1">IFERROR(__xludf.DUMMYFUNCTION("IMPORTRANGE(""https://docs.google.com/spreadsheets/d/1xlcVZWUNn6SuWm0c307h32SiGkd9BaeQWlAktfD3KO8/edit?usp=sharing"",""เพชรบูรณ์!J368"")"),5081.05999999999)</f>
        <v>5081.0599999999904</v>
      </c>
      <c r="U23" s="216">
        <f t="shared" ca="1" si="53"/>
        <v>131.97558441558417</v>
      </c>
      <c r="V23" s="149">
        <f ca="1">IFERROR(__xludf.DUMMYFUNCTION("IMPORTRANGE(""https://docs.google.com/spreadsheets/d/1xlcVZWUNn6SuWm0c307h32SiGkd9BaeQWlAktfD3KO8/edit?usp=sharing"",""เพชรบูรณ์!I369"")"),1390)</f>
        <v>1390</v>
      </c>
      <c r="W23" s="152">
        <f ca="1">IFERROR(__xludf.DUMMYFUNCTION("IMPORTRANGE(""https://docs.google.com/spreadsheets/d/1xlcVZWUNn6SuWm0c307h32SiGkd9BaeQWlAktfD3KO8/edit?usp=sharing"",""เพชรบูรณ์!J369"")"),734)</f>
        <v>734</v>
      </c>
      <c r="X23" s="357">
        <f ca="1">IFERROR(__xludf.DUMMYFUNCTION("IMPORTRANGE(""https://docs.google.com/spreadsheets/d/1xlcVZWUNn6SuWm0c307h32SiGkd9BaeQWlAktfD3KO8/edit?usp=sharing"",""เพชรบูรณ์!J370"")"),11834.71)</f>
        <v>11834.71</v>
      </c>
      <c r="Y23" s="216">
        <f t="shared" ca="1" si="55"/>
        <v>52.805755395683455</v>
      </c>
      <c r="Z23" s="149">
        <f ca="1">IFERROR(__xludf.DUMMYFUNCTION("IMPORTRANGE(""https://docs.google.com/spreadsheets/d/1xlcVZWUNn6SuWm0c307h32SiGkd9BaeQWlAktfD3KO8/edit?usp=sharing"",""เพชรบูรณ์!I371"")"),1390)</f>
        <v>1390</v>
      </c>
      <c r="AA23" s="152">
        <f ca="1">IFERROR(__xludf.DUMMYFUNCTION("IMPORTRANGE(""https://docs.google.com/spreadsheets/d/1xlcVZWUNn6SuWm0c307h32SiGkd9BaeQWlAktfD3KO8/edit?usp=sharing"",""เพชรบูรณ์!J371"")"),531)</f>
        <v>531</v>
      </c>
      <c r="AB23" s="357">
        <f ca="1">IFERROR(__xludf.DUMMYFUNCTION("IMPORTRANGE(""https://docs.google.com/spreadsheets/d/1xlcVZWUNn6SuWm0c307h32SiGkd9BaeQWlAktfD3KO8/edit?usp=sharing"",""เพชรบูรณ์!J372"")"),9455.3)</f>
        <v>9455.2999999999993</v>
      </c>
      <c r="AC23" s="216">
        <f t="shared" ca="1" si="57"/>
        <v>38.201438848920866</v>
      </c>
      <c r="AD23" s="358">
        <f ca="1">IFERROR(__xludf.DUMMYFUNCTION("IMPORTRANGE(""https://docs.google.com/spreadsheets/d/1eHaY18a8A9IcSdp1K8H6x8fbOy06t2VsZHhMHf-1x7Y/edit?usp=sharing"",""แผน!EM23"")"),1500)</f>
        <v>1500</v>
      </c>
      <c r="AE23" s="151">
        <f ca="1">IFERROR(__xludf.DUMMYFUNCTION("IMPORTRANGE(""https://docs.google.com/spreadsheets/d/1tdoBKaGub7dwA3U6UFTqxio9LNnvDCQjHKmttSEBsFQ/edit?usp=sharing"",""จัดที่ดิน!E23"")"),197)</f>
        <v>197</v>
      </c>
      <c r="AF23" s="67">
        <f ca="1">IFERROR(__xludf.DUMMYFUNCTION("IMPORTRANGE(""https://docs.google.com/spreadsheets/d/1tdoBKaGub7dwA3U6UFTqxio9LNnvDCQjHKmttSEBsFQ/edit?usp=sharing"",""จัดที่ดิน!F23"")"),2790.68)</f>
        <v>2790.68</v>
      </c>
      <c r="AG23" s="68">
        <f t="shared" ca="1" si="59"/>
        <v>186.04533333333333</v>
      </c>
      <c r="AH23" s="358">
        <f ca="1">IFERROR(__xludf.DUMMYFUNCTION("IMPORTRANGE(""https://docs.google.com/spreadsheets/d/1eHaY18a8A9IcSdp1K8H6x8fbOy06t2VsZHhMHf-1x7Y/edit?usp=sharing"",""แผน!EN23"")"),150)</f>
        <v>150</v>
      </c>
      <c r="AI23" s="151">
        <f ca="1">IFERROR(__xludf.DUMMYFUNCTION("IMPORTRANGE(""https://docs.google.com/spreadsheets/d/1tdoBKaGub7dwA3U6UFTqxio9LNnvDCQjHKmttSEBsFQ/edit?usp=sharing"",""จัดที่ดิน!G23"")"),110)</f>
        <v>110</v>
      </c>
      <c r="AJ23" s="67">
        <f ca="1">IFERROR(__xludf.DUMMYFUNCTION("IMPORTRANGE(""https://docs.google.com/spreadsheets/d/1tdoBKaGub7dwA3U6UFTqxio9LNnvDCQjHKmttSEBsFQ/edit?usp=sharing"",""จัดที่ดิน!H23"")"),1484.77)</f>
        <v>1484.77</v>
      </c>
      <c r="AK23" s="68">
        <f t="shared" ca="1" si="61"/>
        <v>73.333333333333329</v>
      </c>
      <c r="AL23" s="358">
        <f ca="1">IFERROR(__xludf.DUMMYFUNCTION("IMPORTRANGE(""https://docs.google.com/spreadsheets/d/1eHaY18a8A9IcSdp1K8H6x8fbOy06t2VsZHhMHf-1x7Y/edit?usp=sharing"",""แผน!EN23"")"),150)</f>
        <v>150</v>
      </c>
      <c r="AM23" s="151">
        <f ca="1">IFERROR(__xludf.DUMMYFUNCTION("IMPORTRANGE(""https://docs.google.com/spreadsheets/d/1tdoBKaGub7dwA3U6UFTqxio9LNnvDCQjHKmttSEBsFQ/edit?usp=sharing"",""จัดที่ดิน!I23"")"),62)</f>
        <v>62</v>
      </c>
      <c r="AN23" s="67">
        <f ca="1">IFERROR(__xludf.DUMMYFUNCTION("IMPORTRANGE(""https://docs.google.com/spreadsheets/d/1tdoBKaGub7dwA3U6UFTqxio9LNnvDCQjHKmttSEBsFQ/edit?usp=sharing"",""จัดที่ดิน!J23"")"),903.49)</f>
        <v>903.49</v>
      </c>
      <c r="AO23" s="68">
        <f t="shared" ca="1" si="63"/>
        <v>41.333333333333336</v>
      </c>
      <c r="AP23" s="359">
        <f ca="1">IFERROR(__xludf.DUMMYFUNCTION("IMPORTRANGE(""https://docs.google.com/spreadsheets/d/1eHaY18a8A9IcSdp1K8H6x8fbOy06t2VsZHhMHf-1x7Y/edit?usp=sharing"",""แผน!EO23"")"),2350)</f>
        <v>2350</v>
      </c>
      <c r="AQ23" s="151">
        <f ca="1">IFERROR(__xludf.DUMMYFUNCTION("IMPORTRANGE(""https://docs.google.com/spreadsheets/d/1tdoBKaGub7dwA3U6UFTqxio9LNnvDCQjHKmttSEBsFQ/edit?usp=sharing"",""แบ่งแปลง!D18"")"),184)</f>
        <v>184</v>
      </c>
      <c r="AR23" s="67">
        <f ca="1">IFERROR(__xludf.DUMMYFUNCTION("IMPORTRANGE(""https://docs.google.com/spreadsheets/d/1tdoBKaGub7dwA3U6UFTqxio9LNnvDCQjHKmttSEBsFQ/edit?usp=sharing"",""แบ่งแปลง!F18"")"),2231.99)</f>
        <v>2231.9899999999998</v>
      </c>
      <c r="AS23" s="68">
        <f t="shared" ca="1" si="65"/>
        <v>94.97829787234042</v>
      </c>
      <c r="AT23" s="359">
        <f ca="1">IFERROR(__xludf.DUMMYFUNCTION("IMPORTRANGE(""https://docs.google.com/spreadsheets/d/1eHaY18a8A9IcSdp1K8H6x8fbOy06t2VsZHhMHf-1x7Y/edit?usp=sharing"",""แผน!EP23"")"),500)</f>
        <v>500</v>
      </c>
      <c r="AU23" s="151">
        <f ca="1">IFERROR(__xludf.DUMMYFUNCTION("IMPORTRANGE(""https://docs.google.com/spreadsheets/d/1tdoBKaGub7dwA3U6UFTqxio9LNnvDCQjHKmttSEBsFQ/edit?usp=sharing"",""แบ่งแปลง!I18"")"),179)</f>
        <v>179</v>
      </c>
      <c r="AV23" s="67">
        <f ca="1">IFERROR(__xludf.DUMMYFUNCTION("IMPORTRANGE(""https://docs.google.com/spreadsheets/d/1tdoBKaGub7dwA3U6UFTqxio9LNnvDCQjHKmttSEBsFQ/edit?usp=sharing"",""แบ่งแปลง!K18"")"),2157.91)</f>
        <v>2157.91</v>
      </c>
      <c r="AW23" s="68">
        <f t="shared" ca="1" si="67"/>
        <v>35.799999999999997</v>
      </c>
      <c r="AX23" s="359">
        <f ca="1">IFERROR(__xludf.DUMMYFUNCTION("IMPORTRANGE(""https://docs.google.com/spreadsheets/d/1eHaY18a8A9IcSdp1K8H6x8fbOy06t2VsZHhMHf-1x7Y/edit?usp=sharing"",""แผน!EP23"")"),500)</f>
        <v>500</v>
      </c>
      <c r="AY23" s="151">
        <f ca="1">IFERROR(__xludf.DUMMYFUNCTION("IMPORTRANGE(""https://docs.google.com/spreadsheets/d/1tdoBKaGub7dwA3U6UFTqxio9LNnvDCQjHKmttSEBsFQ/edit?usp=sharing"",""แบ่งแปลง!X18"")"),23)</f>
        <v>23</v>
      </c>
      <c r="AZ23" s="67">
        <f ca="1">IFERROR(__xludf.DUMMYFUNCTION("IMPORTRANGE(""https://docs.google.com/spreadsheets/d/1tdoBKaGub7dwA3U6UFTqxio9LNnvDCQjHKmttSEBsFQ/edit?usp=sharing"",""แบ่งแปลง!Z18"")"),361.82)</f>
        <v>361.82</v>
      </c>
      <c r="BA23" s="68">
        <f t="shared" ca="1" si="69"/>
        <v>4.5999999999999996</v>
      </c>
      <c r="BB23" s="360">
        <f ca="1">IFERROR(__xludf.DUMMYFUNCTION("IMPORTRANGE(""https://docs.google.com/spreadsheets/d/1eHaY18a8A9IcSdp1K8H6x8fbOy06t2VsZHhMHf-1x7Y/edit?usp=sharing"",""แผน!ES23"")"),740)</f>
        <v>740</v>
      </c>
      <c r="BC23" s="151">
        <f ca="1">IFERROR(__xludf.DUMMYFUNCTION("IMPORTRANGE(""https://docs.google.com/spreadsheets/d/1tdoBKaGub7dwA3U6UFTqxio9LNnvDCQjHKmttSEBsFQ/edit?usp=sharing"",""เต็มแปลง!I18"")"),450)</f>
        <v>450</v>
      </c>
      <c r="BD23" s="67">
        <f ca="1">IFERROR(__xludf.DUMMYFUNCTION("IMPORTRANGE(""https://docs.google.com/spreadsheets/d/1tdoBKaGub7dwA3U6UFTqxio9LNnvDCQjHKmttSEBsFQ/edit?usp=sharing"",""เต็มแปลง!K18"")"),8192.03)</f>
        <v>8192.0300000000007</v>
      </c>
      <c r="BE23" s="68">
        <f t="shared" ca="1" si="71"/>
        <v>60.810810810810814</v>
      </c>
      <c r="BF23" s="360">
        <f ca="1">IFERROR(__xludf.DUMMYFUNCTION("IMPORTRANGE(""https://docs.google.com/spreadsheets/d/1eHaY18a8A9IcSdp1K8H6x8fbOy06t2VsZHhMHf-1x7Y/edit?usp=sharing"",""แผน!ES23"")"),740)</f>
        <v>740</v>
      </c>
      <c r="BG23" s="151">
        <f ca="1">IFERROR(__xludf.DUMMYFUNCTION("IMPORTRANGE(""https://docs.google.com/spreadsheets/d/1tdoBKaGub7dwA3U6UFTqxio9LNnvDCQjHKmttSEBsFQ/edit?usp=sharing"",""เต็มแปลง!S18"")"),449)</f>
        <v>449</v>
      </c>
      <c r="BH23" s="67">
        <f ca="1">IFERROR(__xludf.DUMMYFUNCTION("IMPORTRANGE(""https://docs.google.com/spreadsheets/d/1tdoBKaGub7dwA3U6UFTqxio9LNnvDCQjHKmttSEBsFQ/edit?usp=sharing"",""เต็มแปลง!U18"")"),8189.99)</f>
        <v>8189.99</v>
      </c>
      <c r="BI23" s="68">
        <f t="shared" ca="1" si="73"/>
        <v>60.675675675675677</v>
      </c>
      <c r="BJ23" s="339"/>
    </row>
    <row r="24" spans="1:62" ht="24" customHeight="1" x14ac:dyDescent="0.3">
      <c r="A24" s="147">
        <v>11</v>
      </c>
      <c r="B24" s="148" t="s">
        <v>52</v>
      </c>
      <c r="C24" s="149">
        <f t="shared" ca="1" si="44"/>
        <v>684750</v>
      </c>
      <c r="D24" s="150">
        <f t="shared" ca="1" si="74"/>
        <v>684750</v>
      </c>
      <c r="E24" s="151">
        <f ca="1">IFERROR(__xludf.DUMMYFUNCTION("IMPORTRANGE(""https://docs.google.com/spreadsheets/d/1-uDff_7J0KD5mKrp0Vvzr7lt3OU09vwQwhkpOPPYv2Y/edit?usp=sharing"",""งบพรบ!FD24"")"),341300)</f>
        <v>341300</v>
      </c>
      <c r="F24" s="151">
        <f ca="1">IFERROR(__xludf.DUMMYFUNCTION("IMPORTRANGE(""https://docs.google.com/spreadsheets/d/1-uDff_7J0KD5mKrp0Vvzr7lt3OU09vwQwhkpOPPYv2Y/edit?usp=sharing"",""งบพรบ!FE24"")"),343450)</f>
        <v>343450</v>
      </c>
      <c r="G24" s="151">
        <f ca="1">IFERROR(__xludf.DUMMYFUNCTION("IMPORTRANGE(""https://docs.google.com/spreadsheets/d/1-uDff_7J0KD5mKrp0Vvzr7lt3OU09vwQwhkpOPPYv2Y/edit?usp=sharing"",""งบพรบ!FF24"")"),0)</f>
        <v>0</v>
      </c>
      <c r="H24" s="151">
        <f ca="1">IFERROR(__xludf.DUMMYFUNCTION("IMPORTRANGE(""https://docs.google.com/spreadsheets/d/1-uDff_7J0KD5mKrp0Vvzr7lt3OU09vwQwhkpOPPYv2Y/edit?usp=sharing"",""งบพรบ!FH24"")"),781680)</f>
        <v>781680</v>
      </c>
      <c r="I24" s="151">
        <f ca="1">IFERROR(__xludf.DUMMYFUNCTION("IMPORTRANGE(""https://docs.google.com/spreadsheets/d/1-uDff_7J0KD5mKrp0Vvzr7lt3OU09vwQwhkpOPPYv2Y/edit?usp=sharing"",""งบพรบ!FI24"")"),0)</f>
        <v>0</v>
      </c>
      <c r="J24" s="151">
        <f t="shared" ca="1" si="46"/>
        <v>593977.77</v>
      </c>
      <c r="K24" s="154">
        <f t="shared" ca="1" si="47"/>
        <v>86.743741511500545</v>
      </c>
      <c r="L24" s="151">
        <f ca="1">IFERROR(__xludf.DUMMYFUNCTION("IMPORTRANGE(""https://docs.google.com/spreadsheets/d/1-uDff_7J0KD5mKrp0Vvzr7lt3OU09vwQwhkpOPPYv2Y/edit?usp=sharing"",""งบพรบ!FJ24"")"),593977.77)</f>
        <v>593977.77</v>
      </c>
      <c r="M24" s="68">
        <f t="shared" ca="1" si="48"/>
        <v>86.743741511500545</v>
      </c>
      <c r="N24" s="68">
        <f t="shared" ca="1" si="49"/>
        <v>75.987331132944433</v>
      </c>
      <c r="O24" s="67">
        <f ca="1">IFERROR(__xludf.DUMMYFUNCTION("IMPORTRANGE(""https://docs.google.com/spreadsheets/d/1-uDff_7J0KD5mKrp0Vvzr7lt3OU09vwQwhkpOPPYv2Y/edit?usp=sharing"",""งบพรบ!FK24"")"),0)</f>
        <v>0</v>
      </c>
      <c r="P24" s="67">
        <f t="shared" ca="1" si="50"/>
        <v>0</v>
      </c>
      <c r="Q24" s="68">
        <f t="shared" ca="1" si="51"/>
        <v>0</v>
      </c>
      <c r="R24" s="149">
        <f ca="1">IFERROR(__xludf.DUMMYFUNCTION("IMPORTRANGE(""https://docs.google.com/spreadsheets/d/1lOVebEIsI9qjGXl6EX66luk7wiuP2tBaryw-wKvv4e0/edit?usp=sharing"",""แพร่!I368"")"),630)</f>
        <v>630</v>
      </c>
      <c r="S24" s="152">
        <f ca="1">IFERROR(__xludf.DUMMYFUNCTION("IMPORTRANGE(""https://docs.google.com/spreadsheets/d/1lOVebEIsI9qjGXl6EX66luk7wiuP2tBaryw-wKvv4e0/edit?usp=sharing"",""แพร่!J367"")"),115)</f>
        <v>115</v>
      </c>
      <c r="T24" s="357">
        <f ca="1">IFERROR(__xludf.DUMMYFUNCTION("IMPORTRANGE(""https://docs.google.com/spreadsheets/d/1lOVebEIsI9qjGXl6EX66luk7wiuP2tBaryw-wKvv4e0/edit?usp=sharing"",""แพร่!J368"")"),651.88)</f>
        <v>651.88</v>
      </c>
      <c r="U24" s="216">
        <f t="shared" ca="1" si="53"/>
        <v>103.47301587301587</v>
      </c>
      <c r="V24" s="149">
        <f ca="1">IFERROR(__xludf.DUMMYFUNCTION("IMPORTRANGE(""https://docs.google.com/spreadsheets/d/1lOVebEIsI9qjGXl6EX66luk7wiuP2tBaryw-wKvv4e0/edit?usp=sharing"",""แพร่!I369"")"),581)</f>
        <v>581</v>
      </c>
      <c r="W24" s="152">
        <f ca="1">IFERROR(__xludf.DUMMYFUNCTION("IMPORTRANGE(""https://docs.google.com/spreadsheets/d/1lOVebEIsI9qjGXl6EX66luk7wiuP2tBaryw-wKvv4e0/edit?usp=sharing"",""แพร่!J369"")"),622)</f>
        <v>622</v>
      </c>
      <c r="X24" s="357">
        <f ca="1">IFERROR(__xludf.DUMMYFUNCTION("IMPORTRANGE(""https://docs.google.com/spreadsheets/d/1lOVebEIsI9qjGXl6EX66luk7wiuP2tBaryw-wKvv4e0/edit?usp=sharing"",""แพร่!J370"")"),5061.13)</f>
        <v>5061.13</v>
      </c>
      <c r="Y24" s="216">
        <f t="shared" ca="1" si="55"/>
        <v>107.05679862306368</v>
      </c>
      <c r="Z24" s="149">
        <f ca="1">IFERROR(__xludf.DUMMYFUNCTION("IMPORTRANGE(""https://docs.google.com/spreadsheets/d/1lOVebEIsI9qjGXl6EX66luk7wiuP2tBaryw-wKvv4e0/edit?usp=sharing"",""แพร่!I371"")"),581)</f>
        <v>581</v>
      </c>
      <c r="AA24" s="152">
        <f ca="1">IFERROR(__xludf.DUMMYFUNCTION("IMPORTRANGE(""https://docs.google.com/spreadsheets/d/1lOVebEIsI9qjGXl6EX66luk7wiuP2tBaryw-wKvv4e0/edit?usp=sharing"",""แพร่!J371"")"),509)</f>
        <v>509</v>
      </c>
      <c r="AB24" s="357">
        <f ca="1">IFERROR(__xludf.DUMMYFUNCTION("IMPORTRANGE(""https://docs.google.com/spreadsheets/d/1lOVebEIsI9qjGXl6EX66luk7wiuP2tBaryw-wKvv4e0/edit?usp=sharing"",""แพร่!J372"")"),4310.25)</f>
        <v>4310.25</v>
      </c>
      <c r="AC24" s="216">
        <f t="shared" ca="1" si="57"/>
        <v>87.607573149741825</v>
      </c>
      <c r="AD24" s="358">
        <f ca="1">IFERROR(__xludf.DUMMYFUNCTION("IMPORTRANGE(""https://docs.google.com/spreadsheets/d/1eHaY18a8A9IcSdp1K8H6x8fbOy06t2VsZHhMHf-1x7Y/edit?usp=sharing"",""แผน!EM24"")"),450)</f>
        <v>450</v>
      </c>
      <c r="AE24" s="151">
        <f ca="1">IFERROR(__xludf.DUMMYFUNCTION("IMPORTRANGE(""https://docs.google.com/spreadsheets/d/1tdoBKaGub7dwA3U6UFTqxio9LNnvDCQjHKmttSEBsFQ/edit?usp=sharing"",""จัดที่ดิน!E24"")"),108)</f>
        <v>108</v>
      </c>
      <c r="AF24" s="67">
        <f ca="1">IFERROR(__xludf.DUMMYFUNCTION("IMPORTRANGE(""https://docs.google.com/spreadsheets/d/1tdoBKaGub7dwA3U6UFTqxio9LNnvDCQjHKmttSEBsFQ/edit?usp=sharing"",""จัดที่ดิน!F24"")"),613.36)</f>
        <v>613.36</v>
      </c>
      <c r="AG24" s="68">
        <f t="shared" ca="1" si="59"/>
        <v>136.30222222222221</v>
      </c>
      <c r="AH24" s="358">
        <f ca="1">IFERROR(__xludf.DUMMYFUNCTION("IMPORTRANGE(""https://docs.google.com/spreadsheets/d/1eHaY18a8A9IcSdp1K8H6x8fbOy06t2VsZHhMHf-1x7Y/edit?usp=sharing"",""แผน!EN24"")"),45)</f>
        <v>45</v>
      </c>
      <c r="AI24" s="151">
        <f ca="1">IFERROR(__xludf.DUMMYFUNCTION("IMPORTRANGE(""https://docs.google.com/spreadsheets/d/1tdoBKaGub7dwA3U6UFTqxio9LNnvDCQjHKmttSEBsFQ/edit?usp=sharing"",""จัดที่ดิน!G24"")"),106)</f>
        <v>106</v>
      </c>
      <c r="AJ24" s="67">
        <f ca="1">IFERROR(__xludf.DUMMYFUNCTION("IMPORTRANGE(""https://docs.google.com/spreadsheets/d/1tdoBKaGub7dwA3U6UFTqxio9LNnvDCQjHKmttSEBsFQ/edit?usp=sharing"",""จัดที่ดิน!H24"")"),713.97)</f>
        <v>713.97</v>
      </c>
      <c r="AK24" s="68">
        <f t="shared" ca="1" si="61"/>
        <v>235.55555555555554</v>
      </c>
      <c r="AL24" s="358">
        <f ca="1">IFERROR(__xludf.DUMMYFUNCTION("IMPORTRANGE(""https://docs.google.com/spreadsheets/d/1eHaY18a8A9IcSdp1K8H6x8fbOy06t2VsZHhMHf-1x7Y/edit?usp=sharing"",""แผน!EN24"")"),45)</f>
        <v>45</v>
      </c>
      <c r="AM24" s="151">
        <f ca="1">IFERROR(__xludf.DUMMYFUNCTION("IMPORTRANGE(""https://docs.google.com/spreadsheets/d/1tdoBKaGub7dwA3U6UFTqxio9LNnvDCQjHKmttSEBsFQ/edit?usp=sharing"",""จัดที่ดิน!I24"")"),0)</f>
        <v>0</v>
      </c>
      <c r="AN24" s="67">
        <f ca="1">IFERROR(__xludf.DUMMYFUNCTION("IMPORTRANGE(""https://docs.google.com/spreadsheets/d/1tdoBKaGub7dwA3U6UFTqxio9LNnvDCQjHKmttSEBsFQ/edit?usp=sharing"",""จัดที่ดิน!J24"")"),0)</f>
        <v>0</v>
      </c>
      <c r="AO24" s="68">
        <f t="shared" ca="1" si="63"/>
        <v>0</v>
      </c>
      <c r="AP24" s="359">
        <f ca="1">IFERROR(__xludf.DUMMYFUNCTION("IMPORTRANGE(""https://docs.google.com/spreadsheets/d/1eHaY18a8A9IcSdp1K8H6x8fbOy06t2VsZHhMHf-1x7Y/edit?usp=sharing"",""แผน!EO24"")"),180)</f>
        <v>180</v>
      </c>
      <c r="AQ24" s="151">
        <f ca="1">IFERROR(__xludf.DUMMYFUNCTION("IMPORTRANGE(""https://docs.google.com/spreadsheets/d/1tdoBKaGub7dwA3U6UFTqxio9LNnvDCQjHKmttSEBsFQ/edit?usp=sharing"",""แบ่งแปลง!D19"")"),7)</f>
        <v>7</v>
      </c>
      <c r="AR24" s="67">
        <f ca="1">IFERROR(__xludf.DUMMYFUNCTION("IMPORTRANGE(""https://docs.google.com/spreadsheets/d/1tdoBKaGub7dwA3U6UFTqxio9LNnvDCQjHKmttSEBsFQ/edit?usp=sharing"",""แบ่งแปลง!F19"")"),38.52)</f>
        <v>38.520000000000003</v>
      </c>
      <c r="AS24" s="68">
        <f t="shared" ca="1" si="65"/>
        <v>21.400000000000002</v>
      </c>
      <c r="AT24" s="359">
        <f ca="1">IFERROR(__xludf.DUMMYFUNCTION("IMPORTRANGE(""https://docs.google.com/spreadsheets/d/1eHaY18a8A9IcSdp1K8H6x8fbOy06t2VsZHhMHf-1x7Y/edit?usp=sharing"",""แผน!EP24"")"),36)</f>
        <v>36</v>
      </c>
      <c r="AU24" s="151">
        <f ca="1">IFERROR(__xludf.DUMMYFUNCTION("IMPORTRANGE(""https://docs.google.com/spreadsheets/d/1tdoBKaGub7dwA3U6UFTqxio9LNnvDCQjHKmttSEBsFQ/edit?usp=sharing"",""แบ่งแปลง!I19"")"),5)</f>
        <v>5</v>
      </c>
      <c r="AV24" s="67">
        <f ca="1">IFERROR(__xludf.DUMMYFUNCTION("IMPORTRANGE(""https://docs.google.com/spreadsheets/d/1tdoBKaGub7dwA3U6UFTqxio9LNnvDCQjHKmttSEBsFQ/edit?usp=sharing"",""แบ่งแปลง!K19"")"),32.11)</f>
        <v>32.11</v>
      </c>
      <c r="AW24" s="68">
        <f t="shared" ca="1" si="67"/>
        <v>13.888888888888889</v>
      </c>
      <c r="AX24" s="359">
        <f ca="1">IFERROR(__xludf.DUMMYFUNCTION("IMPORTRANGE(""https://docs.google.com/spreadsheets/d/1eHaY18a8A9IcSdp1K8H6x8fbOy06t2VsZHhMHf-1x7Y/edit?usp=sharing"",""แผน!EP24"")"),36)</f>
        <v>36</v>
      </c>
      <c r="AY24" s="151">
        <f ca="1">IFERROR(__xludf.DUMMYFUNCTION("IMPORTRANGE(""https://docs.google.com/spreadsheets/d/1tdoBKaGub7dwA3U6UFTqxio9LNnvDCQjHKmttSEBsFQ/edit?usp=sharing"",""แบ่งแปลง!X19"")"),0)</f>
        <v>0</v>
      </c>
      <c r="AZ24" s="67">
        <f ca="1">IFERROR(__xludf.DUMMYFUNCTION("IMPORTRANGE(""https://docs.google.com/spreadsheets/d/1tdoBKaGub7dwA3U6UFTqxio9LNnvDCQjHKmttSEBsFQ/edit?usp=sharing"",""แบ่งแปลง!Z19"")"),0)</f>
        <v>0</v>
      </c>
      <c r="BA24" s="68">
        <f t="shared" ca="1" si="69"/>
        <v>0</v>
      </c>
      <c r="BB24" s="360">
        <f ca="1">IFERROR(__xludf.DUMMYFUNCTION("IMPORTRANGE(""https://docs.google.com/spreadsheets/d/1eHaY18a8A9IcSdp1K8H6x8fbOy06t2VsZHhMHf-1x7Y/edit?usp=sharing"",""แผน!ES24"")"),500)</f>
        <v>500</v>
      </c>
      <c r="BC24" s="151">
        <f ca="1">IFERROR(__xludf.DUMMYFUNCTION("IMPORTRANGE(""https://docs.google.com/spreadsheets/d/1tdoBKaGub7dwA3U6UFTqxio9LNnvDCQjHKmttSEBsFQ/edit?usp=sharing"",""เต็มแปลง!I19"")"),511)</f>
        <v>511</v>
      </c>
      <c r="BD24" s="67">
        <f ca="1">IFERROR(__xludf.DUMMYFUNCTION("IMPORTRANGE(""https://docs.google.com/spreadsheets/d/1tdoBKaGub7dwA3U6UFTqxio9LNnvDCQjHKmttSEBsFQ/edit?usp=sharing"",""เต็มแปลง!K19"")"),4315.05)</f>
        <v>4315.05</v>
      </c>
      <c r="BE24" s="68">
        <f t="shared" ca="1" si="71"/>
        <v>102.2</v>
      </c>
      <c r="BF24" s="360">
        <f ca="1">IFERROR(__xludf.DUMMYFUNCTION("IMPORTRANGE(""https://docs.google.com/spreadsheets/d/1eHaY18a8A9IcSdp1K8H6x8fbOy06t2VsZHhMHf-1x7Y/edit?usp=sharing"",""แผน!ES24"")"),500)</f>
        <v>500</v>
      </c>
      <c r="BG24" s="151">
        <f ca="1">IFERROR(__xludf.DUMMYFUNCTION("IMPORTRANGE(""https://docs.google.com/spreadsheets/d/1tdoBKaGub7dwA3U6UFTqxio9LNnvDCQjHKmttSEBsFQ/edit?usp=sharing"",""เต็มแปลง!S19"")"),509)</f>
        <v>509</v>
      </c>
      <c r="BH24" s="67">
        <f ca="1">IFERROR(__xludf.DUMMYFUNCTION("IMPORTRANGE(""https://docs.google.com/spreadsheets/d/1tdoBKaGub7dwA3U6UFTqxio9LNnvDCQjHKmttSEBsFQ/edit?usp=sharing"",""เต็มแปลง!U19"")"),4310.25)</f>
        <v>4310.25</v>
      </c>
      <c r="BI24" s="68">
        <f t="shared" ca="1" si="73"/>
        <v>101.8</v>
      </c>
      <c r="BJ24" s="339"/>
    </row>
    <row r="25" spans="1:62" ht="24" customHeight="1" x14ac:dyDescent="0.3">
      <c r="A25" s="147">
        <v>12</v>
      </c>
      <c r="B25" s="148" t="s">
        <v>53</v>
      </c>
      <c r="C25" s="149">
        <f t="shared" ca="1" si="44"/>
        <v>745970</v>
      </c>
      <c r="D25" s="150">
        <f t="shared" ca="1" si="74"/>
        <v>745970</v>
      </c>
      <c r="E25" s="151">
        <f ca="1">IFERROR(__xludf.DUMMYFUNCTION("IMPORTRANGE(""https://docs.google.com/spreadsheets/d/1-uDff_7J0KD5mKrp0Vvzr7lt3OU09vwQwhkpOPPYv2Y/edit?usp=sharing"",""งบพรบ!FD25"")"),526100)</f>
        <v>526100</v>
      </c>
      <c r="F25" s="151">
        <f ca="1">IFERROR(__xludf.DUMMYFUNCTION("IMPORTRANGE(""https://docs.google.com/spreadsheets/d/1-uDff_7J0KD5mKrp0Vvzr7lt3OU09vwQwhkpOPPYv2Y/edit?usp=sharing"",""งบพรบ!FE25"")"),219870)</f>
        <v>219870</v>
      </c>
      <c r="G25" s="151">
        <f ca="1">IFERROR(__xludf.DUMMYFUNCTION("IMPORTRANGE(""https://docs.google.com/spreadsheets/d/1-uDff_7J0KD5mKrp0Vvzr7lt3OU09vwQwhkpOPPYv2Y/edit?usp=sharing"",""งบพรบ!FF25"")"),0)</f>
        <v>0</v>
      </c>
      <c r="H25" s="151">
        <f ca="1">IFERROR(__xludf.DUMMYFUNCTION("IMPORTRANGE(""https://docs.google.com/spreadsheets/d/1-uDff_7J0KD5mKrp0Vvzr7lt3OU09vwQwhkpOPPYv2Y/edit?usp=sharing"",""งบพรบ!FH25"")"),833970)</f>
        <v>833970</v>
      </c>
      <c r="I25" s="151">
        <f ca="1">IFERROR(__xludf.DUMMYFUNCTION("IMPORTRANGE(""https://docs.google.com/spreadsheets/d/1-uDff_7J0KD5mKrp0Vvzr7lt3OU09vwQwhkpOPPYv2Y/edit?usp=sharing"",""งบพรบ!FI25"")"),0)</f>
        <v>0</v>
      </c>
      <c r="J25" s="151">
        <f t="shared" ca="1" si="46"/>
        <v>549130</v>
      </c>
      <c r="K25" s="154">
        <f t="shared" ca="1" si="47"/>
        <v>73.612879874525788</v>
      </c>
      <c r="L25" s="151">
        <f ca="1">IFERROR(__xludf.DUMMYFUNCTION("IMPORTRANGE(""https://docs.google.com/spreadsheets/d/1-uDff_7J0KD5mKrp0Vvzr7lt3OU09vwQwhkpOPPYv2Y/edit?usp=sharing"",""งบพรบ!FJ25"")"),549130)</f>
        <v>549130</v>
      </c>
      <c r="M25" s="68">
        <f t="shared" ca="1" si="48"/>
        <v>73.612879874525788</v>
      </c>
      <c r="N25" s="68">
        <f t="shared" ca="1" si="49"/>
        <v>65.845294195234843</v>
      </c>
      <c r="O25" s="67">
        <f ca="1">IFERROR(__xludf.DUMMYFUNCTION("IMPORTRANGE(""https://docs.google.com/spreadsheets/d/1-uDff_7J0KD5mKrp0Vvzr7lt3OU09vwQwhkpOPPYv2Y/edit?usp=sharing"",""งบพรบ!FK25"")"),0)</f>
        <v>0</v>
      </c>
      <c r="P25" s="67">
        <f t="shared" ca="1" si="50"/>
        <v>0</v>
      </c>
      <c r="Q25" s="68">
        <f t="shared" ca="1" si="51"/>
        <v>0</v>
      </c>
      <c r="R25" s="149">
        <f ca="1">IFERROR(__xludf.DUMMYFUNCTION("IMPORTRANGE(""https://docs.google.com/spreadsheets/d/1dQrvX0vEcN7Gu0fnZ0B5S90AeR19zth4XlExFBeExMY/edit?usp=sharing"",""แม่ฮ่องสอน!I368"")"),65)</f>
        <v>65</v>
      </c>
      <c r="S25" s="152">
        <f ca="1">IFERROR(__xludf.DUMMYFUNCTION("IMPORTRANGE(""https://docs.google.com/spreadsheets/d/1dQrvX0vEcN7Gu0fnZ0B5S90AeR19zth4XlExFBeExMY/edit?usp=sharing"",""แม่ฮ่องสอน!J367"")"),6)</f>
        <v>6</v>
      </c>
      <c r="T25" s="357">
        <f ca="1">IFERROR(__xludf.DUMMYFUNCTION("IMPORTRANGE(""https://docs.google.com/spreadsheets/d/1dQrvX0vEcN7Gu0fnZ0B5S90AeR19zth4XlExFBeExMY/edit?usp=sharing"",""แม่ฮ่องสอน!J368"")"),7.03)</f>
        <v>7.03</v>
      </c>
      <c r="U25" s="216">
        <f t="shared" ca="1" si="53"/>
        <v>10.815384615384616</v>
      </c>
      <c r="V25" s="149">
        <f ca="1">IFERROR(__xludf.DUMMYFUNCTION("IMPORTRANGE(""https://docs.google.com/spreadsheets/d/1dQrvX0vEcN7Gu0fnZ0B5S90AeR19zth4XlExFBeExMY/edit?usp=sharing"",""แม่ฮ่องสอน!I369"")"),59)</f>
        <v>59</v>
      </c>
      <c r="W25" s="152">
        <f ca="1">IFERROR(__xludf.DUMMYFUNCTION("IMPORTRANGE(""https://docs.google.com/spreadsheets/d/1dQrvX0vEcN7Gu0fnZ0B5S90AeR19zth4XlExFBeExMY/edit?usp=sharing"",""แม่ฮ่องสอน!J369"")"),9)</f>
        <v>9</v>
      </c>
      <c r="X25" s="357">
        <f ca="1">IFERROR(__xludf.DUMMYFUNCTION("IMPORTRANGE(""https://docs.google.com/spreadsheets/d/1dQrvX0vEcN7Gu0fnZ0B5S90AeR19zth4XlExFBeExMY/edit?usp=sharing"",""แม่ฮ่องสอน!J370"")"),21.62)</f>
        <v>21.62</v>
      </c>
      <c r="Y25" s="216">
        <f t="shared" ca="1" si="55"/>
        <v>15.254237288135593</v>
      </c>
      <c r="Z25" s="149">
        <f ca="1">IFERROR(__xludf.DUMMYFUNCTION("IMPORTRANGE(""https://docs.google.com/spreadsheets/d/1dQrvX0vEcN7Gu0fnZ0B5S90AeR19zth4XlExFBeExMY/edit?usp=sharing"",""แม่ฮ่องสอน!I371"")"),59)</f>
        <v>59</v>
      </c>
      <c r="AA25" s="152">
        <f ca="1">IFERROR(__xludf.DUMMYFUNCTION("IMPORTRANGE(""https://docs.google.com/spreadsheets/d/1dQrvX0vEcN7Gu0fnZ0B5S90AeR19zth4XlExFBeExMY/edit?usp=sharing"",""แม่ฮ่องสอน!J371"")"),9)</f>
        <v>9</v>
      </c>
      <c r="AB25" s="357">
        <f ca="1">IFERROR(__xludf.DUMMYFUNCTION("IMPORTRANGE(""https://docs.google.com/spreadsheets/d/1dQrvX0vEcN7Gu0fnZ0B5S90AeR19zth4XlExFBeExMY/edit?usp=sharing"",""แม่ฮ่องสอน!J372"")"),21.62)</f>
        <v>21.62</v>
      </c>
      <c r="AC25" s="216">
        <f t="shared" ca="1" si="57"/>
        <v>15.254237288135593</v>
      </c>
      <c r="AD25" s="358">
        <f ca="1">IFERROR(__xludf.DUMMYFUNCTION("IMPORTRANGE(""https://docs.google.com/spreadsheets/d/1eHaY18a8A9IcSdp1K8H6x8fbOy06t2VsZHhMHf-1x7Y/edit?usp=sharing"",""แผน!EM25"")"),40)</f>
        <v>40</v>
      </c>
      <c r="AE25" s="151">
        <f ca="1">IFERROR(__xludf.DUMMYFUNCTION("IMPORTRANGE(""https://docs.google.com/spreadsheets/d/1tdoBKaGub7dwA3U6UFTqxio9LNnvDCQjHKmttSEBsFQ/edit?usp=sharing"",""จัดที่ดิน!E25"")"),0)</f>
        <v>0</v>
      </c>
      <c r="AF25" s="67">
        <f ca="1">IFERROR(__xludf.DUMMYFUNCTION("IMPORTRANGE(""https://docs.google.com/spreadsheets/d/1tdoBKaGub7dwA3U6UFTqxio9LNnvDCQjHKmttSEBsFQ/edit?usp=sharing"",""จัดที่ดิน!F25"")"),0)</f>
        <v>0</v>
      </c>
      <c r="AG25" s="68">
        <f t="shared" ca="1" si="59"/>
        <v>0</v>
      </c>
      <c r="AH25" s="358">
        <f ca="1">IFERROR(__xludf.DUMMYFUNCTION("IMPORTRANGE(""https://docs.google.com/spreadsheets/d/1eHaY18a8A9IcSdp1K8H6x8fbOy06t2VsZHhMHf-1x7Y/edit?usp=sharing"",""แผน!EN25"")"),20)</f>
        <v>20</v>
      </c>
      <c r="AI25" s="151">
        <f ca="1">IFERROR(__xludf.DUMMYFUNCTION("IMPORTRANGE(""https://docs.google.com/spreadsheets/d/1tdoBKaGub7dwA3U6UFTqxio9LNnvDCQjHKmttSEBsFQ/edit?usp=sharing"",""จัดที่ดิน!G25"")"),0)</f>
        <v>0</v>
      </c>
      <c r="AJ25" s="67">
        <f ca="1">IFERROR(__xludf.DUMMYFUNCTION("IMPORTRANGE(""https://docs.google.com/spreadsheets/d/1tdoBKaGub7dwA3U6UFTqxio9LNnvDCQjHKmttSEBsFQ/edit?usp=sharing"",""จัดที่ดิน!H25"")"),0)</f>
        <v>0</v>
      </c>
      <c r="AK25" s="68">
        <f t="shared" ca="1" si="61"/>
        <v>0</v>
      </c>
      <c r="AL25" s="358">
        <f ca="1">IFERROR(__xludf.DUMMYFUNCTION("IMPORTRANGE(""https://docs.google.com/spreadsheets/d/1eHaY18a8A9IcSdp1K8H6x8fbOy06t2VsZHhMHf-1x7Y/edit?usp=sharing"",""แผน!EN25"")"),20)</f>
        <v>20</v>
      </c>
      <c r="AM25" s="151">
        <f ca="1">IFERROR(__xludf.DUMMYFUNCTION("IMPORTRANGE(""https://docs.google.com/spreadsheets/d/1tdoBKaGub7dwA3U6UFTqxio9LNnvDCQjHKmttSEBsFQ/edit?usp=sharing"",""จัดที่ดิน!I25"")"),0)</f>
        <v>0</v>
      </c>
      <c r="AN25" s="67">
        <f ca="1">IFERROR(__xludf.DUMMYFUNCTION("IMPORTRANGE(""https://docs.google.com/spreadsheets/d/1tdoBKaGub7dwA3U6UFTqxio9LNnvDCQjHKmttSEBsFQ/edit?usp=sharing"",""จัดที่ดิน!J25"")"),0)</f>
        <v>0</v>
      </c>
      <c r="AO25" s="68">
        <f t="shared" ca="1" si="63"/>
        <v>0</v>
      </c>
      <c r="AP25" s="359">
        <f ca="1">IFERROR(__xludf.DUMMYFUNCTION("IMPORTRANGE(""https://docs.google.com/spreadsheets/d/1eHaY18a8A9IcSdp1K8H6x8fbOy06t2VsZHhMHf-1x7Y/edit?usp=sharing"",""แผน!EO25"")"),25)</f>
        <v>25</v>
      </c>
      <c r="AQ25" s="151">
        <f ca="1">IFERROR(__xludf.DUMMYFUNCTION("IMPORTRANGE(""https://docs.google.com/spreadsheets/d/1tdoBKaGub7dwA3U6UFTqxio9LNnvDCQjHKmttSEBsFQ/edit?usp=sharing"",""แบ่งแปลง!D20"")"),6)</f>
        <v>6</v>
      </c>
      <c r="AR25" s="67">
        <f ca="1">IFERROR(__xludf.DUMMYFUNCTION("IMPORTRANGE(""https://docs.google.com/spreadsheets/d/1tdoBKaGub7dwA3U6UFTqxio9LNnvDCQjHKmttSEBsFQ/edit?usp=sharing"",""แบ่งแปลง!F20"")"),7.03)</f>
        <v>7.03</v>
      </c>
      <c r="AS25" s="68">
        <f t="shared" ca="1" si="65"/>
        <v>28.12</v>
      </c>
      <c r="AT25" s="359">
        <f ca="1">IFERROR(__xludf.DUMMYFUNCTION("IMPORTRANGE(""https://docs.google.com/spreadsheets/d/1eHaY18a8A9IcSdp1K8H6x8fbOy06t2VsZHhMHf-1x7Y/edit?usp=sharing"",""แผน!EP25"")"),15)</f>
        <v>15</v>
      </c>
      <c r="AU25" s="151">
        <f ca="1">IFERROR(__xludf.DUMMYFUNCTION("IMPORTRANGE(""https://docs.google.com/spreadsheets/d/1tdoBKaGub7dwA3U6UFTqxio9LNnvDCQjHKmttSEBsFQ/edit?usp=sharing"",""แบ่งแปลง!I20"")"),6)</f>
        <v>6</v>
      </c>
      <c r="AV25" s="67">
        <f ca="1">IFERROR(__xludf.DUMMYFUNCTION("IMPORTRANGE(""https://docs.google.com/spreadsheets/d/1tdoBKaGub7dwA3U6UFTqxio9LNnvDCQjHKmttSEBsFQ/edit?usp=sharing"",""แบ่งแปลง!K20"")"),7.03)</f>
        <v>7.03</v>
      </c>
      <c r="AW25" s="68">
        <f t="shared" ca="1" si="67"/>
        <v>40</v>
      </c>
      <c r="AX25" s="359">
        <f ca="1">IFERROR(__xludf.DUMMYFUNCTION("IMPORTRANGE(""https://docs.google.com/spreadsheets/d/1eHaY18a8A9IcSdp1K8H6x8fbOy06t2VsZHhMHf-1x7Y/edit?usp=sharing"",""แผน!EP25"")"),15)</f>
        <v>15</v>
      </c>
      <c r="AY25" s="151">
        <f ca="1">IFERROR(__xludf.DUMMYFUNCTION("IMPORTRANGE(""https://docs.google.com/spreadsheets/d/1tdoBKaGub7dwA3U6UFTqxio9LNnvDCQjHKmttSEBsFQ/edit?usp=sharing"",""แบ่งแปลง!X20"")"),6)</f>
        <v>6</v>
      </c>
      <c r="AZ25" s="67">
        <f ca="1">IFERROR(__xludf.DUMMYFUNCTION("IMPORTRANGE(""https://docs.google.com/spreadsheets/d/1tdoBKaGub7dwA3U6UFTqxio9LNnvDCQjHKmttSEBsFQ/edit?usp=sharing"",""แบ่งแปลง!Z20"")"),7.03)</f>
        <v>7.03</v>
      </c>
      <c r="BA25" s="68">
        <f t="shared" ca="1" si="69"/>
        <v>40</v>
      </c>
      <c r="BB25" s="360">
        <f ca="1">IFERROR(__xludf.DUMMYFUNCTION("IMPORTRANGE(""https://docs.google.com/spreadsheets/d/1eHaY18a8A9IcSdp1K8H6x8fbOy06t2VsZHhMHf-1x7Y/edit?usp=sharing"",""แผน!ES25"")"),24)</f>
        <v>24</v>
      </c>
      <c r="BC25" s="151">
        <f ca="1">IFERROR(__xludf.DUMMYFUNCTION("IMPORTRANGE(""https://docs.google.com/spreadsheets/d/1tdoBKaGub7dwA3U6UFTqxio9LNnvDCQjHKmttSEBsFQ/edit?usp=sharing"",""เต็มแปลง!I20"")"),3)</f>
        <v>3</v>
      </c>
      <c r="BD25" s="67">
        <f ca="1">IFERROR(__xludf.DUMMYFUNCTION("IMPORTRANGE(""https://docs.google.com/spreadsheets/d/1tdoBKaGub7dwA3U6UFTqxio9LNnvDCQjHKmttSEBsFQ/edit?usp=sharing"",""เต็มแปลง!K20"")"),14.6)</f>
        <v>14.6</v>
      </c>
      <c r="BE25" s="68">
        <f t="shared" ca="1" si="71"/>
        <v>12.5</v>
      </c>
      <c r="BF25" s="360">
        <f ca="1">IFERROR(__xludf.DUMMYFUNCTION("IMPORTRANGE(""https://docs.google.com/spreadsheets/d/1eHaY18a8A9IcSdp1K8H6x8fbOy06t2VsZHhMHf-1x7Y/edit?usp=sharing"",""แผน!ES25"")"),24)</f>
        <v>24</v>
      </c>
      <c r="BG25" s="151">
        <f ca="1">IFERROR(__xludf.DUMMYFUNCTION("IMPORTRANGE(""https://docs.google.com/spreadsheets/d/1tdoBKaGub7dwA3U6UFTqxio9LNnvDCQjHKmttSEBsFQ/edit?usp=sharing"",""เต็มแปลง!S20"")"),3)</f>
        <v>3</v>
      </c>
      <c r="BH25" s="67">
        <f ca="1">IFERROR(__xludf.DUMMYFUNCTION("IMPORTRANGE(""https://docs.google.com/spreadsheets/d/1tdoBKaGub7dwA3U6UFTqxio9LNnvDCQjHKmttSEBsFQ/edit?usp=sharing"",""เต็มแปลง!U20"")"),14.6)</f>
        <v>14.6</v>
      </c>
      <c r="BI25" s="68">
        <f t="shared" ca="1" si="73"/>
        <v>12.5</v>
      </c>
      <c r="BJ25" s="339"/>
    </row>
    <row r="26" spans="1:62" ht="24" customHeight="1" x14ac:dyDescent="0.3">
      <c r="A26" s="147">
        <v>13</v>
      </c>
      <c r="B26" s="148" t="s">
        <v>54</v>
      </c>
      <c r="C26" s="149">
        <f t="shared" ca="1" si="44"/>
        <v>714750</v>
      </c>
      <c r="D26" s="150">
        <f t="shared" ca="1" si="74"/>
        <v>714750</v>
      </c>
      <c r="E26" s="151">
        <f ca="1">IFERROR(__xludf.DUMMYFUNCTION("IMPORTRANGE(""https://docs.google.com/spreadsheets/d/1-uDff_7J0KD5mKrp0Vvzr7lt3OU09vwQwhkpOPPYv2Y/edit?usp=sharing"",""งบพรบ!FD26"")"),289300)</f>
        <v>289300</v>
      </c>
      <c r="F26" s="151">
        <f ca="1">IFERROR(__xludf.DUMMYFUNCTION("IMPORTRANGE(""https://docs.google.com/spreadsheets/d/1-uDff_7J0KD5mKrp0Vvzr7lt3OU09vwQwhkpOPPYv2Y/edit?usp=sharing"",""งบพรบ!FE26"")"),425450)</f>
        <v>425450</v>
      </c>
      <c r="G26" s="151">
        <f ca="1">IFERROR(__xludf.DUMMYFUNCTION("IMPORTRANGE(""https://docs.google.com/spreadsheets/d/1-uDff_7J0KD5mKrp0Vvzr7lt3OU09vwQwhkpOPPYv2Y/edit?usp=sharing"",""งบพรบ!FF26"")"),0)</f>
        <v>0</v>
      </c>
      <c r="H26" s="151">
        <f ca="1">IFERROR(__xludf.DUMMYFUNCTION("IMPORTRANGE(""https://docs.google.com/spreadsheets/d/1-uDff_7J0KD5mKrp0Vvzr7lt3OU09vwQwhkpOPPYv2Y/edit?usp=sharing"",""งบพรบ!FH26"")"),941210)</f>
        <v>941210</v>
      </c>
      <c r="I26" s="151">
        <f ca="1">IFERROR(__xludf.DUMMYFUNCTION("IMPORTRANGE(""https://docs.google.com/spreadsheets/d/1-uDff_7J0KD5mKrp0Vvzr7lt3OU09vwQwhkpOPPYv2Y/edit?usp=sharing"",""งบพรบ!FI26"")"),0)</f>
        <v>0</v>
      </c>
      <c r="J26" s="151">
        <f t="shared" ca="1" si="46"/>
        <v>728274.7</v>
      </c>
      <c r="K26" s="154">
        <f t="shared" ca="1" si="47"/>
        <v>101.89222805176635</v>
      </c>
      <c r="L26" s="151">
        <f ca="1">IFERROR(__xludf.DUMMYFUNCTION("IMPORTRANGE(""https://docs.google.com/spreadsheets/d/1-uDff_7J0KD5mKrp0Vvzr7lt3OU09vwQwhkpOPPYv2Y/edit?usp=sharing"",""งบพรบ!FJ26"")"),728274.7)</f>
        <v>728274.7</v>
      </c>
      <c r="M26" s="68">
        <f t="shared" ca="1" si="48"/>
        <v>101.89222805176635</v>
      </c>
      <c r="N26" s="68">
        <f t="shared" ca="1" si="49"/>
        <v>77.376430339669156</v>
      </c>
      <c r="O26" s="67">
        <f ca="1">IFERROR(__xludf.DUMMYFUNCTION("IMPORTRANGE(""https://docs.google.com/spreadsheets/d/1-uDff_7J0KD5mKrp0Vvzr7lt3OU09vwQwhkpOPPYv2Y/edit?usp=sharing"",""งบพรบ!FK26"")"),0)</f>
        <v>0</v>
      </c>
      <c r="P26" s="67">
        <f t="shared" ca="1" si="50"/>
        <v>0</v>
      </c>
      <c r="Q26" s="68">
        <f t="shared" ca="1" si="51"/>
        <v>0</v>
      </c>
      <c r="R26" s="361">
        <f ca="1">IFERROR(__xludf.DUMMYFUNCTION("IMPORTRANGE(""https://docs.google.com/spreadsheets/d/1DY4XTNNwjluuxqdfdn6qvOSlMRrZqUtmYcZR0ttFiG4/edit?usp=sharing"",""ลำปาง!I368"")"),1200)</f>
        <v>1200</v>
      </c>
      <c r="S26" s="152">
        <f ca="1">IFERROR(__xludf.DUMMYFUNCTION("IMPORTRANGE(""https://docs.google.com/spreadsheets/d/1DY4XTNNwjluuxqdfdn6qvOSlMRrZqUtmYcZR0ttFiG4/edit?usp=sharing"",""ลำปาง!J367"")"),295)</f>
        <v>295</v>
      </c>
      <c r="T26" s="357">
        <f ca="1">IFERROR(__xludf.DUMMYFUNCTION("IMPORTRANGE(""https://docs.google.com/spreadsheets/d/1DY4XTNNwjluuxqdfdn6qvOSlMRrZqUtmYcZR0ttFiG4/edit?usp=sharing"",""ลำปาง!J368"")"),1231.42999999999)</f>
        <v>1231.4299999999901</v>
      </c>
      <c r="U26" s="216">
        <f t="shared" ca="1" si="53"/>
        <v>102.61916666666585</v>
      </c>
      <c r="V26" s="361">
        <f ca="1">IFERROR(__xludf.DUMMYFUNCTION("IMPORTRANGE(""https://docs.google.com/spreadsheets/d/1DY4XTNNwjluuxqdfdn6qvOSlMRrZqUtmYcZR0ttFiG4/edit?usp=sharing"",""ลำปาง!I369"")"),640)</f>
        <v>640</v>
      </c>
      <c r="W26" s="152">
        <f ca="1">IFERROR(__xludf.DUMMYFUNCTION("IMPORTRANGE(""https://docs.google.com/spreadsheets/d/1DY4XTNNwjluuxqdfdn6qvOSlMRrZqUtmYcZR0ttFiG4/edit?usp=sharing"",""ลำปาง!J369"")"),706)</f>
        <v>706</v>
      </c>
      <c r="X26" s="357">
        <f ca="1">IFERROR(__xludf.DUMMYFUNCTION("IMPORTRANGE(""https://docs.google.com/spreadsheets/d/1DY4XTNNwjluuxqdfdn6qvOSlMRrZqUtmYcZR0ttFiG4/edit?usp=sharing"",""ลำปาง!J370"")"),3890.59)</f>
        <v>3890.59</v>
      </c>
      <c r="Y26" s="216">
        <f t="shared" ca="1" si="55"/>
        <v>110.3125</v>
      </c>
      <c r="Z26" s="361">
        <f ca="1">IFERROR(__xludf.DUMMYFUNCTION("IMPORTRANGE(""https://docs.google.com/spreadsheets/d/1DY4XTNNwjluuxqdfdn6qvOSlMRrZqUtmYcZR0ttFiG4/edit?usp=sharing"",""ลำปาง!I371"")"),640)</f>
        <v>640</v>
      </c>
      <c r="AA26" s="152">
        <f ca="1">IFERROR(__xludf.DUMMYFUNCTION("IMPORTRANGE(""https://docs.google.com/spreadsheets/d/1DY4XTNNwjluuxqdfdn6qvOSlMRrZqUtmYcZR0ttFiG4/edit?usp=sharing"",""ลำปาง!J371"")"),613)</f>
        <v>613</v>
      </c>
      <c r="AB26" s="357">
        <f ca="1">IFERROR(__xludf.DUMMYFUNCTION("IMPORTRANGE(""https://docs.google.com/spreadsheets/d/1DY4XTNNwjluuxqdfdn6qvOSlMRrZqUtmYcZR0ttFiG4/edit?usp=sharing"",""ลำปาง!J372"")"),3495.41)</f>
        <v>3495.41</v>
      </c>
      <c r="AC26" s="216">
        <f t="shared" ca="1" si="57"/>
        <v>95.78125</v>
      </c>
      <c r="AD26" s="362">
        <f ca="1">IFERROR(__xludf.DUMMYFUNCTION("IMPORTRANGE(""https://docs.google.com/spreadsheets/d/1eHaY18a8A9IcSdp1K8H6x8fbOy06t2VsZHhMHf-1x7Y/edit?usp=sharing"",""แผน!EM26"")"),1000)</f>
        <v>1000</v>
      </c>
      <c r="AE26" s="151">
        <f ca="1">IFERROR(__xludf.DUMMYFUNCTION("IMPORTRANGE(""https://docs.google.com/spreadsheets/d/1tdoBKaGub7dwA3U6UFTqxio9LNnvDCQjHKmttSEBsFQ/edit?usp=sharing"",""จัดที่ดิน!E26"")"),246)</f>
        <v>246</v>
      </c>
      <c r="AF26" s="67">
        <f ca="1">IFERROR(__xludf.DUMMYFUNCTION("IMPORTRANGE(""https://docs.google.com/spreadsheets/d/1tdoBKaGub7dwA3U6UFTqxio9LNnvDCQjHKmttSEBsFQ/edit?usp=sharing"",""จัดที่ดิน!F26"")"),1077.81)</f>
        <v>1077.81</v>
      </c>
      <c r="AG26" s="68">
        <f t="shared" ca="1" si="59"/>
        <v>107.78100000000001</v>
      </c>
      <c r="AH26" s="362">
        <f ca="1">IFERROR(__xludf.DUMMYFUNCTION("IMPORTRANGE(""https://docs.google.com/spreadsheets/d/1eHaY18a8A9IcSdp1K8H6x8fbOy06t2VsZHhMHf-1x7Y/edit?usp=sharing"",""แผน!EN26"")"),100)</f>
        <v>100</v>
      </c>
      <c r="AI26" s="151">
        <f ca="1">IFERROR(__xludf.DUMMYFUNCTION("IMPORTRANGE(""https://docs.google.com/spreadsheets/d/1tdoBKaGub7dwA3U6UFTqxio9LNnvDCQjHKmttSEBsFQ/edit?usp=sharing"",""จัดที่ดิน!G26"")"),174)</f>
        <v>174</v>
      </c>
      <c r="AJ26" s="67">
        <f ca="1">IFERROR(__xludf.DUMMYFUNCTION("IMPORTRANGE(""https://docs.google.com/spreadsheets/d/1tdoBKaGub7dwA3U6UFTqxio9LNnvDCQjHKmttSEBsFQ/edit?usp=sharing"",""จัดที่ดิน!H26"")"),658.25)</f>
        <v>658.25</v>
      </c>
      <c r="AK26" s="68">
        <f t="shared" ca="1" si="61"/>
        <v>174</v>
      </c>
      <c r="AL26" s="362">
        <f ca="1">IFERROR(__xludf.DUMMYFUNCTION("IMPORTRANGE(""https://docs.google.com/spreadsheets/d/1eHaY18a8A9IcSdp1K8H6x8fbOy06t2VsZHhMHf-1x7Y/edit?usp=sharing"",""แผน!EN26"")"),100)</f>
        <v>100</v>
      </c>
      <c r="AM26" s="151">
        <f ca="1">IFERROR(__xludf.DUMMYFUNCTION("IMPORTRANGE(""https://docs.google.com/spreadsheets/d/1tdoBKaGub7dwA3U6UFTqxio9LNnvDCQjHKmttSEBsFQ/edit?usp=sharing"",""จัดที่ดิน!I26"")"),80)</f>
        <v>80</v>
      </c>
      <c r="AN26" s="67">
        <f ca="1">IFERROR(__xludf.DUMMYFUNCTION("IMPORTRANGE(""https://docs.google.com/spreadsheets/d/1tdoBKaGub7dwA3U6UFTqxio9LNnvDCQjHKmttSEBsFQ/edit?usp=sharing"",""จัดที่ดิน!J26"")"),249.03)</f>
        <v>249.03</v>
      </c>
      <c r="AO26" s="68">
        <f t="shared" ca="1" si="63"/>
        <v>80</v>
      </c>
      <c r="AP26" s="363">
        <f ca="1">IFERROR(__xludf.DUMMYFUNCTION("IMPORTRANGE(""https://docs.google.com/spreadsheets/d/1eHaY18a8A9IcSdp1K8H6x8fbOy06t2VsZHhMHf-1x7Y/edit?usp=sharing"",""แผน!EO26"")"),200)</f>
        <v>200</v>
      </c>
      <c r="AQ26" s="151">
        <f ca="1">IFERROR(__xludf.DUMMYFUNCTION("IMPORTRANGE(""https://docs.google.com/spreadsheets/d/1tdoBKaGub7dwA3U6UFTqxio9LNnvDCQjHKmttSEBsFQ/edit?usp=sharing"",""แบ่งแปลง!D21"")"),49)</f>
        <v>49</v>
      </c>
      <c r="AR26" s="67">
        <f ca="1">IFERROR(__xludf.DUMMYFUNCTION("IMPORTRANGE(""https://docs.google.com/spreadsheets/d/1tdoBKaGub7dwA3U6UFTqxio9LNnvDCQjHKmttSEBsFQ/edit?usp=sharing"",""แบ่งแปลง!F21"")"),153.62)</f>
        <v>153.62</v>
      </c>
      <c r="AS26" s="68">
        <f t="shared" ca="1" si="65"/>
        <v>76.81</v>
      </c>
      <c r="AT26" s="363">
        <f ca="1">IFERROR(__xludf.DUMMYFUNCTION("IMPORTRANGE(""https://docs.google.com/spreadsheets/d/1eHaY18a8A9IcSdp1K8H6x8fbOy06t2VsZHhMHf-1x7Y/edit?usp=sharing"",""แผน!EP26"")"),40)</f>
        <v>40</v>
      </c>
      <c r="AU26" s="151">
        <f ca="1">IFERROR(__xludf.DUMMYFUNCTION("IMPORTRANGE(""https://docs.google.com/spreadsheets/d/1tdoBKaGub7dwA3U6UFTqxio9LNnvDCQjHKmttSEBsFQ/edit?usp=sharing"",""แบ่งแปลง!I21"")"),49)</f>
        <v>49</v>
      </c>
      <c r="AV26" s="67">
        <f ca="1">IFERROR(__xludf.DUMMYFUNCTION("IMPORTRANGE(""https://docs.google.com/spreadsheets/d/1tdoBKaGub7dwA3U6UFTqxio9LNnvDCQjHKmttSEBsFQ/edit?usp=sharing"",""แบ่งแปลง!K21"")"),154.46)</f>
        <v>154.46</v>
      </c>
      <c r="AW26" s="68">
        <f t="shared" ca="1" si="67"/>
        <v>122.5</v>
      </c>
      <c r="AX26" s="363">
        <f ca="1">IFERROR(__xludf.DUMMYFUNCTION("IMPORTRANGE(""https://docs.google.com/spreadsheets/d/1eHaY18a8A9IcSdp1K8H6x8fbOy06t2VsZHhMHf-1x7Y/edit?usp=sharing"",""แผน!EP26"")"),40)</f>
        <v>40</v>
      </c>
      <c r="AY26" s="151">
        <f ca="1">IFERROR(__xludf.DUMMYFUNCTION("IMPORTRANGE(""https://docs.google.com/spreadsheets/d/1tdoBKaGub7dwA3U6UFTqxio9LNnvDCQjHKmttSEBsFQ/edit?usp=sharing"",""แบ่งแปลง!X21"")"),50)</f>
        <v>50</v>
      </c>
      <c r="AZ26" s="67">
        <f ca="1">IFERROR(__xludf.DUMMYFUNCTION("IMPORTRANGE(""https://docs.google.com/spreadsheets/d/1tdoBKaGub7dwA3U6UFTqxio9LNnvDCQjHKmttSEBsFQ/edit?usp=sharing"",""แบ่งแปลง!Z21"")"),158.88)</f>
        <v>158.88</v>
      </c>
      <c r="BA26" s="68">
        <f t="shared" ca="1" si="69"/>
        <v>125</v>
      </c>
      <c r="BB26" s="364">
        <f ca="1">IFERROR(__xludf.DUMMYFUNCTION("IMPORTRANGE(""https://docs.google.com/spreadsheets/d/1eHaY18a8A9IcSdp1K8H6x8fbOy06t2VsZHhMHf-1x7Y/edit?usp=sharing"",""แผน!ES26"")"),500)</f>
        <v>500</v>
      </c>
      <c r="BC26" s="151">
        <f ca="1">IFERROR(__xludf.DUMMYFUNCTION("IMPORTRANGE(""https://docs.google.com/spreadsheets/d/1tdoBKaGub7dwA3U6UFTqxio9LNnvDCQjHKmttSEBsFQ/edit?usp=sharing"",""เต็มแปลง!I21"")"),484)</f>
        <v>484</v>
      </c>
      <c r="BD26" s="67">
        <f ca="1">IFERROR(__xludf.DUMMYFUNCTION("IMPORTRANGE(""https://docs.google.com/spreadsheets/d/1tdoBKaGub7dwA3U6UFTqxio9LNnvDCQjHKmttSEBsFQ/edit?usp=sharing"",""เต็มแปลง!K21"")"),3077.88)</f>
        <v>3077.88</v>
      </c>
      <c r="BE26" s="68">
        <f t="shared" ca="1" si="71"/>
        <v>96.8</v>
      </c>
      <c r="BF26" s="364">
        <f ca="1">IFERROR(__xludf.DUMMYFUNCTION("IMPORTRANGE(""https://docs.google.com/spreadsheets/d/1eHaY18a8A9IcSdp1K8H6x8fbOy06t2VsZHhMHf-1x7Y/edit?usp=sharing"",""แผน!ES26"")"),500)</f>
        <v>500</v>
      </c>
      <c r="BG26" s="151">
        <f ca="1">IFERROR(__xludf.DUMMYFUNCTION("IMPORTRANGE(""https://docs.google.com/spreadsheets/d/1tdoBKaGub7dwA3U6UFTqxio9LNnvDCQjHKmttSEBsFQ/edit?usp=sharing"",""เต็มแปลง!S21"")"),484)</f>
        <v>484</v>
      </c>
      <c r="BH26" s="67">
        <f ca="1">IFERROR(__xludf.DUMMYFUNCTION("IMPORTRANGE(""https://docs.google.com/spreadsheets/d/1tdoBKaGub7dwA3U6UFTqxio9LNnvDCQjHKmttSEBsFQ/edit?usp=sharing"",""เต็มแปลง!U21"")"),3087.49)</f>
        <v>3087.49</v>
      </c>
      <c r="BI26" s="68">
        <f t="shared" ca="1" si="73"/>
        <v>96.8</v>
      </c>
      <c r="BJ26" s="339"/>
    </row>
    <row r="27" spans="1:62" ht="24" customHeight="1" x14ac:dyDescent="0.3">
      <c r="A27" s="147">
        <v>14</v>
      </c>
      <c r="B27" s="148" t="s">
        <v>55</v>
      </c>
      <c r="C27" s="149">
        <f t="shared" ca="1" si="44"/>
        <v>346210</v>
      </c>
      <c r="D27" s="150">
        <f t="shared" ca="1" si="74"/>
        <v>346210</v>
      </c>
      <c r="E27" s="151">
        <f ca="1">IFERROR(__xludf.DUMMYFUNCTION("IMPORTRANGE(""https://docs.google.com/spreadsheets/d/1-uDff_7J0KD5mKrp0Vvzr7lt3OU09vwQwhkpOPPYv2Y/edit?usp=sharing"",""งบพรบ!FD27"")"),75400)</f>
        <v>75400</v>
      </c>
      <c r="F27" s="151">
        <f ca="1">IFERROR(__xludf.DUMMYFUNCTION("IMPORTRANGE(""https://docs.google.com/spreadsheets/d/1-uDff_7J0KD5mKrp0Vvzr7lt3OU09vwQwhkpOPPYv2Y/edit?usp=sharing"",""งบพรบ!FE27"")"),270810)</f>
        <v>270810</v>
      </c>
      <c r="G27" s="151">
        <f ca="1">IFERROR(__xludf.DUMMYFUNCTION("IMPORTRANGE(""https://docs.google.com/spreadsheets/d/1-uDff_7J0KD5mKrp0Vvzr7lt3OU09vwQwhkpOPPYv2Y/edit?usp=sharing"",""งบพรบ!FF27"")"),0)</f>
        <v>0</v>
      </c>
      <c r="H27" s="151">
        <f ca="1">IFERROR(__xludf.DUMMYFUNCTION("IMPORTRANGE(""https://docs.google.com/spreadsheets/d/1-uDff_7J0KD5mKrp0Vvzr7lt3OU09vwQwhkpOPPYv2Y/edit?usp=sharing"",""งบพรบ!FH27"")"),454710)</f>
        <v>454710</v>
      </c>
      <c r="I27" s="151">
        <f ca="1">IFERROR(__xludf.DUMMYFUNCTION("IMPORTRANGE(""https://docs.google.com/spreadsheets/d/1-uDff_7J0KD5mKrp0Vvzr7lt3OU09vwQwhkpOPPYv2Y/edit?usp=sharing"",""งบพรบ!FI27"")"),0)</f>
        <v>0</v>
      </c>
      <c r="J27" s="151">
        <f t="shared" ca="1" si="46"/>
        <v>436211.02</v>
      </c>
      <c r="K27" s="154">
        <f t="shared" ca="1" si="47"/>
        <v>125.99607752520147</v>
      </c>
      <c r="L27" s="151">
        <f ca="1">IFERROR(__xludf.DUMMYFUNCTION("IMPORTRANGE(""https://docs.google.com/spreadsheets/d/1-uDff_7J0KD5mKrp0Vvzr7lt3OU09vwQwhkpOPPYv2Y/edit?usp=sharing"",""งบพรบ!FJ27"")"),436211.02)</f>
        <v>436211.02</v>
      </c>
      <c r="M27" s="68">
        <f t="shared" ca="1" si="48"/>
        <v>125.99607752520147</v>
      </c>
      <c r="N27" s="68">
        <f t="shared" ca="1" si="49"/>
        <v>95.931697125640511</v>
      </c>
      <c r="O27" s="67">
        <f ca="1">IFERROR(__xludf.DUMMYFUNCTION("IMPORTRANGE(""https://docs.google.com/spreadsheets/d/1-uDff_7J0KD5mKrp0Vvzr7lt3OU09vwQwhkpOPPYv2Y/edit?usp=sharing"",""งบพรบ!FK27"")"),0)</f>
        <v>0</v>
      </c>
      <c r="P27" s="67">
        <f t="shared" ca="1" si="50"/>
        <v>0</v>
      </c>
      <c r="Q27" s="68">
        <f t="shared" ca="1" si="51"/>
        <v>0</v>
      </c>
      <c r="R27" s="149">
        <f ca="1">IFERROR(__xludf.DUMMYFUNCTION("IMPORTRANGE(""https://docs.google.com/spreadsheets/d/1ICwG78r0OFT8biBlxnBF8r7she7gNSzOvJ958PWT09c/edit?usp=sharing"",""ลำพูน!I368"")"),450)</f>
        <v>450</v>
      </c>
      <c r="S27" s="152">
        <f ca="1">IFERROR(__xludf.DUMMYFUNCTION("IMPORTRANGE(""https://docs.google.com/spreadsheets/d/1ICwG78r0OFT8biBlxnBF8r7she7gNSzOvJ958PWT09c/edit?usp=sharing"",""ลำพูน!J367"")"),114)</f>
        <v>114</v>
      </c>
      <c r="T27" s="357">
        <f ca="1">IFERROR(__xludf.DUMMYFUNCTION("IMPORTRANGE(""https://docs.google.com/spreadsheets/d/1ICwG78r0OFT8biBlxnBF8r7she7gNSzOvJ958PWT09c/edit?usp=sharing"",""ลำพูน!J368"")"),406.79)</f>
        <v>406.79</v>
      </c>
      <c r="U27" s="216">
        <f t="shared" ca="1" si="53"/>
        <v>90.397777777777776</v>
      </c>
      <c r="V27" s="149">
        <f ca="1">IFERROR(__xludf.DUMMYFUNCTION("IMPORTRANGE(""https://docs.google.com/spreadsheets/d/1ICwG78r0OFT8biBlxnBF8r7she7gNSzOvJ958PWT09c/edit?usp=sharing"",""ลำพูน!I369"")"),154)</f>
        <v>154</v>
      </c>
      <c r="W27" s="152">
        <f ca="1">IFERROR(__xludf.DUMMYFUNCTION("IMPORTRANGE(""https://docs.google.com/spreadsheets/d/1ICwG78r0OFT8biBlxnBF8r7she7gNSzOvJ958PWT09c/edit?usp=sharing"",""ลำพูน!J369"")"),183)</f>
        <v>183</v>
      </c>
      <c r="X27" s="357">
        <f ca="1">IFERROR(__xludf.DUMMYFUNCTION("IMPORTRANGE(""https://docs.google.com/spreadsheets/d/1ICwG78r0OFT8biBlxnBF8r7she7gNSzOvJ958PWT09c/edit?usp=sharing"",""ลำพูน!J370"")"),898.52)</f>
        <v>898.52</v>
      </c>
      <c r="Y27" s="216">
        <f t="shared" ca="1" si="55"/>
        <v>118.83116883116882</v>
      </c>
      <c r="Z27" s="149">
        <f ca="1">IFERROR(__xludf.DUMMYFUNCTION("IMPORTRANGE(""https://docs.google.com/spreadsheets/d/1ICwG78r0OFT8biBlxnBF8r7she7gNSzOvJ958PWT09c/edit?usp=sharing"",""ลำพูน!I371"")"),154)</f>
        <v>154</v>
      </c>
      <c r="AA27" s="152">
        <f ca="1">IFERROR(__xludf.DUMMYFUNCTION("IMPORTRANGE(""https://docs.google.com/spreadsheets/d/1ICwG78r0OFT8biBlxnBF8r7she7gNSzOvJ958PWT09c/edit?usp=sharing"",""ลำพูน!J371"")"),129)</f>
        <v>129</v>
      </c>
      <c r="AB27" s="357">
        <f ca="1">IFERROR(__xludf.DUMMYFUNCTION("IMPORTRANGE(""https://docs.google.com/spreadsheets/d/1ICwG78r0OFT8biBlxnBF8r7she7gNSzOvJ958PWT09c/edit?usp=sharing"",""ลำพูน!J372"")"),713.73)</f>
        <v>713.73</v>
      </c>
      <c r="AC27" s="216">
        <f t="shared" ca="1" si="57"/>
        <v>83.766233766233768</v>
      </c>
      <c r="AD27" s="358">
        <f ca="1">IFERROR(__xludf.DUMMYFUNCTION("IMPORTRANGE(""https://docs.google.com/spreadsheets/d/1eHaY18a8A9IcSdp1K8H6x8fbOy06t2VsZHhMHf-1x7Y/edit?usp=sharing"",""แผน!EM27"")"),300)</f>
        <v>300</v>
      </c>
      <c r="AE27" s="151">
        <f ca="1">IFERROR(__xludf.DUMMYFUNCTION("IMPORTRANGE(""https://docs.google.com/spreadsheets/d/1tdoBKaGub7dwA3U6UFTqxio9LNnvDCQjHKmttSEBsFQ/edit?usp=sharing"",""จัดที่ดิน!E27"")"),79)</f>
        <v>79</v>
      </c>
      <c r="AF27" s="67">
        <f ca="1">IFERROR(__xludf.DUMMYFUNCTION("IMPORTRANGE(""https://docs.google.com/spreadsheets/d/1tdoBKaGub7dwA3U6UFTqxio9LNnvDCQjHKmttSEBsFQ/edit?usp=sharing"",""จัดที่ดิน!F27"")"),300.92)</f>
        <v>300.92</v>
      </c>
      <c r="AG27" s="68">
        <f t="shared" ca="1" si="59"/>
        <v>100.30666666666667</v>
      </c>
      <c r="AH27" s="358">
        <f ca="1">IFERROR(__xludf.DUMMYFUNCTION("IMPORTRANGE(""https://docs.google.com/spreadsheets/d/1eHaY18a8A9IcSdp1K8H6x8fbOy06t2VsZHhMHf-1x7Y/edit?usp=sharing"",""แผน!EN27"")"),60)</f>
        <v>60</v>
      </c>
      <c r="AI27" s="151">
        <f ca="1">IFERROR(__xludf.DUMMYFUNCTION("IMPORTRANGE(""https://docs.google.com/spreadsheets/d/1tdoBKaGub7dwA3U6UFTqxio9LNnvDCQjHKmttSEBsFQ/edit?usp=sharing"",""จัดที่ดิน!G27"")"),57)</f>
        <v>57</v>
      </c>
      <c r="AJ27" s="67">
        <f ca="1">IFERROR(__xludf.DUMMYFUNCTION("IMPORTRANGE(""https://docs.google.com/spreadsheets/d/1tdoBKaGub7dwA3U6UFTqxio9LNnvDCQjHKmttSEBsFQ/edit?usp=sharing"",""จัดที่ดิน!H27"")"),176.41)</f>
        <v>176.41</v>
      </c>
      <c r="AK27" s="68">
        <f t="shared" ca="1" si="61"/>
        <v>95</v>
      </c>
      <c r="AL27" s="358">
        <f ca="1">IFERROR(__xludf.DUMMYFUNCTION("IMPORTRANGE(""https://docs.google.com/spreadsheets/d/1eHaY18a8A9IcSdp1K8H6x8fbOy06t2VsZHhMHf-1x7Y/edit?usp=sharing"",""แผน!EN27"")"),60)</f>
        <v>60</v>
      </c>
      <c r="AM27" s="151">
        <f ca="1">IFERROR(__xludf.DUMMYFUNCTION("IMPORTRANGE(""https://docs.google.com/spreadsheets/d/1tdoBKaGub7dwA3U6UFTqxio9LNnvDCQjHKmttSEBsFQ/edit?usp=sharing"",""จัดที่ดิน!I27"")"),37)</f>
        <v>37</v>
      </c>
      <c r="AN27" s="67">
        <f ca="1">IFERROR(__xludf.DUMMYFUNCTION("IMPORTRANGE(""https://docs.google.com/spreadsheets/d/1tdoBKaGub7dwA3U6UFTqxio9LNnvDCQjHKmttSEBsFQ/edit?usp=sharing"",""จัดที่ดิน!J27"")"),94.83)</f>
        <v>94.83</v>
      </c>
      <c r="AO27" s="68">
        <f t="shared" ca="1" si="63"/>
        <v>61.666666666666664</v>
      </c>
      <c r="AP27" s="359">
        <f ca="1">IFERROR(__xludf.DUMMYFUNCTION("IMPORTRANGE(""https://docs.google.com/spreadsheets/d/1eHaY18a8A9IcSdp1K8H6x8fbOy06t2VsZHhMHf-1x7Y/edit?usp=sharing"",""แผน!EO27"")"),150)</f>
        <v>150</v>
      </c>
      <c r="AQ27" s="151">
        <f ca="1">IFERROR(__xludf.DUMMYFUNCTION("IMPORTRANGE(""https://docs.google.com/spreadsheets/d/1tdoBKaGub7dwA3U6UFTqxio9LNnvDCQjHKmttSEBsFQ/edit?usp=sharing"",""แบ่งแปลง!D22"")"),34)</f>
        <v>34</v>
      </c>
      <c r="AR27" s="67">
        <f ca="1">IFERROR(__xludf.DUMMYFUNCTION("IMPORTRANGE(""https://docs.google.com/spreadsheets/d/1tdoBKaGub7dwA3U6UFTqxio9LNnvDCQjHKmttSEBsFQ/edit?usp=sharing"",""แบ่งแปลง!F22"")"),103.2)</f>
        <v>103.2</v>
      </c>
      <c r="AS27" s="68">
        <f t="shared" ca="1" si="65"/>
        <v>68.8</v>
      </c>
      <c r="AT27" s="359">
        <f ca="1">IFERROR(__xludf.DUMMYFUNCTION("IMPORTRANGE(""https://docs.google.com/spreadsheets/d/1eHaY18a8A9IcSdp1K8H6x8fbOy06t2VsZHhMHf-1x7Y/edit?usp=sharing"",""แผน!EP27"")"),40)</f>
        <v>40</v>
      </c>
      <c r="AU27" s="151">
        <f ca="1">IFERROR(__xludf.DUMMYFUNCTION("IMPORTRANGE(""https://docs.google.com/spreadsheets/d/1tdoBKaGub7dwA3U6UFTqxio9LNnvDCQjHKmttSEBsFQ/edit?usp=sharing"",""แบ่งแปลง!I22"")"),34)</f>
        <v>34</v>
      </c>
      <c r="AV27" s="67">
        <f ca="1">IFERROR(__xludf.DUMMYFUNCTION("IMPORTRANGE(""https://docs.google.com/spreadsheets/d/1tdoBKaGub7dwA3U6UFTqxio9LNnvDCQjHKmttSEBsFQ/edit?usp=sharing"",""แบ่งแปลง!K22"")"),103.2)</f>
        <v>103.2</v>
      </c>
      <c r="AW27" s="68">
        <f t="shared" ca="1" si="67"/>
        <v>85</v>
      </c>
      <c r="AX27" s="359">
        <f ca="1">IFERROR(__xludf.DUMMYFUNCTION("IMPORTRANGE(""https://docs.google.com/spreadsheets/d/1eHaY18a8A9IcSdp1K8H6x8fbOy06t2VsZHhMHf-1x7Y/edit?usp=sharing"",""แผน!EP27"")"),40)</f>
        <v>40</v>
      </c>
      <c r="AY27" s="151">
        <f ca="1">IFERROR(__xludf.DUMMYFUNCTION("IMPORTRANGE(""https://docs.google.com/spreadsheets/d/1tdoBKaGub7dwA3U6UFTqxio9LNnvDCQjHKmttSEBsFQ/edit?usp=sharing"",""แบ่งแปลง!X22"")"),0)</f>
        <v>0</v>
      </c>
      <c r="AZ27" s="67">
        <f ca="1">IFERROR(__xludf.DUMMYFUNCTION("IMPORTRANGE(""https://docs.google.com/spreadsheets/d/1tdoBKaGub7dwA3U6UFTqxio9LNnvDCQjHKmttSEBsFQ/edit?usp=sharing"",""แบ่งแปลง!Z22"")"),0)</f>
        <v>0</v>
      </c>
      <c r="BA27" s="68">
        <f t="shared" ca="1" si="69"/>
        <v>0</v>
      </c>
      <c r="BB27" s="360">
        <f ca="1">IFERROR(__xludf.DUMMYFUNCTION("IMPORTRANGE(""https://docs.google.com/spreadsheets/d/1eHaY18a8A9IcSdp1K8H6x8fbOy06t2VsZHhMHf-1x7Y/edit?usp=sharing"",""แผน!ES27"")"),54)</f>
        <v>54</v>
      </c>
      <c r="BC27" s="151">
        <f ca="1">IFERROR(__xludf.DUMMYFUNCTION("IMPORTRANGE(""https://docs.google.com/spreadsheets/d/1tdoBKaGub7dwA3U6UFTqxio9LNnvDCQjHKmttSEBsFQ/edit?usp=sharing"",""เต็มแปลง!I22"")"),92)</f>
        <v>92</v>
      </c>
      <c r="BD27" s="67">
        <f ca="1">IFERROR(__xludf.DUMMYFUNCTION("IMPORTRANGE(""https://docs.google.com/spreadsheets/d/1tdoBKaGub7dwA3U6UFTqxio9LNnvDCQjHKmttSEBsFQ/edit?usp=sharing"",""เต็มแปลง!K22"")"),618.9)</f>
        <v>618.9</v>
      </c>
      <c r="BE27" s="68">
        <f t="shared" ca="1" si="71"/>
        <v>170.37037037037038</v>
      </c>
      <c r="BF27" s="360">
        <f ca="1">IFERROR(__xludf.DUMMYFUNCTION("IMPORTRANGE(""https://docs.google.com/spreadsheets/d/1eHaY18a8A9IcSdp1K8H6x8fbOy06t2VsZHhMHf-1x7Y/edit?usp=sharing"",""แผน!ES27"")"),54)</f>
        <v>54</v>
      </c>
      <c r="BG27" s="151">
        <f ca="1">IFERROR(__xludf.DUMMYFUNCTION("IMPORTRANGE(""https://docs.google.com/spreadsheets/d/1tdoBKaGub7dwA3U6UFTqxio9LNnvDCQjHKmttSEBsFQ/edit?usp=sharing"",""เต็มแปลง!S22"")"),92)</f>
        <v>92</v>
      </c>
      <c r="BH27" s="67">
        <f ca="1">IFERROR(__xludf.DUMMYFUNCTION("IMPORTRANGE(""https://docs.google.com/spreadsheets/d/1tdoBKaGub7dwA3U6UFTqxio9LNnvDCQjHKmttSEBsFQ/edit?usp=sharing"",""เต็มแปลง!U22"")"),618.9)</f>
        <v>618.9</v>
      </c>
      <c r="BI27" s="68">
        <f t="shared" ca="1" si="73"/>
        <v>170.37037037037038</v>
      </c>
      <c r="BJ27" s="339"/>
    </row>
    <row r="28" spans="1:62" ht="24" customHeight="1" x14ac:dyDescent="0.3">
      <c r="A28" s="147">
        <v>15</v>
      </c>
      <c r="B28" s="148" t="s">
        <v>56</v>
      </c>
      <c r="C28" s="149">
        <f t="shared" ca="1" si="44"/>
        <v>766350</v>
      </c>
      <c r="D28" s="150">
        <f t="shared" ca="1" si="74"/>
        <v>766350</v>
      </c>
      <c r="E28" s="151">
        <f ca="1">IFERROR(__xludf.DUMMYFUNCTION("IMPORTRANGE(""https://docs.google.com/spreadsheets/d/1-uDff_7J0KD5mKrp0Vvzr7lt3OU09vwQwhkpOPPYv2Y/edit?usp=sharing"",""งบพรบ!FD28"")"),408100)</f>
        <v>408100</v>
      </c>
      <c r="F28" s="151">
        <f ca="1">IFERROR(__xludf.DUMMYFUNCTION("IMPORTRANGE(""https://docs.google.com/spreadsheets/d/1-uDff_7J0KD5mKrp0Vvzr7lt3OU09vwQwhkpOPPYv2Y/edit?usp=sharing"",""งบพรบ!FE28"")"),358250)</f>
        <v>358250</v>
      </c>
      <c r="G28" s="151">
        <f ca="1">IFERROR(__xludf.DUMMYFUNCTION("IMPORTRANGE(""https://docs.google.com/spreadsheets/d/1-uDff_7J0KD5mKrp0Vvzr7lt3OU09vwQwhkpOPPYv2Y/edit?usp=sharing"",""งบพรบ!FF28"")"),0)</f>
        <v>0</v>
      </c>
      <c r="H28" s="151">
        <f ca="1">IFERROR(__xludf.DUMMYFUNCTION("IMPORTRANGE(""https://docs.google.com/spreadsheets/d/1-uDff_7J0KD5mKrp0Vvzr7lt3OU09vwQwhkpOPPYv2Y/edit?usp=sharing"",""งบพรบ!FH28"")"),887460)</f>
        <v>887460</v>
      </c>
      <c r="I28" s="151">
        <f ca="1">IFERROR(__xludf.DUMMYFUNCTION("IMPORTRANGE(""https://docs.google.com/spreadsheets/d/1-uDff_7J0KD5mKrp0Vvzr7lt3OU09vwQwhkpOPPYv2Y/edit?usp=sharing"",""งบพรบ!FI28"")"),0)</f>
        <v>0</v>
      </c>
      <c r="J28" s="151">
        <f t="shared" ca="1" si="46"/>
        <v>749522.69</v>
      </c>
      <c r="K28" s="154">
        <f t="shared" ca="1" si="47"/>
        <v>97.804226528348664</v>
      </c>
      <c r="L28" s="151">
        <f ca="1">IFERROR(__xludf.DUMMYFUNCTION("IMPORTRANGE(""https://docs.google.com/spreadsheets/d/1-uDff_7J0KD5mKrp0Vvzr7lt3OU09vwQwhkpOPPYv2Y/edit?usp=sharing"",""งบพรบ!FJ28"")"),749522.69)</f>
        <v>749522.69</v>
      </c>
      <c r="M28" s="68">
        <f t="shared" ca="1" si="48"/>
        <v>97.804226528348664</v>
      </c>
      <c r="N28" s="68">
        <f t="shared" ca="1" si="49"/>
        <v>84.45706736078246</v>
      </c>
      <c r="O28" s="67">
        <f ca="1">IFERROR(__xludf.DUMMYFUNCTION("IMPORTRANGE(""https://docs.google.com/spreadsheets/d/1-uDff_7J0KD5mKrp0Vvzr7lt3OU09vwQwhkpOPPYv2Y/edit?usp=sharing"",""งบพรบ!FK28"")"),0)</f>
        <v>0</v>
      </c>
      <c r="P28" s="67">
        <f t="shared" ca="1" si="50"/>
        <v>0</v>
      </c>
      <c r="Q28" s="68">
        <f t="shared" ca="1" si="51"/>
        <v>0</v>
      </c>
      <c r="R28" s="149">
        <f ca="1">IFERROR(__xludf.DUMMYFUNCTION("IMPORTRANGE(""https://docs.google.com/spreadsheets/d/1B0f2xJpZUC6Z0xXnqKlZtEPzsf6L84eP1r1Q15seqRM/edit?usp=sharing"",""สุโขทัย!I368"")"),1040)</f>
        <v>1040</v>
      </c>
      <c r="S28" s="152">
        <f ca="1">IFERROR(__xludf.DUMMYFUNCTION("IMPORTRANGE(""https://docs.google.com/spreadsheets/d/1B0f2xJpZUC6Z0xXnqKlZtEPzsf6L84eP1r1Q15seqRM/edit?usp=sharing"",""สุโขทัย!J367"")"),209)</f>
        <v>209</v>
      </c>
      <c r="T28" s="357">
        <f ca="1">IFERROR(__xludf.DUMMYFUNCTION("IMPORTRANGE(""https://docs.google.com/spreadsheets/d/1B0f2xJpZUC6Z0xXnqKlZtEPzsf6L84eP1r1Q15seqRM/edit?usp=sharing"",""สุโขทัย!J368"")"),1775.40999999999)</f>
        <v>1775.4099999999901</v>
      </c>
      <c r="U28" s="216">
        <f t="shared" ca="1" si="53"/>
        <v>170.71249999999904</v>
      </c>
      <c r="V28" s="149">
        <f ca="1">IFERROR(__xludf.DUMMYFUNCTION("IMPORTRANGE(""https://docs.google.com/spreadsheets/d/1B0f2xJpZUC6Z0xXnqKlZtEPzsf6L84eP1r1Q15seqRM/edit?usp=sharing"",""สุโขทัย!I369"")"),346)</f>
        <v>346</v>
      </c>
      <c r="W28" s="152">
        <f ca="1">IFERROR(__xludf.DUMMYFUNCTION("IMPORTRANGE(""https://docs.google.com/spreadsheets/d/1B0f2xJpZUC6Z0xXnqKlZtEPzsf6L84eP1r1Q15seqRM/edit?usp=sharing"",""สุโขทัย!J369"")"),751)</f>
        <v>751</v>
      </c>
      <c r="X28" s="357">
        <f ca="1">IFERROR(__xludf.DUMMYFUNCTION("IMPORTRANGE(""https://docs.google.com/spreadsheets/d/1B0f2xJpZUC6Z0xXnqKlZtEPzsf6L84eP1r1Q15seqRM/edit?usp=sharing"",""สุโขทัย!J370"")"),8723.78)</f>
        <v>8723.7800000000007</v>
      </c>
      <c r="Y28" s="216">
        <f t="shared" ca="1" si="55"/>
        <v>217.05202312138729</v>
      </c>
      <c r="Z28" s="149">
        <f ca="1">IFERROR(__xludf.DUMMYFUNCTION("IMPORTRANGE(""https://docs.google.com/spreadsheets/d/1B0f2xJpZUC6Z0xXnqKlZtEPzsf6L84eP1r1Q15seqRM/edit?usp=sharing"",""สุโขทัย!I371"")"),346)</f>
        <v>346</v>
      </c>
      <c r="AA28" s="152">
        <f ca="1">IFERROR(__xludf.DUMMYFUNCTION("IMPORTRANGE(""https://docs.google.com/spreadsheets/d/1B0f2xJpZUC6Z0xXnqKlZtEPzsf6L84eP1r1Q15seqRM/edit?usp=sharing"",""สุโขทัย!J371"")"),596)</f>
        <v>596</v>
      </c>
      <c r="AB28" s="357">
        <f ca="1">IFERROR(__xludf.DUMMYFUNCTION("IMPORTRANGE(""https://docs.google.com/spreadsheets/d/1B0f2xJpZUC6Z0xXnqKlZtEPzsf6L84eP1r1Q15seqRM/edit?usp=sharing"",""สุโขทัย!J372"")"),7560.59)</f>
        <v>7560.59</v>
      </c>
      <c r="AC28" s="216">
        <f t="shared" ca="1" si="57"/>
        <v>172.2543352601156</v>
      </c>
      <c r="AD28" s="358">
        <f ca="1">IFERROR(__xludf.DUMMYFUNCTION("IMPORTRANGE(""https://docs.google.com/spreadsheets/d/1eHaY18a8A9IcSdp1K8H6x8fbOy06t2VsZHhMHf-1x7Y/edit?usp=sharing"",""แผน!EM28"")"),540)</f>
        <v>540</v>
      </c>
      <c r="AE28" s="151">
        <f ca="1">IFERROR(__xludf.DUMMYFUNCTION("IMPORTRANGE(""https://docs.google.com/spreadsheets/d/1tdoBKaGub7dwA3U6UFTqxio9LNnvDCQjHKmttSEBsFQ/edit?usp=sharing"",""จัดที่ดิน!E28"")"),56)</f>
        <v>56</v>
      </c>
      <c r="AF28" s="67">
        <f ca="1">IFERROR(__xludf.DUMMYFUNCTION("IMPORTRANGE(""https://docs.google.com/spreadsheets/d/1tdoBKaGub7dwA3U6UFTqxio9LNnvDCQjHKmttSEBsFQ/edit?usp=sharing"",""จัดที่ดิน!F28"")"),603.56)</f>
        <v>603.55999999999995</v>
      </c>
      <c r="AG28" s="68">
        <f t="shared" ca="1" si="59"/>
        <v>111.77037037037036</v>
      </c>
      <c r="AH28" s="358">
        <f ca="1">IFERROR(__xludf.DUMMYFUNCTION("IMPORTRANGE(""https://docs.google.com/spreadsheets/d/1eHaY18a8A9IcSdp1K8H6x8fbOy06t2VsZHhMHf-1x7Y/edit?usp=sharing"",""แผน!EN28"")"),54)</f>
        <v>54</v>
      </c>
      <c r="AI28" s="151">
        <f ca="1">IFERROR(__xludf.DUMMYFUNCTION("IMPORTRANGE(""https://docs.google.com/spreadsheets/d/1tdoBKaGub7dwA3U6UFTqxio9LNnvDCQjHKmttSEBsFQ/edit?usp=sharing"",""จัดที่ดิน!G28"")"),24)</f>
        <v>24</v>
      </c>
      <c r="AJ28" s="67">
        <f ca="1">IFERROR(__xludf.DUMMYFUNCTION("IMPORTRANGE(""https://docs.google.com/spreadsheets/d/1tdoBKaGub7dwA3U6UFTqxio9LNnvDCQjHKmttSEBsFQ/edit?usp=sharing"",""จัดที่ดิน!H28"")"),100.5)</f>
        <v>100.5</v>
      </c>
      <c r="AK28" s="68">
        <f t="shared" ca="1" si="61"/>
        <v>44.444444444444443</v>
      </c>
      <c r="AL28" s="358">
        <f ca="1">IFERROR(__xludf.DUMMYFUNCTION("IMPORTRANGE(""https://docs.google.com/spreadsheets/d/1eHaY18a8A9IcSdp1K8H6x8fbOy06t2VsZHhMHf-1x7Y/edit?usp=sharing"",""แผน!EN28"")"),54)</f>
        <v>54</v>
      </c>
      <c r="AM28" s="151">
        <f ca="1">IFERROR(__xludf.DUMMYFUNCTION("IMPORTRANGE(""https://docs.google.com/spreadsheets/d/1tdoBKaGub7dwA3U6UFTqxio9LNnvDCQjHKmttSEBsFQ/edit?usp=sharing"",""จัดที่ดิน!I28"")"),20)</f>
        <v>20</v>
      </c>
      <c r="AN28" s="67">
        <f ca="1">IFERROR(__xludf.DUMMYFUNCTION("IMPORTRANGE(""https://docs.google.com/spreadsheets/d/1tdoBKaGub7dwA3U6UFTqxio9LNnvDCQjHKmttSEBsFQ/edit?usp=sharing"",""จัดที่ดิน!J28"")"),80.5)</f>
        <v>80.5</v>
      </c>
      <c r="AO28" s="68">
        <f t="shared" ca="1" si="63"/>
        <v>37.037037037037038</v>
      </c>
      <c r="AP28" s="359">
        <f ca="1">IFERROR(__xludf.DUMMYFUNCTION("IMPORTRANGE(""https://docs.google.com/spreadsheets/d/1eHaY18a8A9IcSdp1K8H6x8fbOy06t2VsZHhMHf-1x7Y/edit?usp=sharing"",""แผน!EO28"")"),500)</f>
        <v>500</v>
      </c>
      <c r="AQ28" s="151">
        <f ca="1">IFERROR(__xludf.DUMMYFUNCTION("IMPORTRANGE(""https://docs.google.com/spreadsheets/d/1tdoBKaGub7dwA3U6UFTqxio9LNnvDCQjHKmttSEBsFQ/edit?usp=sharing"",""แบ่งแปลง!D23"")"),152)</f>
        <v>152</v>
      </c>
      <c r="AR28" s="67">
        <f ca="1">IFERROR(__xludf.DUMMYFUNCTION("IMPORTRANGE(""https://docs.google.com/spreadsheets/d/1tdoBKaGub7dwA3U6UFTqxio9LNnvDCQjHKmttSEBsFQ/edit?usp=sharing"",""แบ่งแปลง!F23"")"),1170.52)</f>
        <v>1170.52</v>
      </c>
      <c r="AS28" s="68">
        <f t="shared" ca="1" si="65"/>
        <v>234.10400000000001</v>
      </c>
      <c r="AT28" s="359">
        <f ca="1">IFERROR(__xludf.DUMMYFUNCTION("IMPORTRANGE(""https://docs.google.com/spreadsheets/d/1eHaY18a8A9IcSdp1K8H6x8fbOy06t2VsZHhMHf-1x7Y/edit?usp=sharing"",""แผน!EP28"")"),100)</f>
        <v>100</v>
      </c>
      <c r="AU28" s="151">
        <f ca="1">IFERROR(__xludf.DUMMYFUNCTION("IMPORTRANGE(""https://docs.google.com/spreadsheets/d/1tdoBKaGub7dwA3U6UFTqxio9LNnvDCQjHKmttSEBsFQ/edit?usp=sharing"",""แบ่งแปลง!I23"")"),152)</f>
        <v>152</v>
      </c>
      <c r="AV28" s="67">
        <f ca="1">IFERROR(__xludf.DUMMYFUNCTION("IMPORTRANGE(""https://docs.google.com/spreadsheets/d/1tdoBKaGub7dwA3U6UFTqxio9LNnvDCQjHKmttSEBsFQ/edit?usp=sharing"",""แบ่งแปลง!K23"")"),1163.42)</f>
        <v>1163.42</v>
      </c>
      <c r="AW28" s="68">
        <f t="shared" ca="1" si="67"/>
        <v>152</v>
      </c>
      <c r="AX28" s="359">
        <f ca="1">IFERROR(__xludf.DUMMYFUNCTION("IMPORTRANGE(""https://docs.google.com/spreadsheets/d/1eHaY18a8A9IcSdp1K8H6x8fbOy06t2VsZHhMHf-1x7Y/edit?usp=sharing"",""แผน!EP28"")"),100)</f>
        <v>100</v>
      </c>
      <c r="AY28" s="151">
        <f ca="1">IFERROR(__xludf.DUMMYFUNCTION("IMPORTRANGE(""https://docs.google.com/spreadsheets/d/1tdoBKaGub7dwA3U6UFTqxio9LNnvDCQjHKmttSEBsFQ/edit?usp=sharing"",""แบ่งแปลง!X23"")"),1)</f>
        <v>1</v>
      </c>
      <c r="AZ28" s="67">
        <f ca="1">IFERROR(__xludf.DUMMYFUNCTION("IMPORTRANGE(""https://docs.google.com/spreadsheets/d/1tdoBKaGub7dwA3U6UFTqxio9LNnvDCQjHKmttSEBsFQ/edit?usp=sharing"",""แบ่งแปลง!Z23"")"),6.62)</f>
        <v>6.62</v>
      </c>
      <c r="BA28" s="68">
        <f t="shared" ca="1" si="69"/>
        <v>1</v>
      </c>
      <c r="BB28" s="360">
        <f ca="1">IFERROR(__xludf.DUMMYFUNCTION("IMPORTRANGE(""https://docs.google.com/spreadsheets/d/1eHaY18a8A9IcSdp1K8H6x8fbOy06t2VsZHhMHf-1x7Y/edit?usp=sharing"",""แผน!ES28"")"),192)</f>
        <v>192</v>
      </c>
      <c r="BC28" s="151">
        <f ca="1">IFERROR(__xludf.DUMMYFUNCTION("IMPORTRANGE(""https://docs.google.com/spreadsheets/d/1tdoBKaGub7dwA3U6UFTqxio9LNnvDCQjHKmttSEBsFQ/edit?usp=sharing"",""เต็มแปลง!I23"")"),575)</f>
        <v>575</v>
      </c>
      <c r="BD28" s="67">
        <f ca="1">IFERROR(__xludf.DUMMYFUNCTION("IMPORTRANGE(""https://docs.google.com/spreadsheets/d/1tdoBKaGub7dwA3U6UFTqxio9LNnvDCQjHKmttSEBsFQ/edit?usp=sharing"",""เต็มแปลง!K23"")"),7459.86)</f>
        <v>7459.86</v>
      </c>
      <c r="BE28" s="68">
        <f t="shared" ca="1" si="71"/>
        <v>299.47916666666669</v>
      </c>
      <c r="BF28" s="360">
        <f ca="1">IFERROR(__xludf.DUMMYFUNCTION("IMPORTRANGE(""https://docs.google.com/spreadsheets/d/1eHaY18a8A9IcSdp1K8H6x8fbOy06t2VsZHhMHf-1x7Y/edit?usp=sharing"",""แผน!ES28"")"),192)</f>
        <v>192</v>
      </c>
      <c r="BG28" s="151">
        <f ca="1">IFERROR(__xludf.DUMMYFUNCTION("IMPORTRANGE(""https://docs.google.com/spreadsheets/d/1tdoBKaGub7dwA3U6UFTqxio9LNnvDCQjHKmttSEBsFQ/edit?usp=sharing"",""เต็มแปลง!S23"")"),575)</f>
        <v>575</v>
      </c>
      <c r="BH28" s="67">
        <f ca="1">IFERROR(__xludf.DUMMYFUNCTION("IMPORTRANGE(""https://docs.google.com/spreadsheets/d/1tdoBKaGub7dwA3U6UFTqxio9LNnvDCQjHKmttSEBsFQ/edit?usp=sharing"",""เต็มแปลง!U23"")"),7473.47)</f>
        <v>7473.47</v>
      </c>
      <c r="BI28" s="68">
        <f t="shared" ca="1" si="73"/>
        <v>299.47916666666669</v>
      </c>
      <c r="BJ28" s="339"/>
    </row>
    <row r="29" spans="1:62" ht="24" customHeight="1" x14ac:dyDescent="0.3">
      <c r="A29" s="147">
        <v>16</v>
      </c>
      <c r="B29" s="148" t="s">
        <v>57</v>
      </c>
      <c r="C29" s="149">
        <f t="shared" ca="1" si="44"/>
        <v>751200</v>
      </c>
      <c r="D29" s="150">
        <f t="shared" ca="1" si="74"/>
        <v>751200</v>
      </c>
      <c r="E29" s="151">
        <f ca="1">IFERROR(__xludf.DUMMYFUNCTION("IMPORTRANGE(""https://docs.google.com/spreadsheets/d/1-uDff_7J0KD5mKrp0Vvzr7lt3OU09vwQwhkpOPPYv2Y/edit?usp=sharing"",""งบพรบ!FD29"")"),365500)</f>
        <v>365500</v>
      </c>
      <c r="F29" s="151">
        <f ca="1">IFERROR(__xludf.DUMMYFUNCTION("IMPORTRANGE(""https://docs.google.com/spreadsheets/d/1-uDff_7J0KD5mKrp0Vvzr7lt3OU09vwQwhkpOPPYv2Y/edit?usp=sharing"",""งบพรบ!FE29"")"),385700)</f>
        <v>385700</v>
      </c>
      <c r="G29" s="151">
        <f ca="1">IFERROR(__xludf.DUMMYFUNCTION("IMPORTRANGE(""https://docs.google.com/spreadsheets/d/1-uDff_7J0KD5mKrp0Vvzr7lt3OU09vwQwhkpOPPYv2Y/edit?usp=sharing"",""งบพรบ!FF29"")"),0)</f>
        <v>0</v>
      </c>
      <c r="H29" s="151">
        <f ca="1">IFERROR(__xludf.DUMMYFUNCTION("IMPORTRANGE(""https://docs.google.com/spreadsheets/d/1-uDff_7J0KD5mKrp0Vvzr7lt3OU09vwQwhkpOPPYv2Y/edit?usp=sharing"",""งบพรบ!FH29"")"),872300)</f>
        <v>872300</v>
      </c>
      <c r="I29" s="151">
        <f ca="1">IFERROR(__xludf.DUMMYFUNCTION("IMPORTRANGE(""https://docs.google.com/spreadsheets/d/1-uDff_7J0KD5mKrp0Vvzr7lt3OU09vwQwhkpOPPYv2Y/edit?usp=sharing"",""งบพรบ!FI29"")"),0)</f>
        <v>0</v>
      </c>
      <c r="J29" s="151">
        <f t="shared" ca="1" si="46"/>
        <v>600910</v>
      </c>
      <c r="K29" s="154">
        <f t="shared" ca="1" si="47"/>
        <v>79.993343982960596</v>
      </c>
      <c r="L29" s="151">
        <f ca="1">IFERROR(__xludf.DUMMYFUNCTION("IMPORTRANGE(""https://docs.google.com/spreadsheets/d/1-uDff_7J0KD5mKrp0Vvzr7lt3OU09vwQwhkpOPPYv2Y/edit?usp=sharing"",""งบพรบ!FJ29"")"),600910)</f>
        <v>600910</v>
      </c>
      <c r="M29" s="68">
        <f t="shared" ca="1" si="48"/>
        <v>79.993343982960596</v>
      </c>
      <c r="N29" s="68">
        <f t="shared" ca="1" si="49"/>
        <v>68.887997248652979</v>
      </c>
      <c r="O29" s="67">
        <f ca="1">IFERROR(__xludf.DUMMYFUNCTION("IMPORTRANGE(""https://docs.google.com/spreadsheets/d/1-uDff_7J0KD5mKrp0Vvzr7lt3OU09vwQwhkpOPPYv2Y/edit?usp=sharing"",""งบพรบ!FK29"")"),0)</f>
        <v>0</v>
      </c>
      <c r="P29" s="67">
        <f t="shared" ca="1" si="50"/>
        <v>0</v>
      </c>
      <c r="Q29" s="68">
        <f t="shared" ca="1" si="51"/>
        <v>0</v>
      </c>
      <c r="R29" s="149">
        <f ca="1">IFERROR(__xludf.DUMMYFUNCTION("IMPORTRANGE(""https://docs.google.com/spreadsheets/d/1v0b9pFQCsKUVExMei7AgY2yQkdeNQvtOssygGsXbiKo/edit?usp=sharing"",""อุตรดิตถ์!I368"")"),1100)</f>
        <v>1100</v>
      </c>
      <c r="S29" s="152">
        <f ca="1">IFERROR(__xludf.DUMMYFUNCTION("IMPORTRANGE(""https://docs.google.com/spreadsheets/d/1v0b9pFQCsKUVExMei7AgY2yQkdeNQvtOssygGsXbiKo/edit?usp=sharing"",""อุตรดิตถ์!J367"")"),200)</f>
        <v>200</v>
      </c>
      <c r="T29" s="357">
        <f ca="1">IFERROR(__xludf.DUMMYFUNCTION("IMPORTRANGE(""https://docs.google.com/spreadsheets/d/1v0b9pFQCsKUVExMei7AgY2yQkdeNQvtOssygGsXbiKo/edit?usp=sharing"",""อุตรดิตถ์!J368"")"),1137.36)</f>
        <v>1137.3599999999999</v>
      </c>
      <c r="U29" s="216">
        <f t="shared" ca="1" si="53"/>
        <v>103.39636363636362</v>
      </c>
      <c r="V29" s="149">
        <f ca="1">IFERROR(__xludf.DUMMYFUNCTION("IMPORTRANGE(""https://docs.google.com/spreadsheets/d/1v0b9pFQCsKUVExMei7AgY2yQkdeNQvtOssygGsXbiKo/edit?usp=sharing"",""อุตรดิตถ์!I369"")"),590)</f>
        <v>590</v>
      </c>
      <c r="W29" s="152">
        <f ca="1">IFERROR(__xludf.DUMMYFUNCTION("IMPORTRANGE(""https://docs.google.com/spreadsheets/d/1v0b9pFQCsKUVExMei7AgY2yQkdeNQvtOssygGsXbiKo/edit?usp=sharing"",""อุตรดิตถ์!J369"")"),411)</f>
        <v>411</v>
      </c>
      <c r="X29" s="357">
        <f ca="1">IFERROR(__xludf.DUMMYFUNCTION("IMPORTRANGE(""https://docs.google.com/spreadsheets/d/1v0b9pFQCsKUVExMei7AgY2yQkdeNQvtOssygGsXbiKo/edit?usp=sharing"",""อุตรดิตถ์!J370"")"),4226.14)</f>
        <v>4226.1400000000003</v>
      </c>
      <c r="Y29" s="216">
        <f t="shared" ca="1" si="55"/>
        <v>69.66101694915254</v>
      </c>
      <c r="Z29" s="149">
        <f ca="1">IFERROR(__xludf.DUMMYFUNCTION("IMPORTRANGE(""https://docs.google.com/spreadsheets/d/1v0b9pFQCsKUVExMei7AgY2yQkdeNQvtOssygGsXbiKo/edit?usp=sharing"",""อุตรดิตถ์!I371"")"),590)</f>
        <v>590</v>
      </c>
      <c r="AA29" s="152">
        <f ca="1">IFERROR(__xludf.DUMMYFUNCTION("IMPORTRANGE(""https://docs.google.com/spreadsheets/d/1v0b9pFQCsKUVExMei7AgY2yQkdeNQvtOssygGsXbiKo/edit?usp=sharing"",""อุตรดิตถ์!J371"")"),329)</f>
        <v>329</v>
      </c>
      <c r="AB29" s="357">
        <f ca="1">IFERROR(__xludf.DUMMYFUNCTION("IMPORTRANGE(""https://docs.google.com/spreadsheets/d/1v0b9pFQCsKUVExMei7AgY2yQkdeNQvtOssygGsXbiKo/edit?usp=sharing"",""อุตรดิตถ์!J372"")"),3823.96)</f>
        <v>3823.96</v>
      </c>
      <c r="AC29" s="216">
        <f t="shared" ca="1" si="57"/>
        <v>55.762711864406782</v>
      </c>
      <c r="AD29" s="358">
        <f ca="1">IFERROR(__xludf.DUMMYFUNCTION("IMPORTRANGE(""https://docs.google.com/spreadsheets/d/1eHaY18a8A9IcSdp1K8H6x8fbOy06t2VsZHhMHf-1x7Y/edit?usp=sharing"",""แผน!EM29"")"),500)</f>
        <v>500</v>
      </c>
      <c r="AE29" s="151">
        <f ca="1">IFERROR(__xludf.DUMMYFUNCTION("IMPORTRANGE(""https://docs.google.com/spreadsheets/d/1tdoBKaGub7dwA3U6UFTqxio9LNnvDCQjHKmttSEBsFQ/edit?usp=sharing"",""จัดที่ดิน!E29"")"),125)</f>
        <v>125</v>
      </c>
      <c r="AF29" s="67">
        <f ca="1">IFERROR(__xludf.DUMMYFUNCTION("IMPORTRANGE(""https://docs.google.com/spreadsheets/d/1tdoBKaGub7dwA3U6UFTqxio9LNnvDCQjHKmttSEBsFQ/edit?usp=sharing"",""จัดที่ดิน!F29"")"),517.6)</f>
        <v>517.6</v>
      </c>
      <c r="AG29" s="68">
        <f t="shared" ca="1" si="59"/>
        <v>103.52</v>
      </c>
      <c r="AH29" s="358">
        <f ca="1">IFERROR(__xludf.DUMMYFUNCTION("IMPORTRANGE(""https://docs.google.com/spreadsheets/d/1eHaY18a8A9IcSdp1K8H6x8fbOy06t2VsZHhMHf-1x7Y/edit?usp=sharing"",""แผน!EN29"")"),70)</f>
        <v>70</v>
      </c>
      <c r="AI29" s="151">
        <f ca="1">IFERROR(__xludf.DUMMYFUNCTION("IMPORTRANGE(""https://docs.google.com/spreadsheets/d/1tdoBKaGub7dwA3U6UFTqxio9LNnvDCQjHKmttSEBsFQ/edit?usp=sharing"",""จัดที่ดิน!G29"")"),85)</f>
        <v>85</v>
      </c>
      <c r="AJ29" s="67">
        <f ca="1">IFERROR(__xludf.DUMMYFUNCTION("IMPORTRANGE(""https://docs.google.com/spreadsheets/d/1tdoBKaGub7dwA3U6UFTqxio9LNnvDCQjHKmttSEBsFQ/edit?usp=sharing"",""จัดที่ดิน!H29"")"),313.56)</f>
        <v>313.56</v>
      </c>
      <c r="AK29" s="68">
        <f t="shared" ca="1" si="61"/>
        <v>121.42857142857143</v>
      </c>
      <c r="AL29" s="358">
        <f ca="1">IFERROR(__xludf.DUMMYFUNCTION("IMPORTRANGE(""https://docs.google.com/spreadsheets/d/1eHaY18a8A9IcSdp1K8H6x8fbOy06t2VsZHhMHf-1x7Y/edit?usp=sharing"",""แผน!EN29"")"),70)</f>
        <v>70</v>
      </c>
      <c r="AM29" s="151">
        <f ca="1">IFERROR(__xludf.DUMMYFUNCTION("IMPORTRANGE(""https://docs.google.com/spreadsheets/d/1tdoBKaGub7dwA3U6UFTqxio9LNnvDCQjHKmttSEBsFQ/edit?usp=sharing"",""จัดที่ดิน!I29"")"),23)</f>
        <v>23</v>
      </c>
      <c r="AN29" s="67">
        <f ca="1">IFERROR(__xludf.DUMMYFUNCTION("IMPORTRANGE(""https://docs.google.com/spreadsheets/d/1tdoBKaGub7dwA3U6UFTqxio9LNnvDCQjHKmttSEBsFQ/edit?usp=sharing"",""จัดที่ดิน!J29"")"),71.2)</f>
        <v>71.2</v>
      </c>
      <c r="AO29" s="68">
        <f t="shared" ca="1" si="63"/>
        <v>32.857142857142854</v>
      </c>
      <c r="AP29" s="359">
        <f ca="1">IFERROR(__xludf.DUMMYFUNCTION("IMPORTRANGE(""https://docs.google.com/spreadsheets/d/1eHaY18a8A9IcSdp1K8H6x8fbOy06t2VsZHhMHf-1x7Y/edit?usp=sharing"",""แผน!EO29"")"),600)</f>
        <v>600</v>
      </c>
      <c r="AQ29" s="151">
        <f ca="1">IFERROR(__xludf.DUMMYFUNCTION("IMPORTRANGE(""https://docs.google.com/spreadsheets/d/1tdoBKaGub7dwA3U6UFTqxio9LNnvDCQjHKmttSEBsFQ/edit?usp=sharing"",""แบ่งแปลง!D24"")"),75)</f>
        <v>75</v>
      </c>
      <c r="AR29" s="67">
        <f ca="1">IFERROR(__xludf.DUMMYFUNCTION("IMPORTRANGE(""https://docs.google.com/spreadsheets/d/1tdoBKaGub7dwA3U6UFTqxio9LNnvDCQjHKmttSEBsFQ/edit?usp=sharing"",""แบ่งแปลง!F24"")"),619.76)</f>
        <v>619.76</v>
      </c>
      <c r="AS29" s="68">
        <f t="shared" ca="1" si="65"/>
        <v>103.29333333333334</v>
      </c>
      <c r="AT29" s="359">
        <f ca="1">IFERROR(__xludf.DUMMYFUNCTION("IMPORTRANGE(""https://docs.google.com/spreadsheets/d/1eHaY18a8A9IcSdp1K8H6x8fbOy06t2VsZHhMHf-1x7Y/edit?usp=sharing"",""แผน!EP29"")"),60)</f>
        <v>60</v>
      </c>
      <c r="AU29" s="151">
        <f ca="1">IFERROR(__xludf.DUMMYFUNCTION("IMPORTRANGE(""https://docs.google.com/spreadsheets/d/1tdoBKaGub7dwA3U6UFTqxio9LNnvDCQjHKmttSEBsFQ/edit?usp=sharing"",""แบ่งแปลง!I24"")"),23)</f>
        <v>23</v>
      </c>
      <c r="AV29" s="67">
        <f ca="1">IFERROR(__xludf.DUMMYFUNCTION("IMPORTRANGE(""https://docs.google.com/spreadsheets/d/1tdoBKaGub7dwA3U6UFTqxio9LNnvDCQjHKmttSEBsFQ/edit?usp=sharing"",""แบ่งแปลง!K24"")"),201.83)</f>
        <v>201.83</v>
      </c>
      <c r="AW29" s="68">
        <f t="shared" ca="1" si="67"/>
        <v>38.333333333333336</v>
      </c>
      <c r="AX29" s="359">
        <f ca="1">IFERROR(__xludf.DUMMYFUNCTION("IMPORTRANGE(""https://docs.google.com/spreadsheets/d/1eHaY18a8A9IcSdp1K8H6x8fbOy06t2VsZHhMHf-1x7Y/edit?usp=sharing"",""แผน!EP29"")"),60)</f>
        <v>60</v>
      </c>
      <c r="AY29" s="151">
        <f ca="1">IFERROR(__xludf.DUMMYFUNCTION("IMPORTRANGE(""https://docs.google.com/spreadsheets/d/1tdoBKaGub7dwA3U6UFTqxio9LNnvDCQjHKmttSEBsFQ/edit?usp=sharing"",""แบ่งแปลง!X24"")"),2)</f>
        <v>2</v>
      </c>
      <c r="AZ29" s="67">
        <f ca="1">IFERROR(__xludf.DUMMYFUNCTION("IMPORTRANGE(""https://docs.google.com/spreadsheets/d/1tdoBKaGub7dwA3U6UFTqxio9LNnvDCQjHKmttSEBsFQ/edit?usp=sharing"",""แบ่งแปลง!Z24"")"),43.52)</f>
        <v>43.52</v>
      </c>
      <c r="BA29" s="68">
        <f t="shared" ca="1" si="69"/>
        <v>3.3333333333333335</v>
      </c>
      <c r="BB29" s="360">
        <f ca="1">IFERROR(__xludf.DUMMYFUNCTION("IMPORTRANGE(""https://docs.google.com/spreadsheets/d/1eHaY18a8A9IcSdp1K8H6x8fbOy06t2VsZHhMHf-1x7Y/edit?usp=sharing"",""แผน!ES29"")"),460)</f>
        <v>460</v>
      </c>
      <c r="BC29" s="151">
        <f ca="1">IFERROR(__xludf.DUMMYFUNCTION("IMPORTRANGE(""https://docs.google.com/spreadsheets/d/1tdoBKaGub7dwA3U6UFTqxio9LNnvDCQjHKmttSEBsFQ/edit?usp=sharing"",""เต็มแปลง!I24"")"),303)</f>
        <v>303</v>
      </c>
      <c r="BD29" s="67">
        <f ca="1">IFERROR(__xludf.DUMMYFUNCTION("IMPORTRANGE(""https://docs.google.com/spreadsheets/d/1tdoBKaGub7dwA3U6UFTqxio9LNnvDCQjHKmttSEBsFQ/edit?usp=sharing"",""เต็มแปลง!K24"")"),3710.75)</f>
        <v>3710.75</v>
      </c>
      <c r="BE29" s="68">
        <f t="shared" ca="1" si="71"/>
        <v>65.869565217391298</v>
      </c>
      <c r="BF29" s="360">
        <f ca="1">IFERROR(__xludf.DUMMYFUNCTION("IMPORTRANGE(""https://docs.google.com/spreadsheets/d/1eHaY18a8A9IcSdp1K8H6x8fbOy06t2VsZHhMHf-1x7Y/edit?usp=sharing"",""แผน!ES29"")"),460)</f>
        <v>460</v>
      </c>
      <c r="BG29" s="151">
        <f ca="1">IFERROR(__xludf.DUMMYFUNCTION("IMPORTRANGE(""https://docs.google.com/spreadsheets/d/1tdoBKaGub7dwA3U6UFTqxio9LNnvDCQjHKmttSEBsFQ/edit?usp=sharing"",""เต็มแปลง!S24"")"),304)</f>
        <v>304</v>
      </c>
      <c r="BH29" s="67">
        <f ca="1">IFERROR(__xludf.DUMMYFUNCTION("IMPORTRANGE(""https://docs.google.com/spreadsheets/d/1tdoBKaGub7dwA3U6UFTqxio9LNnvDCQjHKmttSEBsFQ/edit?usp=sharing"",""เต็มแปลง!U24"")"),3709.25)</f>
        <v>3709.25</v>
      </c>
      <c r="BI29" s="68">
        <f t="shared" ca="1" si="73"/>
        <v>66.086956521739125</v>
      </c>
      <c r="BJ29" s="339"/>
    </row>
    <row r="30" spans="1:62" ht="24" customHeight="1" x14ac:dyDescent="0.3">
      <c r="A30" s="155">
        <v>17</v>
      </c>
      <c r="B30" s="156" t="s">
        <v>58</v>
      </c>
      <c r="C30" s="157">
        <f t="shared" ca="1" si="44"/>
        <v>680500</v>
      </c>
      <c r="D30" s="158">
        <f t="shared" ca="1" si="74"/>
        <v>680500</v>
      </c>
      <c r="E30" s="159">
        <f ca="1">IFERROR(__xludf.DUMMYFUNCTION("IMPORTRANGE(""https://docs.google.com/spreadsheets/d/1-uDff_7J0KD5mKrp0Vvzr7lt3OU09vwQwhkpOPPYv2Y/edit?usp=sharing"",""งบพรบ!FD30"")"),290500)</f>
        <v>290500</v>
      </c>
      <c r="F30" s="159">
        <f ca="1">IFERROR(__xludf.DUMMYFUNCTION("IMPORTRANGE(""https://docs.google.com/spreadsheets/d/1-uDff_7J0KD5mKrp0Vvzr7lt3OU09vwQwhkpOPPYv2Y/edit?usp=sharing"",""งบพรบ!FE30"")"),390000)</f>
        <v>390000</v>
      </c>
      <c r="G30" s="159">
        <f ca="1">IFERROR(__xludf.DUMMYFUNCTION("IMPORTRANGE(""https://docs.google.com/spreadsheets/d/1-uDff_7J0KD5mKrp0Vvzr7lt3OU09vwQwhkpOPPYv2Y/edit?usp=sharing"",""งบพรบ!FF30"")"),0)</f>
        <v>0</v>
      </c>
      <c r="H30" s="159">
        <f ca="1">IFERROR(__xludf.DUMMYFUNCTION("IMPORTRANGE(""https://docs.google.com/spreadsheets/d/1-uDff_7J0KD5mKrp0Vvzr7lt3OU09vwQwhkpOPPYv2Y/edit?usp=sharing"",""งบพรบ!FH30"")"),755500)</f>
        <v>755500</v>
      </c>
      <c r="I30" s="159">
        <f ca="1">IFERROR(__xludf.DUMMYFUNCTION("IMPORTRANGE(""https://docs.google.com/spreadsheets/d/1-uDff_7J0KD5mKrp0Vvzr7lt3OU09vwQwhkpOPPYv2Y/edit?usp=sharing"",""งบพรบ!FI30"")"),0)</f>
        <v>0</v>
      </c>
      <c r="J30" s="159">
        <f t="shared" ca="1" si="46"/>
        <v>591841</v>
      </c>
      <c r="K30" s="160">
        <f t="shared" ca="1" si="47"/>
        <v>86.97149155033064</v>
      </c>
      <c r="L30" s="159">
        <f ca="1">IFERROR(__xludf.DUMMYFUNCTION("IMPORTRANGE(""https://docs.google.com/spreadsheets/d/1-uDff_7J0KD5mKrp0Vvzr7lt3OU09vwQwhkpOPPYv2Y/edit?usp=sharing"",""งบพรบ!FJ30"")"),591841)</f>
        <v>591841</v>
      </c>
      <c r="M30" s="89">
        <f t="shared" ca="1" si="48"/>
        <v>86.97149155033064</v>
      </c>
      <c r="N30" s="89">
        <f t="shared" ca="1" si="49"/>
        <v>78.337657180675052</v>
      </c>
      <c r="O30" s="88">
        <f ca="1">IFERROR(__xludf.DUMMYFUNCTION("IMPORTRANGE(""https://docs.google.com/spreadsheets/d/1-uDff_7J0KD5mKrp0Vvzr7lt3OU09vwQwhkpOPPYv2Y/edit?usp=sharing"",""งบพรบ!FK30"")"),0)</f>
        <v>0</v>
      </c>
      <c r="P30" s="88">
        <f t="shared" ca="1" si="50"/>
        <v>0</v>
      </c>
      <c r="Q30" s="89">
        <f t="shared" ca="1" si="51"/>
        <v>0</v>
      </c>
      <c r="R30" s="157">
        <f ca="1">IFERROR(__xludf.DUMMYFUNCTION("IMPORTRANGE(""https://docs.google.com/spreadsheets/d/1UsNK1e-WWiCo2PvGqdNfdme4m17_Ezd3J69EeeiQPD0/edit?usp=sharing"",""อุทัยธานี!I368"")"),1620)</f>
        <v>1620</v>
      </c>
      <c r="S30" s="191">
        <f ca="1">IFERROR(__xludf.DUMMYFUNCTION("IMPORTRANGE(""https://docs.google.com/spreadsheets/d/1UsNK1e-WWiCo2PvGqdNfdme4m17_Ezd3J69EeeiQPD0/edit?usp=sharing"",""อุทัยธานี!J367"")"),148)</f>
        <v>148</v>
      </c>
      <c r="T30" s="365">
        <f ca="1">IFERROR(__xludf.DUMMYFUNCTION("IMPORTRANGE(""https://docs.google.com/spreadsheets/d/1UsNK1e-WWiCo2PvGqdNfdme4m17_Ezd3J69EeeiQPD0/edit?usp=sharing"",""อุทัยธานี!J368"")"),1523.25999999999)</f>
        <v>1523.25999999999</v>
      </c>
      <c r="U30" s="218">
        <f t="shared" ca="1" si="53"/>
        <v>94.028395061727778</v>
      </c>
      <c r="V30" s="157">
        <f ca="1">IFERROR(__xludf.DUMMYFUNCTION("IMPORTRANGE(""https://docs.google.com/spreadsheets/d/1UsNK1e-WWiCo2PvGqdNfdme4m17_Ezd3J69EeeiQPD0/edit?usp=sharing"",""อุทัยธานี!I369"")"),314)</f>
        <v>314</v>
      </c>
      <c r="W30" s="191">
        <f ca="1">IFERROR(__xludf.DUMMYFUNCTION("IMPORTRANGE(""https://docs.google.com/spreadsheets/d/1UsNK1e-WWiCo2PvGqdNfdme4m17_Ezd3J69EeeiQPD0/edit?usp=sharing"",""อุทัยธานี!J369"")"),371)</f>
        <v>371</v>
      </c>
      <c r="X30" s="365">
        <f ca="1">IFERROR(__xludf.DUMMYFUNCTION("IMPORTRANGE(""https://docs.google.com/spreadsheets/d/1UsNK1e-WWiCo2PvGqdNfdme4m17_Ezd3J69EeeiQPD0/edit?usp=sharing"",""อุทัยธานี!J370"")"),6259.89)</f>
        <v>6259.89</v>
      </c>
      <c r="Y30" s="218">
        <f t="shared" ca="1" si="55"/>
        <v>118.15286624203821</v>
      </c>
      <c r="Z30" s="157">
        <f ca="1">IFERROR(__xludf.DUMMYFUNCTION("IMPORTRANGE(""https://docs.google.com/spreadsheets/d/1UsNK1e-WWiCo2PvGqdNfdme4m17_Ezd3J69EeeiQPD0/edit?usp=sharing"",""อุทัยธานี!I371"")"),314)</f>
        <v>314</v>
      </c>
      <c r="AA30" s="191">
        <f ca="1">IFERROR(__xludf.DUMMYFUNCTION("IMPORTRANGE(""https://docs.google.com/spreadsheets/d/1UsNK1e-WWiCo2PvGqdNfdme4m17_Ezd3J69EeeiQPD0/edit?usp=sharing"",""อุทัยธานี!J371"")"),308)</f>
        <v>308</v>
      </c>
      <c r="AB30" s="365">
        <f ca="1">IFERROR(__xludf.DUMMYFUNCTION("IMPORTRANGE(""https://docs.google.com/spreadsheets/d/1UsNK1e-WWiCo2PvGqdNfdme4m17_Ezd3J69EeeiQPD0/edit?usp=sharing"",""อุทัยธานี!J372"")"),5486.74)</f>
        <v>5486.74</v>
      </c>
      <c r="AC30" s="218">
        <f t="shared" ca="1" si="57"/>
        <v>98.089171974522287</v>
      </c>
      <c r="AD30" s="366">
        <f ca="1">IFERROR(__xludf.DUMMYFUNCTION("IMPORTRANGE(""https://docs.google.com/spreadsheets/d/1eHaY18a8A9IcSdp1K8H6x8fbOy06t2VsZHhMHf-1x7Y/edit?usp=sharing"",""แผน!EM30"")"),270)</f>
        <v>270</v>
      </c>
      <c r="AE30" s="159">
        <f ca="1">IFERROR(__xludf.DUMMYFUNCTION("IMPORTRANGE(""https://docs.google.com/spreadsheets/d/1tdoBKaGub7dwA3U6UFTqxio9LNnvDCQjHKmttSEBsFQ/edit?usp=sharing"",""จัดที่ดิน!E30"")"),18)</f>
        <v>18</v>
      </c>
      <c r="AF30" s="88">
        <f ca="1">IFERROR(__xludf.DUMMYFUNCTION("IMPORTRANGE(""https://docs.google.com/spreadsheets/d/1tdoBKaGub7dwA3U6UFTqxio9LNnvDCQjHKmttSEBsFQ/edit?usp=sharing"",""จัดที่ดิน!F30"")"),271.64)</f>
        <v>271.64</v>
      </c>
      <c r="AG30" s="89">
        <f t="shared" ca="1" si="59"/>
        <v>100.60740740740741</v>
      </c>
      <c r="AH30" s="366">
        <f ca="1">IFERROR(__xludf.DUMMYFUNCTION("IMPORTRANGE(""https://docs.google.com/spreadsheets/d/1eHaY18a8A9IcSdp1K8H6x8fbOy06t2VsZHhMHf-1x7Y/edit?usp=sharing"",""แผน!EN30"")"),27)</f>
        <v>27</v>
      </c>
      <c r="AI30" s="159">
        <f ca="1">IFERROR(__xludf.DUMMYFUNCTION("IMPORTRANGE(""https://docs.google.com/spreadsheets/d/1tdoBKaGub7dwA3U6UFTqxio9LNnvDCQjHKmttSEBsFQ/edit?usp=sharing"",""จัดที่ดิน!G30"")"),9)</f>
        <v>9</v>
      </c>
      <c r="AJ30" s="88">
        <f ca="1">IFERROR(__xludf.DUMMYFUNCTION("IMPORTRANGE(""https://docs.google.com/spreadsheets/d/1tdoBKaGub7dwA3U6UFTqxio9LNnvDCQjHKmttSEBsFQ/edit?usp=sharing"",""จัดที่ดิน!H30"")"),130.42)</f>
        <v>130.41999999999999</v>
      </c>
      <c r="AK30" s="89">
        <f t="shared" ca="1" si="61"/>
        <v>33.333333333333336</v>
      </c>
      <c r="AL30" s="366">
        <f ca="1">IFERROR(__xludf.DUMMYFUNCTION("IMPORTRANGE(""https://docs.google.com/spreadsheets/d/1eHaY18a8A9IcSdp1K8H6x8fbOy06t2VsZHhMHf-1x7Y/edit?usp=sharing"",""แผน!EN30"")"),27)</f>
        <v>27</v>
      </c>
      <c r="AM30" s="159">
        <f ca="1">IFERROR(__xludf.DUMMYFUNCTION("IMPORTRANGE(""https://docs.google.com/spreadsheets/d/1tdoBKaGub7dwA3U6UFTqxio9LNnvDCQjHKmttSEBsFQ/edit?usp=sharing"",""จัดที่ดิน!I30"")"),3)</f>
        <v>3</v>
      </c>
      <c r="AN30" s="88">
        <f ca="1">IFERROR(__xludf.DUMMYFUNCTION("IMPORTRANGE(""https://docs.google.com/spreadsheets/d/1tdoBKaGub7dwA3U6UFTqxio9LNnvDCQjHKmttSEBsFQ/edit?usp=sharing"",""จัดที่ดิน!J30"")"),42.2)</f>
        <v>42.2</v>
      </c>
      <c r="AO30" s="89">
        <f t="shared" ca="1" si="63"/>
        <v>11.111111111111111</v>
      </c>
      <c r="AP30" s="367">
        <f ca="1">IFERROR(__xludf.DUMMYFUNCTION("IMPORTRANGE(""https://docs.google.com/spreadsheets/d/1eHaY18a8A9IcSdp1K8H6x8fbOy06t2VsZHhMHf-1x7Y/edit?usp=sharing"",""แผน!EO30"")"),1350)</f>
        <v>1350</v>
      </c>
      <c r="AQ30" s="159">
        <f ca="1">IFERROR(__xludf.DUMMYFUNCTION("IMPORTRANGE(""https://docs.google.com/spreadsheets/d/1tdoBKaGub7dwA3U6UFTqxio9LNnvDCQjHKmttSEBsFQ/edit?usp=sharing"",""แบ่งแปลง!D25"")"),130)</f>
        <v>130</v>
      </c>
      <c r="AR30" s="88">
        <f ca="1">IFERROR(__xludf.DUMMYFUNCTION("IMPORTRANGE(""https://docs.google.com/spreadsheets/d/1tdoBKaGub7dwA3U6UFTqxio9LNnvDCQjHKmttSEBsFQ/edit?usp=sharing"",""แบ่งแปลง!F25"")"),1251.62)</f>
        <v>1251.6199999999999</v>
      </c>
      <c r="AS30" s="89">
        <f t="shared" ca="1" si="65"/>
        <v>92.712592592592586</v>
      </c>
      <c r="AT30" s="367">
        <f ca="1">IFERROR(__xludf.DUMMYFUNCTION("IMPORTRANGE(""https://docs.google.com/spreadsheets/d/1eHaY18a8A9IcSdp1K8H6x8fbOy06t2VsZHhMHf-1x7Y/edit?usp=sharing"",""แผน!EP30"")"),125)</f>
        <v>125</v>
      </c>
      <c r="AU30" s="159">
        <f ca="1">IFERROR(__xludf.DUMMYFUNCTION("IMPORTRANGE(""https://docs.google.com/spreadsheets/d/1tdoBKaGub7dwA3U6UFTqxio9LNnvDCQjHKmttSEBsFQ/edit?usp=sharing"",""แบ่งแปลง!I25"")"),95)</f>
        <v>95</v>
      </c>
      <c r="AV30" s="88">
        <f ca="1">IFERROR(__xludf.DUMMYFUNCTION("IMPORTRANGE(""https://docs.google.com/spreadsheets/d/1tdoBKaGub7dwA3U6UFTqxio9LNnvDCQjHKmttSEBsFQ/edit?usp=sharing"",""แบ่งแปลง!K25"")"),948.16)</f>
        <v>948.16</v>
      </c>
      <c r="AW30" s="89">
        <f t="shared" ca="1" si="67"/>
        <v>76</v>
      </c>
      <c r="AX30" s="367">
        <f ca="1">IFERROR(__xludf.DUMMYFUNCTION("IMPORTRANGE(""https://docs.google.com/spreadsheets/d/1eHaY18a8A9IcSdp1K8H6x8fbOy06t2VsZHhMHf-1x7Y/edit?usp=sharing"",""แผน!EP30"")"),125)</f>
        <v>125</v>
      </c>
      <c r="AY30" s="159">
        <f ca="1">IFERROR(__xludf.DUMMYFUNCTION("IMPORTRANGE(""https://docs.google.com/spreadsheets/d/1tdoBKaGub7dwA3U6UFTqxio9LNnvDCQjHKmttSEBsFQ/edit?usp=sharing"",""แบ่งแปลง!X25"")"),36)</f>
        <v>36</v>
      </c>
      <c r="AZ30" s="88">
        <f ca="1">IFERROR(__xludf.DUMMYFUNCTION("IMPORTRANGE(""https://docs.google.com/spreadsheets/d/1tdoBKaGub7dwA3U6UFTqxio9LNnvDCQjHKmttSEBsFQ/edit?usp=sharing"",""แบ่งแปลง!Z25"")"),263.24)</f>
        <v>263.24</v>
      </c>
      <c r="BA30" s="89">
        <f t="shared" ca="1" si="69"/>
        <v>28.8</v>
      </c>
      <c r="BB30" s="368">
        <f ca="1">IFERROR(__xludf.DUMMYFUNCTION("IMPORTRANGE(""https://docs.google.com/spreadsheets/d/1eHaY18a8A9IcSdp1K8H6x8fbOy06t2VsZHhMHf-1x7Y/edit?usp=sharing"",""แผน!ES30"")"),162)</f>
        <v>162</v>
      </c>
      <c r="BC30" s="159">
        <f ca="1">IFERROR(__xludf.DUMMYFUNCTION("IMPORTRANGE(""https://docs.google.com/spreadsheets/d/1tdoBKaGub7dwA3U6UFTqxio9LNnvDCQjHKmttSEBsFQ/edit?usp=sharing"",""เต็มแปลง!I25"")"),269)</f>
        <v>269</v>
      </c>
      <c r="BD30" s="88">
        <f ca="1">IFERROR(__xludf.DUMMYFUNCTION("IMPORTRANGE(""https://docs.google.com/spreadsheets/d/1tdoBKaGub7dwA3U6UFTqxio9LNnvDCQjHKmttSEBsFQ/edit?usp=sharing"",""เต็มแปลง!K25"")"),5181.31)</f>
        <v>5181.3100000000004</v>
      </c>
      <c r="BE30" s="89">
        <f t="shared" ca="1" si="71"/>
        <v>166.04938271604939</v>
      </c>
      <c r="BF30" s="368">
        <f ca="1">IFERROR(__xludf.DUMMYFUNCTION("IMPORTRANGE(""https://docs.google.com/spreadsheets/d/1eHaY18a8A9IcSdp1K8H6x8fbOy06t2VsZHhMHf-1x7Y/edit?usp=sharing"",""แผน!ES30"")"),162)</f>
        <v>162</v>
      </c>
      <c r="BG30" s="159">
        <f ca="1">IFERROR(__xludf.DUMMYFUNCTION("IMPORTRANGE(""https://docs.google.com/spreadsheets/d/1tdoBKaGub7dwA3U6UFTqxio9LNnvDCQjHKmttSEBsFQ/edit?usp=sharing"",""เต็มแปลง!S25"")"),269)</f>
        <v>269</v>
      </c>
      <c r="BH30" s="88">
        <f ca="1">IFERROR(__xludf.DUMMYFUNCTION("IMPORTRANGE(""https://docs.google.com/spreadsheets/d/1tdoBKaGub7dwA3U6UFTqxio9LNnvDCQjHKmttSEBsFQ/edit?usp=sharing"",""เต็มแปลง!U25"")"),5181.31)</f>
        <v>5181.3100000000004</v>
      </c>
      <c r="BI30" s="89">
        <f t="shared" ca="1" si="73"/>
        <v>166.04938271604939</v>
      </c>
      <c r="BJ30" s="339"/>
    </row>
    <row r="31" spans="1:62" ht="21" customHeight="1" x14ac:dyDescent="0.3">
      <c r="A31" s="696" t="s">
        <v>59</v>
      </c>
      <c r="B31" s="662"/>
      <c r="C31" s="161">
        <f t="shared" ca="1" si="44"/>
        <v>21224400</v>
      </c>
      <c r="D31" s="161">
        <f t="shared" ref="D31:I31" ca="1" si="75">SUM(D32:D51)</f>
        <v>21224400</v>
      </c>
      <c r="E31" s="161">
        <f t="shared" ca="1" si="75"/>
        <v>6306300</v>
      </c>
      <c r="F31" s="161">
        <f t="shared" ca="1" si="75"/>
        <v>14918100</v>
      </c>
      <c r="G31" s="161">
        <f t="shared" ca="1" si="75"/>
        <v>0</v>
      </c>
      <c r="H31" s="161">
        <f t="shared" ca="1" si="75"/>
        <v>24546480.800000001</v>
      </c>
      <c r="I31" s="161">
        <f t="shared" ca="1" si="75"/>
        <v>0</v>
      </c>
      <c r="J31" s="161">
        <f t="shared" ca="1" si="46"/>
        <v>19235787.5</v>
      </c>
      <c r="K31" s="162">
        <f t="shared" ca="1" si="47"/>
        <v>90.630536081114187</v>
      </c>
      <c r="L31" s="161">
        <f ca="1">SUM(L32:L51)</f>
        <v>19235787.5</v>
      </c>
      <c r="M31" s="94">
        <f t="shared" ca="1" si="48"/>
        <v>90.630536081114187</v>
      </c>
      <c r="N31" s="94">
        <f t="shared" ca="1" si="49"/>
        <v>78.3647466890651</v>
      </c>
      <c r="O31" s="93">
        <f ca="1">SUM(O32:O51)</f>
        <v>0</v>
      </c>
      <c r="P31" s="93">
        <f t="shared" ca="1" si="50"/>
        <v>0</v>
      </c>
      <c r="Q31" s="94">
        <f t="shared" ca="1" si="51"/>
        <v>0</v>
      </c>
      <c r="R31" s="369">
        <f t="shared" ref="R31:T31" ca="1" si="76">SUM(R32:R51)</f>
        <v>61465</v>
      </c>
      <c r="S31" s="161">
        <f t="shared" ca="1" si="76"/>
        <v>7913</v>
      </c>
      <c r="T31" s="93">
        <f t="shared" ca="1" si="76"/>
        <v>68807.009999999995</v>
      </c>
      <c r="U31" s="94">
        <f t="shared" ca="1" si="53"/>
        <v>111.94502562433904</v>
      </c>
      <c r="V31" s="369">
        <f t="shared" ref="V31:X31" ca="1" si="77">SUM(V32:V51)</f>
        <v>17510</v>
      </c>
      <c r="W31" s="161">
        <f t="shared" ca="1" si="77"/>
        <v>17129</v>
      </c>
      <c r="X31" s="93">
        <f t="shared" ca="1" si="77"/>
        <v>193652.76999999993</v>
      </c>
      <c r="Y31" s="94">
        <f t="shared" ca="1" si="55"/>
        <v>97.824100513992008</v>
      </c>
      <c r="Z31" s="369">
        <f t="shared" ref="Z31:AB31" ca="1" si="78">SUM(Z32:Z51)</f>
        <v>17510</v>
      </c>
      <c r="AA31" s="161">
        <f t="shared" ca="1" si="78"/>
        <v>13330</v>
      </c>
      <c r="AB31" s="93">
        <f t="shared" ca="1" si="78"/>
        <v>154513.21999999988</v>
      </c>
      <c r="AC31" s="94">
        <f t="shared" ca="1" si="57"/>
        <v>76.127926898914907</v>
      </c>
      <c r="AD31" s="369">
        <f t="shared" ref="AD31:AF31" ca="1" si="79">SUM(AD32:AD51)</f>
        <v>22400</v>
      </c>
      <c r="AE31" s="161">
        <f t="shared" ca="1" si="79"/>
        <v>2672</v>
      </c>
      <c r="AF31" s="93">
        <f t="shared" ca="1" si="79"/>
        <v>24430.14</v>
      </c>
      <c r="AG31" s="94">
        <f t="shared" ca="1" si="59"/>
        <v>109.063125</v>
      </c>
      <c r="AH31" s="369">
        <f t="shared" ref="AH31:AJ31" ca="1" si="80">SUM(AH32:AH51)</f>
        <v>2128</v>
      </c>
      <c r="AI31" s="161">
        <f t="shared" ca="1" si="80"/>
        <v>1677</v>
      </c>
      <c r="AJ31" s="93">
        <f t="shared" ca="1" si="80"/>
        <v>16124.890000000001</v>
      </c>
      <c r="AK31" s="94">
        <f t="shared" ca="1" si="61"/>
        <v>78.806390977443613</v>
      </c>
      <c r="AL31" s="369">
        <f t="shared" ref="AL31:AN31" ca="1" si="81">SUM(AL32:AL51)</f>
        <v>2128</v>
      </c>
      <c r="AM31" s="161">
        <f t="shared" ca="1" si="81"/>
        <v>824</v>
      </c>
      <c r="AN31" s="93">
        <f t="shared" ca="1" si="81"/>
        <v>6962.7699999999995</v>
      </c>
      <c r="AO31" s="94">
        <f t="shared" ca="1" si="63"/>
        <v>38.721804511278194</v>
      </c>
      <c r="AP31" s="369">
        <f t="shared" ref="AP31:AR31" ca="1" si="82">SUM(AP32:AP51)</f>
        <v>39065</v>
      </c>
      <c r="AQ31" s="161">
        <f t="shared" ca="1" si="82"/>
        <v>5190</v>
      </c>
      <c r="AR31" s="93">
        <f t="shared" ca="1" si="82"/>
        <v>43532.919999999991</v>
      </c>
      <c r="AS31" s="94">
        <f t="shared" ca="1" si="65"/>
        <v>111.43714322283371</v>
      </c>
      <c r="AT31" s="369">
        <f t="shared" ref="AT31:AV31" ca="1" si="83">SUM(AT32:AT51)</f>
        <v>6150</v>
      </c>
      <c r="AU31" s="161">
        <f t="shared" ca="1" si="83"/>
        <v>4577</v>
      </c>
      <c r="AV31" s="93">
        <f t="shared" ca="1" si="83"/>
        <v>39950.389999999992</v>
      </c>
      <c r="AW31" s="94">
        <f t="shared" ca="1" si="67"/>
        <v>74.422764227642276</v>
      </c>
      <c r="AX31" s="369">
        <f t="shared" ref="AX31:AZ31" ca="1" si="84">SUM(AX32:AX51)</f>
        <v>6150</v>
      </c>
      <c r="AY31" s="161">
        <f t="shared" ca="1" si="84"/>
        <v>2360</v>
      </c>
      <c r="AZ31" s="93">
        <f t="shared" ca="1" si="84"/>
        <v>19679.759999999998</v>
      </c>
      <c r="BA31" s="94">
        <f t="shared" ca="1" si="69"/>
        <v>38.373983739837399</v>
      </c>
      <c r="BB31" s="369">
        <f t="shared" ref="BB31:BD31" ca="1" si="85">SUM(BB32:BB51)</f>
        <v>9232</v>
      </c>
      <c r="BC31" s="161">
        <f t="shared" ca="1" si="85"/>
        <v>10936</v>
      </c>
      <c r="BD31" s="93">
        <f t="shared" ca="1" si="85"/>
        <v>137577.50000000003</v>
      </c>
      <c r="BE31" s="94">
        <f t="shared" ca="1" si="71"/>
        <v>118.4575389948007</v>
      </c>
      <c r="BF31" s="369">
        <f t="shared" ref="BF31:BH31" ca="1" si="86">SUM(BF32:BF51)</f>
        <v>9232</v>
      </c>
      <c r="BG31" s="161">
        <f t="shared" ca="1" si="86"/>
        <v>10188</v>
      </c>
      <c r="BH31" s="93">
        <f t="shared" ca="1" si="86"/>
        <v>127870.73</v>
      </c>
      <c r="BI31" s="94">
        <f t="shared" ca="1" si="73"/>
        <v>110.35528596187174</v>
      </c>
      <c r="BJ31" s="356"/>
    </row>
    <row r="32" spans="1:62" ht="21" customHeight="1" x14ac:dyDescent="0.3">
      <c r="A32" s="147">
        <v>1</v>
      </c>
      <c r="B32" s="148" t="s">
        <v>60</v>
      </c>
      <c r="C32" s="149">
        <f t="shared" ca="1" si="44"/>
        <v>766470</v>
      </c>
      <c r="D32" s="150">
        <f t="shared" ref="D32:D51" ca="1" si="87">+E32+F32</f>
        <v>766470</v>
      </c>
      <c r="E32" s="151">
        <f ca="1">IFERROR(__xludf.DUMMYFUNCTION("IMPORTRANGE(""https://docs.google.com/spreadsheets/d/1-uDff_7J0KD5mKrp0Vvzr7lt3OU09vwQwhkpOPPYv2Y/edit?usp=sharing"",""งบพรบ!FD32"")"),250600)</f>
        <v>250600</v>
      </c>
      <c r="F32" s="151">
        <f ca="1">IFERROR(__xludf.DUMMYFUNCTION("IMPORTRANGE(""https://docs.google.com/spreadsheets/d/1-uDff_7J0KD5mKrp0Vvzr7lt3OU09vwQwhkpOPPYv2Y/edit?usp=sharing"",""งบพรบ!FE32"")"),515870)</f>
        <v>515870</v>
      </c>
      <c r="G32" s="152">
        <f ca="1">IFERROR(__xludf.DUMMYFUNCTION("IMPORTRANGE(""https://docs.google.com/spreadsheets/d/1-uDff_7J0KD5mKrp0Vvzr7lt3OU09vwQwhkpOPPYv2Y/edit?usp=sharing"",""งบพรบ!FF32"")"),0)</f>
        <v>0</v>
      </c>
      <c r="H32" s="152">
        <f ca="1">IFERROR(__xludf.DUMMYFUNCTION("IMPORTRANGE(""https://docs.google.com/spreadsheets/d/1-uDff_7J0KD5mKrp0Vvzr7lt3OU09vwQwhkpOPPYv2Y/edit?usp=sharing"",""งบพรบ!FH32"")"),884470)</f>
        <v>884470</v>
      </c>
      <c r="I32" s="152">
        <f ca="1">IFERROR(__xludf.DUMMYFUNCTION("IMPORTRANGE(""https://docs.google.com/spreadsheets/d/1-uDff_7J0KD5mKrp0Vvzr7lt3OU09vwQwhkpOPPYv2Y/edit?usp=sharing"",""งบพรบ!FI32"")"),0)</f>
        <v>0</v>
      </c>
      <c r="J32" s="152">
        <f t="shared" ca="1" si="46"/>
        <v>862169.07</v>
      </c>
      <c r="K32" s="153">
        <f t="shared" ca="1" si="47"/>
        <v>112.48569024227955</v>
      </c>
      <c r="L32" s="152">
        <f ca="1">IFERROR(__xludf.DUMMYFUNCTION("IMPORTRANGE(""https://docs.google.com/spreadsheets/d/1-uDff_7J0KD5mKrp0Vvzr7lt3OU09vwQwhkpOPPYv2Y/edit?usp=sharing"",""งบพรบ!FJ32"")"),862169.07)</f>
        <v>862169.07</v>
      </c>
      <c r="M32" s="68">
        <f t="shared" ca="1" si="48"/>
        <v>112.48569024227955</v>
      </c>
      <c r="N32" s="68">
        <f t="shared" ca="1" si="49"/>
        <v>97.478610919533736</v>
      </c>
      <c r="O32" s="67">
        <f ca="1">IFERROR(__xludf.DUMMYFUNCTION("IMPORTRANGE(""https://docs.google.com/spreadsheets/d/1-uDff_7J0KD5mKrp0Vvzr7lt3OU09vwQwhkpOPPYv2Y/edit?usp=sharing"",""งบพรบ!FK32"")"),0)</f>
        <v>0</v>
      </c>
      <c r="P32" s="67">
        <f t="shared" ca="1" si="50"/>
        <v>0</v>
      </c>
      <c r="Q32" s="68">
        <f t="shared" ca="1" si="51"/>
        <v>0</v>
      </c>
      <c r="R32" s="149">
        <f ca="1">IFERROR(__xludf.DUMMYFUNCTION("IMPORTRANGE(""https://docs.google.com/spreadsheets/d/1yhBcrRPreicbMKl9Bu_Snb2-OcQAF62RKfhTLhJ2eAA/edit?usp=sharing"",""กาฬสินธุ์!I368"")"),2430)</f>
        <v>2430</v>
      </c>
      <c r="S32" s="152">
        <f ca="1">IFERROR(__xludf.DUMMYFUNCTION("IMPORTRANGE(""https://docs.google.com/spreadsheets/d/1yhBcrRPreicbMKl9Bu_Snb2-OcQAF62RKfhTLhJ2eAA/edit?usp=sharing"",""กาฬสินธุ์!J367"")"),313)</f>
        <v>313</v>
      </c>
      <c r="T32" s="357">
        <f ca="1">IFERROR(__xludf.DUMMYFUNCTION("IMPORTRANGE(""https://docs.google.com/spreadsheets/d/1yhBcrRPreicbMKl9Bu_Snb2-OcQAF62RKfhTLhJ2eAA/edit?usp=sharing"",""กาฬสินธุ์!J368"")"),2519.87)</f>
        <v>2519.87</v>
      </c>
      <c r="U32" s="216">
        <f t="shared" ca="1" si="53"/>
        <v>103.69835390946503</v>
      </c>
      <c r="V32" s="149">
        <f ca="1">IFERROR(__xludf.DUMMYFUNCTION("IMPORTRANGE(""https://docs.google.com/spreadsheets/d/1yhBcrRPreicbMKl9Bu_Snb2-OcQAF62RKfhTLhJ2eAA/edit?usp=sharing"",""กาฬสินธุ์!I369"")"),514)</f>
        <v>514</v>
      </c>
      <c r="W32" s="152">
        <f ca="1">IFERROR(__xludf.DUMMYFUNCTION("IMPORTRANGE(""https://docs.google.com/spreadsheets/d/1yhBcrRPreicbMKl9Bu_Snb2-OcQAF62RKfhTLhJ2eAA/edit?usp=sharing"",""กาฬสินธุ์!J369"")"),675)</f>
        <v>675</v>
      </c>
      <c r="X32" s="357">
        <f ca="1">IFERROR(__xludf.DUMMYFUNCTION("IMPORTRANGE(""https://docs.google.com/spreadsheets/d/1yhBcrRPreicbMKl9Bu_Snb2-OcQAF62RKfhTLhJ2eAA/edit?usp=sharing"",""กาฬสินธุ์!J370"")"),7135.4)</f>
        <v>7135.4</v>
      </c>
      <c r="Y32" s="216">
        <f t="shared" ca="1" si="55"/>
        <v>131.32295719844359</v>
      </c>
      <c r="Z32" s="149">
        <f ca="1">IFERROR(__xludf.DUMMYFUNCTION("IMPORTRANGE(""https://docs.google.com/spreadsheets/d/1yhBcrRPreicbMKl9Bu_Snb2-OcQAF62RKfhTLhJ2eAA/edit?usp=sharing"",""กาฬสินธุ์!I371"")"),514)</f>
        <v>514</v>
      </c>
      <c r="AA32" s="152">
        <f ca="1">IFERROR(__xludf.DUMMYFUNCTION("IMPORTRANGE(""https://docs.google.com/spreadsheets/d/1yhBcrRPreicbMKl9Bu_Snb2-OcQAF62RKfhTLhJ2eAA/edit?usp=sharing"",""กาฬสินธุ์!J371"")"),457)</f>
        <v>457</v>
      </c>
      <c r="AB32" s="357">
        <f ca="1">IFERROR(__xludf.DUMMYFUNCTION("IMPORTRANGE(""https://docs.google.com/spreadsheets/d/1yhBcrRPreicbMKl9Bu_Snb2-OcQAF62RKfhTLhJ2eAA/edit?usp=sharing"",""กาฬสินธุ์!J372"")"),5470.7)</f>
        <v>5470.7</v>
      </c>
      <c r="AC32" s="216">
        <f t="shared" ca="1" si="57"/>
        <v>88.910505836575879</v>
      </c>
      <c r="AD32" s="358">
        <f ca="1">IFERROR(__xludf.DUMMYFUNCTION("IMPORTRANGE(""https://docs.google.com/spreadsheets/d/1eHaY18a8A9IcSdp1K8H6x8fbOy06t2VsZHhMHf-1x7Y/edit?usp=sharing"",""แผน!EM32"")"),400)</f>
        <v>400</v>
      </c>
      <c r="AE32" s="151">
        <f ca="1">IFERROR(__xludf.DUMMYFUNCTION("IMPORTRANGE(""https://docs.google.com/spreadsheets/d/1tdoBKaGub7dwA3U6UFTqxio9LNnvDCQjHKmttSEBsFQ/edit?usp=sharing"",""จัดที่ดิน!E32"")"),51)</f>
        <v>51</v>
      </c>
      <c r="AF32" s="67">
        <f ca="1">IFERROR(__xludf.DUMMYFUNCTION("IMPORTRANGE(""https://docs.google.com/spreadsheets/d/1tdoBKaGub7dwA3U6UFTqxio9LNnvDCQjHKmttSEBsFQ/edit?usp=sharing"",""จัดที่ดิน!F32"")"),444.32)</f>
        <v>444.32</v>
      </c>
      <c r="AG32" s="68">
        <f t="shared" ca="1" si="59"/>
        <v>111.08</v>
      </c>
      <c r="AH32" s="358">
        <f ca="1">IFERROR(__xludf.DUMMYFUNCTION("IMPORTRANGE(""https://docs.google.com/spreadsheets/d/1eHaY18a8A9IcSdp1K8H6x8fbOy06t2VsZHhMHf-1x7Y/edit?usp=sharing"",""แผน!EN32"")"),38)</f>
        <v>38</v>
      </c>
      <c r="AI32" s="151">
        <f ca="1">IFERROR(__xludf.DUMMYFUNCTION("IMPORTRANGE(""https://docs.google.com/spreadsheets/d/1tdoBKaGub7dwA3U6UFTqxio9LNnvDCQjHKmttSEBsFQ/edit?usp=sharing"",""จัดที่ดิน!G32"")"),42)</f>
        <v>42</v>
      </c>
      <c r="AJ32" s="67">
        <f ca="1">IFERROR(__xludf.DUMMYFUNCTION("IMPORTRANGE(""https://docs.google.com/spreadsheets/d/1tdoBKaGub7dwA3U6UFTqxio9LNnvDCQjHKmttSEBsFQ/edit?usp=sharing"",""จัดที่ดิน!H32"")"),398.09)</f>
        <v>398.09</v>
      </c>
      <c r="AK32" s="68">
        <f t="shared" ca="1" si="61"/>
        <v>110.52631578947368</v>
      </c>
      <c r="AL32" s="358">
        <f ca="1">IFERROR(__xludf.DUMMYFUNCTION("IMPORTRANGE(""https://docs.google.com/spreadsheets/d/1eHaY18a8A9IcSdp1K8H6x8fbOy06t2VsZHhMHf-1x7Y/edit?usp=sharing"",""แผน!EN32"")"),38)</f>
        <v>38</v>
      </c>
      <c r="AM32" s="151">
        <f ca="1">IFERROR(__xludf.DUMMYFUNCTION("IMPORTRANGE(""https://docs.google.com/spreadsheets/d/1tdoBKaGub7dwA3U6UFTqxio9LNnvDCQjHKmttSEBsFQ/edit?usp=sharing"",""จัดที่ดิน!I32"")"),25)</f>
        <v>25</v>
      </c>
      <c r="AN32" s="67">
        <f ca="1">IFERROR(__xludf.DUMMYFUNCTION("IMPORTRANGE(""https://docs.google.com/spreadsheets/d/1tdoBKaGub7dwA3U6UFTqxio9LNnvDCQjHKmttSEBsFQ/edit?usp=sharing"",""จัดที่ดิน!J32"")"),261.63)</f>
        <v>261.63</v>
      </c>
      <c r="AO32" s="68">
        <f t="shared" ca="1" si="63"/>
        <v>65.78947368421052</v>
      </c>
      <c r="AP32" s="359">
        <f ca="1">IFERROR(__xludf.DUMMYFUNCTION("IMPORTRANGE(""https://docs.google.com/spreadsheets/d/1eHaY18a8A9IcSdp1K8H6x8fbOy06t2VsZHhMHf-1x7Y/edit?usp=sharing"",""แผน!EO32"")"),2030)</f>
        <v>2030</v>
      </c>
      <c r="AQ32" s="151">
        <f ca="1">IFERROR(__xludf.DUMMYFUNCTION("IMPORTRANGE(""https://docs.google.com/spreadsheets/d/1tdoBKaGub7dwA3U6UFTqxio9LNnvDCQjHKmttSEBsFQ/edit?usp=sharing"",""แบ่งแปลง!D30"")"),258)</f>
        <v>258</v>
      </c>
      <c r="AR32" s="67">
        <f ca="1">IFERROR(__xludf.DUMMYFUNCTION("IMPORTRANGE(""https://docs.google.com/spreadsheets/d/1tdoBKaGub7dwA3U6UFTqxio9LNnvDCQjHKmttSEBsFQ/edit?usp=sharing"",""แบ่งแปลง!F30"")"),1996.03)</f>
        <v>1996.03</v>
      </c>
      <c r="AS32" s="68">
        <f t="shared" ca="1" si="65"/>
        <v>98.326600985221674</v>
      </c>
      <c r="AT32" s="359">
        <f ca="1">IFERROR(__xludf.DUMMYFUNCTION("IMPORTRANGE(""https://docs.google.com/spreadsheets/d/1eHaY18a8A9IcSdp1K8H6x8fbOy06t2VsZHhMHf-1x7Y/edit?usp=sharing"",""แผน!EP32"")"),195)</f>
        <v>195</v>
      </c>
      <c r="AU32" s="151">
        <f ca="1">IFERROR(__xludf.DUMMYFUNCTION("IMPORTRANGE(""https://docs.google.com/spreadsheets/d/1tdoBKaGub7dwA3U6UFTqxio9LNnvDCQjHKmttSEBsFQ/edit?usp=sharing"",""แบ่งแปลง!I30"")"),255)</f>
        <v>255</v>
      </c>
      <c r="AV32" s="67">
        <f ca="1">IFERROR(__xludf.DUMMYFUNCTION("IMPORTRANGE(""https://docs.google.com/spreadsheets/d/1tdoBKaGub7dwA3U6UFTqxio9LNnvDCQjHKmttSEBsFQ/edit?usp=sharing"",""แบ่งแปลง!K30"")"),1975.61)</f>
        <v>1975.61</v>
      </c>
      <c r="AW32" s="68">
        <f t="shared" ca="1" si="67"/>
        <v>130.76923076923077</v>
      </c>
      <c r="AX32" s="359">
        <f ca="1">IFERROR(__xludf.DUMMYFUNCTION("IMPORTRANGE(""https://docs.google.com/spreadsheets/d/1eHaY18a8A9IcSdp1K8H6x8fbOy06t2VsZHhMHf-1x7Y/edit?usp=sharing"",""แผน!EP32"")"),195)</f>
        <v>195</v>
      </c>
      <c r="AY32" s="151">
        <f ca="1">IFERROR(__xludf.DUMMYFUNCTION("IMPORTRANGE(""https://docs.google.com/spreadsheets/d/1tdoBKaGub7dwA3U6UFTqxio9LNnvDCQjHKmttSEBsFQ/edit?usp=sharing"",""แบ่งแปลง!X30"")"),47)</f>
        <v>47</v>
      </c>
      <c r="AZ32" s="67">
        <f ca="1">IFERROR(__xludf.DUMMYFUNCTION("IMPORTRANGE(""https://docs.google.com/spreadsheets/d/1tdoBKaGub7dwA3U6UFTqxio9LNnvDCQjHKmttSEBsFQ/edit?usp=sharing"",""แบ่งแปลง!Z30"")"),367.86)</f>
        <v>367.86</v>
      </c>
      <c r="BA32" s="68">
        <f t="shared" ca="1" si="69"/>
        <v>24.102564102564102</v>
      </c>
      <c r="BB32" s="360">
        <f ca="1">IFERROR(__xludf.DUMMYFUNCTION("IMPORTRANGE(""https://docs.google.com/spreadsheets/d/1eHaY18a8A9IcSdp1K8H6x8fbOy06t2VsZHhMHf-1x7Y/edit?usp=sharing"",""แผน!ES32"")"),281)</f>
        <v>281</v>
      </c>
      <c r="BC32" s="151">
        <f ca="1">IFERROR(__xludf.DUMMYFUNCTION("IMPORTRANGE(""https://docs.google.com/spreadsheets/d/1tdoBKaGub7dwA3U6UFTqxio9LNnvDCQjHKmttSEBsFQ/edit?usp=sharing"",""เต็มแปลง!I30"")"),382)</f>
        <v>382</v>
      </c>
      <c r="BD32" s="67">
        <f ca="1">IFERROR(__xludf.DUMMYFUNCTION("IMPORTRANGE(""https://docs.google.com/spreadsheets/d/1tdoBKaGub7dwA3U6UFTqxio9LNnvDCQjHKmttSEBsFQ/edit?usp=sharing"",""เต็มแปลง!K30"")"),4761.7)</f>
        <v>4761.7</v>
      </c>
      <c r="BE32" s="68">
        <f t="shared" ca="1" si="71"/>
        <v>135.94306049822063</v>
      </c>
      <c r="BF32" s="360">
        <f ca="1">IFERROR(__xludf.DUMMYFUNCTION("IMPORTRANGE(""https://docs.google.com/spreadsheets/d/1eHaY18a8A9IcSdp1K8H6x8fbOy06t2VsZHhMHf-1x7Y/edit?usp=sharing"",""แผน!ES32"")"),281)</f>
        <v>281</v>
      </c>
      <c r="BG32" s="151">
        <f ca="1">IFERROR(__xludf.DUMMYFUNCTION("IMPORTRANGE(""https://docs.google.com/spreadsheets/d/1tdoBKaGub7dwA3U6UFTqxio9LNnvDCQjHKmttSEBsFQ/edit?usp=sharing"",""เต็มแปลง!S30"")"),386)</f>
        <v>386</v>
      </c>
      <c r="BH32" s="67">
        <f ca="1">IFERROR(__xludf.DUMMYFUNCTION("IMPORTRANGE(""https://docs.google.com/spreadsheets/d/1tdoBKaGub7dwA3U6UFTqxio9LNnvDCQjHKmttSEBsFQ/edit?usp=sharing"",""เต็มแปลง!U30"")"),4841.22)</f>
        <v>4841.22</v>
      </c>
      <c r="BI32" s="68">
        <f t="shared" ca="1" si="73"/>
        <v>137.36654804270464</v>
      </c>
      <c r="BJ32" s="339"/>
    </row>
    <row r="33" spans="1:62" ht="21" customHeight="1" x14ac:dyDescent="0.3">
      <c r="A33" s="147">
        <v>2</v>
      </c>
      <c r="B33" s="148" t="s">
        <v>61</v>
      </c>
      <c r="C33" s="149">
        <f t="shared" ca="1" si="44"/>
        <v>1016950</v>
      </c>
      <c r="D33" s="150">
        <f t="shared" ca="1" si="87"/>
        <v>1016950</v>
      </c>
      <c r="E33" s="151">
        <f ca="1">IFERROR(__xludf.DUMMYFUNCTION("IMPORTRANGE(""https://docs.google.com/spreadsheets/d/1-uDff_7J0KD5mKrp0Vvzr7lt3OU09vwQwhkpOPPYv2Y/edit?usp=sharing"",""งบพรบ!FD33"")"),301700)</f>
        <v>301700</v>
      </c>
      <c r="F33" s="151">
        <f ca="1">IFERROR(__xludf.DUMMYFUNCTION("IMPORTRANGE(""https://docs.google.com/spreadsheets/d/1-uDff_7J0KD5mKrp0Vvzr7lt3OU09vwQwhkpOPPYv2Y/edit?usp=sharing"",""งบพรบ!FE33"")"),715250)</f>
        <v>715250</v>
      </c>
      <c r="G33" s="151">
        <f ca="1">IFERROR(__xludf.DUMMYFUNCTION("IMPORTRANGE(""https://docs.google.com/spreadsheets/d/1-uDff_7J0KD5mKrp0Vvzr7lt3OU09vwQwhkpOPPYv2Y/edit?usp=sharing"",""งบพรบ!FF33"")"),0)</f>
        <v>0</v>
      </c>
      <c r="H33" s="151">
        <f ca="1">IFERROR(__xludf.DUMMYFUNCTION("IMPORTRANGE(""https://docs.google.com/spreadsheets/d/1-uDff_7J0KD5mKrp0Vvzr7lt3OU09vwQwhkpOPPYv2Y/edit?usp=sharing"",""งบพรบ!FH33"")"),1185930)</f>
        <v>1185930</v>
      </c>
      <c r="I33" s="151">
        <f ca="1">IFERROR(__xludf.DUMMYFUNCTION("IMPORTRANGE(""https://docs.google.com/spreadsheets/d/1-uDff_7J0KD5mKrp0Vvzr7lt3OU09vwQwhkpOPPYv2Y/edit?usp=sharing"",""งบพรบ!FI33"")"),0)</f>
        <v>0</v>
      </c>
      <c r="J33" s="151">
        <f t="shared" ca="1" si="46"/>
        <v>996298.39</v>
      </c>
      <c r="K33" s="154">
        <f t="shared" ca="1" si="47"/>
        <v>97.969260042283295</v>
      </c>
      <c r="L33" s="151">
        <f ca="1">IFERROR(__xludf.DUMMYFUNCTION("IMPORTRANGE(""https://docs.google.com/spreadsheets/d/1-uDff_7J0KD5mKrp0Vvzr7lt3OU09vwQwhkpOPPYv2Y/edit?usp=sharing"",""งบพรบ!FJ33"")"),996298.39)</f>
        <v>996298.39</v>
      </c>
      <c r="M33" s="68">
        <f t="shared" ca="1" si="48"/>
        <v>97.969260042283295</v>
      </c>
      <c r="N33" s="68">
        <f t="shared" ca="1" si="49"/>
        <v>84.009881696221527</v>
      </c>
      <c r="O33" s="67">
        <f ca="1">IFERROR(__xludf.DUMMYFUNCTION("IMPORTRANGE(""https://docs.google.com/spreadsheets/d/1-uDff_7J0KD5mKrp0Vvzr7lt3OU09vwQwhkpOPPYv2Y/edit?usp=sharing"",""งบพรบ!FK33"")"),0)</f>
        <v>0</v>
      </c>
      <c r="P33" s="67">
        <f t="shared" ca="1" si="50"/>
        <v>0</v>
      </c>
      <c r="Q33" s="68">
        <f t="shared" ca="1" si="51"/>
        <v>0</v>
      </c>
      <c r="R33" s="361">
        <f ca="1">IFERROR(__xludf.DUMMYFUNCTION("IMPORTRANGE(""https://docs.google.com/spreadsheets/d/1aHkj4IaQMThhwWwevcOymEh837vdxeC_PycurhTbGFA/edit?usp=sharing"",""ขอนแก่น!I368"")"),2100)</f>
        <v>2100</v>
      </c>
      <c r="S33" s="152">
        <f ca="1">IFERROR(__xludf.DUMMYFUNCTION("IMPORTRANGE(""https://docs.google.com/spreadsheets/d/1aHkj4IaQMThhwWwevcOymEh837vdxeC_PycurhTbGFA/edit?usp=sharing"",""ขอนแก่น!J367"")"),177)</f>
        <v>177</v>
      </c>
      <c r="T33" s="357">
        <f ca="1">IFERROR(__xludf.DUMMYFUNCTION("IMPORTRANGE(""https://docs.google.com/spreadsheets/d/1aHkj4IaQMThhwWwevcOymEh837vdxeC_PycurhTbGFA/edit?usp=sharing"",""ขอนแก่น!J368"")"),1651.73)</f>
        <v>1651.73</v>
      </c>
      <c r="U33" s="216">
        <f t="shared" ca="1" si="53"/>
        <v>78.653809523809528</v>
      </c>
      <c r="V33" s="361">
        <f ca="1">IFERROR(__xludf.DUMMYFUNCTION("IMPORTRANGE(""https://docs.google.com/spreadsheets/d/1aHkj4IaQMThhwWwevcOymEh837vdxeC_PycurhTbGFA/edit?usp=sharing"",""ขอนแก่น!I369"")"),1020)</f>
        <v>1020</v>
      </c>
      <c r="W33" s="152">
        <f ca="1">IFERROR(__xludf.DUMMYFUNCTION("IMPORTRANGE(""https://docs.google.com/spreadsheets/d/1aHkj4IaQMThhwWwevcOymEh837vdxeC_PycurhTbGFA/edit?usp=sharing"",""ขอนแก่น!J369"")"),956)</f>
        <v>956</v>
      </c>
      <c r="X33" s="357">
        <f ca="1">IFERROR(__xludf.DUMMYFUNCTION("IMPORTRANGE(""https://docs.google.com/spreadsheets/d/1aHkj4IaQMThhwWwevcOymEh837vdxeC_PycurhTbGFA/edit?usp=sharing"",""ขอนแก่น!J370"")"),11177.6999999999)</f>
        <v>11177.699999999901</v>
      </c>
      <c r="Y33" s="216">
        <f t="shared" ca="1" si="55"/>
        <v>93.725490196078425</v>
      </c>
      <c r="Z33" s="361">
        <f ca="1">IFERROR(__xludf.DUMMYFUNCTION("IMPORTRANGE(""https://docs.google.com/spreadsheets/d/1aHkj4IaQMThhwWwevcOymEh837vdxeC_PycurhTbGFA/edit?usp=sharing"",""ขอนแก่น!I371"")"),1020)</f>
        <v>1020</v>
      </c>
      <c r="AA33" s="152">
        <f ca="1">IFERROR(__xludf.DUMMYFUNCTION("IMPORTRANGE(""https://docs.google.com/spreadsheets/d/1aHkj4IaQMThhwWwevcOymEh837vdxeC_PycurhTbGFA/edit?usp=sharing"",""ขอนแก่น!J371"")"),767)</f>
        <v>767</v>
      </c>
      <c r="AB33" s="357">
        <f ca="1">IFERROR(__xludf.DUMMYFUNCTION("IMPORTRANGE(""https://docs.google.com/spreadsheets/d/1aHkj4IaQMThhwWwevcOymEh837vdxeC_PycurhTbGFA/edit?usp=sharing"",""ขอนแก่น!J372"")"),9242.89)</f>
        <v>9242.89</v>
      </c>
      <c r="AC33" s="216">
        <f t="shared" ca="1" si="57"/>
        <v>75.196078431372555</v>
      </c>
      <c r="AD33" s="362">
        <f ca="1">IFERROR(__xludf.DUMMYFUNCTION("IMPORTRANGE(""https://docs.google.com/spreadsheets/d/1eHaY18a8A9IcSdp1K8H6x8fbOy06t2VsZHhMHf-1x7Y/edit?usp=sharing"",""แผน!EM33"")"),1500)</f>
        <v>1500</v>
      </c>
      <c r="AE33" s="151">
        <f ca="1">IFERROR(__xludf.DUMMYFUNCTION("IMPORTRANGE(""https://docs.google.com/spreadsheets/d/1tdoBKaGub7dwA3U6UFTqxio9LNnvDCQjHKmttSEBsFQ/edit?usp=sharing"",""จัดที่ดิน!E33"")"),163)</f>
        <v>163</v>
      </c>
      <c r="AF33" s="67">
        <f ca="1">IFERROR(__xludf.DUMMYFUNCTION("IMPORTRANGE(""https://docs.google.com/spreadsheets/d/1tdoBKaGub7dwA3U6UFTqxio9LNnvDCQjHKmttSEBsFQ/edit?usp=sharing"",""จัดที่ดิน!F33"")"),1511.4)</f>
        <v>1511.4</v>
      </c>
      <c r="AG33" s="68">
        <f t="shared" ca="1" si="59"/>
        <v>100.76</v>
      </c>
      <c r="AH33" s="362">
        <f ca="1">IFERROR(__xludf.DUMMYFUNCTION("IMPORTRANGE(""https://docs.google.com/spreadsheets/d/1eHaY18a8A9IcSdp1K8H6x8fbOy06t2VsZHhMHf-1x7Y/edit?usp=sharing"",""แผน!EN33"")"),150)</f>
        <v>150</v>
      </c>
      <c r="AI33" s="151">
        <f ca="1">IFERROR(__xludf.DUMMYFUNCTION("IMPORTRANGE(""https://docs.google.com/spreadsheets/d/1tdoBKaGub7dwA3U6UFTqxio9LNnvDCQjHKmttSEBsFQ/edit?usp=sharing"",""จัดที่ดิน!G33"")"),160)</f>
        <v>160</v>
      </c>
      <c r="AJ33" s="67">
        <f ca="1">IFERROR(__xludf.DUMMYFUNCTION("IMPORTRANGE(""https://docs.google.com/spreadsheets/d/1tdoBKaGub7dwA3U6UFTqxio9LNnvDCQjHKmttSEBsFQ/edit?usp=sharing"",""จัดที่ดิน!H33"")"),1469.4)</f>
        <v>1469.4</v>
      </c>
      <c r="AK33" s="68">
        <f t="shared" ca="1" si="61"/>
        <v>106.66666666666667</v>
      </c>
      <c r="AL33" s="362">
        <f ca="1">IFERROR(__xludf.DUMMYFUNCTION("IMPORTRANGE(""https://docs.google.com/spreadsheets/d/1eHaY18a8A9IcSdp1K8H6x8fbOy06t2VsZHhMHf-1x7Y/edit?usp=sharing"",""แผน!EN33"")"),150)</f>
        <v>150</v>
      </c>
      <c r="AM33" s="151">
        <f ca="1">IFERROR(__xludf.DUMMYFUNCTION("IMPORTRANGE(""https://docs.google.com/spreadsheets/d/1tdoBKaGub7dwA3U6UFTqxio9LNnvDCQjHKmttSEBsFQ/edit?usp=sharing"",""จัดที่ดิน!I33"")"),46)</f>
        <v>46</v>
      </c>
      <c r="AN33" s="67">
        <f ca="1">IFERROR(__xludf.DUMMYFUNCTION("IMPORTRANGE(""https://docs.google.com/spreadsheets/d/1tdoBKaGub7dwA3U6UFTqxio9LNnvDCQjHKmttSEBsFQ/edit?usp=sharing"",""จัดที่ดิน!J33"")"),400.49)</f>
        <v>400.49</v>
      </c>
      <c r="AO33" s="68">
        <f t="shared" ca="1" si="63"/>
        <v>30.666666666666668</v>
      </c>
      <c r="AP33" s="363">
        <f ca="1">IFERROR(__xludf.DUMMYFUNCTION("IMPORTRANGE(""https://docs.google.com/spreadsheets/d/1eHaY18a8A9IcSdp1K8H6x8fbOy06t2VsZHhMHf-1x7Y/edit?usp=sharing"",""แผน!EO33"")"),600)</f>
        <v>600</v>
      </c>
      <c r="AQ33" s="151">
        <f ca="1">IFERROR(__xludf.DUMMYFUNCTION("IMPORTRANGE(""https://docs.google.com/spreadsheets/d/1tdoBKaGub7dwA3U6UFTqxio9LNnvDCQjHKmttSEBsFQ/edit?usp=sharing"",""แบ่งแปลง!D31"")"),14)</f>
        <v>14</v>
      </c>
      <c r="AR33" s="67">
        <f ca="1">IFERROR(__xludf.DUMMYFUNCTION("IMPORTRANGE(""https://docs.google.com/spreadsheets/d/1tdoBKaGub7dwA3U6UFTqxio9LNnvDCQjHKmttSEBsFQ/edit?usp=sharing"",""แบ่งแปลง!F31"")"),140.33)</f>
        <v>140.33000000000001</v>
      </c>
      <c r="AS33" s="68">
        <f t="shared" ca="1" si="65"/>
        <v>23.388333333333335</v>
      </c>
      <c r="AT33" s="363">
        <f ca="1">IFERROR(__xludf.DUMMYFUNCTION("IMPORTRANGE(""https://docs.google.com/spreadsheets/d/1eHaY18a8A9IcSdp1K8H6x8fbOy06t2VsZHhMHf-1x7Y/edit?usp=sharing"",""แผน!EP33"")"),120)</f>
        <v>120</v>
      </c>
      <c r="AU33" s="151">
        <f ca="1">IFERROR(__xludf.DUMMYFUNCTION("IMPORTRANGE(""https://docs.google.com/spreadsheets/d/1tdoBKaGub7dwA3U6UFTqxio9LNnvDCQjHKmttSEBsFQ/edit?usp=sharing"",""แบ่งแปลง!I31"")"),14)</f>
        <v>14</v>
      </c>
      <c r="AV33" s="67">
        <f ca="1">IFERROR(__xludf.DUMMYFUNCTION("IMPORTRANGE(""https://docs.google.com/spreadsheets/d/1tdoBKaGub7dwA3U6UFTqxio9LNnvDCQjHKmttSEBsFQ/edit?usp=sharing"",""แบ่งแปลง!K31"")"),140.33)</f>
        <v>140.33000000000001</v>
      </c>
      <c r="AW33" s="68">
        <f t="shared" ca="1" si="67"/>
        <v>11.666666666666666</v>
      </c>
      <c r="AX33" s="363">
        <f ca="1">IFERROR(__xludf.DUMMYFUNCTION("IMPORTRANGE(""https://docs.google.com/spreadsheets/d/1eHaY18a8A9IcSdp1K8H6x8fbOy06t2VsZHhMHf-1x7Y/edit?usp=sharing"",""แผน!EP33"")"),120)</f>
        <v>120</v>
      </c>
      <c r="AY33" s="151">
        <f ca="1">IFERROR(__xludf.DUMMYFUNCTION("IMPORTRANGE(""https://docs.google.com/spreadsheets/d/1tdoBKaGub7dwA3U6UFTqxio9LNnvDCQjHKmttSEBsFQ/edit?usp=sharing"",""แบ่งแปลง!X31"")"),14)</f>
        <v>14</v>
      </c>
      <c r="AZ33" s="67">
        <f ca="1">IFERROR(__xludf.DUMMYFUNCTION("IMPORTRANGE(""https://docs.google.com/spreadsheets/d/1tdoBKaGub7dwA3U6UFTqxio9LNnvDCQjHKmttSEBsFQ/edit?usp=sharing"",""แบ่งแปลง!Z31"")"),140.33)</f>
        <v>140.33000000000001</v>
      </c>
      <c r="BA33" s="68">
        <f t="shared" ca="1" si="69"/>
        <v>11.666666666666666</v>
      </c>
      <c r="BB33" s="364">
        <f ca="1">IFERROR(__xludf.DUMMYFUNCTION("IMPORTRANGE(""https://docs.google.com/spreadsheets/d/1eHaY18a8A9IcSdp1K8H6x8fbOy06t2VsZHhMHf-1x7Y/edit?usp=sharing"",""แผน!ES33"")"),750)</f>
        <v>750</v>
      </c>
      <c r="BC33" s="151">
        <f ca="1">IFERROR(__xludf.DUMMYFUNCTION("IMPORTRANGE(""https://docs.google.com/spreadsheets/d/1tdoBKaGub7dwA3U6UFTqxio9LNnvDCQjHKmttSEBsFQ/edit?usp=sharing"",""เต็มแปลง!I31"")"),783)</f>
        <v>783</v>
      </c>
      <c r="BD33" s="67">
        <f ca="1">IFERROR(__xludf.DUMMYFUNCTION("IMPORTRANGE(""https://docs.google.com/spreadsheets/d/1tdoBKaGub7dwA3U6UFTqxio9LNnvDCQjHKmttSEBsFQ/edit?usp=sharing"",""เต็มแปลง!K31"")"),9567.98)</f>
        <v>9567.98</v>
      </c>
      <c r="BE33" s="68">
        <f t="shared" ca="1" si="71"/>
        <v>104.4</v>
      </c>
      <c r="BF33" s="364">
        <f ca="1">IFERROR(__xludf.DUMMYFUNCTION("IMPORTRANGE(""https://docs.google.com/spreadsheets/d/1eHaY18a8A9IcSdp1K8H6x8fbOy06t2VsZHhMHf-1x7Y/edit?usp=sharing"",""แผน!ES33"")"),750)</f>
        <v>750</v>
      </c>
      <c r="BG33" s="151">
        <f ca="1">IFERROR(__xludf.DUMMYFUNCTION("IMPORTRANGE(""https://docs.google.com/spreadsheets/d/1tdoBKaGub7dwA3U6UFTqxio9LNnvDCQjHKmttSEBsFQ/edit?usp=sharing"",""เต็มแปลง!S31"")"),708)</f>
        <v>708</v>
      </c>
      <c r="BH33" s="67">
        <f ca="1">IFERROR(__xludf.DUMMYFUNCTION("IMPORTRANGE(""https://docs.google.com/spreadsheets/d/1tdoBKaGub7dwA3U6UFTqxio9LNnvDCQjHKmttSEBsFQ/edit?usp=sharing"",""เต็มแปลง!U31"")"),8702.07)</f>
        <v>8702.07</v>
      </c>
      <c r="BI33" s="68">
        <f t="shared" ca="1" si="73"/>
        <v>94.4</v>
      </c>
      <c r="BJ33" s="339"/>
    </row>
    <row r="34" spans="1:62" ht="21" customHeight="1" x14ac:dyDescent="0.3">
      <c r="A34" s="147">
        <v>3</v>
      </c>
      <c r="B34" s="148" t="s">
        <v>62</v>
      </c>
      <c r="C34" s="149">
        <f t="shared" ca="1" si="44"/>
        <v>1037040</v>
      </c>
      <c r="D34" s="150">
        <f t="shared" ca="1" si="87"/>
        <v>1037040</v>
      </c>
      <c r="E34" s="151">
        <f ca="1">IFERROR(__xludf.DUMMYFUNCTION("IMPORTRANGE(""https://docs.google.com/spreadsheets/d/1-uDff_7J0KD5mKrp0Vvzr7lt3OU09vwQwhkpOPPYv2Y/edit?usp=sharing"",""งบพรบ!FD34"")"),383600)</f>
        <v>383600</v>
      </c>
      <c r="F34" s="151">
        <f ca="1">IFERROR(__xludf.DUMMYFUNCTION("IMPORTRANGE(""https://docs.google.com/spreadsheets/d/1-uDff_7J0KD5mKrp0Vvzr7lt3OU09vwQwhkpOPPYv2Y/edit?usp=sharing"",""งบพรบ!FE34"")"),653440)</f>
        <v>653440</v>
      </c>
      <c r="G34" s="151">
        <f ca="1">IFERROR(__xludf.DUMMYFUNCTION("IMPORTRANGE(""https://docs.google.com/spreadsheets/d/1-uDff_7J0KD5mKrp0Vvzr7lt3OU09vwQwhkpOPPYv2Y/edit?usp=sharing"",""งบพรบ!FF34"")"),0)</f>
        <v>0</v>
      </c>
      <c r="H34" s="151">
        <f ca="1">IFERROR(__xludf.DUMMYFUNCTION("IMPORTRANGE(""https://docs.google.com/spreadsheets/d/1-uDff_7J0KD5mKrp0Vvzr7lt3OU09vwQwhkpOPPYv2Y/edit?usp=sharing"",""งบพรบ!FH34"")"),1273365)</f>
        <v>1273365</v>
      </c>
      <c r="I34" s="151">
        <f ca="1">IFERROR(__xludf.DUMMYFUNCTION("IMPORTRANGE(""https://docs.google.com/spreadsheets/d/1-uDff_7J0KD5mKrp0Vvzr7lt3OU09vwQwhkpOPPYv2Y/edit?usp=sharing"",""งบพรบ!FI34"")"),0)</f>
        <v>0</v>
      </c>
      <c r="J34" s="151">
        <f t="shared" ca="1" si="46"/>
        <v>1024399.7</v>
      </c>
      <c r="K34" s="154">
        <f t="shared" ca="1" si="47"/>
        <v>98.781117411093106</v>
      </c>
      <c r="L34" s="151">
        <f ca="1">IFERROR(__xludf.DUMMYFUNCTION("IMPORTRANGE(""https://docs.google.com/spreadsheets/d/1-uDff_7J0KD5mKrp0Vvzr7lt3OU09vwQwhkpOPPYv2Y/edit?usp=sharing"",""งบพรบ!FJ34"")"),1024399.7)</f>
        <v>1024399.7</v>
      </c>
      <c r="M34" s="68">
        <f t="shared" ca="1" si="48"/>
        <v>98.781117411093106</v>
      </c>
      <c r="N34" s="68">
        <f t="shared" ca="1" si="49"/>
        <v>80.448237543830714</v>
      </c>
      <c r="O34" s="67">
        <f ca="1">IFERROR(__xludf.DUMMYFUNCTION("IMPORTRANGE(""https://docs.google.com/spreadsheets/d/1-uDff_7J0KD5mKrp0Vvzr7lt3OU09vwQwhkpOPPYv2Y/edit?usp=sharing"",""งบพรบ!FK34"")"),0)</f>
        <v>0</v>
      </c>
      <c r="P34" s="67">
        <f t="shared" ca="1" si="50"/>
        <v>0</v>
      </c>
      <c r="Q34" s="68">
        <f t="shared" ca="1" si="51"/>
        <v>0</v>
      </c>
      <c r="R34" s="149">
        <f ca="1">IFERROR(__xludf.DUMMYFUNCTION("IMPORTRANGE(""https://docs.google.com/spreadsheets/d/1FvTu2DsIWUjP6WCWra38Bkj_oOl_sOMf14r5Fg5srxU/edit?usp=sharing"",""ชัยภูมิ!I368"")"),1780)</f>
        <v>1780</v>
      </c>
      <c r="S34" s="152">
        <f ca="1">IFERROR(__xludf.DUMMYFUNCTION("IMPORTRANGE(""https://docs.google.com/spreadsheets/d/1FvTu2DsIWUjP6WCWra38Bkj_oOl_sOMf14r5Fg5srxU/edit?usp=sharing"",""ชัยภูมิ!J367"")"),204)</f>
        <v>204</v>
      </c>
      <c r="T34" s="357">
        <f ca="1">IFERROR(__xludf.DUMMYFUNCTION("IMPORTRANGE(""https://docs.google.com/spreadsheets/d/1FvTu2DsIWUjP6WCWra38Bkj_oOl_sOMf14r5Fg5srxU/edit?usp=sharing"",""ชัยภูมิ!J368"")"),2285.12)</f>
        <v>2285.12</v>
      </c>
      <c r="U34" s="216">
        <f t="shared" ca="1" si="53"/>
        <v>128.37752808988765</v>
      </c>
      <c r="V34" s="149">
        <f ca="1">IFERROR(__xludf.DUMMYFUNCTION("IMPORTRANGE(""https://docs.google.com/spreadsheets/d/1FvTu2DsIWUjP6WCWra38Bkj_oOl_sOMf14r5Fg5srxU/edit?usp=sharing"",""ชัยภูมิ!I369"")"),591)</f>
        <v>591</v>
      </c>
      <c r="W34" s="152">
        <f ca="1">IFERROR(__xludf.DUMMYFUNCTION("IMPORTRANGE(""https://docs.google.com/spreadsheets/d/1FvTu2DsIWUjP6WCWra38Bkj_oOl_sOMf14r5Fg5srxU/edit?usp=sharing"",""ชัยภูมิ!J369"")"),426)</f>
        <v>426</v>
      </c>
      <c r="X34" s="357">
        <f ca="1">IFERROR(__xludf.DUMMYFUNCTION("IMPORTRANGE(""https://docs.google.com/spreadsheets/d/1FvTu2DsIWUjP6WCWra38Bkj_oOl_sOMf14r5Fg5srxU/edit?usp=sharing"",""ชัยภูมิ!J370"")"),6161.81)</f>
        <v>6161.81</v>
      </c>
      <c r="Y34" s="216">
        <f t="shared" ca="1" si="55"/>
        <v>72.081218274111677</v>
      </c>
      <c r="Z34" s="149">
        <f ca="1">IFERROR(__xludf.DUMMYFUNCTION("IMPORTRANGE(""https://docs.google.com/spreadsheets/d/1FvTu2DsIWUjP6WCWra38Bkj_oOl_sOMf14r5Fg5srxU/edit?usp=sharing"",""ชัยภูมิ!I371"")"),591)</f>
        <v>591</v>
      </c>
      <c r="AA34" s="152">
        <f ca="1">IFERROR(__xludf.DUMMYFUNCTION("IMPORTRANGE(""https://docs.google.com/spreadsheets/d/1FvTu2DsIWUjP6WCWra38Bkj_oOl_sOMf14r5Fg5srxU/edit?usp=sharing"",""ชัยภูมิ!J371"")"),379)</f>
        <v>379</v>
      </c>
      <c r="AB34" s="357">
        <f ca="1">IFERROR(__xludf.DUMMYFUNCTION("IMPORTRANGE(""https://docs.google.com/spreadsheets/d/1FvTu2DsIWUjP6WCWra38Bkj_oOl_sOMf14r5Fg5srxU/edit?usp=sharing"",""ชัยภูมิ!J372"")"),5426.42)</f>
        <v>5426.42</v>
      </c>
      <c r="AC34" s="216">
        <f t="shared" ca="1" si="57"/>
        <v>64.128595600676817</v>
      </c>
      <c r="AD34" s="358">
        <f ca="1">IFERROR(__xludf.DUMMYFUNCTION("IMPORTRANGE(""https://docs.google.com/spreadsheets/d/1eHaY18a8A9IcSdp1K8H6x8fbOy06t2VsZHhMHf-1x7Y/edit?usp=sharing"",""แผน!EM34"")"),900)</f>
        <v>900</v>
      </c>
      <c r="AE34" s="151">
        <f ca="1">IFERROR(__xludf.DUMMYFUNCTION("IMPORTRANGE(""https://docs.google.com/spreadsheets/d/1tdoBKaGub7dwA3U6UFTqxio9LNnvDCQjHKmttSEBsFQ/edit?usp=sharing"",""จัดที่ดิน!E34"")"),46)</f>
        <v>46</v>
      </c>
      <c r="AF34" s="67">
        <f ca="1">IFERROR(__xludf.DUMMYFUNCTION("IMPORTRANGE(""https://docs.google.com/spreadsheets/d/1tdoBKaGub7dwA3U6UFTqxio9LNnvDCQjHKmttSEBsFQ/edit?usp=sharing"",""จัดที่ดิน!F34"")"),433.42)</f>
        <v>433.42</v>
      </c>
      <c r="AG34" s="68">
        <f t="shared" ca="1" si="59"/>
        <v>48.157777777777781</v>
      </c>
      <c r="AH34" s="358">
        <f ca="1">IFERROR(__xludf.DUMMYFUNCTION("IMPORTRANGE(""https://docs.google.com/spreadsheets/d/1eHaY18a8A9IcSdp1K8H6x8fbOy06t2VsZHhMHf-1x7Y/edit?usp=sharing"",""แผน!EN34"")"),90)</f>
        <v>90</v>
      </c>
      <c r="AI34" s="151">
        <f ca="1">IFERROR(__xludf.DUMMYFUNCTION("IMPORTRANGE(""https://docs.google.com/spreadsheets/d/1tdoBKaGub7dwA3U6UFTqxio9LNnvDCQjHKmttSEBsFQ/edit?usp=sharing"",""จัดที่ดิน!G34"")"),7)</f>
        <v>7</v>
      </c>
      <c r="AJ34" s="67">
        <f ca="1">IFERROR(__xludf.DUMMYFUNCTION("IMPORTRANGE(""https://docs.google.com/spreadsheets/d/1tdoBKaGub7dwA3U6UFTqxio9LNnvDCQjHKmttSEBsFQ/edit?usp=sharing"",""จัดที่ดิน!H34"")"),72.72)</f>
        <v>72.72</v>
      </c>
      <c r="AK34" s="68">
        <f t="shared" ca="1" si="61"/>
        <v>7.7777777777777777</v>
      </c>
      <c r="AL34" s="358">
        <f ca="1">IFERROR(__xludf.DUMMYFUNCTION("IMPORTRANGE(""https://docs.google.com/spreadsheets/d/1eHaY18a8A9IcSdp1K8H6x8fbOy06t2VsZHhMHf-1x7Y/edit?usp=sharing"",""แผน!EN34"")"),90)</f>
        <v>90</v>
      </c>
      <c r="AM34" s="151">
        <f ca="1">IFERROR(__xludf.DUMMYFUNCTION("IMPORTRANGE(""https://docs.google.com/spreadsheets/d/1tdoBKaGub7dwA3U6UFTqxio9LNnvDCQjHKmttSEBsFQ/edit?usp=sharing"",""จัดที่ดิน!I34"")"),7)</f>
        <v>7</v>
      </c>
      <c r="AN34" s="67">
        <f ca="1">IFERROR(__xludf.DUMMYFUNCTION("IMPORTRANGE(""https://docs.google.com/spreadsheets/d/1tdoBKaGub7dwA3U6UFTqxio9LNnvDCQjHKmttSEBsFQ/edit?usp=sharing"",""จัดที่ดิน!J34"")"),52.21)</f>
        <v>52.21</v>
      </c>
      <c r="AO34" s="68">
        <f t="shared" ca="1" si="63"/>
        <v>7.7777777777777777</v>
      </c>
      <c r="AP34" s="359">
        <f ca="1">IFERROR(__xludf.DUMMYFUNCTION("IMPORTRANGE(""https://docs.google.com/spreadsheets/d/1eHaY18a8A9IcSdp1K8H6x8fbOy06t2VsZHhMHf-1x7Y/edit?usp=sharing"",""แผน!EO34"")"),880)</f>
        <v>880</v>
      </c>
      <c r="AQ34" s="151">
        <f ca="1">IFERROR(__xludf.DUMMYFUNCTION("IMPORTRANGE(""https://docs.google.com/spreadsheets/d/1tdoBKaGub7dwA3U6UFTqxio9LNnvDCQjHKmttSEBsFQ/edit?usp=sharing"",""แบ่งแปลง!D32"")"),158)</f>
        <v>158</v>
      </c>
      <c r="AR34" s="67">
        <f ca="1">IFERROR(__xludf.DUMMYFUNCTION("IMPORTRANGE(""https://docs.google.com/spreadsheets/d/1tdoBKaGub7dwA3U6UFTqxio9LNnvDCQjHKmttSEBsFQ/edit?usp=sharing"",""แบ่งแปลง!F32"")"),1851.7)</f>
        <v>1851.7</v>
      </c>
      <c r="AS34" s="68">
        <f t="shared" ca="1" si="65"/>
        <v>210.42045454545453</v>
      </c>
      <c r="AT34" s="359">
        <f ca="1">IFERROR(__xludf.DUMMYFUNCTION("IMPORTRANGE(""https://docs.google.com/spreadsheets/d/1eHaY18a8A9IcSdp1K8H6x8fbOy06t2VsZHhMHf-1x7Y/edit?usp=sharing"",""แผน!EP34"")"),176)</f>
        <v>176</v>
      </c>
      <c r="AU34" s="151">
        <f ca="1">IFERROR(__xludf.DUMMYFUNCTION("IMPORTRANGE(""https://docs.google.com/spreadsheets/d/1tdoBKaGub7dwA3U6UFTqxio9LNnvDCQjHKmttSEBsFQ/edit?usp=sharing"",""แบ่งแปลง!I32"")"),98)</f>
        <v>98</v>
      </c>
      <c r="AV34" s="67">
        <f ca="1">IFERROR(__xludf.DUMMYFUNCTION("IMPORTRANGE(""https://docs.google.com/spreadsheets/d/1tdoBKaGub7dwA3U6UFTqxio9LNnvDCQjHKmttSEBsFQ/edit?usp=sharing"",""แบ่งแปลง!K32"")"),1087.31)</f>
        <v>1087.31</v>
      </c>
      <c r="AW34" s="68">
        <f t="shared" ca="1" si="67"/>
        <v>55.68181818181818</v>
      </c>
      <c r="AX34" s="359">
        <f ca="1">IFERROR(__xludf.DUMMYFUNCTION("IMPORTRANGE(""https://docs.google.com/spreadsheets/d/1eHaY18a8A9IcSdp1K8H6x8fbOy06t2VsZHhMHf-1x7Y/edit?usp=sharing"",""แผน!EP34"")"),176)</f>
        <v>176</v>
      </c>
      <c r="AY34" s="151">
        <f ca="1">IFERROR(__xludf.DUMMYFUNCTION("IMPORTRANGE(""https://docs.google.com/spreadsheets/d/1tdoBKaGub7dwA3U6UFTqxio9LNnvDCQjHKmttSEBsFQ/edit?usp=sharing"",""แบ่งแปลง!X32"")"),97)</f>
        <v>97</v>
      </c>
      <c r="AZ34" s="67">
        <f ca="1">IFERROR(__xludf.DUMMYFUNCTION("IMPORTRANGE(""https://docs.google.com/spreadsheets/d/1tdoBKaGub7dwA3U6UFTqxio9LNnvDCQjHKmttSEBsFQ/edit?usp=sharing"",""แบ่งแปลง!Z32"")"),1075.19)</f>
        <v>1075.19</v>
      </c>
      <c r="BA34" s="68">
        <f t="shared" ca="1" si="69"/>
        <v>55.113636363636367</v>
      </c>
      <c r="BB34" s="360">
        <f ca="1">IFERROR(__xludf.DUMMYFUNCTION("IMPORTRANGE(""https://docs.google.com/spreadsheets/d/1eHaY18a8A9IcSdp1K8H6x8fbOy06t2VsZHhMHf-1x7Y/edit?usp=sharing"",""แผน!ES34"")"),325)</f>
        <v>325</v>
      </c>
      <c r="BC34" s="151">
        <f ca="1">IFERROR(__xludf.DUMMYFUNCTION("IMPORTRANGE(""https://docs.google.com/spreadsheets/d/1tdoBKaGub7dwA3U6UFTqxio9LNnvDCQjHKmttSEBsFQ/edit?usp=sharing"",""เต็มแปลง!I32"")"),322)</f>
        <v>322</v>
      </c>
      <c r="BD34" s="67">
        <f ca="1">IFERROR(__xludf.DUMMYFUNCTION("IMPORTRANGE(""https://docs.google.com/spreadsheets/d/1tdoBKaGub7dwA3U6UFTqxio9LNnvDCQjHKmttSEBsFQ/edit?usp=sharing"",""เต็มแปลง!K32"")"),5001.78)</f>
        <v>5001.78</v>
      </c>
      <c r="BE34" s="68">
        <f t="shared" ca="1" si="71"/>
        <v>99.07692307692308</v>
      </c>
      <c r="BF34" s="360">
        <f ca="1">IFERROR(__xludf.DUMMYFUNCTION("IMPORTRANGE(""https://docs.google.com/spreadsheets/d/1eHaY18a8A9IcSdp1K8H6x8fbOy06t2VsZHhMHf-1x7Y/edit?usp=sharing"",""แผน!ES34"")"),325)</f>
        <v>325</v>
      </c>
      <c r="BG34" s="151">
        <f ca="1">IFERROR(__xludf.DUMMYFUNCTION("IMPORTRANGE(""https://docs.google.com/spreadsheets/d/1tdoBKaGub7dwA3U6UFTqxio9LNnvDCQjHKmttSEBsFQ/edit?usp=sharing"",""เต็มแปลง!S32"")"),276)</f>
        <v>276</v>
      </c>
      <c r="BH34" s="67">
        <f ca="1">IFERROR(__xludf.DUMMYFUNCTION("IMPORTRANGE(""https://docs.google.com/spreadsheets/d/1tdoBKaGub7dwA3U6UFTqxio9LNnvDCQjHKmttSEBsFQ/edit?usp=sharing"",""เต็มแปลง!U32"")"),4299.02)</f>
        <v>4299.0200000000004</v>
      </c>
      <c r="BI34" s="68">
        <f t="shared" ca="1" si="73"/>
        <v>84.92307692307692</v>
      </c>
      <c r="BJ34" s="339"/>
    </row>
    <row r="35" spans="1:62" ht="21" customHeight="1" x14ac:dyDescent="0.3">
      <c r="A35" s="147">
        <v>4</v>
      </c>
      <c r="B35" s="148" t="s">
        <v>63</v>
      </c>
      <c r="C35" s="149">
        <f t="shared" ca="1" si="44"/>
        <v>737770</v>
      </c>
      <c r="D35" s="150">
        <f t="shared" ca="1" si="87"/>
        <v>737770</v>
      </c>
      <c r="E35" s="151">
        <f ca="1">IFERROR(__xludf.DUMMYFUNCTION("IMPORTRANGE(""https://docs.google.com/spreadsheets/d/1-uDff_7J0KD5mKrp0Vvzr7lt3OU09vwQwhkpOPPYv2Y/edit?usp=sharing"",""งบพรบ!FD35"")"),352000)</f>
        <v>352000</v>
      </c>
      <c r="F35" s="151">
        <f ca="1">IFERROR(__xludf.DUMMYFUNCTION("IMPORTRANGE(""https://docs.google.com/spreadsheets/d/1-uDff_7J0KD5mKrp0Vvzr7lt3OU09vwQwhkpOPPYv2Y/edit?usp=sharing"",""งบพรบ!FE35"")"),385770)</f>
        <v>385770</v>
      </c>
      <c r="G35" s="151">
        <f ca="1">IFERROR(__xludf.DUMMYFUNCTION("IMPORTRANGE(""https://docs.google.com/spreadsheets/d/1-uDff_7J0KD5mKrp0Vvzr7lt3OU09vwQwhkpOPPYv2Y/edit?usp=sharing"",""งบพรบ!FF35"")"),0)</f>
        <v>0</v>
      </c>
      <c r="H35" s="151">
        <f ca="1">IFERROR(__xludf.DUMMYFUNCTION("IMPORTRANGE(""https://docs.google.com/spreadsheets/d/1-uDff_7J0KD5mKrp0Vvzr7lt3OU09vwQwhkpOPPYv2Y/edit?usp=sharing"",""งบพรบ!FH35"")"),855770)</f>
        <v>855770</v>
      </c>
      <c r="I35" s="151">
        <f ca="1">IFERROR(__xludf.DUMMYFUNCTION("IMPORTRANGE(""https://docs.google.com/spreadsheets/d/1-uDff_7J0KD5mKrp0Vvzr7lt3OU09vwQwhkpOPPYv2Y/edit?usp=sharing"",""งบพรบ!FI35"")"),0)</f>
        <v>0</v>
      </c>
      <c r="J35" s="151">
        <f t="shared" ca="1" si="46"/>
        <v>572542.19999999995</v>
      </c>
      <c r="K35" s="154">
        <f t="shared" ca="1" si="47"/>
        <v>77.604429564769504</v>
      </c>
      <c r="L35" s="151">
        <f ca="1">IFERROR(__xludf.DUMMYFUNCTION("IMPORTRANGE(""https://docs.google.com/spreadsheets/d/1-uDff_7J0KD5mKrp0Vvzr7lt3OU09vwQwhkpOPPYv2Y/edit?usp=sharing"",""งบพรบ!FJ35"")"),572542.2)</f>
        <v>572542.19999999995</v>
      </c>
      <c r="M35" s="68">
        <f t="shared" ca="1" si="48"/>
        <v>77.604429564769504</v>
      </c>
      <c r="N35" s="68">
        <f t="shared" ca="1" si="49"/>
        <v>66.903747502249431</v>
      </c>
      <c r="O35" s="67">
        <f ca="1">IFERROR(__xludf.DUMMYFUNCTION("IMPORTRANGE(""https://docs.google.com/spreadsheets/d/1-uDff_7J0KD5mKrp0Vvzr7lt3OU09vwQwhkpOPPYv2Y/edit?usp=sharing"",""งบพรบ!FK35"")"),0)</f>
        <v>0</v>
      </c>
      <c r="P35" s="67">
        <f t="shared" ca="1" si="50"/>
        <v>0</v>
      </c>
      <c r="Q35" s="68">
        <f t="shared" ca="1" si="51"/>
        <v>0</v>
      </c>
      <c r="R35" s="149">
        <f ca="1">IFERROR(__xludf.DUMMYFUNCTION("IMPORTRANGE(""https://docs.google.com/spreadsheets/d/1XVB7oCJ3pr-vBUdflwPQ8Z2LlzhnCvZaaYjAfP-647E/edit?usp=sharing"",""นครพนม!I368"")"),1300)</f>
        <v>1300</v>
      </c>
      <c r="S35" s="152">
        <f ca="1">IFERROR(__xludf.DUMMYFUNCTION("IMPORTRANGE(""https://docs.google.com/spreadsheets/d/1XVB7oCJ3pr-vBUdflwPQ8Z2LlzhnCvZaaYjAfP-647E/edit?usp=sharing"",""นครพนม!J367"")"),128)</f>
        <v>128</v>
      </c>
      <c r="T35" s="357">
        <f ca="1">IFERROR(__xludf.DUMMYFUNCTION("IMPORTRANGE(""https://docs.google.com/spreadsheets/d/1XVB7oCJ3pr-vBUdflwPQ8Z2LlzhnCvZaaYjAfP-647E/edit?usp=sharing"",""นครพนม!J368"")"),1178.55)</f>
        <v>1178.55</v>
      </c>
      <c r="U35" s="216">
        <f t="shared" ca="1" si="53"/>
        <v>90.657692307692301</v>
      </c>
      <c r="V35" s="149">
        <f ca="1">IFERROR(__xludf.DUMMYFUNCTION("IMPORTRANGE(""https://docs.google.com/spreadsheets/d/1XVB7oCJ3pr-vBUdflwPQ8Z2LlzhnCvZaaYjAfP-647E/edit?usp=sharing"",""นครพนม!I369"")"),420)</f>
        <v>420</v>
      </c>
      <c r="W35" s="152">
        <f ca="1">IFERROR(__xludf.DUMMYFUNCTION("IMPORTRANGE(""https://docs.google.com/spreadsheets/d/1XVB7oCJ3pr-vBUdflwPQ8Z2LlzhnCvZaaYjAfP-647E/edit?usp=sharing"",""นครพนม!J369"")"),330)</f>
        <v>330</v>
      </c>
      <c r="X35" s="357">
        <f ca="1">IFERROR(__xludf.DUMMYFUNCTION("IMPORTRANGE(""https://docs.google.com/spreadsheets/d/1XVB7oCJ3pr-vBUdflwPQ8Z2LlzhnCvZaaYjAfP-647E/edit?usp=sharing"",""นครพนม!J370"")"),3707.5)</f>
        <v>3707.5</v>
      </c>
      <c r="Y35" s="216">
        <f t="shared" ca="1" si="55"/>
        <v>78.571428571428569</v>
      </c>
      <c r="Z35" s="149">
        <f ca="1">IFERROR(__xludf.DUMMYFUNCTION("IMPORTRANGE(""https://docs.google.com/spreadsheets/d/1XVB7oCJ3pr-vBUdflwPQ8Z2LlzhnCvZaaYjAfP-647E/edit?usp=sharing"",""นครพนม!I371"")"),420)</f>
        <v>420</v>
      </c>
      <c r="AA35" s="152">
        <f ca="1">IFERROR(__xludf.DUMMYFUNCTION("IMPORTRANGE(""https://docs.google.com/spreadsheets/d/1XVB7oCJ3pr-vBUdflwPQ8Z2LlzhnCvZaaYjAfP-647E/edit?usp=sharing"",""นครพนม!J371"")"),243)</f>
        <v>243</v>
      </c>
      <c r="AB35" s="357">
        <f ca="1">IFERROR(__xludf.DUMMYFUNCTION("IMPORTRANGE(""https://docs.google.com/spreadsheets/d/1XVB7oCJ3pr-vBUdflwPQ8Z2LlzhnCvZaaYjAfP-647E/edit?usp=sharing"",""นครพนม!J372"")"),2939.23)</f>
        <v>2939.23</v>
      </c>
      <c r="AC35" s="216">
        <f t="shared" ca="1" si="57"/>
        <v>57.857142857142854</v>
      </c>
      <c r="AD35" s="358">
        <f ca="1">IFERROR(__xludf.DUMMYFUNCTION("IMPORTRANGE(""https://docs.google.com/spreadsheets/d/1eHaY18a8A9IcSdp1K8H6x8fbOy06t2VsZHhMHf-1x7Y/edit?usp=sharing"",""แผน!EM35"")"),500)</f>
        <v>500</v>
      </c>
      <c r="AE35" s="151">
        <f ca="1">IFERROR(__xludf.DUMMYFUNCTION("IMPORTRANGE(""https://docs.google.com/spreadsheets/d/1tdoBKaGub7dwA3U6UFTqxio9LNnvDCQjHKmttSEBsFQ/edit?usp=sharing"",""จัดที่ดิน!E35"")"),32)</f>
        <v>32</v>
      </c>
      <c r="AF35" s="67">
        <f ca="1">IFERROR(__xludf.DUMMYFUNCTION("IMPORTRANGE(""https://docs.google.com/spreadsheets/d/1tdoBKaGub7dwA3U6UFTqxio9LNnvDCQjHKmttSEBsFQ/edit?usp=sharing"",""จัดที่ดิน!F35"")"),290.21)</f>
        <v>290.20999999999998</v>
      </c>
      <c r="AG35" s="68">
        <f t="shared" ca="1" si="59"/>
        <v>58.041999999999994</v>
      </c>
      <c r="AH35" s="358">
        <f ca="1">IFERROR(__xludf.DUMMYFUNCTION("IMPORTRANGE(""https://docs.google.com/spreadsheets/d/1eHaY18a8A9IcSdp1K8H6x8fbOy06t2VsZHhMHf-1x7Y/edit?usp=sharing"",""แผน!EN35"")"),50)</f>
        <v>50</v>
      </c>
      <c r="AI35" s="151">
        <f ca="1">IFERROR(__xludf.DUMMYFUNCTION("IMPORTRANGE(""https://docs.google.com/spreadsheets/d/1tdoBKaGub7dwA3U6UFTqxio9LNnvDCQjHKmttSEBsFQ/edit?usp=sharing"",""จัดที่ดิน!G35"")"),37)</f>
        <v>37</v>
      </c>
      <c r="AJ35" s="67">
        <f ca="1">IFERROR(__xludf.DUMMYFUNCTION("IMPORTRANGE(""https://docs.google.com/spreadsheets/d/1tdoBKaGub7dwA3U6UFTqxio9LNnvDCQjHKmttSEBsFQ/edit?usp=sharing"",""จัดที่ดิน!H35"")"),367.19)</f>
        <v>367.19</v>
      </c>
      <c r="AK35" s="68">
        <f t="shared" ca="1" si="61"/>
        <v>74</v>
      </c>
      <c r="AL35" s="358">
        <f ca="1">IFERROR(__xludf.DUMMYFUNCTION("IMPORTRANGE(""https://docs.google.com/spreadsheets/d/1eHaY18a8A9IcSdp1K8H6x8fbOy06t2VsZHhMHf-1x7Y/edit?usp=sharing"",""แผน!EN35"")"),50)</f>
        <v>50</v>
      </c>
      <c r="AM35" s="151">
        <f ca="1">IFERROR(__xludf.DUMMYFUNCTION("IMPORTRANGE(""https://docs.google.com/spreadsheets/d/1tdoBKaGub7dwA3U6UFTqxio9LNnvDCQjHKmttSEBsFQ/edit?usp=sharing"",""จัดที่ดิน!I35"")"),37)</f>
        <v>37</v>
      </c>
      <c r="AN35" s="67">
        <f ca="1">IFERROR(__xludf.DUMMYFUNCTION("IMPORTRANGE(""https://docs.google.com/spreadsheets/d/1tdoBKaGub7dwA3U6UFTqxio9LNnvDCQjHKmttSEBsFQ/edit?usp=sharing"",""จัดที่ดิน!J35"")"),367.19)</f>
        <v>367.19</v>
      </c>
      <c r="AO35" s="68">
        <f t="shared" ca="1" si="63"/>
        <v>74</v>
      </c>
      <c r="AP35" s="359">
        <f ca="1">IFERROR(__xludf.DUMMYFUNCTION("IMPORTRANGE(""https://docs.google.com/spreadsheets/d/1eHaY18a8A9IcSdp1K8H6x8fbOy06t2VsZHhMHf-1x7Y/edit?usp=sharing"",""แผน!EO35"")"),800)</f>
        <v>800</v>
      </c>
      <c r="AQ35" s="151">
        <f ca="1">IFERROR(__xludf.DUMMYFUNCTION("IMPORTRANGE(""https://docs.google.com/spreadsheets/d/1tdoBKaGub7dwA3U6UFTqxio9LNnvDCQjHKmttSEBsFQ/edit?usp=sharing"",""แบ่งแปลง!D33"")"),96)</f>
        <v>96</v>
      </c>
      <c r="AR35" s="67">
        <f ca="1">IFERROR(__xludf.DUMMYFUNCTION("IMPORTRANGE(""https://docs.google.com/spreadsheets/d/1tdoBKaGub7dwA3U6UFTqxio9LNnvDCQjHKmttSEBsFQ/edit?usp=sharing"",""แบ่งแปลง!F33"")"),888.34)</f>
        <v>888.34</v>
      </c>
      <c r="AS35" s="68">
        <f t="shared" ca="1" si="65"/>
        <v>111.0425</v>
      </c>
      <c r="AT35" s="359">
        <f ca="1">IFERROR(__xludf.DUMMYFUNCTION("IMPORTRANGE(""https://docs.google.com/spreadsheets/d/1eHaY18a8A9IcSdp1K8H6x8fbOy06t2VsZHhMHf-1x7Y/edit?usp=sharing"",""แผน!EP35"")"),120)</f>
        <v>120</v>
      </c>
      <c r="AU35" s="151">
        <f ca="1">IFERROR(__xludf.DUMMYFUNCTION("IMPORTRANGE(""https://docs.google.com/spreadsheets/d/1tdoBKaGub7dwA3U6UFTqxio9LNnvDCQjHKmttSEBsFQ/edit?usp=sharing"",""แบ่งแปลง!I33"")"),97)</f>
        <v>97</v>
      </c>
      <c r="AV35" s="67">
        <f ca="1">IFERROR(__xludf.DUMMYFUNCTION("IMPORTRANGE(""https://docs.google.com/spreadsheets/d/1tdoBKaGub7dwA3U6UFTqxio9LNnvDCQjHKmttSEBsFQ/edit?usp=sharing"",""แบ่งแปลง!K33"")"),903.53)</f>
        <v>903.53</v>
      </c>
      <c r="AW35" s="68">
        <f t="shared" ca="1" si="67"/>
        <v>80.833333333333329</v>
      </c>
      <c r="AX35" s="359">
        <f ca="1">IFERROR(__xludf.DUMMYFUNCTION("IMPORTRANGE(""https://docs.google.com/spreadsheets/d/1eHaY18a8A9IcSdp1K8H6x8fbOy06t2VsZHhMHf-1x7Y/edit?usp=sharing"",""แผน!EP35"")"),120)</f>
        <v>120</v>
      </c>
      <c r="AY35" s="151">
        <f ca="1">IFERROR(__xludf.DUMMYFUNCTION("IMPORTRANGE(""https://docs.google.com/spreadsheets/d/1tdoBKaGub7dwA3U6UFTqxio9LNnvDCQjHKmttSEBsFQ/edit?usp=sharing"",""แบ่งแปลง!X33"")"),8)</f>
        <v>8</v>
      </c>
      <c r="AZ35" s="67">
        <f ca="1">IFERROR(__xludf.DUMMYFUNCTION("IMPORTRANGE(""https://docs.google.com/spreadsheets/d/1tdoBKaGub7dwA3U6UFTqxio9LNnvDCQjHKmttSEBsFQ/edit?usp=sharing"",""แบ่งแปลง!Z33"")"),114.52)</f>
        <v>114.52</v>
      </c>
      <c r="BA35" s="68">
        <f t="shared" ca="1" si="69"/>
        <v>6.666666666666667</v>
      </c>
      <c r="BB35" s="360">
        <f ca="1">IFERROR(__xludf.DUMMYFUNCTION("IMPORTRANGE(""https://docs.google.com/spreadsheets/d/1eHaY18a8A9IcSdp1K8H6x8fbOy06t2VsZHhMHf-1x7Y/edit?usp=sharing"",""แผน!ES35"")"),250)</f>
        <v>250</v>
      </c>
      <c r="BC35" s="151">
        <f ca="1">IFERROR(__xludf.DUMMYFUNCTION("IMPORTRANGE(""https://docs.google.com/spreadsheets/d/1tdoBKaGub7dwA3U6UFTqxio9LNnvDCQjHKmttSEBsFQ/edit?usp=sharing"",""เต็มแปลง!I33"")"),196)</f>
        <v>196</v>
      </c>
      <c r="BD35" s="67">
        <f ca="1">IFERROR(__xludf.DUMMYFUNCTION("IMPORTRANGE(""https://docs.google.com/spreadsheets/d/1tdoBKaGub7dwA3U6UFTqxio9LNnvDCQjHKmttSEBsFQ/edit?usp=sharing"",""เต็มแปลง!K33"")"),2436.78)</f>
        <v>2436.7800000000002</v>
      </c>
      <c r="BE35" s="68">
        <f t="shared" ca="1" si="71"/>
        <v>78.400000000000006</v>
      </c>
      <c r="BF35" s="360">
        <f ca="1">IFERROR(__xludf.DUMMYFUNCTION("IMPORTRANGE(""https://docs.google.com/spreadsheets/d/1eHaY18a8A9IcSdp1K8H6x8fbOy06t2VsZHhMHf-1x7Y/edit?usp=sharing"",""แผน!ES35"")"),250)</f>
        <v>250</v>
      </c>
      <c r="BG35" s="151">
        <f ca="1">IFERROR(__xludf.DUMMYFUNCTION("IMPORTRANGE(""https://docs.google.com/spreadsheets/d/1tdoBKaGub7dwA3U6UFTqxio9LNnvDCQjHKmttSEBsFQ/edit?usp=sharing"",""เต็มแปลง!S33"")"),198)</f>
        <v>198</v>
      </c>
      <c r="BH35" s="67">
        <f ca="1">IFERROR(__xludf.DUMMYFUNCTION("IMPORTRANGE(""https://docs.google.com/spreadsheets/d/1tdoBKaGub7dwA3U6UFTqxio9LNnvDCQjHKmttSEBsFQ/edit?usp=sharing"",""เต็มแปลง!U33"")"),2457.53)</f>
        <v>2457.5300000000002</v>
      </c>
      <c r="BI35" s="68">
        <f t="shared" ca="1" si="73"/>
        <v>79.2</v>
      </c>
      <c r="BJ35" s="339"/>
    </row>
    <row r="36" spans="1:62" ht="21" customHeight="1" x14ac:dyDescent="0.3">
      <c r="A36" s="147">
        <v>5</v>
      </c>
      <c r="B36" s="148" t="s">
        <v>64</v>
      </c>
      <c r="C36" s="149">
        <f t="shared" ca="1" si="44"/>
        <v>1469370</v>
      </c>
      <c r="D36" s="150">
        <f t="shared" ca="1" si="87"/>
        <v>1469370</v>
      </c>
      <c r="E36" s="151">
        <f ca="1">IFERROR(__xludf.DUMMYFUNCTION("IMPORTRANGE(""https://docs.google.com/spreadsheets/d/1-uDff_7J0KD5mKrp0Vvzr7lt3OU09vwQwhkpOPPYv2Y/edit?usp=sharing"",""งบพรบ!FD36"")"),199500)</f>
        <v>199500</v>
      </c>
      <c r="F36" s="151">
        <f ca="1">IFERROR(__xludf.DUMMYFUNCTION("IMPORTRANGE(""https://docs.google.com/spreadsheets/d/1-uDff_7J0KD5mKrp0Vvzr7lt3OU09vwQwhkpOPPYv2Y/edit?usp=sharing"",""งบพรบ!FE36"")"),1269870)</f>
        <v>1269870</v>
      </c>
      <c r="G36" s="151">
        <f ca="1">IFERROR(__xludf.DUMMYFUNCTION("IMPORTRANGE(""https://docs.google.com/spreadsheets/d/1-uDff_7J0KD5mKrp0Vvzr7lt3OU09vwQwhkpOPPYv2Y/edit?usp=sharing"",""งบพรบ!FF36"")"),0)</f>
        <v>0</v>
      </c>
      <c r="H36" s="151">
        <f ca="1">IFERROR(__xludf.DUMMYFUNCTION("IMPORTRANGE(""https://docs.google.com/spreadsheets/d/1-uDff_7J0KD5mKrp0Vvzr7lt3OU09vwQwhkpOPPYv2Y/edit?usp=sharing"",""งบพรบ!FH36"")"),1652370)</f>
        <v>1652370</v>
      </c>
      <c r="I36" s="151">
        <f ca="1">IFERROR(__xludf.DUMMYFUNCTION("IMPORTRANGE(""https://docs.google.com/spreadsheets/d/1-uDff_7J0KD5mKrp0Vvzr7lt3OU09vwQwhkpOPPYv2Y/edit?usp=sharing"",""งบพรบ!FI36"")"),0)</f>
        <v>0</v>
      </c>
      <c r="J36" s="151">
        <f t="shared" ca="1" si="46"/>
        <v>1416218.68</v>
      </c>
      <c r="K36" s="154">
        <f t="shared" ca="1" si="47"/>
        <v>96.382713680012529</v>
      </c>
      <c r="L36" s="151">
        <f ca="1">IFERROR(__xludf.DUMMYFUNCTION("IMPORTRANGE(""https://docs.google.com/spreadsheets/d/1-uDff_7J0KD5mKrp0Vvzr7lt3OU09vwQwhkpOPPYv2Y/edit?usp=sharing"",""งบพรบ!FJ36"")"),1416218.68)</f>
        <v>1416218.68</v>
      </c>
      <c r="M36" s="68">
        <f t="shared" ca="1" si="48"/>
        <v>96.382713680012529</v>
      </c>
      <c r="N36" s="68">
        <f t="shared" ca="1" si="49"/>
        <v>85.70832682752652</v>
      </c>
      <c r="O36" s="67">
        <f ca="1">IFERROR(__xludf.DUMMYFUNCTION("IMPORTRANGE(""https://docs.google.com/spreadsheets/d/1-uDff_7J0KD5mKrp0Vvzr7lt3OU09vwQwhkpOPPYv2Y/edit?usp=sharing"",""งบพรบ!FK36"")"),0)</f>
        <v>0</v>
      </c>
      <c r="P36" s="67">
        <f t="shared" ca="1" si="50"/>
        <v>0</v>
      </c>
      <c r="Q36" s="68">
        <f t="shared" ca="1" si="51"/>
        <v>0</v>
      </c>
      <c r="R36" s="149">
        <f ca="1">IFERROR(__xludf.DUMMYFUNCTION("IMPORTRANGE(""https://docs.google.com/spreadsheets/d/1Mnpb-8PYAgn85W6KOTD40hc_Xc55CaLfHoGAbrZ8tls/edit?usp=sharing"",""นครราชสีมา!I368"")"),6115)</f>
        <v>6115</v>
      </c>
      <c r="S36" s="152">
        <f ca="1">IFERROR(__xludf.DUMMYFUNCTION("IMPORTRANGE(""https://docs.google.com/spreadsheets/d/1Mnpb-8PYAgn85W6KOTD40hc_Xc55CaLfHoGAbrZ8tls/edit?usp=sharing"",""นครราชสีมา!J367"")"),742)</f>
        <v>742</v>
      </c>
      <c r="T36" s="357">
        <f ca="1">IFERROR(__xludf.DUMMYFUNCTION("IMPORTRANGE(""https://docs.google.com/spreadsheets/d/1Mnpb-8PYAgn85W6KOTD40hc_Xc55CaLfHoGAbrZ8tls/edit?usp=sharing"",""นครราชสีมา!J368"")"),7539)</f>
        <v>7539</v>
      </c>
      <c r="U36" s="216">
        <f t="shared" ca="1" si="53"/>
        <v>123.2869991823385</v>
      </c>
      <c r="V36" s="149">
        <f ca="1">IFERROR(__xludf.DUMMYFUNCTION("IMPORTRANGE(""https://docs.google.com/spreadsheets/d/1Mnpb-8PYAgn85W6KOTD40hc_Xc55CaLfHoGAbrZ8tls/edit?usp=sharing"",""นครราชสีมา!I369"")"),1423)</f>
        <v>1423</v>
      </c>
      <c r="W36" s="152">
        <f ca="1">IFERROR(__xludf.DUMMYFUNCTION("IMPORTRANGE(""https://docs.google.com/spreadsheets/d/1Mnpb-8PYAgn85W6KOTD40hc_Xc55CaLfHoGAbrZ8tls/edit?usp=sharing"",""นครราชสีมา!J369"")"),1087)</f>
        <v>1087</v>
      </c>
      <c r="X36" s="357">
        <f ca="1">IFERROR(__xludf.DUMMYFUNCTION("IMPORTRANGE(""https://docs.google.com/spreadsheets/d/1Mnpb-8PYAgn85W6KOTD40hc_Xc55CaLfHoGAbrZ8tls/edit?usp=sharing"",""นครราชสีมา!J370"")"),13960.96)</f>
        <v>13960.96</v>
      </c>
      <c r="Y36" s="216">
        <f t="shared" ca="1" si="55"/>
        <v>76.3879128601546</v>
      </c>
      <c r="Z36" s="149">
        <f ca="1">IFERROR(__xludf.DUMMYFUNCTION("IMPORTRANGE(""https://docs.google.com/spreadsheets/d/1Mnpb-8PYAgn85W6KOTD40hc_Xc55CaLfHoGAbrZ8tls/edit?usp=sharing"",""นครราชสีมา!I371"")"),1423)</f>
        <v>1423</v>
      </c>
      <c r="AA36" s="152">
        <f ca="1">IFERROR(__xludf.DUMMYFUNCTION("IMPORTRANGE(""https://docs.google.com/spreadsheets/d/1Mnpb-8PYAgn85W6KOTD40hc_Xc55CaLfHoGAbrZ8tls/edit?usp=sharing"",""นครราชสีมา!J371"")"),648)</f>
        <v>648</v>
      </c>
      <c r="AB36" s="357">
        <f ca="1">IFERROR(__xludf.DUMMYFUNCTION("IMPORTRANGE(""https://docs.google.com/spreadsheets/d/1Mnpb-8PYAgn85W6KOTD40hc_Xc55CaLfHoGAbrZ8tls/edit?usp=sharing"",""นครราชสีมา!J372"")"),9197.25)</f>
        <v>9197.25</v>
      </c>
      <c r="AC36" s="216">
        <f t="shared" ca="1" si="57"/>
        <v>45.537596626844696</v>
      </c>
      <c r="AD36" s="358">
        <f ca="1">IFERROR(__xludf.DUMMYFUNCTION("IMPORTRANGE(""https://docs.google.com/spreadsheets/d/1eHaY18a8A9IcSdp1K8H6x8fbOy06t2VsZHhMHf-1x7Y/edit?usp=sharing"",""แผน!EM36"")"),4000)</f>
        <v>4000</v>
      </c>
      <c r="AE36" s="151">
        <f ca="1">IFERROR(__xludf.DUMMYFUNCTION("IMPORTRANGE(""https://docs.google.com/spreadsheets/d/1tdoBKaGub7dwA3U6UFTqxio9LNnvDCQjHKmttSEBsFQ/edit?usp=sharing"",""จัดที่ดิน!E36"")"),489)</f>
        <v>489</v>
      </c>
      <c r="AF36" s="67">
        <f ca="1">IFERROR(__xludf.DUMMYFUNCTION("IMPORTRANGE(""https://docs.google.com/spreadsheets/d/1tdoBKaGub7dwA3U6UFTqxio9LNnvDCQjHKmttSEBsFQ/edit?usp=sharing"",""จัดที่ดิน!F36"")"),5477.36)</f>
        <v>5477.36</v>
      </c>
      <c r="AG36" s="68">
        <f t="shared" ca="1" si="59"/>
        <v>136.934</v>
      </c>
      <c r="AH36" s="358">
        <f ca="1">IFERROR(__xludf.DUMMYFUNCTION("IMPORTRANGE(""https://docs.google.com/spreadsheets/d/1eHaY18a8A9IcSdp1K8H6x8fbOy06t2VsZHhMHf-1x7Y/edit?usp=sharing"",""แผน!EN36"")"),400)</f>
        <v>400</v>
      </c>
      <c r="AI36" s="151">
        <f ca="1">IFERROR(__xludf.DUMMYFUNCTION("IMPORTRANGE(""https://docs.google.com/spreadsheets/d/1tdoBKaGub7dwA3U6UFTqxio9LNnvDCQjHKmttSEBsFQ/edit?usp=sharing"",""จัดที่ดิน!G36"")"),236)</f>
        <v>236</v>
      </c>
      <c r="AJ36" s="67">
        <f ca="1">IFERROR(__xludf.DUMMYFUNCTION("IMPORTRANGE(""https://docs.google.com/spreadsheets/d/1tdoBKaGub7dwA3U6UFTqxio9LNnvDCQjHKmttSEBsFQ/edit?usp=sharing"",""จัดที่ดิน!H36"")"),3227.51)</f>
        <v>3227.51</v>
      </c>
      <c r="AK36" s="68">
        <f t="shared" ca="1" si="61"/>
        <v>59</v>
      </c>
      <c r="AL36" s="358">
        <f ca="1">IFERROR(__xludf.DUMMYFUNCTION("IMPORTRANGE(""https://docs.google.com/spreadsheets/d/1eHaY18a8A9IcSdp1K8H6x8fbOy06t2VsZHhMHf-1x7Y/edit?usp=sharing"",""แผน!EN36"")"),400)</f>
        <v>400</v>
      </c>
      <c r="AM36" s="151">
        <f ca="1">IFERROR(__xludf.DUMMYFUNCTION("IMPORTRANGE(""https://docs.google.com/spreadsheets/d/1tdoBKaGub7dwA3U6UFTqxio9LNnvDCQjHKmttSEBsFQ/edit?usp=sharing"",""จัดที่ดิน!I36"")"),27)</f>
        <v>27</v>
      </c>
      <c r="AN36" s="67">
        <f ca="1">IFERROR(__xludf.DUMMYFUNCTION("IMPORTRANGE(""https://docs.google.com/spreadsheets/d/1tdoBKaGub7dwA3U6UFTqxio9LNnvDCQjHKmttSEBsFQ/edit?usp=sharing"",""จัดที่ดิน!J36"")"),493.23)</f>
        <v>493.23</v>
      </c>
      <c r="AO36" s="68">
        <f t="shared" ca="1" si="63"/>
        <v>6.75</v>
      </c>
      <c r="AP36" s="359">
        <f ca="1">IFERROR(__xludf.DUMMYFUNCTION("IMPORTRANGE(""https://docs.google.com/spreadsheets/d/1eHaY18a8A9IcSdp1K8H6x8fbOy06t2VsZHhMHf-1x7Y/edit?usp=sharing"",""แผน!EO36"")"),2115)</f>
        <v>2115</v>
      </c>
      <c r="AQ36" s="151">
        <f ca="1">IFERROR(__xludf.DUMMYFUNCTION("IMPORTRANGE(""https://docs.google.com/spreadsheets/d/1tdoBKaGub7dwA3U6UFTqxio9LNnvDCQjHKmttSEBsFQ/edit?usp=sharing"",""แบ่งแปลง!D34"")"),251)</f>
        <v>251</v>
      </c>
      <c r="AR36" s="67">
        <f ca="1">IFERROR(__xludf.DUMMYFUNCTION("IMPORTRANGE(""https://docs.google.com/spreadsheets/d/1tdoBKaGub7dwA3U6UFTqxio9LNnvDCQjHKmttSEBsFQ/edit?usp=sharing"",""แบ่งแปลง!F34"")"),2051.52)</f>
        <v>2051.52</v>
      </c>
      <c r="AS36" s="68">
        <f t="shared" ca="1" si="65"/>
        <v>96.998581560283682</v>
      </c>
      <c r="AT36" s="359">
        <f ca="1">IFERROR(__xludf.DUMMYFUNCTION("IMPORTRANGE(""https://docs.google.com/spreadsheets/d/1eHaY18a8A9IcSdp1K8H6x8fbOy06t2VsZHhMHf-1x7Y/edit?usp=sharing"",""แผน!EP36"")"),423)</f>
        <v>423</v>
      </c>
      <c r="AU36" s="151">
        <f ca="1">IFERROR(__xludf.DUMMYFUNCTION("IMPORTRANGE(""https://docs.google.com/spreadsheets/d/1tdoBKaGub7dwA3U6UFTqxio9LNnvDCQjHKmttSEBsFQ/edit?usp=sharing"",""แบ่งแปลง!I34"")"),249)</f>
        <v>249</v>
      </c>
      <c r="AV36" s="67">
        <f ca="1">IFERROR(__xludf.DUMMYFUNCTION("IMPORTRANGE(""https://docs.google.com/spreadsheets/d/1tdoBKaGub7dwA3U6UFTqxio9LNnvDCQjHKmttSEBsFQ/edit?usp=sharing"",""แบ่งแปลง!K34"")"),2181.46)</f>
        <v>2181.46</v>
      </c>
      <c r="AW36" s="68">
        <f t="shared" ca="1" si="67"/>
        <v>58.865248226950357</v>
      </c>
      <c r="AX36" s="359">
        <f ca="1">IFERROR(__xludf.DUMMYFUNCTION("IMPORTRANGE(""https://docs.google.com/spreadsheets/d/1eHaY18a8A9IcSdp1K8H6x8fbOy06t2VsZHhMHf-1x7Y/edit?usp=sharing"",""แผน!EP36"")"),423)</f>
        <v>423</v>
      </c>
      <c r="AY36" s="151">
        <f ca="1">IFERROR(__xludf.DUMMYFUNCTION("IMPORTRANGE(""https://docs.google.com/spreadsheets/d/1tdoBKaGub7dwA3U6UFTqxio9LNnvDCQjHKmttSEBsFQ/edit?usp=sharing"",""แบ่งแปลง!X34"")"),19)</f>
        <v>19</v>
      </c>
      <c r="AZ36" s="67">
        <f ca="1">IFERROR(__xludf.DUMMYFUNCTION("IMPORTRANGE(""https://docs.google.com/spreadsheets/d/1tdoBKaGub7dwA3U6UFTqxio9LNnvDCQjHKmttSEBsFQ/edit?usp=sharing"",""แบ่งแปลง!Z34"")"),146.57)</f>
        <v>146.57</v>
      </c>
      <c r="BA36" s="68">
        <f t="shared" ca="1" si="69"/>
        <v>4.4917257683215128</v>
      </c>
      <c r="BB36" s="360">
        <f ca="1">IFERROR(__xludf.DUMMYFUNCTION("IMPORTRANGE(""https://docs.google.com/spreadsheets/d/1eHaY18a8A9IcSdp1K8H6x8fbOy06t2VsZHhMHf-1x7Y/edit?usp=sharing"",""แผน!ES36"")"),600)</f>
        <v>600</v>
      </c>
      <c r="BC36" s="151">
        <f ca="1">IFERROR(__xludf.DUMMYFUNCTION("IMPORTRANGE(""https://docs.google.com/spreadsheets/d/1tdoBKaGub7dwA3U6UFTqxio9LNnvDCQjHKmttSEBsFQ/edit?usp=sharing"",""เต็มแปลง!I34"")"),602)</f>
        <v>602</v>
      </c>
      <c r="BD36" s="67">
        <f ca="1">IFERROR(__xludf.DUMMYFUNCTION("IMPORTRANGE(""https://docs.google.com/spreadsheets/d/1tdoBKaGub7dwA3U6UFTqxio9LNnvDCQjHKmttSEBsFQ/edit?usp=sharing"",""เต็มแปลง!K34"")"),8551.99)</f>
        <v>8551.99</v>
      </c>
      <c r="BE36" s="68">
        <f t="shared" ca="1" si="71"/>
        <v>100.33333333333333</v>
      </c>
      <c r="BF36" s="360">
        <f ca="1">IFERROR(__xludf.DUMMYFUNCTION("IMPORTRANGE(""https://docs.google.com/spreadsheets/d/1eHaY18a8A9IcSdp1K8H6x8fbOy06t2VsZHhMHf-1x7Y/edit?usp=sharing"",""แผน!ES36"")"),600)</f>
        <v>600</v>
      </c>
      <c r="BG36" s="151">
        <f ca="1">IFERROR(__xludf.DUMMYFUNCTION("IMPORTRANGE(""https://docs.google.com/spreadsheets/d/1tdoBKaGub7dwA3U6UFTqxio9LNnvDCQjHKmttSEBsFQ/edit?usp=sharing"",""เต็มแปลง!S34"")"),602)</f>
        <v>602</v>
      </c>
      <c r="BH36" s="67">
        <f ca="1">IFERROR(__xludf.DUMMYFUNCTION("IMPORTRANGE(""https://docs.google.com/spreadsheets/d/1tdoBKaGub7dwA3U6UFTqxio9LNnvDCQjHKmttSEBsFQ/edit?usp=sharing"",""เต็มแปลง!U34"")"),8557.46)</f>
        <v>8557.4599999999991</v>
      </c>
      <c r="BI36" s="68">
        <f t="shared" ca="1" si="73"/>
        <v>100.33333333333333</v>
      </c>
      <c r="BJ36" s="339"/>
    </row>
    <row r="37" spans="1:62" ht="21" customHeight="1" x14ac:dyDescent="0.3">
      <c r="A37" s="147">
        <v>6</v>
      </c>
      <c r="B37" s="148" t="s">
        <v>65</v>
      </c>
      <c r="C37" s="149">
        <f t="shared" ca="1" si="44"/>
        <v>861060</v>
      </c>
      <c r="D37" s="150">
        <f t="shared" ca="1" si="87"/>
        <v>861060</v>
      </c>
      <c r="E37" s="151">
        <f ca="1">IFERROR(__xludf.DUMMYFUNCTION("IMPORTRANGE(""https://docs.google.com/spreadsheets/d/1-uDff_7J0KD5mKrp0Vvzr7lt3OU09vwQwhkpOPPYv2Y/edit?usp=sharing"",""งบพรบ!FD37"")"),140700)</f>
        <v>140700</v>
      </c>
      <c r="F37" s="151">
        <f ca="1">IFERROR(__xludf.DUMMYFUNCTION("IMPORTRANGE(""https://docs.google.com/spreadsheets/d/1-uDff_7J0KD5mKrp0Vvzr7lt3OU09vwQwhkpOPPYv2Y/edit?usp=sharing"",""งบพรบ!FE37"")"),720360)</f>
        <v>720360</v>
      </c>
      <c r="G37" s="151">
        <f ca="1">IFERROR(__xludf.DUMMYFUNCTION("IMPORTRANGE(""https://docs.google.com/spreadsheets/d/1-uDff_7J0KD5mKrp0Vvzr7lt3OU09vwQwhkpOPPYv2Y/edit?usp=sharing"",""งบพรบ!FF37"")"),0)</f>
        <v>0</v>
      </c>
      <c r="H37" s="151">
        <f ca="1">IFERROR(__xludf.DUMMYFUNCTION("IMPORTRANGE(""https://docs.google.com/spreadsheets/d/1-uDff_7J0KD5mKrp0Vvzr7lt3OU09vwQwhkpOPPYv2Y/edit?usp=sharing"",""งบพรบ!FH37"")"),1030715)</f>
        <v>1030715</v>
      </c>
      <c r="I37" s="151">
        <f ca="1">IFERROR(__xludf.DUMMYFUNCTION("IMPORTRANGE(""https://docs.google.com/spreadsheets/d/1-uDff_7J0KD5mKrp0Vvzr7lt3OU09vwQwhkpOPPYv2Y/edit?usp=sharing"",""งบพรบ!FI37"")"),0)</f>
        <v>0</v>
      </c>
      <c r="J37" s="151">
        <f t="shared" ca="1" si="46"/>
        <v>833313.1</v>
      </c>
      <c r="K37" s="154">
        <f t="shared" ca="1" si="47"/>
        <v>96.777588089099481</v>
      </c>
      <c r="L37" s="151">
        <f ca="1">IFERROR(__xludf.DUMMYFUNCTION("IMPORTRANGE(""https://docs.google.com/spreadsheets/d/1-uDff_7J0KD5mKrp0Vvzr7lt3OU09vwQwhkpOPPYv2Y/edit?usp=sharing"",""งบพรบ!FJ37"")"),833313.1)</f>
        <v>833313.1</v>
      </c>
      <c r="M37" s="68">
        <f t="shared" ca="1" si="48"/>
        <v>96.777588089099481</v>
      </c>
      <c r="N37" s="68">
        <f t="shared" ca="1" si="49"/>
        <v>80.848061782354961</v>
      </c>
      <c r="O37" s="67">
        <f ca="1">IFERROR(__xludf.DUMMYFUNCTION("IMPORTRANGE(""https://docs.google.com/spreadsheets/d/1-uDff_7J0KD5mKrp0Vvzr7lt3OU09vwQwhkpOPPYv2Y/edit?usp=sharing"",""งบพรบ!FK37"")"),0)</f>
        <v>0</v>
      </c>
      <c r="P37" s="67">
        <f t="shared" ca="1" si="50"/>
        <v>0</v>
      </c>
      <c r="Q37" s="68">
        <f t="shared" ca="1" si="51"/>
        <v>0</v>
      </c>
      <c r="R37" s="149">
        <f ca="1">IFERROR(__xludf.DUMMYFUNCTION("IMPORTRANGE(""https://docs.google.com/spreadsheets/d/1xoDLGBv9CYbyosIhki0kTq6IpYNj-gpjxfobnaDiut0/edit?usp=sharing"",""บึงกาฬ!I368"")"),2450)</f>
        <v>2450</v>
      </c>
      <c r="S37" s="152">
        <f ca="1">IFERROR(__xludf.DUMMYFUNCTION("IMPORTRANGE(""https://docs.google.com/spreadsheets/d/1xoDLGBv9CYbyosIhki0kTq6IpYNj-gpjxfobnaDiut0/edit?usp=sharing"",""บึงกาฬ!J367"")"),417)</f>
        <v>417</v>
      </c>
      <c r="T37" s="357">
        <f ca="1">IFERROR(__xludf.DUMMYFUNCTION("IMPORTRANGE(""https://docs.google.com/spreadsheets/d/1xoDLGBv9CYbyosIhki0kTq6IpYNj-gpjxfobnaDiut0/edit?usp=sharing"",""บึงกาฬ!J368"")"),4725.78)</f>
        <v>4725.78</v>
      </c>
      <c r="U37" s="216">
        <f t="shared" ca="1" si="53"/>
        <v>192.88897959183674</v>
      </c>
      <c r="V37" s="149">
        <f ca="1">IFERROR(__xludf.DUMMYFUNCTION("IMPORTRANGE(""https://docs.google.com/spreadsheets/d/1xoDLGBv9CYbyosIhki0kTq6IpYNj-gpjxfobnaDiut0/edit?usp=sharing"",""บึงกาฬ!I369"")"),938)</f>
        <v>938</v>
      </c>
      <c r="W37" s="152">
        <f ca="1">IFERROR(__xludf.DUMMYFUNCTION("IMPORTRANGE(""https://docs.google.com/spreadsheets/d/1xoDLGBv9CYbyosIhki0kTq6IpYNj-gpjxfobnaDiut0/edit?usp=sharing"",""บึงกาฬ!J369"")"),879)</f>
        <v>879</v>
      </c>
      <c r="X37" s="357">
        <f ca="1">IFERROR(__xludf.DUMMYFUNCTION("IMPORTRANGE(""https://docs.google.com/spreadsheets/d/1xoDLGBv9CYbyosIhki0kTq6IpYNj-gpjxfobnaDiut0/edit?usp=sharing"",""บึงกาฬ!J370"")"),12753.57)</f>
        <v>12753.57</v>
      </c>
      <c r="Y37" s="216">
        <f t="shared" ca="1" si="55"/>
        <v>93.710021321961619</v>
      </c>
      <c r="Z37" s="149">
        <f ca="1">IFERROR(__xludf.DUMMYFUNCTION("IMPORTRANGE(""https://docs.google.com/spreadsheets/d/1xoDLGBv9CYbyosIhki0kTq6IpYNj-gpjxfobnaDiut0/edit?usp=sharing"",""บึงกาฬ!I371"")"),938)</f>
        <v>938</v>
      </c>
      <c r="AA37" s="152">
        <f ca="1">IFERROR(__xludf.DUMMYFUNCTION("IMPORTRANGE(""https://docs.google.com/spreadsheets/d/1xoDLGBv9CYbyosIhki0kTq6IpYNj-gpjxfobnaDiut0/edit?usp=sharing"",""บึงกาฬ!J371"")"),382)</f>
        <v>382</v>
      </c>
      <c r="AB37" s="357">
        <f ca="1">IFERROR(__xludf.DUMMYFUNCTION("IMPORTRANGE(""https://docs.google.com/spreadsheets/d/1xoDLGBv9CYbyosIhki0kTq6IpYNj-gpjxfobnaDiut0/edit?usp=sharing"",""บึงกาฬ!J372"")"),6351.4)</f>
        <v>6351.4</v>
      </c>
      <c r="AC37" s="216">
        <f t="shared" ca="1" si="57"/>
        <v>40.724946695095952</v>
      </c>
      <c r="AD37" s="358">
        <f ca="1">IFERROR(__xludf.DUMMYFUNCTION("IMPORTRANGE(""https://docs.google.com/spreadsheets/d/1eHaY18a8A9IcSdp1K8H6x8fbOy06t2VsZHhMHf-1x7Y/edit?usp=sharing"",""แผน!EM37"")"),450)</f>
        <v>450</v>
      </c>
      <c r="AE37" s="151">
        <f ca="1">IFERROR(__xludf.DUMMYFUNCTION("IMPORTRANGE(""https://docs.google.com/spreadsheets/d/1tdoBKaGub7dwA3U6UFTqxio9LNnvDCQjHKmttSEBsFQ/edit?usp=sharing"",""จัดที่ดิน!E37"")"),53)</f>
        <v>53</v>
      </c>
      <c r="AF37" s="67">
        <f ca="1">IFERROR(__xludf.DUMMYFUNCTION("IMPORTRANGE(""https://docs.google.com/spreadsheets/d/1tdoBKaGub7dwA3U6UFTqxio9LNnvDCQjHKmttSEBsFQ/edit?usp=sharing"",""จัดที่ดิน!F37"")"),858.71)</f>
        <v>858.71</v>
      </c>
      <c r="AG37" s="68">
        <f t="shared" ca="1" si="59"/>
        <v>190.82444444444445</v>
      </c>
      <c r="AH37" s="358">
        <f ca="1">IFERROR(__xludf.DUMMYFUNCTION("IMPORTRANGE(""https://docs.google.com/spreadsheets/d/1eHaY18a8A9IcSdp1K8H6x8fbOy06t2VsZHhMHf-1x7Y/edit?usp=sharing"",""แผน!EN37"")"),50)</f>
        <v>50</v>
      </c>
      <c r="AI37" s="151">
        <f ca="1">IFERROR(__xludf.DUMMYFUNCTION("IMPORTRANGE(""https://docs.google.com/spreadsheets/d/1tdoBKaGub7dwA3U6UFTqxio9LNnvDCQjHKmttSEBsFQ/edit?usp=sharing"",""จัดที่ดิน!G37"")"),41)</f>
        <v>41</v>
      </c>
      <c r="AJ37" s="67">
        <f ca="1">IFERROR(__xludf.DUMMYFUNCTION("IMPORTRANGE(""https://docs.google.com/spreadsheets/d/1tdoBKaGub7dwA3U6UFTqxio9LNnvDCQjHKmttSEBsFQ/edit?usp=sharing"",""จัดที่ดิน!H37"")"),788.21)</f>
        <v>788.21</v>
      </c>
      <c r="AK37" s="68">
        <f t="shared" ca="1" si="61"/>
        <v>82</v>
      </c>
      <c r="AL37" s="358">
        <f ca="1">IFERROR(__xludf.DUMMYFUNCTION("IMPORTRANGE(""https://docs.google.com/spreadsheets/d/1eHaY18a8A9IcSdp1K8H6x8fbOy06t2VsZHhMHf-1x7Y/edit?usp=sharing"",""แผน!EN37"")"),50)</f>
        <v>50</v>
      </c>
      <c r="AM37" s="151">
        <f ca="1">IFERROR(__xludf.DUMMYFUNCTION("IMPORTRANGE(""https://docs.google.com/spreadsheets/d/1tdoBKaGub7dwA3U6UFTqxio9LNnvDCQjHKmttSEBsFQ/edit?usp=sharing"",""จัดที่ดิน!I37"")"),3)</f>
        <v>3</v>
      </c>
      <c r="AN37" s="67">
        <f ca="1">IFERROR(__xludf.DUMMYFUNCTION("IMPORTRANGE(""https://docs.google.com/spreadsheets/d/1tdoBKaGub7dwA3U6UFTqxio9LNnvDCQjHKmttSEBsFQ/edit?usp=sharing"",""จัดที่ดิน!J37"")"),107.42)</f>
        <v>107.42</v>
      </c>
      <c r="AO37" s="68">
        <f t="shared" ca="1" si="63"/>
        <v>6</v>
      </c>
      <c r="AP37" s="359">
        <f ca="1">IFERROR(__xludf.DUMMYFUNCTION("IMPORTRANGE(""https://docs.google.com/spreadsheets/d/1eHaY18a8A9IcSdp1K8H6x8fbOy06t2VsZHhMHf-1x7Y/edit?usp=sharing"",""แผน!EO37"")"),2000)</f>
        <v>2000</v>
      </c>
      <c r="AQ37" s="151">
        <f ca="1">IFERROR(__xludf.DUMMYFUNCTION("IMPORTRANGE(""https://docs.google.com/spreadsheets/d/1tdoBKaGub7dwA3U6UFTqxio9LNnvDCQjHKmttSEBsFQ/edit?usp=sharing"",""แบ่งแปลง!D35"")"),364)</f>
        <v>364</v>
      </c>
      <c r="AR37" s="67">
        <f ca="1">IFERROR(__xludf.DUMMYFUNCTION("IMPORTRANGE(""https://docs.google.com/spreadsheets/d/1tdoBKaGub7dwA3U6UFTqxio9LNnvDCQjHKmttSEBsFQ/edit?usp=sharing"",""แบ่งแปลง!F35"")"),3867.07)</f>
        <v>3867.07</v>
      </c>
      <c r="AS37" s="68">
        <f t="shared" ca="1" si="65"/>
        <v>193.3535</v>
      </c>
      <c r="AT37" s="359">
        <f ca="1">IFERROR(__xludf.DUMMYFUNCTION("IMPORTRANGE(""https://docs.google.com/spreadsheets/d/1eHaY18a8A9IcSdp1K8H6x8fbOy06t2VsZHhMHf-1x7Y/edit?usp=sharing"",""แผน!EP37"")"),350)</f>
        <v>350</v>
      </c>
      <c r="AU37" s="151">
        <f ca="1">IFERROR(__xludf.DUMMYFUNCTION("IMPORTRANGE(""https://docs.google.com/spreadsheets/d/1tdoBKaGub7dwA3U6UFTqxio9LNnvDCQjHKmttSEBsFQ/edit?usp=sharing"",""แบ่งแปลง!I35"")"),355)</f>
        <v>355</v>
      </c>
      <c r="AV37" s="67">
        <f ca="1">IFERROR(__xludf.DUMMYFUNCTION("IMPORTRANGE(""https://docs.google.com/spreadsheets/d/1tdoBKaGub7dwA3U6UFTqxio9LNnvDCQjHKmttSEBsFQ/edit?usp=sharing"",""แบ่งแปลง!K35"")"),3809.68)</f>
        <v>3809.68</v>
      </c>
      <c r="AW37" s="68">
        <f t="shared" ca="1" si="67"/>
        <v>101.42857142857143</v>
      </c>
      <c r="AX37" s="359">
        <f ca="1">IFERROR(__xludf.DUMMYFUNCTION("IMPORTRANGE(""https://docs.google.com/spreadsheets/d/1eHaY18a8A9IcSdp1K8H6x8fbOy06t2VsZHhMHf-1x7Y/edit?usp=sharing"",""แผน!EP37"")"),350)</f>
        <v>350</v>
      </c>
      <c r="AY37" s="151">
        <f ca="1">IFERROR(__xludf.DUMMYFUNCTION("IMPORTRANGE(""https://docs.google.com/spreadsheets/d/1tdoBKaGub7dwA3U6UFTqxio9LNnvDCQjHKmttSEBsFQ/edit?usp=sharing"",""แบ่งแปลง!X35"")"),0)</f>
        <v>0</v>
      </c>
      <c r="AZ37" s="67">
        <f ca="1">IFERROR(__xludf.DUMMYFUNCTION("IMPORTRANGE(""https://docs.google.com/spreadsheets/d/1tdoBKaGub7dwA3U6UFTqxio9LNnvDCQjHKmttSEBsFQ/edit?usp=sharing"",""แบ่งแปลง!Z35"")"),0)</f>
        <v>0</v>
      </c>
      <c r="BA37" s="68">
        <f t="shared" ca="1" si="69"/>
        <v>0</v>
      </c>
      <c r="BB37" s="360">
        <f ca="1">IFERROR(__xludf.DUMMYFUNCTION("IMPORTRANGE(""https://docs.google.com/spreadsheets/d/1eHaY18a8A9IcSdp1K8H6x8fbOy06t2VsZHhMHf-1x7Y/edit?usp=sharing"",""แผน!ES37"")"),538)</f>
        <v>538</v>
      </c>
      <c r="BC37" s="151">
        <f ca="1">IFERROR(__xludf.DUMMYFUNCTION("IMPORTRANGE(""https://docs.google.com/spreadsheets/d/1tdoBKaGub7dwA3U6UFTqxio9LNnvDCQjHKmttSEBsFQ/edit?usp=sharing"",""เต็มแปลง!I35"")"),483)</f>
        <v>483</v>
      </c>
      <c r="BD37" s="67">
        <f ca="1">IFERROR(__xludf.DUMMYFUNCTION("IMPORTRANGE(""https://docs.google.com/spreadsheets/d/1tdoBKaGub7dwA3U6UFTqxio9LNnvDCQjHKmttSEBsFQ/edit?usp=sharing"",""เต็มแปลง!K35"")"),8155.68)</f>
        <v>8155.68</v>
      </c>
      <c r="BE37" s="68">
        <f t="shared" ca="1" si="71"/>
        <v>89.776951672862452</v>
      </c>
      <c r="BF37" s="360">
        <f ca="1">IFERROR(__xludf.DUMMYFUNCTION("IMPORTRANGE(""https://docs.google.com/spreadsheets/d/1eHaY18a8A9IcSdp1K8H6x8fbOy06t2VsZHhMHf-1x7Y/edit?usp=sharing"",""แผน!ES37"")"),538)</f>
        <v>538</v>
      </c>
      <c r="BG37" s="151">
        <f ca="1">IFERROR(__xludf.DUMMYFUNCTION("IMPORTRANGE(""https://docs.google.com/spreadsheets/d/1tdoBKaGub7dwA3U6UFTqxio9LNnvDCQjHKmttSEBsFQ/edit?usp=sharing"",""เต็มแปลง!S35"")"),379)</f>
        <v>379</v>
      </c>
      <c r="BH37" s="67">
        <f ca="1">IFERROR(__xludf.DUMMYFUNCTION("IMPORTRANGE(""https://docs.google.com/spreadsheets/d/1tdoBKaGub7dwA3U6UFTqxio9LNnvDCQjHKmttSEBsFQ/edit?usp=sharing"",""เต็มแปลง!U35"")"),6243.98)</f>
        <v>6243.98</v>
      </c>
      <c r="BI37" s="68">
        <f t="shared" ca="1" si="73"/>
        <v>70.446096654275095</v>
      </c>
      <c r="BJ37" s="339"/>
    </row>
    <row r="38" spans="1:62" ht="21" customHeight="1" x14ac:dyDescent="0.3">
      <c r="A38" s="147">
        <v>7</v>
      </c>
      <c r="B38" s="148" t="s">
        <v>66</v>
      </c>
      <c r="C38" s="149">
        <f t="shared" ca="1" si="44"/>
        <v>826150</v>
      </c>
      <c r="D38" s="150">
        <f t="shared" ca="1" si="87"/>
        <v>826150</v>
      </c>
      <c r="E38" s="151">
        <f ca="1">IFERROR(__xludf.DUMMYFUNCTION("IMPORTRANGE(""https://docs.google.com/spreadsheets/d/1-uDff_7J0KD5mKrp0Vvzr7lt3OU09vwQwhkpOPPYv2Y/edit?usp=sharing"",""งบพรบ!FD38"")"),23400)</f>
        <v>23400</v>
      </c>
      <c r="F38" s="151">
        <f ca="1">IFERROR(__xludf.DUMMYFUNCTION("IMPORTRANGE(""https://docs.google.com/spreadsheets/d/1-uDff_7J0KD5mKrp0Vvzr7lt3OU09vwQwhkpOPPYv2Y/edit?usp=sharing"",""งบพรบ!FE38"")"),802750)</f>
        <v>802750</v>
      </c>
      <c r="G38" s="151">
        <f ca="1">IFERROR(__xludf.DUMMYFUNCTION("IMPORTRANGE(""https://docs.google.com/spreadsheets/d/1-uDff_7J0KD5mKrp0Vvzr7lt3OU09vwQwhkpOPPYv2Y/edit?usp=sharing"",""งบพรบ!FF38"")"),0)</f>
        <v>0</v>
      </c>
      <c r="H38" s="151">
        <f ca="1">IFERROR(__xludf.DUMMYFUNCTION("IMPORTRANGE(""https://docs.google.com/spreadsheets/d/1-uDff_7J0KD5mKrp0Vvzr7lt3OU09vwQwhkpOPPYv2Y/edit?usp=sharing"",""งบพรบ!FH38"")"),994150)</f>
        <v>994150</v>
      </c>
      <c r="I38" s="151">
        <f ca="1">IFERROR(__xludf.DUMMYFUNCTION("IMPORTRANGE(""https://docs.google.com/spreadsheets/d/1-uDff_7J0KD5mKrp0Vvzr7lt3OU09vwQwhkpOPPYv2Y/edit?usp=sharing"",""งบพรบ!FI38"")"),0)</f>
        <v>0</v>
      </c>
      <c r="J38" s="151">
        <f t="shared" ca="1" si="46"/>
        <v>801382.23</v>
      </c>
      <c r="K38" s="154">
        <f t="shared" ca="1" si="47"/>
        <v>97.002025055982571</v>
      </c>
      <c r="L38" s="151">
        <f ca="1">IFERROR(__xludf.DUMMYFUNCTION("IMPORTRANGE(""https://docs.google.com/spreadsheets/d/1-uDff_7J0KD5mKrp0Vvzr7lt3OU09vwQwhkpOPPYv2Y/edit?usp=sharing"",""งบพรบ!FJ38"")"),801382.23)</f>
        <v>801382.23</v>
      </c>
      <c r="M38" s="68">
        <f t="shared" ca="1" si="48"/>
        <v>97.002025055982571</v>
      </c>
      <c r="N38" s="68">
        <f t="shared" ca="1" si="49"/>
        <v>80.609790273097616</v>
      </c>
      <c r="O38" s="67">
        <f ca="1">IFERROR(__xludf.DUMMYFUNCTION("IMPORTRANGE(""https://docs.google.com/spreadsheets/d/1-uDff_7J0KD5mKrp0Vvzr7lt3OU09vwQwhkpOPPYv2Y/edit?usp=sharing"",""งบพรบ!FK38"")"),0)</f>
        <v>0</v>
      </c>
      <c r="P38" s="67">
        <f t="shared" ca="1" si="50"/>
        <v>0</v>
      </c>
      <c r="Q38" s="68">
        <f t="shared" ca="1" si="51"/>
        <v>0</v>
      </c>
      <c r="R38" s="149">
        <f ca="1">IFERROR(__xludf.DUMMYFUNCTION("IMPORTRANGE(""https://docs.google.com/spreadsheets/d/1MMPq-JyI6DSgQETxuSiXkesP-P7JHuemnE6QJIa-Nlw/edit?usp=sharing"",""บุรีรัมย์!I368"")"),2800)</f>
        <v>2800</v>
      </c>
      <c r="S38" s="152">
        <f ca="1">IFERROR(__xludf.DUMMYFUNCTION("IMPORTRANGE(""https://docs.google.com/spreadsheets/d/1MMPq-JyI6DSgQETxuSiXkesP-P7JHuemnE6QJIa-Nlw/edit?usp=sharing"",""บุรีรัมย์!J367"")"),514)</f>
        <v>514</v>
      </c>
      <c r="T38" s="357">
        <f ca="1">IFERROR(__xludf.DUMMYFUNCTION("IMPORTRANGE(""https://docs.google.com/spreadsheets/d/1MMPq-JyI6DSgQETxuSiXkesP-P7JHuemnE6QJIa-Nlw/edit?usp=sharing"",""บุรีรัมย์!J368"")"),3871.3)</f>
        <v>3871.3</v>
      </c>
      <c r="U38" s="216">
        <f t="shared" ca="1" si="53"/>
        <v>138.26071428571427</v>
      </c>
      <c r="V38" s="149">
        <f ca="1">IFERROR(__xludf.DUMMYFUNCTION("IMPORTRANGE(""https://docs.google.com/spreadsheets/d/1MMPq-JyI6DSgQETxuSiXkesP-P7JHuemnE6QJIa-Nlw/edit?usp=sharing"",""บุรีรัมย์!I369"")"),1020)</f>
        <v>1020</v>
      </c>
      <c r="W38" s="152">
        <f ca="1">IFERROR(__xludf.DUMMYFUNCTION("IMPORTRANGE(""https://docs.google.com/spreadsheets/d/1MMPq-JyI6DSgQETxuSiXkesP-P7JHuemnE6QJIa-Nlw/edit?usp=sharing"",""บุรีรัมย์!J369"")"),948)</f>
        <v>948</v>
      </c>
      <c r="X38" s="357">
        <f ca="1">IFERROR(__xludf.DUMMYFUNCTION("IMPORTRANGE(""https://docs.google.com/spreadsheets/d/1MMPq-JyI6DSgQETxuSiXkesP-P7JHuemnE6QJIa-Nlw/edit?usp=sharing"",""บุรีรัมย์!J370"")"),9092.26)</f>
        <v>9092.26</v>
      </c>
      <c r="Y38" s="216">
        <f t="shared" ca="1" si="55"/>
        <v>92.941176470588232</v>
      </c>
      <c r="Z38" s="149">
        <f ca="1">IFERROR(__xludf.DUMMYFUNCTION("IMPORTRANGE(""https://docs.google.com/spreadsheets/d/1MMPq-JyI6DSgQETxuSiXkesP-P7JHuemnE6QJIa-Nlw/edit?usp=sharing"",""บุรีรัมย์!I371"")"),1020)</f>
        <v>1020</v>
      </c>
      <c r="AA38" s="152">
        <f ca="1">IFERROR(__xludf.DUMMYFUNCTION("IMPORTRANGE(""https://docs.google.com/spreadsheets/d/1MMPq-JyI6DSgQETxuSiXkesP-P7JHuemnE6QJIa-Nlw/edit?usp=sharing"",""บุรีรัมย์!J371"")"),904)</f>
        <v>904</v>
      </c>
      <c r="AB38" s="357">
        <f ca="1">IFERROR(__xludf.DUMMYFUNCTION("IMPORTRANGE(""https://docs.google.com/spreadsheets/d/1MMPq-JyI6DSgQETxuSiXkesP-P7JHuemnE6QJIa-Nlw/edit?usp=sharing"",""บุรีรัมย์!J372"")"),8812.76)</f>
        <v>8812.76</v>
      </c>
      <c r="AC38" s="216">
        <f t="shared" ca="1" si="57"/>
        <v>88.627450980392155</v>
      </c>
      <c r="AD38" s="358">
        <f ca="1">IFERROR(__xludf.DUMMYFUNCTION("IMPORTRANGE(""https://docs.google.com/spreadsheets/d/1eHaY18a8A9IcSdp1K8H6x8fbOy06t2VsZHhMHf-1x7Y/edit?usp=sharing"",""แผน!EM38"")"),1300)</f>
        <v>1300</v>
      </c>
      <c r="AE38" s="151">
        <f ca="1">IFERROR(__xludf.DUMMYFUNCTION("IMPORTRANGE(""https://docs.google.com/spreadsheets/d/1tdoBKaGub7dwA3U6UFTqxio9LNnvDCQjHKmttSEBsFQ/edit?usp=sharing"",""จัดที่ดิน!E38"")"),107)</f>
        <v>107</v>
      </c>
      <c r="AF38" s="67">
        <f ca="1">IFERROR(__xludf.DUMMYFUNCTION("IMPORTRANGE(""https://docs.google.com/spreadsheets/d/1tdoBKaGub7dwA3U6UFTqxio9LNnvDCQjHKmttSEBsFQ/edit?usp=sharing"",""จัดที่ดิน!F38"")"),1185.05)</f>
        <v>1185.05</v>
      </c>
      <c r="AG38" s="68">
        <f t="shared" ca="1" si="59"/>
        <v>91.157692307692301</v>
      </c>
      <c r="AH38" s="358">
        <f ca="1">IFERROR(__xludf.DUMMYFUNCTION("IMPORTRANGE(""https://docs.google.com/spreadsheets/d/1eHaY18a8A9IcSdp1K8H6x8fbOy06t2VsZHhMHf-1x7Y/edit?usp=sharing"",""แผน!EN38"")"),120)</f>
        <v>120</v>
      </c>
      <c r="AI38" s="151">
        <f ca="1">IFERROR(__xludf.DUMMYFUNCTION("IMPORTRANGE(""https://docs.google.com/spreadsheets/d/1tdoBKaGub7dwA3U6UFTqxio9LNnvDCQjHKmttSEBsFQ/edit?usp=sharing"",""จัดที่ดิน!G38"")"),189)</f>
        <v>189</v>
      </c>
      <c r="AJ38" s="67">
        <f ca="1">IFERROR(__xludf.DUMMYFUNCTION("IMPORTRANGE(""https://docs.google.com/spreadsheets/d/1tdoBKaGub7dwA3U6UFTqxio9LNnvDCQjHKmttSEBsFQ/edit?usp=sharing"",""จัดที่ดิน!H38"")"),1543.86)</f>
        <v>1543.86</v>
      </c>
      <c r="AK38" s="68">
        <f t="shared" ca="1" si="61"/>
        <v>157.5</v>
      </c>
      <c r="AL38" s="358">
        <f ca="1">IFERROR(__xludf.DUMMYFUNCTION("IMPORTRANGE(""https://docs.google.com/spreadsheets/d/1eHaY18a8A9IcSdp1K8H6x8fbOy06t2VsZHhMHf-1x7Y/edit?usp=sharing"",""แผน!EN38"")"),120)</f>
        <v>120</v>
      </c>
      <c r="AM38" s="151">
        <f ca="1">IFERROR(__xludf.DUMMYFUNCTION("IMPORTRANGE(""https://docs.google.com/spreadsheets/d/1tdoBKaGub7dwA3U6UFTqxio9LNnvDCQjHKmttSEBsFQ/edit?usp=sharing"",""จัดที่ดิน!I38"")"),144)</f>
        <v>144</v>
      </c>
      <c r="AN38" s="67">
        <f ca="1">IFERROR(__xludf.DUMMYFUNCTION("IMPORTRANGE(""https://docs.google.com/spreadsheets/d/1tdoBKaGub7dwA3U6UFTqxio9LNnvDCQjHKmttSEBsFQ/edit?usp=sharing"",""จัดที่ดิน!J38"")"),1222.1)</f>
        <v>1222.0999999999999</v>
      </c>
      <c r="AO38" s="68">
        <f t="shared" ca="1" si="63"/>
        <v>120</v>
      </c>
      <c r="AP38" s="359">
        <f ca="1">IFERROR(__xludf.DUMMYFUNCTION("IMPORTRANGE(""https://docs.google.com/spreadsheets/d/1eHaY18a8A9IcSdp1K8H6x8fbOy06t2VsZHhMHf-1x7Y/edit?usp=sharing"",""แผน!EO38"")"),1500)</f>
        <v>1500</v>
      </c>
      <c r="AQ38" s="151">
        <f ca="1">IFERROR(__xludf.DUMMYFUNCTION("IMPORTRANGE(""https://docs.google.com/spreadsheets/d/1tdoBKaGub7dwA3U6UFTqxio9LNnvDCQjHKmttSEBsFQ/edit?usp=sharing"",""แบ่งแปลง!D36"")"),405)</f>
        <v>405</v>
      </c>
      <c r="AR38" s="67">
        <f ca="1">IFERROR(__xludf.DUMMYFUNCTION("IMPORTRANGE(""https://docs.google.com/spreadsheets/d/1tdoBKaGub7dwA3U6UFTqxio9LNnvDCQjHKmttSEBsFQ/edit?usp=sharing"",""แบ่งแปลง!F36"")"),2656.53)</f>
        <v>2656.53</v>
      </c>
      <c r="AS38" s="68">
        <f t="shared" ca="1" si="65"/>
        <v>177.102</v>
      </c>
      <c r="AT38" s="359">
        <f ca="1">IFERROR(__xludf.DUMMYFUNCTION("IMPORTRANGE(""https://docs.google.com/spreadsheets/d/1eHaY18a8A9IcSdp1K8H6x8fbOy06t2VsZHhMHf-1x7Y/edit?usp=sharing"",""แผน!EP38"")"),300)</f>
        <v>300</v>
      </c>
      <c r="AU38" s="151">
        <f ca="1">IFERROR(__xludf.DUMMYFUNCTION("IMPORTRANGE(""https://docs.google.com/spreadsheets/d/1tdoBKaGub7dwA3U6UFTqxio9LNnvDCQjHKmttSEBsFQ/edit?usp=sharing"",""แบ่งแปลง!I36"")"),104)</f>
        <v>104</v>
      </c>
      <c r="AV38" s="67">
        <f ca="1">IFERROR(__xludf.DUMMYFUNCTION("IMPORTRANGE(""https://docs.google.com/spreadsheets/d/1tdoBKaGub7dwA3U6UFTqxio9LNnvDCQjHKmttSEBsFQ/edit?usp=sharing"",""แบ่งแปลง!K36"")"),710.7)</f>
        <v>710.7</v>
      </c>
      <c r="AW38" s="68">
        <f t="shared" ca="1" si="67"/>
        <v>34.666666666666664</v>
      </c>
      <c r="AX38" s="359">
        <f ca="1">IFERROR(__xludf.DUMMYFUNCTION("IMPORTRANGE(""https://docs.google.com/spreadsheets/d/1eHaY18a8A9IcSdp1K8H6x8fbOy06t2VsZHhMHf-1x7Y/edit?usp=sharing"",""แผน!EP38"")"),300)</f>
        <v>300</v>
      </c>
      <c r="AY38" s="151">
        <f ca="1">IFERROR(__xludf.DUMMYFUNCTION("IMPORTRANGE(""https://docs.google.com/spreadsheets/d/1tdoBKaGub7dwA3U6UFTqxio9LNnvDCQjHKmttSEBsFQ/edit?usp=sharing"",""แบ่งแปลง!X36"")"),104)</f>
        <v>104</v>
      </c>
      <c r="AZ38" s="67">
        <f ca="1">IFERROR(__xludf.DUMMYFUNCTION("IMPORTRANGE(""https://docs.google.com/spreadsheets/d/1tdoBKaGub7dwA3U6UFTqxio9LNnvDCQjHKmttSEBsFQ/edit?usp=sharing"",""แบ่งแปลง!Z36"")"),710.7)</f>
        <v>710.7</v>
      </c>
      <c r="BA38" s="68">
        <f t="shared" ca="1" si="69"/>
        <v>34.666666666666664</v>
      </c>
      <c r="BB38" s="360">
        <f ca="1">IFERROR(__xludf.DUMMYFUNCTION("IMPORTRANGE(""https://docs.google.com/spreadsheets/d/1eHaY18a8A9IcSdp1K8H6x8fbOy06t2VsZHhMHf-1x7Y/edit?usp=sharing"",""แผน!ES38"")"),600)</f>
        <v>600</v>
      </c>
      <c r="BC38" s="151">
        <f ca="1">IFERROR(__xludf.DUMMYFUNCTION("IMPORTRANGE(""https://docs.google.com/spreadsheets/d/1tdoBKaGub7dwA3U6UFTqxio9LNnvDCQjHKmttSEBsFQ/edit?usp=sharing"",""เต็มแปลง!I36"")"),656)</f>
        <v>656</v>
      </c>
      <c r="BD38" s="67">
        <f ca="1">IFERROR(__xludf.DUMMYFUNCTION("IMPORTRANGE(""https://docs.google.com/spreadsheets/d/1tdoBKaGub7dwA3U6UFTqxio9LNnvDCQjHKmttSEBsFQ/edit?usp=sharing"",""เต็มแปลง!K36"")"),6837.7)</f>
        <v>6837.7</v>
      </c>
      <c r="BE38" s="68">
        <f t="shared" ca="1" si="71"/>
        <v>109.33333333333333</v>
      </c>
      <c r="BF38" s="360">
        <f ca="1">IFERROR(__xludf.DUMMYFUNCTION("IMPORTRANGE(""https://docs.google.com/spreadsheets/d/1eHaY18a8A9IcSdp1K8H6x8fbOy06t2VsZHhMHf-1x7Y/edit?usp=sharing"",""แผน!ES38"")"),600)</f>
        <v>600</v>
      </c>
      <c r="BG38" s="151">
        <f ca="1">IFERROR(__xludf.DUMMYFUNCTION("IMPORTRANGE(""https://docs.google.com/spreadsheets/d/1tdoBKaGub7dwA3U6UFTqxio9LNnvDCQjHKmttSEBsFQ/edit?usp=sharing"",""เต็มแปลง!S36"")"),657)</f>
        <v>657</v>
      </c>
      <c r="BH38" s="67">
        <f ca="1">IFERROR(__xludf.DUMMYFUNCTION("IMPORTRANGE(""https://docs.google.com/spreadsheets/d/1tdoBKaGub7dwA3U6UFTqxio9LNnvDCQjHKmttSEBsFQ/edit?usp=sharing"",""เต็มแปลง!U36"")"),6879.96)</f>
        <v>6879.96</v>
      </c>
      <c r="BI38" s="68">
        <f t="shared" ca="1" si="73"/>
        <v>109.5</v>
      </c>
      <c r="BJ38" s="339"/>
    </row>
    <row r="39" spans="1:62" ht="21" customHeight="1" x14ac:dyDescent="0.3">
      <c r="A39" s="147">
        <v>8</v>
      </c>
      <c r="B39" s="148" t="s">
        <v>67</v>
      </c>
      <c r="C39" s="149">
        <f t="shared" ca="1" si="44"/>
        <v>373450</v>
      </c>
      <c r="D39" s="150">
        <f t="shared" ca="1" si="87"/>
        <v>373450</v>
      </c>
      <c r="E39" s="151">
        <f ca="1">IFERROR(__xludf.DUMMYFUNCTION("IMPORTRANGE(""https://docs.google.com/spreadsheets/d/1-uDff_7J0KD5mKrp0Vvzr7lt3OU09vwQwhkpOPPYv2Y/edit?usp=sharing"",""งบพรบ!FD39"")"),80300)</f>
        <v>80300</v>
      </c>
      <c r="F39" s="151">
        <f ca="1">IFERROR(__xludf.DUMMYFUNCTION("IMPORTRANGE(""https://docs.google.com/spreadsheets/d/1-uDff_7J0KD5mKrp0Vvzr7lt3OU09vwQwhkpOPPYv2Y/edit?usp=sharing"",""งบพรบ!FE39"")"),293150)</f>
        <v>293150</v>
      </c>
      <c r="G39" s="151">
        <f ca="1">IFERROR(__xludf.DUMMYFUNCTION("IMPORTRANGE(""https://docs.google.com/spreadsheets/d/1-uDff_7J0KD5mKrp0Vvzr7lt3OU09vwQwhkpOPPYv2Y/edit?usp=sharing"",""งบพรบ!FF39"")"),0)</f>
        <v>0</v>
      </c>
      <c r="H39" s="151">
        <f ca="1">IFERROR(__xludf.DUMMYFUNCTION("IMPORTRANGE(""https://docs.google.com/spreadsheets/d/1-uDff_7J0KD5mKrp0Vvzr7lt3OU09vwQwhkpOPPYv2Y/edit?usp=sharing"",""งบพรบ!FH39"")"),436450)</f>
        <v>436450</v>
      </c>
      <c r="I39" s="151">
        <f ca="1">IFERROR(__xludf.DUMMYFUNCTION("IMPORTRANGE(""https://docs.google.com/spreadsheets/d/1-uDff_7J0KD5mKrp0Vvzr7lt3OU09vwQwhkpOPPYv2Y/edit?usp=sharing"",""งบพรบ!FI39"")"),0)</f>
        <v>0</v>
      </c>
      <c r="J39" s="151">
        <f t="shared" ca="1" si="46"/>
        <v>294427.96999999997</v>
      </c>
      <c r="K39" s="154">
        <f t="shared" ca="1" si="47"/>
        <v>78.839997322265347</v>
      </c>
      <c r="L39" s="151">
        <f ca="1">IFERROR(__xludf.DUMMYFUNCTION("IMPORTRANGE(""https://docs.google.com/spreadsheets/d/1-uDff_7J0KD5mKrp0Vvzr7lt3OU09vwQwhkpOPPYv2Y/edit?usp=sharing"",""งบพรบ!FJ39"")"),294427.97)</f>
        <v>294427.96999999997</v>
      </c>
      <c r="M39" s="68">
        <f t="shared" ca="1" si="48"/>
        <v>78.839997322265347</v>
      </c>
      <c r="N39" s="68">
        <f t="shared" ca="1" si="49"/>
        <v>67.45972505441631</v>
      </c>
      <c r="O39" s="67">
        <f ca="1">IFERROR(__xludf.DUMMYFUNCTION("IMPORTRANGE(""https://docs.google.com/spreadsheets/d/1-uDff_7J0KD5mKrp0Vvzr7lt3OU09vwQwhkpOPPYv2Y/edit?usp=sharing"",""งบพรบ!FK39"")"),0)</f>
        <v>0</v>
      </c>
      <c r="P39" s="67">
        <f t="shared" ca="1" si="50"/>
        <v>0</v>
      </c>
      <c r="Q39" s="68">
        <f t="shared" ca="1" si="51"/>
        <v>0</v>
      </c>
      <c r="R39" s="149">
        <f ca="1">IFERROR(__xludf.DUMMYFUNCTION("IMPORTRANGE(""https://docs.google.com/spreadsheets/d/1l6IZ8xUPgMrESzcTYwhA1k_tPjeQjJPTqlm8Gd9eU5g/edit?usp=sharing"",""มหาสารคาม!I368"")"),145)</f>
        <v>145</v>
      </c>
      <c r="S39" s="152">
        <f ca="1">IFERROR(__xludf.DUMMYFUNCTION("IMPORTRANGE(""https://docs.google.com/spreadsheets/d/1l6IZ8xUPgMrESzcTYwhA1k_tPjeQjJPTqlm8Gd9eU5g/edit?usp=sharing"",""มหาสารคาม!J367"")"),24)</f>
        <v>24</v>
      </c>
      <c r="T39" s="357">
        <f ca="1">IFERROR(__xludf.DUMMYFUNCTION("IMPORTRANGE(""https://docs.google.com/spreadsheets/d/1l6IZ8xUPgMrESzcTYwhA1k_tPjeQjJPTqlm8Gd9eU5g/edit?usp=sharing"",""มหาสารคาม!J368"")"),161.85)</f>
        <v>161.85</v>
      </c>
      <c r="U39" s="216">
        <f t="shared" ca="1" si="53"/>
        <v>111.62068965517241</v>
      </c>
      <c r="V39" s="149">
        <f ca="1">IFERROR(__xludf.DUMMYFUNCTION("IMPORTRANGE(""https://docs.google.com/spreadsheets/d/1l6IZ8xUPgMrESzcTYwhA1k_tPjeQjJPTqlm8Gd9eU5g/edit?usp=sharing"",""มหาสารคาม!I369"")"),427)</f>
        <v>427</v>
      </c>
      <c r="W39" s="152">
        <f ca="1">IFERROR(__xludf.DUMMYFUNCTION("IMPORTRANGE(""https://docs.google.com/spreadsheets/d/1l6IZ8xUPgMrESzcTYwhA1k_tPjeQjJPTqlm8Gd9eU5g/edit?usp=sharing"",""มหาสารคาม!J369"")"),456)</f>
        <v>456</v>
      </c>
      <c r="X39" s="357">
        <f ca="1">IFERROR(__xludf.DUMMYFUNCTION("IMPORTRANGE(""https://docs.google.com/spreadsheets/d/1l6IZ8xUPgMrESzcTYwhA1k_tPjeQjJPTqlm8Gd9eU5g/edit?usp=sharing"",""มหาสารคาม!J370"")"),4493.89)</f>
        <v>4493.8900000000003</v>
      </c>
      <c r="Y39" s="216">
        <f t="shared" ca="1" si="55"/>
        <v>106.79156908665105</v>
      </c>
      <c r="Z39" s="149">
        <f ca="1">IFERROR(__xludf.DUMMYFUNCTION("IMPORTRANGE(""https://docs.google.com/spreadsheets/d/1l6IZ8xUPgMrESzcTYwhA1k_tPjeQjJPTqlm8Gd9eU5g/edit?usp=sharing"",""มหาสารคาม!I371"")"),427)</f>
        <v>427</v>
      </c>
      <c r="AA39" s="152">
        <f ca="1">IFERROR(__xludf.DUMMYFUNCTION("IMPORTRANGE(""https://docs.google.com/spreadsheets/d/1l6IZ8xUPgMrESzcTYwhA1k_tPjeQjJPTqlm8Gd9eU5g/edit?usp=sharing"",""มหาสารคาม!J371"")"),391)</f>
        <v>391</v>
      </c>
      <c r="AB39" s="357">
        <f ca="1">IFERROR(__xludf.DUMMYFUNCTION("IMPORTRANGE(""https://docs.google.com/spreadsheets/d/1l6IZ8xUPgMrESzcTYwhA1k_tPjeQjJPTqlm8Gd9eU5g/edit?usp=sharing"",""มหาสารคาม!J372"")"),3807.24)</f>
        <v>3807.24</v>
      </c>
      <c r="AC39" s="216">
        <f t="shared" ca="1" si="57"/>
        <v>91.569086651053865</v>
      </c>
      <c r="AD39" s="358">
        <f ca="1">IFERROR(__xludf.DUMMYFUNCTION("IMPORTRANGE(""https://docs.google.com/spreadsheets/d/1eHaY18a8A9IcSdp1K8H6x8fbOy06t2VsZHhMHf-1x7Y/edit?usp=sharing"",""แผน!EM39"")"),20)</f>
        <v>20</v>
      </c>
      <c r="AE39" s="151">
        <f ca="1">IFERROR(__xludf.DUMMYFUNCTION("IMPORTRANGE(""https://docs.google.com/spreadsheets/d/1tdoBKaGub7dwA3U6UFTqxio9LNnvDCQjHKmttSEBsFQ/edit?usp=sharing"",""จัดที่ดิน!E39"")"),0)</f>
        <v>0</v>
      </c>
      <c r="AF39" s="67">
        <f ca="1">IFERROR(__xludf.DUMMYFUNCTION("IMPORTRANGE(""https://docs.google.com/spreadsheets/d/1tdoBKaGub7dwA3U6UFTqxio9LNnvDCQjHKmttSEBsFQ/edit?usp=sharing"",""จัดที่ดิน!F39"")"),0)</f>
        <v>0</v>
      </c>
      <c r="AG39" s="68">
        <f t="shared" ca="1" si="59"/>
        <v>0</v>
      </c>
      <c r="AH39" s="358">
        <f ca="1">IFERROR(__xludf.DUMMYFUNCTION("IMPORTRANGE(""https://docs.google.com/spreadsheets/d/1eHaY18a8A9IcSdp1K8H6x8fbOy06t2VsZHhMHf-1x7Y/edit?usp=sharing"",""แผน!EN39"")"),2)</f>
        <v>2</v>
      </c>
      <c r="AI39" s="151">
        <f ca="1">IFERROR(__xludf.DUMMYFUNCTION("IMPORTRANGE(""https://docs.google.com/spreadsheets/d/1tdoBKaGub7dwA3U6UFTqxio9LNnvDCQjHKmttSEBsFQ/edit?usp=sharing"",""จัดที่ดิน!G39"")"),0)</f>
        <v>0</v>
      </c>
      <c r="AJ39" s="67">
        <f ca="1">IFERROR(__xludf.DUMMYFUNCTION("IMPORTRANGE(""https://docs.google.com/spreadsheets/d/1tdoBKaGub7dwA3U6UFTqxio9LNnvDCQjHKmttSEBsFQ/edit?usp=sharing"",""จัดที่ดิน!H39"")"),0)</f>
        <v>0</v>
      </c>
      <c r="AK39" s="68">
        <f t="shared" ca="1" si="61"/>
        <v>0</v>
      </c>
      <c r="AL39" s="358">
        <f ca="1">IFERROR(__xludf.DUMMYFUNCTION("IMPORTRANGE(""https://docs.google.com/spreadsheets/d/1eHaY18a8A9IcSdp1K8H6x8fbOy06t2VsZHhMHf-1x7Y/edit?usp=sharing"",""แผน!EN39"")"),2)</f>
        <v>2</v>
      </c>
      <c r="AM39" s="151">
        <f ca="1">IFERROR(__xludf.DUMMYFUNCTION("IMPORTRANGE(""https://docs.google.com/spreadsheets/d/1tdoBKaGub7dwA3U6UFTqxio9LNnvDCQjHKmttSEBsFQ/edit?usp=sharing"",""จัดที่ดิน!I39"")"),0)</f>
        <v>0</v>
      </c>
      <c r="AN39" s="67">
        <f ca="1">IFERROR(__xludf.DUMMYFUNCTION("IMPORTRANGE(""https://docs.google.com/spreadsheets/d/1tdoBKaGub7dwA3U6UFTqxio9LNnvDCQjHKmttSEBsFQ/edit?usp=sharing"",""จัดที่ดิน!J39"")"),0)</f>
        <v>0</v>
      </c>
      <c r="AO39" s="68">
        <f t="shared" ca="1" si="63"/>
        <v>0</v>
      </c>
      <c r="AP39" s="359">
        <f ca="1">IFERROR(__xludf.DUMMYFUNCTION("IMPORTRANGE(""https://docs.google.com/spreadsheets/d/1eHaY18a8A9IcSdp1K8H6x8fbOy06t2VsZHhMHf-1x7Y/edit?usp=sharing"",""แผน!EO39"")"),125)</f>
        <v>125</v>
      </c>
      <c r="AQ39" s="151">
        <f ca="1">IFERROR(__xludf.DUMMYFUNCTION("IMPORTRANGE(""https://docs.google.com/spreadsheets/d/1tdoBKaGub7dwA3U6UFTqxio9LNnvDCQjHKmttSEBsFQ/edit?usp=sharing"",""แบ่งแปลง!D37"")"),24)</f>
        <v>24</v>
      </c>
      <c r="AR39" s="67">
        <f ca="1">IFERROR(__xludf.DUMMYFUNCTION("IMPORTRANGE(""https://docs.google.com/spreadsheets/d/1tdoBKaGub7dwA3U6UFTqxio9LNnvDCQjHKmttSEBsFQ/edit?usp=sharing"",""แบ่งแปลง!F37"")"),161.85)</f>
        <v>161.85</v>
      </c>
      <c r="AS39" s="68">
        <f t="shared" ca="1" si="65"/>
        <v>129.47999999999999</v>
      </c>
      <c r="AT39" s="359">
        <f ca="1">IFERROR(__xludf.DUMMYFUNCTION("IMPORTRANGE(""https://docs.google.com/spreadsheets/d/1eHaY18a8A9IcSdp1K8H6x8fbOy06t2VsZHhMHf-1x7Y/edit?usp=sharing"",""แผน!EP39"")"),25)</f>
        <v>25</v>
      </c>
      <c r="AU39" s="151">
        <f ca="1">IFERROR(__xludf.DUMMYFUNCTION("IMPORTRANGE(""https://docs.google.com/spreadsheets/d/1tdoBKaGub7dwA3U6UFTqxio9LNnvDCQjHKmttSEBsFQ/edit?usp=sharing"",""แบ่งแปลง!I37"")"),24)</f>
        <v>24</v>
      </c>
      <c r="AV39" s="67">
        <f ca="1">IFERROR(__xludf.DUMMYFUNCTION("IMPORTRANGE(""https://docs.google.com/spreadsheets/d/1tdoBKaGub7dwA3U6UFTqxio9LNnvDCQjHKmttSEBsFQ/edit?usp=sharing"",""แบ่งแปลง!K37"")"),161.85)</f>
        <v>161.85</v>
      </c>
      <c r="AW39" s="68">
        <f t="shared" ca="1" si="67"/>
        <v>96</v>
      </c>
      <c r="AX39" s="359">
        <f ca="1">IFERROR(__xludf.DUMMYFUNCTION("IMPORTRANGE(""https://docs.google.com/spreadsheets/d/1eHaY18a8A9IcSdp1K8H6x8fbOy06t2VsZHhMHf-1x7Y/edit?usp=sharing"",""แผน!EP39"")"),25)</f>
        <v>25</v>
      </c>
      <c r="AY39" s="151">
        <f ca="1">IFERROR(__xludf.DUMMYFUNCTION("IMPORTRANGE(""https://docs.google.com/spreadsheets/d/1tdoBKaGub7dwA3U6UFTqxio9LNnvDCQjHKmttSEBsFQ/edit?usp=sharing"",""แบ่งแปลง!X37"")"),20)</f>
        <v>20</v>
      </c>
      <c r="AZ39" s="67">
        <f ca="1">IFERROR(__xludf.DUMMYFUNCTION("IMPORTRANGE(""https://docs.google.com/spreadsheets/d/1tdoBKaGub7dwA3U6UFTqxio9LNnvDCQjHKmttSEBsFQ/edit?usp=sharing"",""แบ่งแปลง!Z37"")"),144.65)</f>
        <v>144.65</v>
      </c>
      <c r="BA39" s="68">
        <f t="shared" ca="1" si="69"/>
        <v>80</v>
      </c>
      <c r="BB39" s="360">
        <f ca="1">IFERROR(__xludf.DUMMYFUNCTION("IMPORTRANGE(""https://docs.google.com/spreadsheets/d/1eHaY18a8A9IcSdp1K8H6x8fbOy06t2VsZHhMHf-1x7Y/edit?usp=sharing"",""แผน!ES39"")"),400)</f>
        <v>400</v>
      </c>
      <c r="BC39" s="151">
        <f ca="1">IFERROR(__xludf.DUMMYFUNCTION("IMPORTRANGE(""https://docs.google.com/spreadsheets/d/1tdoBKaGub7dwA3U6UFTqxio9LNnvDCQjHKmttSEBsFQ/edit?usp=sharing"",""เต็มแปลง!I37"")"),432)</f>
        <v>432</v>
      </c>
      <c r="BD39" s="67">
        <f ca="1">IFERROR(__xludf.DUMMYFUNCTION("IMPORTRANGE(""https://docs.google.com/spreadsheets/d/1tdoBKaGub7dwA3U6UFTqxio9LNnvDCQjHKmttSEBsFQ/edit?usp=sharing"",""เต็มแปลง!K37"")"),4332.03)</f>
        <v>4332.03</v>
      </c>
      <c r="BE39" s="68">
        <f t="shared" ca="1" si="71"/>
        <v>108</v>
      </c>
      <c r="BF39" s="360">
        <f ca="1">IFERROR(__xludf.DUMMYFUNCTION("IMPORTRANGE(""https://docs.google.com/spreadsheets/d/1eHaY18a8A9IcSdp1K8H6x8fbOy06t2VsZHhMHf-1x7Y/edit?usp=sharing"",""แผน!ES39"")"),400)</f>
        <v>400</v>
      </c>
      <c r="BG39" s="151">
        <f ca="1">IFERROR(__xludf.DUMMYFUNCTION("IMPORTRANGE(""https://docs.google.com/spreadsheets/d/1tdoBKaGub7dwA3U6UFTqxio9LNnvDCQjHKmttSEBsFQ/edit?usp=sharing"",""เต็มแปลง!S37"")"),371)</f>
        <v>371</v>
      </c>
      <c r="BH39" s="67">
        <f ca="1">IFERROR(__xludf.DUMMYFUNCTION("IMPORTRANGE(""https://docs.google.com/spreadsheets/d/1tdoBKaGub7dwA3U6UFTqxio9LNnvDCQjHKmttSEBsFQ/edit?usp=sharing"",""เต็มแปลง!U37"")"),3662.59)</f>
        <v>3662.59</v>
      </c>
      <c r="BI39" s="68">
        <f t="shared" ca="1" si="73"/>
        <v>92.75</v>
      </c>
      <c r="BJ39" s="339"/>
    </row>
    <row r="40" spans="1:62" ht="21" customHeight="1" x14ac:dyDescent="0.3">
      <c r="A40" s="147">
        <v>9</v>
      </c>
      <c r="B40" s="148" t="s">
        <v>68</v>
      </c>
      <c r="C40" s="149">
        <f t="shared" ca="1" si="44"/>
        <v>703860</v>
      </c>
      <c r="D40" s="150">
        <f t="shared" ca="1" si="87"/>
        <v>703860</v>
      </c>
      <c r="E40" s="151">
        <f ca="1">IFERROR(__xludf.DUMMYFUNCTION("IMPORTRANGE(""https://docs.google.com/spreadsheets/d/1-uDff_7J0KD5mKrp0Vvzr7lt3OU09vwQwhkpOPPYv2Y/edit?usp=sharing"",""งบพรบ!FD40"")"),233300)</f>
        <v>233300</v>
      </c>
      <c r="F40" s="151">
        <f ca="1">IFERROR(__xludf.DUMMYFUNCTION("IMPORTRANGE(""https://docs.google.com/spreadsheets/d/1-uDff_7J0KD5mKrp0Vvzr7lt3OU09vwQwhkpOPPYv2Y/edit?usp=sharing"",""งบพรบ!FE40"")"),470560)</f>
        <v>470560</v>
      </c>
      <c r="G40" s="151">
        <f ca="1">IFERROR(__xludf.DUMMYFUNCTION("IMPORTRANGE(""https://docs.google.com/spreadsheets/d/1-uDff_7J0KD5mKrp0Vvzr7lt3OU09vwQwhkpOPPYv2Y/edit?usp=sharing"",""งบพรบ!FF40"")"),0)</f>
        <v>0</v>
      </c>
      <c r="H40" s="151">
        <f ca="1">IFERROR(__xludf.DUMMYFUNCTION("IMPORTRANGE(""https://docs.google.com/spreadsheets/d/1-uDff_7J0KD5mKrp0Vvzr7lt3OU09vwQwhkpOPPYv2Y/edit?usp=sharing"",""งบพรบ!FH40"")"),837360)</f>
        <v>837360</v>
      </c>
      <c r="I40" s="151">
        <f ca="1">IFERROR(__xludf.DUMMYFUNCTION("IMPORTRANGE(""https://docs.google.com/spreadsheets/d/1-uDff_7J0KD5mKrp0Vvzr7lt3OU09vwQwhkpOPPYv2Y/edit?usp=sharing"",""งบพรบ!FI40"")"),0)</f>
        <v>0</v>
      </c>
      <c r="J40" s="151">
        <f t="shared" ca="1" si="46"/>
        <v>508581.39</v>
      </c>
      <c r="K40" s="154">
        <f t="shared" ca="1" si="47"/>
        <v>72.256043815531498</v>
      </c>
      <c r="L40" s="151">
        <f ca="1">IFERROR(__xludf.DUMMYFUNCTION("IMPORTRANGE(""https://docs.google.com/spreadsheets/d/1-uDff_7J0KD5mKrp0Vvzr7lt3OU09vwQwhkpOPPYv2Y/edit?usp=sharing"",""งบพรบ!FJ40"")"),508581.39)</f>
        <v>508581.39</v>
      </c>
      <c r="M40" s="68">
        <f t="shared" ca="1" si="48"/>
        <v>72.256043815531498</v>
      </c>
      <c r="N40" s="68">
        <f t="shared" ca="1" si="49"/>
        <v>60.736289051304098</v>
      </c>
      <c r="O40" s="67">
        <f ca="1">IFERROR(__xludf.DUMMYFUNCTION("IMPORTRANGE(""https://docs.google.com/spreadsheets/d/1-uDff_7J0KD5mKrp0Vvzr7lt3OU09vwQwhkpOPPYv2Y/edit?usp=sharing"",""งบพรบ!FK40"")"),0)</f>
        <v>0</v>
      </c>
      <c r="P40" s="67">
        <f t="shared" ca="1" si="50"/>
        <v>0</v>
      </c>
      <c r="Q40" s="68">
        <f t="shared" ca="1" si="51"/>
        <v>0</v>
      </c>
      <c r="R40" s="361">
        <f ca="1">IFERROR(__xludf.DUMMYFUNCTION("IMPORTRANGE(""https://docs.google.com/spreadsheets/d/1uB74YLqNjWX6FObjekfB2NtSYigTQyR2rq9u4Ub2Sq4/edit?usp=sharing"",""มุกดาหาร!I368"")"),2000)</f>
        <v>2000</v>
      </c>
      <c r="S40" s="152">
        <f ca="1">IFERROR(__xludf.DUMMYFUNCTION("IMPORTRANGE(""https://docs.google.com/spreadsheets/d/1uB74YLqNjWX6FObjekfB2NtSYigTQyR2rq9u4Ub2Sq4/edit?usp=sharing"",""มุกดาหาร!J367"")"),336)</f>
        <v>336</v>
      </c>
      <c r="T40" s="357">
        <f ca="1">IFERROR(__xludf.DUMMYFUNCTION("IMPORTRANGE(""https://docs.google.com/spreadsheets/d/1uB74YLqNjWX6FObjekfB2NtSYigTQyR2rq9u4Ub2Sq4/edit?usp=sharing"",""มุกดาหาร!J368"")"),2473.49)</f>
        <v>2473.4899999999998</v>
      </c>
      <c r="U40" s="216">
        <f t="shared" ca="1" si="53"/>
        <v>123.67449999999998</v>
      </c>
      <c r="V40" s="361">
        <f ca="1">IFERROR(__xludf.DUMMYFUNCTION("IMPORTRANGE(""https://docs.google.com/spreadsheets/d/1uB74YLqNjWX6FObjekfB2NtSYigTQyR2rq9u4Ub2Sq4/edit?usp=sharing"",""มุกดาหาร!I369"")"),670)</f>
        <v>670</v>
      </c>
      <c r="W40" s="152">
        <f ca="1">IFERROR(__xludf.DUMMYFUNCTION("IMPORTRANGE(""https://docs.google.com/spreadsheets/d/1uB74YLqNjWX6FObjekfB2NtSYigTQyR2rq9u4Ub2Sq4/edit?usp=sharing"",""มุกดาหาร!J369"")"),670)</f>
        <v>670</v>
      </c>
      <c r="X40" s="357">
        <f ca="1">IFERROR(__xludf.DUMMYFUNCTION("IMPORTRANGE(""https://docs.google.com/spreadsheets/d/1uB74YLqNjWX6FObjekfB2NtSYigTQyR2rq9u4Ub2Sq4/edit?usp=sharing"",""มุกดาหาร!J370"")"),6482.91)</f>
        <v>6482.91</v>
      </c>
      <c r="Y40" s="216">
        <f t="shared" ca="1" si="55"/>
        <v>100</v>
      </c>
      <c r="Z40" s="361">
        <f ca="1">IFERROR(__xludf.DUMMYFUNCTION("IMPORTRANGE(""https://docs.google.com/spreadsheets/d/1uB74YLqNjWX6FObjekfB2NtSYigTQyR2rq9u4Ub2Sq4/edit?usp=sharing"",""มุกดาหาร!I371"")"),670)</f>
        <v>670</v>
      </c>
      <c r="AA40" s="152">
        <f ca="1">IFERROR(__xludf.DUMMYFUNCTION("IMPORTRANGE(""https://docs.google.com/spreadsheets/d/1uB74YLqNjWX6FObjekfB2NtSYigTQyR2rq9u4Ub2Sq4/edit?usp=sharing"",""มุกดาหาร!J371"")"),576)</f>
        <v>576</v>
      </c>
      <c r="AB40" s="357">
        <f ca="1">IFERROR(__xludf.DUMMYFUNCTION("IMPORTRANGE(""https://docs.google.com/spreadsheets/d/1uB74YLqNjWX6FObjekfB2NtSYigTQyR2rq9u4Ub2Sq4/edit?usp=sharing"",""มุกดาหาร!J372"")"),5834.35)</f>
        <v>5834.35</v>
      </c>
      <c r="AC40" s="216">
        <f t="shared" ca="1" si="57"/>
        <v>85.97014925373135</v>
      </c>
      <c r="AD40" s="362">
        <f ca="1">IFERROR(__xludf.DUMMYFUNCTION("IMPORTRANGE(""https://docs.google.com/spreadsheets/d/1eHaY18a8A9IcSdp1K8H6x8fbOy06t2VsZHhMHf-1x7Y/edit?usp=sharing"",""แผน!EM40"")"),500)</f>
        <v>500</v>
      </c>
      <c r="AE40" s="151">
        <f ca="1">IFERROR(__xludf.DUMMYFUNCTION("IMPORTRANGE(""https://docs.google.com/spreadsheets/d/1tdoBKaGub7dwA3U6UFTqxio9LNnvDCQjHKmttSEBsFQ/edit?usp=sharing"",""จัดที่ดิน!E40"")"),79)</f>
        <v>79</v>
      </c>
      <c r="AF40" s="67">
        <f ca="1">IFERROR(__xludf.DUMMYFUNCTION("IMPORTRANGE(""https://docs.google.com/spreadsheets/d/1tdoBKaGub7dwA3U6UFTqxio9LNnvDCQjHKmttSEBsFQ/edit?usp=sharing"",""จัดที่ดิน!F40"")"),600.71)</f>
        <v>600.71</v>
      </c>
      <c r="AG40" s="68">
        <f t="shared" ca="1" si="59"/>
        <v>120.142</v>
      </c>
      <c r="AH40" s="362">
        <f ca="1">IFERROR(__xludf.DUMMYFUNCTION("IMPORTRANGE(""https://docs.google.com/spreadsheets/d/1eHaY18a8A9IcSdp1K8H6x8fbOy06t2VsZHhMHf-1x7Y/edit?usp=sharing"",""แผน!EN40"")"),70)</f>
        <v>70</v>
      </c>
      <c r="AI40" s="151">
        <f ca="1">IFERROR(__xludf.DUMMYFUNCTION("IMPORTRANGE(""https://docs.google.com/spreadsheets/d/1tdoBKaGub7dwA3U6UFTqxio9LNnvDCQjHKmttSEBsFQ/edit?usp=sharing"",""จัดที่ดิน!G40"")"),51)</f>
        <v>51</v>
      </c>
      <c r="AJ40" s="67">
        <f ca="1">IFERROR(__xludf.DUMMYFUNCTION("IMPORTRANGE(""https://docs.google.com/spreadsheets/d/1tdoBKaGub7dwA3U6UFTqxio9LNnvDCQjHKmttSEBsFQ/edit?usp=sharing"",""จัดที่ดิน!H40"")"),342.79)</f>
        <v>342.79</v>
      </c>
      <c r="AK40" s="68">
        <f t="shared" ca="1" si="61"/>
        <v>72.857142857142861</v>
      </c>
      <c r="AL40" s="362">
        <f ca="1">IFERROR(__xludf.DUMMYFUNCTION("IMPORTRANGE(""https://docs.google.com/spreadsheets/d/1eHaY18a8A9IcSdp1K8H6x8fbOy06t2VsZHhMHf-1x7Y/edit?usp=sharing"",""แผน!EN40"")"),70)</f>
        <v>70</v>
      </c>
      <c r="AM40" s="151">
        <f ca="1">IFERROR(__xludf.DUMMYFUNCTION("IMPORTRANGE(""https://docs.google.com/spreadsheets/d/1tdoBKaGub7dwA3U6UFTqxio9LNnvDCQjHKmttSEBsFQ/edit?usp=sharing"",""จัดที่ดิน!I40"")"),5)</f>
        <v>5</v>
      </c>
      <c r="AN40" s="67">
        <f ca="1">IFERROR(__xludf.DUMMYFUNCTION("IMPORTRANGE(""https://docs.google.com/spreadsheets/d/1tdoBKaGub7dwA3U6UFTqxio9LNnvDCQjHKmttSEBsFQ/edit?usp=sharing"",""จัดที่ดิน!J40"")"),55.34)</f>
        <v>55.34</v>
      </c>
      <c r="AO40" s="68">
        <f t="shared" ca="1" si="63"/>
        <v>7.1428571428571432</v>
      </c>
      <c r="AP40" s="363">
        <f ca="1">IFERROR(__xludf.DUMMYFUNCTION("IMPORTRANGE(""https://docs.google.com/spreadsheets/d/1eHaY18a8A9IcSdp1K8H6x8fbOy06t2VsZHhMHf-1x7Y/edit?usp=sharing"",""แผน!EO40"")"),1500)</f>
        <v>1500</v>
      </c>
      <c r="AQ40" s="151">
        <f ca="1">IFERROR(__xludf.DUMMYFUNCTION("IMPORTRANGE(""https://docs.google.com/spreadsheets/d/1tdoBKaGub7dwA3U6UFTqxio9LNnvDCQjHKmttSEBsFQ/edit?usp=sharing"",""แบ่งแปลง!D38"")"),257)</f>
        <v>257</v>
      </c>
      <c r="AR40" s="67">
        <f ca="1">IFERROR(__xludf.DUMMYFUNCTION("IMPORTRANGE(""https://docs.google.com/spreadsheets/d/1tdoBKaGub7dwA3U6UFTqxio9LNnvDCQjHKmttSEBsFQ/edit?usp=sharing"",""แบ่งแปลง!F38"")"),1872.78)</f>
        <v>1872.78</v>
      </c>
      <c r="AS40" s="68">
        <f t="shared" ca="1" si="65"/>
        <v>124.852</v>
      </c>
      <c r="AT40" s="363">
        <f ca="1">IFERROR(__xludf.DUMMYFUNCTION("IMPORTRANGE(""https://docs.google.com/spreadsheets/d/1eHaY18a8A9IcSdp1K8H6x8fbOy06t2VsZHhMHf-1x7Y/edit?usp=sharing"",""แผน!EP40"")"),300)</f>
        <v>300</v>
      </c>
      <c r="AU40" s="151">
        <f ca="1">IFERROR(__xludf.DUMMYFUNCTION("IMPORTRANGE(""https://docs.google.com/spreadsheets/d/1tdoBKaGub7dwA3U6UFTqxio9LNnvDCQjHKmttSEBsFQ/edit?usp=sharing"",""แบ่งแปลง!I38"")"),237)</f>
        <v>237</v>
      </c>
      <c r="AV40" s="67">
        <f ca="1">IFERROR(__xludf.DUMMYFUNCTION("IMPORTRANGE(""https://docs.google.com/spreadsheets/d/1tdoBKaGub7dwA3U6UFTqxio9LNnvDCQjHKmttSEBsFQ/edit?usp=sharing"",""แบ่งแปลง!K38"")"),1720.61)</f>
        <v>1720.61</v>
      </c>
      <c r="AW40" s="68">
        <f t="shared" ca="1" si="67"/>
        <v>79</v>
      </c>
      <c r="AX40" s="363">
        <f ca="1">IFERROR(__xludf.DUMMYFUNCTION("IMPORTRANGE(""https://docs.google.com/spreadsheets/d/1eHaY18a8A9IcSdp1K8H6x8fbOy06t2VsZHhMHf-1x7Y/edit?usp=sharing"",""แผน!EP40"")"),300)</f>
        <v>300</v>
      </c>
      <c r="AY40" s="151">
        <f ca="1">IFERROR(__xludf.DUMMYFUNCTION("IMPORTRANGE(""https://docs.google.com/spreadsheets/d/1tdoBKaGub7dwA3U6UFTqxio9LNnvDCQjHKmttSEBsFQ/edit?usp=sharing"",""แบ่งแปลง!X38"")"),186)</f>
        <v>186</v>
      </c>
      <c r="AZ40" s="67">
        <f ca="1">IFERROR(__xludf.DUMMYFUNCTION("IMPORTRANGE(""https://docs.google.com/spreadsheets/d/1tdoBKaGub7dwA3U6UFTqxio9LNnvDCQjHKmttSEBsFQ/edit?usp=sharing"",""แบ่งแปลง!Z38"")"),1364.63)</f>
        <v>1364.63</v>
      </c>
      <c r="BA40" s="68">
        <f t="shared" ca="1" si="69"/>
        <v>62</v>
      </c>
      <c r="BB40" s="364">
        <f ca="1">IFERROR(__xludf.DUMMYFUNCTION("IMPORTRANGE(""https://docs.google.com/spreadsheets/d/1eHaY18a8A9IcSdp1K8H6x8fbOy06t2VsZHhMHf-1x7Y/edit?usp=sharing"",""แผน!ES40"")"),300)</f>
        <v>300</v>
      </c>
      <c r="BC40" s="151">
        <f ca="1">IFERROR(__xludf.DUMMYFUNCTION("IMPORTRANGE(""https://docs.google.com/spreadsheets/d/1tdoBKaGub7dwA3U6UFTqxio9LNnvDCQjHKmttSEBsFQ/edit?usp=sharing"",""เต็มแปลง!I38"")"),394)</f>
        <v>394</v>
      </c>
      <c r="BD40" s="67">
        <f ca="1">IFERROR(__xludf.DUMMYFUNCTION("IMPORTRANGE(""https://docs.google.com/spreadsheets/d/1tdoBKaGub7dwA3U6UFTqxio9LNnvDCQjHKmttSEBsFQ/edit?usp=sharing"",""เต็มแปลง!K38"")"),4419.52)</f>
        <v>4419.5200000000004</v>
      </c>
      <c r="BE40" s="68">
        <f t="shared" ca="1" si="71"/>
        <v>131.33333333333334</v>
      </c>
      <c r="BF40" s="364">
        <f ca="1">IFERROR(__xludf.DUMMYFUNCTION("IMPORTRANGE(""https://docs.google.com/spreadsheets/d/1eHaY18a8A9IcSdp1K8H6x8fbOy06t2VsZHhMHf-1x7Y/edit?usp=sharing"",""แผน!ES40"")"),300)</f>
        <v>300</v>
      </c>
      <c r="BG40" s="151">
        <f ca="1">IFERROR(__xludf.DUMMYFUNCTION("IMPORTRANGE(""https://docs.google.com/spreadsheets/d/1tdoBKaGub7dwA3U6UFTqxio9LNnvDCQjHKmttSEBsFQ/edit?usp=sharing"",""เต็มแปลง!S38"")"),393)</f>
        <v>393</v>
      </c>
      <c r="BH40" s="67">
        <f ca="1">IFERROR(__xludf.DUMMYFUNCTION("IMPORTRANGE(""https://docs.google.com/spreadsheets/d/1tdoBKaGub7dwA3U6UFTqxio9LNnvDCQjHKmttSEBsFQ/edit?usp=sharing"",""เต็มแปลง!U38"")"),4414.38)</f>
        <v>4414.38</v>
      </c>
      <c r="BI40" s="68">
        <f t="shared" ca="1" si="73"/>
        <v>131</v>
      </c>
      <c r="BJ40" s="339"/>
    </row>
    <row r="41" spans="1:62" ht="21" customHeight="1" x14ac:dyDescent="0.3">
      <c r="A41" s="147">
        <v>10</v>
      </c>
      <c r="B41" s="148" t="s">
        <v>69</v>
      </c>
      <c r="C41" s="149">
        <f t="shared" ca="1" si="44"/>
        <v>422190</v>
      </c>
      <c r="D41" s="150">
        <f t="shared" ca="1" si="87"/>
        <v>422190</v>
      </c>
      <c r="E41" s="151">
        <f ca="1">IFERROR(__xludf.DUMMYFUNCTION("IMPORTRANGE(""https://docs.google.com/spreadsheets/d/1-uDff_7J0KD5mKrp0Vvzr7lt3OU09vwQwhkpOPPYv2Y/edit?usp=sharing"",""งบพรบ!FD41"")"),0)</f>
        <v>0</v>
      </c>
      <c r="F41" s="151">
        <f ca="1">IFERROR(__xludf.DUMMYFUNCTION("IMPORTRANGE(""https://docs.google.com/spreadsheets/d/1-uDff_7J0KD5mKrp0Vvzr7lt3OU09vwQwhkpOPPYv2Y/edit?usp=sharing"",""งบพรบ!FE41"")"),422190)</f>
        <v>422190</v>
      </c>
      <c r="G41" s="151">
        <f ca="1">IFERROR(__xludf.DUMMYFUNCTION("IMPORTRANGE(""https://docs.google.com/spreadsheets/d/1-uDff_7J0KD5mKrp0Vvzr7lt3OU09vwQwhkpOPPYv2Y/edit?usp=sharing"",""งบพรบ!FF41"")"),0)</f>
        <v>0</v>
      </c>
      <c r="H41" s="151">
        <f ca="1">IFERROR(__xludf.DUMMYFUNCTION("IMPORTRANGE(""https://docs.google.com/spreadsheets/d/1-uDff_7J0KD5mKrp0Vvzr7lt3OU09vwQwhkpOPPYv2Y/edit?usp=sharing"",""งบพรบ!FH41"")"),540190)</f>
        <v>540190</v>
      </c>
      <c r="I41" s="151">
        <f ca="1">IFERROR(__xludf.DUMMYFUNCTION("IMPORTRANGE(""https://docs.google.com/spreadsheets/d/1-uDff_7J0KD5mKrp0Vvzr7lt3OU09vwQwhkpOPPYv2Y/edit?usp=sharing"",""งบพรบ!FI41"")"),0)</f>
        <v>0</v>
      </c>
      <c r="J41" s="151">
        <f t="shared" ca="1" si="46"/>
        <v>346214</v>
      </c>
      <c r="K41" s="154">
        <f t="shared" ca="1" si="47"/>
        <v>82.004310855302109</v>
      </c>
      <c r="L41" s="151">
        <f ca="1">IFERROR(__xludf.DUMMYFUNCTION("IMPORTRANGE(""https://docs.google.com/spreadsheets/d/1-uDff_7J0KD5mKrp0Vvzr7lt3OU09vwQwhkpOPPYv2Y/edit?usp=sharing"",""งบพรบ!FJ41"")"),346214)</f>
        <v>346214</v>
      </c>
      <c r="M41" s="68">
        <f t="shared" ca="1" si="48"/>
        <v>82.004310855302109</v>
      </c>
      <c r="N41" s="68">
        <f t="shared" ca="1" si="49"/>
        <v>64.091153112793648</v>
      </c>
      <c r="O41" s="67">
        <f ca="1">IFERROR(__xludf.DUMMYFUNCTION("IMPORTRANGE(""https://docs.google.com/spreadsheets/d/1-uDff_7J0KD5mKrp0Vvzr7lt3OU09vwQwhkpOPPYv2Y/edit?usp=sharing"",""งบพรบ!FK41"")"),0)</f>
        <v>0</v>
      </c>
      <c r="P41" s="67">
        <f t="shared" ca="1" si="50"/>
        <v>0</v>
      </c>
      <c r="Q41" s="68">
        <f t="shared" ca="1" si="51"/>
        <v>0</v>
      </c>
      <c r="R41" s="361">
        <f ca="1">IFERROR(__xludf.DUMMYFUNCTION("IMPORTRANGE(""https://docs.google.com/spreadsheets/d/1NexK3geCPxCTO1fzNF8dPec7yZyUx3OaWkFBC9HsQOo/edit?usp=sharing"",""ยโสธร!I368"")"),1105)</f>
        <v>1105</v>
      </c>
      <c r="S41" s="152">
        <f ca="1">IFERROR(__xludf.DUMMYFUNCTION("IMPORTRANGE(""https://docs.google.com/spreadsheets/d/1NexK3geCPxCTO1fzNF8dPec7yZyUx3OaWkFBC9HsQOo/edit?usp=sharing"",""ยโสธร!J367"")"),229)</f>
        <v>229</v>
      </c>
      <c r="T41" s="357">
        <f ca="1">IFERROR(__xludf.DUMMYFUNCTION("IMPORTRANGE(""https://docs.google.com/spreadsheets/d/1NexK3geCPxCTO1fzNF8dPec7yZyUx3OaWkFBC9HsQOo/edit?usp=sharing"",""ยโสธร!J368"")"),1645.56)</f>
        <v>1645.56</v>
      </c>
      <c r="U41" s="216">
        <f t="shared" ca="1" si="53"/>
        <v>148.91945701357466</v>
      </c>
      <c r="V41" s="361">
        <f ca="1">IFERROR(__xludf.DUMMYFUNCTION("IMPORTRANGE(""https://docs.google.com/spreadsheets/d/1NexK3geCPxCTO1fzNF8dPec7yZyUx3OaWkFBC9HsQOo/edit?usp=sharing"",""ยโสธร!I369"")"),776)</f>
        <v>776</v>
      </c>
      <c r="W41" s="152">
        <f ca="1">IFERROR(__xludf.DUMMYFUNCTION("IMPORTRANGE(""https://docs.google.com/spreadsheets/d/1NexK3geCPxCTO1fzNF8dPec7yZyUx3OaWkFBC9HsQOo/edit?usp=sharing"",""ยโสธร!J369"")"),670)</f>
        <v>670</v>
      </c>
      <c r="X41" s="357">
        <f ca="1">IFERROR(__xludf.DUMMYFUNCTION("IMPORTRANGE(""https://docs.google.com/spreadsheets/d/1NexK3geCPxCTO1fzNF8dPec7yZyUx3OaWkFBC9HsQOo/edit?usp=sharing"",""ยโสธร!J370"")"),6683.68)</f>
        <v>6683.68</v>
      </c>
      <c r="Y41" s="216">
        <f t="shared" ca="1" si="55"/>
        <v>86.340206185567013</v>
      </c>
      <c r="Z41" s="361">
        <f ca="1">IFERROR(__xludf.DUMMYFUNCTION("IMPORTRANGE(""https://docs.google.com/spreadsheets/d/1NexK3geCPxCTO1fzNF8dPec7yZyUx3OaWkFBC9HsQOo/edit?usp=sharing"",""ยโสธร!I371"")"),776)</f>
        <v>776</v>
      </c>
      <c r="AA41" s="152">
        <f ca="1">IFERROR(__xludf.DUMMYFUNCTION("IMPORTRANGE(""https://docs.google.com/spreadsheets/d/1NexK3geCPxCTO1fzNF8dPec7yZyUx3OaWkFBC9HsQOo/edit?usp=sharing"",""ยโสธร!J371"")"),649)</f>
        <v>649</v>
      </c>
      <c r="AB41" s="357">
        <f ca="1">IFERROR(__xludf.DUMMYFUNCTION("IMPORTRANGE(""https://docs.google.com/spreadsheets/d/1NexK3geCPxCTO1fzNF8dPec7yZyUx3OaWkFBC9HsQOo/edit?usp=sharing"",""ยโสธร!J372"")"),6398.53)</f>
        <v>6398.53</v>
      </c>
      <c r="AC41" s="216">
        <f t="shared" ca="1" si="57"/>
        <v>83.634020618556704</v>
      </c>
      <c r="AD41" s="362">
        <f ca="1">IFERROR(__xludf.DUMMYFUNCTION("IMPORTRANGE(""https://docs.google.com/spreadsheets/d/1eHaY18a8A9IcSdp1K8H6x8fbOy06t2VsZHhMHf-1x7Y/edit?usp=sharing"",""แผน!EM41"")"),450)</f>
        <v>450</v>
      </c>
      <c r="AE41" s="151">
        <f ca="1">IFERROR(__xludf.DUMMYFUNCTION("IMPORTRANGE(""https://docs.google.com/spreadsheets/d/1tdoBKaGub7dwA3U6UFTqxio9LNnvDCQjHKmttSEBsFQ/edit?usp=sharing"",""จัดที่ดิน!E41"")"),12)</f>
        <v>12</v>
      </c>
      <c r="AF41" s="67">
        <f ca="1">IFERROR(__xludf.DUMMYFUNCTION("IMPORTRANGE(""https://docs.google.com/spreadsheets/d/1tdoBKaGub7dwA3U6UFTqxio9LNnvDCQjHKmttSEBsFQ/edit?usp=sharing"",""จัดที่ดิน!F41"")"),64.42)</f>
        <v>64.42</v>
      </c>
      <c r="AG41" s="68">
        <f t="shared" ca="1" si="59"/>
        <v>14.315555555555555</v>
      </c>
      <c r="AH41" s="362">
        <f ca="1">IFERROR(__xludf.DUMMYFUNCTION("IMPORTRANGE(""https://docs.google.com/spreadsheets/d/1eHaY18a8A9IcSdp1K8H6x8fbOy06t2VsZHhMHf-1x7Y/edit?usp=sharing"",""แผน!EN41"")"),45)</f>
        <v>45</v>
      </c>
      <c r="AI41" s="151">
        <f ca="1">IFERROR(__xludf.DUMMYFUNCTION("IMPORTRANGE(""https://docs.google.com/spreadsheets/d/1tdoBKaGub7dwA3U6UFTqxio9LNnvDCQjHKmttSEBsFQ/edit?usp=sharing"",""จัดที่ดิน!G41"")"),12)</f>
        <v>12</v>
      </c>
      <c r="AJ41" s="67">
        <f ca="1">IFERROR(__xludf.DUMMYFUNCTION("IMPORTRANGE(""https://docs.google.com/spreadsheets/d/1tdoBKaGub7dwA3U6UFTqxio9LNnvDCQjHKmttSEBsFQ/edit?usp=sharing"",""จัดที่ดิน!H41"")"),64.42)</f>
        <v>64.42</v>
      </c>
      <c r="AK41" s="68">
        <f t="shared" ca="1" si="61"/>
        <v>26.666666666666668</v>
      </c>
      <c r="AL41" s="362">
        <f ca="1">IFERROR(__xludf.DUMMYFUNCTION("IMPORTRANGE(""https://docs.google.com/spreadsheets/d/1eHaY18a8A9IcSdp1K8H6x8fbOy06t2VsZHhMHf-1x7Y/edit?usp=sharing"",""แผน!EN41"")"),45)</f>
        <v>45</v>
      </c>
      <c r="AM41" s="151">
        <f ca="1">IFERROR(__xludf.DUMMYFUNCTION("IMPORTRANGE(""https://docs.google.com/spreadsheets/d/1tdoBKaGub7dwA3U6UFTqxio9LNnvDCQjHKmttSEBsFQ/edit?usp=sharing"",""จัดที่ดิน!I41"")"),1)</f>
        <v>1</v>
      </c>
      <c r="AN41" s="67">
        <f ca="1">IFERROR(__xludf.DUMMYFUNCTION("IMPORTRANGE(""https://docs.google.com/spreadsheets/d/1tdoBKaGub7dwA3U6UFTqxio9LNnvDCQjHKmttSEBsFQ/edit?usp=sharing"",""จัดที่ดิน!J41"")"),12.22)</f>
        <v>12.22</v>
      </c>
      <c r="AO41" s="68">
        <f t="shared" ca="1" si="63"/>
        <v>2.2222222222222223</v>
      </c>
      <c r="AP41" s="363">
        <f ca="1">IFERROR(__xludf.DUMMYFUNCTION("IMPORTRANGE(""https://docs.google.com/spreadsheets/d/1eHaY18a8A9IcSdp1K8H6x8fbOy06t2VsZHhMHf-1x7Y/edit?usp=sharing"",""แผน!EO41"")"),655)</f>
        <v>655</v>
      </c>
      <c r="AQ41" s="151">
        <f ca="1">IFERROR(__xludf.DUMMYFUNCTION("IMPORTRANGE(""https://docs.google.com/spreadsheets/d/1tdoBKaGub7dwA3U6UFTqxio9LNnvDCQjHKmttSEBsFQ/edit?usp=sharing"",""แบ่งแปลง!D39"")"),214)</f>
        <v>214</v>
      </c>
      <c r="AR41" s="67">
        <f ca="1">IFERROR(__xludf.DUMMYFUNCTION("IMPORTRANGE(""https://docs.google.com/spreadsheets/d/1tdoBKaGub7dwA3U6UFTqxio9LNnvDCQjHKmttSEBsFQ/edit?usp=sharing"",""แบ่งแปลง!F39"")"),1567.16)</f>
        <v>1567.16</v>
      </c>
      <c r="AS41" s="68">
        <f t="shared" ca="1" si="65"/>
        <v>239.26106870229009</v>
      </c>
      <c r="AT41" s="363">
        <f ca="1">IFERROR(__xludf.DUMMYFUNCTION("IMPORTRANGE(""https://docs.google.com/spreadsheets/d/1eHaY18a8A9IcSdp1K8H6x8fbOy06t2VsZHhMHf-1x7Y/edit?usp=sharing"",""แผน!EP41"")"),131)</f>
        <v>131</v>
      </c>
      <c r="AU41" s="151">
        <f ca="1">IFERROR(__xludf.DUMMYFUNCTION("IMPORTRANGE(""https://docs.google.com/spreadsheets/d/1tdoBKaGub7dwA3U6UFTqxio9LNnvDCQjHKmttSEBsFQ/edit?usp=sharing"",""แบ่งแปลง!I39"")"),213)</f>
        <v>213</v>
      </c>
      <c r="AV41" s="67">
        <f ca="1">IFERROR(__xludf.DUMMYFUNCTION("IMPORTRANGE(""https://docs.google.com/spreadsheets/d/1tdoBKaGub7dwA3U6UFTqxio9LNnvDCQjHKmttSEBsFQ/edit?usp=sharing"",""แบ่งแปลง!K39"")"),1566.96)</f>
        <v>1566.96</v>
      </c>
      <c r="AW41" s="68">
        <f t="shared" ca="1" si="67"/>
        <v>162.59541984732823</v>
      </c>
      <c r="AX41" s="363">
        <f ca="1">IFERROR(__xludf.DUMMYFUNCTION("IMPORTRANGE(""https://docs.google.com/spreadsheets/d/1eHaY18a8A9IcSdp1K8H6x8fbOy06t2VsZHhMHf-1x7Y/edit?usp=sharing"",""แผน!EP41"")"),131)</f>
        <v>131</v>
      </c>
      <c r="AY41" s="151">
        <f ca="1">IFERROR(__xludf.DUMMYFUNCTION("IMPORTRANGE(""https://docs.google.com/spreadsheets/d/1tdoBKaGub7dwA3U6UFTqxio9LNnvDCQjHKmttSEBsFQ/edit?usp=sharing"",""แบ่งแปลง!X39"")"),207)</f>
        <v>207</v>
      </c>
      <c r="AZ41" s="67">
        <f ca="1">IFERROR(__xludf.DUMMYFUNCTION("IMPORTRANGE(""https://docs.google.com/spreadsheets/d/1tdoBKaGub7dwA3U6UFTqxio9LNnvDCQjHKmttSEBsFQ/edit?usp=sharing"",""แบ่งแปลง!Z39"")"),1406.79)</f>
        <v>1406.79</v>
      </c>
      <c r="BA41" s="68">
        <f t="shared" ca="1" si="69"/>
        <v>158.01526717557252</v>
      </c>
      <c r="BB41" s="364">
        <f ca="1">IFERROR(__xludf.DUMMYFUNCTION("IMPORTRANGE(""https://docs.google.com/spreadsheets/d/1eHaY18a8A9IcSdp1K8H6x8fbOy06t2VsZHhMHf-1x7Y/edit?usp=sharing"",""แผน!ES41"")"),600)</f>
        <v>600</v>
      </c>
      <c r="BC41" s="151">
        <f ca="1">IFERROR(__xludf.DUMMYFUNCTION("IMPORTRANGE(""https://docs.google.com/spreadsheets/d/1tdoBKaGub7dwA3U6UFTqxio9LNnvDCQjHKmttSEBsFQ/edit?usp=sharing"",""เต็มแปลง!I39"")"),458)</f>
        <v>458</v>
      </c>
      <c r="BD41" s="67">
        <f ca="1">IFERROR(__xludf.DUMMYFUNCTION("IMPORTRANGE(""https://docs.google.com/spreadsheets/d/1tdoBKaGub7dwA3U6UFTqxio9LNnvDCQjHKmttSEBsFQ/edit?usp=sharing"",""เต็มแปลง!K39"")"),5052.3)</f>
        <v>5052.3</v>
      </c>
      <c r="BE41" s="68">
        <f t="shared" ca="1" si="71"/>
        <v>76.333333333333329</v>
      </c>
      <c r="BF41" s="364">
        <f ca="1">IFERROR(__xludf.DUMMYFUNCTION("IMPORTRANGE(""https://docs.google.com/spreadsheets/d/1eHaY18a8A9IcSdp1K8H6x8fbOy06t2VsZHhMHf-1x7Y/edit?usp=sharing"",""แผน!ES41"")"),600)</f>
        <v>600</v>
      </c>
      <c r="BG41" s="151">
        <f ca="1">IFERROR(__xludf.DUMMYFUNCTION("IMPORTRANGE(""https://docs.google.com/spreadsheets/d/1tdoBKaGub7dwA3U6UFTqxio9LNnvDCQjHKmttSEBsFQ/edit?usp=sharing"",""เต็มแปลง!S39"")"),454)</f>
        <v>454</v>
      </c>
      <c r="BH41" s="67">
        <f ca="1">IFERROR(__xludf.DUMMYFUNCTION("IMPORTRANGE(""https://docs.google.com/spreadsheets/d/1tdoBKaGub7dwA3U6UFTqxio9LNnvDCQjHKmttSEBsFQ/edit?usp=sharing"",""เต็มแปลง!U39"")"),4979.52)</f>
        <v>4979.5200000000004</v>
      </c>
      <c r="BI41" s="68">
        <f t="shared" ca="1" si="73"/>
        <v>75.666666666666671</v>
      </c>
      <c r="BJ41" s="339"/>
    </row>
    <row r="42" spans="1:62" ht="21" customHeight="1" x14ac:dyDescent="0.3">
      <c r="A42" s="147">
        <v>11</v>
      </c>
      <c r="B42" s="148" t="s">
        <v>70</v>
      </c>
      <c r="C42" s="149">
        <f t="shared" ca="1" si="44"/>
        <v>1418090</v>
      </c>
      <c r="D42" s="150">
        <f t="shared" ca="1" si="87"/>
        <v>1418090</v>
      </c>
      <c r="E42" s="151">
        <f ca="1">IFERROR(__xludf.DUMMYFUNCTION("IMPORTRANGE(""https://docs.google.com/spreadsheets/d/1-uDff_7J0KD5mKrp0Vvzr7lt3OU09vwQwhkpOPPYv2Y/edit?usp=sharing"",""งบพรบ!FD42"")"),575800)</f>
        <v>575800</v>
      </c>
      <c r="F42" s="151">
        <f ca="1">IFERROR(__xludf.DUMMYFUNCTION("IMPORTRANGE(""https://docs.google.com/spreadsheets/d/1-uDff_7J0KD5mKrp0Vvzr7lt3OU09vwQwhkpOPPYv2Y/edit?usp=sharing"",""งบพรบ!FE42"")"),842290)</f>
        <v>842290</v>
      </c>
      <c r="G42" s="151">
        <f ca="1">IFERROR(__xludf.DUMMYFUNCTION("IMPORTRANGE(""https://docs.google.com/spreadsheets/d/1-uDff_7J0KD5mKrp0Vvzr7lt3OU09vwQwhkpOPPYv2Y/edit?usp=sharing"",""งบพรบ!FF42"")"),0)</f>
        <v>0</v>
      </c>
      <c r="H42" s="151">
        <f ca="1">IFERROR(__xludf.DUMMYFUNCTION("IMPORTRANGE(""https://docs.google.com/spreadsheets/d/1-uDff_7J0KD5mKrp0Vvzr7lt3OU09vwQwhkpOPPYv2Y/edit?usp=sharing"",""งบพรบ!FH42"")"),1623590)</f>
        <v>1623590</v>
      </c>
      <c r="I42" s="151">
        <f ca="1">IFERROR(__xludf.DUMMYFUNCTION("IMPORTRANGE(""https://docs.google.com/spreadsheets/d/1-uDff_7J0KD5mKrp0Vvzr7lt3OU09vwQwhkpOPPYv2Y/edit?usp=sharing"",""งบพรบ!FI42"")"),0)</f>
        <v>0</v>
      </c>
      <c r="J42" s="151">
        <f t="shared" ca="1" si="46"/>
        <v>1336521.6399999999</v>
      </c>
      <c r="K42" s="154">
        <f t="shared" ca="1" si="47"/>
        <v>94.248012467473842</v>
      </c>
      <c r="L42" s="151">
        <f ca="1">IFERROR(__xludf.DUMMYFUNCTION("IMPORTRANGE(""https://docs.google.com/spreadsheets/d/1-uDff_7J0KD5mKrp0Vvzr7lt3OU09vwQwhkpOPPYv2Y/edit?usp=sharing"",""งบพรบ!FJ42"")"),1336521.64)</f>
        <v>1336521.6399999999</v>
      </c>
      <c r="M42" s="68">
        <f t="shared" ca="1" si="48"/>
        <v>94.248012467473842</v>
      </c>
      <c r="N42" s="68">
        <f t="shared" ca="1" si="49"/>
        <v>82.31891302607184</v>
      </c>
      <c r="O42" s="67">
        <f ca="1">IFERROR(__xludf.DUMMYFUNCTION("IMPORTRANGE(""https://docs.google.com/spreadsheets/d/1-uDff_7J0KD5mKrp0Vvzr7lt3OU09vwQwhkpOPPYv2Y/edit?usp=sharing"",""งบพรบ!FK42"")"),0)</f>
        <v>0</v>
      </c>
      <c r="P42" s="67">
        <f t="shared" ca="1" si="50"/>
        <v>0</v>
      </c>
      <c r="Q42" s="68">
        <f t="shared" ca="1" si="51"/>
        <v>0</v>
      </c>
      <c r="R42" s="149">
        <f ca="1">IFERROR(__xludf.DUMMYFUNCTION("IMPORTRANGE(""https://docs.google.com/spreadsheets/d/1v_cJrbBlyqmnHPReHk44g9NrMRdENNlSy_E_c5M9fIg/edit?usp=sharing"",""ร้อยเอ็ด!I368"")"),3825)</f>
        <v>3825</v>
      </c>
      <c r="S42" s="152">
        <f ca="1">IFERROR(__xludf.DUMMYFUNCTION("IMPORTRANGE(""https://docs.google.com/spreadsheets/d/1v_cJrbBlyqmnHPReHk44g9NrMRdENNlSy_E_c5M9fIg/edit?usp=sharing"",""ร้อยเอ็ด!J367"")"),409)</f>
        <v>409</v>
      </c>
      <c r="T42" s="357">
        <f ca="1">IFERROR(__xludf.DUMMYFUNCTION("IMPORTRANGE(""https://docs.google.com/spreadsheets/d/1v_cJrbBlyqmnHPReHk44g9NrMRdENNlSy_E_c5M9fIg/edit?usp=sharing"",""ร้อยเอ็ด!J368"")"),2946.66)</f>
        <v>2946.66</v>
      </c>
      <c r="U42" s="216">
        <f t="shared" ca="1" si="53"/>
        <v>77.036862745098034</v>
      </c>
      <c r="V42" s="149">
        <f ca="1">IFERROR(__xludf.DUMMYFUNCTION("IMPORTRANGE(""https://docs.google.com/spreadsheets/d/1v_cJrbBlyqmnHPReHk44g9NrMRdENNlSy_E_c5M9fIg/edit?usp=sharing"",""ร้อยเอ็ด!I369"")"),1065)</f>
        <v>1065</v>
      </c>
      <c r="W42" s="152">
        <f ca="1">IFERROR(__xludf.DUMMYFUNCTION("IMPORTRANGE(""https://docs.google.com/spreadsheets/d/1v_cJrbBlyqmnHPReHk44g9NrMRdENNlSy_E_c5M9fIg/edit?usp=sharing"",""ร้อยเอ็ด!J369"")"),1225)</f>
        <v>1225</v>
      </c>
      <c r="X42" s="357">
        <f ca="1">IFERROR(__xludf.DUMMYFUNCTION("IMPORTRANGE(""https://docs.google.com/spreadsheets/d/1v_cJrbBlyqmnHPReHk44g9NrMRdENNlSy_E_c5M9fIg/edit?usp=sharing"",""ร้อยเอ็ด!J370"")"),13387.74)</f>
        <v>13387.74</v>
      </c>
      <c r="Y42" s="216">
        <f t="shared" ca="1" si="55"/>
        <v>115.02347417840376</v>
      </c>
      <c r="Z42" s="149">
        <f ca="1">IFERROR(__xludf.DUMMYFUNCTION("IMPORTRANGE(""https://docs.google.com/spreadsheets/d/1v_cJrbBlyqmnHPReHk44g9NrMRdENNlSy_E_c5M9fIg/edit?usp=sharing"",""ร้อยเอ็ด!I371"")"),1065)</f>
        <v>1065</v>
      </c>
      <c r="AA42" s="152">
        <f ca="1">IFERROR(__xludf.DUMMYFUNCTION("IMPORTRANGE(""https://docs.google.com/spreadsheets/d/1v_cJrbBlyqmnHPReHk44g9NrMRdENNlSy_E_c5M9fIg/edit?usp=sharing"",""ร้อยเอ็ด!J371"")"),815)</f>
        <v>815</v>
      </c>
      <c r="AB42" s="357">
        <f ca="1">IFERROR(__xludf.DUMMYFUNCTION("IMPORTRANGE(""https://docs.google.com/spreadsheets/d/1v_cJrbBlyqmnHPReHk44g9NrMRdENNlSy_E_c5M9fIg/edit?usp=sharing"",""ร้อยเอ็ด!J372"")"),8695.9)</f>
        <v>8695.9</v>
      </c>
      <c r="AC42" s="216">
        <f t="shared" ca="1" si="57"/>
        <v>76.525821596244128</v>
      </c>
      <c r="AD42" s="358">
        <f ca="1">IFERROR(__xludf.DUMMYFUNCTION("IMPORTRANGE(""https://docs.google.com/spreadsheets/d/1eHaY18a8A9IcSdp1K8H6x8fbOy06t2VsZHhMHf-1x7Y/edit?usp=sharing"",""แผน!EM42"")"),900)</f>
        <v>900</v>
      </c>
      <c r="AE42" s="151">
        <f ca="1">IFERROR(__xludf.DUMMYFUNCTION("IMPORTRANGE(""https://docs.google.com/spreadsheets/d/1tdoBKaGub7dwA3U6UFTqxio9LNnvDCQjHKmttSEBsFQ/edit?usp=sharing"",""จัดที่ดิน!E42"")"),70)</f>
        <v>70</v>
      </c>
      <c r="AF42" s="67">
        <f ca="1">IFERROR(__xludf.DUMMYFUNCTION("IMPORTRANGE(""https://docs.google.com/spreadsheets/d/1tdoBKaGub7dwA3U6UFTqxio9LNnvDCQjHKmttSEBsFQ/edit?usp=sharing"",""จัดที่ดิน!F42"")"),336.86)</f>
        <v>336.86</v>
      </c>
      <c r="AG42" s="68">
        <f t="shared" ca="1" si="59"/>
        <v>37.428888888888892</v>
      </c>
      <c r="AH42" s="358">
        <f ca="1">IFERROR(__xludf.DUMMYFUNCTION("IMPORTRANGE(""https://docs.google.com/spreadsheets/d/1eHaY18a8A9IcSdp1K8H6x8fbOy06t2VsZHhMHf-1x7Y/edit?usp=sharing"",""แผน!EN42"")"),90)</f>
        <v>90</v>
      </c>
      <c r="AI42" s="151">
        <f ca="1">IFERROR(__xludf.DUMMYFUNCTION("IMPORTRANGE(""https://docs.google.com/spreadsheets/d/1tdoBKaGub7dwA3U6UFTqxio9LNnvDCQjHKmttSEBsFQ/edit?usp=sharing"",""จัดที่ดิน!G42"")"),65)</f>
        <v>65</v>
      </c>
      <c r="AJ42" s="67">
        <f ca="1">IFERROR(__xludf.DUMMYFUNCTION("IMPORTRANGE(""https://docs.google.com/spreadsheets/d/1tdoBKaGub7dwA3U6UFTqxio9LNnvDCQjHKmttSEBsFQ/edit?usp=sharing"",""จัดที่ดิน!H42"")"),318.29)</f>
        <v>318.29000000000002</v>
      </c>
      <c r="AK42" s="68">
        <f t="shared" ca="1" si="61"/>
        <v>72.222222222222229</v>
      </c>
      <c r="AL42" s="358">
        <f ca="1">IFERROR(__xludf.DUMMYFUNCTION("IMPORTRANGE(""https://docs.google.com/spreadsheets/d/1eHaY18a8A9IcSdp1K8H6x8fbOy06t2VsZHhMHf-1x7Y/edit?usp=sharing"",""แผน!EN42"")"),90)</f>
        <v>90</v>
      </c>
      <c r="AM42" s="151">
        <f ca="1">IFERROR(__xludf.DUMMYFUNCTION("IMPORTRANGE(""https://docs.google.com/spreadsheets/d/1tdoBKaGub7dwA3U6UFTqxio9LNnvDCQjHKmttSEBsFQ/edit?usp=sharing"",""จัดที่ดิน!I42"")"),1)</f>
        <v>1</v>
      </c>
      <c r="AN42" s="67">
        <f ca="1">IFERROR(__xludf.DUMMYFUNCTION("IMPORTRANGE(""https://docs.google.com/spreadsheets/d/1tdoBKaGub7dwA3U6UFTqxio9LNnvDCQjHKmttSEBsFQ/edit?usp=sharing"",""จัดที่ดิน!J42"")"),6.07)</f>
        <v>6.07</v>
      </c>
      <c r="AO42" s="68">
        <f t="shared" ca="1" si="63"/>
        <v>1.1111111111111112</v>
      </c>
      <c r="AP42" s="359">
        <f ca="1">IFERROR(__xludf.DUMMYFUNCTION("IMPORTRANGE(""https://docs.google.com/spreadsheets/d/1eHaY18a8A9IcSdp1K8H6x8fbOy06t2VsZHhMHf-1x7Y/edit?usp=sharing"",""แผน!EO42"")"),2925)</f>
        <v>2925</v>
      </c>
      <c r="AQ42" s="151">
        <f ca="1">IFERROR(__xludf.DUMMYFUNCTION("IMPORTRANGE(""https://docs.google.com/spreadsheets/d/1tdoBKaGub7dwA3U6UFTqxio9LNnvDCQjHKmttSEBsFQ/edit?usp=sharing"",""แบ่งแปลง!D40"")"),339)</f>
        <v>339</v>
      </c>
      <c r="AR42" s="67">
        <f ca="1">IFERROR(__xludf.DUMMYFUNCTION("IMPORTRANGE(""https://docs.google.com/spreadsheets/d/1tdoBKaGub7dwA3U6UFTqxio9LNnvDCQjHKmttSEBsFQ/edit?usp=sharing"",""แบ่งแปลง!F40"")"),2609.8)</f>
        <v>2609.8000000000002</v>
      </c>
      <c r="AS42" s="68">
        <f t="shared" ca="1" si="65"/>
        <v>89.223931623931634</v>
      </c>
      <c r="AT42" s="359">
        <f ca="1">IFERROR(__xludf.DUMMYFUNCTION("IMPORTRANGE(""https://docs.google.com/spreadsheets/d/1eHaY18a8A9IcSdp1K8H6x8fbOy06t2VsZHhMHf-1x7Y/edit?usp=sharing"",""แผน!EP42"")"),585)</f>
        <v>585</v>
      </c>
      <c r="AU42" s="151">
        <f ca="1">IFERROR(__xludf.DUMMYFUNCTION("IMPORTRANGE(""https://docs.google.com/spreadsheets/d/1tdoBKaGub7dwA3U6UFTqxio9LNnvDCQjHKmttSEBsFQ/edit?usp=sharing"",""แบ่งแปลง!I40"")"),340)</f>
        <v>340</v>
      </c>
      <c r="AV42" s="67">
        <f ca="1">IFERROR(__xludf.DUMMYFUNCTION("IMPORTRANGE(""https://docs.google.com/spreadsheets/d/1tdoBKaGub7dwA3U6UFTqxio9LNnvDCQjHKmttSEBsFQ/edit?usp=sharing"",""แบ่งแปลง!K40"")"),2630.14)</f>
        <v>2630.14</v>
      </c>
      <c r="AW42" s="68">
        <f t="shared" ca="1" si="67"/>
        <v>58.119658119658119</v>
      </c>
      <c r="AX42" s="359">
        <f ca="1">IFERROR(__xludf.DUMMYFUNCTION("IMPORTRANGE(""https://docs.google.com/spreadsheets/d/1eHaY18a8A9IcSdp1K8H6x8fbOy06t2VsZHhMHf-1x7Y/edit?usp=sharing"",""แผน!EP42"")"),585)</f>
        <v>585</v>
      </c>
      <c r="AY42" s="151">
        <f ca="1">IFERROR(__xludf.DUMMYFUNCTION("IMPORTRANGE(""https://docs.google.com/spreadsheets/d/1tdoBKaGub7dwA3U6UFTqxio9LNnvDCQjHKmttSEBsFQ/edit?usp=sharing"",""แบ่งแปลง!X40"")"),337)</f>
        <v>337</v>
      </c>
      <c r="AZ42" s="67">
        <f ca="1">IFERROR(__xludf.DUMMYFUNCTION("IMPORTRANGE(""https://docs.google.com/spreadsheets/d/1tdoBKaGub7dwA3U6UFTqxio9LNnvDCQjHKmttSEBsFQ/edit?usp=sharing"",""แบ่งแปลง!Z40"")"),2576.51)</f>
        <v>2576.5100000000002</v>
      </c>
      <c r="BA42" s="68">
        <f t="shared" ca="1" si="69"/>
        <v>57.606837606837608</v>
      </c>
      <c r="BB42" s="360">
        <f ca="1">IFERROR(__xludf.DUMMYFUNCTION("IMPORTRANGE(""https://docs.google.com/spreadsheets/d/1eHaY18a8A9IcSdp1K8H6x8fbOy06t2VsZHhMHf-1x7Y/edit?usp=sharing"",""แผน!ES42"")"),390)</f>
        <v>390</v>
      </c>
      <c r="BC42" s="151">
        <f ca="1">IFERROR(__xludf.DUMMYFUNCTION("IMPORTRANGE(""https://docs.google.com/spreadsheets/d/1tdoBKaGub7dwA3U6UFTqxio9LNnvDCQjHKmttSEBsFQ/edit?usp=sharing"",""เต็มแปลง!I40"")"),824)</f>
        <v>824</v>
      </c>
      <c r="BD42" s="67">
        <f ca="1">IFERROR(__xludf.DUMMYFUNCTION("IMPORTRANGE(""https://docs.google.com/spreadsheets/d/1tdoBKaGub7dwA3U6UFTqxio9LNnvDCQjHKmttSEBsFQ/edit?usp=sharing"",""เต็มแปลง!K40"")"),10439.31)</f>
        <v>10439.31</v>
      </c>
      <c r="BE42" s="68">
        <f t="shared" ca="1" si="71"/>
        <v>211.28205128205127</v>
      </c>
      <c r="BF42" s="360">
        <f ca="1">IFERROR(__xludf.DUMMYFUNCTION("IMPORTRANGE(""https://docs.google.com/spreadsheets/d/1eHaY18a8A9IcSdp1K8H6x8fbOy06t2VsZHhMHf-1x7Y/edit?usp=sharing"",""แผน!ES42"")"),390)</f>
        <v>390</v>
      </c>
      <c r="BG42" s="151">
        <f ca="1">IFERROR(__xludf.DUMMYFUNCTION("IMPORTRANGE(""https://docs.google.com/spreadsheets/d/1tdoBKaGub7dwA3U6UFTqxio9LNnvDCQjHKmttSEBsFQ/edit?usp=sharing"",""เต็มแปลง!S40"")"),480)</f>
        <v>480</v>
      </c>
      <c r="BH42" s="67">
        <f ca="1">IFERROR(__xludf.DUMMYFUNCTION("IMPORTRANGE(""https://docs.google.com/spreadsheets/d/1tdoBKaGub7dwA3U6UFTqxio9LNnvDCQjHKmttSEBsFQ/edit?usp=sharing"",""เต็มแปลง!U40"")"),6113.32)</f>
        <v>6113.32</v>
      </c>
      <c r="BI42" s="68">
        <f t="shared" ca="1" si="73"/>
        <v>123.07692307692308</v>
      </c>
      <c r="BJ42" s="339"/>
    </row>
    <row r="43" spans="1:62" ht="21" customHeight="1" x14ac:dyDescent="0.3">
      <c r="A43" s="147">
        <v>12</v>
      </c>
      <c r="B43" s="148" t="s">
        <v>71</v>
      </c>
      <c r="C43" s="149">
        <f t="shared" ca="1" si="44"/>
        <v>1371720</v>
      </c>
      <c r="D43" s="150">
        <f t="shared" ca="1" si="87"/>
        <v>1371720</v>
      </c>
      <c r="E43" s="151">
        <f ca="1">IFERROR(__xludf.DUMMYFUNCTION("IMPORTRANGE(""https://docs.google.com/spreadsheets/d/1-uDff_7J0KD5mKrp0Vvzr7lt3OU09vwQwhkpOPPYv2Y/edit?usp=sharing"",""งบพรบ!FD43"")"),471300)</f>
        <v>471300</v>
      </c>
      <c r="F43" s="151">
        <f ca="1">IFERROR(__xludf.DUMMYFUNCTION("IMPORTRANGE(""https://docs.google.com/spreadsheets/d/1-uDff_7J0KD5mKrp0Vvzr7lt3OU09vwQwhkpOPPYv2Y/edit?usp=sharing"",""งบพรบ!FE43"")"),900420)</f>
        <v>900420</v>
      </c>
      <c r="G43" s="151">
        <f ca="1">IFERROR(__xludf.DUMMYFUNCTION("IMPORTRANGE(""https://docs.google.com/spreadsheets/d/1-uDff_7J0KD5mKrp0Vvzr7lt3OU09vwQwhkpOPPYv2Y/edit?usp=sharing"",""งบพรบ!FF43"")"),0)</f>
        <v>0</v>
      </c>
      <c r="H43" s="151">
        <f ca="1">IFERROR(__xludf.DUMMYFUNCTION("IMPORTRANGE(""https://docs.google.com/spreadsheets/d/1-uDff_7J0KD5mKrp0Vvzr7lt3OU09vwQwhkpOPPYv2Y/edit?usp=sharing"",""งบพรบ!FH43"")"),1509720)</f>
        <v>1509720</v>
      </c>
      <c r="I43" s="151">
        <f ca="1">IFERROR(__xludf.DUMMYFUNCTION("IMPORTRANGE(""https://docs.google.com/spreadsheets/d/1-uDff_7J0KD5mKrp0Vvzr7lt3OU09vwQwhkpOPPYv2Y/edit?usp=sharing"",""งบพรบ!FI43"")"),0)</f>
        <v>0</v>
      </c>
      <c r="J43" s="151">
        <f t="shared" ca="1" si="46"/>
        <v>1258412.69</v>
      </c>
      <c r="K43" s="154">
        <f t="shared" ca="1" si="47"/>
        <v>91.73976394599481</v>
      </c>
      <c r="L43" s="151">
        <f ca="1">IFERROR(__xludf.DUMMYFUNCTION("IMPORTRANGE(""https://docs.google.com/spreadsheets/d/1-uDff_7J0KD5mKrp0Vvzr7lt3OU09vwQwhkpOPPYv2Y/edit?usp=sharing"",""งบพรบ!FJ43"")"),1258412.69)</f>
        <v>1258412.69</v>
      </c>
      <c r="M43" s="68">
        <f t="shared" ca="1" si="48"/>
        <v>91.73976394599481</v>
      </c>
      <c r="N43" s="68">
        <f t="shared" ca="1" si="49"/>
        <v>83.354045120949579</v>
      </c>
      <c r="O43" s="67">
        <f ca="1">IFERROR(__xludf.DUMMYFUNCTION("IMPORTRANGE(""https://docs.google.com/spreadsheets/d/1-uDff_7J0KD5mKrp0Vvzr7lt3OU09vwQwhkpOPPYv2Y/edit?usp=sharing"",""งบพรบ!FK43"")"),0)</f>
        <v>0</v>
      </c>
      <c r="P43" s="67">
        <f t="shared" ca="1" si="50"/>
        <v>0</v>
      </c>
      <c r="Q43" s="68">
        <f t="shared" ca="1" si="51"/>
        <v>0</v>
      </c>
      <c r="R43" s="149">
        <f ca="1">IFERROR(__xludf.DUMMYFUNCTION("IMPORTRANGE(""https://docs.google.com/spreadsheets/d/1Ul4RCpCX66NxYADU1QpwAPjOmBzW64SsT11s1wzXw_c/edit?usp=sharing"",""เลย!I368"")"),4085)</f>
        <v>4085</v>
      </c>
      <c r="S43" s="152">
        <f ca="1">IFERROR(__xludf.DUMMYFUNCTION("IMPORTRANGE(""https://docs.google.com/spreadsheets/d/1Ul4RCpCX66NxYADU1QpwAPjOmBzW64SsT11s1wzXw_c/edit?usp=sharing"",""เลย!J367"")"),389)</f>
        <v>389</v>
      </c>
      <c r="T43" s="357">
        <f ca="1">IFERROR(__xludf.DUMMYFUNCTION("IMPORTRANGE(""https://docs.google.com/spreadsheets/d/1Ul4RCpCX66NxYADU1QpwAPjOmBzW64SsT11s1wzXw_c/edit?usp=sharing"",""เลย!J368"")"),4301.43)</f>
        <v>4301.43</v>
      </c>
      <c r="U43" s="216">
        <f t="shared" ca="1" si="53"/>
        <v>105.29816401468788</v>
      </c>
      <c r="V43" s="149">
        <f ca="1">IFERROR(__xludf.DUMMYFUNCTION("IMPORTRANGE(""https://docs.google.com/spreadsheets/d/1Ul4RCpCX66NxYADU1QpwAPjOmBzW64SsT11s1wzXw_c/edit?usp=sharing"",""เลย!I369"")"),1307)</f>
        <v>1307</v>
      </c>
      <c r="W43" s="152">
        <f ca="1">IFERROR(__xludf.DUMMYFUNCTION("IMPORTRANGE(""https://docs.google.com/spreadsheets/d/1Ul4RCpCX66NxYADU1QpwAPjOmBzW64SsT11s1wzXw_c/edit?usp=sharing"",""เลย!J369"")"),1356)</f>
        <v>1356</v>
      </c>
      <c r="X43" s="357">
        <f ca="1">IFERROR(__xludf.DUMMYFUNCTION("IMPORTRANGE(""https://docs.google.com/spreadsheets/d/1Ul4RCpCX66NxYADU1QpwAPjOmBzW64SsT11s1wzXw_c/edit?usp=sharing"",""เลย!J370"")"),19793.49)</f>
        <v>19793.490000000002</v>
      </c>
      <c r="Y43" s="216">
        <f t="shared" ca="1" si="55"/>
        <v>103.74904361132364</v>
      </c>
      <c r="Z43" s="149">
        <f ca="1">IFERROR(__xludf.DUMMYFUNCTION("IMPORTRANGE(""https://docs.google.com/spreadsheets/d/1Ul4RCpCX66NxYADU1QpwAPjOmBzW64SsT11s1wzXw_c/edit?usp=sharing"",""เลย!I371"")"),1307)</f>
        <v>1307</v>
      </c>
      <c r="AA43" s="152">
        <f ca="1">IFERROR(__xludf.DUMMYFUNCTION("IMPORTRANGE(""https://docs.google.com/spreadsheets/d/1Ul4RCpCX66NxYADU1QpwAPjOmBzW64SsT11s1wzXw_c/edit?usp=sharing"",""เลย!J371"")"),1283)</f>
        <v>1283</v>
      </c>
      <c r="AB43" s="357">
        <f ca="1">IFERROR(__xludf.DUMMYFUNCTION("IMPORTRANGE(""https://docs.google.com/spreadsheets/d/1Ul4RCpCX66NxYADU1QpwAPjOmBzW64SsT11s1wzXw_c/edit?usp=sharing"",""เลย!J372"")"),19058.4499999999)</f>
        <v>19058.449999999899</v>
      </c>
      <c r="AC43" s="216">
        <f t="shared" ca="1" si="57"/>
        <v>98.163733741392505</v>
      </c>
      <c r="AD43" s="358">
        <f ca="1">IFERROR(__xludf.DUMMYFUNCTION("IMPORTRANGE(""https://docs.google.com/spreadsheets/d/1eHaY18a8A9IcSdp1K8H6x8fbOy06t2VsZHhMHf-1x7Y/edit?usp=sharing"",""แผน!EM43"")"),900)</f>
        <v>900</v>
      </c>
      <c r="AE43" s="151">
        <f ca="1">IFERROR(__xludf.DUMMYFUNCTION("IMPORTRANGE(""https://docs.google.com/spreadsheets/d/1tdoBKaGub7dwA3U6UFTqxio9LNnvDCQjHKmttSEBsFQ/edit?usp=sharing"",""จัดที่ดิน!E43"")"),107)</f>
        <v>107</v>
      </c>
      <c r="AF43" s="67">
        <f ca="1">IFERROR(__xludf.DUMMYFUNCTION("IMPORTRANGE(""https://docs.google.com/spreadsheets/d/1tdoBKaGub7dwA3U6UFTqxio9LNnvDCQjHKmttSEBsFQ/edit?usp=sharing"",""จัดที่ดิน!F43"")"),1122.76)</f>
        <v>1122.76</v>
      </c>
      <c r="AG43" s="68">
        <f t="shared" ca="1" si="59"/>
        <v>124.75111111111111</v>
      </c>
      <c r="AH43" s="358">
        <f ca="1">IFERROR(__xludf.DUMMYFUNCTION("IMPORTRANGE(""https://docs.google.com/spreadsheets/d/1eHaY18a8A9IcSdp1K8H6x8fbOy06t2VsZHhMHf-1x7Y/edit?usp=sharing"",""แผน!EN43"")"),90)</f>
        <v>90</v>
      </c>
      <c r="AI43" s="151">
        <f ca="1">IFERROR(__xludf.DUMMYFUNCTION("IMPORTRANGE(""https://docs.google.com/spreadsheets/d/1tdoBKaGub7dwA3U6UFTqxio9LNnvDCQjHKmttSEBsFQ/edit?usp=sharing"",""จัดที่ดิน!G43"")"),87)</f>
        <v>87</v>
      </c>
      <c r="AJ43" s="67">
        <f ca="1">IFERROR(__xludf.DUMMYFUNCTION("IMPORTRANGE(""https://docs.google.com/spreadsheets/d/1tdoBKaGub7dwA3U6UFTqxio9LNnvDCQjHKmttSEBsFQ/edit?usp=sharing"",""จัดที่ดิน!H43"")"),913)</f>
        <v>913</v>
      </c>
      <c r="AK43" s="68">
        <f t="shared" ca="1" si="61"/>
        <v>96.666666666666671</v>
      </c>
      <c r="AL43" s="358">
        <f ca="1">IFERROR(__xludf.DUMMYFUNCTION("IMPORTRANGE(""https://docs.google.com/spreadsheets/d/1eHaY18a8A9IcSdp1K8H6x8fbOy06t2VsZHhMHf-1x7Y/edit?usp=sharing"",""แผน!EN43"")"),90)</f>
        <v>90</v>
      </c>
      <c r="AM43" s="151">
        <f ca="1">IFERROR(__xludf.DUMMYFUNCTION("IMPORTRANGE(""https://docs.google.com/spreadsheets/d/1tdoBKaGub7dwA3U6UFTqxio9LNnvDCQjHKmttSEBsFQ/edit?usp=sharing"",""จัดที่ดิน!I43"")"),18)</f>
        <v>18</v>
      </c>
      <c r="AN43" s="67">
        <f ca="1">IFERROR(__xludf.DUMMYFUNCTION("IMPORTRANGE(""https://docs.google.com/spreadsheets/d/1tdoBKaGub7dwA3U6UFTqxio9LNnvDCQjHKmttSEBsFQ/edit?usp=sharing"",""จัดที่ดิน!J43"")"),270.19)</f>
        <v>270.19</v>
      </c>
      <c r="AO43" s="68">
        <f t="shared" ca="1" si="63"/>
        <v>20</v>
      </c>
      <c r="AP43" s="359">
        <f ca="1">IFERROR(__xludf.DUMMYFUNCTION("IMPORTRANGE(""https://docs.google.com/spreadsheets/d/1eHaY18a8A9IcSdp1K8H6x8fbOy06t2VsZHhMHf-1x7Y/edit?usp=sharing"",""แผน!EO43"")"),3185)</f>
        <v>3185</v>
      </c>
      <c r="AQ43" s="151">
        <f ca="1">IFERROR(__xludf.DUMMYFUNCTION("IMPORTRANGE(""https://docs.google.com/spreadsheets/d/1tdoBKaGub7dwA3U6UFTqxio9LNnvDCQjHKmttSEBsFQ/edit?usp=sharing"",""แบ่งแปลง!D41"")"),251)</f>
        <v>251</v>
      </c>
      <c r="AR43" s="67">
        <f ca="1">IFERROR(__xludf.DUMMYFUNCTION("IMPORTRANGE(""https://docs.google.com/spreadsheets/d/1tdoBKaGub7dwA3U6UFTqxio9LNnvDCQjHKmttSEBsFQ/edit?usp=sharing"",""แบ่งแปลง!F41"")"),2641.23)</f>
        <v>2641.23</v>
      </c>
      <c r="AS43" s="68">
        <f t="shared" ca="1" si="65"/>
        <v>82.927158555729989</v>
      </c>
      <c r="AT43" s="359">
        <f ca="1">IFERROR(__xludf.DUMMYFUNCTION("IMPORTRANGE(""https://docs.google.com/spreadsheets/d/1eHaY18a8A9IcSdp1K8H6x8fbOy06t2VsZHhMHf-1x7Y/edit?usp=sharing"",""แผน!EP43"")"),637)</f>
        <v>637</v>
      </c>
      <c r="AU43" s="151">
        <f ca="1">IFERROR(__xludf.DUMMYFUNCTION("IMPORTRANGE(""https://docs.google.com/spreadsheets/d/1tdoBKaGub7dwA3U6UFTqxio9LNnvDCQjHKmttSEBsFQ/edit?usp=sharing"",""แบ่งแปลง!I41"")"),127)</f>
        <v>127</v>
      </c>
      <c r="AV43" s="67">
        <f ca="1">IFERROR(__xludf.DUMMYFUNCTION("IMPORTRANGE(""https://docs.google.com/spreadsheets/d/1tdoBKaGub7dwA3U6UFTqxio9LNnvDCQjHKmttSEBsFQ/edit?usp=sharing"",""แบ่งแปลง!K41"")"),1147.11)</f>
        <v>1147.1099999999999</v>
      </c>
      <c r="AW43" s="68">
        <f t="shared" ca="1" si="67"/>
        <v>19.937205651491364</v>
      </c>
      <c r="AX43" s="359">
        <f ca="1">IFERROR(__xludf.DUMMYFUNCTION("IMPORTRANGE(""https://docs.google.com/spreadsheets/d/1eHaY18a8A9IcSdp1K8H6x8fbOy06t2VsZHhMHf-1x7Y/edit?usp=sharing"",""แผน!EP43"")"),637)</f>
        <v>637</v>
      </c>
      <c r="AY43" s="151">
        <f ca="1">IFERROR(__xludf.DUMMYFUNCTION("IMPORTRANGE(""https://docs.google.com/spreadsheets/d/1tdoBKaGub7dwA3U6UFTqxio9LNnvDCQjHKmttSEBsFQ/edit?usp=sharing"",""แบ่งแปลง!X41"")"),128)</f>
        <v>128</v>
      </c>
      <c r="AZ43" s="67">
        <f ca="1">IFERROR(__xludf.DUMMYFUNCTION("IMPORTRANGE(""https://docs.google.com/spreadsheets/d/1tdoBKaGub7dwA3U6UFTqxio9LNnvDCQjHKmttSEBsFQ/edit?usp=sharing"",""แบ่งแปลง!Z41"")"),1151.17)</f>
        <v>1151.17</v>
      </c>
      <c r="BA43" s="68">
        <f t="shared" ca="1" si="69"/>
        <v>20.094191522762952</v>
      </c>
      <c r="BB43" s="360">
        <f ca="1">IFERROR(__xludf.DUMMYFUNCTION("IMPORTRANGE(""https://docs.google.com/spreadsheets/d/1eHaY18a8A9IcSdp1K8H6x8fbOy06t2VsZHhMHf-1x7Y/edit?usp=sharing"",""แผน!ES43"")"),580)</f>
        <v>580</v>
      </c>
      <c r="BC43" s="151">
        <f ca="1">IFERROR(__xludf.DUMMYFUNCTION("IMPORTRANGE(""https://docs.google.com/spreadsheets/d/1tdoBKaGub7dwA3U6UFTqxio9LNnvDCQjHKmttSEBsFQ/edit?usp=sharing"",""เต็มแปลง!I41"")"),1145)</f>
        <v>1145</v>
      </c>
      <c r="BD43" s="67">
        <f ca="1">IFERROR(__xludf.DUMMYFUNCTION("IMPORTRANGE(""https://docs.google.com/spreadsheets/d/1tdoBKaGub7dwA3U6UFTqxio9LNnvDCQjHKmttSEBsFQ/edit?usp=sharing"",""เต็มแปลง!K41"")"),17733.38)</f>
        <v>17733.38</v>
      </c>
      <c r="BE43" s="68">
        <f t="shared" ca="1" si="71"/>
        <v>197.41379310344828</v>
      </c>
      <c r="BF43" s="360">
        <f ca="1">IFERROR(__xludf.DUMMYFUNCTION("IMPORTRANGE(""https://docs.google.com/spreadsheets/d/1eHaY18a8A9IcSdp1K8H6x8fbOy06t2VsZHhMHf-1x7Y/edit?usp=sharing"",""แผน!ES43"")"),580)</f>
        <v>580</v>
      </c>
      <c r="BG43" s="151">
        <f ca="1">IFERROR(__xludf.DUMMYFUNCTION("IMPORTRANGE(""https://docs.google.com/spreadsheets/d/1tdoBKaGub7dwA3U6UFTqxio9LNnvDCQjHKmttSEBsFQ/edit?usp=sharing"",""เต็มแปลง!S41"")"),1140)</f>
        <v>1140</v>
      </c>
      <c r="BH43" s="67">
        <f ca="1">IFERROR(__xludf.DUMMYFUNCTION("IMPORTRANGE(""https://docs.google.com/spreadsheets/d/1tdoBKaGub7dwA3U6UFTqxio9LNnvDCQjHKmttSEBsFQ/edit?usp=sharing"",""เต็มแปลง!U41"")"),17637.1)</f>
        <v>17637.099999999999</v>
      </c>
      <c r="BI43" s="68">
        <f t="shared" ca="1" si="73"/>
        <v>196.55172413793105</v>
      </c>
      <c r="BJ43" s="339"/>
    </row>
    <row r="44" spans="1:62" ht="21" customHeight="1" x14ac:dyDescent="0.3">
      <c r="A44" s="147">
        <v>13</v>
      </c>
      <c r="B44" s="148" t="s">
        <v>72</v>
      </c>
      <c r="C44" s="149">
        <f t="shared" ca="1" si="44"/>
        <v>1733070</v>
      </c>
      <c r="D44" s="150">
        <f t="shared" ca="1" si="87"/>
        <v>1733070</v>
      </c>
      <c r="E44" s="151">
        <f ca="1">IFERROR(__xludf.DUMMYFUNCTION("IMPORTRANGE(""https://docs.google.com/spreadsheets/d/1-uDff_7J0KD5mKrp0Vvzr7lt3OU09vwQwhkpOPPYv2Y/edit?usp=sharing"",""งบพรบ!FD44"")"),617100)</f>
        <v>617100</v>
      </c>
      <c r="F44" s="151">
        <f ca="1">IFERROR(__xludf.DUMMYFUNCTION("IMPORTRANGE(""https://docs.google.com/spreadsheets/d/1-uDff_7J0KD5mKrp0Vvzr7lt3OU09vwQwhkpOPPYv2Y/edit?usp=sharing"",""งบพรบ!FE44"")"),1115970)</f>
        <v>1115970</v>
      </c>
      <c r="G44" s="151">
        <f ca="1">IFERROR(__xludf.DUMMYFUNCTION("IMPORTRANGE(""https://docs.google.com/spreadsheets/d/1-uDff_7J0KD5mKrp0Vvzr7lt3OU09vwQwhkpOPPYv2Y/edit?usp=sharing"",""งบพรบ!FF44"")"),0)</f>
        <v>0</v>
      </c>
      <c r="H44" s="151">
        <f ca="1">IFERROR(__xludf.DUMMYFUNCTION("IMPORTRANGE(""https://docs.google.com/spreadsheets/d/1-uDff_7J0KD5mKrp0Vvzr7lt3OU09vwQwhkpOPPYv2Y/edit?usp=sharing"",""งบพรบ!FH44"")"),1901070)</f>
        <v>1901070</v>
      </c>
      <c r="I44" s="151">
        <f ca="1">IFERROR(__xludf.DUMMYFUNCTION("IMPORTRANGE(""https://docs.google.com/spreadsheets/d/1-uDff_7J0KD5mKrp0Vvzr7lt3OU09vwQwhkpOPPYv2Y/edit?usp=sharing"",""งบพรบ!FI44"")"),0)</f>
        <v>0</v>
      </c>
      <c r="J44" s="151">
        <f t="shared" ca="1" si="46"/>
        <v>1401751.8</v>
      </c>
      <c r="K44" s="154">
        <f t="shared" ca="1" si="47"/>
        <v>80.882584084889814</v>
      </c>
      <c r="L44" s="151">
        <f ca="1">IFERROR(__xludf.DUMMYFUNCTION("IMPORTRANGE(""https://docs.google.com/spreadsheets/d/1-uDff_7J0KD5mKrp0Vvzr7lt3OU09vwQwhkpOPPYv2Y/edit?usp=sharing"",""งบพรบ!FJ44"")"),1401751.8)</f>
        <v>1401751.8</v>
      </c>
      <c r="M44" s="68">
        <f t="shared" ca="1" si="48"/>
        <v>80.882584084889814</v>
      </c>
      <c r="N44" s="68">
        <f t="shared" ca="1" si="49"/>
        <v>73.734886143066802</v>
      </c>
      <c r="O44" s="67">
        <f ca="1">IFERROR(__xludf.DUMMYFUNCTION("IMPORTRANGE(""https://docs.google.com/spreadsheets/d/1-uDff_7J0KD5mKrp0Vvzr7lt3OU09vwQwhkpOPPYv2Y/edit?usp=sharing"",""งบพรบ!FK44"")"),0)</f>
        <v>0</v>
      </c>
      <c r="P44" s="67">
        <f t="shared" ca="1" si="50"/>
        <v>0</v>
      </c>
      <c r="Q44" s="68">
        <f t="shared" ca="1" si="51"/>
        <v>0</v>
      </c>
      <c r="R44" s="361">
        <f ca="1">IFERROR(__xludf.DUMMYFUNCTION("IMPORTRANGE(""https://docs.google.com/spreadsheets/d/1bRrNKwbHDVktQG10isr5vbWRtt5spIZPpkOSWgbT5ug/edit?usp=sharing"",""ศรีสะเกษ!I368"")"),4400)</f>
        <v>4400</v>
      </c>
      <c r="S44" s="152">
        <f ca="1">IFERROR(__xludf.DUMMYFUNCTION("IMPORTRANGE(""https://docs.google.com/spreadsheets/d/1bRrNKwbHDVktQG10isr5vbWRtt5spIZPpkOSWgbT5ug/edit?usp=sharing"",""ศรีสะเกษ!J367"")"),789)</f>
        <v>789</v>
      </c>
      <c r="T44" s="357">
        <f ca="1">IFERROR(__xludf.DUMMYFUNCTION("IMPORTRANGE(""https://docs.google.com/spreadsheets/d/1bRrNKwbHDVktQG10isr5vbWRtt5spIZPpkOSWgbT5ug/edit?usp=sharing"",""ศรีสะเกษ!J368"")"),4549.1)</f>
        <v>4549.1000000000004</v>
      </c>
      <c r="U44" s="216">
        <f t="shared" ca="1" si="53"/>
        <v>103.38863636363638</v>
      </c>
      <c r="V44" s="361">
        <f ca="1">IFERROR(__xludf.DUMMYFUNCTION("IMPORTRANGE(""https://docs.google.com/spreadsheets/d/1bRrNKwbHDVktQG10isr5vbWRtt5spIZPpkOSWgbT5ug/edit?usp=sharing"",""ศรีสะเกษ!I369"")"),1520)</f>
        <v>1520</v>
      </c>
      <c r="W44" s="152">
        <f ca="1">IFERROR(__xludf.DUMMYFUNCTION("IMPORTRANGE(""https://docs.google.com/spreadsheets/d/1bRrNKwbHDVktQG10isr5vbWRtt5spIZPpkOSWgbT5ug/edit?usp=sharing"",""ศรีสะเกษ!J369"")"),1489)</f>
        <v>1489</v>
      </c>
      <c r="X44" s="357">
        <f ca="1">IFERROR(__xludf.DUMMYFUNCTION("IMPORTRANGE(""https://docs.google.com/spreadsheets/d/1bRrNKwbHDVktQG10isr5vbWRtt5spIZPpkOSWgbT5ug/edit?usp=sharing"",""ศรีสะเกษ!J370"")"),11011.57)</f>
        <v>11011.57</v>
      </c>
      <c r="Y44" s="216">
        <f t="shared" ca="1" si="55"/>
        <v>97.96052631578948</v>
      </c>
      <c r="Z44" s="361">
        <f ca="1">IFERROR(__xludf.DUMMYFUNCTION("IMPORTRANGE(""https://docs.google.com/spreadsheets/d/1bRrNKwbHDVktQG10isr5vbWRtt5spIZPpkOSWgbT5ug/edit?usp=sharing"",""ศรีสะเกษ!I371"")"),1520)</f>
        <v>1520</v>
      </c>
      <c r="AA44" s="152">
        <f ca="1">IFERROR(__xludf.DUMMYFUNCTION("IMPORTRANGE(""https://docs.google.com/spreadsheets/d/1bRrNKwbHDVktQG10isr5vbWRtt5spIZPpkOSWgbT5ug/edit?usp=sharing"",""ศรีสะเกษ!J371"")"),1019)</f>
        <v>1019</v>
      </c>
      <c r="AB44" s="357">
        <f ca="1">IFERROR(__xludf.DUMMYFUNCTION("IMPORTRANGE(""https://docs.google.com/spreadsheets/d/1bRrNKwbHDVktQG10isr5vbWRtt5spIZPpkOSWgbT5ug/edit?usp=sharing"",""ศรีสะเกษ!J372"")"),7976.54)</f>
        <v>7976.54</v>
      </c>
      <c r="AC44" s="216">
        <f t="shared" ca="1" si="57"/>
        <v>67.03947368421052</v>
      </c>
      <c r="AD44" s="362">
        <f ca="1">IFERROR(__xludf.DUMMYFUNCTION("IMPORTRANGE(""https://docs.google.com/spreadsheets/d/1eHaY18a8A9IcSdp1K8H6x8fbOy06t2VsZHhMHf-1x7Y/edit?usp=sharing"",""แผน!EM44"")"),900)</f>
        <v>900</v>
      </c>
      <c r="AE44" s="151">
        <f ca="1">IFERROR(__xludf.DUMMYFUNCTION("IMPORTRANGE(""https://docs.google.com/spreadsheets/d/1tdoBKaGub7dwA3U6UFTqxio9LNnvDCQjHKmttSEBsFQ/edit?usp=sharing"",""จัดที่ดิน!E44"")"),235)</f>
        <v>235</v>
      </c>
      <c r="AF44" s="67">
        <f ca="1">IFERROR(__xludf.DUMMYFUNCTION("IMPORTRANGE(""https://docs.google.com/spreadsheets/d/1tdoBKaGub7dwA3U6UFTqxio9LNnvDCQjHKmttSEBsFQ/edit?usp=sharing"",""จัดที่ดิน!F44"")"),932.39)</f>
        <v>932.39</v>
      </c>
      <c r="AG44" s="68">
        <f t="shared" ca="1" si="59"/>
        <v>103.59888888888889</v>
      </c>
      <c r="AH44" s="362">
        <f ca="1">IFERROR(__xludf.DUMMYFUNCTION("IMPORTRANGE(""https://docs.google.com/spreadsheets/d/1eHaY18a8A9IcSdp1K8H6x8fbOy06t2VsZHhMHf-1x7Y/edit?usp=sharing"",""แผน!EN44"")"),90)</f>
        <v>90</v>
      </c>
      <c r="AI44" s="151">
        <f ca="1">IFERROR(__xludf.DUMMYFUNCTION("IMPORTRANGE(""https://docs.google.com/spreadsheets/d/1tdoBKaGub7dwA3U6UFTqxio9LNnvDCQjHKmttSEBsFQ/edit?usp=sharing"",""จัดที่ดิน!G44"")"),3)</f>
        <v>3</v>
      </c>
      <c r="AJ44" s="67">
        <f ca="1">IFERROR(__xludf.DUMMYFUNCTION("IMPORTRANGE(""https://docs.google.com/spreadsheets/d/1tdoBKaGub7dwA3U6UFTqxio9LNnvDCQjHKmttSEBsFQ/edit?usp=sharing"",""จัดที่ดิน!H44"")"),7.33)</f>
        <v>7.33</v>
      </c>
      <c r="AK44" s="68">
        <f t="shared" ca="1" si="61"/>
        <v>3.3333333333333335</v>
      </c>
      <c r="AL44" s="362">
        <f ca="1">IFERROR(__xludf.DUMMYFUNCTION("IMPORTRANGE(""https://docs.google.com/spreadsheets/d/1eHaY18a8A9IcSdp1K8H6x8fbOy06t2VsZHhMHf-1x7Y/edit?usp=sharing"",""แผน!EN44"")"),90)</f>
        <v>90</v>
      </c>
      <c r="AM44" s="151">
        <f ca="1">IFERROR(__xludf.DUMMYFUNCTION("IMPORTRANGE(""https://docs.google.com/spreadsheets/d/1tdoBKaGub7dwA3U6UFTqxio9LNnvDCQjHKmttSEBsFQ/edit?usp=sharing"",""จัดที่ดิน!I44"")"),4)</f>
        <v>4</v>
      </c>
      <c r="AN44" s="67">
        <f ca="1">IFERROR(__xludf.DUMMYFUNCTION("IMPORTRANGE(""https://docs.google.com/spreadsheets/d/1tdoBKaGub7dwA3U6UFTqxio9LNnvDCQjHKmttSEBsFQ/edit?usp=sharing"",""จัดที่ดิน!J44"")"),8.97)</f>
        <v>8.9700000000000006</v>
      </c>
      <c r="AO44" s="68">
        <f t="shared" ca="1" si="63"/>
        <v>4.4444444444444446</v>
      </c>
      <c r="AP44" s="363">
        <f ca="1">IFERROR(__xludf.DUMMYFUNCTION("IMPORTRANGE(""https://docs.google.com/spreadsheets/d/1eHaY18a8A9IcSdp1K8H6x8fbOy06t2VsZHhMHf-1x7Y/edit?usp=sharing"",""แผน!EO44"")"),3500)</f>
        <v>3500</v>
      </c>
      <c r="AQ44" s="151">
        <f ca="1">IFERROR(__xludf.DUMMYFUNCTION("IMPORTRANGE(""https://docs.google.com/spreadsheets/d/1tdoBKaGub7dwA3U6UFTqxio9LNnvDCQjHKmttSEBsFQ/edit?usp=sharing"",""แบ่งแปลง!D42"")"),554)</f>
        <v>554</v>
      </c>
      <c r="AR44" s="67">
        <f ca="1">IFERROR(__xludf.DUMMYFUNCTION("IMPORTRANGE(""https://docs.google.com/spreadsheets/d/1tdoBKaGub7dwA3U6UFTqxio9LNnvDCQjHKmttSEBsFQ/edit?usp=sharing"",""แบ่งแปลง!F42"")"),3616.71)</f>
        <v>3616.71</v>
      </c>
      <c r="AS44" s="68">
        <f t="shared" ca="1" si="65"/>
        <v>103.33457142857142</v>
      </c>
      <c r="AT44" s="363">
        <f ca="1">IFERROR(__xludf.DUMMYFUNCTION("IMPORTRANGE(""https://docs.google.com/spreadsheets/d/1eHaY18a8A9IcSdp1K8H6x8fbOy06t2VsZHhMHf-1x7Y/edit?usp=sharing"",""แผน!EP44"")"),500)</f>
        <v>500</v>
      </c>
      <c r="AU44" s="151">
        <f ca="1">IFERROR(__xludf.DUMMYFUNCTION("IMPORTRANGE(""https://docs.google.com/spreadsheets/d/1tdoBKaGub7dwA3U6UFTqxio9LNnvDCQjHKmttSEBsFQ/edit?usp=sharing"",""แบ่งแปลง!I42"")"),532)</f>
        <v>532</v>
      </c>
      <c r="AV44" s="67">
        <f ca="1">IFERROR(__xludf.DUMMYFUNCTION("IMPORTRANGE(""https://docs.google.com/spreadsheets/d/1tdoBKaGub7dwA3U6UFTqxio9LNnvDCQjHKmttSEBsFQ/edit?usp=sharing"",""แบ่งแปลง!K42"")"),3437.67)</f>
        <v>3437.67</v>
      </c>
      <c r="AW44" s="68">
        <f t="shared" ca="1" si="67"/>
        <v>106.4</v>
      </c>
      <c r="AX44" s="363">
        <f ca="1">IFERROR(__xludf.DUMMYFUNCTION("IMPORTRANGE(""https://docs.google.com/spreadsheets/d/1eHaY18a8A9IcSdp1K8H6x8fbOy06t2VsZHhMHf-1x7Y/edit?usp=sharing"",""แผน!EP44"")"),500)</f>
        <v>500</v>
      </c>
      <c r="AY44" s="151">
        <f ca="1">IFERROR(__xludf.DUMMYFUNCTION("IMPORTRANGE(""https://docs.google.com/spreadsheets/d/1tdoBKaGub7dwA3U6UFTqxio9LNnvDCQjHKmttSEBsFQ/edit?usp=sharing"",""แบ่งแปลง!X42"")"),63)</f>
        <v>63</v>
      </c>
      <c r="AZ44" s="67">
        <f ca="1">IFERROR(__xludf.DUMMYFUNCTION("IMPORTRANGE(""https://docs.google.com/spreadsheets/d/1tdoBKaGub7dwA3U6UFTqxio9LNnvDCQjHKmttSEBsFQ/edit?usp=sharing"",""แบ่งแปลง!Z42"")"),450.83)</f>
        <v>450.83</v>
      </c>
      <c r="BA44" s="68">
        <f t="shared" ca="1" si="69"/>
        <v>12.6</v>
      </c>
      <c r="BB44" s="364">
        <f ca="1">IFERROR(__xludf.DUMMYFUNCTION("IMPORTRANGE(""https://docs.google.com/spreadsheets/d/1eHaY18a8A9IcSdp1K8H6x8fbOy06t2VsZHhMHf-1x7Y/edit?usp=sharing"",""แผน!ES44"")"),930)</f>
        <v>930</v>
      </c>
      <c r="BC44" s="151">
        <f ca="1">IFERROR(__xludf.DUMMYFUNCTION("IMPORTRANGE(""https://docs.google.com/spreadsheets/d/1tdoBKaGub7dwA3U6UFTqxio9LNnvDCQjHKmttSEBsFQ/edit?usp=sharing"",""เต็มแปลง!I42"")"),958)</f>
        <v>958</v>
      </c>
      <c r="BD44" s="67">
        <f ca="1">IFERROR(__xludf.DUMMYFUNCTION("IMPORTRANGE(""https://docs.google.com/spreadsheets/d/1tdoBKaGub7dwA3U6UFTqxio9LNnvDCQjHKmttSEBsFQ/edit?usp=sharing"",""เต็มแปลง!K42"")"),7566.57)</f>
        <v>7566.57</v>
      </c>
      <c r="BE44" s="68">
        <f t="shared" ca="1" si="71"/>
        <v>103.01075268817205</v>
      </c>
      <c r="BF44" s="364">
        <f ca="1">IFERROR(__xludf.DUMMYFUNCTION("IMPORTRANGE(""https://docs.google.com/spreadsheets/d/1eHaY18a8A9IcSdp1K8H6x8fbOy06t2VsZHhMHf-1x7Y/edit?usp=sharing"",""แผน!ES44"")"),930)</f>
        <v>930</v>
      </c>
      <c r="BG44" s="151">
        <f ca="1">IFERROR(__xludf.DUMMYFUNCTION("IMPORTRANGE(""https://docs.google.com/spreadsheets/d/1tdoBKaGub7dwA3U6UFTqxio9LNnvDCQjHKmttSEBsFQ/edit?usp=sharing"",""เต็มแปลง!S42"")"),952)</f>
        <v>952</v>
      </c>
      <c r="BH44" s="67">
        <f ca="1">IFERROR(__xludf.DUMMYFUNCTION("IMPORTRANGE(""https://docs.google.com/spreadsheets/d/1tdoBKaGub7dwA3U6UFTqxio9LNnvDCQjHKmttSEBsFQ/edit?usp=sharing"",""เต็มแปลง!U42"")"),7516.74)</f>
        <v>7516.74</v>
      </c>
      <c r="BI44" s="68">
        <f t="shared" ca="1" si="73"/>
        <v>102.36559139784946</v>
      </c>
      <c r="BJ44" s="339"/>
    </row>
    <row r="45" spans="1:62" ht="21" customHeight="1" x14ac:dyDescent="0.3">
      <c r="A45" s="147">
        <v>14</v>
      </c>
      <c r="B45" s="148" t="s">
        <v>73</v>
      </c>
      <c r="C45" s="149">
        <f t="shared" ca="1" si="44"/>
        <v>1327840</v>
      </c>
      <c r="D45" s="150">
        <f t="shared" ca="1" si="87"/>
        <v>1327840</v>
      </c>
      <c r="E45" s="151">
        <f ca="1">IFERROR(__xludf.DUMMYFUNCTION("IMPORTRANGE(""https://docs.google.com/spreadsheets/d/1-uDff_7J0KD5mKrp0Vvzr7lt3OU09vwQwhkpOPPYv2Y/edit?usp=sharing"",""งบพรบ!FD45"")"),313500)</f>
        <v>313500</v>
      </c>
      <c r="F45" s="151">
        <f ca="1">IFERROR(__xludf.DUMMYFUNCTION("IMPORTRANGE(""https://docs.google.com/spreadsheets/d/1-uDff_7J0KD5mKrp0Vvzr7lt3OU09vwQwhkpOPPYv2Y/edit?usp=sharing"",""งบพรบ!FE45"")"),1014340)</f>
        <v>1014340</v>
      </c>
      <c r="G45" s="151">
        <f ca="1">IFERROR(__xludf.DUMMYFUNCTION("IMPORTRANGE(""https://docs.google.com/spreadsheets/d/1-uDff_7J0KD5mKrp0Vvzr7lt3OU09vwQwhkpOPPYv2Y/edit?usp=sharing"",""งบพรบ!FF45"")"),0)</f>
        <v>0</v>
      </c>
      <c r="H45" s="151">
        <f ca="1">IFERROR(__xludf.DUMMYFUNCTION("IMPORTRANGE(""https://docs.google.com/spreadsheets/d/1-uDff_7J0KD5mKrp0Vvzr7lt3OU09vwQwhkpOPPYv2Y/edit?usp=sharing"",""งบพรบ!FH45"")"),1526440)</f>
        <v>1526440</v>
      </c>
      <c r="I45" s="151">
        <f ca="1">IFERROR(__xludf.DUMMYFUNCTION("IMPORTRANGE(""https://docs.google.com/spreadsheets/d/1-uDff_7J0KD5mKrp0Vvzr7lt3OU09vwQwhkpOPPYv2Y/edit?usp=sharing"",""งบพรบ!FI45"")"),0)</f>
        <v>0</v>
      </c>
      <c r="J45" s="151">
        <f t="shared" ca="1" si="46"/>
        <v>1006399.51</v>
      </c>
      <c r="K45" s="154">
        <f t="shared" ca="1" si="47"/>
        <v>75.792227226171832</v>
      </c>
      <c r="L45" s="151">
        <f ca="1">IFERROR(__xludf.DUMMYFUNCTION("IMPORTRANGE(""https://docs.google.com/spreadsheets/d/1-uDff_7J0KD5mKrp0Vvzr7lt3OU09vwQwhkpOPPYv2Y/edit?usp=sharing"",""งบพรบ!FJ45"")"),1006399.51)</f>
        <v>1006399.51</v>
      </c>
      <c r="M45" s="68">
        <f t="shared" ca="1" si="48"/>
        <v>75.792227226171832</v>
      </c>
      <c r="N45" s="68">
        <f t="shared" ca="1" si="49"/>
        <v>65.931154188831528</v>
      </c>
      <c r="O45" s="67">
        <f ca="1">IFERROR(__xludf.DUMMYFUNCTION("IMPORTRANGE(""https://docs.google.com/spreadsheets/d/1-uDff_7J0KD5mKrp0Vvzr7lt3OU09vwQwhkpOPPYv2Y/edit?usp=sharing"",""งบพรบ!FK45"")"),0)</f>
        <v>0</v>
      </c>
      <c r="P45" s="67">
        <f t="shared" ca="1" si="50"/>
        <v>0</v>
      </c>
      <c r="Q45" s="68">
        <f t="shared" ca="1" si="51"/>
        <v>0</v>
      </c>
      <c r="R45" s="149">
        <f ca="1">IFERROR(__xludf.DUMMYFUNCTION("IMPORTRANGE(""https://docs.google.com/spreadsheets/d/17P34_Ow5kFBfdQD0qspb2UuPX5zpi6WMrQzslghyvrI/edit?usp=sharing"",""สกลนคร!I368"")"),5120)</f>
        <v>5120</v>
      </c>
      <c r="S45" s="152">
        <f ca="1">IFERROR(__xludf.DUMMYFUNCTION("IMPORTRANGE(""https://docs.google.com/spreadsheets/d/17P34_Ow5kFBfdQD0qspb2UuPX5zpi6WMrQzslghyvrI/edit?usp=sharing"",""สกลนคร!J367"")"),674)</f>
        <v>674</v>
      </c>
      <c r="T45" s="357">
        <f ca="1">IFERROR(__xludf.DUMMYFUNCTION("IMPORTRANGE(""https://docs.google.com/spreadsheets/d/17P34_Ow5kFBfdQD0qspb2UuPX5zpi6WMrQzslghyvrI/edit?usp=sharing"",""สกลนคร!J368"")"),4806.97)</f>
        <v>4806.97</v>
      </c>
      <c r="U45" s="216">
        <f t="shared" ca="1" si="53"/>
        <v>93.886132812499994</v>
      </c>
      <c r="V45" s="149">
        <f ca="1">IFERROR(__xludf.DUMMYFUNCTION("IMPORTRANGE(""https://docs.google.com/spreadsheets/d/17P34_Ow5kFBfdQD0qspb2UuPX5zpi6WMrQzslghyvrI/edit?usp=sharing"",""สกลนคร!I369"")"),1432)</f>
        <v>1432</v>
      </c>
      <c r="W45" s="152">
        <f ca="1">IFERROR(__xludf.DUMMYFUNCTION("IMPORTRANGE(""https://docs.google.com/spreadsheets/d/17P34_Ow5kFBfdQD0qspb2UuPX5zpi6WMrQzslghyvrI/edit?usp=sharing"",""สกลนคร!J369"")"),1271)</f>
        <v>1271</v>
      </c>
      <c r="X45" s="357">
        <f ca="1">IFERROR(__xludf.DUMMYFUNCTION("IMPORTRANGE(""https://docs.google.com/spreadsheets/d/17P34_Ow5kFBfdQD0qspb2UuPX5zpi6WMrQzslghyvrI/edit?usp=sharing"",""สกลนคร!J370"")"),12414.29)</f>
        <v>12414.29</v>
      </c>
      <c r="Y45" s="216">
        <f t="shared" ca="1" si="55"/>
        <v>88.756983240223462</v>
      </c>
      <c r="Z45" s="149">
        <f ca="1">IFERROR(__xludf.DUMMYFUNCTION("IMPORTRANGE(""https://docs.google.com/spreadsheets/d/17P34_Ow5kFBfdQD0qspb2UuPX5zpi6WMrQzslghyvrI/edit?usp=sharing"",""สกลนคร!I371"")"),1432)</f>
        <v>1432</v>
      </c>
      <c r="AA45" s="152">
        <f ca="1">IFERROR(__xludf.DUMMYFUNCTION("IMPORTRANGE(""https://docs.google.com/spreadsheets/d/17P34_Ow5kFBfdQD0qspb2UuPX5zpi6WMrQzslghyvrI/edit?usp=sharing"",""สกลนคร!J371"")"),1089)</f>
        <v>1089</v>
      </c>
      <c r="AB45" s="357">
        <f ca="1">IFERROR(__xludf.DUMMYFUNCTION("IMPORTRANGE(""https://docs.google.com/spreadsheets/d/17P34_Ow5kFBfdQD0qspb2UuPX5zpi6WMrQzslghyvrI/edit?usp=sharing"",""สกลนคร!J372"")"),10957.44)</f>
        <v>10957.44</v>
      </c>
      <c r="AC45" s="216">
        <f t="shared" ca="1" si="57"/>
        <v>76.047486033519547</v>
      </c>
      <c r="AD45" s="358">
        <f ca="1">IFERROR(__xludf.DUMMYFUNCTION("IMPORTRANGE(""https://docs.google.com/spreadsheets/d/1eHaY18a8A9IcSdp1K8H6x8fbOy06t2VsZHhMHf-1x7Y/edit?usp=sharing"",""แผน!EM45"")"),1120)</f>
        <v>1120</v>
      </c>
      <c r="AE45" s="151">
        <f ca="1">IFERROR(__xludf.DUMMYFUNCTION("IMPORTRANGE(""https://docs.google.com/spreadsheets/d/1tdoBKaGub7dwA3U6UFTqxio9LNnvDCQjHKmttSEBsFQ/edit?usp=sharing"",""จัดที่ดิน!E45"")"),132)</f>
        <v>132</v>
      </c>
      <c r="AF45" s="67">
        <f ca="1">IFERROR(__xludf.DUMMYFUNCTION("IMPORTRANGE(""https://docs.google.com/spreadsheets/d/1tdoBKaGub7dwA3U6UFTqxio9LNnvDCQjHKmttSEBsFQ/edit?usp=sharing"",""จัดที่ดิน!F45"")"),1083.15)</f>
        <v>1083.1500000000001</v>
      </c>
      <c r="AG45" s="68">
        <f t="shared" ca="1" si="59"/>
        <v>96.709821428571445</v>
      </c>
      <c r="AH45" s="358">
        <f ca="1">IFERROR(__xludf.DUMMYFUNCTION("IMPORTRANGE(""https://docs.google.com/spreadsheets/d/1eHaY18a8A9IcSdp1K8H6x8fbOy06t2VsZHhMHf-1x7Y/edit?usp=sharing"",""แผน!EN45"")"),112)</f>
        <v>112</v>
      </c>
      <c r="AI45" s="151">
        <f ca="1">IFERROR(__xludf.DUMMYFUNCTION("IMPORTRANGE(""https://docs.google.com/spreadsheets/d/1tdoBKaGub7dwA3U6UFTqxio9LNnvDCQjHKmttSEBsFQ/edit?usp=sharing"",""จัดที่ดิน!G45"")"),74)</f>
        <v>74</v>
      </c>
      <c r="AJ45" s="67">
        <f ca="1">IFERROR(__xludf.DUMMYFUNCTION("IMPORTRANGE(""https://docs.google.com/spreadsheets/d/1tdoBKaGub7dwA3U6UFTqxio9LNnvDCQjHKmttSEBsFQ/edit?usp=sharing"",""จัดที่ดิน!H45"")"),425.26)</f>
        <v>425.26</v>
      </c>
      <c r="AK45" s="68">
        <f t="shared" ca="1" si="61"/>
        <v>66.071428571428569</v>
      </c>
      <c r="AL45" s="358">
        <f ca="1">IFERROR(__xludf.DUMMYFUNCTION("IMPORTRANGE(""https://docs.google.com/spreadsheets/d/1eHaY18a8A9IcSdp1K8H6x8fbOy06t2VsZHhMHf-1x7Y/edit?usp=sharing"",""แผน!EN45"")"),112)</f>
        <v>112</v>
      </c>
      <c r="AM45" s="151">
        <f ca="1">IFERROR(__xludf.DUMMYFUNCTION("IMPORTRANGE(""https://docs.google.com/spreadsheets/d/1tdoBKaGub7dwA3U6UFTqxio9LNnvDCQjHKmttSEBsFQ/edit?usp=sharing"",""จัดที่ดิน!I45"")"),83)</f>
        <v>83</v>
      </c>
      <c r="AN45" s="67">
        <f ca="1">IFERROR(__xludf.DUMMYFUNCTION("IMPORTRANGE(""https://docs.google.com/spreadsheets/d/1tdoBKaGub7dwA3U6UFTqxio9LNnvDCQjHKmttSEBsFQ/edit?usp=sharing"",""จัดที่ดิน!J45"")"),489.85)</f>
        <v>489.85</v>
      </c>
      <c r="AO45" s="68">
        <f t="shared" ca="1" si="63"/>
        <v>74.107142857142861</v>
      </c>
      <c r="AP45" s="359">
        <f ca="1">IFERROR(__xludf.DUMMYFUNCTION("IMPORTRANGE(""https://docs.google.com/spreadsheets/d/1eHaY18a8A9IcSdp1K8H6x8fbOy06t2VsZHhMHf-1x7Y/edit?usp=sharing"",""แผน!EO45"")"),4000)</f>
        <v>4000</v>
      </c>
      <c r="AQ45" s="151">
        <f ca="1">IFERROR(__xludf.DUMMYFUNCTION("IMPORTRANGE(""https://docs.google.com/spreadsheets/d/1tdoBKaGub7dwA3U6UFTqxio9LNnvDCQjHKmttSEBsFQ/edit?usp=sharing"",""แบ่งแปลง!D43"")"),541)</f>
        <v>541</v>
      </c>
      <c r="AR45" s="67">
        <f ca="1">IFERROR(__xludf.DUMMYFUNCTION("IMPORTRANGE(""https://docs.google.com/spreadsheets/d/1tdoBKaGub7dwA3U6UFTqxio9LNnvDCQjHKmttSEBsFQ/edit?usp=sharing"",""แบ่งแปลง!F43"")"),3717.65)</f>
        <v>3717.65</v>
      </c>
      <c r="AS45" s="68">
        <f t="shared" ca="1" si="65"/>
        <v>92.941249999999997</v>
      </c>
      <c r="AT45" s="359">
        <f ca="1">IFERROR(__xludf.DUMMYFUNCTION("IMPORTRANGE(""https://docs.google.com/spreadsheets/d/1eHaY18a8A9IcSdp1K8H6x8fbOy06t2VsZHhMHf-1x7Y/edit?usp=sharing"",""แผน!EP45"")"),800)</f>
        <v>800</v>
      </c>
      <c r="AU45" s="151">
        <f ca="1">IFERROR(__xludf.DUMMYFUNCTION("IMPORTRANGE(""https://docs.google.com/spreadsheets/d/1tdoBKaGub7dwA3U6UFTqxio9LNnvDCQjHKmttSEBsFQ/edit?usp=sharing"",""แบ่งแปลง!I43"")"),531)</f>
        <v>531</v>
      </c>
      <c r="AV45" s="67">
        <f ca="1">IFERROR(__xludf.DUMMYFUNCTION("IMPORTRANGE(""https://docs.google.com/spreadsheets/d/1tdoBKaGub7dwA3U6UFTqxio9LNnvDCQjHKmttSEBsFQ/edit?usp=sharing"",""แบ่งแปลง!K43"")"),3617.78)</f>
        <v>3617.78</v>
      </c>
      <c r="AW45" s="68">
        <f t="shared" ca="1" si="67"/>
        <v>66.375</v>
      </c>
      <c r="AX45" s="359">
        <f ca="1">IFERROR(__xludf.DUMMYFUNCTION("IMPORTRANGE(""https://docs.google.com/spreadsheets/d/1eHaY18a8A9IcSdp1K8H6x8fbOy06t2VsZHhMHf-1x7Y/edit?usp=sharing"",""แผน!EP45"")"),800)</f>
        <v>800</v>
      </c>
      <c r="AY45" s="151">
        <f ca="1">IFERROR(__xludf.DUMMYFUNCTION("IMPORTRANGE(""https://docs.google.com/spreadsheets/d/1tdoBKaGub7dwA3U6UFTqxio9LNnvDCQjHKmttSEBsFQ/edit?usp=sharing"",""แบ่งแปลง!X43"")"),355)</f>
        <v>355</v>
      </c>
      <c r="AZ45" s="67">
        <f ca="1">IFERROR(__xludf.DUMMYFUNCTION("IMPORTRANGE(""https://docs.google.com/spreadsheets/d/1tdoBKaGub7dwA3U6UFTqxio9LNnvDCQjHKmttSEBsFQ/edit?usp=sharing"",""แบ่งแปลง!Z43"")"),2360.91)</f>
        <v>2360.91</v>
      </c>
      <c r="BA45" s="68">
        <f t="shared" ca="1" si="69"/>
        <v>44.375</v>
      </c>
      <c r="BB45" s="360">
        <f ca="1">IFERROR(__xludf.DUMMYFUNCTION("IMPORTRANGE(""https://docs.google.com/spreadsheets/d/1eHaY18a8A9IcSdp1K8H6x8fbOy06t2VsZHhMHf-1x7Y/edit?usp=sharing"",""แผน!ES45"")"),520)</f>
        <v>520</v>
      </c>
      <c r="BC45" s="151">
        <f ca="1">IFERROR(__xludf.DUMMYFUNCTION("IMPORTRANGE(""https://docs.google.com/spreadsheets/d/1tdoBKaGub7dwA3U6UFTqxio9LNnvDCQjHKmttSEBsFQ/edit?usp=sharing"",""เต็มแปลง!I43"")"),673)</f>
        <v>673</v>
      </c>
      <c r="BD45" s="67">
        <f ca="1">IFERROR(__xludf.DUMMYFUNCTION("IMPORTRANGE(""https://docs.google.com/spreadsheets/d/1tdoBKaGub7dwA3U6UFTqxio9LNnvDCQjHKmttSEBsFQ/edit?usp=sharing"",""เต็มแปลง!K43"")"),8371.25)</f>
        <v>8371.25</v>
      </c>
      <c r="BE45" s="68">
        <f t="shared" ca="1" si="71"/>
        <v>129.42307692307693</v>
      </c>
      <c r="BF45" s="360">
        <f ca="1">IFERROR(__xludf.DUMMYFUNCTION("IMPORTRANGE(""https://docs.google.com/spreadsheets/d/1eHaY18a8A9IcSdp1K8H6x8fbOy06t2VsZHhMHf-1x7Y/edit?usp=sharing"",""แผน!ES45"")"),520)</f>
        <v>520</v>
      </c>
      <c r="BG45" s="151">
        <f ca="1">IFERROR(__xludf.DUMMYFUNCTION("IMPORTRANGE(""https://docs.google.com/spreadsheets/d/1tdoBKaGub7dwA3U6UFTqxio9LNnvDCQjHKmttSEBsFQ/edit?usp=sharing"",""เต็มแปลง!S43"")"),658)</f>
        <v>658</v>
      </c>
      <c r="BH45" s="67">
        <f ca="1">IFERROR(__xludf.DUMMYFUNCTION("IMPORTRANGE(""https://docs.google.com/spreadsheets/d/1tdoBKaGub7dwA3U6UFTqxio9LNnvDCQjHKmttSEBsFQ/edit?usp=sharing"",""เต็มแปลง!U43"")"),8106.68)</f>
        <v>8106.68</v>
      </c>
      <c r="BI45" s="68">
        <f t="shared" ca="1" si="73"/>
        <v>126.53846153846153</v>
      </c>
      <c r="BJ45" s="339"/>
    </row>
    <row r="46" spans="1:62" ht="21" customHeight="1" x14ac:dyDescent="0.3">
      <c r="A46" s="147">
        <v>15</v>
      </c>
      <c r="B46" s="148" t="s">
        <v>74</v>
      </c>
      <c r="C46" s="149">
        <f t="shared" ca="1" si="44"/>
        <v>1361460</v>
      </c>
      <c r="D46" s="150">
        <f t="shared" ca="1" si="87"/>
        <v>1361460</v>
      </c>
      <c r="E46" s="151">
        <f ca="1">IFERROR(__xludf.DUMMYFUNCTION("IMPORTRANGE(""https://docs.google.com/spreadsheets/d/1-uDff_7J0KD5mKrp0Vvzr7lt3OU09vwQwhkpOPPYv2Y/edit?usp=sharing"",""งบพรบ!FD46"")"),575800)</f>
        <v>575800</v>
      </c>
      <c r="F46" s="151">
        <f ca="1">IFERROR(__xludf.DUMMYFUNCTION("IMPORTRANGE(""https://docs.google.com/spreadsheets/d/1-uDff_7J0KD5mKrp0Vvzr7lt3OU09vwQwhkpOPPYv2Y/edit?usp=sharing"",""งบพรบ!FE46"")"),785660)</f>
        <v>785660</v>
      </c>
      <c r="G46" s="151">
        <f ca="1">IFERROR(__xludf.DUMMYFUNCTION("IMPORTRANGE(""https://docs.google.com/spreadsheets/d/1-uDff_7J0KD5mKrp0Vvzr7lt3OU09vwQwhkpOPPYv2Y/edit?usp=sharing"",""งบพรบ!FF46"")"),0)</f>
        <v>0</v>
      </c>
      <c r="H46" s="151">
        <f ca="1">IFERROR(__xludf.DUMMYFUNCTION("IMPORTRANGE(""https://docs.google.com/spreadsheets/d/1-uDff_7J0KD5mKrp0Vvzr7lt3OU09vwQwhkpOPPYv2Y/edit?usp=sharing"",""งบพรบ!FH46"")"),1539010)</f>
        <v>1539010</v>
      </c>
      <c r="I46" s="151">
        <f ca="1">IFERROR(__xludf.DUMMYFUNCTION("IMPORTRANGE(""https://docs.google.com/spreadsheets/d/1-uDff_7J0KD5mKrp0Vvzr7lt3OU09vwQwhkpOPPYv2Y/edit?usp=sharing"",""งบพรบ!FI46"")"),0)</f>
        <v>0</v>
      </c>
      <c r="J46" s="151">
        <f t="shared" ca="1" si="46"/>
        <v>1129955.52</v>
      </c>
      <c r="K46" s="154">
        <f t="shared" ca="1" si="47"/>
        <v>82.995866202459126</v>
      </c>
      <c r="L46" s="151">
        <f ca="1">IFERROR(__xludf.DUMMYFUNCTION("IMPORTRANGE(""https://docs.google.com/spreadsheets/d/1-uDff_7J0KD5mKrp0Vvzr7lt3OU09vwQwhkpOPPYv2Y/edit?usp=sharing"",""งบพรบ!FJ46"")"),1129955.52)</f>
        <v>1129955.52</v>
      </c>
      <c r="M46" s="68">
        <f t="shared" ca="1" si="48"/>
        <v>82.995866202459126</v>
      </c>
      <c r="N46" s="68">
        <f t="shared" ca="1" si="49"/>
        <v>73.420934236944532</v>
      </c>
      <c r="O46" s="67">
        <f ca="1">IFERROR(__xludf.DUMMYFUNCTION("IMPORTRANGE(""https://docs.google.com/spreadsheets/d/1-uDff_7J0KD5mKrp0Vvzr7lt3OU09vwQwhkpOPPYv2Y/edit?usp=sharing"",""งบพรบ!FK46"")"),0)</f>
        <v>0</v>
      </c>
      <c r="P46" s="67">
        <f t="shared" ca="1" si="50"/>
        <v>0</v>
      </c>
      <c r="Q46" s="68">
        <f t="shared" ca="1" si="51"/>
        <v>0</v>
      </c>
      <c r="R46" s="149">
        <f ca="1">IFERROR(__xludf.DUMMYFUNCTION("IMPORTRANGE(""https://docs.google.com/spreadsheets/d/1yswqbM3-AEpThF3ZSUa1AcmHnmRTF1vlJ1CZGcJ8YuU/edit?usp=sharing"",""สุรินทร์!I368"")"),1915)</f>
        <v>1915</v>
      </c>
      <c r="S46" s="152">
        <f ca="1">IFERROR(__xludf.DUMMYFUNCTION("IMPORTRANGE(""https://docs.google.com/spreadsheets/d/1yswqbM3-AEpThF3ZSUa1AcmHnmRTF1vlJ1CZGcJ8YuU/edit?usp=sharing"",""สุรินทร์!J367"")"),341)</f>
        <v>341</v>
      </c>
      <c r="T46" s="357">
        <f ca="1">IFERROR(__xludf.DUMMYFUNCTION("IMPORTRANGE(""https://docs.google.com/spreadsheets/d/1yswqbM3-AEpThF3ZSUa1AcmHnmRTF1vlJ1CZGcJ8YuU/edit?usp=sharing"",""สุรินทร์!J368"")"),2188.50999999999)</f>
        <v>2188.5099999999902</v>
      </c>
      <c r="U46" s="216">
        <f t="shared" ca="1" si="53"/>
        <v>114.28250652741463</v>
      </c>
      <c r="V46" s="149">
        <f ca="1">IFERROR(__xludf.DUMMYFUNCTION("IMPORTRANGE(""https://docs.google.com/spreadsheets/d/1yswqbM3-AEpThF3ZSUa1AcmHnmRTF1vlJ1CZGcJ8YuU/edit?usp=sharing"",""สุรินทร์!I369"")"),410)</f>
        <v>410</v>
      </c>
      <c r="W46" s="152">
        <f ca="1">IFERROR(__xludf.DUMMYFUNCTION("IMPORTRANGE(""https://docs.google.com/spreadsheets/d/1yswqbM3-AEpThF3ZSUa1AcmHnmRTF1vlJ1CZGcJ8YuU/edit?usp=sharing"",""สุรินทร์!J369"")"),379)</f>
        <v>379</v>
      </c>
      <c r="X46" s="357">
        <f ca="1">IFERROR(__xludf.DUMMYFUNCTION("IMPORTRANGE(""https://docs.google.com/spreadsheets/d/1yswqbM3-AEpThF3ZSUa1AcmHnmRTF1vlJ1CZGcJ8YuU/edit?usp=sharing"",""สุรินทร์!J370"")"),3266.29)</f>
        <v>3266.29</v>
      </c>
      <c r="Y46" s="216">
        <f t="shared" ca="1" si="55"/>
        <v>92.439024390243901</v>
      </c>
      <c r="Z46" s="149">
        <f ca="1">IFERROR(__xludf.DUMMYFUNCTION("IMPORTRANGE(""https://docs.google.com/spreadsheets/d/1yswqbM3-AEpThF3ZSUa1AcmHnmRTF1vlJ1CZGcJ8YuU/edit?usp=sharing"",""สุรินทร์!I371"")"),410)</f>
        <v>410</v>
      </c>
      <c r="AA46" s="152">
        <f ca="1">IFERROR(__xludf.DUMMYFUNCTION("IMPORTRANGE(""https://docs.google.com/spreadsheets/d/1yswqbM3-AEpThF3ZSUa1AcmHnmRTF1vlJ1CZGcJ8YuU/edit?usp=sharing"",""สุรินทร์!J371"")"),207)</f>
        <v>207</v>
      </c>
      <c r="AB46" s="357">
        <f ca="1">IFERROR(__xludf.DUMMYFUNCTION("IMPORTRANGE(""https://docs.google.com/spreadsheets/d/1yswqbM3-AEpThF3ZSUa1AcmHnmRTF1vlJ1CZGcJ8YuU/edit?usp=sharing"",""สุรินทร์!J372"")"),1867.13)</f>
        <v>1867.13</v>
      </c>
      <c r="AC46" s="216">
        <f t="shared" ca="1" si="57"/>
        <v>50.487804878048777</v>
      </c>
      <c r="AD46" s="358">
        <f ca="1">IFERROR(__xludf.DUMMYFUNCTION("IMPORTRANGE(""https://docs.google.com/spreadsheets/d/1eHaY18a8A9IcSdp1K8H6x8fbOy06t2VsZHhMHf-1x7Y/edit?usp=sharing"",""แผน!EM46"")"),450)</f>
        <v>450</v>
      </c>
      <c r="AE46" s="151">
        <f ca="1">IFERROR(__xludf.DUMMYFUNCTION("IMPORTRANGE(""https://docs.google.com/spreadsheets/d/1tdoBKaGub7dwA3U6UFTqxio9LNnvDCQjHKmttSEBsFQ/edit?usp=sharing"",""จัดที่ดิน!E46"")"),116)</f>
        <v>116</v>
      </c>
      <c r="AF46" s="67">
        <f ca="1">IFERROR(__xludf.DUMMYFUNCTION("IMPORTRANGE(""https://docs.google.com/spreadsheets/d/1tdoBKaGub7dwA3U6UFTqxio9LNnvDCQjHKmttSEBsFQ/edit?usp=sharing"",""จัดที่ดิน!F46"")"),551.16)</f>
        <v>551.16</v>
      </c>
      <c r="AG46" s="68">
        <f t="shared" ca="1" si="59"/>
        <v>122.48</v>
      </c>
      <c r="AH46" s="358">
        <f ca="1">IFERROR(__xludf.DUMMYFUNCTION("IMPORTRANGE(""https://docs.google.com/spreadsheets/d/1eHaY18a8A9IcSdp1K8H6x8fbOy06t2VsZHhMHf-1x7Y/edit?usp=sharing"",""แผน!EN46"")"),45)</f>
        <v>45</v>
      </c>
      <c r="AI46" s="151">
        <f ca="1">IFERROR(__xludf.DUMMYFUNCTION("IMPORTRANGE(""https://docs.google.com/spreadsheets/d/1tdoBKaGub7dwA3U6UFTqxio9LNnvDCQjHKmttSEBsFQ/edit?usp=sharing"",""จัดที่ดิน!G46"")"),1)</f>
        <v>1</v>
      </c>
      <c r="AJ46" s="67">
        <f ca="1">IFERROR(__xludf.DUMMYFUNCTION("IMPORTRANGE(""https://docs.google.com/spreadsheets/d/1tdoBKaGub7dwA3U6UFTqxio9LNnvDCQjHKmttSEBsFQ/edit?usp=sharing"",""จัดที่ดิน!H46"")"),10.86)</f>
        <v>10.86</v>
      </c>
      <c r="AK46" s="68">
        <f t="shared" ca="1" si="61"/>
        <v>2.2222222222222223</v>
      </c>
      <c r="AL46" s="358">
        <f ca="1">IFERROR(__xludf.DUMMYFUNCTION("IMPORTRANGE(""https://docs.google.com/spreadsheets/d/1eHaY18a8A9IcSdp1K8H6x8fbOy06t2VsZHhMHf-1x7Y/edit?usp=sharing"",""แผน!EN46"")"),45)</f>
        <v>45</v>
      </c>
      <c r="AM46" s="151">
        <f ca="1">IFERROR(__xludf.DUMMYFUNCTION("IMPORTRANGE(""https://docs.google.com/spreadsheets/d/1tdoBKaGub7dwA3U6UFTqxio9LNnvDCQjHKmttSEBsFQ/edit?usp=sharing"",""จัดที่ดิน!I46"")"),0)</f>
        <v>0</v>
      </c>
      <c r="AN46" s="67">
        <f ca="1">IFERROR(__xludf.DUMMYFUNCTION("IMPORTRANGE(""https://docs.google.com/spreadsheets/d/1tdoBKaGub7dwA3U6UFTqxio9LNnvDCQjHKmttSEBsFQ/edit?usp=sharing"",""จัดที่ดิน!J46"")"),0)</f>
        <v>0</v>
      </c>
      <c r="AO46" s="68">
        <f t="shared" ca="1" si="63"/>
        <v>0</v>
      </c>
      <c r="AP46" s="359">
        <f ca="1">IFERROR(__xludf.DUMMYFUNCTION("IMPORTRANGE(""https://docs.google.com/spreadsheets/d/1eHaY18a8A9IcSdp1K8H6x8fbOy06t2VsZHhMHf-1x7Y/edit?usp=sharing"",""แผน!EO46"")"),1465)</f>
        <v>1465</v>
      </c>
      <c r="AQ46" s="151">
        <f ca="1">IFERROR(__xludf.DUMMYFUNCTION("IMPORTRANGE(""https://docs.google.com/spreadsheets/d/1tdoBKaGub7dwA3U6UFTqxio9LNnvDCQjHKmttSEBsFQ/edit?usp=sharing"",""แบ่งแปลง!D44"")"),225)</f>
        <v>225</v>
      </c>
      <c r="AR46" s="67">
        <f ca="1">IFERROR(__xludf.DUMMYFUNCTION("IMPORTRANGE(""https://docs.google.com/spreadsheets/d/1tdoBKaGub7dwA3U6UFTqxio9LNnvDCQjHKmttSEBsFQ/edit?usp=sharing"",""แบ่งแปลง!F44"")"),1637.35)</f>
        <v>1637.35</v>
      </c>
      <c r="AS46" s="68">
        <f t="shared" ca="1" si="65"/>
        <v>111.76450511945393</v>
      </c>
      <c r="AT46" s="359">
        <f ca="1">IFERROR(__xludf.DUMMYFUNCTION("IMPORTRANGE(""https://docs.google.com/spreadsheets/d/1eHaY18a8A9IcSdp1K8H6x8fbOy06t2VsZHhMHf-1x7Y/edit?usp=sharing"",""แผน!EP46"")"),160)</f>
        <v>160</v>
      </c>
      <c r="AU46" s="151">
        <f ca="1">IFERROR(__xludf.DUMMYFUNCTION("IMPORTRANGE(""https://docs.google.com/spreadsheets/d/1tdoBKaGub7dwA3U6UFTqxio9LNnvDCQjHKmttSEBsFQ/edit?usp=sharing"",""แบ่งแปลง!I44"")"),96)</f>
        <v>96</v>
      </c>
      <c r="AV46" s="67">
        <f ca="1">IFERROR(__xludf.DUMMYFUNCTION("IMPORTRANGE(""https://docs.google.com/spreadsheets/d/1tdoBKaGub7dwA3U6UFTqxio9LNnvDCQjHKmttSEBsFQ/edit?usp=sharing"",""แบ่งแปลง!K44"")"),675.48)</f>
        <v>675.48</v>
      </c>
      <c r="AW46" s="68">
        <f t="shared" ca="1" si="67"/>
        <v>60</v>
      </c>
      <c r="AX46" s="359">
        <f ca="1">IFERROR(__xludf.DUMMYFUNCTION("IMPORTRANGE(""https://docs.google.com/spreadsheets/d/1eHaY18a8A9IcSdp1K8H6x8fbOy06t2VsZHhMHf-1x7Y/edit?usp=sharing"",""แผน!EP46"")"),160)</f>
        <v>160</v>
      </c>
      <c r="AY46" s="151">
        <f ca="1">IFERROR(__xludf.DUMMYFUNCTION("IMPORTRANGE(""https://docs.google.com/spreadsheets/d/1tdoBKaGub7dwA3U6UFTqxio9LNnvDCQjHKmttSEBsFQ/edit?usp=sharing"",""แบ่งแปลง!X44"")"),2)</f>
        <v>2</v>
      </c>
      <c r="AZ46" s="67">
        <f ca="1">IFERROR(__xludf.DUMMYFUNCTION("IMPORTRANGE(""https://docs.google.com/spreadsheets/d/1tdoBKaGub7dwA3U6UFTqxio9LNnvDCQjHKmttSEBsFQ/edit?usp=sharing"",""แบ่งแปลง!Z44"")"),18.92)</f>
        <v>18.920000000000002</v>
      </c>
      <c r="BA46" s="68">
        <f t="shared" ca="1" si="69"/>
        <v>1.25</v>
      </c>
      <c r="BB46" s="360">
        <f ca="1">IFERROR(__xludf.DUMMYFUNCTION("IMPORTRANGE(""https://docs.google.com/spreadsheets/d/1eHaY18a8A9IcSdp1K8H6x8fbOy06t2VsZHhMHf-1x7Y/edit?usp=sharing"",""แผน!ES46"")"),205)</f>
        <v>205</v>
      </c>
      <c r="BC46" s="151">
        <f ca="1">IFERROR(__xludf.DUMMYFUNCTION("IMPORTRANGE(""https://docs.google.com/spreadsheets/d/1tdoBKaGub7dwA3U6UFTqxio9LNnvDCQjHKmttSEBsFQ/edit?usp=sharing"",""เต็มแปลง!I44"")"),282)</f>
        <v>282</v>
      </c>
      <c r="BD46" s="67">
        <f ca="1">IFERROR(__xludf.DUMMYFUNCTION("IMPORTRANGE(""https://docs.google.com/spreadsheets/d/1tdoBKaGub7dwA3U6UFTqxio9LNnvDCQjHKmttSEBsFQ/edit?usp=sharing"",""เต็มแปลง!K44"")"),2579.95)</f>
        <v>2579.9499999999998</v>
      </c>
      <c r="BE46" s="68">
        <f t="shared" ca="1" si="71"/>
        <v>137.5609756097561</v>
      </c>
      <c r="BF46" s="360">
        <f ca="1">IFERROR(__xludf.DUMMYFUNCTION("IMPORTRANGE(""https://docs.google.com/spreadsheets/d/1eHaY18a8A9IcSdp1K8H6x8fbOy06t2VsZHhMHf-1x7Y/edit?usp=sharing"",""แผน!ES46"")"),205)</f>
        <v>205</v>
      </c>
      <c r="BG46" s="151">
        <f ca="1">IFERROR(__xludf.DUMMYFUNCTION("IMPORTRANGE(""https://docs.google.com/spreadsheets/d/1tdoBKaGub7dwA3U6UFTqxio9LNnvDCQjHKmttSEBsFQ/edit?usp=sharing"",""เต็มแปลง!S44"")"),205)</f>
        <v>205</v>
      </c>
      <c r="BH46" s="67">
        <f ca="1">IFERROR(__xludf.DUMMYFUNCTION("IMPORTRANGE(""https://docs.google.com/spreadsheets/d/1tdoBKaGub7dwA3U6UFTqxio9LNnvDCQjHKmttSEBsFQ/edit?usp=sharing"",""เต็มแปลง!U44"")"),1848.21)</f>
        <v>1848.21</v>
      </c>
      <c r="BI46" s="68">
        <f t="shared" ca="1" si="73"/>
        <v>100</v>
      </c>
      <c r="BJ46" s="339"/>
    </row>
    <row r="47" spans="1:62" ht="21" customHeight="1" x14ac:dyDescent="0.3">
      <c r="A47" s="147">
        <v>16</v>
      </c>
      <c r="B47" s="148" t="s">
        <v>75</v>
      </c>
      <c r="C47" s="149">
        <f t="shared" ca="1" si="44"/>
        <v>817460</v>
      </c>
      <c r="D47" s="150">
        <f t="shared" ca="1" si="87"/>
        <v>817460</v>
      </c>
      <c r="E47" s="151">
        <f ca="1">IFERROR(__xludf.DUMMYFUNCTION("IMPORTRANGE(""https://docs.google.com/spreadsheets/d/1-uDff_7J0KD5mKrp0Vvzr7lt3OU09vwQwhkpOPPYv2Y/edit?usp=sharing"",""งบพรบ!FD47"")"),393800)</f>
        <v>393800</v>
      </c>
      <c r="F47" s="151">
        <f ca="1">IFERROR(__xludf.DUMMYFUNCTION("IMPORTRANGE(""https://docs.google.com/spreadsheets/d/1-uDff_7J0KD5mKrp0Vvzr7lt3OU09vwQwhkpOPPYv2Y/edit?usp=sharing"",""งบพรบ!FE47"")"),423660)</f>
        <v>423660</v>
      </c>
      <c r="G47" s="151">
        <f ca="1">IFERROR(__xludf.DUMMYFUNCTION("IMPORTRANGE(""https://docs.google.com/spreadsheets/d/1-uDff_7J0KD5mKrp0Vvzr7lt3OU09vwQwhkpOPPYv2Y/edit?usp=sharing"",""งบพรบ!FF47"")"),0)</f>
        <v>0</v>
      </c>
      <c r="H47" s="151">
        <f ca="1">IFERROR(__xludf.DUMMYFUNCTION("IMPORTRANGE(""https://docs.google.com/spreadsheets/d/1-uDff_7J0KD5mKrp0Vvzr7lt3OU09vwQwhkpOPPYv2Y/edit?usp=sharing"",""งบพรบ!FH47"")"),953960)</f>
        <v>953960</v>
      </c>
      <c r="I47" s="151">
        <f ca="1">IFERROR(__xludf.DUMMYFUNCTION("IMPORTRANGE(""https://docs.google.com/spreadsheets/d/1-uDff_7J0KD5mKrp0Vvzr7lt3OU09vwQwhkpOPPYv2Y/edit?usp=sharing"",""งบพรบ!FI47"")"),0)</f>
        <v>0</v>
      </c>
      <c r="J47" s="151">
        <f t="shared" ca="1" si="46"/>
        <v>757851</v>
      </c>
      <c r="K47" s="154">
        <f t="shared" ca="1" si="47"/>
        <v>92.708022410882492</v>
      </c>
      <c r="L47" s="151">
        <f ca="1">IFERROR(__xludf.DUMMYFUNCTION("IMPORTRANGE(""https://docs.google.com/spreadsheets/d/1-uDff_7J0KD5mKrp0Vvzr7lt3OU09vwQwhkpOPPYv2Y/edit?usp=sharing"",""งบพรบ!FJ47"")"),757851)</f>
        <v>757851</v>
      </c>
      <c r="M47" s="68">
        <f t="shared" ca="1" si="48"/>
        <v>92.708022410882492</v>
      </c>
      <c r="N47" s="68">
        <f t="shared" ca="1" si="49"/>
        <v>79.442639104364957</v>
      </c>
      <c r="O47" s="67">
        <f ca="1">IFERROR(__xludf.DUMMYFUNCTION("IMPORTRANGE(""https://docs.google.com/spreadsheets/d/1-uDff_7J0KD5mKrp0Vvzr7lt3OU09vwQwhkpOPPYv2Y/edit?usp=sharing"",""งบพรบ!FK47"")"),0)</f>
        <v>0</v>
      </c>
      <c r="P47" s="67">
        <f t="shared" ca="1" si="50"/>
        <v>0</v>
      </c>
      <c r="Q47" s="68">
        <f t="shared" ca="1" si="51"/>
        <v>0</v>
      </c>
      <c r="R47" s="149">
        <f ca="1">IFERROR(__xludf.DUMMYFUNCTION("IMPORTRANGE(""https://docs.google.com/spreadsheets/d/13JHU_EFbsQOUQ0JSQ3dWy1VTRosIWcDq6Nc99z2qzdc/edit?usp=sharing"",""หนองคาย!I368"")"),1805)</f>
        <v>1805</v>
      </c>
      <c r="S47" s="152">
        <f ca="1">IFERROR(__xludf.DUMMYFUNCTION("IMPORTRANGE(""https://docs.google.com/spreadsheets/d/13JHU_EFbsQOUQ0JSQ3dWy1VTRosIWcDq6Nc99z2qzdc/edit?usp=sharing"",""หนองคาย!J367"")"),166)</f>
        <v>166</v>
      </c>
      <c r="T47" s="357">
        <f ca="1">IFERROR(__xludf.DUMMYFUNCTION("IMPORTRANGE(""https://docs.google.com/spreadsheets/d/13JHU_EFbsQOUQ0JSQ3dWy1VTRosIWcDq6Nc99z2qzdc/edit?usp=sharing"",""หนองคาย!J368"")"),1736.12)</f>
        <v>1736.12</v>
      </c>
      <c r="U47" s="216">
        <f t="shared" ca="1" si="53"/>
        <v>96.183933518005546</v>
      </c>
      <c r="V47" s="149">
        <f ca="1">IFERROR(__xludf.DUMMYFUNCTION("IMPORTRANGE(""https://docs.google.com/spreadsheets/d/13JHU_EFbsQOUQ0JSQ3dWy1VTRosIWcDq6Nc99z2qzdc/edit?usp=sharing"",""หนองคาย!I369"")"),345)</f>
        <v>345</v>
      </c>
      <c r="W47" s="152">
        <f ca="1">IFERROR(__xludf.DUMMYFUNCTION("IMPORTRANGE(""https://docs.google.com/spreadsheets/d/13JHU_EFbsQOUQ0JSQ3dWy1VTRosIWcDq6Nc99z2qzdc/edit?usp=sharing"",""หนองคาย!J369"")"),489)</f>
        <v>489</v>
      </c>
      <c r="X47" s="357">
        <f ca="1">IFERROR(__xludf.DUMMYFUNCTION("IMPORTRANGE(""https://docs.google.com/spreadsheets/d/13JHU_EFbsQOUQ0JSQ3dWy1VTRosIWcDq6Nc99z2qzdc/edit?usp=sharing"",""หนองคาย!J370"")"),7082.39)</f>
        <v>7082.39</v>
      </c>
      <c r="Y47" s="216">
        <f t="shared" ca="1" si="55"/>
        <v>141.7391304347826</v>
      </c>
      <c r="Z47" s="149">
        <f ca="1">IFERROR(__xludf.DUMMYFUNCTION("IMPORTRANGE(""https://docs.google.com/spreadsheets/d/13JHU_EFbsQOUQ0JSQ3dWy1VTRosIWcDq6Nc99z2qzdc/edit?usp=sharing"",""หนองคาย!I371"")"),345)</f>
        <v>345</v>
      </c>
      <c r="AA47" s="152">
        <f ca="1">IFERROR(__xludf.DUMMYFUNCTION("IMPORTRANGE(""https://docs.google.com/spreadsheets/d/13JHU_EFbsQOUQ0JSQ3dWy1VTRosIWcDq6Nc99z2qzdc/edit?usp=sharing"",""หนองคาย!J371"")"),327)</f>
        <v>327</v>
      </c>
      <c r="AB47" s="357">
        <f ca="1">IFERROR(__xludf.DUMMYFUNCTION("IMPORTRANGE(""https://docs.google.com/spreadsheets/d/13JHU_EFbsQOUQ0JSQ3dWy1VTRosIWcDq6Nc99z2qzdc/edit?usp=sharing"",""หนองคาย!J372"")"),5386.66)</f>
        <v>5386.66</v>
      </c>
      <c r="AC47" s="216">
        <f t="shared" ca="1" si="57"/>
        <v>94.782608695652172</v>
      </c>
      <c r="AD47" s="358">
        <f ca="1">IFERROR(__xludf.DUMMYFUNCTION("IMPORTRANGE(""https://docs.google.com/spreadsheets/d/1eHaY18a8A9IcSdp1K8H6x8fbOy06t2VsZHhMHf-1x7Y/edit?usp=sharing"",""แผน!EM47"")"),110)</f>
        <v>110</v>
      </c>
      <c r="AE47" s="151">
        <f ca="1">IFERROR(__xludf.DUMMYFUNCTION("IMPORTRANGE(""https://docs.google.com/spreadsheets/d/1tdoBKaGub7dwA3U6UFTqxio9LNnvDCQjHKmttSEBsFQ/edit?usp=sharing"",""จัดที่ดิน!E47"")"),9)</f>
        <v>9</v>
      </c>
      <c r="AF47" s="67">
        <f ca="1">IFERROR(__xludf.DUMMYFUNCTION("IMPORTRANGE(""https://docs.google.com/spreadsheets/d/1tdoBKaGub7dwA3U6UFTqxio9LNnvDCQjHKmttSEBsFQ/edit?usp=sharing"",""จัดที่ดิน!F47"")"),124.06)</f>
        <v>124.06</v>
      </c>
      <c r="AG47" s="68">
        <f t="shared" ca="1" si="59"/>
        <v>112.78181818181818</v>
      </c>
      <c r="AH47" s="358">
        <f ca="1">IFERROR(__xludf.DUMMYFUNCTION("IMPORTRANGE(""https://docs.google.com/spreadsheets/d/1eHaY18a8A9IcSdp1K8H6x8fbOy06t2VsZHhMHf-1x7Y/edit?usp=sharing"",""แผน!EN47"")"),11)</f>
        <v>11</v>
      </c>
      <c r="AI47" s="151">
        <f ca="1">IFERROR(__xludf.DUMMYFUNCTION("IMPORTRANGE(""https://docs.google.com/spreadsheets/d/1tdoBKaGub7dwA3U6UFTqxio9LNnvDCQjHKmttSEBsFQ/edit?usp=sharing"",""จัดที่ดิน!G47"")"),4)</f>
        <v>4</v>
      </c>
      <c r="AJ47" s="67">
        <f ca="1">IFERROR(__xludf.DUMMYFUNCTION("IMPORTRANGE(""https://docs.google.com/spreadsheets/d/1tdoBKaGub7dwA3U6UFTqxio9LNnvDCQjHKmttSEBsFQ/edit?usp=sharing"",""จัดที่ดิน!H47"")"),99.12)</f>
        <v>99.12</v>
      </c>
      <c r="AK47" s="68">
        <f t="shared" ca="1" si="61"/>
        <v>36.363636363636367</v>
      </c>
      <c r="AL47" s="358">
        <f ca="1">IFERROR(__xludf.DUMMYFUNCTION("IMPORTRANGE(""https://docs.google.com/spreadsheets/d/1eHaY18a8A9IcSdp1K8H6x8fbOy06t2VsZHhMHf-1x7Y/edit?usp=sharing"",""แผน!EN47"")"),11)</f>
        <v>11</v>
      </c>
      <c r="AM47" s="151">
        <f ca="1">IFERROR(__xludf.DUMMYFUNCTION("IMPORTRANGE(""https://docs.google.com/spreadsheets/d/1tdoBKaGub7dwA3U6UFTqxio9LNnvDCQjHKmttSEBsFQ/edit?usp=sharing"",""จัดที่ดิน!I47"")"),4)</f>
        <v>4</v>
      </c>
      <c r="AN47" s="67">
        <f ca="1">IFERROR(__xludf.DUMMYFUNCTION("IMPORTRANGE(""https://docs.google.com/spreadsheets/d/1tdoBKaGub7dwA3U6UFTqxio9LNnvDCQjHKmttSEBsFQ/edit?usp=sharing"",""จัดที่ดิน!J47"")"),99.12)</f>
        <v>99.12</v>
      </c>
      <c r="AO47" s="68">
        <f t="shared" ca="1" si="63"/>
        <v>36.363636363636367</v>
      </c>
      <c r="AP47" s="359">
        <f ca="1">IFERROR(__xludf.DUMMYFUNCTION("IMPORTRANGE(""https://docs.google.com/spreadsheets/d/1eHaY18a8A9IcSdp1K8H6x8fbOy06t2VsZHhMHf-1x7Y/edit?usp=sharing"",""แผน!EO47"")"),1695)</f>
        <v>1695</v>
      </c>
      <c r="AQ47" s="151">
        <f ca="1">IFERROR(__xludf.DUMMYFUNCTION("IMPORTRANGE(""https://docs.google.com/spreadsheets/d/1tdoBKaGub7dwA3U6UFTqxio9LNnvDCQjHKmttSEBsFQ/edit?usp=sharing"",""แบ่งแปลง!D45"")"),157)</f>
        <v>157</v>
      </c>
      <c r="AR47" s="67">
        <f ca="1">IFERROR(__xludf.DUMMYFUNCTION("IMPORTRANGE(""https://docs.google.com/spreadsheets/d/1tdoBKaGub7dwA3U6UFTqxio9LNnvDCQjHKmttSEBsFQ/edit?usp=sharing"",""แบ่งแปลง!F45"")"),1612.06)</f>
        <v>1612.06</v>
      </c>
      <c r="AS47" s="68">
        <f t="shared" ca="1" si="65"/>
        <v>95.106784660766962</v>
      </c>
      <c r="AT47" s="359">
        <f ca="1">IFERROR(__xludf.DUMMYFUNCTION("IMPORTRANGE(""https://docs.google.com/spreadsheets/d/1eHaY18a8A9IcSdp1K8H6x8fbOy06t2VsZHhMHf-1x7Y/edit?usp=sharing"",""แผน!EP47"")"),109)</f>
        <v>109</v>
      </c>
      <c r="AU47" s="151">
        <f ca="1">IFERROR(__xludf.DUMMYFUNCTION("IMPORTRANGE(""https://docs.google.com/spreadsheets/d/1tdoBKaGub7dwA3U6UFTqxio9LNnvDCQjHKmttSEBsFQ/edit?usp=sharing"",""แบ่งแปลง!I45"")"),157)</f>
        <v>157</v>
      </c>
      <c r="AV47" s="67">
        <f ca="1">IFERROR(__xludf.DUMMYFUNCTION("IMPORTRANGE(""https://docs.google.com/spreadsheets/d/1tdoBKaGub7dwA3U6UFTqxio9LNnvDCQjHKmttSEBsFQ/edit?usp=sharing"",""แบ่งแปลง!K45"")"),1612.06)</f>
        <v>1612.06</v>
      </c>
      <c r="AW47" s="68">
        <f t="shared" ca="1" si="67"/>
        <v>144.03669724770643</v>
      </c>
      <c r="AX47" s="359">
        <f ca="1">IFERROR(__xludf.DUMMYFUNCTION("IMPORTRANGE(""https://docs.google.com/spreadsheets/d/1eHaY18a8A9IcSdp1K8H6x8fbOy06t2VsZHhMHf-1x7Y/edit?usp=sharing"",""แผน!EP47"")"),109)</f>
        <v>109</v>
      </c>
      <c r="AY47" s="151">
        <f ca="1">IFERROR(__xludf.DUMMYFUNCTION("IMPORTRANGE(""https://docs.google.com/spreadsheets/d/1tdoBKaGub7dwA3U6UFTqxio9LNnvDCQjHKmttSEBsFQ/edit?usp=sharing"",""แบ่งแปลง!X45"")"),0)</f>
        <v>0</v>
      </c>
      <c r="AZ47" s="67">
        <f ca="1">IFERROR(__xludf.DUMMYFUNCTION("IMPORTRANGE(""https://docs.google.com/spreadsheets/d/1tdoBKaGub7dwA3U6UFTqxio9LNnvDCQjHKmttSEBsFQ/edit?usp=sharing"",""แบ่งแปลง!Z45"")"),0)</f>
        <v>0</v>
      </c>
      <c r="BA47" s="68">
        <f t="shared" ca="1" si="69"/>
        <v>0</v>
      </c>
      <c r="BB47" s="360">
        <f ca="1">IFERROR(__xludf.DUMMYFUNCTION("IMPORTRANGE(""https://docs.google.com/spreadsheets/d/1eHaY18a8A9IcSdp1K8H6x8fbOy06t2VsZHhMHf-1x7Y/edit?usp=sharing"",""แผน!ES47"")"),225)</f>
        <v>225</v>
      </c>
      <c r="BC47" s="151">
        <f ca="1">IFERROR(__xludf.DUMMYFUNCTION("IMPORTRANGE(""https://docs.google.com/spreadsheets/d/1tdoBKaGub7dwA3U6UFTqxio9LNnvDCQjHKmttSEBsFQ/edit?usp=sharing"",""เต็มแปลง!I45"")"),329)</f>
        <v>329</v>
      </c>
      <c r="BD47" s="67">
        <f ca="1">IFERROR(__xludf.DUMMYFUNCTION("IMPORTRANGE(""https://docs.google.com/spreadsheets/d/1tdoBKaGub7dwA3U6UFTqxio9LNnvDCQjHKmttSEBsFQ/edit?usp=sharing"",""เต็มแปลง!K45"")"),5371.21)</f>
        <v>5371.21</v>
      </c>
      <c r="BE47" s="68">
        <f t="shared" ca="1" si="71"/>
        <v>146.22222222222223</v>
      </c>
      <c r="BF47" s="360">
        <f ca="1">IFERROR(__xludf.DUMMYFUNCTION("IMPORTRANGE(""https://docs.google.com/spreadsheets/d/1eHaY18a8A9IcSdp1K8H6x8fbOy06t2VsZHhMHf-1x7Y/edit?usp=sharing"",""แผน!ES47"")"),225)</f>
        <v>225</v>
      </c>
      <c r="BG47" s="151">
        <f ca="1">IFERROR(__xludf.DUMMYFUNCTION("IMPORTRANGE(""https://docs.google.com/spreadsheets/d/1tdoBKaGub7dwA3U6UFTqxio9LNnvDCQjHKmttSEBsFQ/edit?usp=sharing"",""เต็มแปลง!S45"")"),323)</f>
        <v>323</v>
      </c>
      <c r="BH47" s="67">
        <f ca="1">IFERROR(__xludf.DUMMYFUNCTION("IMPORTRANGE(""https://docs.google.com/spreadsheets/d/1tdoBKaGub7dwA3U6UFTqxio9LNnvDCQjHKmttSEBsFQ/edit?usp=sharing"",""เต็มแปลง!U45"")"),5287.54)</f>
        <v>5287.54</v>
      </c>
      <c r="BI47" s="68">
        <f t="shared" ca="1" si="73"/>
        <v>143.55555555555554</v>
      </c>
      <c r="BJ47" s="339"/>
    </row>
    <row r="48" spans="1:62" ht="21" customHeight="1" x14ac:dyDescent="0.3">
      <c r="A48" s="147">
        <v>17</v>
      </c>
      <c r="B48" s="148" t="s">
        <v>76</v>
      </c>
      <c r="C48" s="149">
        <f t="shared" ca="1" si="44"/>
        <v>983060</v>
      </c>
      <c r="D48" s="150">
        <f t="shared" ca="1" si="87"/>
        <v>983060</v>
      </c>
      <c r="E48" s="151">
        <f ca="1">IFERROR(__xludf.DUMMYFUNCTION("IMPORTRANGE(""https://docs.google.com/spreadsheets/d/1-uDff_7J0KD5mKrp0Vvzr7lt3OU09vwQwhkpOPPYv2Y/edit?usp=sharing"",""งบพรบ!FD48"")"),341300)</f>
        <v>341300</v>
      </c>
      <c r="F48" s="151">
        <f ca="1">IFERROR(__xludf.DUMMYFUNCTION("IMPORTRANGE(""https://docs.google.com/spreadsheets/d/1-uDff_7J0KD5mKrp0Vvzr7lt3OU09vwQwhkpOPPYv2Y/edit?usp=sharing"",""งบพรบ!FE48"")"),641760)</f>
        <v>641760</v>
      </c>
      <c r="G48" s="151">
        <f ca="1">IFERROR(__xludf.DUMMYFUNCTION("IMPORTRANGE(""https://docs.google.com/spreadsheets/d/1-uDff_7J0KD5mKrp0Vvzr7lt3OU09vwQwhkpOPPYv2Y/edit?usp=sharing"",""งบพรบ!FF48"")"),0)</f>
        <v>0</v>
      </c>
      <c r="H48" s="151">
        <f ca="1">IFERROR(__xludf.DUMMYFUNCTION("IMPORTRANGE(""https://docs.google.com/spreadsheets/d/1-uDff_7J0KD5mKrp0Vvzr7lt3OU09vwQwhkpOPPYv2Y/edit?usp=sharing"",""งบพรบ!FH48"")"),1110980)</f>
        <v>1110980</v>
      </c>
      <c r="I48" s="151">
        <f ca="1">IFERROR(__xludf.DUMMYFUNCTION("IMPORTRANGE(""https://docs.google.com/spreadsheets/d/1-uDff_7J0KD5mKrp0Vvzr7lt3OU09vwQwhkpOPPYv2Y/edit?usp=sharing"",""งบพรบ!FI48"")"),0)</f>
        <v>0</v>
      </c>
      <c r="J48" s="151">
        <f t="shared" ca="1" si="46"/>
        <v>805091.72</v>
      </c>
      <c r="K48" s="154">
        <f t="shared" ca="1" si="47"/>
        <v>81.896498687770844</v>
      </c>
      <c r="L48" s="151">
        <f ca="1">IFERROR(__xludf.DUMMYFUNCTION("IMPORTRANGE(""https://docs.google.com/spreadsheets/d/1-uDff_7J0KD5mKrp0Vvzr7lt3OU09vwQwhkpOPPYv2Y/edit?usp=sharing"",""งบพรบ!FJ48"")"),805091.72)</f>
        <v>805091.72</v>
      </c>
      <c r="M48" s="68">
        <f t="shared" ca="1" si="48"/>
        <v>81.896498687770844</v>
      </c>
      <c r="N48" s="68">
        <f t="shared" ca="1" si="49"/>
        <v>72.46680588309421</v>
      </c>
      <c r="O48" s="67">
        <f ca="1">IFERROR(__xludf.DUMMYFUNCTION("IMPORTRANGE(""https://docs.google.com/spreadsheets/d/1-uDff_7J0KD5mKrp0Vvzr7lt3OU09vwQwhkpOPPYv2Y/edit?usp=sharing"",""งบพรบ!FK48"")"),0)</f>
        <v>0</v>
      </c>
      <c r="P48" s="67">
        <f t="shared" ca="1" si="50"/>
        <v>0</v>
      </c>
      <c r="Q48" s="68">
        <f t="shared" ca="1" si="51"/>
        <v>0</v>
      </c>
      <c r="R48" s="149">
        <f ca="1">IFERROR(__xludf.DUMMYFUNCTION("IMPORTRANGE(""https://docs.google.com/spreadsheets/d/1Hx73zIEgVdDZZaYSTc46Dqv64atFhpr3GelxLbaIN8A/edit?usp=sharing"",""หนองบัวลำภู!I368"")"),2450)</f>
        <v>2450</v>
      </c>
      <c r="S48" s="152">
        <f ca="1">IFERROR(__xludf.DUMMYFUNCTION("IMPORTRANGE(""https://docs.google.com/spreadsheets/d/1Hx73zIEgVdDZZaYSTc46Dqv64atFhpr3GelxLbaIN8A/edit?usp=sharing"",""หนองบัวลำภู!J367"")"),316)</f>
        <v>316</v>
      </c>
      <c r="T48" s="357">
        <f ca="1">IFERROR(__xludf.DUMMYFUNCTION("IMPORTRANGE(""https://docs.google.com/spreadsheets/d/1Hx73zIEgVdDZZaYSTc46Dqv64atFhpr3GelxLbaIN8A/edit?usp=sharing"",""หนองบัวลำภู!J368"")"),3338.11)</f>
        <v>3338.11</v>
      </c>
      <c r="U48" s="216">
        <f t="shared" ca="1" si="53"/>
        <v>136.24938775510205</v>
      </c>
      <c r="V48" s="149">
        <f ca="1">IFERROR(__xludf.DUMMYFUNCTION("IMPORTRANGE(""https://docs.google.com/spreadsheets/d/1Hx73zIEgVdDZZaYSTc46Dqv64atFhpr3GelxLbaIN8A/edit?usp=sharing"",""หนองบัวลำภู!I369"")"),520)</f>
        <v>520</v>
      </c>
      <c r="W48" s="152">
        <f ca="1">IFERROR(__xludf.DUMMYFUNCTION("IMPORTRANGE(""https://docs.google.com/spreadsheets/d/1Hx73zIEgVdDZZaYSTc46Dqv64atFhpr3GelxLbaIN8A/edit?usp=sharing"",""หนองบัวลำภู!J369"")"),321)</f>
        <v>321</v>
      </c>
      <c r="X48" s="357">
        <f ca="1">IFERROR(__xludf.DUMMYFUNCTION("IMPORTRANGE(""https://docs.google.com/spreadsheets/d/1Hx73zIEgVdDZZaYSTc46Dqv64atFhpr3GelxLbaIN8A/edit?usp=sharing"",""หนองบัวลำภู!J370"")"),4515.62)</f>
        <v>4515.62</v>
      </c>
      <c r="Y48" s="216">
        <f t="shared" ca="1" si="55"/>
        <v>61.730769230769234</v>
      </c>
      <c r="Z48" s="149">
        <f ca="1">IFERROR(__xludf.DUMMYFUNCTION("IMPORTRANGE(""https://docs.google.com/spreadsheets/d/1Hx73zIEgVdDZZaYSTc46Dqv64atFhpr3GelxLbaIN8A/edit?usp=sharing"",""หนองบัวลำภู!I371"")"),520)</f>
        <v>520</v>
      </c>
      <c r="AA48" s="152">
        <f ca="1">IFERROR(__xludf.DUMMYFUNCTION("IMPORTRANGE(""https://docs.google.com/spreadsheets/d/1Hx73zIEgVdDZZaYSTc46Dqv64atFhpr3GelxLbaIN8A/edit?usp=sharing"",""หนองบัวลำภู!J371"")"),321)</f>
        <v>321</v>
      </c>
      <c r="AB48" s="357">
        <f ca="1">IFERROR(__xludf.DUMMYFUNCTION("IMPORTRANGE(""https://docs.google.com/spreadsheets/d/1Hx73zIEgVdDZZaYSTc46Dqv64atFhpr3GelxLbaIN8A/edit?usp=sharing"",""หนองบัวลำภู!J372"")"),4515.62)</f>
        <v>4515.62</v>
      </c>
      <c r="AC48" s="216">
        <f t="shared" ca="1" si="57"/>
        <v>61.730769230769234</v>
      </c>
      <c r="AD48" s="358">
        <f ca="1">IFERROR(__xludf.DUMMYFUNCTION("IMPORTRANGE(""https://docs.google.com/spreadsheets/d/1eHaY18a8A9IcSdp1K8H6x8fbOy06t2VsZHhMHf-1x7Y/edit?usp=sharing"",""แผน!EM48"")"),950)</f>
        <v>950</v>
      </c>
      <c r="AE48" s="151">
        <f ca="1">IFERROR(__xludf.DUMMYFUNCTION("IMPORTRANGE(""https://docs.google.com/spreadsheets/d/1tdoBKaGub7dwA3U6UFTqxio9LNnvDCQjHKmttSEBsFQ/edit?usp=sharing"",""จัดที่ดิน!E48"")"),147)</f>
        <v>147</v>
      </c>
      <c r="AF48" s="67">
        <f ca="1">IFERROR(__xludf.DUMMYFUNCTION("IMPORTRANGE(""https://docs.google.com/spreadsheets/d/1tdoBKaGub7dwA3U6UFTqxio9LNnvDCQjHKmttSEBsFQ/edit?usp=sharing"",""จัดที่ดิน!F48"")"),1201.73)</f>
        <v>1201.73</v>
      </c>
      <c r="AG48" s="68">
        <f t="shared" ca="1" si="59"/>
        <v>126.4978947368421</v>
      </c>
      <c r="AH48" s="358">
        <f ca="1">IFERROR(__xludf.DUMMYFUNCTION("IMPORTRANGE(""https://docs.google.com/spreadsheets/d/1eHaY18a8A9IcSdp1K8H6x8fbOy06t2VsZHhMHf-1x7Y/edit?usp=sharing"",""แผน!EN48"")"),90)</f>
        <v>90</v>
      </c>
      <c r="AI48" s="151">
        <f ca="1">IFERROR(__xludf.DUMMYFUNCTION("IMPORTRANGE(""https://docs.google.com/spreadsheets/d/1tdoBKaGub7dwA3U6UFTqxio9LNnvDCQjHKmttSEBsFQ/edit?usp=sharing"",""จัดที่ดิน!G48"")"),8)</f>
        <v>8</v>
      </c>
      <c r="AJ48" s="67">
        <f ca="1">IFERROR(__xludf.DUMMYFUNCTION("IMPORTRANGE(""https://docs.google.com/spreadsheets/d/1tdoBKaGub7dwA3U6UFTqxio9LNnvDCQjHKmttSEBsFQ/edit?usp=sharing"",""จัดที่ดิน!H48"")"),57.97)</f>
        <v>57.97</v>
      </c>
      <c r="AK48" s="68">
        <f t="shared" ca="1" si="61"/>
        <v>8.8888888888888893</v>
      </c>
      <c r="AL48" s="358">
        <f ca="1">IFERROR(__xludf.DUMMYFUNCTION("IMPORTRANGE(""https://docs.google.com/spreadsheets/d/1eHaY18a8A9IcSdp1K8H6x8fbOy06t2VsZHhMHf-1x7Y/edit?usp=sharing"",""แผน!EN48"")"),90)</f>
        <v>90</v>
      </c>
      <c r="AM48" s="151">
        <f ca="1">IFERROR(__xludf.DUMMYFUNCTION("IMPORTRANGE(""https://docs.google.com/spreadsheets/d/1tdoBKaGub7dwA3U6UFTqxio9LNnvDCQjHKmttSEBsFQ/edit?usp=sharing"",""จัดที่ดิน!I48"")"),8)</f>
        <v>8</v>
      </c>
      <c r="AN48" s="67">
        <f ca="1">IFERROR(__xludf.DUMMYFUNCTION("IMPORTRANGE(""https://docs.google.com/spreadsheets/d/1tdoBKaGub7dwA3U6UFTqxio9LNnvDCQjHKmttSEBsFQ/edit?usp=sharing"",""จัดที่ดิน!J48"")"),57.97)</f>
        <v>57.97</v>
      </c>
      <c r="AO48" s="68">
        <f t="shared" ca="1" si="63"/>
        <v>8.8888888888888893</v>
      </c>
      <c r="AP48" s="359">
        <f ca="1">IFERROR(__xludf.DUMMYFUNCTION("IMPORTRANGE(""https://docs.google.com/spreadsheets/d/1eHaY18a8A9IcSdp1K8H6x8fbOy06t2VsZHhMHf-1x7Y/edit?usp=sharing"",""แผน!EO48"")"),1500)</f>
        <v>1500</v>
      </c>
      <c r="AQ48" s="151">
        <f ca="1">IFERROR(__xludf.DUMMYFUNCTION("IMPORTRANGE(""https://docs.google.com/spreadsheets/d/1tdoBKaGub7dwA3U6UFTqxio9LNnvDCQjHKmttSEBsFQ/edit?usp=sharing"",""แบ่งแปลง!D46"")"),169)</f>
        <v>169</v>
      </c>
      <c r="AR48" s="67">
        <f ca="1">IFERROR(__xludf.DUMMYFUNCTION("IMPORTRANGE(""https://docs.google.com/spreadsheets/d/1tdoBKaGub7dwA3U6UFTqxio9LNnvDCQjHKmttSEBsFQ/edit?usp=sharing"",""แบ่งแปลง!F46"")"),2136.38)</f>
        <v>2136.38</v>
      </c>
      <c r="AS48" s="68">
        <f t="shared" ca="1" si="65"/>
        <v>142.42533333333333</v>
      </c>
      <c r="AT48" s="359">
        <f ca="1">IFERROR(__xludf.DUMMYFUNCTION("IMPORTRANGE(""https://docs.google.com/spreadsheets/d/1eHaY18a8A9IcSdp1K8H6x8fbOy06t2VsZHhMHf-1x7Y/edit?usp=sharing"",""แผน!EP48"")"),300)</f>
        <v>300</v>
      </c>
      <c r="AU48" s="151">
        <f ca="1">IFERROR(__xludf.DUMMYFUNCTION("IMPORTRANGE(""https://docs.google.com/spreadsheets/d/1tdoBKaGub7dwA3U6UFTqxio9LNnvDCQjHKmttSEBsFQ/edit?usp=sharing"",""แบ่งแปลง!I46"")"),170)</f>
        <v>170</v>
      </c>
      <c r="AV48" s="67">
        <f ca="1">IFERROR(__xludf.DUMMYFUNCTION("IMPORTRANGE(""https://docs.google.com/spreadsheets/d/1tdoBKaGub7dwA3U6UFTqxio9LNnvDCQjHKmttSEBsFQ/edit?usp=sharing"",""แบ่งแปลง!K46"")"),2146.99)</f>
        <v>2146.9899999999998</v>
      </c>
      <c r="AW48" s="68">
        <f t="shared" ca="1" si="67"/>
        <v>56.666666666666664</v>
      </c>
      <c r="AX48" s="359">
        <f ca="1">IFERROR(__xludf.DUMMYFUNCTION("IMPORTRANGE(""https://docs.google.com/spreadsheets/d/1eHaY18a8A9IcSdp1K8H6x8fbOy06t2VsZHhMHf-1x7Y/edit?usp=sharing"",""แผน!EP48"")"),300)</f>
        <v>300</v>
      </c>
      <c r="AY48" s="151">
        <f ca="1">IFERROR(__xludf.DUMMYFUNCTION("IMPORTRANGE(""https://docs.google.com/spreadsheets/d/1tdoBKaGub7dwA3U6UFTqxio9LNnvDCQjHKmttSEBsFQ/edit?usp=sharing"",""แบ่งแปลง!X46"")"),170)</f>
        <v>170</v>
      </c>
      <c r="AZ48" s="67">
        <f ca="1">IFERROR(__xludf.DUMMYFUNCTION("IMPORTRANGE(""https://docs.google.com/spreadsheets/d/1tdoBKaGub7dwA3U6UFTqxio9LNnvDCQjHKmttSEBsFQ/edit?usp=sharing"",""แบ่งแปลง!Z46"")"),2146.99)</f>
        <v>2146.9899999999998</v>
      </c>
      <c r="BA48" s="68">
        <f t="shared" ca="1" si="69"/>
        <v>56.666666666666664</v>
      </c>
      <c r="BB48" s="360">
        <f ca="1">IFERROR(__xludf.DUMMYFUNCTION("IMPORTRANGE(""https://docs.google.com/spreadsheets/d/1eHaY18a8A9IcSdp1K8H6x8fbOy06t2VsZHhMHf-1x7Y/edit?usp=sharing"",""แผน!ES48"")"),130)</f>
        <v>130</v>
      </c>
      <c r="BC48" s="151">
        <f ca="1">IFERROR(__xludf.DUMMYFUNCTION("IMPORTRANGE(""https://docs.google.com/spreadsheets/d/1tdoBKaGub7dwA3U6UFTqxio9LNnvDCQjHKmttSEBsFQ/edit?usp=sharing"",""เต็มแปลง!I46"")"),144)</f>
        <v>144</v>
      </c>
      <c r="BD48" s="67">
        <f ca="1">IFERROR(__xludf.DUMMYFUNCTION("IMPORTRANGE(""https://docs.google.com/spreadsheets/d/1tdoBKaGub7dwA3U6UFTqxio9LNnvDCQjHKmttSEBsFQ/edit?usp=sharing"",""เต็มแปลง!K46"")"),2310.66)</f>
        <v>2310.66</v>
      </c>
      <c r="BE48" s="68">
        <f t="shared" ca="1" si="71"/>
        <v>110.76923076923077</v>
      </c>
      <c r="BF48" s="360">
        <f ca="1">IFERROR(__xludf.DUMMYFUNCTION("IMPORTRANGE(""https://docs.google.com/spreadsheets/d/1eHaY18a8A9IcSdp1K8H6x8fbOy06t2VsZHhMHf-1x7Y/edit?usp=sharing"",""แผน!ES48"")"),130)</f>
        <v>130</v>
      </c>
      <c r="BG48" s="151">
        <f ca="1">IFERROR(__xludf.DUMMYFUNCTION("IMPORTRANGE(""https://docs.google.com/spreadsheets/d/1tdoBKaGub7dwA3U6UFTqxio9LNnvDCQjHKmttSEBsFQ/edit?usp=sharing"",""เต็มแปลง!S46"")"),144)</f>
        <v>144</v>
      </c>
      <c r="BH48" s="67">
        <f ca="1">IFERROR(__xludf.DUMMYFUNCTION("IMPORTRANGE(""https://docs.google.com/spreadsheets/d/1tdoBKaGub7dwA3U6UFTqxio9LNnvDCQjHKmttSEBsFQ/edit?usp=sharing"",""เต็มแปลง!U46"")"),2310.66)</f>
        <v>2310.66</v>
      </c>
      <c r="BI48" s="68">
        <f t="shared" ca="1" si="73"/>
        <v>110.76923076923077</v>
      </c>
      <c r="BJ48" s="339"/>
    </row>
    <row r="49" spans="1:62" ht="21" customHeight="1" x14ac:dyDescent="0.3">
      <c r="A49" s="147">
        <v>18</v>
      </c>
      <c r="B49" s="148" t="s">
        <v>77</v>
      </c>
      <c r="C49" s="149">
        <f t="shared" ca="1" si="44"/>
        <v>853910</v>
      </c>
      <c r="D49" s="150">
        <f t="shared" ca="1" si="87"/>
        <v>853910</v>
      </c>
      <c r="E49" s="151">
        <f ca="1">IFERROR(__xludf.DUMMYFUNCTION("IMPORTRANGE(""https://docs.google.com/spreadsheets/d/1-uDff_7J0KD5mKrp0Vvzr7lt3OU09vwQwhkpOPPYv2Y/edit?usp=sharing"",""งบพรบ!FD49"")"),454900)</f>
        <v>454900</v>
      </c>
      <c r="F49" s="151">
        <f ca="1">IFERROR(__xludf.DUMMYFUNCTION("IMPORTRANGE(""https://docs.google.com/spreadsheets/d/1-uDff_7J0KD5mKrp0Vvzr7lt3OU09vwQwhkpOPPYv2Y/edit?usp=sharing"",""งบพรบ!FE49"")"),399010)</f>
        <v>399010</v>
      </c>
      <c r="G49" s="151">
        <f ca="1">IFERROR(__xludf.DUMMYFUNCTION("IMPORTRANGE(""https://docs.google.com/spreadsheets/d/1-uDff_7J0KD5mKrp0Vvzr7lt3OU09vwQwhkpOPPYv2Y/edit?usp=sharing"",""งบพรบ!FF49"")"),0)</f>
        <v>0</v>
      </c>
      <c r="H49" s="151">
        <f ca="1">IFERROR(__xludf.DUMMYFUNCTION("IMPORTRANGE(""https://docs.google.com/spreadsheets/d/1-uDff_7J0KD5mKrp0Vvzr7lt3OU09vwQwhkpOPPYv2Y/edit?usp=sharing"",""งบพรบ!FH49"")"),956460)</f>
        <v>956460</v>
      </c>
      <c r="I49" s="151">
        <f ca="1">IFERROR(__xludf.DUMMYFUNCTION("IMPORTRANGE(""https://docs.google.com/spreadsheets/d/1-uDff_7J0KD5mKrp0Vvzr7lt3OU09vwQwhkpOPPYv2Y/edit?usp=sharing"",""งบพรบ!FI49"")"),0)</f>
        <v>0</v>
      </c>
      <c r="J49" s="151">
        <f t="shared" ca="1" si="46"/>
        <v>712627</v>
      </c>
      <c r="K49" s="154">
        <f t="shared" ca="1" si="47"/>
        <v>83.454579522432113</v>
      </c>
      <c r="L49" s="151">
        <f ca="1">IFERROR(__xludf.DUMMYFUNCTION("IMPORTRANGE(""https://docs.google.com/spreadsheets/d/1-uDff_7J0KD5mKrp0Vvzr7lt3OU09vwQwhkpOPPYv2Y/edit?usp=sharing"",""งบพรบ!FJ49"")"),712627)</f>
        <v>712627</v>
      </c>
      <c r="M49" s="68">
        <f t="shared" ca="1" si="48"/>
        <v>83.454579522432113</v>
      </c>
      <c r="N49" s="68">
        <f t="shared" ca="1" si="49"/>
        <v>74.506722706647423</v>
      </c>
      <c r="O49" s="67">
        <f ca="1">IFERROR(__xludf.DUMMYFUNCTION("IMPORTRANGE(""https://docs.google.com/spreadsheets/d/1-uDff_7J0KD5mKrp0Vvzr7lt3OU09vwQwhkpOPPYv2Y/edit?usp=sharing"",""งบพรบ!FK49"")"),0)</f>
        <v>0</v>
      </c>
      <c r="P49" s="67">
        <f t="shared" ca="1" si="50"/>
        <v>0</v>
      </c>
      <c r="Q49" s="68">
        <f t="shared" ca="1" si="51"/>
        <v>0</v>
      </c>
      <c r="R49" s="149">
        <f ca="1">IFERROR(__xludf.DUMMYFUNCTION("IMPORTRANGE(""https://docs.google.com/spreadsheets/d/1lFxr3ctmjFN90yc-xV6jrQ9Ty8BKYVBWnAZ15wcNIJc/edit?usp=sharing"",""อำนาจเจริญ!I368"")"),1575)</f>
        <v>1575</v>
      </c>
      <c r="S49" s="152">
        <f ca="1">IFERROR(__xludf.DUMMYFUNCTION("IMPORTRANGE(""https://docs.google.com/spreadsheets/d/1lFxr3ctmjFN90yc-xV6jrQ9Ty8BKYVBWnAZ15wcNIJc/edit?usp=sharing"",""อำนาจเจริญ!J367"")"),229)</f>
        <v>229</v>
      </c>
      <c r="T49" s="357">
        <f ca="1">IFERROR(__xludf.DUMMYFUNCTION("IMPORTRANGE(""https://docs.google.com/spreadsheets/d/1lFxr3ctmjFN90yc-xV6jrQ9Ty8BKYVBWnAZ15wcNIJc/edit?usp=sharing"",""อำนาจเจริญ!J368"")"),1827.05)</f>
        <v>1827.05</v>
      </c>
      <c r="U49" s="216">
        <f t="shared" ca="1" si="53"/>
        <v>116.0031746031746</v>
      </c>
      <c r="V49" s="149">
        <f ca="1">IFERROR(__xludf.DUMMYFUNCTION("IMPORTRANGE(""https://docs.google.com/spreadsheets/d/1lFxr3ctmjFN90yc-xV6jrQ9Ty8BKYVBWnAZ15wcNIJc/edit?usp=sharing"",""อำนาจเจริญ!I369"")"),404)</f>
        <v>404</v>
      </c>
      <c r="W49" s="152">
        <f ca="1">IFERROR(__xludf.DUMMYFUNCTION("IMPORTRANGE(""https://docs.google.com/spreadsheets/d/1lFxr3ctmjFN90yc-xV6jrQ9Ty8BKYVBWnAZ15wcNIJc/edit?usp=sharing"",""อำนาจเจริญ!J369"")"),430)</f>
        <v>430</v>
      </c>
      <c r="X49" s="357">
        <f ca="1">IFERROR(__xludf.DUMMYFUNCTION("IMPORTRANGE(""https://docs.google.com/spreadsheets/d/1lFxr3ctmjFN90yc-xV6jrQ9Ty8BKYVBWnAZ15wcNIJc/edit?usp=sharing"",""อำนาจเจริญ!J370"")"),3555.14)</f>
        <v>3555.14</v>
      </c>
      <c r="Y49" s="216">
        <f t="shared" ca="1" si="55"/>
        <v>106.43564356435644</v>
      </c>
      <c r="Z49" s="149">
        <f ca="1">IFERROR(__xludf.DUMMYFUNCTION("IMPORTRANGE(""https://docs.google.com/spreadsheets/d/1lFxr3ctmjFN90yc-xV6jrQ9Ty8BKYVBWnAZ15wcNIJc/edit?usp=sharing"",""อำนาจเจริญ!I371"")"),404)</f>
        <v>404</v>
      </c>
      <c r="AA49" s="152">
        <f ca="1">IFERROR(__xludf.DUMMYFUNCTION("IMPORTRANGE(""https://docs.google.com/spreadsheets/d/1lFxr3ctmjFN90yc-xV6jrQ9Ty8BKYVBWnAZ15wcNIJc/edit?usp=sharing"",""อำนาจเจริญ!J371"")"),340)</f>
        <v>340</v>
      </c>
      <c r="AB49" s="357">
        <f ca="1">IFERROR(__xludf.DUMMYFUNCTION("IMPORTRANGE(""https://docs.google.com/spreadsheets/d/1lFxr3ctmjFN90yc-xV6jrQ9Ty8BKYVBWnAZ15wcNIJc/edit?usp=sharing"",""อำนาจเจริญ!J372"")"),2808.25999999999)</f>
        <v>2808.2599999999902</v>
      </c>
      <c r="AC49" s="216">
        <f t="shared" ca="1" si="57"/>
        <v>84.158415841584159</v>
      </c>
      <c r="AD49" s="358">
        <f ca="1">IFERROR(__xludf.DUMMYFUNCTION("IMPORTRANGE(""https://docs.google.com/spreadsheets/d/1eHaY18a8A9IcSdp1K8H6x8fbOy06t2VsZHhMHf-1x7Y/edit?usp=sharing"",""แผน!EM49"")"),1000)</f>
        <v>1000</v>
      </c>
      <c r="AE49" s="151">
        <f ca="1">IFERROR(__xludf.DUMMYFUNCTION("IMPORTRANGE(""https://docs.google.com/spreadsheets/d/1tdoBKaGub7dwA3U6UFTqxio9LNnvDCQjHKmttSEBsFQ/edit?usp=sharing"",""จัดที่ดิน!E49"")"),142)</f>
        <v>142</v>
      </c>
      <c r="AF49" s="67">
        <f ca="1">IFERROR(__xludf.DUMMYFUNCTION("IMPORTRANGE(""https://docs.google.com/spreadsheets/d/1tdoBKaGub7dwA3U6UFTqxio9LNnvDCQjHKmttSEBsFQ/edit?usp=sharing"",""จัดที่ดิน!F49"")"),1010.06)</f>
        <v>1010.06</v>
      </c>
      <c r="AG49" s="68">
        <f t="shared" ca="1" si="59"/>
        <v>101.006</v>
      </c>
      <c r="AH49" s="358">
        <f ca="1">IFERROR(__xludf.DUMMYFUNCTION("IMPORTRANGE(""https://docs.google.com/spreadsheets/d/1eHaY18a8A9IcSdp1K8H6x8fbOy06t2VsZHhMHf-1x7Y/edit?usp=sharing"",""แผน!EN49"")"),100)</f>
        <v>100</v>
      </c>
      <c r="AI49" s="151">
        <f ca="1">IFERROR(__xludf.DUMMYFUNCTION("IMPORTRANGE(""https://docs.google.com/spreadsheets/d/1tdoBKaGub7dwA3U6UFTqxio9LNnvDCQjHKmttSEBsFQ/edit?usp=sharing"",""จัดที่ดิน!G49"")"),93)</f>
        <v>93</v>
      </c>
      <c r="AJ49" s="67">
        <f ca="1">IFERROR(__xludf.DUMMYFUNCTION("IMPORTRANGE(""https://docs.google.com/spreadsheets/d/1tdoBKaGub7dwA3U6UFTqxio9LNnvDCQjHKmttSEBsFQ/edit?usp=sharing"",""จัดที่ดิน!H49"")"),660.69)</f>
        <v>660.69</v>
      </c>
      <c r="AK49" s="68">
        <f t="shared" ca="1" si="61"/>
        <v>93</v>
      </c>
      <c r="AL49" s="358">
        <f ca="1">IFERROR(__xludf.DUMMYFUNCTION("IMPORTRANGE(""https://docs.google.com/spreadsheets/d/1eHaY18a8A9IcSdp1K8H6x8fbOy06t2VsZHhMHf-1x7Y/edit?usp=sharing"",""แผน!EN49"")"),100)</f>
        <v>100</v>
      </c>
      <c r="AM49" s="151">
        <f ca="1">IFERROR(__xludf.DUMMYFUNCTION("IMPORTRANGE(""https://docs.google.com/spreadsheets/d/1tdoBKaGub7dwA3U6UFTqxio9LNnvDCQjHKmttSEBsFQ/edit?usp=sharing"",""จัดที่ดิน!I49"")"),75)</f>
        <v>75</v>
      </c>
      <c r="AN49" s="67">
        <f ca="1">IFERROR(__xludf.DUMMYFUNCTION("IMPORTRANGE(""https://docs.google.com/spreadsheets/d/1tdoBKaGub7dwA3U6UFTqxio9LNnvDCQjHKmttSEBsFQ/edit?usp=sharing"",""จัดที่ดิน!J49"")"),549.54)</f>
        <v>549.54</v>
      </c>
      <c r="AO49" s="68">
        <f t="shared" ca="1" si="63"/>
        <v>75</v>
      </c>
      <c r="AP49" s="359">
        <f ca="1">IFERROR(__xludf.DUMMYFUNCTION("IMPORTRANGE(""https://docs.google.com/spreadsheets/d/1eHaY18a8A9IcSdp1K8H6x8fbOy06t2VsZHhMHf-1x7Y/edit?usp=sharing"",""แผน!EO49"")"),575)</f>
        <v>575</v>
      </c>
      <c r="AQ49" s="151">
        <f ca="1">IFERROR(__xludf.DUMMYFUNCTION("IMPORTRANGE(""https://docs.google.com/spreadsheets/d/1tdoBKaGub7dwA3U6UFTqxio9LNnvDCQjHKmttSEBsFQ/edit?usp=sharing"",""แบ่งแปลง!D47"")"),87)</f>
        <v>87</v>
      </c>
      <c r="AR49" s="67">
        <f ca="1">IFERROR(__xludf.DUMMYFUNCTION("IMPORTRANGE(""https://docs.google.com/spreadsheets/d/1tdoBKaGub7dwA3U6UFTqxio9LNnvDCQjHKmttSEBsFQ/edit?usp=sharing"",""แบ่งแปลง!F47"")"),816.99)</f>
        <v>816.99</v>
      </c>
      <c r="AS49" s="68">
        <f t="shared" ca="1" si="65"/>
        <v>142.08521739130435</v>
      </c>
      <c r="AT49" s="359">
        <f ca="1">IFERROR(__xludf.DUMMYFUNCTION("IMPORTRANGE(""https://docs.google.com/spreadsheets/d/1eHaY18a8A9IcSdp1K8H6x8fbOy06t2VsZHhMHf-1x7Y/edit?usp=sharing"",""แผน!EP49"")"),116)</f>
        <v>116</v>
      </c>
      <c r="AU49" s="151">
        <f ca="1">IFERROR(__xludf.DUMMYFUNCTION("IMPORTRANGE(""https://docs.google.com/spreadsheets/d/1tdoBKaGub7dwA3U6UFTqxio9LNnvDCQjHKmttSEBsFQ/edit?usp=sharing"",""แบ่งแปลง!I47"")"),80)</f>
        <v>80</v>
      </c>
      <c r="AV49" s="67">
        <f ca="1">IFERROR(__xludf.DUMMYFUNCTION("IMPORTRANGE(""https://docs.google.com/spreadsheets/d/1tdoBKaGub7dwA3U6UFTqxio9LNnvDCQjHKmttSEBsFQ/edit?usp=sharing"",""แบ่งแปลง!K47"")"),737.12)</f>
        <v>737.12</v>
      </c>
      <c r="AW49" s="68">
        <f t="shared" ca="1" si="67"/>
        <v>68.965517241379317</v>
      </c>
      <c r="AX49" s="359">
        <f ca="1">IFERROR(__xludf.DUMMYFUNCTION("IMPORTRANGE(""https://docs.google.com/spreadsheets/d/1eHaY18a8A9IcSdp1K8H6x8fbOy06t2VsZHhMHf-1x7Y/edit?usp=sharing"",""แผน!EP49"")"),116)</f>
        <v>116</v>
      </c>
      <c r="AY49" s="151">
        <f ca="1">IFERROR(__xludf.DUMMYFUNCTION("IMPORTRANGE(""https://docs.google.com/spreadsheets/d/1tdoBKaGub7dwA3U6UFTqxio9LNnvDCQjHKmttSEBsFQ/edit?usp=sharing"",""แบ่งแปลง!X47"")"),18)</f>
        <v>18</v>
      </c>
      <c r="AZ49" s="67">
        <f ca="1">IFERROR(__xludf.DUMMYFUNCTION("IMPORTRANGE(""https://docs.google.com/spreadsheets/d/1tdoBKaGub7dwA3U6UFTqxio9LNnvDCQjHKmttSEBsFQ/edit?usp=sharing"",""แบ่งแปลง!Z47"")"),171.8)</f>
        <v>171.8</v>
      </c>
      <c r="BA49" s="68">
        <f t="shared" ca="1" si="69"/>
        <v>15.517241379310345</v>
      </c>
      <c r="BB49" s="360">
        <f ca="1">IFERROR(__xludf.DUMMYFUNCTION("IMPORTRANGE(""https://docs.google.com/spreadsheets/d/1eHaY18a8A9IcSdp1K8H6x8fbOy06t2VsZHhMHf-1x7Y/edit?usp=sharing"",""แผน!ES49"")"),188)</f>
        <v>188</v>
      </c>
      <c r="BC49" s="151">
        <f ca="1">IFERROR(__xludf.DUMMYFUNCTION("IMPORTRANGE(""https://docs.google.com/spreadsheets/d/1tdoBKaGub7dwA3U6UFTqxio9LNnvDCQjHKmttSEBsFQ/edit?usp=sharing"",""เต็มแปลง!I47"")"),257)</f>
        <v>257</v>
      </c>
      <c r="BD49" s="67">
        <f ca="1">IFERROR(__xludf.DUMMYFUNCTION("IMPORTRANGE(""https://docs.google.com/spreadsheets/d/1tdoBKaGub7dwA3U6UFTqxio9LNnvDCQjHKmttSEBsFQ/edit?usp=sharing"",""เต็มแปลง!K47"")"),2157.33)</f>
        <v>2157.33</v>
      </c>
      <c r="BE49" s="68">
        <f t="shared" ca="1" si="71"/>
        <v>136.70212765957447</v>
      </c>
      <c r="BF49" s="360">
        <f ca="1">IFERROR(__xludf.DUMMYFUNCTION("IMPORTRANGE(""https://docs.google.com/spreadsheets/d/1eHaY18a8A9IcSdp1K8H6x8fbOy06t2VsZHhMHf-1x7Y/edit?usp=sharing"",""แผน!ES49"")"),188)</f>
        <v>188</v>
      </c>
      <c r="BG49" s="151">
        <f ca="1">IFERROR(__xludf.DUMMYFUNCTION("IMPORTRANGE(""https://docs.google.com/spreadsheets/d/1tdoBKaGub7dwA3U6UFTqxio9LNnvDCQjHKmttSEBsFQ/edit?usp=sharing"",""เต็มแปลง!S47"")"),247)</f>
        <v>247</v>
      </c>
      <c r="BH49" s="67">
        <f ca="1">IFERROR(__xludf.DUMMYFUNCTION("IMPORTRANGE(""https://docs.google.com/spreadsheets/d/1tdoBKaGub7dwA3U6UFTqxio9LNnvDCQjHKmttSEBsFQ/edit?usp=sharing"",""เต็มแปลง!U47"")"),2086.93)</f>
        <v>2086.9299999999998</v>
      </c>
      <c r="BI49" s="68">
        <f t="shared" ca="1" si="73"/>
        <v>131.38297872340425</v>
      </c>
      <c r="BJ49" s="339"/>
    </row>
    <row r="50" spans="1:62" ht="21" customHeight="1" x14ac:dyDescent="0.3">
      <c r="A50" s="147">
        <v>19</v>
      </c>
      <c r="B50" s="148" t="s">
        <v>78</v>
      </c>
      <c r="C50" s="149">
        <f t="shared" ca="1" si="44"/>
        <v>1590920</v>
      </c>
      <c r="D50" s="150">
        <f t="shared" ca="1" si="87"/>
        <v>1590920</v>
      </c>
      <c r="E50" s="151">
        <f ca="1">IFERROR(__xludf.DUMMYFUNCTION("IMPORTRANGE(""https://docs.google.com/spreadsheets/d/1-uDff_7J0KD5mKrp0Vvzr7lt3OU09vwQwhkpOPPYv2Y/edit?usp=sharing"",""งบพรบ!FD50"")"),182000)</f>
        <v>182000</v>
      </c>
      <c r="F50" s="151">
        <f ca="1">IFERROR(__xludf.DUMMYFUNCTION("IMPORTRANGE(""https://docs.google.com/spreadsheets/d/1-uDff_7J0KD5mKrp0Vvzr7lt3OU09vwQwhkpOPPYv2Y/edit?usp=sharing"",""งบพรบ!FE50"")"),1408920)</f>
        <v>1408920</v>
      </c>
      <c r="G50" s="151">
        <f ca="1">IFERROR(__xludf.DUMMYFUNCTION("IMPORTRANGE(""https://docs.google.com/spreadsheets/d/1-uDff_7J0KD5mKrp0Vvzr7lt3OU09vwQwhkpOPPYv2Y/edit?usp=sharing"",""งบพรบ!FF50"")"),0)</f>
        <v>0</v>
      </c>
      <c r="H50" s="151">
        <f ca="1">IFERROR(__xludf.DUMMYFUNCTION("IMPORTRANGE(""https://docs.google.com/spreadsheets/d/1-uDff_7J0KD5mKrp0Vvzr7lt3OU09vwQwhkpOPPYv2Y/edit?usp=sharing"",""งบพรบ!FH50"")"),1813920)</f>
        <v>1813920</v>
      </c>
      <c r="I50" s="151">
        <f ca="1">IFERROR(__xludf.DUMMYFUNCTION("IMPORTRANGE(""https://docs.google.com/spreadsheets/d/1-uDff_7J0KD5mKrp0Vvzr7lt3OU09vwQwhkpOPPYv2Y/edit?usp=sharing"",""งบพรบ!FI50"")"),0)</f>
        <v>0</v>
      </c>
      <c r="J50" s="151">
        <f t="shared" ca="1" si="46"/>
        <v>1499044.04</v>
      </c>
      <c r="K50" s="154">
        <f t="shared" ca="1" si="47"/>
        <v>94.224979257285099</v>
      </c>
      <c r="L50" s="151">
        <f ca="1">IFERROR(__xludf.DUMMYFUNCTION("IMPORTRANGE(""https://docs.google.com/spreadsheets/d/1-uDff_7J0KD5mKrp0Vvzr7lt3OU09vwQwhkpOPPYv2Y/edit?usp=sharing"",""งบพรบ!FJ50"")"),1499044.04)</f>
        <v>1499044.04</v>
      </c>
      <c r="M50" s="68">
        <f t="shared" ca="1" si="48"/>
        <v>94.224979257285099</v>
      </c>
      <c r="N50" s="68">
        <f t="shared" ca="1" si="49"/>
        <v>82.641133015789009</v>
      </c>
      <c r="O50" s="67">
        <f ca="1">IFERROR(__xludf.DUMMYFUNCTION("IMPORTRANGE(""https://docs.google.com/spreadsheets/d/1-uDff_7J0KD5mKrp0Vvzr7lt3OU09vwQwhkpOPPYv2Y/edit?usp=sharing"",""งบพรบ!FK50"")"),0)</f>
        <v>0</v>
      </c>
      <c r="P50" s="67">
        <f t="shared" ca="1" si="50"/>
        <v>0</v>
      </c>
      <c r="Q50" s="68">
        <f t="shared" ca="1" si="51"/>
        <v>0</v>
      </c>
      <c r="R50" s="149">
        <f ca="1">IFERROR(__xludf.DUMMYFUNCTION("IMPORTRANGE(""https://docs.google.com/spreadsheets/d/1gF7RJpRnL-1oyjyeWxs5SFWEH7y8ahOZsQlyp2A2e-A/edit?usp=sharing"",""อุดรธานี!I368"")"),9500)</f>
        <v>9500</v>
      </c>
      <c r="S50" s="152">
        <f ca="1">IFERROR(__xludf.DUMMYFUNCTION("IMPORTRANGE(""https://docs.google.com/spreadsheets/d/1gF7RJpRnL-1oyjyeWxs5SFWEH7y8ahOZsQlyp2A2e-A/edit?usp=sharing"",""อุดรธานี!J367"")"),860)</f>
        <v>860</v>
      </c>
      <c r="T50" s="357">
        <f ca="1">IFERROR(__xludf.DUMMYFUNCTION("IMPORTRANGE(""https://docs.google.com/spreadsheets/d/1gF7RJpRnL-1oyjyeWxs5SFWEH7y8ahOZsQlyp2A2e-A/edit?usp=sharing"",""อุดรธานี!J368"")"),10183.93)</f>
        <v>10183.93</v>
      </c>
      <c r="U50" s="216">
        <f t="shared" ca="1" si="53"/>
        <v>107.19926315789473</v>
      </c>
      <c r="V50" s="149">
        <f ca="1">IFERROR(__xludf.DUMMYFUNCTION("IMPORTRANGE(""https://docs.google.com/spreadsheets/d/1gF7RJpRnL-1oyjyeWxs5SFWEH7y8ahOZsQlyp2A2e-A/edit?usp=sharing"",""อุดรธานี!I369"")"),1650)</f>
        <v>1650</v>
      </c>
      <c r="W50" s="152">
        <f ca="1">IFERROR(__xludf.DUMMYFUNCTION("IMPORTRANGE(""https://docs.google.com/spreadsheets/d/1gF7RJpRnL-1oyjyeWxs5SFWEH7y8ahOZsQlyp2A2e-A/edit?usp=sharing"",""อุดรธานี!J369"")"),1939)</f>
        <v>1939</v>
      </c>
      <c r="X50" s="357">
        <f ca="1">IFERROR(__xludf.DUMMYFUNCTION("IMPORTRANGE(""https://docs.google.com/spreadsheets/d/1gF7RJpRnL-1oyjyeWxs5SFWEH7y8ahOZsQlyp2A2e-A/edit?usp=sharing"",""อุดรธานี!J370"")"),27083.52)</f>
        <v>27083.52</v>
      </c>
      <c r="Y50" s="216">
        <f t="shared" ca="1" si="55"/>
        <v>117.51515151515152</v>
      </c>
      <c r="Z50" s="149">
        <f ca="1">IFERROR(__xludf.DUMMYFUNCTION("IMPORTRANGE(""https://docs.google.com/spreadsheets/d/1gF7RJpRnL-1oyjyeWxs5SFWEH7y8ahOZsQlyp2A2e-A/edit?usp=sharing"",""อุดรธานี!I371"")"),1650)</f>
        <v>1650</v>
      </c>
      <c r="AA50" s="152">
        <f ca="1">IFERROR(__xludf.DUMMYFUNCTION("IMPORTRANGE(""https://docs.google.com/spreadsheets/d/1gF7RJpRnL-1oyjyeWxs5SFWEH7y8ahOZsQlyp2A2e-A/edit?usp=sharing"",""อุดรธานี!J371"")"),1443)</f>
        <v>1443</v>
      </c>
      <c r="AB50" s="357">
        <f ca="1">IFERROR(__xludf.DUMMYFUNCTION("IMPORTRANGE(""https://docs.google.com/spreadsheets/d/1gF7RJpRnL-1oyjyeWxs5SFWEH7y8ahOZsQlyp2A2e-A/edit?usp=sharing"",""อุดรธานี!J372"")"),20218.58)</f>
        <v>20218.580000000002</v>
      </c>
      <c r="AC50" s="216">
        <f t="shared" ca="1" si="57"/>
        <v>87.454545454545453</v>
      </c>
      <c r="AD50" s="358">
        <f ca="1">IFERROR(__xludf.DUMMYFUNCTION("IMPORTRANGE(""https://docs.google.com/spreadsheets/d/1eHaY18a8A9IcSdp1K8H6x8fbOy06t2VsZHhMHf-1x7Y/edit?usp=sharing"",""แผน!EM50"")"),3700)</f>
        <v>3700</v>
      </c>
      <c r="AE50" s="151">
        <f ca="1">IFERROR(__xludf.DUMMYFUNCTION("IMPORTRANGE(""https://docs.google.com/spreadsheets/d/1tdoBKaGub7dwA3U6UFTqxio9LNnvDCQjHKmttSEBsFQ/edit?usp=sharing"",""จัดที่ดิน!E50"")"),311)</f>
        <v>311</v>
      </c>
      <c r="AF50" s="67">
        <f ca="1">IFERROR(__xludf.DUMMYFUNCTION("IMPORTRANGE(""https://docs.google.com/spreadsheets/d/1tdoBKaGub7dwA3U6UFTqxio9LNnvDCQjHKmttSEBsFQ/edit?usp=sharing"",""จัดที่ดิน!F50"")"),4361.33)</f>
        <v>4361.33</v>
      </c>
      <c r="AG50" s="68">
        <f t="shared" ca="1" si="59"/>
        <v>117.87378378378378</v>
      </c>
      <c r="AH50" s="358">
        <f ca="1">IFERROR(__xludf.DUMMYFUNCTION("IMPORTRANGE(""https://docs.google.com/spreadsheets/d/1eHaY18a8A9IcSdp1K8H6x8fbOy06t2VsZHhMHf-1x7Y/edit?usp=sharing"",""แผน!EN50"")"),250)</f>
        <v>250</v>
      </c>
      <c r="AI50" s="151">
        <f ca="1">IFERROR(__xludf.DUMMYFUNCTION("IMPORTRANGE(""https://docs.google.com/spreadsheets/d/1tdoBKaGub7dwA3U6UFTqxio9LNnvDCQjHKmttSEBsFQ/edit?usp=sharing"",""จัดที่ดิน!G50"")"),221)</f>
        <v>221</v>
      </c>
      <c r="AJ50" s="67">
        <f ca="1">IFERROR(__xludf.DUMMYFUNCTION("IMPORTRANGE(""https://docs.google.com/spreadsheets/d/1tdoBKaGub7dwA3U6UFTqxio9LNnvDCQjHKmttSEBsFQ/edit?usp=sharing"",""จัดที่ดิน!H50"")"),2753.21)</f>
        <v>2753.21</v>
      </c>
      <c r="AK50" s="68">
        <f t="shared" ca="1" si="61"/>
        <v>88.4</v>
      </c>
      <c r="AL50" s="358">
        <f ca="1">IFERROR(__xludf.DUMMYFUNCTION("IMPORTRANGE(""https://docs.google.com/spreadsheets/d/1eHaY18a8A9IcSdp1K8H6x8fbOy06t2VsZHhMHf-1x7Y/edit?usp=sharing"",""แผน!EN50"")"),250)</f>
        <v>250</v>
      </c>
      <c r="AM50" s="151">
        <f ca="1">IFERROR(__xludf.DUMMYFUNCTION("IMPORTRANGE(""https://docs.google.com/spreadsheets/d/1tdoBKaGub7dwA3U6UFTqxio9LNnvDCQjHKmttSEBsFQ/edit?usp=sharing"",""จัดที่ดิน!I50"")"),2)</f>
        <v>2</v>
      </c>
      <c r="AN50" s="67">
        <f ca="1">IFERROR(__xludf.DUMMYFUNCTION("IMPORTRANGE(""https://docs.google.com/spreadsheets/d/1tdoBKaGub7dwA3U6UFTqxio9LNnvDCQjHKmttSEBsFQ/edit?usp=sharing"",""จัดที่ดิน!J50"")"),39.06)</f>
        <v>39.06</v>
      </c>
      <c r="AO50" s="68">
        <f t="shared" ca="1" si="63"/>
        <v>0.8</v>
      </c>
      <c r="AP50" s="359">
        <f ca="1">IFERROR(__xludf.DUMMYFUNCTION("IMPORTRANGE(""https://docs.google.com/spreadsheets/d/1eHaY18a8A9IcSdp1K8H6x8fbOy06t2VsZHhMHf-1x7Y/edit?usp=sharing"",""แผน!EO50"")"),5800)</f>
        <v>5800</v>
      </c>
      <c r="AQ50" s="151">
        <f ca="1">IFERROR(__xludf.DUMMYFUNCTION("IMPORTRANGE(""https://docs.google.com/spreadsheets/d/1tdoBKaGub7dwA3U6UFTqxio9LNnvDCQjHKmttSEBsFQ/edit?usp=sharing"",""แบ่งแปลง!D48"")"),541)</f>
        <v>541</v>
      </c>
      <c r="AR50" s="67">
        <f ca="1">IFERROR(__xludf.DUMMYFUNCTION("IMPORTRANGE(""https://docs.google.com/spreadsheets/d/1tdoBKaGub7dwA3U6UFTqxio9LNnvDCQjHKmttSEBsFQ/edit?usp=sharing"",""แบ่งแปลง!F48"")"),5655.6)</f>
        <v>5655.6</v>
      </c>
      <c r="AS50" s="68">
        <f t="shared" ca="1" si="65"/>
        <v>97.510344827586209</v>
      </c>
      <c r="AT50" s="359">
        <f ca="1">IFERROR(__xludf.DUMMYFUNCTION("IMPORTRANGE(""https://docs.google.com/spreadsheets/d/1eHaY18a8A9IcSdp1K8H6x8fbOy06t2VsZHhMHf-1x7Y/edit?usp=sharing"",""แผน!EP50"")"),400)</f>
        <v>400</v>
      </c>
      <c r="AU50" s="151">
        <f ca="1">IFERROR(__xludf.DUMMYFUNCTION("IMPORTRANGE(""https://docs.google.com/spreadsheets/d/1tdoBKaGub7dwA3U6UFTqxio9LNnvDCQjHKmttSEBsFQ/edit?usp=sharing"",""แบ่งแปลง!I48"")"),613)</f>
        <v>613</v>
      </c>
      <c r="AV50" s="67">
        <f ca="1">IFERROR(__xludf.DUMMYFUNCTION("IMPORTRANGE(""https://docs.google.com/spreadsheets/d/1tdoBKaGub7dwA3U6UFTqxio9LNnvDCQjHKmttSEBsFQ/edit?usp=sharing"",""แบ่งแปลง!K48"")"),7652.16)</f>
        <v>7652.16</v>
      </c>
      <c r="AW50" s="68">
        <f t="shared" ca="1" si="67"/>
        <v>153.25</v>
      </c>
      <c r="AX50" s="359">
        <f ca="1">IFERROR(__xludf.DUMMYFUNCTION("IMPORTRANGE(""https://docs.google.com/spreadsheets/d/1eHaY18a8A9IcSdp1K8H6x8fbOy06t2VsZHhMHf-1x7Y/edit?usp=sharing"",""แผน!EP50"")"),400)</f>
        <v>400</v>
      </c>
      <c r="AY50" s="151">
        <f ca="1">IFERROR(__xludf.DUMMYFUNCTION("IMPORTRANGE(""https://docs.google.com/spreadsheets/d/1tdoBKaGub7dwA3U6UFTqxio9LNnvDCQjHKmttSEBsFQ/edit?usp=sharing"",""แบ่งแปลง!X48"")"),331)</f>
        <v>331</v>
      </c>
      <c r="AZ50" s="67">
        <f ca="1">IFERROR(__xludf.DUMMYFUNCTION("IMPORTRANGE(""https://docs.google.com/spreadsheets/d/1tdoBKaGub7dwA3U6UFTqxio9LNnvDCQjHKmttSEBsFQ/edit?usp=sharing"",""แบ่งแปลง!Z48"")"),3505.93)</f>
        <v>3505.93</v>
      </c>
      <c r="BA50" s="68">
        <f t="shared" ca="1" si="69"/>
        <v>82.75</v>
      </c>
      <c r="BB50" s="360">
        <f ca="1">IFERROR(__xludf.DUMMYFUNCTION("IMPORTRANGE(""https://docs.google.com/spreadsheets/d/1eHaY18a8A9IcSdp1K8H6x8fbOy06t2VsZHhMHf-1x7Y/edit?usp=sharing"",""แผน!ES50"")"),1000)</f>
        <v>1000</v>
      </c>
      <c r="BC50" s="151">
        <f ca="1">IFERROR(__xludf.DUMMYFUNCTION("IMPORTRANGE(""https://docs.google.com/spreadsheets/d/1tdoBKaGub7dwA3U6UFTqxio9LNnvDCQjHKmttSEBsFQ/edit?usp=sharing"",""เต็มแปลง!I48"")"),1114)</f>
        <v>1114</v>
      </c>
      <c r="BD50" s="67">
        <f ca="1">IFERROR(__xludf.DUMMYFUNCTION("IMPORTRANGE(""https://docs.google.com/spreadsheets/d/1tdoBKaGub7dwA3U6UFTqxio9LNnvDCQjHKmttSEBsFQ/edit?usp=sharing"",""เต็มแปลง!K48"")"),16678.15)</f>
        <v>16678.150000000001</v>
      </c>
      <c r="BE50" s="68">
        <f t="shared" ca="1" si="71"/>
        <v>111.4</v>
      </c>
      <c r="BF50" s="360">
        <f ca="1">IFERROR(__xludf.DUMMYFUNCTION("IMPORTRANGE(""https://docs.google.com/spreadsheets/d/1eHaY18a8A9IcSdp1K8H6x8fbOy06t2VsZHhMHf-1x7Y/edit?usp=sharing"",""แผน!ES50"")"),1000)</f>
        <v>1000</v>
      </c>
      <c r="BG50" s="151">
        <f ca="1">IFERROR(__xludf.DUMMYFUNCTION("IMPORTRANGE(""https://docs.google.com/spreadsheets/d/1tdoBKaGub7dwA3U6UFTqxio9LNnvDCQjHKmttSEBsFQ/edit?usp=sharing"",""เต็มแปลง!S48"")"),1113)</f>
        <v>1113</v>
      </c>
      <c r="BH50" s="67">
        <f ca="1">IFERROR(__xludf.DUMMYFUNCTION("IMPORTRANGE(""https://docs.google.com/spreadsheets/d/1tdoBKaGub7dwA3U6UFTqxio9LNnvDCQjHKmttSEBsFQ/edit?usp=sharing"",""เต็มแปลง!U48"")"),16673.59)</f>
        <v>16673.59</v>
      </c>
      <c r="BI50" s="68">
        <f t="shared" ca="1" si="73"/>
        <v>111.3</v>
      </c>
      <c r="BJ50" s="339"/>
    </row>
    <row r="51" spans="1:62" ht="21" customHeight="1" x14ac:dyDescent="0.3">
      <c r="A51" s="155">
        <v>20</v>
      </c>
      <c r="B51" s="156" t="s">
        <v>79</v>
      </c>
      <c r="C51" s="157">
        <f t="shared" ca="1" si="44"/>
        <v>1552560</v>
      </c>
      <c r="D51" s="158">
        <f t="shared" ca="1" si="87"/>
        <v>1552560</v>
      </c>
      <c r="E51" s="159">
        <f ca="1">IFERROR(__xludf.DUMMYFUNCTION("IMPORTRANGE(""https://docs.google.com/spreadsheets/d/1-uDff_7J0KD5mKrp0Vvzr7lt3OU09vwQwhkpOPPYv2Y/edit?usp=sharing"",""งบพรบ!FD51"")"),415700)</f>
        <v>415700</v>
      </c>
      <c r="F51" s="159">
        <f ca="1">IFERROR(__xludf.DUMMYFUNCTION("IMPORTRANGE(""https://docs.google.com/spreadsheets/d/1-uDff_7J0KD5mKrp0Vvzr7lt3OU09vwQwhkpOPPYv2Y/edit?usp=sharing"",""งบพรบ!FE51"")"),1136860)</f>
        <v>1136860</v>
      </c>
      <c r="G51" s="159">
        <f ca="1">IFERROR(__xludf.DUMMYFUNCTION("IMPORTRANGE(""https://docs.google.com/spreadsheets/d/1-uDff_7J0KD5mKrp0Vvzr7lt3OU09vwQwhkpOPPYv2Y/edit?usp=sharing"",""งบพรบ!FF51"")"),0)</f>
        <v>0</v>
      </c>
      <c r="H51" s="159">
        <f ca="1">IFERROR(__xludf.DUMMYFUNCTION("IMPORTRANGE(""https://docs.google.com/spreadsheets/d/1-uDff_7J0KD5mKrp0Vvzr7lt3OU09vwQwhkpOPPYv2Y/edit?usp=sharing"",""งบพรบ!FH51"")"),1920560.8)</f>
        <v>1920560.8</v>
      </c>
      <c r="I51" s="159">
        <f ca="1">IFERROR(__xludf.DUMMYFUNCTION("IMPORTRANGE(""https://docs.google.com/spreadsheets/d/1-uDff_7J0KD5mKrp0Vvzr7lt3OU09vwQwhkpOPPYv2Y/edit?usp=sharing"",""งบพรบ!FI51"")"),0)</f>
        <v>0</v>
      </c>
      <c r="J51" s="159">
        <f t="shared" ca="1" si="46"/>
        <v>1672585.85</v>
      </c>
      <c r="K51" s="160">
        <f t="shared" ca="1" si="47"/>
        <v>107.7308348791673</v>
      </c>
      <c r="L51" s="159">
        <f ca="1">IFERROR(__xludf.DUMMYFUNCTION("IMPORTRANGE(""https://docs.google.com/spreadsheets/d/1-uDff_7J0KD5mKrp0Vvzr7lt3OU09vwQwhkpOPPYv2Y/edit?usp=sharing"",""งบพรบ!FJ51"")"),1672585.85)</f>
        <v>1672585.85</v>
      </c>
      <c r="M51" s="89">
        <f t="shared" ca="1" si="48"/>
        <v>107.7308348791673</v>
      </c>
      <c r="N51" s="89">
        <f t="shared" ca="1" si="49"/>
        <v>87.088409281289088</v>
      </c>
      <c r="O51" s="88">
        <f ca="1">IFERROR(__xludf.DUMMYFUNCTION("IMPORTRANGE(""https://docs.google.com/spreadsheets/d/1-uDff_7J0KD5mKrp0Vvzr7lt3OU09vwQwhkpOPPYv2Y/edit?usp=sharing"",""งบพรบ!FK51"")"),0)</f>
        <v>0</v>
      </c>
      <c r="P51" s="88">
        <f t="shared" ca="1" si="50"/>
        <v>0</v>
      </c>
      <c r="Q51" s="89">
        <f t="shared" ca="1" si="51"/>
        <v>0</v>
      </c>
      <c r="R51" s="157">
        <f ca="1">IFERROR(__xludf.DUMMYFUNCTION("IMPORTRANGE(""https://docs.google.com/spreadsheets/d/1kfLP0j3INXRa8bTDpcEmoWewMBV61jlFlfzczfjWIgc/edit?usp=sharing"",""อุบลราชธานี!I368"")"),4565)</f>
        <v>4565</v>
      </c>
      <c r="S51" s="191">
        <f ca="1">IFERROR(__xludf.DUMMYFUNCTION("IMPORTRANGE(""https://docs.google.com/spreadsheets/d/1kfLP0j3INXRa8bTDpcEmoWewMBV61jlFlfzczfjWIgc/edit?usp=sharing"",""อุบลราชธานี!J367"")"),656)</f>
        <v>656</v>
      </c>
      <c r="T51" s="365">
        <f ca="1">IFERROR(__xludf.DUMMYFUNCTION("IMPORTRANGE(""https://docs.google.com/spreadsheets/d/1kfLP0j3INXRa8bTDpcEmoWewMBV61jlFlfzczfjWIgc/edit?usp=sharing"",""อุบลราชธานี!J368"")"),4876.88)</f>
        <v>4876.88</v>
      </c>
      <c r="U51" s="218">
        <f t="shared" ca="1" si="53"/>
        <v>106.83198247535597</v>
      </c>
      <c r="V51" s="157">
        <f ca="1">IFERROR(__xludf.DUMMYFUNCTION("IMPORTRANGE(""https://docs.google.com/spreadsheets/d/1kfLP0j3INXRa8bTDpcEmoWewMBV61jlFlfzczfjWIgc/edit?usp=sharing"",""อุบลราชธานี!I369"")"),1058)</f>
        <v>1058</v>
      </c>
      <c r="W51" s="191">
        <f ca="1">IFERROR(__xludf.DUMMYFUNCTION("IMPORTRANGE(""https://docs.google.com/spreadsheets/d/1kfLP0j3INXRa8bTDpcEmoWewMBV61jlFlfzczfjWIgc/edit?usp=sharing"",""อุบลราชธานี!J369"")"),1133)</f>
        <v>1133</v>
      </c>
      <c r="X51" s="365">
        <f ca="1">IFERROR(__xludf.DUMMYFUNCTION("IMPORTRANGE(""https://docs.google.com/spreadsheets/d/1kfLP0j3INXRa8bTDpcEmoWewMBV61jlFlfzczfjWIgc/edit?usp=sharing"",""อุบลราชธานี!J370"")"),9893.03999999999)</f>
        <v>9893.03999999999</v>
      </c>
      <c r="Y51" s="218">
        <f t="shared" ca="1" si="55"/>
        <v>107.08884688090737</v>
      </c>
      <c r="Z51" s="157">
        <f ca="1">IFERROR(__xludf.DUMMYFUNCTION("IMPORTRANGE(""https://docs.google.com/spreadsheets/d/1kfLP0j3INXRa8bTDpcEmoWewMBV61jlFlfzczfjWIgc/edit?usp=sharing"",""อุบลราชธานี!I371"")"),1058)</f>
        <v>1058</v>
      </c>
      <c r="AA51" s="191">
        <f ca="1">IFERROR(__xludf.DUMMYFUNCTION("IMPORTRANGE(""https://docs.google.com/spreadsheets/d/1kfLP0j3INXRa8bTDpcEmoWewMBV61jlFlfzczfjWIgc/edit?usp=sharing"",""อุบลราชธานี!J371"")"),1090)</f>
        <v>1090</v>
      </c>
      <c r="AB51" s="365">
        <f ca="1">IFERROR(__xludf.DUMMYFUNCTION("IMPORTRANGE(""https://docs.google.com/spreadsheets/d/1kfLP0j3INXRa8bTDpcEmoWewMBV61jlFlfzczfjWIgc/edit?usp=sharing"",""อุบลราชธานี!J372"")"),9547.86999999999)</f>
        <v>9547.8699999999899</v>
      </c>
      <c r="AC51" s="218">
        <f t="shared" ca="1" si="57"/>
        <v>103.02457466918715</v>
      </c>
      <c r="AD51" s="366">
        <f ca="1">IFERROR(__xludf.DUMMYFUNCTION("IMPORTRANGE(""https://docs.google.com/spreadsheets/d/1eHaY18a8A9IcSdp1K8H6x8fbOy06t2VsZHhMHf-1x7Y/edit?usp=sharing"",""แผน!EM51"")"),2350)</f>
        <v>2350</v>
      </c>
      <c r="AE51" s="159">
        <f ca="1">IFERROR(__xludf.DUMMYFUNCTION("IMPORTRANGE(""https://docs.google.com/spreadsheets/d/1tdoBKaGub7dwA3U6UFTqxio9LNnvDCQjHKmttSEBsFQ/edit?usp=sharing"",""จัดที่ดิน!E51"")"),371)</f>
        <v>371</v>
      </c>
      <c r="AF51" s="88">
        <f ca="1">IFERROR(__xludf.DUMMYFUNCTION("IMPORTRANGE(""https://docs.google.com/spreadsheets/d/1tdoBKaGub7dwA3U6UFTqxio9LNnvDCQjHKmttSEBsFQ/edit?usp=sharing"",""จัดที่ดิน!F51"")"),2841.04)</f>
        <v>2841.04</v>
      </c>
      <c r="AG51" s="89">
        <f t="shared" ca="1" si="59"/>
        <v>120.89531914893617</v>
      </c>
      <c r="AH51" s="366">
        <f ca="1">IFERROR(__xludf.DUMMYFUNCTION("IMPORTRANGE(""https://docs.google.com/spreadsheets/d/1eHaY18a8A9IcSdp1K8H6x8fbOy06t2VsZHhMHf-1x7Y/edit?usp=sharing"",""แผน!EN51"")"),235)</f>
        <v>235</v>
      </c>
      <c r="AI51" s="159">
        <f ca="1">IFERROR(__xludf.DUMMYFUNCTION("IMPORTRANGE(""https://docs.google.com/spreadsheets/d/1tdoBKaGub7dwA3U6UFTqxio9LNnvDCQjHKmttSEBsFQ/edit?usp=sharing"",""จัดที่ดิน!G51"")"),346)</f>
        <v>346</v>
      </c>
      <c r="AJ51" s="88">
        <f ca="1">IFERROR(__xludf.DUMMYFUNCTION("IMPORTRANGE(""https://docs.google.com/spreadsheets/d/1tdoBKaGub7dwA3U6UFTqxio9LNnvDCQjHKmttSEBsFQ/edit?usp=sharing"",""จัดที่ดิน!H51"")"),2604.97)</f>
        <v>2604.9699999999998</v>
      </c>
      <c r="AK51" s="89">
        <f t="shared" ca="1" si="61"/>
        <v>147.2340425531915</v>
      </c>
      <c r="AL51" s="366">
        <f ca="1">IFERROR(__xludf.DUMMYFUNCTION("IMPORTRANGE(""https://docs.google.com/spreadsheets/d/1eHaY18a8A9IcSdp1K8H6x8fbOy06t2VsZHhMHf-1x7Y/edit?usp=sharing"",""แผน!EN51"")"),235)</f>
        <v>235</v>
      </c>
      <c r="AM51" s="159">
        <f ca="1">IFERROR(__xludf.DUMMYFUNCTION("IMPORTRANGE(""https://docs.google.com/spreadsheets/d/1tdoBKaGub7dwA3U6UFTqxio9LNnvDCQjHKmttSEBsFQ/edit?usp=sharing"",""จัดที่ดิน!I51"")"),334)</f>
        <v>334</v>
      </c>
      <c r="AN51" s="88">
        <f ca="1">IFERROR(__xludf.DUMMYFUNCTION("IMPORTRANGE(""https://docs.google.com/spreadsheets/d/1tdoBKaGub7dwA3U6UFTqxio9LNnvDCQjHKmttSEBsFQ/edit?usp=sharing"",""จัดที่ดิน!J51"")"),2470.17)</f>
        <v>2470.17</v>
      </c>
      <c r="AO51" s="89">
        <f t="shared" ca="1" si="63"/>
        <v>142.12765957446808</v>
      </c>
      <c r="AP51" s="367">
        <f ca="1">IFERROR(__xludf.DUMMYFUNCTION("IMPORTRANGE(""https://docs.google.com/spreadsheets/d/1eHaY18a8A9IcSdp1K8H6x8fbOy06t2VsZHhMHf-1x7Y/edit?usp=sharing"",""แผน!EO51"")"),2215)</f>
        <v>2215</v>
      </c>
      <c r="AQ51" s="159">
        <f ca="1">IFERROR(__xludf.DUMMYFUNCTION("IMPORTRANGE(""https://docs.google.com/spreadsheets/d/1tdoBKaGub7dwA3U6UFTqxio9LNnvDCQjHKmttSEBsFQ/edit?usp=sharing"",""แบ่งแปลง!D49"")"),285)</f>
        <v>285</v>
      </c>
      <c r="AR51" s="88">
        <f ca="1">IFERROR(__xludf.DUMMYFUNCTION("IMPORTRANGE(""https://docs.google.com/spreadsheets/d/1tdoBKaGub7dwA3U6UFTqxio9LNnvDCQjHKmttSEBsFQ/edit?usp=sharing"",""แบ่งแปลง!F49"")"),2035.84)</f>
        <v>2035.84</v>
      </c>
      <c r="AS51" s="89">
        <f t="shared" ca="1" si="65"/>
        <v>91.91151241534989</v>
      </c>
      <c r="AT51" s="367">
        <f ca="1">IFERROR(__xludf.DUMMYFUNCTION("IMPORTRANGE(""https://docs.google.com/spreadsheets/d/1eHaY18a8A9IcSdp1K8H6x8fbOy06t2VsZHhMHf-1x7Y/edit?usp=sharing"",""แผน!EP51"")"),403)</f>
        <v>403</v>
      </c>
      <c r="AU51" s="159">
        <f ca="1">IFERROR(__xludf.DUMMYFUNCTION("IMPORTRANGE(""https://docs.google.com/spreadsheets/d/1tdoBKaGub7dwA3U6UFTqxio9LNnvDCQjHKmttSEBsFQ/edit?usp=sharing"",""แบ่งแปลง!I49"")"),285)</f>
        <v>285</v>
      </c>
      <c r="AV51" s="88">
        <f ca="1">IFERROR(__xludf.DUMMYFUNCTION("IMPORTRANGE(""https://docs.google.com/spreadsheets/d/1tdoBKaGub7dwA3U6UFTqxio9LNnvDCQjHKmttSEBsFQ/edit?usp=sharing"",""แบ่งแปลง!K49"")"),2035.84)</f>
        <v>2035.84</v>
      </c>
      <c r="AW51" s="89">
        <f t="shared" ca="1" si="67"/>
        <v>70.719602977667492</v>
      </c>
      <c r="AX51" s="367">
        <f ca="1">IFERROR(__xludf.DUMMYFUNCTION("IMPORTRANGE(""https://docs.google.com/spreadsheets/d/1eHaY18a8A9IcSdp1K8H6x8fbOy06t2VsZHhMHf-1x7Y/edit?usp=sharing"",""แผน!EP51"")"),403)</f>
        <v>403</v>
      </c>
      <c r="AY51" s="159">
        <f ca="1">IFERROR(__xludf.DUMMYFUNCTION("IMPORTRANGE(""https://docs.google.com/spreadsheets/d/1tdoBKaGub7dwA3U6UFTqxio9LNnvDCQjHKmttSEBsFQ/edit?usp=sharing"",""แบ่งแปลง!X49"")"),254)</f>
        <v>254</v>
      </c>
      <c r="AZ51" s="88">
        <f ca="1">IFERROR(__xludf.DUMMYFUNCTION("IMPORTRANGE(""https://docs.google.com/spreadsheets/d/1tdoBKaGub7dwA3U6UFTqxio9LNnvDCQjHKmttSEBsFQ/edit?usp=sharing"",""แบ่งแปลง!Z49"")"),1825.46)</f>
        <v>1825.46</v>
      </c>
      <c r="BA51" s="89">
        <f t="shared" ca="1" si="69"/>
        <v>63.027295285359799</v>
      </c>
      <c r="BB51" s="368">
        <f ca="1">IFERROR(__xludf.DUMMYFUNCTION("IMPORTRANGE(""https://docs.google.com/spreadsheets/d/1eHaY18a8A9IcSdp1K8H6x8fbOy06t2VsZHhMHf-1x7Y/edit?usp=sharing"",""แผน!ES51"")"),420)</f>
        <v>420</v>
      </c>
      <c r="BC51" s="159">
        <f ca="1">IFERROR(__xludf.DUMMYFUNCTION("IMPORTRANGE(""https://docs.google.com/spreadsheets/d/1tdoBKaGub7dwA3U6UFTqxio9LNnvDCQjHKmttSEBsFQ/edit?usp=sharing"",""เต็มแปลง!I49"")"),502)</f>
        <v>502</v>
      </c>
      <c r="BD51" s="88">
        <f ca="1">IFERROR(__xludf.DUMMYFUNCTION("IMPORTRANGE(""https://docs.google.com/spreadsheets/d/1tdoBKaGub7dwA3U6UFTqxio9LNnvDCQjHKmttSEBsFQ/edit?usp=sharing"",""เต็มแปลง!K49"")"),5252.23)</f>
        <v>5252.23</v>
      </c>
      <c r="BE51" s="89">
        <f t="shared" ca="1" si="71"/>
        <v>119.52380952380952</v>
      </c>
      <c r="BF51" s="368">
        <f ca="1">IFERROR(__xludf.DUMMYFUNCTION("IMPORTRANGE(""https://docs.google.com/spreadsheets/d/1eHaY18a8A9IcSdp1K8H6x8fbOy06t2VsZHhMHf-1x7Y/edit?usp=sharing"",""แผน!ES51"")"),420)</f>
        <v>420</v>
      </c>
      <c r="BG51" s="159">
        <f ca="1">IFERROR(__xludf.DUMMYFUNCTION("IMPORTRANGE(""https://docs.google.com/spreadsheets/d/1tdoBKaGub7dwA3U6UFTqxio9LNnvDCQjHKmttSEBsFQ/edit?usp=sharing"",""เต็มแปลง!S49"")"),502)</f>
        <v>502</v>
      </c>
      <c r="BH51" s="88">
        <f ca="1">IFERROR(__xludf.DUMMYFUNCTION("IMPORTRANGE(""https://docs.google.com/spreadsheets/d/1tdoBKaGub7dwA3U6UFTqxio9LNnvDCQjHKmttSEBsFQ/edit?usp=sharing"",""เต็มแปลง!U49"")"),5252.23)</f>
        <v>5252.23</v>
      </c>
      <c r="BI51" s="89">
        <f t="shared" ca="1" si="73"/>
        <v>119.52380952380952</v>
      </c>
      <c r="BJ51" s="339"/>
    </row>
    <row r="52" spans="1:62" ht="21" customHeight="1" x14ac:dyDescent="0.3">
      <c r="A52" s="716" t="s">
        <v>80</v>
      </c>
      <c r="B52" s="662"/>
      <c r="C52" s="161">
        <f t="shared" ca="1" si="44"/>
        <v>11811650</v>
      </c>
      <c r="D52" s="161">
        <f t="shared" ref="D52:I52" ca="1" si="88">SUM(D53:D73)</f>
        <v>11811650</v>
      </c>
      <c r="E52" s="161">
        <f t="shared" ca="1" si="88"/>
        <v>5963000</v>
      </c>
      <c r="F52" s="161">
        <f t="shared" ca="1" si="88"/>
        <v>5848650</v>
      </c>
      <c r="G52" s="161">
        <f t="shared" ca="1" si="88"/>
        <v>0</v>
      </c>
      <c r="H52" s="161">
        <f t="shared" ca="1" si="88"/>
        <v>13129705</v>
      </c>
      <c r="I52" s="161">
        <f t="shared" ca="1" si="88"/>
        <v>0</v>
      </c>
      <c r="J52" s="161">
        <f t="shared" ca="1" si="46"/>
        <v>9759018.2899999991</v>
      </c>
      <c r="K52" s="162">
        <f t="shared" ca="1" si="47"/>
        <v>82.621973136691309</v>
      </c>
      <c r="L52" s="161">
        <f ca="1">SUM(L53:L73)</f>
        <v>9759018.2899999991</v>
      </c>
      <c r="M52" s="94">
        <f t="shared" ca="1" si="48"/>
        <v>82.621973136691309</v>
      </c>
      <c r="N52" s="94">
        <f t="shared" ca="1" si="49"/>
        <v>74.327780327128437</v>
      </c>
      <c r="O52" s="93">
        <f ca="1">SUM(O53:O73)</f>
        <v>0</v>
      </c>
      <c r="P52" s="93">
        <f t="shared" ca="1" si="50"/>
        <v>0</v>
      </c>
      <c r="Q52" s="94">
        <f t="shared" ca="1" si="51"/>
        <v>0</v>
      </c>
      <c r="R52" s="369">
        <f t="shared" ref="R52:T52" ca="1" si="89">SUM(R53:R73)</f>
        <v>14805</v>
      </c>
      <c r="S52" s="161">
        <f t="shared" ca="1" si="89"/>
        <v>1938</v>
      </c>
      <c r="T52" s="93">
        <f t="shared" ca="1" si="89"/>
        <v>23522.729999999992</v>
      </c>
      <c r="U52" s="94">
        <f t="shared" ca="1" si="53"/>
        <v>158.88368794326234</v>
      </c>
      <c r="V52" s="369">
        <f t="shared" ref="V52:X52" ca="1" si="90">SUM(V53:V73)</f>
        <v>3292</v>
      </c>
      <c r="W52" s="161">
        <f t="shared" ca="1" si="90"/>
        <v>3667</v>
      </c>
      <c r="X52" s="93">
        <f t="shared" ca="1" si="90"/>
        <v>55128.349999999991</v>
      </c>
      <c r="Y52" s="94">
        <f t="shared" ca="1" si="55"/>
        <v>111.39125151883354</v>
      </c>
      <c r="Z52" s="369">
        <f t="shared" ref="Z52:AB52" ca="1" si="91">SUM(Z53:Z73)</f>
        <v>3292</v>
      </c>
      <c r="AA52" s="161">
        <f t="shared" ca="1" si="91"/>
        <v>3175</v>
      </c>
      <c r="AB52" s="93">
        <f t="shared" ca="1" si="91"/>
        <v>48570.719999999965</v>
      </c>
      <c r="AC52" s="94">
        <f t="shared" ca="1" si="57"/>
        <v>96.445929526123933</v>
      </c>
      <c r="AD52" s="369">
        <f t="shared" ref="AD52:AF52" ca="1" si="92">SUM(AD53:AD73)</f>
        <v>8870</v>
      </c>
      <c r="AE52" s="161">
        <f t="shared" ca="1" si="92"/>
        <v>905</v>
      </c>
      <c r="AF52" s="93">
        <f t="shared" ca="1" si="92"/>
        <v>13902.340000000002</v>
      </c>
      <c r="AG52" s="94">
        <f t="shared" ca="1" si="59"/>
        <v>156.73438556933488</v>
      </c>
      <c r="AH52" s="369">
        <f t="shared" ref="AH52:AJ52" ca="1" si="93">SUM(AH53:AH73)</f>
        <v>794</v>
      </c>
      <c r="AI52" s="161">
        <f t="shared" ca="1" si="93"/>
        <v>668</v>
      </c>
      <c r="AJ52" s="93">
        <f t="shared" ca="1" si="93"/>
        <v>10088</v>
      </c>
      <c r="AK52" s="94">
        <f t="shared" ca="1" si="61"/>
        <v>84.130982367758193</v>
      </c>
      <c r="AL52" s="369">
        <f t="shared" ref="AL52:AN52" ca="1" si="94">SUM(AL53:AL73)</f>
        <v>794</v>
      </c>
      <c r="AM52" s="161">
        <f t="shared" ca="1" si="94"/>
        <v>380</v>
      </c>
      <c r="AN52" s="93">
        <f t="shared" ca="1" si="94"/>
        <v>5835.2</v>
      </c>
      <c r="AO52" s="94">
        <f t="shared" ca="1" si="63"/>
        <v>47.858942065491185</v>
      </c>
      <c r="AP52" s="369">
        <f t="shared" ref="AP52:AR52" ca="1" si="95">SUM(AP53:AP73)</f>
        <v>5935</v>
      </c>
      <c r="AQ52" s="161">
        <f t="shared" ca="1" si="95"/>
        <v>1025</v>
      </c>
      <c r="AR52" s="93">
        <f t="shared" ca="1" si="95"/>
        <v>9485.98</v>
      </c>
      <c r="AS52" s="94">
        <f t="shared" ca="1" si="65"/>
        <v>159.83117101937657</v>
      </c>
      <c r="AT52" s="369">
        <f t="shared" ref="AT52:AV52" ca="1" si="96">SUM(AT53:AT73)</f>
        <v>876</v>
      </c>
      <c r="AU52" s="161">
        <f t="shared" ca="1" si="96"/>
        <v>655</v>
      </c>
      <c r="AV52" s="93">
        <f t="shared" ca="1" si="96"/>
        <v>5878.1299999999992</v>
      </c>
      <c r="AW52" s="94">
        <f t="shared" ca="1" si="67"/>
        <v>74.771689497716892</v>
      </c>
      <c r="AX52" s="369">
        <f t="shared" ref="AX52:AZ52" ca="1" si="97">SUM(AX53:AX73)</f>
        <v>876</v>
      </c>
      <c r="AY52" s="161">
        <f t="shared" ca="1" si="97"/>
        <v>520</v>
      </c>
      <c r="AZ52" s="93">
        <f t="shared" ca="1" si="97"/>
        <v>4607.8099999999995</v>
      </c>
      <c r="BA52" s="94">
        <f t="shared" ca="1" si="69"/>
        <v>59.360730593607308</v>
      </c>
      <c r="BB52" s="369">
        <f t="shared" ref="BB52:BD52" ca="1" si="98">SUM(BB53:BB73)</f>
        <v>1622</v>
      </c>
      <c r="BC52" s="161">
        <f t="shared" ca="1" si="98"/>
        <v>2351</v>
      </c>
      <c r="BD52" s="93">
        <f t="shared" ca="1" si="98"/>
        <v>39162.22</v>
      </c>
      <c r="BE52" s="94">
        <f t="shared" ca="1" si="71"/>
        <v>144.94451294697905</v>
      </c>
      <c r="BF52" s="369">
        <f t="shared" ref="BF52:BH52" ca="1" si="99">SUM(BF53:BF73)</f>
        <v>1622</v>
      </c>
      <c r="BG52" s="161">
        <f t="shared" ca="1" si="99"/>
        <v>2282</v>
      </c>
      <c r="BH52" s="93">
        <f t="shared" ca="1" si="99"/>
        <v>38127.72</v>
      </c>
      <c r="BI52" s="94">
        <f t="shared" ca="1" si="73"/>
        <v>140.69050554870529</v>
      </c>
      <c r="BJ52" s="356"/>
    </row>
    <row r="53" spans="1:62" ht="21" customHeight="1" x14ac:dyDescent="0.3">
      <c r="A53" s="147">
        <v>1</v>
      </c>
      <c r="B53" s="148" t="s">
        <v>81</v>
      </c>
      <c r="C53" s="149">
        <f t="shared" ca="1" si="44"/>
        <v>850040</v>
      </c>
      <c r="D53" s="150">
        <f t="shared" ref="D53:D73" ca="1" si="100">+E53+F53</f>
        <v>850040</v>
      </c>
      <c r="E53" s="151">
        <f ca="1">IFERROR(__xludf.DUMMYFUNCTION("IMPORTRANGE(""https://docs.google.com/spreadsheets/d/1-uDff_7J0KD5mKrp0Vvzr7lt3OU09vwQwhkpOPPYv2Y/edit?usp=sharing"",""งบพรบ!FD53"")"),499100)</f>
        <v>499100</v>
      </c>
      <c r="F53" s="151">
        <f ca="1">IFERROR(__xludf.DUMMYFUNCTION("IMPORTRANGE(""https://docs.google.com/spreadsheets/d/1-uDff_7J0KD5mKrp0Vvzr7lt3OU09vwQwhkpOPPYv2Y/edit?usp=sharing"",""งบพรบ!FE53"")"),350940)</f>
        <v>350940</v>
      </c>
      <c r="G53" s="152">
        <f ca="1">IFERROR(__xludf.DUMMYFUNCTION("IMPORTRANGE(""https://docs.google.com/spreadsheets/d/1-uDff_7J0KD5mKrp0Vvzr7lt3OU09vwQwhkpOPPYv2Y/edit?usp=sharing"",""งบพรบ!FF53"")"),0)</f>
        <v>0</v>
      </c>
      <c r="H53" s="152">
        <f ca="1">IFERROR(__xludf.DUMMYFUNCTION("IMPORTRANGE(""https://docs.google.com/spreadsheets/d/1-uDff_7J0KD5mKrp0Vvzr7lt3OU09vwQwhkpOPPYv2Y/edit?usp=sharing"",""งบพรบ!FH53"")"),931295)</f>
        <v>931295</v>
      </c>
      <c r="I53" s="152">
        <f ca="1">IFERROR(__xludf.DUMMYFUNCTION("IMPORTRANGE(""https://docs.google.com/spreadsheets/d/1-uDff_7J0KD5mKrp0Vvzr7lt3OU09vwQwhkpOPPYv2Y/edit?usp=sharing"",""งบพรบ!FI53"")"),0)</f>
        <v>0</v>
      </c>
      <c r="J53" s="152">
        <f t="shared" ca="1" si="46"/>
        <v>815721</v>
      </c>
      <c r="K53" s="153">
        <f t="shared" ca="1" si="47"/>
        <v>95.962660580678559</v>
      </c>
      <c r="L53" s="152">
        <f ca="1">IFERROR(__xludf.DUMMYFUNCTION("IMPORTRANGE(""https://docs.google.com/spreadsheets/d/1-uDff_7J0KD5mKrp0Vvzr7lt3OU09vwQwhkpOPPYv2Y/edit?usp=sharing"",""งบพรบ!FJ53"")"),815721)</f>
        <v>815721</v>
      </c>
      <c r="M53" s="68">
        <f t="shared" ca="1" si="48"/>
        <v>95.962660580678559</v>
      </c>
      <c r="N53" s="68">
        <f t="shared" ca="1" si="49"/>
        <v>87.589968806876442</v>
      </c>
      <c r="O53" s="67">
        <f ca="1">IFERROR(__xludf.DUMMYFUNCTION("IMPORTRANGE(""https://docs.google.com/spreadsheets/d/1-uDff_7J0KD5mKrp0Vvzr7lt3OU09vwQwhkpOPPYv2Y/edit?usp=sharing"",""งบพรบ!FK53"")"),0)</f>
        <v>0</v>
      </c>
      <c r="P53" s="67">
        <f t="shared" ca="1" si="50"/>
        <v>0</v>
      </c>
      <c r="Q53" s="68">
        <f t="shared" ca="1" si="51"/>
        <v>0</v>
      </c>
      <c r="R53" s="149">
        <f ca="1">IFERROR(__xludf.DUMMYFUNCTION("IMPORTRANGE(""https://docs.google.com/spreadsheets/d/13wPX838HrBrQMCywv1BsuMkt4PEKTChp52zj44s2izQ/edit?usp=sharing"",""กาญจนบุรี!I368"")"),1100)</f>
        <v>1100</v>
      </c>
      <c r="S53" s="152">
        <f ca="1">IFERROR(__xludf.DUMMYFUNCTION("IMPORTRANGE(""https://docs.google.com/spreadsheets/d/13wPX838HrBrQMCywv1BsuMkt4PEKTChp52zj44s2izQ/edit?usp=sharing"",""กาญจนบุรี!J367"")"),82)</f>
        <v>82</v>
      </c>
      <c r="T53" s="357">
        <f ca="1">IFERROR(__xludf.DUMMYFUNCTION("IMPORTRANGE(""https://docs.google.com/spreadsheets/d/13wPX838HrBrQMCywv1BsuMkt4PEKTChp52zj44s2izQ/edit?usp=sharing"",""กาญจนบุรี!J368"")"),837.76)</f>
        <v>837.76</v>
      </c>
      <c r="U53" s="216">
        <f t="shared" ca="1" si="53"/>
        <v>76.16</v>
      </c>
      <c r="V53" s="149">
        <f ca="1">IFERROR(__xludf.DUMMYFUNCTION("IMPORTRANGE(""https://docs.google.com/spreadsheets/d/13wPX838HrBrQMCywv1BsuMkt4PEKTChp52zj44s2izQ/edit?usp=sharing"",""กาญจนบุรี!I369"")"),270)</f>
        <v>270</v>
      </c>
      <c r="W53" s="152">
        <f ca="1">IFERROR(__xludf.DUMMYFUNCTION("IMPORTRANGE(""https://docs.google.com/spreadsheets/d/13wPX838HrBrQMCywv1BsuMkt4PEKTChp52zj44s2izQ/edit?usp=sharing"",""กาญจนบุรี!J369"")"),267)</f>
        <v>267</v>
      </c>
      <c r="X53" s="357">
        <f ca="1">IFERROR(__xludf.DUMMYFUNCTION("IMPORTRANGE(""https://docs.google.com/spreadsheets/d/13wPX838HrBrQMCywv1BsuMkt4PEKTChp52zj44s2izQ/edit?usp=sharing"",""กาญจนบุรี!J370"")"),4929.59999999999)</f>
        <v>4929.5999999999904</v>
      </c>
      <c r="Y53" s="216">
        <f t="shared" ca="1" si="55"/>
        <v>98.888888888888886</v>
      </c>
      <c r="Z53" s="149">
        <f ca="1">IFERROR(__xludf.DUMMYFUNCTION("IMPORTRANGE(""https://docs.google.com/spreadsheets/d/13wPX838HrBrQMCywv1BsuMkt4PEKTChp52zj44s2izQ/edit?usp=sharing"",""กาญจนบุรี!I371"")"),270)</f>
        <v>270</v>
      </c>
      <c r="AA53" s="152">
        <f ca="1">IFERROR(__xludf.DUMMYFUNCTION("IMPORTRANGE(""https://docs.google.com/spreadsheets/d/13wPX838HrBrQMCywv1BsuMkt4PEKTChp52zj44s2izQ/edit?usp=sharing"",""กาญจนบุรี!J371"")"),266)</f>
        <v>266</v>
      </c>
      <c r="AB53" s="357">
        <f ca="1">IFERROR(__xludf.DUMMYFUNCTION("IMPORTRANGE(""https://docs.google.com/spreadsheets/d/13wPX838HrBrQMCywv1BsuMkt4PEKTChp52zj44s2izQ/edit?usp=sharing"",""กาญจนบุรี!J372"")"),5010.73)</f>
        <v>5010.7299999999996</v>
      </c>
      <c r="AC53" s="216">
        <f t="shared" ca="1" si="57"/>
        <v>98.518518518518519</v>
      </c>
      <c r="AD53" s="358">
        <f ca="1">IFERROR(__xludf.DUMMYFUNCTION("IMPORTRANGE(""https://docs.google.com/spreadsheets/d/1eHaY18a8A9IcSdp1K8H6x8fbOy06t2VsZHhMHf-1x7Y/edit?usp=sharing"",""แผน!EM53"")"),600)</f>
        <v>600</v>
      </c>
      <c r="AE53" s="151">
        <f ca="1">IFERROR(__xludf.DUMMYFUNCTION("IMPORTRANGE(""https://docs.google.com/spreadsheets/d/1tdoBKaGub7dwA3U6UFTqxio9LNnvDCQjHKmttSEBsFQ/edit?usp=sharing"",""จัดที่ดิน!E53"")"),50)</f>
        <v>50</v>
      </c>
      <c r="AF53" s="67">
        <f ca="1">IFERROR(__xludf.DUMMYFUNCTION("IMPORTRANGE(""https://docs.google.com/spreadsheets/d/1tdoBKaGub7dwA3U6UFTqxio9LNnvDCQjHKmttSEBsFQ/edit?usp=sharing"",""จัดที่ดิน!F53"")"),640.45)</f>
        <v>640.45000000000005</v>
      </c>
      <c r="AG53" s="68">
        <f t="shared" ca="1" si="59"/>
        <v>106.74166666666667</v>
      </c>
      <c r="AH53" s="358">
        <f ca="1">IFERROR(__xludf.DUMMYFUNCTION("IMPORTRANGE(""https://docs.google.com/spreadsheets/d/1eHaY18a8A9IcSdp1K8H6x8fbOy06t2VsZHhMHf-1x7Y/edit?usp=sharing"",""แผน!EN53"")"),60)</f>
        <v>60</v>
      </c>
      <c r="AI53" s="151">
        <f ca="1">IFERROR(__xludf.DUMMYFUNCTION("IMPORTRANGE(""https://docs.google.com/spreadsheets/d/1tdoBKaGub7dwA3U6UFTqxio9LNnvDCQjHKmttSEBsFQ/edit?usp=sharing"",""จัดที่ดิน!G53"")"),5)</f>
        <v>5</v>
      </c>
      <c r="AJ53" s="67">
        <f ca="1">IFERROR(__xludf.DUMMYFUNCTION("IMPORTRANGE(""https://docs.google.com/spreadsheets/d/1tdoBKaGub7dwA3U6UFTqxio9LNnvDCQjHKmttSEBsFQ/edit?usp=sharing"",""จัดที่ดิน!H53"")"),43.91)</f>
        <v>43.91</v>
      </c>
      <c r="AK53" s="68">
        <f t="shared" ca="1" si="61"/>
        <v>8.3333333333333339</v>
      </c>
      <c r="AL53" s="358">
        <f ca="1">IFERROR(__xludf.DUMMYFUNCTION("IMPORTRANGE(""https://docs.google.com/spreadsheets/d/1eHaY18a8A9IcSdp1K8H6x8fbOy06t2VsZHhMHf-1x7Y/edit?usp=sharing"",""แผน!EN53"")"),60)</f>
        <v>60</v>
      </c>
      <c r="AM53" s="151">
        <f ca="1">IFERROR(__xludf.DUMMYFUNCTION("IMPORTRANGE(""https://docs.google.com/spreadsheets/d/1tdoBKaGub7dwA3U6UFTqxio9LNnvDCQjHKmttSEBsFQ/edit?usp=sharing"",""จัดที่ดิน!I53"")"),6)</f>
        <v>6</v>
      </c>
      <c r="AN53" s="67">
        <f ca="1">IFERROR(__xludf.DUMMYFUNCTION("IMPORTRANGE(""https://docs.google.com/spreadsheets/d/1tdoBKaGub7dwA3U6UFTqxio9LNnvDCQjHKmttSEBsFQ/edit?usp=sharing"",""จัดที่ดิน!J53"")"),135.7)</f>
        <v>135.69999999999999</v>
      </c>
      <c r="AO53" s="68">
        <f t="shared" ca="1" si="63"/>
        <v>10</v>
      </c>
      <c r="AP53" s="359">
        <f ca="1">IFERROR(__xludf.DUMMYFUNCTION("IMPORTRANGE(""https://docs.google.com/spreadsheets/d/1eHaY18a8A9IcSdp1K8H6x8fbOy06t2VsZHhMHf-1x7Y/edit?usp=sharing"",""แผน!EO53"")"),500)</f>
        <v>500</v>
      </c>
      <c r="AQ53" s="151">
        <f ca="1">IFERROR(__xludf.DUMMYFUNCTION("IMPORTRANGE(""https://docs.google.com/spreadsheets/d/1tdoBKaGub7dwA3U6UFTqxio9LNnvDCQjHKmttSEBsFQ/edit?usp=sharing"",""แบ่งแปลง!D55"")"),32)</f>
        <v>32</v>
      </c>
      <c r="AR53" s="67">
        <f ca="1">IFERROR(__xludf.DUMMYFUNCTION("IMPORTRANGE(""https://docs.google.com/spreadsheets/d/1tdoBKaGub7dwA3U6UFTqxio9LNnvDCQjHKmttSEBsFQ/edit?usp=sharing"",""แบ่งแปลง!F55"")"),197.31)</f>
        <v>197.31</v>
      </c>
      <c r="AS53" s="68">
        <f t="shared" ca="1" si="65"/>
        <v>39.462000000000003</v>
      </c>
      <c r="AT53" s="359">
        <f ca="1">IFERROR(__xludf.DUMMYFUNCTION("IMPORTRANGE(""https://docs.google.com/spreadsheets/d/1eHaY18a8A9IcSdp1K8H6x8fbOy06t2VsZHhMHf-1x7Y/edit?usp=sharing"",""แผน!EP53"")"),100)</f>
        <v>100</v>
      </c>
      <c r="AU53" s="151">
        <f ca="1">IFERROR(__xludf.DUMMYFUNCTION("IMPORTRANGE(""https://docs.google.com/spreadsheets/d/1tdoBKaGub7dwA3U6UFTqxio9LNnvDCQjHKmttSEBsFQ/edit?usp=sharing"",""แบ่งแปลง!I55"")"),2)</f>
        <v>2</v>
      </c>
      <c r="AV53" s="67">
        <f ca="1">IFERROR(__xludf.DUMMYFUNCTION("IMPORTRANGE(""https://docs.google.com/spreadsheets/d/1tdoBKaGub7dwA3U6UFTqxio9LNnvDCQjHKmttSEBsFQ/edit?usp=sharing"",""แบ่งแปลง!K55"")"),10.65)</f>
        <v>10.65</v>
      </c>
      <c r="AW53" s="68">
        <f t="shared" ca="1" si="67"/>
        <v>2</v>
      </c>
      <c r="AX53" s="359">
        <f ca="1">IFERROR(__xludf.DUMMYFUNCTION("IMPORTRANGE(""https://docs.google.com/spreadsheets/d/1eHaY18a8A9IcSdp1K8H6x8fbOy06t2VsZHhMHf-1x7Y/edit?usp=sharing"",""แผน!EP53"")"),100)</f>
        <v>100</v>
      </c>
      <c r="AY53" s="151">
        <f ca="1">IFERROR(__xludf.DUMMYFUNCTION("IMPORTRANGE(""https://docs.google.com/spreadsheets/d/1tdoBKaGub7dwA3U6UFTqxio9LNnvDCQjHKmttSEBsFQ/edit?usp=sharing"",""แบ่งแปลง!X55"")"),0)</f>
        <v>0</v>
      </c>
      <c r="AZ53" s="67">
        <f ca="1">IFERROR(__xludf.DUMMYFUNCTION("IMPORTRANGE(""https://docs.google.com/spreadsheets/d/1tdoBKaGub7dwA3U6UFTqxio9LNnvDCQjHKmttSEBsFQ/edit?usp=sharing"",""แบ่งแปลง!Z55"")"),0)</f>
        <v>0</v>
      </c>
      <c r="BA53" s="68">
        <f t="shared" ca="1" si="69"/>
        <v>0</v>
      </c>
      <c r="BB53" s="360">
        <f ca="1">IFERROR(__xludf.DUMMYFUNCTION("IMPORTRANGE(""https://docs.google.com/spreadsheets/d/1eHaY18a8A9IcSdp1K8H6x8fbOy06t2VsZHhMHf-1x7Y/edit?usp=sharing"",""แผน!ES53"")"),110)</f>
        <v>110</v>
      </c>
      <c r="BC53" s="151">
        <f ca="1">IFERROR(__xludf.DUMMYFUNCTION("IMPORTRANGE(""https://docs.google.com/spreadsheets/d/1tdoBKaGub7dwA3U6UFTqxio9LNnvDCQjHKmttSEBsFQ/edit?usp=sharing"",""เต็มแปลง!I55"")"),260)</f>
        <v>260</v>
      </c>
      <c r="BD53" s="67">
        <f ca="1">IFERROR(__xludf.DUMMYFUNCTION("IMPORTRANGE(""https://docs.google.com/spreadsheets/d/1tdoBKaGub7dwA3U6UFTqxio9LNnvDCQjHKmttSEBsFQ/edit?usp=sharing"",""เต็มแปลง!K55"")"),4875.03)</f>
        <v>4875.03</v>
      </c>
      <c r="BE53" s="68">
        <f t="shared" ca="1" si="71"/>
        <v>236.36363636363637</v>
      </c>
      <c r="BF53" s="360">
        <f ca="1">IFERROR(__xludf.DUMMYFUNCTION("IMPORTRANGE(""https://docs.google.com/spreadsheets/d/1eHaY18a8A9IcSdp1K8H6x8fbOy06t2VsZHhMHf-1x7Y/edit?usp=sharing"",""แผน!ES53"")"),110)</f>
        <v>110</v>
      </c>
      <c r="BG53" s="151">
        <f ca="1">IFERROR(__xludf.DUMMYFUNCTION("IMPORTRANGE(""https://docs.google.com/spreadsheets/d/1tdoBKaGub7dwA3U6UFTqxio9LNnvDCQjHKmttSEBsFQ/edit?usp=sharing"",""เต็มแปลง!S55"")"),260)</f>
        <v>260</v>
      </c>
      <c r="BH53" s="67">
        <f ca="1">IFERROR(__xludf.DUMMYFUNCTION("IMPORTRANGE(""https://docs.google.com/spreadsheets/d/1tdoBKaGub7dwA3U6UFTqxio9LNnvDCQjHKmttSEBsFQ/edit?usp=sharing"",""เต็มแปลง!U55"")"),4875.03)</f>
        <v>4875.03</v>
      </c>
      <c r="BI53" s="68">
        <f t="shared" ca="1" si="73"/>
        <v>236.36363636363637</v>
      </c>
      <c r="BJ53" s="339"/>
    </row>
    <row r="54" spans="1:62" ht="21" customHeight="1" x14ac:dyDescent="0.3">
      <c r="A54" s="147">
        <v>2</v>
      </c>
      <c r="B54" s="148" t="s">
        <v>82</v>
      </c>
      <c r="C54" s="149">
        <f t="shared" ca="1" si="44"/>
        <v>688230</v>
      </c>
      <c r="D54" s="150">
        <f t="shared" ca="1" si="100"/>
        <v>688230</v>
      </c>
      <c r="E54" s="151">
        <f ca="1">IFERROR(__xludf.DUMMYFUNCTION("IMPORTRANGE(""https://docs.google.com/spreadsheets/d/1-uDff_7J0KD5mKrp0Vvzr7lt3OU09vwQwhkpOPPYv2Y/edit?usp=sharing"",""งบพรบ!FD54"")"),393800)</f>
        <v>393800</v>
      </c>
      <c r="F54" s="151">
        <f ca="1">IFERROR(__xludf.DUMMYFUNCTION("IMPORTRANGE(""https://docs.google.com/spreadsheets/d/1-uDff_7J0KD5mKrp0Vvzr7lt3OU09vwQwhkpOPPYv2Y/edit?usp=sharing"",""งบพรบ!FE54"")"),294430)</f>
        <v>294430</v>
      </c>
      <c r="G54" s="151">
        <f ca="1">IFERROR(__xludf.DUMMYFUNCTION("IMPORTRANGE(""https://docs.google.com/spreadsheets/d/1-uDff_7J0KD5mKrp0Vvzr7lt3OU09vwQwhkpOPPYv2Y/edit?usp=sharing"",""งบพรบ!FF54"")"),0)</f>
        <v>0</v>
      </c>
      <c r="H54" s="151">
        <f ca="1">IFERROR(__xludf.DUMMYFUNCTION("IMPORTRANGE(""https://docs.google.com/spreadsheets/d/1-uDff_7J0KD5mKrp0Vvzr7lt3OU09vwQwhkpOPPYv2Y/edit?usp=sharing"",""งบพรบ!FH54"")"),776230)</f>
        <v>776230</v>
      </c>
      <c r="I54" s="151">
        <f ca="1">IFERROR(__xludf.DUMMYFUNCTION("IMPORTRANGE(""https://docs.google.com/spreadsheets/d/1-uDff_7J0KD5mKrp0Vvzr7lt3OU09vwQwhkpOPPYv2Y/edit?usp=sharing"",""งบพรบ!FI54"")"),0)</f>
        <v>0</v>
      </c>
      <c r="J54" s="151">
        <f t="shared" ca="1" si="46"/>
        <v>476285.31</v>
      </c>
      <c r="K54" s="154">
        <f t="shared" ca="1" si="47"/>
        <v>69.204380802929251</v>
      </c>
      <c r="L54" s="151">
        <f ca="1">IFERROR(__xludf.DUMMYFUNCTION("IMPORTRANGE(""https://docs.google.com/spreadsheets/d/1-uDff_7J0KD5mKrp0Vvzr7lt3OU09vwQwhkpOPPYv2Y/edit?usp=sharing"",""งบพรบ!FJ54"")"),476285.31)</f>
        <v>476285.31</v>
      </c>
      <c r="M54" s="68">
        <f t="shared" ca="1" si="48"/>
        <v>69.204380802929251</v>
      </c>
      <c r="N54" s="68">
        <f t="shared" ca="1" si="49"/>
        <v>61.358786699818353</v>
      </c>
      <c r="O54" s="67">
        <f ca="1">IFERROR(__xludf.DUMMYFUNCTION("IMPORTRANGE(""https://docs.google.com/spreadsheets/d/1-uDff_7J0KD5mKrp0Vvzr7lt3OU09vwQwhkpOPPYv2Y/edit?usp=sharing"",""งบพรบ!FK54"")"),0)</f>
        <v>0</v>
      </c>
      <c r="P54" s="67">
        <f t="shared" ca="1" si="50"/>
        <v>0</v>
      </c>
      <c r="Q54" s="68">
        <f t="shared" ca="1" si="51"/>
        <v>0</v>
      </c>
      <c r="R54" s="149">
        <f ca="1">IFERROR(__xludf.DUMMYFUNCTION("IMPORTRANGE(""https://docs.google.com/spreadsheets/d/1ddFKvqj1W1NEiWytbGlB1zMx_ykJDVtmfEQ-6-lIUBA/edit?usp=sharing"",""จันทบุรี!I368"")"),870)</f>
        <v>870</v>
      </c>
      <c r="S54" s="152">
        <f ca="1">IFERROR(__xludf.DUMMYFUNCTION("IMPORTRANGE(""https://docs.google.com/spreadsheets/d/1ddFKvqj1W1NEiWytbGlB1zMx_ykJDVtmfEQ-6-lIUBA/edit?usp=sharing"",""จันทบุรี!J367"")"),103)</f>
        <v>103</v>
      </c>
      <c r="T54" s="357">
        <f ca="1">IFERROR(__xludf.DUMMYFUNCTION("IMPORTRANGE(""https://docs.google.com/spreadsheets/d/1ddFKvqj1W1NEiWytbGlB1zMx_ykJDVtmfEQ-6-lIUBA/edit?usp=sharing"",""จันทบุรี!J368"")"),1017.88)</f>
        <v>1017.88</v>
      </c>
      <c r="U54" s="216">
        <f t="shared" ca="1" si="53"/>
        <v>116.99770114942528</v>
      </c>
      <c r="V54" s="149">
        <f ca="1">IFERROR(__xludf.DUMMYFUNCTION("IMPORTRANGE(""https://docs.google.com/spreadsheets/d/1ddFKvqj1W1NEiWytbGlB1zMx_ykJDVtmfEQ-6-lIUBA/edit?usp=sharing"",""จันทบุรี!I369"")"),119)</f>
        <v>119</v>
      </c>
      <c r="W54" s="152">
        <f ca="1">IFERROR(__xludf.DUMMYFUNCTION("IMPORTRANGE(""https://docs.google.com/spreadsheets/d/1ddFKvqj1W1NEiWytbGlB1zMx_ykJDVtmfEQ-6-lIUBA/edit?usp=sharing"",""จันทบุรี!J369"")"),113)</f>
        <v>113</v>
      </c>
      <c r="X54" s="357">
        <f ca="1">IFERROR(__xludf.DUMMYFUNCTION("IMPORTRANGE(""https://docs.google.com/spreadsheets/d/1ddFKvqj1W1NEiWytbGlB1zMx_ykJDVtmfEQ-6-lIUBA/edit?usp=sharing"",""จันทบุรี!J370"")"),1476.83)</f>
        <v>1476.83</v>
      </c>
      <c r="Y54" s="216">
        <f t="shared" ca="1" si="55"/>
        <v>94.957983193277315</v>
      </c>
      <c r="Z54" s="149">
        <f ca="1">IFERROR(__xludf.DUMMYFUNCTION("IMPORTRANGE(""https://docs.google.com/spreadsheets/d/1ddFKvqj1W1NEiWytbGlB1zMx_ykJDVtmfEQ-6-lIUBA/edit?usp=sharing"",""จันทบุรี!I371"")"),119)</f>
        <v>119</v>
      </c>
      <c r="AA54" s="152">
        <f ca="1">IFERROR(__xludf.DUMMYFUNCTION("IMPORTRANGE(""https://docs.google.com/spreadsheets/d/1ddFKvqj1W1NEiWytbGlB1zMx_ykJDVtmfEQ-6-lIUBA/edit?usp=sharing"",""จันทบุรี!J371"")"),112)</f>
        <v>112</v>
      </c>
      <c r="AB54" s="357">
        <f ca="1">IFERROR(__xludf.DUMMYFUNCTION("IMPORTRANGE(""https://docs.google.com/spreadsheets/d/1ddFKvqj1W1NEiWytbGlB1zMx_ykJDVtmfEQ-6-lIUBA/edit?usp=sharing"",""จันทบุรี!J372"")"),1466.38)</f>
        <v>1466.38</v>
      </c>
      <c r="AC54" s="216">
        <f t="shared" ca="1" si="57"/>
        <v>94.117647058823536</v>
      </c>
      <c r="AD54" s="358">
        <f ca="1">IFERROR(__xludf.DUMMYFUNCTION("IMPORTRANGE(""https://docs.google.com/spreadsheets/d/1eHaY18a8A9IcSdp1K8H6x8fbOy06t2VsZHhMHf-1x7Y/edit?usp=sharing"",""แผน!EM54"")"),410)</f>
        <v>410</v>
      </c>
      <c r="AE54" s="151">
        <f ca="1">IFERROR(__xludf.DUMMYFUNCTION("IMPORTRANGE(""https://docs.google.com/spreadsheets/d/1tdoBKaGub7dwA3U6UFTqxio9LNnvDCQjHKmttSEBsFQ/edit?usp=sharing"",""จัดที่ดิน!E54"")"),40)</f>
        <v>40</v>
      </c>
      <c r="AF54" s="67">
        <f ca="1">IFERROR(__xludf.DUMMYFUNCTION("IMPORTRANGE(""https://docs.google.com/spreadsheets/d/1tdoBKaGub7dwA3U6UFTqxio9LNnvDCQjHKmttSEBsFQ/edit?usp=sharing"",""จัดที่ดิน!F54"")"),512.19)</f>
        <v>512.19000000000005</v>
      </c>
      <c r="AG54" s="68">
        <f t="shared" ca="1" si="59"/>
        <v>124.92439024390245</v>
      </c>
      <c r="AH54" s="358">
        <f ca="1">IFERROR(__xludf.DUMMYFUNCTION("IMPORTRANGE(""https://docs.google.com/spreadsheets/d/1eHaY18a8A9IcSdp1K8H6x8fbOy06t2VsZHhMHf-1x7Y/edit?usp=sharing"",""แผน!EN54"")"),27)</f>
        <v>27</v>
      </c>
      <c r="AI54" s="151">
        <f ca="1">IFERROR(__xludf.DUMMYFUNCTION("IMPORTRANGE(""https://docs.google.com/spreadsheets/d/1tdoBKaGub7dwA3U6UFTqxio9LNnvDCQjHKmttSEBsFQ/edit?usp=sharing"",""จัดที่ดิน!G54"")"),36)</f>
        <v>36</v>
      </c>
      <c r="AJ54" s="67">
        <f ca="1">IFERROR(__xludf.DUMMYFUNCTION("IMPORTRANGE(""https://docs.google.com/spreadsheets/d/1tdoBKaGub7dwA3U6UFTqxio9LNnvDCQjHKmttSEBsFQ/edit?usp=sharing"",""จัดที่ดิน!H54"")"),471.12)</f>
        <v>471.12</v>
      </c>
      <c r="AK54" s="68">
        <f t="shared" ca="1" si="61"/>
        <v>133.33333333333334</v>
      </c>
      <c r="AL54" s="358">
        <f ca="1">IFERROR(__xludf.DUMMYFUNCTION("IMPORTRANGE(""https://docs.google.com/spreadsheets/d/1eHaY18a8A9IcSdp1K8H6x8fbOy06t2VsZHhMHf-1x7Y/edit?usp=sharing"",""แผน!EN54"")"),27)</f>
        <v>27</v>
      </c>
      <c r="AM54" s="151">
        <f ca="1">IFERROR(__xludf.DUMMYFUNCTION("IMPORTRANGE(""https://docs.google.com/spreadsheets/d/1tdoBKaGub7dwA3U6UFTqxio9LNnvDCQjHKmttSEBsFQ/edit?usp=sharing"",""จัดที่ดิน!I54"")"),36)</f>
        <v>36</v>
      </c>
      <c r="AN54" s="67">
        <f ca="1">IFERROR(__xludf.DUMMYFUNCTION("IMPORTRANGE(""https://docs.google.com/spreadsheets/d/1tdoBKaGub7dwA3U6UFTqxio9LNnvDCQjHKmttSEBsFQ/edit?usp=sharing"",""จัดที่ดิน!J54"")"),471.12)</f>
        <v>471.12</v>
      </c>
      <c r="AO54" s="68">
        <f t="shared" ca="1" si="63"/>
        <v>133.33333333333334</v>
      </c>
      <c r="AP54" s="359">
        <f ca="1">IFERROR(__xludf.DUMMYFUNCTION("IMPORTRANGE(""https://docs.google.com/spreadsheets/d/1eHaY18a8A9IcSdp1K8H6x8fbOy06t2VsZHhMHf-1x7Y/edit?usp=sharing"",""แผน!EO54"")"),460)</f>
        <v>460</v>
      </c>
      <c r="AQ54" s="151">
        <f ca="1">IFERROR(__xludf.DUMMYFUNCTION("IMPORTRANGE(""https://docs.google.com/spreadsheets/d/1tdoBKaGub7dwA3U6UFTqxio9LNnvDCQjHKmttSEBsFQ/edit?usp=sharing"",""แบ่งแปลง!D56"")"),63)</f>
        <v>63</v>
      </c>
      <c r="AR54" s="67">
        <f ca="1">IFERROR(__xludf.DUMMYFUNCTION("IMPORTRANGE(""https://docs.google.com/spreadsheets/d/1tdoBKaGub7dwA3U6UFTqxio9LNnvDCQjHKmttSEBsFQ/edit?usp=sharing"",""แบ่งแปลง!F56"")"),505.69)</f>
        <v>505.69</v>
      </c>
      <c r="AS54" s="68">
        <f t="shared" ca="1" si="65"/>
        <v>109.93260869565218</v>
      </c>
      <c r="AT54" s="359">
        <f ca="1">IFERROR(__xludf.DUMMYFUNCTION("IMPORTRANGE(""https://docs.google.com/spreadsheets/d/1eHaY18a8A9IcSdp1K8H6x8fbOy06t2VsZHhMHf-1x7Y/edit?usp=sharing"",""แผน!EP54"")"),36)</f>
        <v>36</v>
      </c>
      <c r="AU54" s="151">
        <f ca="1">IFERROR(__xludf.DUMMYFUNCTION("IMPORTRANGE(""https://docs.google.com/spreadsheets/d/1tdoBKaGub7dwA3U6UFTqxio9LNnvDCQjHKmttSEBsFQ/edit?usp=sharing"",""แบ่งแปลง!I56"")"),31)</f>
        <v>31</v>
      </c>
      <c r="AV54" s="67">
        <f ca="1">IFERROR(__xludf.DUMMYFUNCTION("IMPORTRANGE(""https://docs.google.com/spreadsheets/d/1tdoBKaGub7dwA3U6UFTqxio9LNnvDCQjHKmttSEBsFQ/edit?usp=sharing"",""แบ่งแปลง!K56"")"),271.2)</f>
        <v>271.2</v>
      </c>
      <c r="AW54" s="68">
        <f t="shared" ca="1" si="67"/>
        <v>86.111111111111114</v>
      </c>
      <c r="AX54" s="359">
        <f ca="1">IFERROR(__xludf.DUMMYFUNCTION("IMPORTRANGE(""https://docs.google.com/spreadsheets/d/1eHaY18a8A9IcSdp1K8H6x8fbOy06t2VsZHhMHf-1x7Y/edit?usp=sharing"",""แผน!EP54"")"),36)</f>
        <v>36</v>
      </c>
      <c r="AY54" s="151">
        <f ca="1">IFERROR(__xludf.DUMMYFUNCTION("IMPORTRANGE(""https://docs.google.com/spreadsheets/d/1tdoBKaGub7dwA3U6UFTqxio9LNnvDCQjHKmttSEBsFQ/edit?usp=sharing"",""แบ่งแปลง!X56"")"),31)</f>
        <v>31</v>
      </c>
      <c r="AZ54" s="67">
        <f ca="1">IFERROR(__xludf.DUMMYFUNCTION("IMPORTRANGE(""https://docs.google.com/spreadsheets/d/1tdoBKaGub7dwA3U6UFTqxio9LNnvDCQjHKmttSEBsFQ/edit?usp=sharing"",""แบ่งแปลง!Z56"")"),271.2)</f>
        <v>271.2</v>
      </c>
      <c r="BA54" s="68">
        <f t="shared" ca="1" si="69"/>
        <v>86.111111111111114</v>
      </c>
      <c r="BB54" s="360">
        <f ca="1">IFERROR(__xludf.DUMMYFUNCTION("IMPORTRANGE(""https://docs.google.com/spreadsheets/d/1eHaY18a8A9IcSdp1K8H6x8fbOy06t2VsZHhMHf-1x7Y/edit?usp=sharing"",""แผน!ES54"")"),56)</f>
        <v>56</v>
      </c>
      <c r="BC54" s="151">
        <f ca="1">IFERROR(__xludf.DUMMYFUNCTION("IMPORTRANGE(""https://docs.google.com/spreadsheets/d/1tdoBKaGub7dwA3U6UFTqxio9LNnvDCQjHKmttSEBsFQ/edit?usp=sharing"",""เต็มแปลง!I56"")"),48)</f>
        <v>48</v>
      </c>
      <c r="BD54" s="67">
        <f ca="1">IFERROR(__xludf.DUMMYFUNCTION("IMPORTRANGE(""https://docs.google.com/spreadsheets/d/1tdoBKaGub7dwA3U6UFTqxio9LNnvDCQjHKmttSEBsFQ/edit?usp=sharing"",""เต็มแปลง!K56"")"),734.51)</f>
        <v>734.51</v>
      </c>
      <c r="BE54" s="68">
        <f t="shared" ca="1" si="71"/>
        <v>85.714285714285708</v>
      </c>
      <c r="BF54" s="360">
        <f ca="1">IFERROR(__xludf.DUMMYFUNCTION("IMPORTRANGE(""https://docs.google.com/spreadsheets/d/1eHaY18a8A9IcSdp1K8H6x8fbOy06t2VsZHhMHf-1x7Y/edit?usp=sharing"",""แผน!ES54"")"),56)</f>
        <v>56</v>
      </c>
      <c r="BG54" s="151">
        <f ca="1">IFERROR(__xludf.DUMMYFUNCTION("IMPORTRANGE(""https://docs.google.com/spreadsheets/d/1tdoBKaGub7dwA3U6UFTqxio9LNnvDCQjHKmttSEBsFQ/edit?usp=sharing"",""เต็มแปลง!S56"")"),47)</f>
        <v>47</v>
      </c>
      <c r="BH54" s="67">
        <f ca="1">IFERROR(__xludf.DUMMYFUNCTION("IMPORTRANGE(""https://docs.google.com/spreadsheets/d/1tdoBKaGub7dwA3U6UFTqxio9LNnvDCQjHKmttSEBsFQ/edit?usp=sharing"",""เต็มแปลง!U56"")"),724.06)</f>
        <v>724.06</v>
      </c>
      <c r="BI54" s="68">
        <f t="shared" ca="1" si="73"/>
        <v>83.928571428571431</v>
      </c>
      <c r="BJ54" s="339"/>
    </row>
    <row r="55" spans="1:62" ht="21" customHeight="1" x14ac:dyDescent="0.3">
      <c r="A55" s="147">
        <v>3</v>
      </c>
      <c r="B55" s="148" t="s">
        <v>83</v>
      </c>
      <c r="C55" s="149">
        <f t="shared" ca="1" si="44"/>
        <v>564250</v>
      </c>
      <c r="D55" s="150">
        <f t="shared" ca="1" si="100"/>
        <v>564250</v>
      </c>
      <c r="E55" s="151">
        <f ca="1">IFERROR(__xludf.DUMMYFUNCTION("IMPORTRANGE(""https://docs.google.com/spreadsheets/d/1-uDff_7J0KD5mKrp0Vvzr7lt3OU09vwQwhkpOPPYv2Y/edit?usp=sharing"",""งบพรบ!FD55"")"),0)</f>
        <v>0</v>
      </c>
      <c r="F55" s="151">
        <f ca="1">IFERROR(__xludf.DUMMYFUNCTION("IMPORTRANGE(""https://docs.google.com/spreadsheets/d/1-uDff_7J0KD5mKrp0Vvzr7lt3OU09vwQwhkpOPPYv2Y/edit?usp=sharing"",""งบพรบ!FE55"")"),564250)</f>
        <v>564250</v>
      </c>
      <c r="G55" s="151">
        <f ca="1">IFERROR(__xludf.DUMMYFUNCTION("IMPORTRANGE(""https://docs.google.com/spreadsheets/d/1-uDff_7J0KD5mKrp0Vvzr7lt3OU09vwQwhkpOPPYv2Y/edit?usp=sharing"",""งบพรบ!FF55"")"),0)</f>
        <v>0</v>
      </c>
      <c r="H55" s="151">
        <f ca="1">IFERROR(__xludf.DUMMYFUNCTION("IMPORTRANGE(""https://docs.google.com/spreadsheets/d/1-uDff_7J0KD5mKrp0Vvzr7lt3OU09vwQwhkpOPPYv2Y/edit?usp=sharing"",""งบพรบ!FH55"")"),693035)</f>
        <v>693035</v>
      </c>
      <c r="I55" s="151">
        <f ca="1">IFERROR(__xludf.DUMMYFUNCTION("IMPORTRANGE(""https://docs.google.com/spreadsheets/d/1-uDff_7J0KD5mKrp0Vvzr7lt3OU09vwQwhkpOPPYv2Y/edit?usp=sharing"",""งบพรบ!FI55"")"),0)</f>
        <v>0</v>
      </c>
      <c r="J55" s="151">
        <f t="shared" ca="1" si="46"/>
        <v>369637.93</v>
      </c>
      <c r="K55" s="154">
        <f t="shared" ca="1" si="47"/>
        <v>65.509602126716885</v>
      </c>
      <c r="L55" s="151">
        <f ca="1">IFERROR(__xludf.DUMMYFUNCTION("IMPORTRANGE(""https://docs.google.com/spreadsheets/d/1-uDff_7J0KD5mKrp0Vvzr7lt3OU09vwQwhkpOPPYv2Y/edit?usp=sharing"",""งบพรบ!FJ55"")"),369637.93)</f>
        <v>369637.93</v>
      </c>
      <c r="M55" s="68">
        <f t="shared" ca="1" si="48"/>
        <v>65.509602126716885</v>
      </c>
      <c r="N55" s="68">
        <f t="shared" ca="1" si="49"/>
        <v>53.336112894731144</v>
      </c>
      <c r="O55" s="67">
        <f ca="1">IFERROR(__xludf.DUMMYFUNCTION("IMPORTRANGE(""https://docs.google.com/spreadsheets/d/1-uDff_7J0KD5mKrp0Vvzr7lt3OU09vwQwhkpOPPYv2Y/edit?usp=sharing"",""งบพรบ!FK55"")"),0)</f>
        <v>0</v>
      </c>
      <c r="P55" s="67">
        <f t="shared" ca="1" si="50"/>
        <v>0</v>
      </c>
      <c r="Q55" s="68">
        <f t="shared" ca="1" si="51"/>
        <v>0</v>
      </c>
      <c r="R55" s="149">
        <f ca="1">IFERROR(__xludf.DUMMYFUNCTION("IMPORTRANGE(""https://docs.google.com/spreadsheets/d/1T1PQvRODqOBZk8BRht_U031fIS1beLA0Ub2CEytj2q0/edit?usp=sharing"",""ฉะเชิงเทรา!I368"")"),3200)</f>
        <v>3200</v>
      </c>
      <c r="S55" s="152">
        <f ca="1">IFERROR(__xludf.DUMMYFUNCTION("IMPORTRANGE(""https://docs.google.com/spreadsheets/d/1T1PQvRODqOBZk8BRht_U031fIS1beLA0Ub2CEytj2q0/edit?usp=sharing"",""ฉะเชิงเทรา!J367"")"),385)</f>
        <v>385</v>
      </c>
      <c r="T55" s="357">
        <f ca="1">IFERROR(__xludf.DUMMYFUNCTION("IMPORTRANGE(""https://docs.google.com/spreadsheets/d/1T1PQvRODqOBZk8BRht_U031fIS1beLA0Ub2CEytj2q0/edit?usp=sharing"",""ฉะเชิงเทรา!J368"")"),4978.25)</f>
        <v>4978.25</v>
      </c>
      <c r="U55" s="216">
        <f t="shared" ca="1" si="53"/>
        <v>155.5703125</v>
      </c>
      <c r="V55" s="149">
        <f ca="1">IFERROR(__xludf.DUMMYFUNCTION("IMPORTRANGE(""https://docs.google.com/spreadsheets/d/1T1PQvRODqOBZk8BRht_U031fIS1beLA0Ub2CEytj2q0/edit?usp=sharing"",""ฉะเชิงเทรา!I369"")"),624)</f>
        <v>624</v>
      </c>
      <c r="W55" s="152">
        <f ca="1">IFERROR(__xludf.DUMMYFUNCTION("IMPORTRANGE(""https://docs.google.com/spreadsheets/d/1T1PQvRODqOBZk8BRht_U031fIS1beLA0Ub2CEytj2q0/edit?usp=sharing"",""ฉะเชิงเทรา!J369"")"),465)</f>
        <v>465</v>
      </c>
      <c r="X55" s="357">
        <f ca="1">IFERROR(__xludf.DUMMYFUNCTION("IMPORTRANGE(""https://docs.google.com/spreadsheets/d/1T1PQvRODqOBZk8BRht_U031fIS1beLA0Ub2CEytj2q0/edit?usp=sharing"",""ฉะเชิงเทรา!J370"")"),7560.15)</f>
        <v>7560.15</v>
      </c>
      <c r="Y55" s="216">
        <f t="shared" ca="1" si="55"/>
        <v>74.519230769230774</v>
      </c>
      <c r="Z55" s="149">
        <f ca="1">IFERROR(__xludf.DUMMYFUNCTION("IMPORTRANGE(""https://docs.google.com/spreadsheets/d/1T1PQvRODqOBZk8BRht_U031fIS1beLA0Ub2CEytj2q0/edit?usp=sharing"",""ฉะเชิงเทรา!I371"")"),624)</f>
        <v>624</v>
      </c>
      <c r="AA55" s="152">
        <f ca="1">IFERROR(__xludf.DUMMYFUNCTION("IMPORTRANGE(""https://docs.google.com/spreadsheets/d/1T1PQvRODqOBZk8BRht_U031fIS1beLA0Ub2CEytj2q0/edit?usp=sharing"",""ฉะเชิงเทรา!J371"")"),416)</f>
        <v>416</v>
      </c>
      <c r="AB55" s="357">
        <f ca="1">IFERROR(__xludf.DUMMYFUNCTION("IMPORTRANGE(""https://docs.google.com/spreadsheets/d/1T1PQvRODqOBZk8BRht_U031fIS1beLA0Ub2CEytj2q0/edit?usp=sharing"",""ฉะเชิงเทรา!J372"")"),6934.19)</f>
        <v>6934.19</v>
      </c>
      <c r="AC55" s="216">
        <f t="shared" ca="1" si="57"/>
        <v>66.666666666666671</v>
      </c>
      <c r="AD55" s="358">
        <f ca="1">IFERROR(__xludf.DUMMYFUNCTION("IMPORTRANGE(""https://docs.google.com/spreadsheets/d/1eHaY18a8A9IcSdp1K8H6x8fbOy06t2VsZHhMHf-1x7Y/edit?usp=sharing"",""แผน!EM55"")"),2000)</f>
        <v>2000</v>
      </c>
      <c r="AE55" s="151">
        <f ca="1">IFERROR(__xludf.DUMMYFUNCTION("IMPORTRANGE(""https://docs.google.com/spreadsheets/d/1tdoBKaGub7dwA3U6UFTqxio9LNnvDCQjHKmttSEBsFQ/edit?usp=sharing"",""จัดที่ดิน!E55"")"),131)</f>
        <v>131</v>
      </c>
      <c r="AF55" s="67">
        <f ca="1">IFERROR(__xludf.DUMMYFUNCTION("IMPORTRANGE(""https://docs.google.com/spreadsheets/d/1tdoBKaGub7dwA3U6UFTqxio9LNnvDCQjHKmttSEBsFQ/edit?usp=sharing"",""จัดที่ดิน!F55"")"),2189.95)</f>
        <v>2189.9499999999998</v>
      </c>
      <c r="AG55" s="68">
        <f t="shared" ca="1" si="59"/>
        <v>109.49749999999999</v>
      </c>
      <c r="AH55" s="358">
        <f ca="1">IFERROR(__xludf.DUMMYFUNCTION("IMPORTRANGE(""https://docs.google.com/spreadsheets/d/1eHaY18a8A9IcSdp1K8H6x8fbOy06t2VsZHhMHf-1x7Y/edit?usp=sharing"",""แผน!EN55"")"),200)</f>
        <v>200</v>
      </c>
      <c r="AI55" s="151">
        <f ca="1">IFERROR(__xludf.DUMMYFUNCTION("IMPORTRANGE(""https://docs.google.com/spreadsheets/d/1tdoBKaGub7dwA3U6UFTqxio9LNnvDCQjHKmttSEBsFQ/edit?usp=sharing"",""จัดที่ดิน!G55"")"),101)</f>
        <v>101</v>
      </c>
      <c r="AJ55" s="67">
        <f ca="1">IFERROR(__xludf.DUMMYFUNCTION("IMPORTRANGE(""https://docs.google.com/spreadsheets/d/1tdoBKaGub7dwA3U6UFTqxio9LNnvDCQjHKmttSEBsFQ/edit?usp=sharing"",""จัดที่ดิน!H55"")"),1416.07)</f>
        <v>1416.07</v>
      </c>
      <c r="AK55" s="68">
        <f t="shared" ca="1" si="61"/>
        <v>50.5</v>
      </c>
      <c r="AL55" s="358">
        <f ca="1">IFERROR(__xludf.DUMMYFUNCTION("IMPORTRANGE(""https://docs.google.com/spreadsheets/d/1eHaY18a8A9IcSdp1K8H6x8fbOy06t2VsZHhMHf-1x7Y/edit?usp=sharing"",""แผน!EN55"")"),200)</f>
        <v>200</v>
      </c>
      <c r="AM55" s="151">
        <f ca="1">IFERROR(__xludf.DUMMYFUNCTION("IMPORTRANGE(""https://docs.google.com/spreadsheets/d/1tdoBKaGub7dwA3U6UFTqxio9LNnvDCQjHKmttSEBsFQ/edit?usp=sharing"",""จัดที่ดิน!I55"")"),56)</f>
        <v>56</v>
      </c>
      <c r="AN55" s="67">
        <f ca="1">IFERROR(__xludf.DUMMYFUNCTION("IMPORTRANGE(""https://docs.google.com/spreadsheets/d/1tdoBKaGub7dwA3U6UFTqxio9LNnvDCQjHKmttSEBsFQ/edit?usp=sharing"",""จัดที่ดิน!J55"")"),837.63)</f>
        <v>837.63</v>
      </c>
      <c r="AO55" s="68">
        <f t="shared" ca="1" si="63"/>
        <v>28</v>
      </c>
      <c r="AP55" s="359">
        <f ca="1">IFERROR(__xludf.DUMMYFUNCTION("IMPORTRANGE(""https://docs.google.com/spreadsheets/d/1eHaY18a8A9IcSdp1K8H6x8fbOy06t2VsZHhMHf-1x7Y/edit?usp=sharing"",""แผน!EO55"")"),1200)</f>
        <v>1200</v>
      </c>
      <c r="AQ55" s="151">
        <f ca="1">IFERROR(__xludf.DUMMYFUNCTION("IMPORTRANGE(""https://docs.google.com/spreadsheets/d/1tdoBKaGub7dwA3U6UFTqxio9LNnvDCQjHKmttSEBsFQ/edit?usp=sharing"",""แบ่งแปลง!D57"")"),254)</f>
        <v>254</v>
      </c>
      <c r="AR55" s="67">
        <f ca="1">IFERROR(__xludf.DUMMYFUNCTION("IMPORTRANGE(""https://docs.google.com/spreadsheets/d/1tdoBKaGub7dwA3U6UFTqxio9LNnvDCQjHKmttSEBsFQ/edit?usp=sharing"",""แบ่งแปลง!F57"")"),2788.3)</f>
        <v>2788.3</v>
      </c>
      <c r="AS55" s="68">
        <f t="shared" ca="1" si="65"/>
        <v>232.35833333333332</v>
      </c>
      <c r="AT55" s="359">
        <f ca="1">IFERROR(__xludf.DUMMYFUNCTION("IMPORTRANGE(""https://docs.google.com/spreadsheets/d/1eHaY18a8A9IcSdp1K8H6x8fbOy06t2VsZHhMHf-1x7Y/edit?usp=sharing"",""แผน!EP55"")"),236)</f>
        <v>236</v>
      </c>
      <c r="AU55" s="151">
        <f ca="1">IFERROR(__xludf.DUMMYFUNCTION("IMPORTRANGE(""https://docs.google.com/spreadsheets/d/1tdoBKaGub7dwA3U6UFTqxio9LNnvDCQjHKmttSEBsFQ/edit?usp=sharing"",""แบ่งแปลง!I57"")"),57)</f>
        <v>57</v>
      </c>
      <c r="AV55" s="67">
        <f ca="1">IFERROR(__xludf.DUMMYFUNCTION("IMPORTRANGE(""https://docs.google.com/spreadsheets/d/1tdoBKaGub7dwA3U6UFTqxio9LNnvDCQjHKmttSEBsFQ/edit?usp=sharing"",""แบ่งแปลง!K57"")"),609.7)</f>
        <v>609.70000000000005</v>
      </c>
      <c r="AW55" s="68">
        <f t="shared" ca="1" si="67"/>
        <v>24.152542372881356</v>
      </c>
      <c r="AX55" s="359">
        <f ca="1">IFERROR(__xludf.DUMMYFUNCTION("IMPORTRANGE(""https://docs.google.com/spreadsheets/d/1eHaY18a8A9IcSdp1K8H6x8fbOy06t2VsZHhMHf-1x7Y/edit?usp=sharing"",""แผน!EP55"")"),236)</f>
        <v>236</v>
      </c>
      <c r="AY55" s="151">
        <f ca="1">IFERROR(__xludf.DUMMYFUNCTION("IMPORTRANGE(""https://docs.google.com/spreadsheets/d/1tdoBKaGub7dwA3U6UFTqxio9LNnvDCQjHKmttSEBsFQ/edit?usp=sharing"",""แบ่งแปลง!X57"")"),53)</f>
        <v>53</v>
      </c>
      <c r="AZ55" s="67">
        <f ca="1">IFERROR(__xludf.DUMMYFUNCTION("IMPORTRANGE(""https://docs.google.com/spreadsheets/d/1tdoBKaGub7dwA3U6UFTqxio9LNnvDCQjHKmttSEBsFQ/edit?usp=sharing"",""แบ่งแปลง!Z57"")"),562.18)</f>
        <v>562.17999999999995</v>
      </c>
      <c r="BA55" s="68">
        <f t="shared" ca="1" si="69"/>
        <v>22.457627118644069</v>
      </c>
      <c r="BB55" s="360">
        <f ca="1">IFERROR(__xludf.DUMMYFUNCTION("IMPORTRANGE(""https://docs.google.com/spreadsheets/d/1eHaY18a8A9IcSdp1K8H6x8fbOy06t2VsZHhMHf-1x7Y/edit?usp=sharing"",""แผน!ES55"")"),188)</f>
        <v>188</v>
      </c>
      <c r="BC55" s="151">
        <f ca="1">IFERROR(__xludf.DUMMYFUNCTION("IMPORTRANGE(""https://docs.google.com/spreadsheets/d/1tdoBKaGub7dwA3U6UFTqxio9LNnvDCQjHKmttSEBsFQ/edit?usp=sharing"",""เต็มแปลง!I57"")"),308)</f>
        <v>308</v>
      </c>
      <c r="BD55" s="67">
        <f ca="1">IFERROR(__xludf.DUMMYFUNCTION("IMPORTRANGE(""https://docs.google.com/spreadsheets/d/1tdoBKaGub7dwA3U6UFTqxio9LNnvDCQjHKmttSEBsFQ/edit?usp=sharing"",""เต็มแปลง!K57"")"),5534.39)</f>
        <v>5534.39</v>
      </c>
      <c r="BE55" s="68">
        <f t="shared" ca="1" si="71"/>
        <v>163.82978723404256</v>
      </c>
      <c r="BF55" s="360">
        <f ca="1">IFERROR(__xludf.DUMMYFUNCTION("IMPORTRANGE(""https://docs.google.com/spreadsheets/d/1eHaY18a8A9IcSdp1K8H6x8fbOy06t2VsZHhMHf-1x7Y/edit?usp=sharing"",""แผน!ES55"")"),188)</f>
        <v>188</v>
      </c>
      <c r="BG55" s="151">
        <f ca="1">IFERROR(__xludf.DUMMYFUNCTION("IMPORTRANGE(""https://docs.google.com/spreadsheets/d/1tdoBKaGub7dwA3U6UFTqxio9LNnvDCQjHKmttSEBsFQ/edit?usp=sharing"",""เต็มแปลง!S57"")"),308)</f>
        <v>308</v>
      </c>
      <c r="BH55" s="67">
        <f ca="1">IFERROR(__xludf.DUMMYFUNCTION("IMPORTRANGE(""https://docs.google.com/spreadsheets/d/1tdoBKaGub7dwA3U6UFTqxio9LNnvDCQjHKmttSEBsFQ/edit?usp=sharing"",""เต็มแปลง!U57"")"),5534.39)</f>
        <v>5534.39</v>
      </c>
      <c r="BI55" s="68">
        <f t="shared" ca="1" si="73"/>
        <v>163.82978723404256</v>
      </c>
      <c r="BJ55" s="339"/>
    </row>
    <row r="56" spans="1:62" ht="21" customHeight="1" x14ac:dyDescent="0.3">
      <c r="A56" s="147">
        <v>4</v>
      </c>
      <c r="B56" s="148" t="s">
        <v>84</v>
      </c>
      <c r="C56" s="149">
        <f t="shared" ca="1" si="44"/>
        <v>959950</v>
      </c>
      <c r="D56" s="150">
        <f t="shared" ca="1" si="100"/>
        <v>959950</v>
      </c>
      <c r="E56" s="151">
        <f ca="1">IFERROR(__xludf.DUMMYFUNCTION("IMPORTRANGE(""https://docs.google.com/spreadsheets/d/1-uDff_7J0KD5mKrp0Vvzr7lt3OU09vwQwhkpOPPYv2Y/edit?usp=sharing"",""งบพรบ!FD56"")"),536800)</f>
        <v>536800</v>
      </c>
      <c r="F56" s="151">
        <f ca="1">IFERROR(__xludf.DUMMYFUNCTION("IMPORTRANGE(""https://docs.google.com/spreadsheets/d/1-uDff_7J0KD5mKrp0Vvzr7lt3OU09vwQwhkpOPPYv2Y/edit?usp=sharing"",""งบพรบ!FE56"")"),423150)</f>
        <v>423150</v>
      </c>
      <c r="G56" s="151">
        <f ca="1">IFERROR(__xludf.DUMMYFUNCTION("IMPORTRANGE(""https://docs.google.com/spreadsheets/d/1-uDff_7J0KD5mKrp0Vvzr7lt3OU09vwQwhkpOPPYv2Y/edit?usp=sharing"",""งบพรบ!FF56"")"),0)</f>
        <v>0</v>
      </c>
      <c r="H56" s="151">
        <f ca="1">IFERROR(__xludf.DUMMYFUNCTION("IMPORTRANGE(""https://docs.google.com/spreadsheets/d/1-uDff_7J0KD5mKrp0Vvzr7lt3OU09vwQwhkpOPPYv2Y/edit?usp=sharing"",""งบพรบ!FH56"")"),1011950)</f>
        <v>1011950</v>
      </c>
      <c r="I56" s="151">
        <f ca="1">IFERROR(__xludf.DUMMYFUNCTION("IMPORTRANGE(""https://docs.google.com/spreadsheets/d/1-uDff_7J0KD5mKrp0Vvzr7lt3OU09vwQwhkpOPPYv2Y/edit?usp=sharing"",""งบพรบ!FI56"")"),0)</f>
        <v>0</v>
      </c>
      <c r="J56" s="151">
        <f t="shared" ca="1" si="46"/>
        <v>908454</v>
      </c>
      <c r="K56" s="154">
        <f t="shared" ca="1" si="47"/>
        <v>94.635553935100788</v>
      </c>
      <c r="L56" s="151">
        <f ca="1">IFERROR(__xludf.DUMMYFUNCTION("IMPORTRANGE(""https://docs.google.com/spreadsheets/d/1-uDff_7J0KD5mKrp0Vvzr7lt3OU09vwQwhkpOPPYv2Y/edit?usp=sharing"",""งบพรบ!FJ56"")"),908454)</f>
        <v>908454</v>
      </c>
      <c r="M56" s="68">
        <f t="shared" ca="1" si="48"/>
        <v>94.635553935100788</v>
      </c>
      <c r="N56" s="68">
        <f t="shared" ca="1" si="49"/>
        <v>89.772617224171157</v>
      </c>
      <c r="O56" s="67">
        <f ca="1">IFERROR(__xludf.DUMMYFUNCTION("IMPORTRANGE(""https://docs.google.com/spreadsheets/d/1-uDff_7J0KD5mKrp0Vvzr7lt3OU09vwQwhkpOPPYv2Y/edit?usp=sharing"",""งบพรบ!FK56"")"),0)</f>
        <v>0</v>
      </c>
      <c r="P56" s="67">
        <f t="shared" ca="1" si="50"/>
        <v>0</v>
      </c>
      <c r="Q56" s="68">
        <f t="shared" ca="1" si="51"/>
        <v>0</v>
      </c>
      <c r="R56" s="149">
        <f ca="1">IFERROR(__xludf.DUMMYFUNCTION("IMPORTRANGE(""https://docs.google.com/spreadsheets/d/11tr1B-Bhyr79v2bkwVh5h_fR-PStkgjlZtkrZpYurG0/edit?usp=sharing"",""ชลบุรี!I368"")"),2000)</f>
        <v>2000</v>
      </c>
      <c r="S56" s="152">
        <f ca="1">IFERROR(__xludf.DUMMYFUNCTION("IMPORTRANGE(""https://docs.google.com/spreadsheets/d/11tr1B-Bhyr79v2bkwVh5h_fR-PStkgjlZtkrZpYurG0/edit?usp=sharing"",""ชลบุรี!J367"")"),375)</f>
        <v>375</v>
      </c>
      <c r="T56" s="357">
        <f ca="1">IFERROR(__xludf.DUMMYFUNCTION("IMPORTRANGE(""https://docs.google.com/spreadsheets/d/11tr1B-Bhyr79v2bkwVh5h_fR-PStkgjlZtkrZpYurG0/edit?usp=sharing"",""ชลบุรี!J368"")"),3794.47999999999)</f>
        <v>3794.47999999999</v>
      </c>
      <c r="U56" s="216">
        <f t="shared" ca="1" si="53"/>
        <v>189.72399999999951</v>
      </c>
      <c r="V56" s="149">
        <f ca="1">IFERROR(__xludf.DUMMYFUNCTION("IMPORTRANGE(""https://docs.google.com/spreadsheets/d/11tr1B-Bhyr79v2bkwVh5h_fR-PStkgjlZtkrZpYurG0/edit?usp=sharing"",""ชลบุรี!I369"")"),420)</f>
        <v>420</v>
      </c>
      <c r="W56" s="152">
        <f ca="1">IFERROR(__xludf.DUMMYFUNCTION("IMPORTRANGE(""https://docs.google.com/spreadsheets/d/11tr1B-Bhyr79v2bkwVh5h_fR-PStkgjlZtkrZpYurG0/edit?usp=sharing"",""ชลบุรี!J369"")"),480)</f>
        <v>480</v>
      </c>
      <c r="X56" s="357">
        <f ca="1">IFERROR(__xludf.DUMMYFUNCTION("IMPORTRANGE(""https://docs.google.com/spreadsheets/d/11tr1B-Bhyr79v2bkwVh5h_fR-PStkgjlZtkrZpYurG0/edit?usp=sharing"",""ชลบุรี!J370"")"),7683.41)</f>
        <v>7683.41</v>
      </c>
      <c r="Y56" s="216">
        <f t="shared" ca="1" si="55"/>
        <v>114.28571428571429</v>
      </c>
      <c r="Z56" s="149">
        <f ca="1">IFERROR(__xludf.DUMMYFUNCTION("IMPORTRANGE(""https://docs.google.com/spreadsheets/d/11tr1B-Bhyr79v2bkwVh5h_fR-PStkgjlZtkrZpYurG0/edit?usp=sharing"",""ชลบุรี!I371"")"),420)</f>
        <v>420</v>
      </c>
      <c r="AA56" s="152">
        <f ca="1">IFERROR(__xludf.DUMMYFUNCTION("IMPORTRANGE(""https://docs.google.com/spreadsheets/d/11tr1B-Bhyr79v2bkwVh5h_fR-PStkgjlZtkrZpYurG0/edit?usp=sharing"",""ชลบุรี!J371"")"),429)</f>
        <v>429</v>
      </c>
      <c r="AB56" s="357">
        <f ca="1">IFERROR(__xludf.DUMMYFUNCTION("IMPORTRANGE(""https://docs.google.com/spreadsheets/d/11tr1B-Bhyr79v2bkwVh5h_fR-PStkgjlZtkrZpYurG0/edit?usp=sharing"",""ชลบุรี!J372"")"),6252.59999999999)</f>
        <v>6252.5999999999904</v>
      </c>
      <c r="AC56" s="216">
        <f t="shared" ca="1" si="57"/>
        <v>102.14285714285714</v>
      </c>
      <c r="AD56" s="358">
        <f ca="1">IFERROR(__xludf.DUMMYFUNCTION("IMPORTRANGE(""https://docs.google.com/spreadsheets/d/1eHaY18a8A9IcSdp1K8H6x8fbOy06t2VsZHhMHf-1x7Y/edit?usp=sharing"",""แผน!EM56"")"),1500)</f>
        <v>1500</v>
      </c>
      <c r="AE56" s="151">
        <f ca="1">IFERROR(__xludf.DUMMYFUNCTION("IMPORTRANGE(""https://docs.google.com/spreadsheets/d/1tdoBKaGub7dwA3U6UFTqxio9LNnvDCQjHKmttSEBsFQ/edit?usp=sharing"",""จัดที่ดิน!E56"")"),229)</f>
        <v>229</v>
      </c>
      <c r="AF56" s="67">
        <f ca="1">IFERROR(__xludf.DUMMYFUNCTION("IMPORTRANGE(""https://docs.google.com/spreadsheets/d/1tdoBKaGub7dwA3U6UFTqxio9LNnvDCQjHKmttSEBsFQ/edit?usp=sharing"",""จัดที่ดิน!F56"")"),2794.99)</f>
        <v>2794.99</v>
      </c>
      <c r="AG56" s="68">
        <f t="shared" ca="1" si="59"/>
        <v>186.33266666666665</v>
      </c>
      <c r="AH56" s="358">
        <f ca="1">IFERROR(__xludf.DUMMYFUNCTION("IMPORTRANGE(""https://docs.google.com/spreadsheets/d/1eHaY18a8A9IcSdp1K8H6x8fbOy06t2VsZHhMHf-1x7Y/edit?usp=sharing"",""แผน!EN56"")"),150)</f>
        <v>150</v>
      </c>
      <c r="AI56" s="151">
        <f ca="1">IFERROR(__xludf.DUMMYFUNCTION("IMPORTRANGE(""https://docs.google.com/spreadsheets/d/1tdoBKaGub7dwA3U6UFTqxio9LNnvDCQjHKmttSEBsFQ/edit?usp=sharing"",""จัดที่ดิน!G56"")"),118)</f>
        <v>118</v>
      </c>
      <c r="AJ56" s="67">
        <f ca="1">IFERROR(__xludf.DUMMYFUNCTION("IMPORTRANGE(""https://docs.google.com/spreadsheets/d/1tdoBKaGub7dwA3U6UFTqxio9LNnvDCQjHKmttSEBsFQ/edit?usp=sharing"",""จัดที่ดิน!H56"")"),2499.01)</f>
        <v>2499.0100000000002</v>
      </c>
      <c r="AK56" s="68">
        <f t="shared" ca="1" si="61"/>
        <v>78.666666666666671</v>
      </c>
      <c r="AL56" s="358">
        <f ca="1">IFERROR(__xludf.DUMMYFUNCTION("IMPORTRANGE(""https://docs.google.com/spreadsheets/d/1eHaY18a8A9IcSdp1K8H6x8fbOy06t2VsZHhMHf-1x7Y/edit?usp=sharing"",""แผน!EN56"")"),150)</f>
        <v>150</v>
      </c>
      <c r="AM56" s="151">
        <f ca="1">IFERROR(__xludf.DUMMYFUNCTION("IMPORTRANGE(""https://docs.google.com/spreadsheets/d/1tdoBKaGub7dwA3U6UFTqxio9LNnvDCQjHKmttSEBsFQ/edit?usp=sharing"",""จัดที่ดิน!I56"")"),68)</f>
        <v>68</v>
      </c>
      <c r="AN56" s="67">
        <f ca="1">IFERROR(__xludf.DUMMYFUNCTION("IMPORTRANGE(""https://docs.google.com/spreadsheets/d/1tdoBKaGub7dwA3U6UFTqxio9LNnvDCQjHKmttSEBsFQ/edit?usp=sharing"",""จัดที่ดิน!J56"")"),1116.87)</f>
        <v>1116.8699999999999</v>
      </c>
      <c r="AO56" s="68">
        <f t="shared" ca="1" si="63"/>
        <v>45.333333333333336</v>
      </c>
      <c r="AP56" s="359">
        <f ca="1">IFERROR(__xludf.DUMMYFUNCTION("IMPORTRANGE(""https://docs.google.com/spreadsheets/d/1eHaY18a8A9IcSdp1K8H6x8fbOy06t2VsZHhMHf-1x7Y/edit?usp=sharing"",""แผน!EO56"")"),500)</f>
        <v>500</v>
      </c>
      <c r="AQ56" s="151">
        <f ca="1">IFERROR(__xludf.DUMMYFUNCTION("IMPORTRANGE(""https://docs.google.com/spreadsheets/d/1tdoBKaGub7dwA3U6UFTqxio9LNnvDCQjHKmttSEBsFQ/edit?usp=sharing"",""แบ่งแปลง!D58"")"),146)</f>
        <v>146</v>
      </c>
      <c r="AR56" s="67">
        <f ca="1">IFERROR(__xludf.DUMMYFUNCTION("IMPORTRANGE(""https://docs.google.com/spreadsheets/d/1tdoBKaGub7dwA3U6UFTqxio9LNnvDCQjHKmttSEBsFQ/edit?usp=sharing"",""แบ่งแปลง!F58"")"),999.49)</f>
        <v>999.49</v>
      </c>
      <c r="AS56" s="68">
        <f t="shared" ca="1" si="65"/>
        <v>199.898</v>
      </c>
      <c r="AT56" s="359">
        <f ca="1">IFERROR(__xludf.DUMMYFUNCTION("IMPORTRANGE(""https://docs.google.com/spreadsheets/d/1eHaY18a8A9IcSdp1K8H6x8fbOy06t2VsZHhMHf-1x7Y/edit?usp=sharing"",""แผน!EP56"")"),100)</f>
        <v>100</v>
      </c>
      <c r="AU56" s="151">
        <f ca="1">IFERROR(__xludf.DUMMYFUNCTION("IMPORTRANGE(""https://docs.google.com/spreadsheets/d/1tdoBKaGub7dwA3U6UFTqxio9LNnvDCQjHKmttSEBsFQ/edit?usp=sharing"",""แบ่งแปลง!I58"")"),146)</f>
        <v>146</v>
      </c>
      <c r="AV56" s="67">
        <f ca="1">IFERROR(__xludf.DUMMYFUNCTION("IMPORTRANGE(""https://docs.google.com/spreadsheets/d/1tdoBKaGub7dwA3U6UFTqxio9LNnvDCQjHKmttSEBsFQ/edit?usp=sharing"",""แบ่งแปลง!K58"")"),999.49)</f>
        <v>999.49</v>
      </c>
      <c r="AW56" s="68">
        <f t="shared" ca="1" si="67"/>
        <v>146</v>
      </c>
      <c r="AX56" s="359">
        <f ca="1">IFERROR(__xludf.DUMMYFUNCTION("IMPORTRANGE(""https://docs.google.com/spreadsheets/d/1eHaY18a8A9IcSdp1K8H6x8fbOy06t2VsZHhMHf-1x7Y/edit?usp=sharing"",""แผน!EP56"")"),100)</f>
        <v>100</v>
      </c>
      <c r="AY56" s="151">
        <f ca="1">IFERROR(__xludf.DUMMYFUNCTION("IMPORTRANGE(""https://docs.google.com/spreadsheets/d/1tdoBKaGub7dwA3U6UFTqxio9LNnvDCQjHKmttSEBsFQ/edit?usp=sharing"",""แบ่งแปลง!X58"")"),146)</f>
        <v>146</v>
      </c>
      <c r="AZ56" s="67">
        <f ca="1">IFERROR(__xludf.DUMMYFUNCTION("IMPORTRANGE(""https://docs.google.com/spreadsheets/d/1tdoBKaGub7dwA3U6UFTqxio9LNnvDCQjHKmttSEBsFQ/edit?usp=sharing"",""แบ่งแปลง!Z58"")"),999.49)</f>
        <v>999.49</v>
      </c>
      <c r="BA56" s="68">
        <f t="shared" ca="1" si="69"/>
        <v>146</v>
      </c>
      <c r="BB56" s="360">
        <f ca="1">IFERROR(__xludf.DUMMYFUNCTION("IMPORTRANGE(""https://docs.google.com/spreadsheets/d/1eHaY18a8A9IcSdp1K8H6x8fbOy06t2VsZHhMHf-1x7Y/edit?usp=sharing"",""แผน!ES56"")"),170)</f>
        <v>170</v>
      </c>
      <c r="BC56" s="151">
        <f ca="1">IFERROR(__xludf.DUMMYFUNCTION("IMPORTRANGE(""https://docs.google.com/spreadsheets/d/1tdoBKaGub7dwA3U6UFTqxio9LNnvDCQjHKmttSEBsFQ/edit?usp=sharing"",""เต็มแปลง!I58"")"),217)</f>
        <v>217</v>
      </c>
      <c r="BD56" s="67">
        <f ca="1">IFERROR(__xludf.DUMMYFUNCTION("IMPORTRANGE(""https://docs.google.com/spreadsheets/d/1tdoBKaGub7dwA3U6UFTqxio9LNnvDCQjHKmttSEBsFQ/edit?usp=sharing"",""เต็มแปลง!K58"")"),4184.91)</f>
        <v>4184.91</v>
      </c>
      <c r="BE56" s="68">
        <f t="shared" ca="1" si="71"/>
        <v>127.64705882352941</v>
      </c>
      <c r="BF56" s="360">
        <f ca="1">IFERROR(__xludf.DUMMYFUNCTION("IMPORTRANGE(""https://docs.google.com/spreadsheets/d/1eHaY18a8A9IcSdp1K8H6x8fbOy06t2VsZHhMHf-1x7Y/edit?usp=sharing"",""แผน!ES56"")"),170)</f>
        <v>170</v>
      </c>
      <c r="BG56" s="151">
        <f ca="1">IFERROR(__xludf.DUMMYFUNCTION("IMPORTRANGE(""https://docs.google.com/spreadsheets/d/1tdoBKaGub7dwA3U6UFTqxio9LNnvDCQjHKmttSEBsFQ/edit?usp=sharing"",""เต็มแปลง!S58"")"),216)</f>
        <v>216</v>
      </c>
      <c r="BH56" s="67">
        <f ca="1">IFERROR(__xludf.DUMMYFUNCTION("IMPORTRANGE(""https://docs.google.com/spreadsheets/d/1tdoBKaGub7dwA3U6UFTqxio9LNnvDCQjHKmttSEBsFQ/edit?usp=sharing"",""เต็มแปลง!U58"")"),4136.24)</f>
        <v>4136.24</v>
      </c>
      <c r="BI56" s="68">
        <f t="shared" ca="1" si="73"/>
        <v>127.05882352941177</v>
      </c>
      <c r="BJ56" s="339"/>
    </row>
    <row r="57" spans="1:62" ht="21" customHeight="1" x14ac:dyDescent="0.3">
      <c r="A57" s="147">
        <v>5</v>
      </c>
      <c r="B57" s="148" t="s">
        <v>85</v>
      </c>
      <c r="C57" s="149">
        <f t="shared" ca="1" si="44"/>
        <v>562410</v>
      </c>
      <c r="D57" s="150">
        <f t="shared" ca="1" si="100"/>
        <v>562410</v>
      </c>
      <c r="E57" s="151">
        <f ca="1">IFERROR(__xludf.DUMMYFUNCTION("IMPORTRANGE(""https://docs.google.com/spreadsheets/d/1-uDff_7J0KD5mKrp0Vvzr7lt3OU09vwQwhkpOPPYv2Y/edit?usp=sharing"",""งบพรบ!FD57"")"),352000)</f>
        <v>352000</v>
      </c>
      <c r="F57" s="151">
        <f ca="1">IFERROR(__xludf.DUMMYFUNCTION("IMPORTRANGE(""https://docs.google.com/spreadsheets/d/1-uDff_7J0KD5mKrp0Vvzr7lt3OU09vwQwhkpOPPYv2Y/edit?usp=sharing"",""งบพรบ!FE57"")"),210410)</f>
        <v>210410</v>
      </c>
      <c r="G57" s="151">
        <f ca="1">IFERROR(__xludf.DUMMYFUNCTION("IMPORTRANGE(""https://docs.google.com/spreadsheets/d/1-uDff_7J0KD5mKrp0Vvzr7lt3OU09vwQwhkpOPPYv2Y/edit?usp=sharing"",""งบพรบ!FF57"")"),0)</f>
        <v>0</v>
      </c>
      <c r="H57" s="151">
        <f ca="1">IFERROR(__xludf.DUMMYFUNCTION("IMPORTRANGE(""https://docs.google.com/spreadsheets/d/1-uDff_7J0KD5mKrp0Vvzr7lt3OU09vwQwhkpOPPYv2Y/edit?usp=sharing"",""งบพรบ!FH57"")"),619910)</f>
        <v>619910</v>
      </c>
      <c r="I57" s="151">
        <f ca="1">IFERROR(__xludf.DUMMYFUNCTION("IMPORTRANGE(""https://docs.google.com/spreadsheets/d/1-uDff_7J0KD5mKrp0Vvzr7lt3OU09vwQwhkpOPPYv2Y/edit?usp=sharing"",""งบพรบ!FI57"")"),0)</f>
        <v>0</v>
      </c>
      <c r="J57" s="151">
        <f t="shared" ca="1" si="46"/>
        <v>526941</v>
      </c>
      <c r="K57" s="154">
        <f t="shared" ca="1" si="47"/>
        <v>93.693390942550806</v>
      </c>
      <c r="L57" s="151">
        <f ca="1">IFERROR(__xludf.DUMMYFUNCTION("IMPORTRANGE(""https://docs.google.com/spreadsheets/d/1-uDff_7J0KD5mKrp0Vvzr7lt3OU09vwQwhkpOPPYv2Y/edit?usp=sharing"",""งบพรบ!FJ57"")"),526941)</f>
        <v>526941</v>
      </c>
      <c r="M57" s="68">
        <f t="shared" ca="1" si="48"/>
        <v>93.693390942550806</v>
      </c>
      <c r="N57" s="68">
        <f t="shared" ca="1" si="49"/>
        <v>85.002822990434098</v>
      </c>
      <c r="O57" s="67">
        <f ca="1">IFERROR(__xludf.DUMMYFUNCTION("IMPORTRANGE(""https://docs.google.com/spreadsheets/d/1-uDff_7J0KD5mKrp0Vvzr7lt3OU09vwQwhkpOPPYv2Y/edit?usp=sharing"",""งบพรบ!FK57"")"),0)</f>
        <v>0</v>
      </c>
      <c r="P57" s="67">
        <f t="shared" ca="1" si="50"/>
        <v>0</v>
      </c>
      <c r="Q57" s="68">
        <f t="shared" ca="1" si="51"/>
        <v>0</v>
      </c>
      <c r="R57" s="149">
        <f ca="1">IFERROR(__xludf.DUMMYFUNCTION("IMPORTRANGE(""https://docs.google.com/spreadsheets/d/1hh-FVnSX0vozXhGluamEcS54Dw9_zqW0N7qJUWgJ0Sw/edit?usp=sharing"",""ชัยนาท!I368"")"),70)</f>
        <v>70</v>
      </c>
      <c r="S57" s="152">
        <f ca="1">IFERROR(__xludf.DUMMYFUNCTION("IMPORTRANGE(""https://docs.google.com/spreadsheets/d/1hh-FVnSX0vozXhGluamEcS54Dw9_zqW0N7qJUWgJ0Sw/edit?usp=sharing"",""ชัยนาท!J367"")"),17)</f>
        <v>17</v>
      </c>
      <c r="T57" s="357">
        <f ca="1">IFERROR(__xludf.DUMMYFUNCTION("IMPORTRANGE(""https://docs.google.com/spreadsheets/d/1hh-FVnSX0vozXhGluamEcS54Dw9_zqW0N7qJUWgJ0Sw/edit?usp=sharing"",""ชัยนาท!J368"")"),185.79)</f>
        <v>185.79</v>
      </c>
      <c r="U57" s="216">
        <f t="shared" ca="1" si="53"/>
        <v>265.41428571428571</v>
      </c>
      <c r="V57" s="149">
        <f ca="1">IFERROR(__xludf.DUMMYFUNCTION("IMPORTRANGE(""https://docs.google.com/spreadsheets/d/1hh-FVnSX0vozXhGluamEcS54Dw9_zqW0N7qJUWgJ0Sw/edit?usp=sharing"",""ชัยนาท!I369"")"),53)</f>
        <v>53</v>
      </c>
      <c r="W57" s="152">
        <f ca="1">IFERROR(__xludf.DUMMYFUNCTION("IMPORTRANGE(""https://docs.google.com/spreadsheets/d/1hh-FVnSX0vozXhGluamEcS54Dw9_zqW0N7qJUWgJ0Sw/edit?usp=sharing"",""ชัยนาท!J369"")"),82)</f>
        <v>82</v>
      </c>
      <c r="X57" s="357">
        <f ca="1">IFERROR(__xludf.DUMMYFUNCTION("IMPORTRANGE(""https://docs.google.com/spreadsheets/d/1hh-FVnSX0vozXhGluamEcS54Dw9_zqW0N7qJUWgJ0Sw/edit?usp=sharing"",""ชัยนาท!J370"")"),1239.63)</f>
        <v>1239.6300000000001</v>
      </c>
      <c r="Y57" s="216">
        <f t="shared" ca="1" si="55"/>
        <v>154.71698113207546</v>
      </c>
      <c r="Z57" s="149">
        <f ca="1">IFERROR(__xludf.DUMMYFUNCTION("IMPORTRANGE(""https://docs.google.com/spreadsheets/d/1hh-FVnSX0vozXhGluamEcS54Dw9_zqW0N7qJUWgJ0Sw/edit?usp=sharing"",""ชัยนาท!I371"")"),53)</f>
        <v>53</v>
      </c>
      <c r="AA57" s="152">
        <f ca="1">IFERROR(__xludf.DUMMYFUNCTION("IMPORTRANGE(""https://docs.google.com/spreadsheets/d/1hh-FVnSX0vozXhGluamEcS54Dw9_zqW0N7qJUWgJ0Sw/edit?usp=sharing"",""ชัยนาท!J371"")"),90)</f>
        <v>90</v>
      </c>
      <c r="AB57" s="357">
        <f ca="1">IFERROR(__xludf.DUMMYFUNCTION("IMPORTRANGE(""https://docs.google.com/spreadsheets/d/1hh-FVnSX0vozXhGluamEcS54Dw9_zqW0N7qJUWgJ0Sw/edit?usp=sharing"",""ชัยนาท!J372"")"),1351.93)</f>
        <v>1351.93</v>
      </c>
      <c r="AC57" s="216">
        <f t="shared" ca="1" si="57"/>
        <v>169.81132075471697</v>
      </c>
      <c r="AD57" s="358">
        <f ca="1">IFERROR(__xludf.DUMMYFUNCTION("IMPORTRANGE(""https://docs.google.com/spreadsheets/d/1eHaY18a8A9IcSdp1K8H6x8fbOy06t2VsZHhMHf-1x7Y/edit?usp=sharing"",""แผน!EM57"")"),10)</f>
        <v>10</v>
      </c>
      <c r="AE57" s="151">
        <f ca="1">IFERROR(__xludf.DUMMYFUNCTION("IMPORTRANGE(""https://docs.google.com/spreadsheets/d/1tdoBKaGub7dwA3U6UFTqxio9LNnvDCQjHKmttSEBsFQ/edit?usp=sharing"",""จัดที่ดิน!E57"")"),0)</f>
        <v>0</v>
      </c>
      <c r="AF57" s="67">
        <f ca="1">IFERROR(__xludf.DUMMYFUNCTION("IMPORTRANGE(""https://docs.google.com/spreadsheets/d/1tdoBKaGub7dwA3U6UFTqxio9LNnvDCQjHKmttSEBsFQ/edit?usp=sharing"",""จัดที่ดิน!F57"")"),0)</f>
        <v>0</v>
      </c>
      <c r="AG57" s="68">
        <f t="shared" ca="1" si="59"/>
        <v>0</v>
      </c>
      <c r="AH57" s="358">
        <f ca="1">IFERROR(__xludf.DUMMYFUNCTION("IMPORTRANGE(""https://docs.google.com/spreadsheets/d/1eHaY18a8A9IcSdp1K8H6x8fbOy06t2VsZHhMHf-1x7Y/edit?usp=sharing"",""แผน!EN57"")"),2)</f>
        <v>2</v>
      </c>
      <c r="AI57" s="151">
        <f ca="1">IFERROR(__xludf.DUMMYFUNCTION("IMPORTRANGE(""https://docs.google.com/spreadsheets/d/1tdoBKaGub7dwA3U6UFTqxio9LNnvDCQjHKmttSEBsFQ/edit?usp=sharing"",""จัดที่ดิน!G57"")"),7)</f>
        <v>7</v>
      </c>
      <c r="AJ57" s="67">
        <f ca="1">IFERROR(__xludf.DUMMYFUNCTION("IMPORTRANGE(""https://docs.google.com/spreadsheets/d/1tdoBKaGub7dwA3U6UFTqxio9LNnvDCQjHKmttSEBsFQ/edit?usp=sharing"",""จัดที่ดิน!H57"")"),108.67)</f>
        <v>108.67</v>
      </c>
      <c r="AK57" s="68">
        <f t="shared" ca="1" si="61"/>
        <v>350</v>
      </c>
      <c r="AL57" s="358">
        <f ca="1">IFERROR(__xludf.DUMMYFUNCTION("IMPORTRANGE(""https://docs.google.com/spreadsheets/d/1eHaY18a8A9IcSdp1K8H6x8fbOy06t2VsZHhMHf-1x7Y/edit?usp=sharing"",""แผน!EN57"")"),2)</f>
        <v>2</v>
      </c>
      <c r="AM57" s="151">
        <f ca="1">IFERROR(__xludf.DUMMYFUNCTION("IMPORTRANGE(""https://docs.google.com/spreadsheets/d/1tdoBKaGub7dwA3U6UFTqxio9LNnvDCQjHKmttSEBsFQ/edit?usp=sharing"",""จัดที่ดิน!I57"")"),9)</f>
        <v>9</v>
      </c>
      <c r="AN57" s="67">
        <f ca="1">IFERROR(__xludf.DUMMYFUNCTION("IMPORTRANGE(""https://docs.google.com/spreadsheets/d/1tdoBKaGub7dwA3U6UFTqxio9LNnvDCQjHKmttSEBsFQ/edit?usp=sharing"",""จัดที่ดิน!J57"")"),159.4)</f>
        <v>159.4</v>
      </c>
      <c r="AO57" s="68">
        <f t="shared" ca="1" si="63"/>
        <v>450</v>
      </c>
      <c r="AP57" s="359">
        <f ca="1">IFERROR(__xludf.DUMMYFUNCTION("IMPORTRANGE(""https://docs.google.com/spreadsheets/d/1eHaY18a8A9IcSdp1K8H6x8fbOy06t2VsZHhMHf-1x7Y/edit?usp=sharing"",""แผน!EO57"")"),60)</f>
        <v>60</v>
      </c>
      <c r="AQ57" s="151">
        <f ca="1">IFERROR(__xludf.DUMMYFUNCTION("IMPORTRANGE(""https://docs.google.com/spreadsheets/d/1tdoBKaGub7dwA3U6UFTqxio9LNnvDCQjHKmttSEBsFQ/edit?usp=sharing"",""แบ่งแปลง!D59"")"),17)</f>
        <v>17</v>
      </c>
      <c r="AR57" s="67">
        <f ca="1">IFERROR(__xludf.DUMMYFUNCTION("IMPORTRANGE(""https://docs.google.com/spreadsheets/d/1tdoBKaGub7dwA3U6UFTqxio9LNnvDCQjHKmttSEBsFQ/edit?usp=sharing"",""แบ่งแปลง!F59"")"),185.79)</f>
        <v>185.79</v>
      </c>
      <c r="AS57" s="68">
        <f t="shared" ca="1" si="65"/>
        <v>309.64999999999998</v>
      </c>
      <c r="AT57" s="359">
        <f ca="1">IFERROR(__xludf.DUMMYFUNCTION("IMPORTRANGE(""https://docs.google.com/spreadsheets/d/1eHaY18a8A9IcSdp1K8H6x8fbOy06t2VsZHhMHf-1x7Y/edit?usp=sharing"",""แผน!EP57"")"),12)</f>
        <v>12</v>
      </c>
      <c r="AU57" s="151">
        <f ca="1">IFERROR(__xludf.DUMMYFUNCTION("IMPORTRANGE(""https://docs.google.com/spreadsheets/d/1tdoBKaGub7dwA3U6UFTqxio9LNnvDCQjHKmttSEBsFQ/edit?usp=sharing"",""แบ่งแปลง!I59"")"),17)</f>
        <v>17</v>
      </c>
      <c r="AV57" s="67">
        <f ca="1">IFERROR(__xludf.DUMMYFUNCTION("IMPORTRANGE(""https://docs.google.com/spreadsheets/d/1tdoBKaGub7dwA3U6UFTqxio9LNnvDCQjHKmttSEBsFQ/edit?usp=sharing"",""แบ่งแปลง!K59"")"),185.79)</f>
        <v>185.79</v>
      </c>
      <c r="AW57" s="68">
        <f t="shared" ca="1" si="67"/>
        <v>141.66666666666666</v>
      </c>
      <c r="AX57" s="359">
        <f ca="1">IFERROR(__xludf.DUMMYFUNCTION("IMPORTRANGE(""https://docs.google.com/spreadsheets/d/1eHaY18a8A9IcSdp1K8H6x8fbOy06t2VsZHhMHf-1x7Y/edit?usp=sharing"",""แผน!EP57"")"),12)</f>
        <v>12</v>
      </c>
      <c r="AY57" s="151">
        <f ca="1">IFERROR(__xludf.DUMMYFUNCTION("IMPORTRANGE(""https://docs.google.com/spreadsheets/d/1tdoBKaGub7dwA3U6UFTqxio9LNnvDCQjHKmttSEBsFQ/edit?usp=sharing"",""แบ่งแปลง!X59"")"),17)</f>
        <v>17</v>
      </c>
      <c r="AZ57" s="67">
        <f ca="1">IFERROR(__xludf.DUMMYFUNCTION("IMPORTRANGE(""https://docs.google.com/spreadsheets/d/1tdoBKaGub7dwA3U6UFTqxio9LNnvDCQjHKmttSEBsFQ/edit?usp=sharing"",""แบ่งแปลง!Z59"")"),185.79)</f>
        <v>185.79</v>
      </c>
      <c r="BA57" s="68">
        <f t="shared" ca="1" si="69"/>
        <v>141.66666666666666</v>
      </c>
      <c r="BB57" s="360">
        <f ca="1">IFERROR(__xludf.DUMMYFUNCTION("IMPORTRANGE(""https://docs.google.com/spreadsheets/d/1eHaY18a8A9IcSdp1K8H6x8fbOy06t2VsZHhMHf-1x7Y/edit?usp=sharing"",""แผน!ES57"")"),39)</f>
        <v>39</v>
      </c>
      <c r="BC57" s="151">
        <f ca="1">IFERROR(__xludf.DUMMYFUNCTION("IMPORTRANGE(""https://docs.google.com/spreadsheets/d/1tdoBKaGub7dwA3U6UFTqxio9LNnvDCQjHKmttSEBsFQ/edit?usp=sharing"",""เต็มแปลง!I59"")"),58)</f>
        <v>58</v>
      </c>
      <c r="BD57" s="67">
        <f ca="1">IFERROR(__xludf.DUMMYFUNCTION("IMPORTRANGE(""https://docs.google.com/spreadsheets/d/1tdoBKaGub7dwA3U6UFTqxio9LNnvDCQjHKmttSEBsFQ/edit?usp=sharing"",""เต็มแปลง!K59"")"),945.17)</f>
        <v>945.17</v>
      </c>
      <c r="BE57" s="68">
        <f t="shared" ca="1" si="71"/>
        <v>148.71794871794873</v>
      </c>
      <c r="BF57" s="360">
        <f ca="1">IFERROR(__xludf.DUMMYFUNCTION("IMPORTRANGE(""https://docs.google.com/spreadsheets/d/1eHaY18a8A9IcSdp1K8H6x8fbOy06t2VsZHhMHf-1x7Y/edit?usp=sharing"",""แผน!ES57"")"),39)</f>
        <v>39</v>
      </c>
      <c r="BG57" s="151">
        <f ca="1">IFERROR(__xludf.DUMMYFUNCTION("IMPORTRANGE(""https://docs.google.com/spreadsheets/d/1tdoBKaGub7dwA3U6UFTqxio9LNnvDCQjHKmttSEBsFQ/edit?usp=sharing"",""เต็มแปลง!S59"")"),64)</f>
        <v>64</v>
      </c>
      <c r="BH57" s="67">
        <f ca="1">IFERROR(__xludf.DUMMYFUNCTION("IMPORTRANGE(""https://docs.google.com/spreadsheets/d/1tdoBKaGub7dwA3U6UFTqxio9LNnvDCQjHKmttSEBsFQ/edit?usp=sharing"",""เต็มแปลง!U59"")"),1006.74)</f>
        <v>1006.74</v>
      </c>
      <c r="BI57" s="68">
        <f t="shared" ca="1" si="73"/>
        <v>164.10256410256412</v>
      </c>
      <c r="BJ57" s="339"/>
    </row>
    <row r="58" spans="1:62" ht="21" customHeight="1" x14ac:dyDescent="0.3">
      <c r="A58" s="147">
        <v>6</v>
      </c>
      <c r="B58" s="148" t="s">
        <v>86</v>
      </c>
      <c r="C58" s="149">
        <f t="shared" ca="1" si="44"/>
        <v>441060</v>
      </c>
      <c r="D58" s="150">
        <f t="shared" ca="1" si="100"/>
        <v>441060</v>
      </c>
      <c r="E58" s="151">
        <f ca="1">IFERROR(__xludf.DUMMYFUNCTION("IMPORTRANGE(""https://docs.google.com/spreadsheets/d/1-uDff_7J0KD5mKrp0Vvzr7lt3OU09vwQwhkpOPPYv2Y/edit?usp=sharing"",""งบพรบ!FD58"")"),143000)</f>
        <v>143000</v>
      </c>
      <c r="F58" s="151">
        <f ca="1">IFERROR(__xludf.DUMMYFUNCTION("IMPORTRANGE(""https://docs.google.com/spreadsheets/d/1-uDff_7J0KD5mKrp0Vvzr7lt3OU09vwQwhkpOPPYv2Y/edit?usp=sharing"",""งบพรบ!FE58"")"),298060)</f>
        <v>298060</v>
      </c>
      <c r="G58" s="151">
        <f ca="1">IFERROR(__xludf.DUMMYFUNCTION("IMPORTRANGE(""https://docs.google.com/spreadsheets/d/1-uDff_7J0KD5mKrp0Vvzr7lt3OU09vwQwhkpOPPYv2Y/edit?usp=sharing"",""งบพรบ!FF58"")"),0)</f>
        <v>0</v>
      </c>
      <c r="H58" s="151">
        <f ca="1">IFERROR(__xludf.DUMMYFUNCTION("IMPORTRANGE(""https://docs.google.com/spreadsheets/d/1-uDff_7J0KD5mKrp0Vvzr7lt3OU09vwQwhkpOPPYv2Y/edit?usp=sharing"",""งบพรบ!FH58"")"),504060)</f>
        <v>504060</v>
      </c>
      <c r="I58" s="151">
        <f ca="1">IFERROR(__xludf.DUMMYFUNCTION("IMPORTRANGE(""https://docs.google.com/spreadsheets/d/1-uDff_7J0KD5mKrp0Vvzr7lt3OU09vwQwhkpOPPYv2Y/edit?usp=sharing"",""งบพรบ!FI58"")"),0)</f>
        <v>0</v>
      </c>
      <c r="J58" s="151">
        <f t="shared" ca="1" si="46"/>
        <v>340728</v>
      </c>
      <c r="K58" s="154">
        <f t="shared" ca="1" si="47"/>
        <v>77.252074547680593</v>
      </c>
      <c r="L58" s="151">
        <f ca="1">IFERROR(__xludf.DUMMYFUNCTION("IMPORTRANGE(""https://docs.google.com/spreadsheets/d/1-uDff_7J0KD5mKrp0Vvzr7lt3OU09vwQwhkpOPPYv2Y/edit?usp=sharing"",""งบพรบ!FJ58"")"),340728)</f>
        <v>340728</v>
      </c>
      <c r="M58" s="68">
        <f t="shared" ca="1" si="48"/>
        <v>77.252074547680593</v>
      </c>
      <c r="N58" s="68">
        <f t="shared" ca="1" si="49"/>
        <v>67.596714676824192</v>
      </c>
      <c r="O58" s="67">
        <f ca="1">IFERROR(__xludf.DUMMYFUNCTION("IMPORTRANGE(""https://docs.google.com/spreadsheets/d/1-uDff_7J0KD5mKrp0Vvzr7lt3OU09vwQwhkpOPPYv2Y/edit?usp=sharing"",""งบพรบ!FK58"")"),0)</f>
        <v>0</v>
      </c>
      <c r="P58" s="67">
        <f t="shared" ca="1" si="50"/>
        <v>0</v>
      </c>
      <c r="Q58" s="68">
        <f t="shared" ca="1" si="51"/>
        <v>0</v>
      </c>
      <c r="R58" s="149">
        <f ca="1">IFERROR(__xludf.DUMMYFUNCTION("IMPORTRANGE(""https://docs.google.com/spreadsheets/d/1jkqa6GXxSacMcY1eN8AHjMNJ_7dDXMJVRLDlaFSOdPM/edit?usp=sharing"",""ตราด!I368"")"),805)</f>
        <v>805</v>
      </c>
      <c r="S58" s="152">
        <f ca="1">IFERROR(__xludf.DUMMYFUNCTION("IMPORTRANGE(""https://docs.google.com/spreadsheets/d/1jkqa6GXxSacMcY1eN8AHjMNJ_7dDXMJVRLDlaFSOdPM/edit?usp=sharing"",""ตราด!J367"")"),48)</f>
        <v>48</v>
      </c>
      <c r="T58" s="357">
        <f ca="1">IFERROR(__xludf.DUMMYFUNCTION("IMPORTRANGE(""https://docs.google.com/spreadsheets/d/1jkqa6GXxSacMcY1eN8AHjMNJ_7dDXMJVRLDlaFSOdPM/edit?usp=sharing"",""ตราด!J368"")"),1343.71)</f>
        <v>1343.71</v>
      </c>
      <c r="U58" s="216">
        <f t="shared" ca="1" si="53"/>
        <v>166.92049689440995</v>
      </c>
      <c r="V58" s="149">
        <f ca="1">IFERROR(__xludf.DUMMYFUNCTION("IMPORTRANGE(""https://docs.google.com/spreadsheets/d/1jkqa6GXxSacMcY1eN8AHjMNJ_7dDXMJVRLDlaFSOdPM/edit?usp=sharing"",""ตราด!I369"")"),219)</f>
        <v>219</v>
      </c>
      <c r="W58" s="152">
        <f ca="1">IFERROR(__xludf.DUMMYFUNCTION("IMPORTRANGE(""https://docs.google.com/spreadsheets/d/1jkqa6GXxSacMcY1eN8AHjMNJ_7dDXMJVRLDlaFSOdPM/edit?usp=sharing"",""ตราด!J369"")"),222)</f>
        <v>222</v>
      </c>
      <c r="X58" s="357">
        <f ca="1">IFERROR(__xludf.DUMMYFUNCTION("IMPORTRANGE(""https://docs.google.com/spreadsheets/d/1jkqa6GXxSacMcY1eN8AHjMNJ_7dDXMJVRLDlaFSOdPM/edit?usp=sharing"",""ตราด!J370"")"),4137.16)</f>
        <v>4137.16</v>
      </c>
      <c r="Y58" s="216">
        <f t="shared" ca="1" si="55"/>
        <v>101.36986301369863</v>
      </c>
      <c r="Z58" s="149">
        <f ca="1">IFERROR(__xludf.DUMMYFUNCTION("IMPORTRANGE(""https://docs.google.com/spreadsheets/d/1jkqa6GXxSacMcY1eN8AHjMNJ_7dDXMJVRLDlaFSOdPM/edit?usp=sharing"",""ตราด!I371"")"),219)</f>
        <v>219</v>
      </c>
      <c r="AA58" s="152">
        <f ca="1">IFERROR(__xludf.DUMMYFUNCTION("IMPORTRANGE(""https://docs.google.com/spreadsheets/d/1jkqa6GXxSacMcY1eN8AHjMNJ_7dDXMJVRLDlaFSOdPM/edit?usp=sharing"",""ตราด!J371"")"),213)</f>
        <v>213</v>
      </c>
      <c r="AB58" s="357">
        <f ca="1">IFERROR(__xludf.DUMMYFUNCTION("IMPORTRANGE(""https://docs.google.com/spreadsheets/d/1jkqa6GXxSacMcY1eN8AHjMNJ_7dDXMJVRLDlaFSOdPM/edit?usp=sharing"",""ตราด!J372"")"),3942.61)</f>
        <v>3942.61</v>
      </c>
      <c r="AC58" s="216">
        <f t="shared" ca="1" si="57"/>
        <v>97.260273972602747</v>
      </c>
      <c r="AD58" s="358">
        <f ca="1">IFERROR(__xludf.DUMMYFUNCTION("IMPORTRANGE(""https://docs.google.com/spreadsheets/d/1eHaY18a8A9IcSdp1K8H6x8fbOy06t2VsZHhMHf-1x7Y/edit?usp=sharing"",""แผน!EM58"")"),720)</f>
        <v>720</v>
      </c>
      <c r="AE58" s="151">
        <f ca="1">IFERROR(__xludf.DUMMYFUNCTION("IMPORTRANGE(""https://docs.google.com/spreadsheets/d/1tdoBKaGub7dwA3U6UFTqxio9LNnvDCQjHKmttSEBsFQ/edit?usp=sharing"",""จัดที่ดิน!E58"")"),43)</f>
        <v>43</v>
      </c>
      <c r="AF58" s="67">
        <f ca="1">IFERROR(__xludf.DUMMYFUNCTION("IMPORTRANGE(""https://docs.google.com/spreadsheets/d/1tdoBKaGub7dwA3U6UFTqxio9LNnvDCQjHKmttSEBsFQ/edit?usp=sharing"",""จัดที่ดิน!F58"")"),1284.99)</f>
        <v>1284.99</v>
      </c>
      <c r="AG58" s="68">
        <f t="shared" ca="1" si="59"/>
        <v>178.47083333333333</v>
      </c>
      <c r="AH58" s="358">
        <f ca="1">IFERROR(__xludf.DUMMYFUNCTION("IMPORTRANGE(""https://docs.google.com/spreadsheets/d/1eHaY18a8A9IcSdp1K8H6x8fbOy06t2VsZHhMHf-1x7Y/edit?usp=sharing"",""แผน!EN58"")"),72)</f>
        <v>72</v>
      </c>
      <c r="AI58" s="151">
        <f ca="1">IFERROR(__xludf.DUMMYFUNCTION("IMPORTRANGE(""https://docs.google.com/spreadsheets/d/1tdoBKaGub7dwA3U6UFTqxio9LNnvDCQjHKmttSEBsFQ/edit?usp=sharing"",""จัดที่ดิน!G58"")"),9)</f>
        <v>9</v>
      </c>
      <c r="AJ58" s="67">
        <f ca="1">IFERROR(__xludf.DUMMYFUNCTION("IMPORTRANGE(""https://docs.google.com/spreadsheets/d/1tdoBKaGub7dwA3U6UFTqxio9LNnvDCQjHKmttSEBsFQ/edit?usp=sharing"",""จัดที่ดิน!H58"")"),202.34)</f>
        <v>202.34</v>
      </c>
      <c r="AK58" s="68">
        <f t="shared" ca="1" si="61"/>
        <v>12.5</v>
      </c>
      <c r="AL58" s="358">
        <f ca="1">IFERROR(__xludf.DUMMYFUNCTION("IMPORTRANGE(""https://docs.google.com/spreadsheets/d/1eHaY18a8A9IcSdp1K8H6x8fbOy06t2VsZHhMHf-1x7Y/edit?usp=sharing"",""แผน!EN58"")"),72)</f>
        <v>72</v>
      </c>
      <c r="AM58" s="151">
        <f ca="1">IFERROR(__xludf.DUMMYFUNCTION("IMPORTRANGE(""https://docs.google.com/spreadsheets/d/1tdoBKaGub7dwA3U6UFTqxio9LNnvDCQjHKmttSEBsFQ/edit?usp=sharing"",""จัดที่ดิน!I58"")"),1)</f>
        <v>1</v>
      </c>
      <c r="AN58" s="67">
        <f ca="1">IFERROR(__xludf.DUMMYFUNCTION("IMPORTRANGE(""https://docs.google.com/spreadsheets/d/1tdoBKaGub7dwA3U6UFTqxio9LNnvDCQjHKmttSEBsFQ/edit?usp=sharing"",""จัดที่ดิน!J58"")"),17.69)</f>
        <v>17.690000000000001</v>
      </c>
      <c r="AO58" s="68">
        <f t="shared" ca="1" si="63"/>
        <v>1.3888888888888888</v>
      </c>
      <c r="AP58" s="359">
        <f ca="1">IFERROR(__xludf.DUMMYFUNCTION("IMPORTRANGE(""https://docs.google.com/spreadsheets/d/1eHaY18a8A9IcSdp1K8H6x8fbOy06t2VsZHhMHf-1x7Y/edit?usp=sharing"",""แผน!EO58"")"),85)</f>
        <v>85</v>
      </c>
      <c r="AQ58" s="151">
        <f ca="1">IFERROR(__xludf.DUMMYFUNCTION("IMPORTRANGE(""https://docs.google.com/spreadsheets/d/1tdoBKaGub7dwA3U6UFTqxio9LNnvDCQjHKmttSEBsFQ/edit?usp=sharing"",""แบ่งแปลง!D60"")"),5)</f>
        <v>5</v>
      </c>
      <c r="AR58" s="67">
        <f ca="1">IFERROR(__xludf.DUMMYFUNCTION("IMPORTRANGE(""https://docs.google.com/spreadsheets/d/1tdoBKaGub7dwA3U6UFTqxio9LNnvDCQjHKmttSEBsFQ/edit?usp=sharing"",""แบ่งแปลง!F60"")"),58.72)</f>
        <v>58.72</v>
      </c>
      <c r="AS58" s="68">
        <f t="shared" ca="1" si="65"/>
        <v>69.082352941176467</v>
      </c>
      <c r="AT58" s="359">
        <f ca="1">IFERROR(__xludf.DUMMYFUNCTION("IMPORTRANGE(""https://docs.google.com/spreadsheets/d/1eHaY18a8A9IcSdp1K8H6x8fbOy06t2VsZHhMHf-1x7Y/edit?usp=sharing"",""แผน!EP58"")"),17)</f>
        <v>17</v>
      </c>
      <c r="AU58" s="151">
        <f ca="1">IFERROR(__xludf.DUMMYFUNCTION("IMPORTRANGE(""https://docs.google.com/spreadsheets/d/1tdoBKaGub7dwA3U6UFTqxio9LNnvDCQjHKmttSEBsFQ/edit?usp=sharing"",""แบ่งแปลง!I60"")"),5)</f>
        <v>5</v>
      </c>
      <c r="AV58" s="67">
        <f ca="1">IFERROR(__xludf.DUMMYFUNCTION("IMPORTRANGE(""https://docs.google.com/spreadsheets/d/1tdoBKaGub7dwA3U6UFTqxio9LNnvDCQjHKmttSEBsFQ/edit?usp=sharing"",""แบ่งแปลง!K60"")"),58.72)</f>
        <v>58.72</v>
      </c>
      <c r="AW58" s="68">
        <f t="shared" ca="1" si="67"/>
        <v>29.411764705882351</v>
      </c>
      <c r="AX58" s="359">
        <f ca="1">IFERROR(__xludf.DUMMYFUNCTION("IMPORTRANGE(""https://docs.google.com/spreadsheets/d/1eHaY18a8A9IcSdp1K8H6x8fbOy06t2VsZHhMHf-1x7Y/edit?usp=sharing"",""แผน!EP58"")"),17)</f>
        <v>17</v>
      </c>
      <c r="AY58" s="151">
        <f ca="1">IFERROR(__xludf.DUMMYFUNCTION("IMPORTRANGE(""https://docs.google.com/spreadsheets/d/1tdoBKaGub7dwA3U6UFTqxio9LNnvDCQjHKmttSEBsFQ/edit?usp=sharing"",""แบ่งแปลง!X60"")"),5)</f>
        <v>5</v>
      </c>
      <c r="AZ58" s="67">
        <f ca="1">IFERROR(__xludf.DUMMYFUNCTION("IMPORTRANGE(""https://docs.google.com/spreadsheets/d/1tdoBKaGub7dwA3U6UFTqxio9LNnvDCQjHKmttSEBsFQ/edit?usp=sharing"",""แบ่งแปลง!Z60"")"),58.72)</f>
        <v>58.72</v>
      </c>
      <c r="BA58" s="68">
        <f t="shared" ca="1" si="69"/>
        <v>29.411764705882351</v>
      </c>
      <c r="BB58" s="360">
        <f ca="1">IFERROR(__xludf.DUMMYFUNCTION("IMPORTRANGE(""https://docs.google.com/spreadsheets/d/1eHaY18a8A9IcSdp1K8H6x8fbOy06t2VsZHhMHf-1x7Y/edit?usp=sharing"",""แผน!ES58"")"),130)</f>
        <v>130</v>
      </c>
      <c r="BC58" s="151">
        <f ca="1">IFERROR(__xludf.DUMMYFUNCTION("IMPORTRANGE(""https://docs.google.com/spreadsheets/d/1tdoBKaGub7dwA3U6UFTqxio9LNnvDCQjHKmttSEBsFQ/edit?usp=sharing"",""เต็มแปลง!I60"")"),208)</f>
        <v>208</v>
      </c>
      <c r="BD58" s="67">
        <f ca="1">IFERROR(__xludf.DUMMYFUNCTION("IMPORTRANGE(""https://docs.google.com/spreadsheets/d/1tdoBKaGub7dwA3U6UFTqxio9LNnvDCQjHKmttSEBsFQ/edit?usp=sharing"",""เต็มแปลง!K60"")"),3876.1)</f>
        <v>3876.1</v>
      </c>
      <c r="BE58" s="68">
        <f t="shared" ca="1" si="71"/>
        <v>160</v>
      </c>
      <c r="BF58" s="360">
        <f ca="1">IFERROR(__xludf.DUMMYFUNCTION("IMPORTRANGE(""https://docs.google.com/spreadsheets/d/1eHaY18a8A9IcSdp1K8H6x8fbOy06t2VsZHhMHf-1x7Y/edit?usp=sharing"",""แผน!ES58"")"),130)</f>
        <v>130</v>
      </c>
      <c r="BG58" s="151">
        <f ca="1">IFERROR(__xludf.DUMMYFUNCTION("IMPORTRANGE(""https://docs.google.com/spreadsheets/d/1tdoBKaGub7dwA3U6UFTqxio9LNnvDCQjHKmttSEBsFQ/edit?usp=sharing"",""เต็มแปลง!S60"")"),207)</f>
        <v>207</v>
      </c>
      <c r="BH58" s="67">
        <f ca="1">IFERROR(__xludf.DUMMYFUNCTION("IMPORTRANGE(""https://docs.google.com/spreadsheets/d/1tdoBKaGub7dwA3U6UFTqxio9LNnvDCQjHKmttSEBsFQ/edit?usp=sharing"",""เต็มแปลง!U60"")"),3866.2)</f>
        <v>3866.2</v>
      </c>
      <c r="BI58" s="68">
        <f t="shared" ca="1" si="73"/>
        <v>159.23076923076923</v>
      </c>
      <c r="BJ58" s="339"/>
    </row>
    <row r="59" spans="1:62" ht="21" customHeight="1" x14ac:dyDescent="0.3">
      <c r="A59" s="147">
        <v>7</v>
      </c>
      <c r="B59" s="148" t="s">
        <v>87</v>
      </c>
      <c r="C59" s="149">
        <f t="shared" ca="1" si="44"/>
        <v>193180</v>
      </c>
      <c r="D59" s="150">
        <f t="shared" ca="1" si="100"/>
        <v>193180</v>
      </c>
      <c r="E59" s="151">
        <f ca="1">IFERROR(__xludf.DUMMYFUNCTION("IMPORTRANGE(""https://docs.google.com/spreadsheets/d/1-uDff_7J0KD5mKrp0Vvzr7lt3OU09vwQwhkpOPPYv2Y/edit?usp=sharing"",""งบพรบ!FD59"")"),0)</f>
        <v>0</v>
      </c>
      <c r="F59" s="151">
        <f ca="1">IFERROR(__xludf.DUMMYFUNCTION("IMPORTRANGE(""https://docs.google.com/spreadsheets/d/1-uDff_7J0KD5mKrp0Vvzr7lt3OU09vwQwhkpOPPYv2Y/edit?usp=sharing"",""งบพรบ!FE59"")"),193180)</f>
        <v>193180</v>
      </c>
      <c r="G59" s="151">
        <f ca="1">IFERROR(__xludf.DUMMYFUNCTION("IMPORTRANGE(""https://docs.google.com/spreadsheets/d/1-uDff_7J0KD5mKrp0Vvzr7lt3OU09vwQwhkpOPPYv2Y/edit?usp=sharing"",""งบพรบ!FF59"")"),0)</f>
        <v>0</v>
      </c>
      <c r="H59" s="151">
        <f ca="1">IFERROR(__xludf.DUMMYFUNCTION("IMPORTRANGE(""https://docs.google.com/spreadsheets/d/1-uDff_7J0KD5mKrp0Vvzr7lt3OU09vwQwhkpOPPYv2Y/edit?usp=sharing"",""งบพรบ!FH59"")"),193180)</f>
        <v>193180</v>
      </c>
      <c r="I59" s="151">
        <f ca="1">IFERROR(__xludf.DUMMYFUNCTION("IMPORTRANGE(""https://docs.google.com/spreadsheets/d/1-uDff_7J0KD5mKrp0Vvzr7lt3OU09vwQwhkpOPPYv2Y/edit?usp=sharing"",""งบพรบ!FI59"")"),0)</f>
        <v>0</v>
      </c>
      <c r="J59" s="151">
        <f t="shared" ca="1" si="46"/>
        <v>117764</v>
      </c>
      <c r="K59" s="154">
        <f t="shared" ca="1" si="47"/>
        <v>60.9607619836422</v>
      </c>
      <c r="L59" s="151">
        <f ca="1">IFERROR(__xludf.DUMMYFUNCTION("IMPORTRANGE(""https://docs.google.com/spreadsheets/d/1-uDff_7J0KD5mKrp0Vvzr7lt3OU09vwQwhkpOPPYv2Y/edit?usp=sharing"",""งบพรบ!FJ59"")"),117764)</f>
        <v>117764</v>
      </c>
      <c r="M59" s="68">
        <f t="shared" ca="1" si="48"/>
        <v>60.9607619836422</v>
      </c>
      <c r="N59" s="68">
        <f t="shared" ca="1" si="49"/>
        <v>60.9607619836422</v>
      </c>
      <c r="O59" s="67">
        <f ca="1">IFERROR(__xludf.DUMMYFUNCTION("IMPORTRANGE(""https://docs.google.com/spreadsheets/d/1-uDff_7J0KD5mKrp0Vvzr7lt3OU09vwQwhkpOPPYv2Y/edit?usp=sharing"",""งบพรบ!FK59"")"),0)</f>
        <v>0</v>
      </c>
      <c r="P59" s="67">
        <f t="shared" ca="1" si="50"/>
        <v>0</v>
      </c>
      <c r="Q59" s="68">
        <f t="shared" ca="1" si="51"/>
        <v>0</v>
      </c>
      <c r="R59" s="149">
        <f ca="1">IFERROR(__xludf.DUMMYFUNCTION("IMPORTRANGE(""https://docs.google.com/spreadsheets/d/18hSgUJ3VwClqi_qtULmmW3cLr0oe3OKaSYoKzdpTsYQ/edit?usp=sharing"",""นครนายก!I368"")"),0)</f>
        <v>0</v>
      </c>
      <c r="S59" s="152">
        <f ca="1">IFERROR(__xludf.DUMMYFUNCTION("IMPORTRANGE(""https://docs.google.com/spreadsheets/d/18hSgUJ3VwClqi_qtULmmW3cLr0oe3OKaSYoKzdpTsYQ/edit?usp=sharing"",""นครนายก!J367"")"),0)</f>
        <v>0</v>
      </c>
      <c r="T59" s="357">
        <f ca="1">IFERROR(__xludf.DUMMYFUNCTION("IMPORTRANGE(""https://docs.google.com/spreadsheets/d/18hSgUJ3VwClqi_qtULmmW3cLr0oe3OKaSYoKzdpTsYQ/edit?usp=sharing"",""นครนายก!J368"")"),0)</f>
        <v>0</v>
      </c>
      <c r="U59" s="216">
        <f t="shared" ca="1" si="53"/>
        <v>0</v>
      </c>
      <c r="V59" s="149">
        <f ca="1">IFERROR(__xludf.DUMMYFUNCTION("IMPORTRANGE(""https://docs.google.com/spreadsheets/d/18hSgUJ3VwClqi_qtULmmW3cLr0oe3OKaSYoKzdpTsYQ/edit?usp=sharing"",""นครนายก!I369"")"),0)</f>
        <v>0</v>
      </c>
      <c r="W59" s="152">
        <f ca="1">IFERROR(__xludf.DUMMYFUNCTION("IMPORTRANGE(""https://docs.google.com/spreadsheets/d/18hSgUJ3VwClqi_qtULmmW3cLr0oe3OKaSYoKzdpTsYQ/edit?usp=sharing"",""นครนายก!J369"")"),1)</f>
        <v>1</v>
      </c>
      <c r="X59" s="357">
        <f ca="1">IFERROR(__xludf.DUMMYFUNCTION("IMPORTRANGE(""https://docs.google.com/spreadsheets/d/18hSgUJ3VwClqi_qtULmmW3cLr0oe3OKaSYoKzdpTsYQ/edit?usp=sharing"",""นครนายก!J370"")"),8.13)</f>
        <v>8.1300000000000008</v>
      </c>
      <c r="Y59" s="216">
        <f t="shared" ca="1" si="55"/>
        <v>0</v>
      </c>
      <c r="Z59" s="149">
        <f ca="1">IFERROR(__xludf.DUMMYFUNCTION("IMPORTRANGE(""https://docs.google.com/spreadsheets/d/18hSgUJ3VwClqi_qtULmmW3cLr0oe3OKaSYoKzdpTsYQ/edit?usp=sharing"",""นครนายก!I371"")"),0)</f>
        <v>0</v>
      </c>
      <c r="AA59" s="152">
        <f ca="1">IFERROR(__xludf.DUMMYFUNCTION("IMPORTRANGE(""https://docs.google.com/spreadsheets/d/18hSgUJ3VwClqi_qtULmmW3cLr0oe3OKaSYoKzdpTsYQ/edit?usp=sharing"",""นครนายก!J371"")"),0)</f>
        <v>0</v>
      </c>
      <c r="AB59" s="357">
        <f ca="1">IFERROR(__xludf.DUMMYFUNCTION("IMPORTRANGE(""https://docs.google.com/spreadsheets/d/18hSgUJ3VwClqi_qtULmmW3cLr0oe3OKaSYoKzdpTsYQ/edit?usp=sharing"",""นครนายก!J372"")"),0)</f>
        <v>0</v>
      </c>
      <c r="AC59" s="216">
        <f t="shared" ca="1" si="57"/>
        <v>0</v>
      </c>
      <c r="AD59" s="358">
        <f ca="1">IFERROR(__xludf.DUMMYFUNCTION("IMPORTRANGE(""https://docs.google.com/spreadsheets/d/1eHaY18a8A9IcSdp1K8H6x8fbOy06t2VsZHhMHf-1x7Y/edit?usp=sharing"",""แผน!EM59"")"),0)</f>
        <v>0</v>
      </c>
      <c r="AE59" s="151">
        <f ca="1">IFERROR(__xludf.DUMMYFUNCTION("IMPORTRANGE(""https://docs.google.com/spreadsheets/d/1tdoBKaGub7dwA3U6UFTqxio9LNnvDCQjHKmttSEBsFQ/edit?usp=sharing"",""จัดที่ดิน!E59"")"),0)</f>
        <v>0</v>
      </c>
      <c r="AF59" s="67">
        <f ca="1">IFERROR(__xludf.DUMMYFUNCTION("IMPORTRANGE(""https://docs.google.com/spreadsheets/d/1tdoBKaGub7dwA3U6UFTqxio9LNnvDCQjHKmttSEBsFQ/edit?usp=sharing"",""จัดที่ดิน!F59"")"),0)</f>
        <v>0</v>
      </c>
      <c r="AG59" s="68">
        <f t="shared" ca="1" si="59"/>
        <v>0</v>
      </c>
      <c r="AH59" s="358">
        <f ca="1">IFERROR(__xludf.DUMMYFUNCTION("IMPORTRANGE(""https://docs.google.com/spreadsheets/d/1eHaY18a8A9IcSdp1K8H6x8fbOy06t2VsZHhMHf-1x7Y/edit?usp=sharing"",""แผน!EN59"")"),0)</f>
        <v>0</v>
      </c>
      <c r="AI59" s="151">
        <f ca="1">IFERROR(__xludf.DUMMYFUNCTION("IMPORTRANGE(""https://docs.google.com/spreadsheets/d/1tdoBKaGub7dwA3U6UFTqxio9LNnvDCQjHKmttSEBsFQ/edit?usp=sharing"",""จัดที่ดิน!G59"")"),0)</f>
        <v>0</v>
      </c>
      <c r="AJ59" s="67">
        <f ca="1">IFERROR(__xludf.DUMMYFUNCTION("IMPORTRANGE(""https://docs.google.com/spreadsheets/d/1tdoBKaGub7dwA3U6UFTqxio9LNnvDCQjHKmttSEBsFQ/edit?usp=sharing"",""จัดที่ดิน!H59"")"),0)</f>
        <v>0</v>
      </c>
      <c r="AK59" s="68">
        <f t="shared" ca="1" si="61"/>
        <v>0</v>
      </c>
      <c r="AL59" s="358">
        <f ca="1">IFERROR(__xludf.DUMMYFUNCTION("IMPORTRANGE(""https://docs.google.com/spreadsheets/d/1eHaY18a8A9IcSdp1K8H6x8fbOy06t2VsZHhMHf-1x7Y/edit?usp=sharing"",""แผน!EN59"")"),0)</f>
        <v>0</v>
      </c>
      <c r="AM59" s="151">
        <f ca="1">IFERROR(__xludf.DUMMYFUNCTION("IMPORTRANGE(""https://docs.google.com/spreadsheets/d/1tdoBKaGub7dwA3U6UFTqxio9LNnvDCQjHKmttSEBsFQ/edit?usp=sharing"",""จัดที่ดิน!I59"")"),0)</f>
        <v>0</v>
      </c>
      <c r="AN59" s="67">
        <f ca="1">IFERROR(__xludf.DUMMYFUNCTION("IMPORTRANGE(""https://docs.google.com/spreadsheets/d/1tdoBKaGub7dwA3U6UFTqxio9LNnvDCQjHKmttSEBsFQ/edit?usp=sharing"",""จัดที่ดิน!J59"")"),0)</f>
        <v>0</v>
      </c>
      <c r="AO59" s="68">
        <f t="shared" ca="1" si="63"/>
        <v>0</v>
      </c>
      <c r="AP59" s="359">
        <f ca="1">IFERROR(__xludf.DUMMYFUNCTION("IMPORTRANGE(""https://docs.google.com/spreadsheets/d/1eHaY18a8A9IcSdp1K8H6x8fbOy06t2VsZHhMHf-1x7Y/edit?usp=sharing"",""แผน!EO59"")"),0)</f>
        <v>0</v>
      </c>
      <c r="AQ59" s="151">
        <f ca="1">IFERROR(__xludf.DUMMYFUNCTION("IMPORTRANGE(""https://docs.google.com/spreadsheets/d/1tdoBKaGub7dwA3U6UFTqxio9LNnvDCQjHKmttSEBsFQ/edit?usp=sharing"",""แบ่งแปลง!D61"")"),0)</f>
        <v>0</v>
      </c>
      <c r="AR59" s="67">
        <f ca="1">IFERROR(__xludf.DUMMYFUNCTION("IMPORTRANGE(""https://docs.google.com/spreadsheets/d/1tdoBKaGub7dwA3U6UFTqxio9LNnvDCQjHKmttSEBsFQ/edit?usp=sharing"",""แบ่งแปลง!F61"")"),0)</f>
        <v>0</v>
      </c>
      <c r="AS59" s="68">
        <f t="shared" ca="1" si="65"/>
        <v>0</v>
      </c>
      <c r="AT59" s="359">
        <f ca="1">IFERROR(__xludf.DUMMYFUNCTION("IMPORTRANGE(""https://docs.google.com/spreadsheets/d/1eHaY18a8A9IcSdp1K8H6x8fbOy06t2VsZHhMHf-1x7Y/edit?usp=sharing"",""แผน!EP59"")"),0)</f>
        <v>0</v>
      </c>
      <c r="AU59" s="151">
        <f ca="1">IFERROR(__xludf.DUMMYFUNCTION("IMPORTRANGE(""https://docs.google.com/spreadsheets/d/1tdoBKaGub7dwA3U6UFTqxio9LNnvDCQjHKmttSEBsFQ/edit?usp=sharing"",""แบ่งแปลง!I61"")"),0)</f>
        <v>0</v>
      </c>
      <c r="AV59" s="67">
        <f ca="1">IFERROR(__xludf.DUMMYFUNCTION("IMPORTRANGE(""https://docs.google.com/spreadsheets/d/1tdoBKaGub7dwA3U6UFTqxio9LNnvDCQjHKmttSEBsFQ/edit?usp=sharing"",""แบ่งแปลง!K61"")"),0)</f>
        <v>0</v>
      </c>
      <c r="AW59" s="68">
        <f t="shared" ca="1" si="67"/>
        <v>0</v>
      </c>
      <c r="AX59" s="359">
        <f ca="1">IFERROR(__xludf.DUMMYFUNCTION("IMPORTRANGE(""https://docs.google.com/spreadsheets/d/1eHaY18a8A9IcSdp1K8H6x8fbOy06t2VsZHhMHf-1x7Y/edit?usp=sharing"",""แผน!EP59"")"),0)</f>
        <v>0</v>
      </c>
      <c r="AY59" s="151">
        <f ca="1">IFERROR(__xludf.DUMMYFUNCTION("IMPORTRANGE(""https://docs.google.com/spreadsheets/d/1tdoBKaGub7dwA3U6UFTqxio9LNnvDCQjHKmttSEBsFQ/edit?usp=sharing"",""แบ่งแปลง!X61"")"),0)</f>
        <v>0</v>
      </c>
      <c r="AZ59" s="67">
        <f ca="1">IFERROR(__xludf.DUMMYFUNCTION("IMPORTRANGE(""https://docs.google.com/spreadsheets/d/1tdoBKaGub7dwA3U6UFTqxio9LNnvDCQjHKmttSEBsFQ/edit?usp=sharing"",""แบ่งแปลง!Z61"")"),0)</f>
        <v>0</v>
      </c>
      <c r="BA59" s="68">
        <f t="shared" ca="1" si="69"/>
        <v>0</v>
      </c>
      <c r="BB59" s="360">
        <f ca="1">IFERROR(__xludf.DUMMYFUNCTION("IMPORTRANGE(""https://docs.google.com/spreadsheets/d/1eHaY18a8A9IcSdp1K8H6x8fbOy06t2VsZHhMHf-1x7Y/edit?usp=sharing"",""แผน!ES59"")"),0)</f>
        <v>0</v>
      </c>
      <c r="BC59" s="151">
        <f ca="1">IFERROR(__xludf.DUMMYFUNCTION("IMPORTRANGE(""https://docs.google.com/spreadsheets/d/1tdoBKaGub7dwA3U6UFTqxio9LNnvDCQjHKmttSEBsFQ/edit?usp=sharing"",""เต็มแปลง!I61"")"),1)</f>
        <v>1</v>
      </c>
      <c r="BD59" s="67">
        <f ca="1">IFERROR(__xludf.DUMMYFUNCTION("IMPORTRANGE(""https://docs.google.com/spreadsheets/d/1tdoBKaGub7dwA3U6UFTqxio9LNnvDCQjHKmttSEBsFQ/edit?usp=sharing"",""เต็มแปลง!K61"")"),8.13)</f>
        <v>8.1300000000000008</v>
      </c>
      <c r="BE59" s="68">
        <f t="shared" ca="1" si="71"/>
        <v>0</v>
      </c>
      <c r="BF59" s="360">
        <f ca="1">IFERROR(__xludf.DUMMYFUNCTION("IMPORTRANGE(""https://docs.google.com/spreadsheets/d/1eHaY18a8A9IcSdp1K8H6x8fbOy06t2VsZHhMHf-1x7Y/edit?usp=sharing"",""แผน!ES59"")"),0)</f>
        <v>0</v>
      </c>
      <c r="BG59" s="151">
        <f ca="1">IFERROR(__xludf.DUMMYFUNCTION("IMPORTRANGE(""https://docs.google.com/spreadsheets/d/1tdoBKaGub7dwA3U6UFTqxio9LNnvDCQjHKmttSEBsFQ/edit?usp=sharing"",""เต็มแปลง!S61"")"),0)</f>
        <v>0</v>
      </c>
      <c r="BH59" s="67">
        <f ca="1">IFERROR(__xludf.DUMMYFUNCTION("IMPORTRANGE(""https://docs.google.com/spreadsheets/d/1tdoBKaGub7dwA3U6UFTqxio9LNnvDCQjHKmttSEBsFQ/edit?usp=sharing"",""เต็มแปลง!U61"")"),0)</f>
        <v>0</v>
      </c>
      <c r="BI59" s="68">
        <f t="shared" ca="1" si="73"/>
        <v>0</v>
      </c>
      <c r="BJ59" s="339"/>
    </row>
    <row r="60" spans="1:62" ht="21" customHeight="1" x14ac:dyDescent="0.3">
      <c r="A60" s="147">
        <v>8</v>
      </c>
      <c r="B60" s="148" t="s">
        <v>88</v>
      </c>
      <c r="C60" s="149">
        <f t="shared" ca="1" si="44"/>
        <v>191110</v>
      </c>
      <c r="D60" s="150">
        <f t="shared" ca="1" si="100"/>
        <v>191110</v>
      </c>
      <c r="E60" s="151">
        <f ca="1">IFERROR(__xludf.DUMMYFUNCTION("IMPORTRANGE(""https://docs.google.com/spreadsheets/d/1-uDff_7J0KD5mKrp0Vvzr7lt3OU09vwQwhkpOPPYv2Y/edit?usp=sharing"",""งบพรบ!FD60"")"),0)</f>
        <v>0</v>
      </c>
      <c r="F60" s="151">
        <f ca="1">IFERROR(__xludf.DUMMYFUNCTION("IMPORTRANGE(""https://docs.google.com/spreadsheets/d/1-uDff_7J0KD5mKrp0Vvzr7lt3OU09vwQwhkpOPPYv2Y/edit?usp=sharing"",""งบพรบ!FE60"")"),191110)</f>
        <v>191110</v>
      </c>
      <c r="G60" s="151">
        <f ca="1">IFERROR(__xludf.DUMMYFUNCTION("IMPORTRANGE(""https://docs.google.com/spreadsheets/d/1-uDff_7J0KD5mKrp0Vvzr7lt3OU09vwQwhkpOPPYv2Y/edit?usp=sharing"",""งบพรบ!FF60"")"),0)</f>
        <v>0</v>
      </c>
      <c r="H60" s="151">
        <f ca="1">IFERROR(__xludf.DUMMYFUNCTION("IMPORTRANGE(""https://docs.google.com/spreadsheets/d/1-uDff_7J0KD5mKrp0Vvzr7lt3OU09vwQwhkpOPPYv2Y/edit?usp=sharing"",""งบพรบ!FH60"")"),191110)</f>
        <v>191110</v>
      </c>
      <c r="I60" s="151">
        <f ca="1">IFERROR(__xludf.DUMMYFUNCTION("IMPORTRANGE(""https://docs.google.com/spreadsheets/d/1-uDff_7J0KD5mKrp0Vvzr7lt3OU09vwQwhkpOPPYv2Y/edit?usp=sharing"",""งบพรบ!FI60"")"),0)</f>
        <v>0</v>
      </c>
      <c r="J60" s="151">
        <f t="shared" ca="1" si="46"/>
        <v>128700.01</v>
      </c>
      <c r="K60" s="154">
        <f t="shared" ca="1" si="47"/>
        <v>67.343420019883837</v>
      </c>
      <c r="L60" s="151">
        <f ca="1">IFERROR(__xludf.DUMMYFUNCTION("IMPORTRANGE(""https://docs.google.com/spreadsheets/d/1-uDff_7J0KD5mKrp0Vvzr7lt3OU09vwQwhkpOPPYv2Y/edit?usp=sharing"",""งบพรบ!FJ60"")"),128700.01)</f>
        <v>128700.01</v>
      </c>
      <c r="M60" s="68">
        <f t="shared" ca="1" si="48"/>
        <v>67.343420019883837</v>
      </c>
      <c r="N60" s="68">
        <f t="shared" ca="1" si="49"/>
        <v>67.343420019883837</v>
      </c>
      <c r="O60" s="67">
        <f ca="1">IFERROR(__xludf.DUMMYFUNCTION("IMPORTRANGE(""https://docs.google.com/spreadsheets/d/1-uDff_7J0KD5mKrp0Vvzr7lt3OU09vwQwhkpOPPYv2Y/edit?usp=sharing"",""งบพรบ!FK60"")"),0)</f>
        <v>0</v>
      </c>
      <c r="P60" s="67">
        <f t="shared" ca="1" si="50"/>
        <v>0</v>
      </c>
      <c r="Q60" s="68">
        <f t="shared" ca="1" si="51"/>
        <v>0</v>
      </c>
      <c r="R60" s="149">
        <f ca="1">IFERROR(__xludf.DUMMYFUNCTION("IMPORTRANGE(""https://docs.google.com/spreadsheets/d/1YTZo6WM2dQ6Ix6FSdnL5P7uVnVKu40sxZu975tgG10E/edit?usp=sharing"",""นครปฐม!I368"")"),0)</f>
        <v>0</v>
      </c>
      <c r="S60" s="152">
        <f ca="1">IFERROR(__xludf.DUMMYFUNCTION("IMPORTRANGE(""https://docs.google.com/spreadsheets/d/1YTZo6WM2dQ6Ix6FSdnL5P7uVnVKu40sxZu975tgG10E/edit?usp=sharing"",""นครปฐม!J367"")"),0)</f>
        <v>0</v>
      </c>
      <c r="T60" s="357">
        <f ca="1">IFERROR(__xludf.DUMMYFUNCTION("IMPORTRANGE(""https://docs.google.com/spreadsheets/d/1YTZo6WM2dQ6Ix6FSdnL5P7uVnVKu40sxZu975tgG10E/edit?usp=sharing"",""นครปฐม!J368"")"),0)</f>
        <v>0</v>
      </c>
      <c r="U60" s="216">
        <f t="shared" ca="1" si="53"/>
        <v>0</v>
      </c>
      <c r="V60" s="149">
        <f ca="1">IFERROR(__xludf.DUMMYFUNCTION("IMPORTRANGE(""https://docs.google.com/spreadsheets/d/1YTZo6WM2dQ6Ix6FSdnL5P7uVnVKu40sxZu975tgG10E/edit?usp=sharing"",""นครปฐม!I369"")"),0)</f>
        <v>0</v>
      </c>
      <c r="W60" s="152">
        <f ca="1">IFERROR(__xludf.DUMMYFUNCTION("IMPORTRANGE(""https://docs.google.com/spreadsheets/d/1YTZo6WM2dQ6Ix6FSdnL5P7uVnVKu40sxZu975tgG10E/edit?usp=sharing"",""นครปฐม!J369"")"),0)</f>
        <v>0</v>
      </c>
      <c r="X60" s="357">
        <f ca="1">IFERROR(__xludf.DUMMYFUNCTION("IMPORTRANGE(""https://docs.google.com/spreadsheets/d/1YTZo6WM2dQ6Ix6FSdnL5P7uVnVKu40sxZu975tgG10E/edit?usp=sharing"",""นครปฐม!J370"")"),0)</f>
        <v>0</v>
      </c>
      <c r="Y60" s="216">
        <f t="shared" ca="1" si="55"/>
        <v>0</v>
      </c>
      <c r="Z60" s="149">
        <f ca="1">IFERROR(__xludf.DUMMYFUNCTION("IMPORTRANGE(""https://docs.google.com/spreadsheets/d/1YTZo6WM2dQ6Ix6FSdnL5P7uVnVKu40sxZu975tgG10E/edit?usp=sharing"",""นครปฐม!I371"")"),0)</f>
        <v>0</v>
      </c>
      <c r="AA60" s="152">
        <f ca="1">IFERROR(__xludf.DUMMYFUNCTION("IMPORTRANGE(""https://docs.google.com/spreadsheets/d/1YTZo6WM2dQ6Ix6FSdnL5P7uVnVKu40sxZu975tgG10E/edit?usp=sharing"",""นครปฐม!J371"")"),0)</f>
        <v>0</v>
      </c>
      <c r="AB60" s="357">
        <f ca="1">IFERROR(__xludf.DUMMYFUNCTION("IMPORTRANGE(""https://docs.google.com/spreadsheets/d/1YTZo6WM2dQ6Ix6FSdnL5P7uVnVKu40sxZu975tgG10E/edit?usp=sharing"",""นครปฐม!J372"")"),0)</f>
        <v>0</v>
      </c>
      <c r="AC60" s="216">
        <f t="shared" ca="1" si="57"/>
        <v>0</v>
      </c>
      <c r="AD60" s="358">
        <f ca="1">IFERROR(__xludf.DUMMYFUNCTION("IMPORTRANGE(""https://docs.google.com/spreadsheets/d/1eHaY18a8A9IcSdp1K8H6x8fbOy06t2VsZHhMHf-1x7Y/edit?usp=sharing"",""แผน!EM60"")"),0)</f>
        <v>0</v>
      </c>
      <c r="AE60" s="151">
        <f ca="1">IFERROR(__xludf.DUMMYFUNCTION("IMPORTRANGE(""https://docs.google.com/spreadsheets/d/1tdoBKaGub7dwA3U6UFTqxio9LNnvDCQjHKmttSEBsFQ/edit?usp=sharing"",""จัดที่ดิน!E60"")"),0)</f>
        <v>0</v>
      </c>
      <c r="AF60" s="67">
        <f ca="1">IFERROR(__xludf.DUMMYFUNCTION("IMPORTRANGE(""https://docs.google.com/spreadsheets/d/1tdoBKaGub7dwA3U6UFTqxio9LNnvDCQjHKmttSEBsFQ/edit?usp=sharing"",""จัดที่ดิน!F60"")"),0)</f>
        <v>0</v>
      </c>
      <c r="AG60" s="68">
        <f t="shared" ca="1" si="59"/>
        <v>0</v>
      </c>
      <c r="AH60" s="358">
        <f ca="1">IFERROR(__xludf.DUMMYFUNCTION("IMPORTRANGE(""https://docs.google.com/spreadsheets/d/1eHaY18a8A9IcSdp1K8H6x8fbOy06t2VsZHhMHf-1x7Y/edit?usp=sharing"",""แผน!EN60"")"),0)</f>
        <v>0</v>
      </c>
      <c r="AI60" s="151">
        <f ca="1">IFERROR(__xludf.DUMMYFUNCTION("IMPORTRANGE(""https://docs.google.com/spreadsheets/d/1tdoBKaGub7dwA3U6UFTqxio9LNnvDCQjHKmttSEBsFQ/edit?usp=sharing"",""จัดที่ดิน!G60"")"),0)</f>
        <v>0</v>
      </c>
      <c r="AJ60" s="67">
        <f ca="1">IFERROR(__xludf.DUMMYFUNCTION("IMPORTRANGE(""https://docs.google.com/spreadsheets/d/1tdoBKaGub7dwA3U6UFTqxio9LNnvDCQjHKmttSEBsFQ/edit?usp=sharing"",""จัดที่ดิน!H60"")"),0)</f>
        <v>0</v>
      </c>
      <c r="AK60" s="68">
        <f t="shared" ca="1" si="61"/>
        <v>0</v>
      </c>
      <c r="AL60" s="358">
        <f ca="1">IFERROR(__xludf.DUMMYFUNCTION("IMPORTRANGE(""https://docs.google.com/spreadsheets/d/1eHaY18a8A9IcSdp1K8H6x8fbOy06t2VsZHhMHf-1x7Y/edit?usp=sharing"",""แผน!EN60"")"),0)</f>
        <v>0</v>
      </c>
      <c r="AM60" s="151">
        <f ca="1">IFERROR(__xludf.DUMMYFUNCTION("IMPORTRANGE(""https://docs.google.com/spreadsheets/d/1tdoBKaGub7dwA3U6UFTqxio9LNnvDCQjHKmttSEBsFQ/edit?usp=sharing"",""จัดที่ดิน!I60"")"),0)</f>
        <v>0</v>
      </c>
      <c r="AN60" s="67">
        <f ca="1">IFERROR(__xludf.DUMMYFUNCTION("IMPORTRANGE(""https://docs.google.com/spreadsheets/d/1tdoBKaGub7dwA3U6UFTqxio9LNnvDCQjHKmttSEBsFQ/edit?usp=sharing"",""จัดที่ดิน!J60"")"),0)</f>
        <v>0</v>
      </c>
      <c r="AO60" s="68">
        <f t="shared" ca="1" si="63"/>
        <v>0</v>
      </c>
      <c r="AP60" s="359">
        <f ca="1">IFERROR(__xludf.DUMMYFUNCTION("IMPORTRANGE(""https://docs.google.com/spreadsheets/d/1eHaY18a8A9IcSdp1K8H6x8fbOy06t2VsZHhMHf-1x7Y/edit?usp=sharing"",""แผน!EO60"")"),0)</f>
        <v>0</v>
      </c>
      <c r="AQ60" s="151">
        <f ca="1">IFERROR(__xludf.DUMMYFUNCTION("IMPORTRANGE(""https://docs.google.com/spreadsheets/d/1tdoBKaGub7dwA3U6UFTqxio9LNnvDCQjHKmttSEBsFQ/edit?usp=sharing"",""แบ่งแปลง!D62"")"),0)</f>
        <v>0</v>
      </c>
      <c r="AR60" s="67">
        <f ca="1">IFERROR(__xludf.DUMMYFUNCTION("IMPORTRANGE(""https://docs.google.com/spreadsheets/d/1tdoBKaGub7dwA3U6UFTqxio9LNnvDCQjHKmttSEBsFQ/edit?usp=sharing"",""แบ่งแปลง!F62"")"),0)</f>
        <v>0</v>
      </c>
      <c r="AS60" s="68">
        <f t="shared" ca="1" si="65"/>
        <v>0</v>
      </c>
      <c r="AT60" s="359">
        <f ca="1">IFERROR(__xludf.DUMMYFUNCTION("IMPORTRANGE(""https://docs.google.com/spreadsheets/d/1eHaY18a8A9IcSdp1K8H6x8fbOy06t2VsZHhMHf-1x7Y/edit?usp=sharing"",""แผน!EP60"")"),0)</f>
        <v>0</v>
      </c>
      <c r="AU60" s="151">
        <f ca="1">IFERROR(__xludf.DUMMYFUNCTION("IMPORTRANGE(""https://docs.google.com/spreadsheets/d/1tdoBKaGub7dwA3U6UFTqxio9LNnvDCQjHKmttSEBsFQ/edit?usp=sharing"",""แบ่งแปลง!I62"")"),0)</f>
        <v>0</v>
      </c>
      <c r="AV60" s="67">
        <f ca="1">IFERROR(__xludf.DUMMYFUNCTION("IMPORTRANGE(""https://docs.google.com/spreadsheets/d/1tdoBKaGub7dwA3U6UFTqxio9LNnvDCQjHKmttSEBsFQ/edit?usp=sharing"",""แบ่งแปลง!K62"")"),0)</f>
        <v>0</v>
      </c>
      <c r="AW60" s="68">
        <f t="shared" ca="1" si="67"/>
        <v>0</v>
      </c>
      <c r="AX60" s="359">
        <f ca="1">IFERROR(__xludf.DUMMYFUNCTION("IMPORTRANGE(""https://docs.google.com/spreadsheets/d/1eHaY18a8A9IcSdp1K8H6x8fbOy06t2VsZHhMHf-1x7Y/edit?usp=sharing"",""แผน!EP60"")"),0)</f>
        <v>0</v>
      </c>
      <c r="AY60" s="151">
        <f ca="1">IFERROR(__xludf.DUMMYFUNCTION("IMPORTRANGE(""https://docs.google.com/spreadsheets/d/1tdoBKaGub7dwA3U6UFTqxio9LNnvDCQjHKmttSEBsFQ/edit?usp=sharing"",""แบ่งแปลง!X62"")"),0)</f>
        <v>0</v>
      </c>
      <c r="AZ60" s="67">
        <f ca="1">IFERROR(__xludf.DUMMYFUNCTION("IMPORTRANGE(""https://docs.google.com/spreadsheets/d/1tdoBKaGub7dwA3U6UFTqxio9LNnvDCQjHKmttSEBsFQ/edit?usp=sharing"",""แบ่งแปลง!Z62"")"),0)</f>
        <v>0</v>
      </c>
      <c r="BA60" s="68">
        <f t="shared" ca="1" si="69"/>
        <v>0</v>
      </c>
      <c r="BB60" s="360">
        <f ca="1">IFERROR(__xludf.DUMMYFUNCTION("IMPORTRANGE(""https://docs.google.com/spreadsheets/d/1eHaY18a8A9IcSdp1K8H6x8fbOy06t2VsZHhMHf-1x7Y/edit?usp=sharing"",""แผน!ES60"")"),0)</f>
        <v>0</v>
      </c>
      <c r="BC60" s="151">
        <f ca="1">IFERROR(__xludf.DUMMYFUNCTION("IMPORTRANGE(""https://docs.google.com/spreadsheets/d/1tdoBKaGub7dwA3U6UFTqxio9LNnvDCQjHKmttSEBsFQ/edit?usp=sharing"",""เต็มแปลง!I62"")"),0)</f>
        <v>0</v>
      </c>
      <c r="BD60" s="67">
        <f ca="1">IFERROR(__xludf.DUMMYFUNCTION("IMPORTRANGE(""https://docs.google.com/spreadsheets/d/1tdoBKaGub7dwA3U6UFTqxio9LNnvDCQjHKmttSEBsFQ/edit?usp=sharing"",""เต็มแปลง!K62"")"),0)</f>
        <v>0</v>
      </c>
      <c r="BE60" s="68">
        <f t="shared" ca="1" si="71"/>
        <v>0</v>
      </c>
      <c r="BF60" s="360">
        <f ca="1">IFERROR(__xludf.DUMMYFUNCTION("IMPORTRANGE(""https://docs.google.com/spreadsheets/d/1eHaY18a8A9IcSdp1K8H6x8fbOy06t2VsZHhMHf-1x7Y/edit?usp=sharing"",""แผน!ES60"")"),0)</f>
        <v>0</v>
      </c>
      <c r="BG60" s="151">
        <f ca="1">IFERROR(__xludf.DUMMYFUNCTION("IMPORTRANGE(""https://docs.google.com/spreadsheets/d/1tdoBKaGub7dwA3U6UFTqxio9LNnvDCQjHKmttSEBsFQ/edit?usp=sharing"",""เต็มแปลง!S62"")"),0)</f>
        <v>0</v>
      </c>
      <c r="BH60" s="67">
        <f ca="1">IFERROR(__xludf.DUMMYFUNCTION("IMPORTRANGE(""https://docs.google.com/spreadsheets/d/1tdoBKaGub7dwA3U6UFTqxio9LNnvDCQjHKmttSEBsFQ/edit?usp=sharing"",""เต็มแปลง!U62"")"),0)</f>
        <v>0</v>
      </c>
      <c r="BI60" s="68">
        <f t="shared" ca="1" si="73"/>
        <v>0</v>
      </c>
      <c r="BJ60" s="339"/>
    </row>
    <row r="61" spans="1:62" ht="21" customHeight="1" x14ac:dyDescent="0.3">
      <c r="A61" s="147">
        <v>9</v>
      </c>
      <c r="B61" s="148" t="s">
        <v>89</v>
      </c>
      <c r="C61" s="149">
        <f t="shared" ca="1" si="44"/>
        <v>193180</v>
      </c>
      <c r="D61" s="150">
        <f t="shared" ca="1" si="100"/>
        <v>193180</v>
      </c>
      <c r="E61" s="151">
        <f ca="1">IFERROR(__xludf.DUMMYFUNCTION("IMPORTRANGE(""https://docs.google.com/spreadsheets/d/1-uDff_7J0KD5mKrp0Vvzr7lt3OU09vwQwhkpOPPYv2Y/edit?usp=sharing"",""งบพรบ!FD61"")"),0)</f>
        <v>0</v>
      </c>
      <c r="F61" s="151">
        <f ca="1">IFERROR(__xludf.DUMMYFUNCTION("IMPORTRANGE(""https://docs.google.com/spreadsheets/d/1-uDff_7J0KD5mKrp0Vvzr7lt3OU09vwQwhkpOPPYv2Y/edit?usp=sharing"",""งบพรบ!FE61"")"),193180)</f>
        <v>193180</v>
      </c>
      <c r="G61" s="151">
        <f ca="1">IFERROR(__xludf.DUMMYFUNCTION("IMPORTRANGE(""https://docs.google.com/spreadsheets/d/1-uDff_7J0KD5mKrp0Vvzr7lt3OU09vwQwhkpOPPYv2Y/edit?usp=sharing"",""งบพรบ!FF61"")"),0)</f>
        <v>0</v>
      </c>
      <c r="H61" s="151">
        <f ca="1">IFERROR(__xludf.DUMMYFUNCTION("IMPORTRANGE(""https://docs.google.com/spreadsheets/d/1-uDff_7J0KD5mKrp0Vvzr7lt3OU09vwQwhkpOPPYv2Y/edit?usp=sharing"",""งบพรบ!FH61"")"),193180)</f>
        <v>193180</v>
      </c>
      <c r="I61" s="151">
        <f ca="1">IFERROR(__xludf.DUMMYFUNCTION("IMPORTRANGE(""https://docs.google.com/spreadsheets/d/1-uDff_7J0KD5mKrp0Vvzr7lt3OU09vwQwhkpOPPYv2Y/edit?usp=sharing"",""งบพรบ!FI61"")"),0)</f>
        <v>0</v>
      </c>
      <c r="J61" s="151">
        <f t="shared" ca="1" si="46"/>
        <v>123566.66</v>
      </c>
      <c r="K61" s="154">
        <f t="shared" ca="1" si="47"/>
        <v>63.964520136660113</v>
      </c>
      <c r="L61" s="151">
        <f ca="1">IFERROR(__xludf.DUMMYFUNCTION("IMPORTRANGE(""https://docs.google.com/spreadsheets/d/1-uDff_7J0KD5mKrp0Vvzr7lt3OU09vwQwhkpOPPYv2Y/edit?usp=sharing"",""งบพรบ!FJ61"")"),123566.66)</f>
        <v>123566.66</v>
      </c>
      <c r="M61" s="68">
        <f t="shared" ca="1" si="48"/>
        <v>63.964520136660113</v>
      </c>
      <c r="N61" s="68">
        <f t="shared" ca="1" si="49"/>
        <v>63.964520136660113</v>
      </c>
      <c r="O61" s="67">
        <f ca="1">IFERROR(__xludf.DUMMYFUNCTION("IMPORTRANGE(""https://docs.google.com/spreadsheets/d/1-uDff_7J0KD5mKrp0Vvzr7lt3OU09vwQwhkpOPPYv2Y/edit?usp=sharing"",""งบพรบ!FK61"")"),0)</f>
        <v>0</v>
      </c>
      <c r="P61" s="67">
        <f t="shared" ca="1" si="50"/>
        <v>0</v>
      </c>
      <c r="Q61" s="68">
        <f t="shared" ca="1" si="51"/>
        <v>0</v>
      </c>
      <c r="R61" s="149">
        <f ca="1">IFERROR(__xludf.DUMMYFUNCTION("IMPORTRANGE(""https://docs.google.com/spreadsheets/d/1OYoGg4WDg5RIzwGeB10padOxJF9E_Vljuvvct_M7RDo/edit?usp=sharing"",""ปทุมธานี!I368"")"),0)</f>
        <v>0</v>
      </c>
      <c r="S61" s="152">
        <f ca="1">IFERROR(__xludf.DUMMYFUNCTION("IMPORTRANGE(""https://docs.google.com/spreadsheets/d/1OYoGg4WDg5RIzwGeB10padOxJF9E_Vljuvvct_M7RDo/edit?usp=sharing"",""ปทุมธานี!J367"")"),0)</f>
        <v>0</v>
      </c>
      <c r="T61" s="357">
        <f ca="1">IFERROR(__xludf.DUMMYFUNCTION("IMPORTRANGE(""https://docs.google.com/spreadsheets/d/1OYoGg4WDg5RIzwGeB10padOxJF9E_Vljuvvct_M7RDo/edit?usp=sharing"",""ปทุมธานี!J368"")"),0)</f>
        <v>0</v>
      </c>
      <c r="U61" s="216">
        <f t="shared" ca="1" si="53"/>
        <v>0</v>
      </c>
      <c r="V61" s="149">
        <f ca="1">IFERROR(__xludf.DUMMYFUNCTION("IMPORTRANGE(""https://docs.google.com/spreadsheets/d/1OYoGg4WDg5RIzwGeB10padOxJF9E_Vljuvvct_M7RDo/edit?usp=sharing"",""ปทุมธานี!I369"")"),0)</f>
        <v>0</v>
      </c>
      <c r="W61" s="152">
        <f ca="1">IFERROR(__xludf.DUMMYFUNCTION("IMPORTRANGE(""https://docs.google.com/spreadsheets/d/1OYoGg4WDg5RIzwGeB10padOxJF9E_Vljuvvct_M7RDo/edit?usp=sharing"",""ปทุมธานี!J369"")"),0)</f>
        <v>0</v>
      </c>
      <c r="X61" s="357">
        <f ca="1">IFERROR(__xludf.DUMMYFUNCTION("IMPORTRANGE(""https://docs.google.com/spreadsheets/d/1OYoGg4WDg5RIzwGeB10padOxJF9E_Vljuvvct_M7RDo/edit?usp=sharing"",""ปทุมธานี!J370"")"),0)</f>
        <v>0</v>
      </c>
      <c r="Y61" s="216">
        <f t="shared" ca="1" si="55"/>
        <v>0</v>
      </c>
      <c r="Z61" s="149">
        <f ca="1">IFERROR(__xludf.DUMMYFUNCTION("IMPORTRANGE(""https://docs.google.com/spreadsheets/d/1OYoGg4WDg5RIzwGeB10padOxJF9E_Vljuvvct_M7RDo/edit?usp=sharing"",""ปทุมธานี!I371"")"),0)</f>
        <v>0</v>
      </c>
      <c r="AA61" s="152">
        <f ca="1">IFERROR(__xludf.DUMMYFUNCTION("IMPORTRANGE(""https://docs.google.com/spreadsheets/d/1OYoGg4WDg5RIzwGeB10padOxJF9E_Vljuvvct_M7RDo/edit?usp=sharing"",""ปทุมธานี!J371"")"),0)</f>
        <v>0</v>
      </c>
      <c r="AB61" s="357">
        <f ca="1">IFERROR(__xludf.DUMMYFUNCTION("IMPORTRANGE(""https://docs.google.com/spreadsheets/d/1OYoGg4WDg5RIzwGeB10padOxJF9E_Vljuvvct_M7RDo/edit?usp=sharing"",""ปทุมธานี!J372"")"),0)</f>
        <v>0</v>
      </c>
      <c r="AC61" s="216">
        <f t="shared" ca="1" si="57"/>
        <v>0</v>
      </c>
      <c r="AD61" s="358">
        <f ca="1">IFERROR(__xludf.DUMMYFUNCTION("IMPORTRANGE(""https://docs.google.com/spreadsheets/d/1eHaY18a8A9IcSdp1K8H6x8fbOy06t2VsZHhMHf-1x7Y/edit?usp=sharing"",""แผน!EM61"")"),0)</f>
        <v>0</v>
      </c>
      <c r="AE61" s="151">
        <f ca="1">IFERROR(__xludf.DUMMYFUNCTION("IMPORTRANGE(""https://docs.google.com/spreadsheets/d/1tdoBKaGub7dwA3U6UFTqxio9LNnvDCQjHKmttSEBsFQ/edit?usp=sharing"",""จัดที่ดิน!E61"")"),0)</f>
        <v>0</v>
      </c>
      <c r="AF61" s="67">
        <f ca="1">IFERROR(__xludf.DUMMYFUNCTION("IMPORTRANGE(""https://docs.google.com/spreadsheets/d/1tdoBKaGub7dwA3U6UFTqxio9LNnvDCQjHKmttSEBsFQ/edit?usp=sharing"",""จัดที่ดิน!F61"")"),0)</f>
        <v>0</v>
      </c>
      <c r="AG61" s="68">
        <f t="shared" ca="1" si="59"/>
        <v>0</v>
      </c>
      <c r="AH61" s="358">
        <f ca="1">IFERROR(__xludf.DUMMYFUNCTION("IMPORTRANGE(""https://docs.google.com/spreadsheets/d/1eHaY18a8A9IcSdp1K8H6x8fbOy06t2VsZHhMHf-1x7Y/edit?usp=sharing"",""แผน!EN61"")"),0)</f>
        <v>0</v>
      </c>
      <c r="AI61" s="151">
        <f ca="1">IFERROR(__xludf.DUMMYFUNCTION("IMPORTRANGE(""https://docs.google.com/spreadsheets/d/1tdoBKaGub7dwA3U6UFTqxio9LNnvDCQjHKmttSEBsFQ/edit?usp=sharing"",""จัดที่ดิน!G61"")"),0)</f>
        <v>0</v>
      </c>
      <c r="AJ61" s="67">
        <f ca="1">IFERROR(__xludf.DUMMYFUNCTION("IMPORTRANGE(""https://docs.google.com/spreadsheets/d/1tdoBKaGub7dwA3U6UFTqxio9LNnvDCQjHKmttSEBsFQ/edit?usp=sharing"",""จัดที่ดิน!H61"")"),0)</f>
        <v>0</v>
      </c>
      <c r="AK61" s="68">
        <f t="shared" ca="1" si="61"/>
        <v>0</v>
      </c>
      <c r="AL61" s="358">
        <f ca="1">IFERROR(__xludf.DUMMYFUNCTION("IMPORTRANGE(""https://docs.google.com/spreadsheets/d/1eHaY18a8A9IcSdp1K8H6x8fbOy06t2VsZHhMHf-1x7Y/edit?usp=sharing"",""แผน!EN61"")"),0)</f>
        <v>0</v>
      </c>
      <c r="AM61" s="151">
        <f ca="1">IFERROR(__xludf.DUMMYFUNCTION("IMPORTRANGE(""https://docs.google.com/spreadsheets/d/1tdoBKaGub7dwA3U6UFTqxio9LNnvDCQjHKmttSEBsFQ/edit?usp=sharing"",""จัดที่ดิน!I61"")"),0)</f>
        <v>0</v>
      </c>
      <c r="AN61" s="67">
        <f ca="1">IFERROR(__xludf.DUMMYFUNCTION("IMPORTRANGE(""https://docs.google.com/spreadsheets/d/1tdoBKaGub7dwA3U6UFTqxio9LNnvDCQjHKmttSEBsFQ/edit?usp=sharing"",""จัดที่ดิน!J61"")"),0)</f>
        <v>0</v>
      </c>
      <c r="AO61" s="68">
        <f t="shared" ca="1" si="63"/>
        <v>0</v>
      </c>
      <c r="AP61" s="359">
        <f ca="1">IFERROR(__xludf.DUMMYFUNCTION("IMPORTRANGE(""https://docs.google.com/spreadsheets/d/1eHaY18a8A9IcSdp1K8H6x8fbOy06t2VsZHhMHf-1x7Y/edit?usp=sharing"",""แผน!EO61"")"),0)</f>
        <v>0</v>
      </c>
      <c r="AQ61" s="151">
        <f ca="1">IFERROR(__xludf.DUMMYFUNCTION("IMPORTRANGE(""https://docs.google.com/spreadsheets/d/1tdoBKaGub7dwA3U6UFTqxio9LNnvDCQjHKmttSEBsFQ/edit?usp=sharing"",""แบ่งแปลง!D63"")"),0)</f>
        <v>0</v>
      </c>
      <c r="AR61" s="67">
        <f ca="1">IFERROR(__xludf.DUMMYFUNCTION("IMPORTRANGE(""https://docs.google.com/spreadsheets/d/1tdoBKaGub7dwA3U6UFTqxio9LNnvDCQjHKmttSEBsFQ/edit?usp=sharing"",""แบ่งแปลง!F63"")"),0)</f>
        <v>0</v>
      </c>
      <c r="AS61" s="68">
        <f t="shared" ca="1" si="65"/>
        <v>0</v>
      </c>
      <c r="AT61" s="359">
        <f ca="1">IFERROR(__xludf.DUMMYFUNCTION("IMPORTRANGE(""https://docs.google.com/spreadsheets/d/1eHaY18a8A9IcSdp1K8H6x8fbOy06t2VsZHhMHf-1x7Y/edit?usp=sharing"",""แผน!EP61"")"),0)</f>
        <v>0</v>
      </c>
      <c r="AU61" s="151">
        <f ca="1">IFERROR(__xludf.DUMMYFUNCTION("IMPORTRANGE(""https://docs.google.com/spreadsheets/d/1tdoBKaGub7dwA3U6UFTqxio9LNnvDCQjHKmttSEBsFQ/edit?usp=sharing"",""แบ่งแปลง!I63"")"),0)</f>
        <v>0</v>
      </c>
      <c r="AV61" s="67">
        <f ca="1">IFERROR(__xludf.DUMMYFUNCTION("IMPORTRANGE(""https://docs.google.com/spreadsheets/d/1tdoBKaGub7dwA3U6UFTqxio9LNnvDCQjHKmttSEBsFQ/edit?usp=sharing"",""แบ่งแปลง!K63"")"),0)</f>
        <v>0</v>
      </c>
      <c r="AW61" s="68">
        <f t="shared" ca="1" si="67"/>
        <v>0</v>
      </c>
      <c r="AX61" s="359">
        <f ca="1">IFERROR(__xludf.DUMMYFUNCTION("IMPORTRANGE(""https://docs.google.com/spreadsheets/d/1eHaY18a8A9IcSdp1K8H6x8fbOy06t2VsZHhMHf-1x7Y/edit?usp=sharing"",""แผน!EP61"")"),0)</f>
        <v>0</v>
      </c>
      <c r="AY61" s="151">
        <f ca="1">IFERROR(__xludf.DUMMYFUNCTION("IMPORTRANGE(""https://docs.google.com/spreadsheets/d/1tdoBKaGub7dwA3U6UFTqxio9LNnvDCQjHKmttSEBsFQ/edit?usp=sharing"",""แบ่งแปลง!X63"")"),0)</f>
        <v>0</v>
      </c>
      <c r="AZ61" s="67">
        <f ca="1">IFERROR(__xludf.DUMMYFUNCTION("IMPORTRANGE(""https://docs.google.com/spreadsheets/d/1tdoBKaGub7dwA3U6UFTqxio9LNnvDCQjHKmttSEBsFQ/edit?usp=sharing"",""แบ่งแปลง!Z63"")"),0)</f>
        <v>0</v>
      </c>
      <c r="BA61" s="68">
        <f t="shared" ca="1" si="69"/>
        <v>0</v>
      </c>
      <c r="BB61" s="360">
        <f ca="1">IFERROR(__xludf.DUMMYFUNCTION("IMPORTRANGE(""https://docs.google.com/spreadsheets/d/1eHaY18a8A9IcSdp1K8H6x8fbOy06t2VsZHhMHf-1x7Y/edit?usp=sharing"",""แผน!ES61"")"),0)</f>
        <v>0</v>
      </c>
      <c r="BC61" s="151">
        <f ca="1">IFERROR(__xludf.DUMMYFUNCTION("IMPORTRANGE(""https://docs.google.com/spreadsheets/d/1tdoBKaGub7dwA3U6UFTqxio9LNnvDCQjHKmttSEBsFQ/edit?usp=sharing"",""เต็มแปลง!I63"")"),0)</f>
        <v>0</v>
      </c>
      <c r="BD61" s="67">
        <f ca="1">IFERROR(__xludf.DUMMYFUNCTION("IMPORTRANGE(""https://docs.google.com/spreadsheets/d/1tdoBKaGub7dwA3U6UFTqxio9LNnvDCQjHKmttSEBsFQ/edit?usp=sharing"",""เต็มแปลง!K63"")"),0)</f>
        <v>0</v>
      </c>
      <c r="BE61" s="68">
        <f t="shared" ca="1" si="71"/>
        <v>0</v>
      </c>
      <c r="BF61" s="360">
        <f ca="1">IFERROR(__xludf.DUMMYFUNCTION("IMPORTRANGE(""https://docs.google.com/spreadsheets/d/1eHaY18a8A9IcSdp1K8H6x8fbOy06t2VsZHhMHf-1x7Y/edit?usp=sharing"",""แผน!ES61"")"),0)</f>
        <v>0</v>
      </c>
      <c r="BG61" s="151">
        <f ca="1">IFERROR(__xludf.DUMMYFUNCTION("IMPORTRANGE(""https://docs.google.com/spreadsheets/d/1tdoBKaGub7dwA3U6UFTqxio9LNnvDCQjHKmttSEBsFQ/edit?usp=sharing"",""เต็มแปลง!S63"")"),0)</f>
        <v>0</v>
      </c>
      <c r="BH61" s="67">
        <f ca="1">IFERROR(__xludf.DUMMYFUNCTION("IMPORTRANGE(""https://docs.google.com/spreadsheets/d/1tdoBKaGub7dwA3U6UFTqxio9LNnvDCQjHKmttSEBsFQ/edit?usp=sharing"",""เต็มแปลง!U63"")"),0)</f>
        <v>0</v>
      </c>
      <c r="BI61" s="68">
        <f t="shared" ca="1" si="73"/>
        <v>0</v>
      </c>
      <c r="BJ61" s="339"/>
    </row>
    <row r="62" spans="1:62" ht="21" customHeight="1" x14ac:dyDescent="0.3">
      <c r="A62" s="147">
        <v>10</v>
      </c>
      <c r="B62" s="148" t="s">
        <v>90</v>
      </c>
      <c r="C62" s="149">
        <f t="shared" ca="1" si="44"/>
        <v>404120</v>
      </c>
      <c r="D62" s="150">
        <f t="shared" ca="1" si="100"/>
        <v>404120</v>
      </c>
      <c r="E62" s="151">
        <f ca="1">IFERROR(__xludf.DUMMYFUNCTION("IMPORTRANGE(""https://docs.google.com/spreadsheets/d/1-uDff_7J0KD5mKrp0Vvzr7lt3OU09vwQwhkpOPPYv2Y/edit?usp=sharing"",""งบพรบ!FD62"")"),143000)</f>
        <v>143000</v>
      </c>
      <c r="F62" s="151">
        <f ca="1">IFERROR(__xludf.DUMMYFUNCTION("IMPORTRANGE(""https://docs.google.com/spreadsheets/d/1-uDff_7J0KD5mKrp0Vvzr7lt3OU09vwQwhkpOPPYv2Y/edit?usp=sharing"",""งบพรบ!FE62"")"),261120)</f>
        <v>261120</v>
      </c>
      <c r="G62" s="151">
        <f ca="1">IFERROR(__xludf.DUMMYFUNCTION("IMPORTRANGE(""https://docs.google.com/spreadsheets/d/1-uDff_7J0KD5mKrp0Vvzr7lt3OU09vwQwhkpOPPYv2Y/edit?usp=sharing"",""งบพรบ!FF62"")"),0)</f>
        <v>0</v>
      </c>
      <c r="H62" s="151">
        <f ca="1">IFERROR(__xludf.DUMMYFUNCTION("IMPORTRANGE(""https://docs.google.com/spreadsheets/d/1-uDff_7J0KD5mKrp0Vvzr7lt3OU09vwQwhkpOPPYv2Y/edit?usp=sharing"",""งบพรบ!FH62"")"),502120)</f>
        <v>502120</v>
      </c>
      <c r="I62" s="151">
        <f ca="1">IFERROR(__xludf.DUMMYFUNCTION("IMPORTRANGE(""https://docs.google.com/spreadsheets/d/1-uDff_7J0KD5mKrp0Vvzr7lt3OU09vwQwhkpOPPYv2Y/edit?usp=sharing"",""งบพรบ!FI62"")"),0)</f>
        <v>0</v>
      </c>
      <c r="J62" s="151">
        <f t="shared" ca="1" si="46"/>
        <v>320683.36</v>
      </c>
      <c r="K62" s="154">
        <f t="shared" ca="1" si="47"/>
        <v>79.353498960704741</v>
      </c>
      <c r="L62" s="151">
        <f ca="1">IFERROR(__xludf.DUMMYFUNCTION("IMPORTRANGE(""https://docs.google.com/spreadsheets/d/1-uDff_7J0KD5mKrp0Vvzr7lt3OU09vwQwhkpOPPYv2Y/edit?usp=sharing"",""งบพรบ!FJ62"")"),320683.36)</f>
        <v>320683.36</v>
      </c>
      <c r="M62" s="68">
        <f t="shared" ca="1" si="48"/>
        <v>79.353498960704741</v>
      </c>
      <c r="N62" s="68">
        <f t="shared" ca="1" si="49"/>
        <v>63.865880665976263</v>
      </c>
      <c r="O62" s="67">
        <f ca="1">IFERROR(__xludf.DUMMYFUNCTION("IMPORTRANGE(""https://docs.google.com/spreadsheets/d/1-uDff_7J0KD5mKrp0Vvzr7lt3OU09vwQwhkpOPPYv2Y/edit?usp=sharing"",""งบพรบ!FK62"")"),0)</f>
        <v>0</v>
      </c>
      <c r="P62" s="67">
        <f t="shared" ca="1" si="50"/>
        <v>0</v>
      </c>
      <c r="Q62" s="68">
        <f t="shared" ca="1" si="51"/>
        <v>0</v>
      </c>
      <c r="R62" s="149">
        <f ca="1">IFERROR(__xludf.DUMMYFUNCTION("IMPORTRANGE(""https://docs.google.com/spreadsheets/d/1GbCIE4D4wk9FUozzqk7SxfDMxDVBwVmI5zcaVUSzKAc/edit?usp=sharing"",""ประจวบคีรีขันธ์!I368"")"),315)</f>
        <v>315</v>
      </c>
      <c r="S62" s="152">
        <f ca="1">IFERROR(__xludf.DUMMYFUNCTION("IMPORTRANGE(""https://docs.google.com/spreadsheets/d/1GbCIE4D4wk9FUozzqk7SxfDMxDVBwVmI5zcaVUSzKAc/edit?usp=sharing"",""ประจวบคีรีขันธ์!J367"")"),68)</f>
        <v>68</v>
      </c>
      <c r="T62" s="357">
        <f ca="1">IFERROR(__xludf.DUMMYFUNCTION("IMPORTRANGE(""https://docs.google.com/spreadsheets/d/1GbCIE4D4wk9FUozzqk7SxfDMxDVBwVmI5zcaVUSzKAc/edit?usp=sharing"",""ประจวบคีรีขันธ์!J368"")"),458.26)</f>
        <v>458.26</v>
      </c>
      <c r="U62" s="216">
        <f t="shared" ca="1" si="53"/>
        <v>145.47936507936507</v>
      </c>
      <c r="V62" s="149">
        <f ca="1">IFERROR(__xludf.DUMMYFUNCTION("IMPORTRANGE(""https://docs.google.com/spreadsheets/d/1GbCIE4D4wk9FUozzqk7SxfDMxDVBwVmI5zcaVUSzKAc/edit?usp=sharing"",""ประจวบคีรีขันธ์!I369"")"),168)</f>
        <v>168</v>
      </c>
      <c r="W62" s="152">
        <f ca="1">IFERROR(__xludf.DUMMYFUNCTION("IMPORTRANGE(""https://docs.google.com/spreadsheets/d/1GbCIE4D4wk9FUozzqk7SxfDMxDVBwVmI5zcaVUSzKAc/edit?usp=sharing"",""ประจวบคีรีขันธ์!J369"")"),345)</f>
        <v>345</v>
      </c>
      <c r="X62" s="357">
        <f ca="1">IFERROR(__xludf.DUMMYFUNCTION("IMPORTRANGE(""https://docs.google.com/spreadsheets/d/1GbCIE4D4wk9FUozzqk7SxfDMxDVBwVmI5zcaVUSzKAc/edit?usp=sharing"",""ประจวบคีรีขันธ์!J370"")"),4007.49)</f>
        <v>4007.49</v>
      </c>
      <c r="Y62" s="216">
        <f t="shared" ca="1" si="55"/>
        <v>205.35714285714286</v>
      </c>
      <c r="Z62" s="149">
        <f ca="1">IFERROR(__xludf.DUMMYFUNCTION("IMPORTRANGE(""https://docs.google.com/spreadsheets/d/1GbCIE4D4wk9FUozzqk7SxfDMxDVBwVmI5zcaVUSzKAc/edit?usp=sharing"",""ประจวบคีรีขันธ์!I371"")"),168)</f>
        <v>168</v>
      </c>
      <c r="AA62" s="152">
        <f ca="1">IFERROR(__xludf.DUMMYFUNCTION("IMPORTRANGE(""https://docs.google.com/spreadsheets/d/1GbCIE4D4wk9FUozzqk7SxfDMxDVBwVmI5zcaVUSzKAc/edit?usp=sharing"",""ประจวบคีรีขันธ์!J371"")"),340)</f>
        <v>340</v>
      </c>
      <c r="AB62" s="357">
        <f ca="1">IFERROR(__xludf.DUMMYFUNCTION("IMPORTRANGE(""https://docs.google.com/spreadsheets/d/1GbCIE4D4wk9FUozzqk7SxfDMxDVBwVmI5zcaVUSzKAc/edit?usp=sharing"",""ประจวบคีรีขันธ์!J372"")"),4055.83999999999)</f>
        <v>4055.8399999999901</v>
      </c>
      <c r="AC62" s="216">
        <f t="shared" ca="1" si="57"/>
        <v>202.38095238095238</v>
      </c>
      <c r="AD62" s="358">
        <f ca="1">IFERROR(__xludf.DUMMYFUNCTION("IMPORTRANGE(""https://docs.google.com/spreadsheets/d/1eHaY18a8A9IcSdp1K8H6x8fbOy06t2VsZHhMHf-1x7Y/edit?usp=sharing"",""แผน!EM62"")"),250)</f>
        <v>250</v>
      </c>
      <c r="AE62" s="151">
        <f ca="1">IFERROR(__xludf.DUMMYFUNCTION("IMPORTRANGE(""https://docs.google.com/spreadsheets/d/1tdoBKaGub7dwA3U6UFTqxio9LNnvDCQjHKmttSEBsFQ/edit?usp=sharing"",""จัดที่ดิน!E62"")"),47)</f>
        <v>47</v>
      </c>
      <c r="AF62" s="67">
        <f ca="1">IFERROR(__xludf.DUMMYFUNCTION("IMPORTRANGE(""https://docs.google.com/spreadsheets/d/1tdoBKaGub7dwA3U6UFTqxio9LNnvDCQjHKmttSEBsFQ/edit?usp=sharing"",""จัดที่ดิน!F62"")"),296.68)</f>
        <v>296.68</v>
      </c>
      <c r="AG62" s="68">
        <f t="shared" ca="1" si="59"/>
        <v>118.672</v>
      </c>
      <c r="AH62" s="358">
        <f ca="1">IFERROR(__xludf.DUMMYFUNCTION("IMPORTRANGE(""https://docs.google.com/spreadsheets/d/1eHaY18a8A9IcSdp1K8H6x8fbOy06t2VsZHhMHf-1x7Y/edit?usp=sharing"",""แผน!EN62"")"),25)</f>
        <v>25</v>
      </c>
      <c r="AI62" s="151">
        <f ca="1">IFERROR(__xludf.DUMMYFUNCTION("IMPORTRANGE(""https://docs.google.com/spreadsheets/d/1tdoBKaGub7dwA3U6UFTqxio9LNnvDCQjHKmttSEBsFQ/edit?usp=sharing"",""จัดที่ดิน!G62"")"),18)</f>
        <v>18</v>
      </c>
      <c r="AJ62" s="67">
        <f ca="1">IFERROR(__xludf.DUMMYFUNCTION("IMPORTRANGE(""https://docs.google.com/spreadsheets/d/1tdoBKaGub7dwA3U6UFTqxio9LNnvDCQjHKmttSEBsFQ/edit?usp=sharing"",""จัดที่ดิน!H62"")"),89.73)</f>
        <v>89.73</v>
      </c>
      <c r="AK62" s="68">
        <f t="shared" ca="1" si="61"/>
        <v>72</v>
      </c>
      <c r="AL62" s="358">
        <f ca="1">IFERROR(__xludf.DUMMYFUNCTION("IMPORTRANGE(""https://docs.google.com/spreadsheets/d/1eHaY18a8A9IcSdp1K8H6x8fbOy06t2VsZHhMHf-1x7Y/edit?usp=sharing"",""แผน!EN62"")"),25)</f>
        <v>25</v>
      </c>
      <c r="AM62" s="151">
        <f ca="1">IFERROR(__xludf.DUMMYFUNCTION("IMPORTRANGE(""https://docs.google.com/spreadsheets/d/1tdoBKaGub7dwA3U6UFTqxio9LNnvDCQjHKmttSEBsFQ/edit?usp=sharing"",""จัดที่ดิน!I62"")"),12)</f>
        <v>12</v>
      </c>
      <c r="AN62" s="67">
        <f ca="1">IFERROR(__xludf.DUMMYFUNCTION("IMPORTRANGE(""https://docs.google.com/spreadsheets/d/1tdoBKaGub7dwA3U6UFTqxio9LNnvDCQjHKmttSEBsFQ/edit?usp=sharing"",""จัดที่ดิน!J62"")"),101.7)</f>
        <v>101.7</v>
      </c>
      <c r="AO62" s="68">
        <f t="shared" ca="1" si="63"/>
        <v>48</v>
      </c>
      <c r="AP62" s="359">
        <f ca="1">IFERROR(__xludf.DUMMYFUNCTION("IMPORTRANGE(""https://docs.google.com/spreadsheets/d/1eHaY18a8A9IcSdp1K8H6x8fbOy06t2VsZHhMHf-1x7Y/edit?usp=sharing"",""แผน!EO62"")"),65)</f>
        <v>65</v>
      </c>
      <c r="AQ62" s="151">
        <f ca="1">IFERROR(__xludf.DUMMYFUNCTION("IMPORTRANGE(""https://docs.google.com/spreadsheets/d/1tdoBKaGub7dwA3U6UFTqxio9LNnvDCQjHKmttSEBsFQ/edit?usp=sharing"",""แบ่งแปลง!D64"")"),21)</f>
        <v>21</v>
      </c>
      <c r="AR62" s="67">
        <f ca="1">IFERROR(__xludf.DUMMYFUNCTION("IMPORTRANGE(""https://docs.google.com/spreadsheets/d/1tdoBKaGub7dwA3U6UFTqxio9LNnvDCQjHKmttSEBsFQ/edit?usp=sharing"",""แบ่งแปลง!F64"")"),161.58)</f>
        <v>161.58000000000001</v>
      </c>
      <c r="AS62" s="68">
        <f t="shared" ca="1" si="65"/>
        <v>248.5846153846154</v>
      </c>
      <c r="AT62" s="359">
        <f ca="1">IFERROR(__xludf.DUMMYFUNCTION("IMPORTRANGE(""https://docs.google.com/spreadsheets/d/1eHaY18a8A9IcSdp1K8H6x8fbOy06t2VsZHhMHf-1x7Y/edit?usp=sharing"",""แผน!EP62"")"),13)</f>
        <v>13</v>
      </c>
      <c r="AU62" s="151">
        <f ca="1">IFERROR(__xludf.DUMMYFUNCTION("IMPORTRANGE(""https://docs.google.com/spreadsheets/d/1tdoBKaGub7dwA3U6UFTqxio9LNnvDCQjHKmttSEBsFQ/edit?usp=sharing"",""แบ่งแปลง!I64"")"),19)</f>
        <v>19</v>
      </c>
      <c r="AV62" s="67">
        <f ca="1">IFERROR(__xludf.DUMMYFUNCTION("IMPORTRANGE(""https://docs.google.com/spreadsheets/d/1tdoBKaGub7dwA3U6UFTqxio9LNnvDCQjHKmttSEBsFQ/edit?usp=sharing"",""แบ่งแปลง!K64"")"),136.16)</f>
        <v>136.16</v>
      </c>
      <c r="AW62" s="68">
        <f t="shared" ca="1" si="67"/>
        <v>146.15384615384616</v>
      </c>
      <c r="AX62" s="359">
        <f ca="1">IFERROR(__xludf.DUMMYFUNCTION("IMPORTRANGE(""https://docs.google.com/spreadsheets/d/1eHaY18a8A9IcSdp1K8H6x8fbOy06t2VsZHhMHf-1x7Y/edit?usp=sharing"",""แผน!EP62"")"),13)</f>
        <v>13</v>
      </c>
      <c r="AY62" s="151">
        <f ca="1">IFERROR(__xludf.DUMMYFUNCTION("IMPORTRANGE(""https://docs.google.com/spreadsheets/d/1tdoBKaGub7dwA3U6UFTqxio9LNnvDCQjHKmttSEBsFQ/edit?usp=sharing"",""แบ่งแปลง!X64"")"),21)</f>
        <v>21</v>
      </c>
      <c r="AZ62" s="67">
        <f ca="1">IFERROR(__xludf.DUMMYFUNCTION("IMPORTRANGE(""https://docs.google.com/spreadsheets/d/1tdoBKaGub7dwA3U6UFTqxio9LNnvDCQjHKmttSEBsFQ/edit?usp=sharing"",""แบ่งแปลง!Z64"")"),161.58)</f>
        <v>161.58000000000001</v>
      </c>
      <c r="BA62" s="68">
        <f t="shared" ca="1" si="69"/>
        <v>161.53846153846155</v>
      </c>
      <c r="BB62" s="360">
        <f ca="1">IFERROR(__xludf.DUMMYFUNCTION("IMPORTRANGE(""https://docs.google.com/spreadsheets/d/1eHaY18a8A9IcSdp1K8H6x8fbOy06t2VsZHhMHf-1x7Y/edit?usp=sharing"",""แผน!ES62"")"),130)</f>
        <v>130</v>
      </c>
      <c r="BC62" s="151">
        <f ca="1">IFERROR(__xludf.DUMMYFUNCTION("IMPORTRANGE(""https://docs.google.com/spreadsheets/d/1tdoBKaGub7dwA3U6UFTqxio9LNnvDCQjHKmttSEBsFQ/edit?usp=sharing"",""เต็มแปลง!I64"")"),308)</f>
        <v>308</v>
      </c>
      <c r="BD62" s="67">
        <f ca="1">IFERROR(__xludf.DUMMYFUNCTION("IMPORTRANGE(""https://docs.google.com/spreadsheets/d/1tdoBKaGub7dwA3U6UFTqxio9LNnvDCQjHKmttSEBsFQ/edit?usp=sharing"",""เต็มแปลง!K64"")"),3781.61)</f>
        <v>3781.61</v>
      </c>
      <c r="BE62" s="68">
        <f t="shared" ca="1" si="71"/>
        <v>236.92307692307693</v>
      </c>
      <c r="BF62" s="360">
        <f ca="1">IFERROR(__xludf.DUMMYFUNCTION("IMPORTRANGE(""https://docs.google.com/spreadsheets/d/1eHaY18a8A9IcSdp1K8H6x8fbOy06t2VsZHhMHf-1x7Y/edit?usp=sharing"",""แผน!ES62"")"),130)</f>
        <v>130</v>
      </c>
      <c r="BG62" s="151">
        <f ca="1">IFERROR(__xludf.DUMMYFUNCTION("IMPORTRANGE(""https://docs.google.com/spreadsheets/d/1tdoBKaGub7dwA3U6UFTqxio9LNnvDCQjHKmttSEBsFQ/edit?usp=sharing"",""เต็มแปลง!S64"")"),307)</f>
        <v>307</v>
      </c>
      <c r="BH62" s="67">
        <f ca="1">IFERROR(__xludf.DUMMYFUNCTION("IMPORTRANGE(""https://docs.google.com/spreadsheets/d/1tdoBKaGub7dwA3U6UFTqxio9LNnvDCQjHKmttSEBsFQ/edit?usp=sharing"",""เต็มแปลง!U64"")"),3792.56)</f>
        <v>3792.56</v>
      </c>
      <c r="BI62" s="68">
        <f t="shared" ca="1" si="73"/>
        <v>236.15384615384616</v>
      </c>
      <c r="BJ62" s="339"/>
    </row>
    <row r="63" spans="1:62" ht="21" customHeight="1" x14ac:dyDescent="0.3">
      <c r="A63" s="147">
        <v>11</v>
      </c>
      <c r="B63" s="148" t="s">
        <v>91</v>
      </c>
      <c r="C63" s="149">
        <f t="shared" ca="1" si="44"/>
        <v>963930</v>
      </c>
      <c r="D63" s="150">
        <f t="shared" ca="1" si="100"/>
        <v>963930</v>
      </c>
      <c r="E63" s="151">
        <f ca="1">IFERROR(__xludf.DUMMYFUNCTION("IMPORTRANGE(""https://docs.google.com/spreadsheets/d/1-uDff_7J0KD5mKrp0Vvzr7lt3OU09vwQwhkpOPPYv2Y/edit?usp=sharing"",""งบพรบ!FD63"")"),719100)</f>
        <v>719100</v>
      </c>
      <c r="F63" s="151">
        <f ca="1">IFERROR(__xludf.DUMMYFUNCTION("IMPORTRANGE(""https://docs.google.com/spreadsheets/d/1-uDff_7J0KD5mKrp0Vvzr7lt3OU09vwQwhkpOPPYv2Y/edit?usp=sharing"",""งบพรบ!FE63"")"),244830)</f>
        <v>244830</v>
      </c>
      <c r="G63" s="151">
        <f ca="1">IFERROR(__xludf.DUMMYFUNCTION("IMPORTRANGE(""https://docs.google.com/spreadsheets/d/1-uDff_7J0KD5mKrp0Vvzr7lt3OU09vwQwhkpOPPYv2Y/edit?usp=sharing"",""งบพรบ!FF63"")"),0)</f>
        <v>0</v>
      </c>
      <c r="H63" s="151">
        <f ca="1">IFERROR(__xludf.DUMMYFUNCTION("IMPORTRANGE(""https://docs.google.com/spreadsheets/d/1-uDff_7J0KD5mKrp0Vvzr7lt3OU09vwQwhkpOPPYv2Y/edit?usp=sharing"",""งบพรบ!FH63"")"),1040430)</f>
        <v>1040430</v>
      </c>
      <c r="I63" s="151">
        <f ca="1">IFERROR(__xludf.DUMMYFUNCTION("IMPORTRANGE(""https://docs.google.com/spreadsheets/d/1-uDff_7J0KD5mKrp0Vvzr7lt3OU09vwQwhkpOPPYv2Y/edit?usp=sharing"",""งบพรบ!FI63"")"),0)</f>
        <v>0</v>
      </c>
      <c r="J63" s="151">
        <f t="shared" ca="1" si="46"/>
        <v>770383.2</v>
      </c>
      <c r="K63" s="154">
        <f t="shared" ca="1" si="47"/>
        <v>79.92107310696835</v>
      </c>
      <c r="L63" s="151">
        <f ca="1">IFERROR(__xludf.DUMMYFUNCTION("IMPORTRANGE(""https://docs.google.com/spreadsheets/d/1-uDff_7J0KD5mKrp0Vvzr7lt3OU09vwQwhkpOPPYv2Y/edit?usp=sharing"",""งบพรบ!FJ63"")"),770383.2)</f>
        <v>770383.2</v>
      </c>
      <c r="M63" s="68">
        <f t="shared" ca="1" si="48"/>
        <v>79.92107310696835</v>
      </c>
      <c r="N63" s="68">
        <f t="shared" ca="1" si="49"/>
        <v>74.044693059600363</v>
      </c>
      <c r="O63" s="67">
        <f ca="1">IFERROR(__xludf.DUMMYFUNCTION("IMPORTRANGE(""https://docs.google.com/spreadsheets/d/1-uDff_7J0KD5mKrp0Vvzr7lt3OU09vwQwhkpOPPYv2Y/edit?usp=sharing"",""งบพรบ!FK63"")"),0)</f>
        <v>0</v>
      </c>
      <c r="P63" s="67">
        <f t="shared" ca="1" si="50"/>
        <v>0</v>
      </c>
      <c r="Q63" s="68">
        <f t="shared" ca="1" si="51"/>
        <v>0</v>
      </c>
      <c r="R63" s="149">
        <f ca="1">IFERROR(__xludf.DUMMYFUNCTION("IMPORTRANGE(""https://docs.google.com/spreadsheets/d/1vVf6wykvW_lAyu7Yo9L4hUTqHqIeP_qcVuxCtosJEbg/edit?usp=sharing"",""ปราจีนบุรี!I368"")"),340)</f>
        <v>340</v>
      </c>
      <c r="S63" s="152">
        <f ca="1">IFERROR(__xludf.DUMMYFUNCTION("IMPORTRANGE(""https://docs.google.com/spreadsheets/d/1vVf6wykvW_lAyu7Yo9L4hUTqHqIeP_qcVuxCtosJEbg/edit?usp=sharing"",""ปราจีนบุรี!J367"")"),29)</f>
        <v>29</v>
      </c>
      <c r="T63" s="357">
        <f ca="1">IFERROR(__xludf.DUMMYFUNCTION("IMPORTRANGE(""https://docs.google.com/spreadsheets/d/1vVf6wykvW_lAyu7Yo9L4hUTqHqIeP_qcVuxCtosJEbg/edit?usp=sharing"",""ปราจีนบุรี!J368"")"),409.88)</f>
        <v>409.88</v>
      </c>
      <c r="U63" s="216">
        <f t="shared" ca="1" si="53"/>
        <v>120.55294117647058</v>
      </c>
      <c r="V63" s="149">
        <f ca="1">IFERROR(__xludf.DUMMYFUNCTION("IMPORTRANGE(""https://docs.google.com/spreadsheets/d/1vVf6wykvW_lAyu7Yo9L4hUTqHqIeP_qcVuxCtosJEbg/edit?usp=sharing"",""ปราจีนบุรี!I369"")"),79)</f>
        <v>79</v>
      </c>
      <c r="W63" s="152">
        <f ca="1">IFERROR(__xludf.DUMMYFUNCTION("IMPORTRANGE(""https://docs.google.com/spreadsheets/d/1vVf6wykvW_lAyu7Yo9L4hUTqHqIeP_qcVuxCtosJEbg/edit?usp=sharing"",""ปราจีนบุรี!J369"")"),38)</f>
        <v>38</v>
      </c>
      <c r="X63" s="357">
        <f ca="1">IFERROR(__xludf.DUMMYFUNCTION("IMPORTRANGE(""https://docs.google.com/spreadsheets/d/1vVf6wykvW_lAyu7Yo9L4hUTqHqIeP_qcVuxCtosJEbg/edit?usp=sharing"",""ปราจีนบุรี!J370"")"),594.71)</f>
        <v>594.71</v>
      </c>
      <c r="Y63" s="216">
        <f t="shared" ca="1" si="55"/>
        <v>48.101265822784811</v>
      </c>
      <c r="Z63" s="149">
        <f ca="1">IFERROR(__xludf.DUMMYFUNCTION("IMPORTRANGE(""https://docs.google.com/spreadsheets/d/1vVf6wykvW_lAyu7Yo9L4hUTqHqIeP_qcVuxCtosJEbg/edit?usp=sharing"",""ปราจีนบุรี!I371"")"),79)</f>
        <v>79</v>
      </c>
      <c r="AA63" s="152">
        <f ca="1">IFERROR(__xludf.DUMMYFUNCTION("IMPORTRANGE(""https://docs.google.com/spreadsheets/d/1vVf6wykvW_lAyu7Yo9L4hUTqHqIeP_qcVuxCtosJEbg/edit?usp=sharing"",""ปราจีนบุรี!J371"")"),34)</f>
        <v>34</v>
      </c>
      <c r="AB63" s="357">
        <f ca="1">IFERROR(__xludf.DUMMYFUNCTION("IMPORTRANGE(""https://docs.google.com/spreadsheets/d/1vVf6wykvW_lAyu7Yo9L4hUTqHqIeP_qcVuxCtosJEbg/edit?usp=sharing"",""ปราจีนบุรี!J372"")"),491.15)</f>
        <v>491.15</v>
      </c>
      <c r="AC63" s="216">
        <f t="shared" ca="1" si="57"/>
        <v>43.037974683544306</v>
      </c>
      <c r="AD63" s="358">
        <f ca="1">IFERROR(__xludf.DUMMYFUNCTION("IMPORTRANGE(""https://docs.google.com/spreadsheets/d/1eHaY18a8A9IcSdp1K8H6x8fbOy06t2VsZHhMHf-1x7Y/edit?usp=sharing"",""แผน!EM63"")"),270)</f>
        <v>270</v>
      </c>
      <c r="AE63" s="151">
        <f ca="1">IFERROR(__xludf.DUMMYFUNCTION("IMPORTRANGE(""https://docs.google.com/spreadsheets/d/1tdoBKaGub7dwA3U6UFTqxio9LNnvDCQjHKmttSEBsFQ/edit?usp=sharing"",""จัดที่ดิน!E63"")"),18)</f>
        <v>18</v>
      </c>
      <c r="AF63" s="67">
        <f ca="1">IFERROR(__xludf.DUMMYFUNCTION("IMPORTRANGE(""https://docs.google.com/spreadsheets/d/1tdoBKaGub7dwA3U6UFTqxio9LNnvDCQjHKmttSEBsFQ/edit?usp=sharing"",""จัดที่ดิน!F63"")"),276.18)</f>
        <v>276.18</v>
      </c>
      <c r="AG63" s="68">
        <f t="shared" ca="1" si="59"/>
        <v>102.28888888888889</v>
      </c>
      <c r="AH63" s="358">
        <f ca="1">IFERROR(__xludf.DUMMYFUNCTION("IMPORTRANGE(""https://docs.google.com/spreadsheets/d/1eHaY18a8A9IcSdp1K8H6x8fbOy06t2VsZHhMHf-1x7Y/edit?usp=sharing"",""แผน!EN63"")"),27)</f>
        <v>27</v>
      </c>
      <c r="AI63" s="151">
        <f ca="1">IFERROR(__xludf.DUMMYFUNCTION("IMPORTRANGE(""https://docs.google.com/spreadsheets/d/1tdoBKaGub7dwA3U6UFTqxio9LNnvDCQjHKmttSEBsFQ/edit?usp=sharing"",""จัดที่ดิน!G63"")"),4)</f>
        <v>4</v>
      </c>
      <c r="AJ63" s="67">
        <f ca="1">IFERROR(__xludf.DUMMYFUNCTION("IMPORTRANGE(""https://docs.google.com/spreadsheets/d/1tdoBKaGub7dwA3U6UFTqxio9LNnvDCQjHKmttSEBsFQ/edit?usp=sharing"",""จัดที่ดิน!H63"")"),82)</f>
        <v>82</v>
      </c>
      <c r="AK63" s="68">
        <f t="shared" ca="1" si="61"/>
        <v>14.814814814814815</v>
      </c>
      <c r="AL63" s="358">
        <f ca="1">IFERROR(__xludf.DUMMYFUNCTION("IMPORTRANGE(""https://docs.google.com/spreadsheets/d/1eHaY18a8A9IcSdp1K8H6x8fbOy06t2VsZHhMHf-1x7Y/edit?usp=sharing"",""แผน!EN63"")"),27)</f>
        <v>27</v>
      </c>
      <c r="AM63" s="151">
        <f ca="1">IFERROR(__xludf.DUMMYFUNCTION("IMPORTRANGE(""https://docs.google.com/spreadsheets/d/1tdoBKaGub7dwA3U6UFTqxio9LNnvDCQjHKmttSEBsFQ/edit?usp=sharing"",""จัดที่ดิน!I63"")"),0)</f>
        <v>0</v>
      </c>
      <c r="AN63" s="67">
        <f ca="1">IFERROR(__xludf.DUMMYFUNCTION("IMPORTRANGE(""https://docs.google.com/spreadsheets/d/1tdoBKaGub7dwA3U6UFTqxio9LNnvDCQjHKmttSEBsFQ/edit?usp=sharing"",""จัดที่ดิน!J63"")"),0)</f>
        <v>0</v>
      </c>
      <c r="AO63" s="68">
        <f t="shared" ca="1" si="63"/>
        <v>0</v>
      </c>
      <c r="AP63" s="359">
        <f ca="1">IFERROR(__xludf.DUMMYFUNCTION("IMPORTRANGE(""https://docs.google.com/spreadsheets/d/1eHaY18a8A9IcSdp1K8H6x8fbOy06t2VsZHhMHf-1x7Y/edit?usp=sharing"",""แผน!EO63"")"),70)</f>
        <v>70</v>
      </c>
      <c r="AQ63" s="151">
        <f ca="1">IFERROR(__xludf.DUMMYFUNCTION("IMPORTRANGE(""https://docs.google.com/spreadsheets/d/1tdoBKaGub7dwA3U6UFTqxio9LNnvDCQjHKmttSEBsFQ/edit?usp=sharing"",""แบ่งแปลง!D65"")"),11)</f>
        <v>11</v>
      </c>
      <c r="AR63" s="67">
        <f ca="1">IFERROR(__xludf.DUMMYFUNCTION("IMPORTRANGE(""https://docs.google.com/spreadsheets/d/1tdoBKaGub7dwA3U6UFTqxio9LNnvDCQjHKmttSEBsFQ/edit?usp=sharing"",""แบ่งแปลง!F65"")"),133.7)</f>
        <v>133.69999999999999</v>
      </c>
      <c r="AS63" s="68">
        <f t="shared" ca="1" si="65"/>
        <v>190.99999999999997</v>
      </c>
      <c r="AT63" s="359">
        <f ca="1">IFERROR(__xludf.DUMMYFUNCTION("IMPORTRANGE(""https://docs.google.com/spreadsheets/d/1eHaY18a8A9IcSdp1K8H6x8fbOy06t2VsZHhMHf-1x7Y/edit?usp=sharing"",""แผน!EP63"")"),14)</f>
        <v>14</v>
      </c>
      <c r="AU63" s="151">
        <f ca="1">IFERROR(__xludf.DUMMYFUNCTION("IMPORTRANGE(""https://docs.google.com/spreadsheets/d/1tdoBKaGub7dwA3U6UFTqxio9LNnvDCQjHKmttSEBsFQ/edit?usp=sharing"",""แบ่งแปลง!I65"")"),7)</f>
        <v>7</v>
      </c>
      <c r="AV63" s="67">
        <f ca="1">IFERROR(__xludf.DUMMYFUNCTION("IMPORTRANGE(""https://docs.google.com/spreadsheets/d/1tdoBKaGub7dwA3U6UFTqxio9LNnvDCQjHKmttSEBsFQ/edit?usp=sharing"",""แบ่งแปลง!K65"")"),90.41)</f>
        <v>90.41</v>
      </c>
      <c r="AW63" s="68">
        <f t="shared" ca="1" si="67"/>
        <v>50</v>
      </c>
      <c r="AX63" s="359">
        <f ca="1">IFERROR(__xludf.DUMMYFUNCTION("IMPORTRANGE(""https://docs.google.com/spreadsheets/d/1eHaY18a8A9IcSdp1K8H6x8fbOy06t2VsZHhMHf-1x7Y/edit?usp=sharing"",""แผน!EP63"")"),14)</f>
        <v>14</v>
      </c>
      <c r="AY63" s="151">
        <f ca="1">IFERROR(__xludf.DUMMYFUNCTION("IMPORTRANGE(""https://docs.google.com/spreadsheets/d/1tdoBKaGub7dwA3U6UFTqxio9LNnvDCQjHKmttSEBsFQ/edit?usp=sharing"",""แบ่งแปลง!X65"")"),5)</f>
        <v>5</v>
      </c>
      <c r="AZ63" s="67">
        <f ca="1">IFERROR(__xludf.DUMMYFUNCTION("IMPORTRANGE(""https://docs.google.com/spreadsheets/d/1tdoBKaGub7dwA3U6UFTqxio9LNnvDCQjHKmttSEBsFQ/edit?usp=sharing"",""แบ่งแปลง!Z65"")"),60.08)</f>
        <v>60.08</v>
      </c>
      <c r="BA63" s="68">
        <f t="shared" ca="1" si="69"/>
        <v>35.714285714285715</v>
      </c>
      <c r="BB63" s="360">
        <f ca="1">IFERROR(__xludf.DUMMYFUNCTION("IMPORTRANGE(""https://docs.google.com/spreadsheets/d/1eHaY18a8A9IcSdp1K8H6x8fbOy06t2VsZHhMHf-1x7Y/edit?usp=sharing"",""แผน!ES63"")"),38)</f>
        <v>38</v>
      </c>
      <c r="BC63" s="151">
        <f ca="1">IFERROR(__xludf.DUMMYFUNCTION("IMPORTRANGE(""https://docs.google.com/spreadsheets/d/1tdoBKaGub7dwA3U6UFTqxio9LNnvDCQjHKmttSEBsFQ/edit?usp=sharing"",""เต็มแปลง!I65"")"),27)</f>
        <v>27</v>
      </c>
      <c r="BD63" s="67">
        <f ca="1">IFERROR(__xludf.DUMMYFUNCTION("IMPORTRANGE(""https://docs.google.com/spreadsheets/d/1tdoBKaGub7dwA3U6UFTqxio9LNnvDCQjHKmttSEBsFQ/edit?usp=sharing"",""เต็มแปลง!K65"")"),422.29)</f>
        <v>422.29</v>
      </c>
      <c r="BE63" s="68">
        <f t="shared" ca="1" si="71"/>
        <v>71.05263157894737</v>
      </c>
      <c r="BF63" s="360">
        <f ca="1">IFERROR(__xludf.DUMMYFUNCTION("IMPORTRANGE(""https://docs.google.com/spreadsheets/d/1eHaY18a8A9IcSdp1K8H6x8fbOy06t2VsZHhMHf-1x7Y/edit?usp=sharing"",""แผน!ES63"")"),38)</f>
        <v>38</v>
      </c>
      <c r="BG63" s="151">
        <f ca="1">IFERROR(__xludf.DUMMYFUNCTION("IMPORTRANGE(""https://docs.google.com/spreadsheets/d/1tdoBKaGub7dwA3U6UFTqxio9LNnvDCQjHKmttSEBsFQ/edit?usp=sharing"",""เต็มแปลง!S65"")"),29)</f>
        <v>29</v>
      </c>
      <c r="BH63" s="67">
        <f ca="1">IFERROR(__xludf.DUMMYFUNCTION("IMPORTRANGE(""https://docs.google.com/spreadsheets/d/1tdoBKaGub7dwA3U6UFTqxio9LNnvDCQjHKmttSEBsFQ/edit?usp=sharing"",""เต็มแปลง!U65"")"),431.07)</f>
        <v>431.07</v>
      </c>
      <c r="BI63" s="68">
        <f t="shared" ca="1" si="73"/>
        <v>76.315789473684205</v>
      </c>
      <c r="BJ63" s="339"/>
    </row>
    <row r="64" spans="1:62" ht="21" customHeight="1" x14ac:dyDescent="0.3">
      <c r="A64" s="147">
        <v>12</v>
      </c>
      <c r="B64" s="148" t="s">
        <v>92</v>
      </c>
      <c r="C64" s="149">
        <f t="shared" ca="1" si="44"/>
        <v>191110</v>
      </c>
      <c r="D64" s="150">
        <f t="shared" ca="1" si="100"/>
        <v>191110</v>
      </c>
      <c r="E64" s="151">
        <f ca="1">IFERROR(__xludf.DUMMYFUNCTION("IMPORTRANGE(""https://docs.google.com/spreadsheets/d/1-uDff_7J0KD5mKrp0Vvzr7lt3OU09vwQwhkpOPPYv2Y/edit?usp=sharing"",""งบพรบ!FD64"")"),0)</f>
        <v>0</v>
      </c>
      <c r="F64" s="151">
        <f ca="1">IFERROR(__xludf.DUMMYFUNCTION("IMPORTRANGE(""https://docs.google.com/spreadsheets/d/1-uDff_7J0KD5mKrp0Vvzr7lt3OU09vwQwhkpOPPYv2Y/edit?usp=sharing"",""งบพรบ!FE64"")"),191110)</f>
        <v>191110</v>
      </c>
      <c r="G64" s="151">
        <f ca="1">IFERROR(__xludf.DUMMYFUNCTION("IMPORTRANGE(""https://docs.google.com/spreadsheets/d/1-uDff_7J0KD5mKrp0Vvzr7lt3OU09vwQwhkpOPPYv2Y/edit?usp=sharing"",""งบพรบ!FF64"")"),0)</f>
        <v>0</v>
      </c>
      <c r="H64" s="151">
        <f ca="1">IFERROR(__xludf.DUMMYFUNCTION("IMPORTRANGE(""https://docs.google.com/spreadsheets/d/1-uDff_7J0KD5mKrp0Vvzr7lt3OU09vwQwhkpOPPYv2Y/edit?usp=sharing"",""งบพรบ!FH64"")"),191110)</f>
        <v>191110</v>
      </c>
      <c r="I64" s="151">
        <f ca="1">IFERROR(__xludf.DUMMYFUNCTION("IMPORTRANGE(""https://docs.google.com/spreadsheets/d/1-uDff_7J0KD5mKrp0Vvzr7lt3OU09vwQwhkpOPPYv2Y/edit?usp=sharing"",""งบพรบ!FI64"")"),0)</f>
        <v>0</v>
      </c>
      <c r="J64" s="151">
        <f t="shared" ca="1" si="46"/>
        <v>116444.61</v>
      </c>
      <c r="K64" s="154">
        <f t="shared" ca="1" si="47"/>
        <v>60.93067343414787</v>
      </c>
      <c r="L64" s="151">
        <f ca="1">IFERROR(__xludf.DUMMYFUNCTION("IMPORTRANGE(""https://docs.google.com/spreadsheets/d/1-uDff_7J0KD5mKrp0Vvzr7lt3OU09vwQwhkpOPPYv2Y/edit?usp=sharing"",""งบพรบ!FJ64"")"),116444.61)</f>
        <v>116444.61</v>
      </c>
      <c r="M64" s="68">
        <f t="shared" ca="1" si="48"/>
        <v>60.93067343414787</v>
      </c>
      <c r="N64" s="68">
        <f t="shared" ca="1" si="49"/>
        <v>60.93067343414787</v>
      </c>
      <c r="O64" s="67">
        <f ca="1">IFERROR(__xludf.DUMMYFUNCTION("IMPORTRANGE(""https://docs.google.com/spreadsheets/d/1-uDff_7J0KD5mKrp0Vvzr7lt3OU09vwQwhkpOPPYv2Y/edit?usp=sharing"",""งบพรบ!FK64"")"),0)</f>
        <v>0</v>
      </c>
      <c r="P64" s="67">
        <f t="shared" ca="1" si="50"/>
        <v>0</v>
      </c>
      <c r="Q64" s="68">
        <f t="shared" ca="1" si="51"/>
        <v>0</v>
      </c>
      <c r="R64" s="149">
        <f ca="1">IFERROR(__xludf.DUMMYFUNCTION("IMPORTRANGE(""https://docs.google.com/spreadsheets/d/1BIDqLLg5jk3v59G8NlR8rk5xfQDKne0sAvZHSj7TI6I/edit?usp=sharing"",""พระนครศรีอยุธยา!I368"")"),0)</f>
        <v>0</v>
      </c>
      <c r="S64" s="152">
        <f ca="1">IFERROR(__xludf.DUMMYFUNCTION("IMPORTRANGE(""https://docs.google.com/spreadsheets/d/1BIDqLLg5jk3v59G8NlR8rk5xfQDKne0sAvZHSj7TI6I/edit?usp=sharing"",""พระนครศรีอยุธยา!J367"")"),0)</f>
        <v>0</v>
      </c>
      <c r="T64" s="357">
        <f ca="1">IFERROR(__xludf.DUMMYFUNCTION("IMPORTRANGE(""https://docs.google.com/spreadsheets/d/1BIDqLLg5jk3v59G8NlR8rk5xfQDKne0sAvZHSj7TI6I/edit?usp=sharing"",""พระนครศรีอยุธยา!J368"")"),0)</f>
        <v>0</v>
      </c>
      <c r="U64" s="216">
        <f t="shared" ca="1" si="53"/>
        <v>0</v>
      </c>
      <c r="V64" s="149">
        <f ca="1">IFERROR(__xludf.DUMMYFUNCTION("IMPORTRANGE(""https://docs.google.com/spreadsheets/d/1BIDqLLg5jk3v59G8NlR8rk5xfQDKne0sAvZHSj7TI6I/edit?usp=sharing"",""พระนครศรีอยุธยา!I369"")"),0)</f>
        <v>0</v>
      </c>
      <c r="W64" s="152">
        <f ca="1">IFERROR(__xludf.DUMMYFUNCTION("IMPORTRANGE(""https://docs.google.com/spreadsheets/d/1BIDqLLg5jk3v59G8NlR8rk5xfQDKne0sAvZHSj7TI6I/edit?usp=sharing"",""พระนครศรีอยุธยา!J369"")"),0)</f>
        <v>0</v>
      </c>
      <c r="X64" s="357">
        <f ca="1">IFERROR(__xludf.DUMMYFUNCTION("IMPORTRANGE(""https://docs.google.com/spreadsheets/d/1BIDqLLg5jk3v59G8NlR8rk5xfQDKne0sAvZHSj7TI6I/edit?usp=sharing"",""พระนครศรีอยุธยา!J370"")"),0)</f>
        <v>0</v>
      </c>
      <c r="Y64" s="216">
        <f t="shared" ca="1" si="55"/>
        <v>0</v>
      </c>
      <c r="Z64" s="149">
        <f ca="1">IFERROR(__xludf.DUMMYFUNCTION("IMPORTRANGE(""https://docs.google.com/spreadsheets/d/1BIDqLLg5jk3v59G8NlR8rk5xfQDKne0sAvZHSj7TI6I/edit?usp=sharing"",""พระนครศรีอยุธยา!I371"")"),0)</f>
        <v>0</v>
      </c>
      <c r="AA64" s="152">
        <f ca="1">IFERROR(__xludf.DUMMYFUNCTION("IMPORTRANGE(""https://docs.google.com/spreadsheets/d/1BIDqLLg5jk3v59G8NlR8rk5xfQDKne0sAvZHSj7TI6I/edit?usp=sharing"",""พระนครศรีอยุธยา!J371"")"),0)</f>
        <v>0</v>
      </c>
      <c r="AB64" s="357">
        <f ca="1">IFERROR(__xludf.DUMMYFUNCTION("IMPORTRANGE(""https://docs.google.com/spreadsheets/d/1BIDqLLg5jk3v59G8NlR8rk5xfQDKne0sAvZHSj7TI6I/edit?usp=sharing"",""พระนครศรีอยุธยา!J372"")"),0)</f>
        <v>0</v>
      </c>
      <c r="AC64" s="216">
        <f t="shared" ca="1" si="57"/>
        <v>0</v>
      </c>
      <c r="AD64" s="358">
        <f ca="1">IFERROR(__xludf.DUMMYFUNCTION("IMPORTRANGE(""https://docs.google.com/spreadsheets/d/1eHaY18a8A9IcSdp1K8H6x8fbOy06t2VsZHhMHf-1x7Y/edit?usp=sharing"",""แผน!EM64"")"),0)</f>
        <v>0</v>
      </c>
      <c r="AE64" s="151">
        <f ca="1">IFERROR(__xludf.DUMMYFUNCTION("IMPORTRANGE(""https://docs.google.com/spreadsheets/d/1tdoBKaGub7dwA3U6UFTqxio9LNnvDCQjHKmttSEBsFQ/edit?usp=sharing"",""จัดที่ดิน!E64"")"),0)</f>
        <v>0</v>
      </c>
      <c r="AF64" s="67">
        <f ca="1">IFERROR(__xludf.DUMMYFUNCTION("IMPORTRANGE(""https://docs.google.com/spreadsheets/d/1tdoBKaGub7dwA3U6UFTqxio9LNnvDCQjHKmttSEBsFQ/edit?usp=sharing"",""จัดที่ดิน!F64"")"),0)</f>
        <v>0</v>
      </c>
      <c r="AG64" s="68">
        <f t="shared" ca="1" si="59"/>
        <v>0</v>
      </c>
      <c r="AH64" s="358">
        <f ca="1">IFERROR(__xludf.DUMMYFUNCTION("IMPORTRANGE(""https://docs.google.com/spreadsheets/d/1eHaY18a8A9IcSdp1K8H6x8fbOy06t2VsZHhMHf-1x7Y/edit?usp=sharing"",""แผน!EN64"")"),0)</f>
        <v>0</v>
      </c>
      <c r="AI64" s="151">
        <f ca="1">IFERROR(__xludf.DUMMYFUNCTION("IMPORTRANGE(""https://docs.google.com/spreadsheets/d/1tdoBKaGub7dwA3U6UFTqxio9LNnvDCQjHKmttSEBsFQ/edit?usp=sharing"",""จัดที่ดิน!G64"")"),0)</f>
        <v>0</v>
      </c>
      <c r="AJ64" s="67">
        <f ca="1">IFERROR(__xludf.DUMMYFUNCTION("IMPORTRANGE(""https://docs.google.com/spreadsheets/d/1tdoBKaGub7dwA3U6UFTqxio9LNnvDCQjHKmttSEBsFQ/edit?usp=sharing"",""จัดที่ดิน!H64"")"),0)</f>
        <v>0</v>
      </c>
      <c r="AK64" s="68">
        <f t="shared" ca="1" si="61"/>
        <v>0</v>
      </c>
      <c r="AL64" s="358">
        <f ca="1">IFERROR(__xludf.DUMMYFUNCTION("IMPORTRANGE(""https://docs.google.com/spreadsheets/d/1eHaY18a8A9IcSdp1K8H6x8fbOy06t2VsZHhMHf-1x7Y/edit?usp=sharing"",""แผน!EN64"")"),0)</f>
        <v>0</v>
      </c>
      <c r="AM64" s="151">
        <f ca="1">IFERROR(__xludf.DUMMYFUNCTION("IMPORTRANGE(""https://docs.google.com/spreadsheets/d/1tdoBKaGub7dwA3U6UFTqxio9LNnvDCQjHKmttSEBsFQ/edit?usp=sharing"",""จัดที่ดิน!I64"")"),0)</f>
        <v>0</v>
      </c>
      <c r="AN64" s="67">
        <f ca="1">IFERROR(__xludf.DUMMYFUNCTION("IMPORTRANGE(""https://docs.google.com/spreadsheets/d/1tdoBKaGub7dwA3U6UFTqxio9LNnvDCQjHKmttSEBsFQ/edit?usp=sharing"",""จัดที่ดิน!J64"")"),0)</f>
        <v>0</v>
      </c>
      <c r="AO64" s="68">
        <f t="shared" ca="1" si="63"/>
        <v>0</v>
      </c>
      <c r="AP64" s="359">
        <f ca="1">IFERROR(__xludf.DUMMYFUNCTION("IMPORTRANGE(""https://docs.google.com/spreadsheets/d/1eHaY18a8A9IcSdp1K8H6x8fbOy06t2VsZHhMHf-1x7Y/edit?usp=sharing"",""แผน!EO64"")"),0)</f>
        <v>0</v>
      </c>
      <c r="AQ64" s="151">
        <f ca="1">IFERROR(__xludf.DUMMYFUNCTION("IMPORTRANGE(""https://docs.google.com/spreadsheets/d/1tdoBKaGub7dwA3U6UFTqxio9LNnvDCQjHKmttSEBsFQ/edit?usp=sharing"",""แบ่งแปลง!D66"")"),0)</f>
        <v>0</v>
      </c>
      <c r="AR64" s="67">
        <f ca="1">IFERROR(__xludf.DUMMYFUNCTION("IMPORTRANGE(""https://docs.google.com/spreadsheets/d/1tdoBKaGub7dwA3U6UFTqxio9LNnvDCQjHKmttSEBsFQ/edit?usp=sharing"",""แบ่งแปลง!F66"")"),0)</f>
        <v>0</v>
      </c>
      <c r="AS64" s="68">
        <f t="shared" ca="1" si="65"/>
        <v>0</v>
      </c>
      <c r="AT64" s="359">
        <f ca="1">IFERROR(__xludf.DUMMYFUNCTION("IMPORTRANGE(""https://docs.google.com/spreadsheets/d/1eHaY18a8A9IcSdp1K8H6x8fbOy06t2VsZHhMHf-1x7Y/edit?usp=sharing"",""แผน!EP64"")"),0)</f>
        <v>0</v>
      </c>
      <c r="AU64" s="151">
        <f ca="1">IFERROR(__xludf.DUMMYFUNCTION("IMPORTRANGE(""https://docs.google.com/spreadsheets/d/1tdoBKaGub7dwA3U6UFTqxio9LNnvDCQjHKmttSEBsFQ/edit?usp=sharing"",""แบ่งแปลง!I66"")"),0)</f>
        <v>0</v>
      </c>
      <c r="AV64" s="67">
        <f ca="1">IFERROR(__xludf.DUMMYFUNCTION("IMPORTRANGE(""https://docs.google.com/spreadsheets/d/1tdoBKaGub7dwA3U6UFTqxio9LNnvDCQjHKmttSEBsFQ/edit?usp=sharing"",""แบ่งแปลง!K66"")"),0)</f>
        <v>0</v>
      </c>
      <c r="AW64" s="68">
        <f t="shared" ca="1" si="67"/>
        <v>0</v>
      </c>
      <c r="AX64" s="359">
        <f ca="1">IFERROR(__xludf.DUMMYFUNCTION("IMPORTRANGE(""https://docs.google.com/spreadsheets/d/1eHaY18a8A9IcSdp1K8H6x8fbOy06t2VsZHhMHf-1x7Y/edit?usp=sharing"",""แผน!EP64"")"),0)</f>
        <v>0</v>
      </c>
      <c r="AY64" s="151">
        <f ca="1">IFERROR(__xludf.DUMMYFUNCTION("IMPORTRANGE(""https://docs.google.com/spreadsheets/d/1tdoBKaGub7dwA3U6UFTqxio9LNnvDCQjHKmttSEBsFQ/edit?usp=sharing"",""แบ่งแปลง!X66"")"),0)</f>
        <v>0</v>
      </c>
      <c r="AZ64" s="67">
        <f ca="1">IFERROR(__xludf.DUMMYFUNCTION("IMPORTRANGE(""https://docs.google.com/spreadsheets/d/1tdoBKaGub7dwA3U6UFTqxio9LNnvDCQjHKmttSEBsFQ/edit?usp=sharing"",""แบ่งแปลง!Z66"")"),0)</f>
        <v>0</v>
      </c>
      <c r="BA64" s="68">
        <f t="shared" ca="1" si="69"/>
        <v>0</v>
      </c>
      <c r="BB64" s="360">
        <f ca="1">IFERROR(__xludf.DUMMYFUNCTION("IMPORTRANGE(""https://docs.google.com/spreadsheets/d/1eHaY18a8A9IcSdp1K8H6x8fbOy06t2VsZHhMHf-1x7Y/edit?usp=sharing"",""แผน!ES64"")"),0)</f>
        <v>0</v>
      </c>
      <c r="BC64" s="151">
        <f ca="1">IFERROR(__xludf.DUMMYFUNCTION("IMPORTRANGE(""https://docs.google.com/spreadsheets/d/1tdoBKaGub7dwA3U6UFTqxio9LNnvDCQjHKmttSEBsFQ/edit?usp=sharing"",""เต็มแปลง!I66"")"),0)</f>
        <v>0</v>
      </c>
      <c r="BD64" s="67">
        <f ca="1">IFERROR(__xludf.DUMMYFUNCTION("IMPORTRANGE(""https://docs.google.com/spreadsheets/d/1tdoBKaGub7dwA3U6UFTqxio9LNnvDCQjHKmttSEBsFQ/edit?usp=sharing"",""เต็มแปลง!K66"")"),0)</f>
        <v>0</v>
      </c>
      <c r="BE64" s="68">
        <f t="shared" ca="1" si="71"/>
        <v>0</v>
      </c>
      <c r="BF64" s="360">
        <f ca="1">IFERROR(__xludf.DUMMYFUNCTION("IMPORTRANGE(""https://docs.google.com/spreadsheets/d/1eHaY18a8A9IcSdp1K8H6x8fbOy06t2VsZHhMHf-1x7Y/edit?usp=sharing"",""แผน!ES64"")"),0)</f>
        <v>0</v>
      </c>
      <c r="BG64" s="151">
        <f ca="1">IFERROR(__xludf.DUMMYFUNCTION("IMPORTRANGE(""https://docs.google.com/spreadsheets/d/1tdoBKaGub7dwA3U6UFTqxio9LNnvDCQjHKmttSEBsFQ/edit?usp=sharing"",""เต็มแปลง!S66"")"),0)</f>
        <v>0</v>
      </c>
      <c r="BH64" s="67">
        <f ca="1">IFERROR(__xludf.DUMMYFUNCTION("IMPORTRANGE(""https://docs.google.com/spreadsheets/d/1tdoBKaGub7dwA3U6UFTqxio9LNnvDCQjHKmttSEBsFQ/edit?usp=sharing"",""เต็มแปลง!U66"")"),0)</f>
        <v>0</v>
      </c>
      <c r="BI64" s="68">
        <f t="shared" ca="1" si="73"/>
        <v>0</v>
      </c>
      <c r="BJ64" s="339"/>
    </row>
    <row r="65" spans="1:62" ht="21" customHeight="1" x14ac:dyDescent="0.3">
      <c r="A65" s="147">
        <v>13</v>
      </c>
      <c r="B65" s="148" t="s">
        <v>93</v>
      </c>
      <c r="C65" s="149">
        <f t="shared" ca="1" si="44"/>
        <v>363380</v>
      </c>
      <c r="D65" s="150">
        <f t="shared" ca="1" si="100"/>
        <v>363380</v>
      </c>
      <c r="E65" s="151">
        <f ca="1">IFERROR(__xludf.DUMMYFUNCTION("IMPORTRANGE(""https://docs.google.com/spreadsheets/d/1-uDff_7J0KD5mKrp0Vvzr7lt3OU09vwQwhkpOPPYv2Y/edit?usp=sharing"",""งบพรบ!FD65"")"),143000)</f>
        <v>143000</v>
      </c>
      <c r="F65" s="151">
        <f ca="1">IFERROR(__xludf.DUMMYFUNCTION("IMPORTRANGE(""https://docs.google.com/spreadsheets/d/1-uDff_7J0KD5mKrp0Vvzr7lt3OU09vwQwhkpOPPYv2Y/edit?usp=sharing"",""งบพรบ!FE65"")"),220380)</f>
        <v>220380</v>
      </c>
      <c r="G65" s="151">
        <f ca="1">IFERROR(__xludf.DUMMYFUNCTION("IMPORTRANGE(""https://docs.google.com/spreadsheets/d/1-uDff_7J0KD5mKrp0Vvzr7lt3OU09vwQwhkpOPPYv2Y/edit?usp=sharing"",""งบพรบ!FF65"")"),0)</f>
        <v>0</v>
      </c>
      <c r="H65" s="151">
        <f ca="1">IFERROR(__xludf.DUMMYFUNCTION("IMPORTRANGE(""https://docs.google.com/spreadsheets/d/1-uDff_7J0KD5mKrp0Vvzr7lt3OU09vwQwhkpOPPYv2Y/edit?usp=sharing"",""งบพรบ!FH65"")"),466870)</f>
        <v>466870</v>
      </c>
      <c r="I65" s="151">
        <f ca="1">IFERROR(__xludf.DUMMYFUNCTION("IMPORTRANGE(""https://docs.google.com/spreadsheets/d/1-uDff_7J0KD5mKrp0Vvzr7lt3OU09vwQwhkpOPPYv2Y/edit?usp=sharing"",""งบพรบ!FI65"")"),0)</f>
        <v>0</v>
      </c>
      <c r="J65" s="151">
        <f t="shared" ca="1" si="46"/>
        <v>302067</v>
      </c>
      <c r="K65" s="154">
        <f t="shared" ca="1" si="47"/>
        <v>83.12702955583687</v>
      </c>
      <c r="L65" s="151">
        <f ca="1">IFERROR(__xludf.DUMMYFUNCTION("IMPORTRANGE(""https://docs.google.com/spreadsheets/d/1-uDff_7J0KD5mKrp0Vvzr7lt3OU09vwQwhkpOPPYv2Y/edit?usp=sharing"",""งบพรบ!FJ65"")"),302067)</f>
        <v>302067</v>
      </c>
      <c r="M65" s="68">
        <f t="shared" ca="1" si="48"/>
        <v>83.12702955583687</v>
      </c>
      <c r="N65" s="68">
        <f t="shared" ca="1" si="49"/>
        <v>64.700451945937843</v>
      </c>
      <c r="O65" s="67">
        <f ca="1">IFERROR(__xludf.DUMMYFUNCTION("IMPORTRANGE(""https://docs.google.com/spreadsheets/d/1-uDff_7J0KD5mKrp0Vvzr7lt3OU09vwQwhkpOPPYv2Y/edit?usp=sharing"",""งบพรบ!FK65"")"),0)</f>
        <v>0</v>
      </c>
      <c r="P65" s="67">
        <f t="shared" ca="1" si="50"/>
        <v>0</v>
      </c>
      <c r="Q65" s="68">
        <f t="shared" ca="1" si="51"/>
        <v>0</v>
      </c>
      <c r="R65" s="149">
        <f ca="1">IFERROR(__xludf.DUMMYFUNCTION("IMPORTRANGE(""https://docs.google.com/spreadsheets/d/1YXvxf8Yu6_rV4hTBrwMqAcAnv6DfhUxh5emyM3CJp_w/edit?usp=sharing"",""เพชรบุรี!I368"")"),180)</f>
        <v>180</v>
      </c>
      <c r="S65" s="152">
        <f ca="1">IFERROR(__xludf.DUMMYFUNCTION("IMPORTRANGE(""https://docs.google.com/spreadsheets/d/1YXvxf8Yu6_rV4hTBrwMqAcAnv6DfhUxh5emyM3CJp_w/edit?usp=sharing"",""เพชรบุรี!J367"")"),24)</f>
        <v>24</v>
      </c>
      <c r="T65" s="357">
        <f ca="1">IFERROR(__xludf.DUMMYFUNCTION("IMPORTRANGE(""https://docs.google.com/spreadsheets/d/1YXvxf8Yu6_rV4hTBrwMqAcAnv6DfhUxh5emyM3CJp_w/edit?usp=sharing"",""เพชรบุรี!J368"")"),167.519999999999)</f>
        <v>167.51999999999899</v>
      </c>
      <c r="U65" s="216">
        <f t="shared" ca="1" si="53"/>
        <v>93.066666666666094</v>
      </c>
      <c r="V65" s="149">
        <f ca="1">IFERROR(__xludf.DUMMYFUNCTION("IMPORTRANGE(""https://docs.google.com/spreadsheets/d/1YXvxf8Yu6_rV4hTBrwMqAcAnv6DfhUxh5emyM3CJp_w/edit?usp=sharing"",""เพชรบุรี!I369"")"),60)</f>
        <v>60</v>
      </c>
      <c r="W65" s="152">
        <f ca="1">IFERROR(__xludf.DUMMYFUNCTION("IMPORTRANGE(""https://docs.google.com/spreadsheets/d/1YXvxf8Yu6_rV4hTBrwMqAcAnv6DfhUxh5emyM3CJp_w/edit?usp=sharing"",""เพชรบุรี!J369"")"),34)</f>
        <v>34</v>
      </c>
      <c r="X65" s="357">
        <f ca="1">IFERROR(__xludf.DUMMYFUNCTION("IMPORTRANGE(""https://docs.google.com/spreadsheets/d/1YXvxf8Yu6_rV4hTBrwMqAcAnv6DfhUxh5emyM3CJp_w/edit?usp=sharing"",""เพชรบุรี!J370"")"),374.96)</f>
        <v>374.96</v>
      </c>
      <c r="Y65" s="216">
        <f t="shared" ca="1" si="55"/>
        <v>56.666666666666664</v>
      </c>
      <c r="Z65" s="149">
        <f ca="1">IFERROR(__xludf.DUMMYFUNCTION("IMPORTRANGE(""https://docs.google.com/spreadsheets/d/1YXvxf8Yu6_rV4hTBrwMqAcAnv6DfhUxh5emyM3CJp_w/edit?usp=sharing"",""เพชรบุรี!I371"")"),60)</f>
        <v>60</v>
      </c>
      <c r="AA65" s="152">
        <f ca="1">IFERROR(__xludf.DUMMYFUNCTION("IMPORTRANGE(""https://docs.google.com/spreadsheets/d/1YXvxf8Yu6_rV4hTBrwMqAcAnv6DfhUxh5emyM3CJp_w/edit?usp=sharing"",""เพชรบุรี!J371"")"),14)</f>
        <v>14</v>
      </c>
      <c r="AB65" s="357">
        <f ca="1">IFERROR(__xludf.DUMMYFUNCTION("IMPORTRANGE(""https://docs.google.com/spreadsheets/d/1YXvxf8Yu6_rV4hTBrwMqAcAnv6DfhUxh5emyM3CJp_w/edit?usp=sharing"",""เพชรบุรี!J372"")"),226.46)</f>
        <v>226.46</v>
      </c>
      <c r="AC65" s="216">
        <f t="shared" ca="1" si="57"/>
        <v>23.333333333333332</v>
      </c>
      <c r="AD65" s="358">
        <f ca="1">IFERROR(__xludf.DUMMYFUNCTION("IMPORTRANGE(""https://docs.google.com/spreadsheets/d/1eHaY18a8A9IcSdp1K8H6x8fbOy06t2VsZHhMHf-1x7Y/edit?usp=sharing"",""แผน!EM65"")"),75)</f>
        <v>75</v>
      </c>
      <c r="AE65" s="151">
        <f ca="1">IFERROR(__xludf.DUMMYFUNCTION("IMPORTRANGE(""https://docs.google.com/spreadsheets/d/1tdoBKaGub7dwA3U6UFTqxio9LNnvDCQjHKmttSEBsFQ/edit?usp=sharing"",""จัดที่ดิน!E65"")"),7)</f>
        <v>7</v>
      </c>
      <c r="AF65" s="67">
        <f ca="1">IFERROR(__xludf.DUMMYFUNCTION("IMPORTRANGE(""https://docs.google.com/spreadsheets/d/1tdoBKaGub7dwA3U6UFTqxio9LNnvDCQjHKmttSEBsFQ/edit?usp=sharing"",""จัดที่ดิน!F65"")"),50.45)</f>
        <v>50.45</v>
      </c>
      <c r="AG65" s="68">
        <f t="shared" ca="1" si="59"/>
        <v>67.266666666666666</v>
      </c>
      <c r="AH65" s="358">
        <f ca="1">IFERROR(__xludf.DUMMYFUNCTION("IMPORTRANGE(""https://docs.google.com/spreadsheets/d/1eHaY18a8A9IcSdp1K8H6x8fbOy06t2VsZHhMHf-1x7Y/edit?usp=sharing"",""แผน!EN65"")"),6)</f>
        <v>6</v>
      </c>
      <c r="AI65" s="151">
        <f ca="1">IFERROR(__xludf.DUMMYFUNCTION("IMPORTRANGE(""https://docs.google.com/spreadsheets/d/1tdoBKaGub7dwA3U6UFTqxio9LNnvDCQjHKmttSEBsFQ/edit?usp=sharing"",""จัดที่ดิน!G65"")"),4)</f>
        <v>4</v>
      </c>
      <c r="AJ65" s="67">
        <f ca="1">IFERROR(__xludf.DUMMYFUNCTION("IMPORTRANGE(""https://docs.google.com/spreadsheets/d/1tdoBKaGub7dwA3U6UFTqxio9LNnvDCQjHKmttSEBsFQ/edit?usp=sharing"",""จัดที่ดิน!H65"")"),38.64)</f>
        <v>38.64</v>
      </c>
      <c r="AK65" s="68">
        <f t="shared" ca="1" si="61"/>
        <v>66.666666666666671</v>
      </c>
      <c r="AL65" s="358">
        <f ca="1">IFERROR(__xludf.DUMMYFUNCTION("IMPORTRANGE(""https://docs.google.com/spreadsheets/d/1eHaY18a8A9IcSdp1K8H6x8fbOy06t2VsZHhMHf-1x7Y/edit?usp=sharing"",""แผน!EN65"")"),6)</f>
        <v>6</v>
      </c>
      <c r="AM65" s="151">
        <f ca="1">IFERROR(__xludf.DUMMYFUNCTION("IMPORTRANGE(""https://docs.google.com/spreadsheets/d/1tdoBKaGub7dwA3U6UFTqxio9LNnvDCQjHKmttSEBsFQ/edit?usp=sharing"",""จัดที่ดิน!I65"")"),0)</f>
        <v>0</v>
      </c>
      <c r="AN65" s="67">
        <f ca="1">IFERROR(__xludf.DUMMYFUNCTION("IMPORTRANGE(""https://docs.google.com/spreadsheets/d/1tdoBKaGub7dwA3U6UFTqxio9LNnvDCQjHKmttSEBsFQ/edit?usp=sharing"",""จัดที่ดิน!J65"")"),0)</f>
        <v>0</v>
      </c>
      <c r="AO65" s="68">
        <f t="shared" ca="1" si="63"/>
        <v>0</v>
      </c>
      <c r="AP65" s="359">
        <f ca="1">IFERROR(__xludf.DUMMYFUNCTION("IMPORTRANGE(""https://docs.google.com/spreadsheets/d/1eHaY18a8A9IcSdp1K8H6x8fbOy06t2VsZHhMHf-1x7Y/edit?usp=sharing"",""แผน!EO65"")"),105)</f>
        <v>105</v>
      </c>
      <c r="AQ65" s="151">
        <f ca="1">IFERROR(__xludf.DUMMYFUNCTION("IMPORTRANGE(""https://docs.google.com/spreadsheets/d/1tdoBKaGub7dwA3U6UFTqxio9LNnvDCQjHKmttSEBsFQ/edit?usp=sharing"",""แบ่งแปลง!D67"")"),17)</f>
        <v>17</v>
      </c>
      <c r="AR65" s="67">
        <f ca="1">IFERROR(__xludf.DUMMYFUNCTION("IMPORTRANGE(""https://docs.google.com/spreadsheets/d/1tdoBKaGub7dwA3U6UFTqxio9LNnvDCQjHKmttSEBsFQ/edit?usp=sharing"",""แบ่งแปลง!F67"")"),117.07)</f>
        <v>117.07</v>
      </c>
      <c r="AS65" s="68">
        <f t="shared" ca="1" si="65"/>
        <v>111.49523809523809</v>
      </c>
      <c r="AT65" s="359">
        <f ca="1">IFERROR(__xludf.DUMMYFUNCTION("IMPORTRANGE(""https://docs.google.com/spreadsheets/d/1eHaY18a8A9IcSdp1K8H6x8fbOy06t2VsZHhMHf-1x7Y/edit?usp=sharing"",""แผน!EP65"")"),29)</f>
        <v>29</v>
      </c>
      <c r="AU65" s="151">
        <f ca="1">IFERROR(__xludf.DUMMYFUNCTION("IMPORTRANGE(""https://docs.google.com/spreadsheets/d/1tdoBKaGub7dwA3U6UFTqxio9LNnvDCQjHKmttSEBsFQ/edit?usp=sharing"",""แบ่งแปลง!I67"")"),16)</f>
        <v>16</v>
      </c>
      <c r="AV65" s="67">
        <f ca="1">IFERROR(__xludf.DUMMYFUNCTION("IMPORTRANGE(""https://docs.google.com/spreadsheets/d/1tdoBKaGub7dwA3U6UFTqxio9LNnvDCQjHKmttSEBsFQ/edit?usp=sharing"",""แบ่งแปลง!K67"")"),109.86)</f>
        <v>109.86</v>
      </c>
      <c r="AW65" s="68">
        <f t="shared" ca="1" si="67"/>
        <v>55.172413793103445</v>
      </c>
      <c r="AX65" s="359">
        <f ca="1">IFERROR(__xludf.DUMMYFUNCTION("IMPORTRANGE(""https://docs.google.com/spreadsheets/d/1eHaY18a8A9IcSdp1K8H6x8fbOy06t2VsZHhMHf-1x7Y/edit?usp=sharing"",""แผน!EP65"")"),29)</f>
        <v>29</v>
      </c>
      <c r="AY65" s="151">
        <f ca="1">IFERROR(__xludf.DUMMYFUNCTION("IMPORTRANGE(""https://docs.google.com/spreadsheets/d/1tdoBKaGub7dwA3U6UFTqxio9LNnvDCQjHKmttSEBsFQ/edit?usp=sharing"",""แบ่งแปลง!X67"")"),0)</f>
        <v>0</v>
      </c>
      <c r="AZ65" s="67">
        <f ca="1">IFERROR(__xludf.DUMMYFUNCTION("IMPORTRANGE(""https://docs.google.com/spreadsheets/d/1tdoBKaGub7dwA3U6UFTqxio9LNnvDCQjHKmttSEBsFQ/edit?usp=sharing"",""แบ่งแปลง!Z67"")"),0)</f>
        <v>0</v>
      </c>
      <c r="BA65" s="68">
        <f t="shared" ca="1" si="69"/>
        <v>0</v>
      </c>
      <c r="BB65" s="360">
        <f ca="1">IFERROR(__xludf.DUMMYFUNCTION("IMPORTRANGE(""https://docs.google.com/spreadsheets/d/1eHaY18a8A9IcSdp1K8H6x8fbOy06t2VsZHhMHf-1x7Y/edit?usp=sharing"",""แผน!ES65"")"),25)</f>
        <v>25</v>
      </c>
      <c r="BC65" s="151">
        <f ca="1">IFERROR(__xludf.DUMMYFUNCTION("IMPORTRANGE(""https://docs.google.com/spreadsheets/d/1tdoBKaGub7dwA3U6UFTqxio9LNnvDCQjHKmttSEBsFQ/edit?usp=sharing"",""เต็มแปลง!I67"")"),14)</f>
        <v>14</v>
      </c>
      <c r="BD65" s="67">
        <f ca="1">IFERROR(__xludf.DUMMYFUNCTION("IMPORTRANGE(""https://docs.google.com/spreadsheets/d/1tdoBKaGub7dwA3U6UFTqxio9LNnvDCQjHKmttSEBsFQ/edit?usp=sharing"",""เต็มแปลง!K67"")"),226.46)</f>
        <v>226.46</v>
      </c>
      <c r="BE65" s="68">
        <f t="shared" ca="1" si="71"/>
        <v>56</v>
      </c>
      <c r="BF65" s="360">
        <f ca="1">IFERROR(__xludf.DUMMYFUNCTION("IMPORTRANGE(""https://docs.google.com/spreadsheets/d/1eHaY18a8A9IcSdp1K8H6x8fbOy06t2VsZHhMHf-1x7Y/edit?usp=sharing"",""แผน!ES65"")"),25)</f>
        <v>25</v>
      </c>
      <c r="BG65" s="151">
        <f ca="1">IFERROR(__xludf.DUMMYFUNCTION("IMPORTRANGE(""https://docs.google.com/spreadsheets/d/1tdoBKaGub7dwA3U6UFTqxio9LNnvDCQjHKmttSEBsFQ/edit?usp=sharing"",""เต็มแปลง!S67"")"),14)</f>
        <v>14</v>
      </c>
      <c r="BH65" s="67">
        <f ca="1">IFERROR(__xludf.DUMMYFUNCTION("IMPORTRANGE(""https://docs.google.com/spreadsheets/d/1tdoBKaGub7dwA3U6UFTqxio9LNnvDCQjHKmttSEBsFQ/edit?usp=sharing"",""เต็มแปลง!U67"")"),226.46)</f>
        <v>226.46</v>
      </c>
      <c r="BI65" s="68">
        <f t="shared" ca="1" si="73"/>
        <v>56</v>
      </c>
      <c r="BJ65" s="339"/>
    </row>
    <row r="66" spans="1:62" ht="21" customHeight="1" x14ac:dyDescent="0.3">
      <c r="A66" s="147">
        <v>14</v>
      </c>
      <c r="B66" s="148" t="s">
        <v>94</v>
      </c>
      <c r="C66" s="149">
        <f t="shared" ca="1" si="44"/>
        <v>602960</v>
      </c>
      <c r="D66" s="150">
        <f t="shared" ca="1" si="100"/>
        <v>602960</v>
      </c>
      <c r="E66" s="151">
        <f ca="1">IFERROR(__xludf.DUMMYFUNCTION("IMPORTRANGE(""https://docs.google.com/spreadsheets/d/1-uDff_7J0KD5mKrp0Vvzr7lt3OU09vwQwhkpOPPYv2Y/edit?usp=sharing"",""งบพรบ!FD66"")"),352000)</f>
        <v>352000</v>
      </c>
      <c r="F66" s="151">
        <f ca="1">IFERROR(__xludf.DUMMYFUNCTION("IMPORTRANGE(""https://docs.google.com/spreadsheets/d/1-uDff_7J0KD5mKrp0Vvzr7lt3OU09vwQwhkpOPPYv2Y/edit?usp=sharing"",""งบพรบ!FE66"")"),250960)</f>
        <v>250960</v>
      </c>
      <c r="G66" s="151">
        <f ca="1">IFERROR(__xludf.DUMMYFUNCTION("IMPORTRANGE(""https://docs.google.com/spreadsheets/d/1-uDff_7J0KD5mKrp0Vvzr7lt3OU09vwQwhkpOPPYv2Y/edit?usp=sharing"",""งบพรบ!FF66"")"),0)</f>
        <v>0</v>
      </c>
      <c r="H66" s="151">
        <f ca="1">IFERROR(__xludf.DUMMYFUNCTION("IMPORTRANGE(""https://docs.google.com/spreadsheets/d/1-uDff_7J0KD5mKrp0Vvzr7lt3OU09vwQwhkpOPPYv2Y/edit?usp=sharing"",""งบพรบ!FH66"")"),752960)</f>
        <v>752960</v>
      </c>
      <c r="I66" s="151">
        <f ca="1">IFERROR(__xludf.DUMMYFUNCTION("IMPORTRANGE(""https://docs.google.com/spreadsheets/d/1-uDff_7J0KD5mKrp0Vvzr7lt3OU09vwQwhkpOPPYv2Y/edit?usp=sharing"",""งบพรบ!FI66"")"),0)</f>
        <v>0</v>
      </c>
      <c r="J66" s="151">
        <f t="shared" ca="1" si="46"/>
        <v>546299.85</v>
      </c>
      <c r="K66" s="154">
        <f t="shared" ca="1" si="47"/>
        <v>90.603000199018183</v>
      </c>
      <c r="L66" s="151">
        <f ca="1">IFERROR(__xludf.DUMMYFUNCTION("IMPORTRANGE(""https://docs.google.com/spreadsheets/d/1-uDff_7J0KD5mKrp0Vvzr7lt3OU09vwQwhkpOPPYv2Y/edit?usp=sharing"",""งบพรบ!FJ66"")"),546299.85)</f>
        <v>546299.85</v>
      </c>
      <c r="M66" s="68">
        <f t="shared" ca="1" si="48"/>
        <v>90.603000199018183</v>
      </c>
      <c r="N66" s="68">
        <f t="shared" ca="1" si="49"/>
        <v>72.553634987250319</v>
      </c>
      <c r="O66" s="67">
        <f ca="1">IFERROR(__xludf.DUMMYFUNCTION("IMPORTRANGE(""https://docs.google.com/spreadsheets/d/1-uDff_7J0KD5mKrp0Vvzr7lt3OU09vwQwhkpOPPYv2Y/edit?usp=sharing"",""งบพรบ!FK66"")"),0)</f>
        <v>0</v>
      </c>
      <c r="P66" s="67">
        <f t="shared" ca="1" si="50"/>
        <v>0</v>
      </c>
      <c r="Q66" s="68">
        <f t="shared" ca="1" si="51"/>
        <v>0</v>
      </c>
      <c r="R66" s="149">
        <f ca="1">IFERROR(__xludf.DUMMYFUNCTION("IMPORTRANGE(""https://docs.google.com/spreadsheets/d/19KBlQQs7uwvsao6t2n-KvW3Ax8J8uRRfZPq1zPbXgKc/edit?usp=sharing"",""ระยอง!I368"")"),490)</f>
        <v>490</v>
      </c>
      <c r="S66" s="152">
        <f ca="1">IFERROR(__xludf.DUMMYFUNCTION("IMPORTRANGE(""https://docs.google.com/spreadsheets/d/19KBlQQs7uwvsao6t2n-KvW3Ax8J8uRRfZPq1zPbXgKc/edit?usp=sharing"",""ระยอง!J367"")"),77)</f>
        <v>77</v>
      </c>
      <c r="T66" s="357">
        <f ca="1">IFERROR(__xludf.DUMMYFUNCTION("IMPORTRANGE(""https://docs.google.com/spreadsheets/d/19KBlQQs7uwvsao6t2n-KvW3Ax8J8uRRfZPq1zPbXgKc/edit?usp=sharing"",""ระยอง!J368"")"),747.92)</f>
        <v>747.92</v>
      </c>
      <c r="U66" s="216">
        <f t="shared" ca="1" si="53"/>
        <v>152.63673469387754</v>
      </c>
      <c r="V66" s="149">
        <f ca="1">IFERROR(__xludf.DUMMYFUNCTION("IMPORTRANGE(""https://docs.google.com/spreadsheets/d/19KBlQQs7uwvsao6t2n-KvW3Ax8J8uRRfZPq1zPbXgKc/edit?usp=sharing"",""ระยอง!I369"")"),67)</f>
        <v>67</v>
      </c>
      <c r="W66" s="152">
        <f ca="1">IFERROR(__xludf.DUMMYFUNCTION("IMPORTRANGE(""https://docs.google.com/spreadsheets/d/19KBlQQs7uwvsao6t2n-KvW3Ax8J8uRRfZPq1zPbXgKc/edit?usp=sharing"",""ระยอง!J369"")"),145)</f>
        <v>145</v>
      </c>
      <c r="X66" s="357">
        <f ca="1">IFERROR(__xludf.DUMMYFUNCTION("IMPORTRANGE(""https://docs.google.com/spreadsheets/d/19KBlQQs7uwvsao6t2n-KvW3Ax8J8uRRfZPq1zPbXgKc/edit?usp=sharing"",""ระยอง!J370"")"),1815.98)</f>
        <v>1815.98</v>
      </c>
      <c r="Y66" s="216">
        <f t="shared" ca="1" si="55"/>
        <v>216.41791044776119</v>
      </c>
      <c r="Z66" s="149">
        <f ca="1">IFERROR(__xludf.DUMMYFUNCTION("IMPORTRANGE(""https://docs.google.com/spreadsheets/d/19KBlQQs7uwvsao6t2n-KvW3Ax8J8uRRfZPq1zPbXgKc/edit?usp=sharing"",""ระยอง!I371"")"),67)</f>
        <v>67</v>
      </c>
      <c r="AA66" s="152">
        <f ca="1">IFERROR(__xludf.DUMMYFUNCTION("IMPORTRANGE(""https://docs.google.com/spreadsheets/d/19KBlQQs7uwvsao6t2n-KvW3Ax8J8uRRfZPq1zPbXgKc/edit?usp=sharing"",""ระยอง!J371"")"),22)</f>
        <v>22</v>
      </c>
      <c r="AB66" s="357">
        <f ca="1">IFERROR(__xludf.DUMMYFUNCTION("IMPORTRANGE(""https://docs.google.com/spreadsheets/d/19KBlQQs7uwvsao6t2n-KvW3Ax8J8uRRfZPq1zPbXgKc/edit?usp=sharing"",""ระยอง!J372"")"),250.07)</f>
        <v>250.07</v>
      </c>
      <c r="AC66" s="216">
        <f t="shared" ca="1" si="57"/>
        <v>32.835820895522389</v>
      </c>
      <c r="AD66" s="358">
        <f ca="1">IFERROR(__xludf.DUMMYFUNCTION("IMPORTRANGE(""https://docs.google.com/spreadsheets/d/1eHaY18a8A9IcSdp1K8H6x8fbOy06t2VsZHhMHf-1x7Y/edit?usp=sharing"",""แผน!EM66"")"),300)</f>
        <v>300</v>
      </c>
      <c r="AE66" s="151">
        <f ca="1">IFERROR(__xludf.DUMMYFUNCTION("IMPORTRANGE(""https://docs.google.com/spreadsheets/d/1tdoBKaGub7dwA3U6UFTqxio9LNnvDCQjHKmttSEBsFQ/edit?usp=sharing"",""จัดที่ดิน!E66"")"),49)</f>
        <v>49</v>
      </c>
      <c r="AF66" s="67">
        <f ca="1">IFERROR(__xludf.DUMMYFUNCTION("IMPORTRANGE(""https://docs.google.com/spreadsheets/d/1tdoBKaGub7dwA3U6UFTqxio9LNnvDCQjHKmttSEBsFQ/edit?usp=sharing"",""จัดที่ดิน!F66"")"),376.98)</f>
        <v>376.98</v>
      </c>
      <c r="AG66" s="68">
        <f t="shared" ca="1" si="59"/>
        <v>125.66</v>
      </c>
      <c r="AH66" s="358">
        <f ca="1">IFERROR(__xludf.DUMMYFUNCTION("IMPORTRANGE(""https://docs.google.com/spreadsheets/d/1eHaY18a8A9IcSdp1K8H6x8fbOy06t2VsZHhMHf-1x7Y/edit?usp=sharing"",""แผน!EN66"")"),27)</f>
        <v>27</v>
      </c>
      <c r="AI66" s="151">
        <f ca="1">IFERROR(__xludf.DUMMYFUNCTION("IMPORTRANGE(""https://docs.google.com/spreadsheets/d/1tdoBKaGub7dwA3U6UFTqxio9LNnvDCQjHKmttSEBsFQ/edit?usp=sharing"",""จัดที่ดิน!G66"")"),35)</f>
        <v>35</v>
      </c>
      <c r="AJ66" s="67">
        <f ca="1">IFERROR(__xludf.DUMMYFUNCTION("IMPORTRANGE(""https://docs.google.com/spreadsheets/d/1tdoBKaGub7dwA3U6UFTqxio9LNnvDCQjHKmttSEBsFQ/edit?usp=sharing"",""จัดที่ดิน!H66"")"),348)</f>
        <v>348</v>
      </c>
      <c r="AK66" s="68">
        <f t="shared" ca="1" si="61"/>
        <v>129.62962962962962</v>
      </c>
      <c r="AL66" s="358">
        <f ca="1">IFERROR(__xludf.DUMMYFUNCTION("IMPORTRANGE(""https://docs.google.com/spreadsheets/d/1eHaY18a8A9IcSdp1K8H6x8fbOy06t2VsZHhMHf-1x7Y/edit?usp=sharing"",""แผน!EN66"")"),27)</f>
        <v>27</v>
      </c>
      <c r="AM66" s="151">
        <f ca="1">IFERROR(__xludf.DUMMYFUNCTION("IMPORTRANGE(""https://docs.google.com/spreadsheets/d/1tdoBKaGub7dwA3U6UFTqxio9LNnvDCQjHKmttSEBsFQ/edit?usp=sharing"",""จัดที่ดิน!I66"")"),3)</f>
        <v>3</v>
      </c>
      <c r="AN66" s="67">
        <f ca="1">IFERROR(__xludf.DUMMYFUNCTION("IMPORTRANGE(""https://docs.google.com/spreadsheets/d/1tdoBKaGub7dwA3U6UFTqxio9LNnvDCQjHKmttSEBsFQ/edit?usp=sharing"",""จัดที่ดิน!J66"")"),5.42)</f>
        <v>5.42</v>
      </c>
      <c r="AO66" s="68">
        <f t="shared" ca="1" si="63"/>
        <v>11.111111111111111</v>
      </c>
      <c r="AP66" s="359">
        <f ca="1">IFERROR(__xludf.DUMMYFUNCTION("IMPORTRANGE(""https://docs.google.com/spreadsheets/d/1eHaY18a8A9IcSdp1K8H6x8fbOy06t2VsZHhMHf-1x7Y/edit?usp=sharing"",""แผน!EO66"")"),190)</f>
        <v>190</v>
      </c>
      <c r="AQ66" s="151">
        <f ca="1">IFERROR(__xludf.DUMMYFUNCTION("IMPORTRANGE(""https://docs.google.com/spreadsheets/d/1tdoBKaGub7dwA3U6UFTqxio9LNnvDCQjHKmttSEBsFQ/edit?usp=sharing"",""แบ่งแปลง!D68"")"),27)</f>
        <v>27</v>
      </c>
      <c r="AR66" s="67">
        <f ca="1">IFERROR(__xludf.DUMMYFUNCTION("IMPORTRANGE(""https://docs.google.com/spreadsheets/d/1tdoBKaGub7dwA3U6UFTqxio9LNnvDCQjHKmttSEBsFQ/edit?usp=sharing"",""แบ่งแปลง!F68"")"),345.95)</f>
        <v>345.95</v>
      </c>
      <c r="AS66" s="68">
        <f t="shared" ca="1" si="65"/>
        <v>182.07894736842104</v>
      </c>
      <c r="AT66" s="359">
        <f ca="1">IFERROR(__xludf.DUMMYFUNCTION("IMPORTRANGE(""https://docs.google.com/spreadsheets/d/1eHaY18a8A9IcSdp1K8H6x8fbOy06t2VsZHhMHf-1x7Y/edit?usp=sharing"",""แผน!EP66"")"),20)</f>
        <v>20</v>
      </c>
      <c r="AU66" s="151">
        <f ca="1">IFERROR(__xludf.DUMMYFUNCTION("IMPORTRANGE(""https://docs.google.com/spreadsheets/d/1tdoBKaGub7dwA3U6UFTqxio9LNnvDCQjHKmttSEBsFQ/edit?usp=sharing"",""แบ่งแปลง!I68"")"),29)</f>
        <v>29</v>
      </c>
      <c r="AV66" s="67">
        <f ca="1">IFERROR(__xludf.DUMMYFUNCTION("IMPORTRANGE(""https://docs.google.com/spreadsheets/d/1tdoBKaGub7dwA3U6UFTqxio9LNnvDCQjHKmttSEBsFQ/edit?usp=sharing"",""แบ่งแปลง!K68"")"),308.83)</f>
        <v>308.83</v>
      </c>
      <c r="AW66" s="68">
        <f t="shared" ca="1" si="67"/>
        <v>145</v>
      </c>
      <c r="AX66" s="359">
        <f ca="1">IFERROR(__xludf.DUMMYFUNCTION("IMPORTRANGE(""https://docs.google.com/spreadsheets/d/1eHaY18a8A9IcSdp1K8H6x8fbOy06t2VsZHhMHf-1x7Y/edit?usp=sharing"",""แผน!EP66"")"),20)</f>
        <v>20</v>
      </c>
      <c r="AY66" s="151">
        <f ca="1">IFERROR(__xludf.DUMMYFUNCTION("IMPORTRANGE(""https://docs.google.com/spreadsheets/d/1tdoBKaGub7dwA3U6UFTqxio9LNnvDCQjHKmttSEBsFQ/edit?usp=sharing"",""แบ่งแปลง!X68"")"),12)</f>
        <v>12</v>
      </c>
      <c r="AZ66" s="67">
        <f ca="1">IFERROR(__xludf.DUMMYFUNCTION("IMPORTRANGE(""https://docs.google.com/spreadsheets/d/1tdoBKaGub7dwA3U6UFTqxio9LNnvDCQjHKmttSEBsFQ/edit?usp=sharing"",""แบ่งแปลง!Z68"")"),192.12)</f>
        <v>192.12</v>
      </c>
      <c r="BA66" s="68">
        <f t="shared" ca="1" si="69"/>
        <v>60</v>
      </c>
      <c r="BB66" s="360">
        <f ca="1">IFERROR(__xludf.DUMMYFUNCTION("IMPORTRANGE(""https://docs.google.com/spreadsheets/d/1eHaY18a8A9IcSdp1K8H6x8fbOy06t2VsZHhMHf-1x7Y/edit?usp=sharing"",""แผน!ES66"")"),20)</f>
        <v>20</v>
      </c>
      <c r="BC66" s="151">
        <f ca="1">IFERROR(__xludf.DUMMYFUNCTION("IMPORTRANGE(""https://docs.google.com/spreadsheets/d/1tdoBKaGub7dwA3U6UFTqxio9LNnvDCQjHKmttSEBsFQ/edit?usp=sharing"",""เต็มแปลง!I68"")"),81)</f>
        <v>81</v>
      </c>
      <c r="BD66" s="67">
        <f ca="1">IFERROR(__xludf.DUMMYFUNCTION("IMPORTRANGE(""https://docs.google.com/spreadsheets/d/1tdoBKaGub7dwA3U6UFTqxio9LNnvDCQjHKmttSEBsFQ/edit?usp=sharing"",""เต็มแปลง!K68"")"),1159.15)</f>
        <v>1159.1500000000001</v>
      </c>
      <c r="BE66" s="68">
        <f t="shared" ca="1" si="71"/>
        <v>405</v>
      </c>
      <c r="BF66" s="360">
        <f ca="1">IFERROR(__xludf.DUMMYFUNCTION("IMPORTRANGE(""https://docs.google.com/spreadsheets/d/1eHaY18a8A9IcSdp1K8H6x8fbOy06t2VsZHhMHf-1x7Y/edit?usp=sharing"",""แผน!ES66"")"),20)</f>
        <v>20</v>
      </c>
      <c r="BG66" s="151">
        <f ca="1">IFERROR(__xludf.DUMMYFUNCTION("IMPORTRANGE(""https://docs.google.com/spreadsheets/d/1tdoBKaGub7dwA3U6UFTqxio9LNnvDCQjHKmttSEBsFQ/edit?usp=sharing"",""เต็มแปลง!S68"")"),7)</f>
        <v>7</v>
      </c>
      <c r="BH66" s="67">
        <f ca="1">IFERROR(__xludf.DUMMYFUNCTION("IMPORTRANGE(""https://docs.google.com/spreadsheets/d/1tdoBKaGub7dwA3U6UFTqxio9LNnvDCQjHKmttSEBsFQ/edit?usp=sharing"",""เต็มแปลง!U68"")"),52.53)</f>
        <v>52.53</v>
      </c>
      <c r="BI66" s="68">
        <f t="shared" ca="1" si="73"/>
        <v>35</v>
      </c>
      <c r="BJ66" s="339"/>
    </row>
    <row r="67" spans="1:62" ht="21" customHeight="1" x14ac:dyDescent="0.3">
      <c r="A67" s="147">
        <v>15</v>
      </c>
      <c r="B67" s="148" t="s">
        <v>95</v>
      </c>
      <c r="C67" s="149">
        <f t="shared" ca="1" si="44"/>
        <v>876050</v>
      </c>
      <c r="D67" s="150">
        <f t="shared" ca="1" si="100"/>
        <v>876050</v>
      </c>
      <c r="E67" s="151">
        <f ca="1">IFERROR(__xludf.DUMMYFUNCTION("IMPORTRANGE(""https://docs.google.com/spreadsheets/d/1-uDff_7J0KD5mKrp0Vvzr7lt3OU09vwQwhkpOPPYv2Y/edit?usp=sharing"",""งบพรบ!FD67"")"),617100)</f>
        <v>617100</v>
      </c>
      <c r="F67" s="151">
        <f ca="1">IFERROR(__xludf.DUMMYFUNCTION("IMPORTRANGE(""https://docs.google.com/spreadsheets/d/1-uDff_7J0KD5mKrp0Vvzr7lt3OU09vwQwhkpOPPYv2Y/edit?usp=sharing"",""งบพรบ!FE67"")"),258950)</f>
        <v>258950</v>
      </c>
      <c r="G67" s="151">
        <f ca="1">IFERROR(__xludf.DUMMYFUNCTION("IMPORTRANGE(""https://docs.google.com/spreadsheets/d/1-uDff_7J0KD5mKrp0Vvzr7lt3OU09vwQwhkpOPPYv2Y/edit?usp=sharing"",""งบพรบ!FF67"")"),0)</f>
        <v>0</v>
      </c>
      <c r="H67" s="151">
        <f ca="1">IFERROR(__xludf.DUMMYFUNCTION("IMPORTRANGE(""https://docs.google.com/spreadsheets/d/1-uDff_7J0KD5mKrp0Vvzr7lt3OU09vwQwhkpOPPYv2Y/edit?usp=sharing"",""งบพรบ!FH67"")"),998570)</f>
        <v>998570</v>
      </c>
      <c r="I67" s="151">
        <f ca="1">IFERROR(__xludf.DUMMYFUNCTION("IMPORTRANGE(""https://docs.google.com/spreadsheets/d/1-uDff_7J0KD5mKrp0Vvzr7lt3OU09vwQwhkpOPPYv2Y/edit?usp=sharing"",""งบพรบ!FI67"")"),0)</f>
        <v>0</v>
      </c>
      <c r="J67" s="151">
        <f t="shared" ca="1" si="46"/>
        <v>799927.24</v>
      </c>
      <c r="K67" s="154">
        <f t="shared" ca="1" si="47"/>
        <v>91.310683180183773</v>
      </c>
      <c r="L67" s="151">
        <f ca="1">IFERROR(__xludf.DUMMYFUNCTION("IMPORTRANGE(""https://docs.google.com/spreadsheets/d/1-uDff_7J0KD5mKrp0Vvzr7lt3OU09vwQwhkpOPPYv2Y/edit?usp=sharing"",""งบพรบ!FJ67"")"),799927.24)</f>
        <v>799927.24</v>
      </c>
      <c r="M67" s="68">
        <f t="shared" ca="1" si="48"/>
        <v>91.310683180183773</v>
      </c>
      <c r="N67" s="68">
        <f t="shared" ca="1" si="49"/>
        <v>80.107277406691566</v>
      </c>
      <c r="O67" s="67">
        <f ca="1">IFERROR(__xludf.DUMMYFUNCTION("IMPORTRANGE(""https://docs.google.com/spreadsheets/d/1-uDff_7J0KD5mKrp0Vvzr7lt3OU09vwQwhkpOPPYv2Y/edit?usp=sharing"",""งบพรบ!FK67"")"),0)</f>
        <v>0</v>
      </c>
      <c r="P67" s="67">
        <f t="shared" ca="1" si="50"/>
        <v>0</v>
      </c>
      <c r="Q67" s="68">
        <f t="shared" ca="1" si="51"/>
        <v>0</v>
      </c>
      <c r="R67" s="361">
        <f ca="1">IFERROR(__xludf.DUMMYFUNCTION("IMPORTRANGE(""https://docs.google.com/spreadsheets/d/1jQ6P4QcrGM89YfqcC_PxOHGCMq5ezhucwJd8ci-NHng/edit?usp=sharing"",""ราชบุรี!I368"")"),390)</f>
        <v>390</v>
      </c>
      <c r="S67" s="152">
        <f ca="1">IFERROR(__xludf.DUMMYFUNCTION("IMPORTRANGE(""https://docs.google.com/spreadsheets/d/1jQ6P4QcrGM89YfqcC_PxOHGCMq5ezhucwJd8ci-NHng/edit?usp=sharing"",""ราชบุรี!J367"")"),119)</f>
        <v>119</v>
      </c>
      <c r="T67" s="357">
        <f ca="1">IFERROR(__xludf.DUMMYFUNCTION("IMPORTRANGE(""https://docs.google.com/spreadsheets/d/1jQ6P4QcrGM89YfqcC_PxOHGCMq5ezhucwJd8ci-NHng/edit?usp=sharing"",""ราชบุรี!J368"")"),1069.41)</f>
        <v>1069.4100000000001</v>
      </c>
      <c r="U67" s="216">
        <f t="shared" ca="1" si="53"/>
        <v>274.20769230769235</v>
      </c>
      <c r="V67" s="361">
        <f ca="1">IFERROR(__xludf.DUMMYFUNCTION("IMPORTRANGE(""https://docs.google.com/spreadsheets/d/1jQ6P4QcrGM89YfqcC_PxOHGCMq5ezhucwJd8ci-NHng/edit?usp=sharing"",""ราชบุรี!I369"")"),170)</f>
        <v>170</v>
      </c>
      <c r="W67" s="152">
        <f ca="1">IFERROR(__xludf.DUMMYFUNCTION("IMPORTRANGE(""https://docs.google.com/spreadsheets/d/1jQ6P4QcrGM89YfqcC_PxOHGCMq5ezhucwJd8ci-NHng/edit?usp=sharing"",""ราชบุรี!J369"")"),343)</f>
        <v>343</v>
      </c>
      <c r="X67" s="357">
        <f ca="1">IFERROR(__xludf.DUMMYFUNCTION("IMPORTRANGE(""https://docs.google.com/spreadsheets/d/1jQ6P4QcrGM89YfqcC_PxOHGCMq5ezhucwJd8ci-NHng/edit?usp=sharing"",""ราชบุรี!J370"")"),4121.04)</f>
        <v>4121.04</v>
      </c>
      <c r="Y67" s="216">
        <f t="shared" ca="1" si="55"/>
        <v>201.76470588235293</v>
      </c>
      <c r="Z67" s="361">
        <f ca="1">IFERROR(__xludf.DUMMYFUNCTION("IMPORTRANGE(""https://docs.google.com/spreadsheets/d/1jQ6P4QcrGM89YfqcC_PxOHGCMq5ezhucwJd8ci-NHng/edit?usp=sharing"",""ราชบุรี!I371"")"),170)</f>
        <v>170</v>
      </c>
      <c r="AA67" s="152">
        <f ca="1">IFERROR(__xludf.DUMMYFUNCTION("IMPORTRANGE(""https://docs.google.com/spreadsheets/d/1jQ6P4QcrGM89YfqcC_PxOHGCMq5ezhucwJd8ci-NHng/edit?usp=sharing"",""ราชบุรี!J371"")"),240)</f>
        <v>240</v>
      </c>
      <c r="AB67" s="357">
        <f ca="1">IFERROR(__xludf.DUMMYFUNCTION("IMPORTRANGE(""https://docs.google.com/spreadsheets/d/1jQ6P4QcrGM89YfqcC_PxOHGCMq5ezhucwJd8ci-NHng/edit?usp=sharing"",""ราชบุรี!J372"")"),3128.42)</f>
        <v>3128.42</v>
      </c>
      <c r="AC67" s="216">
        <f t="shared" ca="1" si="57"/>
        <v>141.1764705882353</v>
      </c>
      <c r="AD67" s="362">
        <f ca="1">IFERROR(__xludf.DUMMYFUNCTION("IMPORTRANGE(""https://docs.google.com/spreadsheets/d/1eHaY18a8A9IcSdp1K8H6x8fbOy06t2VsZHhMHf-1x7Y/edit?usp=sharing"",""แผน!EM67"")"),275)</f>
        <v>275</v>
      </c>
      <c r="AE67" s="151">
        <f ca="1">IFERROR(__xludf.DUMMYFUNCTION("IMPORTRANGE(""https://docs.google.com/spreadsheets/d/1tdoBKaGub7dwA3U6UFTqxio9LNnvDCQjHKmttSEBsFQ/edit?usp=sharing"",""จัดที่ดิน!E67"")"),81)</f>
        <v>81</v>
      </c>
      <c r="AF67" s="67">
        <f ca="1">IFERROR(__xludf.DUMMYFUNCTION("IMPORTRANGE(""https://docs.google.com/spreadsheets/d/1tdoBKaGub7dwA3U6UFTqxio9LNnvDCQjHKmttSEBsFQ/edit?usp=sharing"",""จัดที่ดิน!F67"")"),808.33)</f>
        <v>808.33</v>
      </c>
      <c r="AG67" s="68">
        <f t="shared" ca="1" si="59"/>
        <v>293.93818181818182</v>
      </c>
      <c r="AH67" s="362">
        <f ca="1">IFERROR(__xludf.DUMMYFUNCTION("IMPORTRANGE(""https://docs.google.com/spreadsheets/d/1eHaY18a8A9IcSdp1K8H6x8fbOy06t2VsZHhMHf-1x7Y/edit?usp=sharing"",""แผน!EN67"")"),27)</f>
        <v>27</v>
      </c>
      <c r="AI67" s="151">
        <f ca="1">IFERROR(__xludf.DUMMYFUNCTION("IMPORTRANGE(""https://docs.google.com/spreadsheets/d/1tdoBKaGub7dwA3U6UFTqxio9LNnvDCQjHKmttSEBsFQ/edit?usp=sharing"",""จัดที่ดิน!G67"")"),166)</f>
        <v>166</v>
      </c>
      <c r="AJ67" s="67">
        <f ca="1">IFERROR(__xludf.DUMMYFUNCTION("IMPORTRANGE(""https://docs.google.com/spreadsheets/d/1tdoBKaGub7dwA3U6UFTqxio9LNnvDCQjHKmttSEBsFQ/edit?usp=sharing"",""จัดที่ดิน!H67"")"),2057.61)</f>
        <v>2057.61</v>
      </c>
      <c r="AK67" s="68">
        <f t="shared" ca="1" si="61"/>
        <v>614.81481481481478</v>
      </c>
      <c r="AL67" s="362">
        <f ca="1">IFERROR(__xludf.DUMMYFUNCTION("IMPORTRANGE(""https://docs.google.com/spreadsheets/d/1eHaY18a8A9IcSdp1K8H6x8fbOy06t2VsZHhMHf-1x7Y/edit?usp=sharing"",""แผน!EN67"")"),27)</f>
        <v>27</v>
      </c>
      <c r="AM67" s="151">
        <f ca="1">IFERROR(__xludf.DUMMYFUNCTION("IMPORTRANGE(""https://docs.google.com/spreadsheets/d/1tdoBKaGub7dwA3U6UFTqxio9LNnvDCQjHKmttSEBsFQ/edit?usp=sharing"",""จัดที่ดิน!I67"")"),72)</f>
        <v>72</v>
      </c>
      <c r="AN67" s="67">
        <f ca="1">IFERROR(__xludf.DUMMYFUNCTION("IMPORTRANGE(""https://docs.google.com/spreadsheets/d/1tdoBKaGub7dwA3U6UFTqxio9LNnvDCQjHKmttSEBsFQ/edit?usp=sharing"",""จัดที่ดิน!J67"")"),1093.6)</f>
        <v>1093.5999999999999</v>
      </c>
      <c r="AO67" s="68">
        <f t="shared" ca="1" si="63"/>
        <v>266.66666666666669</v>
      </c>
      <c r="AP67" s="363">
        <f ca="1">IFERROR(__xludf.DUMMYFUNCTION("IMPORTRANGE(""https://docs.google.com/spreadsheets/d/1eHaY18a8A9IcSdp1K8H6x8fbOy06t2VsZHhMHf-1x7Y/edit?usp=sharing"",""แผน!EO67"")"),115)</f>
        <v>115</v>
      </c>
      <c r="AQ67" s="151">
        <f ca="1">IFERROR(__xludf.DUMMYFUNCTION("IMPORTRANGE(""https://docs.google.com/spreadsheets/d/1tdoBKaGub7dwA3U6UFTqxio9LNnvDCQjHKmttSEBsFQ/edit?usp=sharing"",""แบ่งแปลง!D69"")"),31)</f>
        <v>31</v>
      </c>
      <c r="AR67" s="67">
        <f ca="1">IFERROR(__xludf.DUMMYFUNCTION("IMPORTRANGE(""https://docs.google.com/spreadsheets/d/1tdoBKaGub7dwA3U6UFTqxio9LNnvDCQjHKmttSEBsFQ/edit?usp=sharing"",""แบ่งแปลง!F69"")"),151.66)</f>
        <v>151.66</v>
      </c>
      <c r="AS67" s="68">
        <f t="shared" ca="1" si="65"/>
        <v>131.87826086956522</v>
      </c>
      <c r="AT67" s="363">
        <f ca="1">IFERROR(__xludf.DUMMYFUNCTION("IMPORTRANGE(""https://docs.google.com/spreadsheets/d/1eHaY18a8A9IcSdp1K8H6x8fbOy06t2VsZHhMHf-1x7Y/edit?usp=sharing"",""แผน!EP67"")"),23)</f>
        <v>23</v>
      </c>
      <c r="AU67" s="151">
        <f ca="1">IFERROR(__xludf.DUMMYFUNCTION("IMPORTRANGE(""https://docs.google.com/spreadsheets/d/1tdoBKaGub7dwA3U6UFTqxio9LNnvDCQjHKmttSEBsFQ/edit?usp=sharing"",""แบ่งแปลง!I69"")"),31)</f>
        <v>31</v>
      </c>
      <c r="AV67" s="67">
        <f ca="1">IFERROR(__xludf.DUMMYFUNCTION("IMPORTRANGE(""https://docs.google.com/spreadsheets/d/1tdoBKaGub7dwA3U6UFTqxio9LNnvDCQjHKmttSEBsFQ/edit?usp=sharing"",""แบ่งแปลง!K69"")"),151.66)</f>
        <v>151.66</v>
      </c>
      <c r="AW67" s="68">
        <f t="shared" ca="1" si="67"/>
        <v>134.78260869565219</v>
      </c>
      <c r="AX67" s="363">
        <f ca="1">IFERROR(__xludf.DUMMYFUNCTION("IMPORTRANGE(""https://docs.google.com/spreadsheets/d/1eHaY18a8A9IcSdp1K8H6x8fbOy06t2VsZHhMHf-1x7Y/edit?usp=sharing"",""แผน!EP67"")"),23)</f>
        <v>23</v>
      </c>
      <c r="AY67" s="151">
        <f ca="1">IFERROR(__xludf.DUMMYFUNCTION("IMPORTRANGE(""https://docs.google.com/spreadsheets/d/1tdoBKaGub7dwA3U6UFTqxio9LNnvDCQjHKmttSEBsFQ/edit?usp=sharing"",""แบ่งแปลง!X69"")"),21)</f>
        <v>21</v>
      </c>
      <c r="AZ67" s="67">
        <f ca="1">IFERROR(__xludf.DUMMYFUNCTION("IMPORTRANGE(""https://docs.google.com/spreadsheets/d/1tdoBKaGub7dwA3U6UFTqxio9LNnvDCQjHKmttSEBsFQ/edit?usp=sharing"",""แบ่งแปลง!Z69"")"),98.04)</f>
        <v>98.04</v>
      </c>
      <c r="BA67" s="68">
        <f t="shared" ca="1" si="69"/>
        <v>91.304347826086953</v>
      </c>
      <c r="BB67" s="364">
        <f ca="1">IFERROR(__xludf.DUMMYFUNCTION("IMPORTRANGE(""https://docs.google.com/spreadsheets/d/1eHaY18a8A9IcSdp1K8H6x8fbOy06t2VsZHhMHf-1x7Y/edit?usp=sharing"",""แผน!ES67"")"),120)</f>
        <v>120</v>
      </c>
      <c r="BC67" s="151">
        <f ca="1">IFERROR(__xludf.DUMMYFUNCTION("IMPORTRANGE(""https://docs.google.com/spreadsheets/d/1tdoBKaGub7dwA3U6UFTqxio9LNnvDCQjHKmttSEBsFQ/edit?usp=sharing"",""เต็มแปลง!I69"")"),146)</f>
        <v>146</v>
      </c>
      <c r="BD67" s="67">
        <f ca="1">IFERROR(__xludf.DUMMYFUNCTION("IMPORTRANGE(""https://docs.google.com/spreadsheets/d/1tdoBKaGub7dwA3U6UFTqxio9LNnvDCQjHKmttSEBsFQ/edit?usp=sharing"",""เต็มแปลง!K69"")"),1911.77)</f>
        <v>1911.77</v>
      </c>
      <c r="BE67" s="68">
        <f t="shared" ca="1" si="71"/>
        <v>121.66666666666667</v>
      </c>
      <c r="BF67" s="364">
        <f ca="1">IFERROR(__xludf.DUMMYFUNCTION("IMPORTRANGE(""https://docs.google.com/spreadsheets/d/1eHaY18a8A9IcSdp1K8H6x8fbOy06t2VsZHhMHf-1x7Y/edit?usp=sharing"",""แผน!ES67"")"),120)</f>
        <v>120</v>
      </c>
      <c r="BG67" s="151">
        <f ca="1">IFERROR(__xludf.DUMMYFUNCTION("IMPORTRANGE(""https://docs.google.com/spreadsheets/d/1tdoBKaGub7dwA3U6UFTqxio9LNnvDCQjHKmttSEBsFQ/edit?usp=sharing"",""เต็มแปลง!S69"")"),147)</f>
        <v>147</v>
      </c>
      <c r="BH67" s="67">
        <f ca="1">IFERROR(__xludf.DUMMYFUNCTION("IMPORTRANGE(""https://docs.google.com/spreadsheets/d/1tdoBKaGub7dwA3U6UFTqxio9LNnvDCQjHKmttSEBsFQ/edit?usp=sharing"",""เต็มแปลง!U69"")"),1936.78)</f>
        <v>1936.78</v>
      </c>
      <c r="BI67" s="68">
        <f t="shared" ca="1" si="73"/>
        <v>122.5</v>
      </c>
      <c r="BJ67" s="339"/>
    </row>
    <row r="68" spans="1:62" ht="24" customHeight="1" x14ac:dyDescent="0.3">
      <c r="A68" s="147">
        <v>16</v>
      </c>
      <c r="B68" s="148" t="s">
        <v>96</v>
      </c>
      <c r="C68" s="149">
        <f t="shared" ca="1" si="44"/>
        <v>922900</v>
      </c>
      <c r="D68" s="150">
        <f t="shared" ca="1" si="100"/>
        <v>922900</v>
      </c>
      <c r="E68" s="151">
        <f ca="1">IFERROR(__xludf.DUMMYFUNCTION("IMPORTRANGE(""https://docs.google.com/spreadsheets/d/1-uDff_7J0KD5mKrp0Vvzr7lt3OU09vwQwhkpOPPYv2Y/edit?usp=sharing"",""งบพรบ!FD68"")"),626500)</f>
        <v>626500</v>
      </c>
      <c r="F68" s="151">
        <f ca="1">IFERROR(__xludf.DUMMYFUNCTION("IMPORTRANGE(""https://docs.google.com/spreadsheets/d/1-uDff_7J0KD5mKrp0Vvzr7lt3OU09vwQwhkpOPPYv2Y/edit?usp=sharing"",""งบพรบ!FE68"")"),296400)</f>
        <v>296400</v>
      </c>
      <c r="G68" s="151">
        <f ca="1">IFERROR(__xludf.DUMMYFUNCTION("IMPORTRANGE(""https://docs.google.com/spreadsheets/d/1-uDff_7J0KD5mKrp0Vvzr7lt3OU09vwQwhkpOPPYv2Y/edit?usp=sharing"",""งบพรบ!FF68"")"),0)</f>
        <v>0</v>
      </c>
      <c r="H68" s="151">
        <f ca="1">IFERROR(__xludf.DUMMYFUNCTION("IMPORTRANGE(""https://docs.google.com/spreadsheets/d/1-uDff_7J0KD5mKrp0Vvzr7lt3OU09vwQwhkpOPPYv2Y/edit?usp=sharing"",""งบพรบ!FH68"")"),1036820)</f>
        <v>1036820</v>
      </c>
      <c r="I68" s="151">
        <f ca="1">IFERROR(__xludf.DUMMYFUNCTION("IMPORTRANGE(""https://docs.google.com/spreadsheets/d/1-uDff_7J0KD5mKrp0Vvzr7lt3OU09vwQwhkpOPPYv2Y/edit?usp=sharing"",""งบพรบ!FI68"")"),0)</f>
        <v>0</v>
      </c>
      <c r="J68" s="151">
        <f t="shared" ca="1" si="46"/>
        <v>802412.86</v>
      </c>
      <c r="K68" s="154">
        <f t="shared" ca="1" si="47"/>
        <v>86.944724238812441</v>
      </c>
      <c r="L68" s="151">
        <f ca="1">IFERROR(__xludf.DUMMYFUNCTION("IMPORTRANGE(""https://docs.google.com/spreadsheets/d/1-uDff_7J0KD5mKrp0Vvzr7lt3OU09vwQwhkpOPPYv2Y/edit?usp=sharing"",""งบพรบ!FJ68"")"),802412.86)</f>
        <v>802412.86</v>
      </c>
      <c r="M68" s="68">
        <f t="shared" ca="1" si="48"/>
        <v>86.944724238812441</v>
      </c>
      <c r="N68" s="68">
        <f t="shared" ca="1" si="49"/>
        <v>77.391722767693523</v>
      </c>
      <c r="O68" s="67">
        <f ca="1">IFERROR(__xludf.DUMMYFUNCTION("IMPORTRANGE(""https://docs.google.com/spreadsheets/d/1-uDff_7J0KD5mKrp0Vvzr7lt3OU09vwQwhkpOPPYv2Y/edit?usp=sharing"",""งบพรบ!FK68"")"),0)</f>
        <v>0</v>
      </c>
      <c r="P68" s="67">
        <f t="shared" ca="1" si="50"/>
        <v>0</v>
      </c>
      <c r="Q68" s="68">
        <f t="shared" ca="1" si="51"/>
        <v>0</v>
      </c>
      <c r="R68" s="149">
        <f ca="1">IFERROR(__xludf.DUMMYFUNCTION("IMPORTRANGE(""https://docs.google.com/spreadsheets/d/1lufeA2cfFqM-elVq2hznhDzC6Pr7wkJ9ZG_sYNGCMCU/edit?usp=sharing"",""ลพบุรี!I368"")"),595)</f>
        <v>595</v>
      </c>
      <c r="S68" s="152">
        <f ca="1">IFERROR(__xludf.DUMMYFUNCTION("IMPORTRANGE(""https://docs.google.com/spreadsheets/d/1lufeA2cfFqM-elVq2hznhDzC6Pr7wkJ9ZG_sYNGCMCU/edit?usp=sharing"",""ลพบุรี!J367"")"),86)</f>
        <v>86</v>
      </c>
      <c r="T68" s="357">
        <f ca="1">IFERROR(__xludf.DUMMYFUNCTION("IMPORTRANGE(""https://docs.google.com/spreadsheets/d/1lufeA2cfFqM-elVq2hznhDzC6Pr7wkJ9ZG_sYNGCMCU/edit?usp=sharing"",""ลพบุรี!J368"")"),2945.97)</f>
        <v>2945.97</v>
      </c>
      <c r="U68" s="216">
        <f t="shared" ca="1" si="53"/>
        <v>495.12100840336137</v>
      </c>
      <c r="V68" s="149">
        <f ca="1">IFERROR(__xludf.DUMMYFUNCTION("IMPORTRANGE(""https://docs.google.com/spreadsheets/d/1lufeA2cfFqM-elVq2hznhDzC6Pr7wkJ9ZG_sYNGCMCU/edit?usp=sharing"",""ลพบุรี!I369"")"),195)</f>
        <v>195</v>
      </c>
      <c r="W68" s="152">
        <f ca="1">IFERROR(__xludf.DUMMYFUNCTION("IMPORTRANGE(""https://docs.google.com/spreadsheets/d/1lufeA2cfFqM-elVq2hznhDzC6Pr7wkJ9ZG_sYNGCMCU/edit?usp=sharing"",""ลพบุรี!J369"")"),265)</f>
        <v>265</v>
      </c>
      <c r="X68" s="357">
        <f ca="1">IFERROR(__xludf.DUMMYFUNCTION("IMPORTRANGE(""https://docs.google.com/spreadsheets/d/1lufeA2cfFqM-elVq2hznhDzC6Pr7wkJ9ZG_sYNGCMCU/edit?usp=sharing"",""ลพบุรี!J370"")"),4191.9)</f>
        <v>4191.8999999999996</v>
      </c>
      <c r="Y68" s="216">
        <f t="shared" ca="1" si="55"/>
        <v>135.89743589743588</v>
      </c>
      <c r="Z68" s="149">
        <f ca="1">IFERROR(__xludf.DUMMYFUNCTION("IMPORTRANGE(""https://docs.google.com/spreadsheets/d/1lufeA2cfFqM-elVq2hznhDzC6Pr7wkJ9ZG_sYNGCMCU/edit?usp=sharing"",""ลพบุรี!I371"")"),195)</f>
        <v>195</v>
      </c>
      <c r="AA68" s="152">
        <f ca="1">IFERROR(__xludf.DUMMYFUNCTION("IMPORTRANGE(""https://docs.google.com/spreadsheets/d/1lufeA2cfFqM-elVq2hznhDzC6Pr7wkJ9ZG_sYNGCMCU/edit?usp=sharing"",""ลพบุรี!J371"")"),249)</f>
        <v>249</v>
      </c>
      <c r="AB68" s="357">
        <f ca="1">IFERROR(__xludf.DUMMYFUNCTION("IMPORTRANGE(""https://docs.google.com/spreadsheets/d/1lufeA2cfFqM-elVq2hznhDzC6Pr7wkJ9ZG_sYNGCMCU/edit?usp=sharing"",""ลพบุรี!J372"")"),4050.99)</f>
        <v>4050.99</v>
      </c>
      <c r="AC68" s="216">
        <f t="shared" ca="1" si="57"/>
        <v>127.69230769230769</v>
      </c>
      <c r="AD68" s="358">
        <f ca="1">IFERROR(__xludf.DUMMYFUNCTION("IMPORTRANGE(""https://docs.google.com/spreadsheets/d/1eHaY18a8A9IcSdp1K8H6x8fbOy06t2VsZHhMHf-1x7Y/edit?usp=sharing"",""แผน!EM68"")"),180)</f>
        <v>180</v>
      </c>
      <c r="AE68" s="151">
        <f ca="1">IFERROR(__xludf.DUMMYFUNCTION("IMPORTRANGE(""https://docs.google.com/spreadsheets/d/1tdoBKaGub7dwA3U6UFTqxio9LNnvDCQjHKmttSEBsFQ/edit?usp=sharing"",""จัดที่ดิน!E68"")"),18)</f>
        <v>18</v>
      </c>
      <c r="AF68" s="67">
        <f ca="1">IFERROR(__xludf.DUMMYFUNCTION("IMPORTRANGE(""https://docs.google.com/spreadsheets/d/1tdoBKaGub7dwA3U6UFTqxio9LNnvDCQjHKmttSEBsFQ/edit?usp=sharing"",""จัดที่ดิน!F68"")"),2260.44)</f>
        <v>2260.44</v>
      </c>
      <c r="AG68" s="68">
        <f t="shared" ca="1" si="59"/>
        <v>1255.8</v>
      </c>
      <c r="AH68" s="358">
        <f ca="1">IFERROR(__xludf.DUMMYFUNCTION("IMPORTRANGE(""https://docs.google.com/spreadsheets/d/1eHaY18a8A9IcSdp1K8H6x8fbOy06t2VsZHhMHf-1x7Y/edit?usp=sharing"",""แผน!EN68"")"),18)</f>
        <v>18</v>
      </c>
      <c r="AI68" s="151">
        <f ca="1">IFERROR(__xludf.DUMMYFUNCTION("IMPORTRANGE(""https://docs.google.com/spreadsheets/d/1tdoBKaGub7dwA3U6UFTqxio9LNnvDCQjHKmttSEBsFQ/edit?usp=sharing"",""จัดที่ดิน!G68"")"),10)</f>
        <v>10</v>
      </c>
      <c r="AJ68" s="67">
        <f ca="1">IFERROR(__xludf.DUMMYFUNCTION("IMPORTRANGE(""https://docs.google.com/spreadsheets/d/1tdoBKaGub7dwA3U6UFTqxio9LNnvDCQjHKmttSEBsFQ/edit?usp=sharing"",""จัดที่ดิน!H68"")"),43.24)</f>
        <v>43.24</v>
      </c>
      <c r="AK68" s="68">
        <f t="shared" ca="1" si="61"/>
        <v>55.555555555555557</v>
      </c>
      <c r="AL68" s="358">
        <f ca="1">IFERROR(__xludf.DUMMYFUNCTION("IMPORTRANGE(""https://docs.google.com/spreadsheets/d/1eHaY18a8A9IcSdp1K8H6x8fbOy06t2VsZHhMHf-1x7Y/edit?usp=sharing"",""แผน!EN68"")"),18)</f>
        <v>18</v>
      </c>
      <c r="AM68" s="151">
        <f ca="1">IFERROR(__xludf.DUMMYFUNCTION("IMPORTRANGE(""https://docs.google.com/spreadsheets/d/1tdoBKaGub7dwA3U6UFTqxio9LNnvDCQjHKmttSEBsFQ/edit?usp=sharing"",""จัดที่ดิน!I68"")"),9)</f>
        <v>9</v>
      </c>
      <c r="AN68" s="67">
        <f ca="1">IFERROR(__xludf.DUMMYFUNCTION("IMPORTRANGE(""https://docs.google.com/spreadsheets/d/1tdoBKaGub7dwA3U6UFTqxio9LNnvDCQjHKmttSEBsFQ/edit?usp=sharing"",""จัดที่ดิน!J68"")"),35.18)</f>
        <v>35.18</v>
      </c>
      <c r="AO68" s="68">
        <f t="shared" ca="1" si="63"/>
        <v>50</v>
      </c>
      <c r="AP68" s="359">
        <f ca="1">IFERROR(__xludf.DUMMYFUNCTION("IMPORTRANGE(""https://docs.google.com/spreadsheets/d/1eHaY18a8A9IcSdp1K8H6x8fbOy06t2VsZHhMHf-1x7Y/edit?usp=sharing"",""แผน!EO68"")"),415)</f>
        <v>415</v>
      </c>
      <c r="AQ68" s="151">
        <f ca="1">IFERROR(__xludf.DUMMYFUNCTION("IMPORTRANGE(""https://docs.google.com/spreadsheets/d/1tdoBKaGub7dwA3U6UFTqxio9LNnvDCQjHKmttSEBsFQ/edit?usp=sharing"",""แบ่งแปลง!D70"")"),68)</f>
        <v>68</v>
      </c>
      <c r="AR68" s="67">
        <f ca="1">IFERROR(__xludf.DUMMYFUNCTION("IMPORTRANGE(""https://docs.google.com/spreadsheets/d/1tdoBKaGub7dwA3U6UFTqxio9LNnvDCQjHKmttSEBsFQ/edit?usp=sharing"",""แบ่งแปลง!F70"")"),685.53)</f>
        <v>685.53</v>
      </c>
      <c r="AS68" s="68">
        <f t="shared" ca="1" si="65"/>
        <v>165.18795180722893</v>
      </c>
      <c r="AT68" s="359">
        <f ca="1">IFERROR(__xludf.DUMMYFUNCTION("IMPORTRANGE(""https://docs.google.com/spreadsheets/d/1eHaY18a8A9IcSdp1K8H6x8fbOy06t2VsZHhMHf-1x7Y/edit?usp=sharing"",""แผน!EP68"")"),83)</f>
        <v>83</v>
      </c>
      <c r="AU68" s="151">
        <f ca="1">IFERROR(__xludf.DUMMYFUNCTION("IMPORTRANGE(""https://docs.google.com/spreadsheets/d/1tdoBKaGub7dwA3U6UFTqxio9LNnvDCQjHKmttSEBsFQ/edit?usp=sharing"",""แบ่งแปลง!I70"")"),62)</f>
        <v>62</v>
      </c>
      <c r="AV68" s="67">
        <f ca="1">IFERROR(__xludf.DUMMYFUNCTION("IMPORTRANGE(""https://docs.google.com/spreadsheets/d/1tdoBKaGub7dwA3U6UFTqxio9LNnvDCQjHKmttSEBsFQ/edit?usp=sharing"",""แบ่งแปลง!K70"")"),598.29)</f>
        <v>598.29</v>
      </c>
      <c r="AW68" s="68">
        <f t="shared" ca="1" si="67"/>
        <v>74.698795180722897</v>
      </c>
      <c r="AX68" s="359">
        <f ca="1">IFERROR(__xludf.DUMMYFUNCTION("IMPORTRANGE(""https://docs.google.com/spreadsheets/d/1eHaY18a8A9IcSdp1K8H6x8fbOy06t2VsZHhMHf-1x7Y/edit?usp=sharing"",""แผน!EP68"")"),83)</f>
        <v>83</v>
      </c>
      <c r="AY68" s="151">
        <f ca="1">IFERROR(__xludf.DUMMYFUNCTION("IMPORTRANGE(""https://docs.google.com/spreadsheets/d/1tdoBKaGub7dwA3U6UFTqxio9LNnvDCQjHKmttSEBsFQ/edit?usp=sharing"",""แบ่งแปลง!X70"")"),47)</f>
        <v>47</v>
      </c>
      <c r="AZ68" s="67">
        <f ca="1">IFERROR(__xludf.DUMMYFUNCTION("IMPORTRANGE(""https://docs.google.com/spreadsheets/d/1tdoBKaGub7dwA3U6UFTqxio9LNnvDCQjHKmttSEBsFQ/edit?usp=sharing"",""แบ่งแปลง!Z70"")"),465.44)</f>
        <v>465.44</v>
      </c>
      <c r="BA68" s="68">
        <f t="shared" ca="1" si="69"/>
        <v>56.626506024096386</v>
      </c>
      <c r="BB68" s="360">
        <f ca="1">IFERROR(__xludf.DUMMYFUNCTION("IMPORTRANGE(""https://docs.google.com/spreadsheets/d/1eHaY18a8A9IcSdp1K8H6x8fbOy06t2VsZHhMHf-1x7Y/edit?usp=sharing"",""แผน!ES68"")"),94)</f>
        <v>94</v>
      </c>
      <c r="BC68" s="151">
        <f ca="1">IFERROR(__xludf.DUMMYFUNCTION("IMPORTRANGE(""https://docs.google.com/spreadsheets/d/1tdoBKaGub7dwA3U6UFTqxio9LNnvDCQjHKmttSEBsFQ/edit?usp=sharing"",""เต็มแปลง!I70"")"),193)</f>
        <v>193</v>
      </c>
      <c r="BD68" s="67">
        <f ca="1">IFERROR(__xludf.DUMMYFUNCTION("IMPORTRANGE(""https://docs.google.com/spreadsheets/d/1tdoBKaGub7dwA3U6UFTqxio9LNnvDCQjHKmttSEBsFQ/edit?usp=sharing"",""เต็มแปลง!K70"")"),3550.37)</f>
        <v>3550.37</v>
      </c>
      <c r="BE68" s="68">
        <f t="shared" ca="1" si="71"/>
        <v>205.31914893617022</v>
      </c>
      <c r="BF68" s="360">
        <f ca="1">IFERROR(__xludf.DUMMYFUNCTION("IMPORTRANGE(""https://docs.google.com/spreadsheets/d/1eHaY18a8A9IcSdp1K8H6x8fbOy06t2VsZHhMHf-1x7Y/edit?usp=sharing"",""แผน!ES68"")"),94)</f>
        <v>94</v>
      </c>
      <c r="BG68" s="151">
        <f ca="1">IFERROR(__xludf.DUMMYFUNCTION("IMPORTRANGE(""https://docs.google.com/spreadsheets/d/1tdoBKaGub7dwA3U6UFTqxio9LNnvDCQjHKmttSEBsFQ/edit?usp=sharing"",""เต็มแปลง!S70"")"),193)</f>
        <v>193</v>
      </c>
      <c r="BH68" s="67">
        <f ca="1">IFERROR(__xludf.DUMMYFUNCTION("IMPORTRANGE(""https://docs.google.com/spreadsheets/d/1tdoBKaGub7dwA3U6UFTqxio9LNnvDCQjHKmttSEBsFQ/edit?usp=sharing"",""เต็มแปลง!U70"")"),3550.37)</f>
        <v>3550.37</v>
      </c>
      <c r="BI68" s="68">
        <f t="shared" ca="1" si="73"/>
        <v>205.31914893617022</v>
      </c>
      <c r="BJ68" s="339"/>
    </row>
    <row r="69" spans="1:62" ht="21" customHeight="1" x14ac:dyDescent="0.3">
      <c r="A69" s="147">
        <v>17</v>
      </c>
      <c r="B69" s="148" t="s">
        <v>97</v>
      </c>
      <c r="C69" s="149">
        <f t="shared" ca="1" si="44"/>
        <v>810360</v>
      </c>
      <c r="D69" s="150">
        <f t="shared" ca="1" si="100"/>
        <v>810360</v>
      </c>
      <c r="E69" s="151">
        <f ca="1">IFERROR(__xludf.DUMMYFUNCTION("IMPORTRANGE(""https://docs.google.com/spreadsheets/d/1-uDff_7J0KD5mKrp0Vvzr7lt3OU09vwQwhkpOPPYv2Y/edit?usp=sharing"",""งบพรบ!FD69"")"),102200)</f>
        <v>102200</v>
      </c>
      <c r="F69" s="151">
        <f ca="1">IFERROR(__xludf.DUMMYFUNCTION("IMPORTRANGE(""https://docs.google.com/spreadsheets/d/1-uDff_7J0KD5mKrp0Vvzr7lt3OU09vwQwhkpOPPYv2Y/edit?usp=sharing"",""งบพรบ!FE69"")"),708160)</f>
        <v>708160</v>
      </c>
      <c r="G69" s="151">
        <f ca="1">IFERROR(__xludf.DUMMYFUNCTION("IMPORTRANGE(""https://docs.google.com/spreadsheets/d/1-uDff_7J0KD5mKrp0Vvzr7lt3OU09vwQwhkpOPPYv2Y/edit?usp=sharing"",""งบพรบ!FF69"")"),0)</f>
        <v>0</v>
      </c>
      <c r="H69" s="151">
        <f ca="1">IFERROR(__xludf.DUMMYFUNCTION("IMPORTRANGE(""https://docs.google.com/spreadsheets/d/1-uDff_7J0KD5mKrp0Vvzr7lt3OU09vwQwhkpOPPYv2Y/edit?usp=sharing"",""งบพรบ!FH69"")"),928110)</f>
        <v>928110</v>
      </c>
      <c r="I69" s="151">
        <f ca="1">IFERROR(__xludf.DUMMYFUNCTION("IMPORTRANGE(""https://docs.google.com/spreadsheets/d/1-uDff_7J0KD5mKrp0Vvzr7lt3OU09vwQwhkpOPPYv2Y/edit?usp=sharing"",""งบพรบ!FI69"")"),0)</f>
        <v>0</v>
      </c>
      <c r="J69" s="151">
        <f t="shared" ca="1" si="46"/>
        <v>650592.63</v>
      </c>
      <c r="K69" s="154">
        <f t="shared" ca="1" si="47"/>
        <v>80.284395824078189</v>
      </c>
      <c r="L69" s="151">
        <f ca="1">IFERROR(__xludf.DUMMYFUNCTION("IMPORTRANGE(""https://docs.google.com/spreadsheets/d/1-uDff_7J0KD5mKrp0Vvzr7lt3OU09vwQwhkpOPPYv2Y/edit?usp=sharing"",""งบพรบ!FJ69"")"),650592.63)</f>
        <v>650592.63</v>
      </c>
      <c r="M69" s="68">
        <f t="shared" ca="1" si="48"/>
        <v>80.284395824078189</v>
      </c>
      <c r="N69" s="68">
        <f t="shared" ca="1" si="49"/>
        <v>70.098655331803343</v>
      </c>
      <c r="O69" s="67">
        <f ca="1">IFERROR(__xludf.DUMMYFUNCTION("IMPORTRANGE(""https://docs.google.com/spreadsheets/d/1-uDff_7J0KD5mKrp0Vvzr7lt3OU09vwQwhkpOPPYv2Y/edit?usp=sharing"",""งบพรบ!FK69"")"),0)</f>
        <v>0</v>
      </c>
      <c r="P69" s="67">
        <f t="shared" ca="1" si="50"/>
        <v>0</v>
      </c>
      <c r="Q69" s="68">
        <f t="shared" ca="1" si="51"/>
        <v>0</v>
      </c>
      <c r="R69" s="149">
        <f ca="1">IFERROR(__xludf.DUMMYFUNCTION("IMPORTRANGE(""https://docs.google.com/spreadsheets/d/10oOiF7loTyfsTkbd4MpaIm0HQ9SwB7IYHdIUvt-U1Uc/edit?usp=sharing"",""สระแก้ว!I368"")"),3000)</f>
        <v>3000</v>
      </c>
      <c r="S69" s="152">
        <f ca="1">IFERROR(__xludf.DUMMYFUNCTION("IMPORTRANGE(""https://docs.google.com/spreadsheets/d/10oOiF7loTyfsTkbd4MpaIm0HQ9SwB7IYHdIUvt-U1Uc/edit?usp=sharing"",""สระแก้ว!J367"")"),226)</f>
        <v>226</v>
      </c>
      <c r="T69" s="357">
        <f ca="1">IFERROR(__xludf.DUMMYFUNCTION("IMPORTRANGE(""https://docs.google.com/spreadsheets/d/10oOiF7loTyfsTkbd4MpaIm0HQ9SwB7IYHdIUvt-U1Uc/edit?usp=sharing"",""สระแก้ว!J368"")"),3175.69)</f>
        <v>3175.69</v>
      </c>
      <c r="U69" s="216">
        <f t="shared" ca="1" si="53"/>
        <v>105.85633333333334</v>
      </c>
      <c r="V69" s="149">
        <f ca="1">IFERROR(__xludf.DUMMYFUNCTION("IMPORTRANGE(""https://docs.google.com/spreadsheets/d/10oOiF7loTyfsTkbd4MpaIm0HQ9SwB7IYHdIUvt-U1Uc/edit?usp=sharing"",""สระแก้ว!I369"")"),567)</f>
        <v>567</v>
      </c>
      <c r="W69" s="152">
        <f ca="1">IFERROR(__xludf.DUMMYFUNCTION("IMPORTRANGE(""https://docs.google.com/spreadsheets/d/10oOiF7loTyfsTkbd4MpaIm0HQ9SwB7IYHdIUvt-U1Uc/edit?usp=sharing"",""สระแก้ว!J369"")"),603)</f>
        <v>603</v>
      </c>
      <c r="X69" s="357">
        <f ca="1">IFERROR(__xludf.DUMMYFUNCTION("IMPORTRANGE(""https://docs.google.com/spreadsheets/d/10oOiF7loTyfsTkbd4MpaIm0HQ9SwB7IYHdIUvt-U1Uc/edit?usp=sharing"",""สระแก้ว!J370"")"),10253.69)</f>
        <v>10253.69</v>
      </c>
      <c r="Y69" s="216">
        <f t="shared" ca="1" si="55"/>
        <v>106.34920634920636</v>
      </c>
      <c r="Z69" s="149">
        <f ca="1">IFERROR(__xludf.DUMMYFUNCTION("IMPORTRANGE(""https://docs.google.com/spreadsheets/d/10oOiF7loTyfsTkbd4MpaIm0HQ9SwB7IYHdIUvt-U1Uc/edit?usp=sharing"",""สระแก้ว!I371"")"),567)</f>
        <v>567</v>
      </c>
      <c r="AA69" s="152">
        <f ca="1">IFERROR(__xludf.DUMMYFUNCTION("IMPORTRANGE(""https://docs.google.com/spreadsheets/d/10oOiF7loTyfsTkbd4MpaIm0HQ9SwB7IYHdIUvt-U1Uc/edit?usp=sharing"",""สระแก้ว!J371"")"),494)</f>
        <v>494</v>
      </c>
      <c r="AB69" s="357">
        <f ca="1">IFERROR(__xludf.DUMMYFUNCTION("IMPORTRANGE(""https://docs.google.com/spreadsheets/d/10oOiF7loTyfsTkbd4MpaIm0HQ9SwB7IYHdIUvt-U1Uc/edit?usp=sharing"",""สระแก้ว!J372"")"),8680.93999999999)</f>
        <v>8680.9399999999896</v>
      </c>
      <c r="AC69" s="216">
        <f t="shared" ca="1" si="57"/>
        <v>87.125220458553798</v>
      </c>
      <c r="AD69" s="358">
        <f ca="1">IFERROR(__xludf.DUMMYFUNCTION("IMPORTRANGE(""https://docs.google.com/spreadsheets/d/1eHaY18a8A9IcSdp1K8H6x8fbOy06t2VsZHhMHf-1x7Y/edit?usp=sharing"",""แผน!EM69"")"),1500)</f>
        <v>1500</v>
      </c>
      <c r="AE69" s="151">
        <f ca="1">IFERROR(__xludf.DUMMYFUNCTION("IMPORTRANGE(""https://docs.google.com/spreadsheets/d/1tdoBKaGub7dwA3U6UFTqxio9LNnvDCQjHKmttSEBsFQ/edit?usp=sharing"",""จัดที่ดิน!E69"")"),91)</f>
        <v>91</v>
      </c>
      <c r="AF69" s="67">
        <f ca="1">IFERROR(__xludf.DUMMYFUNCTION("IMPORTRANGE(""https://docs.google.com/spreadsheets/d/1tdoBKaGub7dwA3U6UFTqxio9LNnvDCQjHKmttSEBsFQ/edit?usp=sharing"",""จัดที่ดิน!F69"")"),1502.54)</f>
        <v>1502.54</v>
      </c>
      <c r="AG69" s="68">
        <f t="shared" ca="1" si="59"/>
        <v>100.16933333333333</v>
      </c>
      <c r="AH69" s="358">
        <f ca="1">IFERROR(__xludf.DUMMYFUNCTION("IMPORTRANGE(""https://docs.google.com/spreadsheets/d/1eHaY18a8A9IcSdp1K8H6x8fbOy06t2VsZHhMHf-1x7Y/edit?usp=sharing"",""แผน!EN69"")"),100)</f>
        <v>100</v>
      </c>
      <c r="AI69" s="151">
        <f ca="1">IFERROR(__xludf.DUMMYFUNCTION("IMPORTRANGE(""https://docs.google.com/spreadsheets/d/1tdoBKaGub7dwA3U6UFTqxio9LNnvDCQjHKmttSEBsFQ/edit?usp=sharing"",""จัดที่ดิน!G69"")"),134)</f>
        <v>134</v>
      </c>
      <c r="AJ69" s="67">
        <f ca="1">IFERROR(__xludf.DUMMYFUNCTION("IMPORTRANGE(""https://docs.google.com/spreadsheets/d/1tdoBKaGub7dwA3U6UFTqxio9LNnvDCQjHKmttSEBsFQ/edit?usp=sharing"",""จัดที่ดิน!H69"")"),2569.01)</f>
        <v>2569.0100000000002</v>
      </c>
      <c r="AK69" s="68">
        <f t="shared" ca="1" si="61"/>
        <v>134</v>
      </c>
      <c r="AL69" s="358">
        <f ca="1">IFERROR(__xludf.DUMMYFUNCTION("IMPORTRANGE(""https://docs.google.com/spreadsheets/d/1eHaY18a8A9IcSdp1K8H6x8fbOy06t2VsZHhMHf-1x7Y/edit?usp=sharing"",""แผน!EN69"")"),100)</f>
        <v>100</v>
      </c>
      <c r="AM69" s="151">
        <f ca="1">IFERROR(__xludf.DUMMYFUNCTION("IMPORTRANGE(""https://docs.google.com/spreadsheets/d/1tdoBKaGub7dwA3U6UFTqxio9LNnvDCQjHKmttSEBsFQ/edit?usp=sharing"",""จัดที่ดิน!I69"")"),96)</f>
        <v>96</v>
      </c>
      <c r="AN69" s="67">
        <f ca="1">IFERROR(__xludf.DUMMYFUNCTION("IMPORTRANGE(""https://docs.google.com/spreadsheets/d/1tdoBKaGub7dwA3U6UFTqxio9LNnvDCQjHKmttSEBsFQ/edit?usp=sharing"",""จัดที่ดิน!J69"")"),1790.46)</f>
        <v>1790.46</v>
      </c>
      <c r="AO69" s="68">
        <f t="shared" ca="1" si="63"/>
        <v>96</v>
      </c>
      <c r="AP69" s="359">
        <f ca="1">IFERROR(__xludf.DUMMYFUNCTION("IMPORTRANGE(""https://docs.google.com/spreadsheets/d/1eHaY18a8A9IcSdp1K8H6x8fbOy06t2VsZHhMHf-1x7Y/edit?usp=sharing"",""แผน!EO69"")"),1500)</f>
        <v>1500</v>
      </c>
      <c r="AQ69" s="151">
        <f ca="1">IFERROR(__xludf.DUMMYFUNCTION("IMPORTRANGE(""https://docs.google.com/spreadsheets/d/1tdoBKaGub7dwA3U6UFTqxio9LNnvDCQjHKmttSEBsFQ/edit?usp=sharing"",""แบ่งแปลง!D71"")"),135)</f>
        <v>135</v>
      </c>
      <c r="AR69" s="67">
        <f ca="1">IFERROR(__xludf.DUMMYFUNCTION("IMPORTRANGE(""https://docs.google.com/spreadsheets/d/1tdoBKaGub7dwA3U6UFTqxio9LNnvDCQjHKmttSEBsFQ/edit?usp=sharing"",""แบ่งแปลง!F71"")"),1673.15)</f>
        <v>1673.15</v>
      </c>
      <c r="AS69" s="68">
        <f t="shared" ca="1" si="65"/>
        <v>111.54333333333334</v>
      </c>
      <c r="AT69" s="359">
        <f ca="1">IFERROR(__xludf.DUMMYFUNCTION("IMPORTRANGE(""https://docs.google.com/spreadsheets/d/1eHaY18a8A9IcSdp1K8H6x8fbOy06t2VsZHhMHf-1x7Y/edit?usp=sharing"",""แผน!EP69"")"),109)</f>
        <v>109</v>
      </c>
      <c r="AU69" s="151">
        <f ca="1">IFERROR(__xludf.DUMMYFUNCTION("IMPORTRANGE(""https://docs.google.com/spreadsheets/d/1tdoBKaGub7dwA3U6UFTqxio9LNnvDCQjHKmttSEBsFQ/edit?usp=sharing"",""แบ่งแปลง!I71"")"),134)</f>
        <v>134</v>
      </c>
      <c r="AV69" s="67">
        <f ca="1">IFERROR(__xludf.DUMMYFUNCTION("IMPORTRANGE(""https://docs.google.com/spreadsheets/d/1tdoBKaGub7dwA3U6UFTqxio9LNnvDCQjHKmttSEBsFQ/edit?usp=sharing"",""แบ่งแปลง!K71"")"),1668.15)</f>
        <v>1668.15</v>
      </c>
      <c r="AW69" s="68">
        <f t="shared" ca="1" si="67"/>
        <v>122.93577981651376</v>
      </c>
      <c r="AX69" s="359">
        <f ca="1">IFERROR(__xludf.DUMMYFUNCTION("IMPORTRANGE(""https://docs.google.com/spreadsheets/d/1eHaY18a8A9IcSdp1K8H6x8fbOy06t2VsZHhMHf-1x7Y/edit?usp=sharing"",""แผน!EP69"")"),109)</f>
        <v>109</v>
      </c>
      <c r="AY69" s="151">
        <f ca="1">IFERROR(__xludf.DUMMYFUNCTION("IMPORTRANGE(""https://docs.google.com/spreadsheets/d/1tdoBKaGub7dwA3U6UFTqxio9LNnvDCQjHKmttSEBsFQ/edit?usp=sharing"",""แบ่งแปลง!X71"")"),63)</f>
        <v>63</v>
      </c>
      <c r="AZ69" s="67">
        <f ca="1">IFERROR(__xludf.DUMMYFUNCTION("IMPORTRANGE(""https://docs.google.com/spreadsheets/d/1tdoBKaGub7dwA3U6UFTqxio9LNnvDCQjHKmttSEBsFQ/edit?usp=sharing"",""แบ่งแปลง!Z71"")"),873.95)</f>
        <v>873.95</v>
      </c>
      <c r="BA69" s="68">
        <f t="shared" ca="1" si="69"/>
        <v>57.798165137614681</v>
      </c>
      <c r="BB69" s="360">
        <f ca="1">IFERROR(__xludf.DUMMYFUNCTION("IMPORTRANGE(""https://docs.google.com/spreadsheets/d/1eHaY18a8A9IcSdp1K8H6x8fbOy06t2VsZHhMHf-1x7Y/edit?usp=sharing"",""แผน!ES69"")"),358)</f>
        <v>358</v>
      </c>
      <c r="BC69" s="151">
        <f ca="1">IFERROR(__xludf.DUMMYFUNCTION("IMPORTRANGE(""https://docs.google.com/spreadsheets/d/1tdoBKaGub7dwA3U6UFTqxio9LNnvDCQjHKmttSEBsFQ/edit?usp=sharing"",""เต็มแปลง!I71"")"),335)</f>
        <v>335</v>
      </c>
      <c r="BD69" s="67">
        <f ca="1">IFERROR(__xludf.DUMMYFUNCTION("IMPORTRANGE(""https://docs.google.com/spreadsheets/d/1tdoBKaGub7dwA3U6UFTqxio9LNnvDCQjHKmttSEBsFQ/edit?usp=sharing"",""เต็มแปลง!K71"")"),6016.53)</f>
        <v>6016.53</v>
      </c>
      <c r="BE69" s="68">
        <f t="shared" ca="1" si="71"/>
        <v>93.575418994413411</v>
      </c>
      <c r="BF69" s="360">
        <f ca="1">IFERROR(__xludf.DUMMYFUNCTION("IMPORTRANGE(""https://docs.google.com/spreadsheets/d/1eHaY18a8A9IcSdp1K8H6x8fbOy06t2VsZHhMHf-1x7Y/edit?usp=sharing"",""แผน!ES69"")"),358)</f>
        <v>358</v>
      </c>
      <c r="BG69" s="151">
        <f ca="1">IFERROR(__xludf.DUMMYFUNCTION("IMPORTRANGE(""https://docs.google.com/spreadsheets/d/1tdoBKaGub7dwA3U6UFTqxio9LNnvDCQjHKmttSEBsFQ/edit?usp=sharing"",""เต็มแปลง!S71"")"),335)</f>
        <v>335</v>
      </c>
      <c r="BH69" s="67">
        <f ca="1">IFERROR(__xludf.DUMMYFUNCTION("IMPORTRANGE(""https://docs.google.com/spreadsheets/d/1tdoBKaGub7dwA3U6UFTqxio9LNnvDCQjHKmttSEBsFQ/edit?usp=sharing"",""เต็มแปลง!U71"")"),6016.53)</f>
        <v>6016.53</v>
      </c>
      <c r="BI69" s="68">
        <f t="shared" ca="1" si="73"/>
        <v>93.575418994413411</v>
      </c>
      <c r="BJ69" s="339"/>
    </row>
    <row r="70" spans="1:62" ht="21" customHeight="1" x14ac:dyDescent="0.3">
      <c r="A70" s="147">
        <v>18</v>
      </c>
      <c r="B70" s="148" t="s">
        <v>98</v>
      </c>
      <c r="C70" s="149">
        <f t="shared" ca="1" si="44"/>
        <v>918620</v>
      </c>
      <c r="D70" s="150">
        <f t="shared" ca="1" si="100"/>
        <v>918620</v>
      </c>
      <c r="E70" s="151">
        <f ca="1">IFERROR(__xludf.DUMMYFUNCTION("IMPORTRANGE(""https://docs.google.com/spreadsheets/d/1-uDff_7J0KD5mKrp0Vvzr7lt3OU09vwQwhkpOPPYv2Y/edit?usp=sharing"",""งบพรบ!FD70"")"),592900)</f>
        <v>592900</v>
      </c>
      <c r="F70" s="151">
        <f ca="1">IFERROR(__xludf.DUMMYFUNCTION("IMPORTRANGE(""https://docs.google.com/spreadsheets/d/1-uDff_7J0KD5mKrp0Vvzr7lt3OU09vwQwhkpOPPYv2Y/edit?usp=sharing"",""งบพรบ!FE70"")"),325720)</f>
        <v>325720</v>
      </c>
      <c r="G70" s="151">
        <f ca="1">IFERROR(__xludf.DUMMYFUNCTION("IMPORTRANGE(""https://docs.google.com/spreadsheets/d/1-uDff_7J0KD5mKrp0Vvzr7lt3OU09vwQwhkpOPPYv2Y/edit?usp=sharing"",""งบพรบ!FF70"")"),0)</f>
        <v>0</v>
      </c>
      <c r="H70" s="151">
        <f ca="1">IFERROR(__xludf.DUMMYFUNCTION("IMPORTRANGE(""https://docs.google.com/spreadsheets/d/1-uDff_7J0KD5mKrp0Vvzr7lt3OU09vwQwhkpOPPYv2Y/edit?usp=sharing"",""งบพรบ!FH70"")"),958620)</f>
        <v>958620</v>
      </c>
      <c r="I70" s="151">
        <f ca="1">IFERROR(__xludf.DUMMYFUNCTION("IMPORTRANGE(""https://docs.google.com/spreadsheets/d/1-uDff_7J0KD5mKrp0Vvzr7lt3OU09vwQwhkpOPPYv2Y/edit?usp=sharing"",""งบพรบ!FI70"")"),0)</f>
        <v>0</v>
      </c>
      <c r="J70" s="151">
        <f t="shared" ca="1" si="46"/>
        <v>718021.77</v>
      </c>
      <c r="K70" s="154">
        <f t="shared" ca="1" si="47"/>
        <v>78.163089199015914</v>
      </c>
      <c r="L70" s="151">
        <f ca="1">IFERROR(__xludf.DUMMYFUNCTION("IMPORTRANGE(""https://docs.google.com/spreadsheets/d/1-uDff_7J0KD5mKrp0Vvzr7lt3OU09vwQwhkpOPPYv2Y/edit?usp=sharing"",""งบพรบ!FJ70"")"),718021.77)</f>
        <v>718021.77</v>
      </c>
      <c r="M70" s="68">
        <f t="shared" ca="1" si="48"/>
        <v>78.163089199015914</v>
      </c>
      <c r="N70" s="68">
        <f t="shared" ca="1" si="49"/>
        <v>74.90160543280966</v>
      </c>
      <c r="O70" s="67">
        <f ca="1">IFERROR(__xludf.DUMMYFUNCTION("IMPORTRANGE(""https://docs.google.com/spreadsheets/d/1-uDff_7J0KD5mKrp0Vvzr7lt3OU09vwQwhkpOPPYv2Y/edit?usp=sharing"",""งบพรบ!FK70"")"),0)</f>
        <v>0</v>
      </c>
      <c r="P70" s="67">
        <f t="shared" ca="1" si="50"/>
        <v>0</v>
      </c>
      <c r="Q70" s="68">
        <f t="shared" ca="1" si="51"/>
        <v>0</v>
      </c>
      <c r="R70" s="149">
        <f ca="1">IFERROR(__xludf.DUMMYFUNCTION("IMPORTRANGE(""https://docs.google.com/spreadsheets/d/1xmPlrr1QbdSIKvl1dWUl9K4PjAfSL9oeMr_37QVzcxc/edit?usp=sharing"",""สระบุรี!I368"")"),1100)</f>
        <v>1100</v>
      </c>
      <c r="S70" s="152">
        <f ca="1">IFERROR(__xludf.DUMMYFUNCTION("IMPORTRANGE(""https://docs.google.com/spreadsheets/d/1xmPlrr1QbdSIKvl1dWUl9K4PjAfSL9oeMr_37QVzcxc/edit?usp=sharing"",""สระบุรี!J367"")"),136)</f>
        <v>136</v>
      </c>
      <c r="T70" s="357">
        <f ca="1">IFERROR(__xludf.DUMMYFUNCTION("IMPORTRANGE(""https://docs.google.com/spreadsheets/d/1xmPlrr1QbdSIKvl1dWUl9K4PjAfSL9oeMr_37QVzcxc/edit?usp=sharing"",""สระบุรี!J368"")"),1399.56)</f>
        <v>1399.56</v>
      </c>
      <c r="U70" s="216">
        <f t="shared" ca="1" si="53"/>
        <v>127.23272727272727</v>
      </c>
      <c r="V70" s="149">
        <f ca="1">IFERROR(__xludf.DUMMYFUNCTION("IMPORTRANGE(""https://docs.google.com/spreadsheets/d/1xmPlrr1QbdSIKvl1dWUl9K4PjAfSL9oeMr_37QVzcxc/edit?usp=sharing"",""สระบุรี!I369"")"),149)</f>
        <v>149</v>
      </c>
      <c r="W70" s="152">
        <f ca="1">IFERROR(__xludf.DUMMYFUNCTION("IMPORTRANGE(""https://docs.google.com/spreadsheets/d/1xmPlrr1QbdSIKvl1dWUl9K4PjAfSL9oeMr_37QVzcxc/edit?usp=sharing"",""สระบุรี!J369"")"),59)</f>
        <v>59</v>
      </c>
      <c r="X70" s="357">
        <f ca="1">IFERROR(__xludf.DUMMYFUNCTION("IMPORTRANGE(""https://docs.google.com/spreadsheets/d/1xmPlrr1QbdSIKvl1dWUl9K4PjAfSL9oeMr_37QVzcxc/edit?usp=sharing"",""สระบุรี!J370"")"),924.5)</f>
        <v>924.5</v>
      </c>
      <c r="Y70" s="216">
        <f t="shared" ca="1" si="55"/>
        <v>39.597315436241608</v>
      </c>
      <c r="Z70" s="149">
        <f ca="1">IFERROR(__xludf.DUMMYFUNCTION("IMPORTRANGE(""https://docs.google.com/spreadsheets/d/1xmPlrr1QbdSIKvl1dWUl9K4PjAfSL9oeMr_37QVzcxc/edit?usp=sharing"",""สระบุรี!I371"")"),149)</f>
        <v>149</v>
      </c>
      <c r="AA70" s="152">
        <f ca="1">IFERROR(__xludf.DUMMYFUNCTION("IMPORTRANGE(""https://docs.google.com/spreadsheets/d/1xmPlrr1QbdSIKvl1dWUl9K4PjAfSL9oeMr_37QVzcxc/edit?usp=sharing"",""สระบุรี!J371"")"),60)</f>
        <v>60</v>
      </c>
      <c r="AB70" s="357">
        <f ca="1">IFERROR(__xludf.DUMMYFUNCTION("IMPORTRANGE(""https://docs.google.com/spreadsheets/d/1xmPlrr1QbdSIKvl1dWUl9K4PjAfSL9oeMr_37QVzcxc/edit?usp=sharing"",""สระบุรี!J372"")"),927.7)</f>
        <v>927.7</v>
      </c>
      <c r="AC70" s="216">
        <f t="shared" ca="1" si="57"/>
        <v>40.268456375838923</v>
      </c>
      <c r="AD70" s="358">
        <f ca="1">IFERROR(__xludf.DUMMYFUNCTION("IMPORTRANGE(""https://docs.google.com/spreadsheets/d/1eHaY18a8A9IcSdp1K8H6x8fbOy06t2VsZHhMHf-1x7Y/edit?usp=sharing"",""แผน!EM70"")"),600)</f>
        <v>600</v>
      </c>
      <c r="AE70" s="151">
        <f ca="1">IFERROR(__xludf.DUMMYFUNCTION("IMPORTRANGE(""https://docs.google.com/spreadsheets/d/1tdoBKaGub7dwA3U6UFTqxio9LNnvDCQjHKmttSEBsFQ/edit?usp=sharing"",""จัดที่ดิน!E70"")"),81)</f>
        <v>81</v>
      </c>
      <c r="AF70" s="67">
        <f ca="1">IFERROR(__xludf.DUMMYFUNCTION("IMPORTRANGE(""https://docs.google.com/spreadsheets/d/1tdoBKaGub7dwA3U6UFTqxio9LNnvDCQjHKmttSEBsFQ/edit?usp=sharing"",""จัดที่ดิน!F70"")"),782.38)</f>
        <v>782.38</v>
      </c>
      <c r="AG70" s="68">
        <f t="shared" ca="1" si="59"/>
        <v>130.39666666666668</v>
      </c>
      <c r="AH70" s="358">
        <f ca="1">IFERROR(__xludf.DUMMYFUNCTION("IMPORTRANGE(""https://docs.google.com/spreadsheets/d/1eHaY18a8A9IcSdp1K8H6x8fbOy06t2VsZHhMHf-1x7Y/edit?usp=sharing"",""แผน!EN70"")"),35)</f>
        <v>35</v>
      </c>
      <c r="AI70" s="151">
        <f ca="1">IFERROR(__xludf.DUMMYFUNCTION("IMPORTRANGE(""https://docs.google.com/spreadsheets/d/1tdoBKaGub7dwA3U6UFTqxio9LNnvDCQjHKmttSEBsFQ/edit?usp=sharing"",""จัดที่ดิน!G70"")"),10)</f>
        <v>10</v>
      </c>
      <c r="AJ70" s="67">
        <f ca="1">IFERROR(__xludf.DUMMYFUNCTION("IMPORTRANGE(""https://docs.google.com/spreadsheets/d/1tdoBKaGub7dwA3U6UFTqxio9LNnvDCQjHKmttSEBsFQ/edit?usp=sharing"",""จัดที่ดิน!H70"")"),62.3)</f>
        <v>62.3</v>
      </c>
      <c r="AK70" s="68">
        <f t="shared" ca="1" si="61"/>
        <v>28.571428571428573</v>
      </c>
      <c r="AL70" s="358">
        <f ca="1">IFERROR(__xludf.DUMMYFUNCTION("IMPORTRANGE(""https://docs.google.com/spreadsheets/d/1eHaY18a8A9IcSdp1K8H6x8fbOy06t2VsZHhMHf-1x7Y/edit?usp=sharing"",""แผน!EN70"")"),35)</f>
        <v>35</v>
      </c>
      <c r="AM70" s="151">
        <f ca="1">IFERROR(__xludf.DUMMYFUNCTION("IMPORTRANGE(""https://docs.google.com/spreadsheets/d/1tdoBKaGub7dwA3U6UFTqxio9LNnvDCQjHKmttSEBsFQ/edit?usp=sharing"",""จัดที่ดิน!I70"")"),11)</f>
        <v>11</v>
      </c>
      <c r="AN70" s="67">
        <f ca="1">IFERROR(__xludf.DUMMYFUNCTION("IMPORTRANGE(""https://docs.google.com/spreadsheets/d/1tdoBKaGub7dwA3U6UFTqxio9LNnvDCQjHKmttSEBsFQ/edit?usp=sharing"",""จัดที่ดิน!J70"")"),65.5)</f>
        <v>65.5</v>
      </c>
      <c r="AO70" s="68">
        <f t="shared" ca="1" si="63"/>
        <v>31.428571428571427</v>
      </c>
      <c r="AP70" s="359">
        <f ca="1">IFERROR(__xludf.DUMMYFUNCTION("IMPORTRANGE(""https://docs.google.com/spreadsheets/d/1eHaY18a8A9IcSdp1K8H6x8fbOy06t2VsZHhMHf-1x7Y/edit?usp=sharing"",""แผน!EO70"")"),500)</f>
        <v>500</v>
      </c>
      <c r="AQ70" s="151">
        <f ca="1">IFERROR(__xludf.DUMMYFUNCTION("IMPORTRANGE(""https://docs.google.com/spreadsheets/d/1tdoBKaGub7dwA3U6UFTqxio9LNnvDCQjHKmttSEBsFQ/edit?usp=sharing"",""แบ่งแปลง!D72"")"),55)</f>
        <v>55</v>
      </c>
      <c r="AR70" s="67">
        <f ca="1">IFERROR(__xludf.DUMMYFUNCTION("IMPORTRANGE(""https://docs.google.com/spreadsheets/d/1tdoBKaGub7dwA3U6UFTqxio9LNnvDCQjHKmttSEBsFQ/edit?usp=sharing"",""แบ่งแปลง!F72"")"),617.18)</f>
        <v>617.17999999999995</v>
      </c>
      <c r="AS70" s="68">
        <f t="shared" ca="1" si="65"/>
        <v>123.43599999999998</v>
      </c>
      <c r="AT70" s="359">
        <f ca="1">IFERROR(__xludf.DUMMYFUNCTION("IMPORTRANGE(""https://docs.google.com/spreadsheets/d/1eHaY18a8A9IcSdp1K8H6x8fbOy06t2VsZHhMHf-1x7Y/edit?usp=sharing"",""แผน!EP70"")"),50)</f>
        <v>50</v>
      </c>
      <c r="AU70" s="151">
        <f ca="1">IFERROR(__xludf.DUMMYFUNCTION("IMPORTRANGE(""https://docs.google.com/spreadsheets/d/1tdoBKaGub7dwA3U6UFTqxio9LNnvDCQjHKmttSEBsFQ/edit?usp=sharing"",""แบ่งแปลง!I72"")"),4)</f>
        <v>4</v>
      </c>
      <c r="AV70" s="67">
        <f ca="1">IFERROR(__xludf.DUMMYFUNCTION("IMPORTRANGE(""https://docs.google.com/spreadsheets/d/1tdoBKaGub7dwA3U6UFTqxio9LNnvDCQjHKmttSEBsFQ/edit?usp=sharing"",""แบ่งแปลง!K72"")"),25.24)</f>
        <v>25.24</v>
      </c>
      <c r="AW70" s="68">
        <f t="shared" ca="1" si="67"/>
        <v>8</v>
      </c>
      <c r="AX70" s="359">
        <f ca="1">IFERROR(__xludf.DUMMYFUNCTION("IMPORTRANGE(""https://docs.google.com/spreadsheets/d/1eHaY18a8A9IcSdp1K8H6x8fbOy06t2VsZHhMHf-1x7Y/edit?usp=sharing"",""แผน!EP70"")"),50)</f>
        <v>50</v>
      </c>
      <c r="AY70" s="151">
        <f ca="1">IFERROR(__xludf.DUMMYFUNCTION("IMPORTRANGE(""https://docs.google.com/spreadsheets/d/1tdoBKaGub7dwA3U6UFTqxio9LNnvDCQjHKmttSEBsFQ/edit?usp=sharing"",""แบ่งแปลง!X72"")"),4)</f>
        <v>4</v>
      </c>
      <c r="AZ70" s="67">
        <f ca="1">IFERROR(__xludf.DUMMYFUNCTION("IMPORTRANGE(""https://docs.google.com/spreadsheets/d/1tdoBKaGub7dwA3U6UFTqxio9LNnvDCQjHKmttSEBsFQ/edit?usp=sharing"",""แบ่งแปลง!Z72"")"),25.24)</f>
        <v>25.24</v>
      </c>
      <c r="BA70" s="68">
        <f t="shared" ca="1" si="69"/>
        <v>8</v>
      </c>
      <c r="BB70" s="360">
        <f ca="1">IFERROR(__xludf.DUMMYFUNCTION("IMPORTRANGE(""https://docs.google.com/spreadsheets/d/1eHaY18a8A9IcSdp1K8H6x8fbOy06t2VsZHhMHf-1x7Y/edit?usp=sharing"",""แผน!ES70"")"),64)</f>
        <v>64</v>
      </c>
      <c r="BC70" s="151">
        <f ca="1">IFERROR(__xludf.DUMMYFUNCTION("IMPORTRANGE(""https://docs.google.com/spreadsheets/d/1tdoBKaGub7dwA3U6UFTqxio9LNnvDCQjHKmttSEBsFQ/edit?usp=sharing"",""เต็มแปลง!I72"")"),45)</f>
        <v>45</v>
      </c>
      <c r="BD70" s="67">
        <f ca="1">IFERROR(__xludf.DUMMYFUNCTION("IMPORTRANGE(""https://docs.google.com/spreadsheets/d/1tdoBKaGub7dwA3U6UFTqxio9LNnvDCQjHKmttSEBsFQ/edit?usp=sharing"",""เต็มแปลง!K72"")"),836.96)</f>
        <v>836.96</v>
      </c>
      <c r="BE70" s="68">
        <f t="shared" ca="1" si="71"/>
        <v>70.3125</v>
      </c>
      <c r="BF70" s="360">
        <f ca="1">IFERROR(__xludf.DUMMYFUNCTION("IMPORTRANGE(""https://docs.google.com/spreadsheets/d/1eHaY18a8A9IcSdp1K8H6x8fbOy06t2VsZHhMHf-1x7Y/edit?usp=sharing"",""แผน!ES70"")"),64)</f>
        <v>64</v>
      </c>
      <c r="BG70" s="151">
        <f ca="1">IFERROR(__xludf.DUMMYFUNCTION("IMPORTRANGE(""https://docs.google.com/spreadsheets/d/1tdoBKaGub7dwA3U6UFTqxio9LNnvDCQjHKmttSEBsFQ/edit?usp=sharing"",""เต็มแปลง!S72"")"),45)</f>
        <v>45</v>
      </c>
      <c r="BH70" s="67">
        <f ca="1">IFERROR(__xludf.DUMMYFUNCTION("IMPORTRANGE(""https://docs.google.com/spreadsheets/d/1tdoBKaGub7dwA3U6UFTqxio9LNnvDCQjHKmttSEBsFQ/edit?usp=sharing"",""เต็มแปลง!U72"")"),836.96)</f>
        <v>836.96</v>
      </c>
      <c r="BI70" s="68">
        <f t="shared" ca="1" si="73"/>
        <v>70.3125</v>
      </c>
      <c r="BJ70" s="339"/>
    </row>
    <row r="71" spans="1:62" ht="21" customHeight="1" x14ac:dyDescent="0.3">
      <c r="A71" s="147">
        <v>19</v>
      </c>
      <c r="B71" s="148" t="s">
        <v>99</v>
      </c>
      <c r="C71" s="149">
        <f t="shared" ca="1" si="44"/>
        <v>186970</v>
      </c>
      <c r="D71" s="150">
        <f t="shared" ca="1" si="100"/>
        <v>186970</v>
      </c>
      <c r="E71" s="151">
        <f ca="1">IFERROR(__xludf.DUMMYFUNCTION("IMPORTRANGE(""https://docs.google.com/spreadsheets/d/1-uDff_7J0KD5mKrp0Vvzr7lt3OU09vwQwhkpOPPYv2Y/edit?usp=sharing"",""งบพรบ!FD71"")"),143000)</f>
        <v>143000</v>
      </c>
      <c r="F71" s="151">
        <f ca="1">IFERROR(__xludf.DUMMYFUNCTION("IMPORTRANGE(""https://docs.google.com/spreadsheets/d/1-uDff_7J0KD5mKrp0Vvzr7lt3OU09vwQwhkpOPPYv2Y/edit?usp=sharing"",""งบพรบ!FE71"")"),43970)</f>
        <v>43970</v>
      </c>
      <c r="G71" s="151">
        <f ca="1">IFERROR(__xludf.DUMMYFUNCTION("IMPORTRANGE(""https://docs.google.com/spreadsheets/d/1-uDff_7J0KD5mKrp0Vvzr7lt3OU09vwQwhkpOPPYv2Y/edit?usp=sharing"",""งบพรบ!FF71"")"),0)</f>
        <v>0</v>
      </c>
      <c r="H71" s="151">
        <f ca="1">IFERROR(__xludf.DUMMYFUNCTION("IMPORTRANGE(""https://docs.google.com/spreadsheets/d/1-uDff_7J0KD5mKrp0Vvzr7lt3OU09vwQwhkpOPPYv2Y/edit?usp=sharing"",""งบพรบ!FH71"")"),164985)</f>
        <v>164985</v>
      </c>
      <c r="I71" s="151">
        <f ca="1">IFERROR(__xludf.DUMMYFUNCTION("IMPORTRANGE(""https://docs.google.com/spreadsheets/d/1-uDff_7J0KD5mKrp0Vvzr7lt3OU09vwQwhkpOPPYv2Y/edit?usp=sharing"",""งบพรบ!FI71"")"),0)</f>
        <v>0</v>
      </c>
      <c r="J71" s="151">
        <f t="shared" ca="1" si="46"/>
        <v>129831.18</v>
      </c>
      <c r="K71" s="154">
        <f t="shared" ca="1" si="47"/>
        <v>69.439578542012086</v>
      </c>
      <c r="L71" s="151">
        <f ca="1">IFERROR(__xludf.DUMMYFUNCTION("IMPORTRANGE(""https://docs.google.com/spreadsheets/d/1-uDff_7J0KD5mKrp0Vvzr7lt3OU09vwQwhkpOPPYv2Y/edit?usp=sharing"",""งบพรบ!FJ71"")"),129831.18)</f>
        <v>129831.18</v>
      </c>
      <c r="M71" s="68">
        <f t="shared" ca="1" si="48"/>
        <v>69.439578542012086</v>
      </c>
      <c r="N71" s="68">
        <f t="shared" ca="1" si="49"/>
        <v>78.692717519774519</v>
      </c>
      <c r="O71" s="67">
        <f ca="1">IFERROR(__xludf.DUMMYFUNCTION("IMPORTRANGE(""https://docs.google.com/spreadsheets/d/1-uDff_7J0KD5mKrp0Vvzr7lt3OU09vwQwhkpOPPYv2Y/edit?usp=sharing"",""งบพรบ!FK71"")"),0)</f>
        <v>0</v>
      </c>
      <c r="P71" s="67">
        <f t="shared" ca="1" si="50"/>
        <v>0</v>
      </c>
      <c r="Q71" s="68">
        <f t="shared" ca="1" si="51"/>
        <v>0</v>
      </c>
      <c r="R71" s="149">
        <f ca="1">IFERROR(__xludf.DUMMYFUNCTION("IMPORTRANGE(""https://docs.google.com/spreadsheets/d/1j51vR6CYVGhABJpv6tkstgok82RLpXieLzW1yOY5rHw/edit?usp=sharing"",""สิงห์บุรี!I368"")"),0)</f>
        <v>0</v>
      </c>
      <c r="S71" s="152">
        <f ca="1">IFERROR(__xludf.DUMMYFUNCTION("IMPORTRANGE(""https://docs.google.com/spreadsheets/d/1j51vR6CYVGhABJpv6tkstgok82RLpXieLzW1yOY5rHw/edit?usp=sharing"",""สิงห์บุรี!J367"")"),0)</f>
        <v>0</v>
      </c>
      <c r="T71" s="357">
        <f ca="1">IFERROR(__xludf.DUMMYFUNCTION("IMPORTRANGE(""https://docs.google.com/spreadsheets/d/1j51vR6CYVGhABJpv6tkstgok82RLpXieLzW1yOY5rHw/edit?usp=sharing"",""สิงห์บุรี!J368"")"),0)</f>
        <v>0</v>
      </c>
      <c r="U71" s="216">
        <f t="shared" ca="1" si="53"/>
        <v>0</v>
      </c>
      <c r="V71" s="149">
        <f ca="1">IFERROR(__xludf.DUMMYFUNCTION("IMPORTRANGE(""https://docs.google.com/spreadsheets/d/1j51vR6CYVGhABJpv6tkstgok82RLpXieLzW1yOY5rHw/edit?usp=sharing"",""สิงห์บุรี!I369"")"),0)</f>
        <v>0</v>
      </c>
      <c r="W71" s="152">
        <f ca="1">IFERROR(__xludf.DUMMYFUNCTION("IMPORTRANGE(""https://docs.google.com/spreadsheets/d/1j51vR6CYVGhABJpv6tkstgok82RLpXieLzW1yOY5rHw/edit?usp=sharing"",""สิงห์บุรี!J369"")"),0)</f>
        <v>0</v>
      </c>
      <c r="X71" s="357">
        <f ca="1">IFERROR(__xludf.DUMMYFUNCTION("IMPORTRANGE(""https://docs.google.com/spreadsheets/d/1j51vR6CYVGhABJpv6tkstgok82RLpXieLzW1yOY5rHw/edit?usp=sharing"",""สิงห์บุรี!J370"")"),0)</f>
        <v>0</v>
      </c>
      <c r="Y71" s="216">
        <f t="shared" ca="1" si="55"/>
        <v>0</v>
      </c>
      <c r="Z71" s="149">
        <f ca="1">IFERROR(__xludf.DUMMYFUNCTION("IMPORTRANGE(""https://docs.google.com/spreadsheets/d/1j51vR6CYVGhABJpv6tkstgok82RLpXieLzW1yOY5rHw/edit?usp=sharing"",""สิงห์บุรี!I371"")"),0)</f>
        <v>0</v>
      </c>
      <c r="AA71" s="152">
        <f ca="1">IFERROR(__xludf.DUMMYFUNCTION("IMPORTRANGE(""https://docs.google.com/spreadsheets/d/1j51vR6CYVGhABJpv6tkstgok82RLpXieLzW1yOY5rHw/edit?usp=sharing"",""สิงห์บุรี!J371"")"),0)</f>
        <v>0</v>
      </c>
      <c r="AB71" s="357">
        <f ca="1">IFERROR(__xludf.DUMMYFUNCTION("IMPORTRANGE(""https://docs.google.com/spreadsheets/d/1j51vR6CYVGhABJpv6tkstgok82RLpXieLzW1yOY5rHw/edit?usp=sharing"",""สิงห์บุรี!J372"")"),0)</f>
        <v>0</v>
      </c>
      <c r="AC71" s="216">
        <f t="shared" ca="1" si="57"/>
        <v>0</v>
      </c>
      <c r="AD71" s="358">
        <f ca="1">IFERROR(__xludf.DUMMYFUNCTION("IMPORTRANGE(""https://docs.google.com/spreadsheets/d/1eHaY18a8A9IcSdp1K8H6x8fbOy06t2VsZHhMHf-1x7Y/edit?usp=sharing"",""แผน!EM71"")"),0)</f>
        <v>0</v>
      </c>
      <c r="AE71" s="151">
        <f ca="1">IFERROR(__xludf.DUMMYFUNCTION("IMPORTRANGE(""https://docs.google.com/spreadsheets/d/1tdoBKaGub7dwA3U6UFTqxio9LNnvDCQjHKmttSEBsFQ/edit?usp=sharing"",""จัดที่ดิน!E71"")"),0)</f>
        <v>0</v>
      </c>
      <c r="AF71" s="67">
        <f ca="1">IFERROR(__xludf.DUMMYFUNCTION("IMPORTRANGE(""https://docs.google.com/spreadsheets/d/1tdoBKaGub7dwA3U6UFTqxio9LNnvDCQjHKmttSEBsFQ/edit?usp=sharing"",""จัดที่ดิน!F71"")"),0)</f>
        <v>0</v>
      </c>
      <c r="AG71" s="68">
        <f t="shared" ca="1" si="59"/>
        <v>0</v>
      </c>
      <c r="AH71" s="358">
        <f ca="1">IFERROR(__xludf.DUMMYFUNCTION("IMPORTRANGE(""https://docs.google.com/spreadsheets/d/1eHaY18a8A9IcSdp1K8H6x8fbOy06t2VsZHhMHf-1x7Y/edit?usp=sharing"",""แผน!EN71"")"),0)</f>
        <v>0</v>
      </c>
      <c r="AI71" s="151">
        <f ca="1">IFERROR(__xludf.DUMMYFUNCTION("IMPORTRANGE(""https://docs.google.com/spreadsheets/d/1tdoBKaGub7dwA3U6UFTqxio9LNnvDCQjHKmttSEBsFQ/edit?usp=sharing"",""จัดที่ดิน!G71"")"),0)</f>
        <v>0</v>
      </c>
      <c r="AJ71" s="67">
        <f ca="1">IFERROR(__xludf.DUMMYFUNCTION("IMPORTRANGE(""https://docs.google.com/spreadsheets/d/1tdoBKaGub7dwA3U6UFTqxio9LNnvDCQjHKmttSEBsFQ/edit?usp=sharing"",""จัดที่ดิน!H71"")"),0)</f>
        <v>0</v>
      </c>
      <c r="AK71" s="68">
        <f t="shared" ca="1" si="61"/>
        <v>0</v>
      </c>
      <c r="AL71" s="358">
        <f ca="1">IFERROR(__xludf.DUMMYFUNCTION("IMPORTRANGE(""https://docs.google.com/spreadsheets/d/1eHaY18a8A9IcSdp1K8H6x8fbOy06t2VsZHhMHf-1x7Y/edit?usp=sharing"",""แผน!EN71"")"),0)</f>
        <v>0</v>
      </c>
      <c r="AM71" s="151">
        <f ca="1">IFERROR(__xludf.DUMMYFUNCTION("IMPORTRANGE(""https://docs.google.com/spreadsheets/d/1tdoBKaGub7dwA3U6UFTqxio9LNnvDCQjHKmttSEBsFQ/edit?usp=sharing"",""จัดที่ดิน!I71"")"),0)</f>
        <v>0</v>
      </c>
      <c r="AN71" s="67">
        <f ca="1">IFERROR(__xludf.DUMMYFUNCTION("IMPORTRANGE(""https://docs.google.com/spreadsheets/d/1tdoBKaGub7dwA3U6UFTqxio9LNnvDCQjHKmttSEBsFQ/edit?usp=sharing"",""จัดที่ดิน!J71"")"),0)</f>
        <v>0</v>
      </c>
      <c r="AO71" s="68">
        <f t="shared" ca="1" si="63"/>
        <v>0</v>
      </c>
      <c r="AP71" s="359">
        <f ca="1">IFERROR(__xludf.DUMMYFUNCTION("IMPORTRANGE(""https://docs.google.com/spreadsheets/d/1eHaY18a8A9IcSdp1K8H6x8fbOy06t2VsZHhMHf-1x7Y/edit?usp=sharing"",""แผน!EO71"")"),0)</f>
        <v>0</v>
      </c>
      <c r="AQ71" s="151">
        <f ca="1">IFERROR(__xludf.DUMMYFUNCTION("IMPORTRANGE(""https://docs.google.com/spreadsheets/d/1tdoBKaGub7dwA3U6UFTqxio9LNnvDCQjHKmttSEBsFQ/edit?usp=sharing"",""แบ่งแปลง!D73"")"),0)</f>
        <v>0</v>
      </c>
      <c r="AR71" s="67">
        <f ca="1">IFERROR(__xludf.DUMMYFUNCTION("IMPORTRANGE(""https://docs.google.com/spreadsheets/d/1tdoBKaGub7dwA3U6UFTqxio9LNnvDCQjHKmttSEBsFQ/edit?usp=sharing"",""แบ่งแปลง!F73"")"),0)</f>
        <v>0</v>
      </c>
      <c r="AS71" s="68">
        <f t="shared" ca="1" si="65"/>
        <v>0</v>
      </c>
      <c r="AT71" s="359">
        <f ca="1">IFERROR(__xludf.DUMMYFUNCTION("IMPORTRANGE(""https://docs.google.com/spreadsheets/d/1eHaY18a8A9IcSdp1K8H6x8fbOy06t2VsZHhMHf-1x7Y/edit?usp=sharing"",""แผน!EP71"")"),0)</f>
        <v>0</v>
      </c>
      <c r="AU71" s="151">
        <f ca="1">IFERROR(__xludf.DUMMYFUNCTION("IMPORTRANGE(""https://docs.google.com/spreadsheets/d/1tdoBKaGub7dwA3U6UFTqxio9LNnvDCQjHKmttSEBsFQ/edit?usp=sharing"",""แบ่งแปลง!I73"")"),0)</f>
        <v>0</v>
      </c>
      <c r="AV71" s="67">
        <f ca="1">IFERROR(__xludf.DUMMYFUNCTION("IMPORTRANGE(""https://docs.google.com/spreadsheets/d/1tdoBKaGub7dwA3U6UFTqxio9LNnvDCQjHKmttSEBsFQ/edit?usp=sharing"",""แบ่งแปลง!K73"")"),0)</f>
        <v>0</v>
      </c>
      <c r="AW71" s="68">
        <f t="shared" ca="1" si="67"/>
        <v>0</v>
      </c>
      <c r="AX71" s="359">
        <f ca="1">IFERROR(__xludf.DUMMYFUNCTION("IMPORTRANGE(""https://docs.google.com/spreadsheets/d/1eHaY18a8A9IcSdp1K8H6x8fbOy06t2VsZHhMHf-1x7Y/edit?usp=sharing"",""แผน!EP71"")"),0)</f>
        <v>0</v>
      </c>
      <c r="AY71" s="151">
        <f ca="1">IFERROR(__xludf.DUMMYFUNCTION("IMPORTRANGE(""https://docs.google.com/spreadsheets/d/1tdoBKaGub7dwA3U6UFTqxio9LNnvDCQjHKmttSEBsFQ/edit?usp=sharing"",""แบ่งแปลง!X73"")"),0)</f>
        <v>0</v>
      </c>
      <c r="AZ71" s="67">
        <f ca="1">IFERROR(__xludf.DUMMYFUNCTION("IMPORTRANGE(""https://docs.google.com/spreadsheets/d/1tdoBKaGub7dwA3U6UFTqxio9LNnvDCQjHKmttSEBsFQ/edit?usp=sharing"",""แบ่งแปลง!Z73"")"),0)</f>
        <v>0</v>
      </c>
      <c r="BA71" s="68">
        <f t="shared" ca="1" si="69"/>
        <v>0</v>
      </c>
      <c r="BB71" s="360">
        <f ca="1">IFERROR(__xludf.DUMMYFUNCTION("IMPORTRANGE(""https://docs.google.com/spreadsheets/d/1eHaY18a8A9IcSdp1K8H6x8fbOy06t2VsZHhMHf-1x7Y/edit?usp=sharing"",""แผน!ES71"")"),0)</f>
        <v>0</v>
      </c>
      <c r="BC71" s="151">
        <f ca="1">IFERROR(__xludf.DUMMYFUNCTION("IMPORTRANGE(""https://docs.google.com/spreadsheets/d/1tdoBKaGub7dwA3U6UFTqxio9LNnvDCQjHKmttSEBsFQ/edit?usp=sharing"",""เต็มแปลง!I73"")"),0)</f>
        <v>0</v>
      </c>
      <c r="BD71" s="67">
        <f ca="1">IFERROR(__xludf.DUMMYFUNCTION("IMPORTRANGE(""https://docs.google.com/spreadsheets/d/1tdoBKaGub7dwA3U6UFTqxio9LNnvDCQjHKmttSEBsFQ/edit?usp=sharing"",""เต็มแปลง!K73"")"),0)</f>
        <v>0</v>
      </c>
      <c r="BE71" s="68">
        <f t="shared" ca="1" si="71"/>
        <v>0</v>
      </c>
      <c r="BF71" s="360">
        <f ca="1">IFERROR(__xludf.DUMMYFUNCTION("IMPORTRANGE(""https://docs.google.com/spreadsheets/d/1eHaY18a8A9IcSdp1K8H6x8fbOy06t2VsZHhMHf-1x7Y/edit?usp=sharing"",""แผน!ES71"")"),0)</f>
        <v>0</v>
      </c>
      <c r="BG71" s="151">
        <f ca="1">IFERROR(__xludf.DUMMYFUNCTION("IMPORTRANGE(""https://docs.google.com/spreadsheets/d/1tdoBKaGub7dwA3U6UFTqxio9LNnvDCQjHKmttSEBsFQ/edit?usp=sharing"",""เต็มแปลง!S73"")"),0)</f>
        <v>0</v>
      </c>
      <c r="BH71" s="67">
        <f ca="1">IFERROR(__xludf.DUMMYFUNCTION("IMPORTRANGE(""https://docs.google.com/spreadsheets/d/1tdoBKaGub7dwA3U6UFTqxio9LNnvDCQjHKmttSEBsFQ/edit?usp=sharing"",""เต็มแปลง!U73"")"),0)</f>
        <v>0</v>
      </c>
      <c r="BI71" s="68">
        <f t="shared" ca="1" si="73"/>
        <v>0</v>
      </c>
      <c r="BJ71" s="339"/>
    </row>
    <row r="72" spans="1:62" ht="21" customHeight="1" x14ac:dyDescent="0.3">
      <c r="A72" s="147">
        <v>20</v>
      </c>
      <c r="B72" s="148" t="s">
        <v>100</v>
      </c>
      <c r="C72" s="149">
        <f t="shared" ca="1" si="44"/>
        <v>736730</v>
      </c>
      <c r="D72" s="150">
        <f t="shared" ca="1" si="100"/>
        <v>736730</v>
      </c>
      <c r="E72" s="151">
        <f ca="1">IFERROR(__xludf.DUMMYFUNCTION("IMPORTRANGE(""https://docs.google.com/spreadsheets/d/1-uDff_7J0KD5mKrp0Vvzr7lt3OU09vwQwhkpOPPYv2Y/edit?usp=sharing"",""งบพรบ!FD72"")"),456500)</f>
        <v>456500</v>
      </c>
      <c r="F72" s="151">
        <f ca="1">IFERROR(__xludf.DUMMYFUNCTION("IMPORTRANGE(""https://docs.google.com/spreadsheets/d/1-uDff_7J0KD5mKrp0Vvzr7lt3OU09vwQwhkpOPPYv2Y/edit?usp=sharing"",""งบพรบ!FE72"")"),280230)</f>
        <v>280230</v>
      </c>
      <c r="G72" s="151">
        <f ca="1">IFERROR(__xludf.DUMMYFUNCTION("IMPORTRANGE(""https://docs.google.com/spreadsheets/d/1-uDff_7J0KD5mKrp0Vvzr7lt3OU09vwQwhkpOPPYv2Y/edit?usp=sharing"",""งบพรบ!FF72"")"),0)</f>
        <v>0</v>
      </c>
      <c r="H72" s="151">
        <f ca="1">IFERROR(__xludf.DUMMYFUNCTION("IMPORTRANGE(""https://docs.google.com/spreadsheets/d/1-uDff_7J0KD5mKrp0Vvzr7lt3OU09vwQwhkpOPPYv2Y/edit?usp=sharing"",""งบพรบ!FH72"")"),784050)</f>
        <v>784050</v>
      </c>
      <c r="I72" s="151">
        <f ca="1">IFERROR(__xludf.DUMMYFUNCTION("IMPORTRANGE(""https://docs.google.com/spreadsheets/d/1-uDff_7J0KD5mKrp0Vvzr7lt3OU09vwQwhkpOPPYv2Y/edit?usp=sharing"",""งบพรบ!FI72"")"),0)</f>
        <v>0</v>
      </c>
      <c r="J72" s="151">
        <f t="shared" ca="1" si="46"/>
        <v>665377.68000000005</v>
      </c>
      <c r="K72" s="154">
        <f t="shared" ca="1" si="47"/>
        <v>90.314997353168735</v>
      </c>
      <c r="L72" s="151">
        <f ca="1">IFERROR(__xludf.DUMMYFUNCTION("IMPORTRANGE(""https://docs.google.com/spreadsheets/d/1-uDff_7J0KD5mKrp0Vvzr7lt3OU09vwQwhkpOPPYv2Y/edit?usp=sharing"",""งบพรบ!FJ72"")"),665377.68)</f>
        <v>665377.68000000005</v>
      </c>
      <c r="M72" s="68">
        <f t="shared" ca="1" si="48"/>
        <v>90.314997353168735</v>
      </c>
      <c r="N72" s="68">
        <f t="shared" ca="1" si="49"/>
        <v>84.864189783814822</v>
      </c>
      <c r="O72" s="67">
        <f ca="1">IFERROR(__xludf.DUMMYFUNCTION("IMPORTRANGE(""https://docs.google.com/spreadsheets/d/1-uDff_7J0KD5mKrp0Vvzr7lt3OU09vwQwhkpOPPYv2Y/edit?usp=sharing"",""งบพรบ!FK72"")"),0)</f>
        <v>0</v>
      </c>
      <c r="P72" s="67">
        <f t="shared" ca="1" si="50"/>
        <v>0</v>
      </c>
      <c r="Q72" s="68">
        <f t="shared" ca="1" si="51"/>
        <v>0</v>
      </c>
      <c r="R72" s="149">
        <f ca="1">IFERROR(__xludf.DUMMYFUNCTION("IMPORTRANGE(""https://docs.google.com/spreadsheets/d/1H1EalTWKUSzO4Z1-1CwzoDUaVffgrThEBe2sl74kKG0/edit?usp=sharing"",""สุพรรณบุรี!I368"")"),350)</f>
        <v>350</v>
      </c>
      <c r="S72" s="152">
        <f ca="1">IFERROR(__xludf.DUMMYFUNCTION("IMPORTRANGE(""https://docs.google.com/spreadsheets/d/1H1EalTWKUSzO4Z1-1CwzoDUaVffgrThEBe2sl74kKG0/edit?usp=sharing"",""สุพรรณบุรี!J367"")"),163)</f>
        <v>163</v>
      </c>
      <c r="T72" s="357">
        <f ca="1">IFERROR(__xludf.DUMMYFUNCTION("IMPORTRANGE(""https://docs.google.com/spreadsheets/d/1H1EalTWKUSzO4Z1-1CwzoDUaVffgrThEBe2sl74kKG0/edit?usp=sharing"",""สุพรรณบุรี!J368"")"),990.65)</f>
        <v>990.65</v>
      </c>
      <c r="U72" s="216">
        <f t="shared" ca="1" si="53"/>
        <v>283.04285714285714</v>
      </c>
      <c r="V72" s="149">
        <f ca="1">IFERROR(__xludf.DUMMYFUNCTION("IMPORTRANGE(""https://docs.google.com/spreadsheets/d/1H1EalTWKUSzO4Z1-1CwzoDUaVffgrThEBe2sl74kKG0/edit?usp=sharing"",""สุพรรณบุรี!I369"")"),132)</f>
        <v>132</v>
      </c>
      <c r="W72" s="152">
        <f ca="1">IFERROR(__xludf.DUMMYFUNCTION("IMPORTRANGE(""https://docs.google.com/spreadsheets/d/1H1EalTWKUSzO4Z1-1CwzoDUaVffgrThEBe2sl74kKG0/edit?usp=sharing"",""สุพรรณบุรี!J369"")"),205)</f>
        <v>205</v>
      </c>
      <c r="X72" s="357">
        <f ca="1">IFERROR(__xludf.DUMMYFUNCTION("IMPORTRANGE(""https://docs.google.com/spreadsheets/d/1H1EalTWKUSzO4Z1-1CwzoDUaVffgrThEBe2sl74kKG0/edit?usp=sharing"",""สุพรรณบุรี!J370"")"),1809.16999999999)</f>
        <v>1809.1699999999901</v>
      </c>
      <c r="Y72" s="216">
        <f t="shared" ca="1" si="55"/>
        <v>155.30303030303031</v>
      </c>
      <c r="Z72" s="149">
        <f ca="1">IFERROR(__xludf.DUMMYFUNCTION("IMPORTRANGE(""https://docs.google.com/spreadsheets/d/1H1EalTWKUSzO4Z1-1CwzoDUaVffgrThEBe2sl74kKG0/edit?usp=sharing"",""สุพรรณบุรี!I371"")"),132)</f>
        <v>132</v>
      </c>
      <c r="AA72" s="152">
        <f ca="1">IFERROR(__xludf.DUMMYFUNCTION("IMPORTRANGE(""https://docs.google.com/spreadsheets/d/1H1EalTWKUSzO4Z1-1CwzoDUaVffgrThEBe2sl74kKG0/edit?usp=sharing"",""สุพรรณบุรี!J371"")"),196)</f>
        <v>196</v>
      </c>
      <c r="AB72" s="357">
        <f ca="1">IFERROR(__xludf.DUMMYFUNCTION("IMPORTRANGE(""https://docs.google.com/spreadsheets/d/1H1EalTWKUSzO4Z1-1CwzoDUaVffgrThEBe2sl74kKG0/edit?usp=sharing"",""สุพรรณบุรี!J372"")"),1800.71)</f>
        <v>1800.71</v>
      </c>
      <c r="AC72" s="216">
        <f t="shared" ca="1" si="57"/>
        <v>148.4848484848485</v>
      </c>
      <c r="AD72" s="358">
        <f ca="1">IFERROR(__xludf.DUMMYFUNCTION("IMPORTRANGE(""https://docs.google.com/spreadsheets/d/1eHaY18a8A9IcSdp1K8H6x8fbOy06t2VsZHhMHf-1x7Y/edit?usp=sharing"",""แผน!EM72"")"),180)</f>
        <v>180</v>
      </c>
      <c r="AE72" s="151">
        <f ca="1">IFERROR(__xludf.DUMMYFUNCTION("IMPORTRANGE(""https://docs.google.com/spreadsheets/d/1tdoBKaGub7dwA3U6UFTqxio9LNnvDCQjHKmttSEBsFQ/edit?usp=sharing"",""จัดที่ดิน!E72"")"),20)</f>
        <v>20</v>
      </c>
      <c r="AF72" s="67">
        <f ca="1">IFERROR(__xludf.DUMMYFUNCTION("IMPORTRANGE(""https://docs.google.com/spreadsheets/d/1tdoBKaGub7dwA3U6UFTqxio9LNnvDCQjHKmttSEBsFQ/edit?usp=sharing"",""จัดที่ดิน!F72"")"),125.79)</f>
        <v>125.79</v>
      </c>
      <c r="AG72" s="68">
        <f t="shared" ca="1" si="59"/>
        <v>69.88333333333334</v>
      </c>
      <c r="AH72" s="358">
        <f ca="1">IFERROR(__xludf.DUMMYFUNCTION("IMPORTRANGE(""https://docs.google.com/spreadsheets/d/1eHaY18a8A9IcSdp1K8H6x8fbOy06t2VsZHhMHf-1x7Y/edit?usp=sharing"",""แผน!EN72"")"),18)</f>
        <v>18</v>
      </c>
      <c r="AI72" s="151">
        <f ca="1">IFERROR(__xludf.DUMMYFUNCTION("IMPORTRANGE(""https://docs.google.com/spreadsheets/d/1tdoBKaGub7dwA3U6UFTqxio9LNnvDCQjHKmttSEBsFQ/edit?usp=sharing"",""จัดที่ดิน!G72"")"),11)</f>
        <v>11</v>
      </c>
      <c r="AJ72" s="67">
        <f ca="1">IFERROR(__xludf.DUMMYFUNCTION("IMPORTRANGE(""https://docs.google.com/spreadsheets/d/1tdoBKaGub7dwA3U6UFTqxio9LNnvDCQjHKmttSEBsFQ/edit?usp=sharing"",""จัดที่ดิน!H72"")"),56.35)</f>
        <v>56.35</v>
      </c>
      <c r="AK72" s="68">
        <f t="shared" ca="1" si="61"/>
        <v>61.111111111111114</v>
      </c>
      <c r="AL72" s="358">
        <f ca="1">IFERROR(__xludf.DUMMYFUNCTION("IMPORTRANGE(""https://docs.google.com/spreadsheets/d/1eHaY18a8A9IcSdp1K8H6x8fbOy06t2VsZHhMHf-1x7Y/edit?usp=sharing"",""แผน!EN72"")"),18)</f>
        <v>18</v>
      </c>
      <c r="AM72" s="151">
        <f ca="1">IFERROR(__xludf.DUMMYFUNCTION("IMPORTRANGE(""https://docs.google.com/spreadsheets/d/1tdoBKaGub7dwA3U6UFTqxio9LNnvDCQjHKmttSEBsFQ/edit?usp=sharing"",""จัดที่ดิน!I72"")"),1)</f>
        <v>1</v>
      </c>
      <c r="AN72" s="67">
        <f ca="1">IFERROR(__xludf.DUMMYFUNCTION("IMPORTRANGE(""https://docs.google.com/spreadsheets/d/1tdoBKaGub7dwA3U6UFTqxio9LNnvDCQjHKmttSEBsFQ/edit?usp=sharing"",""จัดที่ดิน!J72"")"),4.93)</f>
        <v>4.93</v>
      </c>
      <c r="AO72" s="68">
        <f t="shared" ca="1" si="63"/>
        <v>5.5555555555555554</v>
      </c>
      <c r="AP72" s="359">
        <f ca="1">IFERROR(__xludf.DUMMYFUNCTION("IMPORTRANGE(""https://docs.google.com/spreadsheets/d/1eHaY18a8A9IcSdp1K8H6x8fbOy06t2VsZHhMHf-1x7Y/edit?usp=sharing"",""แผน!EO72"")"),170)</f>
        <v>170</v>
      </c>
      <c r="AQ72" s="151">
        <f ca="1">IFERROR(__xludf.DUMMYFUNCTION("IMPORTRANGE(""https://docs.google.com/spreadsheets/d/1tdoBKaGub7dwA3U6UFTqxio9LNnvDCQjHKmttSEBsFQ/edit?usp=sharing"",""แบ่งแปลง!D74"")"),143)</f>
        <v>143</v>
      </c>
      <c r="AR72" s="67">
        <f ca="1">IFERROR(__xludf.DUMMYFUNCTION("IMPORTRANGE(""https://docs.google.com/spreadsheets/d/1tdoBKaGub7dwA3U6UFTqxio9LNnvDCQjHKmttSEBsFQ/edit?usp=sharing"",""แบ่งแปลง!F74"")"),864.86)</f>
        <v>864.86</v>
      </c>
      <c r="AS72" s="68">
        <f t="shared" ca="1" si="65"/>
        <v>508.74117647058824</v>
      </c>
      <c r="AT72" s="359">
        <f ca="1">IFERROR(__xludf.DUMMYFUNCTION("IMPORTRANGE(""https://docs.google.com/spreadsheets/d/1eHaY18a8A9IcSdp1K8H6x8fbOy06t2VsZHhMHf-1x7Y/edit?usp=sharing"",""แผน!EP72"")"),34)</f>
        <v>34</v>
      </c>
      <c r="AU72" s="151">
        <f ca="1">IFERROR(__xludf.DUMMYFUNCTION("IMPORTRANGE(""https://docs.google.com/spreadsheets/d/1tdoBKaGub7dwA3U6UFTqxio9LNnvDCQjHKmttSEBsFQ/edit?usp=sharing"",""แบ่งแปลง!I74"")"),95)</f>
        <v>95</v>
      </c>
      <c r="AV72" s="67">
        <f ca="1">IFERROR(__xludf.DUMMYFUNCTION("IMPORTRANGE(""https://docs.google.com/spreadsheets/d/1tdoBKaGub7dwA3U6UFTqxio9LNnvDCQjHKmttSEBsFQ/edit?usp=sharing"",""แบ่งแปลง!K74"")"),653.98)</f>
        <v>653.98</v>
      </c>
      <c r="AW72" s="68">
        <f t="shared" ca="1" si="67"/>
        <v>279.41176470588238</v>
      </c>
      <c r="AX72" s="359">
        <f ca="1">IFERROR(__xludf.DUMMYFUNCTION("IMPORTRANGE(""https://docs.google.com/spreadsheets/d/1eHaY18a8A9IcSdp1K8H6x8fbOy06t2VsZHhMHf-1x7Y/edit?usp=sharing"",""แผน!EP72"")"),34)</f>
        <v>34</v>
      </c>
      <c r="AY72" s="151">
        <f ca="1">IFERROR(__xludf.DUMMYFUNCTION("IMPORTRANGE(""https://docs.google.com/spreadsheets/d/1tdoBKaGub7dwA3U6UFTqxio9LNnvDCQjHKmttSEBsFQ/edit?usp=sharing"",""แบ่งแปลง!X74"")"),95)</f>
        <v>95</v>
      </c>
      <c r="AZ72" s="67">
        <f ca="1">IFERROR(__xludf.DUMMYFUNCTION("IMPORTRANGE(""https://docs.google.com/spreadsheets/d/1tdoBKaGub7dwA3U6UFTqxio9LNnvDCQjHKmttSEBsFQ/edit?usp=sharing"",""แบ่งแปลง!Z74"")"),653.98)</f>
        <v>653.98</v>
      </c>
      <c r="BA72" s="68">
        <f t="shared" ca="1" si="69"/>
        <v>279.41176470588238</v>
      </c>
      <c r="BB72" s="360">
        <f ca="1">IFERROR(__xludf.DUMMYFUNCTION("IMPORTRANGE(""https://docs.google.com/spreadsheets/d/1eHaY18a8A9IcSdp1K8H6x8fbOy06t2VsZHhMHf-1x7Y/edit?usp=sharing"",""แผน!ES72"")"),80)</f>
        <v>80</v>
      </c>
      <c r="BC72" s="151">
        <f ca="1">IFERROR(__xludf.DUMMYFUNCTION("IMPORTRANGE(""https://docs.google.com/spreadsheets/d/1tdoBKaGub7dwA3U6UFTqxio9LNnvDCQjHKmttSEBsFQ/edit?usp=sharing"",""เต็มแปลง!I74"")"),102)</f>
        <v>102</v>
      </c>
      <c r="BD72" s="67">
        <f ca="1">IFERROR(__xludf.DUMMYFUNCTION("IMPORTRANGE(""https://docs.google.com/spreadsheets/d/1tdoBKaGub7dwA3U6UFTqxio9LNnvDCQjHKmttSEBsFQ/edit?usp=sharing"",""เต็มแปลง!K74"")"),1098.84)</f>
        <v>1098.8399999999999</v>
      </c>
      <c r="BE72" s="68">
        <f t="shared" ca="1" si="71"/>
        <v>127.5</v>
      </c>
      <c r="BF72" s="360">
        <f ca="1">IFERROR(__xludf.DUMMYFUNCTION("IMPORTRANGE(""https://docs.google.com/spreadsheets/d/1eHaY18a8A9IcSdp1K8H6x8fbOy06t2VsZHhMHf-1x7Y/edit?usp=sharing"",""แผน!ES72"")"),80)</f>
        <v>80</v>
      </c>
      <c r="BG72" s="151">
        <f ca="1">IFERROR(__xludf.DUMMYFUNCTION("IMPORTRANGE(""https://docs.google.com/spreadsheets/d/1tdoBKaGub7dwA3U6UFTqxio9LNnvDCQjHKmttSEBsFQ/edit?usp=sharing"",""เต็มแปลง!S74"")"),103)</f>
        <v>103</v>
      </c>
      <c r="BH72" s="67">
        <f ca="1">IFERROR(__xludf.DUMMYFUNCTION("IMPORTRANGE(""https://docs.google.com/spreadsheets/d/1tdoBKaGub7dwA3U6UFTqxio9LNnvDCQjHKmttSEBsFQ/edit?usp=sharing"",""เต็มแปลง!U74"")"),1141.8)</f>
        <v>1141.8</v>
      </c>
      <c r="BI72" s="68">
        <f t="shared" ca="1" si="73"/>
        <v>128.75</v>
      </c>
      <c r="BJ72" s="339"/>
    </row>
    <row r="73" spans="1:62" ht="21" customHeight="1" x14ac:dyDescent="0.3">
      <c r="A73" s="155">
        <v>21</v>
      </c>
      <c r="B73" s="156" t="s">
        <v>101</v>
      </c>
      <c r="C73" s="157">
        <f t="shared" ca="1" si="44"/>
        <v>191110</v>
      </c>
      <c r="D73" s="158">
        <f t="shared" ca="1" si="100"/>
        <v>191110</v>
      </c>
      <c r="E73" s="159">
        <f ca="1">IFERROR(__xludf.DUMMYFUNCTION("IMPORTRANGE(""https://docs.google.com/spreadsheets/d/1-uDff_7J0KD5mKrp0Vvzr7lt3OU09vwQwhkpOPPYv2Y/edit?usp=sharing"",""งบพรบ!FD73"")"),143000)</f>
        <v>143000</v>
      </c>
      <c r="F73" s="159">
        <f ca="1">IFERROR(__xludf.DUMMYFUNCTION("IMPORTRANGE(""https://docs.google.com/spreadsheets/d/1-uDff_7J0KD5mKrp0Vvzr7lt3OU09vwQwhkpOPPYv2Y/edit?usp=sharing"",""งบพรบ!FE73"")"),48110)</f>
        <v>48110</v>
      </c>
      <c r="G73" s="159">
        <f ca="1">IFERROR(__xludf.DUMMYFUNCTION("IMPORTRANGE(""https://docs.google.com/spreadsheets/d/1-uDff_7J0KD5mKrp0Vvzr7lt3OU09vwQwhkpOPPYv2Y/edit?usp=sharing"",""งบพรบ!FF73"")"),0)</f>
        <v>0</v>
      </c>
      <c r="H73" s="159">
        <f ca="1">IFERROR(__xludf.DUMMYFUNCTION("IMPORTRANGE(""https://docs.google.com/spreadsheets/d/1-uDff_7J0KD5mKrp0Vvzr7lt3OU09vwQwhkpOPPYv2Y/edit?usp=sharing"",""งบพรบ!FH73"")"),191110)</f>
        <v>191110</v>
      </c>
      <c r="I73" s="159">
        <f ca="1">IFERROR(__xludf.DUMMYFUNCTION("IMPORTRANGE(""https://docs.google.com/spreadsheets/d/1-uDff_7J0KD5mKrp0Vvzr7lt3OU09vwQwhkpOPPYv2Y/edit?usp=sharing"",""งบพรบ!FI73"")"),0)</f>
        <v>0</v>
      </c>
      <c r="J73" s="159">
        <f t="shared" ca="1" si="46"/>
        <v>129179</v>
      </c>
      <c r="K73" s="160">
        <f t="shared" ca="1" si="47"/>
        <v>67.594055779394068</v>
      </c>
      <c r="L73" s="159">
        <f ca="1">IFERROR(__xludf.DUMMYFUNCTION("IMPORTRANGE(""https://docs.google.com/spreadsheets/d/1-uDff_7J0KD5mKrp0Vvzr7lt3OU09vwQwhkpOPPYv2Y/edit?usp=sharing"",""งบพรบ!FJ73"")"),129179)</f>
        <v>129179</v>
      </c>
      <c r="M73" s="89">
        <f t="shared" ca="1" si="48"/>
        <v>67.594055779394068</v>
      </c>
      <c r="N73" s="89">
        <f t="shared" ca="1" si="49"/>
        <v>67.594055779394068</v>
      </c>
      <c r="O73" s="88">
        <f ca="1">IFERROR(__xludf.DUMMYFUNCTION("IMPORTRANGE(""https://docs.google.com/spreadsheets/d/1-uDff_7J0KD5mKrp0Vvzr7lt3OU09vwQwhkpOPPYv2Y/edit?usp=sharing"",""งบพรบ!FK73"")"),0)</f>
        <v>0</v>
      </c>
      <c r="P73" s="88">
        <f t="shared" ca="1" si="50"/>
        <v>0</v>
      </c>
      <c r="Q73" s="89">
        <f t="shared" ca="1" si="51"/>
        <v>0</v>
      </c>
      <c r="R73" s="157">
        <f ca="1">IFERROR(__xludf.DUMMYFUNCTION("IMPORTRANGE(""https://docs.google.com/spreadsheets/d/1BmIruG_sIrJLYao_Pdr7zVArWsfoBt2692TMi6x_854/edit?usp=sharing"",""อ่างทอง!I368"")"),0)</f>
        <v>0</v>
      </c>
      <c r="S73" s="191">
        <f ca="1">IFERROR(__xludf.DUMMYFUNCTION("IMPORTRANGE(""https://docs.google.com/spreadsheets/d/1BmIruG_sIrJLYao_Pdr7zVArWsfoBt2692TMi6x_854/edit?usp=sharing"",""อ่างทอง!J367"")"),0)</f>
        <v>0</v>
      </c>
      <c r="T73" s="365">
        <f ca="1">IFERROR(__xludf.DUMMYFUNCTION("IMPORTRANGE(""https://docs.google.com/spreadsheets/d/1BmIruG_sIrJLYao_Pdr7zVArWsfoBt2692TMi6x_854/edit?usp=sharing"",""อ่างทอง!J368"")"),0)</f>
        <v>0</v>
      </c>
      <c r="U73" s="218">
        <f t="shared" ca="1" si="53"/>
        <v>0</v>
      </c>
      <c r="V73" s="157">
        <f ca="1">IFERROR(__xludf.DUMMYFUNCTION("IMPORTRANGE(""https://docs.google.com/spreadsheets/d/1BmIruG_sIrJLYao_Pdr7zVArWsfoBt2692TMi6x_854/edit?usp=sharing"",""อ่างทอง!I369"")"),0)</f>
        <v>0</v>
      </c>
      <c r="W73" s="191">
        <f ca="1">IFERROR(__xludf.DUMMYFUNCTION("IMPORTRANGE(""https://docs.google.com/spreadsheets/d/1BmIruG_sIrJLYao_Pdr7zVArWsfoBt2692TMi6x_854/edit?usp=sharing"",""อ่างทอง!J369"")"),0)</f>
        <v>0</v>
      </c>
      <c r="X73" s="365">
        <f ca="1">IFERROR(__xludf.DUMMYFUNCTION("IMPORTRANGE(""https://docs.google.com/spreadsheets/d/1BmIruG_sIrJLYao_Pdr7zVArWsfoBt2692TMi6x_854/edit?usp=sharing"",""อ่างทอง!J370"")"),0)</f>
        <v>0</v>
      </c>
      <c r="Y73" s="218">
        <f t="shared" ca="1" si="55"/>
        <v>0</v>
      </c>
      <c r="Z73" s="157">
        <f ca="1">IFERROR(__xludf.DUMMYFUNCTION("IMPORTRANGE(""https://docs.google.com/spreadsheets/d/1BmIruG_sIrJLYao_Pdr7zVArWsfoBt2692TMi6x_854/edit?usp=sharing"",""อ่างทอง!I371"")"),0)</f>
        <v>0</v>
      </c>
      <c r="AA73" s="191">
        <f ca="1">IFERROR(__xludf.DUMMYFUNCTION("IMPORTRANGE(""https://docs.google.com/spreadsheets/d/1BmIruG_sIrJLYao_Pdr7zVArWsfoBt2692TMi6x_854/edit?usp=sharing"",""อ่างทอง!J371"")"),0)</f>
        <v>0</v>
      </c>
      <c r="AB73" s="365">
        <f ca="1">IFERROR(__xludf.DUMMYFUNCTION("IMPORTRANGE(""https://docs.google.com/spreadsheets/d/1BmIruG_sIrJLYao_Pdr7zVArWsfoBt2692TMi6x_854/edit?usp=sharing"",""อ่างทอง!J372"")"),0)</f>
        <v>0</v>
      </c>
      <c r="AC73" s="218">
        <f t="shared" ca="1" si="57"/>
        <v>0</v>
      </c>
      <c r="AD73" s="366">
        <f ca="1">IFERROR(__xludf.DUMMYFUNCTION("IMPORTRANGE(""https://docs.google.com/spreadsheets/d/1eHaY18a8A9IcSdp1K8H6x8fbOy06t2VsZHhMHf-1x7Y/edit?usp=sharing"",""แผน!EM73"")"),0)</f>
        <v>0</v>
      </c>
      <c r="AE73" s="159">
        <f ca="1">IFERROR(__xludf.DUMMYFUNCTION("IMPORTRANGE(""https://docs.google.com/spreadsheets/d/1tdoBKaGub7dwA3U6UFTqxio9LNnvDCQjHKmttSEBsFQ/edit?usp=sharing"",""จัดที่ดิน!E73"")"),0)</f>
        <v>0</v>
      </c>
      <c r="AF73" s="88">
        <f ca="1">IFERROR(__xludf.DUMMYFUNCTION("IMPORTRANGE(""https://docs.google.com/spreadsheets/d/1tdoBKaGub7dwA3U6UFTqxio9LNnvDCQjHKmttSEBsFQ/edit?usp=sharing"",""จัดที่ดิน!F73"")"),0)</f>
        <v>0</v>
      </c>
      <c r="AG73" s="89">
        <f t="shared" ca="1" si="59"/>
        <v>0</v>
      </c>
      <c r="AH73" s="366">
        <f ca="1">IFERROR(__xludf.DUMMYFUNCTION("IMPORTRANGE(""https://docs.google.com/spreadsheets/d/1eHaY18a8A9IcSdp1K8H6x8fbOy06t2VsZHhMHf-1x7Y/edit?usp=sharing"",""แผน!EN73"")"),0)</f>
        <v>0</v>
      </c>
      <c r="AI73" s="159">
        <f ca="1">IFERROR(__xludf.DUMMYFUNCTION("IMPORTRANGE(""https://docs.google.com/spreadsheets/d/1tdoBKaGub7dwA3U6UFTqxio9LNnvDCQjHKmttSEBsFQ/edit?usp=sharing"",""จัดที่ดิน!G73"")"),0)</f>
        <v>0</v>
      </c>
      <c r="AJ73" s="88">
        <f ca="1">IFERROR(__xludf.DUMMYFUNCTION("IMPORTRANGE(""https://docs.google.com/spreadsheets/d/1tdoBKaGub7dwA3U6UFTqxio9LNnvDCQjHKmttSEBsFQ/edit?usp=sharing"",""จัดที่ดิน!H73"")"),0)</f>
        <v>0</v>
      </c>
      <c r="AK73" s="89">
        <f t="shared" ca="1" si="61"/>
        <v>0</v>
      </c>
      <c r="AL73" s="366">
        <f ca="1">IFERROR(__xludf.DUMMYFUNCTION("IMPORTRANGE(""https://docs.google.com/spreadsheets/d/1eHaY18a8A9IcSdp1K8H6x8fbOy06t2VsZHhMHf-1x7Y/edit?usp=sharing"",""แผน!EN73"")"),0)</f>
        <v>0</v>
      </c>
      <c r="AM73" s="159">
        <f ca="1">IFERROR(__xludf.DUMMYFUNCTION("IMPORTRANGE(""https://docs.google.com/spreadsheets/d/1tdoBKaGub7dwA3U6UFTqxio9LNnvDCQjHKmttSEBsFQ/edit?usp=sharing"",""จัดที่ดิน!I73"")"),0)</f>
        <v>0</v>
      </c>
      <c r="AN73" s="88">
        <f ca="1">IFERROR(__xludf.DUMMYFUNCTION("IMPORTRANGE(""https://docs.google.com/spreadsheets/d/1tdoBKaGub7dwA3U6UFTqxio9LNnvDCQjHKmttSEBsFQ/edit?usp=sharing"",""จัดที่ดิน!J73"")"),0)</f>
        <v>0</v>
      </c>
      <c r="AO73" s="89">
        <f t="shared" ca="1" si="63"/>
        <v>0</v>
      </c>
      <c r="AP73" s="367">
        <f ca="1">IFERROR(__xludf.DUMMYFUNCTION("IMPORTRANGE(""https://docs.google.com/spreadsheets/d/1eHaY18a8A9IcSdp1K8H6x8fbOy06t2VsZHhMHf-1x7Y/edit?usp=sharing"",""แผน!EO73"")"),0)</f>
        <v>0</v>
      </c>
      <c r="AQ73" s="159">
        <f ca="1">IFERROR(__xludf.DUMMYFUNCTION("IMPORTRANGE(""https://docs.google.com/spreadsheets/d/1tdoBKaGub7dwA3U6UFTqxio9LNnvDCQjHKmttSEBsFQ/edit?usp=sharing"",""แบ่งแปลง!D75"")"),0)</f>
        <v>0</v>
      </c>
      <c r="AR73" s="88">
        <f ca="1">IFERROR(__xludf.DUMMYFUNCTION("IMPORTRANGE(""https://docs.google.com/spreadsheets/d/1tdoBKaGub7dwA3U6UFTqxio9LNnvDCQjHKmttSEBsFQ/edit?usp=sharing"",""แบ่งแปลง!F75"")"),0)</f>
        <v>0</v>
      </c>
      <c r="AS73" s="89">
        <f t="shared" ca="1" si="65"/>
        <v>0</v>
      </c>
      <c r="AT73" s="367">
        <f ca="1">IFERROR(__xludf.DUMMYFUNCTION("IMPORTRANGE(""https://docs.google.com/spreadsheets/d/1eHaY18a8A9IcSdp1K8H6x8fbOy06t2VsZHhMHf-1x7Y/edit?usp=sharing"",""แผน!EP73"")"),0)</f>
        <v>0</v>
      </c>
      <c r="AU73" s="159">
        <f ca="1">IFERROR(__xludf.DUMMYFUNCTION("IMPORTRANGE(""https://docs.google.com/spreadsheets/d/1tdoBKaGub7dwA3U6UFTqxio9LNnvDCQjHKmttSEBsFQ/edit?usp=sharing"",""แบ่งแปลง!I75"")"),0)</f>
        <v>0</v>
      </c>
      <c r="AV73" s="88">
        <f ca="1">IFERROR(__xludf.DUMMYFUNCTION("IMPORTRANGE(""https://docs.google.com/spreadsheets/d/1tdoBKaGub7dwA3U6UFTqxio9LNnvDCQjHKmttSEBsFQ/edit?usp=sharing"",""แบ่งแปลง!K75"")"),0)</f>
        <v>0</v>
      </c>
      <c r="AW73" s="89">
        <f t="shared" ca="1" si="67"/>
        <v>0</v>
      </c>
      <c r="AX73" s="367">
        <f ca="1">IFERROR(__xludf.DUMMYFUNCTION("IMPORTRANGE(""https://docs.google.com/spreadsheets/d/1eHaY18a8A9IcSdp1K8H6x8fbOy06t2VsZHhMHf-1x7Y/edit?usp=sharing"",""แผน!EP73"")"),0)</f>
        <v>0</v>
      </c>
      <c r="AY73" s="159">
        <f ca="1">IFERROR(__xludf.DUMMYFUNCTION("IMPORTRANGE(""https://docs.google.com/spreadsheets/d/1tdoBKaGub7dwA3U6UFTqxio9LNnvDCQjHKmttSEBsFQ/edit?usp=sharing"",""แบ่งแปลง!X75"")"),0)</f>
        <v>0</v>
      </c>
      <c r="AZ73" s="88">
        <f ca="1">IFERROR(__xludf.DUMMYFUNCTION("IMPORTRANGE(""https://docs.google.com/spreadsheets/d/1tdoBKaGub7dwA3U6UFTqxio9LNnvDCQjHKmttSEBsFQ/edit?usp=sharing"",""แบ่งแปลง!Z75"")"),0)</f>
        <v>0</v>
      </c>
      <c r="BA73" s="89">
        <f t="shared" ca="1" si="69"/>
        <v>0</v>
      </c>
      <c r="BB73" s="368">
        <f ca="1">IFERROR(__xludf.DUMMYFUNCTION("IMPORTRANGE(""https://docs.google.com/spreadsheets/d/1eHaY18a8A9IcSdp1K8H6x8fbOy06t2VsZHhMHf-1x7Y/edit?usp=sharing"",""แผน!ES73"")"),0)</f>
        <v>0</v>
      </c>
      <c r="BC73" s="159">
        <f ca="1">IFERROR(__xludf.DUMMYFUNCTION("IMPORTRANGE(""https://docs.google.com/spreadsheets/d/1tdoBKaGub7dwA3U6UFTqxio9LNnvDCQjHKmttSEBsFQ/edit?usp=sharing"",""เต็มแปลง!I75"")"),0)</f>
        <v>0</v>
      </c>
      <c r="BD73" s="88">
        <f ca="1">IFERROR(__xludf.DUMMYFUNCTION("IMPORTRANGE(""https://docs.google.com/spreadsheets/d/1tdoBKaGub7dwA3U6UFTqxio9LNnvDCQjHKmttSEBsFQ/edit?usp=sharing"",""เต็มแปลง!K75"")"),0)</f>
        <v>0</v>
      </c>
      <c r="BE73" s="89">
        <f t="shared" ca="1" si="71"/>
        <v>0</v>
      </c>
      <c r="BF73" s="368">
        <f ca="1">IFERROR(__xludf.DUMMYFUNCTION("IMPORTRANGE(""https://docs.google.com/spreadsheets/d/1eHaY18a8A9IcSdp1K8H6x8fbOy06t2VsZHhMHf-1x7Y/edit?usp=sharing"",""แผน!ES73"")"),0)</f>
        <v>0</v>
      </c>
      <c r="BG73" s="159">
        <f ca="1">IFERROR(__xludf.DUMMYFUNCTION("IMPORTRANGE(""https://docs.google.com/spreadsheets/d/1tdoBKaGub7dwA3U6UFTqxio9LNnvDCQjHKmttSEBsFQ/edit?usp=sharing"",""เต็มแปลง!S75"")"),0)</f>
        <v>0</v>
      </c>
      <c r="BH73" s="88">
        <f ca="1">IFERROR(__xludf.DUMMYFUNCTION("IMPORTRANGE(""https://docs.google.com/spreadsheets/d/1tdoBKaGub7dwA3U6UFTqxio9LNnvDCQjHKmttSEBsFQ/edit?usp=sharing"",""เต็มแปลง!U75"")"),0)</f>
        <v>0</v>
      </c>
      <c r="BI73" s="89">
        <f t="shared" ca="1" si="73"/>
        <v>0</v>
      </c>
      <c r="BJ73" s="339"/>
    </row>
    <row r="74" spans="1:62" ht="21" customHeight="1" x14ac:dyDescent="0.3">
      <c r="A74" s="696" t="s">
        <v>102</v>
      </c>
      <c r="B74" s="662"/>
      <c r="C74" s="161">
        <f t="shared" ca="1" si="44"/>
        <v>9088150</v>
      </c>
      <c r="D74" s="161">
        <f t="shared" ref="D74:I74" ca="1" si="101">SUM(D75:D88)</f>
        <v>9088150</v>
      </c>
      <c r="E74" s="161">
        <f t="shared" ca="1" si="101"/>
        <v>4273700</v>
      </c>
      <c r="F74" s="161">
        <f t="shared" ca="1" si="101"/>
        <v>4814450</v>
      </c>
      <c r="G74" s="161">
        <f t="shared" ca="1" si="101"/>
        <v>0</v>
      </c>
      <c r="H74" s="161">
        <f t="shared" ca="1" si="101"/>
        <v>10367530</v>
      </c>
      <c r="I74" s="161">
        <f t="shared" ca="1" si="101"/>
        <v>0</v>
      </c>
      <c r="J74" s="161">
        <f t="shared" ca="1" si="46"/>
        <v>7930584.9300000016</v>
      </c>
      <c r="K74" s="162">
        <f t="shared" ca="1" si="47"/>
        <v>87.262918525772591</v>
      </c>
      <c r="L74" s="161">
        <f ca="1">SUM(L75:L88)</f>
        <v>7930584.9300000016</v>
      </c>
      <c r="M74" s="94">
        <f t="shared" ca="1" si="48"/>
        <v>87.262918525772591</v>
      </c>
      <c r="N74" s="94">
        <f t="shared" ca="1" si="49"/>
        <v>76.494448822429263</v>
      </c>
      <c r="O74" s="93">
        <f ca="1">SUM(O75:O88)</f>
        <v>0</v>
      </c>
      <c r="P74" s="93">
        <f t="shared" ca="1" si="50"/>
        <v>0</v>
      </c>
      <c r="Q74" s="94">
        <f t="shared" ca="1" si="51"/>
        <v>0</v>
      </c>
      <c r="R74" s="369">
        <f t="shared" ref="R74:T74" ca="1" si="102">SUM(R75:R88)</f>
        <v>13105</v>
      </c>
      <c r="S74" s="161">
        <f t="shared" ca="1" si="102"/>
        <v>2324</v>
      </c>
      <c r="T74" s="93">
        <f t="shared" ca="1" si="102"/>
        <v>20093.84999999998</v>
      </c>
      <c r="U74" s="94">
        <f t="shared" ca="1" si="53"/>
        <v>153.32964517359773</v>
      </c>
      <c r="V74" s="369">
        <f t="shared" ref="V74:X74" ca="1" si="103">SUM(V75:V88)</f>
        <v>3951</v>
      </c>
      <c r="W74" s="161">
        <f t="shared" ca="1" si="103"/>
        <v>4527</v>
      </c>
      <c r="X74" s="93">
        <f t="shared" ca="1" si="103"/>
        <v>51584.090000000011</v>
      </c>
      <c r="Y74" s="94">
        <f t="shared" ca="1" si="55"/>
        <v>114.57858769931663</v>
      </c>
      <c r="Z74" s="369">
        <f t="shared" ref="Z74:AB74" ca="1" si="104">SUM(Z75:Z88)</f>
        <v>3951</v>
      </c>
      <c r="AA74" s="161">
        <f t="shared" ca="1" si="104"/>
        <v>3448</v>
      </c>
      <c r="AB74" s="93">
        <f t="shared" ca="1" si="104"/>
        <v>41807.819999999992</v>
      </c>
      <c r="AC74" s="94">
        <f t="shared" ca="1" si="57"/>
        <v>87.269045811187041</v>
      </c>
      <c r="AD74" s="369">
        <f t="shared" ref="AD74:AF74" ca="1" si="105">SUM(AD75:AD88)</f>
        <v>5850</v>
      </c>
      <c r="AE74" s="161">
        <f t="shared" ca="1" si="105"/>
        <v>808</v>
      </c>
      <c r="AF74" s="93">
        <f t="shared" ca="1" si="105"/>
        <v>7497.56</v>
      </c>
      <c r="AG74" s="94">
        <f t="shared" ca="1" si="59"/>
        <v>128.16341880341881</v>
      </c>
      <c r="AH74" s="369">
        <f t="shared" ref="AH74:AJ74" ca="1" si="106">SUM(AH75:AH88)</f>
        <v>548</v>
      </c>
      <c r="AI74" s="161">
        <f t="shared" ca="1" si="106"/>
        <v>516</v>
      </c>
      <c r="AJ74" s="93">
        <f t="shared" ca="1" si="106"/>
        <v>5191.55</v>
      </c>
      <c r="AK74" s="94">
        <f t="shared" ca="1" si="61"/>
        <v>94.160583941605836</v>
      </c>
      <c r="AL74" s="369">
        <f t="shared" ref="AL74:AN74" ca="1" si="107">SUM(AL75:AL88)</f>
        <v>548</v>
      </c>
      <c r="AM74" s="161">
        <f t="shared" ca="1" si="107"/>
        <v>187</v>
      </c>
      <c r="AN74" s="93">
        <f t="shared" ca="1" si="107"/>
        <v>1616.1</v>
      </c>
      <c r="AO74" s="94">
        <f t="shared" ca="1" si="63"/>
        <v>34.124087591240873</v>
      </c>
      <c r="AP74" s="369">
        <f t="shared" ref="AP74:AR74" ca="1" si="108">SUM(AP75:AP88)</f>
        <v>7255</v>
      </c>
      <c r="AQ74" s="161">
        <f t="shared" ca="1" si="108"/>
        <v>1516</v>
      </c>
      <c r="AR74" s="93">
        <f t="shared" ca="1" si="108"/>
        <v>12596.289999999999</v>
      </c>
      <c r="AS74" s="94">
        <f t="shared" ca="1" si="65"/>
        <v>173.62219159200552</v>
      </c>
      <c r="AT74" s="369">
        <f t="shared" ref="AT74:AV74" ca="1" si="109">SUM(AT75:AT88)</f>
        <v>1031</v>
      </c>
      <c r="AU74" s="161">
        <f t="shared" ca="1" si="109"/>
        <v>1164</v>
      </c>
      <c r="AV74" s="93">
        <f t="shared" ca="1" si="109"/>
        <v>9591.56</v>
      </c>
      <c r="AW74" s="94">
        <f t="shared" ca="1" si="67"/>
        <v>112.90009699321048</v>
      </c>
      <c r="AX74" s="369">
        <f t="shared" ref="AX74:AZ74" ca="1" si="110">SUM(AX75:AX88)</f>
        <v>1031</v>
      </c>
      <c r="AY74" s="161">
        <f t="shared" ca="1" si="110"/>
        <v>423</v>
      </c>
      <c r="AZ74" s="93">
        <f t="shared" ca="1" si="110"/>
        <v>3632.0000000000005</v>
      </c>
      <c r="BA74" s="94">
        <f t="shared" ca="1" si="69"/>
        <v>41.028128031037831</v>
      </c>
      <c r="BB74" s="369">
        <f t="shared" ref="BB74:BD74" ca="1" si="111">SUM(BB75:BB88)</f>
        <v>2372</v>
      </c>
      <c r="BC74" s="161">
        <f t="shared" ca="1" si="111"/>
        <v>2865</v>
      </c>
      <c r="BD74" s="93">
        <f t="shared" ca="1" si="111"/>
        <v>36800.99</v>
      </c>
      <c r="BE74" s="94">
        <f t="shared" ca="1" si="71"/>
        <v>120.7841483979764</v>
      </c>
      <c r="BF74" s="369">
        <f t="shared" ref="BF74:BH74" ca="1" si="112">SUM(BF75:BF88)</f>
        <v>2372</v>
      </c>
      <c r="BG74" s="161">
        <f t="shared" ca="1" si="112"/>
        <v>2849</v>
      </c>
      <c r="BH74" s="93">
        <f t="shared" ca="1" si="112"/>
        <v>36559.719999999994</v>
      </c>
      <c r="BI74" s="94">
        <f t="shared" ca="1" si="73"/>
        <v>120.10961214165262</v>
      </c>
      <c r="BJ74" s="356"/>
    </row>
    <row r="75" spans="1:62" ht="21" customHeight="1" x14ac:dyDescent="0.3">
      <c r="A75" s="147">
        <v>1</v>
      </c>
      <c r="B75" s="148" t="s">
        <v>103</v>
      </c>
      <c r="C75" s="149">
        <f t="shared" ca="1" si="44"/>
        <v>825400</v>
      </c>
      <c r="D75" s="150">
        <f t="shared" ref="D75:D88" ca="1" si="113">+E75+F75</f>
        <v>825400</v>
      </c>
      <c r="E75" s="151">
        <f ca="1">IFERROR(__xludf.DUMMYFUNCTION("IMPORTRANGE(""https://docs.google.com/spreadsheets/d/1-uDff_7J0KD5mKrp0Vvzr7lt3OU09vwQwhkpOPPYv2Y/edit?usp=sharing"",""งบพรบ!FD75"")"),432300)</f>
        <v>432300</v>
      </c>
      <c r="F75" s="151">
        <f ca="1">IFERROR(__xludf.DUMMYFUNCTION("IMPORTRANGE(""https://docs.google.com/spreadsheets/d/1-uDff_7J0KD5mKrp0Vvzr7lt3OU09vwQwhkpOPPYv2Y/edit?usp=sharing"",""งบพรบ!FE75"")"),393100)</f>
        <v>393100</v>
      </c>
      <c r="G75" s="151">
        <f ca="1">IFERROR(__xludf.DUMMYFUNCTION("IMPORTRANGE(""https://docs.google.com/spreadsheets/d/1-uDff_7J0KD5mKrp0Vvzr7lt3OU09vwQwhkpOPPYv2Y/edit?usp=sharing"",""งบพรบ!FF75"")"),0)</f>
        <v>0</v>
      </c>
      <c r="H75" s="151">
        <f ca="1">IFERROR(__xludf.DUMMYFUNCTION("IMPORTRANGE(""https://docs.google.com/spreadsheets/d/1-uDff_7J0KD5mKrp0Vvzr7lt3OU09vwQwhkpOPPYv2Y/edit?usp=sharing"",""งบพรบ!FH75"")"),958560)</f>
        <v>958560</v>
      </c>
      <c r="I75" s="151">
        <f ca="1">IFERROR(__xludf.DUMMYFUNCTION("IMPORTRANGE(""https://docs.google.com/spreadsheets/d/1-uDff_7J0KD5mKrp0Vvzr7lt3OU09vwQwhkpOPPYv2Y/edit?usp=sharing"",""งบพรบ!FI75"")"),0)</f>
        <v>0</v>
      </c>
      <c r="J75" s="151">
        <f t="shared" ca="1" si="46"/>
        <v>794536.16</v>
      </c>
      <c r="K75" s="154">
        <f t="shared" ca="1" si="47"/>
        <v>96.260741458686695</v>
      </c>
      <c r="L75" s="151">
        <f ca="1">IFERROR(__xludf.DUMMYFUNCTION("IMPORTRANGE(""https://docs.google.com/spreadsheets/d/1-uDff_7J0KD5mKrp0Vvzr7lt3OU09vwQwhkpOPPYv2Y/edit?usp=sharing"",""งบพรบ!FJ75"")"),794536.16)</f>
        <v>794536.16</v>
      </c>
      <c r="M75" s="68">
        <f t="shared" ca="1" si="48"/>
        <v>96.260741458686695</v>
      </c>
      <c r="N75" s="68">
        <f t="shared" ca="1" si="49"/>
        <v>82.888516107494581</v>
      </c>
      <c r="O75" s="67">
        <f ca="1">IFERROR(__xludf.DUMMYFUNCTION("IMPORTRANGE(""https://docs.google.com/spreadsheets/d/1-uDff_7J0KD5mKrp0Vvzr7lt3OU09vwQwhkpOPPYv2Y/edit?usp=sharing"",""งบพรบ!FK75"")"),0)</f>
        <v>0</v>
      </c>
      <c r="P75" s="67">
        <f t="shared" ca="1" si="50"/>
        <v>0</v>
      </c>
      <c r="Q75" s="68">
        <f t="shared" ca="1" si="51"/>
        <v>0</v>
      </c>
      <c r="R75" s="149">
        <f ca="1">IFERROR(__xludf.DUMMYFUNCTION("IMPORTRANGE(""https://docs.google.com/spreadsheets/d/1kKUcYdkIfrgTSj8iHHHB2MD2FAtwyyocFgqGQn6ADyI/edit?usp=sharing"",""กระบี่!I368"")"),1350)</f>
        <v>1350</v>
      </c>
      <c r="S75" s="152">
        <f ca="1">IFERROR(__xludf.DUMMYFUNCTION("IMPORTRANGE(""https://docs.google.com/spreadsheets/d/1kKUcYdkIfrgTSj8iHHHB2MD2FAtwyyocFgqGQn6ADyI/edit?usp=sharing"",""กระบี่!J367"")"),309)</f>
        <v>309</v>
      </c>
      <c r="T75" s="357">
        <f ca="1">IFERROR(__xludf.DUMMYFUNCTION("IMPORTRANGE(""https://docs.google.com/spreadsheets/d/1kKUcYdkIfrgTSj8iHHHB2MD2FAtwyyocFgqGQn6ADyI/edit?usp=sharing"",""กระบี่!J368"")"),3231.34)</f>
        <v>3231.34</v>
      </c>
      <c r="U75" s="216">
        <f t="shared" ca="1" si="53"/>
        <v>239.35851851851851</v>
      </c>
      <c r="V75" s="149">
        <f ca="1">IFERROR(__xludf.DUMMYFUNCTION("IMPORTRANGE(""https://docs.google.com/spreadsheets/d/1kKUcYdkIfrgTSj8iHHHB2MD2FAtwyyocFgqGQn6ADyI/edit?usp=sharing"",""กระบี่!I369"")"),325)</f>
        <v>325</v>
      </c>
      <c r="W75" s="152">
        <f ca="1">IFERROR(__xludf.DUMMYFUNCTION("IMPORTRANGE(""https://docs.google.com/spreadsheets/d/1kKUcYdkIfrgTSj8iHHHB2MD2FAtwyyocFgqGQn6ADyI/edit?usp=sharing"",""กระบี่!J369"")"),544)</f>
        <v>544</v>
      </c>
      <c r="X75" s="357">
        <f ca="1">IFERROR(__xludf.DUMMYFUNCTION("IMPORTRANGE(""https://docs.google.com/spreadsheets/d/1kKUcYdkIfrgTSj8iHHHB2MD2FAtwyyocFgqGQn6ADyI/edit?usp=sharing"",""กระบี่!J370"")"),7714.69)</f>
        <v>7714.69</v>
      </c>
      <c r="Y75" s="216">
        <f t="shared" ca="1" si="55"/>
        <v>167.38461538461539</v>
      </c>
      <c r="Z75" s="149">
        <f ca="1">IFERROR(__xludf.DUMMYFUNCTION("IMPORTRANGE(""https://docs.google.com/spreadsheets/d/1kKUcYdkIfrgTSj8iHHHB2MD2FAtwyyocFgqGQn6ADyI/edit?usp=sharing"",""กระบี่!I371"")"),325)</f>
        <v>325</v>
      </c>
      <c r="AA75" s="152">
        <f ca="1">IFERROR(__xludf.DUMMYFUNCTION("IMPORTRANGE(""https://docs.google.com/spreadsheets/d/1kKUcYdkIfrgTSj8iHHHB2MD2FAtwyyocFgqGQn6ADyI/edit?usp=sharing"",""กระบี่!J371"")"),263)</f>
        <v>263</v>
      </c>
      <c r="AB75" s="357">
        <f ca="1">IFERROR(__xludf.DUMMYFUNCTION("IMPORTRANGE(""https://docs.google.com/spreadsheets/d/1kKUcYdkIfrgTSj8iHHHB2MD2FAtwyyocFgqGQn6ADyI/edit?usp=sharing"",""กระบี่!J372"")"),3999.05)</f>
        <v>3999.05</v>
      </c>
      <c r="AC75" s="216">
        <f t="shared" ca="1" si="57"/>
        <v>80.92307692307692</v>
      </c>
      <c r="AD75" s="358">
        <f ca="1">IFERROR(__xludf.DUMMYFUNCTION("IMPORTRANGE(""https://docs.google.com/spreadsheets/d/1eHaY18a8A9IcSdp1K8H6x8fbOy06t2VsZHhMHf-1x7Y/edit?usp=sharing"",""แผน!EM75"")"),600)</f>
        <v>600</v>
      </c>
      <c r="AE75" s="151">
        <f ca="1">IFERROR(__xludf.DUMMYFUNCTION("IMPORTRANGE(""https://docs.google.com/spreadsheets/d/1tdoBKaGub7dwA3U6UFTqxio9LNnvDCQjHKmttSEBsFQ/edit?usp=sharing"",""จัดที่ดิน!E75"")"),113)</f>
        <v>113</v>
      </c>
      <c r="AF75" s="67">
        <f ca="1">IFERROR(__xludf.DUMMYFUNCTION("IMPORTRANGE(""https://docs.google.com/spreadsheets/d/1tdoBKaGub7dwA3U6UFTqxio9LNnvDCQjHKmttSEBsFQ/edit?usp=sharing"",""จัดที่ดิน!F75"")"),1188.13)</f>
        <v>1188.1300000000001</v>
      </c>
      <c r="AG75" s="68">
        <f t="shared" ca="1" si="59"/>
        <v>198.0216666666667</v>
      </c>
      <c r="AH75" s="358">
        <f ca="1">IFERROR(__xludf.DUMMYFUNCTION("IMPORTRANGE(""https://docs.google.com/spreadsheets/d/1eHaY18a8A9IcSdp1K8H6x8fbOy06t2VsZHhMHf-1x7Y/edit?usp=sharing"",""แผน!EN75"")"),45)</f>
        <v>45</v>
      </c>
      <c r="AI75" s="151">
        <f ca="1">IFERROR(__xludf.DUMMYFUNCTION("IMPORTRANGE(""https://docs.google.com/spreadsheets/d/1tdoBKaGub7dwA3U6UFTqxio9LNnvDCQjHKmttSEBsFQ/edit?usp=sharing"",""จัดที่ดิน!G75"")"),110)</f>
        <v>110</v>
      </c>
      <c r="AJ75" s="67">
        <f ca="1">IFERROR(__xludf.DUMMYFUNCTION("IMPORTRANGE(""https://docs.google.com/spreadsheets/d/1tdoBKaGub7dwA3U6UFTqxio9LNnvDCQjHKmttSEBsFQ/edit?usp=sharing"",""จัดที่ดิน!H75"")"),2072.27)</f>
        <v>2072.27</v>
      </c>
      <c r="AK75" s="68">
        <f t="shared" ca="1" si="61"/>
        <v>244.44444444444446</v>
      </c>
      <c r="AL75" s="358">
        <f ca="1">IFERROR(__xludf.DUMMYFUNCTION("IMPORTRANGE(""https://docs.google.com/spreadsheets/d/1eHaY18a8A9IcSdp1K8H6x8fbOy06t2VsZHhMHf-1x7Y/edit?usp=sharing"",""แผน!EN75"")"),45)</f>
        <v>45</v>
      </c>
      <c r="AM75" s="151">
        <f ca="1">IFERROR(__xludf.DUMMYFUNCTION("IMPORTRANGE(""https://docs.google.com/spreadsheets/d/1tdoBKaGub7dwA3U6UFTqxio9LNnvDCQjHKmttSEBsFQ/edit?usp=sharing"",""จัดที่ดิน!I75"")"),0)</f>
        <v>0</v>
      </c>
      <c r="AN75" s="67">
        <f ca="1">IFERROR(__xludf.DUMMYFUNCTION("IMPORTRANGE(""https://docs.google.com/spreadsheets/d/1tdoBKaGub7dwA3U6UFTqxio9LNnvDCQjHKmttSEBsFQ/edit?usp=sharing"",""จัดที่ดิน!J75"")"),0)</f>
        <v>0</v>
      </c>
      <c r="AO75" s="68">
        <f t="shared" ca="1" si="63"/>
        <v>0</v>
      </c>
      <c r="AP75" s="359">
        <f ca="1">IFERROR(__xludf.DUMMYFUNCTION("IMPORTRANGE(""https://docs.google.com/spreadsheets/d/1eHaY18a8A9IcSdp1K8H6x8fbOy06t2VsZHhMHf-1x7Y/edit?usp=sharing"",""แผน!EO75"")"),750)</f>
        <v>750</v>
      </c>
      <c r="AQ75" s="151">
        <f ca="1">IFERROR(__xludf.DUMMYFUNCTION("IMPORTRANGE(""https://docs.google.com/spreadsheets/d/1tdoBKaGub7dwA3U6UFTqxio9LNnvDCQjHKmttSEBsFQ/edit?usp=sharing"",""แบ่งแปลง!D80"")"),196)</f>
        <v>196</v>
      </c>
      <c r="AR75" s="67">
        <f ca="1">IFERROR(__xludf.DUMMYFUNCTION("IMPORTRANGE(""https://docs.google.com/spreadsheets/d/1tdoBKaGub7dwA3U6UFTqxio9LNnvDCQjHKmttSEBsFQ/edit?usp=sharing"",""แบ่งแปลง!F80"")"),2043.21)</f>
        <v>2043.21</v>
      </c>
      <c r="AS75" s="68">
        <f t="shared" ca="1" si="65"/>
        <v>272.428</v>
      </c>
      <c r="AT75" s="359">
        <f ca="1">IFERROR(__xludf.DUMMYFUNCTION("IMPORTRANGE(""https://docs.google.com/spreadsheets/d/1eHaY18a8A9IcSdp1K8H6x8fbOy06t2VsZHhMHf-1x7Y/edit?usp=sharing"",""แผน!EP75"")"),70)</f>
        <v>70</v>
      </c>
      <c r="AU75" s="151">
        <f ca="1">IFERROR(__xludf.DUMMYFUNCTION("IMPORTRANGE(""https://docs.google.com/spreadsheets/d/1tdoBKaGub7dwA3U6UFTqxio9LNnvDCQjHKmttSEBsFQ/edit?usp=sharing"",""แบ่งแปลง!I80"")"),186)</f>
        <v>186</v>
      </c>
      <c r="AV75" s="67">
        <f ca="1">IFERROR(__xludf.DUMMYFUNCTION("IMPORTRANGE(""https://docs.google.com/spreadsheets/d/1tdoBKaGub7dwA3U6UFTqxio9LNnvDCQjHKmttSEBsFQ/edit?usp=sharing"",""แบ่งแปลง!K80"")"),1906.99)</f>
        <v>1906.99</v>
      </c>
      <c r="AW75" s="68">
        <f t="shared" ca="1" si="67"/>
        <v>265.71428571428572</v>
      </c>
      <c r="AX75" s="359">
        <f ca="1">IFERROR(__xludf.DUMMYFUNCTION("IMPORTRANGE(""https://docs.google.com/spreadsheets/d/1eHaY18a8A9IcSdp1K8H6x8fbOy06t2VsZHhMHf-1x7Y/edit?usp=sharing"",""แผน!EP75"")"),70)</f>
        <v>70</v>
      </c>
      <c r="AY75" s="151">
        <f ca="1">IFERROR(__xludf.DUMMYFUNCTION("IMPORTRANGE(""https://docs.google.com/spreadsheets/d/1tdoBKaGub7dwA3U6UFTqxio9LNnvDCQjHKmttSEBsFQ/edit?usp=sharing"",""แบ่งแปลง!X80"")"),14)</f>
        <v>14</v>
      </c>
      <c r="AZ75" s="67">
        <f ca="1">IFERROR(__xludf.DUMMYFUNCTION("IMPORTRANGE(""https://docs.google.com/spreadsheets/d/1tdoBKaGub7dwA3U6UFTqxio9LNnvDCQjHKmttSEBsFQ/edit?usp=sharing"",""แบ่งแปลง!Z80"")"),263.62)</f>
        <v>263.62</v>
      </c>
      <c r="BA75" s="68">
        <f t="shared" ca="1" si="69"/>
        <v>20</v>
      </c>
      <c r="BB75" s="360">
        <f ca="1">IFERROR(__xludf.DUMMYFUNCTION("IMPORTRANGE(""https://docs.google.com/spreadsheets/d/1eHaY18a8A9IcSdp1K8H6x8fbOy06t2VsZHhMHf-1x7Y/edit?usp=sharing"",""แผน!ES75"")"),210)</f>
        <v>210</v>
      </c>
      <c r="BC75" s="151">
        <f ca="1">IFERROR(__xludf.DUMMYFUNCTION("IMPORTRANGE(""https://docs.google.com/spreadsheets/d/1tdoBKaGub7dwA3U6UFTqxio9LNnvDCQjHKmttSEBsFQ/edit?usp=sharing"",""เต็มแปลง!I80"")"),249)</f>
        <v>249</v>
      </c>
      <c r="BD75" s="67">
        <f ca="1">IFERROR(__xludf.DUMMYFUNCTION("IMPORTRANGE(""https://docs.google.com/spreadsheets/d/1tdoBKaGub7dwA3U6UFTqxio9LNnvDCQjHKmttSEBsFQ/edit?usp=sharing"",""เต็มแปลง!K80"")"),3735.43)</f>
        <v>3735.43</v>
      </c>
      <c r="BE75" s="68">
        <f t="shared" ca="1" si="71"/>
        <v>118.57142857142857</v>
      </c>
      <c r="BF75" s="360">
        <f ca="1">IFERROR(__xludf.DUMMYFUNCTION("IMPORTRANGE(""https://docs.google.com/spreadsheets/d/1eHaY18a8A9IcSdp1K8H6x8fbOy06t2VsZHhMHf-1x7Y/edit?usp=sharing"",""แผน!ES75"")"),210)</f>
        <v>210</v>
      </c>
      <c r="BG75" s="151">
        <f ca="1">IFERROR(__xludf.DUMMYFUNCTION("IMPORTRANGE(""https://docs.google.com/spreadsheets/d/1tdoBKaGub7dwA3U6UFTqxio9LNnvDCQjHKmttSEBsFQ/edit?usp=sharing"",""เต็มแปลง!S80"")"),249)</f>
        <v>249</v>
      </c>
      <c r="BH75" s="67">
        <f ca="1">IFERROR(__xludf.DUMMYFUNCTION("IMPORTRANGE(""https://docs.google.com/spreadsheets/d/1tdoBKaGub7dwA3U6UFTqxio9LNnvDCQjHKmttSEBsFQ/edit?usp=sharing"",""เต็มแปลง!U80"")"),3735.43)</f>
        <v>3735.43</v>
      </c>
      <c r="BI75" s="68">
        <f t="shared" ca="1" si="73"/>
        <v>118.57142857142857</v>
      </c>
      <c r="BJ75" s="339"/>
    </row>
    <row r="76" spans="1:62" ht="21" customHeight="1" x14ac:dyDescent="0.3">
      <c r="A76" s="147">
        <v>2</v>
      </c>
      <c r="B76" s="148" t="s">
        <v>104</v>
      </c>
      <c r="C76" s="149">
        <f t="shared" ca="1" si="44"/>
        <v>770060</v>
      </c>
      <c r="D76" s="150">
        <f t="shared" ca="1" si="113"/>
        <v>770060</v>
      </c>
      <c r="E76" s="151">
        <f ca="1">IFERROR(__xludf.DUMMYFUNCTION("IMPORTRANGE(""https://docs.google.com/spreadsheets/d/1-uDff_7J0KD5mKrp0Vvzr7lt3OU09vwQwhkpOPPYv2Y/edit?usp=sharing"",""งบพรบ!FD76"")"),327800)</f>
        <v>327800</v>
      </c>
      <c r="F76" s="151">
        <f ca="1">IFERROR(__xludf.DUMMYFUNCTION("IMPORTRANGE(""https://docs.google.com/spreadsheets/d/1-uDff_7J0KD5mKrp0Vvzr7lt3OU09vwQwhkpOPPYv2Y/edit?usp=sharing"",""งบพรบ!FE76"")"),442260)</f>
        <v>442260</v>
      </c>
      <c r="G76" s="151">
        <f ca="1">IFERROR(__xludf.DUMMYFUNCTION("IMPORTRANGE(""https://docs.google.com/spreadsheets/d/1-uDff_7J0KD5mKrp0Vvzr7lt3OU09vwQwhkpOPPYv2Y/edit?usp=sharing"",""งบพรบ!FF76"")"),0)</f>
        <v>0</v>
      </c>
      <c r="H76" s="151">
        <f ca="1">IFERROR(__xludf.DUMMYFUNCTION("IMPORTRANGE(""https://docs.google.com/spreadsheets/d/1-uDff_7J0KD5mKrp0Vvzr7lt3OU09vwQwhkpOPPYv2Y/edit?usp=sharing"",""งบพรบ!FH76"")"),869960)</f>
        <v>869960</v>
      </c>
      <c r="I76" s="151">
        <f ca="1">IFERROR(__xludf.DUMMYFUNCTION("IMPORTRANGE(""https://docs.google.com/spreadsheets/d/1-uDff_7J0KD5mKrp0Vvzr7lt3OU09vwQwhkpOPPYv2Y/edit?usp=sharing"",""งบพรบ!FI76"")"),0)</f>
        <v>0</v>
      </c>
      <c r="J76" s="151">
        <f t="shared" ca="1" si="46"/>
        <v>598898.73</v>
      </c>
      <c r="K76" s="154">
        <f t="shared" ca="1" si="47"/>
        <v>77.772995610731627</v>
      </c>
      <c r="L76" s="151">
        <f ca="1">IFERROR(__xludf.DUMMYFUNCTION("IMPORTRANGE(""https://docs.google.com/spreadsheets/d/1-uDff_7J0KD5mKrp0Vvzr7lt3OU09vwQwhkpOPPYv2Y/edit?usp=sharing"",""งบพรบ!FJ76"")"),598898.73)</f>
        <v>598898.73</v>
      </c>
      <c r="M76" s="68">
        <f t="shared" ca="1" si="48"/>
        <v>77.772995610731627</v>
      </c>
      <c r="N76" s="68">
        <f t="shared" ca="1" si="49"/>
        <v>68.842099636764914</v>
      </c>
      <c r="O76" s="67">
        <f ca="1">IFERROR(__xludf.DUMMYFUNCTION("IMPORTRANGE(""https://docs.google.com/spreadsheets/d/1-uDff_7J0KD5mKrp0Vvzr7lt3OU09vwQwhkpOPPYv2Y/edit?usp=sharing"",""งบพรบ!FK76"")"),0)</f>
        <v>0</v>
      </c>
      <c r="P76" s="67">
        <f t="shared" ca="1" si="50"/>
        <v>0</v>
      </c>
      <c r="Q76" s="68">
        <f t="shared" ca="1" si="51"/>
        <v>0</v>
      </c>
      <c r="R76" s="149">
        <f ca="1">IFERROR(__xludf.DUMMYFUNCTION("IMPORTRANGE(""https://docs.google.com/spreadsheets/d/1GwtLaSlNZkLk7iDqcyZz22giiy40b_usZZBXYciEN1U/edit?usp=sharing"",""ชุมพร!I368"")"),1900)</f>
        <v>1900</v>
      </c>
      <c r="S76" s="152">
        <f ca="1">IFERROR(__xludf.DUMMYFUNCTION("IMPORTRANGE(""https://docs.google.com/spreadsheets/d/1GwtLaSlNZkLk7iDqcyZz22giiy40b_usZZBXYciEN1U/edit?usp=sharing"",""ชุมพร!J367"")"),254)</f>
        <v>254</v>
      </c>
      <c r="T76" s="357">
        <f ca="1">IFERROR(__xludf.DUMMYFUNCTION("IMPORTRANGE(""https://docs.google.com/spreadsheets/d/1GwtLaSlNZkLk7iDqcyZz22giiy40b_usZZBXYciEN1U/edit?usp=sharing"",""ชุมพร!J368"")"),2145.56999999999)</f>
        <v>2145.5699999999902</v>
      </c>
      <c r="U76" s="216">
        <f t="shared" ca="1" si="53"/>
        <v>112.92473684210474</v>
      </c>
      <c r="V76" s="149">
        <f ca="1">IFERROR(__xludf.DUMMYFUNCTION("IMPORTRANGE(""https://docs.google.com/spreadsheets/d/1GwtLaSlNZkLk7iDqcyZz22giiy40b_usZZBXYciEN1U/edit?usp=sharing"",""ชุมพร!I369"")"),495)</f>
        <v>495</v>
      </c>
      <c r="W76" s="152">
        <f ca="1">IFERROR(__xludf.DUMMYFUNCTION("IMPORTRANGE(""https://docs.google.com/spreadsheets/d/1GwtLaSlNZkLk7iDqcyZz22giiy40b_usZZBXYciEN1U/edit?usp=sharing"",""ชุมพร!J369"")"),595)</f>
        <v>595</v>
      </c>
      <c r="X76" s="357">
        <f ca="1">IFERROR(__xludf.DUMMYFUNCTION("IMPORTRANGE(""https://docs.google.com/spreadsheets/d/1GwtLaSlNZkLk7iDqcyZz22giiy40b_usZZBXYciEN1U/edit?usp=sharing"",""ชุมพร!J370"")"),7046.37)</f>
        <v>7046.37</v>
      </c>
      <c r="Y76" s="216">
        <f t="shared" ca="1" si="55"/>
        <v>120.20202020202021</v>
      </c>
      <c r="Z76" s="149">
        <f ca="1">IFERROR(__xludf.DUMMYFUNCTION("IMPORTRANGE(""https://docs.google.com/spreadsheets/d/1GwtLaSlNZkLk7iDqcyZz22giiy40b_usZZBXYciEN1U/edit?usp=sharing"",""ชุมพร!I371"")"),495)</f>
        <v>495</v>
      </c>
      <c r="AA76" s="152">
        <f ca="1">IFERROR(__xludf.DUMMYFUNCTION("IMPORTRANGE(""https://docs.google.com/spreadsheets/d/1GwtLaSlNZkLk7iDqcyZz22giiy40b_usZZBXYciEN1U/edit?usp=sharing"",""ชุมพร!J371"")"),479)</f>
        <v>479</v>
      </c>
      <c r="AB76" s="357">
        <f ca="1">IFERROR(__xludf.DUMMYFUNCTION("IMPORTRANGE(""https://docs.google.com/spreadsheets/d/1GwtLaSlNZkLk7iDqcyZz22giiy40b_usZZBXYciEN1U/edit?usp=sharing"",""ชุมพร!J372"")"),6097.08)</f>
        <v>6097.08</v>
      </c>
      <c r="AC76" s="216">
        <f t="shared" ca="1" si="57"/>
        <v>96.767676767676761</v>
      </c>
      <c r="AD76" s="358">
        <f ca="1">IFERROR(__xludf.DUMMYFUNCTION("IMPORTRANGE(""https://docs.google.com/spreadsheets/d/1eHaY18a8A9IcSdp1K8H6x8fbOy06t2VsZHhMHf-1x7Y/edit?usp=sharing"",""แผน!EM76"")"),500)</f>
        <v>500</v>
      </c>
      <c r="AE76" s="151">
        <f ca="1">IFERROR(__xludf.DUMMYFUNCTION("IMPORTRANGE(""https://docs.google.com/spreadsheets/d/1tdoBKaGub7dwA3U6UFTqxio9LNnvDCQjHKmttSEBsFQ/edit?usp=sharing"",""จัดที่ดิน!E76"")"),83)</f>
        <v>83</v>
      </c>
      <c r="AF76" s="67">
        <f ca="1">IFERROR(__xludf.DUMMYFUNCTION("IMPORTRANGE(""https://docs.google.com/spreadsheets/d/1tdoBKaGub7dwA3U6UFTqxio9LNnvDCQjHKmttSEBsFQ/edit?usp=sharing"",""จัดที่ดิน!F76"")"),888.25)</f>
        <v>888.25</v>
      </c>
      <c r="AG76" s="68">
        <f t="shared" ca="1" si="59"/>
        <v>177.65</v>
      </c>
      <c r="AH76" s="358">
        <f ca="1">IFERROR(__xludf.DUMMYFUNCTION("IMPORTRANGE(""https://docs.google.com/spreadsheets/d/1eHaY18a8A9IcSdp1K8H6x8fbOy06t2VsZHhMHf-1x7Y/edit?usp=sharing"",""แผน!EN76"")"),45)</f>
        <v>45</v>
      </c>
      <c r="AI76" s="151">
        <f ca="1">IFERROR(__xludf.DUMMYFUNCTION("IMPORTRANGE(""https://docs.google.com/spreadsheets/d/1tdoBKaGub7dwA3U6UFTqxio9LNnvDCQjHKmttSEBsFQ/edit?usp=sharing"",""จัดที่ดิน!G76"")"),14)</f>
        <v>14</v>
      </c>
      <c r="AJ76" s="67">
        <f ca="1">IFERROR(__xludf.DUMMYFUNCTION("IMPORTRANGE(""https://docs.google.com/spreadsheets/d/1tdoBKaGub7dwA3U6UFTqxio9LNnvDCQjHKmttSEBsFQ/edit?usp=sharing"",""จัดที่ดิน!H76"")"),150.65)</f>
        <v>150.65</v>
      </c>
      <c r="AK76" s="68">
        <f t="shared" ca="1" si="61"/>
        <v>31.111111111111111</v>
      </c>
      <c r="AL76" s="358">
        <f ca="1">IFERROR(__xludf.DUMMYFUNCTION("IMPORTRANGE(""https://docs.google.com/spreadsheets/d/1eHaY18a8A9IcSdp1K8H6x8fbOy06t2VsZHhMHf-1x7Y/edit?usp=sharing"",""แผน!EN76"")"),45)</f>
        <v>45</v>
      </c>
      <c r="AM76" s="151">
        <f ca="1">IFERROR(__xludf.DUMMYFUNCTION("IMPORTRANGE(""https://docs.google.com/spreadsheets/d/1tdoBKaGub7dwA3U6UFTqxio9LNnvDCQjHKmttSEBsFQ/edit?usp=sharing"",""จัดที่ดิน!I76"")"),12)</f>
        <v>12</v>
      </c>
      <c r="AN76" s="67">
        <f ca="1">IFERROR(__xludf.DUMMYFUNCTION("IMPORTRANGE(""https://docs.google.com/spreadsheets/d/1tdoBKaGub7dwA3U6UFTqxio9LNnvDCQjHKmttSEBsFQ/edit?usp=sharing"",""จัดที่ดิน!J76"")"),105.36)</f>
        <v>105.36</v>
      </c>
      <c r="AO76" s="68">
        <f t="shared" ca="1" si="63"/>
        <v>26.666666666666668</v>
      </c>
      <c r="AP76" s="359">
        <f ca="1">IFERROR(__xludf.DUMMYFUNCTION("IMPORTRANGE(""https://docs.google.com/spreadsheets/d/1eHaY18a8A9IcSdp1K8H6x8fbOy06t2VsZHhMHf-1x7Y/edit?usp=sharing"",""แผน!EO76"")"),1400)</f>
        <v>1400</v>
      </c>
      <c r="AQ76" s="151">
        <f ca="1">IFERROR(__xludf.DUMMYFUNCTION("IMPORTRANGE(""https://docs.google.com/spreadsheets/d/1tdoBKaGub7dwA3U6UFTqxio9LNnvDCQjHKmttSEBsFQ/edit?usp=sharing"",""แบ่งแปลง!D81"")"),171)</f>
        <v>171</v>
      </c>
      <c r="AR76" s="67">
        <f ca="1">IFERROR(__xludf.DUMMYFUNCTION("IMPORTRANGE(""https://docs.google.com/spreadsheets/d/1tdoBKaGub7dwA3U6UFTqxio9LNnvDCQjHKmttSEBsFQ/edit?usp=sharing"",""แบ่งแปลง!F81"")"),1257.32)</f>
        <v>1257.32</v>
      </c>
      <c r="AS76" s="68">
        <f t="shared" ca="1" si="65"/>
        <v>89.808571428571426</v>
      </c>
      <c r="AT76" s="359">
        <f ca="1">IFERROR(__xludf.DUMMYFUNCTION("IMPORTRANGE(""https://docs.google.com/spreadsheets/d/1eHaY18a8A9IcSdp1K8H6x8fbOy06t2VsZHhMHf-1x7Y/edit?usp=sharing"",""แผน!EP76"")"),200)</f>
        <v>200</v>
      </c>
      <c r="AU76" s="151">
        <f ca="1">IFERROR(__xludf.DUMMYFUNCTION("IMPORTRANGE(""https://docs.google.com/spreadsheets/d/1tdoBKaGub7dwA3U6UFTqxio9LNnvDCQjHKmttSEBsFQ/edit?usp=sharing"",""แบ่งแปลง!I81"")"),155)</f>
        <v>155</v>
      </c>
      <c r="AV76" s="67">
        <f ca="1">IFERROR(__xludf.DUMMYFUNCTION("IMPORTRANGE(""https://docs.google.com/spreadsheets/d/1tdoBKaGub7dwA3U6UFTqxio9LNnvDCQjHKmttSEBsFQ/edit?usp=sharing"",""แบ่งแปลง!K81"")"),1184.34)</f>
        <v>1184.3399999999999</v>
      </c>
      <c r="AW76" s="68">
        <f t="shared" ca="1" si="67"/>
        <v>77.5</v>
      </c>
      <c r="AX76" s="359">
        <f ca="1">IFERROR(__xludf.DUMMYFUNCTION("IMPORTRANGE(""https://docs.google.com/spreadsheets/d/1eHaY18a8A9IcSdp1K8H6x8fbOy06t2VsZHhMHf-1x7Y/edit?usp=sharing"",""แผน!EP76"")"),200)</f>
        <v>200</v>
      </c>
      <c r="AY76" s="151">
        <f ca="1">IFERROR(__xludf.DUMMYFUNCTION("IMPORTRANGE(""https://docs.google.com/spreadsheets/d/1tdoBKaGub7dwA3U6UFTqxio9LNnvDCQjHKmttSEBsFQ/edit?usp=sharing"",""แบ่งแปลง!X81"")"),39)</f>
        <v>39</v>
      </c>
      <c r="AZ76" s="67">
        <f ca="1">IFERROR(__xludf.DUMMYFUNCTION("IMPORTRANGE(""https://docs.google.com/spreadsheets/d/1tdoBKaGub7dwA3U6UFTqxio9LNnvDCQjHKmttSEBsFQ/edit?usp=sharing"",""แบ่งแปลง!Z81"")"),280.35)</f>
        <v>280.35000000000002</v>
      </c>
      <c r="BA76" s="68">
        <f t="shared" ca="1" si="69"/>
        <v>19.5</v>
      </c>
      <c r="BB76" s="360">
        <f ca="1">IFERROR(__xludf.DUMMYFUNCTION("IMPORTRANGE(""https://docs.google.com/spreadsheets/d/1eHaY18a8A9IcSdp1K8H6x8fbOy06t2VsZHhMHf-1x7Y/edit?usp=sharing"",""แผน!ES76"")"),250)</f>
        <v>250</v>
      </c>
      <c r="BC76" s="151">
        <f ca="1">IFERROR(__xludf.DUMMYFUNCTION("IMPORTRANGE(""https://docs.google.com/spreadsheets/d/1tdoBKaGub7dwA3U6UFTqxio9LNnvDCQjHKmttSEBsFQ/edit?usp=sharing"",""เต็มแปลง!I81"")"),430)</f>
        <v>430</v>
      </c>
      <c r="BD76" s="67">
        <f ca="1">IFERROR(__xludf.DUMMYFUNCTION("IMPORTRANGE(""https://docs.google.com/spreadsheets/d/1tdoBKaGub7dwA3U6UFTqxio9LNnvDCQjHKmttSEBsFQ/edit?usp=sharing"",""เต็มแปลง!K81"")"),5711.37)</f>
        <v>5711.37</v>
      </c>
      <c r="BE76" s="68">
        <f t="shared" ca="1" si="71"/>
        <v>172</v>
      </c>
      <c r="BF76" s="360">
        <f ca="1">IFERROR(__xludf.DUMMYFUNCTION("IMPORTRANGE(""https://docs.google.com/spreadsheets/d/1eHaY18a8A9IcSdp1K8H6x8fbOy06t2VsZHhMHf-1x7Y/edit?usp=sharing"",""แผน!ES76"")"),250)</f>
        <v>250</v>
      </c>
      <c r="BG76" s="151">
        <f ca="1">IFERROR(__xludf.DUMMYFUNCTION("IMPORTRANGE(""https://docs.google.com/spreadsheets/d/1tdoBKaGub7dwA3U6UFTqxio9LNnvDCQjHKmttSEBsFQ/edit?usp=sharing"",""เต็มแปลง!S81"")"),430)</f>
        <v>430</v>
      </c>
      <c r="BH76" s="67">
        <f ca="1">IFERROR(__xludf.DUMMYFUNCTION("IMPORTRANGE(""https://docs.google.com/spreadsheets/d/1tdoBKaGub7dwA3U6UFTqxio9LNnvDCQjHKmttSEBsFQ/edit?usp=sharing"",""เต็มแปลง!U81"")"),5711.37)</f>
        <v>5711.37</v>
      </c>
      <c r="BI76" s="68">
        <f t="shared" ca="1" si="73"/>
        <v>172</v>
      </c>
      <c r="BJ76" s="339"/>
    </row>
    <row r="77" spans="1:62" ht="21" customHeight="1" x14ac:dyDescent="0.3">
      <c r="A77" s="147">
        <v>3</v>
      </c>
      <c r="B77" s="148" t="s">
        <v>105</v>
      </c>
      <c r="C77" s="149">
        <f t="shared" ca="1" si="44"/>
        <v>619060</v>
      </c>
      <c r="D77" s="150">
        <f t="shared" ca="1" si="113"/>
        <v>619060</v>
      </c>
      <c r="E77" s="151">
        <f ca="1">IFERROR(__xludf.DUMMYFUNCTION("IMPORTRANGE(""https://docs.google.com/spreadsheets/d/1-uDff_7J0KD5mKrp0Vvzr7lt3OU09vwQwhkpOPPYv2Y/edit?usp=sharing"",""งบพรบ!FD77"")"),326200)</f>
        <v>326200</v>
      </c>
      <c r="F77" s="151">
        <f ca="1">IFERROR(__xludf.DUMMYFUNCTION("IMPORTRANGE(""https://docs.google.com/spreadsheets/d/1-uDff_7J0KD5mKrp0Vvzr7lt3OU09vwQwhkpOPPYv2Y/edit?usp=sharing"",""งบพรบ!FE77"")"),292860)</f>
        <v>292860</v>
      </c>
      <c r="G77" s="151">
        <f ca="1">IFERROR(__xludf.DUMMYFUNCTION("IMPORTRANGE(""https://docs.google.com/spreadsheets/d/1-uDff_7J0KD5mKrp0Vvzr7lt3OU09vwQwhkpOPPYv2Y/edit?usp=sharing"",""งบพรบ!FF77"")"),0)</f>
        <v>0</v>
      </c>
      <c r="H77" s="151">
        <f ca="1">IFERROR(__xludf.DUMMYFUNCTION("IMPORTRANGE(""https://docs.google.com/spreadsheets/d/1-uDff_7J0KD5mKrp0Vvzr7lt3OU09vwQwhkpOPPYv2Y/edit?usp=sharing"",""งบพรบ!FH77"")"),717060)</f>
        <v>717060</v>
      </c>
      <c r="I77" s="151">
        <f ca="1">IFERROR(__xludf.DUMMYFUNCTION("IMPORTRANGE(""https://docs.google.com/spreadsheets/d/1-uDff_7J0KD5mKrp0Vvzr7lt3OU09vwQwhkpOPPYv2Y/edit?usp=sharing"",""งบพรบ!FI77"")"),0)</f>
        <v>0</v>
      </c>
      <c r="J77" s="151">
        <f t="shared" ca="1" si="46"/>
        <v>628011.77</v>
      </c>
      <c r="K77" s="154">
        <f t="shared" ca="1" si="47"/>
        <v>101.44602623332149</v>
      </c>
      <c r="L77" s="151">
        <f ca="1">IFERROR(__xludf.DUMMYFUNCTION("IMPORTRANGE(""https://docs.google.com/spreadsheets/d/1-uDff_7J0KD5mKrp0Vvzr7lt3OU09vwQwhkpOPPYv2Y/edit?usp=sharing"",""งบพรบ!FJ77"")"),628011.77)</f>
        <v>628011.77</v>
      </c>
      <c r="M77" s="68">
        <f t="shared" ca="1" si="48"/>
        <v>101.44602623332149</v>
      </c>
      <c r="N77" s="68">
        <f t="shared" ca="1" si="49"/>
        <v>87.581481326527765</v>
      </c>
      <c r="O77" s="67">
        <f ca="1">IFERROR(__xludf.DUMMYFUNCTION("IMPORTRANGE(""https://docs.google.com/spreadsheets/d/1-uDff_7J0KD5mKrp0Vvzr7lt3OU09vwQwhkpOPPYv2Y/edit?usp=sharing"",""งบพรบ!FK77"")"),0)</f>
        <v>0</v>
      </c>
      <c r="P77" s="67">
        <f t="shared" ca="1" si="50"/>
        <v>0</v>
      </c>
      <c r="Q77" s="68">
        <f t="shared" ca="1" si="51"/>
        <v>0</v>
      </c>
      <c r="R77" s="149">
        <f ca="1">IFERROR(__xludf.DUMMYFUNCTION("IMPORTRANGE(""https://docs.google.com/spreadsheets/d/16pAz3pOhQEZBhvFNMa5KGgZS6iKWpsKX0pg6tQmwFpo/edit?usp=sharing"",""ตรัง!I368"")"),640)</f>
        <v>640</v>
      </c>
      <c r="S77" s="152">
        <f ca="1">IFERROR(__xludf.DUMMYFUNCTION("IMPORTRANGE(""https://docs.google.com/spreadsheets/d/16pAz3pOhQEZBhvFNMa5KGgZS6iKWpsKX0pg6tQmwFpo/edit?usp=sharing"",""ตรัง!J367"")"),166)</f>
        <v>166</v>
      </c>
      <c r="T77" s="357">
        <f ca="1">IFERROR(__xludf.DUMMYFUNCTION("IMPORTRANGE(""https://docs.google.com/spreadsheets/d/16pAz3pOhQEZBhvFNMa5KGgZS6iKWpsKX0pg6tQmwFpo/edit?usp=sharing"",""ตรัง!J368"")"),1505.85)</f>
        <v>1505.85</v>
      </c>
      <c r="U77" s="216">
        <f t="shared" ca="1" si="53"/>
        <v>235.2890625</v>
      </c>
      <c r="V77" s="149">
        <f ca="1">IFERROR(__xludf.DUMMYFUNCTION("IMPORTRANGE(""https://docs.google.com/spreadsheets/d/16pAz3pOhQEZBhvFNMa5KGgZS6iKWpsKX0pg6tQmwFpo/edit?usp=sharing"",""ตรัง!I369"")"),113)</f>
        <v>113</v>
      </c>
      <c r="W77" s="152">
        <f ca="1">IFERROR(__xludf.DUMMYFUNCTION("IMPORTRANGE(""https://docs.google.com/spreadsheets/d/16pAz3pOhQEZBhvFNMa5KGgZS6iKWpsKX0pg6tQmwFpo/edit?usp=sharing"",""ตรัง!J369"")"),146)</f>
        <v>146</v>
      </c>
      <c r="X77" s="357">
        <f ca="1">IFERROR(__xludf.DUMMYFUNCTION("IMPORTRANGE(""https://docs.google.com/spreadsheets/d/16pAz3pOhQEZBhvFNMa5KGgZS6iKWpsKX0pg6tQmwFpo/edit?usp=sharing"",""ตรัง!J370"")"),1528.87)</f>
        <v>1528.87</v>
      </c>
      <c r="Y77" s="216">
        <f t="shared" ca="1" si="55"/>
        <v>129.20353982300884</v>
      </c>
      <c r="Z77" s="149">
        <f ca="1">IFERROR(__xludf.DUMMYFUNCTION("IMPORTRANGE(""https://docs.google.com/spreadsheets/d/16pAz3pOhQEZBhvFNMa5KGgZS6iKWpsKX0pg6tQmwFpo/edit?usp=sharing"",""ตรัง!I371"")"),113)</f>
        <v>113</v>
      </c>
      <c r="AA77" s="152">
        <f ca="1">IFERROR(__xludf.DUMMYFUNCTION("IMPORTRANGE(""https://docs.google.com/spreadsheets/d/16pAz3pOhQEZBhvFNMa5KGgZS6iKWpsKX0pg6tQmwFpo/edit?usp=sharing"",""ตรัง!J371"")"),144)</f>
        <v>144</v>
      </c>
      <c r="AB77" s="357">
        <f ca="1">IFERROR(__xludf.DUMMYFUNCTION("IMPORTRANGE(""https://docs.google.com/spreadsheets/d/16pAz3pOhQEZBhvFNMa5KGgZS6iKWpsKX0pg6tQmwFpo/edit?usp=sharing"",""ตรัง!J372"")"),1521.09)</f>
        <v>1521.09</v>
      </c>
      <c r="AC77" s="216">
        <f t="shared" ca="1" si="57"/>
        <v>127.43362831858407</v>
      </c>
      <c r="AD77" s="358">
        <f ca="1">IFERROR(__xludf.DUMMYFUNCTION("IMPORTRANGE(""https://docs.google.com/spreadsheets/d/1eHaY18a8A9IcSdp1K8H6x8fbOy06t2VsZHhMHf-1x7Y/edit?usp=sharing"",""แผน!EM77"")"),250)</f>
        <v>250</v>
      </c>
      <c r="AE77" s="151">
        <f ca="1">IFERROR(__xludf.DUMMYFUNCTION("IMPORTRANGE(""https://docs.google.com/spreadsheets/d/1tdoBKaGub7dwA3U6UFTqxio9LNnvDCQjHKmttSEBsFQ/edit?usp=sharing"",""จัดที่ดิน!E77"")"),27)</f>
        <v>27</v>
      </c>
      <c r="AF77" s="67">
        <f ca="1">IFERROR(__xludf.DUMMYFUNCTION("IMPORTRANGE(""https://docs.google.com/spreadsheets/d/1tdoBKaGub7dwA3U6UFTqxio9LNnvDCQjHKmttSEBsFQ/edit?usp=sharing"",""จัดที่ดิน!F77"")"),325.47)</f>
        <v>325.47000000000003</v>
      </c>
      <c r="AG77" s="68">
        <f t="shared" ca="1" si="59"/>
        <v>130.18800000000002</v>
      </c>
      <c r="AH77" s="358">
        <f ca="1">IFERROR(__xludf.DUMMYFUNCTION("IMPORTRANGE(""https://docs.google.com/spreadsheets/d/1eHaY18a8A9IcSdp1K8H6x8fbOy06t2VsZHhMHf-1x7Y/edit?usp=sharing"",""แผน!EN77"")"),10)</f>
        <v>10</v>
      </c>
      <c r="AI77" s="151">
        <f ca="1">IFERROR(__xludf.DUMMYFUNCTION("IMPORTRANGE(""https://docs.google.com/spreadsheets/d/1tdoBKaGub7dwA3U6UFTqxio9LNnvDCQjHKmttSEBsFQ/edit?usp=sharing"",""จัดที่ดิน!G77"")"),8)</f>
        <v>8</v>
      </c>
      <c r="AJ77" s="67">
        <f ca="1">IFERROR(__xludf.DUMMYFUNCTION("IMPORTRANGE(""https://docs.google.com/spreadsheets/d/1tdoBKaGub7dwA3U6UFTqxio9LNnvDCQjHKmttSEBsFQ/edit?usp=sharing"",""จัดที่ดิน!H77"")"),65.8)</f>
        <v>65.8</v>
      </c>
      <c r="AK77" s="68">
        <f t="shared" ca="1" si="61"/>
        <v>80</v>
      </c>
      <c r="AL77" s="358">
        <f ca="1">IFERROR(__xludf.DUMMYFUNCTION("IMPORTRANGE(""https://docs.google.com/spreadsheets/d/1eHaY18a8A9IcSdp1K8H6x8fbOy06t2VsZHhMHf-1x7Y/edit?usp=sharing"",""แผน!EN77"")"),10)</f>
        <v>10</v>
      </c>
      <c r="AM77" s="151">
        <f ca="1">IFERROR(__xludf.DUMMYFUNCTION("IMPORTRANGE(""https://docs.google.com/spreadsheets/d/1tdoBKaGub7dwA3U6UFTqxio9LNnvDCQjHKmttSEBsFQ/edit?usp=sharing"",""จัดที่ดิน!I77"")"),6)</f>
        <v>6</v>
      </c>
      <c r="AN77" s="67">
        <f ca="1">IFERROR(__xludf.DUMMYFUNCTION("IMPORTRANGE(""https://docs.google.com/spreadsheets/d/1tdoBKaGub7dwA3U6UFTqxio9LNnvDCQjHKmttSEBsFQ/edit?usp=sharing"",""จัดที่ดิน!J77"")"),58.02)</f>
        <v>58.02</v>
      </c>
      <c r="AO77" s="68">
        <f t="shared" ca="1" si="63"/>
        <v>60</v>
      </c>
      <c r="AP77" s="359">
        <f ca="1">IFERROR(__xludf.DUMMYFUNCTION("IMPORTRANGE(""https://docs.google.com/spreadsheets/d/1eHaY18a8A9IcSdp1K8H6x8fbOy06t2VsZHhMHf-1x7Y/edit?usp=sharing"",""แผน!EO77"")"),390)</f>
        <v>390</v>
      </c>
      <c r="AQ77" s="151">
        <f ca="1">IFERROR(__xludf.DUMMYFUNCTION("IMPORTRANGE(""https://docs.google.com/spreadsheets/d/1tdoBKaGub7dwA3U6UFTqxio9LNnvDCQjHKmttSEBsFQ/edit?usp=sharing"",""แบ่งแปลง!D82"")"),139)</f>
        <v>139</v>
      </c>
      <c r="AR77" s="67">
        <f ca="1">IFERROR(__xludf.DUMMYFUNCTION("IMPORTRANGE(""https://docs.google.com/spreadsheets/d/1tdoBKaGub7dwA3U6UFTqxio9LNnvDCQjHKmttSEBsFQ/edit?usp=sharing"",""แบ่งแปลง!F82"")"),1180.38)</f>
        <v>1180.3800000000001</v>
      </c>
      <c r="AS77" s="68">
        <f t="shared" ca="1" si="65"/>
        <v>302.6615384615385</v>
      </c>
      <c r="AT77" s="359">
        <f ca="1">IFERROR(__xludf.DUMMYFUNCTION("IMPORTRANGE(""https://docs.google.com/spreadsheets/d/1eHaY18a8A9IcSdp1K8H6x8fbOy06t2VsZHhMHf-1x7Y/edit?usp=sharing"",""แผน!EP77"")"),28)</f>
        <v>28</v>
      </c>
      <c r="AU77" s="151">
        <f ca="1">IFERROR(__xludf.DUMMYFUNCTION("IMPORTRANGE(""https://docs.google.com/spreadsheets/d/1tdoBKaGub7dwA3U6UFTqxio9LNnvDCQjHKmttSEBsFQ/edit?usp=sharing"",""แบ่งแปลง!I82"")"),3)</f>
        <v>3</v>
      </c>
      <c r="AV77" s="67">
        <f ca="1">IFERROR(__xludf.DUMMYFUNCTION("IMPORTRANGE(""https://docs.google.com/spreadsheets/d/1tdoBKaGub7dwA3U6UFTqxio9LNnvDCQjHKmttSEBsFQ/edit?usp=sharing"",""แบ่งแปลง!K82"")"),24.25)</f>
        <v>24.25</v>
      </c>
      <c r="AW77" s="68">
        <f t="shared" ca="1" si="67"/>
        <v>10.714285714285714</v>
      </c>
      <c r="AX77" s="359">
        <f ca="1">IFERROR(__xludf.DUMMYFUNCTION("IMPORTRANGE(""https://docs.google.com/spreadsheets/d/1eHaY18a8A9IcSdp1K8H6x8fbOy06t2VsZHhMHf-1x7Y/edit?usp=sharing"",""แผน!EP77"")"),28)</f>
        <v>28</v>
      </c>
      <c r="AY77" s="151">
        <f ca="1">IFERROR(__xludf.DUMMYFUNCTION("IMPORTRANGE(""https://docs.google.com/spreadsheets/d/1tdoBKaGub7dwA3U6UFTqxio9LNnvDCQjHKmttSEBsFQ/edit?usp=sharing"",""แบ่งแปลง!X82"")"),3)</f>
        <v>3</v>
      </c>
      <c r="AZ77" s="67">
        <f ca="1">IFERROR(__xludf.DUMMYFUNCTION("IMPORTRANGE(""https://docs.google.com/spreadsheets/d/1tdoBKaGub7dwA3U6UFTqxio9LNnvDCQjHKmttSEBsFQ/edit?usp=sharing"",""แบ่งแปลง!Z82"")"),24.25)</f>
        <v>24.25</v>
      </c>
      <c r="BA77" s="68">
        <f t="shared" ca="1" si="69"/>
        <v>10.714285714285714</v>
      </c>
      <c r="BB77" s="360">
        <f ca="1">IFERROR(__xludf.DUMMYFUNCTION("IMPORTRANGE(""https://docs.google.com/spreadsheets/d/1eHaY18a8A9IcSdp1K8H6x8fbOy06t2VsZHhMHf-1x7Y/edit?usp=sharing"",""แผน!ES77"")"),75)</f>
        <v>75</v>
      </c>
      <c r="BC77" s="151">
        <f ca="1">IFERROR(__xludf.DUMMYFUNCTION("IMPORTRANGE(""https://docs.google.com/spreadsheets/d/1tdoBKaGub7dwA3U6UFTqxio9LNnvDCQjHKmttSEBsFQ/edit?usp=sharing"",""เต็มแปลง!I82"")"),135)</f>
        <v>135</v>
      </c>
      <c r="BD77" s="67">
        <f ca="1">IFERROR(__xludf.DUMMYFUNCTION("IMPORTRANGE(""https://docs.google.com/spreadsheets/d/1tdoBKaGub7dwA3U6UFTqxio9LNnvDCQjHKmttSEBsFQ/edit?usp=sharing"",""เต็มแปลง!K82"")"),1438.82)</f>
        <v>1438.82</v>
      </c>
      <c r="BE77" s="68">
        <f t="shared" ca="1" si="71"/>
        <v>180</v>
      </c>
      <c r="BF77" s="360">
        <f ca="1">IFERROR(__xludf.DUMMYFUNCTION("IMPORTRANGE(""https://docs.google.com/spreadsheets/d/1eHaY18a8A9IcSdp1K8H6x8fbOy06t2VsZHhMHf-1x7Y/edit?usp=sharing"",""แผน!ES77"")"),75)</f>
        <v>75</v>
      </c>
      <c r="BG77" s="151">
        <f ca="1">IFERROR(__xludf.DUMMYFUNCTION("IMPORTRANGE(""https://docs.google.com/spreadsheets/d/1tdoBKaGub7dwA3U6UFTqxio9LNnvDCQjHKmttSEBsFQ/edit?usp=sharing"",""เต็มแปลง!S82"")"),135)</f>
        <v>135</v>
      </c>
      <c r="BH77" s="67">
        <f ca="1">IFERROR(__xludf.DUMMYFUNCTION("IMPORTRANGE(""https://docs.google.com/spreadsheets/d/1tdoBKaGub7dwA3U6UFTqxio9LNnvDCQjHKmttSEBsFQ/edit?usp=sharing"",""เต็มแปลง!U82"")"),1438.82)</f>
        <v>1438.82</v>
      </c>
      <c r="BI77" s="68">
        <f t="shared" ca="1" si="73"/>
        <v>180</v>
      </c>
      <c r="BJ77" s="339"/>
    </row>
    <row r="78" spans="1:62" ht="21" customHeight="1" x14ac:dyDescent="0.3">
      <c r="A78" s="147">
        <v>4</v>
      </c>
      <c r="B78" s="148" t="s">
        <v>106</v>
      </c>
      <c r="C78" s="149">
        <f t="shared" ca="1" si="44"/>
        <v>745130</v>
      </c>
      <c r="D78" s="150">
        <f t="shared" ca="1" si="113"/>
        <v>745130</v>
      </c>
      <c r="E78" s="151">
        <f ca="1">IFERROR(__xludf.DUMMYFUNCTION("IMPORTRANGE(""https://docs.google.com/spreadsheets/d/1-uDff_7J0KD5mKrp0Vvzr7lt3OU09vwQwhkpOPPYv2Y/edit?usp=sharing"",""งบพรบ!FD78"")"),237800)</f>
        <v>237800</v>
      </c>
      <c r="F78" s="151">
        <f ca="1">IFERROR(__xludf.DUMMYFUNCTION("IMPORTRANGE(""https://docs.google.com/spreadsheets/d/1-uDff_7J0KD5mKrp0Vvzr7lt3OU09vwQwhkpOPPYv2Y/edit?usp=sharing"",""งบพรบ!FE78"")"),507330)</f>
        <v>507330</v>
      </c>
      <c r="G78" s="151">
        <f ca="1">IFERROR(__xludf.DUMMYFUNCTION("IMPORTRANGE(""https://docs.google.com/spreadsheets/d/1-uDff_7J0KD5mKrp0Vvzr7lt3OU09vwQwhkpOPPYv2Y/edit?usp=sharing"",""งบพรบ!FF78"")"),0)</f>
        <v>0</v>
      </c>
      <c r="H78" s="151">
        <f ca="1">IFERROR(__xludf.DUMMYFUNCTION("IMPORTRANGE(""https://docs.google.com/spreadsheets/d/1-uDff_7J0KD5mKrp0Vvzr7lt3OU09vwQwhkpOPPYv2Y/edit?usp=sharing"",""งบพรบ!FH78"")"),872130)</f>
        <v>872130</v>
      </c>
      <c r="I78" s="151">
        <f ca="1">IFERROR(__xludf.DUMMYFUNCTION("IMPORTRANGE(""https://docs.google.com/spreadsheets/d/1-uDff_7J0KD5mKrp0Vvzr7lt3OU09vwQwhkpOPPYv2Y/edit?usp=sharing"",""งบพรบ!FI78"")"),0)</f>
        <v>0</v>
      </c>
      <c r="J78" s="151">
        <f t="shared" ca="1" si="46"/>
        <v>736279.16</v>
      </c>
      <c r="K78" s="154">
        <f t="shared" ca="1" si="47"/>
        <v>98.81217505670152</v>
      </c>
      <c r="L78" s="151">
        <f ca="1">IFERROR(__xludf.DUMMYFUNCTION("IMPORTRANGE(""https://docs.google.com/spreadsheets/d/1-uDff_7J0KD5mKrp0Vvzr7lt3OU09vwQwhkpOPPYv2Y/edit?usp=sharing"",""งบพรบ!FJ78"")"),736279.16)</f>
        <v>736279.16</v>
      </c>
      <c r="M78" s="68">
        <f t="shared" ca="1" si="48"/>
        <v>98.81217505670152</v>
      </c>
      <c r="N78" s="68">
        <f t="shared" ca="1" si="49"/>
        <v>84.423097474000443</v>
      </c>
      <c r="O78" s="67">
        <f ca="1">IFERROR(__xludf.DUMMYFUNCTION("IMPORTRANGE(""https://docs.google.com/spreadsheets/d/1-uDff_7J0KD5mKrp0Vvzr7lt3OU09vwQwhkpOPPYv2Y/edit?usp=sharing"",""งบพรบ!FK78"")"),0)</f>
        <v>0</v>
      </c>
      <c r="P78" s="67">
        <f t="shared" ca="1" si="50"/>
        <v>0</v>
      </c>
      <c r="Q78" s="68">
        <f t="shared" ca="1" si="51"/>
        <v>0</v>
      </c>
      <c r="R78" s="149">
        <f ca="1">IFERROR(__xludf.DUMMYFUNCTION("IMPORTRANGE(""https://docs.google.com/spreadsheets/d/1Dj4jcHCTV9JXKCaMoheSXS52JE63kDKyG7bPXnFogHk/edit?usp=sharing"",""นครศรีธรรมราช!I368"")"),1890)</f>
        <v>1890</v>
      </c>
      <c r="S78" s="152">
        <f ca="1">IFERROR(__xludf.DUMMYFUNCTION("IMPORTRANGE(""https://docs.google.com/spreadsheets/d/1Dj4jcHCTV9JXKCaMoheSXS52JE63kDKyG7bPXnFogHk/edit?usp=sharing"",""นครศรีธรรมราช!J367"")"),397)</f>
        <v>397</v>
      </c>
      <c r="T78" s="357">
        <f ca="1">IFERROR(__xludf.DUMMYFUNCTION("IMPORTRANGE(""https://docs.google.com/spreadsheets/d/1Dj4jcHCTV9JXKCaMoheSXS52JE63kDKyG7bPXnFogHk/edit?usp=sharing"",""นครศรีธรรมราช!J368"")"),2719.00999999999)</f>
        <v>2719.0099999999902</v>
      </c>
      <c r="U78" s="216">
        <f t="shared" ca="1" si="53"/>
        <v>143.86296296296243</v>
      </c>
      <c r="V78" s="149">
        <f ca="1">IFERROR(__xludf.DUMMYFUNCTION("IMPORTRANGE(""https://docs.google.com/spreadsheets/d/1Dj4jcHCTV9JXKCaMoheSXS52JE63kDKyG7bPXnFogHk/edit?usp=sharing"",""นครศรีธรรมราช!I369"")"),827)</f>
        <v>827</v>
      </c>
      <c r="W78" s="152">
        <f ca="1">IFERROR(__xludf.DUMMYFUNCTION("IMPORTRANGE(""https://docs.google.com/spreadsheets/d/1Dj4jcHCTV9JXKCaMoheSXS52JE63kDKyG7bPXnFogHk/edit?usp=sharing"",""นครศรีธรรมราช!J369"")"),775)</f>
        <v>775</v>
      </c>
      <c r="X78" s="357">
        <f ca="1">IFERROR(__xludf.DUMMYFUNCTION("IMPORTRANGE(""https://docs.google.com/spreadsheets/d/1Dj4jcHCTV9JXKCaMoheSXS52JE63kDKyG7bPXnFogHk/edit?usp=sharing"",""นครศรีธรรมราช!J370"")"),6704.45)</f>
        <v>6704.45</v>
      </c>
      <c r="Y78" s="216">
        <f t="shared" ca="1" si="55"/>
        <v>93.712212817412336</v>
      </c>
      <c r="Z78" s="149">
        <f ca="1">IFERROR(__xludf.DUMMYFUNCTION("IMPORTRANGE(""https://docs.google.com/spreadsheets/d/1Dj4jcHCTV9JXKCaMoheSXS52JE63kDKyG7bPXnFogHk/edit?usp=sharing"",""นครศรีธรรมราช!I371"")"),827)</f>
        <v>827</v>
      </c>
      <c r="AA78" s="152">
        <f ca="1">IFERROR(__xludf.DUMMYFUNCTION("IMPORTRANGE(""https://docs.google.com/spreadsheets/d/1Dj4jcHCTV9JXKCaMoheSXS52JE63kDKyG7bPXnFogHk/edit?usp=sharing"",""นครศรีธรรมราช!J371"")"),374)</f>
        <v>374</v>
      </c>
      <c r="AB78" s="357">
        <f ca="1">IFERROR(__xludf.DUMMYFUNCTION("IMPORTRANGE(""https://docs.google.com/spreadsheets/d/1Dj4jcHCTV9JXKCaMoheSXS52JE63kDKyG7bPXnFogHk/edit?usp=sharing"",""นครศรีธรรมราช!J372"")"),3756.45)</f>
        <v>3756.45</v>
      </c>
      <c r="AC78" s="216">
        <f t="shared" ca="1" si="57"/>
        <v>45.223700120918984</v>
      </c>
      <c r="AD78" s="358">
        <f ca="1">IFERROR(__xludf.DUMMYFUNCTION("IMPORTRANGE(""https://docs.google.com/spreadsheets/d/1eHaY18a8A9IcSdp1K8H6x8fbOy06t2VsZHhMHf-1x7Y/edit?usp=sharing"",""แผน!EM78"")"),1090)</f>
        <v>1090</v>
      </c>
      <c r="AE78" s="151">
        <f ca="1">IFERROR(__xludf.DUMMYFUNCTION("IMPORTRANGE(""https://docs.google.com/spreadsheets/d/1tdoBKaGub7dwA3U6UFTqxio9LNnvDCQjHKmttSEBsFQ/edit?usp=sharing"",""จัดที่ดิน!E78"")"),91)</f>
        <v>91</v>
      </c>
      <c r="AF78" s="67">
        <f ca="1">IFERROR(__xludf.DUMMYFUNCTION("IMPORTRANGE(""https://docs.google.com/spreadsheets/d/1tdoBKaGub7dwA3U6UFTqxio9LNnvDCQjHKmttSEBsFQ/edit?usp=sharing"",""จัดที่ดิน!F78"")"),499.31)</f>
        <v>499.31</v>
      </c>
      <c r="AG78" s="68">
        <f t="shared" ca="1" si="59"/>
        <v>45.808256880733943</v>
      </c>
      <c r="AH78" s="358">
        <f ca="1">IFERROR(__xludf.DUMMYFUNCTION("IMPORTRANGE(""https://docs.google.com/spreadsheets/d/1eHaY18a8A9IcSdp1K8H6x8fbOy06t2VsZHhMHf-1x7Y/edit?usp=sharing"",""แผน!EN78"")"),125)</f>
        <v>125</v>
      </c>
      <c r="AI78" s="151">
        <f ca="1">IFERROR(__xludf.DUMMYFUNCTION("IMPORTRANGE(""https://docs.google.com/spreadsheets/d/1tdoBKaGub7dwA3U6UFTqxio9LNnvDCQjHKmttSEBsFQ/edit?usp=sharing"",""จัดที่ดิน!G78"")"),101)</f>
        <v>101</v>
      </c>
      <c r="AJ78" s="67">
        <f ca="1">IFERROR(__xludf.DUMMYFUNCTION("IMPORTRANGE(""https://docs.google.com/spreadsheets/d/1tdoBKaGub7dwA3U6UFTqxio9LNnvDCQjHKmttSEBsFQ/edit?usp=sharing"",""จัดที่ดิน!H78"")"),751.31)</f>
        <v>751.31</v>
      </c>
      <c r="AK78" s="68">
        <f t="shared" ca="1" si="61"/>
        <v>80.8</v>
      </c>
      <c r="AL78" s="358">
        <f ca="1">IFERROR(__xludf.DUMMYFUNCTION("IMPORTRANGE(""https://docs.google.com/spreadsheets/d/1eHaY18a8A9IcSdp1K8H6x8fbOy06t2VsZHhMHf-1x7Y/edit?usp=sharing"",""แผน!EN78"")"),125)</f>
        <v>125</v>
      </c>
      <c r="AM78" s="151">
        <f ca="1">IFERROR(__xludf.DUMMYFUNCTION("IMPORTRANGE(""https://docs.google.com/spreadsheets/d/1tdoBKaGub7dwA3U6UFTqxio9LNnvDCQjHKmttSEBsFQ/edit?usp=sharing"",""จัดที่ดิน!I78"")"),0)</f>
        <v>0</v>
      </c>
      <c r="AN78" s="67">
        <f ca="1">IFERROR(__xludf.DUMMYFUNCTION("IMPORTRANGE(""https://docs.google.com/spreadsheets/d/1tdoBKaGub7dwA3U6UFTqxio9LNnvDCQjHKmttSEBsFQ/edit?usp=sharing"",""จัดที่ดิน!J78"")"),0)</f>
        <v>0</v>
      </c>
      <c r="AO78" s="68">
        <f t="shared" ca="1" si="63"/>
        <v>0</v>
      </c>
      <c r="AP78" s="359">
        <f ca="1">IFERROR(__xludf.DUMMYFUNCTION("IMPORTRANGE(""https://docs.google.com/spreadsheets/d/1eHaY18a8A9IcSdp1K8H6x8fbOy06t2VsZHhMHf-1x7Y/edit?usp=sharing"",""แผน!EO78"")"),800)</f>
        <v>800</v>
      </c>
      <c r="AQ78" s="151">
        <f ca="1">IFERROR(__xludf.DUMMYFUNCTION("IMPORTRANGE(""https://docs.google.com/spreadsheets/d/1tdoBKaGub7dwA3U6UFTqxio9LNnvDCQjHKmttSEBsFQ/edit?usp=sharing"",""แบ่งแปลง!D83"")"),306)</f>
        <v>306</v>
      </c>
      <c r="AR78" s="67">
        <f ca="1">IFERROR(__xludf.DUMMYFUNCTION("IMPORTRANGE(""https://docs.google.com/spreadsheets/d/1tdoBKaGub7dwA3U6UFTqxio9LNnvDCQjHKmttSEBsFQ/edit?usp=sharing"",""แบ่งแปลง!F83"")"),2219.7)</f>
        <v>2219.6999999999998</v>
      </c>
      <c r="AS78" s="68">
        <f t="shared" ca="1" si="65"/>
        <v>277.46249999999998</v>
      </c>
      <c r="AT78" s="359">
        <f ca="1">IFERROR(__xludf.DUMMYFUNCTION("IMPORTRANGE(""https://docs.google.com/spreadsheets/d/1eHaY18a8A9IcSdp1K8H6x8fbOy06t2VsZHhMHf-1x7Y/edit?usp=sharing"",""แผน!EP78"")"),160)</f>
        <v>160</v>
      </c>
      <c r="AU78" s="151">
        <f ca="1">IFERROR(__xludf.DUMMYFUNCTION("IMPORTRANGE(""https://docs.google.com/spreadsheets/d/1tdoBKaGub7dwA3U6UFTqxio9LNnvDCQjHKmttSEBsFQ/edit?usp=sharing"",""แบ่งแปลง!I83"")"),305)</f>
        <v>305</v>
      </c>
      <c r="AV78" s="67">
        <f ca="1">IFERROR(__xludf.DUMMYFUNCTION("IMPORTRANGE(""https://docs.google.com/spreadsheets/d/1tdoBKaGub7dwA3U6UFTqxio9LNnvDCQjHKmttSEBsFQ/edit?usp=sharing"",""แบ่งแปลง!K83"")"),2207.26)</f>
        <v>2207.2600000000002</v>
      </c>
      <c r="AW78" s="68">
        <f t="shared" ca="1" si="67"/>
        <v>190.625</v>
      </c>
      <c r="AX78" s="359">
        <f ca="1">IFERROR(__xludf.DUMMYFUNCTION("IMPORTRANGE(""https://docs.google.com/spreadsheets/d/1eHaY18a8A9IcSdp1K8H6x8fbOy06t2VsZHhMHf-1x7Y/edit?usp=sharing"",""แผน!EP78"")"),160)</f>
        <v>160</v>
      </c>
      <c r="AY78" s="151">
        <f ca="1">IFERROR(__xludf.DUMMYFUNCTION("IMPORTRANGE(""https://docs.google.com/spreadsheets/d/1tdoBKaGub7dwA3U6UFTqxio9LNnvDCQjHKmttSEBsFQ/edit?usp=sharing"",""แบ่งแปลง!X83"")"),4)</f>
        <v>4</v>
      </c>
      <c r="AZ78" s="67">
        <f ca="1">IFERROR(__xludf.DUMMYFUNCTION("IMPORTRANGE(""https://docs.google.com/spreadsheets/d/1tdoBKaGub7dwA3U6UFTqxio9LNnvDCQjHKmttSEBsFQ/edit?usp=sharing"",""แบ่งแปลง!Z83"")"),25.36)</f>
        <v>25.36</v>
      </c>
      <c r="BA78" s="68">
        <f t="shared" ca="1" si="69"/>
        <v>2.5</v>
      </c>
      <c r="BB78" s="360">
        <f ca="1">IFERROR(__xludf.DUMMYFUNCTION("IMPORTRANGE(""https://docs.google.com/spreadsheets/d/1eHaY18a8A9IcSdp1K8H6x8fbOy06t2VsZHhMHf-1x7Y/edit?usp=sharing"",""แผน!ES78"")"),542)</f>
        <v>542</v>
      </c>
      <c r="BC78" s="151">
        <f ca="1">IFERROR(__xludf.DUMMYFUNCTION("IMPORTRANGE(""https://docs.google.com/spreadsheets/d/1tdoBKaGub7dwA3U6UFTqxio9LNnvDCQjHKmttSEBsFQ/edit?usp=sharing"",""เต็มแปลง!I83"")"),371)</f>
        <v>371</v>
      </c>
      <c r="BD78" s="67">
        <f ca="1">IFERROR(__xludf.DUMMYFUNCTION("IMPORTRANGE(""https://docs.google.com/spreadsheets/d/1tdoBKaGub7dwA3U6UFTqxio9LNnvDCQjHKmttSEBsFQ/edit?usp=sharing"",""เต็มแปลง!K83"")"),3745.88)</f>
        <v>3745.88</v>
      </c>
      <c r="BE78" s="68">
        <f t="shared" ca="1" si="71"/>
        <v>68.450184501845015</v>
      </c>
      <c r="BF78" s="360">
        <f ca="1">IFERROR(__xludf.DUMMYFUNCTION("IMPORTRANGE(""https://docs.google.com/spreadsheets/d/1eHaY18a8A9IcSdp1K8H6x8fbOy06t2VsZHhMHf-1x7Y/edit?usp=sharing"",""แผน!ES78"")"),542)</f>
        <v>542</v>
      </c>
      <c r="BG78" s="151">
        <f ca="1">IFERROR(__xludf.DUMMYFUNCTION("IMPORTRANGE(""https://docs.google.com/spreadsheets/d/1tdoBKaGub7dwA3U6UFTqxio9LNnvDCQjHKmttSEBsFQ/edit?usp=sharing"",""เต็มแปลง!S83"")"),370)</f>
        <v>370</v>
      </c>
      <c r="BH78" s="67">
        <f ca="1">IFERROR(__xludf.DUMMYFUNCTION("IMPORTRANGE(""https://docs.google.com/spreadsheets/d/1tdoBKaGub7dwA3U6UFTqxio9LNnvDCQjHKmttSEBsFQ/edit?usp=sharing"",""เต็มแปลง!U83"")"),3731.08)</f>
        <v>3731.08</v>
      </c>
      <c r="BI78" s="68">
        <f t="shared" ca="1" si="73"/>
        <v>68.26568265682657</v>
      </c>
      <c r="BJ78" s="339"/>
    </row>
    <row r="79" spans="1:62" ht="21" customHeight="1" x14ac:dyDescent="0.3">
      <c r="A79" s="147">
        <v>5</v>
      </c>
      <c r="B79" s="148" t="s">
        <v>107</v>
      </c>
      <c r="C79" s="149">
        <f t="shared" ca="1" si="44"/>
        <v>396190</v>
      </c>
      <c r="D79" s="150">
        <f t="shared" ca="1" si="113"/>
        <v>396190</v>
      </c>
      <c r="E79" s="151">
        <f ca="1">IFERROR(__xludf.DUMMYFUNCTION("IMPORTRANGE(""https://docs.google.com/spreadsheets/d/1-uDff_7J0KD5mKrp0Vvzr7lt3OU09vwQwhkpOPPYv2Y/edit?usp=sharing"",""งบพรบ!FD79"")"),171300)</f>
        <v>171300</v>
      </c>
      <c r="F79" s="151">
        <f ca="1">IFERROR(__xludf.DUMMYFUNCTION("IMPORTRANGE(""https://docs.google.com/spreadsheets/d/1-uDff_7J0KD5mKrp0Vvzr7lt3OU09vwQwhkpOPPYv2Y/edit?usp=sharing"",""งบพรบ!FE79"")"),224890)</f>
        <v>224890</v>
      </c>
      <c r="G79" s="151">
        <f ca="1">IFERROR(__xludf.DUMMYFUNCTION("IMPORTRANGE(""https://docs.google.com/spreadsheets/d/1-uDff_7J0KD5mKrp0Vvzr7lt3OU09vwQwhkpOPPYv2Y/edit?usp=sharing"",""งบพรบ!FF79"")"),0)</f>
        <v>0</v>
      </c>
      <c r="H79" s="151">
        <f ca="1">IFERROR(__xludf.DUMMYFUNCTION("IMPORTRANGE(""https://docs.google.com/spreadsheets/d/1-uDff_7J0KD5mKrp0Vvzr7lt3OU09vwQwhkpOPPYv2Y/edit?usp=sharing"",""งบพรบ!FH79"")"),439190)</f>
        <v>439190</v>
      </c>
      <c r="I79" s="151">
        <f ca="1">IFERROR(__xludf.DUMMYFUNCTION("IMPORTRANGE(""https://docs.google.com/spreadsheets/d/1-uDff_7J0KD5mKrp0Vvzr7lt3OU09vwQwhkpOPPYv2Y/edit?usp=sharing"",""งบพรบ!FI79"")"),0)</f>
        <v>0</v>
      </c>
      <c r="J79" s="151">
        <f t="shared" ca="1" si="46"/>
        <v>345313</v>
      </c>
      <c r="K79" s="154">
        <f t="shared" ca="1" si="47"/>
        <v>87.158434084656349</v>
      </c>
      <c r="L79" s="151">
        <f ca="1">IFERROR(__xludf.DUMMYFUNCTION("IMPORTRANGE(""https://docs.google.com/spreadsheets/d/1-uDff_7J0KD5mKrp0Vvzr7lt3OU09vwQwhkpOPPYv2Y/edit?usp=sharing"",""งบพรบ!FJ79"")"),345313)</f>
        <v>345313</v>
      </c>
      <c r="M79" s="68">
        <f t="shared" ca="1" si="48"/>
        <v>87.158434084656349</v>
      </c>
      <c r="N79" s="68">
        <f t="shared" ca="1" si="49"/>
        <v>78.624968692365485</v>
      </c>
      <c r="O79" s="67">
        <f ca="1">IFERROR(__xludf.DUMMYFUNCTION("IMPORTRANGE(""https://docs.google.com/spreadsheets/d/1-uDff_7J0KD5mKrp0Vvzr7lt3OU09vwQwhkpOPPYv2Y/edit?usp=sharing"",""งบพรบ!FK79"")"),0)</f>
        <v>0</v>
      </c>
      <c r="P79" s="67">
        <f t="shared" ca="1" si="50"/>
        <v>0</v>
      </c>
      <c r="Q79" s="68">
        <f t="shared" ca="1" si="51"/>
        <v>0</v>
      </c>
      <c r="R79" s="149">
        <f ca="1">IFERROR(__xludf.DUMMYFUNCTION("IMPORTRANGE(""https://docs.google.com/spreadsheets/d/1iodCdmuK2GR3jzUwk8tpccY2JHQQA-87DLOtJP-ooyU/edit?usp=sharing"",""นราธิวาส!I368"")"),70)</f>
        <v>70</v>
      </c>
      <c r="S79" s="152">
        <f ca="1">IFERROR(__xludf.DUMMYFUNCTION("IMPORTRANGE(""https://docs.google.com/spreadsheets/d/1iodCdmuK2GR3jzUwk8tpccY2JHQQA-87DLOtJP-ooyU/edit?usp=sharing"",""นราธิวาส!J367"")"),31)</f>
        <v>31</v>
      </c>
      <c r="T79" s="357">
        <f ca="1">IFERROR(__xludf.DUMMYFUNCTION("IMPORTRANGE(""https://docs.google.com/spreadsheets/d/1iodCdmuK2GR3jzUwk8tpccY2JHQQA-87DLOtJP-ooyU/edit?usp=sharing"",""นราธิวาส!J368"")"),83.32)</f>
        <v>83.32</v>
      </c>
      <c r="U79" s="216">
        <f t="shared" ca="1" si="53"/>
        <v>119.02857142857142</v>
      </c>
      <c r="V79" s="149">
        <f ca="1">IFERROR(__xludf.DUMMYFUNCTION("IMPORTRANGE(""https://docs.google.com/spreadsheets/d/1iodCdmuK2GR3jzUwk8tpccY2JHQQA-87DLOtJP-ooyU/edit?usp=sharing"",""นราธิวาส!I369"")"),36)</f>
        <v>36</v>
      </c>
      <c r="W79" s="152">
        <f ca="1">IFERROR(__xludf.DUMMYFUNCTION("IMPORTRANGE(""https://docs.google.com/spreadsheets/d/1iodCdmuK2GR3jzUwk8tpccY2JHQQA-87DLOtJP-ooyU/edit?usp=sharing"",""นราธิวาส!J369"")"),42)</f>
        <v>42</v>
      </c>
      <c r="X79" s="357">
        <f ca="1">IFERROR(__xludf.DUMMYFUNCTION("IMPORTRANGE(""https://docs.google.com/spreadsheets/d/1iodCdmuK2GR3jzUwk8tpccY2JHQQA-87DLOtJP-ooyU/edit?usp=sharing"",""นราธิวาส!J370"")"),156.36)</f>
        <v>156.36000000000001</v>
      </c>
      <c r="Y79" s="216">
        <f t="shared" ca="1" si="55"/>
        <v>116.66666666666667</v>
      </c>
      <c r="Z79" s="149">
        <f ca="1">IFERROR(__xludf.DUMMYFUNCTION("IMPORTRANGE(""https://docs.google.com/spreadsheets/d/1iodCdmuK2GR3jzUwk8tpccY2JHQQA-87DLOtJP-ooyU/edit?usp=sharing"",""นราธิวาส!I371"")"),36)</f>
        <v>36</v>
      </c>
      <c r="AA79" s="152">
        <f ca="1">IFERROR(__xludf.DUMMYFUNCTION("IMPORTRANGE(""https://docs.google.com/spreadsheets/d/1iodCdmuK2GR3jzUwk8tpccY2JHQQA-87DLOtJP-ooyU/edit?usp=sharing"",""นราธิวาส!J371"")"),29)</f>
        <v>29</v>
      </c>
      <c r="AB79" s="357">
        <f ca="1">IFERROR(__xludf.DUMMYFUNCTION("IMPORTRANGE(""https://docs.google.com/spreadsheets/d/1iodCdmuK2GR3jzUwk8tpccY2JHQQA-87DLOtJP-ooyU/edit?usp=sharing"",""นราธิวาส!J372"")"),136.39)</f>
        <v>136.38999999999999</v>
      </c>
      <c r="AC79" s="216">
        <f t="shared" ca="1" si="57"/>
        <v>80.555555555555557</v>
      </c>
      <c r="AD79" s="358">
        <f ca="1">IFERROR(__xludf.DUMMYFUNCTION("IMPORTRANGE(""https://docs.google.com/spreadsheets/d/1eHaY18a8A9IcSdp1K8H6x8fbOy06t2VsZHhMHf-1x7Y/edit?usp=sharing"",""แผน!EM79"")"),20)</f>
        <v>20</v>
      </c>
      <c r="AE79" s="151">
        <f ca="1">IFERROR(__xludf.DUMMYFUNCTION("IMPORTRANGE(""https://docs.google.com/spreadsheets/d/1tdoBKaGub7dwA3U6UFTqxio9LNnvDCQjHKmttSEBsFQ/edit?usp=sharing"",""จัดที่ดิน!E79"")"),26)</f>
        <v>26</v>
      </c>
      <c r="AF79" s="67">
        <f ca="1">IFERROR(__xludf.DUMMYFUNCTION("IMPORTRANGE(""https://docs.google.com/spreadsheets/d/1tdoBKaGub7dwA3U6UFTqxio9LNnvDCQjHKmttSEBsFQ/edit?usp=sharing"",""จัดที่ดิน!F79"")"),70.29)</f>
        <v>70.290000000000006</v>
      </c>
      <c r="AG79" s="68">
        <f t="shared" ca="1" si="59"/>
        <v>351.45000000000005</v>
      </c>
      <c r="AH79" s="358">
        <f ca="1">IFERROR(__xludf.DUMMYFUNCTION("IMPORTRANGE(""https://docs.google.com/spreadsheets/d/1eHaY18a8A9IcSdp1K8H6x8fbOy06t2VsZHhMHf-1x7Y/edit?usp=sharing"",""แผน!EN79"")"),11)</f>
        <v>11</v>
      </c>
      <c r="AI79" s="151">
        <f ca="1">IFERROR(__xludf.DUMMYFUNCTION("IMPORTRANGE(""https://docs.google.com/spreadsheets/d/1tdoBKaGub7dwA3U6UFTqxio9LNnvDCQjHKmttSEBsFQ/edit?usp=sharing"",""จัดที่ดิน!G79"")"),25)</f>
        <v>25</v>
      </c>
      <c r="AJ79" s="67">
        <f ca="1">IFERROR(__xludf.DUMMYFUNCTION("IMPORTRANGE(""https://docs.google.com/spreadsheets/d/1tdoBKaGub7dwA3U6UFTqxio9LNnvDCQjHKmttSEBsFQ/edit?usp=sharing"",""จัดที่ดิน!H79"")"),60.17)</f>
        <v>60.17</v>
      </c>
      <c r="AK79" s="68">
        <f t="shared" ca="1" si="61"/>
        <v>227.27272727272728</v>
      </c>
      <c r="AL79" s="358">
        <f ca="1">IFERROR(__xludf.DUMMYFUNCTION("IMPORTRANGE(""https://docs.google.com/spreadsheets/d/1eHaY18a8A9IcSdp1K8H6x8fbOy06t2VsZHhMHf-1x7Y/edit?usp=sharing"",""แผน!EN79"")"),11)</f>
        <v>11</v>
      </c>
      <c r="AM79" s="151">
        <f ca="1">IFERROR(__xludf.DUMMYFUNCTION("IMPORTRANGE(""https://docs.google.com/spreadsheets/d/1tdoBKaGub7dwA3U6UFTqxio9LNnvDCQjHKmttSEBsFQ/edit?usp=sharing"",""จัดที่ดิน!I79"")"),12)</f>
        <v>12</v>
      </c>
      <c r="AN79" s="67">
        <f ca="1">IFERROR(__xludf.DUMMYFUNCTION("IMPORTRANGE(""https://docs.google.com/spreadsheets/d/1tdoBKaGub7dwA3U6UFTqxio9LNnvDCQjHKmttSEBsFQ/edit?usp=sharing"",""จัดที่ดิน!J79"")"),40.2)</f>
        <v>40.200000000000003</v>
      </c>
      <c r="AO79" s="68">
        <f t="shared" ca="1" si="63"/>
        <v>109.09090909090909</v>
      </c>
      <c r="AP79" s="359">
        <f ca="1">IFERROR(__xludf.DUMMYFUNCTION("IMPORTRANGE(""https://docs.google.com/spreadsheets/d/1eHaY18a8A9IcSdp1K8H6x8fbOy06t2VsZHhMHf-1x7Y/edit?usp=sharing"",""แผน!EO79"")"),50)</f>
        <v>50</v>
      </c>
      <c r="AQ79" s="151">
        <f ca="1">IFERROR(__xludf.DUMMYFUNCTION("IMPORTRANGE(""https://docs.google.com/spreadsheets/d/1tdoBKaGub7dwA3U6UFTqxio9LNnvDCQjHKmttSEBsFQ/edit?usp=sharing"",""แบ่งแปลง!D84"")"),5)</f>
        <v>5</v>
      </c>
      <c r="AR79" s="67">
        <f ca="1">IFERROR(__xludf.DUMMYFUNCTION("IMPORTRANGE(""https://docs.google.com/spreadsheets/d/1tdoBKaGub7dwA3U6UFTqxio9LNnvDCQjHKmttSEBsFQ/edit?usp=sharing"",""แบ่งแปลง!F84"")"),13.03)</f>
        <v>13.03</v>
      </c>
      <c r="AS79" s="68">
        <f t="shared" ca="1" si="65"/>
        <v>26.06</v>
      </c>
      <c r="AT79" s="359">
        <f ca="1">IFERROR(__xludf.DUMMYFUNCTION("IMPORTRANGE(""https://docs.google.com/spreadsheets/d/1eHaY18a8A9IcSdp1K8H6x8fbOy06t2VsZHhMHf-1x7Y/edit?usp=sharing"",""แผน!EP79"")"),10)</f>
        <v>10</v>
      </c>
      <c r="AU79" s="151">
        <f ca="1">IFERROR(__xludf.DUMMYFUNCTION("IMPORTRANGE(""https://docs.google.com/spreadsheets/d/1tdoBKaGub7dwA3U6UFTqxio9LNnvDCQjHKmttSEBsFQ/edit?usp=sharing"",""แบ่งแปลง!I84"")"),0)</f>
        <v>0</v>
      </c>
      <c r="AV79" s="67">
        <f ca="1">IFERROR(__xludf.DUMMYFUNCTION("IMPORTRANGE(""https://docs.google.com/spreadsheets/d/1tdoBKaGub7dwA3U6UFTqxio9LNnvDCQjHKmttSEBsFQ/edit?usp=sharing"",""แบ่งแปลง!K84"")"),0)</f>
        <v>0</v>
      </c>
      <c r="AW79" s="68">
        <f t="shared" ca="1" si="67"/>
        <v>0</v>
      </c>
      <c r="AX79" s="359">
        <f ca="1">IFERROR(__xludf.DUMMYFUNCTION("IMPORTRANGE(""https://docs.google.com/spreadsheets/d/1eHaY18a8A9IcSdp1K8H6x8fbOy06t2VsZHhMHf-1x7Y/edit?usp=sharing"",""แผน!EP79"")"),10)</f>
        <v>10</v>
      </c>
      <c r="AY79" s="151">
        <f ca="1">IFERROR(__xludf.DUMMYFUNCTION("IMPORTRANGE(""https://docs.google.com/spreadsheets/d/1tdoBKaGub7dwA3U6UFTqxio9LNnvDCQjHKmttSEBsFQ/edit?usp=sharing"",""แบ่งแปลง!X84"")"),0)</f>
        <v>0</v>
      </c>
      <c r="AZ79" s="67">
        <f ca="1">IFERROR(__xludf.DUMMYFUNCTION("IMPORTRANGE(""https://docs.google.com/spreadsheets/d/1tdoBKaGub7dwA3U6UFTqxio9LNnvDCQjHKmttSEBsFQ/edit?usp=sharing"",""แบ่งแปลง!Z84"")"),0)</f>
        <v>0</v>
      </c>
      <c r="BA79" s="68">
        <f t="shared" ca="1" si="69"/>
        <v>0</v>
      </c>
      <c r="BB79" s="360">
        <f ca="1">IFERROR(__xludf.DUMMYFUNCTION("IMPORTRANGE(""https://docs.google.com/spreadsheets/d/1eHaY18a8A9IcSdp1K8H6x8fbOy06t2VsZHhMHf-1x7Y/edit?usp=sharing"",""แผน!ES79"")"),15)</f>
        <v>15</v>
      </c>
      <c r="BC79" s="151">
        <f ca="1">IFERROR(__xludf.DUMMYFUNCTION("IMPORTRANGE(""https://docs.google.com/spreadsheets/d/1tdoBKaGub7dwA3U6UFTqxio9LNnvDCQjHKmttSEBsFQ/edit?usp=sharing"",""เต็มแปลง!I84"")"),17)</f>
        <v>17</v>
      </c>
      <c r="BD79" s="67">
        <f ca="1">IFERROR(__xludf.DUMMYFUNCTION("IMPORTRANGE(""https://docs.google.com/spreadsheets/d/1tdoBKaGub7dwA3U6UFTqxio9LNnvDCQjHKmttSEBsFQ/edit?usp=sharing"",""เต็มแปลง!K84"")"),96.19)</f>
        <v>96.19</v>
      </c>
      <c r="BE79" s="68">
        <f t="shared" ca="1" si="71"/>
        <v>113.33333333333333</v>
      </c>
      <c r="BF79" s="360">
        <f ca="1">IFERROR(__xludf.DUMMYFUNCTION("IMPORTRANGE(""https://docs.google.com/spreadsheets/d/1eHaY18a8A9IcSdp1K8H6x8fbOy06t2VsZHhMHf-1x7Y/edit?usp=sharing"",""แผน!ES79"")"),15)</f>
        <v>15</v>
      </c>
      <c r="BG79" s="151">
        <f ca="1">IFERROR(__xludf.DUMMYFUNCTION("IMPORTRANGE(""https://docs.google.com/spreadsheets/d/1tdoBKaGub7dwA3U6UFTqxio9LNnvDCQjHKmttSEBsFQ/edit?usp=sharing"",""เต็มแปลง!S84"")"),17)</f>
        <v>17</v>
      </c>
      <c r="BH79" s="67">
        <f ca="1">IFERROR(__xludf.DUMMYFUNCTION("IMPORTRANGE(""https://docs.google.com/spreadsheets/d/1tdoBKaGub7dwA3U6UFTqxio9LNnvDCQjHKmttSEBsFQ/edit?usp=sharing"",""เต็มแปลง!U84"")"),96.19)</f>
        <v>96.19</v>
      </c>
      <c r="BI79" s="68">
        <f t="shared" ca="1" si="73"/>
        <v>113.33333333333333</v>
      </c>
      <c r="BJ79" s="339"/>
    </row>
    <row r="80" spans="1:62" ht="21" customHeight="1" x14ac:dyDescent="0.3">
      <c r="A80" s="147">
        <v>6</v>
      </c>
      <c r="B80" s="148" t="s">
        <v>108</v>
      </c>
      <c r="C80" s="149">
        <f t="shared" ca="1" si="44"/>
        <v>847300</v>
      </c>
      <c r="D80" s="150">
        <f t="shared" ca="1" si="113"/>
        <v>847300</v>
      </c>
      <c r="E80" s="151">
        <f ca="1">IFERROR(__xludf.DUMMYFUNCTION("IMPORTRANGE(""https://docs.google.com/spreadsheets/d/1-uDff_7J0KD5mKrp0Vvzr7lt3OU09vwQwhkpOPPYv2Y/edit?usp=sharing"",""งบพรบ!FD80"")"),617100)</f>
        <v>617100</v>
      </c>
      <c r="F80" s="151">
        <f ca="1">IFERROR(__xludf.DUMMYFUNCTION("IMPORTRANGE(""https://docs.google.com/spreadsheets/d/1-uDff_7J0KD5mKrp0Vvzr7lt3OU09vwQwhkpOPPYv2Y/edit?usp=sharing"",""งบพรบ!FE80"")"),230200)</f>
        <v>230200</v>
      </c>
      <c r="G80" s="151">
        <f ca="1">IFERROR(__xludf.DUMMYFUNCTION("IMPORTRANGE(""https://docs.google.com/spreadsheets/d/1-uDff_7J0KD5mKrp0Vvzr7lt3OU09vwQwhkpOPPYv2Y/edit?usp=sharing"",""งบพรบ!FF80"")"),0)</f>
        <v>0</v>
      </c>
      <c r="H80" s="151">
        <f ca="1">IFERROR(__xludf.DUMMYFUNCTION("IMPORTRANGE(""https://docs.google.com/spreadsheets/d/1-uDff_7J0KD5mKrp0Vvzr7lt3OU09vwQwhkpOPPYv2Y/edit?usp=sharing"",""งบพรบ!FH80"")"),925300)</f>
        <v>925300</v>
      </c>
      <c r="I80" s="151">
        <f ca="1">IFERROR(__xludf.DUMMYFUNCTION("IMPORTRANGE(""https://docs.google.com/spreadsheets/d/1-uDff_7J0KD5mKrp0Vvzr7lt3OU09vwQwhkpOPPYv2Y/edit?usp=sharing"",""งบพรบ!FI80"")"),0)</f>
        <v>0</v>
      </c>
      <c r="J80" s="151">
        <f t="shared" ca="1" si="46"/>
        <v>710517.11</v>
      </c>
      <c r="K80" s="154">
        <f t="shared" ca="1" si="47"/>
        <v>83.856616310633783</v>
      </c>
      <c r="L80" s="151">
        <f ca="1">IFERROR(__xludf.DUMMYFUNCTION("IMPORTRANGE(""https://docs.google.com/spreadsheets/d/1-uDff_7J0KD5mKrp0Vvzr7lt3OU09vwQwhkpOPPYv2Y/edit?usp=sharing"",""งบพรบ!FJ80"")"),710517.11)</f>
        <v>710517.11</v>
      </c>
      <c r="M80" s="68">
        <f t="shared" ca="1" si="48"/>
        <v>83.856616310633783</v>
      </c>
      <c r="N80" s="68">
        <f t="shared" ca="1" si="49"/>
        <v>76.787756403328643</v>
      </c>
      <c r="O80" s="67">
        <f ca="1">IFERROR(__xludf.DUMMYFUNCTION("IMPORTRANGE(""https://docs.google.com/spreadsheets/d/1-uDff_7J0KD5mKrp0Vvzr7lt3OU09vwQwhkpOPPYv2Y/edit?usp=sharing"",""งบพรบ!FK80"")"),0)</f>
        <v>0</v>
      </c>
      <c r="P80" s="67">
        <f t="shared" ca="1" si="50"/>
        <v>0</v>
      </c>
      <c r="Q80" s="68">
        <f t="shared" ca="1" si="51"/>
        <v>0</v>
      </c>
      <c r="R80" s="361">
        <f ca="1">IFERROR(__xludf.DUMMYFUNCTION("IMPORTRANGE(""https://docs.google.com/spreadsheets/d/1SDNX3JhDdYRuIOsj0Wh2M-Qa_eaXl0NbWmhAOTbfQAs/edit?usp=sharing"",""ปัตตานี!I368"")"),185)</f>
        <v>185</v>
      </c>
      <c r="S80" s="152">
        <f ca="1">IFERROR(__xludf.DUMMYFUNCTION("IMPORTRANGE(""https://docs.google.com/spreadsheets/d/1SDNX3JhDdYRuIOsj0Wh2M-Qa_eaXl0NbWmhAOTbfQAs/edit?usp=sharing"",""ปัตตานี!J367"")"),39)</f>
        <v>39</v>
      </c>
      <c r="T80" s="357">
        <f ca="1">IFERROR(__xludf.DUMMYFUNCTION("IMPORTRANGE(""https://docs.google.com/spreadsheets/d/1SDNX3JhDdYRuIOsj0Wh2M-Qa_eaXl0NbWmhAOTbfQAs/edit?usp=sharing"",""ปัตตานี!J368"")"),156.75)</f>
        <v>156.75</v>
      </c>
      <c r="U80" s="216">
        <f t="shared" ca="1" si="53"/>
        <v>84.729729729729726</v>
      </c>
      <c r="V80" s="361">
        <f ca="1">IFERROR(__xludf.DUMMYFUNCTION("IMPORTRANGE(""https://docs.google.com/spreadsheets/d/1SDNX3JhDdYRuIOsj0Wh2M-Qa_eaXl0NbWmhAOTbfQAs/edit?usp=sharing"",""ปัตตานี!I369"")"),32)</f>
        <v>32</v>
      </c>
      <c r="W80" s="152">
        <f ca="1">IFERROR(__xludf.DUMMYFUNCTION("IMPORTRANGE(""https://docs.google.com/spreadsheets/d/1SDNX3JhDdYRuIOsj0Wh2M-Qa_eaXl0NbWmhAOTbfQAs/edit?usp=sharing"",""ปัตตานี!J369"")"),92)</f>
        <v>92</v>
      </c>
      <c r="X80" s="357">
        <f ca="1">IFERROR(__xludf.DUMMYFUNCTION("IMPORTRANGE(""https://docs.google.com/spreadsheets/d/1SDNX3JhDdYRuIOsj0Wh2M-Qa_eaXl0NbWmhAOTbfQAs/edit?usp=sharing"",""ปัตตานี!J370"")"),478.38)</f>
        <v>478.38</v>
      </c>
      <c r="Y80" s="216">
        <f t="shared" ca="1" si="55"/>
        <v>287.5</v>
      </c>
      <c r="Z80" s="361">
        <f ca="1">IFERROR(__xludf.DUMMYFUNCTION("IMPORTRANGE(""https://docs.google.com/spreadsheets/d/1SDNX3JhDdYRuIOsj0Wh2M-Qa_eaXl0NbWmhAOTbfQAs/edit?usp=sharing"",""ปัตตานี!I371"")"),32)</f>
        <v>32</v>
      </c>
      <c r="AA80" s="152">
        <f ca="1">IFERROR(__xludf.DUMMYFUNCTION("IMPORTRANGE(""https://docs.google.com/spreadsheets/d/1SDNX3JhDdYRuIOsj0Wh2M-Qa_eaXl0NbWmhAOTbfQAs/edit?usp=sharing"",""ปัตตานี!J371"")"),67)</f>
        <v>67</v>
      </c>
      <c r="AB80" s="357">
        <f ca="1">IFERROR(__xludf.DUMMYFUNCTION("IMPORTRANGE(""https://docs.google.com/spreadsheets/d/1SDNX3JhDdYRuIOsj0Wh2M-Qa_eaXl0NbWmhAOTbfQAs/edit?usp=sharing"",""ปัตตานี!J372"")"),379.39)</f>
        <v>379.39</v>
      </c>
      <c r="AC80" s="216">
        <f t="shared" ca="1" si="57"/>
        <v>209.375</v>
      </c>
      <c r="AD80" s="362">
        <f ca="1">IFERROR(__xludf.DUMMYFUNCTION("IMPORTRANGE(""https://docs.google.com/spreadsheets/d/1eHaY18a8A9IcSdp1K8H6x8fbOy06t2VsZHhMHf-1x7Y/edit?usp=sharing"",""แผน!EM80"")"),155)</f>
        <v>155</v>
      </c>
      <c r="AE80" s="151">
        <f ca="1">IFERROR(__xludf.DUMMYFUNCTION("IMPORTRANGE(""https://docs.google.com/spreadsheets/d/1tdoBKaGub7dwA3U6UFTqxio9LNnvDCQjHKmttSEBsFQ/edit?usp=sharing"",""จัดที่ดิน!E80"")"),39)</f>
        <v>39</v>
      </c>
      <c r="AF80" s="67">
        <f ca="1">IFERROR(__xludf.DUMMYFUNCTION("IMPORTRANGE(""https://docs.google.com/spreadsheets/d/1tdoBKaGub7dwA3U6UFTqxio9LNnvDCQjHKmttSEBsFQ/edit?usp=sharing"",""จัดที่ดิน!F80"")"),156.75)</f>
        <v>156.75</v>
      </c>
      <c r="AG80" s="68">
        <f t="shared" ca="1" si="59"/>
        <v>101.12903225806451</v>
      </c>
      <c r="AH80" s="362">
        <f ca="1">IFERROR(__xludf.DUMMYFUNCTION("IMPORTRANGE(""https://docs.google.com/spreadsheets/d/1eHaY18a8A9IcSdp1K8H6x8fbOy06t2VsZHhMHf-1x7Y/edit?usp=sharing"",""แผน!EN80"")"),14)</f>
        <v>14</v>
      </c>
      <c r="AI80" s="151">
        <f ca="1">IFERROR(__xludf.DUMMYFUNCTION("IMPORTRANGE(""https://docs.google.com/spreadsheets/d/1tdoBKaGub7dwA3U6UFTqxio9LNnvDCQjHKmttSEBsFQ/edit?usp=sharing"",""จัดที่ดิน!G80"")"),39)</f>
        <v>39</v>
      </c>
      <c r="AJ80" s="67">
        <f ca="1">IFERROR(__xludf.DUMMYFUNCTION("IMPORTRANGE(""https://docs.google.com/spreadsheets/d/1tdoBKaGub7dwA3U6UFTqxio9LNnvDCQjHKmttSEBsFQ/edit?usp=sharing"",""จัดที่ดิน!H80"")"),156.75)</f>
        <v>156.75</v>
      </c>
      <c r="AK80" s="68">
        <f t="shared" ca="1" si="61"/>
        <v>278.57142857142856</v>
      </c>
      <c r="AL80" s="362">
        <f ca="1">IFERROR(__xludf.DUMMYFUNCTION("IMPORTRANGE(""https://docs.google.com/spreadsheets/d/1eHaY18a8A9IcSdp1K8H6x8fbOy06t2VsZHhMHf-1x7Y/edit?usp=sharing"",""แผน!EN80"")"),14)</f>
        <v>14</v>
      </c>
      <c r="AM80" s="151">
        <f ca="1">IFERROR(__xludf.DUMMYFUNCTION("IMPORTRANGE(""https://docs.google.com/spreadsheets/d/1tdoBKaGub7dwA3U6UFTqxio9LNnvDCQjHKmttSEBsFQ/edit?usp=sharing"",""จัดที่ดิน!I80"")"),15)</f>
        <v>15</v>
      </c>
      <c r="AN80" s="67">
        <f ca="1">IFERROR(__xludf.DUMMYFUNCTION("IMPORTRANGE(""https://docs.google.com/spreadsheets/d/1tdoBKaGub7dwA3U6UFTqxio9LNnvDCQjHKmttSEBsFQ/edit?usp=sharing"",""จัดที่ดิน!J80"")"),60.2)</f>
        <v>60.2</v>
      </c>
      <c r="AO80" s="68">
        <f t="shared" ca="1" si="63"/>
        <v>107.14285714285714</v>
      </c>
      <c r="AP80" s="363">
        <f ca="1">IFERROR(__xludf.DUMMYFUNCTION("IMPORTRANGE(""https://docs.google.com/spreadsheets/d/1eHaY18a8A9IcSdp1K8H6x8fbOy06t2VsZHhMHf-1x7Y/edit?usp=sharing"",""แผน!EO80"")"),30)</f>
        <v>30</v>
      </c>
      <c r="AQ80" s="151">
        <f ca="1">IFERROR(__xludf.DUMMYFUNCTION("IMPORTRANGE(""https://docs.google.com/spreadsheets/d/1tdoBKaGub7dwA3U6UFTqxio9LNnvDCQjHKmttSEBsFQ/edit?usp=sharing"",""แบ่งแปลง!D85"")"),0)</f>
        <v>0</v>
      </c>
      <c r="AR80" s="67">
        <f ca="1">IFERROR(__xludf.DUMMYFUNCTION("IMPORTRANGE(""https://docs.google.com/spreadsheets/d/1tdoBKaGub7dwA3U6UFTqxio9LNnvDCQjHKmttSEBsFQ/edit?usp=sharing"",""แบ่งแปลง!F85"")"),0)</f>
        <v>0</v>
      </c>
      <c r="AS80" s="68">
        <f t="shared" ca="1" si="65"/>
        <v>0</v>
      </c>
      <c r="AT80" s="363">
        <f ca="1">IFERROR(__xludf.DUMMYFUNCTION("IMPORTRANGE(""https://docs.google.com/spreadsheets/d/1eHaY18a8A9IcSdp1K8H6x8fbOy06t2VsZHhMHf-1x7Y/edit?usp=sharing"",""แผน!EP80"")"),6)</f>
        <v>6</v>
      </c>
      <c r="AU80" s="151">
        <f ca="1">IFERROR(__xludf.DUMMYFUNCTION("IMPORTRANGE(""https://docs.google.com/spreadsheets/d/1tdoBKaGub7dwA3U6UFTqxio9LNnvDCQjHKmttSEBsFQ/edit?usp=sharing"",""แบ่งแปลง!I85"")"),0)</f>
        <v>0</v>
      </c>
      <c r="AV80" s="67">
        <f ca="1">IFERROR(__xludf.DUMMYFUNCTION("IMPORTRANGE(""https://docs.google.com/spreadsheets/d/1tdoBKaGub7dwA3U6UFTqxio9LNnvDCQjHKmttSEBsFQ/edit?usp=sharing"",""แบ่งแปลง!K85"")"),0)</f>
        <v>0</v>
      </c>
      <c r="AW80" s="68">
        <f t="shared" ca="1" si="67"/>
        <v>0</v>
      </c>
      <c r="AX80" s="363">
        <f ca="1">IFERROR(__xludf.DUMMYFUNCTION("IMPORTRANGE(""https://docs.google.com/spreadsheets/d/1eHaY18a8A9IcSdp1K8H6x8fbOy06t2VsZHhMHf-1x7Y/edit?usp=sharing"",""แผน!EP80"")"),6)</f>
        <v>6</v>
      </c>
      <c r="AY80" s="151">
        <f ca="1">IFERROR(__xludf.DUMMYFUNCTION("IMPORTRANGE(""https://docs.google.com/spreadsheets/d/1tdoBKaGub7dwA3U6UFTqxio9LNnvDCQjHKmttSEBsFQ/edit?usp=sharing"",""แบ่งแปลง!X85"")"),0)</f>
        <v>0</v>
      </c>
      <c r="AZ80" s="67">
        <f ca="1">IFERROR(__xludf.DUMMYFUNCTION("IMPORTRANGE(""https://docs.google.com/spreadsheets/d/1tdoBKaGub7dwA3U6UFTqxio9LNnvDCQjHKmttSEBsFQ/edit?usp=sharing"",""แบ่งแปลง!Z85"")"),0)</f>
        <v>0</v>
      </c>
      <c r="BA80" s="68">
        <f t="shared" ca="1" si="69"/>
        <v>0</v>
      </c>
      <c r="BB80" s="364">
        <f ca="1">IFERROR(__xludf.DUMMYFUNCTION("IMPORTRANGE(""https://docs.google.com/spreadsheets/d/1eHaY18a8A9IcSdp1K8H6x8fbOy06t2VsZHhMHf-1x7Y/edit?usp=sharing"",""แผน!ES80"")"),12)</f>
        <v>12</v>
      </c>
      <c r="BC80" s="151">
        <f ca="1">IFERROR(__xludf.DUMMYFUNCTION("IMPORTRANGE(""https://docs.google.com/spreadsheets/d/1tdoBKaGub7dwA3U6UFTqxio9LNnvDCQjHKmttSEBsFQ/edit?usp=sharing"",""เต็มแปลง!I85"")"),53)</f>
        <v>53</v>
      </c>
      <c r="BD80" s="67">
        <f ca="1">IFERROR(__xludf.DUMMYFUNCTION("IMPORTRANGE(""https://docs.google.com/spreadsheets/d/1tdoBKaGub7dwA3U6UFTqxio9LNnvDCQjHKmttSEBsFQ/edit?usp=sharing"",""เต็มแปลง!K85"")"),321.63)</f>
        <v>321.63</v>
      </c>
      <c r="BE80" s="68">
        <f t="shared" ca="1" si="71"/>
        <v>441.66666666666669</v>
      </c>
      <c r="BF80" s="364">
        <f ca="1">IFERROR(__xludf.DUMMYFUNCTION("IMPORTRANGE(""https://docs.google.com/spreadsheets/d/1eHaY18a8A9IcSdp1K8H6x8fbOy06t2VsZHhMHf-1x7Y/edit?usp=sharing"",""แผน!ES80"")"),12)</f>
        <v>12</v>
      </c>
      <c r="BG80" s="151">
        <f ca="1">IFERROR(__xludf.DUMMYFUNCTION("IMPORTRANGE(""https://docs.google.com/spreadsheets/d/1tdoBKaGub7dwA3U6UFTqxio9LNnvDCQjHKmttSEBsFQ/edit?usp=sharing"",""เต็มแปลง!S85"")"),52)</f>
        <v>52</v>
      </c>
      <c r="BH80" s="67">
        <f ca="1">IFERROR(__xludf.DUMMYFUNCTION("IMPORTRANGE(""https://docs.google.com/spreadsheets/d/1tdoBKaGub7dwA3U6UFTqxio9LNnvDCQjHKmttSEBsFQ/edit?usp=sharing"",""เต็มแปลง!U85"")"),319.19)</f>
        <v>319.19</v>
      </c>
      <c r="BI80" s="68">
        <f t="shared" ca="1" si="73"/>
        <v>433.33333333333331</v>
      </c>
      <c r="BJ80" s="339"/>
    </row>
    <row r="81" spans="1:62" ht="21" customHeight="1" x14ac:dyDescent="0.3">
      <c r="A81" s="147">
        <v>7</v>
      </c>
      <c r="B81" s="148" t="s">
        <v>109</v>
      </c>
      <c r="C81" s="149">
        <f t="shared" ca="1" si="44"/>
        <v>658660</v>
      </c>
      <c r="D81" s="150">
        <f t="shared" ca="1" si="113"/>
        <v>658660</v>
      </c>
      <c r="E81" s="151">
        <f ca="1">IFERROR(__xludf.DUMMYFUNCTION("IMPORTRANGE(""https://docs.google.com/spreadsheets/d/1-uDff_7J0KD5mKrp0Vvzr7lt3OU09vwQwhkpOPPYv2Y/edit?usp=sharing"",""งบพรบ!FD81"")"),432300)</f>
        <v>432300</v>
      </c>
      <c r="F81" s="151">
        <f ca="1">IFERROR(__xludf.DUMMYFUNCTION("IMPORTRANGE(""https://docs.google.com/spreadsheets/d/1-uDff_7J0KD5mKrp0Vvzr7lt3OU09vwQwhkpOPPYv2Y/edit?usp=sharing"",""งบพรบ!FE81"")"),226360)</f>
        <v>226360</v>
      </c>
      <c r="G81" s="151">
        <f ca="1">IFERROR(__xludf.DUMMYFUNCTION("IMPORTRANGE(""https://docs.google.com/spreadsheets/d/1-uDff_7J0KD5mKrp0Vvzr7lt3OU09vwQwhkpOPPYv2Y/edit?usp=sharing"",""งบพรบ!FF81"")"),0)</f>
        <v>0</v>
      </c>
      <c r="H81" s="151">
        <f ca="1">IFERROR(__xludf.DUMMYFUNCTION("IMPORTRANGE(""https://docs.google.com/spreadsheets/d/1-uDff_7J0KD5mKrp0Vvzr7lt3OU09vwQwhkpOPPYv2Y/edit?usp=sharing"",""งบพรบ!FH81"")"),749660)</f>
        <v>749660</v>
      </c>
      <c r="I81" s="151">
        <f ca="1">IFERROR(__xludf.DUMMYFUNCTION("IMPORTRANGE(""https://docs.google.com/spreadsheets/d/1-uDff_7J0KD5mKrp0Vvzr7lt3OU09vwQwhkpOPPYv2Y/edit?usp=sharing"",""งบพรบ!FI81"")"),0)</f>
        <v>0</v>
      </c>
      <c r="J81" s="151">
        <f t="shared" ca="1" si="46"/>
        <v>474413.67</v>
      </c>
      <c r="K81" s="154">
        <f t="shared" ca="1" si="47"/>
        <v>72.027095922023506</v>
      </c>
      <c r="L81" s="151">
        <f ca="1">IFERROR(__xludf.DUMMYFUNCTION("IMPORTRANGE(""https://docs.google.com/spreadsheets/d/1-uDff_7J0KD5mKrp0Vvzr7lt3OU09vwQwhkpOPPYv2Y/edit?usp=sharing"",""งบพรบ!FJ81"")"),474413.67)</f>
        <v>474413.67</v>
      </c>
      <c r="M81" s="68">
        <f t="shared" ca="1" si="48"/>
        <v>72.027095922023506</v>
      </c>
      <c r="N81" s="68">
        <f t="shared" ca="1" si="49"/>
        <v>63.283844676253231</v>
      </c>
      <c r="O81" s="67">
        <f ca="1">IFERROR(__xludf.DUMMYFUNCTION("IMPORTRANGE(""https://docs.google.com/spreadsheets/d/1-uDff_7J0KD5mKrp0Vvzr7lt3OU09vwQwhkpOPPYv2Y/edit?usp=sharing"",""งบพรบ!FK81"")"),0)</f>
        <v>0</v>
      </c>
      <c r="P81" s="67">
        <f t="shared" ca="1" si="50"/>
        <v>0</v>
      </c>
      <c r="Q81" s="68">
        <f t="shared" ca="1" si="51"/>
        <v>0</v>
      </c>
      <c r="R81" s="149">
        <f ca="1">IFERROR(__xludf.DUMMYFUNCTION("IMPORTRANGE(""https://docs.google.com/spreadsheets/d/16JDLGguT8s5DsGCND1KcwHP_AWR_zDMTqLHPLJUKhaU/edit?usp=sharing"",""พังงา!I368"")"),115)</f>
        <v>115</v>
      </c>
      <c r="S81" s="152">
        <f ca="1">IFERROR(__xludf.DUMMYFUNCTION("IMPORTRANGE(""https://docs.google.com/spreadsheets/d/16JDLGguT8s5DsGCND1KcwHP_AWR_zDMTqLHPLJUKhaU/edit?usp=sharing"",""พังงา!J367"")"),24)</f>
        <v>24</v>
      </c>
      <c r="T81" s="357">
        <f ca="1">IFERROR(__xludf.DUMMYFUNCTION("IMPORTRANGE(""https://docs.google.com/spreadsheets/d/16JDLGguT8s5DsGCND1KcwHP_AWR_zDMTqLHPLJUKhaU/edit?usp=sharing"",""พังงา!J368"")"),211.23)</f>
        <v>211.23</v>
      </c>
      <c r="U81" s="216">
        <f t="shared" ca="1" si="53"/>
        <v>183.67826086956521</v>
      </c>
      <c r="V81" s="149">
        <f ca="1">IFERROR(__xludf.DUMMYFUNCTION("IMPORTRANGE(""https://docs.google.com/spreadsheets/d/16JDLGguT8s5DsGCND1KcwHP_AWR_zDMTqLHPLJUKhaU/edit?usp=sharing"",""พังงา!I369"")"),60)</f>
        <v>60</v>
      </c>
      <c r="W81" s="152">
        <f ca="1">IFERROR(__xludf.DUMMYFUNCTION("IMPORTRANGE(""https://docs.google.com/spreadsheets/d/16JDLGguT8s5DsGCND1KcwHP_AWR_zDMTqLHPLJUKhaU/edit?usp=sharing"",""พังงา!J369"")"),58)</f>
        <v>58</v>
      </c>
      <c r="X81" s="357">
        <f ca="1">IFERROR(__xludf.DUMMYFUNCTION("IMPORTRANGE(""https://docs.google.com/spreadsheets/d/16JDLGguT8s5DsGCND1KcwHP_AWR_zDMTqLHPLJUKhaU/edit?usp=sharing"",""พังงา!J370"")"),660.38)</f>
        <v>660.38</v>
      </c>
      <c r="Y81" s="216">
        <f t="shared" ca="1" si="55"/>
        <v>96.666666666666671</v>
      </c>
      <c r="Z81" s="149">
        <f ca="1">IFERROR(__xludf.DUMMYFUNCTION("IMPORTRANGE(""https://docs.google.com/spreadsheets/d/16JDLGguT8s5DsGCND1KcwHP_AWR_zDMTqLHPLJUKhaU/edit?usp=sharing"",""พังงา!I371"")"),60)</f>
        <v>60</v>
      </c>
      <c r="AA81" s="152">
        <f ca="1">IFERROR(__xludf.DUMMYFUNCTION("IMPORTRANGE(""https://docs.google.com/spreadsheets/d/16JDLGguT8s5DsGCND1KcwHP_AWR_zDMTqLHPLJUKhaU/edit?usp=sharing"",""พังงา!J371"")"),50)</f>
        <v>50</v>
      </c>
      <c r="AB81" s="357">
        <f ca="1">IFERROR(__xludf.DUMMYFUNCTION("IMPORTRANGE(""https://docs.google.com/spreadsheets/d/16JDLGguT8s5DsGCND1KcwHP_AWR_zDMTqLHPLJUKhaU/edit?usp=sharing"",""พังงา!J372"")"),582.4)</f>
        <v>582.4</v>
      </c>
      <c r="AC81" s="216">
        <f t="shared" ca="1" si="57"/>
        <v>83.333333333333329</v>
      </c>
      <c r="AD81" s="358">
        <f ca="1">IFERROR(__xludf.DUMMYFUNCTION("IMPORTRANGE(""https://docs.google.com/spreadsheets/d/1eHaY18a8A9IcSdp1K8H6x8fbOy06t2VsZHhMHf-1x7Y/edit?usp=sharing"",""แผน!EM81"")"),40)</f>
        <v>40</v>
      </c>
      <c r="AE81" s="151">
        <f ca="1">IFERROR(__xludf.DUMMYFUNCTION("IMPORTRANGE(""https://docs.google.com/spreadsheets/d/1tdoBKaGub7dwA3U6UFTqxio9LNnvDCQjHKmttSEBsFQ/edit?usp=sharing"",""จัดที่ดิน!E81"")"),11)</f>
        <v>11</v>
      </c>
      <c r="AF81" s="67">
        <f ca="1">IFERROR(__xludf.DUMMYFUNCTION("IMPORTRANGE(""https://docs.google.com/spreadsheets/d/1tdoBKaGub7dwA3U6UFTqxio9LNnvDCQjHKmttSEBsFQ/edit?usp=sharing"",""จัดที่ดิน!F81"")"),83.64)</f>
        <v>83.64</v>
      </c>
      <c r="AG81" s="68">
        <f t="shared" ca="1" si="59"/>
        <v>209.1</v>
      </c>
      <c r="AH81" s="358">
        <f ca="1">IFERROR(__xludf.DUMMYFUNCTION("IMPORTRANGE(""https://docs.google.com/spreadsheets/d/1eHaY18a8A9IcSdp1K8H6x8fbOy06t2VsZHhMHf-1x7Y/edit?usp=sharing"",""แผน!EN81"")"),6)</f>
        <v>6</v>
      </c>
      <c r="AI81" s="151">
        <f ca="1">IFERROR(__xludf.DUMMYFUNCTION("IMPORTRANGE(""https://docs.google.com/spreadsheets/d/1tdoBKaGub7dwA3U6UFTqxio9LNnvDCQjHKmttSEBsFQ/edit?usp=sharing"",""จัดที่ดิน!G81"")"),10)</f>
        <v>10</v>
      </c>
      <c r="AJ81" s="67">
        <f ca="1">IFERROR(__xludf.DUMMYFUNCTION("IMPORTRANGE(""https://docs.google.com/spreadsheets/d/1tdoBKaGub7dwA3U6UFTqxio9LNnvDCQjHKmttSEBsFQ/edit?usp=sharing"",""จัดที่ดิน!H81"")"),82.67)</f>
        <v>82.67</v>
      </c>
      <c r="AK81" s="68">
        <f t="shared" ca="1" si="61"/>
        <v>166.66666666666666</v>
      </c>
      <c r="AL81" s="358">
        <f ca="1">IFERROR(__xludf.DUMMYFUNCTION("IMPORTRANGE(""https://docs.google.com/spreadsheets/d/1eHaY18a8A9IcSdp1K8H6x8fbOy06t2VsZHhMHf-1x7Y/edit?usp=sharing"",""แผน!EN81"")"),6)</f>
        <v>6</v>
      </c>
      <c r="AM81" s="151">
        <f ca="1">IFERROR(__xludf.DUMMYFUNCTION("IMPORTRANGE(""https://docs.google.com/spreadsheets/d/1tdoBKaGub7dwA3U6UFTqxio9LNnvDCQjHKmttSEBsFQ/edit?usp=sharing"",""จัดที่ดิน!I81"")"),2)</f>
        <v>2</v>
      </c>
      <c r="AN81" s="67">
        <f ca="1">IFERROR(__xludf.DUMMYFUNCTION("IMPORTRANGE(""https://docs.google.com/spreadsheets/d/1tdoBKaGub7dwA3U6UFTqxio9LNnvDCQjHKmttSEBsFQ/edit?usp=sharing"",""จัดที่ดิน!J81"")"),4.69)</f>
        <v>4.6900000000000004</v>
      </c>
      <c r="AO81" s="68">
        <f t="shared" ca="1" si="63"/>
        <v>33.333333333333336</v>
      </c>
      <c r="AP81" s="359">
        <f ca="1">IFERROR(__xludf.DUMMYFUNCTION("IMPORTRANGE(""https://docs.google.com/spreadsheets/d/1eHaY18a8A9IcSdp1K8H6x8fbOy06t2VsZHhMHf-1x7Y/edit?usp=sharing"",""แผน!EO81"")"),75)</f>
        <v>75</v>
      </c>
      <c r="AQ81" s="151">
        <f ca="1">IFERROR(__xludf.DUMMYFUNCTION("IMPORTRANGE(""https://docs.google.com/spreadsheets/d/1tdoBKaGub7dwA3U6UFTqxio9LNnvDCQjHKmttSEBsFQ/edit?usp=sharing"",""แบ่งแปลง!D86"")"),13)</f>
        <v>13</v>
      </c>
      <c r="AR81" s="67">
        <f ca="1">IFERROR(__xludf.DUMMYFUNCTION("IMPORTRANGE(""https://docs.google.com/spreadsheets/d/1tdoBKaGub7dwA3U6UFTqxio9LNnvDCQjHKmttSEBsFQ/edit?usp=sharing"",""แบ่งแปลง!F86"")"),127.59)</f>
        <v>127.59</v>
      </c>
      <c r="AS81" s="68">
        <f t="shared" ca="1" si="65"/>
        <v>170.12</v>
      </c>
      <c r="AT81" s="359">
        <f ca="1">IFERROR(__xludf.DUMMYFUNCTION("IMPORTRANGE(""https://docs.google.com/spreadsheets/d/1eHaY18a8A9IcSdp1K8H6x8fbOy06t2VsZHhMHf-1x7Y/edit?usp=sharing"",""แผน!EP81"")"),15)</f>
        <v>15</v>
      </c>
      <c r="AU81" s="151">
        <f ca="1">IFERROR(__xludf.DUMMYFUNCTION("IMPORTRANGE(""https://docs.google.com/spreadsheets/d/1tdoBKaGub7dwA3U6UFTqxio9LNnvDCQjHKmttSEBsFQ/edit?usp=sharing"",""แบ่งแปลง!I86"")"),13)</f>
        <v>13</v>
      </c>
      <c r="AV81" s="67">
        <f ca="1">IFERROR(__xludf.DUMMYFUNCTION("IMPORTRANGE(""https://docs.google.com/spreadsheets/d/1tdoBKaGub7dwA3U6UFTqxio9LNnvDCQjHKmttSEBsFQ/edit?usp=sharing"",""แบ่งแปลง!K86"")"),127.59)</f>
        <v>127.59</v>
      </c>
      <c r="AW81" s="68">
        <f t="shared" ca="1" si="67"/>
        <v>86.666666666666671</v>
      </c>
      <c r="AX81" s="359">
        <f ca="1">IFERROR(__xludf.DUMMYFUNCTION("IMPORTRANGE(""https://docs.google.com/spreadsheets/d/1eHaY18a8A9IcSdp1K8H6x8fbOy06t2VsZHhMHf-1x7Y/edit?usp=sharing"",""แผน!EP81"")"),15)</f>
        <v>15</v>
      </c>
      <c r="AY81" s="151">
        <f ca="1">IFERROR(__xludf.DUMMYFUNCTION("IMPORTRANGE(""https://docs.google.com/spreadsheets/d/1tdoBKaGub7dwA3U6UFTqxio9LNnvDCQjHKmttSEBsFQ/edit?usp=sharing"",""แบ่งแปลง!X86"")"),13)</f>
        <v>13</v>
      </c>
      <c r="AZ81" s="67">
        <f ca="1">IFERROR(__xludf.DUMMYFUNCTION("IMPORTRANGE(""https://docs.google.com/spreadsheets/d/1tdoBKaGub7dwA3U6UFTqxio9LNnvDCQjHKmttSEBsFQ/edit?usp=sharing"",""แบ่งแปลง!Z86"")"),127.59)</f>
        <v>127.59</v>
      </c>
      <c r="BA81" s="68">
        <f t="shared" ca="1" si="69"/>
        <v>86.666666666666671</v>
      </c>
      <c r="BB81" s="360">
        <f ca="1">IFERROR(__xludf.DUMMYFUNCTION("IMPORTRANGE(""https://docs.google.com/spreadsheets/d/1eHaY18a8A9IcSdp1K8H6x8fbOy06t2VsZHhMHf-1x7Y/edit?usp=sharing"",""แผน!ES81"")"),39)</f>
        <v>39</v>
      </c>
      <c r="BC81" s="151">
        <f ca="1">IFERROR(__xludf.DUMMYFUNCTION("IMPORTRANGE(""https://docs.google.com/spreadsheets/d/1tdoBKaGub7dwA3U6UFTqxio9LNnvDCQjHKmttSEBsFQ/edit?usp=sharing"",""เต็มแปลง!I86"")"),35)</f>
        <v>35</v>
      </c>
      <c r="BD81" s="67">
        <f ca="1">IFERROR(__xludf.DUMMYFUNCTION("IMPORTRANGE(""https://docs.google.com/spreadsheets/d/1tdoBKaGub7dwA3U6UFTqxio9LNnvDCQjHKmttSEBsFQ/edit?usp=sharing"",""เต็มแปลง!K86"")"),450.12)</f>
        <v>450.12</v>
      </c>
      <c r="BE81" s="68">
        <f t="shared" ca="1" si="71"/>
        <v>89.743589743589737</v>
      </c>
      <c r="BF81" s="360">
        <f ca="1">IFERROR(__xludf.DUMMYFUNCTION("IMPORTRANGE(""https://docs.google.com/spreadsheets/d/1eHaY18a8A9IcSdp1K8H6x8fbOy06t2VsZHhMHf-1x7Y/edit?usp=sharing"",""แผน!ES81"")"),39)</f>
        <v>39</v>
      </c>
      <c r="BG81" s="151">
        <f ca="1">IFERROR(__xludf.DUMMYFUNCTION("IMPORTRANGE(""https://docs.google.com/spreadsheets/d/1tdoBKaGub7dwA3U6UFTqxio9LNnvDCQjHKmttSEBsFQ/edit?usp=sharing"",""เต็มแปลง!S86"")"),35)</f>
        <v>35</v>
      </c>
      <c r="BH81" s="67">
        <f ca="1">IFERROR(__xludf.DUMMYFUNCTION("IMPORTRANGE(""https://docs.google.com/spreadsheets/d/1tdoBKaGub7dwA3U6UFTqxio9LNnvDCQjHKmttSEBsFQ/edit?usp=sharing"",""เต็มแปลง!U86"")"),450.12)</f>
        <v>450.12</v>
      </c>
      <c r="BI81" s="68">
        <f t="shared" ca="1" si="73"/>
        <v>89.743589743589737</v>
      </c>
      <c r="BJ81" s="339"/>
    </row>
    <row r="82" spans="1:62" ht="21" customHeight="1" x14ac:dyDescent="0.3">
      <c r="A82" s="147">
        <v>8</v>
      </c>
      <c r="B82" s="148" t="s">
        <v>110</v>
      </c>
      <c r="C82" s="149">
        <f t="shared" ca="1" si="44"/>
        <v>430070</v>
      </c>
      <c r="D82" s="150">
        <f t="shared" ca="1" si="113"/>
        <v>430070</v>
      </c>
      <c r="E82" s="151">
        <f ca="1">IFERROR(__xludf.DUMMYFUNCTION("IMPORTRANGE(""https://docs.google.com/spreadsheets/d/1-uDff_7J0KD5mKrp0Vvzr7lt3OU09vwQwhkpOPPYv2Y/edit?usp=sharing"",""งบพรบ!FD82"")"),128000)</f>
        <v>128000</v>
      </c>
      <c r="F82" s="151">
        <f ca="1">IFERROR(__xludf.DUMMYFUNCTION("IMPORTRANGE(""https://docs.google.com/spreadsheets/d/1-uDff_7J0KD5mKrp0Vvzr7lt3OU09vwQwhkpOPPYv2Y/edit?usp=sharing"",""งบพรบ!FE82"")"),302070)</f>
        <v>302070</v>
      </c>
      <c r="G82" s="151">
        <f ca="1">IFERROR(__xludf.DUMMYFUNCTION("IMPORTRANGE(""https://docs.google.com/spreadsheets/d/1-uDff_7J0KD5mKrp0Vvzr7lt3OU09vwQwhkpOPPYv2Y/edit?usp=sharing"",""งบพรบ!FF82"")"),0)</f>
        <v>0</v>
      </c>
      <c r="H82" s="151">
        <f ca="1">IFERROR(__xludf.DUMMYFUNCTION("IMPORTRANGE(""https://docs.google.com/spreadsheets/d/1-uDff_7J0KD5mKrp0Vvzr7lt3OU09vwQwhkpOPPYv2Y/edit?usp=sharing"",""งบพรบ!FH82"")"),518070)</f>
        <v>518070</v>
      </c>
      <c r="I82" s="151">
        <f ca="1">IFERROR(__xludf.DUMMYFUNCTION("IMPORTRANGE(""https://docs.google.com/spreadsheets/d/1-uDff_7J0KD5mKrp0Vvzr7lt3OU09vwQwhkpOPPYv2Y/edit?usp=sharing"",""งบพรบ!FI82"")"),0)</f>
        <v>0</v>
      </c>
      <c r="J82" s="151">
        <f t="shared" ca="1" si="46"/>
        <v>275302.69</v>
      </c>
      <c r="K82" s="154">
        <f t="shared" ca="1" si="47"/>
        <v>64.013460599437295</v>
      </c>
      <c r="L82" s="151">
        <f ca="1">IFERROR(__xludf.DUMMYFUNCTION("IMPORTRANGE(""https://docs.google.com/spreadsheets/d/1-uDff_7J0KD5mKrp0Vvzr7lt3OU09vwQwhkpOPPYv2Y/edit?usp=sharing"",""งบพรบ!FJ82"")"),275302.69)</f>
        <v>275302.69</v>
      </c>
      <c r="M82" s="68">
        <f t="shared" ca="1" si="48"/>
        <v>64.013460599437295</v>
      </c>
      <c r="N82" s="68">
        <f t="shared" ca="1" si="49"/>
        <v>53.140056363039747</v>
      </c>
      <c r="O82" s="67">
        <f ca="1">IFERROR(__xludf.DUMMYFUNCTION("IMPORTRANGE(""https://docs.google.com/spreadsheets/d/1-uDff_7J0KD5mKrp0Vvzr7lt3OU09vwQwhkpOPPYv2Y/edit?usp=sharing"",""งบพรบ!FK82"")"),0)</f>
        <v>0</v>
      </c>
      <c r="P82" s="67">
        <f t="shared" ca="1" si="50"/>
        <v>0</v>
      </c>
      <c r="Q82" s="68">
        <f t="shared" ca="1" si="51"/>
        <v>0</v>
      </c>
      <c r="R82" s="149">
        <f ca="1">IFERROR(__xludf.DUMMYFUNCTION("IMPORTRANGE(""https://docs.google.com/spreadsheets/d/17ht0gPKzzT3PObBL1XJkeRmntBXI7wGjpLV7QorqlTk/edit?usp=sharing"",""พัทลุง!I368"")"),680)</f>
        <v>680</v>
      </c>
      <c r="S82" s="152">
        <f ca="1">IFERROR(__xludf.DUMMYFUNCTION("IMPORTRANGE(""https://docs.google.com/spreadsheets/d/17ht0gPKzzT3PObBL1XJkeRmntBXI7wGjpLV7QorqlTk/edit?usp=sharing"",""พัทลุง!J367"")"),74)</f>
        <v>74</v>
      </c>
      <c r="T82" s="357">
        <f ca="1">IFERROR(__xludf.DUMMYFUNCTION("IMPORTRANGE(""https://docs.google.com/spreadsheets/d/17ht0gPKzzT3PObBL1XJkeRmntBXI7wGjpLV7QorqlTk/edit?usp=sharing"",""พัทลุง!J368"")"),298.06)</f>
        <v>298.06</v>
      </c>
      <c r="U82" s="216">
        <f t="shared" ca="1" si="53"/>
        <v>43.832352941176474</v>
      </c>
      <c r="V82" s="149">
        <f ca="1">IFERROR(__xludf.DUMMYFUNCTION("IMPORTRANGE(""https://docs.google.com/spreadsheets/d/17ht0gPKzzT3PObBL1XJkeRmntBXI7wGjpLV7QorqlTk/edit?usp=sharing"",""พัทลุง!I369"")"),250)</f>
        <v>250</v>
      </c>
      <c r="W82" s="152">
        <f ca="1">IFERROR(__xludf.DUMMYFUNCTION("IMPORTRANGE(""https://docs.google.com/spreadsheets/d/17ht0gPKzzT3PObBL1XJkeRmntBXI7wGjpLV7QorqlTk/edit?usp=sharing"",""พัทลุง!J369"")"),241)</f>
        <v>241</v>
      </c>
      <c r="X82" s="357">
        <f ca="1">IFERROR(__xludf.DUMMYFUNCTION("IMPORTRANGE(""https://docs.google.com/spreadsheets/d/17ht0gPKzzT3PObBL1XJkeRmntBXI7wGjpLV7QorqlTk/edit?usp=sharing"",""พัทลุง!J370"")"),1763.99)</f>
        <v>1763.99</v>
      </c>
      <c r="Y82" s="216">
        <f t="shared" ca="1" si="55"/>
        <v>96.4</v>
      </c>
      <c r="Z82" s="149">
        <f ca="1">IFERROR(__xludf.DUMMYFUNCTION("IMPORTRANGE(""https://docs.google.com/spreadsheets/d/17ht0gPKzzT3PObBL1XJkeRmntBXI7wGjpLV7QorqlTk/edit?usp=sharing"",""พัทลุง!I371"")"),250)</f>
        <v>250</v>
      </c>
      <c r="AA82" s="152">
        <f ca="1">IFERROR(__xludf.DUMMYFUNCTION("IMPORTRANGE(""https://docs.google.com/spreadsheets/d/17ht0gPKzzT3PObBL1XJkeRmntBXI7wGjpLV7QorqlTk/edit?usp=sharing"",""พัทลุง!J371"")"),220)</f>
        <v>220</v>
      </c>
      <c r="AB82" s="357">
        <f ca="1">IFERROR(__xludf.DUMMYFUNCTION("IMPORTRANGE(""https://docs.google.com/spreadsheets/d/17ht0gPKzzT3PObBL1XJkeRmntBXI7wGjpLV7QorqlTk/edit?usp=sharing"",""พัทลุง!J372"")"),1700.51)</f>
        <v>1700.51</v>
      </c>
      <c r="AC82" s="216">
        <f t="shared" ca="1" si="57"/>
        <v>88</v>
      </c>
      <c r="AD82" s="358">
        <f ca="1">IFERROR(__xludf.DUMMYFUNCTION("IMPORTRANGE(""https://docs.google.com/spreadsheets/d/1eHaY18a8A9IcSdp1K8H6x8fbOy06t2VsZHhMHf-1x7Y/edit?usp=sharing"",""แผน!EM82"")"),400)</f>
        <v>400</v>
      </c>
      <c r="AE82" s="151">
        <f ca="1">IFERROR(__xludf.DUMMYFUNCTION("IMPORTRANGE(""https://docs.google.com/spreadsheets/d/1tdoBKaGub7dwA3U6UFTqxio9LNnvDCQjHKmttSEBsFQ/edit?usp=sharing"",""จัดที่ดิน!E82"")"),51)</f>
        <v>51</v>
      </c>
      <c r="AF82" s="67">
        <f ca="1">IFERROR(__xludf.DUMMYFUNCTION("IMPORTRANGE(""https://docs.google.com/spreadsheets/d/1tdoBKaGub7dwA3U6UFTqxio9LNnvDCQjHKmttSEBsFQ/edit?usp=sharing"",""จัดที่ดิน!F82"")"),213.7)</f>
        <v>213.7</v>
      </c>
      <c r="AG82" s="68">
        <f t="shared" ca="1" si="59"/>
        <v>53.424999999999997</v>
      </c>
      <c r="AH82" s="358">
        <f ca="1">IFERROR(__xludf.DUMMYFUNCTION("IMPORTRANGE(""https://docs.google.com/spreadsheets/d/1eHaY18a8A9IcSdp1K8H6x8fbOy06t2VsZHhMHf-1x7Y/edit?usp=sharing"",""แผน!EN82"")"),40)</f>
        <v>40</v>
      </c>
      <c r="AI82" s="151">
        <f ca="1">IFERROR(__xludf.DUMMYFUNCTION("IMPORTRANGE(""https://docs.google.com/spreadsheets/d/1tdoBKaGub7dwA3U6UFTqxio9LNnvDCQjHKmttSEBsFQ/edit?usp=sharing"",""จัดที่ดิน!G82"")"),44)</f>
        <v>44</v>
      </c>
      <c r="AJ82" s="67">
        <f ca="1">IFERROR(__xludf.DUMMYFUNCTION("IMPORTRANGE(""https://docs.google.com/spreadsheets/d/1tdoBKaGub7dwA3U6UFTqxio9LNnvDCQjHKmttSEBsFQ/edit?usp=sharing"",""จัดที่ดิน!H82"")"),228.72)</f>
        <v>228.72</v>
      </c>
      <c r="AK82" s="68">
        <f t="shared" ca="1" si="61"/>
        <v>110</v>
      </c>
      <c r="AL82" s="358">
        <f ca="1">IFERROR(__xludf.DUMMYFUNCTION("IMPORTRANGE(""https://docs.google.com/spreadsheets/d/1eHaY18a8A9IcSdp1K8H6x8fbOy06t2VsZHhMHf-1x7Y/edit?usp=sharing"",""แผน!EN82"")"),40)</f>
        <v>40</v>
      </c>
      <c r="AM82" s="151">
        <f ca="1">IFERROR(__xludf.DUMMYFUNCTION("IMPORTRANGE(""https://docs.google.com/spreadsheets/d/1tdoBKaGub7dwA3U6UFTqxio9LNnvDCQjHKmttSEBsFQ/edit?usp=sharing"",""จัดที่ดิน!I82"")"),36)</f>
        <v>36</v>
      </c>
      <c r="AN82" s="67">
        <f ca="1">IFERROR(__xludf.DUMMYFUNCTION("IMPORTRANGE(""https://docs.google.com/spreadsheets/d/1tdoBKaGub7dwA3U6UFTqxio9LNnvDCQjHKmttSEBsFQ/edit?usp=sharing"",""จัดที่ดิน!J82"")"),206.48)</f>
        <v>206.48</v>
      </c>
      <c r="AO82" s="68">
        <f t="shared" ca="1" si="63"/>
        <v>90</v>
      </c>
      <c r="AP82" s="359">
        <f ca="1">IFERROR(__xludf.DUMMYFUNCTION("IMPORTRANGE(""https://docs.google.com/spreadsheets/d/1eHaY18a8A9IcSdp1K8H6x8fbOy06t2VsZHhMHf-1x7Y/edit?usp=sharing"",""แผน!EO82"")"),280)</f>
        <v>280</v>
      </c>
      <c r="AQ82" s="151">
        <f ca="1">IFERROR(__xludf.DUMMYFUNCTION("IMPORTRANGE(""https://docs.google.com/spreadsheets/d/1tdoBKaGub7dwA3U6UFTqxio9LNnvDCQjHKmttSEBsFQ/edit?usp=sharing"",""แบ่งแปลง!D87"")"),23)</f>
        <v>23</v>
      </c>
      <c r="AR82" s="67">
        <f ca="1">IFERROR(__xludf.DUMMYFUNCTION("IMPORTRANGE(""https://docs.google.com/spreadsheets/d/1tdoBKaGub7dwA3U6UFTqxio9LNnvDCQjHKmttSEBsFQ/edit?usp=sharing"",""แบ่งแปลง!F87"")"),84.36)</f>
        <v>84.36</v>
      </c>
      <c r="AS82" s="68">
        <f t="shared" ca="1" si="65"/>
        <v>30.12857142857143</v>
      </c>
      <c r="AT82" s="359">
        <f ca="1">IFERROR(__xludf.DUMMYFUNCTION("IMPORTRANGE(""https://docs.google.com/spreadsheets/d/1eHaY18a8A9IcSdp1K8H6x8fbOy06t2VsZHhMHf-1x7Y/edit?usp=sharing"",""แผน!EP82"")"),56)</f>
        <v>56</v>
      </c>
      <c r="AU82" s="151">
        <f ca="1">IFERROR(__xludf.DUMMYFUNCTION("IMPORTRANGE(""https://docs.google.com/spreadsheets/d/1tdoBKaGub7dwA3U6UFTqxio9LNnvDCQjHKmttSEBsFQ/edit?usp=sharing"",""แบ่งแปลง!I87"")"),27)</f>
        <v>27</v>
      </c>
      <c r="AV82" s="67">
        <f ca="1">IFERROR(__xludf.DUMMYFUNCTION("IMPORTRANGE(""https://docs.google.com/spreadsheets/d/1tdoBKaGub7dwA3U6UFTqxio9LNnvDCQjHKmttSEBsFQ/edit?usp=sharing"",""แบ่งแปลง!K87"")"),115.7)</f>
        <v>115.7</v>
      </c>
      <c r="AW82" s="68">
        <f t="shared" ca="1" si="67"/>
        <v>48.214285714285715</v>
      </c>
      <c r="AX82" s="359">
        <f ca="1">IFERROR(__xludf.DUMMYFUNCTION("IMPORTRANGE(""https://docs.google.com/spreadsheets/d/1eHaY18a8A9IcSdp1K8H6x8fbOy06t2VsZHhMHf-1x7Y/edit?usp=sharing"",""แผน!EP82"")"),56)</f>
        <v>56</v>
      </c>
      <c r="AY82" s="151">
        <f ca="1">IFERROR(__xludf.DUMMYFUNCTION("IMPORTRANGE(""https://docs.google.com/spreadsheets/d/1tdoBKaGub7dwA3U6UFTqxio9LNnvDCQjHKmttSEBsFQ/edit?usp=sharing"",""แบ่งแปลง!X87"")"),14)</f>
        <v>14</v>
      </c>
      <c r="AZ82" s="67">
        <f ca="1">IFERROR(__xludf.DUMMYFUNCTION("IMPORTRANGE(""https://docs.google.com/spreadsheets/d/1tdoBKaGub7dwA3U6UFTqxio9LNnvDCQjHKmttSEBsFQ/edit?usp=sharing"",""แบ่งแปลง!Z87"")"),74.45)</f>
        <v>74.45</v>
      </c>
      <c r="BA82" s="68">
        <f t="shared" ca="1" si="69"/>
        <v>25</v>
      </c>
      <c r="BB82" s="360">
        <f ca="1">IFERROR(__xludf.DUMMYFUNCTION("IMPORTRANGE(""https://docs.google.com/spreadsheets/d/1eHaY18a8A9IcSdp1K8H6x8fbOy06t2VsZHhMHf-1x7Y/edit?usp=sharing"",""แผน!ES82"")"),154)</f>
        <v>154</v>
      </c>
      <c r="BC82" s="151">
        <f ca="1">IFERROR(__xludf.DUMMYFUNCTION("IMPORTRANGE(""https://docs.google.com/spreadsheets/d/1tdoBKaGub7dwA3U6UFTqxio9LNnvDCQjHKmttSEBsFQ/edit?usp=sharing"",""เต็มแปลง!I87"")"),170)</f>
        <v>170</v>
      </c>
      <c r="BD82" s="67">
        <f ca="1">IFERROR(__xludf.DUMMYFUNCTION("IMPORTRANGE(""https://docs.google.com/spreadsheets/d/1tdoBKaGub7dwA3U6UFTqxio9LNnvDCQjHKmttSEBsFQ/edit?usp=sharing"",""เต็มแปลง!K87"")"),1419.58)</f>
        <v>1419.58</v>
      </c>
      <c r="BE82" s="68">
        <f t="shared" ca="1" si="71"/>
        <v>110.3896103896104</v>
      </c>
      <c r="BF82" s="360">
        <f ca="1">IFERROR(__xludf.DUMMYFUNCTION("IMPORTRANGE(""https://docs.google.com/spreadsheets/d/1eHaY18a8A9IcSdp1K8H6x8fbOy06t2VsZHhMHf-1x7Y/edit?usp=sharing"",""แผน!ES82"")"),154)</f>
        <v>154</v>
      </c>
      <c r="BG82" s="151">
        <f ca="1">IFERROR(__xludf.DUMMYFUNCTION("IMPORTRANGE(""https://docs.google.com/spreadsheets/d/1tdoBKaGub7dwA3U6UFTqxio9LNnvDCQjHKmttSEBsFQ/edit?usp=sharing"",""เต็มแปลง!S87"")"),170)</f>
        <v>170</v>
      </c>
      <c r="BH82" s="67">
        <f ca="1">IFERROR(__xludf.DUMMYFUNCTION("IMPORTRANGE(""https://docs.google.com/spreadsheets/d/1tdoBKaGub7dwA3U6UFTqxio9LNnvDCQjHKmttSEBsFQ/edit?usp=sharing"",""เต็มแปลง!U87"")"),1419.58)</f>
        <v>1419.58</v>
      </c>
      <c r="BI82" s="68">
        <f t="shared" ca="1" si="73"/>
        <v>110.3896103896104</v>
      </c>
      <c r="BJ82" s="339"/>
    </row>
    <row r="83" spans="1:62" ht="21" customHeight="1" x14ac:dyDescent="0.3">
      <c r="A83" s="147">
        <v>9</v>
      </c>
      <c r="B83" s="148" t="s">
        <v>111</v>
      </c>
      <c r="C83" s="149">
        <f t="shared" ca="1" si="44"/>
        <v>363490</v>
      </c>
      <c r="D83" s="150">
        <f t="shared" ca="1" si="113"/>
        <v>363490</v>
      </c>
      <c r="E83" s="151">
        <f ca="1">IFERROR(__xludf.DUMMYFUNCTION("IMPORTRANGE(""https://docs.google.com/spreadsheets/d/1-uDff_7J0KD5mKrp0Vvzr7lt3OU09vwQwhkpOPPYv2Y/edit?usp=sharing"",""งบพรบ!FD83"")"),143000)</f>
        <v>143000</v>
      </c>
      <c r="F83" s="151">
        <f ca="1">IFERROR(__xludf.DUMMYFUNCTION("IMPORTRANGE(""https://docs.google.com/spreadsheets/d/1-uDff_7J0KD5mKrp0Vvzr7lt3OU09vwQwhkpOPPYv2Y/edit?usp=sharing"",""งบพรบ!FE83"")"),220490)</f>
        <v>220490</v>
      </c>
      <c r="G83" s="151">
        <f ca="1">IFERROR(__xludf.DUMMYFUNCTION("IMPORTRANGE(""https://docs.google.com/spreadsheets/d/1-uDff_7J0KD5mKrp0Vvzr7lt3OU09vwQwhkpOPPYv2Y/edit?usp=sharing"",""งบพรบ!FF83"")"),0)</f>
        <v>0</v>
      </c>
      <c r="H83" s="151">
        <f ca="1">IFERROR(__xludf.DUMMYFUNCTION("IMPORTRANGE(""https://docs.google.com/spreadsheets/d/1-uDff_7J0KD5mKrp0Vvzr7lt3OU09vwQwhkpOPPYv2Y/edit?usp=sharing"",""งบพรบ!FH83"")"),406490)</f>
        <v>406490</v>
      </c>
      <c r="I83" s="151">
        <f ca="1">IFERROR(__xludf.DUMMYFUNCTION("IMPORTRANGE(""https://docs.google.com/spreadsheets/d/1-uDff_7J0KD5mKrp0Vvzr7lt3OU09vwQwhkpOPPYv2Y/edit?usp=sharing"",""งบพรบ!FI83"")"),0)</f>
        <v>0</v>
      </c>
      <c r="J83" s="151">
        <f t="shared" ca="1" si="46"/>
        <v>312905</v>
      </c>
      <c r="K83" s="154">
        <f t="shared" ca="1" si="47"/>
        <v>86.083523618256351</v>
      </c>
      <c r="L83" s="151">
        <f ca="1">IFERROR(__xludf.DUMMYFUNCTION("IMPORTRANGE(""https://docs.google.com/spreadsheets/d/1-uDff_7J0KD5mKrp0Vvzr7lt3OU09vwQwhkpOPPYv2Y/edit?usp=sharing"",""งบพรบ!FJ83"")"),312905)</f>
        <v>312905</v>
      </c>
      <c r="M83" s="68">
        <f t="shared" ca="1" si="48"/>
        <v>86.083523618256351</v>
      </c>
      <c r="N83" s="68">
        <f t="shared" ca="1" si="49"/>
        <v>76.977293414352133</v>
      </c>
      <c r="O83" s="67">
        <f ca="1">IFERROR(__xludf.DUMMYFUNCTION("IMPORTRANGE(""https://docs.google.com/spreadsheets/d/1-uDff_7J0KD5mKrp0Vvzr7lt3OU09vwQwhkpOPPYv2Y/edit?usp=sharing"",""งบพรบ!FK83"")"),0)</f>
        <v>0</v>
      </c>
      <c r="P83" s="67">
        <f t="shared" ca="1" si="50"/>
        <v>0</v>
      </c>
      <c r="Q83" s="68">
        <f t="shared" ca="1" si="51"/>
        <v>0</v>
      </c>
      <c r="R83" s="149">
        <f ca="1">IFERROR(__xludf.DUMMYFUNCTION("IMPORTRANGE(""https://docs.google.com/spreadsheets/d/1rd4qoM1q_hsgaolqNGfrim9gbsoLxQsda4-vOz5x_BM/edit?usp=sharing"",""ภูเก็ต!I368"")"),175)</f>
        <v>175</v>
      </c>
      <c r="S83" s="152">
        <f ca="1">IFERROR(__xludf.DUMMYFUNCTION("IMPORTRANGE(""https://docs.google.com/spreadsheets/d/1rd4qoM1q_hsgaolqNGfrim9gbsoLxQsda4-vOz5x_BM/edit?usp=sharing"",""ภูเก็ต!J367"")"),33)</f>
        <v>33</v>
      </c>
      <c r="T83" s="357">
        <f ca="1">IFERROR(__xludf.DUMMYFUNCTION("IMPORTRANGE(""https://docs.google.com/spreadsheets/d/1rd4qoM1q_hsgaolqNGfrim9gbsoLxQsda4-vOz5x_BM/edit?usp=sharing"",""ภูเก็ต!J368"")"),156.45)</f>
        <v>156.44999999999999</v>
      </c>
      <c r="U83" s="216">
        <f t="shared" ca="1" si="53"/>
        <v>89.399999999999991</v>
      </c>
      <c r="V83" s="149">
        <f ca="1">IFERROR(__xludf.DUMMYFUNCTION("IMPORTRANGE(""https://docs.google.com/spreadsheets/d/1rd4qoM1q_hsgaolqNGfrim9gbsoLxQsda4-vOz5x_BM/edit?usp=sharing"",""ภูเก็ต!I369"")"),42)</f>
        <v>42</v>
      </c>
      <c r="W83" s="152">
        <f ca="1">IFERROR(__xludf.DUMMYFUNCTION("IMPORTRANGE(""https://docs.google.com/spreadsheets/d/1rd4qoM1q_hsgaolqNGfrim9gbsoLxQsda4-vOz5x_BM/edit?usp=sharing"",""ภูเก็ต!J369"")"),50)</f>
        <v>50</v>
      </c>
      <c r="X83" s="357">
        <f ca="1">IFERROR(__xludf.DUMMYFUNCTION("IMPORTRANGE(""https://docs.google.com/spreadsheets/d/1rd4qoM1q_hsgaolqNGfrim9gbsoLxQsda4-vOz5x_BM/edit?usp=sharing"",""ภูเก็ต!J370"")"),374.44)</f>
        <v>374.44</v>
      </c>
      <c r="Y83" s="216">
        <f t="shared" ca="1" si="55"/>
        <v>119.04761904761905</v>
      </c>
      <c r="Z83" s="149">
        <f ca="1">IFERROR(__xludf.DUMMYFUNCTION("IMPORTRANGE(""https://docs.google.com/spreadsheets/d/1rd4qoM1q_hsgaolqNGfrim9gbsoLxQsda4-vOz5x_BM/edit?usp=sharing"",""ภูเก็ต!I371"")"),42)</f>
        <v>42</v>
      </c>
      <c r="AA83" s="152">
        <f ca="1">IFERROR(__xludf.DUMMYFUNCTION("IMPORTRANGE(""https://docs.google.com/spreadsheets/d/1rd4qoM1q_hsgaolqNGfrim9gbsoLxQsda4-vOz5x_BM/edit?usp=sharing"",""ภูเก็ต!J371"")"),50)</f>
        <v>50</v>
      </c>
      <c r="AB83" s="357">
        <f ca="1">IFERROR(__xludf.DUMMYFUNCTION("IMPORTRANGE(""https://docs.google.com/spreadsheets/d/1rd4qoM1q_hsgaolqNGfrim9gbsoLxQsda4-vOz5x_BM/edit?usp=sharing"",""ภูเก็ต!J372"")"),374.44)</f>
        <v>374.44</v>
      </c>
      <c r="AC83" s="216">
        <f t="shared" ca="1" si="57"/>
        <v>119.04761904761905</v>
      </c>
      <c r="AD83" s="358">
        <f ca="1">IFERROR(__xludf.DUMMYFUNCTION("IMPORTRANGE(""https://docs.google.com/spreadsheets/d/1eHaY18a8A9IcSdp1K8H6x8fbOy06t2VsZHhMHf-1x7Y/edit?usp=sharing"",""แผน!EM83"")"),65)</f>
        <v>65</v>
      </c>
      <c r="AE83" s="151">
        <f ca="1">IFERROR(__xludf.DUMMYFUNCTION("IMPORTRANGE(""https://docs.google.com/spreadsheets/d/1tdoBKaGub7dwA3U6UFTqxio9LNnvDCQjHKmttSEBsFQ/edit?usp=sharing"",""จัดที่ดิน!E83"")"),8)</f>
        <v>8</v>
      </c>
      <c r="AF83" s="67">
        <f ca="1">IFERROR(__xludf.DUMMYFUNCTION("IMPORTRANGE(""https://docs.google.com/spreadsheets/d/1tdoBKaGub7dwA3U6UFTqxio9LNnvDCQjHKmttSEBsFQ/edit?usp=sharing"",""จัดที่ดิน!F83"")"),68.76)</f>
        <v>68.760000000000005</v>
      </c>
      <c r="AG83" s="68">
        <f t="shared" ca="1" si="59"/>
        <v>105.78461538461539</v>
      </c>
      <c r="AH83" s="358">
        <f ca="1">IFERROR(__xludf.DUMMYFUNCTION("IMPORTRANGE(""https://docs.google.com/spreadsheets/d/1eHaY18a8A9IcSdp1K8H6x8fbOy06t2VsZHhMHf-1x7Y/edit?usp=sharing"",""แผน!EN83"")"),8)</f>
        <v>8</v>
      </c>
      <c r="AI83" s="151">
        <f ca="1">IFERROR(__xludf.DUMMYFUNCTION("IMPORTRANGE(""https://docs.google.com/spreadsheets/d/1tdoBKaGub7dwA3U6UFTqxio9LNnvDCQjHKmttSEBsFQ/edit?usp=sharing"",""จัดที่ดิน!G83"")"),8)</f>
        <v>8</v>
      </c>
      <c r="AJ83" s="67">
        <f ca="1">IFERROR(__xludf.DUMMYFUNCTION("IMPORTRANGE(""https://docs.google.com/spreadsheets/d/1tdoBKaGub7dwA3U6UFTqxio9LNnvDCQjHKmttSEBsFQ/edit?usp=sharing"",""จัดที่ดิน!H83"")"),68.76)</f>
        <v>68.760000000000005</v>
      </c>
      <c r="AK83" s="68">
        <f t="shared" ca="1" si="61"/>
        <v>100</v>
      </c>
      <c r="AL83" s="358">
        <f ca="1">IFERROR(__xludf.DUMMYFUNCTION("IMPORTRANGE(""https://docs.google.com/spreadsheets/d/1eHaY18a8A9IcSdp1K8H6x8fbOy06t2VsZHhMHf-1x7Y/edit?usp=sharing"",""แผน!EN83"")"),8)</f>
        <v>8</v>
      </c>
      <c r="AM83" s="151">
        <f ca="1">IFERROR(__xludf.DUMMYFUNCTION("IMPORTRANGE(""https://docs.google.com/spreadsheets/d/1tdoBKaGub7dwA3U6UFTqxio9LNnvDCQjHKmttSEBsFQ/edit?usp=sharing"",""จัดที่ดิน!I83"")"),8)</f>
        <v>8</v>
      </c>
      <c r="AN83" s="67">
        <f ca="1">IFERROR(__xludf.DUMMYFUNCTION("IMPORTRANGE(""https://docs.google.com/spreadsheets/d/1tdoBKaGub7dwA3U6UFTqxio9LNnvDCQjHKmttSEBsFQ/edit?usp=sharing"",""จัดที่ดิน!J83"")"),68.76)</f>
        <v>68.760000000000005</v>
      </c>
      <c r="AO83" s="68">
        <f t="shared" ca="1" si="63"/>
        <v>100</v>
      </c>
      <c r="AP83" s="359">
        <f ca="1">IFERROR(__xludf.DUMMYFUNCTION("IMPORTRANGE(""https://docs.google.com/spreadsheets/d/1eHaY18a8A9IcSdp1K8H6x8fbOy06t2VsZHhMHf-1x7Y/edit?usp=sharing"",""แผน!EO83"")"),110)</f>
        <v>110</v>
      </c>
      <c r="AQ83" s="151">
        <f ca="1">IFERROR(__xludf.DUMMYFUNCTION("IMPORTRANGE(""https://docs.google.com/spreadsheets/d/1tdoBKaGub7dwA3U6UFTqxio9LNnvDCQjHKmttSEBsFQ/edit?usp=sharing"",""แบ่งแปลง!D88"")"),25)</f>
        <v>25</v>
      </c>
      <c r="AR83" s="67">
        <f ca="1">IFERROR(__xludf.DUMMYFUNCTION("IMPORTRANGE(""https://docs.google.com/spreadsheets/d/1tdoBKaGub7dwA3U6UFTqxio9LNnvDCQjHKmttSEBsFQ/edit?usp=sharing"",""แบ่งแปลง!F88"")"),87.69)</f>
        <v>87.69</v>
      </c>
      <c r="AS83" s="68">
        <f t="shared" ca="1" si="65"/>
        <v>79.718181818181819</v>
      </c>
      <c r="AT83" s="359">
        <f ca="1">IFERROR(__xludf.DUMMYFUNCTION("IMPORTRANGE(""https://docs.google.com/spreadsheets/d/1eHaY18a8A9IcSdp1K8H6x8fbOy06t2VsZHhMHf-1x7Y/edit?usp=sharing"",""แผน!EP83"")"),19)</f>
        <v>19</v>
      </c>
      <c r="AU83" s="151">
        <f ca="1">IFERROR(__xludf.DUMMYFUNCTION("IMPORTRANGE(""https://docs.google.com/spreadsheets/d/1tdoBKaGub7dwA3U6UFTqxio9LNnvDCQjHKmttSEBsFQ/edit?usp=sharing"",""แบ่งแปลง!I88"")"),25)</f>
        <v>25</v>
      </c>
      <c r="AV83" s="67">
        <f ca="1">IFERROR(__xludf.DUMMYFUNCTION("IMPORTRANGE(""https://docs.google.com/spreadsheets/d/1tdoBKaGub7dwA3U6UFTqxio9LNnvDCQjHKmttSEBsFQ/edit?usp=sharing"",""แบ่งแปลง!K88"")"),87.69)</f>
        <v>87.69</v>
      </c>
      <c r="AW83" s="68">
        <f t="shared" ca="1" si="67"/>
        <v>131.57894736842104</v>
      </c>
      <c r="AX83" s="359">
        <f ca="1">IFERROR(__xludf.DUMMYFUNCTION("IMPORTRANGE(""https://docs.google.com/spreadsheets/d/1eHaY18a8A9IcSdp1K8H6x8fbOy06t2VsZHhMHf-1x7Y/edit?usp=sharing"",""แผน!EP83"")"),19)</f>
        <v>19</v>
      </c>
      <c r="AY83" s="151">
        <f ca="1">IFERROR(__xludf.DUMMYFUNCTION("IMPORTRANGE(""https://docs.google.com/spreadsheets/d/1tdoBKaGub7dwA3U6UFTqxio9LNnvDCQjHKmttSEBsFQ/edit?usp=sharing"",""แบ่งแปลง!X88"")"),25)</f>
        <v>25</v>
      </c>
      <c r="AZ83" s="67">
        <f ca="1">IFERROR(__xludf.DUMMYFUNCTION("IMPORTRANGE(""https://docs.google.com/spreadsheets/d/1tdoBKaGub7dwA3U6UFTqxio9LNnvDCQjHKmttSEBsFQ/edit?usp=sharing"",""แบ่งแปลง!Z88"")"),87.69)</f>
        <v>87.69</v>
      </c>
      <c r="BA83" s="68">
        <f t="shared" ca="1" si="69"/>
        <v>131.57894736842104</v>
      </c>
      <c r="BB83" s="360">
        <f ca="1">IFERROR(__xludf.DUMMYFUNCTION("IMPORTRANGE(""https://docs.google.com/spreadsheets/d/1eHaY18a8A9IcSdp1K8H6x8fbOy06t2VsZHhMHf-1x7Y/edit?usp=sharing"",""แผน!ES83"")"),15)</f>
        <v>15</v>
      </c>
      <c r="BC83" s="151">
        <f ca="1">IFERROR(__xludf.DUMMYFUNCTION("IMPORTRANGE(""https://docs.google.com/spreadsheets/d/1tdoBKaGub7dwA3U6UFTqxio9LNnvDCQjHKmttSEBsFQ/edit?usp=sharing"",""เต็มแปลง!I88"")"),17)</f>
        <v>17</v>
      </c>
      <c r="BD83" s="67">
        <f ca="1">IFERROR(__xludf.DUMMYFUNCTION("IMPORTRANGE(""https://docs.google.com/spreadsheets/d/1tdoBKaGub7dwA3U6UFTqxio9LNnvDCQjHKmttSEBsFQ/edit?usp=sharing"",""เต็มแปลง!K88"")"),218)</f>
        <v>218</v>
      </c>
      <c r="BE83" s="68">
        <f t="shared" ca="1" si="71"/>
        <v>113.33333333333333</v>
      </c>
      <c r="BF83" s="360">
        <f ca="1">IFERROR(__xludf.DUMMYFUNCTION("IMPORTRANGE(""https://docs.google.com/spreadsheets/d/1eHaY18a8A9IcSdp1K8H6x8fbOy06t2VsZHhMHf-1x7Y/edit?usp=sharing"",""แผน!ES83"")"),15)</f>
        <v>15</v>
      </c>
      <c r="BG83" s="151">
        <f ca="1">IFERROR(__xludf.DUMMYFUNCTION("IMPORTRANGE(""https://docs.google.com/spreadsheets/d/1tdoBKaGub7dwA3U6UFTqxio9LNnvDCQjHKmttSEBsFQ/edit?usp=sharing"",""เต็มแปลง!S88"")"),17)</f>
        <v>17</v>
      </c>
      <c r="BH83" s="67">
        <f ca="1">IFERROR(__xludf.DUMMYFUNCTION("IMPORTRANGE(""https://docs.google.com/spreadsheets/d/1tdoBKaGub7dwA3U6UFTqxio9LNnvDCQjHKmttSEBsFQ/edit?usp=sharing"",""เต็มแปลง!U88"")"),218)</f>
        <v>218</v>
      </c>
      <c r="BI83" s="68">
        <f t="shared" ca="1" si="73"/>
        <v>113.33333333333333</v>
      </c>
      <c r="BJ83" s="339"/>
    </row>
    <row r="84" spans="1:62" ht="21" customHeight="1" x14ac:dyDescent="0.3">
      <c r="A84" s="147">
        <v>10</v>
      </c>
      <c r="B84" s="148" t="s">
        <v>112</v>
      </c>
      <c r="C84" s="149">
        <f t="shared" ca="1" si="44"/>
        <v>684130</v>
      </c>
      <c r="D84" s="150">
        <f t="shared" ca="1" si="113"/>
        <v>684130</v>
      </c>
      <c r="E84" s="151">
        <f ca="1">IFERROR(__xludf.DUMMYFUNCTION("IMPORTRANGE(""https://docs.google.com/spreadsheets/d/1-uDff_7J0KD5mKrp0Vvzr7lt3OU09vwQwhkpOPPYv2Y/edit?usp=sharing"",""งบพรบ!FD84"")"),432300)</f>
        <v>432300</v>
      </c>
      <c r="F84" s="151">
        <f ca="1">IFERROR(__xludf.DUMMYFUNCTION("IMPORTRANGE(""https://docs.google.com/spreadsheets/d/1-uDff_7J0KD5mKrp0Vvzr7lt3OU09vwQwhkpOPPYv2Y/edit?usp=sharing"",""งบพรบ!FE84"")"),251830)</f>
        <v>251830</v>
      </c>
      <c r="G84" s="151">
        <f ca="1">IFERROR(__xludf.DUMMYFUNCTION("IMPORTRANGE(""https://docs.google.com/spreadsheets/d/1-uDff_7J0KD5mKrp0Vvzr7lt3OU09vwQwhkpOPPYv2Y/edit?usp=sharing"",""งบพรบ!FF84"")"),0)</f>
        <v>0</v>
      </c>
      <c r="H84" s="151">
        <f ca="1">IFERROR(__xludf.DUMMYFUNCTION("IMPORTRANGE(""https://docs.google.com/spreadsheets/d/1-uDff_7J0KD5mKrp0Vvzr7lt3OU09vwQwhkpOPPYv2Y/edit?usp=sharing"",""งบพรบ!FH84"")"),761650)</f>
        <v>761650</v>
      </c>
      <c r="I84" s="151">
        <f ca="1">IFERROR(__xludf.DUMMYFUNCTION("IMPORTRANGE(""https://docs.google.com/spreadsheets/d/1-uDff_7J0KD5mKrp0Vvzr7lt3OU09vwQwhkpOPPYv2Y/edit?usp=sharing"",""งบพรบ!FI84"")"),0)</f>
        <v>0</v>
      </c>
      <c r="J84" s="151">
        <f t="shared" ca="1" si="46"/>
        <v>601954.24</v>
      </c>
      <c r="K84" s="154">
        <f t="shared" ca="1" si="47"/>
        <v>87.988282928683148</v>
      </c>
      <c r="L84" s="151">
        <f ca="1">IFERROR(__xludf.DUMMYFUNCTION("IMPORTRANGE(""https://docs.google.com/spreadsheets/d/1-uDff_7J0KD5mKrp0Vvzr7lt3OU09vwQwhkpOPPYv2Y/edit?usp=sharing"",""งบพรบ!FJ84"")"),601954.24)</f>
        <v>601954.24</v>
      </c>
      <c r="M84" s="68">
        <f t="shared" ca="1" si="48"/>
        <v>87.988282928683148</v>
      </c>
      <c r="N84" s="68">
        <f t="shared" ca="1" si="49"/>
        <v>79.032920632836607</v>
      </c>
      <c r="O84" s="67">
        <f ca="1">IFERROR(__xludf.DUMMYFUNCTION("IMPORTRANGE(""https://docs.google.com/spreadsheets/d/1-uDff_7J0KD5mKrp0Vvzr7lt3OU09vwQwhkpOPPYv2Y/edit?usp=sharing"",""งบพรบ!FK84"")"),0)</f>
        <v>0</v>
      </c>
      <c r="P84" s="67">
        <f t="shared" ca="1" si="50"/>
        <v>0</v>
      </c>
      <c r="Q84" s="68">
        <f t="shared" ca="1" si="51"/>
        <v>0</v>
      </c>
      <c r="R84" s="149">
        <f ca="1">IFERROR(__xludf.DUMMYFUNCTION("IMPORTRANGE(""https://docs.google.com/spreadsheets/d/1woKwKjgoLssDvPcPeVyezB5izizAn4X1JDrys69n6xI/edit?usp=sharing"",""ยะลา!I368"")"),470)</f>
        <v>470</v>
      </c>
      <c r="S84" s="152">
        <f ca="1">IFERROR(__xludf.DUMMYFUNCTION("IMPORTRANGE(""https://docs.google.com/spreadsheets/d/1woKwKjgoLssDvPcPeVyezB5izizAn4X1JDrys69n6xI/edit?usp=sharing"",""ยะลา!J367"")"),74)</f>
        <v>74</v>
      </c>
      <c r="T84" s="357">
        <f ca="1">IFERROR(__xludf.DUMMYFUNCTION("IMPORTRANGE(""https://docs.google.com/spreadsheets/d/1woKwKjgoLssDvPcPeVyezB5izizAn4X1JDrys69n6xI/edit?usp=sharing"",""ยะลา!J368"")"),550.21)</f>
        <v>550.21</v>
      </c>
      <c r="U84" s="216">
        <f t="shared" ca="1" si="53"/>
        <v>117.06595744680851</v>
      </c>
      <c r="V84" s="149">
        <f ca="1">IFERROR(__xludf.DUMMYFUNCTION("IMPORTRANGE(""https://docs.google.com/spreadsheets/d/1woKwKjgoLssDvPcPeVyezB5izizAn4X1JDrys69n6xI/edit?usp=sharing"",""ยะลา!I369"")"),89)</f>
        <v>89</v>
      </c>
      <c r="W84" s="152">
        <f ca="1">IFERROR(__xludf.DUMMYFUNCTION("IMPORTRANGE(""https://docs.google.com/spreadsheets/d/1woKwKjgoLssDvPcPeVyezB5izizAn4X1JDrys69n6xI/edit?usp=sharing"",""ยะลา!J369"")"),134)</f>
        <v>134</v>
      </c>
      <c r="X84" s="357">
        <f ca="1">IFERROR(__xludf.DUMMYFUNCTION("IMPORTRANGE(""https://docs.google.com/spreadsheets/d/1woKwKjgoLssDvPcPeVyezB5izizAn4X1JDrys69n6xI/edit?usp=sharing"",""ยะลา!J370"")"),891.22)</f>
        <v>891.22</v>
      </c>
      <c r="Y84" s="216">
        <f t="shared" ca="1" si="55"/>
        <v>150.56179775280899</v>
      </c>
      <c r="Z84" s="149">
        <f ca="1">IFERROR(__xludf.DUMMYFUNCTION("IMPORTRANGE(""https://docs.google.com/spreadsheets/d/1woKwKjgoLssDvPcPeVyezB5izizAn4X1JDrys69n6xI/edit?usp=sharing"",""ยะลา!I371"")"),89)</f>
        <v>89</v>
      </c>
      <c r="AA84" s="152">
        <f ca="1">IFERROR(__xludf.DUMMYFUNCTION("IMPORTRANGE(""https://docs.google.com/spreadsheets/d/1woKwKjgoLssDvPcPeVyezB5izizAn4X1JDrys69n6xI/edit?usp=sharing"",""ยะลา!J371"")"),99)</f>
        <v>99</v>
      </c>
      <c r="AB84" s="357">
        <f ca="1">IFERROR(__xludf.DUMMYFUNCTION("IMPORTRANGE(""https://docs.google.com/spreadsheets/d/1woKwKjgoLssDvPcPeVyezB5izizAn4X1JDrys69n6xI/edit?usp=sharing"",""ยะลา!J372"")"),636.89)</f>
        <v>636.89</v>
      </c>
      <c r="AC84" s="216">
        <f t="shared" ca="1" si="57"/>
        <v>111.23595505617978</v>
      </c>
      <c r="AD84" s="358">
        <f ca="1">IFERROR(__xludf.DUMMYFUNCTION("IMPORTRANGE(""https://docs.google.com/spreadsheets/d/1eHaY18a8A9IcSdp1K8H6x8fbOy06t2VsZHhMHf-1x7Y/edit?usp=sharing"",""แผน!EM84"")"),330)</f>
        <v>330</v>
      </c>
      <c r="AE84" s="151">
        <f ca="1">IFERROR(__xludf.DUMMYFUNCTION("IMPORTRANGE(""https://docs.google.com/spreadsheets/d/1tdoBKaGub7dwA3U6UFTqxio9LNnvDCQjHKmttSEBsFQ/edit?usp=sharing"",""จัดที่ดิน!E84"")"),51)</f>
        <v>51</v>
      </c>
      <c r="AF84" s="67">
        <f ca="1">IFERROR(__xludf.DUMMYFUNCTION("IMPORTRANGE(""https://docs.google.com/spreadsheets/d/1tdoBKaGub7dwA3U6UFTqxio9LNnvDCQjHKmttSEBsFQ/edit?usp=sharing"",""จัดที่ดิน!F84"")"),386.24)</f>
        <v>386.24</v>
      </c>
      <c r="AG84" s="68">
        <f t="shared" ca="1" si="59"/>
        <v>117.04242424242425</v>
      </c>
      <c r="AH84" s="358">
        <f ca="1">IFERROR(__xludf.DUMMYFUNCTION("IMPORTRANGE(""https://docs.google.com/spreadsheets/d/1eHaY18a8A9IcSdp1K8H6x8fbOy06t2VsZHhMHf-1x7Y/edit?usp=sharing"",""แผน!EN84"")"),33)</f>
        <v>33</v>
      </c>
      <c r="AI84" s="151">
        <f ca="1">IFERROR(__xludf.DUMMYFUNCTION("IMPORTRANGE(""https://docs.google.com/spreadsheets/d/1tdoBKaGub7dwA3U6UFTqxio9LNnvDCQjHKmttSEBsFQ/edit?usp=sharing"",""จัดที่ดิน!G84"")"),36)</f>
        <v>36</v>
      </c>
      <c r="AJ84" s="67">
        <f ca="1">IFERROR(__xludf.DUMMYFUNCTION("IMPORTRANGE(""https://docs.google.com/spreadsheets/d/1tdoBKaGub7dwA3U6UFTqxio9LNnvDCQjHKmttSEBsFQ/edit?usp=sharing"",""จัดที่ดิน!H84"")"),261.7)</f>
        <v>261.7</v>
      </c>
      <c r="AK84" s="68">
        <f t="shared" ca="1" si="61"/>
        <v>109.09090909090909</v>
      </c>
      <c r="AL84" s="358">
        <f ca="1">IFERROR(__xludf.DUMMYFUNCTION("IMPORTRANGE(""https://docs.google.com/spreadsheets/d/1eHaY18a8A9IcSdp1K8H6x8fbOy06t2VsZHhMHf-1x7Y/edit?usp=sharing"",""แผน!EN84"")"),33)</f>
        <v>33</v>
      </c>
      <c r="AM84" s="151">
        <f ca="1">IFERROR(__xludf.DUMMYFUNCTION("IMPORTRANGE(""https://docs.google.com/spreadsheets/d/1tdoBKaGub7dwA3U6UFTqxio9LNnvDCQjHKmttSEBsFQ/edit?usp=sharing"",""จัดที่ดิน!I84"")"),0)</f>
        <v>0</v>
      </c>
      <c r="AN84" s="67">
        <f ca="1">IFERROR(__xludf.DUMMYFUNCTION("IMPORTRANGE(""https://docs.google.com/spreadsheets/d/1tdoBKaGub7dwA3U6UFTqxio9LNnvDCQjHKmttSEBsFQ/edit?usp=sharing"",""จัดที่ดิน!J84"")"),0)</f>
        <v>0</v>
      </c>
      <c r="AO84" s="68">
        <f t="shared" ca="1" si="63"/>
        <v>0</v>
      </c>
      <c r="AP84" s="359">
        <f ca="1">IFERROR(__xludf.DUMMYFUNCTION("IMPORTRANGE(""https://docs.google.com/spreadsheets/d/1eHaY18a8A9IcSdp1K8H6x8fbOy06t2VsZHhMHf-1x7Y/edit?usp=sharing"",""แผน!EO84"")"),140)</f>
        <v>140</v>
      </c>
      <c r="AQ84" s="151">
        <f ca="1">IFERROR(__xludf.DUMMYFUNCTION("IMPORTRANGE(""https://docs.google.com/spreadsheets/d/1tdoBKaGub7dwA3U6UFTqxio9LNnvDCQjHKmttSEBsFQ/edit?usp=sharing"",""แบ่งแปลง!D89"")"),23)</f>
        <v>23</v>
      </c>
      <c r="AR84" s="67">
        <f ca="1">IFERROR(__xludf.DUMMYFUNCTION("IMPORTRANGE(""https://docs.google.com/spreadsheets/d/1tdoBKaGub7dwA3U6UFTqxio9LNnvDCQjHKmttSEBsFQ/edit?usp=sharing"",""แบ่งแปลง!F89"")"),163.97)</f>
        <v>163.97</v>
      </c>
      <c r="AS84" s="68">
        <f t="shared" ca="1" si="65"/>
        <v>117.12142857142857</v>
      </c>
      <c r="AT84" s="359">
        <f ca="1">IFERROR(__xludf.DUMMYFUNCTION("IMPORTRANGE(""https://docs.google.com/spreadsheets/d/1eHaY18a8A9IcSdp1K8H6x8fbOy06t2VsZHhMHf-1x7Y/edit?usp=sharing"",""แผน!EP84"")"),16)</f>
        <v>16</v>
      </c>
      <c r="AU84" s="151">
        <f ca="1">IFERROR(__xludf.DUMMYFUNCTION("IMPORTRANGE(""https://docs.google.com/spreadsheets/d/1tdoBKaGub7dwA3U6UFTqxio9LNnvDCQjHKmttSEBsFQ/edit?usp=sharing"",""แบ่งแปลง!I89"")"),23)</f>
        <v>23</v>
      </c>
      <c r="AV84" s="67">
        <f ca="1">IFERROR(__xludf.DUMMYFUNCTION("IMPORTRANGE(""https://docs.google.com/spreadsheets/d/1tdoBKaGub7dwA3U6UFTqxio9LNnvDCQjHKmttSEBsFQ/edit?usp=sharing"",""แบ่งแปลง!K89"")"),163.97)</f>
        <v>163.97</v>
      </c>
      <c r="AW84" s="68">
        <f t="shared" ca="1" si="67"/>
        <v>143.75</v>
      </c>
      <c r="AX84" s="359">
        <f ca="1">IFERROR(__xludf.DUMMYFUNCTION("IMPORTRANGE(""https://docs.google.com/spreadsheets/d/1eHaY18a8A9IcSdp1K8H6x8fbOy06t2VsZHhMHf-1x7Y/edit?usp=sharing"",""แผน!EP84"")"),16)</f>
        <v>16</v>
      </c>
      <c r="AY84" s="151">
        <f ca="1">IFERROR(__xludf.DUMMYFUNCTION("IMPORTRANGE(""https://docs.google.com/spreadsheets/d/1tdoBKaGub7dwA3U6UFTqxio9LNnvDCQjHKmttSEBsFQ/edit?usp=sharing"",""แบ่งแปลง!X89"")"),23)</f>
        <v>23</v>
      </c>
      <c r="AZ84" s="67">
        <f ca="1">IFERROR(__xludf.DUMMYFUNCTION("IMPORTRANGE(""https://docs.google.com/spreadsheets/d/1tdoBKaGub7dwA3U6UFTqxio9LNnvDCQjHKmttSEBsFQ/edit?usp=sharing"",""แบ่งแปลง!Z89"")"),163.97)</f>
        <v>163.97</v>
      </c>
      <c r="BA84" s="68">
        <f t="shared" ca="1" si="69"/>
        <v>143.75</v>
      </c>
      <c r="BB84" s="360">
        <f ca="1">IFERROR(__xludf.DUMMYFUNCTION("IMPORTRANGE(""https://docs.google.com/spreadsheets/d/1eHaY18a8A9IcSdp1K8H6x8fbOy06t2VsZHhMHf-1x7Y/edit?usp=sharing"",""แผน!ES84"")"),40)</f>
        <v>40</v>
      </c>
      <c r="BC84" s="151">
        <f ca="1">IFERROR(__xludf.DUMMYFUNCTION("IMPORTRANGE(""https://docs.google.com/spreadsheets/d/1tdoBKaGub7dwA3U6UFTqxio9LNnvDCQjHKmttSEBsFQ/edit?usp=sharing"",""เต็มแปลง!I89"")"),76)</f>
        <v>76</v>
      </c>
      <c r="BD84" s="67">
        <f ca="1">IFERROR(__xludf.DUMMYFUNCTION("IMPORTRANGE(""https://docs.google.com/spreadsheets/d/1tdoBKaGub7dwA3U6UFTqxio9LNnvDCQjHKmttSEBsFQ/edit?usp=sharing"",""เต็มแปลง!K89"")"),465.55)</f>
        <v>465.55</v>
      </c>
      <c r="BE84" s="68">
        <f t="shared" ca="1" si="71"/>
        <v>190</v>
      </c>
      <c r="BF84" s="360">
        <f ca="1">IFERROR(__xludf.DUMMYFUNCTION("IMPORTRANGE(""https://docs.google.com/spreadsheets/d/1eHaY18a8A9IcSdp1K8H6x8fbOy06t2VsZHhMHf-1x7Y/edit?usp=sharing"",""แผน!ES84"")"),40)</f>
        <v>40</v>
      </c>
      <c r="BG84" s="151">
        <f ca="1">IFERROR(__xludf.DUMMYFUNCTION("IMPORTRANGE(""https://docs.google.com/spreadsheets/d/1tdoBKaGub7dwA3U6UFTqxio9LNnvDCQjHKmttSEBsFQ/edit?usp=sharing"",""เต็มแปลง!S89"")"),77)</f>
        <v>77</v>
      </c>
      <c r="BH84" s="67">
        <f ca="1">IFERROR(__xludf.DUMMYFUNCTION("IMPORTRANGE(""https://docs.google.com/spreadsheets/d/1tdoBKaGub7dwA3U6UFTqxio9LNnvDCQjHKmttSEBsFQ/edit?usp=sharing"",""เต็มแปลง!U89"")"),472.92)</f>
        <v>472.92</v>
      </c>
      <c r="BI84" s="68">
        <f t="shared" ca="1" si="73"/>
        <v>192.5</v>
      </c>
      <c r="BJ84" s="339"/>
    </row>
    <row r="85" spans="1:62" ht="21" customHeight="1" x14ac:dyDescent="0.3">
      <c r="A85" s="147">
        <v>11</v>
      </c>
      <c r="B85" s="148" t="s">
        <v>113</v>
      </c>
      <c r="C85" s="149">
        <f t="shared" ca="1" si="44"/>
        <v>545480</v>
      </c>
      <c r="D85" s="150">
        <f t="shared" ca="1" si="113"/>
        <v>545480</v>
      </c>
      <c r="E85" s="151">
        <f ca="1">IFERROR(__xludf.DUMMYFUNCTION("IMPORTRANGE(""https://docs.google.com/spreadsheets/d/1-uDff_7J0KD5mKrp0Vvzr7lt3OU09vwQwhkpOPPYv2Y/edit?usp=sharing"",""งบพรบ!FD85"")"),289300)</f>
        <v>289300</v>
      </c>
      <c r="F85" s="151">
        <f ca="1">IFERROR(__xludf.DUMMYFUNCTION("IMPORTRANGE(""https://docs.google.com/spreadsheets/d/1-uDff_7J0KD5mKrp0Vvzr7lt3OU09vwQwhkpOPPYv2Y/edit?usp=sharing"",""งบพรบ!FE85"")"),256180)</f>
        <v>256180</v>
      </c>
      <c r="G85" s="151">
        <f ca="1">IFERROR(__xludf.DUMMYFUNCTION("IMPORTRANGE(""https://docs.google.com/spreadsheets/d/1-uDff_7J0KD5mKrp0Vvzr7lt3OU09vwQwhkpOPPYv2Y/edit?usp=sharing"",""งบพรบ!FF85"")"),0)</f>
        <v>0</v>
      </c>
      <c r="H85" s="151">
        <f ca="1">IFERROR(__xludf.DUMMYFUNCTION("IMPORTRANGE(""https://docs.google.com/spreadsheets/d/1-uDff_7J0KD5mKrp0Vvzr7lt3OU09vwQwhkpOPPYv2Y/edit?usp=sharing"",""งบพรบ!FH85"")"),647480)</f>
        <v>647480</v>
      </c>
      <c r="I85" s="151">
        <f ca="1">IFERROR(__xludf.DUMMYFUNCTION("IMPORTRANGE(""https://docs.google.com/spreadsheets/d/1-uDff_7J0KD5mKrp0Vvzr7lt3OU09vwQwhkpOPPYv2Y/edit?usp=sharing"",""งบพรบ!FI85"")"),0)</f>
        <v>0</v>
      </c>
      <c r="J85" s="151">
        <f t="shared" ca="1" si="46"/>
        <v>426149.67</v>
      </c>
      <c r="K85" s="154">
        <f t="shared" ca="1" si="47"/>
        <v>78.12379372295959</v>
      </c>
      <c r="L85" s="151">
        <f ca="1">IFERROR(__xludf.DUMMYFUNCTION("IMPORTRANGE(""https://docs.google.com/spreadsheets/d/1-uDff_7J0KD5mKrp0Vvzr7lt3OU09vwQwhkpOPPYv2Y/edit?usp=sharing"",""งบพรบ!FJ85"")"),426149.67)</f>
        <v>426149.67</v>
      </c>
      <c r="M85" s="68">
        <f t="shared" ca="1" si="48"/>
        <v>78.12379372295959</v>
      </c>
      <c r="N85" s="68">
        <f t="shared" ca="1" si="49"/>
        <v>65.816653796256261</v>
      </c>
      <c r="O85" s="67">
        <f ca="1">IFERROR(__xludf.DUMMYFUNCTION("IMPORTRANGE(""https://docs.google.com/spreadsheets/d/1-uDff_7J0KD5mKrp0Vvzr7lt3OU09vwQwhkpOPPYv2Y/edit?usp=sharing"",""งบพรบ!FK85"")"),0)</f>
        <v>0</v>
      </c>
      <c r="P85" s="67">
        <f t="shared" ca="1" si="50"/>
        <v>0</v>
      </c>
      <c r="Q85" s="68">
        <f t="shared" ca="1" si="51"/>
        <v>0</v>
      </c>
      <c r="R85" s="149">
        <f ca="1">IFERROR(__xludf.DUMMYFUNCTION("IMPORTRANGE(""https://docs.google.com/spreadsheets/d/1qfrKjzMhm2HJfxQ-qVlJlJQ25Hne1d0khsySbZyGtPA/edit?usp=sharing"",""ระนอง!I368"")"),410)</f>
        <v>410</v>
      </c>
      <c r="S85" s="152">
        <f ca="1">IFERROR(__xludf.DUMMYFUNCTION("IMPORTRANGE(""https://docs.google.com/spreadsheets/d/1qfrKjzMhm2HJfxQ-qVlJlJQ25Hne1d0khsySbZyGtPA/edit?usp=sharing"",""ระนอง!J367"")"),71)</f>
        <v>71</v>
      </c>
      <c r="T85" s="357">
        <f ca="1">IFERROR(__xludf.DUMMYFUNCTION("IMPORTRANGE(""https://docs.google.com/spreadsheets/d/1qfrKjzMhm2HJfxQ-qVlJlJQ25Hne1d0khsySbZyGtPA/edit?usp=sharing"",""ระนอง!J368"")"),524.81)</f>
        <v>524.80999999999995</v>
      </c>
      <c r="U85" s="216">
        <f t="shared" ca="1" si="53"/>
        <v>128.00243902439021</v>
      </c>
      <c r="V85" s="149">
        <f ca="1">IFERROR(__xludf.DUMMYFUNCTION("IMPORTRANGE(""https://docs.google.com/spreadsheets/d/1qfrKjzMhm2HJfxQ-qVlJlJQ25Hne1d0khsySbZyGtPA/edit?usp=sharing"",""ระนอง!I369"")"),74)</f>
        <v>74</v>
      </c>
      <c r="W85" s="152">
        <f ca="1">IFERROR(__xludf.DUMMYFUNCTION("IMPORTRANGE(""https://docs.google.com/spreadsheets/d/1qfrKjzMhm2HJfxQ-qVlJlJQ25Hne1d0khsySbZyGtPA/edit?usp=sharing"",""ระนอง!J369"")"),112)</f>
        <v>112</v>
      </c>
      <c r="X85" s="357">
        <f ca="1">IFERROR(__xludf.DUMMYFUNCTION("IMPORTRANGE(""https://docs.google.com/spreadsheets/d/1qfrKjzMhm2HJfxQ-qVlJlJQ25Hne1d0khsySbZyGtPA/edit?usp=sharing"",""ระนอง!J370"")"),1417.73)</f>
        <v>1417.73</v>
      </c>
      <c r="Y85" s="216">
        <f t="shared" ca="1" si="55"/>
        <v>151.35135135135135</v>
      </c>
      <c r="Z85" s="149">
        <f ca="1">IFERROR(__xludf.DUMMYFUNCTION("IMPORTRANGE(""https://docs.google.com/spreadsheets/d/1qfrKjzMhm2HJfxQ-qVlJlJQ25Hne1d0khsySbZyGtPA/edit?usp=sharing"",""ระนอง!I371"")"),74)</f>
        <v>74</v>
      </c>
      <c r="AA85" s="152">
        <f ca="1">IFERROR(__xludf.DUMMYFUNCTION("IMPORTRANGE(""https://docs.google.com/spreadsheets/d/1qfrKjzMhm2HJfxQ-qVlJlJQ25Hne1d0khsySbZyGtPA/edit?usp=sharing"",""ระนอง!J371"")"),75)</f>
        <v>75</v>
      </c>
      <c r="AB85" s="357">
        <f ca="1">IFERROR(__xludf.DUMMYFUNCTION("IMPORTRANGE(""https://docs.google.com/spreadsheets/d/1qfrKjzMhm2HJfxQ-qVlJlJQ25Hne1d0khsySbZyGtPA/edit?usp=sharing"",""ระนอง!J372"")"),940.469999999999)</f>
        <v>940.469999999999</v>
      </c>
      <c r="AC85" s="216">
        <f t="shared" ca="1" si="57"/>
        <v>101.35135135135135</v>
      </c>
      <c r="AD85" s="358">
        <f ca="1">IFERROR(__xludf.DUMMYFUNCTION("IMPORTRANGE(""https://docs.google.com/spreadsheets/d/1eHaY18a8A9IcSdp1K8H6x8fbOy06t2VsZHhMHf-1x7Y/edit?usp=sharing"",""แผน!EM85"")"),250)</f>
        <v>250</v>
      </c>
      <c r="AE85" s="151">
        <f ca="1">IFERROR(__xludf.DUMMYFUNCTION("IMPORTRANGE(""https://docs.google.com/spreadsheets/d/1tdoBKaGub7dwA3U6UFTqxio9LNnvDCQjHKmttSEBsFQ/edit?usp=sharing"",""จัดที่ดิน!E85"")"),37)</f>
        <v>37</v>
      </c>
      <c r="AF85" s="67">
        <f ca="1">IFERROR(__xludf.DUMMYFUNCTION("IMPORTRANGE(""https://docs.google.com/spreadsheets/d/1tdoBKaGub7dwA3U6UFTqxio9LNnvDCQjHKmttSEBsFQ/edit?usp=sharing"",""จัดที่ดิน!F85"")"),231.53)</f>
        <v>231.53</v>
      </c>
      <c r="AG85" s="68">
        <f t="shared" ca="1" si="59"/>
        <v>92.611999999999995</v>
      </c>
      <c r="AH85" s="358">
        <f ca="1">IFERROR(__xludf.DUMMYFUNCTION("IMPORTRANGE(""https://docs.google.com/spreadsheets/d/1eHaY18a8A9IcSdp1K8H6x8fbOy06t2VsZHhMHf-1x7Y/edit?usp=sharing"",""แผน!EN85"")"),20)</f>
        <v>20</v>
      </c>
      <c r="AI85" s="151">
        <f ca="1">IFERROR(__xludf.DUMMYFUNCTION("IMPORTRANGE(""https://docs.google.com/spreadsheets/d/1tdoBKaGub7dwA3U6UFTqxio9LNnvDCQjHKmttSEBsFQ/edit?usp=sharing"",""จัดที่ดิน!G85"")"),5)</f>
        <v>5</v>
      </c>
      <c r="AJ85" s="67">
        <f ca="1">IFERROR(__xludf.DUMMYFUNCTION("IMPORTRANGE(""https://docs.google.com/spreadsheets/d/1tdoBKaGub7dwA3U6UFTqxio9LNnvDCQjHKmttSEBsFQ/edit?usp=sharing"",""จัดที่ดิน!H85"")"),27.32)</f>
        <v>27.32</v>
      </c>
      <c r="AK85" s="68">
        <f t="shared" ca="1" si="61"/>
        <v>25</v>
      </c>
      <c r="AL85" s="358">
        <f ca="1">IFERROR(__xludf.DUMMYFUNCTION("IMPORTRANGE(""https://docs.google.com/spreadsheets/d/1eHaY18a8A9IcSdp1K8H6x8fbOy06t2VsZHhMHf-1x7Y/edit?usp=sharing"",""แผน!EN85"")"),20)</f>
        <v>20</v>
      </c>
      <c r="AM85" s="151">
        <f ca="1">IFERROR(__xludf.DUMMYFUNCTION("IMPORTRANGE(""https://docs.google.com/spreadsheets/d/1tdoBKaGub7dwA3U6UFTqxio9LNnvDCQjHKmttSEBsFQ/edit?usp=sharing"",""จัดที่ดิน!I85"")"),3)</f>
        <v>3</v>
      </c>
      <c r="AN85" s="67">
        <f ca="1">IFERROR(__xludf.DUMMYFUNCTION("IMPORTRANGE(""https://docs.google.com/spreadsheets/d/1tdoBKaGub7dwA3U6UFTqxio9LNnvDCQjHKmttSEBsFQ/edit?usp=sharing"",""จัดที่ดิน!J85"")"),43.8)</f>
        <v>43.8</v>
      </c>
      <c r="AO85" s="68">
        <f t="shared" ca="1" si="63"/>
        <v>15</v>
      </c>
      <c r="AP85" s="359">
        <f ca="1">IFERROR(__xludf.DUMMYFUNCTION("IMPORTRANGE(""https://docs.google.com/spreadsheets/d/1eHaY18a8A9IcSdp1K8H6x8fbOy06t2VsZHhMHf-1x7Y/edit?usp=sharing"",""แผน!EO85"")"),160)</f>
        <v>160</v>
      </c>
      <c r="AQ85" s="151">
        <f ca="1">IFERROR(__xludf.DUMMYFUNCTION("IMPORTRANGE(""https://docs.google.com/spreadsheets/d/1tdoBKaGub7dwA3U6UFTqxio9LNnvDCQjHKmttSEBsFQ/edit?usp=sharing"",""แบ่งแปลง!D90"")"),34)</f>
        <v>34</v>
      </c>
      <c r="AR85" s="67">
        <f ca="1">IFERROR(__xludf.DUMMYFUNCTION("IMPORTRANGE(""https://docs.google.com/spreadsheets/d/1tdoBKaGub7dwA3U6UFTqxio9LNnvDCQjHKmttSEBsFQ/edit?usp=sharing"",""แบ่งแปลง!F90"")"),293.28)</f>
        <v>293.27999999999997</v>
      </c>
      <c r="AS85" s="68">
        <f t="shared" ca="1" si="65"/>
        <v>183.29999999999998</v>
      </c>
      <c r="AT85" s="359">
        <f ca="1">IFERROR(__xludf.DUMMYFUNCTION("IMPORTRANGE(""https://docs.google.com/spreadsheets/d/1eHaY18a8A9IcSdp1K8H6x8fbOy06t2VsZHhMHf-1x7Y/edit?usp=sharing"",""แผน!EP85"")"),14)</f>
        <v>14</v>
      </c>
      <c r="AU85" s="151">
        <f ca="1">IFERROR(__xludf.DUMMYFUNCTION("IMPORTRANGE(""https://docs.google.com/spreadsheets/d/1tdoBKaGub7dwA3U6UFTqxio9LNnvDCQjHKmttSEBsFQ/edit?usp=sharing"",""แบ่งแปลง!I90"")"),22)</f>
        <v>22</v>
      </c>
      <c r="AV85" s="67">
        <f ca="1">IFERROR(__xludf.DUMMYFUNCTION("IMPORTRANGE(""https://docs.google.com/spreadsheets/d/1tdoBKaGub7dwA3U6UFTqxio9LNnvDCQjHKmttSEBsFQ/edit?usp=sharing"",""แบ่งแปลง!K90"")"),266.5)</f>
        <v>266.5</v>
      </c>
      <c r="AW85" s="68">
        <f t="shared" ca="1" si="67"/>
        <v>157.14285714285714</v>
      </c>
      <c r="AX85" s="359">
        <f ca="1">IFERROR(__xludf.DUMMYFUNCTION("IMPORTRANGE(""https://docs.google.com/spreadsheets/d/1eHaY18a8A9IcSdp1K8H6x8fbOy06t2VsZHhMHf-1x7Y/edit?usp=sharing"",""แผน!EP85"")"),14)</f>
        <v>14</v>
      </c>
      <c r="AY85" s="151">
        <f ca="1">IFERROR(__xludf.DUMMYFUNCTION("IMPORTRANGE(""https://docs.google.com/spreadsheets/d/1tdoBKaGub7dwA3U6UFTqxio9LNnvDCQjHKmttSEBsFQ/edit?usp=sharing"",""แบ่งแปลง!X90"")"),2)</f>
        <v>2</v>
      </c>
      <c r="AZ85" s="67">
        <f ca="1">IFERROR(__xludf.DUMMYFUNCTION("IMPORTRANGE(""https://docs.google.com/spreadsheets/d/1tdoBKaGub7dwA3U6UFTqxio9LNnvDCQjHKmttSEBsFQ/edit?usp=sharing"",""แบ่งแปลง!Z90"")"),3.02)</f>
        <v>3.02</v>
      </c>
      <c r="BA85" s="68">
        <f t="shared" ca="1" si="69"/>
        <v>14.285714285714286</v>
      </c>
      <c r="BB85" s="360">
        <f ca="1">IFERROR(__xludf.DUMMYFUNCTION("IMPORTRANGE(""https://docs.google.com/spreadsheets/d/1eHaY18a8A9IcSdp1K8H6x8fbOy06t2VsZHhMHf-1x7Y/edit?usp=sharing"",""แผน!ES85"")"),40)</f>
        <v>40</v>
      </c>
      <c r="BC85" s="151">
        <f ca="1">IFERROR(__xludf.DUMMYFUNCTION("IMPORTRANGE(""https://docs.google.com/spreadsheets/d/1tdoBKaGub7dwA3U6UFTqxio9LNnvDCQjHKmttSEBsFQ/edit?usp=sharing"",""เต็มแปลง!I90"")"),85)</f>
        <v>85</v>
      </c>
      <c r="BD85" s="67">
        <f ca="1">IFERROR(__xludf.DUMMYFUNCTION("IMPORTRANGE(""https://docs.google.com/spreadsheets/d/1tdoBKaGub7dwA3U6UFTqxio9LNnvDCQjHKmttSEBsFQ/edit?usp=sharing"",""เต็มแปลง!K90"")"),1123.91)</f>
        <v>1123.9100000000001</v>
      </c>
      <c r="BE85" s="68">
        <f t="shared" ca="1" si="71"/>
        <v>212.5</v>
      </c>
      <c r="BF85" s="360">
        <f ca="1">IFERROR(__xludf.DUMMYFUNCTION("IMPORTRANGE(""https://docs.google.com/spreadsheets/d/1eHaY18a8A9IcSdp1K8H6x8fbOy06t2VsZHhMHf-1x7Y/edit?usp=sharing"",""แผน!ES85"")"),40)</f>
        <v>40</v>
      </c>
      <c r="BG85" s="151">
        <f ca="1">IFERROR(__xludf.DUMMYFUNCTION("IMPORTRANGE(""https://docs.google.com/spreadsheets/d/1tdoBKaGub7dwA3U6UFTqxio9LNnvDCQjHKmttSEBsFQ/edit?usp=sharing"",""เต็มแปลง!S90"")"),70)</f>
        <v>70</v>
      </c>
      <c r="BH85" s="67">
        <f ca="1">IFERROR(__xludf.DUMMYFUNCTION("IMPORTRANGE(""https://docs.google.com/spreadsheets/d/1tdoBKaGub7dwA3U6UFTqxio9LNnvDCQjHKmttSEBsFQ/edit?usp=sharing"",""เต็มแปลง!U90"")"),893.65)</f>
        <v>893.65</v>
      </c>
      <c r="BI85" s="68">
        <f t="shared" ca="1" si="73"/>
        <v>175</v>
      </c>
      <c r="BJ85" s="339"/>
    </row>
    <row r="86" spans="1:62" ht="24" customHeight="1" x14ac:dyDescent="0.3">
      <c r="A86" s="147">
        <v>12</v>
      </c>
      <c r="B86" s="148" t="s">
        <v>114</v>
      </c>
      <c r="C86" s="149">
        <f t="shared" ca="1" si="44"/>
        <v>916010</v>
      </c>
      <c r="D86" s="150">
        <f t="shared" ca="1" si="113"/>
        <v>916010</v>
      </c>
      <c r="E86" s="151">
        <f ca="1">IFERROR(__xludf.DUMMYFUNCTION("IMPORTRANGE(""https://docs.google.com/spreadsheets/d/1-uDff_7J0KD5mKrp0Vvzr7lt3OU09vwQwhkpOPPYv2Y/edit?usp=sharing"",""งบพรบ!FD86"")"),536800)</f>
        <v>536800</v>
      </c>
      <c r="F86" s="151">
        <f ca="1">IFERROR(__xludf.DUMMYFUNCTION("IMPORTRANGE(""https://docs.google.com/spreadsheets/d/1-uDff_7J0KD5mKrp0Vvzr7lt3OU09vwQwhkpOPPYv2Y/edit?usp=sharing"",""งบพรบ!FE86"")"),379210)</f>
        <v>379210</v>
      </c>
      <c r="G86" s="151">
        <f ca="1">IFERROR(__xludf.DUMMYFUNCTION("IMPORTRANGE(""https://docs.google.com/spreadsheets/d/1-uDff_7J0KD5mKrp0Vvzr7lt3OU09vwQwhkpOPPYv2Y/edit?usp=sharing"",""งบพรบ!FF86"")"),0)</f>
        <v>0</v>
      </c>
      <c r="H86" s="151">
        <f ca="1">IFERROR(__xludf.DUMMYFUNCTION("IMPORTRANGE(""https://docs.google.com/spreadsheets/d/1-uDff_7J0KD5mKrp0Vvzr7lt3OU09vwQwhkpOPPYv2Y/edit?usp=sharing"",""งบพรบ!FH86"")"),1037810)</f>
        <v>1037810</v>
      </c>
      <c r="I86" s="151">
        <f ca="1">IFERROR(__xludf.DUMMYFUNCTION("IMPORTRANGE(""https://docs.google.com/spreadsheets/d/1-uDff_7J0KD5mKrp0Vvzr7lt3OU09vwQwhkpOPPYv2Y/edit?usp=sharing"",""งบพรบ!FI86"")"),0)</f>
        <v>0</v>
      </c>
      <c r="J86" s="151">
        <f t="shared" ca="1" si="46"/>
        <v>802617.04</v>
      </c>
      <c r="K86" s="154">
        <f t="shared" ca="1" si="47"/>
        <v>87.620991037215745</v>
      </c>
      <c r="L86" s="151">
        <f ca="1">IFERROR(__xludf.DUMMYFUNCTION("IMPORTRANGE(""https://docs.google.com/spreadsheets/d/1-uDff_7J0KD5mKrp0Vvzr7lt3OU09vwQwhkpOPPYv2Y/edit?usp=sharing"",""งบพรบ!FJ86"")"),802617.04)</f>
        <v>802617.04</v>
      </c>
      <c r="M86" s="68">
        <f t="shared" ca="1" si="48"/>
        <v>87.620991037215745</v>
      </c>
      <c r="N86" s="68">
        <f t="shared" ca="1" si="49"/>
        <v>77.337570460874346</v>
      </c>
      <c r="O86" s="67">
        <f ca="1">IFERROR(__xludf.DUMMYFUNCTION("IMPORTRANGE(""https://docs.google.com/spreadsheets/d/1-uDff_7J0KD5mKrp0Vvzr7lt3OU09vwQwhkpOPPYv2Y/edit?usp=sharing"",""งบพรบ!FK86"")"),0)</f>
        <v>0</v>
      </c>
      <c r="P86" s="67">
        <f t="shared" ca="1" si="50"/>
        <v>0</v>
      </c>
      <c r="Q86" s="68">
        <f t="shared" ca="1" si="51"/>
        <v>0</v>
      </c>
      <c r="R86" s="149">
        <f ca="1">IFERROR(__xludf.DUMMYFUNCTION("IMPORTRANGE(""https://docs.google.com/spreadsheets/d/1IbSCnFOKpZsnFogBHJnL_isstZVaOMnFiIN0fGTPZZw/edit?usp=sharing"",""สงขลา!I368"")"),1390)</f>
        <v>1390</v>
      </c>
      <c r="S86" s="152">
        <f ca="1">IFERROR(__xludf.DUMMYFUNCTION("IMPORTRANGE(""https://docs.google.com/spreadsheets/d/1IbSCnFOKpZsnFogBHJnL_isstZVaOMnFiIN0fGTPZZw/edit?usp=sharing"",""สงขลา!J367"")"),170)</f>
        <v>170</v>
      </c>
      <c r="T86" s="357">
        <f ca="1">IFERROR(__xludf.DUMMYFUNCTION("IMPORTRANGE(""https://docs.google.com/spreadsheets/d/1IbSCnFOKpZsnFogBHJnL_isstZVaOMnFiIN0fGTPZZw/edit?usp=sharing"",""สงขลา!J368"")"),1287.23)</f>
        <v>1287.23</v>
      </c>
      <c r="U86" s="216">
        <f t="shared" ca="1" si="53"/>
        <v>92.606474820143887</v>
      </c>
      <c r="V86" s="149">
        <f ca="1">IFERROR(__xludf.DUMMYFUNCTION("IMPORTRANGE(""https://docs.google.com/spreadsheets/d/1IbSCnFOKpZsnFogBHJnL_isstZVaOMnFiIN0fGTPZZw/edit?usp=sharing"",""สงขลา!I369"")"),245)</f>
        <v>245</v>
      </c>
      <c r="W86" s="152">
        <f ca="1">IFERROR(__xludf.DUMMYFUNCTION("IMPORTRANGE(""https://docs.google.com/spreadsheets/d/1IbSCnFOKpZsnFogBHJnL_isstZVaOMnFiIN0fGTPZZw/edit?usp=sharing"",""สงขลา!J369"")"),257)</f>
        <v>257</v>
      </c>
      <c r="X86" s="357">
        <f ca="1">IFERROR(__xludf.DUMMYFUNCTION("IMPORTRANGE(""https://docs.google.com/spreadsheets/d/1IbSCnFOKpZsnFogBHJnL_isstZVaOMnFiIN0fGTPZZw/edit?usp=sharing"",""สงขลา!J370"")"),2731.4)</f>
        <v>2731.4</v>
      </c>
      <c r="Y86" s="216">
        <f t="shared" ca="1" si="55"/>
        <v>104.89795918367346</v>
      </c>
      <c r="Z86" s="149">
        <f ca="1">IFERROR(__xludf.DUMMYFUNCTION("IMPORTRANGE(""https://docs.google.com/spreadsheets/d/1IbSCnFOKpZsnFogBHJnL_isstZVaOMnFiIN0fGTPZZw/edit?usp=sharing"",""สงขลา!I371"")"),245)</f>
        <v>245</v>
      </c>
      <c r="AA86" s="152">
        <f ca="1">IFERROR(__xludf.DUMMYFUNCTION("IMPORTRANGE(""https://docs.google.com/spreadsheets/d/1IbSCnFOKpZsnFogBHJnL_isstZVaOMnFiIN0fGTPZZw/edit?usp=sharing"",""สงขลา!J371"")"),234)</f>
        <v>234</v>
      </c>
      <c r="AB86" s="357">
        <f ca="1">IFERROR(__xludf.DUMMYFUNCTION("IMPORTRANGE(""https://docs.google.com/spreadsheets/d/1IbSCnFOKpZsnFogBHJnL_isstZVaOMnFiIN0fGTPZZw/edit?usp=sharing"",""สงขลา!J372"")"),2513.84)</f>
        <v>2513.84</v>
      </c>
      <c r="AC86" s="216">
        <f t="shared" ca="1" si="57"/>
        <v>95.510204081632651</v>
      </c>
      <c r="AD86" s="358">
        <f ca="1">IFERROR(__xludf.DUMMYFUNCTION("IMPORTRANGE(""https://docs.google.com/spreadsheets/d/1eHaY18a8A9IcSdp1K8H6x8fbOy06t2VsZHhMHf-1x7Y/edit?usp=sharing"",""แผน!EM86"")"),360)</f>
        <v>360</v>
      </c>
      <c r="AE86" s="151">
        <f ca="1">IFERROR(__xludf.DUMMYFUNCTION("IMPORTRANGE(""https://docs.google.com/spreadsheets/d/1tdoBKaGub7dwA3U6UFTqxio9LNnvDCQjHKmttSEBsFQ/edit?usp=sharing"",""จัดที่ดิน!E86"")"),43)</f>
        <v>43</v>
      </c>
      <c r="AF86" s="67">
        <f ca="1">IFERROR(__xludf.DUMMYFUNCTION("IMPORTRANGE(""https://docs.google.com/spreadsheets/d/1tdoBKaGub7dwA3U6UFTqxio9LNnvDCQjHKmttSEBsFQ/edit?usp=sharing"",""จัดที่ดิน!F86"")"),371.77)</f>
        <v>371.77</v>
      </c>
      <c r="AG86" s="68">
        <f t="shared" ca="1" si="59"/>
        <v>103.26944444444445</v>
      </c>
      <c r="AH86" s="358">
        <f ca="1">IFERROR(__xludf.DUMMYFUNCTION("IMPORTRANGE(""https://docs.google.com/spreadsheets/d/1eHaY18a8A9IcSdp1K8H6x8fbOy06t2VsZHhMHf-1x7Y/edit?usp=sharing"",""แผน!EN86"")"),36)</f>
        <v>36</v>
      </c>
      <c r="AI86" s="151">
        <f ca="1">IFERROR(__xludf.DUMMYFUNCTION("IMPORTRANGE(""https://docs.google.com/spreadsheets/d/1tdoBKaGub7dwA3U6UFTqxio9LNnvDCQjHKmttSEBsFQ/edit?usp=sharing"",""จัดที่ดิน!G86"")"),36)</f>
        <v>36</v>
      </c>
      <c r="AJ86" s="67">
        <f ca="1">IFERROR(__xludf.DUMMYFUNCTION("IMPORTRANGE(""https://docs.google.com/spreadsheets/d/1tdoBKaGub7dwA3U6UFTqxio9LNnvDCQjHKmttSEBsFQ/edit?usp=sharing"",""จัดที่ดิน!H86"")"),322.67)</f>
        <v>322.67</v>
      </c>
      <c r="AK86" s="68">
        <f t="shared" ca="1" si="61"/>
        <v>100</v>
      </c>
      <c r="AL86" s="358">
        <f ca="1">IFERROR(__xludf.DUMMYFUNCTION("IMPORTRANGE(""https://docs.google.com/spreadsheets/d/1eHaY18a8A9IcSdp1K8H6x8fbOy06t2VsZHhMHf-1x7Y/edit?usp=sharing"",""แผน!EN86"")"),36)</f>
        <v>36</v>
      </c>
      <c r="AM86" s="151">
        <f ca="1">IFERROR(__xludf.DUMMYFUNCTION("IMPORTRANGE(""https://docs.google.com/spreadsheets/d/1tdoBKaGub7dwA3U6UFTqxio9LNnvDCQjHKmttSEBsFQ/edit?usp=sharing"",""จัดที่ดิน!I86"")"),14)</f>
        <v>14</v>
      </c>
      <c r="AN86" s="67">
        <f ca="1">IFERROR(__xludf.DUMMYFUNCTION("IMPORTRANGE(""https://docs.google.com/spreadsheets/d/1tdoBKaGub7dwA3U6UFTqxio9LNnvDCQjHKmttSEBsFQ/edit?usp=sharing"",""จัดที่ดิน!J86"")"),106.81)</f>
        <v>106.81</v>
      </c>
      <c r="AO86" s="68">
        <f t="shared" ca="1" si="63"/>
        <v>38.888888888888886</v>
      </c>
      <c r="AP86" s="359">
        <f ca="1">IFERROR(__xludf.DUMMYFUNCTION("IMPORTRANGE(""https://docs.google.com/spreadsheets/d/1eHaY18a8A9IcSdp1K8H6x8fbOy06t2VsZHhMHf-1x7Y/edit?usp=sharing"",""แผน!EO86"")"),1030)</f>
        <v>1030</v>
      </c>
      <c r="AQ86" s="151">
        <f ca="1">IFERROR(__xludf.DUMMYFUNCTION("IMPORTRANGE(""https://docs.google.com/spreadsheets/d/1tdoBKaGub7dwA3U6UFTqxio9LNnvDCQjHKmttSEBsFQ/edit?usp=sharing"",""แบ่งแปลง!D91"")"),127)</f>
        <v>127</v>
      </c>
      <c r="AR86" s="67">
        <f ca="1">IFERROR(__xludf.DUMMYFUNCTION("IMPORTRANGE(""https://docs.google.com/spreadsheets/d/1tdoBKaGub7dwA3U6UFTqxio9LNnvDCQjHKmttSEBsFQ/edit?usp=sharing"",""แบ่งแปลง!F91"")"),915.46)</f>
        <v>915.46</v>
      </c>
      <c r="AS86" s="68">
        <f t="shared" ca="1" si="65"/>
        <v>88.879611650485444</v>
      </c>
      <c r="AT86" s="359">
        <f ca="1">IFERROR(__xludf.DUMMYFUNCTION("IMPORTRANGE(""https://docs.google.com/spreadsheets/d/1eHaY18a8A9IcSdp1K8H6x8fbOy06t2VsZHhMHf-1x7Y/edit?usp=sharing"",""แผน!EP86"")"),44)</f>
        <v>44</v>
      </c>
      <c r="AU86" s="151">
        <f ca="1">IFERROR(__xludf.DUMMYFUNCTION("IMPORTRANGE(""https://docs.google.com/spreadsheets/d/1tdoBKaGub7dwA3U6UFTqxio9LNnvDCQjHKmttSEBsFQ/edit?usp=sharing"",""แบ่งแปลง!I91"")"),54)</f>
        <v>54</v>
      </c>
      <c r="AV86" s="67">
        <f ca="1">IFERROR(__xludf.DUMMYFUNCTION("IMPORTRANGE(""https://docs.google.com/spreadsheets/d/1tdoBKaGub7dwA3U6UFTqxio9LNnvDCQjHKmttSEBsFQ/edit?usp=sharing"",""แบ่งแปลง!K91"")"),376.97)</f>
        <v>376.97</v>
      </c>
      <c r="AW86" s="68">
        <f t="shared" ca="1" si="67"/>
        <v>122.72727272727273</v>
      </c>
      <c r="AX86" s="359">
        <f ca="1">IFERROR(__xludf.DUMMYFUNCTION("IMPORTRANGE(""https://docs.google.com/spreadsheets/d/1eHaY18a8A9IcSdp1K8H6x8fbOy06t2VsZHhMHf-1x7Y/edit?usp=sharing"",""แผน!EP86"")"),44)</f>
        <v>44</v>
      </c>
      <c r="AY86" s="151">
        <f ca="1">IFERROR(__xludf.DUMMYFUNCTION("IMPORTRANGE(""https://docs.google.com/spreadsheets/d/1tdoBKaGub7dwA3U6UFTqxio9LNnvDCQjHKmttSEBsFQ/edit?usp=sharing"",""แบ่งแปลง!X91"")"),53)</f>
        <v>53</v>
      </c>
      <c r="AZ86" s="67">
        <f ca="1">IFERROR(__xludf.DUMMYFUNCTION("IMPORTRANGE(""https://docs.google.com/spreadsheets/d/1tdoBKaGub7dwA3U6UFTqxio9LNnvDCQjHKmttSEBsFQ/edit?usp=sharing"",""แบ่งแปลง!Z91"")"),376.41)</f>
        <v>376.41</v>
      </c>
      <c r="BA86" s="68">
        <f t="shared" ca="1" si="69"/>
        <v>120.45454545454545</v>
      </c>
      <c r="BB86" s="360">
        <f ca="1">IFERROR(__xludf.DUMMYFUNCTION("IMPORTRANGE(""https://docs.google.com/spreadsheets/d/1eHaY18a8A9IcSdp1K8H6x8fbOy06t2VsZHhMHf-1x7Y/edit?usp=sharing"",""แผน!ES86"")"),165)</f>
        <v>165</v>
      </c>
      <c r="BC86" s="151">
        <f ca="1">IFERROR(__xludf.DUMMYFUNCTION("IMPORTRANGE(""https://docs.google.com/spreadsheets/d/1tdoBKaGub7dwA3U6UFTqxio9LNnvDCQjHKmttSEBsFQ/edit?usp=sharing"",""เต็มแปลง!I91"")"),168)</f>
        <v>168</v>
      </c>
      <c r="BD86" s="67">
        <f ca="1">IFERROR(__xludf.DUMMYFUNCTION("IMPORTRANGE(""https://docs.google.com/spreadsheets/d/1tdoBKaGub7dwA3U6UFTqxio9LNnvDCQjHKmttSEBsFQ/edit?usp=sharing"",""เต็มแปลง!K91"")"),2031.76)</f>
        <v>2031.76</v>
      </c>
      <c r="BE86" s="68">
        <f t="shared" ca="1" si="71"/>
        <v>101.81818181818181</v>
      </c>
      <c r="BF86" s="360">
        <f ca="1">IFERROR(__xludf.DUMMYFUNCTION("IMPORTRANGE(""https://docs.google.com/spreadsheets/d/1eHaY18a8A9IcSdp1K8H6x8fbOy06t2VsZHhMHf-1x7Y/edit?usp=sharing"",""แผน!ES86"")"),165)</f>
        <v>165</v>
      </c>
      <c r="BG86" s="151">
        <f ca="1">IFERROR(__xludf.DUMMYFUNCTION("IMPORTRANGE(""https://docs.google.com/spreadsheets/d/1tdoBKaGub7dwA3U6UFTqxio9LNnvDCQjHKmttSEBsFQ/edit?usp=sharing"",""เต็มแปลง!S91"")"),168)</f>
        <v>168</v>
      </c>
      <c r="BH86" s="67">
        <f ca="1">IFERROR(__xludf.DUMMYFUNCTION("IMPORTRANGE(""https://docs.google.com/spreadsheets/d/1tdoBKaGub7dwA3U6UFTqxio9LNnvDCQjHKmttSEBsFQ/edit?usp=sharing"",""เต็มแปลง!U91"")"),2030.62)</f>
        <v>2030.62</v>
      </c>
      <c r="BI86" s="68">
        <f t="shared" ca="1" si="73"/>
        <v>101.81818181818181</v>
      </c>
      <c r="BJ86" s="339"/>
    </row>
    <row r="87" spans="1:62" ht="24" customHeight="1" x14ac:dyDescent="0.3">
      <c r="A87" s="147">
        <v>13</v>
      </c>
      <c r="B87" s="148" t="s">
        <v>115</v>
      </c>
      <c r="C87" s="149">
        <f t="shared" ca="1" si="44"/>
        <v>229590</v>
      </c>
      <c r="D87" s="150">
        <f t="shared" ca="1" si="113"/>
        <v>229590</v>
      </c>
      <c r="E87" s="151">
        <f ca="1">IFERROR(__xludf.DUMMYFUNCTION("IMPORTRANGE(""https://docs.google.com/spreadsheets/d/1-uDff_7J0KD5mKrp0Vvzr7lt3OU09vwQwhkpOPPYv2Y/edit?usp=sharing"",""งบพรบ!FD87"")"),0)</f>
        <v>0</v>
      </c>
      <c r="F87" s="151">
        <f ca="1">IFERROR(__xludf.DUMMYFUNCTION("IMPORTRANGE(""https://docs.google.com/spreadsheets/d/1-uDff_7J0KD5mKrp0Vvzr7lt3OU09vwQwhkpOPPYv2Y/edit?usp=sharing"",""งบพรบ!FE87"")"),229590)</f>
        <v>229590</v>
      </c>
      <c r="G87" s="151">
        <f ca="1">IFERROR(__xludf.DUMMYFUNCTION("IMPORTRANGE(""https://docs.google.com/spreadsheets/d/1-uDff_7J0KD5mKrp0Vvzr7lt3OU09vwQwhkpOPPYv2Y/edit?usp=sharing"",""งบพรบ!FF87"")"),0)</f>
        <v>0</v>
      </c>
      <c r="H87" s="151">
        <f ca="1">IFERROR(__xludf.DUMMYFUNCTION("IMPORTRANGE(""https://docs.google.com/spreadsheets/d/1-uDff_7J0KD5mKrp0Vvzr7lt3OU09vwQwhkpOPPYv2Y/edit?usp=sharing"",""งบพรบ!FH87"")"),272590)</f>
        <v>272590</v>
      </c>
      <c r="I87" s="151">
        <f ca="1">IFERROR(__xludf.DUMMYFUNCTION("IMPORTRANGE(""https://docs.google.com/spreadsheets/d/1-uDff_7J0KD5mKrp0Vvzr7lt3OU09vwQwhkpOPPYv2Y/edit?usp=sharing"",""งบพรบ!FI87"")"),0)</f>
        <v>0</v>
      </c>
      <c r="J87" s="151">
        <f t="shared" ca="1" si="46"/>
        <v>215458.32</v>
      </c>
      <c r="K87" s="154">
        <f t="shared" ca="1" si="47"/>
        <v>93.844819025218868</v>
      </c>
      <c r="L87" s="151">
        <f ca="1">IFERROR(__xludf.DUMMYFUNCTION("IMPORTRANGE(""https://docs.google.com/spreadsheets/d/1-uDff_7J0KD5mKrp0Vvzr7lt3OU09vwQwhkpOPPYv2Y/edit?usp=sharing"",""งบพรบ!FJ87"")"),215458.32)</f>
        <v>215458.32</v>
      </c>
      <c r="M87" s="68">
        <f t="shared" ca="1" si="48"/>
        <v>93.844819025218868</v>
      </c>
      <c r="N87" s="68">
        <f t="shared" ca="1" si="49"/>
        <v>79.041168054587473</v>
      </c>
      <c r="O87" s="67">
        <f ca="1">IFERROR(__xludf.DUMMYFUNCTION("IMPORTRANGE(""https://docs.google.com/spreadsheets/d/1-uDff_7J0KD5mKrp0Vvzr7lt3OU09vwQwhkpOPPYv2Y/edit?usp=sharing"",""งบพรบ!FK87"")"),0)</f>
        <v>0</v>
      </c>
      <c r="P87" s="67">
        <f t="shared" ca="1" si="50"/>
        <v>0</v>
      </c>
      <c r="Q87" s="68">
        <f t="shared" ca="1" si="51"/>
        <v>0</v>
      </c>
      <c r="R87" s="149">
        <f ca="1">IFERROR(__xludf.DUMMYFUNCTION("IMPORTRANGE(""https://docs.google.com/spreadsheets/d/1q9nWasZJ-K8bFGvbE9n0qSRuKGA4Toe3Y89cKCiVtCU/edit?usp=sharing"",""สตูล!I368"")"),230)</f>
        <v>230</v>
      </c>
      <c r="S87" s="152">
        <f ca="1">IFERROR(__xludf.DUMMYFUNCTION("IMPORTRANGE(""https://docs.google.com/spreadsheets/d/1q9nWasZJ-K8bFGvbE9n0qSRuKGA4Toe3Y89cKCiVtCU/edit?usp=sharing"",""สตูล!J367"")"),46)</f>
        <v>46</v>
      </c>
      <c r="T87" s="357">
        <f ca="1">IFERROR(__xludf.DUMMYFUNCTION("IMPORTRANGE(""https://docs.google.com/spreadsheets/d/1q9nWasZJ-K8bFGvbE9n0qSRuKGA4Toe3Y89cKCiVtCU/edit?usp=sharing"",""สตูล!J368"")"),288.88)</f>
        <v>288.88</v>
      </c>
      <c r="U87" s="216">
        <f t="shared" ca="1" si="53"/>
        <v>125.6</v>
      </c>
      <c r="V87" s="149">
        <f ca="1">IFERROR(__xludf.DUMMYFUNCTION("IMPORTRANGE(""https://docs.google.com/spreadsheets/d/1q9nWasZJ-K8bFGvbE9n0qSRuKGA4Toe3Y89cKCiVtCU/edit?usp=sharing"",""สตูล!I369"")"),77)</f>
        <v>77</v>
      </c>
      <c r="W87" s="152">
        <f ca="1">IFERROR(__xludf.DUMMYFUNCTION("IMPORTRANGE(""https://docs.google.com/spreadsheets/d/1q9nWasZJ-K8bFGvbE9n0qSRuKGA4Toe3Y89cKCiVtCU/edit?usp=sharing"",""สตูล!J369"")"),99)</f>
        <v>99</v>
      </c>
      <c r="X87" s="357">
        <f ca="1">IFERROR(__xludf.DUMMYFUNCTION("IMPORTRANGE(""https://docs.google.com/spreadsheets/d/1q9nWasZJ-K8bFGvbE9n0qSRuKGA4Toe3Y89cKCiVtCU/edit?usp=sharing"",""สตูล!J370"")"),675.57)</f>
        <v>675.57</v>
      </c>
      <c r="Y87" s="216">
        <f t="shared" ca="1" si="55"/>
        <v>128.57142857142858</v>
      </c>
      <c r="Z87" s="149">
        <f ca="1">IFERROR(__xludf.DUMMYFUNCTION("IMPORTRANGE(""https://docs.google.com/spreadsheets/d/1q9nWasZJ-K8bFGvbE9n0qSRuKGA4Toe3Y89cKCiVtCU/edit?usp=sharing"",""สตูล!I371"")"),77)</f>
        <v>77</v>
      </c>
      <c r="AA87" s="152">
        <f ca="1">IFERROR(__xludf.DUMMYFUNCTION("IMPORTRANGE(""https://docs.google.com/spreadsheets/d/1q9nWasZJ-K8bFGvbE9n0qSRuKGA4Toe3Y89cKCiVtCU/edit?usp=sharing"",""สตูล!J371"")"),98)</f>
        <v>98</v>
      </c>
      <c r="AB87" s="357">
        <f ca="1">IFERROR(__xludf.DUMMYFUNCTION("IMPORTRANGE(""https://docs.google.com/spreadsheets/d/1q9nWasZJ-K8bFGvbE9n0qSRuKGA4Toe3Y89cKCiVtCU/edit?usp=sharing"",""สตูล!J372"")"),654.59)</f>
        <v>654.59</v>
      </c>
      <c r="AC87" s="216">
        <f t="shared" ca="1" si="57"/>
        <v>127.27272727272727</v>
      </c>
      <c r="AD87" s="358">
        <f ca="1">IFERROR(__xludf.DUMMYFUNCTION("IMPORTRANGE(""https://docs.google.com/spreadsheets/d/1eHaY18a8A9IcSdp1K8H6x8fbOy06t2VsZHhMHf-1x7Y/edit?usp=sharing"",""แผน!EM87"")"),190)</f>
        <v>190</v>
      </c>
      <c r="AE87" s="151">
        <f ca="1">IFERROR(__xludf.DUMMYFUNCTION("IMPORTRANGE(""https://docs.google.com/spreadsheets/d/1tdoBKaGub7dwA3U6UFTqxio9LNnvDCQjHKmttSEBsFQ/edit?usp=sharing"",""จัดที่ดิน!E87"")"),24)</f>
        <v>24</v>
      </c>
      <c r="AF87" s="67">
        <f ca="1">IFERROR(__xludf.DUMMYFUNCTION("IMPORTRANGE(""https://docs.google.com/spreadsheets/d/1tdoBKaGub7dwA3U6UFTqxio9LNnvDCQjHKmttSEBsFQ/edit?usp=sharing"",""จัดที่ดิน!F87"")"),208.85)</f>
        <v>208.85</v>
      </c>
      <c r="AG87" s="68">
        <f t="shared" ca="1" si="59"/>
        <v>109.92105263157895</v>
      </c>
      <c r="AH87" s="358">
        <f ca="1">IFERROR(__xludf.DUMMYFUNCTION("IMPORTRANGE(""https://docs.google.com/spreadsheets/d/1eHaY18a8A9IcSdp1K8H6x8fbOy06t2VsZHhMHf-1x7Y/edit?usp=sharing"",""แผน!EN87"")"),19)</f>
        <v>19</v>
      </c>
      <c r="AI87" s="151">
        <f ca="1">IFERROR(__xludf.DUMMYFUNCTION("IMPORTRANGE(""https://docs.google.com/spreadsheets/d/1tdoBKaGub7dwA3U6UFTqxio9LNnvDCQjHKmttSEBsFQ/edit?usp=sharing"",""จัดที่ดิน!G87"")"),24)</f>
        <v>24</v>
      </c>
      <c r="AJ87" s="67">
        <f ca="1">IFERROR(__xludf.DUMMYFUNCTION("IMPORTRANGE(""https://docs.google.com/spreadsheets/d/1tdoBKaGub7dwA3U6UFTqxio9LNnvDCQjHKmttSEBsFQ/edit?usp=sharing"",""จัดที่ดิน!H87"")"),208.85)</f>
        <v>208.85</v>
      </c>
      <c r="AK87" s="68">
        <f t="shared" ca="1" si="61"/>
        <v>126.31578947368421</v>
      </c>
      <c r="AL87" s="358">
        <f ca="1">IFERROR(__xludf.DUMMYFUNCTION("IMPORTRANGE(""https://docs.google.com/spreadsheets/d/1eHaY18a8A9IcSdp1K8H6x8fbOy06t2VsZHhMHf-1x7Y/edit?usp=sharing"",""แผน!EN87"")"),19)</f>
        <v>19</v>
      </c>
      <c r="AM87" s="151">
        <f ca="1">IFERROR(__xludf.DUMMYFUNCTION("IMPORTRANGE(""https://docs.google.com/spreadsheets/d/1tdoBKaGub7dwA3U6UFTqxio9LNnvDCQjHKmttSEBsFQ/edit?usp=sharing"",""จัดที่ดิน!I87"")"),23)</f>
        <v>23</v>
      </c>
      <c r="AN87" s="67">
        <f ca="1">IFERROR(__xludf.DUMMYFUNCTION("IMPORTRANGE(""https://docs.google.com/spreadsheets/d/1tdoBKaGub7dwA3U6UFTqxio9LNnvDCQjHKmttSEBsFQ/edit?usp=sharing"",""จัดที่ดิน!J87"")"),187.87)</f>
        <v>187.87</v>
      </c>
      <c r="AO87" s="68">
        <f t="shared" ca="1" si="63"/>
        <v>121.05263157894737</v>
      </c>
      <c r="AP87" s="359">
        <f ca="1">IFERROR(__xludf.DUMMYFUNCTION("IMPORTRANGE(""https://docs.google.com/spreadsheets/d/1eHaY18a8A9IcSdp1K8H6x8fbOy06t2VsZHhMHf-1x7Y/edit?usp=sharing"",""แผน!EO87"")"),40)</f>
        <v>40</v>
      </c>
      <c r="AQ87" s="151">
        <f ca="1">IFERROR(__xludf.DUMMYFUNCTION("IMPORTRANGE(""https://docs.google.com/spreadsheets/d/1tdoBKaGub7dwA3U6UFTqxio9LNnvDCQjHKmttSEBsFQ/edit?usp=sharing"",""แบ่งแปลง!D92"")"),22)</f>
        <v>22</v>
      </c>
      <c r="AR87" s="67">
        <f ca="1">IFERROR(__xludf.DUMMYFUNCTION("IMPORTRANGE(""https://docs.google.com/spreadsheets/d/1tdoBKaGub7dwA3U6UFTqxio9LNnvDCQjHKmttSEBsFQ/edit?usp=sharing"",""แบ่งแปลง!F92"")"),80.03)</f>
        <v>80.03</v>
      </c>
      <c r="AS87" s="68">
        <f t="shared" ca="1" si="65"/>
        <v>200.07499999999999</v>
      </c>
      <c r="AT87" s="359">
        <f ca="1">IFERROR(__xludf.DUMMYFUNCTION("IMPORTRANGE(""https://docs.google.com/spreadsheets/d/1eHaY18a8A9IcSdp1K8H6x8fbOy06t2VsZHhMHf-1x7Y/edit?usp=sharing"",""แผน!EP87"")"),8)</f>
        <v>8</v>
      </c>
      <c r="AU87" s="151">
        <f ca="1">IFERROR(__xludf.DUMMYFUNCTION("IMPORTRANGE(""https://docs.google.com/spreadsheets/d/1tdoBKaGub7dwA3U6UFTqxio9LNnvDCQjHKmttSEBsFQ/edit?usp=sharing"",""แบ่งแปลง!I92"")"),22)</f>
        <v>22</v>
      </c>
      <c r="AV87" s="67">
        <f ca="1">IFERROR(__xludf.DUMMYFUNCTION("IMPORTRANGE(""https://docs.google.com/spreadsheets/d/1tdoBKaGub7dwA3U6UFTqxio9LNnvDCQjHKmttSEBsFQ/edit?usp=sharing"",""แบ่งแปลง!K92"")"),80.03)</f>
        <v>80.03</v>
      </c>
      <c r="AW87" s="68">
        <f t="shared" ca="1" si="67"/>
        <v>275</v>
      </c>
      <c r="AX87" s="359">
        <f ca="1">IFERROR(__xludf.DUMMYFUNCTION("IMPORTRANGE(""https://docs.google.com/spreadsheets/d/1eHaY18a8A9IcSdp1K8H6x8fbOy06t2VsZHhMHf-1x7Y/edit?usp=sharing"",""แผน!EP87"")"),8)</f>
        <v>8</v>
      </c>
      <c r="AY87" s="151">
        <f ca="1">IFERROR(__xludf.DUMMYFUNCTION("IMPORTRANGE(""https://docs.google.com/spreadsheets/d/1tdoBKaGub7dwA3U6UFTqxio9LNnvDCQjHKmttSEBsFQ/edit?usp=sharing"",""แบ่งแปลง!X92"")"),22)</f>
        <v>22</v>
      </c>
      <c r="AZ87" s="67">
        <f ca="1">IFERROR(__xludf.DUMMYFUNCTION("IMPORTRANGE(""https://docs.google.com/spreadsheets/d/1tdoBKaGub7dwA3U6UFTqxio9LNnvDCQjHKmttSEBsFQ/edit?usp=sharing"",""แบ่งแปลง!Z92"")"),80.03)</f>
        <v>80.03</v>
      </c>
      <c r="BA87" s="68">
        <f t="shared" ca="1" si="69"/>
        <v>275</v>
      </c>
      <c r="BB87" s="360">
        <f ca="1">IFERROR(__xludf.DUMMYFUNCTION("IMPORTRANGE(""https://docs.google.com/spreadsheets/d/1eHaY18a8A9IcSdp1K8H6x8fbOy06t2VsZHhMHf-1x7Y/edit?usp=sharing"",""แผน!ES87"")"),50)</f>
        <v>50</v>
      </c>
      <c r="BC87" s="151">
        <f ca="1">IFERROR(__xludf.DUMMYFUNCTION("IMPORTRANGE(""https://docs.google.com/spreadsheets/d/1tdoBKaGub7dwA3U6UFTqxio9LNnvDCQjHKmttSEBsFQ/edit?usp=sharing"",""เต็มแปลง!I92"")"),53)</f>
        <v>53</v>
      </c>
      <c r="BD87" s="67">
        <f ca="1">IFERROR(__xludf.DUMMYFUNCTION("IMPORTRANGE(""https://docs.google.com/spreadsheets/d/1tdoBKaGub7dwA3U6UFTqxio9LNnvDCQjHKmttSEBsFQ/edit?usp=sharing"",""เต็มแปลง!K92"")"),386.69)</f>
        <v>386.69</v>
      </c>
      <c r="BE87" s="68">
        <f t="shared" ca="1" si="71"/>
        <v>106</v>
      </c>
      <c r="BF87" s="360">
        <f ca="1">IFERROR(__xludf.DUMMYFUNCTION("IMPORTRANGE(""https://docs.google.com/spreadsheets/d/1eHaY18a8A9IcSdp1K8H6x8fbOy06t2VsZHhMHf-1x7Y/edit?usp=sharing"",""แผน!ES87"")"),50)</f>
        <v>50</v>
      </c>
      <c r="BG87" s="151">
        <f ca="1">IFERROR(__xludf.DUMMYFUNCTION("IMPORTRANGE(""https://docs.google.com/spreadsheets/d/1tdoBKaGub7dwA3U6UFTqxio9LNnvDCQjHKmttSEBsFQ/edit?usp=sharing"",""เต็มแปลง!S92"")"),53)</f>
        <v>53</v>
      </c>
      <c r="BH87" s="67">
        <f ca="1">IFERROR(__xludf.DUMMYFUNCTION("IMPORTRANGE(""https://docs.google.com/spreadsheets/d/1tdoBKaGub7dwA3U6UFTqxio9LNnvDCQjHKmttSEBsFQ/edit?usp=sharing"",""เต็มแปลง!U92"")"),386.69)</f>
        <v>386.69</v>
      </c>
      <c r="BI87" s="68">
        <f t="shared" ca="1" si="73"/>
        <v>106</v>
      </c>
      <c r="BJ87" s="339"/>
    </row>
    <row r="88" spans="1:62" ht="24" customHeight="1" x14ac:dyDescent="0.3">
      <c r="A88" s="155">
        <v>14</v>
      </c>
      <c r="B88" s="156" t="s">
        <v>116</v>
      </c>
      <c r="C88" s="157">
        <f t="shared" ca="1" si="44"/>
        <v>1057580</v>
      </c>
      <c r="D88" s="158">
        <f t="shared" ca="1" si="113"/>
        <v>1057580</v>
      </c>
      <c r="E88" s="159">
        <f ca="1">IFERROR(__xludf.DUMMYFUNCTION("IMPORTRANGE(""https://docs.google.com/spreadsheets/d/1-uDff_7J0KD5mKrp0Vvzr7lt3OU09vwQwhkpOPPYv2Y/edit?usp=sharing"",""งบพรบ!FD88"")"),199500)</f>
        <v>199500</v>
      </c>
      <c r="F88" s="159">
        <f ca="1">IFERROR(__xludf.DUMMYFUNCTION("IMPORTRANGE(""https://docs.google.com/spreadsheets/d/1-uDff_7J0KD5mKrp0Vvzr7lt3OU09vwQwhkpOPPYv2Y/edit?usp=sharing"",""งบพรบ!FE88"")"),858080)</f>
        <v>858080</v>
      </c>
      <c r="G88" s="159">
        <f ca="1">IFERROR(__xludf.DUMMYFUNCTION("IMPORTRANGE(""https://docs.google.com/spreadsheets/d/1-uDff_7J0KD5mKrp0Vvzr7lt3OU09vwQwhkpOPPYv2Y/edit?usp=sharing"",""งบพรบ!FF88"")"),0)</f>
        <v>0</v>
      </c>
      <c r="H88" s="159">
        <f ca="1">IFERROR(__xludf.DUMMYFUNCTION("IMPORTRANGE(""https://docs.google.com/spreadsheets/d/1-uDff_7J0KD5mKrp0Vvzr7lt3OU09vwQwhkpOPPYv2Y/edit?usp=sharing"",""งบพรบ!FH88"")"),1191580)</f>
        <v>1191580</v>
      </c>
      <c r="I88" s="159">
        <f ca="1">IFERROR(__xludf.DUMMYFUNCTION("IMPORTRANGE(""https://docs.google.com/spreadsheets/d/1-uDff_7J0KD5mKrp0Vvzr7lt3OU09vwQwhkpOPPYv2Y/edit?usp=sharing"",""งบพรบ!FI88"")"),0)</f>
        <v>0</v>
      </c>
      <c r="J88" s="159">
        <f t="shared" ca="1" si="46"/>
        <v>1008228.37</v>
      </c>
      <c r="K88" s="160">
        <f t="shared" ca="1" si="47"/>
        <v>95.333532215057019</v>
      </c>
      <c r="L88" s="159">
        <f ca="1">IFERROR(__xludf.DUMMYFUNCTION("IMPORTRANGE(""https://docs.google.com/spreadsheets/d/1-uDff_7J0KD5mKrp0Vvzr7lt3OU09vwQwhkpOPPYv2Y/edit?usp=sharing"",""งบพรบ!FJ88"")"),1008228.37)</f>
        <v>1008228.37</v>
      </c>
      <c r="M88" s="89">
        <f t="shared" ca="1" si="48"/>
        <v>95.333532215057019</v>
      </c>
      <c r="N88" s="89">
        <f t="shared" ca="1" si="49"/>
        <v>84.612730156598801</v>
      </c>
      <c r="O88" s="88">
        <f ca="1">IFERROR(__xludf.DUMMYFUNCTION("IMPORTRANGE(""https://docs.google.com/spreadsheets/d/1-uDff_7J0KD5mKrp0Vvzr7lt3OU09vwQwhkpOPPYv2Y/edit?usp=sharing"",""งบพรบ!FK88"")"),0)</f>
        <v>0</v>
      </c>
      <c r="P88" s="88">
        <f t="shared" ca="1" si="50"/>
        <v>0</v>
      </c>
      <c r="Q88" s="89">
        <f t="shared" ca="1" si="51"/>
        <v>0</v>
      </c>
      <c r="R88" s="157">
        <f ca="1">IFERROR(__xludf.DUMMYFUNCTION("IMPORTRANGE(""https://docs.google.com/spreadsheets/d/18T20gbkS_WBjdscyTOV05cvq_JqvqQ17C81mpxf7Ncs/edit?usp=sharing"",""สุราษฎร์ธานี!I368"")"),3600)</f>
        <v>3600</v>
      </c>
      <c r="S88" s="191">
        <f ca="1">IFERROR(__xludf.DUMMYFUNCTION("IMPORTRANGE(""https://docs.google.com/spreadsheets/d/18T20gbkS_WBjdscyTOV05cvq_JqvqQ17C81mpxf7Ncs/edit?usp=sharing"",""สุราษฎร์ธานี!J367"")"),636)</f>
        <v>636</v>
      </c>
      <c r="T88" s="365">
        <f ca="1">IFERROR(__xludf.DUMMYFUNCTION("IMPORTRANGE(""https://docs.google.com/spreadsheets/d/18T20gbkS_WBjdscyTOV05cvq_JqvqQ17C81mpxf7Ncs/edit?usp=sharing"",""สุราษฎร์ธานี!J368"")"),6935.14)</f>
        <v>6935.14</v>
      </c>
      <c r="U88" s="218">
        <f t="shared" ca="1" si="53"/>
        <v>192.64277777777778</v>
      </c>
      <c r="V88" s="157">
        <f ca="1">IFERROR(__xludf.DUMMYFUNCTION("IMPORTRANGE(""https://docs.google.com/spreadsheets/d/18T20gbkS_WBjdscyTOV05cvq_JqvqQ17C81mpxf7Ncs/edit?usp=sharing"",""สุราษฎร์ธานี!I369"")"),1286)</f>
        <v>1286</v>
      </c>
      <c r="W88" s="191">
        <f ca="1">IFERROR(__xludf.DUMMYFUNCTION("IMPORTRANGE(""https://docs.google.com/spreadsheets/d/18T20gbkS_WBjdscyTOV05cvq_JqvqQ17C81mpxf7Ncs/edit?usp=sharing"",""สุราษฎร์ธานี!J369"")"),1382)</f>
        <v>1382</v>
      </c>
      <c r="X88" s="365">
        <f ca="1">IFERROR(__xludf.DUMMYFUNCTION("IMPORTRANGE(""https://docs.google.com/spreadsheets/d/18T20gbkS_WBjdscyTOV05cvq_JqvqQ17C81mpxf7Ncs/edit?usp=sharing"",""สุราษฎร์ธานี!J370"")"),19440.24)</f>
        <v>19440.240000000002</v>
      </c>
      <c r="Y88" s="218">
        <f t="shared" ca="1" si="55"/>
        <v>107.46500777604977</v>
      </c>
      <c r="Z88" s="157">
        <f ca="1">IFERROR(__xludf.DUMMYFUNCTION("IMPORTRANGE(""https://docs.google.com/spreadsheets/d/18T20gbkS_WBjdscyTOV05cvq_JqvqQ17C81mpxf7Ncs/edit?usp=sharing"",""สุราษฎร์ธานี!I371"")"),1286)</f>
        <v>1286</v>
      </c>
      <c r="AA88" s="191">
        <f ca="1">IFERROR(__xludf.DUMMYFUNCTION("IMPORTRANGE(""https://docs.google.com/spreadsheets/d/18T20gbkS_WBjdscyTOV05cvq_JqvqQ17C81mpxf7Ncs/edit?usp=sharing"",""สุราษฎร์ธานี!J371"")"),1266)</f>
        <v>1266</v>
      </c>
      <c r="AB88" s="365">
        <f ca="1">IFERROR(__xludf.DUMMYFUNCTION("IMPORTRANGE(""https://docs.google.com/spreadsheets/d/18T20gbkS_WBjdscyTOV05cvq_JqvqQ17C81mpxf7Ncs/edit?usp=sharing"",""สุราษฎร์ธานี!J372"")"),18515.23)</f>
        <v>18515.23</v>
      </c>
      <c r="AC88" s="218">
        <f t="shared" ca="1" si="57"/>
        <v>98.444790046656294</v>
      </c>
      <c r="AD88" s="366">
        <f ca="1">IFERROR(__xludf.DUMMYFUNCTION("IMPORTRANGE(""https://docs.google.com/spreadsheets/d/1eHaY18a8A9IcSdp1K8H6x8fbOy06t2VsZHhMHf-1x7Y/edit?usp=sharing"",""แผน!EM88"")"),1600)</f>
        <v>1600</v>
      </c>
      <c r="AE88" s="159">
        <f ca="1">IFERROR(__xludf.DUMMYFUNCTION("IMPORTRANGE(""https://docs.google.com/spreadsheets/d/1tdoBKaGub7dwA3U6UFTqxio9LNnvDCQjHKmttSEBsFQ/edit?usp=sharing"",""จัดที่ดิน!E88"")"),204)</f>
        <v>204</v>
      </c>
      <c r="AF88" s="88">
        <f ca="1">IFERROR(__xludf.DUMMYFUNCTION("IMPORTRANGE(""https://docs.google.com/spreadsheets/d/1tdoBKaGub7dwA3U6UFTqxio9LNnvDCQjHKmttSEBsFQ/edit?usp=sharing"",""จัดที่ดิน!F88"")"),2804.87)</f>
        <v>2804.87</v>
      </c>
      <c r="AG88" s="89">
        <f t="shared" ca="1" si="59"/>
        <v>175.30437499999999</v>
      </c>
      <c r="AH88" s="366">
        <f ca="1">IFERROR(__xludf.DUMMYFUNCTION("IMPORTRANGE(""https://docs.google.com/spreadsheets/d/1eHaY18a8A9IcSdp1K8H6x8fbOy06t2VsZHhMHf-1x7Y/edit?usp=sharing"",""แผน!EN88"")"),136)</f>
        <v>136</v>
      </c>
      <c r="AI88" s="159">
        <f ca="1">IFERROR(__xludf.DUMMYFUNCTION("IMPORTRANGE(""https://docs.google.com/spreadsheets/d/1tdoBKaGub7dwA3U6UFTqxio9LNnvDCQjHKmttSEBsFQ/edit?usp=sharing"",""จัดที่ดิน!G88"")"),56)</f>
        <v>56</v>
      </c>
      <c r="AJ88" s="88">
        <f ca="1">IFERROR(__xludf.DUMMYFUNCTION("IMPORTRANGE(""https://docs.google.com/spreadsheets/d/1tdoBKaGub7dwA3U6UFTqxio9LNnvDCQjHKmttSEBsFQ/edit?usp=sharing"",""จัดที่ดิน!H88"")"),733.91)</f>
        <v>733.91</v>
      </c>
      <c r="AK88" s="89">
        <f t="shared" ca="1" si="61"/>
        <v>41.176470588235297</v>
      </c>
      <c r="AL88" s="366">
        <f ca="1">IFERROR(__xludf.DUMMYFUNCTION("IMPORTRANGE(""https://docs.google.com/spreadsheets/d/1eHaY18a8A9IcSdp1K8H6x8fbOy06t2VsZHhMHf-1x7Y/edit?usp=sharing"",""แผน!EN88"")"),136)</f>
        <v>136</v>
      </c>
      <c r="AM88" s="159">
        <f ca="1">IFERROR(__xludf.DUMMYFUNCTION("IMPORTRANGE(""https://docs.google.com/spreadsheets/d/1tdoBKaGub7dwA3U6UFTqxio9LNnvDCQjHKmttSEBsFQ/edit?usp=sharing"",""จัดที่ดิน!I88"")"),56)</f>
        <v>56</v>
      </c>
      <c r="AN88" s="88">
        <f ca="1">IFERROR(__xludf.DUMMYFUNCTION("IMPORTRANGE(""https://docs.google.com/spreadsheets/d/1tdoBKaGub7dwA3U6UFTqxio9LNnvDCQjHKmttSEBsFQ/edit?usp=sharing"",""จัดที่ดิน!J88"")"),733.91)</f>
        <v>733.91</v>
      </c>
      <c r="AO88" s="89">
        <f t="shared" ca="1" si="63"/>
        <v>41.176470588235297</v>
      </c>
      <c r="AP88" s="367">
        <f ca="1">IFERROR(__xludf.DUMMYFUNCTION("IMPORTRANGE(""https://docs.google.com/spreadsheets/d/1eHaY18a8A9IcSdp1K8H6x8fbOy06t2VsZHhMHf-1x7Y/edit?usp=sharing"",""แผน!EO88"")"),2000)</f>
        <v>2000</v>
      </c>
      <c r="AQ88" s="159">
        <f ca="1">IFERROR(__xludf.DUMMYFUNCTION("IMPORTRANGE(""https://docs.google.com/spreadsheets/d/1tdoBKaGub7dwA3U6UFTqxio9LNnvDCQjHKmttSEBsFQ/edit?usp=sharing"",""แบ่งแปลง!D93"")"),432)</f>
        <v>432</v>
      </c>
      <c r="AR88" s="88">
        <f ca="1">IFERROR(__xludf.DUMMYFUNCTION("IMPORTRANGE(""https://docs.google.com/spreadsheets/d/1tdoBKaGub7dwA3U6UFTqxio9LNnvDCQjHKmttSEBsFQ/edit?usp=sharing"",""แบ่งแปลง!F93"")"),4130.27)</f>
        <v>4130.2700000000004</v>
      </c>
      <c r="AS88" s="89">
        <f t="shared" ca="1" si="65"/>
        <v>206.51350000000002</v>
      </c>
      <c r="AT88" s="367">
        <f ca="1">IFERROR(__xludf.DUMMYFUNCTION("IMPORTRANGE(""https://docs.google.com/spreadsheets/d/1eHaY18a8A9IcSdp1K8H6x8fbOy06t2VsZHhMHf-1x7Y/edit?usp=sharing"",""แผน!EP88"")"),385)</f>
        <v>385</v>
      </c>
      <c r="AU88" s="159">
        <f ca="1">IFERROR(__xludf.DUMMYFUNCTION("IMPORTRANGE(""https://docs.google.com/spreadsheets/d/1tdoBKaGub7dwA3U6UFTqxio9LNnvDCQjHKmttSEBsFQ/edit?usp=sharing"",""แบ่งแปลง!I93"")"),329)</f>
        <v>329</v>
      </c>
      <c r="AV88" s="88">
        <f ca="1">IFERROR(__xludf.DUMMYFUNCTION("IMPORTRANGE(""https://docs.google.com/spreadsheets/d/1tdoBKaGub7dwA3U6UFTqxio9LNnvDCQjHKmttSEBsFQ/edit?usp=sharing"",""แบ่งแปลง!K93"")"),3050.27)</f>
        <v>3050.27</v>
      </c>
      <c r="AW88" s="89">
        <f t="shared" ca="1" si="67"/>
        <v>85.454545454545453</v>
      </c>
      <c r="AX88" s="367">
        <f ca="1">IFERROR(__xludf.DUMMYFUNCTION("IMPORTRANGE(""https://docs.google.com/spreadsheets/d/1eHaY18a8A9IcSdp1K8H6x8fbOy06t2VsZHhMHf-1x7Y/edit?usp=sharing"",""แผน!EP88"")"),385)</f>
        <v>385</v>
      </c>
      <c r="AY88" s="159">
        <f ca="1">IFERROR(__xludf.DUMMYFUNCTION("IMPORTRANGE(""https://docs.google.com/spreadsheets/d/1tdoBKaGub7dwA3U6UFTqxio9LNnvDCQjHKmttSEBsFQ/edit?usp=sharing"",""แบ่งแปลง!X93"")"),211)</f>
        <v>211</v>
      </c>
      <c r="AZ88" s="88">
        <f ca="1">IFERROR(__xludf.DUMMYFUNCTION("IMPORTRANGE(""https://docs.google.com/spreadsheets/d/1tdoBKaGub7dwA3U6UFTqxio9LNnvDCQjHKmttSEBsFQ/edit?usp=sharing"",""แบ่งแปลง!Z93"")"),2125.26)</f>
        <v>2125.2600000000002</v>
      </c>
      <c r="BA88" s="89">
        <f t="shared" ca="1" si="69"/>
        <v>54.805194805194802</v>
      </c>
      <c r="BB88" s="368">
        <f ca="1">IFERROR(__xludf.DUMMYFUNCTION("IMPORTRANGE(""https://docs.google.com/spreadsheets/d/1eHaY18a8A9IcSdp1K8H6x8fbOy06t2VsZHhMHf-1x7Y/edit?usp=sharing"",""แผน!ES88"")"),765)</f>
        <v>765</v>
      </c>
      <c r="BC88" s="159">
        <f ca="1">IFERROR(__xludf.DUMMYFUNCTION("IMPORTRANGE(""https://docs.google.com/spreadsheets/d/1tdoBKaGub7dwA3U6UFTqxio9LNnvDCQjHKmttSEBsFQ/edit?usp=sharing"",""เต็มแปลง!I93"")"),1006)</f>
        <v>1006</v>
      </c>
      <c r="BD88" s="88">
        <f ca="1">IFERROR(__xludf.DUMMYFUNCTION("IMPORTRANGE(""https://docs.google.com/spreadsheets/d/1tdoBKaGub7dwA3U6UFTqxio9LNnvDCQjHKmttSEBsFQ/edit?usp=sharing"",""เต็มแปลง!K93"")"),15656.06)</f>
        <v>15656.06</v>
      </c>
      <c r="BE88" s="89">
        <f t="shared" ca="1" si="71"/>
        <v>131.5032679738562</v>
      </c>
      <c r="BF88" s="368">
        <f ca="1">IFERROR(__xludf.DUMMYFUNCTION("IMPORTRANGE(""https://docs.google.com/spreadsheets/d/1eHaY18a8A9IcSdp1K8H6x8fbOy06t2VsZHhMHf-1x7Y/edit?usp=sharing"",""แผน!ES88"")"),765)</f>
        <v>765</v>
      </c>
      <c r="BG88" s="159">
        <f ca="1">IFERROR(__xludf.DUMMYFUNCTION("IMPORTRANGE(""https://docs.google.com/spreadsheets/d/1tdoBKaGub7dwA3U6UFTqxio9LNnvDCQjHKmttSEBsFQ/edit?usp=sharing"",""เต็มแปลง!S93"")"),1006)</f>
        <v>1006</v>
      </c>
      <c r="BH88" s="88">
        <f ca="1">IFERROR(__xludf.DUMMYFUNCTION("IMPORTRANGE(""https://docs.google.com/spreadsheets/d/1tdoBKaGub7dwA3U6UFTqxio9LNnvDCQjHKmttSEBsFQ/edit?usp=sharing"",""เต็มแปลง!U93"")"),15656.06)</f>
        <v>15656.06</v>
      </c>
      <c r="BI88" s="89">
        <f t="shared" ca="1" si="73"/>
        <v>131.5032679738562</v>
      </c>
      <c r="BJ88" s="339"/>
    </row>
    <row r="89" spans="1:62" ht="21" customHeight="1" x14ac:dyDescent="0.3">
      <c r="A89" s="698" t="s">
        <v>117</v>
      </c>
      <c r="B89" s="662"/>
      <c r="C89" s="202">
        <f t="shared" ref="C89:Q89" ca="1" si="114">SUM(C90:C106)</f>
        <v>43864330</v>
      </c>
      <c r="D89" s="202">
        <f t="shared" ca="1" si="114"/>
        <v>43864330</v>
      </c>
      <c r="E89" s="202">
        <f t="shared" ca="1" si="114"/>
        <v>24479800</v>
      </c>
      <c r="F89" s="202">
        <f t="shared" ca="1" si="114"/>
        <v>19384530</v>
      </c>
      <c r="G89" s="202">
        <f t="shared" ca="1" si="114"/>
        <v>0</v>
      </c>
      <c r="H89" s="202">
        <f t="shared" ca="1" si="114"/>
        <v>35671434.200000003</v>
      </c>
      <c r="I89" s="202">
        <f t="shared" ca="1" si="114"/>
        <v>0</v>
      </c>
      <c r="J89" s="202">
        <f t="shared" ca="1" si="114"/>
        <v>27952434.109999999</v>
      </c>
      <c r="K89" s="254">
        <f t="shared" ca="1" si="114"/>
        <v>1014.2810122409549</v>
      </c>
      <c r="L89" s="202">
        <f t="shared" ca="1" si="114"/>
        <v>27952434.109999999</v>
      </c>
      <c r="M89" s="254">
        <f t="shared" ca="1" si="114"/>
        <v>1014.2810122409549</v>
      </c>
      <c r="N89" s="254">
        <f t="shared" ca="1" si="114"/>
        <v>973.29613772851189</v>
      </c>
      <c r="O89" s="202">
        <f t="shared" ca="1" si="114"/>
        <v>0</v>
      </c>
      <c r="P89" s="202">
        <f t="shared" ca="1" si="114"/>
        <v>0</v>
      </c>
      <c r="Q89" s="202">
        <f t="shared" ca="1" si="114"/>
        <v>0</v>
      </c>
      <c r="R89" s="169"/>
      <c r="S89" s="169"/>
      <c r="T89" s="370"/>
      <c r="U89" s="255"/>
      <c r="V89" s="169"/>
      <c r="W89" s="169"/>
      <c r="X89" s="370"/>
      <c r="Y89" s="255"/>
      <c r="Z89" s="255"/>
      <c r="AA89" s="255"/>
      <c r="AB89" s="370"/>
      <c r="AC89" s="255"/>
      <c r="AD89" s="169"/>
      <c r="AE89" s="169"/>
      <c r="AF89" s="370"/>
      <c r="AG89" s="255"/>
      <c r="AH89" s="169"/>
      <c r="AI89" s="169"/>
      <c r="AJ89" s="370"/>
      <c r="AK89" s="255"/>
      <c r="AL89" s="255"/>
      <c r="AM89" s="255"/>
      <c r="AN89" s="370"/>
      <c r="AO89" s="255"/>
      <c r="AP89" s="169"/>
      <c r="AQ89" s="169"/>
      <c r="AR89" s="370"/>
      <c r="AS89" s="255"/>
      <c r="AT89" s="169"/>
      <c r="AU89" s="169"/>
      <c r="AV89" s="370"/>
      <c r="AW89" s="255"/>
      <c r="AX89" s="255"/>
      <c r="AY89" s="255"/>
      <c r="AZ89" s="370"/>
      <c r="BA89" s="255"/>
      <c r="BB89" s="169"/>
      <c r="BC89" s="169"/>
      <c r="BD89" s="370"/>
      <c r="BE89" s="255"/>
      <c r="BF89" s="255"/>
      <c r="BG89" s="255"/>
      <c r="BH89" s="370"/>
      <c r="BI89" s="255"/>
      <c r="BJ89" s="339"/>
    </row>
    <row r="90" spans="1:62" ht="24" customHeight="1" x14ac:dyDescent="0.3">
      <c r="A90" s="257"/>
      <c r="B90" s="258" t="s">
        <v>118</v>
      </c>
      <c r="C90" s="149">
        <f t="shared" ref="C90:C108" ca="1" si="115">D90+G90</f>
        <v>143000</v>
      </c>
      <c r="D90" s="150">
        <f t="shared" ref="D90:D108" ca="1" si="116">+E90+F90</f>
        <v>143000</v>
      </c>
      <c r="E90" s="151">
        <f ca="1">IFERROR(__xludf.DUMMYFUNCTION("IMPORTRANGE(""https://docs.google.com/spreadsheets/d/1-uDff_7J0KD5mKrp0Vvzr7lt3OU09vwQwhkpOPPYv2Y/edit?usp=sharing"",""งบพรบ!FD90"")"),143000)</f>
        <v>143000</v>
      </c>
      <c r="F90" s="151">
        <f ca="1">IFERROR(__xludf.DUMMYFUNCTION("IMPORTRANGE(""https://docs.google.com/spreadsheets/d/1-uDff_7J0KD5mKrp0Vvzr7lt3OU09vwQwhkpOPPYv2Y/edit?usp=sharing"",""งบพรบ!FE90"")"),0)</f>
        <v>0</v>
      </c>
      <c r="G90" s="151">
        <f ca="1">IFERROR(__xludf.DUMMYFUNCTION("IMPORTRANGE(""https://docs.google.com/spreadsheets/d/1-uDff_7J0KD5mKrp0Vvzr7lt3OU09vwQwhkpOPPYv2Y/edit?usp=sharing"",""งบพรบ!FF90"")"),0)</f>
        <v>0</v>
      </c>
      <c r="H90" s="151">
        <f ca="1">IFERROR(__xludf.DUMMYFUNCTION("IMPORTRANGE(""https://docs.google.com/spreadsheets/d/1-uDff_7J0KD5mKrp0Vvzr7lt3OU09vwQwhkpOPPYv2Y/edit?usp=sharing"",""งบพรบ!FH90"")"),143000)</f>
        <v>143000</v>
      </c>
      <c r="I90" s="151">
        <f ca="1">IFERROR(__xludf.DUMMYFUNCTION("IMPORTRANGE(""https://docs.google.com/spreadsheets/d/1-uDff_7J0KD5mKrp0Vvzr7lt3OU09vwQwhkpOPPYv2Y/edit?usp=sharing"",""งบพรบ!FI90"")"),0)</f>
        <v>0</v>
      </c>
      <c r="J90" s="151">
        <f t="shared" ref="J90:J108" ca="1" si="117">L90+O90</f>
        <v>106800</v>
      </c>
      <c r="K90" s="154">
        <f t="shared" ref="K90:K108" ca="1" si="118">IF(C90&gt;0,J90*100/C90,0)</f>
        <v>74.68531468531468</v>
      </c>
      <c r="L90" s="151">
        <f ca="1">IFERROR(__xludf.DUMMYFUNCTION("IMPORTRANGE(""https://docs.google.com/spreadsheets/d/1-uDff_7J0KD5mKrp0Vvzr7lt3OU09vwQwhkpOPPYv2Y/edit?usp=sharing"",""งบพรบ!FJ90"")"),106800)</f>
        <v>106800</v>
      </c>
      <c r="M90" s="68">
        <f t="shared" ref="M90:M108" ca="1" si="119">IF(D90&gt;0,L90*100/D90,0)</f>
        <v>74.68531468531468</v>
      </c>
      <c r="N90" s="68">
        <f t="shared" ref="N90:N108" ca="1" si="120">IF(H90&gt;0,L90*100/H90,0)</f>
        <v>74.68531468531468</v>
      </c>
      <c r="O90" s="67">
        <f ca="1">IFERROR(__xludf.DUMMYFUNCTION("IMPORTRANGE(""https://docs.google.com/spreadsheets/d/1-uDff_7J0KD5mKrp0Vvzr7lt3OU09vwQwhkpOPPYv2Y/edit?usp=sharing"",""งบพรบ!FK90"")"),0)</f>
        <v>0</v>
      </c>
      <c r="P90" s="67">
        <f t="shared" ref="P90:P108" ca="1" si="121">IF(G90&gt;0,O90*100/G90,0)</f>
        <v>0</v>
      </c>
      <c r="Q90" s="68">
        <f t="shared" ref="Q90:Q108" ca="1" si="122">IF(I90&gt;0,O90*100/I90,0)</f>
        <v>0</v>
      </c>
      <c r="R90" s="220"/>
      <c r="S90" s="220"/>
      <c r="T90" s="371"/>
      <c r="U90" s="259"/>
      <c r="V90" s="220"/>
      <c r="W90" s="220"/>
      <c r="X90" s="371"/>
      <c r="Y90" s="259"/>
      <c r="Z90" s="259"/>
      <c r="AA90" s="259"/>
      <c r="AB90" s="371"/>
      <c r="AC90" s="259"/>
      <c r="AD90" s="220"/>
      <c r="AE90" s="220"/>
      <c r="AF90" s="371"/>
      <c r="AG90" s="259"/>
      <c r="AH90" s="220"/>
      <c r="AI90" s="220"/>
      <c r="AJ90" s="371"/>
      <c r="AK90" s="259"/>
      <c r="AL90" s="259"/>
      <c r="AM90" s="259"/>
      <c r="AN90" s="371"/>
      <c r="AO90" s="259"/>
      <c r="AP90" s="220"/>
      <c r="AQ90" s="220"/>
      <c r="AR90" s="371"/>
      <c r="AS90" s="259"/>
      <c r="AT90" s="220"/>
      <c r="AU90" s="220"/>
      <c r="AV90" s="371"/>
      <c r="AW90" s="259"/>
      <c r="AX90" s="259"/>
      <c r="AY90" s="259"/>
      <c r="AZ90" s="371"/>
      <c r="BA90" s="259"/>
      <c r="BB90" s="220"/>
      <c r="BC90" s="220"/>
      <c r="BD90" s="371"/>
      <c r="BE90" s="259"/>
      <c r="BF90" s="259"/>
      <c r="BG90" s="259"/>
      <c r="BH90" s="371"/>
      <c r="BI90" s="259"/>
      <c r="BJ90" s="339"/>
    </row>
    <row r="91" spans="1:62" ht="24" customHeight="1" x14ac:dyDescent="0.3">
      <c r="A91" s="257"/>
      <c r="B91" s="258" t="s">
        <v>119</v>
      </c>
      <c r="C91" s="149">
        <f t="shared" ca="1" si="115"/>
        <v>143000</v>
      </c>
      <c r="D91" s="150">
        <f t="shared" ca="1" si="116"/>
        <v>143000</v>
      </c>
      <c r="E91" s="151">
        <f ca="1">IFERROR(__xludf.DUMMYFUNCTION("IMPORTRANGE(""https://docs.google.com/spreadsheets/d/1-uDff_7J0KD5mKrp0Vvzr7lt3OU09vwQwhkpOPPYv2Y/edit?usp=sharing"",""งบพรบ!FD91"")"),143000)</f>
        <v>143000</v>
      </c>
      <c r="F91" s="151">
        <f ca="1">IFERROR(__xludf.DUMMYFUNCTION("IMPORTRANGE(""https://docs.google.com/spreadsheets/d/1-uDff_7J0KD5mKrp0Vvzr7lt3OU09vwQwhkpOPPYv2Y/edit?usp=sharing"",""งบพรบ!FE91"")"),0)</f>
        <v>0</v>
      </c>
      <c r="G91" s="151">
        <f ca="1">IFERROR(__xludf.DUMMYFUNCTION("IMPORTRANGE(""https://docs.google.com/spreadsheets/d/1-uDff_7J0KD5mKrp0Vvzr7lt3OU09vwQwhkpOPPYv2Y/edit?usp=sharing"",""งบพรบ!FF91"")"),0)</f>
        <v>0</v>
      </c>
      <c r="H91" s="151">
        <f ca="1">IFERROR(__xludf.DUMMYFUNCTION("IMPORTRANGE(""https://docs.google.com/spreadsheets/d/1-uDff_7J0KD5mKrp0Vvzr7lt3OU09vwQwhkpOPPYv2Y/edit?usp=sharing"",""งบพรบ!FH91"")"),143000)</f>
        <v>143000</v>
      </c>
      <c r="I91" s="151">
        <f ca="1">IFERROR(__xludf.DUMMYFUNCTION("IMPORTRANGE(""https://docs.google.com/spreadsheets/d/1-uDff_7J0KD5mKrp0Vvzr7lt3OU09vwQwhkpOPPYv2Y/edit?usp=sharing"",""งบพรบ!FI91"")"),0)</f>
        <v>0</v>
      </c>
      <c r="J91" s="151">
        <f t="shared" ca="1" si="117"/>
        <v>108899.99</v>
      </c>
      <c r="K91" s="154">
        <f t="shared" ca="1" si="118"/>
        <v>76.153839160839155</v>
      </c>
      <c r="L91" s="151">
        <f ca="1">IFERROR(__xludf.DUMMYFUNCTION("IMPORTRANGE(""https://docs.google.com/spreadsheets/d/1-uDff_7J0KD5mKrp0Vvzr7lt3OU09vwQwhkpOPPYv2Y/edit?usp=sharing"",""งบพรบ!FJ91"")"),108899.99)</f>
        <v>108899.99</v>
      </c>
      <c r="M91" s="68">
        <f t="shared" ca="1" si="119"/>
        <v>76.153839160839155</v>
      </c>
      <c r="N91" s="68">
        <f t="shared" ca="1" si="120"/>
        <v>76.153839160839155</v>
      </c>
      <c r="O91" s="67">
        <f ca="1">IFERROR(__xludf.DUMMYFUNCTION("IMPORTRANGE(""https://docs.google.com/spreadsheets/d/1-uDff_7J0KD5mKrp0Vvzr7lt3OU09vwQwhkpOPPYv2Y/edit?usp=sharing"",""งบพรบ!FK91"")"),0)</f>
        <v>0</v>
      </c>
      <c r="P91" s="67">
        <f t="shared" ca="1" si="121"/>
        <v>0</v>
      </c>
      <c r="Q91" s="68">
        <f t="shared" ca="1" si="122"/>
        <v>0</v>
      </c>
      <c r="R91" s="220"/>
      <c r="S91" s="220"/>
      <c r="T91" s="371"/>
      <c r="U91" s="259"/>
      <c r="V91" s="220"/>
      <c r="W91" s="220"/>
      <c r="X91" s="371"/>
      <c r="Y91" s="259"/>
      <c r="Z91" s="259"/>
      <c r="AA91" s="259"/>
      <c r="AB91" s="371"/>
      <c r="AC91" s="259"/>
      <c r="AD91" s="220"/>
      <c r="AE91" s="220"/>
      <c r="AF91" s="371"/>
      <c r="AG91" s="259"/>
      <c r="AH91" s="220"/>
      <c r="AI91" s="220"/>
      <c r="AJ91" s="371"/>
      <c r="AK91" s="259"/>
      <c r="AL91" s="259"/>
      <c r="AM91" s="259"/>
      <c r="AN91" s="371"/>
      <c r="AO91" s="259"/>
      <c r="AP91" s="220"/>
      <c r="AQ91" s="220"/>
      <c r="AR91" s="371"/>
      <c r="AS91" s="259"/>
      <c r="AT91" s="220"/>
      <c r="AU91" s="220"/>
      <c r="AV91" s="371"/>
      <c r="AW91" s="259"/>
      <c r="AX91" s="259"/>
      <c r="AY91" s="259"/>
      <c r="AZ91" s="371"/>
      <c r="BA91" s="259"/>
      <c r="BB91" s="220"/>
      <c r="BC91" s="220"/>
      <c r="BD91" s="371"/>
      <c r="BE91" s="259"/>
      <c r="BF91" s="259"/>
      <c r="BG91" s="259"/>
      <c r="BH91" s="371"/>
      <c r="BI91" s="259"/>
      <c r="BJ91" s="339"/>
    </row>
    <row r="92" spans="1:62" ht="24" customHeight="1" x14ac:dyDescent="0.3">
      <c r="A92" s="257"/>
      <c r="B92" s="258" t="s">
        <v>120</v>
      </c>
      <c r="C92" s="149">
        <f t="shared" ca="1" si="115"/>
        <v>1278400</v>
      </c>
      <c r="D92" s="150">
        <f t="shared" ca="1" si="116"/>
        <v>1278400</v>
      </c>
      <c r="E92" s="151">
        <f ca="1">IFERROR(__xludf.DUMMYFUNCTION("IMPORTRANGE(""https://docs.google.com/spreadsheets/d/1-uDff_7J0KD5mKrp0Vvzr7lt3OU09vwQwhkpOPPYv2Y/edit?usp=sharing"",""งบพรบ!FD92"")"),1278400)</f>
        <v>1278400</v>
      </c>
      <c r="F92" s="151">
        <f ca="1">IFERROR(__xludf.DUMMYFUNCTION("IMPORTRANGE(""https://docs.google.com/spreadsheets/d/1-uDff_7J0KD5mKrp0Vvzr7lt3OU09vwQwhkpOPPYv2Y/edit?usp=sharing"",""งบพรบ!FE92"")"),0)</f>
        <v>0</v>
      </c>
      <c r="G92" s="151">
        <f ca="1">IFERROR(__xludf.DUMMYFUNCTION("IMPORTRANGE(""https://docs.google.com/spreadsheets/d/1-uDff_7J0KD5mKrp0Vvzr7lt3OU09vwQwhkpOPPYv2Y/edit?usp=sharing"",""งบพรบ!FF92"")"),0)</f>
        <v>0</v>
      </c>
      <c r="H92" s="151">
        <f ca="1">IFERROR(__xludf.DUMMYFUNCTION("IMPORTRANGE(""https://docs.google.com/spreadsheets/d/1-uDff_7J0KD5mKrp0Vvzr7lt3OU09vwQwhkpOPPYv2Y/edit?usp=sharing"",""งบพรบ!FH92"")"),1559900)</f>
        <v>1559900</v>
      </c>
      <c r="I92" s="151">
        <f ca="1">IFERROR(__xludf.DUMMYFUNCTION("IMPORTRANGE(""https://docs.google.com/spreadsheets/d/1-uDff_7J0KD5mKrp0Vvzr7lt3OU09vwQwhkpOPPYv2Y/edit?usp=sharing"",""งบพรบ!FI92"")"),0)</f>
        <v>0</v>
      </c>
      <c r="J92" s="151">
        <f t="shared" ca="1" si="117"/>
        <v>1360925.83</v>
      </c>
      <c r="K92" s="154">
        <f t="shared" ca="1" si="118"/>
        <v>106.455399718398</v>
      </c>
      <c r="L92" s="151">
        <f ca="1">IFERROR(__xludf.DUMMYFUNCTION("IMPORTRANGE(""https://docs.google.com/spreadsheets/d/1-uDff_7J0KD5mKrp0Vvzr7lt3OU09vwQwhkpOPPYv2Y/edit?usp=sharing"",""งบพรบ!FJ92"")"),1360925.83)</f>
        <v>1360925.83</v>
      </c>
      <c r="M92" s="68">
        <f t="shared" ca="1" si="119"/>
        <v>106.455399718398</v>
      </c>
      <c r="N92" s="68">
        <f t="shared" ca="1" si="120"/>
        <v>87.244427847938965</v>
      </c>
      <c r="O92" s="67">
        <f ca="1">IFERROR(__xludf.DUMMYFUNCTION("IMPORTRANGE(""https://docs.google.com/spreadsheets/d/1-uDff_7J0KD5mKrp0Vvzr7lt3OU09vwQwhkpOPPYv2Y/edit?usp=sharing"",""งบพรบ!FK92"")"),0)</f>
        <v>0</v>
      </c>
      <c r="P92" s="67">
        <f t="shared" ca="1" si="121"/>
        <v>0</v>
      </c>
      <c r="Q92" s="68">
        <f t="shared" ca="1" si="122"/>
        <v>0</v>
      </c>
      <c r="R92" s="220"/>
      <c r="S92" s="220"/>
      <c r="T92" s="371"/>
      <c r="U92" s="259"/>
      <c r="V92" s="220"/>
      <c r="W92" s="220"/>
      <c r="X92" s="371"/>
      <c r="Y92" s="259"/>
      <c r="Z92" s="259"/>
      <c r="AA92" s="259"/>
      <c r="AB92" s="371"/>
      <c r="AC92" s="259"/>
      <c r="AD92" s="220"/>
      <c r="AE92" s="220"/>
      <c r="AF92" s="371"/>
      <c r="AG92" s="259"/>
      <c r="AH92" s="220"/>
      <c r="AI92" s="220"/>
      <c r="AJ92" s="371"/>
      <c r="AK92" s="259"/>
      <c r="AL92" s="259"/>
      <c r="AM92" s="259"/>
      <c r="AN92" s="371"/>
      <c r="AO92" s="259"/>
      <c r="AP92" s="220"/>
      <c r="AQ92" s="220"/>
      <c r="AR92" s="371"/>
      <c r="AS92" s="259"/>
      <c r="AT92" s="220"/>
      <c r="AU92" s="220"/>
      <c r="AV92" s="371"/>
      <c r="AW92" s="259"/>
      <c r="AX92" s="259"/>
      <c r="AY92" s="259"/>
      <c r="AZ92" s="371"/>
      <c r="BA92" s="259"/>
      <c r="BB92" s="220"/>
      <c r="BC92" s="220"/>
      <c r="BD92" s="371"/>
      <c r="BE92" s="259"/>
      <c r="BF92" s="259"/>
      <c r="BG92" s="259"/>
      <c r="BH92" s="371"/>
      <c r="BI92" s="259"/>
      <c r="BJ92" s="339"/>
    </row>
    <row r="93" spans="1:62" ht="24" customHeight="1" x14ac:dyDescent="0.3">
      <c r="A93" s="257"/>
      <c r="B93" s="258" t="s">
        <v>121</v>
      </c>
      <c r="C93" s="149">
        <f t="shared" ca="1" si="115"/>
        <v>7406500</v>
      </c>
      <c r="D93" s="150">
        <f t="shared" ca="1" si="116"/>
        <v>7406500</v>
      </c>
      <c r="E93" s="151">
        <f ca="1">IFERROR(__xludf.DUMMYFUNCTION("IMPORTRANGE(""https://docs.google.com/spreadsheets/d/1-uDff_7J0KD5mKrp0Vvzr7lt3OU09vwQwhkpOPPYv2Y/edit?usp=sharing"",""งบพรบ!FD93"")"),7406500)</f>
        <v>7406500</v>
      </c>
      <c r="F93" s="151">
        <f ca="1">IFERROR(__xludf.DUMMYFUNCTION("IMPORTRANGE(""https://docs.google.com/spreadsheets/d/1-uDff_7J0KD5mKrp0Vvzr7lt3OU09vwQwhkpOPPYv2Y/edit?usp=sharing"",""งบพรบ!FE93"")"),0)</f>
        <v>0</v>
      </c>
      <c r="G93" s="151">
        <f ca="1">IFERROR(__xludf.DUMMYFUNCTION("IMPORTRANGE(""https://docs.google.com/spreadsheets/d/1-uDff_7J0KD5mKrp0Vvzr7lt3OU09vwQwhkpOPPYv2Y/edit?usp=sharing"",""งบพรบ!FF93"")"),0)</f>
        <v>0</v>
      </c>
      <c r="H93" s="151">
        <f ca="1">IFERROR(__xludf.DUMMYFUNCTION("IMPORTRANGE(""https://docs.google.com/spreadsheets/d/1-uDff_7J0KD5mKrp0Vvzr7lt3OU09vwQwhkpOPPYv2Y/edit?usp=sharing"",""งบพรบ!FH93"")"),6577200)</f>
        <v>6577200</v>
      </c>
      <c r="I93" s="151">
        <f ca="1">IFERROR(__xludf.DUMMYFUNCTION("IMPORTRANGE(""https://docs.google.com/spreadsheets/d/1-uDff_7J0KD5mKrp0Vvzr7lt3OU09vwQwhkpOPPYv2Y/edit?usp=sharing"",""งบพรบ!FI93"")"),0)</f>
        <v>0</v>
      </c>
      <c r="J93" s="151">
        <f t="shared" ca="1" si="117"/>
        <v>4983402.29</v>
      </c>
      <c r="K93" s="154">
        <f t="shared" ca="1" si="118"/>
        <v>67.284173226220219</v>
      </c>
      <c r="L93" s="151">
        <f ca="1">IFERROR(__xludf.DUMMYFUNCTION("IMPORTRANGE(""https://docs.google.com/spreadsheets/d/1-uDff_7J0KD5mKrp0Vvzr7lt3OU09vwQwhkpOPPYv2Y/edit?usp=sharing"",""งบพรบ!FJ93"")"),4983402.29)</f>
        <v>4983402.29</v>
      </c>
      <c r="M93" s="68">
        <f t="shared" ca="1" si="119"/>
        <v>67.284173226220219</v>
      </c>
      <c r="N93" s="68">
        <f t="shared" ca="1" si="120"/>
        <v>75.767838745970934</v>
      </c>
      <c r="O93" s="67">
        <f ca="1">IFERROR(__xludf.DUMMYFUNCTION("IMPORTRANGE(""https://docs.google.com/spreadsheets/d/1-uDff_7J0KD5mKrp0Vvzr7lt3OU09vwQwhkpOPPYv2Y/edit?usp=sharing"",""งบพรบ!FK93"")"),0)</f>
        <v>0</v>
      </c>
      <c r="P93" s="67">
        <f t="shared" ca="1" si="121"/>
        <v>0</v>
      </c>
      <c r="Q93" s="68">
        <f t="shared" ca="1" si="122"/>
        <v>0</v>
      </c>
      <c r="R93" s="220"/>
      <c r="S93" s="220"/>
      <c r="T93" s="371"/>
      <c r="U93" s="259"/>
      <c r="V93" s="220"/>
      <c r="W93" s="220"/>
      <c r="X93" s="371"/>
      <c r="Y93" s="259"/>
      <c r="Z93" s="259"/>
      <c r="AA93" s="259"/>
      <c r="AB93" s="371"/>
      <c r="AC93" s="259"/>
      <c r="AD93" s="220"/>
      <c r="AE93" s="220"/>
      <c r="AF93" s="371"/>
      <c r="AG93" s="259"/>
      <c r="AH93" s="220"/>
      <c r="AI93" s="220"/>
      <c r="AJ93" s="371"/>
      <c r="AK93" s="259"/>
      <c r="AL93" s="259"/>
      <c r="AM93" s="259"/>
      <c r="AN93" s="371"/>
      <c r="AO93" s="259"/>
      <c r="AP93" s="220"/>
      <c r="AQ93" s="220"/>
      <c r="AR93" s="371"/>
      <c r="AS93" s="259"/>
      <c r="AT93" s="220"/>
      <c r="AU93" s="220"/>
      <c r="AV93" s="371"/>
      <c r="AW93" s="259"/>
      <c r="AX93" s="259"/>
      <c r="AY93" s="259"/>
      <c r="AZ93" s="371"/>
      <c r="BA93" s="259"/>
      <c r="BB93" s="220"/>
      <c r="BC93" s="220"/>
      <c r="BD93" s="371"/>
      <c r="BE93" s="259"/>
      <c r="BF93" s="259"/>
      <c r="BG93" s="259"/>
      <c r="BH93" s="371"/>
      <c r="BI93" s="259"/>
      <c r="BJ93" s="339"/>
    </row>
    <row r="94" spans="1:62" ht="24" customHeight="1" x14ac:dyDescent="0.3">
      <c r="A94" s="257"/>
      <c r="B94" s="258" t="s">
        <v>122</v>
      </c>
      <c r="C94" s="149">
        <f t="shared" ca="1" si="115"/>
        <v>1564700</v>
      </c>
      <c r="D94" s="150">
        <f t="shared" ca="1" si="116"/>
        <v>1564700</v>
      </c>
      <c r="E94" s="151">
        <f ca="1">IFERROR(__xludf.DUMMYFUNCTION("IMPORTRANGE(""https://docs.google.com/spreadsheets/d/1-uDff_7J0KD5mKrp0Vvzr7lt3OU09vwQwhkpOPPYv2Y/edit?usp=sharing"",""งบพรบ!FD94"")"),1366700)</f>
        <v>1366700</v>
      </c>
      <c r="F94" s="151">
        <f ca="1">IFERROR(__xludf.DUMMYFUNCTION("IMPORTRANGE(""https://docs.google.com/spreadsheets/d/1-uDff_7J0KD5mKrp0Vvzr7lt3OU09vwQwhkpOPPYv2Y/edit?usp=sharing"",""งบพรบ!FE94"")"),198000)</f>
        <v>198000</v>
      </c>
      <c r="G94" s="151">
        <f ca="1">IFERROR(__xludf.DUMMYFUNCTION("IMPORTRANGE(""https://docs.google.com/spreadsheets/d/1-uDff_7J0KD5mKrp0Vvzr7lt3OU09vwQwhkpOPPYv2Y/edit?usp=sharing"",""งบพรบ!FF94"")"),0)</f>
        <v>0</v>
      </c>
      <c r="H94" s="151">
        <f ca="1">IFERROR(__xludf.DUMMYFUNCTION("IMPORTRANGE(""https://docs.google.com/spreadsheets/d/1-uDff_7J0KD5mKrp0Vvzr7lt3OU09vwQwhkpOPPYv2Y/edit?usp=sharing"",""งบพรบ!FH94"")"),1670915)</f>
        <v>1670915</v>
      </c>
      <c r="I94" s="151">
        <f ca="1">IFERROR(__xludf.DUMMYFUNCTION("IMPORTRANGE(""https://docs.google.com/spreadsheets/d/1-uDff_7J0KD5mKrp0Vvzr7lt3OU09vwQwhkpOPPYv2Y/edit?usp=sharing"",""งบพรบ!FI94"")"),0)</f>
        <v>0</v>
      </c>
      <c r="J94" s="151">
        <f t="shared" ca="1" si="117"/>
        <v>1526643.37</v>
      </c>
      <c r="K94" s="154">
        <f t="shared" ca="1" si="118"/>
        <v>97.56780021729405</v>
      </c>
      <c r="L94" s="151">
        <f ca="1">IFERROR(__xludf.DUMMYFUNCTION("IMPORTRANGE(""https://docs.google.com/spreadsheets/d/1-uDff_7J0KD5mKrp0Vvzr7lt3OU09vwQwhkpOPPYv2Y/edit?usp=sharing"",""งบพรบ!FJ94"")"),1526643.37)</f>
        <v>1526643.37</v>
      </c>
      <c r="M94" s="68">
        <f t="shared" ca="1" si="119"/>
        <v>97.56780021729405</v>
      </c>
      <c r="N94" s="68">
        <f t="shared" ca="1" si="120"/>
        <v>91.365711002654237</v>
      </c>
      <c r="O94" s="67">
        <f ca="1">IFERROR(__xludf.DUMMYFUNCTION("IMPORTRANGE(""https://docs.google.com/spreadsheets/d/1-uDff_7J0KD5mKrp0Vvzr7lt3OU09vwQwhkpOPPYv2Y/edit?usp=sharing"",""งบพรบ!FK94"")"),0)</f>
        <v>0</v>
      </c>
      <c r="P94" s="67">
        <f t="shared" ca="1" si="121"/>
        <v>0</v>
      </c>
      <c r="Q94" s="68">
        <f t="shared" ca="1" si="122"/>
        <v>0</v>
      </c>
      <c r="R94" s="220"/>
      <c r="S94" s="220"/>
      <c r="T94" s="371"/>
      <c r="U94" s="259"/>
      <c r="V94" s="220"/>
      <c r="W94" s="220"/>
      <c r="X94" s="371"/>
      <c r="Y94" s="259"/>
      <c r="Z94" s="259"/>
      <c r="AA94" s="259"/>
      <c r="AB94" s="371"/>
      <c r="AC94" s="259"/>
      <c r="AD94" s="220"/>
      <c r="AE94" s="220"/>
      <c r="AF94" s="371"/>
      <c r="AG94" s="259"/>
      <c r="AH94" s="220"/>
      <c r="AI94" s="220"/>
      <c r="AJ94" s="371"/>
      <c r="AK94" s="259"/>
      <c r="AL94" s="259"/>
      <c r="AM94" s="259"/>
      <c r="AN94" s="371"/>
      <c r="AO94" s="259"/>
      <c r="AP94" s="220"/>
      <c r="AQ94" s="220"/>
      <c r="AR94" s="371"/>
      <c r="AS94" s="259"/>
      <c r="AT94" s="220"/>
      <c r="AU94" s="220"/>
      <c r="AV94" s="371"/>
      <c r="AW94" s="259"/>
      <c r="AX94" s="259"/>
      <c r="AY94" s="259"/>
      <c r="AZ94" s="371"/>
      <c r="BA94" s="259"/>
      <c r="BB94" s="220"/>
      <c r="BC94" s="220"/>
      <c r="BD94" s="371"/>
      <c r="BE94" s="259"/>
      <c r="BF94" s="259"/>
      <c r="BG94" s="259"/>
      <c r="BH94" s="371"/>
      <c r="BI94" s="259"/>
      <c r="BJ94" s="339"/>
    </row>
    <row r="95" spans="1:62" ht="24" customHeight="1" x14ac:dyDescent="0.3">
      <c r="A95" s="257"/>
      <c r="B95" s="258" t="s">
        <v>123</v>
      </c>
      <c r="C95" s="149">
        <f t="shared" ca="1" si="115"/>
        <v>4549400</v>
      </c>
      <c r="D95" s="150">
        <f t="shared" ca="1" si="116"/>
        <v>4549400</v>
      </c>
      <c r="E95" s="151">
        <f ca="1">IFERROR(__xludf.DUMMYFUNCTION("IMPORTRANGE(""https://docs.google.com/spreadsheets/d/1-uDff_7J0KD5mKrp0Vvzr7lt3OU09vwQwhkpOPPYv2Y/edit?usp=sharing"",""งบพรบ!FD95"")"),4549400)</f>
        <v>4549400</v>
      </c>
      <c r="F95" s="151">
        <f ca="1">IFERROR(__xludf.DUMMYFUNCTION("IMPORTRANGE(""https://docs.google.com/spreadsheets/d/1-uDff_7J0KD5mKrp0Vvzr7lt3OU09vwQwhkpOPPYv2Y/edit?usp=sharing"",""งบพรบ!FE95"")"),0)</f>
        <v>0</v>
      </c>
      <c r="G95" s="151">
        <f ca="1">IFERROR(__xludf.DUMMYFUNCTION("IMPORTRANGE(""https://docs.google.com/spreadsheets/d/1-uDff_7J0KD5mKrp0Vvzr7lt3OU09vwQwhkpOPPYv2Y/edit?usp=sharing"",""งบพรบ!FF95"")"),0)</f>
        <v>0</v>
      </c>
      <c r="H95" s="151">
        <f ca="1">IFERROR(__xludf.DUMMYFUNCTION("IMPORTRANGE(""https://docs.google.com/spreadsheets/d/1-uDff_7J0KD5mKrp0Vvzr7lt3OU09vwQwhkpOPPYv2Y/edit?usp=sharing"",""งบพรบ!FH95"")"),4688760)</f>
        <v>4688760</v>
      </c>
      <c r="I95" s="151">
        <f ca="1">IFERROR(__xludf.DUMMYFUNCTION("IMPORTRANGE(""https://docs.google.com/spreadsheets/d/1-uDff_7J0KD5mKrp0Vvzr7lt3OU09vwQwhkpOPPYv2Y/edit?usp=sharing"",""งบพรบ!FI95"")"),0)</f>
        <v>0</v>
      </c>
      <c r="J95" s="151">
        <f t="shared" ca="1" si="117"/>
        <v>3627170.55</v>
      </c>
      <c r="K95" s="154">
        <f t="shared" ca="1" si="118"/>
        <v>79.728547720578533</v>
      </c>
      <c r="L95" s="151">
        <f ca="1">IFERROR(__xludf.DUMMYFUNCTION("IMPORTRANGE(""https://docs.google.com/spreadsheets/d/1-uDff_7J0KD5mKrp0Vvzr7lt3OU09vwQwhkpOPPYv2Y/edit?usp=sharing"",""งบพรบ!FJ95"")"),3627170.55)</f>
        <v>3627170.55</v>
      </c>
      <c r="M95" s="68">
        <f t="shared" ca="1" si="119"/>
        <v>79.728547720578533</v>
      </c>
      <c r="N95" s="68">
        <f t="shared" ca="1" si="120"/>
        <v>77.358844342640694</v>
      </c>
      <c r="O95" s="67">
        <f ca="1">IFERROR(__xludf.DUMMYFUNCTION("IMPORTRANGE(""https://docs.google.com/spreadsheets/d/1-uDff_7J0KD5mKrp0Vvzr7lt3OU09vwQwhkpOPPYv2Y/edit?usp=sharing"",""งบพรบ!FK95"")"),0)</f>
        <v>0</v>
      </c>
      <c r="P95" s="67">
        <f t="shared" ca="1" si="121"/>
        <v>0</v>
      </c>
      <c r="Q95" s="68">
        <f t="shared" ca="1" si="122"/>
        <v>0</v>
      </c>
      <c r="R95" s="220"/>
      <c r="S95" s="220"/>
      <c r="T95" s="371"/>
      <c r="U95" s="259"/>
      <c r="V95" s="220"/>
      <c r="W95" s="220"/>
      <c r="X95" s="371"/>
      <c r="Y95" s="259"/>
      <c r="Z95" s="259"/>
      <c r="AA95" s="259"/>
      <c r="AB95" s="371"/>
      <c r="AC95" s="259"/>
      <c r="AD95" s="220"/>
      <c r="AE95" s="220"/>
      <c r="AF95" s="371"/>
      <c r="AG95" s="259"/>
      <c r="AH95" s="220"/>
      <c r="AI95" s="220"/>
      <c r="AJ95" s="371"/>
      <c r="AK95" s="259"/>
      <c r="AL95" s="259"/>
      <c r="AM95" s="259"/>
      <c r="AN95" s="371"/>
      <c r="AO95" s="259"/>
      <c r="AP95" s="220"/>
      <c r="AQ95" s="220"/>
      <c r="AR95" s="371"/>
      <c r="AS95" s="259"/>
      <c r="AT95" s="220"/>
      <c r="AU95" s="220"/>
      <c r="AV95" s="371"/>
      <c r="AW95" s="259"/>
      <c r="AX95" s="259"/>
      <c r="AY95" s="259"/>
      <c r="AZ95" s="371"/>
      <c r="BA95" s="259"/>
      <c r="BB95" s="220"/>
      <c r="BC95" s="220"/>
      <c r="BD95" s="371"/>
      <c r="BE95" s="259"/>
      <c r="BF95" s="259"/>
      <c r="BG95" s="259"/>
      <c r="BH95" s="371"/>
      <c r="BI95" s="259"/>
      <c r="BJ95" s="339"/>
    </row>
    <row r="96" spans="1:62" ht="24" customHeight="1" x14ac:dyDescent="0.3">
      <c r="A96" s="257"/>
      <c r="B96" s="258" t="s">
        <v>124</v>
      </c>
      <c r="C96" s="149">
        <f t="shared" ca="1" si="115"/>
        <v>16522730</v>
      </c>
      <c r="D96" s="150">
        <f t="shared" ca="1" si="116"/>
        <v>16522730</v>
      </c>
      <c r="E96" s="151">
        <f ca="1">IFERROR(__xludf.DUMMYFUNCTION("IMPORTRANGE(""https://docs.google.com/spreadsheets/d/1-uDff_7J0KD5mKrp0Vvzr7lt3OU09vwQwhkpOPPYv2Y/edit?usp=sharing"",""งบพรบ!FD96"")"),1307300)</f>
        <v>1307300</v>
      </c>
      <c r="F96" s="151">
        <f ca="1">IFERROR(__xludf.DUMMYFUNCTION("IMPORTRANGE(""https://docs.google.com/spreadsheets/d/1-uDff_7J0KD5mKrp0Vvzr7lt3OU09vwQwhkpOPPYv2Y/edit?usp=sharing"",""งบพรบ!FE96"")"),15215430)</f>
        <v>15215430</v>
      </c>
      <c r="G96" s="151">
        <f ca="1">IFERROR(__xludf.DUMMYFUNCTION("IMPORTRANGE(""https://docs.google.com/spreadsheets/d/1-uDff_7J0KD5mKrp0Vvzr7lt3OU09vwQwhkpOPPYv2Y/edit?usp=sharing"",""งบพรบ!FF96"")"),0)</f>
        <v>0</v>
      </c>
      <c r="H96" s="151">
        <f ca="1">IFERROR(__xludf.DUMMYFUNCTION("IMPORTRANGE(""https://docs.google.com/spreadsheets/d/1-uDff_7J0KD5mKrp0Vvzr7lt3OU09vwQwhkpOPPYv2Y/edit?usp=sharing"",""งบพรบ!FH96"")"),6367475)</f>
        <v>6367475</v>
      </c>
      <c r="I96" s="151">
        <f ca="1">IFERROR(__xludf.DUMMYFUNCTION("IMPORTRANGE(""https://docs.google.com/spreadsheets/d/1-uDff_7J0KD5mKrp0Vvzr7lt3OU09vwQwhkpOPPYv2Y/edit?usp=sharing"",""งบพรบ!FI96"")"),0)</f>
        <v>0</v>
      </c>
      <c r="J96" s="151">
        <f t="shared" ca="1" si="117"/>
        <v>4868548.88</v>
      </c>
      <c r="K96" s="154">
        <f t="shared" ca="1" si="118"/>
        <v>29.46576552422027</v>
      </c>
      <c r="L96" s="151">
        <f ca="1">IFERROR(__xludf.DUMMYFUNCTION("IMPORTRANGE(""https://docs.google.com/spreadsheets/d/1-uDff_7J0KD5mKrp0Vvzr7lt3OU09vwQwhkpOPPYv2Y/edit?usp=sharing"",""งบพรบ!FJ96"")"),4868548.88)</f>
        <v>4868548.88</v>
      </c>
      <c r="M96" s="68">
        <f t="shared" ca="1" si="119"/>
        <v>29.46576552422027</v>
      </c>
      <c r="N96" s="68">
        <f t="shared" ca="1" si="120"/>
        <v>76.459646563198135</v>
      </c>
      <c r="O96" s="67">
        <f ca="1">IFERROR(__xludf.DUMMYFUNCTION("IMPORTRANGE(""https://docs.google.com/spreadsheets/d/1-uDff_7J0KD5mKrp0Vvzr7lt3OU09vwQwhkpOPPYv2Y/edit?usp=sharing"",""งบพรบ!FK96"")"),0)</f>
        <v>0</v>
      </c>
      <c r="P96" s="67">
        <f t="shared" ca="1" si="121"/>
        <v>0</v>
      </c>
      <c r="Q96" s="68">
        <f t="shared" ca="1" si="122"/>
        <v>0</v>
      </c>
      <c r="R96" s="220"/>
      <c r="S96" s="220"/>
      <c r="T96" s="371"/>
      <c r="U96" s="259"/>
      <c r="V96" s="220"/>
      <c r="W96" s="220"/>
      <c r="X96" s="371"/>
      <c r="Y96" s="259"/>
      <c r="Z96" s="259"/>
      <c r="AA96" s="259"/>
      <c r="AB96" s="371"/>
      <c r="AC96" s="259"/>
      <c r="AD96" s="220"/>
      <c r="AE96" s="220"/>
      <c r="AF96" s="371"/>
      <c r="AG96" s="259"/>
      <c r="AH96" s="220"/>
      <c r="AI96" s="220"/>
      <c r="AJ96" s="371"/>
      <c r="AK96" s="259"/>
      <c r="AL96" s="259"/>
      <c r="AM96" s="259"/>
      <c r="AN96" s="371"/>
      <c r="AO96" s="259"/>
      <c r="AP96" s="220"/>
      <c r="AQ96" s="220"/>
      <c r="AR96" s="371"/>
      <c r="AS96" s="259"/>
      <c r="AT96" s="220"/>
      <c r="AU96" s="220"/>
      <c r="AV96" s="371"/>
      <c r="AW96" s="259"/>
      <c r="AX96" s="259"/>
      <c r="AY96" s="259"/>
      <c r="AZ96" s="371"/>
      <c r="BA96" s="259"/>
      <c r="BB96" s="220"/>
      <c r="BC96" s="220"/>
      <c r="BD96" s="371"/>
      <c r="BE96" s="259"/>
      <c r="BF96" s="259"/>
      <c r="BG96" s="259"/>
      <c r="BH96" s="371"/>
      <c r="BI96" s="259"/>
      <c r="BJ96" s="339"/>
    </row>
    <row r="97" spans="1:62" ht="24" customHeight="1" x14ac:dyDescent="0.3">
      <c r="A97" s="257"/>
      <c r="B97" s="258" t="s">
        <v>125</v>
      </c>
      <c r="C97" s="149">
        <f t="shared" ca="1" si="115"/>
        <v>1303000</v>
      </c>
      <c r="D97" s="150">
        <f t="shared" ca="1" si="116"/>
        <v>1303000</v>
      </c>
      <c r="E97" s="151">
        <f ca="1">IFERROR(__xludf.DUMMYFUNCTION("IMPORTRANGE(""https://docs.google.com/spreadsheets/d/1-uDff_7J0KD5mKrp0Vvzr7lt3OU09vwQwhkpOPPYv2Y/edit?usp=sharing"",""งบพรบ!FD97"")"),1303000)</f>
        <v>1303000</v>
      </c>
      <c r="F97" s="151">
        <f ca="1">IFERROR(__xludf.DUMMYFUNCTION("IMPORTRANGE(""https://docs.google.com/spreadsheets/d/1-uDff_7J0KD5mKrp0Vvzr7lt3OU09vwQwhkpOPPYv2Y/edit?usp=sharing"",""งบพรบ!FE97"")"),0)</f>
        <v>0</v>
      </c>
      <c r="G97" s="151">
        <f ca="1">IFERROR(__xludf.DUMMYFUNCTION("IMPORTRANGE(""https://docs.google.com/spreadsheets/d/1-uDff_7J0KD5mKrp0Vvzr7lt3OU09vwQwhkpOPPYv2Y/edit?usp=sharing"",""งบพรบ!FF97"")"),0)</f>
        <v>0</v>
      </c>
      <c r="H97" s="151">
        <f ca="1">IFERROR(__xludf.DUMMYFUNCTION("IMPORTRANGE(""https://docs.google.com/spreadsheets/d/1-uDff_7J0KD5mKrp0Vvzr7lt3OU09vwQwhkpOPPYv2Y/edit?usp=sharing"",""งบพรบ!FH97"")"),1303000)</f>
        <v>1303000</v>
      </c>
      <c r="I97" s="151">
        <f ca="1">IFERROR(__xludf.DUMMYFUNCTION("IMPORTRANGE(""https://docs.google.com/spreadsheets/d/1-uDff_7J0KD5mKrp0Vvzr7lt3OU09vwQwhkpOPPYv2Y/edit?usp=sharing"",""งบพรบ!FI97"")"),0)</f>
        <v>0</v>
      </c>
      <c r="J97" s="151">
        <f t="shared" ca="1" si="117"/>
        <v>1218271.6000000001</v>
      </c>
      <c r="K97" s="154">
        <f t="shared" ca="1" si="118"/>
        <v>93.497436684574069</v>
      </c>
      <c r="L97" s="151">
        <f ca="1">IFERROR(__xludf.DUMMYFUNCTION("IMPORTRANGE(""https://docs.google.com/spreadsheets/d/1-uDff_7J0KD5mKrp0Vvzr7lt3OU09vwQwhkpOPPYv2Y/edit?usp=sharing"",""งบพรบ!FJ97"")"),1218271.6)</f>
        <v>1218271.6000000001</v>
      </c>
      <c r="M97" s="68">
        <f t="shared" ca="1" si="119"/>
        <v>93.497436684574069</v>
      </c>
      <c r="N97" s="68">
        <f t="shared" ca="1" si="120"/>
        <v>93.497436684574069</v>
      </c>
      <c r="O97" s="67">
        <f ca="1">IFERROR(__xludf.DUMMYFUNCTION("IMPORTRANGE(""https://docs.google.com/spreadsheets/d/1-uDff_7J0KD5mKrp0Vvzr7lt3OU09vwQwhkpOPPYv2Y/edit?usp=sharing"",""งบพรบ!FK97"")"),0)</f>
        <v>0</v>
      </c>
      <c r="P97" s="67">
        <f t="shared" ca="1" si="121"/>
        <v>0</v>
      </c>
      <c r="Q97" s="68">
        <f t="shared" ca="1" si="122"/>
        <v>0</v>
      </c>
      <c r="R97" s="220"/>
      <c r="S97" s="220"/>
      <c r="T97" s="371"/>
      <c r="U97" s="259"/>
      <c r="V97" s="220"/>
      <c r="W97" s="220"/>
      <c r="X97" s="371"/>
      <c r="Y97" s="259"/>
      <c r="Z97" s="259"/>
      <c r="AA97" s="259"/>
      <c r="AB97" s="371"/>
      <c r="AC97" s="259"/>
      <c r="AD97" s="220"/>
      <c r="AE97" s="220"/>
      <c r="AF97" s="371"/>
      <c r="AG97" s="259"/>
      <c r="AH97" s="220"/>
      <c r="AI97" s="220"/>
      <c r="AJ97" s="371"/>
      <c r="AK97" s="259"/>
      <c r="AL97" s="259"/>
      <c r="AM97" s="259"/>
      <c r="AN97" s="371"/>
      <c r="AO97" s="259"/>
      <c r="AP97" s="220"/>
      <c r="AQ97" s="220"/>
      <c r="AR97" s="371"/>
      <c r="AS97" s="259"/>
      <c r="AT97" s="220"/>
      <c r="AU97" s="220"/>
      <c r="AV97" s="371"/>
      <c r="AW97" s="259"/>
      <c r="AX97" s="259"/>
      <c r="AY97" s="259"/>
      <c r="AZ97" s="371"/>
      <c r="BA97" s="259"/>
      <c r="BB97" s="220"/>
      <c r="BC97" s="220"/>
      <c r="BD97" s="371"/>
      <c r="BE97" s="259"/>
      <c r="BF97" s="259"/>
      <c r="BG97" s="259"/>
      <c r="BH97" s="371"/>
      <c r="BI97" s="259"/>
      <c r="BJ97" s="339"/>
    </row>
    <row r="98" spans="1:62" ht="24" customHeight="1" x14ac:dyDescent="0.3">
      <c r="A98" s="257"/>
      <c r="B98" s="258" t="s">
        <v>126</v>
      </c>
      <c r="C98" s="149">
        <f t="shared" ca="1" si="115"/>
        <v>2020800</v>
      </c>
      <c r="D98" s="150">
        <f t="shared" ca="1" si="116"/>
        <v>2020800</v>
      </c>
      <c r="E98" s="151">
        <f ca="1">IFERROR(__xludf.DUMMYFUNCTION("IMPORTRANGE(""https://docs.google.com/spreadsheets/d/1-uDff_7J0KD5mKrp0Vvzr7lt3OU09vwQwhkpOPPYv2Y/edit?usp=sharing"",""งบพรบ!FD98"")"),2020800)</f>
        <v>2020800</v>
      </c>
      <c r="F98" s="151">
        <f ca="1">IFERROR(__xludf.DUMMYFUNCTION("IMPORTRANGE(""https://docs.google.com/spreadsheets/d/1-uDff_7J0KD5mKrp0Vvzr7lt3OU09vwQwhkpOPPYv2Y/edit?usp=sharing"",""งบพรบ!FE98"")"),0)</f>
        <v>0</v>
      </c>
      <c r="G98" s="151">
        <f ca="1">IFERROR(__xludf.DUMMYFUNCTION("IMPORTRANGE(""https://docs.google.com/spreadsheets/d/1-uDff_7J0KD5mKrp0Vvzr7lt3OU09vwQwhkpOPPYv2Y/edit?usp=sharing"",""งบพรบ!FF98"")"),0)</f>
        <v>0</v>
      </c>
      <c r="H98" s="151">
        <f ca="1">IFERROR(__xludf.DUMMYFUNCTION("IMPORTRANGE(""https://docs.google.com/spreadsheets/d/1-uDff_7J0KD5mKrp0Vvzr7lt3OU09vwQwhkpOPPYv2Y/edit?usp=sharing"",""งบพรบ!FH98"")"),2185800)</f>
        <v>2185800</v>
      </c>
      <c r="I98" s="151">
        <f ca="1">IFERROR(__xludf.DUMMYFUNCTION("IMPORTRANGE(""https://docs.google.com/spreadsheets/d/1-uDff_7J0KD5mKrp0Vvzr7lt3OU09vwQwhkpOPPYv2Y/edit?usp=sharing"",""งบพรบ!FI98"")"),0)</f>
        <v>0</v>
      </c>
      <c r="J98" s="151">
        <f t="shared" ca="1" si="117"/>
        <v>2067456.24</v>
      </c>
      <c r="K98" s="154">
        <f t="shared" ca="1" si="118"/>
        <v>102.30880047505939</v>
      </c>
      <c r="L98" s="151">
        <f ca="1">IFERROR(__xludf.DUMMYFUNCTION("IMPORTRANGE(""https://docs.google.com/spreadsheets/d/1-uDff_7J0KD5mKrp0Vvzr7lt3OU09vwQwhkpOPPYv2Y/edit?usp=sharing"",""งบพรบ!FJ98"")"),2067456.24)</f>
        <v>2067456.24</v>
      </c>
      <c r="M98" s="68">
        <f t="shared" ca="1" si="119"/>
        <v>102.30880047505939</v>
      </c>
      <c r="N98" s="68">
        <f t="shared" ca="1" si="120"/>
        <v>94.585791929728245</v>
      </c>
      <c r="O98" s="67">
        <f ca="1">IFERROR(__xludf.DUMMYFUNCTION("IMPORTRANGE(""https://docs.google.com/spreadsheets/d/1-uDff_7J0KD5mKrp0Vvzr7lt3OU09vwQwhkpOPPYv2Y/edit?usp=sharing"",""งบพรบ!FK98"")"),0)</f>
        <v>0</v>
      </c>
      <c r="P98" s="67">
        <f t="shared" ca="1" si="121"/>
        <v>0</v>
      </c>
      <c r="Q98" s="68">
        <f t="shared" ca="1" si="122"/>
        <v>0</v>
      </c>
      <c r="R98" s="220"/>
      <c r="S98" s="220"/>
      <c r="T98" s="371"/>
      <c r="U98" s="259"/>
      <c r="V98" s="220"/>
      <c r="W98" s="220"/>
      <c r="X98" s="371"/>
      <c r="Y98" s="259"/>
      <c r="Z98" s="259"/>
      <c r="AA98" s="259"/>
      <c r="AB98" s="371"/>
      <c r="AC98" s="259"/>
      <c r="AD98" s="220"/>
      <c r="AE98" s="220"/>
      <c r="AF98" s="371"/>
      <c r="AG98" s="259"/>
      <c r="AH98" s="220"/>
      <c r="AI98" s="220"/>
      <c r="AJ98" s="371"/>
      <c r="AK98" s="259"/>
      <c r="AL98" s="259"/>
      <c r="AM98" s="259"/>
      <c r="AN98" s="371"/>
      <c r="AO98" s="259"/>
      <c r="AP98" s="220"/>
      <c r="AQ98" s="220"/>
      <c r="AR98" s="371"/>
      <c r="AS98" s="259"/>
      <c r="AT98" s="220"/>
      <c r="AU98" s="220"/>
      <c r="AV98" s="371"/>
      <c r="AW98" s="259"/>
      <c r="AX98" s="259"/>
      <c r="AY98" s="259"/>
      <c r="AZ98" s="371"/>
      <c r="BA98" s="259"/>
      <c r="BB98" s="220"/>
      <c r="BC98" s="220"/>
      <c r="BD98" s="371"/>
      <c r="BE98" s="259"/>
      <c r="BF98" s="259"/>
      <c r="BG98" s="259"/>
      <c r="BH98" s="371"/>
      <c r="BI98" s="259"/>
      <c r="BJ98" s="339"/>
    </row>
    <row r="99" spans="1:62" ht="24" customHeight="1" x14ac:dyDescent="0.3">
      <c r="A99" s="257"/>
      <c r="B99" s="258" t="s">
        <v>127</v>
      </c>
      <c r="C99" s="149">
        <f t="shared" ca="1" si="115"/>
        <v>4773500</v>
      </c>
      <c r="D99" s="150">
        <f t="shared" ca="1" si="116"/>
        <v>4773500</v>
      </c>
      <c r="E99" s="151">
        <f ca="1">IFERROR(__xludf.DUMMYFUNCTION("IMPORTRANGE(""https://docs.google.com/spreadsheets/d/1-uDff_7J0KD5mKrp0Vvzr7lt3OU09vwQwhkpOPPYv2Y/edit?usp=sharing"",""งบพรบ!FD99"")"),1110600)</f>
        <v>1110600</v>
      </c>
      <c r="F99" s="151">
        <f ca="1">IFERROR(__xludf.DUMMYFUNCTION("IMPORTRANGE(""https://docs.google.com/spreadsheets/d/1-uDff_7J0KD5mKrp0Vvzr7lt3OU09vwQwhkpOPPYv2Y/edit?usp=sharing"",""งบพรบ!FE99"")"),3662900)</f>
        <v>3662900</v>
      </c>
      <c r="G99" s="151">
        <f ca="1">IFERROR(__xludf.DUMMYFUNCTION("IMPORTRANGE(""https://docs.google.com/spreadsheets/d/1-uDff_7J0KD5mKrp0Vvzr7lt3OU09vwQwhkpOPPYv2Y/edit?usp=sharing"",""งบพรบ!FF99"")"),0)</f>
        <v>0</v>
      </c>
      <c r="H99" s="151">
        <f ca="1">IFERROR(__xludf.DUMMYFUNCTION("IMPORTRANGE(""https://docs.google.com/spreadsheets/d/1-uDff_7J0KD5mKrp0Vvzr7lt3OU09vwQwhkpOPPYv2Y/edit?usp=sharing"",""งบพรบ!FH99"")"),4673500)</f>
        <v>4673500</v>
      </c>
      <c r="I99" s="151">
        <f ca="1">IFERROR(__xludf.DUMMYFUNCTION("IMPORTRANGE(""https://docs.google.com/spreadsheets/d/1-uDff_7J0KD5mKrp0Vvzr7lt3OU09vwQwhkpOPPYv2Y/edit?usp=sharing"",""งบพรบ!FI99"")"),0)</f>
        <v>0</v>
      </c>
      <c r="J99" s="151">
        <f t="shared" ca="1" si="117"/>
        <v>3999594.41</v>
      </c>
      <c r="K99" s="154">
        <f t="shared" ca="1" si="118"/>
        <v>83.787460144548021</v>
      </c>
      <c r="L99" s="151">
        <f ca="1">IFERROR(__xludf.DUMMYFUNCTION("IMPORTRANGE(""https://docs.google.com/spreadsheets/d/1-uDff_7J0KD5mKrp0Vvzr7lt3OU09vwQwhkpOPPYv2Y/edit?usp=sharing"",""งบพรบ!FJ99"")"),3999594.41)</f>
        <v>3999594.41</v>
      </c>
      <c r="M99" s="68">
        <f t="shared" ca="1" si="119"/>
        <v>83.787460144548021</v>
      </c>
      <c r="N99" s="68">
        <f t="shared" ca="1" si="120"/>
        <v>85.580280517813208</v>
      </c>
      <c r="O99" s="67">
        <f ca="1">IFERROR(__xludf.DUMMYFUNCTION("IMPORTRANGE(""https://docs.google.com/spreadsheets/d/1-uDff_7J0KD5mKrp0Vvzr7lt3OU09vwQwhkpOPPYv2Y/edit?usp=sharing"",""งบพรบ!FK99"")"),0)</f>
        <v>0</v>
      </c>
      <c r="P99" s="67">
        <f t="shared" ca="1" si="121"/>
        <v>0</v>
      </c>
      <c r="Q99" s="68">
        <f t="shared" ca="1" si="122"/>
        <v>0</v>
      </c>
      <c r="R99" s="220"/>
      <c r="S99" s="220"/>
      <c r="T99" s="371"/>
      <c r="U99" s="259"/>
      <c r="V99" s="220"/>
      <c r="W99" s="220"/>
      <c r="X99" s="371"/>
      <c r="Y99" s="259"/>
      <c r="Z99" s="259"/>
      <c r="AA99" s="259"/>
      <c r="AB99" s="371"/>
      <c r="AC99" s="259"/>
      <c r="AD99" s="220"/>
      <c r="AE99" s="220"/>
      <c r="AF99" s="371"/>
      <c r="AG99" s="259"/>
      <c r="AH99" s="220"/>
      <c r="AI99" s="220"/>
      <c r="AJ99" s="371"/>
      <c r="AK99" s="259"/>
      <c r="AL99" s="259"/>
      <c r="AM99" s="259"/>
      <c r="AN99" s="371"/>
      <c r="AO99" s="259"/>
      <c r="AP99" s="220"/>
      <c r="AQ99" s="220"/>
      <c r="AR99" s="371"/>
      <c r="AS99" s="259"/>
      <c r="AT99" s="220"/>
      <c r="AU99" s="220"/>
      <c r="AV99" s="371"/>
      <c r="AW99" s="259"/>
      <c r="AX99" s="259"/>
      <c r="AY99" s="259"/>
      <c r="AZ99" s="371"/>
      <c r="BA99" s="259"/>
      <c r="BB99" s="220"/>
      <c r="BC99" s="220"/>
      <c r="BD99" s="371"/>
      <c r="BE99" s="259"/>
      <c r="BF99" s="259"/>
      <c r="BG99" s="259"/>
      <c r="BH99" s="371"/>
      <c r="BI99" s="259"/>
      <c r="BJ99" s="339"/>
    </row>
    <row r="100" spans="1:62" ht="24" customHeight="1" x14ac:dyDescent="0.3">
      <c r="A100" s="257"/>
      <c r="B100" s="258" t="s">
        <v>128</v>
      </c>
      <c r="C100" s="149">
        <f t="shared" ca="1" si="115"/>
        <v>2526600</v>
      </c>
      <c r="D100" s="150">
        <f t="shared" ca="1" si="116"/>
        <v>2526600</v>
      </c>
      <c r="E100" s="151">
        <f ca="1">IFERROR(__xludf.DUMMYFUNCTION("IMPORTRANGE(""https://docs.google.com/spreadsheets/d/1-uDff_7J0KD5mKrp0Vvzr7lt3OU09vwQwhkpOPPYv2Y/edit?usp=sharing"",""งบพรบ!FD100"")"),2218400)</f>
        <v>2218400</v>
      </c>
      <c r="F100" s="151">
        <f ca="1">IFERROR(__xludf.DUMMYFUNCTION("IMPORTRANGE(""https://docs.google.com/spreadsheets/d/1-uDff_7J0KD5mKrp0Vvzr7lt3OU09vwQwhkpOPPYv2Y/edit?usp=sharing"",""งบพรบ!FE100"")"),308200)</f>
        <v>308200</v>
      </c>
      <c r="G100" s="151">
        <f ca="1">IFERROR(__xludf.DUMMYFUNCTION("IMPORTRANGE(""https://docs.google.com/spreadsheets/d/1-uDff_7J0KD5mKrp0Vvzr7lt3OU09vwQwhkpOPPYv2Y/edit?usp=sharing"",""งบพรบ!FF100"")"),0)</f>
        <v>0</v>
      </c>
      <c r="H100" s="151">
        <f ca="1">IFERROR(__xludf.DUMMYFUNCTION("IMPORTRANGE(""https://docs.google.com/spreadsheets/d/1-uDff_7J0KD5mKrp0Vvzr7lt3OU09vwQwhkpOPPYv2Y/edit?usp=sharing"",""งบพรบ!FH100"")"),2326600)</f>
        <v>2326600</v>
      </c>
      <c r="I100" s="151">
        <f ca="1">IFERROR(__xludf.DUMMYFUNCTION("IMPORTRANGE(""https://docs.google.com/spreadsheets/d/1-uDff_7J0KD5mKrp0Vvzr7lt3OU09vwQwhkpOPPYv2Y/edit?usp=sharing"",""งบพรบ!FI100"")"),0)</f>
        <v>0</v>
      </c>
      <c r="J100" s="151">
        <f t="shared" ca="1" si="117"/>
        <v>2161369.52</v>
      </c>
      <c r="K100" s="154">
        <f t="shared" ca="1" si="118"/>
        <v>85.544586400696588</v>
      </c>
      <c r="L100" s="151">
        <f ca="1">IFERROR(__xludf.DUMMYFUNCTION("IMPORTRANGE(""https://docs.google.com/spreadsheets/d/1-uDff_7J0KD5mKrp0Vvzr7lt3OU09vwQwhkpOPPYv2Y/edit?usp=sharing"",""งบพรบ!FJ100"")"),2161369.52)</f>
        <v>2161369.52</v>
      </c>
      <c r="M100" s="68">
        <f t="shared" ca="1" si="119"/>
        <v>85.544586400696588</v>
      </c>
      <c r="N100" s="68">
        <f t="shared" ca="1" si="120"/>
        <v>92.898199948422587</v>
      </c>
      <c r="O100" s="67">
        <f ca="1">IFERROR(__xludf.DUMMYFUNCTION("IMPORTRANGE(""https://docs.google.com/spreadsheets/d/1-uDff_7J0KD5mKrp0Vvzr7lt3OU09vwQwhkpOPPYv2Y/edit?usp=sharing"",""งบพรบ!FK100"")"),0)</f>
        <v>0</v>
      </c>
      <c r="P100" s="67">
        <f t="shared" ca="1" si="121"/>
        <v>0</v>
      </c>
      <c r="Q100" s="68">
        <f t="shared" ca="1" si="122"/>
        <v>0</v>
      </c>
      <c r="R100" s="220"/>
      <c r="S100" s="220"/>
      <c r="T100" s="371"/>
      <c r="U100" s="259"/>
      <c r="V100" s="220"/>
      <c r="W100" s="220"/>
      <c r="X100" s="371"/>
      <c r="Y100" s="259"/>
      <c r="Z100" s="259"/>
      <c r="AA100" s="259"/>
      <c r="AB100" s="371"/>
      <c r="AC100" s="259"/>
      <c r="AD100" s="220"/>
      <c r="AE100" s="220"/>
      <c r="AF100" s="371"/>
      <c r="AG100" s="259"/>
      <c r="AH100" s="220"/>
      <c r="AI100" s="220"/>
      <c r="AJ100" s="371"/>
      <c r="AK100" s="259"/>
      <c r="AL100" s="259"/>
      <c r="AM100" s="259"/>
      <c r="AN100" s="371"/>
      <c r="AO100" s="259"/>
      <c r="AP100" s="220"/>
      <c r="AQ100" s="220"/>
      <c r="AR100" s="371"/>
      <c r="AS100" s="259"/>
      <c r="AT100" s="220"/>
      <c r="AU100" s="220"/>
      <c r="AV100" s="371"/>
      <c r="AW100" s="259"/>
      <c r="AX100" s="259"/>
      <c r="AY100" s="259"/>
      <c r="AZ100" s="371"/>
      <c r="BA100" s="259"/>
      <c r="BB100" s="220"/>
      <c r="BC100" s="220"/>
      <c r="BD100" s="371"/>
      <c r="BE100" s="259"/>
      <c r="BF100" s="259"/>
      <c r="BG100" s="259"/>
      <c r="BH100" s="371"/>
      <c r="BI100" s="259"/>
      <c r="BJ100" s="339"/>
    </row>
    <row r="101" spans="1:62" ht="24" customHeight="1" x14ac:dyDescent="0.3">
      <c r="A101" s="257"/>
      <c r="B101" s="258" t="s">
        <v>129</v>
      </c>
      <c r="C101" s="149">
        <f t="shared" ca="1" si="115"/>
        <v>0</v>
      </c>
      <c r="D101" s="150">
        <f t="shared" ca="1" si="116"/>
        <v>0</v>
      </c>
      <c r="E101" s="151">
        <f ca="1">IFERROR(__xludf.DUMMYFUNCTION("IMPORTRANGE(""https://docs.google.com/spreadsheets/d/1-uDff_7J0KD5mKrp0Vvzr7lt3OU09vwQwhkpOPPYv2Y/edit?usp=sharing"",""งบพรบ!FD101"")"),0)</f>
        <v>0</v>
      </c>
      <c r="F101" s="151">
        <f ca="1">IFERROR(__xludf.DUMMYFUNCTION("IMPORTRANGE(""https://docs.google.com/spreadsheets/d/1-uDff_7J0KD5mKrp0Vvzr7lt3OU09vwQwhkpOPPYv2Y/edit?usp=sharing"",""งบพรบ!FE101"")"),0)</f>
        <v>0</v>
      </c>
      <c r="G101" s="151">
        <f ca="1">IFERROR(__xludf.DUMMYFUNCTION("IMPORTRANGE(""https://docs.google.com/spreadsheets/d/1-uDff_7J0KD5mKrp0Vvzr7lt3OU09vwQwhkpOPPYv2Y/edit?usp=sharing"",""งบพรบ!FF101"")"),0)</f>
        <v>0</v>
      </c>
      <c r="H101" s="151">
        <f ca="1">IFERROR(__xludf.DUMMYFUNCTION("IMPORTRANGE(""https://docs.google.com/spreadsheets/d/1-uDff_7J0KD5mKrp0Vvzr7lt3OU09vwQwhkpOPPYv2Y/edit?usp=sharing"",""งบพรบ!FH101"")"),0)</f>
        <v>0</v>
      </c>
      <c r="I101" s="151">
        <f ca="1">IFERROR(__xludf.DUMMYFUNCTION("IMPORTRANGE(""https://docs.google.com/spreadsheets/d/1-uDff_7J0KD5mKrp0Vvzr7lt3OU09vwQwhkpOPPYv2Y/edit?usp=sharing"",""งบพรบ!FI101"")"),0)</f>
        <v>0</v>
      </c>
      <c r="J101" s="151">
        <f t="shared" ca="1" si="117"/>
        <v>0</v>
      </c>
      <c r="K101" s="154">
        <f t="shared" ca="1" si="118"/>
        <v>0</v>
      </c>
      <c r="L101" s="151">
        <f ca="1">IFERROR(__xludf.DUMMYFUNCTION("IMPORTRANGE(""https://docs.google.com/spreadsheets/d/1-uDff_7J0KD5mKrp0Vvzr7lt3OU09vwQwhkpOPPYv2Y/edit?usp=sharing"",""งบพรบ!FJ101"")"),0)</f>
        <v>0</v>
      </c>
      <c r="M101" s="68">
        <f t="shared" ca="1" si="119"/>
        <v>0</v>
      </c>
      <c r="N101" s="68">
        <f t="shared" ca="1" si="120"/>
        <v>0</v>
      </c>
      <c r="O101" s="67">
        <f ca="1">IFERROR(__xludf.DUMMYFUNCTION("IMPORTRANGE(""https://docs.google.com/spreadsheets/d/1-uDff_7J0KD5mKrp0Vvzr7lt3OU09vwQwhkpOPPYv2Y/edit?usp=sharing"",""งบพรบ!FK101"")"),0)</f>
        <v>0</v>
      </c>
      <c r="P101" s="67">
        <f t="shared" ca="1" si="121"/>
        <v>0</v>
      </c>
      <c r="Q101" s="68">
        <f t="shared" ca="1" si="122"/>
        <v>0</v>
      </c>
      <c r="R101" s="220"/>
      <c r="S101" s="220"/>
      <c r="T101" s="371"/>
      <c r="U101" s="259"/>
      <c r="V101" s="220"/>
      <c r="W101" s="220"/>
      <c r="X101" s="371"/>
      <c r="Y101" s="259"/>
      <c r="Z101" s="259"/>
      <c r="AA101" s="259"/>
      <c r="AB101" s="371"/>
      <c r="AC101" s="259"/>
      <c r="AD101" s="220"/>
      <c r="AE101" s="220"/>
      <c r="AF101" s="371"/>
      <c r="AG101" s="259"/>
      <c r="AH101" s="220"/>
      <c r="AI101" s="220"/>
      <c r="AJ101" s="371"/>
      <c r="AK101" s="259"/>
      <c r="AL101" s="259"/>
      <c r="AM101" s="259"/>
      <c r="AN101" s="371"/>
      <c r="AO101" s="259"/>
      <c r="AP101" s="220"/>
      <c r="AQ101" s="220"/>
      <c r="AR101" s="371"/>
      <c r="AS101" s="259"/>
      <c r="AT101" s="220"/>
      <c r="AU101" s="220"/>
      <c r="AV101" s="371"/>
      <c r="AW101" s="259"/>
      <c r="AX101" s="259"/>
      <c r="AY101" s="259"/>
      <c r="AZ101" s="371"/>
      <c r="BA101" s="259"/>
      <c r="BB101" s="220"/>
      <c r="BC101" s="220"/>
      <c r="BD101" s="371"/>
      <c r="BE101" s="259"/>
      <c r="BF101" s="259"/>
      <c r="BG101" s="259"/>
      <c r="BH101" s="371"/>
      <c r="BI101" s="259"/>
      <c r="BJ101" s="339"/>
    </row>
    <row r="102" spans="1:62" ht="24" customHeight="1" x14ac:dyDescent="0.3">
      <c r="A102" s="257"/>
      <c r="B102" s="258" t="s">
        <v>130</v>
      </c>
      <c r="C102" s="149">
        <f t="shared" ca="1" si="115"/>
        <v>0</v>
      </c>
      <c r="D102" s="150">
        <f t="shared" ca="1" si="116"/>
        <v>0</v>
      </c>
      <c r="E102" s="151">
        <f ca="1">IFERROR(__xludf.DUMMYFUNCTION("IMPORTRANGE(""https://docs.google.com/spreadsheets/d/1-uDff_7J0KD5mKrp0Vvzr7lt3OU09vwQwhkpOPPYv2Y/edit?usp=sharing"",""งบพรบ!FD102"")"),0)</f>
        <v>0</v>
      </c>
      <c r="F102" s="151">
        <f ca="1">IFERROR(__xludf.DUMMYFUNCTION("IMPORTRANGE(""https://docs.google.com/spreadsheets/d/1-uDff_7J0KD5mKrp0Vvzr7lt3OU09vwQwhkpOPPYv2Y/edit?usp=sharing"",""งบพรบ!FE102"")"),0)</f>
        <v>0</v>
      </c>
      <c r="G102" s="151">
        <f ca="1">IFERROR(__xludf.DUMMYFUNCTION("IMPORTRANGE(""https://docs.google.com/spreadsheets/d/1-uDff_7J0KD5mKrp0Vvzr7lt3OU09vwQwhkpOPPYv2Y/edit?usp=sharing"",""งบพรบ!FF102"")"),0)</f>
        <v>0</v>
      </c>
      <c r="H102" s="151">
        <f ca="1">IFERROR(__xludf.DUMMYFUNCTION("IMPORTRANGE(""https://docs.google.com/spreadsheets/d/1-uDff_7J0KD5mKrp0Vvzr7lt3OU09vwQwhkpOPPYv2Y/edit?usp=sharing"",""งบพรบ!FH102"")"),0)</f>
        <v>0</v>
      </c>
      <c r="I102" s="151">
        <f ca="1">IFERROR(__xludf.DUMMYFUNCTION("IMPORTRANGE(""https://docs.google.com/spreadsheets/d/1-uDff_7J0KD5mKrp0Vvzr7lt3OU09vwQwhkpOPPYv2Y/edit?usp=sharing"",""งบพรบ!FI102"")"),0)</f>
        <v>0</v>
      </c>
      <c r="J102" s="151">
        <f t="shared" ca="1" si="117"/>
        <v>0</v>
      </c>
      <c r="K102" s="154">
        <f t="shared" ca="1" si="118"/>
        <v>0</v>
      </c>
      <c r="L102" s="151">
        <f ca="1">IFERROR(__xludf.DUMMYFUNCTION("IMPORTRANGE(""https://docs.google.com/spreadsheets/d/1-uDff_7J0KD5mKrp0Vvzr7lt3OU09vwQwhkpOPPYv2Y/edit?usp=sharing"",""งบพรบ!FJ102"")"),0)</f>
        <v>0</v>
      </c>
      <c r="M102" s="68">
        <f t="shared" ca="1" si="119"/>
        <v>0</v>
      </c>
      <c r="N102" s="68">
        <f t="shared" ca="1" si="120"/>
        <v>0</v>
      </c>
      <c r="O102" s="67">
        <f ca="1">IFERROR(__xludf.DUMMYFUNCTION("IMPORTRANGE(""https://docs.google.com/spreadsheets/d/1-uDff_7J0KD5mKrp0Vvzr7lt3OU09vwQwhkpOPPYv2Y/edit?usp=sharing"",""งบพรบ!FK102"")"),0)</f>
        <v>0</v>
      </c>
      <c r="P102" s="67">
        <f t="shared" ca="1" si="121"/>
        <v>0</v>
      </c>
      <c r="Q102" s="68">
        <f t="shared" ca="1" si="122"/>
        <v>0</v>
      </c>
      <c r="R102" s="220"/>
      <c r="S102" s="220"/>
      <c r="T102" s="371"/>
      <c r="U102" s="259"/>
      <c r="V102" s="220"/>
      <c r="W102" s="220"/>
      <c r="X102" s="371"/>
      <c r="Y102" s="259"/>
      <c r="Z102" s="259"/>
      <c r="AA102" s="259"/>
      <c r="AB102" s="371"/>
      <c r="AC102" s="259"/>
      <c r="AD102" s="220"/>
      <c r="AE102" s="220"/>
      <c r="AF102" s="371"/>
      <c r="AG102" s="259"/>
      <c r="AH102" s="220"/>
      <c r="AI102" s="220"/>
      <c r="AJ102" s="371"/>
      <c r="AK102" s="259"/>
      <c r="AL102" s="259"/>
      <c r="AM102" s="259"/>
      <c r="AN102" s="371"/>
      <c r="AO102" s="259"/>
      <c r="AP102" s="220"/>
      <c r="AQ102" s="220"/>
      <c r="AR102" s="371"/>
      <c r="AS102" s="259"/>
      <c r="AT102" s="220"/>
      <c r="AU102" s="220"/>
      <c r="AV102" s="371"/>
      <c r="AW102" s="259"/>
      <c r="AX102" s="259"/>
      <c r="AY102" s="259"/>
      <c r="AZ102" s="371"/>
      <c r="BA102" s="259"/>
      <c r="BB102" s="220"/>
      <c r="BC102" s="220"/>
      <c r="BD102" s="371"/>
      <c r="BE102" s="259"/>
      <c r="BF102" s="259"/>
      <c r="BG102" s="259"/>
      <c r="BH102" s="371"/>
      <c r="BI102" s="259"/>
      <c r="BJ102" s="339"/>
    </row>
    <row r="103" spans="1:62" ht="24" customHeight="1" x14ac:dyDescent="0.3">
      <c r="A103" s="257"/>
      <c r="B103" s="258" t="s">
        <v>131</v>
      </c>
      <c r="C103" s="149">
        <f t="shared" ca="1" si="115"/>
        <v>0</v>
      </c>
      <c r="D103" s="150">
        <f t="shared" ca="1" si="116"/>
        <v>0</v>
      </c>
      <c r="E103" s="151">
        <f ca="1">IFERROR(__xludf.DUMMYFUNCTION("IMPORTRANGE(""https://docs.google.com/spreadsheets/d/1-uDff_7J0KD5mKrp0Vvzr7lt3OU09vwQwhkpOPPYv2Y/edit?usp=sharing"",""งบพรบ!FD103"")"),0)</f>
        <v>0</v>
      </c>
      <c r="F103" s="151">
        <f ca="1">IFERROR(__xludf.DUMMYFUNCTION("IMPORTRANGE(""https://docs.google.com/spreadsheets/d/1-uDff_7J0KD5mKrp0Vvzr7lt3OU09vwQwhkpOPPYv2Y/edit?usp=sharing"",""งบพรบ!FE103"")"),0)</f>
        <v>0</v>
      </c>
      <c r="G103" s="151">
        <f ca="1">IFERROR(__xludf.DUMMYFUNCTION("IMPORTRANGE(""https://docs.google.com/spreadsheets/d/1-uDff_7J0KD5mKrp0Vvzr7lt3OU09vwQwhkpOPPYv2Y/edit?usp=sharing"",""งบพรบ!FF103"")"),0)</f>
        <v>0</v>
      </c>
      <c r="H103" s="151">
        <f ca="1">IFERROR(__xludf.DUMMYFUNCTION("IMPORTRANGE(""https://docs.google.com/spreadsheets/d/1-uDff_7J0KD5mKrp0Vvzr7lt3OU09vwQwhkpOPPYv2Y/edit?usp=sharing"",""งบพรบ!FH103"")"),0)</f>
        <v>0</v>
      </c>
      <c r="I103" s="151">
        <f ca="1">IFERROR(__xludf.DUMMYFUNCTION("IMPORTRANGE(""https://docs.google.com/spreadsheets/d/1-uDff_7J0KD5mKrp0Vvzr7lt3OU09vwQwhkpOPPYv2Y/edit?usp=sharing"",""งบพรบ!FI103"")"),0)</f>
        <v>0</v>
      </c>
      <c r="J103" s="151">
        <f t="shared" ca="1" si="117"/>
        <v>0</v>
      </c>
      <c r="K103" s="154">
        <f t="shared" ca="1" si="118"/>
        <v>0</v>
      </c>
      <c r="L103" s="151">
        <f ca="1">IFERROR(__xludf.DUMMYFUNCTION("IMPORTRANGE(""https://docs.google.com/spreadsheets/d/1-uDff_7J0KD5mKrp0Vvzr7lt3OU09vwQwhkpOPPYv2Y/edit?usp=sharing"",""งบพรบ!FJ103"")"),0)</f>
        <v>0</v>
      </c>
      <c r="M103" s="68">
        <f t="shared" ca="1" si="119"/>
        <v>0</v>
      </c>
      <c r="N103" s="68">
        <f t="shared" ca="1" si="120"/>
        <v>0</v>
      </c>
      <c r="O103" s="67">
        <f ca="1">IFERROR(__xludf.DUMMYFUNCTION("IMPORTRANGE(""https://docs.google.com/spreadsheets/d/1-uDff_7J0KD5mKrp0Vvzr7lt3OU09vwQwhkpOPPYv2Y/edit?usp=sharing"",""งบพรบ!FK103"")"),0)</f>
        <v>0</v>
      </c>
      <c r="P103" s="67">
        <f t="shared" ca="1" si="121"/>
        <v>0</v>
      </c>
      <c r="Q103" s="68">
        <f t="shared" ca="1" si="122"/>
        <v>0</v>
      </c>
      <c r="R103" s="220"/>
      <c r="S103" s="220"/>
      <c r="T103" s="371"/>
      <c r="U103" s="259"/>
      <c r="V103" s="220"/>
      <c r="W103" s="220"/>
      <c r="X103" s="371"/>
      <c r="Y103" s="259"/>
      <c r="Z103" s="259"/>
      <c r="AA103" s="259"/>
      <c r="AB103" s="371"/>
      <c r="AC103" s="259"/>
      <c r="AD103" s="220"/>
      <c r="AE103" s="220"/>
      <c r="AF103" s="371"/>
      <c r="AG103" s="259"/>
      <c r="AH103" s="220"/>
      <c r="AI103" s="220"/>
      <c r="AJ103" s="371"/>
      <c r="AK103" s="259"/>
      <c r="AL103" s="259"/>
      <c r="AM103" s="259"/>
      <c r="AN103" s="371"/>
      <c r="AO103" s="259"/>
      <c r="AP103" s="220"/>
      <c r="AQ103" s="220"/>
      <c r="AR103" s="371"/>
      <c r="AS103" s="259"/>
      <c r="AT103" s="220"/>
      <c r="AU103" s="220"/>
      <c r="AV103" s="371"/>
      <c r="AW103" s="259"/>
      <c r="AX103" s="259"/>
      <c r="AY103" s="259"/>
      <c r="AZ103" s="371"/>
      <c r="BA103" s="259"/>
      <c r="BB103" s="220"/>
      <c r="BC103" s="220"/>
      <c r="BD103" s="371"/>
      <c r="BE103" s="259"/>
      <c r="BF103" s="259"/>
      <c r="BG103" s="259"/>
      <c r="BH103" s="371"/>
      <c r="BI103" s="259"/>
      <c r="BJ103" s="339"/>
    </row>
    <row r="104" spans="1:62" ht="21" customHeight="1" x14ac:dyDescent="0.3">
      <c r="A104" s="372"/>
      <c r="B104" s="261" t="s">
        <v>132</v>
      </c>
      <c r="C104" s="149">
        <f t="shared" ca="1" si="115"/>
        <v>1632700</v>
      </c>
      <c r="D104" s="150">
        <f t="shared" ca="1" si="116"/>
        <v>1632700</v>
      </c>
      <c r="E104" s="152">
        <f ca="1">IFERROR(__xludf.DUMMYFUNCTION("IMPORTRANGE(""https://docs.google.com/spreadsheets/d/1-uDff_7J0KD5mKrp0Vvzr7lt3OU09vwQwhkpOPPYv2Y/edit?usp=sharing"",""งบพรบ!FD104"")"),1632700)</f>
        <v>1632700</v>
      </c>
      <c r="F104" s="152">
        <f ca="1">IFERROR(__xludf.DUMMYFUNCTION("IMPORTRANGE(""https://docs.google.com/spreadsheets/d/1-uDff_7J0KD5mKrp0Vvzr7lt3OU09vwQwhkpOPPYv2Y/edit?usp=sharing"",""งบพรบ!FE104"")"),0)</f>
        <v>0</v>
      </c>
      <c r="G104" s="152">
        <f ca="1">IFERROR(__xludf.DUMMYFUNCTION("IMPORTRANGE(""https://docs.google.com/spreadsheets/d/1-uDff_7J0KD5mKrp0Vvzr7lt3OU09vwQwhkpOPPYv2Y/edit?usp=sharing"",""งบพรบ!FF104"")"),0)</f>
        <v>0</v>
      </c>
      <c r="H104" s="152">
        <f ca="1">IFERROR(__xludf.DUMMYFUNCTION("IMPORTRANGE(""https://docs.google.com/spreadsheets/d/1-uDff_7J0KD5mKrp0Vvzr7lt3OU09vwQwhkpOPPYv2Y/edit?usp=sharing"",""งบพรบ!FH104"")"),4032284.2)</f>
        <v>4032284.2</v>
      </c>
      <c r="I104" s="152">
        <f ca="1">IFERROR(__xludf.DUMMYFUNCTION("IMPORTRANGE(""https://docs.google.com/spreadsheets/d/1-uDff_7J0KD5mKrp0Vvzr7lt3OU09vwQwhkpOPPYv2Y/edit?usp=sharing"",""งบพรบ!FI104"")"),0)</f>
        <v>0</v>
      </c>
      <c r="J104" s="152">
        <f t="shared" ca="1" si="117"/>
        <v>1923351.43</v>
      </c>
      <c r="K104" s="153">
        <f t="shared" ca="1" si="118"/>
        <v>117.80188828321185</v>
      </c>
      <c r="L104" s="152">
        <f ca="1">IFERROR(__xludf.DUMMYFUNCTION("IMPORTRANGE(""https://docs.google.com/spreadsheets/d/1-uDff_7J0KD5mKrp0Vvzr7lt3OU09vwQwhkpOPPYv2Y/edit?usp=sharing"",""งบพรบ!FJ104"")"),1923351.43)</f>
        <v>1923351.43</v>
      </c>
      <c r="M104" s="216">
        <f t="shared" ca="1" si="119"/>
        <v>117.80188828321185</v>
      </c>
      <c r="N104" s="216">
        <f t="shared" ca="1" si="120"/>
        <v>47.698806299417086</v>
      </c>
      <c r="O104" s="357">
        <f ca="1">IFERROR(__xludf.DUMMYFUNCTION("IMPORTRANGE(""https://docs.google.com/spreadsheets/d/1-uDff_7J0KD5mKrp0Vvzr7lt3OU09vwQwhkpOPPYv2Y/edit?usp=sharing"",""งบพรบ!FK104"")"),0)</f>
        <v>0</v>
      </c>
      <c r="P104" s="357">
        <f t="shared" ca="1" si="121"/>
        <v>0</v>
      </c>
      <c r="Q104" s="216">
        <f t="shared" ca="1" si="122"/>
        <v>0</v>
      </c>
      <c r="R104" s="252"/>
      <c r="S104" s="252"/>
      <c r="T104" s="373"/>
      <c r="U104" s="252"/>
      <c r="V104" s="252"/>
      <c r="W104" s="252"/>
      <c r="X104" s="373"/>
      <c r="Y104" s="252"/>
      <c r="Z104" s="252"/>
      <c r="AA104" s="252"/>
      <c r="AB104" s="373"/>
      <c r="AC104" s="252"/>
      <c r="AD104" s="220"/>
      <c r="AE104" s="220"/>
      <c r="AF104" s="371"/>
      <c r="AG104" s="220"/>
      <c r="AH104" s="220"/>
      <c r="AI104" s="220"/>
      <c r="AJ104" s="371"/>
      <c r="AK104" s="220"/>
      <c r="AL104" s="220"/>
      <c r="AM104" s="220"/>
      <c r="AN104" s="371"/>
      <c r="AO104" s="220"/>
      <c r="AP104" s="220"/>
      <c r="AQ104" s="220"/>
      <c r="AR104" s="371"/>
      <c r="AS104" s="220"/>
      <c r="AT104" s="220"/>
      <c r="AU104" s="220"/>
      <c r="AV104" s="371"/>
      <c r="AW104" s="220"/>
      <c r="AX104" s="220"/>
      <c r="AY104" s="220"/>
      <c r="AZ104" s="371"/>
      <c r="BA104" s="220"/>
      <c r="BB104" s="220"/>
      <c r="BC104" s="220"/>
      <c r="BD104" s="371"/>
      <c r="BE104" s="220"/>
      <c r="BF104" s="220"/>
      <c r="BG104" s="220"/>
      <c r="BH104" s="371"/>
      <c r="BI104" s="220"/>
      <c r="BJ104" s="233"/>
    </row>
    <row r="105" spans="1:62" ht="24" customHeight="1" x14ac:dyDescent="0.3">
      <c r="A105" s="257"/>
      <c r="B105" s="261" t="s">
        <v>133</v>
      </c>
      <c r="C105" s="149">
        <f t="shared" ca="1" si="115"/>
        <v>0</v>
      </c>
      <c r="D105" s="150">
        <f t="shared" ca="1" si="116"/>
        <v>0</v>
      </c>
      <c r="E105" s="151">
        <f ca="1">IFERROR(__xludf.DUMMYFUNCTION("IMPORTRANGE(""https://docs.google.com/spreadsheets/d/1-uDff_7J0KD5mKrp0Vvzr7lt3OU09vwQwhkpOPPYv2Y/edit?usp=sharing"",""งบพรบ!FD105"")"),0)</f>
        <v>0</v>
      </c>
      <c r="F105" s="151">
        <f ca="1">IFERROR(__xludf.DUMMYFUNCTION("IMPORTRANGE(""https://docs.google.com/spreadsheets/d/1-uDff_7J0KD5mKrp0Vvzr7lt3OU09vwQwhkpOPPYv2Y/edit?usp=sharing"",""งบพรบ!FE105"")"),0)</f>
        <v>0</v>
      </c>
      <c r="G105" s="151">
        <f ca="1">IFERROR(__xludf.DUMMYFUNCTION("IMPORTRANGE(""https://docs.google.com/spreadsheets/d/1-uDff_7J0KD5mKrp0Vvzr7lt3OU09vwQwhkpOPPYv2Y/edit?usp=sharing"",""งบพรบ!FF105"")"),0)</f>
        <v>0</v>
      </c>
      <c r="H105" s="151">
        <f ca="1">IFERROR(__xludf.DUMMYFUNCTION("IMPORTRANGE(""https://docs.google.com/spreadsheets/d/1-uDff_7J0KD5mKrp0Vvzr7lt3OU09vwQwhkpOPPYv2Y/edit?usp=sharing"",""งบพรบ!FH105"")"),0)</f>
        <v>0</v>
      </c>
      <c r="I105" s="151">
        <f ca="1">IFERROR(__xludf.DUMMYFUNCTION("IMPORTRANGE(""https://docs.google.com/spreadsheets/d/1-uDff_7J0KD5mKrp0Vvzr7lt3OU09vwQwhkpOPPYv2Y/edit?usp=sharing"",""งบพรบ!FI105"")"),0)</f>
        <v>0</v>
      </c>
      <c r="J105" s="151">
        <f t="shared" ca="1" si="117"/>
        <v>0</v>
      </c>
      <c r="K105" s="154">
        <f t="shared" ca="1" si="118"/>
        <v>0</v>
      </c>
      <c r="L105" s="151">
        <f ca="1">IFERROR(__xludf.DUMMYFUNCTION("IMPORTRANGE(""https://docs.google.com/spreadsheets/d/1-uDff_7J0KD5mKrp0Vvzr7lt3OU09vwQwhkpOPPYv2Y/edit?usp=sharing"",""งบพรบ!FJ105"")"),0)</f>
        <v>0</v>
      </c>
      <c r="M105" s="68">
        <f t="shared" ca="1" si="119"/>
        <v>0</v>
      </c>
      <c r="N105" s="68">
        <f t="shared" ca="1" si="120"/>
        <v>0</v>
      </c>
      <c r="O105" s="67">
        <f ca="1">IFERROR(__xludf.DUMMYFUNCTION("IMPORTRANGE(""https://docs.google.com/spreadsheets/d/1-uDff_7J0KD5mKrp0Vvzr7lt3OU09vwQwhkpOPPYv2Y/edit?usp=sharing"",""งบพรบ!FK105"")"),0)</f>
        <v>0</v>
      </c>
      <c r="P105" s="67">
        <f t="shared" ca="1" si="121"/>
        <v>0</v>
      </c>
      <c r="Q105" s="68">
        <f t="shared" ca="1" si="122"/>
        <v>0</v>
      </c>
      <c r="R105" s="220"/>
      <c r="S105" s="220"/>
      <c r="T105" s="371"/>
      <c r="U105" s="220"/>
      <c r="V105" s="220"/>
      <c r="W105" s="220"/>
      <c r="X105" s="371"/>
      <c r="Y105" s="220"/>
      <c r="Z105" s="220"/>
      <c r="AA105" s="220"/>
      <c r="AB105" s="371"/>
      <c r="AC105" s="220"/>
      <c r="AD105" s="220"/>
      <c r="AE105" s="220"/>
      <c r="AF105" s="371"/>
      <c r="AG105" s="220"/>
      <c r="AH105" s="220"/>
      <c r="AI105" s="220"/>
      <c r="AJ105" s="371"/>
      <c r="AK105" s="220"/>
      <c r="AL105" s="220"/>
      <c r="AM105" s="220"/>
      <c r="AN105" s="371"/>
      <c r="AO105" s="220"/>
      <c r="AP105" s="220"/>
      <c r="AQ105" s="220"/>
      <c r="AR105" s="371"/>
      <c r="AS105" s="220"/>
      <c r="AT105" s="220"/>
      <c r="AU105" s="220"/>
      <c r="AV105" s="371"/>
      <c r="AW105" s="220"/>
      <c r="AX105" s="220"/>
      <c r="AY105" s="220"/>
      <c r="AZ105" s="371"/>
      <c r="BA105" s="220"/>
      <c r="BB105" s="220"/>
      <c r="BC105" s="220"/>
      <c r="BD105" s="371"/>
      <c r="BE105" s="220"/>
      <c r="BF105" s="220"/>
      <c r="BG105" s="220"/>
      <c r="BH105" s="371"/>
      <c r="BI105" s="220"/>
      <c r="BJ105" s="233"/>
    </row>
    <row r="106" spans="1:62" ht="24" customHeight="1" x14ac:dyDescent="0.3">
      <c r="A106" s="257"/>
      <c r="B106" s="261" t="s">
        <v>134</v>
      </c>
      <c r="C106" s="149">
        <f t="shared" ca="1" si="115"/>
        <v>0</v>
      </c>
      <c r="D106" s="150">
        <f t="shared" ca="1" si="116"/>
        <v>0</v>
      </c>
      <c r="E106" s="151">
        <f ca="1">IFERROR(__xludf.DUMMYFUNCTION("IMPORTRANGE(""https://docs.google.com/spreadsheets/d/1-uDff_7J0KD5mKrp0Vvzr7lt3OU09vwQwhkpOPPYv2Y/edit?usp=sharing"",""งบพรบ!FD106"")"),0)</f>
        <v>0</v>
      </c>
      <c r="F106" s="151">
        <f ca="1">IFERROR(__xludf.DUMMYFUNCTION("IMPORTRANGE(""https://docs.google.com/spreadsheets/d/1-uDff_7J0KD5mKrp0Vvzr7lt3OU09vwQwhkpOPPYv2Y/edit?usp=sharing"",""งบพรบ!FE106"")"),0)</f>
        <v>0</v>
      </c>
      <c r="G106" s="151">
        <f ca="1">IFERROR(__xludf.DUMMYFUNCTION("IMPORTRANGE(""https://docs.google.com/spreadsheets/d/1-uDff_7J0KD5mKrp0Vvzr7lt3OU09vwQwhkpOPPYv2Y/edit?usp=sharing"",""งบพรบ!FF106"")"),0)</f>
        <v>0</v>
      </c>
      <c r="H106" s="151">
        <f ca="1">IFERROR(__xludf.DUMMYFUNCTION("IMPORTRANGE(""https://docs.google.com/spreadsheets/d/1-uDff_7J0KD5mKrp0Vvzr7lt3OU09vwQwhkpOPPYv2Y/edit?usp=sharing"",""งบพรบ!FH106"")"),0)</f>
        <v>0</v>
      </c>
      <c r="I106" s="151">
        <f ca="1">IFERROR(__xludf.DUMMYFUNCTION("IMPORTRANGE(""https://docs.google.com/spreadsheets/d/1-uDff_7J0KD5mKrp0Vvzr7lt3OU09vwQwhkpOPPYv2Y/edit?usp=sharing"",""งบพรบ!FI106"")"),0)</f>
        <v>0</v>
      </c>
      <c r="J106" s="151">
        <f t="shared" ca="1" si="117"/>
        <v>0</v>
      </c>
      <c r="K106" s="154">
        <f t="shared" ca="1" si="118"/>
        <v>0</v>
      </c>
      <c r="L106" s="151">
        <f ca="1">IFERROR(__xludf.DUMMYFUNCTION("IMPORTRANGE(""https://docs.google.com/spreadsheets/d/1-uDff_7J0KD5mKrp0Vvzr7lt3OU09vwQwhkpOPPYv2Y/edit?usp=sharing"",""งบพรบ!FJ106"")"),0)</f>
        <v>0</v>
      </c>
      <c r="M106" s="68">
        <f t="shared" ca="1" si="119"/>
        <v>0</v>
      </c>
      <c r="N106" s="68">
        <f t="shared" ca="1" si="120"/>
        <v>0</v>
      </c>
      <c r="O106" s="67">
        <f ca="1">IFERROR(__xludf.DUMMYFUNCTION("IMPORTRANGE(""https://docs.google.com/spreadsheets/d/1-uDff_7J0KD5mKrp0Vvzr7lt3OU09vwQwhkpOPPYv2Y/edit?usp=sharing"",""งบพรบ!FK106"")"),0)</f>
        <v>0</v>
      </c>
      <c r="P106" s="67">
        <f t="shared" ca="1" si="121"/>
        <v>0</v>
      </c>
      <c r="Q106" s="68">
        <f t="shared" ca="1" si="122"/>
        <v>0</v>
      </c>
      <c r="R106" s="220"/>
      <c r="S106" s="220"/>
      <c r="T106" s="371"/>
      <c r="U106" s="220"/>
      <c r="V106" s="220"/>
      <c r="W106" s="220"/>
      <c r="X106" s="371"/>
      <c r="Y106" s="220"/>
      <c r="Z106" s="220"/>
      <c r="AA106" s="220"/>
      <c r="AB106" s="371"/>
      <c r="AC106" s="220"/>
      <c r="AD106" s="220"/>
      <c r="AE106" s="220"/>
      <c r="AF106" s="371"/>
      <c r="AG106" s="220"/>
      <c r="AH106" s="220"/>
      <c r="AI106" s="220"/>
      <c r="AJ106" s="371"/>
      <c r="AK106" s="220"/>
      <c r="AL106" s="220"/>
      <c r="AM106" s="220"/>
      <c r="AN106" s="371"/>
      <c r="AO106" s="220"/>
      <c r="AP106" s="220"/>
      <c r="AQ106" s="220"/>
      <c r="AR106" s="371"/>
      <c r="AS106" s="220"/>
      <c r="AT106" s="220"/>
      <c r="AU106" s="220"/>
      <c r="AV106" s="371"/>
      <c r="AW106" s="220"/>
      <c r="AX106" s="220"/>
      <c r="AY106" s="220"/>
      <c r="AZ106" s="371"/>
      <c r="BA106" s="220"/>
      <c r="BB106" s="220"/>
      <c r="BC106" s="220"/>
      <c r="BD106" s="371"/>
      <c r="BE106" s="220"/>
      <c r="BF106" s="220"/>
      <c r="BG106" s="220"/>
      <c r="BH106" s="371"/>
      <c r="BI106" s="220"/>
      <c r="BJ106" s="233"/>
    </row>
    <row r="107" spans="1:62" ht="24" customHeight="1" x14ac:dyDescent="0.3">
      <c r="A107" s="263"/>
      <c r="B107" s="264" t="s">
        <v>26</v>
      </c>
      <c r="C107" s="173">
        <f t="shared" ca="1" si="115"/>
        <v>0</v>
      </c>
      <c r="D107" s="174">
        <f t="shared" ca="1" si="116"/>
        <v>0</v>
      </c>
      <c r="E107" s="265">
        <f ca="1">IFERROR(__xludf.DUMMYFUNCTION("IMPORTRANGE(""https://docs.google.com/spreadsheets/d/1-uDff_7J0KD5mKrp0Vvzr7lt3OU09vwQwhkpOPPYv2Y/edit?usp=sharing"",""งบพรบ!FD107"")"),0)</f>
        <v>0</v>
      </c>
      <c r="F107" s="265">
        <f ca="1">IFERROR(__xludf.DUMMYFUNCTION("IMPORTRANGE(""https://docs.google.com/spreadsheets/d/1-uDff_7J0KD5mKrp0Vvzr7lt3OU09vwQwhkpOPPYv2Y/edit?usp=sharing"",""งบพรบ!FE107"")"),0)</f>
        <v>0</v>
      </c>
      <c r="G107" s="265">
        <f ca="1">IFERROR(__xludf.DUMMYFUNCTION("IMPORTRANGE(""https://docs.google.com/spreadsheets/d/1-uDff_7J0KD5mKrp0Vvzr7lt3OU09vwQwhkpOPPYv2Y/edit?usp=sharing"",""งบพรบ!FF107"")"),0)</f>
        <v>0</v>
      </c>
      <c r="H107" s="265">
        <f ca="1">IFERROR(__xludf.DUMMYFUNCTION("IMPORTRANGE(""https://docs.google.com/spreadsheets/d/1-uDff_7J0KD5mKrp0Vvzr7lt3OU09vwQwhkpOPPYv2Y/edit?usp=sharing"",""งบพรบ!FH107"")"),0)</f>
        <v>0</v>
      </c>
      <c r="I107" s="265">
        <f ca="1">IFERROR(__xludf.DUMMYFUNCTION("IMPORTRANGE(""https://docs.google.com/spreadsheets/d/1-uDff_7J0KD5mKrp0Vvzr7lt3OU09vwQwhkpOPPYv2Y/edit?usp=sharing"",""งบพรบ!FI107"")"),0)</f>
        <v>0</v>
      </c>
      <c r="J107" s="265">
        <f t="shared" ca="1" si="117"/>
        <v>0</v>
      </c>
      <c r="K107" s="266">
        <f t="shared" ca="1" si="118"/>
        <v>0</v>
      </c>
      <c r="L107" s="265">
        <f ca="1">IFERROR(__xludf.DUMMYFUNCTION("IMPORTRANGE(""https://docs.google.com/spreadsheets/d/1-uDff_7J0KD5mKrp0Vvzr7lt3OU09vwQwhkpOPPYv2Y/edit?usp=sharing"",""งบพรบ!FJ107"")"),0)</f>
        <v>0</v>
      </c>
      <c r="M107" s="206">
        <f t="shared" ca="1" si="119"/>
        <v>0</v>
      </c>
      <c r="N107" s="206">
        <f t="shared" ca="1" si="120"/>
        <v>0</v>
      </c>
      <c r="O107" s="205">
        <f ca="1">IFERROR(__xludf.DUMMYFUNCTION("IMPORTRANGE(""https://docs.google.com/spreadsheets/d/1-uDff_7J0KD5mKrp0Vvzr7lt3OU09vwQwhkpOPPYv2Y/edit?usp=sharing"",""งบพรบ!FK107"")"),0)</f>
        <v>0</v>
      </c>
      <c r="P107" s="205">
        <f t="shared" ca="1" si="121"/>
        <v>0</v>
      </c>
      <c r="Q107" s="206">
        <f t="shared" ca="1" si="122"/>
        <v>0</v>
      </c>
      <c r="R107" s="175"/>
      <c r="S107" s="175"/>
      <c r="T107" s="374"/>
      <c r="U107" s="175"/>
      <c r="V107" s="175"/>
      <c r="W107" s="175"/>
      <c r="X107" s="374"/>
      <c r="Y107" s="175"/>
      <c r="Z107" s="175"/>
      <c r="AA107" s="175"/>
      <c r="AB107" s="374"/>
      <c r="AC107" s="175"/>
      <c r="AD107" s="175"/>
      <c r="AE107" s="175"/>
      <c r="AF107" s="374"/>
      <c r="AG107" s="175"/>
      <c r="AH107" s="175"/>
      <c r="AI107" s="175"/>
      <c r="AJ107" s="374"/>
      <c r="AK107" s="175"/>
      <c r="AL107" s="175"/>
      <c r="AM107" s="175"/>
      <c r="AN107" s="374"/>
      <c r="AO107" s="175"/>
      <c r="AP107" s="175"/>
      <c r="AQ107" s="175"/>
      <c r="AR107" s="374"/>
      <c r="AS107" s="175"/>
      <c r="AT107" s="175"/>
      <c r="AU107" s="175"/>
      <c r="AV107" s="374"/>
      <c r="AW107" s="175"/>
      <c r="AX107" s="175"/>
      <c r="AY107" s="175"/>
      <c r="AZ107" s="374"/>
      <c r="BA107" s="175"/>
      <c r="BB107" s="175"/>
      <c r="BC107" s="175"/>
      <c r="BD107" s="374"/>
      <c r="BE107" s="175"/>
      <c r="BF107" s="175"/>
      <c r="BG107" s="175"/>
      <c r="BH107" s="374"/>
      <c r="BI107" s="175"/>
      <c r="BJ107" s="233"/>
    </row>
    <row r="108" spans="1:62" ht="24" customHeight="1" x14ac:dyDescent="0.3">
      <c r="A108" s="268"/>
      <c r="B108" s="269" t="s">
        <v>135</v>
      </c>
      <c r="C108" s="193">
        <f t="shared" ca="1" si="115"/>
        <v>0</v>
      </c>
      <c r="D108" s="194">
        <f t="shared" ca="1" si="116"/>
        <v>0</v>
      </c>
      <c r="E108" s="270">
        <f ca="1">IFERROR(__xludf.DUMMYFUNCTION("IMPORTRANGE(""https://docs.google.com/spreadsheets/d/1-uDff_7J0KD5mKrp0Vvzr7lt3OU09vwQwhkpOPPYv2Y/edit?usp=sharing"",""งบพรบ!FD108"")"),0)</f>
        <v>0</v>
      </c>
      <c r="F108" s="270">
        <f ca="1">IFERROR(__xludf.DUMMYFUNCTION("IMPORTRANGE(""https://docs.google.com/spreadsheets/d/1-uDff_7J0KD5mKrp0Vvzr7lt3OU09vwQwhkpOPPYv2Y/edit?usp=sharing"",""งบพรบ!FE108"")"),0)</f>
        <v>0</v>
      </c>
      <c r="G108" s="270">
        <f ca="1">IFERROR(__xludf.DUMMYFUNCTION("IMPORTRANGE(""https://docs.google.com/spreadsheets/d/1-uDff_7J0KD5mKrp0Vvzr7lt3OU09vwQwhkpOPPYv2Y/edit?usp=sharing"",""งบพรบ!FF108"")"),0)</f>
        <v>0</v>
      </c>
      <c r="H108" s="270">
        <f ca="1">IFERROR(__xludf.DUMMYFUNCTION("IMPORTRANGE(""https://docs.google.com/spreadsheets/d/1-uDff_7J0KD5mKrp0Vvzr7lt3OU09vwQwhkpOPPYv2Y/edit?usp=sharing"",""งบพรบ!FH108"")"),0)</f>
        <v>0</v>
      </c>
      <c r="I108" s="270">
        <f ca="1">IFERROR(__xludf.DUMMYFUNCTION("IMPORTRANGE(""https://docs.google.com/spreadsheets/d/1-uDff_7J0KD5mKrp0Vvzr7lt3OU09vwQwhkpOPPYv2Y/edit?usp=sharing"",""งบพรบ!FI108"")"),0)</f>
        <v>0</v>
      </c>
      <c r="J108" s="270">
        <f t="shared" ca="1" si="117"/>
        <v>0</v>
      </c>
      <c r="K108" s="271">
        <f t="shared" ca="1" si="118"/>
        <v>0</v>
      </c>
      <c r="L108" s="270">
        <f ca="1">IFERROR(__xludf.DUMMYFUNCTION("IMPORTRANGE(""https://docs.google.com/spreadsheets/d/1-uDff_7J0KD5mKrp0Vvzr7lt3OU09vwQwhkpOPPYv2Y/edit?usp=sharing"",""งบพรบ!FJ108"")"),0)</f>
        <v>0</v>
      </c>
      <c r="M108" s="209">
        <f t="shared" ca="1" si="119"/>
        <v>0</v>
      </c>
      <c r="N108" s="209">
        <f t="shared" ca="1" si="120"/>
        <v>0</v>
      </c>
      <c r="O108" s="208">
        <f ca="1">IFERROR(__xludf.DUMMYFUNCTION("IMPORTRANGE(""https://docs.google.com/spreadsheets/d/1-uDff_7J0KD5mKrp0Vvzr7lt3OU09vwQwhkpOPPYv2Y/edit?usp=sharing"",""งบพรบ!FK108"")"),0)</f>
        <v>0</v>
      </c>
      <c r="P108" s="208">
        <f t="shared" ca="1" si="121"/>
        <v>0</v>
      </c>
      <c r="Q108" s="209">
        <f t="shared" ca="1" si="122"/>
        <v>0</v>
      </c>
      <c r="R108" s="222"/>
      <c r="S108" s="222"/>
      <c r="T108" s="375"/>
      <c r="U108" s="222"/>
      <c r="V108" s="222"/>
      <c r="W108" s="222"/>
      <c r="X108" s="375"/>
      <c r="Y108" s="222"/>
      <c r="Z108" s="222"/>
      <c r="AA108" s="222"/>
      <c r="AB108" s="375"/>
      <c r="AC108" s="222"/>
      <c r="AD108" s="222"/>
      <c r="AE108" s="222"/>
      <c r="AF108" s="375"/>
      <c r="AG108" s="222"/>
      <c r="AH108" s="222"/>
      <c r="AI108" s="222"/>
      <c r="AJ108" s="375"/>
      <c r="AK108" s="222"/>
      <c r="AL108" s="222"/>
      <c r="AM108" s="222"/>
      <c r="AN108" s="375"/>
      <c r="AO108" s="222"/>
      <c r="AP108" s="222"/>
      <c r="AQ108" s="222"/>
      <c r="AR108" s="375"/>
      <c r="AS108" s="222"/>
      <c r="AT108" s="222"/>
      <c r="AU108" s="222"/>
      <c r="AV108" s="375"/>
      <c r="AW108" s="222"/>
      <c r="AX108" s="222"/>
      <c r="AY108" s="222"/>
      <c r="AZ108" s="375"/>
      <c r="BA108" s="222"/>
      <c r="BB108" s="222"/>
      <c r="BC108" s="222"/>
      <c r="BD108" s="375"/>
      <c r="BE108" s="222"/>
      <c r="BF108" s="222"/>
      <c r="BG108" s="222"/>
      <c r="BH108" s="375"/>
      <c r="BI108" s="222"/>
      <c r="BJ108" s="233"/>
    </row>
  </sheetData>
  <mergeCells count="49">
    <mergeCell ref="BF4:BI4"/>
    <mergeCell ref="R2:BI2"/>
    <mergeCell ref="R3:AC3"/>
    <mergeCell ref="AD3:AO3"/>
    <mergeCell ref="AP3:BA3"/>
    <mergeCell ref="BB3:BI3"/>
    <mergeCell ref="AL4:AO4"/>
    <mergeCell ref="AP4:AS4"/>
    <mergeCell ref="AT4:AW4"/>
    <mergeCell ref="AX4:BA4"/>
    <mergeCell ref="BB4:BE4"/>
    <mergeCell ref="R4:U4"/>
    <mergeCell ref="V4:Y4"/>
    <mergeCell ref="Z4:AC4"/>
    <mergeCell ref="AD4:AG4"/>
    <mergeCell ref="AH4:AK4"/>
    <mergeCell ref="F5:F6"/>
    <mergeCell ref="G5:G6"/>
    <mergeCell ref="H5:H6"/>
    <mergeCell ref="C3:Q3"/>
    <mergeCell ref="C4:G4"/>
    <mergeCell ref="H4:I4"/>
    <mergeCell ref="J4:Q4"/>
    <mergeCell ref="A89:B89"/>
    <mergeCell ref="A2:B6"/>
    <mergeCell ref="C5:C6"/>
    <mergeCell ref="D5:D6"/>
    <mergeCell ref="E5:E6"/>
    <mergeCell ref="C2:Q2"/>
    <mergeCell ref="A7:B7"/>
    <mergeCell ref="A13:B13"/>
    <mergeCell ref="A31:B31"/>
    <mergeCell ref="A52:B52"/>
    <mergeCell ref="A74:B74"/>
    <mergeCell ref="AY5:BA5"/>
    <mergeCell ref="BC5:BE5"/>
    <mergeCell ref="BG5:BI5"/>
    <mergeCell ref="I5:I6"/>
    <mergeCell ref="J5:K5"/>
    <mergeCell ref="L5:N5"/>
    <mergeCell ref="O5:Q5"/>
    <mergeCell ref="S5:U5"/>
    <mergeCell ref="W5:Y5"/>
    <mergeCell ref="AA5:AC5"/>
    <mergeCell ref="AE5:AG5"/>
    <mergeCell ref="AI5:AK5"/>
    <mergeCell ref="AM5:AO5"/>
    <mergeCell ref="AQ5:AS5"/>
    <mergeCell ref="AU5:AW5"/>
  </mergeCells>
  <conditionalFormatting sqref="K14:K30 K32:K51 K53:K73 K75:K88 K90:K108">
    <cfRule type="colorScale" priority="2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U14:U30 Y14:Y30 AC14:AC30 AG14:AG30 AK14:AK30 AO14:AO30 AS14:AS30 AW14:AW30 BA14:BA30 BE14:BE30 BI14:BI30 U32:U51 Y32:Y51 AC32:AC51 AG32:AG51 AK32:AK51 AO32:AO51 AS32:AS51 AW32:AW51 BA32:BA51 BE32:BE51 BI32:BI51 U53:U73 Y53:Y73 AC53:AC73 AG53:AG73 AK53:AK73 AO53:AO73 AS53:AS73 AW53:AW73 BA53:BA73 BE53:BE73 BI53:BI73 U75:U88 Y75:Y88 AC75:AC88 AG75:AG88 AK75:AK88 AO75:AO88 AS75:AS88 AW75:AW88 BA75:BA88 BE75:BE88 BI75:BI88">
    <cfRule type="colorScale" priority="1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00"/>
    <outlinePr summaryBelow="0" summaryRight="0"/>
  </sheetPr>
  <dimension ref="A1:AG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20.140625" customWidth="1"/>
    <col min="4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2.5703125" customWidth="1"/>
    <col min="21" max="22" width="12.5703125" hidden="1" customWidth="1"/>
    <col min="23" max="23" width="10.140625" hidden="1" customWidth="1"/>
    <col min="27" max="29" width="20.140625" hidden="1" customWidth="1"/>
    <col min="30" max="30" width="22.5703125" customWidth="1"/>
    <col min="31" max="31" width="22.5703125" hidden="1" customWidth="1"/>
    <col min="32" max="33" width="22.5703125" customWidth="1"/>
  </cols>
  <sheetData>
    <row r="1" spans="1:33" ht="24" customHeight="1" x14ac:dyDescent="0.3">
      <c r="A1" s="338" t="s">
        <v>0</v>
      </c>
      <c r="B1" s="118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339"/>
      <c r="N1" s="339"/>
      <c r="O1" s="376"/>
      <c r="P1" s="376"/>
      <c r="Q1" s="376"/>
      <c r="R1" s="118"/>
      <c r="S1" s="118"/>
      <c r="T1" s="118"/>
      <c r="U1" s="118"/>
      <c r="V1" s="118"/>
      <c r="W1" s="339"/>
      <c r="X1" s="118"/>
      <c r="Y1" s="118"/>
      <c r="Z1" s="118"/>
      <c r="AA1" s="118"/>
      <c r="AB1" s="118"/>
      <c r="AC1" s="118"/>
      <c r="AD1" s="118"/>
      <c r="AE1" s="118"/>
      <c r="AF1" s="118"/>
      <c r="AG1" s="118"/>
    </row>
    <row r="2" spans="1:33" ht="24" customHeight="1" x14ac:dyDescent="0.2">
      <c r="A2" s="774" t="s">
        <v>1</v>
      </c>
      <c r="B2" s="658"/>
      <c r="C2" s="767" t="s">
        <v>229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7"/>
      <c r="R2" s="767" t="s">
        <v>230</v>
      </c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7"/>
    </row>
    <row r="3" spans="1:33" ht="37.5" customHeight="1" x14ac:dyDescent="0.2">
      <c r="A3" s="659"/>
      <c r="B3" s="660"/>
      <c r="C3" s="756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68" t="s">
        <v>231</v>
      </c>
      <c r="S3" s="674"/>
      <c r="T3" s="658"/>
      <c r="U3" s="377" t="s">
        <v>232</v>
      </c>
      <c r="V3" s="378"/>
      <c r="W3" s="378"/>
      <c r="X3" s="769" t="s">
        <v>233</v>
      </c>
      <c r="Y3" s="674"/>
      <c r="Z3" s="674"/>
      <c r="AA3" s="658"/>
      <c r="AB3" s="378"/>
      <c r="AC3" s="379"/>
      <c r="AD3" s="760" t="s">
        <v>232</v>
      </c>
      <c r="AE3" s="770" t="s">
        <v>234</v>
      </c>
      <c r="AF3" s="646"/>
      <c r="AG3" s="647"/>
    </row>
    <row r="4" spans="1:33" ht="55.5" customHeight="1" x14ac:dyDescent="0.3">
      <c r="A4" s="659"/>
      <c r="B4" s="660"/>
      <c r="C4" s="757" t="s">
        <v>8</v>
      </c>
      <c r="D4" s="646"/>
      <c r="E4" s="646"/>
      <c r="F4" s="646"/>
      <c r="G4" s="647"/>
      <c r="H4" s="758" t="s">
        <v>9</v>
      </c>
      <c r="I4" s="647"/>
      <c r="J4" s="759" t="s">
        <v>10</v>
      </c>
      <c r="K4" s="646"/>
      <c r="L4" s="646"/>
      <c r="M4" s="646"/>
      <c r="N4" s="646"/>
      <c r="O4" s="646"/>
      <c r="P4" s="646"/>
      <c r="Q4" s="647"/>
      <c r="R4" s="661"/>
      <c r="S4" s="675"/>
      <c r="T4" s="662"/>
      <c r="U4" s="771" t="s">
        <v>235</v>
      </c>
      <c r="V4" s="646"/>
      <c r="W4" s="647"/>
      <c r="X4" s="661"/>
      <c r="Y4" s="675"/>
      <c r="Z4" s="675"/>
      <c r="AA4" s="662"/>
      <c r="AB4" s="761" t="s">
        <v>236</v>
      </c>
      <c r="AC4" s="762" t="s">
        <v>237</v>
      </c>
      <c r="AD4" s="660"/>
      <c r="AE4" s="763" t="s">
        <v>238</v>
      </c>
      <c r="AF4" s="763" t="s">
        <v>239</v>
      </c>
      <c r="AG4" s="772" t="s">
        <v>240</v>
      </c>
    </row>
    <row r="5" spans="1:33" ht="24" customHeight="1" x14ac:dyDescent="0.3">
      <c r="A5" s="659"/>
      <c r="B5" s="660"/>
      <c r="C5" s="750" t="s">
        <v>20</v>
      </c>
      <c r="D5" s="751" t="s">
        <v>21</v>
      </c>
      <c r="E5" s="752" t="s">
        <v>22</v>
      </c>
      <c r="F5" s="753" t="s">
        <v>23</v>
      </c>
      <c r="G5" s="754" t="s">
        <v>24</v>
      </c>
      <c r="H5" s="755" t="s">
        <v>25</v>
      </c>
      <c r="I5" s="755" t="s">
        <v>26</v>
      </c>
      <c r="J5" s="746" t="s">
        <v>27</v>
      </c>
      <c r="K5" s="647"/>
      <c r="L5" s="746" t="s">
        <v>25</v>
      </c>
      <c r="M5" s="646"/>
      <c r="N5" s="647"/>
      <c r="O5" s="764" t="s">
        <v>26</v>
      </c>
      <c r="P5" s="646"/>
      <c r="Q5" s="647"/>
      <c r="R5" s="380" t="s">
        <v>28</v>
      </c>
      <c r="S5" s="765" t="s">
        <v>29</v>
      </c>
      <c r="T5" s="647"/>
      <c r="U5" s="296" t="s">
        <v>28</v>
      </c>
      <c r="V5" s="766" t="s">
        <v>29</v>
      </c>
      <c r="W5" s="647"/>
      <c r="X5" s="296" t="s">
        <v>28</v>
      </c>
      <c r="Y5" s="766" t="s">
        <v>29</v>
      </c>
      <c r="Z5" s="647"/>
      <c r="AA5" s="381" t="s">
        <v>241</v>
      </c>
      <c r="AB5" s="650"/>
      <c r="AC5" s="650"/>
      <c r="AD5" s="662"/>
      <c r="AE5" s="650"/>
      <c r="AF5" s="650"/>
      <c r="AG5" s="773"/>
    </row>
    <row r="6" spans="1:33" ht="30" customHeight="1" x14ac:dyDescent="0.3">
      <c r="A6" s="661"/>
      <c r="B6" s="662"/>
      <c r="C6" s="650"/>
      <c r="D6" s="650"/>
      <c r="E6" s="650"/>
      <c r="F6" s="650"/>
      <c r="G6" s="650"/>
      <c r="H6" s="650"/>
      <c r="I6" s="650"/>
      <c r="J6" s="382" t="s">
        <v>30</v>
      </c>
      <c r="K6" s="383" t="s">
        <v>31</v>
      </c>
      <c r="L6" s="382" t="s">
        <v>30</v>
      </c>
      <c r="M6" s="384" t="s">
        <v>32</v>
      </c>
      <c r="N6" s="384" t="s">
        <v>33</v>
      </c>
      <c r="O6" s="385" t="s">
        <v>30</v>
      </c>
      <c r="P6" s="384" t="s">
        <v>32</v>
      </c>
      <c r="Q6" s="384" t="s">
        <v>33</v>
      </c>
      <c r="R6" s="380" t="s">
        <v>35</v>
      </c>
      <c r="S6" s="386" t="s">
        <v>35</v>
      </c>
      <c r="T6" s="386" t="s">
        <v>31</v>
      </c>
      <c r="U6" s="296" t="s">
        <v>35</v>
      </c>
      <c r="V6" s="299" t="s">
        <v>35</v>
      </c>
      <c r="W6" s="300" t="s">
        <v>31</v>
      </c>
      <c r="X6" s="296" t="s">
        <v>242</v>
      </c>
      <c r="Y6" s="299" t="s">
        <v>242</v>
      </c>
      <c r="Z6" s="300" t="s">
        <v>31</v>
      </c>
      <c r="AA6" s="299" t="s">
        <v>35</v>
      </c>
      <c r="AB6" s="299" t="s">
        <v>35</v>
      </c>
      <c r="AC6" s="299" t="s">
        <v>35</v>
      </c>
      <c r="AD6" s="299" t="s">
        <v>35</v>
      </c>
      <c r="AE6" s="299" t="s">
        <v>35</v>
      </c>
      <c r="AF6" s="299" t="s">
        <v>35</v>
      </c>
      <c r="AG6" s="299" t="s">
        <v>35</v>
      </c>
    </row>
    <row r="7" spans="1:33" ht="24" customHeight="1" x14ac:dyDescent="0.3">
      <c r="A7" s="694" t="s">
        <v>38</v>
      </c>
      <c r="B7" s="647"/>
      <c r="C7" s="126">
        <f t="shared" ref="C7:C9" ca="1" si="0">D7+G7</f>
        <v>18648000</v>
      </c>
      <c r="D7" s="127">
        <f t="shared" ref="D7:E7" ca="1" si="1">D8+D9+D12</f>
        <v>17798000</v>
      </c>
      <c r="E7" s="128">
        <f t="shared" ca="1" si="1"/>
        <v>4449500</v>
      </c>
      <c r="F7" s="129">
        <f ca="1">F8+F9</f>
        <v>13348500</v>
      </c>
      <c r="G7" s="130">
        <f t="shared" ref="G7:I7" ca="1" si="2">G8+G9+G12</f>
        <v>850000</v>
      </c>
      <c r="H7" s="131">
        <f t="shared" ca="1" si="2"/>
        <v>17798000</v>
      </c>
      <c r="I7" s="131">
        <f t="shared" ca="1" si="2"/>
        <v>850000</v>
      </c>
      <c r="J7" s="132">
        <f t="shared" ref="J7:J9" ca="1" si="3">L7+O7</f>
        <v>14391182.74</v>
      </c>
      <c r="K7" s="133">
        <f t="shared" ref="K7:K9" ca="1" si="4">IF(C7&gt;0,J7*100/C7,0)</f>
        <v>77.172794616044612</v>
      </c>
      <c r="L7" s="132">
        <f ca="1">L8+L9+L12</f>
        <v>13541182.74</v>
      </c>
      <c r="M7" s="27">
        <f t="shared" ref="M7:M9" ca="1" si="5">IF(D7&gt;0,L7*100/D7,0)</f>
        <v>76.082608944825267</v>
      </c>
      <c r="N7" s="27">
        <f t="shared" ref="N7:N9" ca="1" si="6">IF(H7&gt;0,L7*100/H7,0)</f>
        <v>76.082608944825267</v>
      </c>
      <c r="O7" s="26">
        <f ca="1">O8+O9+O12</f>
        <v>850000</v>
      </c>
      <c r="P7" s="26">
        <f t="shared" ref="P7:P9" ca="1" si="7">IF(G7&gt;0,O7*100/G7,0)</f>
        <v>100</v>
      </c>
      <c r="Q7" s="27">
        <f t="shared" ref="Q7:Q9" ca="1" si="8">IF(I7&gt;0,O7*100/I7,0)</f>
        <v>100</v>
      </c>
      <c r="R7" s="387">
        <f t="shared" ref="R7:S7" ca="1" si="9">R8</f>
        <v>180000</v>
      </c>
      <c r="S7" s="388">
        <f t="shared" ca="1" si="9"/>
        <v>617260</v>
      </c>
      <c r="T7" s="389">
        <f t="shared" ref="T7:T8" ca="1" si="10">IF(R7&gt;0,S7*100/R7,0)</f>
        <v>342.92222222222222</v>
      </c>
      <c r="U7" s="211">
        <f t="shared" ref="U7:V7" ca="1" si="11">U8</f>
        <v>0</v>
      </c>
      <c r="V7" s="212">
        <f t="shared" ca="1" si="11"/>
        <v>212749</v>
      </c>
      <c r="W7" s="213">
        <f t="shared" ref="W7:W8" ca="1" si="12">IF(U7&gt;0,V7*100/U7,0)</f>
        <v>0</v>
      </c>
      <c r="X7" s="211">
        <f t="shared" ref="X7:Y7" ca="1" si="13">X8</f>
        <v>400</v>
      </c>
      <c r="Y7" s="212">
        <f t="shared" ca="1" si="13"/>
        <v>397</v>
      </c>
      <c r="Z7" s="213">
        <f t="shared" ref="Z7:Z8" ca="1" si="14">IF(X7&gt;0,Y7*100/X7,0)</f>
        <v>99.25</v>
      </c>
      <c r="AA7" s="212">
        <f t="shared" ref="AA7:AG7" ca="1" si="15">AA8</f>
        <v>6472</v>
      </c>
      <c r="AB7" s="212">
        <f t="shared" ca="1" si="15"/>
        <v>5111</v>
      </c>
      <c r="AC7" s="212">
        <f t="shared" ca="1" si="15"/>
        <v>1578</v>
      </c>
      <c r="AD7" s="212">
        <f t="shared" ca="1" si="15"/>
        <v>225910</v>
      </c>
      <c r="AE7" s="212">
        <f t="shared" ca="1" si="15"/>
        <v>102116</v>
      </c>
      <c r="AF7" s="212">
        <f t="shared" ca="1" si="15"/>
        <v>317071</v>
      </c>
      <c r="AG7" s="212">
        <f t="shared" ca="1" si="15"/>
        <v>74279</v>
      </c>
    </row>
    <row r="8" spans="1:33" ht="28.5" customHeight="1" x14ac:dyDescent="0.3">
      <c r="A8" s="134" t="s">
        <v>39</v>
      </c>
      <c r="B8" s="135"/>
      <c r="C8" s="136">
        <f t="shared" ca="1" si="0"/>
        <v>17779200</v>
      </c>
      <c r="D8" s="136">
        <f t="shared" ref="D8:I8" ca="1" si="16">+D13+D31+D52+D74</f>
        <v>16929200</v>
      </c>
      <c r="E8" s="136">
        <f t="shared" ca="1" si="16"/>
        <v>3708200</v>
      </c>
      <c r="F8" s="136">
        <f t="shared" ca="1" si="16"/>
        <v>13221000</v>
      </c>
      <c r="G8" s="136">
        <f t="shared" ca="1" si="16"/>
        <v>850000</v>
      </c>
      <c r="H8" s="136">
        <f t="shared" ca="1" si="16"/>
        <v>16980375</v>
      </c>
      <c r="I8" s="136">
        <f t="shared" ca="1" si="16"/>
        <v>850000</v>
      </c>
      <c r="J8" s="136">
        <f t="shared" ca="1" si="3"/>
        <v>13901894.310000001</v>
      </c>
      <c r="K8" s="137">
        <f t="shared" ca="1" si="4"/>
        <v>78.191900141738657</v>
      </c>
      <c r="L8" s="136">
        <f ca="1">+L13+L31+L52+L74</f>
        <v>13051894.310000001</v>
      </c>
      <c r="M8" s="37">
        <f t="shared" ca="1" si="5"/>
        <v>77.096934940812318</v>
      </c>
      <c r="N8" s="37">
        <f t="shared" ca="1" si="6"/>
        <v>76.864582260403552</v>
      </c>
      <c r="O8" s="36">
        <f ca="1">+O13+O31+O52+O74</f>
        <v>850000</v>
      </c>
      <c r="P8" s="36">
        <f t="shared" ca="1" si="7"/>
        <v>100</v>
      </c>
      <c r="Q8" s="37">
        <f t="shared" ca="1" si="8"/>
        <v>100</v>
      </c>
      <c r="R8" s="276">
        <f t="shared" ref="R8:S8" ca="1" si="17">+R13+R31+R52+R74</f>
        <v>180000</v>
      </c>
      <c r="S8" s="276">
        <f t="shared" ca="1" si="17"/>
        <v>617260</v>
      </c>
      <c r="T8" s="390">
        <f t="shared" ca="1" si="10"/>
        <v>342.92222222222222</v>
      </c>
      <c r="U8" s="276">
        <f t="shared" ref="U8:V8" ca="1" si="18">+U13+U31+U52+U74</f>
        <v>0</v>
      </c>
      <c r="V8" s="136">
        <f t="shared" ca="1" si="18"/>
        <v>212749</v>
      </c>
      <c r="W8" s="37">
        <f t="shared" ca="1" si="12"/>
        <v>0</v>
      </c>
      <c r="X8" s="276">
        <f t="shared" ref="X8:Y8" ca="1" si="19">+X13+X31+X52+X74</f>
        <v>400</v>
      </c>
      <c r="Y8" s="136">
        <f t="shared" ca="1" si="19"/>
        <v>397</v>
      </c>
      <c r="Z8" s="37">
        <f t="shared" ca="1" si="14"/>
        <v>99.25</v>
      </c>
      <c r="AA8" s="136">
        <f t="shared" ref="AA8:AG8" ca="1" si="20">+AA13+AA31+AA52+AA74</f>
        <v>6472</v>
      </c>
      <c r="AB8" s="136">
        <f t="shared" ca="1" si="20"/>
        <v>5111</v>
      </c>
      <c r="AC8" s="136">
        <f t="shared" ca="1" si="20"/>
        <v>1578</v>
      </c>
      <c r="AD8" s="136">
        <f t="shared" ca="1" si="20"/>
        <v>225910</v>
      </c>
      <c r="AE8" s="136">
        <f t="shared" ca="1" si="20"/>
        <v>102116</v>
      </c>
      <c r="AF8" s="136">
        <f t="shared" ca="1" si="20"/>
        <v>317071</v>
      </c>
      <c r="AG8" s="136">
        <f t="shared" ca="1" si="20"/>
        <v>74279</v>
      </c>
    </row>
    <row r="9" spans="1:33" ht="28.5" customHeight="1" x14ac:dyDescent="0.3">
      <c r="A9" s="245" t="s">
        <v>40</v>
      </c>
      <c r="B9" s="138"/>
      <c r="C9" s="139">
        <f t="shared" ca="1" si="0"/>
        <v>868800</v>
      </c>
      <c r="D9" s="139">
        <f t="shared" ref="D9:I9" ca="1" si="21">+D89</f>
        <v>868800</v>
      </c>
      <c r="E9" s="139">
        <f t="shared" ca="1" si="21"/>
        <v>741300</v>
      </c>
      <c r="F9" s="139">
        <f t="shared" ca="1" si="21"/>
        <v>127500</v>
      </c>
      <c r="G9" s="139">
        <f t="shared" ca="1" si="21"/>
        <v>0</v>
      </c>
      <c r="H9" s="139">
        <f t="shared" ca="1" si="21"/>
        <v>817625</v>
      </c>
      <c r="I9" s="139">
        <f t="shared" ca="1" si="21"/>
        <v>0</v>
      </c>
      <c r="J9" s="139">
        <f t="shared" ca="1" si="3"/>
        <v>489288.43</v>
      </c>
      <c r="K9" s="140">
        <f t="shared" ca="1" si="4"/>
        <v>56.317729051565379</v>
      </c>
      <c r="L9" s="139">
        <f ca="1">+L89</f>
        <v>489288.43</v>
      </c>
      <c r="M9" s="44">
        <f t="shared" ca="1" si="5"/>
        <v>56.317729051565379</v>
      </c>
      <c r="N9" s="44">
        <f t="shared" ca="1" si="6"/>
        <v>59.84264546705397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246"/>
      <c r="S9" s="246"/>
      <c r="T9" s="391"/>
      <c r="U9" s="246"/>
      <c r="V9" s="246"/>
      <c r="W9" s="247"/>
      <c r="X9" s="246"/>
      <c r="Y9" s="246"/>
      <c r="Z9" s="247"/>
      <c r="AA9" s="246"/>
      <c r="AB9" s="246"/>
      <c r="AC9" s="246"/>
      <c r="AD9" s="246"/>
      <c r="AE9" s="246"/>
      <c r="AF9" s="246"/>
      <c r="AG9" s="246"/>
    </row>
    <row r="10" spans="1:33" ht="28.5" hidden="1" customHeight="1" x14ac:dyDescent="0.2">
      <c r="A10" s="142"/>
      <c r="B10" s="142"/>
      <c r="C10" s="214"/>
      <c r="D10" s="214"/>
      <c r="E10" s="214"/>
      <c r="F10" s="214"/>
      <c r="G10" s="214"/>
      <c r="H10" s="214"/>
      <c r="I10" s="214"/>
      <c r="J10" s="214"/>
      <c r="K10" s="249"/>
      <c r="L10" s="214"/>
      <c r="M10" s="196"/>
      <c r="N10" s="196"/>
      <c r="O10" s="195"/>
      <c r="P10" s="195"/>
      <c r="Q10" s="196"/>
      <c r="R10" s="214"/>
      <c r="S10" s="214"/>
      <c r="T10" s="249"/>
      <c r="U10" s="214"/>
      <c r="V10" s="214"/>
      <c r="W10" s="196"/>
      <c r="X10" s="214"/>
      <c r="Y10" s="214"/>
      <c r="Z10" s="196"/>
      <c r="AA10" s="214"/>
      <c r="AB10" s="214"/>
      <c r="AC10" s="214"/>
      <c r="AD10" s="214"/>
      <c r="AE10" s="214"/>
      <c r="AF10" s="214"/>
      <c r="AG10" s="214"/>
    </row>
    <row r="11" spans="1:33" ht="28.5" hidden="1" customHeight="1" x14ac:dyDescent="0.2">
      <c r="A11" s="142"/>
      <c r="B11" s="142"/>
      <c r="C11" s="214"/>
      <c r="D11" s="214"/>
      <c r="E11" s="214"/>
      <c r="F11" s="214"/>
      <c r="G11" s="214"/>
      <c r="H11" s="214"/>
      <c r="I11" s="214"/>
      <c r="J11" s="214"/>
      <c r="K11" s="249"/>
      <c r="L11" s="214"/>
      <c r="M11" s="196"/>
      <c r="N11" s="196"/>
      <c r="O11" s="195"/>
      <c r="P11" s="195"/>
      <c r="Q11" s="196"/>
      <c r="R11" s="214"/>
      <c r="S11" s="214"/>
      <c r="T11" s="249"/>
      <c r="U11" s="214"/>
      <c r="V11" s="214"/>
      <c r="W11" s="196"/>
      <c r="X11" s="214"/>
      <c r="Y11" s="214"/>
      <c r="Z11" s="196"/>
      <c r="AA11" s="214"/>
      <c r="AB11" s="214"/>
      <c r="AC11" s="214"/>
      <c r="AD11" s="214"/>
      <c r="AE11" s="214"/>
      <c r="AF11" s="214"/>
      <c r="AG11" s="214"/>
    </row>
    <row r="12" spans="1:33" ht="28.5" hidden="1" customHeight="1" x14ac:dyDescent="0.2">
      <c r="A12" s="142"/>
      <c r="B12" s="142"/>
      <c r="C12" s="214"/>
      <c r="D12" s="214"/>
      <c r="E12" s="214"/>
      <c r="F12" s="214"/>
      <c r="G12" s="214"/>
      <c r="H12" s="214"/>
      <c r="I12" s="214"/>
      <c r="J12" s="214"/>
      <c r="K12" s="249"/>
      <c r="L12" s="214"/>
      <c r="M12" s="196"/>
      <c r="N12" s="196"/>
      <c r="O12" s="195"/>
      <c r="P12" s="195"/>
      <c r="Q12" s="196"/>
      <c r="R12" s="214"/>
      <c r="S12" s="214"/>
      <c r="T12" s="249"/>
      <c r="U12" s="214"/>
      <c r="V12" s="214"/>
      <c r="W12" s="196"/>
      <c r="X12" s="214"/>
      <c r="Y12" s="214"/>
      <c r="Z12" s="196"/>
      <c r="AA12" s="214"/>
      <c r="AB12" s="214"/>
      <c r="AC12" s="214"/>
      <c r="AD12" s="214"/>
      <c r="AE12" s="214"/>
      <c r="AF12" s="214"/>
      <c r="AG12" s="214"/>
    </row>
    <row r="13" spans="1:33" ht="28.5" customHeight="1" x14ac:dyDescent="0.3">
      <c r="A13" s="747" t="s">
        <v>41</v>
      </c>
      <c r="B13" s="647"/>
      <c r="C13" s="136">
        <f t="shared" ref="C13:C88" ca="1" si="22">D13+G13</f>
        <v>3180000</v>
      </c>
      <c r="D13" s="136">
        <f t="shared" ref="D13:I13" ca="1" si="23">SUM(D14:D30)</f>
        <v>3180000</v>
      </c>
      <c r="E13" s="136">
        <f t="shared" ca="1" si="23"/>
        <v>0</v>
      </c>
      <c r="F13" s="136">
        <f t="shared" ca="1" si="23"/>
        <v>3180000</v>
      </c>
      <c r="G13" s="136">
        <f t="shared" ca="1" si="23"/>
        <v>0</v>
      </c>
      <c r="H13" s="136">
        <f t="shared" ca="1" si="23"/>
        <v>3180000</v>
      </c>
      <c r="I13" s="136">
        <f t="shared" ca="1" si="23"/>
        <v>0</v>
      </c>
      <c r="J13" s="136">
        <f t="shared" ref="J13:J88" ca="1" si="24">L13+O13</f>
        <v>2456106.4500000002</v>
      </c>
      <c r="K13" s="137">
        <f t="shared" ref="K13:K88" ca="1" si="25">IF(C13&gt;0,J13*100/C13,0)</f>
        <v>77.236051886792467</v>
      </c>
      <c r="L13" s="136">
        <f ca="1">SUM(L14:L30)</f>
        <v>2456106.4500000002</v>
      </c>
      <c r="M13" s="37">
        <f t="shared" ref="M13:M88" ca="1" si="26">IF(D13&gt;0,L13*100/D13,0)</f>
        <v>77.236051886792467</v>
      </c>
      <c r="N13" s="37">
        <f t="shared" ref="N13:N88" ca="1" si="27">IF(H13&gt;0,L13*100/H13,0)</f>
        <v>77.236051886792467</v>
      </c>
      <c r="O13" s="36">
        <f ca="1">SUM(O14:O30)</f>
        <v>0</v>
      </c>
      <c r="P13" s="36">
        <f t="shared" ref="P13:P88" ca="1" si="28">IF(G13&gt;0,O13*100/G13,0)</f>
        <v>0</v>
      </c>
      <c r="Q13" s="37">
        <f t="shared" ref="Q13:Q88" ca="1" si="29">IF(I13&gt;0,O13*100/I13,0)</f>
        <v>0</v>
      </c>
      <c r="R13" s="276">
        <f t="shared" ref="R13:S13" ca="1" si="30">SUM(R14:R30)</f>
        <v>46900</v>
      </c>
      <c r="S13" s="276">
        <f t="shared" ca="1" si="30"/>
        <v>152767</v>
      </c>
      <c r="T13" s="390">
        <f t="shared" ref="T13:T88" ca="1" si="31">IF(R13&gt;0,S13*100/R13,0)</f>
        <v>325.72921108742003</v>
      </c>
      <c r="U13" s="276">
        <f t="shared" ref="U13:V13" ca="1" si="32">SUM(U14:U30)</f>
        <v>0</v>
      </c>
      <c r="V13" s="136">
        <f t="shared" ca="1" si="32"/>
        <v>56938</v>
      </c>
      <c r="W13" s="37">
        <f t="shared" ref="W13:W88" ca="1" si="33">IF(U13&gt;0,V13*100/U13,0)</f>
        <v>0</v>
      </c>
      <c r="X13" s="276">
        <f t="shared" ref="X13:Y13" ca="1" si="34">SUM(X14:X30)</f>
        <v>107</v>
      </c>
      <c r="Y13" s="136">
        <f t="shared" ca="1" si="34"/>
        <v>95</v>
      </c>
      <c r="Z13" s="37">
        <f t="shared" ref="Z13:Z88" ca="1" si="35">IF(X13&gt;0,Y13*100/X13,0)</f>
        <v>88.785046728971963</v>
      </c>
      <c r="AA13" s="136">
        <f t="shared" ref="AA13:AG13" ca="1" si="36">SUM(AA14:AA30)</f>
        <v>1674</v>
      </c>
      <c r="AB13" s="136">
        <f t="shared" ca="1" si="36"/>
        <v>1146</v>
      </c>
      <c r="AC13" s="136">
        <f t="shared" ca="1" si="36"/>
        <v>246</v>
      </c>
      <c r="AD13" s="136">
        <f t="shared" ca="1" si="36"/>
        <v>60004</v>
      </c>
      <c r="AE13" s="136">
        <f t="shared" ca="1" si="36"/>
        <v>27810</v>
      </c>
      <c r="AF13" s="136">
        <f t="shared" ca="1" si="36"/>
        <v>78861</v>
      </c>
      <c r="AG13" s="136">
        <f t="shared" ca="1" si="36"/>
        <v>13902</v>
      </c>
    </row>
    <row r="14" spans="1:33" ht="24" customHeight="1" x14ac:dyDescent="0.3">
      <c r="A14" s="392">
        <v>1</v>
      </c>
      <c r="B14" s="393" t="s">
        <v>42</v>
      </c>
      <c r="C14" s="149">
        <f t="shared" ca="1" si="22"/>
        <v>197000</v>
      </c>
      <c r="D14" s="150">
        <f t="shared" ref="D14:D30" ca="1" si="37">+E14+F14</f>
        <v>197000</v>
      </c>
      <c r="E14" s="151">
        <f ca="1">IFERROR(__xludf.DUMMYFUNCTION("IMPORTRANGE(""https://docs.google.com/spreadsheets/d/1-uDff_7J0KD5mKrp0Vvzr7lt3OU09vwQwhkpOPPYv2Y/edit?usp=sharing"",""งบพรบ!ET14"")"),0)</f>
        <v>0</v>
      </c>
      <c r="F14" s="151">
        <f ca="1">IFERROR(__xludf.DUMMYFUNCTION("IMPORTRANGE(""https://docs.google.com/spreadsheets/d/1-uDff_7J0KD5mKrp0Vvzr7lt3OU09vwQwhkpOPPYv2Y/edit?usp=sharing"",""งบพรบ!EU14"")"),197000)</f>
        <v>197000</v>
      </c>
      <c r="G14" s="152">
        <f ca="1">IFERROR(__xludf.DUMMYFUNCTION("IMPORTRANGE(""https://docs.google.com/spreadsheets/d/1-uDff_7J0KD5mKrp0Vvzr7lt3OU09vwQwhkpOPPYv2Y/edit?usp=sharing"",""งบพรบ!EV14"")"),0)</f>
        <v>0</v>
      </c>
      <c r="H14" s="152">
        <f ca="1">IFERROR(__xludf.DUMMYFUNCTION("IMPORTRANGE(""https://docs.google.com/spreadsheets/d/1-uDff_7J0KD5mKrp0Vvzr7lt3OU09vwQwhkpOPPYv2Y/edit?usp=sharing"",""งบพรบ!EX14"")"),197000)</f>
        <v>197000</v>
      </c>
      <c r="I14" s="152">
        <f ca="1">IFERROR(__xludf.DUMMYFUNCTION("IMPORTRANGE(""https://docs.google.com/spreadsheets/d/1-uDff_7J0KD5mKrp0Vvzr7lt3OU09vwQwhkpOPPYv2Y/edit?usp=sharing"",""งบพรบ!EY14"")"),0)</f>
        <v>0</v>
      </c>
      <c r="J14" s="152">
        <f t="shared" ca="1" si="24"/>
        <v>164745</v>
      </c>
      <c r="K14" s="153">
        <f t="shared" ca="1" si="25"/>
        <v>83.626903553299499</v>
      </c>
      <c r="L14" s="152">
        <f ca="1">IFERROR(__xludf.DUMMYFUNCTION("IMPORTRANGE(""https://docs.google.com/spreadsheets/d/1-uDff_7J0KD5mKrp0Vvzr7lt3OU09vwQwhkpOPPYv2Y/edit?usp=sharing"",""งบพรบ!EZ14"")"),164745)</f>
        <v>164745</v>
      </c>
      <c r="M14" s="68">
        <f t="shared" ca="1" si="26"/>
        <v>83.626903553299499</v>
      </c>
      <c r="N14" s="68">
        <f t="shared" ca="1" si="27"/>
        <v>83.626903553299499</v>
      </c>
      <c r="O14" s="67">
        <f ca="1">IFERROR(__xludf.DUMMYFUNCTION("IMPORTRANGE(""https://docs.google.com/spreadsheets/d/1-uDff_7J0KD5mKrp0Vvzr7lt3OU09vwQwhkpOPPYv2Y/edit?usp=sharing"",""งบพรบ!FA14"")"),0)</f>
        <v>0</v>
      </c>
      <c r="P14" s="67">
        <f t="shared" ca="1" si="28"/>
        <v>0</v>
      </c>
      <c r="Q14" s="68">
        <f t="shared" ca="1" si="29"/>
        <v>0</v>
      </c>
      <c r="R14" s="152">
        <f ca="1">IFERROR(__xludf.DUMMYFUNCTION("IMPORTRANGE(""https://docs.google.com/spreadsheets/d/1jTcq05yEiRwXcBMLjiodW9e4biSGYWAHcDj22rKWQ3s/edit?usp=sharing"",""กำแพงเพชร!I332"")"),7500)</f>
        <v>7500</v>
      </c>
      <c r="S14" s="152">
        <f ca="1">IFERROR(__xludf.DUMMYFUNCTION("IMPORTRANGE(""https://docs.google.com/spreadsheets/d/1jTcq05yEiRwXcBMLjiodW9e4biSGYWAHcDj22rKWQ3s/edit?usp=sharing"",""กำแพงเพชร!J332"")"),8827)</f>
        <v>8827</v>
      </c>
      <c r="T14" s="153">
        <f t="shared" ca="1" si="31"/>
        <v>117.69333333333333</v>
      </c>
      <c r="U14" s="394" t="str">
        <f ca="1">IFERROR(__xludf.DUMMYFUNCTION("IMPORTRANGE(""https://docs.google.com/spreadsheets/d/1jTcq05yEiRwXcBMLjiodW9e4biSGYWAHcDj22rKWQ3s/edit?usp=sharing"",""กำแพงเพชร!I344"")"),"")</f>
        <v/>
      </c>
      <c r="V14" s="152">
        <f ca="1">IFERROR(__xludf.DUMMYFUNCTION("IMPORTRANGE(""https://docs.google.com/spreadsheets/d/1jTcq05yEiRwXcBMLjiodW9e4biSGYWAHcDj22rKWQ3s/edit?usp=sharing"",""กำแพงเพชร!J344"")"),6197)</f>
        <v>6197</v>
      </c>
      <c r="W14" s="216" t="e">
        <f t="shared" ca="1" si="33"/>
        <v>#VALUE!</v>
      </c>
      <c r="X14" s="278">
        <f ca="1">IFERROR(__xludf.DUMMYFUNCTION("IMPORTRANGE(""https://docs.google.com/spreadsheets/d/1jTcq05yEiRwXcBMLjiodW9e4biSGYWAHcDj22rKWQ3s/edit?usp=sharing"",""กำแพงเพชร!I346"")"),7)</f>
        <v>7</v>
      </c>
      <c r="Y14" s="152">
        <f ca="1">IFERROR(__xludf.DUMMYFUNCTION("IMPORTRANGE(""https://docs.google.com/spreadsheets/d/1jTcq05yEiRwXcBMLjiodW9e4biSGYWAHcDj22rKWQ3s/edit?usp=sharing"",""กำแพงเพชร!J346"")"),16)</f>
        <v>16</v>
      </c>
      <c r="Z14" s="216">
        <f t="shared" ca="1" si="35"/>
        <v>228.57142857142858</v>
      </c>
      <c r="AA14" s="152">
        <f ca="1">IFERROR(__xludf.DUMMYFUNCTION("IMPORTRANGE(""https://docs.google.com/spreadsheets/d/1jTcq05yEiRwXcBMLjiodW9e4biSGYWAHcDj22rKWQ3s/edit?usp=sharing"",""กำแพงเพชร!J347"")"),0)</f>
        <v>0</v>
      </c>
      <c r="AB14" s="152">
        <f ca="1">IFERROR(__xludf.DUMMYFUNCTION("IMPORTRANGE(""https://docs.google.com/spreadsheets/d/1jTcq05yEiRwXcBMLjiodW9e4biSGYWAHcDj22rKWQ3s/edit?usp=sharing"",""กำแพงเพชร!J348"")"),7)</f>
        <v>7</v>
      </c>
      <c r="AC14" s="152">
        <f ca="1">IFERROR(__xludf.DUMMYFUNCTION("IMPORTRANGE(""https://docs.google.com/spreadsheets/d/1jTcq05yEiRwXcBMLjiodW9e4biSGYWAHcDj22rKWQ3s/edit?usp=sharing"",""กำแพงเพชร!J349"")"),0)</f>
        <v>0</v>
      </c>
      <c r="AD14" s="152">
        <f ca="1">IFERROR(__xludf.DUMMYFUNCTION("IMPORTRANGE(""https://docs.google.com/spreadsheets/d/1jTcq05yEiRwXcBMLjiodW9e4biSGYWAHcDj22rKWQ3s/edit?usp=sharing"",""กำแพงเพชร!J343"")"),6204)</f>
        <v>6204</v>
      </c>
      <c r="AE14" s="152">
        <f ca="1">IFERROR(__xludf.DUMMYFUNCTION("IMPORTRANGE(""https://docs.google.com/spreadsheets/d/1jTcq05yEiRwXcBMLjiodW9e4biSGYWAHcDj22rKWQ3s/edit?usp=sharing"",""กำแพงเพชร!J352"")"),5426)</f>
        <v>5426</v>
      </c>
      <c r="AF14" s="152">
        <f ca="1">IFERROR(__xludf.DUMMYFUNCTION("IMPORTRANGE(""https://docs.google.com/spreadsheets/d/1jTcq05yEiRwXcBMLjiodW9e4biSGYWAHcDj22rKWQ3s/edit?usp=sharing"",""กำแพงเพชร!J353"")"),2214)</f>
        <v>2214</v>
      </c>
      <c r="AG14" s="152">
        <f ca="1">IFERROR(__xludf.DUMMYFUNCTION("IMPORTRANGE(""https://docs.google.com/spreadsheets/d/1jTcq05yEiRwXcBMLjiodW9e4biSGYWAHcDj22rKWQ3s/edit?usp=sharing"",""กำแพงเพชร!J354"")"),409)</f>
        <v>409</v>
      </c>
    </row>
    <row r="15" spans="1:33" ht="24" customHeight="1" x14ac:dyDescent="0.3">
      <c r="A15" s="395">
        <v>2</v>
      </c>
      <c r="B15" s="396" t="s">
        <v>43</v>
      </c>
      <c r="C15" s="149">
        <f t="shared" ca="1" si="22"/>
        <v>199000</v>
      </c>
      <c r="D15" s="150">
        <f t="shared" ca="1" si="37"/>
        <v>199000</v>
      </c>
      <c r="E15" s="151">
        <f ca="1">IFERROR(__xludf.DUMMYFUNCTION("IMPORTRANGE(""https://docs.google.com/spreadsheets/d/1-uDff_7J0KD5mKrp0Vvzr7lt3OU09vwQwhkpOPPYv2Y/edit?usp=sharing"",""งบพรบ!ET15"")"),0)</f>
        <v>0</v>
      </c>
      <c r="F15" s="151">
        <f ca="1">IFERROR(__xludf.DUMMYFUNCTION("IMPORTRANGE(""https://docs.google.com/spreadsheets/d/1-uDff_7J0KD5mKrp0Vvzr7lt3OU09vwQwhkpOPPYv2Y/edit?usp=sharing"",""งบพรบ!EU15"")"),199000)</f>
        <v>199000</v>
      </c>
      <c r="G15" s="151">
        <f ca="1">IFERROR(__xludf.DUMMYFUNCTION("IMPORTRANGE(""https://docs.google.com/spreadsheets/d/1-uDff_7J0KD5mKrp0Vvzr7lt3OU09vwQwhkpOPPYv2Y/edit?usp=sharing"",""งบพรบ!EV15"")"),0)</f>
        <v>0</v>
      </c>
      <c r="H15" s="151">
        <f ca="1">IFERROR(__xludf.DUMMYFUNCTION("IMPORTRANGE(""https://docs.google.com/spreadsheets/d/1-uDff_7J0KD5mKrp0Vvzr7lt3OU09vwQwhkpOPPYv2Y/edit?usp=sharing"",""งบพรบ!EX15"")"),199000)</f>
        <v>199000</v>
      </c>
      <c r="I15" s="151">
        <f ca="1">IFERROR(__xludf.DUMMYFUNCTION("IMPORTRANGE(""https://docs.google.com/spreadsheets/d/1-uDff_7J0KD5mKrp0Vvzr7lt3OU09vwQwhkpOPPYv2Y/edit?usp=sharing"",""งบพรบ!EY15"")"),0)</f>
        <v>0</v>
      </c>
      <c r="J15" s="151">
        <f t="shared" ca="1" si="24"/>
        <v>194676</v>
      </c>
      <c r="K15" s="154">
        <f t="shared" ca="1" si="25"/>
        <v>97.827135678391954</v>
      </c>
      <c r="L15" s="151">
        <f ca="1">IFERROR(__xludf.DUMMYFUNCTION("IMPORTRANGE(""https://docs.google.com/spreadsheets/d/1-uDff_7J0KD5mKrp0Vvzr7lt3OU09vwQwhkpOPPYv2Y/edit?usp=sharing"",""งบพรบ!EZ15"")"),194676)</f>
        <v>194676</v>
      </c>
      <c r="M15" s="68">
        <f t="shared" ca="1" si="26"/>
        <v>97.827135678391954</v>
      </c>
      <c r="N15" s="68">
        <f t="shared" ca="1" si="27"/>
        <v>97.827135678391954</v>
      </c>
      <c r="O15" s="67">
        <f ca="1">IFERROR(__xludf.DUMMYFUNCTION("IMPORTRANGE(""https://docs.google.com/spreadsheets/d/1-uDff_7J0KD5mKrp0Vvzr7lt3OU09vwQwhkpOPPYv2Y/edit?usp=sharing"",""งบพรบ!FA15"")"),0)</f>
        <v>0</v>
      </c>
      <c r="P15" s="67">
        <f t="shared" ca="1" si="28"/>
        <v>0</v>
      </c>
      <c r="Q15" s="68">
        <f t="shared" ca="1" si="29"/>
        <v>0</v>
      </c>
      <c r="R15" s="152">
        <f ca="1">IFERROR(__xludf.DUMMYFUNCTION("IMPORTRANGE(""https://docs.google.com/spreadsheets/d/1KS0zmDSZPk8KnTAbGN-Xk6MtX1YRZD0ldgdt20K4CRk/edit?usp=sharing"",""เชียงราย!I332"")"),6000)</f>
        <v>6000</v>
      </c>
      <c r="S15" s="152">
        <f ca="1">IFERROR(__xludf.DUMMYFUNCTION("IMPORTRANGE(""https://docs.google.com/spreadsheets/d/1KS0zmDSZPk8KnTAbGN-Xk6MtX1YRZD0ldgdt20K4CRk/edit?usp=sharing"",""เชียงราย!J332"")"),17780)</f>
        <v>17780</v>
      </c>
      <c r="T15" s="153">
        <f t="shared" ca="1" si="31"/>
        <v>296.33333333333331</v>
      </c>
      <c r="U15" s="394" t="str">
        <f ca="1">IFERROR(__xludf.DUMMYFUNCTION("IMPORTRANGE(""https://docs.google.com/spreadsheets/d/1KS0zmDSZPk8KnTAbGN-Xk6MtX1YRZD0ldgdt20K4CRk/edit?usp=sharing"",""เชียงราย!I344"")"),"")</f>
        <v/>
      </c>
      <c r="V15" s="152">
        <f ca="1">IFERROR(__xludf.DUMMYFUNCTION("IMPORTRANGE(""https://docs.google.com/spreadsheets/d/1KS0zmDSZPk8KnTAbGN-Xk6MtX1YRZD0ldgdt20K4CRk/edit?usp=sharing"",""เชียงราย!J344"")"),5633)</f>
        <v>5633</v>
      </c>
      <c r="W15" s="216" t="e">
        <f t="shared" ca="1" si="33"/>
        <v>#VALUE!</v>
      </c>
      <c r="X15" s="278">
        <f ca="1">IFERROR(__xludf.DUMMYFUNCTION("IMPORTRANGE(""https://docs.google.com/spreadsheets/d/1KS0zmDSZPk8KnTAbGN-Xk6MtX1YRZD0ldgdt20K4CRk/edit?usp=sharing"",""เชียงราย!I346"")"),8)</f>
        <v>8</v>
      </c>
      <c r="Y15" s="152">
        <f ca="1">IFERROR(__xludf.DUMMYFUNCTION("IMPORTRANGE(""https://docs.google.com/spreadsheets/d/1KS0zmDSZPk8KnTAbGN-Xk6MtX1YRZD0ldgdt20K4CRk/edit?usp=sharing"",""เชียงราย!J346"")"),0)</f>
        <v>0</v>
      </c>
      <c r="Z15" s="216">
        <f t="shared" ca="1" si="35"/>
        <v>0</v>
      </c>
      <c r="AA15" s="152">
        <f ca="1">IFERROR(__xludf.DUMMYFUNCTION("IMPORTRANGE(""https://docs.google.com/spreadsheets/d/1KS0zmDSZPk8KnTAbGN-Xk6MtX1YRZD0ldgdt20K4CRk/edit?usp=sharing"",""เชียงราย!J347"")"),0)</f>
        <v>0</v>
      </c>
      <c r="AB15" s="152">
        <f ca="1">IFERROR(__xludf.DUMMYFUNCTION("IMPORTRANGE(""https://docs.google.com/spreadsheets/d/1KS0zmDSZPk8KnTAbGN-Xk6MtX1YRZD0ldgdt20K4CRk/edit?usp=sharing"",""เชียงราย!J348"")"),11)</f>
        <v>11</v>
      </c>
      <c r="AC15" s="152">
        <f ca="1">IFERROR(__xludf.DUMMYFUNCTION("IMPORTRANGE(""https://docs.google.com/spreadsheets/d/1KS0zmDSZPk8KnTAbGN-Xk6MtX1YRZD0ldgdt20K4CRk/edit?usp=sharing"",""เชียงราย!J349"")"),0)</f>
        <v>0</v>
      </c>
      <c r="AD15" s="152">
        <f ca="1">IFERROR(__xludf.DUMMYFUNCTION("IMPORTRANGE(""https://docs.google.com/spreadsheets/d/1KS0zmDSZPk8KnTAbGN-Xk6MtX1YRZD0ldgdt20K4CRk/edit?usp=sharing"",""เชียงราย!J343"")"),5644)</f>
        <v>5644</v>
      </c>
      <c r="AE15" s="152">
        <f ca="1">IFERROR(__xludf.DUMMYFUNCTION("IMPORTRANGE(""https://docs.google.com/spreadsheets/d/1KS0zmDSZPk8KnTAbGN-Xk6MtX1YRZD0ldgdt20K4CRk/edit?usp=sharing"",""เชียงราย!J352"")"),1413)</f>
        <v>1413</v>
      </c>
      <c r="AF15" s="152">
        <f ca="1">IFERROR(__xludf.DUMMYFUNCTION("IMPORTRANGE(""https://docs.google.com/spreadsheets/d/1KS0zmDSZPk8KnTAbGN-Xk6MtX1YRZD0ldgdt20K4CRk/edit?usp=sharing"",""เชียงราย!J353"")"),11447)</f>
        <v>11447</v>
      </c>
      <c r="AG15" s="152">
        <f ca="1">IFERROR(__xludf.DUMMYFUNCTION("IMPORTRANGE(""https://docs.google.com/spreadsheets/d/1KS0zmDSZPk8KnTAbGN-Xk6MtX1YRZD0ldgdt20K4CRk/edit?usp=sharing"",""เชียงราย!J354"")"),689)</f>
        <v>689</v>
      </c>
    </row>
    <row r="16" spans="1:33" ht="24" customHeight="1" x14ac:dyDescent="0.3">
      <c r="A16" s="395">
        <v>3</v>
      </c>
      <c r="B16" s="396" t="s">
        <v>44</v>
      </c>
      <c r="C16" s="149">
        <f t="shared" ca="1" si="22"/>
        <v>176000</v>
      </c>
      <c r="D16" s="150">
        <f t="shared" ca="1" si="37"/>
        <v>176000</v>
      </c>
      <c r="E16" s="151">
        <f ca="1">IFERROR(__xludf.DUMMYFUNCTION("IMPORTRANGE(""https://docs.google.com/spreadsheets/d/1-uDff_7J0KD5mKrp0Vvzr7lt3OU09vwQwhkpOPPYv2Y/edit?usp=sharing"",""งบพรบ!ET16"")"),0)</f>
        <v>0</v>
      </c>
      <c r="F16" s="151">
        <f ca="1">IFERROR(__xludf.DUMMYFUNCTION("IMPORTRANGE(""https://docs.google.com/spreadsheets/d/1-uDff_7J0KD5mKrp0Vvzr7lt3OU09vwQwhkpOPPYv2Y/edit?usp=sharing"",""งบพรบ!EU16"")"),176000)</f>
        <v>176000</v>
      </c>
      <c r="G16" s="151">
        <f ca="1">IFERROR(__xludf.DUMMYFUNCTION("IMPORTRANGE(""https://docs.google.com/spreadsheets/d/1-uDff_7J0KD5mKrp0Vvzr7lt3OU09vwQwhkpOPPYv2Y/edit?usp=sharing"",""งบพรบ!EV16"")"),0)</f>
        <v>0</v>
      </c>
      <c r="H16" s="151">
        <f ca="1">IFERROR(__xludf.DUMMYFUNCTION("IMPORTRANGE(""https://docs.google.com/spreadsheets/d/1-uDff_7J0KD5mKrp0Vvzr7lt3OU09vwQwhkpOPPYv2Y/edit?usp=sharing"",""งบพรบ!EX16"")"),176000)</f>
        <v>176000</v>
      </c>
      <c r="I16" s="151">
        <f ca="1">IFERROR(__xludf.DUMMYFUNCTION("IMPORTRANGE(""https://docs.google.com/spreadsheets/d/1-uDff_7J0KD5mKrp0Vvzr7lt3OU09vwQwhkpOPPYv2Y/edit?usp=sharing"",""งบพรบ!EY16"")"),0)</f>
        <v>0</v>
      </c>
      <c r="J16" s="151">
        <f t="shared" ca="1" si="24"/>
        <v>145945.79999999999</v>
      </c>
      <c r="K16" s="154">
        <f t="shared" ca="1" si="25"/>
        <v>82.923749999999984</v>
      </c>
      <c r="L16" s="151">
        <f ca="1">IFERROR(__xludf.DUMMYFUNCTION("IMPORTRANGE(""https://docs.google.com/spreadsheets/d/1-uDff_7J0KD5mKrp0Vvzr7lt3OU09vwQwhkpOPPYv2Y/edit?usp=sharing"",""งบพรบ!EZ16"")"),145945.8)</f>
        <v>145945.79999999999</v>
      </c>
      <c r="M16" s="68">
        <f t="shared" ca="1" si="26"/>
        <v>82.923749999999984</v>
      </c>
      <c r="N16" s="68">
        <f t="shared" ca="1" si="27"/>
        <v>82.923749999999984</v>
      </c>
      <c r="O16" s="67">
        <f ca="1">IFERROR(__xludf.DUMMYFUNCTION("IMPORTRANGE(""https://docs.google.com/spreadsheets/d/1-uDff_7J0KD5mKrp0Vvzr7lt3OU09vwQwhkpOPPYv2Y/edit?usp=sharing"",""งบพรบ!FA16"")"),0)</f>
        <v>0</v>
      </c>
      <c r="P16" s="67">
        <f t="shared" ca="1" si="28"/>
        <v>0</v>
      </c>
      <c r="Q16" s="68">
        <f t="shared" ca="1" si="29"/>
        <v>0</v>
      </c>
      <c r="R16" s="152">
        <f ca="1">IFERROR(__xludf.DUMMYFUNCTION("IMPORTRANGE(""https://docs.google.com/spreadsheets/d/1rEDxBtusbi64tE0zunoIbsTVV16HeL0oJ6trHQeQ7K8/edit?usp=sharing"",""เชียงใหม่!I332"")"),900)</f>
        <v>900</v>
      </c>
      <c r="S16" s="152">
        <f ca="1">IFERROR(__xludf.DUMMYFUNCTION("IMPORTRANGE(""https://docs.google.com/spreadsheets/d/1rEDxBtusbi64tE0zunoIbsTVV16HeL0oJ6trHQeQ7K8/edit?usp=sharing"",""เชียงใหม่!J332"")"),11059)</f>
        <v>11059</v>
      </c>
      <c r="T16" s="153">
        <f t="shared" ca="1" si="31"/>
        <v>1228.7777777777778</v>
      </c>
      <c r="U16" s="394" t="str">
        <f ca="1">IFERROR(__xludf.DUMMYFUNCTION("IMPORTRANGE(""https://docs.google.com/spreadsheets/d/1rEDxBtusbi64tE0zunoIbsTVV16HeL0oJ6trHQeQ7K8/edit?usp=sharing"",""เชียงใหม่!I344"")"),"")</f>
        <v/>
      </c>
      <c r="V16" s="152">
        <f ca="1">IFERROR(__xludf.DUMMYFUNCTION("IMPORTRANGE(""https://docs.google.com/spreadsheets/d/1rEDxBtusbi64tE0zunoIbsTVV16HeL0oJ6trHQeQ7K8/edit?usp=sharing"",""เชียงใหม่!J344"")"),5387)</f>
        <v>5387</v>
      </c>
      <c r="W16" s="216" t="e">
        <f t="shared" ca="1" si="33"/>
        <v>#VALUE!</v>
      </c>
      <c r="X16" s="278">
        <f ca="1">IFERROR(__xludf.DUMMYFUNCTION("IMPORTRANGE(""https://docs.google.com/spreadsheets/d/1rEDxBtusbi64tE0zunoIbsTVV16HeL0oJ6trHQeQ7K8/edit?usp=sharing"",""เชียงใหม่!I346"")"),4)</f>
        <v>4</v>
      </c>
      <c r="Y16" s="152">
        <f ca="1">IFERROR(__xludf.DUMMYFUNCTION("IMPORTRANGE(""https://docs.google.com/spreadsheets/d/1rEDxBtusbi64tE0zunoIbsTVV16HeL0oJ6trHQeQ7K8/edit?usp=sharing"",""เชียงใหม่!J346"")"),4)</f>
        <v>4</v>
      </c>
      <c r="Z16" s="216">
        <f t="shared" ca="1" si="35"/>
        <v>100</v>
      </c>
      <c r="AA16" s="152">
        <f ca="1">IFERROR(__xludf.DUMMYFUNCTION("IMPORTRANGE(""https://docs.google.com/spreadsheets/d/1rEDxBtusbi64tE0zunoIbsTVV16HeL0oJ6trHQeQ7K8/edit?usp=sharing"",""เชียงใหม่!J347"")"),44)</f>
        <v>44</v>
      </c>
      <c r="AB16" s="152">
        <f ca="1">IFERROR(__xludf.DUMMYFUNCTION("IMPORTRANGE(""https://docs.google.com/spreadsheets/d/1rEDxBtusbi64tE0zunoIbsTVV16HeL0oJ6trHQeQ7K8/edit?usp=sharing"",""เชียงใหม่!J348"")"),873)</f>
        <v>873</v>
      </c>
      <c r="AC16" s="152">
        <f ca="1">IFERROR(__xludf.DUMMYFUNCTION("IMPORTRANGE(""https://docs.google.com/spreadsheets/d/1rEDxBtusbi64tE0zunoIbsTVV16HeL0oJ6trHQeQ7K8/edit?usp=sharing"",""เชียงใหม่!J349"")"),32)</f>
        <v>32</v>
      </c>
      <c r="AD16" s="152">
        <f ca="1">IFERROR(__xludf.DUMMYFUNCTION("IMPORTRANGE(""https://docs.google.com/spreadsheets/d/1rEDxBtusbi64tE0zunoIbsTVV16HeL0oJ6trHQeQ7K8/edit?usp=sharing"",""เชียงใหม่!J343"")"),6336)</f>
        <v>6336</v>
      </c>
      <c r="AE16" s="152">
        <f ca="1">IFERROR(__xludf.DUMMYFUNCTION("IMPORTRANGE(""https://docs.google.com/spreadsheets/d/1rEDxBtusbi64tE0zunoIbsTVV16HeL0oJ6trHQeQ7K8/edit?usp=sharing"",""เชียงใหม่!J352"")"),0)</f>
        <v>0</v>
      </c>
      <c r="AF16" s="152">
        <f ca="1">IFERROR(__xludf.DUMMYFUNCTION("IMPORTRANGE(""https://docs.google.com/spreadsheets/d/1rEDxBtusbi64tE0zunoIbsTVV16HeL0oJ6trHQeQ7K8/edit?usp=sharing"",""เชียงใหม่!J353"")"),3910)</f>
        <v>3910</v>
      </c>
      <c r="AG16" s="152">
        <f ca="1">IFERROR(__xludf.DUMMYFUNCTION("IMPORTRANGE(""https://docs.google.com/spreadsheets/d/1rEDxBtusbi64tE0zunoIbsTVV16HeL0oJ6trHQeQ7K8/edit?usp=sharing"",""เชียงใหม่!J354"")"),813)</f>
        <v>813</v>
      </c>
    </row>
    <row r="17" spans="1:33" ht="24" customHeight="1" x14ac:dyDescent="0.3">
      <c r="A17" s="395">
        <v>4</v>
      </c>
      <c r="B17" s="396" t="s">
        <v>45</v>
      </c>
      <c r="C17" s="149">
        <f t="shared" ca="1" si="22"/>
        <v>180000</v>
      </c>
      <c r="D17" s="150">
        <f t="shared" ca="1" si="37"/>
        <v>180000</v>
      </c>
      <c r="E17" s="151">
        <f ca="1">IFERROR(__xludf.DUMMYFUNCTION("IMPORTRANGE(""https://docs.google.com/spreadsheets/d/1-uDff_7J0KD5mKrp0Vvzr7lt3OU09vwQwhkpOPPYv2Y/edit?usp=sharing"",""งบพรบ!ET17"")"),0)</f>
        <v>0</v>
      </c>
      <c r="F17" s="151">
        <f ca="1">IFERROR(__xludf.DUMMYFUNCTION("IMPORTRANGE(""https://docs.google.com/spreadsheets/d/1-uDff_7J0KD5mKrp0Vvzr7lt3OU09vwQwhkpOPPYv2Y/edit?usp=sharing"",""งบพรบ!EU17"")"),180000)</f>
        <v>180000</v>
      </c>
      <c r="G17" s="151">
        <f ca="1">IFERROR(__xludf.DUMMYFUNCTION("IMPORTRANGE(""https://docs.google.com/spreadsheets/d/1-uDff_7J0KD5mKrp0Vvzr7lt3OU09vwQwhkpOPPYv2Y/edit?usp=sharing"",""งบพรบ!EV17"")"),0)</f>
        <v>0</v>
      </c>
      <c r="H17" s="151">
        <f ca="1">IFERROR(__xludf.DUMMYFUNCTION("IMPORTRANGE(""https://docs.google.com/spreadsheets/d/1-uDff_7J0KD5mKrp0Vvzr7lt3OU09vwQwhkpOPPYv2Y/edit?usp=sharing"",""งบพรบ!EX17"")"),180000)</f>
        <v>180000</v>
      </c>
      <c r="I17" s="151">
        <f ca="1">IFERROR(__xludf.DUMMYFUNCTION("IMPORTRANGE(""https://docs.google.com/spreadsheets/d/1-uDff_7J0KD5mKrp0Vvzr7lt3OU09vwQwhkpOPPYv2Y/edit?usp=sharing"",""งบพรบ!EY17"")"),0)</f>
        <v>0</v>
      </c>
      <c r="J17" s="151">
        <f t="shared" ca="1" si="24"/>
        <v>131920</v>
      </c>
      <c r="K17" s="154">
        <f t="shared" ca="1" si="25"/>
        <v>73.288888888888891</v>
      </c>
      <c r="L17" s="151">
        <f ca="1">IFERROR(__xludf.DUMMYFUNCTION("IMPORTRANGE(""https://docs.google.com/spreadsheets/d/1-uDff_7J0KD5mKrp0Vvzr7lt3OU09vwQwhkpOPPYv2Y/edit?usp=sharing"",""งบพรบ!EZ17"")"),131920)</f>
        <v>131920</v>
      </c>
      <c r="M17" s="68">
        <f t="shared" ca="1" si="26"/>
        <v>73.288888888888891</v>
      </c>
      <c r="N17" s="68">
        <f t="shared" ca="1" si="27"/>
        <v>73.288888888888891</v>
      </c>
      <c r="O17" s="67">
        <f ca="1">IFERROR(__xludf.DUMMYFUNCTION("IMPORTRANGE(""https://docs.google.com/spreadsheets/d/1-uDff_7J0KD5mKrp0Vvzr7lt3OU09vwQwhkpOPPYv2Y/edit?usp=sharing"",""งบพรบ!FA17"")"),0)</f>
        <v>0</v>
      </c>
      <c r="P17" s="67">
        <f t="shared" ca="1" si="28"/>
        <v>0</v>
      </c>
      <c r="Q17" s="68">
        <f t="shared" ca="1" si="29"/>
        <v>0</v>
      </c>
      <c r="R17" s="152">
        <f ca="1">IFERROR(__xludf.DUMMYFUNCTION("IMPORTRANGE(""https://docs.google.com/spreadsheets/d/1W6MnUbDkMi6xHnHko_XkFDO9kkuL6Wqyc-6OCDFjW9I/edit?usp=sharing"",""ตาก!I332"")"),900)</f>
        <v>900</v>
      </c>
      <c r="S17" s="152">
        <f ca="1">IFERROR(__xludf.DUMMYFUNCTION("IMPORTRANGE(""https://docs.google.com/spreadsheets/d/1W6MnUbDkMi6xHnHko_XkFDO9kkuL6Wqyc-6OCDFjW9I/edit?usp=sharing"",""ตาก!J332"")"),5796)</f>
        <v>5796</v>
      </c>
      <c r="T17" s="153">
        <f t="shared" ca="1" si="31"/>
        <v>644</v>
      </c>
      <c r="U17" s="394" t="str">
        <f ca="1">IFERROR(__xludf.DUMMYFUNCTION("IMPORTRANGE(""https://docs.google.com/spreadsheets/d/1W6MnUbDkMi6xHnHko_XkFDO9kkuL6Wqyc-6OCDFjW9I/edit?usp=sharing"",""ตาก!I344"")"),"")</f>
        <v/>
      </c>
      <c r="V17" s="152">
        <f ca="1">IFERROR(__xludf.DUMMYFUNCTION("IMPORTRANGE(""https://docs.google.com/spreadsheets/d/1W6MnUbDkMi6xHnHko_XkFDO9kkuL6Wqyc-6OCDFjW9I/edit?usp=sharing"",""ตาก!J344"")"),1052)</f>
        <v>1052</v>
      </c>
      <c r="W17" s="216" t="e">
        <f t="shared" ca="1" si="33"/>
        <v>#VALUE!</v>
      </c>
      <c r="X17" s="278">
        <f ca="1">IFERROR(__xludf.DUMMYFUNCTION("IMPORTRANGE(""https://docs.google.com/spreadsheets/d/1W6MnUbDkMi6xHnHko_XkFDO9kkuL6Wqyc-6OCDFjW9I/edit?usp=sharing"",""ตาก!I346"")"),6)</f>
        <v>6</v>
      </c>
      <c r="Y17" s="152">
        <f ca="1">IFERROR(__xludf.DUMMYFUNCTION("IMPORTRANGE(""https://docs.google.com/spreadsheets/d/1W6MnUbDkMi6xHnHko_XkFDO9kkuL6Wqyc-6OCDFjW9I/edit?usp=sharing"",""ตาก!J346"")"),8)</f>
        <v>8</v>
      </c>
      <c r="Z17" s="216">
        <f t="shared" ca="1" si="35"/>
        <v>133.33333333333334</v>
      </c>
      <c r="AA17" s="152">
        <f ca="1">IFERROR(__xludf.DUMMYFUNCTION("IMPORTRANGE(""https://docs.google.com/spreadsheets/d/1W6MnUbDkMi6xHnHko_XkFDO9kkuL6Wqyc-6OCDFjW9I/edit?usp=sharing"",""ตาก!J347"")"),49)</f>
        <v>49</v>
      </c>
      <c r="AB17" s="152">
        <f ca="1">IFERROR(__xludf.DUMMYFUNCTION("IMPORTRANGE(""https://docs.google.com/spreadsheets/d/1W6MnUbDkMi6xHnHko_XkFDO9kkuL6Wqyc-6OCDFjW9I/edit?usp=sharing"",""ตาก!J348"")"),98)</f>
        <v>98</v>
      </c>
      <c r="AC17" s="152">
        <f ca="1">IFERROR(__xludf.DUMMYFUNCTION("IMPORTRANGE(""https://docs.google.com/spreadsheets/d/1W6MnUbDkMi6xHnHko_XkFDO9kkuL6Wqyc-6OCDFjW9I/edit?usp=sharing"",""ตาก!J349"")"),0)</f>
        <v>0</v>
      </c>
      <c r="AD17" s="152">
        <f ca="1">IFERROR(__xludf.DUMMYFUNCTION("IMPORTRANGE(""https://docs.google.com/spreadsheets/d/1W6MnUbDkMi6xHnHko_XkFDO9kkuL6Wqyc-6OCDFjW9I/edit?usp=sharing"",""ตาก!J343"")"),1199)</f>
        <v>1199</v>
      </c>
      <c r="AE17" s="152">
        <f ca="1">IFERROR(__xludf.DUMMYFUNCTION("IMPORTRANGE(""https://docs.google.com/spreadsheets/d/1W6MnUbDkMi6xHnHko_XkFDO9kkuL6Wqyc-6OCDFjW9I/edit?usp=sharing"",""ตาก!J352"")"),77)</f>
        <v>77</v>
      </c>
      <c r="AF17" s="152">
        <f ca="1">IFERROR(__xludf.DUMMYFUNCTION("IMPORTRANGE(""https://docs.google.com/spreadsheets/d/1W6MnUbDkMi6xHnHko_XkFDO9kkuL6Wqyc-6OCDFjW9I/edit?usp=sharing"",""ตาก!J353"")"),3563)</f>
        <v>3563</v>
      </c>
      <c r="AG17" s="152">
        <f ca="1">IFERROR(__xludf.DUMMYFUNCTION("IMPORTRANGE(""https://docs.google.com/spreadsheets/d/1W6MnUbDkMi6xHnHko_XkFDO9kkuL6Wqyc-6OCDFjW9I/edit?usp=sharing"",""ตาก!J354"")"),1034)</f>
        <v>1034</v>
      </c>
    </row>
    <row r="18" spans="1:33" ht="24" customHeight="1" x14ac:dyDescent="0.3">
      <c r="A18" s="395">
        <v>5</v>
      </c>
      <c r="B18" s="396" t="s">
        <v>46</v>
      </c>
      <c r="C18" s="149">
        <f t="shared" ca="1" si="22"/>
        <v>192000</v>
      </c>
      <c r="D18" s="150">
        <f t="shared" ca="1" si="37"/>
        <v>192000</v>
      </c>
      <c r="E18" s="151">
        <f ca="1">IFERROR(__xludf.DUMMYFUNCTION("IMPORTRANGE(""https://docs.google.com/spreadsheets/d/1-uDff_7J0KD5mKrp0Vvzr7lt3OU09vwQwhkpOPPYv2Y/edit?usp=sharing"",""งบพรบ!ET18"")"),0)</f>
        <v>0</v>
      </c>
      <c r="F18" s="151">
        <f ca="1">IFERROR(__xludf.DUMMYFUNCTION("IMPORTRANGE(""https://docs.google.com/spreadsheets/d/1-uDff_7J0KD5mKrp0Vvzr7lt3OU09vwQwhkpOPPYv2Y/edit?usp=sharing"",""งบพรบ!EU18"")"),192000)</f>
        <v>192000</v>
      </c>
      <c r="G18" s="151">
        <f ca="1">IFERROR(__xludf.DUMMYFUNCTION("IMPORTRANGE(""https://docs.google.com/spreadsheets/d/1-uDff_7J0KD5mKrp0Vvzr7lt3OU09vwQwhkpOPPYv2Y/edit?usp=sharing"",""งบพรบ!EV18"")"),0)</f>
        <v>0</v>
      </c>
      <c r="H18" s="151">
        <f ca="1">IFERROR(__xludf.DUMMYFUNCTION("IMPORTRANGE(""https://docs.google.com/spreadsheets/d/1-uDff_7J0KD5mKrp0Vvzr7lt3OU09vwQwhkpOPPYv2Y/edit?usp=sharing"",""งบพรบ!EX18"")"),192000)</f>
        <v>192000</v>
      </c>
      <c r="I18" s="151">
        <f ca="1">IFERROR(__xludf.DUMMYFUNCTION("IMPORTRANGE(""https://docs.google.com/spreadsheets/d/1-uDff_7J0KD5mKrp0Vvzr7lt3OU09vwQwhkpOPPYv2Y/edit?usp=sharing"",""งบพรบ!EY18"")"),0)</f>
        <v>0</v>
      </c>
      <c r="J18" s="151">
        <f t="shared" ca="1" si="24"/>
        <v>152050</v>
      </c>
      <c r="K18" s="154">
        <f t="shared" ca="1" si="25"/>
        <v>79.192708333333329</v>
      </c>
      <c r="L18" s="151">
        <f ca="1">IFERROR(__xludf.DUMMYFUNCTION("IMPORTRANGE(""https://docs.google.com/spreadsheets/d/1-uDff_7J0KD5mKrp0Vvzr7lt3OU09vwQwhkpOPPYv2Y/edit?usp=sharing"",""งบพรบ!EZ18"")"),152050)</f>
        <v>152050</v>
      </c>
      <c r="M18" s="68">
        <f t="shared" ca="1" si="26"/>
        <v>79.192708333333329</v>
      </c>
      <c r="N18" s="68">
        <f t="shared" ca="1" si="27"/>
        <v>79.192708333333329</v>
      </c>
      <c r="O18" s="67">
        <f ca="1">IFERROR(__xludf.DUMMYFUNCTION("IMPORTRANGE(""https://docs.google.com/spreadsheets/d/1-uDff_7J0KD5mKrp0Vvzr7lt3OU09vwQwhkpOPPYv2Y/edit?usp=sharing"",""งบพรบ!FA18"")"),0)</f>
        <v>0</v>
      </c>
      <c r="P18" s="67">
        <f t="shared" ca="1" si="28"/>
        <v>0</v>
      </c>
      <c r="Q18" s="68">
        <f t="shared" ca="1" si="29"/>
        <v>0</v>
      </c>
      <c r="R18" s="152">
        <f ca="1">IFERROR(__xludf.DUMMYFUNCTION("IMPORTRANGE(""https://docs.google.com/spreadsheets/d/1IQAWArduLkta9LpYo4a_ULsyqdta6-6aDDiwpUnQT6c/edit?usp=sharing"",""นครสวรรค์!I332"")"),3500)</f>
        <v>3500</v>
      </c>
      <c r="S18" s="152">
        <f ca="1">IFERROR(__xludf.DUMMYFUNCTION("IMPORTRANGE(""https://docs.google.com/spreadsheets/d/1IQAWArduLkta9LpYo4a_ULsyqdta6-6aDDiwpUnQT6c/edit?usp=sharing"",""นครสวรรค์!J332"")"),6386)</f>
        <v>6386</v>
      </c>
      <c r="T18" s="153">
        <f t="shared" ca="1" si="31"/>
        <v>182.45714285714286</v>
      </c>
      <c r="U18" s="394" t="str">
        <f ca="1">IFERROR(__xludf.DUMMYFUNCTION("IMPORTRANGE(""https://docs.google.com/spreadsheets/d/1IQAWArduLkta9LpYo4a_ULsyqdta6-6aDDiwpUnQT6c/edit?usp=sharing"",""นครสวรรค์!I344"")"),"")</f>
        <v/>
      </c>
      <c r="V18" s="152">
        <f ca="1">IFERROR(__xludf.DUMMYFUNCTION("IMPORTRANGE(""https://docs.google.com/spreadsheets/d/1IQAWArduLkta9LpYo4a_ULsyqdta6-6aDDiwpUnQT6c/edit?usp=sharing"",""นครสวรรค์!J344"")"),2598)</f>
        <v>2598</v>
      </c>
      <c r="W18" s="216" t="e">
        <f t="shared" ca="1" si="33"/>
        <v>#VALUE!</v>
      </c>
      <c r="X18" s="278">
        <f ca="1">IFERROR(__xludf.DUMMYFUNCTION("IMPORTRANGE(""https://docs.google.com/spreadsheets/d/1IQAWArduLkta9LpYo4a_ULsyqdta6-6aDDiwpUnQT6c/edit?usp=sharing"",""นครสวรรค์!I346"")"),7)</f>
        <v>7</v>
      </c>
      <c r="Y18" s="152">
        <f ca="1">IFERROR(__xludf.DUMMYFUNCTION("IMPORTRANGE(""https://docs.google.com/spreadsheets/d/1IQAWArduLkta9LpYo4a_ULsyqdta6-6aDDiwpUnQT6c/edit?usp=sharing"",""นครสวรรค์!J346"")"),6)</f>
        <v>6</v>
      </c>
      <c r="Z18" s="216">
        <f t="shared" ca="1" si="35"/>
        <v>85.714285714285708</v>
      </c>
      <c r="AA18" s="152">
        <f ca="1">IFERROR(__xludf.DUMMYFUNCTION("IMPORTRANGE(""https://docs.google.com/spreadsheets/d/1IQAWArduLkta9LpYo4a_ULsyqdta6-6aDDiwpUnQT6c/edit?usp=sharing"",""นครสวรรค์!J347"")"),199)</f>
        <v>199</v>
      </c>
      <c r="AB18" s="152">
        <f ca="1">IFERROR(__xludf.DUMMYFUNCTION("IMPORTRANGE(""https://docs.google.com/spreadsheets/d/1IQAWArduLkta9LpYo4a_ULsyqdta6-6aDDiwpUnQT6c/edit?usp=sharing"",""นครสวรรค์!J348"")"),1)</f>
        <v>1</v>
      </c>
      <c r="AC18" s="152">
        <f ca="1">IFERROR(__xludf.DUMMYFUNCTION("IMPORTRANGE(""https://docs.google.com/spreadsheets/d/1IQAWArduLkta9LpYo4a_ULsyqdta6-6aDDiwpUnQT6c/edit?usp=sharing"",""นครสวรรค์!J349"")"),0)</f>
        <v>0</v>
      </c>
      <c r="AD18" s="152">
        <f ca="1">IFERROR(__xludf.DUMMYFUNCTION("IMPORTRANGE(""https://docs.google.com/spreadsheets/d/1IQAWArduLkta9LpYo4a_ULsyqdta6-6aDDiwpUnQT6c/edit?usp=sharing"",""นครสวรรค์!J343"")"),2798)</f>
        <v>2798</v>
      </c>
      <c r="AE18" s="152">
        <f ca="1">IFERROR(__xludf.DUMMYFUNCTION("IMPORTRANGE(""https://docs.google.com/spreadsheets/d/1IQAWArduLkta9LpYo4a_ULsyqdta6-6aDDiwpUnQT6c/edit?usp=sharing"",""นครสวรรค์!J352"")"),2369)</f>
        <v>2369</v>
      </c>
      <c r="AF18" s="152">
        <f ca="1">IFERROR(__xludf.DUMMYFUNCTION("IMPORTRANGE(""https://docs.google.com/spreadsheets/d/1IQAWArduLkta9LpYo4a_ULsyqdta6-6aDDiwpUnQT6c/edit?usp=sharing"",""นครสวรรค์!J353"")"),2787)</f>
        <v>2787</v>
      </c>
      <c r="AG18" s="152">
        <f ca="1">IFERROR(__xludf.DUMMYFUNCTION("IMPORTRANGE(""https://docs.google.com/spreadsheets/d/1IQAWArduLkta9LpYo4a_ULsyqdta6-6aDDiwpUnQT6c/edit?usp=sharing"",""นครสวรรค์!J354"")"),801)</f>
        <v>801</v>
      </c>
    </row>
    <row r="19" spans="1:33" ht="24" customHeight="1" x14ac:dyDescent="0.3">
      <c r="A19" s="395">
        <v>6</v>
      </c>
      <c r="B19" s="396" t="s">
        <v>47</v>
      </c>
      <c r="C19" s="149">
        <f t="shared" ca="1" si="22"/>
        <v>187000</v>
      </c>
      <c r="D19" s="150">
        <f t="shared" ca="1" si="37"/>
        <v>187000</v>
      </c>
      <c r="E19" s="151">
        <f ca="1">IFERROR(__xludf.DUMMYFUNCTION("IMPORTRANGE(""https://docs.google.com/spreadsheets/d/1-uDff_7J0KD5mKrp0Vvzr7lt3OU09vwQwhkpOPPYv2Y/edit?usp=sharing"",""งบพรบ!ET19"")"),0)</f>
        <v>0</v>
      </c>
      <c r="F19" s="151">
        <f ca="1">IFERROR(__xludf.DUMMYFUNCTION("IMPORTRANGE(""https://docs.google.com/spreadsheets/d/1-uDff_7J0KD5mKrp0Vvzr7lt3OU09vwQwhkpOPPYv2Y/edit?usp=sharing"",""งบพรบ!EU19"")"),187000)</f>
        <v>187000</v>
      </c>
      <c r="G19" s="151">
        <f ca="1">IFERROR(__xludf.DUMMYFUNCTION("IMPORTRANGE(""https://docs.google.com/spreadsheets/d/1-uDff_7J0KD5mKrp0Vvzr7lt3OU09vwQwhkpOPPYv2Y/edit?usp=sharing"",""งบพรบ!EV19"")"),0)</f>
        <v>0</v>
      </c>
      <c r="H19" s="151">
        <f ca="1">IFERROR(__xludf.DUMMYFUNCTION("IMPORTRANGE(""https://docs.google.com/spreadsheets/d/1-uDff_7J0KD5mKrp0Vvzr7lt3OU09vwQwhkpOPPYv2Y/edit?usp=sharing"",""งบพรบ!EX19"")"),187000)</f>
        <v>187000</v>
      </c>
      <c r="I19" s="151">
        <f ca="1">IFERROR(__xludf.DUMMYFUNCTION("IMPORTRANGE(""https://docs.google.com/spreadsheets/d/1-uDff_7J0KD5mKrp0Vvzr7lt3OU09vwQwhkpOPPYv2Y/edit?usp=sharing"",""งบพรบ!EY19"")"),0)</f>
        <v>0</v>
      </c>
      <c r="J19" s="151">
        <f t="shared" ca="1" si="24"/>
        <v>124320</v>
      </c>
      <c r="K19" s="154">
        <f t="shared" ca="1" si="25"/>
        <v>66.481283422459896</v>
      </c>
      <c r="L19" s="151">
        <f ca="1">IFERROR(__xludf.DUMMYFUNCTION("IMPORTRANGE(""https://docs.google.com/spreadsheets/d/1-uDff_7J0KD5mKrp0Vvzr7lt3OU09vwQwhkpOPPYv2Y/edit?usp=sharing"",""งบพรบ!EZ19"")"),124320)</f>
        <v>124320</v>
      </c>
      <c r="M19" s="68">
        <f t="shared" ca="1" si="26"/>
        <v>66.481283422459896</v>
      </c>
      <c r="N19" s="68">
        <f t="shared" ca="1" si="27"/>
        <v>66.481283422459896</v>
      </c>
      <c r="O19" s="67">
        <f ca="1">IFERROR(__xludf.DUMMYFUNCTION("IMPORTRANGE(""https://docs.google.com/spreadsheets/d/1-uDff_7J0KD5mKrp0Vvzr7lt3OU09vwQwhkpOPPYv2Y/edit?usp=sharing"",""งบพรบ!FA19"")"),0)</f>
        <v>0</v>
      </c>
      <c r="P19" s="67">
        <f t="shared" ca="1" si="28"/>
        <v>0</v>
      </c>
      <c r="Q19" s="68">
        <f t="shared" ca="1" si="29"/>
        <v>0</v>
      </c>
      <c r="R19" s="152">
        <f ca="1">IFERROR(__xludf.DUMMYFUNCTION("IMPORTRANGE(""https://docs.google.com/spreadsheets/d/10s13Sk5xrltsiR-Zkbmk5DwIaDIKO8XlbJAfqyT7Gvg/edit?usp=sharing"",""น่าน!I332"")"),1600)</f>
        <v>1600</v>
      </c>
      <c r="S19" s="152">
        <f ca="1">IFERROR(__xludf.DUMMYFUNCTION("IMPORTRANGE(""https://docs.google.com/spreadsheets/d/10s13Sk5xrltsiR-Zkbmk5DwIaDIKO8XlbJAfqyT7Gvg/edit?usp=sharing"",""น่าน!J332"")"),13255)</f>
        <v>13255</v>
      </c>
      <c r="T19" s="153">
        <f t="shared" ca="1" si="31"/>
        <v>828.4375</v>
      </c>
      <c r="U19" s="394" t="str">
        <f ca="1">IFERROR(__xludf.DUMMYFUNCTION("IMPORTRANGE(""https://docs.google.com/spreadsheets/d/10s13Sk5xrltsiR-Zkbmk5DwIaDIKO8XlbJAfqyT7Gvg/edit?usp=sharing"",""น่าน!I344"")"),"")</f>
        <v/>
      </c>
      <c r="V19" s="152">
        <f ca="1">IFERROR(__xludf.DUMMYFUNCTION("IMPORTRANGE(""https://docs.google.com/spreadsheets/d/10s13Sk5xrltsiR-Zkbmk5DwIaDIKO8XlbJAfqyT7Gvg/edit?usp=sharing"",""น่าน!J344"")"),3497)</f>
        <v>3497</v>
      </c>
      <c r="W19" s="216" t="e">
        <f t="shared" ca="1" si="33"/>
        <v>#VALUE!</v>
      </c>
      <c r="X19" s="278">
        <f ca="1">IFERROR(__xludf.DUMMYFUNCTION("IMPORTRANGE(""https://docs.google.com/spreadsheets/d/10s13Sk5xrltsiR-Zkbmk5DwIaDIKO8XlbJAfqyT7Gvg/edit?usp=sharing"",""น่าน!I346"")"),7)</f>
        <v>7</v>
      </c>
      <c r="Y19" s="152">
        <f ca="1">IFERROR(__xludf.DUMMYFUNCTION("IMPORTRANGE(""https://docs.google.com/spreadsheets/d/10s13Sk5xrltsiR-Zkbmk5DwIaDIKO8XlbJAfqyT7Gvg/edit?usp=sharing"",""น่าน!J346"")"),7)</f>
        <v>7</v>
      </c>
      <c r="Z19" s="216">
        <f t="shared" ca="1" si="35"/>
        <v>100</v>
      </c>
      <c r="AA19" s="152">
        <f ca="1">IFERROR(__xludf.DUMMYFUNCTION("IMPORTRANGE(""https://docs.google.com/spreadsheets/d/10s13Sk5xrltsiR-Zkbmk5DwIaDIKO8XlbJAfqyT7Gvg/edit?usp=sharing"",""น่าน!J347"")"),236)</f>
        <v>236</v>
      </c>
      <c r="AB19" s="152">
        <f ca="1">IFERROR(__xludf.DUMMYFUNCTION("IMPORTRANGE(""https://docs.google.com/spreadsheets/d/10s13Sk5xrltsiR-Zkbmk5DwIaDIKO8XlbJAfqyT7Gvg/edit?usp=sharing"",""น่าน!J348"")"),0)</f>
        <v>0</v>
      </c>
      <c r="AC19" s="152">
        <f ca="1">IFERROR(__xludf.DUMMYFUNCTION("IMPORTRANGE(""https://docs.google.com/spreadsheets/d/10s13Sk5xrltsiR-Zkbmk5DwIaDIKO8XlbJAfqyT7Gvg/edit?usp=sharing"",""น่าน!J349"")"),0)</f>
        <v>0</v>
      </c>
      <c r="AD19" s="152">
        <f ca="1">IFERROR(__xludf.DUMMYFUNCTION("IMPORTRANGE(""https://docs.google.com/spreadsheets/d/10s13Sk5xrltsiR-Zkbmk5DwIaDIKO8XlbJAfqyT7Gvg/edit?usp=sharing"",""น่าน!J343"")"),3733)</f>
        <v>3733</v>
      </c>
      <c r="AE19" s="152">
        <f ca="1">IFERROR(__xludf.DUMMYFUNCTION("IMPORTRANGE(""https://docs.google.com/spreadsheets/d/10s13Sk5xrltsiR-Zkbmk5DwIaDIKO8XlbJAfqyT7Gvg/edit?usp=sharing"",""น่าน!J352"")"),1087)</f>
        <v>1087</v>
      </c>
      <c r="AF19" s="152">
        <f ca="1">IFERROR(__xludf.DUMMYFUNCTION("IMPORTRANGE(""https://docs.google.com/spreadsheets/d/10s13Sk5xrltsiR-Zkbmk5DwIaDIKO8XlbJAfqyT7Gvg/edit?usp=sharing"",""น่าน!J353"")"),8780)</f>
        <v>8780</v>
      </c>
      <c r="AG19" s="152">
        <f ca="1">IFERROR(__xludf.DUMMYFUNCTION("IMPORTRANGE(""https://docs.google.com/spreadsheets/d/10s13Sk5xrltsiR-Zkbmk5DwIaDIKO8XlbJAfqyT7Gvg/edit?usp=sharing"",""น่าน!J354"")"),742)</f>
        <v>742</v>
      </c>
    </row>
    <row r="20" spans="1:33" ht="24" customHeight="1" x14ac:dyDescent="0.3">
      <c r="A20" s="395">
        <v>7</v>
      </c>
      <c r="B20" s="396" t="s">
        <v>48</v>
      </c>
      <c r="C20" s="149">
        <f t="shared" ca="1" si="22"/>
        <v>183000</v>
      </c>
      <c r="D20" s="150">
        <f t="shared" ca="1" si="37"/>
        <v>183000</v>
      </c>
      <c r="E20" s="151">
        <f ca="1">IFERROR(__xludf.DUMMYFUNCTION("IMPORTRANGE(""https://docs.google.com/spreadsheets/d/1-uDff_7J0KD5mKrp0Vvzr7lt3OU09vwQwhkpOPPYv2Y/edit?usp=sharing"",""งบพรบ!ET20"")"),0)</f>
        <v>0</v>
      </c>
      <c r="F20" s="151">
        <f ca="1">IFERROR(__xludf.DUMMYFUNCTION("IMPORTRANGE(""https://docs.google.com/spreadsheets/d/1-uDff_7J0KD5mKrp0Vvzr7lt3OU09vwQwhkpOPPYv2Y/edit?usp=sharing"",""งบพรบ!EU20"")"),183000)</f>
        <v>183000</v>
      </c>
      <c r="G20" s="151">
        <f ca="1">IFERROR(__xludf.DUMMYFUNCTION("IMPORTRANGE(""https://docs.google.com/spreadsheets/d/1-uDff_7J0KD5mKrp0Vvzr7lt3OU09vwQwhkpOPPYv2Y/edit?usp=sharing"",""งบพรบ!EV20"")"),0)</f>
        <v>0</v>
      </c>
      <c r="H20" s="151">
        <f ca="1">IFERROR(__xludf.DUMMYFUNCTION("IMPORTRANGE(""https://docs.google.com/spreadsheets/d/1-uDff_7J0KD5mKrp0Vvzr7lt3OU09vwQwhkpOPPYv2Y/edit?usp=sharing"",""งบพรบ!EX20"")"),183000)</f>
        <v>183000</v>
      </c>
      <c r="I20" s="151">
        <f ca="1">IFERROR(__xludf.DUMMYFUNCTION("IMPORTRANGE(""https://docs.google.com/spreadsheets/d/1-uDff_7J0KD5mKrp0Vvzr7lt3OU09vwQwhkpOPPYv2Y/edit?usp=sharing"",""งบพรบ!EY20"")"),0)</f>
        <v>0</v>
      </c>
      <c r="J20" s="151">
        <f t="shared" ca="1" si="24"/>
        <v>122339</v>
      </c>
      <c r="K20" s="154">
        <f t="shared" ca="1" si="25"/>
        <v>66.851912568306005</v>
      </c>
      <c r="L20" s="151">
        <f ca="1">IFERROR(__xludf.DUMMYFUNCTION("IMPORTRANGE(""https://docs.google.com/spreadsheets/d/1-uDff_7J0KD5mKrp0Vvzr7lt3OU09vwQwhkpOPPYv2Y/edit?usp=sharing"",""งบพรบ!EZ20"")"),122339)</f>
        <v>122339</v>
      </c>
      <c r="M20" s="68">
        <f t="shared" ca="1" si="26"/>
        <v>66.851912568306005</v>
      </c>
      <c r="N20" s="68">
        <f t="shared" ca="1" si="27"/>
        <v>66.851912568306005</v>
      </c>
      <c r="O20" s="67">
        <f ca="1">IFERROR(__xludf.DUMMYFUNCTION("IMPORTRANGE(""https://docs.google.com/spreadsheets/d/1-uDff_7J0KD5mKrp0Vvzr7lt3OU09vwQwhkpOPPYv2Y/edit?usp=sharing"",""งบพรบ!FA20"")"),0)</f>
        <v>0</v>
      </c>
      <c r="P20" s="67">
        <f t="shared" ca="1" si="28"/>
        <v>0</v>
      </c>
      <c r="Q20" s="68">
        <f t="shared" ca="1" si="29"/>
        <v>0</v>
      </c>
      <c r="R20" s="152">
        <f ca="1">IFERROR(__xludf.DUMMYFUNCTION("IMPORTRANGE(""https://docs.google.com/spreadsheets/d/1uu4nAn4Dbi1XREnLKKotUANlKXa7yCgRcgq8HEzQYW8/edit?usp=sharing"",""พะเยา!I332"")"),1600)</f>
        <v>1600</v>
      </c>
      <c r="S20" s="152">
        <f ca="1">IFERROR(__xludf.DUMMYFUNCTION("IMPORTRANGE(""https://docs.google.com/spreadsheets/d/1uu4nAn4Dbi1XREnLKKotUANlKXa7yCgRcgq8HEzQYW8/edit?usp=sharing"",""พะเยา!J332"")"),15825)</f>
        <v>15825</v>
      </c>
      <c r="T20" s="153">
        <f t="shared" ca="1" si="31"/>
        <v>989.0625</v>
      </c>
      <c r="U20" s="394" t="str">
        <f ca="1">IFERROR(__xludf.DUMMYFUNCTION("IMPORTRANGE(""https://docs.google.com/spreadsheets/d/1uu4nAn4Dbi1XREnLKKotUANlKXa7yCgRcgq8HEzQYW8/edit?usp=sharing"",""พะเยา!I344"")"),"")</f>
        <v/>
      </c>
      <c r="V20" s="152">
        <f ca="1">IFERROR(__xludf.DUMMYFUNCTION("IMPORTRANGE(""https://docs.google.com/spreadsheets/d/1uu4nAn4Dbi1XREnLKKotUANlKXa7yCgRcgq8HEzQYW8/edit?usp=sharing"",""พะเยา!J344"")"),4946)</f>
        <v>4946</v>
      </c>
      <c r="W20" s="216" t="e">
        <f t="shared" ca="1" si="33"/>
        <v>#VALUE!</v>
      </c>
      <c r="X20" s="278">
        <f ca="1">IFERROR(__xludf.DUMMYFUNCTION("IMPORTRANGE(""https://docs.google.com/spreadsheets/d/1uu4nAn4Dbi1XREnLKKotUANlKXa7yCgRcgq8HEzQYW8/edit?usp=sharing"",""พะเยา!I346"")"),5)</f>
        <v>5</v>
      </c>
      <c r="Y20" s="152">
        <f ca="1">IFERROR(__xludf.DUMMYFUNCTION("IMPORTRANGE(""https://docs.google.com/spreadsheets/d/1uu4nAn4Dbi1XREnLKKotUANlKXa7yCgRcgq8HEzQYW8/edit?usp=sharing"",""พะเยา!J346"")"),4)</f>
        <v>4</v>
      </c>
      <c r="Z20" s="216">
        <f t="shared" ca="1" si="35"/>
        <v>80</v>
      </c>
      <c r="AA20" s="152">
        <f ca="1">IFERROR(__xludf.DUMMYFUNCTION("IMPORTRANGE(""https://docs.google.com/spreadsheets/d/1uu4nAn4Dbi1XREnLKKotUANlKXa7yCgRcgq8HEzQYW8/edit?usp=sharing"",""พะเยา!J347"")"),0)</f>
        <v>0</v>
      </c>
      <c r="AB20" s="152">
        <f ca="1">IFERROR(__xludf.DUMMYFUNCTION("IMPORTRANGE(""https://docs.google.com/spreadsheets/d/1uu4nAn4Dbi1XREnLKKotUANlKXa7yCgRcgq8HEzQYW8/edit?usp=sharing"",""พะเยา!J348"")"),4)</f>
        <v>4</v>
      </c>
      <c r="AC20" s="152">
        <f ca="1">IFERROR(__xludf.DUMMYFUNCTION("IMPORTRANGE(""https://docs.google.com/spreadsheets/d/1uu4nAn4Dbi1XREnLKKotUANlKXa7yCgRcgq8HEzQYW8/edit?usp=sharing"",""พะเยา!J349"")"),0)</f>
        <v>0</v>
      </c>
      <c r="AD20" s="152">
        <f ca="1">IFERROR(__xludf.DUMMYFUNCTION("IMPORTRANGE(""https://docs.google.com/spreadsheets/d/1uu4nAn4Dbi1XREnLKKotUANlKXa7yCgRcgq8HEzQYW8/edit?usp=sharing"",""พะเยา!J343"")"),4950)</f>
        <v>4950</v>
      </c>
      <c r="AE20" s="152">
        <f ca="1">IFERROR(__xludf.DUMMYFUNCTION("IMPORTRANGE(""https://docs.google.com/spreadsheets/d/1uu4nAn4Dbi1XREnLKKotUANlKXa7yCgRcgq8HEzQYW8/edit?usp=sharing"",""พะเยา!J352"")"),2880)</f>
        <v>2880</v>
      </c>
      <c r="AF20" s="152">
        <f ca="1">IFERROR(__xludf.DUMMYFUNCTION("IMPORTRANGE(""https://docs.google.com/spreadsheets/d/1uu4nAn4Dbi1XREnLKKotUANlKXa7yCgRcgq8HEzQYW8/edit?usp=sharing"",""พะเยา!J353"")"),8971)</f>
        <v>8971</v>
      </c>
      <c r="AG20" s="152">
        <f ca="1">IFERROR(__xludf.DUMMYFUNCTION("IMPORTRANGE(""https://docs.google.com/spreadsheets/d/1uu4nAn4Dbi1XREnLKKotUANlKXa7yCgRcgq8HEzQYW8/edit?usp=sharing"",""พะเยา!J354"")"),1904)</f>
        <v>1904</v>
      </c>
    </row>
    <row r="21" spans="1:33" ht="24" customHeight="1" x14ac:dyDescent="0.3">
      <c r="A21" s="395">
        <v>8</v>
      </c>
      <c r="B21" s="396" t="s">
        <v>49</v>
      </c>
      <c r="C21" s="149">
        <f t="shared" ca="1" si="22"/>
        <v>176000</v>
      </c>
      <c r="D21" s="150">
        <f t="shared" ca="1" si="37"/>
        <v>176000</v>
      </c>
      <c r="E21" s="151">
        <f ca="1">IFERROR(__xludf.DUMMYFUNCTION("IMPORTRANGE(""https://docs.google.com/spreadsheets/d/1-uDff_7J0KD5mKrp0Vvzr7lt3OU09vwQwhkpOPPYv2Y/edit?usp=sharing"",""งบพรบ!ET21"")"),0)</f>
        <v>0</v>
      </c>
      <c r="F21" s="151">
        <f ca="1">IFERROR(__xludf.DUMMYFUNCTION("IMPORTRANGE(""https://docs.google.com/spreadsheets/d/1-uDff_7J0KD5mKrp0Vvzr7lt3OU09vwQwhkpOPPYv2Y/edit?usp=sharing"",""งบพรบ!EU21"")"),176000)</f>
        <v>176000</v>
      </c>
      <c r="G21" s="151">
        <f ca="1">IFERROR(__xludf.DUMMYFUNCTION("IMPORTRANGE(""https://docs.google.com/spreadsheets/d/1-uDff_7J0KD5mKrp0Vvzr7lt3OU09vwQwhkpOPPYv2Y/edit?usp=sharing"",""งบพรบ!EV21"")"),0)</f>
        <v>0</v>
      </c>
      <c r="H21" s="151">
        <f ca="1">IFERROR(__xludf.DUMMYFUNCTION("IMPORTRANGE(""https://docs.google.com/spreadsheets/d/1-uDff_7J0KD5mKrp0Vvzr7lt3OU09vwQwhkpOPPYv2Y/edit?usp=sharing"",""งบพรบ!EX21"")"),176000)</f>
        <v>176000</v>
      </c>
      <c r="I21" s="151">
        <f ca="1">IFERROR(__xludf.DUMMYFUNCTION("IMPORTRANGE(""https://docs.google.com/spreadsheets/d/1-uDff_7J0KD5mKrp0Vvzr7lt3OU09vwQwhkpOPPYv2Y/edit?usp=sharing"",""งบพรบ!EY21"")"),0)</f>
        <v>0</v>
      </c>
      <c r="J21" s="151">
        <f t="shared" ca="1" si="24"/>
        <v>123933.25</v>
      </c>
      <c r="K21" s="154">
        <f t="shared" ca="1" si="25"/>
        <v>70.416619318181816</v>
      </c>
      <c r="L21" s="151">
        <f ca="1">IFERROR(__xludf.DUMMYFUNCTION("IMPORTRANGE(""https://docs.google.com/spreadsheets/d/1-uDff_7J0KD5mKrp0Vvzr7lt3OU09vwQwhkpOPPYv2Y/edit?usp=sharing"",""งบพรบ!EZ21"")"),123933.25)</f>
        <v>123933.25</v>
      </c>
      <c r="M21" s="68">
        <f t="shared" ca="1" si="26"/>
        <v>70.416619318181816</v>
      </c>
      <c r="N21" s="68">
        <f t="shared" ca="1" si="27"/>
        <v>70.416619318181816</v>
      </c>
      <c r="O21" s="67">
        <f ca="1">IFERROR(__xludf.DUMMYFUNCTION("IMPORTRANGE(""https://docs.google.com/spreadsheets/d/1-uDff_7J0KD5mKrp0Vvzr7lt3OU09vwQwhkpOPPYv2Y/edit?usp=sharing"",""งบพรบ!FA21"")"),0)</f>
        <v>0</v>
      </c>
      <c r="P21" s="67">
        <f t="shared" ca="1" si="28"/>
        <v>0</v>
      </c>
      <c r="Q21" s="68">
        <f t="shared" ca="1" si="29"/>
        <v>0</v>
      </c>
      <c r="R21" s="152">
        <f ca="1">IFERROR(__xludf.DUMMYFUNCTION("IMPORTRANGE(""https://docs.google.com/spreadsheets/d/1xfJKIQxVOaPDIICqsflNlLu3JacTDk1FP9RH4phX7mI/edit?usp=sharing"",""พิจิตร!I332"")"),1000)</f>
        <v>1000</v>
      </c>
      <c r="S21" s="152">
        <f ca="1">IFERROR(__xludf.DUMMYFUNCTION("IMPORTRANGE(""https://docs.google.com/spreadsheets/d/1xfJKIQxVOaPDIICqsflNlLu3JacTDk1FP9RH4phX7mI/edit?usp=sharing"",""พิจิตร!J332"")"),3059)</f>
        <v>3059</v>
      </c>
      <c r="T21" s="153">
        <f t="shared" ca="1" si="31"/>
        <v>305.89999999999998</v>
      </c>
      <c r="U21" s="394" t="str">
        <f ca="1">IFERROR(__xludf.DUMMYFUNCTION("IMPORTRANGE(""https://docs.google.com/spreadsheets/d/1xfJKIQxVOaPDIICqsflNlLu3JacTDk1FP9RH4phX7mI/edit?usp=sharing"",""พิจิตร!I344"")"),"")</f>
        <v/>
      </c>
      <c r="V21" s="152">
        <f ca="1">IFERROR(__xludf.DUMMYFUNCTION("IMPORTRANGE(""https://docs.google.com/spreadsheets/d/1xfJKIQxVOaPDIICqsflNlLu3JacTDk1FP9RH4phX7mI/edit?usp=sharing"",""พิจิตร!J344"")"),287)</f>
        <v>287</v>
      </c>
      <c r="W21" s="216" t="e">
        <f t="shared" ca="1" si="33"/>
        <v>#VALUE!</v>
      </c>
      <c r="X21" s="278">
        <f ca="1">IFERROR(__xludf.DUMMYFUNCTION("IMPORTRANGE(""https://docs.google.com/spreadsheets/d/1xfJKIQxVOaPDIICqsflNlLu3JacTDk1FP9RH4phX7mI/edit?usp=sharing"",""พิจิตร!I346"")"),4)</f>
        <v>4</v>
      </c>
      <c r="Y21" s="152">
        <f ca="1">IFERROR(__xludf.DUMMYFUNCTION("IMPORTRANGE(""https://docs.google.com/spreadsheets/d/1xfJKIQxVOaPDIICqsflNlLu3JacTDk1FP9RH4phX7mI/edit?usp=sharing"",""พิจิตร!J346"")"),8)</f>
        <v>8</v>
      </c>
      <c r="Z21" s="216">
        <f t="shared" ca="1" si="35"/>
        <v>200</v>
      </c>
      <c r="AA21" s="152">
        <f ca="1">IFERROR(__xludf.DUMMYFUNCTION("IMPORTRANGE(""https://docs.google.com/spreadsheets/d/1xfJKIQxVOaPDIICqsflNlLu3JacTDk1FP9RH4phX7mI/edit?usp=sharing"",""พิจิตร!J347"")"),1)</f>
        <v>1</v>
      </c>
      <c r="AB21" s="152">
        <f ca="1">IFERROR(__xludf.DUMMYFUNCTION("IMPORTRANGE(""https://docs.google.com/spreadsheets/d/1xfJKIQxVOaPDIICqsflNlLu3JacTDk1FP9RH4phX7mI/edit?usp=sharing"",""พิจิตร!J348"")"),1)</f>
        <v>1</v>
      </c>
      <c r="AC21" s="152">
        <f ca="1">IFERROR(__xludf.DUMMYFUNCTION("IMPORTRANGE(""https://docs.google.com/spreadsheets/d/1xfJKIQxVOaPDIICqsflNlLu3JacTDk1FP9RH4phX7mI/edit?usp=sharing"",""พิจิตร!J349"")"),0)</f>
        <v>0</v>
      </c>
      <c r="AD21" s="152">
        <f ca="1">IFERROR(__xludf.DUMMYFUNCTION("IMPORTRANGE(""https://docs.google.com/spreadsheets/d/1xfJKIQxVOaPDIICqsflNlLu3JacTDk1FP9RH4phX7mI/edit?usp=sharing"",""พิจิตร!J343"")"),289)</f>
        <v>289</v>
      </c>
      <c r="AE21" s="152">
        <f ca="1">IFERROR(__xludf.DUMMYFUNCTION("IMPORTRANGE(""https://docs.google.com/spreadsheets/d/1xfJKIQxVOaPDIICqsflNlLu3JacTDk1FP9RH4phX7mI/edit?usp=sharing"",""พิจิตร!J352"")"),139)</f>
        <v>139</v>
      </c>
      <c r="AF21" s="152">
        <f ca="1">IFERROR(__xludf.DUMMYFUNCTION("IMPORTRANGE(""https://docs.google.com/spreadsheets/d/1xfJKIQxVOaPDIICqsflNlLu3JacTDk1FP9RH4phX7mI/edit?usp=sharing"",""พิจิตร!J353"")"),1823)</f>
        <v>1823</v>
      </c>
      <c r="AG21" s="152">
        <f ca="1">IFERROR(__xludf.DUMMYFUNCTION("IMPORTRANGE(""https://docs.google.com/spreadsheets/d/1xfJKIQxVOaPDIICqsflNlLu3JacTDk1FP9RH4phX7mI/edit?usp=sharing"",""พิจิตร!J354"")"),947)</f>
        <v>947</v>
      </c>
    </row>
    <row r="22" spans="1:33" ht="24" customHeight="1" x14ac:dyDescent="0.3">
      <c r="A22" s="395">
        <v>9</v>
      </c>
      <c r="B22" s="396" t="s">
        <v>50</v>
      </c>
      <c r="C22" s="149">
        <f t="shared" ca="1" si="22"/>
        <v>189000</v>
      </c>
      <c r="D22" s="150">
        <f t="shared" ca="1" si="37"/>
        <v>189000</v>
      </c>
      <c r="E22" s="151">
        <f ca="1">IFERROR(__xludf.DUMMYFUNCTION("IMPORTRANGE(""https://docs.google.com/spreadsheets/d/1-uDff_7J0KD5mKrp0Vvzr7lt3OU09vwQwhkpOPPYv2Y/edit?usp=sharing"",""งบพรบ!ET22"")"),0)</f>
        <v>0</v>
      </c>
      <c r="F22" s="151">
        <f ca="1">IFERROR(__xludf.DUMMYFUNCTION("IMPORTRANGE(""https://docs.google.com/spreadsheets/d/1-uDff_7J0KD5mKrp0Vvzr7lt3OU09vwQwhkpOPPYv2Y/edit?usp=sharing"",""งบพรบ!EU22"")"),189000)</f>
        <v>189000</v>
      </c>
      <c r="G22" s="151">
        <f ca="1">IFERROR(__xludf.DUMMYFUNCTION("IMPORTRANGE(""https://docs.google.com/spreadsheets/d/1-uDff_7J0KD5mKrp0Vvzr7lt3OU09vwQwhkpOPPYv2Y/edit?usp=sharing"",""งบพรบ!EV22"")"),0)</f>
        <v>0</v>
      </c>
      <c r="H22" s="151">
        <f ca="1">IFERROR(__xludf.DUMMYFUNCTION("IMPORTRANGE(""https://docs.google.com/spreadsheets/d/1-uDff_7J0KD5mKrp0Vvzr7lt3OU09vwQwhkpOPPYv2Y/edit?usp=sharing"",""งบพรบ!EX22"")"),189000)</f>
        <v>189000</v>
      </c>
      <c r="I22" s="151">
        <f ca="1">IFERROR(__xludf.DUMMYFUNCTION("IMPORTRANGE(""https://docs.google.com/spreadsheets/d/1-uDff_7J0KD5mKrp0Vvzr7lt3OU09vwQwhkpOPPYv2Y/edit?usp=sharing"",""งบพรบ!EY22"")"),0)</f>
        <v>0</v>
      </c>
      <c r="J22" s="151">
        <f t="shared" ca="1" si="24"/>
        <v>144000</v>
      </c>
      <c r="K22" s="154">
        <f t="shared" ca="1" si="25"/>
        <v>76.19047619047619</v>
      </c>
      <c r="L22" s="151">
        <f ca="1">IFERROR(__xludf.DUMMYFUNCTION("IMPORTRANGE(""https://docs.google.com/spreadsheets/d/1-uDff_7J0KD5mKrp0Vvzr7lt3OU09vwQwhkpOPPYv2Y/edit?usp=sharing"",""งบพรบ!EZ22"")"),144000)</f>
        <v>144000</v>
      </c>
      <c r="M22" s="68">
        <f t="shared" ca="1" si="26"/>
        <v>76.19047619047619</v>
      </c>
      <c r="N22" s="68">
        <f t="shared" ca="1" si="27"/>
        <v>76.19047619047619</v>
      </c>
      <c r="O22" s="67">
        <f ca="1">IFERROR(__xludf.DUMMYFUNCTION("IMPORTRANGE(""https://docs.google.com/spreadsheets/d/1-uDff_7J0KD5mKrp0Vvzr7lt3OU09vwQwhkpOPPYv2Y/edit?usp=sharing"",""งบพรบ!FA22"")"),0)</f>
        <v>0</v>
      </c>
      <c r="P22" s="67">
        <f t="shared" ca="1" si="28"/>
        <v>0</v>
      </c>
      <c r="Q22" s="68">
        <f t="shared" ca="1" si="29"/>
        <v>0</v>
      </c>
      <c r="R22" s="152">
        <f ca="1">IFERROR(__xludf.DUMMYFUNCTION("IMPORTRANGE(""https://docs.google.com/spreadsheets/d/1JtRfZkJMHtEhI5RdRHxYUG4FIZHqKDpNyIuN7A1Q0_k/edit?usp=sharing"",""พิษณุโลก!I332"")"),1600)</f>
        <v>1600</v>
      </c>
      <c r="S22" s="152">
        <f ca="1">IFERROR(__xludf.DUMMYFUNCTION("IMPORTRANGE(""https://docs.google.com/spreadsheets/d/1JtRfZkJMHtEhI5RdRHxYUG4FIZHqKDpNyIuN7A1Q0_k/edit?usp=sharing"",""พิษณุโลก!J332"")"),4622)</f>
        <v>4622</v>
      </c>
      <c r="T22" s="153">
        <f t="shared" ca="1" si="31"/>
        <v>288.875</v>
      </c>
      <c r="U22" s="394" t="str">
        <f ca="1">IFERROR(__xludf.DUMMYFUNCTION("IMPORTRANGE(""https://docs.google.com/spreadsheets/d/1JtRfZkJMHtEhI5RdRHxYUG4FIZHqKDpNyIuN7A1Q0_k/edit?usp=sharing"",""พิษณุโลก!I344"")"),"")</f>
        <v/>
      </c>
      <c r="V22" s="152">
        <f ca="1">IFERROR(__xludf.DUMMYFUNCTION("IMPORTRANGE(""https://docs.google.com/spreadsheets/d/1JtRfZkJMHtEhI5RdRHxYUG4FIZHqKDpNyIuN7A1Q0_k/edit?usp=sharing"",""พิษณุโลก!J344"")"),1924)</f>
        <v>1924</v>
      </c>
      <c r="W22" s="216" t="e">
        <f t="shared" ca="1" si="33"/>
        <v>#VALUE!</v>
      </c>
      <c r="X22" s="278">
        <f ca="1">IFERROR(__xludf.DUMMYFUNCTION("IMPORTRANGE(""https://docs.google.com/spreadsheets/d/1JtRfZkJMHtEhI5RdRHxYUG4FIZHqKDpNyIuN7A1Q0_k/edit?usp=sharing"",""พิษณุโลก!I346"")"),8)</f>
        <v>8</v>
      </c>
      <c r="Y22" s="152">
        <f ca="1">IFERROR(__xludf.DUMMYFUNCTION("IMPORTRANGE(""https://docs.google.com/spreadsheets/d/1JtRfZkJMHtEhI5RdRHxYUG4FIZHqKDpNyIuN7A1Q0_k/edit?usp=sharing"",""พิษณุโลก!J346"")"),8)</f>
        <v>8</v>
      </c>
      <c r="Z22" s="216">
        <f t="shared" ca="1" si="35"/>
        <v>100</v>
      </c>
      <c r="AA22" s="152">
        <f ca="1">IFERROR(__xludf.DUMMYFUNCTION("IMPORTRANGE(""https://docs.google.com/spreadsheets/d/1JtRfZkJMHtEhI5RdRHxYUG4FIZHqKDpNyIuN7A1Q0_k/edit?usp=sharing"",""พิษณุโลก!J347"")"),69)</f>
        <v>69</v>
      </c>
      <c r="AB22" s="152">
        <f ca="1">IFERROR(__xludf.DUMMYFUNCTION("IMPORTRANGE(""https://docs.google.com/spreadsheets/d/1JtRfZkJMHtEhI5RdRHxYUG4FIZHqKDpNyIuN7A1Q0_k/edit?usp=sharing"",""พิษณุโลก!J348"")"),2)</f>
        <v>2</v>
      </c>
      <c r="AC22" s="152">
        <f ca="1">IFERROR(__xludf.DUMMYFUNCTION("IMPORTRANGE(""https://docs.google.com/spreadsheets/d/1JtRfZkJMHtEhI5RdRHxYUG4FIZHqKDpNyIuN7A1Q0_k/edit?usp=sharing"",""พิษณุโลก!J349"")"),2)</f>
        <v>2</v>
      </c>
      <c r="AD22" s="152">
        <f ca="1">IFERROR(__xludf.DUMMYFUNCTION("IMPORTRANGE(""https://docs.google.com/spreadsheets/d/1JtRfZkJMHtEhI5RdRHxYUG4FIZHqKDpNyIuN7A1Q0_k/edit?usp=sharing"",""พิษณุโลก!J343"")"),1997)</f>
        <v>1997</v>
      </c>
      <c r="AE22" s="152">
        <f ca="1">IFERROR(__xludf.DUMMYFUNCTION("IMPORTRANGE(""https://docs.google.com/spreadsheets/d/1JtRfZkJMHtEhI5RdRHxYUG4FIZHqKDpNyIuN7A1Q0_k/edit?usp=sharing"",""พิษณุโลก!J352"")"),959)</f>
        <v>959</v>
      </c>
      <c r="AF22" s="152">
        <f ca="1">IFERROR(__xludf.DUMMYFUNCTION("IMPORTRANGE(""https://docs.google.com/spreadsheets/d/1JtRfZkJMHtEhI5RdRHxYUG4FIZHqKDpNyIuN7A1Q0_k/edit?usp=sharing"",""พิษณุโลก!J353"")"),1826)</f>
        <v>1826</v>
      </c>
      <c r="AG22" s="152">
        <f ca="1">IFERROR(__xludf.DUMMYFUNCTION("IMPORTRANGE(""https://docs.google.com/spreadsheets/d/1JtRfZkJMHtEhI5RdRHxYUG4FIZHqKDpNyIuN7A1Q0_k/edit?usp=sharing"",""พิษณุโลก!J354"")"),799)</f>
        <v>799</v>
      </c>
    </row>
    <row r="23" spans="1:33" ht="24" customHeight="1" x14ac:dyDescent="0.3">
      <c r="A23" s="395">
        <v>10</v>
      </c>
      <c r="B23" s="396" t="s">
        <v>51</v>
      </c>
      <c r="C23" s="149">
        <f t="shared" ca="1" si="22"/>
        <v>197000</v>
      </c>
      <c r="D23" s="150">
        <f t="shared" ca="1" si="37"/>
        <v>197000</v>
      </c>
      <c r="E23" s="151">
        <f ca="1">IFERROR(__xludf.DUMMYFUNCTION("IMPORTRANGE(""https://docs.google.com/spreadsheets/d/1-uDff_7J0KD5mKrp0Vvzr7lt3OU09vwQwhkpOPPYv2Y/edit?usp=sharing"",""งบพรบ!ET23"")"),0)</f>
        <v>0</v>
      </c>
      <c r="F23" s="151">
        <f ca="1">IFERROR(__xludf.DUMMYFUNCTION("IMPORTRANGE(""https://docs.google.com/spreadsheets/d/1-uDff_7J0KD5mKrp0Vvzr7lt3OU09vwQwhkpOPPYv2Y/edit?usp=sharing"",""งบพรบ!EU23"")"),197000)</f>
        <v>197000</v>
      </c>
      <c r="G23" s="151">
        <f ca="1">IFERROR(__xludf.DUMMYFUNCTION("IMPORTRANGE(""https://docs.google.com/spreadsheets/d/1-uDff_7J0KD5mKrp0Vvzr7lt3OU09vwQwhkpOPPYv2Y/edit?usp=sharing"",""งบพรบ!EV23"")"),0)</f>
        <v>0</v>
      </c>
      <c r="H23" s="151">
        <f ca="1">IFERROR(__xludf.DUMMYFUNCTION("IMPORTRANGE(""https://docs.google.com/spreadsheets/d/1-uDff_7J0KD5mKrp0Vvzr7lt3OU09vwQwhkpOPPYv2Y/edit?usp=sharing"",""งบพรบ!EX23"")"),197000)</f>
        <v>197000</v>
      </c>
      <c r="I23" s="151">
        <f ca="1">IFERROR(__xludf.DUMMYFUNCTION("IMPORTRANGE(""https://docs.google.com/spreadsheets/d/1-uDff_7J0KD5mKrp0Vvzr7lt3OU09vwQwhkpOPPYv2Y/edit?usp=sharing"",""งบพรบ!EY23"")"),0)</f>
        <v>0</v>
      </c>
      <c r="J23" s="151">
        <f t="shared" ca="1" si="24"/>
        <v>168501</v>
      </c>
      <c r="K23" s="154">
        <f t="shared" ca="1" si="25"/>
        <v>85.533502538071062</v>
      </c>
      <c r="L23" s="151">
        <f ca="1">IFERROR(__xludf.DUMMYFUNCTION("IMPORTRANGE(""https://docs.google.com/spreadsheets/d/1-uDff_7J0KD5mKrp0Vvzr7lt3OU09vwQwhkpOPPYv2Y/edit?usp=sharing"",""งบพรบ!EZ23"")"),168501)</f>
        <v>168501</v>
      </c>
      <c r="M23" s="68">
        <f t="shared" ca="1" si="26"/>
        <v>85.533502538071062</v>
      </c>
      <c r="N23" s="68">
        <f t="shared" ca="1" si="27"/>
        <v>85.533502538071062</v>
      </c>
      <c r="O23" s="67">
        <f ca="1">IFERROR(__xludf.DUMMYFUNCTION("IMPORTRANGE(""https://docs.google.com/spreadsheets/d/1-uDff_7J0KD5mKrp0Vvzr7lt3OU09vwQwhkpOPPYv2Y/edit?usp=sharing"",""งบพรบ!FA23"")"),0)</f>
        <v>0</v>
      </c>
      <c r="P23" s="67">
        <f t="shared" ca="1" si="28"/>
        <v>0</v>
      </c>
      <c r="Q23" s="68">
        <f t="shared" ca="1" si="29"/>
        <v>0</v>
      </c>
      <c r="R23" s="152">
        <f ca="1">IFERROR(__xludf.DUMMYFUNCTION("IMPORTRANGE(""https://docs.google.com/spreadsheets/d/1xlcVZWUNn6SuWm0c307h32SiGkd9BaeQWlAktfD3KO8/edit?usp=sharing"",""เพชรบูรณ์!I332"")"),7600)</f>
        <v>7600</v>
      </c>
      <c r="S23" s="152">
        <f ca="1">IFERROR(__xludf.DUMMYFUNCTION("IMPORTRANGE(""https://docs.google.com/spreadsheets/d/1xlcVZWUNn6SuWm0c307h32SiGkd9BaeQWlAktfD3KO8/edit?usp=sharing"",""เพชรบูรณ์!J332"")"),25468)</f>
        <v>25468</v>
      </c>
      <c r="T23" s="153">
        <f t="shared" ca="1" si="31"/>
        <v>335.10526315789474</v>
      </c>
      <c r="U23" s="394" t="str">
        <f ca="1">IFERROR(__xludf.DUMMYFUNCTION("IMPORTRANGE(""https://docs.google.com/spreadsheets/d/1xlcVZWUNn6SuWm0c307h32SiGkd9BaeQWlAktfD3KO8/edit?usp=sharing"",""เพชรบูรณ์!I344"")"),"")</f>
        <v/>
      </c>
      <c r="V23" s="152">
        <f ca="1">IFERROR(__xludf.DUMMYFUNCTION("IMPORTRANGE(""https://docs.google.com/spreadsheets/d/1xlcVZWUNn6SuWm0c307h32SiGkd9BaeQWlAktfD3KO8/edit?usp=sharing"",""เพชรบูรณ์!J344"")"),15316)</f>
        <v>15316</v>
      </c>
      <c r="W23" s="216" t="e">
        <f t="shared" ca="1" si="33"/>
        <v>#VALUE!</v>
      </c>
      <c r="X23" s="278">
        <f ca="1">IFERROR(__xludf.DUMMYFUNCTION("IMPORTRANGE(""https://docs.google.com/spreadsheets/d/1xlcVZWUNn6SuWm0c307h32SiGkd9BaeQWlAktfD3KO8/edit?usp=sharing"",""เพชรบูรณ์!I346"")"),7)</f>
        <v>7</v>
      </c>
      <c r="Y23" s="152">
        <f ca="1">IFERROR(__xludf.DUMMYFUNCTION("IMPORTRANGE(""https://docs.google.com/spreadsheets/d/1xlcVZWUNn6SuWm0c307h32SiGkd9BaeQWlAktfD3KO8/edit?usp=sharing"",""เพชรบูรณ์!J346"")"),5)</f>
        <v>5</v>
      </c>
      <c r="Z23" s="216">
        <f t="shared" ca="1" si="35"/>
        <v>71.428571428571431</v>
      </c>
      <c r="AA23" s="152">
        <f ca="1">IFERROR(__xludf.DUMMYFUNCTION("IMPORTRANGE(""https://docs.google.com/spreadsheets/d/1xlcVZWUNn6SuWm0c307h32SiGkd9BaeQWlAktfD3KO8/edit?usp=sharing"",""เพชรบูรณ์!J347"")"),630)</f>
        <v>630</v>
      </c>
      <c r="AB23" s="152">
        <f ca="1">IFERROR(__xludf.DUMMYFUNCTION("IMPORTRANGE(""https://docs.google.com/spreadsheets/d/1xlcVZWUNn6SuWm0c307h32SiGkd9BaeQWlAktfD3KO8/edit?usp=sharing"",""เพชรบูรณ์!J348"")"),0)</f>
        <v>0</v>
      </c>
      <c r="AC23" s="152">
        <f ca="1">IFERROR(__xludf.DUMMYFUNCTION("IMPORTRANGE(""https://docs.google.com/spreadsheets/d/1xlcVZWUNn6SuWm0c307h32SiGkd9BaeQWlAktfD3KO8/edit?usp=sharing"",""เพชรบูรณ์!J349"")"),150)</f>
        <v>150</v>
      </c>
      <c r="AD23" s="152">
        <f ca="1">IFERROR(__xludf.DUMMYFUNCTION("IMPORTRANGE(""https://docs.google.com/spreadsheets/d/1xlcVZWUNn6SuWm0c307h32SiGkd9BaeQWlAktfD3KO8/edit?usp=sharing"",""เพชรบูรณ์!J343"")"),16096)</f>
        <v>16096</v>
      </c>
      <c r="AE23" s="152">
        <f ca="1">IFERROR(__xludf.DUMMYFUNCTION("IMPORTRANGE(""https://docs.google.com/spreadsheets/d/1xlcVZWUNn6SuWm0c307h32SiGkd9BaeQWlAktfD3KO8/edit?usp=sharing"",""เพชรบูรณ์!J352"")"),3230)</f>
        <v>3230</v>
      </c>
      <c r="AF23" s="152">
        <f ca="1">IFERROR(__xludf.DUMMYFUNCTION("IMPORTRANGE(""https://docs.google.com/spreadsheets/d/1xlcVZWUNn6SuWm0c307h32SiGkd9BaeQWlAktfD3KO8/edit?usp=sharing"",""เพชรบูรณ์!J353"")"),8850)</f>
        <v>8850</v>
      </c>
      <c r="AG23" s="152">
        <f ca="1">IFERROR(__xludf.DUMMYFUNCTION("IMPORTRANGE(""https://docs.google.com/spreadsheets/d/1xlcVZWUNn6SuWm0c307h32SiGkd9BaeQWlAktfD3KO8/edit?usp=sharing"",""เพชรบูรณ์!J354"")"),522)</f>
        <v>522</v>
      </c>
    </row>
    <row r="24" spans="1:33" ht="24" customHeight="1" x14ac:dyDescent="0.3">
      <c r="A24" s="395">
        <v>11</v>
      </c>
      <c r="B24" s="396" t="s">
        <v>52</v>
      </c>
      <c r="C24" s="149">
        <f t="shared" ca="1" si="22"/>
        <v>185000</v>
      </c>
      <c r="D24" s="150">
        <f t="shared" ca="1" si="37"/>
        <v>185000</v>
      </c>
      <c r="E24" s="151">
        <f ca="1">IFERROR(__xludf.DUMMYFUNCTION("IMPORTRANGE(""https://docs.google.com/spreadsheets/d/1-uDff_7J0KD5mKrp0Vvzr7lt3OU09vwQwhkpOPPYv2Y/edit?usp=sharing"",""งบพรบ!ET24"")"),0)</f>
        <v>0</v>
      </c>
      <c r="F24" s="151">
        <f ca="1">IFERROR(__xludf.DUMMYFUNCTION("IMPORTRANGE(""https://docs.google.com/spreadsheets/d/1-uDff_7J0KD5mKrp0Vvzr7lt3OU09vwQwhkpOPPYv2Y/edit?usp=sharing"",""งบพรบ!EU24"")"),185000)</f>
        <v>185000</v>
      </c>
      <c r="G24" s="151">
        <f ca="1">IFERROR(__xludf.DUMMYFUNCTION("IMPORTRANGE(""https://docs.google.com/spreadsheets/d/1-uDff_7J0KD5mKrp0Vvzr7lt3OU09vwQwhkpOPPYv2Y/edit?usp=sharing"",""งบพรบ!EV24"")"),0)</f>
        <v>0</v>
      </c>
      <c r="H24" s="151">
        <f ca="1">IFERROR(__xludf.DUMMYFUNCTION("IMPORTRANGE(""https://docs.google.com/spreadsheets/d/1-uDff_7J0KD5mKrp0Vvzr7lt3OU09vwQwhkpOPPYv2Y/edit?usp=sharing"",""งบพรบ!EX24"")"),185000)</f>
        <v>185000</v>
      </c>
      <c r="I24" s="151">
        <f ca="1">IFERROR(__xludf.DUMMYFUNCTION("IMPORTRANGE(""https://docs.google.com/spreadsheets/d/1-uDff_7J0KD5mKrp0Vvzr7lt3OU09vwQwhkpOPPYv2Y/edit?usp=sharing"",""งบพรบ!EY24"")"),0)</f>
        <v>0</v>
      </c>
      <c r="J24" s="151">
        <f t="shared" ca="1" si="24"/>
        <v>146831</v>
      </c>
      <c r="K24" s="154">
        <f t="shared" ca="1" si="25"/>
        <v>79.368108108108103</v>
      </c>
      <c r="L24" s="151">
        <f ca="1">IFERROR(__xludf.DUMMYFUNCTION("IMPORTRANGE(""https://docs.google.com/spreadsheets/d/1-uDff_7J0KD5mKrp0Vvzr7lt3OU09vwQwhkpOPPYv2Y/edit?usp=sharing"",""งบพรบ!EZ24"")"),146831)</f>
        <v>146831</v>
      </c>
      <c r="M24" s="68">
        <f t="shared" ca="1" si="26"/>
        <v>79.368108108108103</v>
      </c>
      <c r="N24" s="68">
        <f t="shared" ca="1" si="27"/>
        <v>79.368108108108103</v>
      </c>
      <c r="O24" s="67">
        <f ca="1">IFERROR(__xludf.DUMMYFUNCTION("IMPORTRANGE(""https://docs.google.com/spreadsheets/d/1-uDff_7J0KD5mKrp0Vvzr7lt3OU09vwQwhkpOPPYv2Y/edit?usp=sharing"",""งบพรบ!FA24"")"),0)</f>
        <v>0</v>
      </c>
      <c r="P24" s="67">
        <f t="shared" ca="1" si="28"/>
        <v>0</v>
      </c>
      <c r="Q24" s="68">
        <f t="shared" ca="1" si="29"/>
        <v>0</v>
      </c>
      <c r="R24" s="152">
        <f ca="1">IFERROR(__xludf.DUMMYFUNCTION("IMPORTRANGE(""https://docs.google.com/spreadsheets/d/1lOVebEIsI9qjGXl6EX66luk7wiuP2tBaryw-wKvv4e0/edit?usp=sharing"",""แพร่!I332"")"),1700)</f>
        <v>1700</v>
      </c>
      <c r="S24" s="152">
        <f ca="1">IFERROR(__xludf.DUMMYFUNCTION("IMPORTRANGE(""https://docs.google.com/spreadsheets/d/1lOVebEIsI9qjGXl6EX66luk7wiuP2tBaryw-wKvv4e0/edit?usp=sharing"",""แพร่!J332"")"),5688)</f>
        <v>5688</v>
      </c>
      <c r="T24" s="153">
        <f t="shared" ca="1" si="31"/>
        <v>334.58823529411762</v>
      </c>
      <c r="U24" s="394" t="str">
        <f ca="1">IFERROR(__xludf.DUMMYFUNCTION("IMPORTRANGE(""https://docs.google.com/spreadsheets/d/1lOVebEIsI9qjGXl6EX66luk7wiuP2tBaryw-wKvv4e0/edit?usp=sharing"",""แพร่!I344"")"),"")</f>
        <v/>
      </c>
      <c r="V24" s="152">
        <f ca="1">IFERROR(__xludf.DUMMYFUNCTION("IMPORTRANGE(""https://docs.google.com/spreadsheets/d/1lOVebEIsI9qjGXl6EX66luk7wiuP2tBaryw-wKvv4e0/edit?usp=sharing"",""แพร่!J344"")"),1035)</f>
        <v>1035</v>
      </c>
      <c r="W24" s="216" t="e">
        <f t="shared" ca="1" si="33"/>
        <v>#VALUE!</v>
      </c>
      <c r="X24" s="278">
        <f ca="1">IFERROR(__xludf.DUMMYFUNCTION("IMPORTRANGE(""https://docs.google.com/spreadsheets/d/1lOVebEIsI9qjGXl6EX66luk7wiuP2tBaryw-wKvv4e0/edit?usp=sharing"",""แพร่!I346"")"),6)</f>
        <v>6</v>
      </c>
      <c r="Y24" s="152">
        <f ca="1">IFERROR(__xludf.DUMMYFUNCTION("IMPORTRANGE(""https://docs.google.com/spreadsheets/d/1lOVebEIsI9qjGXl6EX66luk7wiuP2tBaryw-wKvv4e0/edit?usp=sharing"",""แพร่!J346"")"),3)</f>
        <v>3</v>
      </c>
      <c r="Z24" s="216">
        <f t="shared" ca="1" si="35"/>
        <v>50</v>
      </c>
      <c r="AA24" s="152">
        <f ca="1">IFERROR(__xludf.DUMMYFUNCTION("IMPORTRANGE(""https://docs.google.com/spreadsheets/d/1lOVebEIsI9qjGXl6EX66luk7wiuP2tBaryw-wKvv4e0/edit?usp=sharing"",""แพร่!J347"")"),0)</f>
        <v>0</v>
      </c>
      <c r="AB24" s="152">
        <f ca="1">IFERROR(__xludf.DUMMYFUNCTION("IMPORTRANGE(""https://docs.google.com/spreadsheets/d/1lOVebEIsI9qjGXl6EX66luk7wiuP2tBaryw-wKvv4e0/edit?usp=sharing"",""แพร่!J348"")"),17)</f>
        <v>17</v>
      </c>
      <c r="AC24" s="152">
        <f ca="1">IFERROR(__xludf.DUMMYFUNCTION("IMPORTRANGE(""https://docs.google.com/spreadsheets/d/1lOVebEIsI9qjGXl6EX66luk7wiuP2tBaryw-wKvv4e0/edit?usp=sharing"",""แพร่!J349"")"),0)</f>
        <v>0</v>
      </c>
      <c r="AD24" s="152">
        <f ca="1">IFERROR(__xludf.DUMMYFUNCTION("IMPORTRANGE(""https://docs.google.com/spreadsheets/d/1lOVebEIsI9qjGXl6EX66luk7wiuP2tBaryw-wKvv4e0/edit?usp=sharing"",""แพร่!J343"")"),1052)</f>
        <v>1052</v>
      </c>
      <c r="AE24" s="152">
        <f ca="1">IFERROR(__xludf.DUMMYFUNCTION("IMPORTRANGE(""https://docs.google.com/spreadsheets/d/1lOVebEIsI9qjGXl6EX66luk7wiuP2tBaryw-wKvv4e0/edit?usp=sharing"",""แพร่!J352"")"),1643)</f>
        <v>1643</v>
      </c>
      <c r="AF24" s="152">
        <f ca="1">IFERROR(__xludf.DUMMYFUNCTION("IMPORTRANGE(""https://docs.google.com/spreadsheets/d/1lOVebEIsI9qjGXl6EX66luk7wiuP2tBaryw-wKvv4e0/edit?usp=sharing"",""แพร่!J353"")"),4087)</f>
        <v>4087</v>
      </c>
      <c r="AG24" s="152">
        <f ca="1">IFERROR(__xludf.DUMMYFUNCTION("IMPORTRANGE(""https://docs.google.com/spreadsheets/d/1lOVebEIsI9qjGXl6EX66luk7wiuP2tBaryw-wKvv4e0/edit?usp=sharing"",""แพร่!J354"")"),549)</f>
        <v>549</v>
      </c>
    </row>
    <row r="25" spans="1:33" ht="24" customHeight="1" x14ac:dyDescent="0.3">
      <c r="A25" s="395">
        <v>12</v>
      </c>
      <c r="B25" s="396" t="s">
        <v>53</v>
      </c>
      <c r="C25" s="149">
        <f t="shared" ca="1" si="22"/>
        <v>180000</v>
      </c>
      <c r="D25" s="150">
        <f t="shared" ca="1" si="37"/>
        <v>180000</v>
      </c>
      <c r="E25" s="151">
        <f ca="1">IFERROR(__xludf.DUMMYFUNCTION("IMPORTRANGE(""https://docs.google.com/spreadsheets/d/1-uDff_7J0KD5mKrp0Vvzr7lt3OU09vwQwhkpOPPYv2Y/edit?usp=sharing"",""งบพรบ!ET25"")"),0)</f>
        <v>0</v>
      </c>
      <c r="F25" s="151">
        <f ca="1">IFERROR(__xludf.DUMMYFUNCTION("IMPORTRANGE(""https://docs.google.com/spreadsheets/d/1-uDff_7J0KD5mKrp0Vvzr7lt3OU09vwQwhkpOPPYv2Y/edit?usp=sharing"",""งบพรบ!EU25"")"),180000)</f>
        <v>180000</v>
      </c>
      <c r="G25" s="151">
        <f ca="1">IFERROR(__xludf.DUMMYFUNCTION("IMPORTRANGE(""https://docs.google.com/spreadsheets/d/1-uDff_7J0KD5mKrp0Vvzr7lt3OU09vwQwhkpOPPYv2Y/edit?usp=sharing"",""งบพรบ!EV25"")"),0)</f>
        <v>0</v>
      </c>
      <c r="H25" s="151">
        <f ca="1">IFERROR(__xludf.DUMMYFUNCTION("IMPORTRANGE(""https://docs.google.com/spreadsheets/d/1-uDff_7J0KD5mKrp0Vvzr7lt3OU09vwQwhkpOPPYv2Y/edit?usp=sharing"",""งบพรบ!EX25"")"),180000)</f>
        <v>180000</v>
      </c>
      <c r="I25" s="151">
        <f ca="1">IFERROR(__xludf.DUMMYFUNCTION("IMPORTRANGE(""https://docs.google.com/spreadsheets/d/1-uDff_7J0KD5mKrp0Vvzr7lt3OU09vwQwhkpOPPYv2Y/edit?usp=sharing"",""งบพรบ!EY25"")"),0)</f>
        <v>0</v>
      </c>
      <c r="J25" s="151">
        <f t="shared" ca="1" si="24"/>
        <v>131421.79999999999</v>
      </c>
      <c r="K25" s="154">
        <f t="shared" ca="1" si="25"/>
        <v>73.012111111111096</v>
      </c>
      <c r="L25" s="151">
        <f ca="1">IFERROR(__xludf.DUMMYFUNCTION("IMPORTRANGE(""https://docs.google.com/spreadsheets/d/1-uDff_7J0KD5mKrp0Vvzr7lt3OU09vwQwhkpOPPYv2Y/edit?usp=sharing"",""งบพรบ!EZ25"")"),131421.8)</f>
        <v>131421.79999999999</v>
      </c>
      <c r="M25" s="68">
        <f t="shared" ca="1" si="26"/>
        <v>73.012111111111096</v>
      </c>
      <c r="N25" s="68">
        <f t="shared" ca="1" si="27"/>
        <v>73.012111111111096</v>
      </c>
      <c r="O25" s="67">
        <f ca="1">IFERROR(__xludf.DUMMYFUNCTION("IMPORTRANGE(""https://docs.google.com/spreadsheets/d/1-uDff_7J0KD5mKrp0Vvzr7lt3OU09vwQwhkpOPPYv2Y/edit?usp=sharing"",""งบพรบ!FA25"")"),0)</f>
        <v>0</v>
      </c>
      <c r="P25" s="67">
        <f t="shared" ca="1" si="28"/>
        <v>0</v>
      </c>
      <c r="Q25" s="68">
        <f t="shared" ca="1" si="29"/>
        <v>0</v>
      </c>
      <c r="R25" s="152">
        <f ca="1">IFERROR(__xludf.DUMMYFUNCTION("IMPORTRANGE(""https://docs.google.com/spreadsheets/d/1dQrvX0vEcN7Gu0fnZ0B5S90AeR19zth4XlExFBeExMY/edit?usp=sharing"",""แม่ฮ่องสอน!I332"")"),400)</f>
        <v>400</v>
      </c>
      <c r="S25" s="152">
        <f ca="1">IFERROR(__xludf.DUMMYFUNCTION("IMPORTRANGE(""https://docs.google.com/spreadsheets/d/1dQrvX0vEcN7Gu0fnZ0B5S90AeR19zth4XlExFBeExMY/edit?usp=sharing"",""แม่ฮ่องสอน!J332"")"),1957)</f>
        <v>1957</v>
      </c>
      <c r="T25" s="153">
        <f t="shared" ca="1" si="31"/>
        <v>489.25</v>
      </c>
      <c r="U25" s="394" t="str">
        <f ca="1">IFERROR(__xludf.DUMMYFUNCTION("IMPORTRANGE(""https://docs.google.com/spreadsheets/d/1dQrvX0vEcN7Gu0fnZ0B5S90AeR19zth4XlExFBeExMY/edit?usp=sharing"",""แม่ฮ่องสอน!I344"")"),"")</f>
        <v/>
      </c>
      <c r="V25" s="152">
        <f ca="1">IFERROR(__xludf.DUMMYFUNCTION("IMPORTRANGE(""https://docs.google.com/spreadsheets/d/1dQrvX0vEcN7Gu0fnZ0B5S90AeR19zth4XlExFBeExMY/edit?usp=sharing"",""แม่ฮ่องสอน!J344"")"),283)</f>
        <v>283</v>
      </c>
      <c r="W25" s="216" t="e">
        <f t="shared" ca="1" si="33"/>
        <v>#VALUE!</v>
      </c>
      <c r="X25" s="278">
        <f ca="1">IFERROR(__xludf.DUMMYFUNCTION("IMPORTRANGE(""https://docs.google.com/spreadsheets/d/1dQrvX0vEcN7Gu0fnZ0B5S90AeR19zth4XlExFBeExMY/edit?usp=sharing"",""แม่ฮ่องสอน!I346"")"),6)</f>
        <v>6</v>
      </c>
      <c r="Y25" s="152">
        <f ca="1">IFERROR(__xludf.DUMMYFUNCTION("IMPORTRANGE(""https://docs.google.com/spreadsheets/d/1dQrvX0vEcN7Gu0fnZ0B5S90AeR19zth4XlExFBeExMY/edit?usp=sharing"",""แม่ฮ่องสอน!J346"")"),3)</f>
        <v>3</v>
      </c>
      <c r="Z25" s="216">
        <f t="shared" ca="1" si="35"/>
        <v>50</v>
      </c>
      <c r="AA25" s="152">
        <f ca="1">IFERROR(__xludf.DUMMYFUNCTION("IMPORTRANGE(""https://docs.google.com/spreadsheets/d/1dQrvX0vEcN7Gu0fnZ0B5S90AeR19zth4XlExFBeExMY/edit?usp=sharing"",""แม่ฮ่องสอน!J347"")"),37)</f>
        <v>37</v>
      </c>
      <c r="AB25" s="152">
        <f ca="1">IFERROR(__xludf.DUMMYFUNCTION("IMPORTRANGE(""https://docs.google.com/spreadsheets/d/1dQrvX0vEcN7Gu0fnZ0B5S90AeR19zth4XlExFBeExMY/edit?usp=sharing"",""แม่ฮ่องสอน!J348"")"),9)</f>
        <v>9</v>
      </c>
      <c r="AC25" s="152">
        <f ca="1">IFERROR(__xludf.DUMMYFUNCTION("IMPORTRANGE(""https://docs.google.com/spreadsheets/d/1dQrvX0vEcN7Gu0fnZ0B5S90AeR19zth4XlExFBeExMY/edit?usp=sharing"",""แม่ฮ่องสอน!J349"")"),62)</f>
        <v>62</v>
      </c>
      <c r="AD25" s="152">
        <f ca="1">IFERROR(__xludf.DUMMYFUNCTION("IMPORTRANGE(""https://docs.google.com/spreadsheets/d/1dQrvX0vEcN7Gu0fnZ0B5S90AeR19zth4XlExFBeExMY/edit?usp=sharing"",""แม่ฮ่องสอน!J343"")"),391)</f>
        <v>391</v>
      </c>
      <c r="AE25" s="152">
        <f ca="1">IFERROR(__xludf.DUMMYFUNCTION("IMPORTRANGE(""https://docs.google.com/spreadsheets/d/1dQrvX0vEcN7Gu0fnZ0B5S90AeR19zth4XlExFBeExMY/edit?usp=sharing"",""แม่ฮ่องสอน!J352"")"),0)</f>
        <v>0</v>
      </c>
      <c r="AF25" s="152">
        <f ca="1">IFERROR(__xludf.DUMMYFUNCTION("IMPORTRANGE(""https://docs.google.com/spreadsheets/d/1dQrvX0vEcN7Gu0fnZ0B5S90AeR19zth4XlExFBeExMY/edit?usp=sharing"",""แม่ฮ่องสอน!J353"")"),1042)</f>
        <v>1042</v>
      </c>
      <c r="AG25" s="152">
        <f ca="1">IFERROR(__xludf.DUMMYFUNCTION("IMPORTRANGE(""https://docs.google.com/spreadsheets/d/1dQrvX0vEcN7Gu0fnZ0B5S90AeR19zth4XlExFBeExMY/edit?usp=sharing"",""แม่ฮ่องสอน!J354"")"),524)</f>
        <v>524</v>
      </c>
    </row>
    <row r="26" spans="1:33" ht="24" customHeight="1" x14ac:dyDescent="0.3">
      <c r="A26" s="395">
        <v>13</v>
      </c>
      <c r="B26" s="396" t="s">
        <v>54</v>
      </c>
      <c r="C26" s="149">
        <f t="shared" ca="1" si="22"/>
        <v>187000</v>
      </c>
      <c r="D26" s="150">
        <f t="shared" ca="1" si="37"/>
        <v>187000</v>
      </c>
      <c r="E26" s="151">
        <f ca="1">IFERROR(__xludf.DUMMYFUNCTION("IMPORTRANGE(""https://docs.google.com/spreadsheets/d/1-uDff_7J0KD5mKrp0Vvzr7lt3OU09vwQwhkpOPPYv2Y/edit?usp=sharing"",""งบพรบ!ET26"")"),0)</f>
        <v>0</v>
      </c>
      <c r="F26" s="151">
        <f ca="1">IFERROR(__xludf.DUMMYFUNCTION("IMPORTRANGE(""https://docs.google.com/spreadsheets/d/1-uDff_7J0KD5mKrp0Vvzr7lt3OU09vwQwhkpOPPYv2Y/edit?usp=sharing"",""งบพรบ!EU26"")"),187000)</f>
        <v>187000</v>
      </c>
      <c r="G26" s="151">
        <f ca="1">IFERROR(__xludf.DUMMYFUNCTION("IMPORTRANGE(""https://docs.google.com/spreadsheets/d/1-uDff_7J0KD5mKrp0Vvzr7lt3OU09vwQwhkpOPPYv2Y/edit?usp=sharing"",""งบพรบ!EV26"")"),0)</f>
        <v>0</v>
      </c>
      <c r="H26" s="151">
        <f ca="1">IFERROR(__xludf.DUMMYFUNCTION("IMPORTRANGE(""https://docs.google.com/spreadsheets/d/1-uDff_7J0KD5mKrp0Vvzr7lt3OU09vwQwhkpOPPYv2Y/edit?usp=sharing"",""งบพรบ!EX26"")"),187000)</f>
        <v>187000</v>
      </c>
      <c r="I26" s="151">
        <f ca="1">IFERROR(__xludf.DUMMYFUNCTION("IMPORTRANGE(""https://docs.google.com/spreadsheets/d/1-uDff_7J0KD5mKrp0Vvzr7lt3OU09vwQwhkpOPPYv2Y/edit?usp=sharing"",""งบพรบ!EY26"")"),0)</f>
        <v>0</v>
      </c>
      <c r="J26" s="151">
        <f t="shared" ca="1" si="24"/>
        <v>120883.36</v>
      </c>
      <c r="K26" s="154">
        <f t="shared" ca="1" si="25"/>
        <v>64.643508021390375</v>
      </c>
      <c r="L26" s="151">
        <f ca="1">IFERROR(__xludf.DUMMYFUNCTION("IMPORTRANGE(""https://docs.google.com/spreadsheets/d/1-uDff_7J0KD5mKrp0Vvzr7lt3OU09vwQwhkpOPPYv2Y/edit?usp=sharing"",""งบพรบ!EZ26"")"),120883.36)</f>
        <v>120883.36</v>
      </c>
      <c r="M26" s="68">
        <f t="shared" ca="1" si="26"/>
        <v>64.643508021390375</v>
      </c>
      <c r="N26" s="68">
        <f t="shared" ca="1" si="27"/>
        <v>64.643508021390375</v>
      </c>
      <c r="O26" s="67">
        <f ca="1">IFERROR(__xludf.DUMMYFUNCTION("IMPORTRANGE(""https://docs.google.com/spreadsheets/d/1-uDff_7J0KD5mKrp0Vvzr7lt3OU09vwQwhkpOPPYv2Y/edit?usp=sharing"",""งบพรบ!FA26"")"),0)</f>
        <v>0</v>
      </c>
      <c r="P26" s="67">
        <f t="shared" ca="1" si="28"/>
        <v>0</v>
      </c>
      <c r="Q26" s="68">
        <f t="shared" ca="1" si="29"/>
        <v>0</v>
      </c>
      <c r="R26" s="397">
        <f ca="1">IFERROR(__xludf.DUMMYFUNCTION("IMPORTRANGE(""https://docs.google.com/spreadsheets/d/1DY4XTNNwjluuxqdfdn6qvOSlMRrZqUtmYcZR0ttFiG4/edit?usp=sharing"",""ลำปาง!I332"")"),2000)</f>
        <v>2000</v>
      </c>
      <c r="S26" s="397">
        <f ca="1">IFERROR(__xludf.DUMMYFUNCTION("IMPORTRANGE(""https://docs.google.com/spreadsheets/d/1DY4XTNNwjluuxqdfdn6qvOSlMRrZqUtmYcZR0ttFiG4/edit?usp=sharing"",""ลำปาง!J332"")"),10977)</f>
        <v>10977</v>
      </c>
      <c r="T26" s="398">
        <f t="shared" ca="1" si="31"/>
        <v>548.85</v>
      </c>
      <c r="U26" s="394" t="str">
        <f ca="1">IFERROR(__xludf.DUMMYFUNCTION("IMPORTRANGE(""https://docs.google.com/spreadsheets/d/1DY4XTNNwjluuxqdfdn6qvOSlMRrZqUtmYcZR0ttFiG4/edit?usp=sharing"",""ลำปาง!I344"")"),"")</f>
        <v/>
      </c>
      <c r="V26" s="152">
        <f ca="1">IFERROR(__xludf.DUMMYFUNCTION("IMPORTRANGE(""https://docs.google.com/spreadsheets/d/1DY4XTNNwjluuxqdfdn6qvOSlMRrZqUtmYcZR0ttFiG4/edit?usp=sharing"",""ลำปาง!J344"")"),4747)</f>
        <v>4747</v>
      </c>
      <c r="W26" s="216" t="e">
        <f t="shared" ca="1" si="33"/>
        <v>#VALUE!</v>
      </c>
      <c r="X26" s="279">
        <f ca="1">IFERROR(__xludf.DUMMYFUNCTION("IMPORTRANGE(""https://docs.google.com/spreadsheets/d/1DY4XTNNwjluuxqdfdn6qvOSlMRrZqUtmYcZR0ttFiG4/edit?usp=sharing"",""ลำปาง!I346"")"),7)</f>
        <v>7</v>
      </c>
      <c r="Y26" s="152">
        <f ca="1">IFERROR(__xludf.DUMMYFUNCTION("IMPORTRANGE(""https://docs.google.com/spreadsheets/d/1DY4XTNNwjluuxqdfdn6qvOSlMRrZqUtmYcZR0ttFiG4/edit?usp=sharing"",""ลำปาง!J346"")"),4)</f>
        <v>4</v>
      </c>
      <c r="Z26" s="216">
        <f t="shared" ca="1" si="35"/>
        <v>57.142857142857146</v>
      </c>
      <c r="AA26" s="152">
        <f ca="1">IFERROR(__xludf.DUMMYFUNCTION("IMPORTRANGE(""https://docs.google.com/spreadsheets/d/1DY4XTNNwjluuxqdfdn6qvOSlMRrZqUtmYcZR0ttFiG4/edit?usp=sharing"",""ลำปาง!J347"")"),128)</f>
        <v>128</v>
      </c>
      <c r="AB26" s="152">
        <f ca="1">IFERROR(__xludf.DUMMYFUNCTION("IMPORTRANGE(""https://docs.google.com/spreadsheets/d/1DY4XTNNwjluuxqdfdn6qvOSlMRrZqUtmYcZR0ttFiG4/edit?usp=sharing"",""ลำปาง!J348"")"),3)</f>
        <v>3</v>
      </c>
      <c r="AC26" s="152">
        <f ca="1">IFERROR(__xludf.DUMMYFUNCTION("IMPORTRANGE(""https://docs.google.com/spreadsheets/d/1DY4XTNNwjluuxqdfdn6qvOSlMRrZqUtmYcZR0ttFiG4/edit?usp=sharing"",""ลำปาง!J349"")"),0)</f>
        <v>0</v>
      </c>
      <c r="AD26" s="152">
        <f ca="1">IFERROR(__xludf.DUMMYFUNCTION("IMPORTRANGE(""https://docs.google.com/spreadsheets/d/1DY4XTNNwjluuxqdfdn6qvOSlMRrZqUtmYcZR0ttFiG4/edit?usp=sharing"",""ลำปาง!J343"")"),4878)</f>
        <v>4878</v>
      </c>
      <c r="AE26" s="152">
        <f ca="1">IFERROR(__xludf.DUMMYFUNCTION("IMPORTRANGE(""https://docs.google.com/spreadsheets/d/1DY4XTNNwjluuxqdfdn6qvOSlMRrZqUtmYcZR0ttFiG4/edit?usp=sharing"",""ลำปาง!J352"")"),2098)</f>
        <v>2098</v>
      </c>
      <c r="AF26" s="152">
        <f ca="1">IFERROR(__xludf.DUMMYFUNCTION("IMPORTRANGE(""https://docs.google.com/spreadsheets/d/1DY4XTNNwjluuxqdfdn6qvOSlMRrZqUtmYcZR0ttFiG4/edit?usp=sharing"",""ลำปาง!J353"")"),4936)</f>
        <v>4936</v>
      </c>
      <c r="AG26" s="152">
        <f ca="1">IFERROR(__xludf.DUMMYFUNCTION("IMPORTRANGE(""https://docs.google.com/spreadsheets/d/1DY4XTNNwjluuxqdfdn6qvOSlMRrZqUtmYcZR0ttFiG4/edit?usp=sharing"",""ลำปาง!J354"")"),1163)</f>
        <v>1163</v>
      </c>
    </row>
    <row r="27" spans="1:33" ht="24" customHeight="1" x14ac:dyDescent="0.3">
      <c r="A27" s="395">
        <v>14</v>
      </c>
      <c r="B27" s="396" t="s">
        <v>55</v>
      </c>
      <c r="C27" s="149">
        <f t="shared" ca="1" si="22"/>
        <v>180000</v>
      </c>
      <c r="D27" s="150">
        <f t="shared" ca="1" si="37"/>
        <v>180000</v>
      </c>
      <c r="E27" s="151">
        <f ca="1">IFERROR(__xludf.DUMMYFUNCTION("IMPORTRANGE(""https://docs.google.com/spreadsheets/d/1-uDff_7J0KD5mKrp0Vvzr7lt3OU09vwQwhkpOPPYv2Y/edit?usp=sharing"",""งบพรบ!ET27"")"),0)</f>
        <v>0</v>
      </c>
      <c r="F27" s="151">
        <f ca="1">IFERROR(__xludf.DUMMYFUNCTION("IMPORTRANGE(""https://docs.google.com/spreadsheets/d/1-uDff_7J0KD5mKrp0Vvzr7lt3OU09vwQwhkpOPPYv2Y/edit?usp=sharing"",""งบพรบ!EU27"")"),180000)</f>
        <v>180000</v>
      </c>
      <c r="G27" s="151">
        <f ca="1">IFERROR(__xludf.DUMMYFUNCTION("IMPORTRANGE(""https://docs.google.com/spreadsheets/d/1-uDff_7J0KD5mKrp0Vvzr7lt3OU09vwQwhkpOPPYv2Y/edit?usp=sharing"",""งบพรบ!EV27"")"),0)</f>
        <v>0</v>
      </c>
      <c r="H27" s="151">
        <f ca="1">IFERROR(__xludf.DUMMYFUNCTION("IMPORTRANGE(""https://docs.google.com/spreadsheets/d/1-uDff_7J0KD5mKrp0Vvzr7lt3OU09vwQwhkpOPPYv2Y/edit?usp=sharing"",""งบพรบ!EX27"")"),180000)</f>
        <v>180000</v>
      </c>
      <c r="I27" s="151">
        <f ca="1">IFERROR(__xludf.DUMMYFUNCTION("IMPORTRANGE(""https://docs.google.com/spreadsheets/d/1-uDff_7J0KD5mKrp0Vvzr7lt3OU09vwQwhkpOPPYv2Y/edit?usp=sharing"",""งบพรบ!EY27"")"),0)</f>
        <v>0</v>
      </c>
      <c r="J27" s="151">
        <f t="shared" ca="1" si="24"/>
        <v>139401.73000000001</v>
      </c>
      <c r="K27" s="154">
        <f t="shared" ca="1" si="25"/>
        <v>77.445405555555567</v>
      </c>
      <c r="L27" s="151">
        <f ca="1">IFERROR(__xludf.DUMMYFUNCTION("IMPORTRANGE(""https://docs.google.com/spreadsheets/d/1-uDff_7J0KD5mKrp0Vvzr7lt3OU09vwQwhkpOPPYv2Y/edit?usp=sharing"",""งบพรบ!EZ27"")"),139401.73)</f>
        <v>139401.73000000001</v>
      </c>
      <c r="M27" s="68">
        <f t="shared" ca="1" si="26"/>
        <v>77.445405555555567</v>
      </c>
      <c r="N27" s="68">
        <f t="shared" ca="1" si="27"/>
        <v>77.445405555555567</v>
      </c>
      <c r="O27" s="67">
        <f ca="1">IFERROR(__xludf.DUMMYFUNCTION("IMPORTRANGE(""https://docs.google.com/spreadsheets/d/1-uDff_7J0KD5mKrp0Vvzr7lt3OU09vwQwhkpOPPYv2Y/edit?usp=sharing"",""งบพรบ!FA27"")"),0)</f>
        <v>0</v>
      </c>
      <c r="P27" s="67">
        <f t="shared" ca="1" si="28"/>
        <v>0</v>
      </c>
      <c r="Q27" s="68">
        <f t="shared" ca="1" si="29"/>
        <v>0</v>
      </c>
      <c r="R27" s="152">
        <f ca="1">IFERROR(__xludf.DUMMYFUNCTION("IMPORTRANGE(""https://docs.google.com/spreadsheets/d/1ICwG78r0OFT8biBlxnBF8r7she7gNSzOvJ958PWT09c/edit?usp=sharing"",""ลำพูน!I332"")"),700)</f>
        <v>700</v>
      </c>
      <c r="S27" s="152">
        <f ca="1">IFERROR(__xludf.DUMMYFUNCTION("IMPORTRANGE(""https://docs.google.com/spreadsheets/d/1ICwG78r0OFT8biBlxnBF8r7she7gNSzOvJ958PWT09c/edit?usp=sharing"",""ลำพูน!J332"")"),3781)</f>
        <v>3781</v>
      </c>
      <c r="T27" s="153">
        <f t="shared" ca="1" si="31"/>
        <v>540.14285714285711</v>
      </c>
      <c r="U27" s="394" t="str">
        <f ca="1">IFERROR(__xludf.DUMMYFUNCTION("IMPORTRANGE(""https://docs.google.com/spreadsheets/d/1ICwG78r0OFT8biBlxnBF8r7she7gNSzOvJ958PWT09c/edit?usp=sharing"",""ลำพูน!I344"")"),"")</f>
        <v/>
      </c>
      <c r="V27" s="152">
        <f ca="1">IFERROR(__xludf.DUMMYFUNCTION("IMPORTRANGE(""https://docs.google.com/spreadsheets/d/1ICwG78r0OFT8biBlxnBF8r7she7gNSzOvJ958PWT09c/edit?usp=sharing"",""ลำพูน!J344"")"),341)</f>
        <v>341</v>
      </c>
      <c r="W27" s="216" t="e">
        <f t="shared" ca="1" si="33"/>
        <v>#VALUE!</v>
      </c>
      <c r="X27" s="278">
        <f ca="1">IFERROR(__xludf.DUMMYFUNCTION("IMPORTRANGE(""https://docs.google.com/spreadsheets/d/1ICwG78r0OFT8biBlxnBF8r7she7gNSzOvJ958PWT09c/edit?usp=sharing"",""ลำพูน!I346"")"),6)</f>
        <v>6</v>
      </c>
      <c r="Y27" s="152">
        <f ca="1">IFERROR(__xludf.DUMMYFUNCTION("IMPORTRANGE(""https://docs.google.com/spreadsheets/d/1ICwG78r0OFT8biBlxnBF8r7she7gNSzOvJ958PWT09c/edit?usp=sharing"",""ลำพูน!J346"")"),0)</f>
        <v>0</v>
      </c>
      <c r="Z27" s="216">
        <f t="shared" ca="1" si="35"/>
        <v>0</v>
      </c>
      <c r="AA27" s="152">
        <f ca="1">IFERROR(__xludf.DUMMYFUNCTION("IMPORTRANGE(""https://docs.google.com/spreadsheets/d/1ICwG78r0OFT8biBlxnBF8r7she7gNSzOvJ958PWT09c/edit?usp=sharing"",""ลำพูน!J347"")"),0)</f>
        <v>0</v>
      </c>
      <c r="AB27" s="152">
        <f ca="1">IFERROR(__xludf.DUMMYFUNCTION("IMPORTRANGE(""https://docs.google.com/spreadsheets/d/1ICwG78r0OFT8biBlxnBF8r7she7gNSzOvJ958PWT09c/edit?usp=sharing"",""ลำพูน!J348"")"),114)</f>
        <v>114</v>
      </c>
      <c r="AC27" s="152">
        <f ca="1">IFERROR(__xludf.DUMMYFUNCTION("IMPORTRANGE(""https://docs.google.com/spreadsheets/d/1ICwG78r0OFT8biBlxnBF8r7she7gNSzOvJ958PWT09c/edit?usp=sharing"",""ลำพูน!J349"")"),0)</f>
        <v>0</v>
      </c>
      <c r="AD27" s="152">
        <f ca="1">IFERROR(__xludf.DUMMYFUNCTION("IMPORTRANGE(""https://docs.google.com/spreadsheets/d/1ICwG78r0OFT8biBlxnBF8r7she7gNSzOvJ958PWT09c/edit?usp=sharing"",""ลำพูน!J343"")"),455)</f>
        <v>455</v>
      </c>
      <c r="AE27" s="152">
        <f ca="1">IFERROR(__xludf.DUMMYFUNCTION("IMPORTRANGE(""https://docs.google.com/spreadsheets/d/1ICwG78r0OFT8biBlxnBF8r7she7gNSzOvJ958PWT09c/edit?usp=sharing"",""ลำพูน!J352"")"),4)</f>
        <v>4</v>
      </c>
      <c r="AF27" s="152">
        <f ca="1">IFERROR(__xludf.DUMMYFUNCTION("IMPORTRANGE(""https://docs.google.com/spreadsheets/d/1ICwG78r0OFT8biBlxnBF8r7she7gNSzOvJ958PWT09c/edit?usp=sharing"",""ลำพูน!J353"")"),2796)</f>
        <v>2796</v>
      </c>
      <c r="AG27" s="152">
        <f ca="1">IFERROR(__xludf.DUMMYFUNCTION("IMPORTRANGE(""https://docs.google.com/spreadsheets/d/1ICwG78r0OFT8biBlxnBF8r7she7gNSzOvJ958PWT09c/edit?usp=sharing"",""ลำพูน!J354"")"),530)</f>
        <v>530</v>
      </c>
    </row>
    <row r="28" spans="1:33" ht="24" customHeight="1" x14ac:dyDescent="0.3">
      <c r="A28" s="395">
        <v>15</v>
      </c>
      <c r="B28" s="396" t="s">
        <v>56</v>
      </c>
      <c r="C28" s="149">
        <f t="shared" ca="1" si="22"/>
        <v>197000</v>
      </c>
      <c r="D28" s="150">
        <f t="shared" ca="1" si="37"/>
        <v>197000</v>
      </c>
      <c r="E28" s="151">
        <f ca="1">IFERROR(__xludf.DUMMYFUNCTION("IMPORTRANGE(""https://docs.google.com/spreadsheets/d/1-uDff_7J0KD5mKrp0Vvzr7lt3OU09vwQwhkpOPPYv2Y/edit?usp=sharing"",""งบพรบ!ET28"")"),0)</f>
        <v>0</v>
      </c>
      <c r="F28" s="151">
        <f ca="1">IFERROR(__xludf.DUMMYFUNCTION("IMPORTRANGE(""https://docs.google.com/spreadsheets/d/1-uDff_7J0KD5mKrp0Vvzr7lt3OU09vwQwhkpOPPYv2Y/edit?usp=sharing"",""งบพรบ!EU28"")"),197000)</f>
        <v>197000</v>
      </c>
      <c r="G28" s="151">
        <f ca="1">IFERROR(__xludf.DUMMYFUNCTION("IMPORTRANGE(""https://docs.google.com/spreadsheets/d/1-uDff_7J0KD5mKrp0Vvzr7lt3OU09vwQwhkpOPPYv2Y/edit?usp=sharing"",""งบพรบ!EV28"")"),0)</f>
        <v>0</v>
      </c>
      <c r="H28" s="151">
        <f ca="1">IFERROR(__xludf.DUMMYFUNCTION("IMPORTRANGE(""https://docs.google.com/spreadsheets/d/1-uDff_7J0KD5mKrp0Vvzr7lt3OU09vwQwhkpOPPYv2Y/edit?usp=sharing"",""งบพรบ!EX28"")"),197000)</f>
        <v>197000</v>
      </c>
      <c r="I28" s="151">
        <f ca="1">IFERROR(__xludf.DUMMYFUNCTION("IMPORTRANGE(""https://docs.google.com/spreadsheets/d/1-uDff_7J0KD5mKrp0Vvzr7lt3OU09vwQwhkpOPPYv2Y/edit?usp=sharing"",""งบพรบ!EY28"")"),0)</f>
        <v>0</v>
      </c>
      <c r="J28" s="151">
        <f t="shared" ca="1" si="24"/>
        <v>153060.51</v>
      </c>
      <c r="K28" s="154">
        <f t="shared" ca="1" si="25"/>
        <v>77.695690355329944</v>
      </c>
      <c r="L28" s="151">
        <f ca="1">IFERROR(__xludf.DUMMYFUNCTION("IMPORTRANGE(""https://docs.google.com/spreadsheets/d/1-uDff_7J0KD5mKrp0Vvzr7lt3OU09vwQwhkpOPPYv2Y/edit?usp=sharing"",""งบพรบ!EZ28"")"),153060.51)</f>
        <v>153060.51</v>
      </c>
      <c r="M28" s="68">
        <f t="shared" ca="1" si="26"/>
        <v>77.695690355329944</v>
      </c>
      <c r="N28" s="68">
        <f t="shared" ca="1" si="27"/>
        <v>77.695690355329944</v>
      </c>
      <c r="O28" s="67">
        <f ca="1">IFERROR(__xludf.DUMMYFUNCTION("IMPORTRANGE(""https://docs.google.com/spreadsheets/d/1-uDff_7J0KD5mKrp0Vvzr7lt3OU09vwQwhkpOPPYv2Y/edit?usp=sharing"",""งบพรบ!FA28"")"),0)</f>
        <v>0</v>
      </c>
      <c r="P28" s="67">
        <f t="shared" ca="1" si="28"/>
        <v>0</v>
      </c>
      <c r="Q28" s="68">
        <f t="shared" ca="1" si="29"/>
        <v>0</v>
      </c>
      <c r="R28" s="152">
        <f ca="1">IFERROR(__xludf.DUMMYFUNCTION("IMPORTRANGE(""https://docs.google.com/spreadsheets/d/1B0f2xJpZUC6Z0xXnqKlZtEPzsf6L84eP1r1Q15seqRM/edit?usp=sharing"",""สุโขทัย!I332"")"),5600)</f>
        <v>5600</v>
      </c>
      <c r="S28" s="152">
        <f ca="1">IFERROR(__xludf.DUMMYFUNCTION("IMPORTRANGE(""https://docs.google.com/spreadsheets/d/1B0f2xJpZUC6Z0xXnqKlZtEPzsf6L84eP1r1Q15seqRM/edit?usp=sharing"",""สุโขทัย!J332"")"),7917)</f>
        <v>7917</v>
      </c>
      <c r="T28" s="153">
        <f t="shared" ca="1" si="31"/>
        <v>141.375</v>
      </c>
      <c r="U28" s="394" t="str">
        <f ca="1">IFERROR(__xludf.DUMMYFUNCTION("IMPORTRANGE(""https://docs.google.com/spreadsheets/d/1B0f2xJpZUC6Z0xXnqKlZtEPzsf6L84eP1r1Q15seqRM/edit?usp=sharing"",""สุโขทัย!I344"")"),"")</f>
        <v/>
      </c>
      <c r="V28" s="152">
        <f ca="1">IFERROR(__xludf.DUMMYFUNCTION("IMPORTRANGE(""https://docs.google.com/spreadsheets/d/1B0f2xJpZUC6Z0xXnqKlZtEPzsf6L84eP1r1Q15seqRM/edit?usp=sharing"",""สุโขทัย!J344"")"),1271)</f>
        <v>1271</v>
      </c>
      <c r="W28" s="216" t="e">
        <f t="shared" ca="1" si="33"/>
        <v>#VALUE!</v>
      </c>
      <c r="X28" s="278">
        <f ca="1">IFERROR(__xludf.DUMMYFUNCTION("IMPORTRANGE(""https://docs.google.com/spreadsheets/d/1B0f2xJpZUC6Z0xXnqKlZtEPzsf6L84eP1r1Q15seqRM/edit?usp=sharing"",""สุโขทัย!I346"")"),7)</f>
        <v>7</v>
      </c>
      <c r="Y28" s="152">
        <f ca="1">IFERROR(__xludf.DUMMYFUNCTION("IMPORTRANGE(""https://docs.google.com/spreadsheets/d/1B0f2xJpZUC6Z0xXnqKlZtEPzsf6L84eP1r1Q15seqRM/edit?usp=sharing"",""สุโขทัย!J346"")"),10)</f>
        <v>10</v>
      </c>
      <c r="Z28" s="216">
        <f t="shared" ca="1" si="35"/>
        <v>142.85714285714286</v>
      </c>
      <c r="AA28" s="152">
        <f ca="1">IFERROR(__xludf.DUMMYFUNCTION("IMPORTRANGE(""https://docs.google.com/spreadsheets/d/1B0f2xJpZUC6Z0xXnqKlZtEPzsf6L84eP1r1Q15seqRM/edit?usp=sharing"",""สุโขทัย!J347"")"),169)</f>
        <v>169</v>
      </c>
      <c r="AB28" s="152">
        <f ca="1">IFERROR(__xludf.DUMMYFUNCTION("IMPORTRANGE(""https://docs.google.com/spreadsheets/d/1B0f2xJpZUC6Z0xXnqKlZtEPzsf6L84eP1r1Q15seqRM/edit?usp=sharing"",""สุโขทัย!J348"")"),5)</f>
        <v>5</v>
      </c>
      <c r="AC28" s="152">
        <f ca="1">IFERROR(__xludf.DUMMYFUNCTION("IMPORTRANGE(""https://docs.google.com/spreadsheets/d/1B0f2xJpZUC6Z0xXnqKlZtEPzsf6L84eP1r1Q15seqRM/edit?usp=sharing"",""สุโขทัย!J349"")"),0)</f>
        <v>0</v>
      </c>
      <c r="AD28" s="152">
        <f ca="1">IFERROR(__xludf.DUMMYFUNCTION("IMPORTRANGE(""https://docs.google.com/spreadsheets/d/1B0f2xJpZUC6Z0xXnqKlZtEPzsf6L84eP1r1Q15seqRM/edit?usp=sharing"",""สุโขทัย!J343"")"),1445)</f>
        <v>1445</v>
      </c>
      <c r="AE28" s="152">
        <f ca="1">IFERROR(__xludf.DUMMYFUNCTION("IMPORTRANGE(""https://docs.google.com/spreadsheets/d/1B0f2xJpZUC6Z0xXnqKlZtEPzsf6L84eP1r1Q15seqRM/edit?usp=sharing"",""สุโขทัย!J352"")"),4595)</f>
        <v>4595</v>
      </c>
      <c r="AF28" s="152">
        <f ca="1">IFERROR(__xludf.DUMMYFUNCTION("IMPORTRANGE(""https://docs.google.com/spreadsheets/d/1B0f2xJpZUC6Z0xXnqKlZtEPzsf6L84eP1r1Q15seqRM/edit?usp=sharing"",""สุโขทัย!J353"")"),5376)</f>
        <v>5376</v>
      </c>
      <c r="AG28" s="152">
        <f ca="1">IFERROR(__xludf.DUMMYFUNCTION("IMPORTRANGE(""https://docs.google.com/spreadsheets/d/1B0f2xJpZUC6Z0xXnqKlZtEPzsf6L84eP1r1Q15seqRM/edit?usp=sharing"",""สุโขทัย!J354"")"),1096)</f>
        <v>1096</v>
      </c>
    </row>
    <row r="29" spans="1:33" ht="24" customHeight="1" x14ac:dyDescent="0.3">
      <c r="A29" s="395">
        <v>16</v>
      </c>
      <c r="B29" s="396" t="s">
        <v>57</v>
      </c>
      <c r="C29" s="149">
        <f t="shared" ca="1" si="22"/>
        <v>190000</v>
      </c>
      <c r="D29" s="150">
        <f t="shared" ca="1" si="37"/>
        <v>190000</v>
      </c>
      <c r="E29" s="151">
        <f ca="1">IFERROR(__xludf.DUMMYFUNCTION("IMPORTRANGE(""https://docs.google.com/spreadsheets/d/1-uDff_7J0KD5mKrp0Vvzr7lt3OU09vwQwhkpOPPYv2Y/edit?usp=sharing"",""งบพรบ!ET29"")"),0)</f>
        <v>0</v>
      </c>
      <c r="F29" s="151">
        <f ca="1">IFERROR(__xludf.DUMMYFUNCTION("IMPORTRANGE(""https://docs.google.com/spreadsheets/d/1-uDff_7J0KD5mKrp0Vvzr7lt3OU09vwQwhkpOPPYv2Y/edit?usp=sharing"",""งบพรบ!EU29"")"),190000)</f>
        <v>190000</v>
      </c>
      <c r="G29" s="151">
        <f ca="1">IFERROR(__xludf.DUMMYFUNCTION("IMPORTRANGE(""https://docs.google.com/spreadsheets/d/1-uDff_7J0KD5mKrp0Vvzr7lt3OU09vwQwhkpOPPYv2Y/edit?usp=sharing"",""งบพรบ!EV29"")"),0)</f>
        <v>0</v>
      </c>
      <c r="H29" s="151">
        <f ca="1">IFERROR(__xludf.DUMMYFUNCTION("IMPORTRANGE(""https://docs.google.com/spreadsheets/d/1-uDff_7J0KD5mKrp0Vvzr7lt3OU09vwQwhkpOPPYv2Y/edit?usp=sharing"",""งบพรบ!EX29"")"),190000)</f>
        <v>190000</v>
      </c>
      <c r="I29" s="151">
        <f ca="1">IFERROR(__xludf.DUMMYFUNCTION("IMPORTRANGE(""https://docs.google.com/spreadsheets/d/1-uDff_7J0KD5mKrp0Vvzr7lt3OU09vwQwhkpOPPYv2Y/edit?usp=sharing"",""งบพรบ!EY29"")"),0)</f>
        <v>0</v>
      </c>
      <c r="J29" s="151">
        <f t="shared" ca="1" si="24"/>
        <v>154795</v>
      </c>
      <c r="K29" s="154">
        <f t="shared" ca="1" si="25"/>
        <v>81.471052631578942</v>
      </c>
      <c r="L29" s="151">
        <f ca="1">IFERROR(__xludf.DUMMYFUNCTION("IMPORTRANGE(""https://docs.google.com/spreadsheets/d/1-uDff_7J0KD5mKrp0Vvzr7lt3OU09vwQwhkpOPPYv2Y/edit?usp=sharing"",""งบพรบ!EZ29"")"),154795)</f>
        <v>154795</v>
      </c>
      <c r="M29" s="68">
        <f t="shared" ca="1" si="26"/>
        <v>81.471052631578942</v>
      </c>
      <c r="N29" s="68">
        <f t="shared" ca="1" si="27"/>
        <v>81.471052631578942</v>
      </c>
      <c r="O29" s="67">
        <f ca="1">IFERROR(__xludf.DUMMYFUNCTION("IMPORTRANGE(""https://docs.google.com/spreadsheets/d/1-uDff_7J0KD5mKrp0Vvzr7lt3OU09vwQwhkpOPPYv2Y/edit?usp=sharing"",""งบพรบ!FA29"")"),0)</f>
        <v>0</v>
      </c>
      <c r="P29" s="67">
        <f t="shared" ca="1" si="28"/>
        <v>0</v>
      </c>
      <c r="Q29" s="68">
        <f t="shared" ca="1" si="29"/>
        <v>0</v>
      </c>
      <c r="R29" s="152">
        <f ca="1">IFERROR(__xludf.DUMMYFUNCTION("IMPORTRANGE(""https://docs.google.com/spreadsheets/d/1v0b9pFQCsKUVExMei7AgY2yQkdeNQvtOssygGsXbiKo/edit?usp=sharing"",""อุตรดิตถ์!I332"")"),1800)</f>
        <v>1800</v>
      </c>
      <c r="S29" s="152">
        <f ca="1">IFERROR(__xludf.DUMMYFUNCTION("IMPORTRANGE(""https://docs.google.com/spreadsheets/d/1v0b9pFQCsKUVExMei7AgY2yQkdeNQvtOssygGsXbiKo/edit?usp=sharing"",""อุตรดิตถ์!J332"")"),5954)</f>
        <v>5954</v>
      </c>
      <c r="T29" s="153">
        <f t="shared" ca="1" si="31"/>
        <v>330.77777777777777</v>
      </c>
      <c r="U29" s="394" t="str">
        <f ca="1">IFERROR(__xludf.DUMMYFUNCTION("IMPORTRANGE(""https://docs.google.com/spreadsheets/d/1v0b9pFQCsKUVExMei7AgY2yQkdeNQvtOssygGsXbiKo/edit?usp=sharing"",""อุตรดิตถ์!I344"")"),"")</f>
        <v/>
      </c>
      <c r="V29" s="152">
        <f ca="1">IFERROR(__xludf.DUMMYFUNCTION("IMPORTRANGE(""https://docs.google.com/spreadsheets/d/1v0b9pFQCsKUVExMei7AgY2yQkdeNQvtOssygGsXbiKo/edit?usp=sharing"",""อุตรดิตถ์!J344"")"),975)</f>
        <v>975</v>
      </c>
      <c r="W29" s="216" t="e">
        <f t="shared" ca="1" si="33"/>
        <v>#VALUE!</v>
      </c>
      <c r="X29" s="278">
        <f ca="1">IFERROR(__xludf.DUMMYFUNCTION("IMPORTRANGE(""https://docs.google.com/spreadsheets/d/1v0b9pFQCsKUVExMei7AgY2yQkdeNQvtOssygGsXbiKo/edit?usp=sharing"",""อุตรดิตถ์!I346"")"),6)</f>
        <v>6</v>
      </c>
      <c r="Y29" s="152">
        <f ca="1">IFERROR(__xludf.DUMMYFUNCTION("IMPORTRANGE(""https://docs.google.com/spreadsheets/d/1v0b9pFQCsKUVExMei7AgY2yQkdeNQvtOssygGsXbiKo/edit?usp=sharing"",""อุตรดิตถ์!J346"")"),4)</f>
        <v>4</v>
      </c>
      <c r="Z29" s="216">
        <f t="shared" ca="1" si="35"/>
        <v>66.666666666666671</v>
      </c>
      <c r="AA29" s="152">
        <f ca="1">IFERROR(__xludf.DUMMYFUNCTION("IMPORTRANGE(""https://docs.google.com/spreadsheets/d/1v0b9pFQCsKUVExMei7AgY2yQkdeNQvtOssygGsXbiKo/edit?usp=sharing"",""อุตรดิตถ์!J347"")"),52)</f>
        <v>52</v>
      </c>
      <c r="AB29" s="152">
        <f ca="1">IFERROR(__xludf.DUMMYFUNCTION("IMPORTRANGE(""https://docs.google.com/spreadsheets/d/1v0b9pFQCsKUVExMei7AgY2yQkdeNQvtOssygGsXbiKo/edit?usp=sharing"",""อุตรดิตถ์!J348"")"),0)</f>
        <v>0</v>
      </c>
      <c r="AC29" s="152">
        <f ca="1">IFERROR(__xludf.DUMMYFUNCTION("IMPORTRANGE(""https://docs.google.com/spreadsheets/d/1v0b9pFQCsKUVExMei7AgY2yQkdeNQvtOssygGsXbiKo/edit?usp=sharing"",""อุตรดิตถ์!J349"")"),0)</f>
        <v>0</v>
      </c>
      <c r="AD29" s="152">
        <f ca="1">IFERROR(__xludf.DUMMYFUNCTION("IMPORTRANGE(""https://docs.google.com/spreadsheets/d/1v0b9pFQCsKUVExMei7AgY2yQkdeNQvtOssygGsXbiKo/edit?usp=sharing"",""อุตรดิตถ์!J343"")"),1027)</f>
        <v>1027</v>
      </c>
      <c r="AE29" s="152">
        <f ca="1">IFERROR(__xludf.DUMMYFUNCTION("IMPORTRANGE(""https://docs.google.com/spreadsheets/d/1v0b9pFQCsKUVExMei7AgY2yQkdeNQvtOssygGsXbiKo/edit?usp=sharing"",""อุตรดิตถ์!J352"")"),673)</f>
        <v>673</v>
      </c>
      <c r="AF29" s="152">
        <f ca="1">IFERROR(__xludf.DUMMYFUNCTION("IMPORTRANGE(""https://docs.google.com/spreadsheets/d/1v0b9pFQCsKUVExMei7AgY2yQkdeNQvtOssygGsXbiKo/edit?usp=sharing"",""อุตรดิตถ์!J353"")"),4329)</f>
        <v>4329</v>
      </c>
      <c r="AG29" s="152">
        <f ca="1">IFERROR(__xludf.DUMMYFUNCTION("IMPORTRANGE(""https://docs.google.com/spreadsheets/d/1v0b9pFQCsKUVExMei7AgY2yQkdeNQvtOssygGsXbiKo/edit?usp=sharing"",""อุตรดิตถ์!J354"")"),598)</f>
        <v>598</v>
      </c>
    </row>
    <row r="30" spans="1:33" ht="24" customHeight="1" x14ac:dyDescent="0.3">
      <c r="A30" s="399">
        <v>17</v>
      </c>
      <c r="B30" s="400" t="s">
        <v>58</v>
      </c>
      <c r="C30" s="157">
        <f t="shared" ca="1" si="22"/>
        <v>185000</v>
      </c>
      <c r="D30" s="158">
        <f t="shared" ca="1" si="37"/>
        <v>185000</v>
      </c>
      <c r="E30" s="159">
        <f ca="1">IFERROR(__xludf.DUMMYFUNCTION("IMPORTRANGE(""https://docs.google.com/spreadsheets/d/1-uDff_7J0KD5mKrp0Vvzr7lt3OU09vwQwhkpOPPYv2Y/edit?usp=sharing"",""งบพรบ!ET30"")"),0)</f>
        <v>0</v>
      </c>
      <c r="F30" s="159">
        <f ca="1">IFERROR(__xludf.DUMMYFUNCTION("IMPORTRANGE(""https://docs.google.com/spreadsheets/d/1-uDff_7J0KD5mKrp0Vvzr7lt3OU09vwQwhkpOPPYv2Y/edit?usp=sharing"",""งบพรบ!EU30"")"),185000)</f>
        <v>185000</v>
      </c>
      <c r="G30" s="159">
        <f ca="1">IFERROR(__xludf.DUMMYFUNCTION("IMPORTRANGE(""https://docs.google.com/spreadsheets/d/1-uDff_7J0KD5mKrp0Vvzr7lt3OU09vwQwhkpOPPYv2Y/edit?usp=sharing"",""งบพรบ!EV30"")"),0)</f>
        <v>0</v>
      </c>
      <c r="H30" s="159">
        <f ca="1">IFERROR(__xludf.DUMMYFUNCTION("IMPORTRANGE(""https://docs.google.com/spreadsheets/d/1-uDff_7J0KD5mKrp0Vvzr7lt3OU09vwQwhkpOPPYv2Y/edit?usp=sharing"",""งบพรบ!EX30"")"),185000)</f>
        <v>185000</v>
      </c>
      <c r="I30" s="159">
        <f ca="1">IFERROR(__xludf.DUMMYFUNCTION("IMPORTRANGE(""https://docs.google.com/spreadsheets/d/1-uDff_7J0KD5mKrp0Vvzr7lt3OU09vwQwhkpOPPYv2Y/edit?usp=sharing"",""งบพรบ!EY30"")"),0)</f>
        <v>0</v>
      </c>
      <c r="J30" s="159">
        <f t="shared" ca="1" si="24"/>
        <v>137283</v>
      </c>
      <c r="K30" s="160">
        <f t="shared" ca="1" si="25"/>
        <v>74.207027027027024</v>
      </c>
      <c r="L30" s="159">
        <f ca="1">IFERROR(__xludf.DUMMYFUNCTION("IMPORTRANGE(""https://docs.google.com/spreadsheets/d/1-uDff_7J0KD5mKrp0Vvzr7lt3OU09vwQwhkpOPPYv2Y/edit?usp=sharing"",""งบพรบ!EZ30"")"),137283)</f>
        <v>137283</v>
      </c>
      <c r="M30" s="89">
        <f t="shared" ca="1" si="26"/>
        <v>74.207027027027024</v>
      </c>
      <c r="N30" s="89">
        <f t="shared" ca="1" si="27"/>
        <v>74.207027027027024</v>
      </c>
      <c r="O30" s="88">
        <f ca="1">IFERROR(__xludf.DUMMYFUNCTION("IMPORTRANGE(""https://docs.google.com/spreadsheets/d/1-uDff_7J0KD5mKrp0Vvzr7lt3OU09vwQwhkpOPPYv2Y/edit?usp=sharing"",""งบพรบ!FA30"")"),0)</f>
        <v>0</v>
      </c>
      <c r="P30" s="88">
        <f t="shared" ca="1" si="28"/>
        <v>0</v>
      </c>
      <c r="Q30" s="89">
        <f t="shared" ca="1" si="29"/>
        <v>0</v>
      </c>
      <c r="R30" s="191">
        <f ca="1">IFERROR(__xludf.DUMMYFUNCTION("IMPORTRANGE(""https://docs.google.com/spreadsheets/d/1UsNK1e-WWiCo2PvGqdNfdme4m17_Ezd3J69EeeiQPD0/edit?usp=sharing"",""อุทัยธานี!I332"")"),2500)</f>
        <v>2500</v>
      </c>
      <c r="S30" s="191">
        <f ca="1">IFERROR(__xludf.DUMMYFUNCTION("IMPORTRANGE(""https://docs.google.com/spreadsheets/d/1UsNK1e-WWiCo2PvGqdNfdme4m17_Ezd3J69EeeiQPD0/edit?usp=sharing"",""อุทัยธานี!J332"")"),4416)</f>
        <v>4416</v>
      </c>
      <c r="T30" s="401">
        <f t="shared" ca="1" si="31"/>
        <v>176.64</v>
      </c>
      <c r="U30" s="402" t="str">
        <f ca="1">IFERROR(__xludf.DUMMYFUNCTION("IMPORTRANGE(""https://docs.google.com/spreadsheets/d/1UsNK1e-WWiCo2PvGqdNfdme4m17_Ezd3J69EeeiQPD0/edit?usp=sharing"",""อุทัยธานี!I344"")"),"")</f>
        <v/>
      </c>
      <c r="V30" s="191">
        <f ca="1">IFERROR(__xludf.DUMMYFUNCTION("IMPORTRANGE(""https://docs.google.com/spreadsheets/d/1UsNK1e-WWiCo2PvGqdNfdme4m17_Ezd3J69EeeiQPD0/edit?usp=sharing"",""อุทัยธานี!J344"")"),1449)</f>
        <v>1449</v>
      </c>
      <c r="W30" s="218" t="e">
        <f t="shared" ca="1" si="33"/>
        <v>#VALUE!</v>
      </c>
      <c r="X30" s="280">
        <f ca="1">IFERROR(__xludf.DUMMYFUNCTION("IMPORTRANGE(""https://docs.google.com/spreadsheets/d/1UsNK1e-WWiCo2PvGqdNfdme4m17_Ezd3J69EeeiQPD0/edit?usp=sharing"",""อุทัยธานี!I346"")"),6)</f>
        <v>6</v>
      </c>
      <c r="Y30" s="191">
        <f ca="1">IFERROR(__xludf.DUMMYFUNCTION("IMPORTRANGE(""https://docs.google.com/spreadsheets/d/1UsNK1e-WWiCo2PvGqdNfdme4m17_Ezd3J69EeeiQPD0/edit?usp=sharing"",""อุทัยธานี!J346"")"),5)</f>
        <v>5</v>
      </c>
      <c r="Z30" s="218">
        <f t="shared" ca="1" si="35"/>
        <v>83.333333333333329</v>
      </c>
      <c r="AA30" s="191">
        <f ca="1">IFERROR(__xludf.DUMMYFUNCTION("IMPORTRANGE(""https://docs.google.com/spreadsheets/d/1UsNK1e-WWiCo2PvGqdNfdme4m17_Ezd3J69EeeiQPD0/edit?usp=sharing"",""อุทัยธานี!J347"")"),60)</f>
        <v>60</v>
      </c>
      <c r="AB30" s="191">
        <f ca="1">IFERROR(__xludf.DUMMYFUNCTION("IMPORTRANGE(""https://docs.google.com/spreadsheets/d/1UsNK1e-WWiCo2PvGqdNfdme4m17_Ezd3J69EeeiQPD0/edit?usp=sharing"",""อุทัยธานี!J348"")"),1)</f>
        <v>1</v>
      </c>
      <c r="AC30" s="191">
        <f ca="1">IFERROR(__xludf.DUMMYFUNCTION("IMPORTRANGE(""https://docs.google.com/spreadsheets/d/1UsNK1e-WWiCo2PvGqdNfdme4m17_Ezd3J69EeeiQPD0/edit?usp=sharing"",""อุทัยธานี!J349"")"),0)</f>
        <v>0</v>
      </c>
      <c r="AD30" s="191">
        <f ca="1">IFERROR(__xludf.DUMMYFUNCTION("IMPORTRANGE(""https://docs.google.com/spreadsheets/d/1UsNK1e-WWiCo2PvGqdNfdme4m17_Ezd3J69EeeiQPD0/edit?usp=sharing"",""อุทัยธานี!J343"")"),1510)</f>
        <v>1510</v>
      </c>
      <c r="AE30" s="191">
        <f ca="1">IFERROR(__xludf.DUMMYFUNCTION("IMPORTRANGE(""https://docs.google.com/spreadsheets/d/1UsNK1e-WWiCo2PvGqdNfdme4m17_Ezd3J69EeeiQPD0/edit?usp=sharing"",""อุทัยธานี!J352"")"),1217)</f>
        <v>1217</v>
      </c>
      <c r="AF30" s="191">
        <f ca="1">IFERROR(__xludf.DUMMYFUNCTION("IMPORTRANGE(""https://docs.google.com/spreadsheets/d/1UsNK1e-WWiCo2PvGqdNfdme4m17_Ezd3J69EeeiQPD0/edit?usp=sharing"",""อุทัยธานี!J353"")"),2124)</f>
        <v>2124</v>
      </c>
      <c r="AG30" s="191">
        <f ca="1">IFERROR(__xludf.DUMMYFUNCTION("IMPORTRANGE(""https://docs.google.com/spreadsheets/d/1UsNK1e-WWiCo2PvGqdNfdme4m17_Ezd3J69EeeiQPD0/edit?usp=sharing"",""อุทัยธานี!J354"")"),782)</f>
        <v>782</v>
      </c>
    </row>
    <row r="31" spans="1:33" ht="21" customHeight="1" x14ac:dyDescent="0.3">
      <c r="A31" s="748" t="s">
        <v>59</v>
      </c>
      <c r="B31" s="666"/>
      <c r="C31" s="403">
        <f t="shared" ca="1" si="22"/>
        <v>4217100</v>
      </c>
      <c r="D31" s="403">
        <f t="shared" ref="D31:I31" ca="1" si="38">SUM(D32:D51)</f>
        <v>4217100</v>
      </c>
      <c r="E31" s="403">
        <f t="shared" ca="1" si="38"/>
        <v>341100</v>
      </c>
      <c r="F31" s="403">
        <f t="shared" ca="1" si="38"/>
        <v>3876000</v>
      </c>
      <c r="G31" s="403">
        <f t="shared" ca="1" si="38"/>
        <v>0</v>
      </c>
      <c r="H31" s="403">
        <f t="shared" ca="1" si="38"/>
        <v>4217100</v>
      </c>
      <c r="I31" s="403">
        <f t="shared" ca="1" si="38"/>
        <v>0</v>
      </c>
      <c r="J31" s="403">
        <f t="shared" ca="1" si="24"/>
        <v>3146534.69</v>
      </c>
      <c r="K31" s="404">
        <f t="shared" ca="1" si="25"/>
        <v>74.613708235517294</v>
      </c>
      <c r="L31" s="403">
        <f ca="1">SUM(L32:L51)</f>
        <v>3146534.69</v>
      </c>
      <c r="M31" s="405">
        <f t="shared" ca="1" si="26"/>
        <v>74.613708235517294</v>
      </c>
      <c r="N31" s="405">
        <f t="shared" ca="1" si="27"/>
        <v>74.613708235517294</v>
      </c>
      <c r="O31" s="406">
        <f ca="1">SUM(O32:O51)</f>
        <v>0</v>
      </c>
      <c r="P31" s="406">
        <f t="shared" ca="1" si="28"/>
        <v>0</v>
      </c>
      <c r="Q31" s="405">
        <f t="shared" ca="1" si="29"/>
        <v>0</v>
      </c>
      <c r="R31" s="407">
        <f t="shared" ref="R31:S31" ca="1" si="39">SUM(R32:R51)</f>
        <v>85820</v>
      </c>
      <c r="S31" s="407">
        <f t="shared" ca="1" si="39"/>
        <v>278026</v>
      </c>
      <c r="T31" s="408">
        <f t="shared" ca="1" si="31"/>
        <v>323.96411092985318</v>
      </c>
      <c r="U31" s="409">
        <f t="shared" ref="U31:V31" ca="1" si="40">SUM(U32:U51)</f>
        <v>0</v>
      </c>
      <c r="V31" s="403">
        <f t="shared" ca="1" si="40"/>
        <v>87005</v>
      </c>
      <c r="W31" s="405">
        <f t="shared" ca="1" si="33"/>
        <v>0</v>
      </c>
      <c r="X31" s="409">
        <f t="shared" ref="X31:Y31" ca="1" si="41">SUM(X32:X51)</f>
        <v>158</v>
      </c>
      <c r="Y31" s="403">
        <f t="shared" ca="1" si="41"/>
        <v>153</v>
      </c>
      <c r="Z31" s="405">
        <f t="shared" ca="1" si="35"/>
        <v>96.835443037974684</v>
      </c>
      <c r="AA31" s="403">
        <f t="shared" ref="AA31:AG31" ca="1" si="42">SUM(AA32:AA51)</f>
        <v>2368</v>
      </c>
      <c r="AB31" s="403">
        <f t="shared" ca="1" si="42"/>
        <v>1908</v>
      </c>
      <c r="AC31" s="403">
        <f t="shared" ca="1" si="42"/>
        <v>1088</v>
      </c>
      <c r="AD31" s="403">
        <f t="shared" ca="1" si="42"/>
        <v>92369</v>
      </c>
      <c r="AE31" s="403">
        <f t="shared" ca="1" si="42"/>
        <v>55646</v>
      </c>
      <c r="AF31" s="403">
        <f t="shared" ca="1" si="42"/>
        <v>144002</v>
      </c>
      <c r="AG31" s="403">
        <f t="shared" ca="1" si="42"/>
        <v>41655</v>
      </c>
    </row>
    <row r="32" spans="1:33" ht="21" customHeight="1" x14ac:dyDescent="0.3">
      <c r="A32" s="392">
        <v>1</v>
      </c>
      <c r="B32" s="393" t="s">
        <v>60</v>
      </c>
      <c r="C32" s="149">
        <f t="shared" ca="1" si="22"/>
        <v>189000</v>
      </c>
      <c r="D32" s="150">
        <f t="shared" ref="D32:D51" ca="1" si="43">+E32+F32</f>
        <v>189000</v>
      </c>
      <c r="E32" s="151">
        <f ca="1">IFERROR(__xludf.DUMMYFUNCTION("IMPORTRANGE(""https://docs.google.com/spreadsheets/d/1-uDff_7J0KD5mKrp0Vvzr7lt3OU09vwQwhkpOPPYv2Y/edit?usp=sharing"",""งบพรบ!ET32"")"),0)</f>
        <v>0</v>
      </c>
      <c r="F32" s="151">
        <f ca="1">IFERROR(__xludf.DUMMYFUNCTION("IMPORTRANGE(""https://docs.google.com/spreadsheets/d/1-uDff_7J0KD5mKrp0Vvzr7lt3OU09vwQwhkpOPPYv2Y/edit?usp=sharing"",""งบพรบ!EU32"")"),189000)</f>
        <v>189000</v>
      </c>
      <c r="G32" s="152">
        <f ca="1">IFERROR(__xludf.DUMMYFUNCTION("IMPORTRANGE(""https://docs.google.com/spreadsheets/d/1-uDff_7J0KD5mKrp0Vvzr7lt3OU09vwQwhkpOPPYv2Y/edit?usp=sharing"",""งบพรบ!EV32"")"),0)</f>
        <v>0</v>
      </c>
      <c r="H32" s="152">
        <f ca="1">IFERROR(__xludf.DUMMYFUNCTION("IMPORTRANGE(""https://docs.google.com/spreadsheets/d/1-uDff_7J0KD5mKrp0Vvzr7lt3OU09vwQwhkpOPPYv2Y/edit?usp=sharing"",""งบพรบ!EX32"")"),189000)</f>
        <v>189000</v>
      </c>
      <c r="I32" s="152">
        <f ca="1">IFERROR(__xludf.DUMMYFUNCTION("IMPORTRANGE(""https://docs.google.com/spreadsheets/d/1-uDff_7J0KD5mKrp0Vvzr7lt3OU09vwQwhkpOPPYv2Y/edit?usp=sharing"",""งบพรบ!EY32"")"),0)</f>
        <v>0</v>
      </c>
      <c r="J32" s="152">
        <f t="shared" ca="1" si="24"/>
        <v>151994.99</v>
      </c>
      <c r="K32" s="153">
        <f t="shared" ca="1" si="25"/>
        <v>80.42062962962963</v>
      </c>
      <c r="L32" s="152">
        <f ca="1">IFERROR(__xludf.DUMMYFUNCTION("IMPORTRANGE(""https://docs.google.com/spreadsheets/d/1-uDff_7J0KD5mKrp0Vvzr7lt3OU09vwQwhkpOPPYv2Y/edit?usp=sharing"",""งบพรบ!EZ32"")"),151994.99)</f>
        <v>151994.99</v>
      </c>
      <c r="M32" s="68">
        <f t="shared" ca="1" si="26"/>
        <v>80.42062962962963</v>
      </c>
      <c r="N32" s="68">
        <f t="shared" ca="1" si="27"/>
        <v>80.42062962962963</v>
      </c>
      <c r="O32" s="67">
        <f ca="1">IFERROR(__xludf.DUMMYFUNCTION("IMPORTRANGE(""https://docs.google.com/spreadsheets/d/1-uDff_7J0KD5mKrp0Vvzr7lt3OU09vwQwhkpOPPYv2Y/edit?usp=sharing"",""งบพรบ!FA32"")"),0)</f>
        <v>0</v>
      </c>
      <c r="P32" s="67">
        <f t="shared" ca="1" si="28"/>
        <v>0</v>
      </c>
      <c r="Q32" s="68">
        <f t="shared" ca="1" si="29"/>
        <v>0</v>
      </c>
      <c r="R32" s="152">
        <f ca="1">IFERROR(__xludf.DUMMYFUNCTION("IMPORTRANGE(""https://docs.google.com/spreadsheets/d/1yhBcrRPreicbMKl9Bu_Snb2-OcQAF62RKfhTLhJ2eAA/edit?usp=sharing"",""กาฬสินธุ์!I332"")"),1800)</f>
        <v>1800</v>
      </c>
      <c r="S32" s="152">
        <f ca="1">IFERROR(__xludf.DUMMYFUNCTION("IMPORTRANGE(""https://docs.google.com/spreadsheets/d/1yhBcrRPreicbMKl9Bu_Snb2-OcQAF62RKfhTLhJ2eAA/edit?usp=sharing"",""กาฬสินธุ์!J332"")"),5998)</f>
        <v>5998</v>
      </c>
      <c r="T32" s="153">
        <f t="shared" ca="1" si="31"/>
        <v>333.22222222222223</v>
      </c>
      <c r="U32" s="394" t="str">
        <f ca="1">IFERROR(__xludf.DUMMYFUNCTION("IMPORTRANGE(""https://docs.google.com/spreadsheets/d/1yhBcrRPreicbMKl9Bu_Snb2-OcQAF62RKfhTLhJ2eAA/edit?usp=sharing"",""กาฬสินธุ์!I344"")"),"")</f>
        <v/>
      </c>
      <c r="V32" s="152">
        <f ca="1">IFERROR(__xludf.DUMMYFUNCTION("IMPORTRANGE(""https://docs.google.com/spreadsheets/d/1yhBcrRPreicbMKl9Bu_Snb2-OcQAF62RKfhTLhJ2eAA/edit?usp=sharing"",""กาฬสินธุ์!J344"")"),964)</f>
        <v>964</v>
      </c>
      <c r="W32" s="216" t="e">
        <f t="shared" ca="1" si="33"/>
        <v>#VALUE!</v>
      </c>
      <c r="X32" s="278">
        <f ca="1">IFERROR(__xludf.DUMMYFUNCTION("IMPORTRANGE(""https://docs.google.com/spreadsheets/d/1yhBcrRPreicbMKl9Bu_Snb2-OcQAF62RKfhTLhJ2eAA/edit?usp=sharing"",""กาฬสินธุ์!I346"")"),8)</f>
        <v>8</v>
      </c>
      <c r="Y32" s="152">
        <f ca="1">IFERROR(__xludf.DUMMYFUNCTION("IMPORTRANGE(""https://docs.google.com/spreadsheets/d/1yhBcrRPreicbMKl9Bu_Snb2-OcQAF62RKfhTLhJ2eAA/edit?usp=sharing"",""กาฬสินธุ์!J346"")"),7)</f>
        <v>7</v>
      </c>
      <c r="Z32" s="216">
        <f t="shared" ca="1" si="35"/>
        <v>87.5</v>
      </c>
      <c r="AA32" s="152">
        <f ca="1">IFERROR(__xludf.DUMMYFUNCTION("IMPORTRANGE(""https://docs.google.com/spreadsheets/d/1yhBcrRPreicbMKl9Bu_Snb2-OcQAF62RKfhTLhJ2eAA/edit?usp=sharing"",""กาฬสินธุ์!J347"")"),0)</f>
        <v>0</v>
      </c>
      <c r="AB32" s="152">
        <f ca="1">IFERROR(__xludf.DUMMYFUNCTION("IMPORTRANGE(""https://docs.google.com/spreadsheets/d/1yhBcrRPreicbMKl9Bu_Snb2-OcQAF62RKfhTLhJ2eAA/edit?usp=sharing"",""กาฬสินธุ์!J348"")"),0)</f>
        <v>0</v>
      </c>
      <c r="AC32" s="152">
        <f ca="1">IFERROR(__xludf.DUMMYFUNCTION("IMPORTRANGE(""https://docs.google.com/spreadsheets/d/1yhBcrRPreicbMKl9Bu_Snb2-OcQAF62RKfhTLhJ2eAA/edit?usp=sharing"",""กาฬสินธุ์!J349"")"),0)</f>
        <v>0</v>
      </c>
      <c r="AD32" s="152">
        <f ca="1">IFERROR(__xludf.DUMMYFUNCTION("IMPORTRANGE(""https://docs.google.com/spreadsheets/d/1yhBcrRPreicbMKl9Bu_Snb2-OcQAF62RKfhTLhJ2eAA/edit?usp=sharing"",""กาฬสินธุ์!J343"")"),964)</f>
        <v>964</v>
      </c>
      <c r="AE32" s="152">
        <f ca="1">IFERROR(__xludf.DUMMYFUNCTION("IMPORTRANGE(""https://docs.google.com/spreadsheets/d/1yhBcrRPreicbMKl9Bu_Snb2-OcQAF62RKfhTLhJ2eAA/edit?usp=sharing"",""กาฬสินธุ์!J352"")"),1502)</f>
        <v>1502</v>
      </c>
      <c r="AF32" s="152">
        <f ca="1">IFERROR(__xludf.DUMMYFUNCTION("IMPORTRANGE(""https://docs.google.com/spreadsheets/d/1yhBcrRPreicbMKl9Bu_Snb2-OcQAF62RKfhTLhJ2eAA/edit?usp=sharing"",""กาฬสินธุ์!J353"")"),4177)</f>
        <v>4177</v>
      </c>
      <c r="AG32" s="152">
        <f ca="1">IFERROR(__xludf.DUMMYFUNCTION("IMPORTRANGE(""https://docs.google.com/spreadsheets/d/1yhBcrRPreicbMKl9Bu_Snb2-OcQAF62RKfhTLhJ2eAA/edit?usp=sharing"",""กาฬสินธุ์!J354"")"),857)</f>
        <v>857</v>
      </c>
    </row>
    <row r="33" spans="1:33" ht="21" customHeight="1" x14ac:dyDescent="0.3">
      <c r="A33" s="395">
        <v>2</v>
      </c>
      <c r="B33" s="396" t="s">
        <v>61</v>
      </c>
      <c r="C33" s="149">
        <f t="shared" ca="1" si="22"/>
        <v>198000</v>
      </c>
      <c r="D33" s="150">
        <f t="shared" ca="1" si="43"/>
        <v>198000</v>
      </c>
      <c r="E33" s="151">
        <f ca="1">IFERROR(__xludf.DUMMYFUNCTION("IMPORTRANGE(""https://docs.google.com/spreadsheets/d/1-uDff_7J0KD5mKrp0Vvzr7lt3OU09vwQwhkpOPPYv2Y/edit?usp=sharing"",""งบพรบ!ET33"")"),0)</f>
        <v>0</v>
      </c>
      <c r="F33" s="151">
        <f ca="1">IFERROR(__xludf.DUMMYFUNCTION("IMPORTRANGE(""https://docs.google.com/spreadsheets/d/1-uDff_7J0KD5mKrp0Vvzr7lt3OU09vwQwhkpOPPYv2Y/edit?usp=sharing"",""งบพรบ!EU33"")"),198000)</f>
        <v>198000</v>
      </c>
      <c r="G33" s="151">
        <f ca="1">IFERROR(__xludf.DUMMYFUNCTION("IMPORTRANGE(""https://docs.google.com/spreadsheets/d/1-uDff_7J0KD5mKrp0Vvzr7lt3OU09vwQwhkpOPPYv2Y/edit?usp=sharing"",""งบพรบ!EV33"")"),0)</f>
        <v>0</v>
      </c>
      <c r="H33" s="151">
        <f ca="1">IFERROR(__xludf.DUMMYFUNCTION("IMPORTRANGE(""https://docs.google.com/spreadsheets/d/1-uDff_7J0KD5mKrp0Vvzr7lt3OU09vwQwhkpOPPYv2Y/edit?usp=sharing"",""งบพรบ!EX33"")"),198000)</f>
        <v>198000</v>
      </c>
      <c r="I33" s="151">
        <f ca="1">IFERROR(__xludf.DUMMYFUNCTION("IMPORTRANGE(""https://docs.google.com/spreadsheets/d/1-uDff_7J0KD5mKrp0Vvzr7lt3OU09vwQwhkpOPPYv2Y/edit?usp=sharing"",""งบพรบ!EY33"")"),0)</f>
        <v>0</v>
      </c>
      <c r="J33" s="151">
        <f t="shared" ca="1" si="24"/>
        <v>95471</v>
      </c>
      <c r="K33" s="154">
        <f t="shared" ca="1" si="25"/>
        <v>48.217676767676771</v>
      </c>
      <c r="L33" s="151">
        <f ca="1">IFERROR(__xludf.DUMMYFUNCTION("IMPORTRANGE(""https://docs.google.com/spreadsheets/d/1-uDff_7J0KD5mKrp0Vvzr7lt3OU09vwQwhkpOPPYv2Y/edit?usp=sharing"",""งบพรบ!EZ33"")"),95471)</f>
        <v>95471</v>
      </c>
      <c r="M33" s="68">
        <f t="shared" ca="1" si="26"/>
        <v>48.217676767676771</v>
      </c>
      <c r="N33" s="68">
        <f t="shared" ca="1" si="27"/>
        <v>48.217676767676771</v>
      </c>
      <c r="O33" s="67">
        <f ca="1">IFERROR(__xludf.DUMMYFUNCTION("IMPORTRANGE(""https://docs.google.com/spreadsheets/d/1-uDff_7J0KD5mKrp0Vvzr7lt3OU09vwQwhkpOPPYv2Y/edit?usp=sharing"",""งบพรบ!FA33"")"),0)</f>
        <v>0</v>
      </c>
      <c r="P33" s="67">
        <f t="shared" ca="1" si="28"/>
        <v>0</v>
      </c>
      <c r="Q33" s="68">
        <f t="shared" ca="1" si="29"/>
        <v>0</v>
      </c>
      <c r="R33" s="397">
        <f ca="1">IFERROR(__xludf.DUMMYFUNCTION("IMPORTRANGE(""https://docs.google.com/spreadsheets/d/1aHkj4IaQMThhwWwevcOymEh837vdxeC_PycurhTbGFA/edit?usp=sharing"",""ขอนแก่น!I332"")"),4300)</f>
        <v>4300</v>
      </c>
      <c r="S33" s="397">
        <f ca="1">IFERROR(__xludf.DUMMYFUNCTION("IMPORTRANGE(""https://docs.google.com/spreadsheets/d/1aHkj4IaQMThhwWwevcOymEh837vdxeC_PycurhTbGFA/edit?usp=sharing"",""ขอนแก่น!J332"")"),16182)</f>
        <v>16182</v>
      </c>
      <c r="T33" s="398">
        <f t="shared" ca="1" si="31"/>
        <v>376.32558139534882</v>
      </c>
      <c r="U33" s="394" t="str">
        <f ca="1">IFERROR(__xludf.DUMMYFUNCTION("IMPORTRANGE(""https://docs.google.com/spreadsheets/d/1aHkj4IaQMThhwWwevcOymEh837vdxeC_PycurhTbGFA/edit?usp=sharing"",""ขอนแก่น!I344"")"),"")</f>
        <v/>
      </c>
      <c r="V33" s="152">
        <f ca="1">IFERROR(__xludf.DUMMYFUNCTION("IMPORTRANGE(""https://docs.google.com/spreadsheets/d/1aHkj4IaQMThhwWwevcOymEh837vdxeC_PycurhTbGFA/edit?usp=sharing"",""ขอนแก่น!J344"")"),5107)</f>
        <v>5107</v>
      </c>
      <c r="W33" s="216" t="e">
        <f t="shared" ca="1" si="33"/>
        <v>#VALUE!</v>
      </c>
      <c r="X33" s="279">
        <f ca="1">IFERROR(__xludf.DUMMYFUNCTION("IMPORTRANGE(""https://docs.google.com/spreadsheets/d/1aHkj4IaQMThhwWwevcOymEh837vdxeC_PycurhTbGFA/edit?usp=sharing"",""ขอนแก่น!I346"")"),10)</f>
        <v>10</v>
      </c>
      <c r="Y33" s="152">
        <f ca="1">IFERROR(__xludf.DUMMYFUNCTION("IMPORTRANGE(""https://docs.google.com/spreadsheets/d/1aHkj4IaQMThhwWwevcOymEh837vdxeC_PycurhTbGFA/edit?usp=sharing"",""ขอนแก่น!J346"")"),6)</f>
        <v>6</v>
      </c>
      <c r="Z33" s="216">
        <f t="shared" ca="1" si="35"/>
        <v>60</v>
      </c>
      <c r="AA33" s="152">
        <f ca="1">IFERROR(__xludf.DUMMYFUNCTION("IMPORTRANGE(""https://docs.google.com/spreadsheets/d/1aHkj4IaQMThhwWwevcOymEh837vdxeC_PycurhTbGFA/edit?usp=sharing"",""ขอนแก่น!J347"")"),72)</f>
        <v>72</v>
      </c>
      <c r="AB33" s="152">
        <f ca="1">IFERROR(__xludf.DUMMYFUNCTION("IMPORTRANGE(""https://docs.google.com/spreadsheets/d/1aHkj4IaQMThhwWwevcOymEh837vdxeC_PycurhTbGFA/edit?usp=sharing"",""ขอนแก่น!J348"")"),1648)</f>
        <v>1648</v>
      </c>
      <c r="AC33" s="152">
        <f ca="1">IFERROR(__xludf.DUMMYFUNCTION("IMPORTRANGE(""https://docs.google.com/spreadsheets/d/1aHkj4IaQMThhwWwevcOymEh837vdxeC_PycurhTbGFA/edit?usp=sharing"",""ขอนแก่น!J349"")"),0)</f>
        <v>0</v>
      </c>
      <c r="AD33" s="152">
        <f ca="1">IFERROR(__xludf.DUMMYFUNCTION("IMPORTRANGE(""https://docs.google.com/spreadsheets/d/1aHkj4IaQMThhwWwevcOymEh837vdxeC_PycurhTbGFA/edit?usp=sharing"",""ขอนแก่น!J343"")"),6827)</f>
        <v>6827</v>
      </c>
      <c r="AE33" s="152">
        <f ca="1">IFERROR(__xludf.DUMMYFUNCTION("IMPORTRANGE(""https://docs.google.com/spreadsheets/d/1aHkj4IaQMThhwWwevcOymEh837vdxeC_PycurhTbGFA/edit?usp=sharing"",""ขอนแก่น!J352"")"),2922)</f>
        <v>2922</v>
      </c>
      <c r="AF33" s="152">
        <f ca="1">IFERROR(__xludf.DUMMYFUNCTION("IMPORTRANGE(""https://docs.google.com/spreadsheets/d/1aHkj4IaQMThhwWwevcOymEh837vdxeC_PycurhTbGFA/edit?usp=sharing"",""ขอนแก่น!J353"")"),7468)</f>
        <v>7468</v>
      </c>
      <c r="AG33" s="152">
        <f ca="1">IFERROR(__xludf.DUMMYFUNCTION("IMPORTRANGE(""https://docs.google.com/spreadsheets/d/1aHkj4IaQMThhwWwevcOymEh837vdxeC_PycurhTbGFA/edit?usp=sharing"",""ขอนแก่น!J354"")"),1887)</f>
        <v>1887</v>
      </c>
    </row>
    <row r="34" spans="1:33" ht="21" customHeight="1" x14ac:dyDescent="0.3">
      <c r="A34" s="395">
        <v>3</v>
      </c>
      <c r="B34" s="396" t="s">
        <v>62</v>
      </c>
      <c r="C34" s="149">
        <f t="shared" ca="1" si="22"/>
        <v>198000</v>
      </c>
      <c r="D34" s="150">
        <f t="shared" ca="1" si="43"/>
        <v>198000</v>
      </c>
      <c r="E34" s="151">
        <f ca="1">IFERROR(__xludf.DUMMYFUNCTION("IMPORTRANGE(""https://docs.google.com/spreadsheets/d/1-uDff_7J0KD5mKrp0Vvzr7lt3OU09vwQwhkpOPPYv2Y/edit?usp=sharing"",""งบพรบ!ET34"")"),0)</f>
        <v>0</v>
      </c>
      <c r="F34" s="151">
        <f ca="1">IFERROR(__xludf.DUMMYFUNCTION("IMPORTRANGE(""https://docs.google.com/spreadsheets/d/1-uDff_7J0KD5mKrp0Vvzr7lt3OU09vwQwhkpOPPYv2Y/edit?usp=sharing"",""งบพรบ!EU34"")"),198000)</f>
        <v>198000</v>
      </c>
      <c r="G34" s="151">
        <f ca="1">IFERROR(__xludf.DUMMYFUNCTION("IMPORTRANGE(""https://docs.google.com/spreadsheets/d/1-uDff_7J0KD5mKrp0Vvzr7lt3OU09vwQwhkpOPPYv2Y/edit?usp=sharing"",""งบพรบ!EV34"")"),0)</f>
        <v>0</v>
      </c>
      <c r="H34" s="151">
        <f ca="1">IFERROR(__xludf.DUMMYFUNCTION("IMPORTRANGE(""https://docs.google.com/spreadsheets/d/1-uDff_7J0KD5mKrp0Vvzr7lt3OU09vwQwhkpOPPYv2Y/edit?usp=sharing"",""งบพรบ!EX34"")"),198000)</f>
        <v>198000</v>
      </c>
      <c r="I34" s="151">
        <f ca="1">IFERROR(__xludf.DUMMYFUNCTION("IMPORTRANGE(""https://docs.google.com/spreadsheets/d/1-uDff_7J0KD5mKrp0Vvzr7lt3OU09vwQwhkpOPPYv2Y/edit?usp=sharing"",""งบพรบ!EY34"")"),0)</f>
        <v>0</v>
      </c>
      <c r="J34" s="151">
        <f t="shared" ca="1" si="24"/>
        <v>124369</v>
      </c>
      <c r="K34" s="154">
        <f t="shared" ca="1" si="25"/>
        <v>62.81262626262626</v>
      </c>
      <c r="L34" s="151">
        <f ca="1">IFERROR(__xludf.DUMMYFUNCTION("IMPORTRANGE(""https://docs.google.com/spreadsheets/d/1-uDff_7J0KD5mKrp0Vvzr7lt3OU09vwQwhkpOPPYv2Y/edit?usp=sharing"",""งบพรบ!EZ34"")"),124369)</f>
        <v>124369</v>
      </c>
      <c r="M34" s="68">
        <f t="shared" ca="1" si="26"/>
        <v>62.81262626262626</v>
      </c>
      <c r="N34" s="68">
        <f t="shared" ca="1" si="27"/>
        <v>62.81262626262626</v>
      </c>
      <c r="O34" s="67">
        <f ca="1">IFERROR(__xludf.DUMMYFUNCTION("IMPORTRANGE(""https://docs.google.com/spreadsheets/d/1-uDff_7J0KD5mKrp0Vvzr7lt3OU09vwQwhkpOPPYv2Y/edit?usp=sharing"",""งบพรบ!FA34"")"),0)</f>
        <v>0</v>
      </c>
      <c r="P34" s="67">
        <f t="shared" ca="1" si="28"/>
        <v>0</v>
      </c>
      <c r="Q34" s="68">
        <f t="shared" ca="1" si="29"/>
        <v>0</v>
      </c>
      <c r="R34" s="152">
        <f ca="1">IFERROR(__xludf.DUMMYFUNCTION("IMPORTRANGE(""https://docs.google.com/spreadsheets/d/1FvTu2DsIWUjP6WCWra38Bkj_oOl_sOMf14r5Fg5srxU/edit?usp=sharing"",""ชัยภูมิ!I332"")"),3400)</f>
        <v>3400</v>
      </c>
      <c r="S34" s="152">
        <f ca="1">IFERROR(__xludf.DUMMYFUNCTION("IMPORTRANGE(""https://docs.google.com/spreadsheets/d/1FvTu2DsIWUjP6WCWra38Bkj_oOl_sOMf14r5Fg5srxU/edit?usp=sharing"",""ชัยภูมิ!J332"")"),27267)</f>
        <v>27267</v>
      </c>
      <c r="T34" s="153">
        <f t="shared" ca="1" si="31"/>
        <v>801.97058823529414</v>
      </c>
      <c r="U34" s="394" t="str">
        <f ca="1">IFERROR(__xludf.DUMMYFUNCTION("IMPORTRANGE(""https://docs.google.com/spreadsheets/d/1FvTu2DsIWUjP6WCWra38Bkj_oOl_sOMf14r5Fg5srxU/edit?usp=sharing"",""ชัยภูมิ!I344"")"),"")</f>
        <v/>
      </c>
      <c r="V34" s="152">
        <f ca="1">IFERROR(__xludf.DUMMYFUNCTION("IMPORTRANGE(""https://docs.google.com/spreadsheets/d/1FvTu2DsIWUjP6WCWra38Bkj_oOl_sOMf14r5Fg5srxU/edit?usp=sharing"",""ชัยภูมิ!J344"")"),7479)</f>
        <v>7479</v>
      </c>
      <c r="W34" s="216" t="e">
        <f t="shared" ca="1" si="33"/>
        <v>#VALUE!</v>
      </c>
      <c r="X34" s="278">
        <f ca="1">IFERROR(__xludf.DUMMYFUNCTION("IMPORTRANGE(""https://docs.google.com/spreadsheets/d/1FvTu2DsIWUjP6WCWra38Bkj_oOl_sOMf14r5Fg5srxU/edit?usp=sharing"",""ชัยภูมิ!I346"")"),10)</f>
        <v>10</v>
      </c>
      <c r="Y34" s="152">
        <f ca="1">IFERROR(__xludf.DUMMYFUNCTION("IMPORTRANGE(""https://docs.google.com/spreadsheets/d/1FvTu2DsIWUjP6WCWra38Bkj_oOl_sOMf14r5Fg5srxU/edit?usp=sharing"",""ชัยภูมิ!J346"")"),10)</f>
        <v>10</v>
      </c>
      <c r="Z34" s="216">
        <f t="shared" ca="1" si="35"/>
        <v>100</v>
      </c>
      <c r="AA34" s="152">
        <f ca="1">IFERROR(__xludf.DUMMYFUNCTION("IMPORTRANGE(""https://docs.google.com/spreadsheets/d/1FvTu2DsIWUjP6WCWra38Bkj_oOl_sOMf14r5Fg5srxU/edit?usp=sharing"",""ชัยภูมิ!J347"")"),88)</f>
        <v>88</v>
      </c>
      <c r="AB34" s="152">
        <f ca="1">IFERROR(__xludf.DUMMYFUNCTION("IMPORTRANGE(""https://docs.google.com/spreadsheets/d/1FvTu2DsIWUjP6WCWra38Bkj_oOl_sOMf14r5Fg5srxU/edit?usp=sharing"",""ชัยภูมิ!J348"")"),0)</f>
        <v>0</v>
      </c>
      <c r="AC34" s="152">
        <f ca="1">IFERROR(__xludf.DUMMYFUNCTION("IMPORTRANGE(""https://docs.google.com/spreadsheets/d/1FvTu2DsIWUjP6WCWra38Bkj_oOl_sOMf14r5Fg5srxU/edit?usp=sharing"",""ชัยภูมิ!J349"")"),48)</f>
        <v>48</v>
      </c>
      <c r="AD34" s="152">
        <f ca="1">IFERROR(__xludf.DUMMYFUNCTION("IMPORTRANGE(""https://docs.google.com/spreadsheets/d/1FvTu2DsIWUjP6WCWra38Bkj_oOl_sOMf14r5Fg5srxU/edit?usp=sharing"",""ชัยภูมิ!J343"")"),7615)</f>
        <v>7615</v>
      </c>
      <c r="AE34" s="152">
        <f ca="1">IFERROR(__xludf.DUMMYFUNCTION("IMPORTRANGE(""https://docs.google.com/spreadsheets/d/1FvTu2DsIWUjP6WCWra38Bkj_oOl_sOMf14r5Fg5srxU/edit?usp=sharing"",""ชัยภูมิ!J352"")"),1745)</f>
        <v>1745</v>
      </c>
      <c r="AF34" s="152">
        <f ca="1">IFERROR(__xludf.DUMMYFUNCTION("IMPORTRANGE(""https://docs.google.com/spreadsheets/d/1FvTu2DsIWUjP6WCWra38Bkj_oOl_sOMf14r5Fg5srxU/edit?usp=sharing"",""ชัยภูมิ!J353"")"),15911)</f>
        <v>15911</v>
      </c>
      <c r="AG34" s="152">
        <f ca="1">IFERROR(__xludf.DUMMYFUNCTION("IMPORTRANGE(""https://docs.google.com/spreadsheets/d/1FvTu2DsIWUjP6WCWra38Bkj_oOl_sOMf14r5Fg5srxU/edit?usp=sharing"",""ชัยภูมิ!J354"")"),3741)</f>
        <v>3741</v>
      </c>
    </row>
    <row r="35" spans="1:33" ht="21" customHeight="1" x14ac:dyDescent="0.3">
      <c r="A35" s="395">
        <v>4</v>
      </c>
      <c r="B35" s="396" t="s">
        <v>63</v>
      </c>
      <c r="C35" s="149">
        <f t="shared" ca="1" si="22"/>
        <v>185000</v>
      </c>
      <c r="D35" s="150">
        <f t="shared" ca="1" si="43"/>
        <v>185000</v>
      </c>
      <c r="E35" s="151">
        <f ca="1">IFERROR(__xludf.DUMMYFUNCTION("IMPORTRANGE(""https://docs.google.com/spreadsheets/d/1-uDff_7J0KD5mKrp0Vvzr7lt3OU09vwQwhkpOPPYv2Y/edit?usp=sharing"",""งบพรบ!ET35"")"),0)</f>
        <v>0</v>
      </c>
      <c r="F35" s="151">
        <f ca="1">IFERROR(__xludf.DUMMYFUNCTION("IMPORTRANGE(""https://docs.google.com/spreadsheets/d/1-uDff_7J0KD5mKrp0Vvzr7lt3OU09vwQwhkpOPPYv2Y/edit?usp=sharing"",""งบพรบ!EU35"")"),185000)</f>
        <v>185000</v>
      </c>
      <c r="G35" s="151">
        <f ca="1">IFERROR(__xludf.DUMMYFUNCTION("IMPORTRANGE(""https://docs.google.com/spreadsheets/d/1-uDff_7J0KD5mKrp0Vvzr7lt3OU09vwQwhkpOPPYv2Y/edit?usp=sharing"",""งบพรบ!EV35"")"),0)</f>
        <v>0</v>
      </c>
      <c r="H35" s="151">
        <f ca="1">IFERROR(__xludf.DUMMYFUNCTION("IMPORTRANGE(""https://docs.google.com/spreadsheets/d/1-uDff_7J0KD5mKrp0Vvzr7lt3OU09vwQwhkpOPPYv2Y/edit?usp=sharing"",""งบพรบ!EX35"")"),185000)</f>
        <v>185000</v>
      </c>
      <c r="I35" s="151">
        <f ca="1">IFERROR(__xludf.DUMMYFUNCTION("IMPORTRANGE(""https://docs.google.com/spreadsheets/d/1-uDff_7J0KD5mKrp0Vvzr7lt3OU09vwQwhkpOPPYv2Y/edit?usp=sharing"",""งบพรบ!EY35"")"),0)</f>
        <v>0</v>
      </c>
      <c r="J35" s="151">
        <f t="shared" ca="1" si="24"/>
        <v>68253</v>
      </c>
      <c r="K35" s="154">
        <f t="shared" ca="1" si="25"/>
        <v>36.893513513513511</v>
      </c>
      <c r="L35" s="151">
        <f ca="1">IFERROR(__xludf.DUMMYFUNCTION("IMPORTRANGE(""https://docs.google.com/spreadsheets/d/1-uDff_7J0KD5mKrp0Vvzr7lt3OU09vwQwhkpOPPYv2Y/edit?usp=sharing"",""งบพรบ!EZ35"")"),68253)</f>
        <v>68253</v>
      </c>
      <c r="M35" s="68">
        <f t="shared" ca="1" si="26"/>
        <v>36.893513513513511</v>
      </c>
      <c r="N35" s="68">
        <f t="shared" ca="1" si="27"/>
        <v>36.893513513513511</v>
      </c>
      <c r="O35" s="67">
        <f ca="1">IFERROR(__xludf.DUMMYFUNCTION("IMPORTRANGE(""https://docs.google.com/spreadsheets/d/1-uDff_7J0KD5mKrp0Vvzr7lt3OU09vwQwhkpOPPYv2Y/edit?usp=sharing"",""งบพรบ!FA35"")"),0)</f>
        <v>0</v>
      </c>
      <c r="P35" s="67">
        <f t="shared" ca="1" si="28"/>
        <v>0</v>
      </c>
      <c r="Q35" s="68">
        <f t="shared" ca="1" si="29"/>
        <v>0</v>
      </c>
      <c r="R35" s="152">
        <f ca="1">IFERROR(__xludf.DUMMYFUNCTION("IMPORTRANGE(""https://docs.google.com/spreadsheets/d/1XVB7oCJ3pr-vBUdflwPQ8Z2LlzhnCvZaaYjAfP-647E/edit?usp=sharing"",""นครพนม!I332"")"),1300)</f>
        <v>1300</v>
      </c>
      <c r="S35" s="152">
        <f ca="1">IFERROR(__xludf.DUMMYFUNCTION("IMPORTRANGE(""https://docs.google.com/spreadsheets/d/1XVB7oCJ3pr-vBUdflwPQ8Z2LlzhnCvZaaYjAfP-647E/edit?usp=sharing"",""นครพนม!J332"")"),5177)</f>
        <v>5177</v>
      </c>
      <c r="T35" s="153">
        <f t="shared" ca="1" si="31"/>
        <v>398.23076923076923</v>
      </c>
      <c r="U35" s="394" t="str">
        <f ca="1">IFERROR(__xludf.DUMMYFUNCTION("IMPORTRANGE(""https://docs.google.com/spreadsheets/d/1XVB7oCJ3pr-vBUdflwPQ8Z2LlzhnCvZaaYjAfP-647E/edit?usp=sharing"",""นครพนม!I344"")"),"")</f>
        <v/>
      </c>
      <c r="V35" s="152">
        <f ca="1">IFERROR(__xludf.DUMMYFUNCTION("IMPORTRANGE(""https://docs.google.com/spreadsheets/d/1XVB7oCJ3pr-vBUdflwPQ8Z2LlzhnCvZaaYjAfP-647E/edit?usp=sharing"",""นครพนม!J344"")"),508)</f>
        <v>508</v>
      </c>
      <c r="W35" s="216" t="e">
        <f t="shared" ca="1" si="33"/>
        <v>#VALUE!</v>
      </c>
      <c r="X35" s="278">
        <f ca="1">IFERROR(__xludf.DUMMYFUNCTION("IMPORTRANGE(""https://docs.google.com/spreadsheets/d/1XVB7oCJ3pr-vBUdflwPQ8Z2LlzhnCvZaaYjAfP-647E/edit?usp=sharing"",""นครพนม!I346"")"),6)</f>
        <v>6</v>
      </c>
      <c r="Y35" s="152">
        <f ca="1">IFERROR(__xludf.DUMMYFUNCTION("IMPORTRANGE(""https://docs.google.com/spreadsheets/d/1XVB7oCJ3pr-vBUdflwPQ8Z2LlzhnCvZaaYjAfP-647E/edit?usp=sharing"",""นครพนม!J346"")"),4)</f>
        <v>4</v>
      </c>
      <c r="Z35" s="216">
        <f t="shared" ca="1" si="35"/>
        <v>66.666666666666671</v>
      </c>
      <c r="AA35" s="152">
        <f ca="1">IFERROR(__xludf.DUMMYFUNCTION("IMPORTRANGE(""https://docs.google.com/spreadsheets/d/1XVB7oCJ3pr-vBUdflwPQ8Z2LlzhnCvZaaYjAfP-647E/edit?usp=sharing"",""นครพนม!J347"")"),0)</f>
        <v>0</v>
      </c>
      <c r="AB35" s="152">
        <f ca="1">IFERROR(__xludf.DUMMYFUNCTION("IMPORTRANGE(""https://docs.google.com/spreadsheets/d/1XVB7oCJ3pr-vBUdflwPQ8Z2LlzhnCvZaaYjAfP-647E/edit?usp=sharing"",""นครพนม!J348"")"),0)</f>
        <v>0</v>
      </c>
      <c r="AC35" s="152">
        <f ca="1">IFERROR(__xludf.DUMMYFUNCTION("IMPORTRANGE(""https://docs.google.com/spreadsheets/d/1XVB7oCJ3pr-vBUdflwPQ8Z2LlzhnCvZaaYjAfP-647E/edit?usp=sharing"",""นครพนม!J349"")"),0)</f>
        <v>0</v>
      </c>
      <c r="AD35" s="152">
        <f ca="1">IFERROR(__xludf.DUMMYFUNCTION("IMPORTRANGE(""https://docs.google.com/spreadsheets/d/1XVB7oCJ3pr-vBUdflwPQ8Z2LlzhnCvZaaYjAfP-647E/edit?usp=sharing"",""นครพนม!J343"")"),508)</f>
        <v>508</v>
      </c>
      <c r="AE35" s="152">
        <f ca="1">IFERROR(__xludf.DUMMYFUNCTION("IMPORTRANGE(""https://docs.google.com/spreadsheets/d/1XVB7oCJ3pr-vBUdflwPQ8Z2LlzhnCvZaaYjAfP-647E/edit?usp=sharing"",""นครพนม!J352"")"),21)</f>
        <v>21</v>
      </c>
      <c r="AF35" s="152">
        <f ca="1">IFERROR(__xludf.DUMMYFUNCTION("IMPORTRANGE(""https://docs.google.com/spreadsheets/d/1XVB7oCJ3pr-vBUdflwPQ8Z2LlzhnCvZaaYjAfP-647E/edit?usp=sharing"",""นครพนม!J353"")"),3585)</f>
        <v>3585</v>
      </c>
      <c r="AG35" s="152">
        <f ca="1">IFERROR(__xludf.DUMMYFUNCTION("IMPORTRANGE(""https://docs.google.com/spreadsheets/d/1XVB7oCJ3pr-vBUdflwPQ8Z2LlzhnCvZaaYjAfP-647E/edit?usp=sharing"",""นครพนม!J354"")"),1084)</f>
        <v>1084</v>
      </c>
    </row>
    <row r="36" spans="1:33" ht="21" customHeight="1" x14ac:dyDescent="0.3">
      <c r="A36" s="395">
        <v>5</v>
      </c>
      <c r="B36" s="396" t="s">
        <v>64</v>
      </c>
      <c r="C36" s="149">
        <f t="shared" ca="1" si="22"/>
        <v>213000</v>
      </c>
      <c r="D36" s="150">
        <f t="shared" ca="1" si="43"/>
        <v>213000</v>
      </c>
      <c r="E36" s="151">
        <f ca="1">IFERROR(__xludf.DUMMYFUNCTION("IMPORTRANGE(""https://docs.google.com/spreadsheets/d/1-uDff_7J0KD5mKrp0Vvzr7lt3OU09vwQwhkpOPPYv2Y/edit?usp=sharing"",""งบพรบ!ET36"")"),0)</f>
        <v>0</v>
      </c>
      <c r="F36" s="151">
        <f ca="1">IFERROR(__xludf.DUMMYFUNCTION("IMPORTRANGE(""https://docs.google.com/spreadsheets/d/1-uDff_7J0KD5mKrp0Vvzr7lt3OU09vwQwhkpOPPYv2Y/edit?usp=sharing"",""งบพรบ!EU36"")"),213000)</f>
        <v>213000</v>
      </c>
      <c r="G36" s="151">
        <f ca="1">IFERROR(__xludf.DUMMYFUNCTION("IMPORTRANGE(""https://docs.google.com/spreadsheets/d/1-uDff_7J0KD5mKrp0Vvzr7lt3OU09vwQwhkpOPPYv2Y/edit?usp=sharing"",""งบพรบ!EV36"")"),0)</f>
        <v>0</v>
      </c>
      <c r="H36" s="151">
        <f ca="1">IFERROR(__xludf.DUMMYFUNCTION("IMPORTRANGE(""https://docs.google.com/spreadsheets/d/1-uDff_7J0KD5mKrp0Vvzr7lt3OU09vwQwhkpOPPYv2Y/edit?usp=sharing"",""งบพรบ!EX36"")"),213000)</f>
        <v>213000</v>
      </c>
      <c r="I36" s="151">
        <f ca="1">IFERROR(__xludf.DUMMYFUNCTION("IMPORTRANGE(""https://docs.google.com/spreadsheets/d/1-uDff_7J0KD5mKrp0Vvzr7lt3OU09vwQwhkpOPPYv2Y/edit?usp=sharing"",""งบพรบ!EY36"")"),0)</f>
        <v>0</v>
      </c>
      <c r="J36" s="151">
        <f t="shared" ca="1" si="24"/>
        <v>146453.63</v>
      </c>
      <c r="K36" s="154">
        <f t="shared" ca="1" si="25"/>
        <v>68.757572769953057</v>
      </c>
      <c r="L36" s="151">
        <f ca="1">IFERROR(__xludf.DUMMYFUNCTION("IMPORTRANGE(""https://docs.google.com/spreadsheets/d/1-uDff_7J0KD5mKrp0Vvzr7lt3OU09vwQwhkpOPPYv2Y/edit?usp=sharing"",""งบพรบ!EZ36"")"),146453.63)</f>
        <v>146453.63</v>
      </c>
      <c r="M36" s="68">
        <f t="shared" ca="1" si="26"/>
        <v>68.757572769953057</v>
      </c>
      <c r="N36" s="68">
        <f t="shared" ca="1" si="27"/>
        <v>68.757572769953057</v>
      </c>
      <c r="O36" s="67">
        <f ca="1">IFERROR(__xludf.DUMMYFUNCTION("IMPORTRANGE(""https://docs.google.com/spreadsheets/d/1-uDff_7J0KD5mKrp0Vvzr7lt3OU09vwQwhkpOPPYv2Y/edit?usp=sharing"",""งบพรบ!FA36"")"),0)</f>
        <v>0</v>
      </c>
      <c r="P36" s="67">
        <f t="shared" ca="1" si="28"/>
        <v>0</v>
      </c>
      <c r="Q36" s="68">
        <f t="shared" ca="1" si="29"/>
        <v>0</v>
      </c>
      <c r="R36" s="152">
        <f ca="1">IFERROR(__xludf.DUMMYFUNCTION("IMPORTRANGE(""https://docs.google.com/spreadsheets/d/1Mnpb-8PYAgn85W6KOTD40hc_Xc55CaLfHoGAbrZ8tls/edit?usp=sharing"",""นครราชสีมา!I332"")"),8620)</f>
        <v>8620</v>
      </c>
      <c r="S36" s="152">
        <f ca="1">IFERROR(__xludf.DUMMYFUNCTION("IMPORTRANGE(""https://docs.google.com/spreadsheets/d/1Mnpb-8PYAgn85W6KOTD40hc_Xc55CaLfHoGAbrZ8tls/edit?usp=sharing"",""นครราชสีมา!J332"")"),8470)</f>
        <v>8470</v>
      </c>
      <c r="T36" s="153">
        <f t="shared" ca="1" si="31"/>
        <v>98.259860788863108</v>
      </c>
      <c r="U36" s="394" t="str">
        <f ca="1">IFERROR(__xludf.DUMMYFUNCTION("IMPORTRANGE(""https://docs.google.com/spreadsheets/d/1Mnpb-8PYAgn85W6KOTD40hc_Xc55CaLfHoGAbrZ8tls/edit?usp=sharing"",""นครราชสีมา!I344"")"),"")</f>
        <v/>
      </c>
      <c r="V36" s="152">
        <f ca="1">IFERROR(__xludf.DUMMYFUNCTION("IMPORTRANGE(""https://docs.google.com/spreadsheets/d/1Mnpb-8PYAgn85W6KOTD40hc_Xc55CaLfHoGAbrZ8tls/edit?usp=sharing"",""นครราชสีมา!J344"")"),5734)</f>
        <v>5734</v>
      </c>
      <c r="W36" s="216" t="e">
        <f t="shared" ca="1" si="33"/>
        <v>#VALUE!</v>
      </c>
      <c r="X36" s="278">
        <f ca="1">IFERROR(__xludf.DUMMYFUNCTION("IMPORTRANGE(""https://docs.google.com/spreadsheets/d/1Mnpb-8PYAgn85W6KOTD40hc_Xc55CaLfHoGAbrZ8tls/edit?usp=sharing"",""นครราชสีมา!I346"")"),15)</f>
        <v>15</v>
      </c>
      <c r="Y36" s="152">
        <f ca="1">IFERROR(__xludf.DUMMYFUNCTION("IMPORTRANGE(""https://docs.google.com/spreadsheets/d/1Mnpb-8PYAgn85W6KOTD40hc_Xc55CaLfHoGAbrZ8tls/edit?usp=sharing"",""นครราชสีมา!J346"")"),3)</f>
        <v>3</v>
      </c>
      <c r="Z36" s="216">
        <f t="shared" ca="1" si="35"/>
        <v>20</v>
      </c>
      <c r="AA36" s="152">
        <f ca="1">IFERROR(__xludf.DUMMYFUNCTION("IMPORTRANGE(""https://docs.google.com/spreadsheets/d/1Mnpb-8PYAgn85W6KOTD40hc_Xc55CaLfHoGAbrZ8tls/edit?usp=sharing"",""นครราชสีมา!J347"")"),441)</f>
        <v>441</v>
      </c>
      <c r="AB36" s="152">
        <f ca="1">IFERROR(__xludf.DUMMYFUNCTION("IMPORTRANGE(""https://docs.google.com/spreadsheets/d/1Mnpb-8PYAgn85W6KOTD40hc_Xc55CaLfHoGAbrZ8tls/edit?usp=sharing"",""นครราชสีมา!J348"")"),2)</f>
        <v>2</v>
      </c>
      <c r="AC36" s="152">
        <f ca="1">IFERROR(__xludf.DUMMYFUNCTION("IMPORTRANGE(""https://docs.google.com/spreadsheets/d/1Mnpb-8PYAgn85W6KOTD40hc_Xc55CaLfHoGAbrZ8tls/edit?usp=sharing"",""นครราชสีมา!J349"")"),0)</f>
        <v>0</v>
      </c>
      <c r="AD36" s="152">
        <f ca="1">IFERROR(__xludf.DUMMYFUNCTION("IMPORTRANGE(""https://docs.google.com/spreadsheets/d/1Mnpb-8PYAgn85W6KOTD40hc_Xc55CaLfHoGAbrZ8tls/edit?usp=sharing"",""นครราชสีมา!J343"")"),6177)</f>
        <v>6177</v>
      </c>
      <c r="AE36" s="152">
        <f ca="1">IFERROR(__xludf.DUMMYFUNCTION("IMPORTRANGE(""https://docs.google.com/spreadsheets/d/1Mnpb-8PYAgn85W6KOTD40hc_Xc55CaLfHoGAbrZ8tls/edit?usp=sharing"",""นครราชสีมา!J352"")"),4709)</f>
        <v>4709</v>
      </c>
      <c r="AF36" s="152">
        <f ca="1">IFERROR(__xludf.DUMMYFUNCTION("IMPORTRANGE(""https://docs.google.com/spreadsheets/d/1Mnpb-8PYAgn85W6KOTD40hc_Xc55CaLfHoGAbrZ8tls/edit?usp=sharing"",""นครราชสีมา!J353"")"),2079)</f>
        <v>2079</v>
      </c>
      <c r="AG36" s="152">
        <f ca="1">IFERROR(__xludf.DUMMYFUNCTION("IMPORTRANGE(""https://docs.google.com/spreadsheets/d/1Mnpb-8PYAgn85W6KOTD40hc_Xc55CaLfHoGAbrZ8tls/edit?usp=sharing"",""นครราชสีมา!J354"")"),214)</f>
        <v>214</v>
      </c>
    </row>
    <row r="37" spans="1:33" ht="21" customHeight="1" x14ac:dyDescent="0.3">
      <c r="A37" s="395">
        <v>6</v>
      </c>
      <c r="B37" s="396" t="s">
        <v>65</v>
      </c>
      <c r="C37" s="149">
        <f t="shared" ca="1" si="22"/>
        <v>194000</v>
      </c>
      <c r="D37" s="150">
        <f t="shared" ca="1" si="43"/>
        <v>194000</v>
      </c>
      <c r="E37" s="151">
        <f ca="1">IFERROR(__xludf.DUMMYFUNCTION("IMPORTRANGE(""https://docs.google.com/spreadsheets/d/1-uDff_7J0KD5mKrp0Vvzr7lt3OU09vwQwhkpOPPYv2Y/edit?usp=sharing"",""งบพรบ!ET37"")"),0)</f>
        <v>0</v>
      </c>
      <c r="F37" s="151">
        <f ca="1">IFERROR(__xludf.DUMMYFUNCTION("IMPORTRANGE(""https://docs.google.com/spreadsheets/d/1-uDff_7J0KD5mKrp0Vvzr7lt3OU09vwQwhkpOPPYv2Y/edit?usp=sharing"",""งบพรบ!EU37"")"),194000)</f>
        <v>194000</v>
      </c>
      <c r="G37" s="151">
        <f ca="1">IFERROR(__xludf.DUMMYFUNCTION("IMPORTRANGE(""https://docs.google.com/spreadsheets/d/1-uDff_7J0KD5mKrp0Vvzr7lt3OU09vwQwhkpOPPYv2Y/edit?usp=sharing"",""งบพรบ!EV37"")"),0)</f>
        <v>0</v>
      </c>
      <c r="H37" s="151">
        <f ca="1">IFERROR(__xludf.DUMMYFUNCTION("IMPORTRANGE(""https://docs.google.com/spreadsheets/d/1-uDff_7J0KD5mKrp0Vvzr7lt3OU09vwQwhkpOPPYv2Y/edit?usp=sharing"",""งบพรบ!EX37"")"),194000)</f>
        <v>194000</v>
      </c>
      <c r="I37" s="151">
        <f ca="1">IFERROR(__xludf.DUMMYFUNCTION("IMPORTRANGE(""https://docs.google.com/spreadsheets/d/1-uDff_7J0KD5mKrp0Vvzr7lt3OU09vwQwhkpOPPYv2Y/edit?usp=sharing"",""งบพรบ!EY37"")"),0)</f>
        <v>0</v>
      </c>
      <c r="J37" s="151">
        <f t="shared" ca="1" si="24"/>
        <v>155450</v>
      </c>
      <c r="K37" s="154">
        <f t="shared" ca="1" si="25"/>
        <v>80.128865979381445</v>
      </c>
      <c r="L37" s="151">
        <f ca="1">IFERROR(__xludf.DUMMYFUNCTION("IMPORTRANGE(""https://docs.google.com/spreadsheets/d/1-uDff_7J0KD5mKrp0Vvzr7lt3OU09vwQwhkpOPPYv2Y/edit?usp=sharing"",""งบพรบ!EZ37"")"),155450)</f>
        <v>155450</v>
      </c>
      <c r="M37" s="68">
        <f t="shared" ca="1" si="26"/>
        <v>80.128865979381445</v>
      </c>
      <c r="N37" s="68">
        <f t="shared" ca="1" si="27"/>
        <v>80.128865979381445</v>
      </c>
      <c r="O37" s="67">
        <f ca="1">IFERROR(__xludf.DUMMYFUNCTION("IMPORTRANGE(""https://docs.google.com/spreadsheets/d/1-uDff_7J0KD5mKrp0Vvzr7lt3OU09vwQwhkpOPPYv2Y/edit?usp=sharing"",""งบพรบ!FA37"")"),0)</f>
        <v>0</v>
      </c>
      <c r="P37" s="67">
        <f t="shared" ca="1" si="28"/>
        <v>0</v>
      </c>
      <c r="Q37" s="68">
        <f t="shared" ca="1" si="29"/>
        <v>0</v>
      </c>
      <c r="R37" s="152">
        <f ca="1">IFERROR(__xludf.DUMMYFUNCTION("IMPORTRANGE(""https://docs.google.com/spreadsheets/d/1xoDLGBv9CYbyosIhki0kTq6IpYNj-gpjxfobnaDiut0/edit?usp=sharing"",""บึงกาฬ!I332"")"),3600)</f>
        <v>3600</v>
      </c>
      <c r="S37" s="152">
        <f ca="1">IFERROR(__xludf.DUMMYFUNCTION("IMPORTRANGE(""https://docs.google.com/spreadsheets/d/1xoDLGBv9CYbyosIhki0kTq6IpYNj-gpjxfobnaDiut0/edit?usp=sharing"",""บึงกาฬ!J332"")"),6829)</f>
        <v>6829</v>
      </c>
      <c r="T37" s="153">
        <f t="shared" ca="1" si="31"/>
        <v>189.69444444444446</v>
      </c>
      <c r="U37" s="394" t="str">
        <f ca="1">IFERROR(__xludf.DUMMYFUNCTION("IMPORTRANGE(""https://docs.google.com/spreadsheets/d/1xoDLGBv9CYbyosIhki0kTq6IpYNj-gpjxfobnaDiut0/edit?usp=sharing"",""บึงกาฬ!I344"")"),"")</f>
        <v/>
      </c>
      <c r="V37" s="152">
        <f ca="1">IFERROR(__xludf.DUMMYFUNCTION("IMPORTRANGE(""https://docs.google.com/spreadsheets/d/1xoDLGBv9CYbyosIhki0kTq6IpYNj-gpjxfobnaDiut0/edit?usp=sharing"",""บึงกาฬ!J344"")"),1374)</f>
        <v>1374</v>
      </c>
      <c r="W37" s="216" t="e">
        <f t="shared" ca="1" si="33"/>
        <v>#VALUE!</v>
      </c>
      <c r="X37" s="278">
        <f ca="1">IFERROR(__xludf.DUMMYFUNCTION("IMPORTRANGE(""https://docs.google.com/spreadsheets/d/1xoDLGBv9CYbyosIhki0kTq6IpYNj-gpjxfobnaDiut0/edit?usp=sharing"",""บึงกาฬ!I346"")"),8)</f>
        <v>8</v>
      </c>
      <c r="Y37" s="152">
        <f ca="1">IFERROR(__xludf.DUMMYFUNCTION("IMPORTRANGE(""https://docs.google.com/spreadsheets/d/1xoDLGBv9CYbyosIhki0kTq6IpYNj-gpjxfobnaDiut0/edit?usp=sharing"",""บึงกาฬ!J346"")"),8)</f>
        <v>8</v>
      </c>
      <c r="Z37" s="216">
        <f t="shared" ca="1" si="35"/>
        <v>100</v>
      </c>
      <c r="AA37" s="152">
        <f ca="1">IFERROR(__xludf.DUMMYFUNCTION("IMPORTRANGE(""https://docs.google.com/spreadsheets/d/1xoDLGBv9CYbyosIhki0kTq6IpYNj-gpjxfobnaDiut0/edit?usp=sharing"",""บึงกาฬ!J347"")"),25)</f>
        <v>25</v>
      </c>
      <c r="AB37" s="152">
        <f ca="1">IFERROR(__xludf.DUMMYFUNCTION("IMPORTRANGE(""https://docs.google.com/spreadsheets/d/1xoDLGBv9CYbyosIhki0kTq6IpYNj-gpjxfobnaDiut0/edit?usp=sharing"",""บึงกาฬ!J348"")"),0)</f>
        <v>0</v>
      </c>
      <c r="AC37" s="152">
        <f ca="1">IFERROR(__xludf.DUMMYFUNCTION("IMPORTRANGE(""https://docs.google.com/spreadsheets/d/1xoDLGBv9CYbyosIhki0kTq6IpYNj-gpjxfobnaDiut0/edit?usp=sharing"",""บึงกาฬ!J349"")"),0)</f>
        <v>0</v>
      </c>
      <c r="AD37" s="152">
        <f ca="1">IFERROR(__xludf.DUMMYFUNCTION("IMPORTRANGE(""https://docs.google.com/spreadsheets/d/1xoDLGBv9CYbyosIhki0kTq6IpYNj-gpjxfobnaDiut0/edit?usp=sharing"",""บึงกาฬ!J343"")"),1399)</f>
        <v>1399</v>
      </c>
      <c r="AE37" s="152">
        <f ca="1">IFERROR(__xludf.DUMMYFUNCTION("IMPORTRANGE(""https://docs.google.com/spreadsheets/d/1xoDLGBv9CYbyosIhki0kTq6IpYNj-gpjxfobnaDiut0/edit?usp=sharing"",""บึงกาฬ!J352"")"),4791)</f>
        <v>4791</v>
      </c>
      <c r="AF37" s="152">
        <f ca="1">IFERROR(__xludf.DUMMYFUNCTION("IMPORTRANGE(""https://docs.google.com/spreadsheets/d/1xoDLGBv9CYbyosIhki0kTq6IpYNj-gpjxfobnaDiut0/edit?usp=sharing"",""บึงกาฬ!J353"")"),3610)</f>
        <v>3610</v>
      </c>
      <c r="AG37" s="152">
        <f ca="1">IFERROR(__xludf.DUMMYFUNCTION("IMPORTRANGE(""https://docs.google.com/spreadsheets/d/1xoDLGBv9CYbyosIhki0kTq6IpYNj-gpjxfobnaDiut0/edit?usp=sharing"",""บึงกาฬ!J354"")"),1820)</f>
        <v>1820</v>
      </c>
    </row>
    <row r="38" spans="1:33" ht="21" customHeight="1" x14ac:dyDescent="0.3">
      <c r="A38" s="395">
        <v>7</v>
      </c>
      <c r="B38" s="396" t="s">
        <v>66</v>
      </c>
      <c r="C38" s="149">
        <f t="shared" ca="1" si="22"/>
        <v>299500</v>
      </c>
      <c r="D38" s="150">
        <f t="shared" ca="1" si="43"/>
        <v>299500</v>
      </c>
      <c r="E38" s="151">
        <f ca="1">IFERROR(__xludf.DUMMYFUNCTION("IMPORTRANGE(""https://docs.google.com/spreadsheets/d/1-uDff_7J0KD5mKrp0Vvzr7lt3OU09vwQwhkpOPPYv2Y/edit?usp=sharing"",""งบพรบ!ET38"")"),104500)</f>
        <v>104500</v>
      </c>
      <c r="F38" s="151">
        <f ca="1">IFERROR(__xludf.DUMMYFUNCTION("IMPORTRANGE(""https://docs.google.com/spreadsheets/d/1-uDff_7J0KD5mKrp0Vvzr7lt3OU09vwQwhkpOPPYv2Y/edit?usp=sharing"",""งบพรบ!EU38"")"),195000)</f>
        <v>195000</v>
      </c>
      <c r="G38" s="151">
        <f ca="1">IFERROR(__xludf.DUMMYFUNCTION("IMPORTRANGE(""https://docs.google.com/spreadsheets/d/1-uDff_7J0KD5mKrp0Vvzr7lt3OU09vwQwhkpOPPYv2Y/edit?usp=sharing"",""งบพรบ!EV38"")"),0)</f>
        <v>0</v>
      </c>
      <c r="H38" s="151">
        <f ca="1">IFERROR(__xludf.DUMMYFUNCTION("IMPORTRANGE(""https://docs.google.com/spreadsheets/d/1-uDff_7J0KD5mKrp0Vvzr7lt3OU09vwQwhkpOPPYv2Y/edit?usp=sharing"",""งบพรบ!EX38"")"),299500)</f>
        <v>299500</v>
      </c>
      <c r="I38" s="151">
        <f ca="1">IFERROR(__xludf.DUMMYFUNCTION("IMPORTRANGE(""https://docs.google.com/spreadsheets/d/1-uDff_7J0KD5mKrp0Vvzr7lt3OU09vwQwhkpOPPYv2Y/edit?usp=sharing"",""งบพรบ!EY38"")"),0)</f>
        <v>0</v>
      </c>
      <c r="J38" s="151">
        <f t="shared" ca="1" si="24"/>
        <v>238055.09</v>
      </c>
      <c r="K38" s="154">
        <f t="shared" ca="1" si="25"/>
        <v>79.48417028380635</v>
      </c>
      <c r="L38" s="151">
        <f ca="1">IFERROR(__xludf.DUMMYFUNCTION("IMPORTRANGE(""https://docs.google.com/spreadsheets/d/1-uDff_7J0KD5mKrp0Vvzr7lt3OU09vwQwhkpOPPYv2Y/edit?usp=sharing"",""งบพรบ!EZ38"")"),238055.09)</f>
        <v>238055.09</v>
      </c>
      <c r="M38" s="68">
        <f t="shared" ca="1" si="26"/>
        <v>79.48417028380635</v>
      </c>
      <c r="N38" s="68">
        <f t="shared" ca="1" si="27"/>
        <v>79.48417028380635</v>
      </c>
      <c r="O38" s="67">
        <f ca="1">IFERROR(__xludf.DUMMYFUNCTION("IMPORTRANGE(""https://docs.google.com/spreadsheets/d/1-uDff_7J0KD5mKrp0Vvzr7lt3OU09vwQwhkpOPPYv2Y/edit?usp=sharing"",""งบพรบ!FA38"")"),0)</f>
        <v>0</v>
      </c>
      <c r="P38" s="67">
        <f t="shared" ca="1" si="28"/>
        <v>0</v>
      </c>
      <c r="Q38" s="68">
        <f t="shared" ca="1" si="29"/>
        <v>0</v>
      </c>
      <c r="R38" s="152">
        <f ca="1">IFERROR(__xludf.DUMMYFUNCTION("IMPORTRANGE(""https://docs.google.com/spreadsheets/d/1MMPq-JyI6DSgQETxuSiXkesP-P7JHuemnE6QJIa-Nlw/edit?usp=sharing"",""บุรีรัมย์!I332"")"),6300)</f>
        <v>6300</v>
      </c>
      <c r="S38" s="152">
        <f ca="1">IFERROR(__xludf.DUMMYFUNCTION("IMPORTRANGE(""https://docs.google.com/spreadsheets/d/1MMPq-JyI6DSgQETxuSiXkesP-P7JHuemnE6QJIa-Nlw/edit?usp=sharing"",""บุรีรัมย์!J332"")"),20585)</f>
        <v>20585</v>
      </c>
      <c r="T38" s="153">
        <f t="shared" ca="1" si="31"/>
        <v>326.74603174603175</v>
      </c>
      <c r="U38" s="394" t="str">
        <f ca="1">IFERROR(__xludf.DUMMYFUNCTION("IMPORTRANGE(""https://docs.google.com/spreadsheets/d/1MMPq-JyI6DSgQETxuSiXkesP-P7JHuemnE6QJIa-Nlw/edit?usp=sharing"",""บุรีรัมย์!I344"")"),"")</f>
        <v/>
      </c>
      <c r="V38" s="152">
        <f ca="1">IFERROR(__xludf.DUMMYFUNCTION("IMPORTRANGE(""https://docs.google.com/spreadsheets/d/1MMPq-JyI6DSgQETxuSiXkesP-P7JHuemnE6QJIa-Nlw/edit?usp=sharing"",""บุรีรัมย์!J344"")"),7095)</f>
        <v>7095</v>
      </c>
      <c r="W38" s="216" t="e">
        <f t="shared" ca="1" si="33"/>
        <v>#VALUE!</v>
      </c>
      <c r="X38" s="278">
        <f ca="1">IFERROR(__xludf.DUMMYFUNCTION("IMPORTRANGE(""https://docs.google.com/spreadsheets/d/1MMPq-JyI6DSgQETxuSiXkesP-P7JHuemnE6QJIa-Nlw/edit?usp=sharing"",""บุรีรัมย์!I346"")"),6)</f>
        <v>6</v>
      </c>
      <c r="Y38" s="152">
        <f ca="1">IFERROR(__xludf.DUMMYFUNCTION("IMPORTRANGE(""https://docs.google.com/spreadsheets/d/1MMPq-JyI6DSgQETxuSiXkesP-P7JHuemnE6QJIa-Nlw/edit?usp=sharing"",""บุรีรัมย์!J346"")"),7)</f>
        <v>7</v>
      </c>
      <c r="Z38" s="216">
        <f t="shared" ca="1" si="35"/>
        <v>116.66666666666667</v>
      </c>
      <c r="AA38" s="152">
        <f ca="1">IFERROR(__xludf.DUMMYFUNCTION("IMPORTRANGE(""https://docs.google.com/spreadsheets/d/1MMPq-JyI6DSgQETxuSiXkesP-P7JHuemnE6QJIa-Nlw/edit?usp=sharing"",""บุรีรัมย์!J347"")"),1)</f>
        <v>1</v>
      </c>
      <c r="AB38" s="152">
        <f ca="1">IFERROR(__xludf.DUMMYFUNCTION("IMPORTRANGE(""https://docs.google.com/spreadsheets/d/1MMPq-JyI6DSgQETxuSiXkesP-P7JHuemnE6QJIa-Nlw/edit?usp=sharing"",""บุรีรัมย์!J348"")"),1)</f>
        <v>1</v>
      </c>
      <c r="AC38" s="152">
        <f ca="1">IFERROR(__xludf.DUMMYFUNCTION("IMPORTRANGE(""https://docs.google.com/spreadsheets/d/1MMPq-JyI6DSgQETxuSiXkesP-P7JHuemnE6QJIa-Nlw/edit?usp=sharing"",""บุรีรัมย์!J349"")"),0)</f>
        <v>0</v>
      </c>
      <c r="AD38" s="152">
        <f ca="1">IFERROR(__xludf.DUMMYFUNCTION("IMPORTRANGE(""https://docs.google.com/spreadsheets/d/1MMPq-JyI6DSgQETxuSiXkesP-P7JHuemnE6QJIa-Nlw/edit?usp=sharing"",""บุรีรัมย์!J343"")"),7097)</f>
        <v>7097</v>
      </c>
      <c r="AE38" s="152">
        <f ca="1">IFERROR(__xludf.DUMMYFUNCTION("IMPORTRANGE(""https://docs.google.com/spreadsheets/d/1MMPq-JyI6DSgQETxuSiXkesP-P7JHuemnE6QJIa-Nlw/edit?usp=sharing"",""บุรีรัมย์!J352"")"),8727)</f>
        <v>8727</v>
      </c>
      <c r="AF38" s="152">
        <f ca="1">IFERROR(__xludf.DUMMYFUNCTION("IMPORTRANGE(""https://docs.google.com/spreadsheets/d/1MMPq-JyI6DSgQETxuSiXkesP-P7JHuemnE6QJIa-Nlw/edit?usp=sharing"",""บุรีรัมย์!J353"")"),9905)</f>
        <v>9905</v>
      </c>
      <c r="AG38" s="152">
        <f ca="1">IFERROR(__xludf.DUMMYFUNCTION("IMPORTRANGE(""https://docs.google.com/spreadsheets/d/1MMPq-JyI6DSgQETxuSiXkesP-P7JHuemnE6QJIa-Nlw/edit?usp=sharing"",""บุรีรัมย์!J354"")"),3583)</f>
        <v>3583</v>
      </c>
    </row>
    <row r="39" spans="1:33" ht="21" customHeight="1" x14ac:dyDescent="0.3">
      <c r="A39" s="395">
        <v>8</v>
      </c>
      <c r="B39" s="396" t="s">
        <v>67</v>
      </c>
      <c r="C39" s="149">
        <f t="shared" ca="1" si="22"/>
        <v>176000</v>
      </c>
      <c r="D39" s="150">
        <f t="shared" ca="1" si="43"/>
        <v>176000</v>
      </c>
      <c r="E39" s="151">
        <f ca="1">IFERROR(__xludf.DUMMYFUNCTION("IMPORTRANGE(""https://docs.google.com/spreadsheets/d/1-uDff_7J0KD5mKrp0Vvzr7lt3OU09vwQwhkpOPPYv2Y/edit?usp=sharing"",""งบพรบ!ET39"")"),0)</f>
        <v>0</v>
      </c>
      <c r="F39" s="151">
        <f ca="1">IFERROR(__xludf.DUMMYFUNCTION("IMPORTRANGE(""https://docs.google.com/spreadsheets/d/1-uDff_7J0KD5mKrp0Vvzr7lt3OU09vwQwhkpOPPYv2Y/edit?usp=sharing"",""งบพรบ!EU39"")"),176000)</f>
        <v>176000</v>
      </c>
      <c r="G39" s="151">
        <f ca="1">IFERROR(__xludf.DUMMYFUNCTION("IMPORTRANGE(""https://docs.google.com/spreadsheets/d/1-uDff_7J0KD5mKrp0Vvzr7lt3OU09vwQwhkpOPPYv2Y/edit?usp=sharing"",""งบพรบ!EV39"")"),0)</f>
        <v>0</v>
      </c>
      <c r="H39" s="151">
        <f ca="1">IFERROR(__xludf.DUMMYFUNCTION("IMPORTRANGE(""https://docs.google.com/spreadsheets/d/1-uDff_7J0KD5mKrp0Vvzr7lt3OU09vwQwhkpOPPYv2Y/edit?usp=sharing"",""งบพรบ!EX39"")"),176000)</f>
        <v>176000</v>
      </c>
      <c r="I39" s="151">
        <f ca="1">IFERROR(__xludf.DUMMYFUNCTION("IMPORTRANGE(""https://docs.google.com/spreadsheets/d/1-uDff_7J0KD5mKrp0Vvzr7lt3OU09vwQwhkpOPPYv2Y/edit?usp=sharing"",""งบพรบ!EY39"")"),0)</f>
        <v>0</v>
      </c>
      <c r="J39" s="151">
        <f t="shared" ca="1" si="24"/>
        <v>133160</v>
      </c>
      <c r="K39" s="154">
        <f t="shared" ca="1" si="25"/>
        <v>75.659090909090907</v>
      </c>
      <c r="L39" s="151">
        <f ca="1">IFERROR(__xludf.DUMMYFUNCTION("IMPORTRANGE(""https://docs.google.com/spreadsheets/d/1-uDff_7J0KD5mKrp0Vvzr7lt3OU09vwQwhkpOPPYv2Y/edit?usp=sharing"",""งบพรบ!EZ39"")"),133160)</f>
        <v>133160</v>
      </c>
      <c r="M39" s="68">
        <f t="shared" ca="1" si="26"/>
        <v>75.659090909090907</v>
      </c>
      <c r="N39" s="68">
        <f t="shared" ca="1" si="27"/>
        <v>75.659090909090907</v>
      </c>
      <c r="O39" s="67">
        <f ca="1">IFERROR(__xludf.DUMMYFUNCTION("IMPORTRANGE(""https://docs.google.com/spreadsheets/d/1-uDff_7J0KD5mKrp0Vvzr7lt3OU09vwQwhkpOPPYv2Y/edit?usp=sharing"",""งบพรบ!FA39"")"),0)</f>
        <v>0</v>
      </c>
      <c r="P39" s="67">
        <f t="shared" ca="1" si="28"/>
        <v>0</v>
      </c>
      <c r="Q39" s="68">
        <f t="shared" ca="1" si="29"/>
        <v>0</v>
      </c>
      <c r="R39" s="152">
        <f ca="1">IFERROR(__xludf.DUMMYFUNCTION("IMPORTRANGE(""https://docs.google.com/spreadsheets/d/1l6IZ8xUPgMrESzcTYwhA1k_tPjeQjJPTqlm8Gd9eU5g/edit?usp=sharing"",""มหาสารคาม!I332"")"),1000)</f>
        <v>1000</v>
      </c>
      <c r="S39" s="152">
        <f ca="1">IFERROR(__xludf.DUMMYFUNCTION("IMPORTRANGE(""https://docs.google.com/spreadsheets/d/1l6IZ8xUPgMrESzcTYwhA1k_tPjeQjJPTqlm8Gd9eU5g/edit?usp=sharing"",""มหาสารคาม!J332"")"),9375)</f>
        <v>9375</v>
      </c>
      <c r="T39" s="153">
        <f t="shared" ca="1" si="31"/>
        <v>937.5</v>
      </c>
      <c r="U39" s="394" t="str">
        <f ca="1">IFERROR(__xludf.DUMMYFUNCTION("IMPORTRANGE(""https://docs.google.com/spreadsheets/d/1l6IZ8xUPgMrESzcTYwhA1k_tPjeQjJPTqlm8Gd9eU5g/edit?usp=sharing"",""มหาสารคาม!I344"")"),"")</f>
        <v/>
      </c>
      <c r="V39" s="152">
        <f ca="1">IFERROR(__xludf.DUMMYFUNCTION("IMPORTRANGE(""https://docs.google.com/spreadsheets/d/1l6IZ8xUPgMrESzcTYwhA1k_tPjeQjJPTqlm8Gd9eU5g/edit?usp=sharing"",""มหาสารคาม!J344"")"),731)</f>
        <v>731</v>
      </c>
      <c r="W39" s="216" t="e">
        <f t="shared" ca="1" si="33"/>
        <v>#VALUE!</v>
      </c>
      <c r="X39" s="278">
        <f ca="1">IFERROR(__xludf.DUMMYFUNCTION("IMPORTRANGE(""https://docs.google.com/spreadsheets/d/1l6IZ8xUPgMrESzcTYwhA1k_tPjeQjJPTqlm8Gd9eU5g/edit?usp=sharing"",""มหาสารคาม!I346"")"),4)</f>
        <v>4</v>
      </c>
      <c r="Y39" s="152">
        <f ca="1">IFERROR(__xludf.DUMMYFUNCTION("IMPORTRANGE(""https://docs.google.com/spreadsheets/d/1l6IZ8xUPgMrESzcTYwhA1k_tPjeQjJPTqlm8Gd9eU5g/edit?usp=sharing"",""มหาสารคาม!J346"")"),4)</f>
        <v>4</v>
      </c>
      <c r="Z39" s="216">
        <f t="shared" ca="1" si="35"/>
        <v>100</v>
      </c>
      <c r="AA39" s="152">
        <f ca="1">IFERROR(__xludf.DUMMYFUNCTION("IMPORTRANGE(""https://docs.google.com/spreadsheets/d/1l6IZ8xUPgMrESzcTYwhA1k_tPjeQjJPTqlm8Gd9eU5g/edit?usp=sharing"",""มหาสารคาม!J347"")"),0)</f>
        <v>0</v>
      </c>
      <c r="AB39" s="152">
        <f ca="1">IFERROR(__xludf.DUMMYFUNCTION("IMPORTRANGE(""https://docs.google.com/spreadsheets/d/1l6IZ8xUPgMrESzcTYwhA1k_tPjeQjJPTqlm8Gd9eU5g/edit?usp=sharing"",""มหาสารคาม!J348"")"),0)</f>
        <v>0</v>
      </c>
      <c r="AC39" s="152">
        <f ca="1">IFERROR(__xludf.DUMMYFUNCTION("IMPORTRANGE(""https://docs.google.com/spreadsheets/d/1l6IZ8xUPgMrESzcTYwhA1k_tPjeQjJPTqlm8Gd9eU5g/edit?usp=sharing"",""มหาสารคาม!J349"")"),0)</f>
        <v>0</v>
      </c>
      <c r="AD39" s="152">
        <f ca="1">IFERROR(__xludf.DUMMYFUNCTION("IMPORTRANGE(""https://docs.google.com/spreadsheets/d/1l6IZ8xUPgMrESzcTYwhA1k_tPjeQjJPTqlm8Gd9eU5g/edit?usp=sharing"",""มหาสารคาม!J343"")"),731)</f>
        <v>731</v>
      </c>
      <c r="AE39" s="152">
        <f ca="1">IFERROR(__xludf.DUMMYFUNCTION("IMPORTRANGE(""https://docs.google.com/spreadsheets/d/1l6IZ8xUPgMrESzcTYwhA1k_tPjeQjJPTqlm8Gd9eU5g/edit?usp=sharing"",""มหาสารคาม!J352"")"),381)</f>
        <v>381</v>
      </c>
      <c r="AF39" s="152">
        <f ca="1">IFERROR(__xludf.DUMMYFUNCTION("IMPORTRANGE(""https://docs.google.com/spreadsheets/d/1l6IZ8xUPgMrESzcTYwhA1k_tPjeQjJPTqlm8Gd9eU5g/edit?usp=sharing"",""มหาสารคาม!J353"")"),7653)</f>
        <v>7653</v>
      </c>
      <c r="AG39" s="152">
        <f ca="1">IFERROR(__xludf.DUMMYFUNCTION("IMPORTRANGE(""https://docs.google.com/spreadsheets/d/1l6IZ8xUPgMrESzcTYwhA1k_tPjeQjJPTqlm8Gd9eU5g/edit?usp=sharing"",""มหาสารคาม!J354"")"),991)</f>
        <v>991</v>
      </c>
    </row>
    <row r="40" spans="1:33" ht="21" customHeight="1" x14ac:dyDescent="0.3">
      <c r="A40" s="395">
        <v>9</v>
      </c>
      <c r="B40" s="396" t="s">
        <v>68</v>
      </c>
      <c r="C40" s="149">
        <f t="shared" ca="1" si="22"/>
        <v>185000</v>
      </c>
      <c r="D40" s="150">
        <f t="shared" ca="1" si="43"/>
        <v>185000</v>
      </c>
      <c r="E40" s="151">
        <f ca="1">IFERROR(__xludf.DUMMYFUNCTION("IMPORTRANGE(""https://docs.google.com/spreadsheets/d/1-uDff_7J0KD5mKrp0Vvzr7lt3OU09vwQwhkpOPPYv2Y/edit?usp=sharing"",""งบพรบ!ET40"")"),0)</f>
        <v>0</v>
      </c>
      <c r="F40" s="151">
        <f ca="1">IFERROR(__xludf.DUMMYFUNCTION("IMPORTRANGE(""https://docs.google.com/spreadsheets/d/1-uDff_7J0KD5mKrp0Vvzr7lt3OU09vwQwhkpOPPYv2Y/edit?usp=sharing"",""งบพรบ!EU40"")"),185000)</f>
        <v>185000</v>
      </c>
      <c r="G40" s="151">
        <f ca="1">IFERROR(__xludf.DUMMYFUNCTION("IMPORTRANGE(""https://docs.google.com/spreadsheets/d/1-uDff_7J0KD5mKrp0Vvzr7lt3OU09vwQwhkpOPPYv2Y/edit?usp=sharing"",""งบพรบ!EV40"")"),0)</f>
        <v>0</v>
      </c>
      <c r="H40" s="151">
        <f ca="1">IFERROR(__xludf.DUMMYFUNCTION("IMPORTRANGE(""https://docs.google.com/spreadsheets/d/1-uDff_7J0KD5mKrp0Vvzr7lt3OU09vwQwhkpOPPYv2Y/edit?usp=sharing"",""งบพรบ!EX40"")"),185000)</f>
        <v>185000</v>
      </c>
      <c r="I40" s="151">
        <f ca="1">IFERROR(__xludf.DUMMYFUNCTION("IMPORTRANGE(""https://docs.google.com/spreadsheets/d/1-uDff_7J0KD5mKrp0Vvzr7lt3OU09vwQwhkpOPPYv2Y/edit?usp=sharing"",""งบพรบ!EY40"")"),0)</f>
        <v>0</v>
      </c>
      <c r="J40" s="151">
        <f t="shared" ca="1" si="24"/>
        <v>118535.63</v>
      </c>
      <c r="K40" s="154">
        <f t="shared" ca="1" si="25"/>
        <v>64.073313513513511</v>
      </c>
      <c r="L40" s="151">
        <f ca="1">IFERROR(__xludf.DUMMYFUNCTION("IMPORTRANGE(""https://docs.google.com/spreadsheets/d/1-uDff_7J0KD5mKrp0Vvzr7lt3OU09vwQwhkpOPPYv2Y/edit?usp=sharing"",""งบพรบ!EZ40"")"),118535.63)</f>
        <v>118535.63</v>
      </c>
      <c r="M40" s="68">
        <f t="shared" ca="1" si="26"/>
        <v>64.073313513513511</v>
      </c>
      <c r="N40" s="68">
        <f t="shared" ca="1" si="27"/>
        <v>64.073313513513511</v>
      </c>
      <c r="O40" s="67">
        <f ca="1">IFERROR(__xludf.DUMMYFUNCTION("IMPORTRANGE(""https://docs.google.com/spreadsheets/d/1-uDff_7J0KD5mKrp0Vvzr7lt3OU09vwQwhkpOPPYv2Y/edit?usp=sharing"",""งบพรบ!FA40"")"),0)</f>
        <v>0</v>
      </c>
      <c r="P40" s="67">
        <f t="shared" ca="1" si="28"/>
        <v>0</v>
      </c>
      <c r="Q40" s="68">
        <f t="shared" ca="1" si="29"/>
        <v>0</v>
      </c>
      <c r="R40" s="397">
        <f ca="1">IFERROR(__xludf.DUMMYFUNCTION("IMPORTRANGE(""https://docs.google.com/spreadsheets/d/1uB74YLqNjWX6FObjekfB2NtSYigTQyR2rq9u4Ub2Sq4/edit?usp=sharing"",""มุกดาหาร!I332"")"),2300)</f>
        <v>2300</v>
      </c>
      <c r="S40" s="397">
        <f ca="1">IFERROR(__xludf.DUMMYFUNCTION("IMPORTRANGE(""https://docs.google.com/spreadsheets/d/1uB74YLqNjWX6FObjekfB2NtSYigTQyR2rq9u4Ub2Sq4/edit?usp=sharing"",""มุกดาหาร!J332"")"),7203)</f>
        <v>7203</v>
      </c>
      <c r="T40" s="398">
        <f t="shared" ca="1" si="31"/>
        <v>313.17391304347825</v>
      </c>
      <c r="U40" s="394" t="str">
        <f ca="1">IFERROR(__xludf.DUMMYFUNCTION("IMPORTRANGE(""https://docs.google.com/spreadsheets/d/1uB74YLqNjWX6FObjekfB2NtSYigTQyR2rq9u4Ub2Sq4/edit?usp=sharing"",""มุกดาหาร!I344"")"),"")</f>
        <v/>
      </c>
      <c r="V40" s="152">
        <f ca="1">IFERROR(__xludf.DUMMYFUNCTION("IMPORTRANGE(""https://docs.google.com/spreadsheets/d/1uB74YLqNjWX6FObjekfB2NtSYigTQyR2rq9u4Ub2Sq4/edit?usp=sharing"",""มุกดาหาร!J344"")"),116)</f>
        <v>116</v>
      </c>
      <c r="W40" s="216" t="e">
        <f t="shared" ca="1" si="33"/>
        <v>#VALUE!</v>
      </c>
      <c r="X40" s="279">
        <f ca="1">IFERROR(__xludf.DUMMYFUNCTION("IMPORTRANGE(""https://docs.google.com/spreadsheets/d/1uB74YLqNjWX6FObjekfB2NtSYigTQyR2rq9u4Ub2Sq4/edit?usp=sharing"",""มุกดาหาร!I346"")"),6)</f>
        <v>6</v>
      </c>
      <c r="Y40" s="152">
        <f ca="1">IFERROR(__xludf.DUMMYFUNCTION("IMPORTRANGE(""https://docs.google.com/spreadsheets/d/1uB74YLqNjWX6FObjekfB2NtSYigTQyR2rq9u4Ub2Sq4/edit?usp=sharing"",""มุกดาหาร!J346"")"),3)</f>
        <v>3</v>
      </c>
      <c r="Z40" s="216">
        <f t="shared" ca="1" si="35"/>
        <v>50</v>
      </c>
      <c r="AA40" s="152">
        <f ca="1">IFERROR(__xludf.DUMMYFUNCTION("IMPORTRANGE(""https://docs.google.com/spreadsheets/d/1uB74YLqNjWX6FObjekfB2NtSYigTQyR2rq9u4Ub2Sq4/edit?usp=sharing"",""มุกดาหาร!J347"")"),0)</f>
        <v>0</v>
      </c>
      <c r="AB40" s="152">
        <f ca="1">IFERROR(__xludf.DUMMYFUNCTION("IMPORTRANGE(""https://docs.google.com/spreadsheets/d/1uB74YLqNjWX6FObjekfB2NtSYigTQyR2rq9u4Ub2Sq4/edit?usp=sharing"",""มุกดาหาร!J348"")"),7)</f>
        <v>7</v>
      </c>
      <c r="AC40" s="152">
        <f ca="1">IFERROR(__xludf.DUMMYFUNCTION("IMPORTRANGE(""https://docs.google.com/spreadsheets/d/1uB74YLqNjWX6FObjekfB2NtSYigTQyR2rq9u4Ub2Sq4/edit?usp=sharing"",""มุกดาหาร!J349"")"),0)</f>
        <v>0</v>
      </c>
      <c r="AD40" s="152">
        <f ca="1">IFERROR(__xludf.DUMMYFUNCTION("IMPORTRANGE(""https://docs.google.com/spreadsheets/d/1uB74YLqNjWX6FObjekfB2NtSYigTQyR2rq9u4Ub2Sq4/edit?usp=sharing"",""มุกดาหาร!J343"")"),123)</f>
        <v>123</v>
      </c>
      <c r="AE40" s="152">
        <f ca="1">IFERROR(__xludf.DUMMYFUNCTION("IMPORTRANGE(""https://docs.google.com/spreadsheets/d/1uB74YLqNjWX6FObjekfB2NtSYigTQyR2rq9u4Ub2Sq4/edit?usp=sharing"",""มุกดาหาร!J352"")"),36)</f>
        <v>36</v>
      </c>
      <c r="AF40" s="152">
        <f ca="1">IFERROR(__xludf.DUMMYFUNCTION("IMPORTRANGE(""https://docs.google.com/spreadsheets/d/1uB74YLqNjWX6FObjekfB2NtSYigTQyR2rq9u4Ub2Sq4/edit?usp=sharing"",""มุกดาหาร!J353"")"),5405)</f>
        <v>5405</v>
      </c>
      <c r="AG40" s="152">
        <f ca="1">IFERROR(__xludf.DUMMYFUNCTION("IMPORTRANGE(""https://docs.google.com/spreadsheets/d/1uB74YLqNjWX6FObjekfB2NtSYigTQyR2rq9u4Ub2Sq4/edit?usp=sharing"",""มุกดาหาร!J354"")"),1675)</f>
        <v>1675</v>
      </c>
    </row>
    <row r="41" spans="1:33" ht="21" customHeight="1" x14ac:dyDescent="0.3">
      <c r="A41" s="395">
        <v>10</v>
      </c>
      <c r="B41" s="396" t="s">
        <v>69</v>
      </c>
      <c r="C41" s="149">
        <f t="shared" ca="1" si="22"/>
        <v>354600</v>
      </c>
      <c r="D41" s="150">
        <f t="shared" ca="1" si="43"/>
        <v>354600</v>
      </c>
      <c r="E41" s="151">
        <f ca="1">IFERROR(__xludf.DUMMYFUNCTION("IMPORTRANGE(""https://docs.google.com/spreadsheets/d/1-uDff_7J0KD5mKrp0Vvzr7lt3OU09vwQwhkpOPPYv2Y/edit?usp=sharing"",""งบพรบ!ET41"")"),160600)</f>
        <v>160600</v>
      </c>
      <c r="F41" s="151">
        <f ca="1">IFERROR(__xludf.DUMMYFUNCTION("IMPORTRANGE(""https://docs.google.com/spreadsheets/d/1-uDff_7J0KD5mKrp0Vvzr7lt3OU09vwQwhkpOPPYv2Y/edit?usp=sharing"",""งบพรบ!EU41"")"),194000)</f>
        <v>194000</v>
      </c>
      <c r="G41" s="151">
        <f ca="1">IFERROR(__xludf.DUMMYFUNCTION("IMPORTRANGE(""https://docs.google.com/spreadsheets/d/1-uDff_7J0KD5mKrp0Vvzr7lt3OU09vwQwhkpOPPYv2Y/edit?usp=sharing"",""งบพรบ!EV41"")"),0)</f>
        <v>0</v>
      </c>
      <c r="H41" s="151">
        <f ca="1">IFERROR(__xludf.DUMMYFUNCTION("IMPORTRANGE(""https://docs.google.com/spreadsheets/d/1-uDff_7J0KD5mKrp0Vvzr7lt3OU09vwQwhkpOPPYv2Y/edit?usp=sharing"",""งบพรบ!EX41"")"),354600)</f>
        <v>354600</v>
      </c>
      <c r="I41" s="151">
        <f ca="1">IFERROR(__xludf.DUMMYFUNCTION("IMPORTRANGE(""https://docs.google.com/spreadsheets/d/1-uDff_7J0KD5mKrp0Vvzr7lt3OU09vwQwhkpOPPYv2Y/edit?usp=sharing"",""งบพรบ!EY41"")"),0)</f>
        <v>0</v>
      </c>
      <c r="J41" s="151">
        <f t="shared" ca="1" si="24"/>
        <v>287569</v>
      </c>
      <c r="K41" s="154">
        <f t="shared" ca="1" si="25"/>
        <v>81.09672870840383</v>
      </c>
      <c r="L41" s="151">
        <f ca="1">IFERROR(__xludf.DUMMYFUNCTION("IMPORTRANGE(""https://docs.google.com/spreadsheets/d/1-uDff_7J0KD5mKrp0Vvzr7lt3OU09vwQwhkpOPPYv2Y/edit?usp=sharing"",""งบพรบ!EZ41"")"),287569)</f>
        <v>287569</v>
      </c>
      <c r="M41" s="68">
        <f t="shared" ca="1" si="26"/>
        <v>81.09672870840383</v>
      </c>
      <c r="N41" s="68">
        <f t="shared" ca="1" si="27"/>
        <v>81.09672870840383</v>
      </c>
      <c r="O41" s="67">
        <f ca="1">IFERROR(__xludf.DUMMYFUNCTION("IMPORTRANGE(""https://docs.google.com/spreadsheets/d/1-uDff_7J0KD5mKrp0Vvzr7lt3OU09vwQwhkpOPPYv2Y/edit?usp=sharing"",""งบพรบ!FA41"")"),0)</f>
        <v>0</v>
      </c>
      <c r="P41" s="67">
        <f t="shared" ca="1" si="28"/>
        <v>0</v>
      </c>
      <c r="Q41" s="68">
        <f t="shared" ca="1" si="29"/>
        <v>0</v>
      </c>
      <c r="R41" s="397">
        <f ca="1">IFERROR(__xludf.DUMMYFUNCTION("IMPORTRANGE(""https://docs.google.com/spreadsheets/d/1NexK3geCPxCTO1fzNF8dPec7yZyUx3OaWkFBC9HsQOo/edit?usp=sharing"",""ยโสธร!I332"")"),3200)</f>
        <v>3200</v>
      </c>
      <c r="S41" s="397">
        <f ca="1">IFERROR(__xludf.DUMMYFUNCTION("IMPORTRANGE(""https://docs.google.com/spreadsheets/d/1NexK3geCPxCTO1fzNF8dPec7yZyUx3OaWkFBC9HsQOo/edit?usp=sharing"",""ยโสธร!J332"")"),2776)</f>
        <v>2776</v>
      </c>
      <c r="T41" s="398">
        <f t="shared" ca="1" si="31"/>
        <v>86.75</v>
      </c>
      <c r="U41" s="394" t="str">
        <f ca="1">IFERROR(__xludf.DUMMYFUNCTION("IMPORTRANGE(""https://docs.google.com/spreadsheets/d/1NexK3geCPxCTO1fzNF8dPec7yZyUx3OaWkFBC9HsQOo/edit?usp=sharing"",""ยโสธร!I344"")"),"")</f>
        <v/>
      </c>
      <c r="V41" s="152">
        <f ca="1">IFERROR(__xludf.DUMMYFUNCTION("IMPORTRANGE(""https://docs.google.com/spreadsheets/d/1NexK3geCPxCTO1fzNF8dPec7yZyUx3OaWkFBC9HsQOo/edit?usp=sharing"",""ยโสธร!J344"")"),1391)</f>
        <v>1391</v>
      </c>
      <c r="W41" s="216" t="e">
        <f t="shared" ca="1" si="33"/>
        <v>#VALUE!</v>
      </c>
      <c r="X41" s="279">
        <f ca="1">IFERROR(__xludf.DUMMYFUNCTION("IMPORTRANGE(""https://docs.google.com/spreadsheets/d/1NexK3geCPxCTO1fzNF8dPec7yZyUx3OaWkFBC9HsQOo/edit?usp=sharing"",""ยโสธร!I346"")"),8)</f>
        <v>8</v>
      </c>
      <c r="Y41" s="152">
        <f ca="1">IFERROR(__xludf.DUMMYFUNCTION("IMPORTRANGE(""https://docs.google.com/spreadsheets/d/1NexK3geCPxCTO1fzNF8dPec7yZyUx3OaWkFBC9HsQOo/edit?usp=sharing"",""ยโสธร!J346"")"),10)</f>
        <v>10</v>
      </c>
      <c r="Z41" s="216">
        <f t="shared" ca="1" si="35"/>
        <v>125</v>
      </c>
      <c r="AA41" s="152">
        <f ca="1">IFERROR(__xludf.DUMMYFUNCTION("IMPORTRANGE(""https://docs.google.com/spreadsheets/d/1NexK3geCPxCTO1fzNF8dPec7yZyUx3OaWkFBC9HsQOo/edit?usp=sharing"",""ยโสธร!J347"")"),115)</f>
        <v>115</v>
      </c>
      <c r="AB41" s="152">
        <f ca="1">IFERROR(__xludf.DUMMYFUNCTION("IMPORTRANGE(""https://docs.google.com/spreadsheets/d/1NexK3geCPxCTO1fzNF8dPec7yZyUx3OaWkFBC9HsQOo/edit?usp=sharing"",""ยโสธร!J348"")"),2)</f>
        <v>2</v>
      </c>
      <c r="AC41" s="152">
        <f ca="1">IFERROR(__xludf.DUMMYFUNCTION("IMPORTRANGE(""https://docs.google.com/spreadsheets/d/1NexK3geCPxCTO1fzNF8dPec7yZyUx3OaWkFBC9HsQOo/edit?usp=sharing"",""ยโสธร!J349"")"),0)</f>
        <v>0</v>
      </c>
      <c r="AD41" s="152">
        <f ca="1">IFERROR(__xludf.DUMMYFUNCTION("IMPORTRANGE(""https://docs.google.com/spreadsheets/d/1NexK3geCPxCTO1fzNF8dPec7yZyUx3OaWkFBC9HsQOo/edit?usp=sharing"",""ยโสธร!J343"")"),1508)</f>
        <v>1508</v>
      </c>
      <c r="AE41" s="152">
        <f ca="1">IFERROR(__xludf.DUMMYFUNCTION("IMPORTRANGE(""https://docs.google.com/spreadsheets/d/1NexK3geCPxCTO1fzNF8dPec7yZyUx3OaWkFBC9HsQOo/edit?usp=sharing"",""ยโสธร!J352"")"),1731)</f>
        <v>1731</v>
      </c>
      <c r="AF41" s="152">
        <f ca="1">IFERROR(__xludf.DUMMYFUNCTION("IMPORTRANGE(""https://docs.google.com/spreadsheets/d/1NexK3geCPxCTO1fzNF8dPec7yZyUx3OaWkFBC9HsQOo/edit?usp=sharing"",""ยโสธร!J353"")"),615)</f>
        <v>615</v>
      </c>
      <c r="AG41" s="152">
        <f ca="1">IFERROR(__xludf.DUMMYFUNCTION("IMPORTRANGE(""https://docs.google.com/spreadsheets/d/1NexK3geCPxCTO1fzNF8dPec7yZyUx3OaWkFBC9HsQOo/edit?usp=sharing"",""ยโสธร!J354"")"),653)</f>
        <v>653</v>
      </c>
    </row>
    <row r="42" spans="1:33" ht="21" customHeight="1" x14ac:dyDescent="0.3">
      <c r="A42" s="395">
        <v>11</v>
      </c>
      <c r="B42" s="396" t="s">
        <v>70</v>
      </c>
      <c r="C42" s="149">
        <f t="shared" ca="1" si="22"/>
        <v>199000</v>
      </c>
      <c r="D42" s="150">
        <f t="shared" ca="1" si="43"/>
        <v>199000</v>
      </c>
      <c r="E42" s="151">
        <f ca="1">IFERROR(__xludf.DUMMYFUNCTION("IMPORTRANGE(""https://docs.google.com/spreadsheets/d/1-uDff_7J0KD5mKrp0Vvzr7lt3OU09vwQwhkpOPPYv2Y/edit?usp=sharing"",""งบพรบ!ET42"")"),0)</f>
        <v>0</v>
      </c>
      <c r="F42" s="151">
        <f ca="1">IFERROR(__xludf.DUMMYFUNCTION("IMPORTRANGE(""https://docs.google.com/spreadsheets/d/1-uDff_7J0KD5mKrp0Vvzr7lt3OU09vwQwhkpOPPYv2Y/edit?usp=sharing"",""งบพรบ!EU42"")"),199000)</f>
        <v>199000</v>
      </c>
      <c r="G42" s="151">
        <f ca="1">IFERROR(__xludf.DUMMYFUNCTION("IMPORTRANGE(""https://docs.google.com/spreadsheets/d/1-uDff_7J0KD5mKrp0Vvzr7lt3OU09vwQwhkpOPPYv2Y/edit?usp=sharing"",""งบพรบ!EV42"")"),0)</f>
        <v>0</v>
      </c>
      <c r="H42" s="151">
        <f ca="1">IFERROR(__xludf.DUMMYFUNCTION("IMPORTRANGE(""https://docs.google.com/spreadsheets/d/1-uDff_7J0KD5mKrp0Vvzr7lt3OU09vwQwhkpOPPYv2Y/edit?usp=sharing"",""งบพรบ!EX42"")"),199000)</f>
        <v>199000</v>
      </c>
      <c r="I42" s="151">
        <f ca="1">IFERROR(__xludf.DUMMYFUNCTION("IMPORTRANGE(""https://docs.google.com/spreadsheets/d/1-uDff_7J0KD5mKrp0Vvzr7lt3OU09vwQwhkpOPPYv2Y/edit?usp=sharing"",""งบพรบ!EY42"")"),0)</f>
        <v>0</v>
      </c>
      <c r="J42" s="151">
        <f t="shared" ca="1" si="24"/>
        <v>143195</v>
      </c>
      <c r="K42" s="154">
        <f t="shared" ca="1" si="25"/>
        <v>71.957286432160799</v>
      </c>
      <c r="L42" s="151">
        <f ca="1">IFERROR(__xludf.DUMMYFUNCTION("IMPORTRANGE(""https://docs.google.com/spreadsheets/d/1-uDff_7J0KD5mKrp0Vvzr7lt3OU09vwQwhkpOPPYv2Y/edit?usp=sharing"",""งบพรบ!EZ42"")"),143195)</f>
        <v>143195</v>
      </c>
      <c r="M42" s="68">
        <f t="shared" ca="1" si="26"/>
        <v>71.957286432160799</v>
      </c>
      <c r="N42" s="68">
        <f t="shared" ca="1" si="27"/>
        <v>71.957286432160799</v>
      </c>
      <c r="O42" s="67">
        <f ca="1">IFERROR(__xludf.DUMMYFUNCTION("IMPORTRANGE(""https://docs.google.com/spreadsheets/d/1-uDff_7J0KD5mKrp0Vvzr7lt3OU09vwQwhkpOPPYv2Y/edit?usp=sharing"",""งบพรบ!FA42"")"),0)</f>
        <v>0</v>
      </c>
      <c r="P42" s="67">
        <f t="shared" ca="1" si="28"/>
        <v>0</v>
      </c>
      <c r="Q42" s="68">
        <f t="shared" ca="1" si="29"/>
        <v>0</v>
      </c>
      <c r="R42" s="152">
        <f ca="1">IFERROR(__xludf.DUMMYFUNCTION("IMPORTRANGE(""https://docs.google.com/spreadsheets/d/1v_cJrbBlyqmnHPReHk44g9NrMRdENNlSy_E_c5M9fIg/edit?usp=sharing"",""ร้อยเอ็ด!I332"")"),5600)</f>
        <v>5600</v>
      </c>
      <c r="S42" s="152">
        <f ca="1">IFERROR(__xludf.DUMMYFUNCTION("IMPORTRANGE(""https://docs.google.com/spreadsheets/d/1v_cJrbBlyqmnHPReHk44g9NrMRdENNlSy_E_c5M9fIg/edit?usp=sharing"",""ร้อยเอ็ด!J332"")"),6303)</f>
        <v>6303</v>
      </c>
      <c r="T42" s="153">
        <f t="shared" ca="1" si="31"/>
        <v>112.55357142857143</v>
      </c>
      <c r="U42" s="394" t="str">
        <f ca="1">IFERROR(__xludf.DUMMYFUNCTION("IMPORTRANGE(""https://docs.google.com/spreadsheets/d/1v_cJrbBlyqmnHPReHk44g9NrMRdENNlSy_E_c5M9fIg/edit?usp=sharing"",""ร้อยเอ็ด!I344"")"),"")</f>
        <v/>
      </c>
      <c r="V42" s="152">
        <f ca="1">IFERROR(__xludf.DUMMYFUNCTION("IMPORTRANGE(""https://docs.google.com/spreadsheets/d/1v_cJrbBlyqmnHPReHk44g9NrMRdENNlSy_E_c5M9fIg/edit?usp=sharing"",""ร้อยเอ็ด!J344"")"),1070)</f>
        <v>1070</v>
      </c>
      <c r="W42" s="216" t="e">
        <f t="shared" ca="1" si="33"/>
        <v>#VALUE!</v>
      </c>
      <c r="X42" s="278">
        <f ca="1">IFERROR(__xludf.DUMMYFUNCTION("IMPORTRANGE(""https://docs.google.com/spreadsheets/d/1v_cJrbBlyqmnHPReHk44g9NrMRdENNlSy_E_c5M9fIg/edit?usp=sharing"",""ร้อยเอ็ด!I346"")"),8)</f>
        <v>8</v>
      </c>
      <c r="Y42" s="152">
        <f ca="1">IFERROR(__xludf.DUMMYFUNCTION("IMPORTRANGE(""https://docs.google.com/spreadsheets/d/1v_cJrbBlyqmnHPReHk44g9NrMRdENNlSy_E_c5M9fIg/edit?usp=sharing"",""ร้อยเอ็ด!J346"")"),8)</f>
        <v>8</v>
      </c>
      <c r="Z42" s="216">
        <f t="shared" ca="1" si="35"/>
        <v>100</v>
      </c>
      <c r="AA42" s="152">
        <f ca="1">IFERROR(__xludf.DUMMYFUNCTION("IMPORTRANGE(""https://docs.google.com/spreadsheets/d/1v_cJrbBlyqmnHPReHk44g9NrMRdENNlSy_E_c5M9fIg/edit?usp=sharing"",""ร้อยเอ็ด!J347"")"),19)</f>
        <v>19</v>
      </c>
      <c r="AB42" s="152">
        <f ca="1">IFERROR(__xludf.DUMMYFUNCTION("IMPORTRANGE(""https://docs.google.com/spreadsheets/d/1v_cJrbBlyqmnHPReHk44g9NrMRdENNlSy_E_c5M9fIg/edit?usp=sharing"",""ร้อยเอ็ด!J348"")"),0)</f>
        <v>0</v>
      </c>
      <c r="AC42" s="152">
        <f ca="1">IFERROR(__xludf.DUMMYFUNCTION("IMPORTRANGE(""https://docs.google.com/spreadsheets/d/1v_cJrbBlyqmnHPReHk44g9NrMRdENNlSy_E_c5M9fIg/edit?usp=sharing"",""ร้อยเอ็ด!J349"")"),0)</f>
        <v>0</v>
      </c>
      <c r="AD42" s="152">
        <f ca="1">IFERROR(__xludf.DUMMYFUNCTION("IMPORTRANGE(""https://docs.google.com/spreadsheets/d/1v_cJrbBlyqmnHPReHk44g9NrMRdENNlSy_E_c5M9fIg/edit?usp=sharing"",""ร้อยเอ็ด!J343"")"),1089)</f>
        <v>1089</v>
      </c>
      <c r="AE42" s="152">
        <f ca="1">IFERROR(__xludf.DUMMYFUNCTION("IMPORTRANGE(""https://docs.google.com/spreadsheets/d/1v_cJrbBlyqmnHPReHk44g9NrMRdENNlSy_E_c5M9fIg/edit?usp=sharing"",""ร้อยเอ็ด!J352"")"),5342)</f>
        <v>5342</v>
      </c>
      <c r="AF42" s="152">
        <f ca="1">IFERROR(__xludf.DUMMYFUNCTION("IMPORTRANGE(""https://docs.google.com/spreadsheets/d/1v_cJrbBlyqmnHPReHk44g9NrMRdENNlSy_E_c5M9fIg/edit?usp=sharing"",""ร้อยเอ็ด!J353"")"),2407)</f>
        <v>2407</v>
      </c>
      <c r="AG42" s="152">
        <f ca="1">IFERROR(__xludf.DUMMYFUNCTION("IMPORTRANGE(""https://docs.google.com/spreadsheets/d/1v_cJrbBlyqmnHPReHk44g9NrMRdENNlSy_E_c5M9fIg/edit?usp=sharing"",""ร้อยเอ็ด!J354"")"),2807)</f>
        <v>2807</v>
      </c>
    </row>
    <row r="43" spans="1:33" ht="21" customHeight="1" x14ac:dyDescent="0.3">
      <c r="A43" s="395">
        <v>12</v>
      </c>
      <c r="B43" s="396" t="s">
        <v>71</v>
      </c>
      <c r="C43" s="149">
        <f t="shared" ca="1" si="22"/>
        <v>192000</v>
      </c>
      <c r="D43" s="150">
        <f t="shared" ca="1" si="43"/>
        <v>192000</v>
      </c>
      <c r="E43" s="151">
        <f ca="1">IFERROR(__xludf.DUMMYFUNCTION("IMPORTRANGE(""https://docs.google.com/spreadsheets/d/1-uDff_7J0KD5mKrp0Vvzr7lt3OU09vwQwhkpOPPYv2Y/edit?usp=sharing"",""งบพรบ!ET43"")"),0)</f>
        <v>0</v>
      </c>
      <c r="F43" s="151">
        <f ca="1">IFERROR(__xludf.DUMMYFUNCTION("IMPORTRANGE(""https://docs.google.com/spreadsheets/d/1-uDff_7J0KD5mKrp0Vvzr7lt3OU09vwQwhkpOPPYv2Y/edit?usp=sharing"",""งบพรบ!EU43"")"),192000)</f>
        <v>192000</v>
      </c>
      <c r="G43" s="151">
        <f ca="1">IFERROR(__xludf.DUMMYFUNCTION("IMPORTRANGE(""https://docs.google.com/spreadsheets/d/1-uDff_7J0KD5mKrp0Vvzr7lt3OU09vwQwhkpOPPYv2Y/edit?usp=sharing"",""งบพรบ!EV43"")"),0)</f>
        <v>0</v>
      </c>
      <c r="H43" s="151">
        <f ca="1">IFERROR(__xludf.DUMMYFUNCTION("IMPORTRANGE(""https://docs.google.com/spreadsheets/d/1-uDff_7J0KD5mKrp0Vvzr7lt3OU09vwQwhkpOPPYv2Y/edit?usp=sharing"",""งบพรบ!EX43"")"),192000)</f>
        <v>192000</v>
      </c>
      <c r="I43" s="151">
        <f ca="1">IFERROR(__xludf.DUMMYFUNCTION("IMPORTRANGE(""https://docs.google.com/spreadsheets/d/1-uDff_7J0KD5mKrp0Vvzr7lt3OU09vwQwhkpOPPYv2Y/edit?usp=sharing"",""งบพรบ!EY43"")"),0)</f>
        <v>0</v>
      </c>
      <c r="J43" s="151">
        <f t="shared" ca="1" si="24"/>
        <v>164320</v>
      </c>
      <c r="K43" s="154">
        <f t="shared" ca="1" si="25"/>
        <v>85.583333333333329</v>
      </c>
      <c r="L43" s="151">
        <f ca="1">IFERROR(__xludf.DUMMYFUNCTION("IMPORTRANGE(""https://docs.google.com/spreadsheets/d/1-uDff_7J0KD5mKrp0Vvzr7lt3OU09vwQwhkpOPPYv2Y/edit?usp=sharing"",""งบพรบ!EZ43"")"),164320)</f>
        <v>164320</v>
      </c>
      <c r="M43" s="68">
        <f t="shared" ca="1" si="26"/>
        <v>85.583333333333329</v>
      </c>
      <c r="N43" s="68">
        <f t="shared" ca="1" si="27"/>
        <v>85.583333333333329</v>
      </c>
      <c r="O43" s="67">
        <f ca="1">IFERROR(__xludf.DUMMYFUNCTION("IMPORTRANGE(""https://docs.google.com/spreadsheets/d/1-uDff_7J0KD5mKrp0Vvzr7lt3OU09vwQwhkpOPPYv2Y/edit?usp=sharing"",""งบพรบ!FA43"")"),0)</f>
        <v>0</v>
      </c>
      <c r="P43" s="67">
        <f t="shared" ca="1" si="28"/>
        <v>0</v>
      </c>
      <c r="Q43" s="68">
        <f t="shared" ca="1" si="29"/>
        <v>0</v>
      </c>
      <c r="R43" s="152">
        <f ca="1">IFERROR(__xludf.DUMMYFUNCTION("IMPORTRANGE(""https://docs.google.com/spreadsheets/d/1Ul4RCpCX66NxYADU1QpwAPjOmBzW64SsT11s1wzXw_c/edit?usp=sharing"",""เลย!I332"")"),3800)</f>
        <v>3800</v>
      </c>
      <c r="S43" s="152">
        <f ca="1">IFERROR(__xludf.DUMMYFUNCTION("IMPORTRANGE(""https://docs.google.com/spreadsheets/d/1Ul4RCpCX66NxYADU1QpwAPjOmBzW64SsT11s1wzXw_c/edit?usp=sharing"",""เลย!J332"")"),21831)</f>
        <v>21831</v>
      </c>
      <c r="T43" s="153">
        <f t="shared" ca="1" si="31"/>
        <v>574.5</v>
      </c>
      <c r="U43" s="394" t="str">
        <f ca="1">IFERROR(__xludf.DUMMYFUNCTION("IMPORTRANGE(""https://docs.google.com/spreadsheets/d/1Ul4RCpCX66NxYADU1QpwAPjOmBzW64SsT11s1wzXw_c/edit?usp=sharing"",""เลย!I344"")"),"")</f>
        <v/>
      </c>
      <c r="V43" s="152">
        <f ca="1">IFERROR(__xludf.DUMMYFUNCTION("IMPORTRANGE(""https://docs.google.com/spreadsheets/d/1Ul4RCpCX66NxYADU1QpwAPjOmBzW64SsT11s1wzXw_c/edit?usp=sharing"",""เลย!J344"")"),6292)</f>
        <v>6292</v>
      </c>
      <c r="W43" s="216" t="e">
        <f t="shared" ca="1" si="33"/>
        <v>#VALUE!</v>
      </c>
      <c r="X43" s="278">
        <f ca="1">IFERROR(__xludf.DUMMYFUNCTION("IMPORTRANGE(""https://docs.google.com/spreadsheets/d/1Ul4RCpCX66NxYADU1QpwAPjOmBzW64SsT11s1wzXw_c/edit?usp=sharing"",""เลย!I346"")"),7)</f>
        <v>7</v>
      </c>
      <c r="Y43" s="152">
        <f ca="1">IFERROR(__xludf.DUMMYFUNCTION("IMPORTRANGE(""https://docs.google.com/spreadsheets/d/1Ul4RCpCX66NxYADU1QpwAPjOmBzW64SsT11s1wzXw_c/edit?usp=sharing"",""เลย!J346"")"),7)</f>
        <v>7</v>
      </c>
      <c r="Z43" s="216">
        <f t="shared" ca="1" si="35"/>
        <v>100</v>
      </c>
      <c r="AA43" s="152">
        <f ca="1">IFERROR(__xludf.DUMMYFUNCTION("IMPORTRANGE(""https://docs.google.com/spreadsheets/d/1Ul4RCpCX66NxYADU1QpwAPjOmBzW64SsT11s1wzXw_c/edit?usp=sharing"",""เลย!J347"")"),313)</f>
        <v>313</v>
      </c>
      <c r="AB43" s="152">
        <f ca="1">IFERROR(__xludf.DUMMYFUNCTION("IMPORTRANGE(""https://docs.google.com/spreadsheets/d/1Ul4RCpCX66NxYADU1QpwAPjOmBzW64SsT11s1wzXw_c/edit?usp=sharing"",""เลย!J348"")"),82)</f>
        <v>82</v>
      </c>
      <c r="AC43" s="152">
        <f ca="1">IFERROR(__xludf.DUMMYFUNCTION("IMPORTRANGE(""https://docs.google.com/spreadsheets/d/1Ul4RCpCX66NxYADU1QpwAPjOmBzW64SsT11s1wzXw_c/edit?usp=sharing"",""เลย!J349"")"),0)</f>
        <v>0</v>
      </c>
      <c r="AD43" s="152">
        <f ca="1">IFERROR(__xludf.DUMMYFUNCTION("IMPORTRANGE(""https://docs.google.com/spreadsheets/d/1Ul4RCpCX66NxYADU1QpwAPjOmBzW64SsT11s1wzXw_c/edit?usp=sharing"",""เลย!J343"")"),6687)</f>
        <v>6687</v>
      </c>
      <c r="AE43" s="152">
        <f ca="1">IFERROR(__xludf.DUMMYFUNCTION("IMPORTRANGE(""https://docs.google.com/spreadsheets/d/1Ul4RCpCX66NxYADU1QpwAPjOmBzW64SsT11s1wzXw_c/edit?usp=sharing"",""เลย!J352"")"),2440)</f>
        <v>2440</v>
      </c>
      <c r="AF43" s="152">
        <f ca="1">IFERROR(__xludf.DUMMYFUNCTION("IMPORTRANGE(""https://docs.google.com/spreadsheets/d/1Ul4RCpCX66NxYADU1QpwAPjOmBzW64SsT11s1wzXw_c/edit?usp=sharing"",""เลย!J353"")"),12748)</f>
        <v>12748</v>
      </c>
      <c r="AG43" s="152">
        <f ca="1">IFERROR(__xludf.DUMMYFUNCTION("IMPORTRANGE(""https://docs.google.com/spreadsheets/d/1Ul4RCpCX66NxYADU1QpwAPjOmBzW64SsT11s1wzXw_c/edit?usp=sharing"",""เลย!J354"")"),2396)</f>
        <v>2396</v>
      </c>
    </row>
    <row r="44" spans="1:33" ht="21" customHeight="1" x14ac:dyDescent="0.3">
      <c r="A44" s="395">
        <v>13</v>
      </c>
      <c r="B44" s="396" t="s">
        <v>72</v>
      </c>
      <c r="C44" s="149">
        <f t="shared" ca="1" si="22"/>
        <v>201000</v>
      </c>
      <c r="D44" s="150">
        <f t="shared" ca="1" si="43"/>
        <v>201000</v>
      </c>
      <c r="E44" s="151">
        <f ca="1">IFERROR(__xludf.DUMMYFUNCTION("IMPORTRANGE(""https://docs.google.com/spreadsheets/d/1-uDff_7J0KD5mKrp0Vvzr7lt3OU09vwQwhkpOPPYv2Y/edit?usp=sharing"",""งบพรบ!ET44"")"),0)</f>
        <v>0</v>
      </c>
      <c r="F44" s="151">
        <f ca="1">IFERROR(__xludf.DUMMYFUNCTION("IMPORTRANGE(""https://docs.google.com/spreadsheets/d/1-uDff_7J0KD5mKrp0Vvzr7lt3OU09vwQwhkpOPPYv2Y/edit?usp=sharing"",""งบพรบ!EU44"")"),201000)</f>
        <v>201000</v>
      </c>
      <c r="G44" s="151">
        <f ca="1">IFERROR(__xludf.DUMMYFUNCTION("IMPORTRANGE(""https://docs.google.com/spreadsheets/d/1-uDff_7J0KD5mKrp0Vvzr7lt3OU09vwQwhkpOPPYv2Y/edit?usp=sharing"",""งบพรบ!EV44"")"),0)</f>
        <v>0</v>
      </c>
      <c r="H44" s="151">
        <f ca="1">IFERROR(__xludf.DUMMYFUNCTION("IMPORTRANGE(""https://docs.google.com/spreadsheets/d/1-uDff_7J0KD5mKrp0Vvzr7lt3OU09vwQwhkpOPPYv2Y/edit?usp=sharing"",""งบพรบ!EX44"")"),201000)</f>
        <v>201000</v>
      </c>
      <c r="I44" s="151">
        <f ca="1">IFERROR(__xludf.DUMMYFUNCTION("IMPORTRANGE(""https://docs.google.com/spreadsheets/d/1-uDff_7J0KD5mKrp0Vvzr7lt3OU09vwQwhkpOPPYv2Y/edit?usp=sharing"",""งบพรบ!EY44"")"),0)</f>
        <v>0</v>
      </c>
      <c r="J44" s="151">
        <f t="shared" ca="1" si="24"/>
        <v>191033</v>
      </c>
      <c r="K44" s="154">
        <f t="shared" ca="1" si="25"/>
        <v>95.041293532338315</v>
      </c>
      <c r="L44" s="151">
        <f ca="1">IFERROR(__xludf.DUMMYFUNCTION("IMPORTRANGE(""https://docs.google.com/spreadsheets/d/1-uDff_7J0KD5mKrp0Vvzr7lt3OU09vwQwhkpOPPYv2Y/edit?usp=sharing"",""งบพรบ!EZ44"")"),191033)</f>
        <v>191033</v>
      </c>
      <c r="M44" s="68">
        <f t="shared" ca="1" si="26"/>
        <v>95.041293532338315</v>
      </c>
      <c r="N44" s="68">
        <f t="shared" ca="1" si="27"/>
        <v>95.041293532338315</v>
      </c>
      <c r="O44" s="67">
        <f ca="1">IFERROR(__xludf.DUMMYFUNCTION("IMPORTRANGE(""https://docs.google.com/spreadsheets/d/1-uDff_7J0KD5mKrp0Vvzr7lt3OU09vwQwhkpOPPYv2Y/edit?usp=sharing"",""งบพรบ!FA44"")"),0)</f>
        <v>0</v>
      </c>
      <c r="P44" s="67">
        <f t="shared" ca="1" si="28"/>
        <v>0</v>
      </c>
      <c r="Q44" s="68">
        <f t="shared" ca="1" si="29"/>
        <v>0</v>
      </c>
      <c r="R44" s="397">
        <f ca="1">IFERROR(__xludf.DUMMYFUNCTION("IMPORTRANGE(""https://docs.google.com/spreadsheets/d/1bRrNKwbHDVktQG10isr5vbWRtt5spIZPpkOSWgbT5ug/edit?usp=sharing"",""ศรีสะเกษ!I332"")"),6700)</f>
        <v>6700</v>
      </c>
      <c r="S44" s="397">
        <f ca="1">IFERROR(__xludf.DUMMYFUNCTION("IMPORTRANGE(""https://docs.google.com/spreadsheets/d/1bRrNKwbHDVktQG10isr5vbWRtt5spIZPpkOSWgbT5ug/edit?usp=sharing"",""ศรีสะเกษ!J332"")"),14750)</f>
        <v>14750</v>
      </c>
      <c r="T44" s="398">
        <f t="shared" ca="1" si="31"/>
        <v>220.14925373134329</v>
      </c>
      <c r="U44" s="394" t="str">
        <f ca="1">IFERROR(__xludf.DUMMYFUNCTION("IMPORTRANGE(""https://docs.google.com/spreadsheets/d/1bRrNKwbHDVktQG10isr5vbWRtt5spIZPpkOSWgbT5ug/edit?usp=sharing"",""ศรีสะเกษ!I344"")"),"")</f>
        <v/>
      </c>
      <c r="V44" s="152">
        <f ca="1">IFERROR(__xludf.DUMMYFUNCTION("IMPORTRANGE(""https://docs.google.com/spreadsheets/d/1bRrNKwbHDVktQG10isr5vbWRtt5spIZPpkOSWgbT5ug/edit?usp=sharing"",""ศรีสะเกษ!J344"")"),39)</f>
        <v>39</v>
      </c>
      <c r="W44" s="216" t="e">
        <f t="shared" ca="1" si="33"/>
        <v>#VALUE!</v>
      </c>
      <c r="X44" s="279">
        <f ca="1">IFERROR(__xludf.DUMMYFUNCTION("IMPORTRANGE(""https://docs.google.com/spreadsheets/d/1bRrNKwbHDVktQG10isr5vbWRtt5spIZPpkOSWgbT5ug/edit?usp=sharing"",""ศรีสะเกษ!I346"")"),9)</f>
        <v>9</v>
      </c>
      <c r="Y44" s="152">
        <f ca="1">IFERROR(__xludf.DUMMYFUNCTION("IMPORTRANGE(""https://docs.google.com/spreadsheets/d/1bRrNKwbHDVktQG10isr5vbWRtt5spIZPpkOSWgbT5ug/edit?usp=sharing"",""ศรีสะเกษ!J346"")"),9)</f>
        <v>9</v>
      </c>
      <c r="Z44" s="216">
        <f t="shared" ca="1" si="35"/>
        <v>100</v>
      </c>
      <c r="AA44" s="152">
        <f ca="1">IFERROR(__xludf.DUMMYFUNCTION("IMPORTRANGE(""https://docs.google.com/spreadsheets/d/1bRrNKwbHDVktQG10isr5vbWRtt5spIZPpkOSWgbT5ug/edit?usp=sharing"",""ศรีสะเกษ!J347"")"),0)</f>
        <v>0</v>
      </c>
      <c r="AB44" s="152">
        <f ca="1">IFERROR(__xludf.DUMMYFUNCTION("IMPORTRANGE(""https://docs.google.com/spreadsheets/d/1bRrNKwbHDVktQG10isr5vbWRtt5spIZPpkOSWgbT5ug/edit?usp=sharing"",""ศรีสะเกษ!J348"")"),1)</f>
        <v>1</v>
      </c>
      <c r="AC44" s="152">
        <f ca="1">IFERROR(__xludf.DUMMYFUNCTION("IMPORTRANGE(""https://docs.google.com/spreadsheets/d/1bRrNKwbHDVktQG10isr5vbWRtt5spIZPpkOSWgbT5ug/edit?usp=sharing"",""ศรีสะเกษ!J349"")"),103)</f>
        <v>103</v>
      </c>
      <c r="AD44" s="152">
        <f ca="1">IFERROR(__xludf.DUMMYFUNCTION("IMPORTRANGE(""https://docs.google.com/spreadsheets/d/1bRrNKwbHDVktQG10isr5vbWRtt5spIZPpkOSWgbT5ug/edit?usp=sharing"",""ศรีสะเกษ!J343"")"),143)</f>
        <v>143</v>
      </c>
      <c r="AE44" s="152">
        <f ca="1">IFERROR(__xludf.DUMMYFUNCTION("IMPORTRANGE(""https://docs.google.com/spreadsheets/d/1bRrNKwbHDVktQG10isr5vbWRtt5spIZPpkOSWgbT5ug/edit?usp=sharing"",""ศรีสะเกษ!J352"")"),2721)</f>
        <v>2721</v>
      </c>
      <c r="AF44" s="152">
        <f ca="1">IFERROR(__xludf.DUMMYFUNCTION("IMPORTRANGE(""https://docs.google.com/spreadsheets/d/1bRrNKwbHDVktQG10isr5vbWRtt5spIZPpkOSWgbT5ug/edit?usp=sharing"",""ศรีสะเกษ!J353"")"),10972)</f>
        <v>10972</v>
      </c>
      <c r="AG44" s="152">
        <f ca="1">IFERROR(__xludf.DUMMYFUNCTION("IMPORTRANGE(""https://docs.google.com/spreadsheets/d/1bRrNKwbHDVktQG10isr5vbWRtt5spIZPpkOSWgbT5ug/edit?usp=sharing"",""ศรีสะเกษ!J354"")"),3635)</f>
        <v>3635</v>
      </c>
    </row>
    <row r="45" spans="1:33" ht="21" customHeight="1" x14ac:dyDescent="0.3">
      <c r="A45" s="395">
        <v>14</v>
      </c>
      <c r="B45" s="396" t="s">
        <v>73</v>
      </c>
      <c r="C45" s="149">
        <f t="shared" ca="1" si="22"/>
        <v>191000</v>
      </c>
      <c r="D45" s="150">
        <f t="shared" ca="1" si="43"/>
        <v>191000</v>
      </c>
      <c r="E45" s="151">
        <f ca="1">IFERROR(__xludf.DUMMYFUNCTION("IMPORTRANGE(""https://docs.google.com/spreadsheets/d/1-uDff_7J0KD5mKrp0Vvzr7lt3OU09vwQwhkpOPPYv2Y/edit?usp=sharing"",""งบพรบ!ET45"")"),0)</f>
        <v>0</v>
      </c>
      <c r="F45" s="151">
        <f ca="1">IFERROR(__xludf.DUMMYFUNCTION("IMPORTRANGE(""https://docs.google.com/spreadsheets/d/1-uDff_7J0KD5mKrp0Vvzr7lt3OU09vwQwhkpOPPYv2Y/edit?usp=sharing"",""งบพรบ!EU45"")"),191000)</f>
        <v>191000</v>
      </c>
      <c r="G45" s="151">
        <f ca="1">IFERROR(__xludf.DUMMYFUNCTION("IMPORTRANGE(""https://docs.google.com/spreadsheets/d/1-uDff_7J0KD5mKrp0Vvzr7lt3OU09vwQwhkpOPPYv2Y/edit?usp=sharing"",""งบพรบ!EV45"")"),0)</f>
        <v>0</v>
      </c>
      <c r="H45" s="151">
        <f ca="1">IFERROR(__xludf.DUMMYFUNCTION("IMPORTRANGE(""https://docs.google.com/spreadsheets/d/1-uDff_7J0KD5mKrp0Vvzr7lt3OU09vwQwhkpOPPYv2Y/edit?usp=sharing"",""งบพรบ!EX45"")"),191000)</f>
        <v>191000</v>
      </c>
      <c r="I45" s="151">
        <f ca="1">IFERROR(__xludf.DUMMYFUNCTION("IMPORTRANGE(""https://docs.google.com/spreadsheets/d/1-uDff_7J0KD5mKrp0Vvzr7lt3OU09vwQwhkpOPPYv2Y/edit?usp=sharing"",""งบพรบ!EY45"")"),0)</f>
        <v>0</v>
      </c>
      <c r="J45" s="151">
        <f t="shared" ca="1" si="24"/>
        <v>152054</v>
      </c>
      <c r="K45" s="154">
        <f t="shared" ca="1" si="25"/>
        <v>79.609424083769639</v>
      </c>
      <c r="L45" s="151">
        <f ca="1">IFERROR(__xludf.DUMMYFUNCTION("IMPORTRANGE(""https://docs.google.com/spreadsheets/d/1-uDff_7J0KD5mKrp0Vvzr7lt3OU09vwQwhkpOPPYv2Y/edit?usp=sharing"",""งบพรบ!EZ45"")"),152054)</f>
        <v>152054</v>
      </c>
      <c r="M45" s="68">
        <f t="shared" ca="1" si="26"/>
        <v>79.609424083769639</v>
      </c>
      <c r="N45" s="68">
        <f t="shared" ca="1" si="27"/>
        <v>79.609424083769639</v>
      </c>
      <c r="O45" s="67">
        <f ca="1">IFERROR(__xludf.DUMMYFUNCTION("IMPORTRANGE(""https://docs.google.com/spreadsheets/d/1-uDff_7J0KD5mKrp0Vvzr7lt3OU09vwQwhkpOPPYv2Y/edit?usp=sharing"",""งบพรบ!FA45"")"),0)</f>
        <v>0</v>
      </c>
      <c r="P45" s="67">
        <f t="shared" ca="1" si="28"/>
        <v>0</v>
      </c>
      <c r="Q45" s="68">
        <f t="shared" ca="1" si="29"/>
        <v>0</v>
      </c>
      <c r="R45" s="152">
        <f ca="1">IFERROR(__xludf.DUMMYFUNCTION("IMPORTRANGE(""https://docs.google.com/spreadsheets/d/17P34_Ow5kFBfdQD0qspb2UuPX5zpi6WMrQzslghyvrI/edit?usp=sharing"",""สกลนคร!I332"")"),3000)</f>
        <v>3000</v>
      </c>
      <c r="S45" s="152">
        <f ca="1">IFERROR(__xludf.DUMMYFUNCTION("IMPORTRANGE(""https://docs.google.com/spreadsheets/d/17P34_Ow5kFBfdQD0qspb2UuPX5zpi6WMrQzslghyvrI/edit?usp=sharing"",""สกลนคร!J332"")"),22961)</f>
        <v>22961</v>
      </c>
      <c r="T45" s="153">
        <f t="shared" ca="1" si="31"/>
        <v>765.36666666666667</v>
      </c>
      <c r="U45" s="394" t="str">
        <f ca="1">IFERROR(__xludf.DUMMYFUNCTION("IMPORTRANGE(""https://docs.google.com/spreadsheets/d/17P34_Ow5kFBfdQD0qspb2UuPX5zpi6WMrQzslghyvrI/edit?usp=sharing"",""สกลนคร!I344"")"),"")</f>
        <v/>
      </c>
      <c r="V45" s="152">
        <f ca="1">IFERROR(__xludf.DUMMYFUNCTION("IMPORTRANGE(""https://docs.google.com/spreadsheets/d/17P34_Ow5kFBfdQD0qspb2UuPX5zpi6WMrQzslghyvrI/edit?usp=sharing"",""สกลนคร!J344"")"),8361)</f>
        <v>8361</v>
      </c>
      <c r="W45" s="216" t="e">
        <f t="shared" ca="1" si="33"/>
        <v>#VALUE!</v>
      </c>
      <c r="X45" s="278">
        <f ca="1">IFERROR(__xludf.DUMMYFUNCTION("IMPORTRANGE(""https://docs.google.com/spreadsheets/d/17P34_Ow5kFBfdQD0qspb2UuPX5zpi6WMrQzslghyvrI/edit?usp=sharing"",""สกลนคร!I346"")"),9)</f>
        <v>9</v>
      </c>
      <c r="Y45" s="152">
        <f ca="1">IFERROR(__xludf.DUMMYFUNCTION("IMPORTRANGE(""https://docs.google.com/spreadsheets/d/17P34_Ow5kFBfdQD0qspb2UuPX5zpi6WMrQzslghyvrI/edit?usp=sharing"",""สกลนคร!J346"")"),10)</f>
        <v>10</v>
      </c>
      <c r="Z45" s="216">
        <f t="shared" ca="1" si="35"/>
        <v>111.11111111111111</v>
      </c>
      <c r="AA45" s="152">
        <f ca="1">IFERROR(__xludf.DUMMYFUNCTION("IMPORTRANGE(""https://docs.google.com/spreadsheets/d/17P34_Ow5kFBfdQD0qspb2UuPX5zpi6WMrQzslghyvrI/edit?usp=sharing"",""สกลนคร!J347"")"),651)</f>
        <v>651</v>
      </c>
      <c r="AB45" s="152">
        <f ca="1">IFERROR(__xludf.DUMMYFUNCTION("IMPORTRANGE(""https://docs.google.com/spreadsheets/d/17P34_Ow5kFBfdQD0qspb2UuPX5zpi6WMrQzslghyvrI/edit?usp=sharing"",""สกลนคร!J348"")"),1)</f>
        <v>1</v>
      </c>
      <c r="AC45" s="152">
        <f ca="1">IFERROR(__xludf.DUMMYFUNCTION("IMPORTRANGE(""https://docs.google.com/spreadsheets/d/17P34_Ow5kFBfdQD0qspb2UuPX5zpi6WMrQzslghyvrI/edit?usp=sharing"",""สกลนคร!J349"")"),0)</f>
        <v>0</v>
      </c>
      <c r="AD45" s="152">
        <f ca="1">IFERROR(__xludf.DUMMYFUNCTION("IMPORTRANGE(""https://docs.google.com/spreadsheets/d/17P34_Ow5kFBfdQD0qspb2UuPX5zpi6WMrQzslghyvrI/edit?usp=sharing"",""สกลนคร!J343"")"),9013)</f>
        <v>9013</v>
      </c>
      <c r="AE45" s="152">
        <f ca="1">IFERROR(__xludf.DUMMYFUNCTION("IMPORTRANGE(""https://docs.google.com/spreadsheets/d/17P34_Ow5kFBfdQD0qspb2UuPX5zpi6WMrQzslghyvrI/edit?usp=sharing"",""สกลนคร!J352"")"),1135)</f>
        <v>1135</v>
      </c>
      <c r="AF45" s="152">
        <f ca="1">IFERROR(__xludf.DUMMYFUNCTION("IMPORTRANGE(""https://docs.google.com/spreadsheets/d/17P34_Ow5kFBfdQD0qspb2UuPX5zpi6WMrQzslghyvrI/edit?usp=sharing"",""สกลนคร!J353"")"),11150)</f>
        <v>11150</v>
      </c>
      <c r="AG45" s="152">
        <f ca="1">IFERROR(__xludf.DUMMYFUNCTION("IMPORTRANGE(""https://docs.google.com/spreadsheets/d/17P34_Ow5kFBfdQD0qspb2UuPX5zpi6WMrQzslghyvrI/edit?usp=sharing"",""สกลนคร!J354"")"),2798)</f>
        <v>2798</v>
      </c>
    </row>
    <row r="46" spans="1:33" ht="21" customHeight="1" x14ac:dyDescent="0.3">
      <c r="A46" s="395">
        <v>15</v>
      </c>
      <c r="B46" s="396" t="s">
        <v>74</v>
      </c>
      <c r="C46" s="149">
        <f t="shared" ca="1" si="22"/>
        <v>193000</v>
      </c>
      <c r="D46" s="150">
        <f t="shared" ca="1" si="43"/>
        <v>193000</v>
      </c>
      <c r="E46" s="151">
        <f ca="1">IFERROR(__xludf.DUMMYFUNCTION("IMPORTRANGE(""https://docs.google.com/spreadsheets/d/1-uDff_7J0KD5mKrp0Vvzr7lt3OU09vwQwhkpOPPYv2Y/edit?usp=sharing"",""งบพรบ!ET46"")"),0)</f>
        <v>0</v>
      </c>
      <c r="F46" s="151">
        <f ca="1">IFERROR(__xludf.DUMMYFUNCTION("IMPORTRANGE(""https://docs.google.com/spreadsheets/d/1-uDff_7J0KD5mKrp0Vvzr7lt3OU09vwQwhkpOPPYv2Y/edit?usp=sharing"",""งบพรบ!EU46"")"),193000)</f>
        <v>193000</v>
      </c>
      <c r="G46" s="151">
        <f ca="1">IFERROR(__xludf.DUMMYFUNCTION("IMPORTRANGE(""https://docs.google.com/spreadsheets/d/1-uDff_7J0KD5mKrp0Vvzr7lt3OU09vwQwhkpOPPYv2Y/edit?usp=sharing"",""งบพรบ!EV46"")"),0)</f>
        <v>0</v>
      </c>
      <c r="H46" s="151">
        <f ca="1">IFERROR(__xludf.DUMMYFUNCTION("IMPORTRANGE(""https://docs.google.com/spreadsheets/d/1-uDff_7J0KD5mKrp0Vvzr7lt3OU09vwQwhkpOPPYv2Y/edit?usp=sharing"",""งบพรบ!EX46"")"),193000)</f>
        <v>193000</v>
      </c>
      <c r="I46" s="151">
        <f ca="1">IFERROR(__xludf.DUMMYFUNCTION("IMPORTRANGE(""https://docs.google.com/spreadsheets/d/1-uDff_7J0KD5mKrp0Vvzr7lt3OU09vwQwhkpOPPYv2Y/edit?usp=sharing"",""งบพรบ!EY46"")"),0)</f>
        <v>0</v>
      </c>
      <c r="J46" s="151">
        <f t="shared" ca="1" si="24"/>
        <v>153536</v>
      </c>
      <c r="K46" s="154">
        <f t="shared" ca="1" si="25"/>
        <v>79.552331606217621</v>
      </c>
      <c r="L46" s="151">
        <f ca="1">IFERROR(__xludf.DUMMYFUNCTION("IMPORTRANGE(""https://docs.google.com/spreadsheets/d/1-uDff_7J0KD5mKrp0Vvzr7lt3OU09vwQwhkpOPPYv2Y/edit?usp=sharing"",""งบพรบ!EZ46"")"),153536)</f>
        <v>153536</v>
      </c>
      <c r="M46" s="68">
        <f t="shared" ca="1" si="26"/>
        <v>79.552331606217621</v>
      </c>
      <c r="N46" s="68">
        <f t="shared" ca="1" si="27"/>
        <v>79.552331606217621</v>
      </c>
      <c r="O46" s="67">
        <f ca="1">IFERROR(__xludf.DUMMYFUNCTION("IMPORTRANGE(""https://docs.google.com/spreadsheets/d/1-uDff_7J0KD5mKrp0Vvzr7lt3OU09vwQwhkpOPPYv2Y/edit?usp=sharing"",""งบพรบ!FA46"")"),0)</f>
        <v>0</v>
      </c>
      <c r="P46" s="67">
        <f t="shared" ca="1" si="28"/>
        <v>0</v>
      </c>
      <c r="Q46" s="68">
        <f t="shared" ca="1" si="29"/>
        <v>0</v>
      </c>
      <c r="R46" s="152">
        <f ca="1">IFERROR(__xludf.DUMMYFUNCTION("IMPORTRANGE(""https://docs.google.com/spreadsheets/d/1yswqbM3-AEpThF3ZSUa1AcmHnmRTF1vlJ1CZGcJ8YuU/edit?usp=sharing"",""สุรินทร์!I332"")"),5300)</f>
        <v>5300</v>
      </c>
      <c r="S46" s="152">
        <f ca="1">IFERROR(__xludf.DUMMYFUNCTION("IMPORTRANGE(""https://docs.google.com/spreadsheets/d/1yswqbM3-AEpThF3ZSUa1AcmHnmRTF1vlJ1CZGcJ8YuU/edit?usp=sharing"",""สุรินทร์!J332"")"),11337)</f>
        <v>11337</v>
      </c>
      <c r="T46" s="153">
        <f t="shared" ca="1" si="31"/>
        <v>213.90566037735849</v>
      </c>
      <c r="U46" s="394" t="str">
        <f ca="1">IFERROR(__xludf.DUMMYFUNCTION("IMPORTRANGE(""https://docs.google.com/spreadsheets/d/1yswqbM3-AEpThF3ZSUa1AcmHnmRTF1vlJ1CZGcJ8YuU/edit?usp=sharing"",""สุรินทร์!I344"")"),"")</f>
        <v/>
      </c>
      <c r="V46" s="152">
        <f ca="1">IFERROR(__xludf.DUMMYFUNCTION("IMPORTRANGE(""https://docs.google.com/spreadsheets/d/1yswqbM3-AEpThF3ZSUa1AcmHnmRTF1vlJ1CZGcJ8YuU/edit?usp=sharing"",""สุรินทร์!J344"")"),1526)</f>
        <v>1526</v>
      </c>
      <c r="W46" s="216" t="e">
        <f t="shared" ca="1" si="33"/>
        <v>#VALUE!</v>
      </c>
      <c r="X46" s="278">
        <f ca="1">IFERROR(__xludf.DUMMYFUNCTION("IMPORTRANGE(""https://docs.google.com/spreadsheets/d/1yswqbM3-AEpThF3ZSUa1AcmHnmRTF1vlJ1CZGcJ8YuU/edit?usp=sharing"",""สุรินทร์!I346"")"),5)</f>
        <v>5</v>
      </c>
      <c r="Y46" s="152">
        <f ca="1">IFERROR(__xludf.DUMMYFUNCTION("IMPORTRANGE(""https://docs.google.com/spreadsheets/d/1yswqbM3-AEpThF3ZSUa1AcmHnmRTF1vlJ1CZGcJ8YuU/edit?usp=sharing"",""สุรินทร์!J346"")"),17)</f>
        <v>17</v>
      </c>
      <c r="Z46" s="216">
        <f t="shared" ca="1" si="35"/>
        <v>340</v>
      </c>
      <c r="AA46" s="152">
        <f ca="1">IFERROR(__xludf.DUMMYFUNCTION("IMPORTRANGE(""https://docs.google.com/spreadsheets/d/1yswqbM3-AEpThF3ZSUa1AcmHnmRTF1vlJ1CZGcJ8YuU/edit?usp=sharing"",""สุรินทร์!J347"")"),1)</f>
        <v>1</v>
      </c>
      <c r="AB46" s="152">
        <f ca="1">IFERROR(__xludf.DUMMYFUNCTION("IMPORTRANGE(""https://docs.google.com/spreadsheets/d/1yswqbM3-AEpThF3ZSUa1AcmHnmRTF1vlJ1CZGcJ8YuU/edit?usp=sharing"",""สุรินทร์!J348"")"),8)</f>
        <v>8</v>
      </c>
      <c r="AC46" s="152">
        <f ca="1">IFERROR(__xludf.DUMMYFUNCTION("IMPORTRANGE(""https://docs.google.com/spreadsheets/d/1yswqbM3-AEpThF3ZSUa1AcmHnmRTF1vlJ1CZGcJ8YuU/edit?usp=sharing"",""สุรินทร์!J349"")"),0)</f>
        <v>0</v>
      </c>
      <c r="AD46" s="152">
        <f ca="1">IFERROR(__xludf.DUMMYFUNCTION("IMPORTRANGE(""https://docs.google.com/spreadsheets/d/1yswqbM3-AEpThF3ZSUa1AcmHnmRTF1vlJ1CZGcJ8YuU/edit?usp=sharing"",""สุรินทร์!J343"")"),1535)</f>
        <v>1535</v>
      </c>
      <c r="AE46" s="152">
        <f ca="1">IFERROR(__xludf.DUMMYFUNCTION("IMPORTRANGE(""https://docs.google.com/spreadsheets/d/1yswqbM3-AEpThF3ZSUa1AcmHnmRTF1vlJ1CZGcJ8YuU/edit?usp=sharing"",""สุรินทร์!J352"")"),1760)</f>
        <v>1760</v>
      </c>
      <c r="AF46" s="152">
        <f ca="1">IFERROR(__xludf.DUMMYFUNCTION("IMPORTRANGE(""https://docs.google.com/spreadsheets/d/1yswqbM3-AEpThF3ZSUa1AcmHnmRTF1vlJ1CZGcJ8YuU/edit?usp=sharing"",""สุรินทร์!J353"")"),6653)</f>
        <v>6653</v>
      </c>
      <c r="AG46" s="152">
        <f ca="1">IFERROR(__xludf.DUMMYFUNCTION("IMPORTRANGE(""https://docs.google.com/spreadsheets/d/1yswqbM3-AEpThF3ZSUa1AcmHnmRTF1vlJ1CZGcJ8YuU/edit?usp=sharing"",""สุรินทร์!J354"")"),3149)</f>
        <v>3149</v>
      </c>
    </row>
    <row r="47" spans="1:33" ht="21" customHeight="1" x14ac:dyDescent="0.3">
      <c r="A47" s="395">
        <v>16</v>
      </c>
      <c r="B47" s="396" t="s">
        <v>75</v>
      </c>
      <c r="C47" s="149">
        <f t="shared" ca="1" si="22"/>
        <v>192000</v>
      </c>
      <c r="D47" s="150">
        <f t="shared" ca="1" si="43"/>
        <v>192000</v>
      </c>
      <c r="E47" s="151">
        <f ca="1">IFERROR(__xludf.DUMMYFUNCTION("IMPORTRANGE(""https://docs.google.com/spreadsheets/d/1-uDff_7J0KD5mKrp0Vvzr7lt3OU09vwQwhkpOPPYv2Y/edit?usp=sharing"",""งบพรบ!ET47"")"),0)</f>
        <v>0</v>
      </c>
      <c r="F47" s="151">
        <f ca="1">IFERROR(__xludf.DUMMYFUNCTION("IMPORTRANGE(""https://docs.google.com/spreadsheets/d/1-uDff_7J0KD5mKrp0Vvzr7lt3OU09vwQwhkpOPPYv2Y/edit?usp=sharing"",""งบพรบ!EU47"")"),192000)</f>
        <v>192000</v>
      </c>
      <c r="G47" s="151">
        <f ca="1">IFERROR(__xludf.DUMMYFUNCTION("IMPORTRANGE(""https://docs.google.com/spreadsheets/d/1-uDff_7J0KD5mKrp0Vvzr7lt3OU09vwQwhkpOPPYv2Y/edit?usp=sharing"",""งบพรบ!EV47"")"),0)</f>
        <v>0</v>
      </c>
      <c r="H47" s="151">
        <f ca="1">IFERROR(__xludf.DUMMYFUNCTION("IMPORTRANGE(""https://docs.google.com/spreadsheets/d/1-uDff_7J0KD5mKrp0Vvzr7lt3OU09vwQwhkpOPPYv2Y/edit?usp=sharing"",""งบพรบ!EX47"")"),192000)</f>
        <v>192000</v>
      </c>
      <c r="I47" s="151">
        <f ca="1">IFERROR(__xludf.DUMMYFUNCTION("IMPORTRANGE(""https://docs.google.com/spreadsheets/d/1-uDff_7J0KD5mKrp0Vvzr7lt3OU09vwQwhkpOPPYv2Y/edit?usp=sharing"",""งบพรบ!EY47"")"),0)</f>
        <v>0</v>
      </c>
      <c r="J47" s="151">
        <f t="shared" ca="1" si="24"/>
        <v>160583.5</v>
      </c>
      <c r="K47" s="154">
        <f t="shared" ca="1" si="25"/>
        <v>83.63723958333334</v>
      </c>
      <c r="L47" s="151">
        <f ca="1">IFERROR(__xludf.DUMMYFUNCTION("IMPORTRANGE(""https://docs.google.com/spreadsheets/d/1-uDff_7J0KD5mKrp0Vvzr7lt3OU09vwQwhkpOPPYv2Y/edit?usp=sharing"",""งบพรบ!EZ47"")"),160583.5)</f>
        <v>160583.5</v>
      </c>
      <c r="M47" s="68">
        <f t="shared" ca="1" si="26"/>
        <v>83.63723958333334</v>
      </c>
      <c r="N47" s="68">
        <f t="shared" ca="1" si="27"/>
        <v>83.63723958333334</v>
      </c>
      <c r="O47" s="67">
        <f ca="1">IFERROR(__xludf.DUMMYFUNCTION("IMPORTRANGE(""https://docs.google.com/spreadsheets/d/1-uDff_7J0KD5mKrp0Vvzr7lt3OU09vwQwhkpOPPYv2Y/edit?usp=sharing"",""งบพรบ!FA47"")"),0)</f>
        <v>0</v>
      </c>
      <c r="P47" s="67">
        <f t="shared" ca="1" si="28"/>
        <v>0</v>
      </c>
      <c r="Q47" s="68">
        <f t="shared" ca="1" si="29"/>
        <v>0</v>
      </c>
      <c r="R47" s="152">
        <f ca="1">IFERROR(__xludf.DUMMYFUNCTION("IMPORTRANGE(""https://docs.google.com/spreadsheets/d/13JHU_EFbsQOUQ0JSQ3dWy1VTRosIWcDq6Nc99z2qzdc/edit?usp=sharing"",""หนองคาย!I332"")"),3800)</f>
        <v>3800</v>
      </c>
      <c r="S47" s="152">
        <f ca="1">IFERROR(__xludf.DUMMYFUNCTION("IMPORTRANGE(""https://docs.google.com/spreadsheets/d/13JHU_EFbsQOUQ0JSQ3dWy1VTRosIWcDq6Nc99z2qzdc/edit?usp=sharing"",""หนองคาย!J332"")"),12547)</f>
        <v>12547</v>
      </c>
      <c r="T47" s="153">
        <f t="shared" ca="1" si="31"/>
        <v>330.18421052631578</v>
      </c>
      <c r="U47" s="394" t="str">
        <f ca="1">IFERROR(__xludf.DUMMYFUNCTION("IMPORTRANGE(""https://docs.google.com/spreadsheets/d/13JHU_EFbsQOUQ0JSQ3dWy1VTRosIWcDq6Nc99z2qzdc/edit?usp=sharing"",""หนองคาย!I344"")"),"")</f>
        <v/>
      </c>
      <c r="V47" s="152">
        <f ca="1">IFERROR(__xludf.DUMMYFUNCTION("IMPORTRANGE(""https://docs.google.com/spreadsheets/d/13JHU_EFbsQOUQ0JSQ3dWy1VTRosIWcDq6Nc99z2qzdc/edit?usp=sharing"",""หนองคาย!J344"")"),2776)</f>
        <v>2776</v>
      </c>
      <c r="W47" s="216" t="e">
        <f t="shared" ca="1" si="33"/>
        <v>#VALUE!</v>
      </c>
      <c r="X47" s="278">
        <f ca="1">IFERROR(__xludf.DUMMYFUNCTION("IMPORTRANGE(""https://docs.google.com/spreadsheets/d/13JHU_EFbsQOUQ0JSQ3dWy1VTRosIWcDq6Nc99z2qzdc/edit?usp=sharing"",""หนองคาย!I346"")"),7)</f>
        <v>7</v>
      </c>
      <c r="Y47" s="152">
        <f ca="1">IFERROR(__xludf.DUMMYFUNCTION("IMPORTRANGE(""https://docs.google.com/spreadsheets/d/13JHU_EFbsQOUQ0JSQ3dWy1VTRosIWcDq6Nc99z2qzdc/edit?usp=sharing"",""หนองคาย!J346"")"),7)</f>
        <v>7</v>
      </c>
      <c r="Z47" s="216">
        <f t="shared" ca="1" si="35"/>
        <v>100</v>
      </c>
      <c r="AA47" s="152">
        <f ca="1">IFERROR(__xludf.DUMMYFUNCTION("IMPORTRANGE(""https://docs.google.com/spreadsheets/d/13JHU_EFbsQOUQ0JSQ3dWy1VTRosIWcDq6Nc99z2qzdc/edit?usp=sharing"",""หนองคาย!J347"")"),82)</f>
        <v>82</v>
      </c>
      <c r="AB47" s="152">
        <f ca="1">IFERROR(__xludf.DUMMYFUNCTION("IMPORTRANGE(""https://docs.google.com/spreadsheets/d/13JHU_EFbsQOUQ0JSQ3dWy1VTRosIWcDq6Nc99z2qzdc/edit?usp=sharing"",""หนองคาย!J348"")"),0)</f>
        <v>0</v>
      </c>
      <c r="AC47" s="152">
        <f ca="1">IFERROR(__xludf.DUMMYFUNCTION("IMPORTRANGE(""https://docs.google.com/spreadsheets/d/13JHU_EFbsQOUQ0JSQ3dWy1VTRosIWcDq6Nc99z2qzdc/edit?usp=sharing"",""หนองคาย!J349"")"),1)</f>
        <v>1</v>
      </c>
      <c r="AD47" s="152">
        <f ca="1">IFERROR(__xludf.DUMMYFUNCTION("IMPORTRANGE(""https://docs.google.com/spreadsheets/d/13JHU_EFbsQOUQ0JSQ3dWy1VTRosIWcDq6Nc99z2qzdc/edit?usp=sharing"",""หนองคาย!J343"")"),2859)</f>
        <v>2859</v>
      </c>
      <c r="AE47" s="152">
        <f ca="1">IFERROR(__xludf.DUMMYFUNCTION("IMPORTRANGE(""https://docs.google.com/spreadsheets/d/13JHU_EFbsQOUQ0JSQ3dWy1VTRosIWcDq6Nc99z2qzdc/edit?usp=sharing"",""หนองคาย!J352"")"),7473)</f>
        <v>7473</v>
      </c>
      <c r="AF47" s="152">
        <f ca="1">IFERROR(__xludf.DUMMYFUNCTION("IMPORTRANGE(""https://docs.google.com/spreadsheets/d/13JHU_EFbsQOUQ0JSQ3dWy1VTRosIWcDq6Nc99z2qzdc/edit?usp=sharing"",""หนองคาย!J353"")"),8095)</f>
        <v>8095</v>
      </c>
      <c r="AG47" s="152">
        <f ca="1">IFERROR(__xludf.DUMMYFUNCTION("IMPORTRANGE(""https://docs.google.com/spreadsheets/d/13JHU_EFbsQOUQ0JSQ3dWy1VTRosIWcDq6Nc99z2qzdc/edit?usp=sharing"",""หนองคาย!J354"")"),1593)</f>
        <v>1593</v>
      </c>
    </row>
    <row r="48" spans="1:33" ht="21" customHeight="1" x14ac:dyDescent="0.3">
      <c r="A48" s="395">
        <v>17</v>
      </c>
      <c r="B48" s="396" t="s">
        <v>76</v>
      </c>
      <c r="C48" s="149">
        <f t="shared" ca="1" si="22"/>
        <v>190000</v>
      </c>
      <c r="D48" s="150">
        <f t="shared" ca="1" si="43"/>
        <v>190000</v>
      </c>
      <c r="E48" s="151">
        <f ca="1">IFERROR(__xludf.DUMMYFUNCTION("IMPORTRANGE(""https://docs.google.com/spreadsheets/d/1-uDff_7J0KD5mKrp0Vvzr7lt3OU09vwQwhkpOPPYv2Y/edit?usp=sharing"",""งบพรบ!ET48"")"),0)</f>
        <v>0</v>
      </c>
      <c r="F48" s="151">
        <f ca="1">IFERROR(__xludf.DUMMYFUNCTION("IMPORTRANGE(""https://docs.google.com/spreadsheets/d/1-uDff_7J0KD5mKrp0Vvzr7lt3OU09vwQwhkpOPPYv2Y/edit?usp=sharing"",""งบพรบ!EU48"")"),190000)</f>
        <v>190000</v>
      </c>
      <c r="G48" s="151">
        <f ca="1">IFERROR(__xludf.DUMMYFUNCTION("IMPORTRANGE(""https://docs.google.com/spreadsheets/d/1-uDff_7J0KD5mKrp0Vvzr7lt3OU09vwQwhkpOPPYv2Y/edit?usp=sharing"",""งบพรบ!EV48"")"),0)</f>
        <v>0</v>
      </c>
      <c r="H48" s="151">
        <f ca="1">IFERROR(__xludf.DUMMYFUNCTION("IMPORTRANGE(""https://docs.google.com/spreadsheets/d/1-uDff_7J0KD5mKrp0Vvzr7lt3OU09vwQwhkpOPPYv2Y/edit?usp=sharing"",""งบพรบ!EX48"")"),190000)</f>
        <v>190000</v>
      </c>
      <c r="I48" s="151">
        <f ca="1">IFERROR(__xludf.DUMMYFUNCTION("IMPORTRANGE(""https://docs.google.com/spreadsheets/d/1-uDff_7J0KD5mKrp0Vvzr7lt3OU09vwQwhkpOPPYv2Y/edit?usp=sharing"",""งบพรบ!EY48"")"),0)</f>
        <v>0</v>
      </c>
      <c r="J48" s="151">
        <f t="shared" ca="1" si="24"/>
        <v>144140.68</v>
      </c>
      <c r="K48" s="154">
        <f t="shared" ca="1" si="25"/>
        <v>75.863515789473681</v>
      </c>
      <c r="L48" s="151">
        <f ca="1">IFERROR(__xludf.DUMMYFUNCTION("IMPORTRANGE(""https://docs.google.com/spreadsheets/d/1-uDff_7J0KD5mKrp0Vvzr7lt3OU09vwQwhkpOPPYv2Y/edit?usp=sharing"",""งบพรบ!EZ48"")"),144140.68)</f>
        <v>144140.68</v>
      </c>
      <c r="M48" s="68">
        <f t="shared" ca="1" si="26"/>
        <v>75.863515789473681</v>
      </c>
      <c r="N48" s="68">
        <f t="shared" ca="1" si="27"/>
        <v>75.863515789473681</v>
      </c>
      <c r="O48" s="67">
        <f ca="1">IFERROR(__xludf.DUMMYFUNCTION("IMPORTRANGE(""https://docs.google.com/spreadsheets/d/1-uDff_7J0KD5mKrp0Vvzr7lt3OU09vwQwhkpOPPYv2Y/edit?usp=sharing"",""งบพรบ!FA48"")"),0)</f>
        <v>0</v>
      </c>
      <c r="P48" s="67">
        <f t="shared" ca="1" si="28"/>
        <v>0</v>
      </c>
      <c r="Q48" s="68">
        <f t="shared" ca="1" si="29"/>
        <v>0</v>
      </c>
      <c r="R48" s="152">
        <f ca="1">IFERROR(__xludf.DUMMYFUNCTION("IMPORTRANGE(""https://docs.google.com/spreadsheets/d/1Hx73zIEgVdDZZaYSTc46Dqv64atFhpr3GelxLbaIN8A/edit?usp=sharing"",""หนองบัวลำภู!I332"")"),4600)</f>
        <v>4600</v>
      </c>
      <c r="S48" s="152">
        <f ca="1">IFERROR(__xludf.DUMMYFUNCTION("IMPORTRANGE(""https://docs.google.com/spreadsheets/d/1Hx73zIEgVdDZZaYSTc46Dqv64atFhpr3GelxLbaIN8A/edit?usp=sharing"",""หนองบัวลำภู!J332"")"),6430)</f>
        <v>6430</v>
      </c>
      <c r="T48" s="153">
        <f t="shared" ca="1" si="31"/>
        <v>139.78260869565219</v>
      </c>
      <c r="U48" s="394" t="str">
        <f ca="1">IFERROR(__xludf.DUMMYFUNCTION("IMPORTRANGE(""https://docs.google.com/spreadsheets/d/1Hx73zIEgVdDZZaYSTc46Dqv64atFhpr3GelxLbaIN8A/edit?usp=sharing"",""หนองบัวลำภู!I344"")"),"")</f>
        <v/>
      </c>
      <c r="V48" s="152">
        <f ca="1">IFERROR(__xludf.DUMMYFUNCTION("IMPORTRANGE(""https://docs.google.com/spreadsheets/d/1Hx73zIEgVdDZZaYSTc46Dqv64atFhpr3GelxLbaIN8A/edit?usp=sharing"",""หนองบัวลำภู!J344"")"),4288)</f>
        <v>4288</v>
      </c>
      <c r="W48" s="216" t="e">
        <f t="shared" ca="1" si="33"/>
        <v>#VALUE!</v>
      </c>
      <c r="X48" s="278">
        <f ca="1">IFERROR(__xludf.DUMMYFUNCTION("IMPORTRANGE(""https://docs.google.com/spreadsheets/d/1Hx73zIEgVdDZZaYSTc46Dqv64atFhpr3GelxLbaIN8A/edit?usp=sharing"",""หนองบัวลำภู!I346"")"),6)</f>
        <v>6</v>
      </c>
      <c r="Y48" s="152">
        <f ca="1">IFERROR(__xludf.DUMMYFUNCTION("IMPORTRANGE(""https://docs.google.com/spreadsheets/d/1Hx73zIEgVdDZZaYSTc46Dqv64atFhpr3GelxLbaIN8A/edit?usp=sharing"",""หนองบัวลำภู!J346"")"),6)</f>
        <v>6</v>
      </c>
      <c r="Z48" s="216">
        <f t="shared" ca="1" si="35"/>
        <v>100</v>
      </c>
      <c r="AA48" s="152">
        <f ca="1">IFERROR(__xludf.DUMMYFUNCTION("IMPORTRANGE(""https://docs.google.com/spreadsheets/d/1Hx73zIEgVdDZZaYSTc46Dqv64atFhpr3GelxLbaIN8A/edit?usp=sharing"",""หนองบัวลำภู!J347"")"),3)</f>
        <v>3</v>
      </c>
      <c r="AB48" s="152">
        <f ca="1">IFERROR(__xludf.DUMMYFUNCTION("IMPORTRANGE(""https://docs.google.com/spreadsheets/d/1Hx73zIEgVdDZZaYSTc46Dqv64atFhpr3GelxLbaIN8A/edit?usp=sharing"",""หนองบัวลำภู!J348"")"),0)</f>
        <v>0</v>
      </c>
      <c r="AC48" s="152">
        <f ca="1">IFERROR(__xludf.DUMMYFUNCTION("IMPORTRANGE(""https://docs.google.com/spreadsheets/d/1Hx73zIEgVdDZZaYSTc46Dqv64atFhpr3GelxLbaIN8A/edit?usp=sharing"",""หนองบัวลำภู!J349"")"),7)</f>
        <v>7</v>
      </c>
      <c r="AD48" s="152">
        <f ca="1">IFERROR(__xludf.DUMMYFUNCTION("IMPORTRANGE(""https://docs.google.com/spreadsheets/d/1Hx73zIEgVdDZZaYSTc46Dqv64atFhpr3GelxLbaIN8A/edit?usp=sharing"",""หนองบัวลำภู!J343"")"),4298)</f>
        <v>4298</v>
      </c>
      <c r="AE48" s="152">
        <f ca="1">IFERROR(__xludf.DUMMYFUNCTION("IMPORTRANGE(""https://docs.google.com/spreadsheets/d/1Hx73zIEgVdDZZaYSTc46Dqv64atFhpr3GelxLbaIN8A/edit?usp=sharing"",""หนองบัวลำภู!J352"")"),5608)</f>
        <v>5608</v>
      </c>
      <c r="AF48" s="152">
        <f ca="1">IFERROR(__xludf.DUMMYFUNCTION("IMPORTRANGE(""https://docs.google.com/spreadsheets/d/1Hx73zIEgVdDZZaYSTc46Dqv64atFhpr3GelxLbaIN8A/edit?usp=sharing"",""หนองบัวลำภู!J353"")"),967)</f>
        <v>967</v>
      </c>
      <c r="AG48" s="152">
        <f ca="1">IFERROR(__xludf.DUMMYFUNCTION("IMPORTRANGE(""https://docs.google.com/spreadsheets/d/1Hx73zIEgVdDZZaYSTc46Dqv64atFhpr3GelxLbaIN8A/edit?usp=sharing"",""หนองบัวลำภู!J354"")"),1165)</f>
        <v>1165</v>
      </c>
    </row>
    <row r="49" spans="1:33" ht="21" customHeight="1" x14ac:dyDescent="0.3">
      <c r="A49" s="395">
        <v>18</v>
      </c>
      <c r="B49" s="396" t="s">
        <v>77</v>
      </c>
      <c r="C49" s="149">
        <f t="shared" ca="1" si="22"/>
        <v>181000</v>
      </c>
      <c r="D49" s="150">
        <f t="shared" ca="1" si="43"/>
        <v>181000</v>
      </c>
      <c r="E49" s="151">
        <f ca="1">IFERROR(__xludf.DUMMYFUNCTION("IMPORTRANGE(""https://docs.google.com/spreadsheets/d/1-uDff_7J0KD5mKrp0Vvzr7lt3OU09vwQwhkpOPPYv2Y/edit?usp=sharing"",""งบพรบ!ET49"")"),0)</f>
        <v>0</v>
      </c>
      <c r="F49" s="151">
        <f ca="1">IFERROR(__xludf.DUMMYFUNCTION("IMPORTRANGE(""https://docs.google.com/spreadsheets/d/1-uDff_7J0KD5mKrp0Vvzr7lt3OU09vwQwhkpOPPYv2Y/edit?usp=sharing"",""งบพรบ!EU49"")"),181000)</f>
        <v>181000</v>
      </c>
      <c r="G49" s="151">
        <f ca="1">IFERROR(__xludf.DUMMYFUNCTION("IMPORTRANGE(""https://docs.google.com/spreadsheets/d/1-uDff_7J0KD5mKrp0Vvzr7lt3OU09vwQwhkpOPPYv2Y/edit?usp=sharing"",""งบพรบ!EV49"")"),0)</f>
        <v>0</v>
      </c>
      <c r="H49" s="151">
        <f ca="1">IFERROR(__xludf.DUMMYFUNCTION("IMPORTRANGE(""https://docs.google.com/spreadsheets/d/1-uDff_7J0KD5mKrp0Vvzr7lt3OU09vwQwhkpOPPYv2Y/edit?usp=sharing"",""งบพรบ!EX49"")"),181000)</f>
        <v>181000</v>
      </c>
      <c r="I49" s="151">
        <f ca="1">IFERROR(__xludf.DUMMYFUNCTION("IMPORTRANGE(""https://docs.google.com/spreadsheets/d/1-uDff_7J0KD5mKrp0Vvzr7lt3OU09vwQwhkpOPPYv2Y/edit?usp=sharing"",""งบพรบ!EY49"")"),0)</f>
        <v>0</v>
      </c>
      <c r="J49" s="151">
        <f t="shared" ca="1" si="24"/>
        <v>152199</v>
      </c>
      <c r="K49" s="154">
        <f t="shared" ca="1" si="25"/>
        <v>84.087845303867397</v>
      </c>
      <c r="L49" s="151">
        <f ca="1">IFERROR(__xludf.DUMMYFUNCTION("IMPORTRANGE(""https://docs.google.com/spreadsheets/d/1-uDff_7J0KD5mKrp0Vvzr7lt3OU09vwQwhkpOPPYv2Y/edit?usp=sharing"",""งบพรบ!EZ49"")"),152199)</f>
        <v>152199</v>
      </c>
      <c r="M49" s="68">
        <f t="shared" ca="1" si="26"/>
        <v>84.087845303867397</v>
      </c>
      <c r="N49" s="68">
        <f t="shared" ca="1" si="27"/>
        <v>84.087845303867397</v>
      </c>
      <c r="O49" s="67">
        <f ca="1">IFERROR(__xludf.DUMMYFUNCTION("IMPORTRANGE(""https://docs.google.com/spreadsheets/d/1-uDff_7J0KD5mKrp0Vvzr7lt3OU09vwQwhkpOPPYv2Y/edit?usp=sharing"",""งบพรบ!FA49"")"),0)</f>
        <v>0</v>
      </c>
      <c r="P49" s="67">
        <f t="shared" ca="1" si="28"/>
        <v>0</v>
      </c>
      <c r="Q49" s="68">
        <f t="shared" ca="1" si="29"/>
        <v>0</v>
      </c>
      <c r="R49" s="152">
        <f ca="1">IFERROR(__xludf.DUMMYFUNCTION("IMPORTRANGE(""https://docs.google.com/spreadsheets/d/1lFxr3ctmjFN90yc-xV6jrQ9Ty8BKYVBWnAZ15wcNIJc/edit?usp=sharing"",""อำนาจเจริญ!I332"")"),1900)</f>
        <v>1900</v>
      </c>
      <c r="S49" s="152">
        <f ca="1">IFERROR(__xludf.DUMMYFUNCTION("IMPORTRANGE(""https://docs.google.com/spreadsheets/d/1lFxr3ctmjFN90yc-xV6jrQ9Ty8BKYVBWnAZ15wcNIJc/edit?usp=sharing"",""อำนาจเจริญ!J332"")"),8900)</f>
        <v>8900</v>
      </c>
      <c r="T49" s="153">
        <f t="shared" ca="1" si="31"/>
        <v>468.42105263157896</v>
      </c>
      <c r="U49" s="394" t="str">
        <f ca="1">IFERROR(__xludf.DUMMYFUNCTION("IMPORTRANGE(""https://docs.google.com/spreadsheets/d/1lFxr3ctmjFN90yc-xV6jrQ9Ty8BKYVBWnAZ15wcNIJc/edit?usp=sharing"",""อำนาจเจริญ!I344"")"),"")</f>
        <v/>
      </c>
      <c r="V49" s="152">
        <f ca="1">IFERROR(__xludf.DUMMYFUNCTION("IMPORTRANGE(""https://docs.google.com/spreadsheets/d/1lFxr3ctmjFN90yc-xV6jrQ9Ty8BKYVBWnAZ15wcNIJc/edit?usp=sharing"",""อำนาจเจริญ!J344"")"),2320)</f>
        <v>2320</v>
      </c>
      <c r="W49" s="216" t="e">
        <f t="shared" ca="1" si="33"/>
        <v>#VALUE!</v>
      </c>
      <c r="X49" s="278">
        <f ca="1">IFERROR(__xludf.DUMMYFUNCTION("IMPORTRANGE(""https://docs.google.com/spreadsheets/d/1lFxr3ctmjFN90yc-xV6jrQ9Ty8BKYVBWnAZ15wcNIJc/edit?usp=sharing"",""อำนาจเจริญ!I346"")"),4)</f>
        <v>4</v>
      </c>
      <c r="Y49" s="152">
        <f ca="1">IFERROR(__xludf.DUMMYFUNCTION("IMPORTRANGE(""https://docs.google.com/spreadsheets/d/1lFxr3ctmjFN90yc-xV6jrQ9Ty8BKYVBWnAZ15wcNIJc/edit?usp=sharing"",""อำนาจเจริญ!J346"")"),7)</f>
        <v>7</v>
      </c>
      <c r="Z49" s="216">
        <f t="shared" ca="1" si="35"/>
        <v>175</v>
      </c>
      <c r="AA49" s="152">
        <f ca="1">IFERROR(__xludf.DUMMYFUNCTION("IMPORTRANGE(""https://docs.google.com/spreadsheets/d/1lFxr3ctmjFN90yc-xV6jrQ9Ty8BKYVBWnAZ15wcNIJc/edit?usp=sharing"",""อำนาจเจริญ!J347"")"),247)</f>
        <v>247</v>
      </c>
      <c r="AB49" s="152">
        <f ca="1">IFERROR(__xludf.DUMMYFUNCTION("IMPORTRANGE(""https://docs.google.com/spreadsheets/d/1lFxr3ctmjFN90yc-xV6jrQ9Ty8BKYVBWnAZ15wcNIJc/edit?usp=sharing"",""อำนาจเจริญ!J348"")"),68)</f>
        <v>68</v>
      </c>
      <c r="AC49" s="152">
        <f ca="1">IFERROR(__xludf.DUMMYFUNCTION("IMPORTRANGE(""https://docs.google.com/spreadsheets/d/1lFxr3ctmjFN90yc-xV6jrQ9Ty8BKYVBWnAZ15wcNIJc/edit?usp=sharing"",""อำนาจเจริญ!J349"")"),4)</f>
        <v>4</v>
      </c>
      <c r="AD49" s="152">
        <f ca="1">IFERROR(__xludf.DUMMYFUNCTION("IMPORTRANGE(""https://docs.google.com/spreadsheets/d/1lFxr3ctmjFN90yc-xV6jrQ9Ty8BKYVBWnAZ15wcNIJc/edit?usp=sharing"",""อำนาจเจริญ!J343"")"),2639)</f>
        <v>2639</v>
      </c>
      <c r="AE49" s="152">
        <f ca="1">IFERROR(__xludf.DUMMYFUNCTION("IMPORTRANGE(""https://docs.google.com/spreadsheets/d/1lFxr3ctmjFN90yc-xV6jrQ9Ty8BKYVBWnAZ15wcNIJc/edit?usp=sharing"",""อำนาจเจริญ!J352"")"),36)</f>
        <v>36</v>
      </c>
      <c r="AF49" s="152">
        <f ca="1">IFERROR(__xludf.DUMMYFUNCTION("IMPORTRANGE(""https://docs.google.com/spreadsheets/d/1lFxr3ctmjFN90yc-xV6jrQ9Ty8BKYVBWnAZ15wcNIJc/edit?usp=sharing"",""อำนาจเจริญ!J353"")"),5384)</f>
        <v>5384</v>
      </c>
      <c r="AG49" s="152">
        <f ca="1">IFERROR(__xludf.DUMMYFUNCTION("IMPORTRANGE(""https://docs.google.com/spreadsheets/d/1lFxr3ctmjFN90yc-xV6jrQ9Ty8BKYVBWnAZ15wcNIJc/edit?usp=sharing"",""อำนาจเจริญ!J354"")"),877)</f>
        <v>877</v>
      </c>
    </row>
    <row r="50" spans="1:33" ht="21" customHeight="1" x14ac:dyDescent="0.3">
      <c r="A50" s="395">
        <v>19</v>
      </c>
      <c r="B50" s="396" t="s">
        <v>78</v>
      </c>
      <c r="C50" s="149">
        <f t="shared" ca="1" si="22"/>
        <v>283000</v>
      </c>
      <c r="D50" s="150">
        <f t="shared" ca="1" si="43"/>
        <v>283000</v>
      </c>
      <c r="E50" s="151">
        <f ca="1">IFERROR(__xludf.DUMMYFUNCTION("IMPORTRANGE(""https://docs.google.com/spreadsheets/d/1-uDff_7J0KD5mKrp0Vvzr7lt3OU09vwQwhkpOPPYv2Y/edit?usp=sharing"",""งบพรบ!ET50"")"),76000)</f>
        <v>76000</v>
      </c>
      <c r="F50" s="151">
        <f ca="1">IFERROR(__xludf.DUMMYFUNCTION("IMPORTRANGE(""https://docs.google.com/spreadsheets/d/1-uDff_7J0KD5mKrp0Vvzr7lt3OU09vwQwhkpOPPYv2Y/edit?usp=sharing"",""งบพรบ!EU50"")"),207000)</f>
        <v>207000</v>
      </c>
      <c r="G50" s="151">
        <f ca="1">IFERROR(__xludf.DUMMYFUNCTION("IMPORTRANGE(""https://docs.google.com/spreadsheets/d/1-uDff_7J0KD5mKrp0Vvzr7lt3OU09vwQwhkpOPPYv2Y/edit?usp=sharing"",""งบพรบ!EV50"")"),0)</f>
        <v>0</v>
      </c>
      <c r="H50" s="151">
        <f ca="1">IFERROR(__xludf.DUMMYFUNCTION("IMPORTRANGE(""https://docs.google.com/spreadsheets/d/1-uDff_7J0KD5mKrp0Vvzr7lt3OU09vwQwhkpOPPYv2Y/edit?usp=sharing"",""งบพรบ!EX50"")"),283000)</f>
        <v>283000</v>
      </c>
      <c r="I50" s="151">
        <f ca="1">IFERROR(__xludf.DUMMYFUNCTION("IMPORTRANGE(""https://docs.google.com/spreadsheets/d/1-uDff_7J0KD5mKrp0Vvzr7lt3OU09vwQwhkpOPPYv2Y/edit?usp=sharing"",""งบพรบ!EY50"")"),0)</f>
        <v>0</v>
      </c>
      <c r="J50" s="151">
        <f t="shared" ca="1" si="24"/>
        <v>191405.17</v>
      </c>
      <c r="K50" s="154">
        <f t="shared" ca="1" si="25"/>
        <v>67.63433568904594</v>
      </c>
      <c r="L50" s="151">
        <f ca="1">IFERROR(__xludf.DUMMYFUNCTION("IMPORTRANGE(""https://docs.google.com/spreadsheets/d/1-uDff_7J0KD5mKrp0Vvzr7lt3OU09vwQwhkpOPPYv2Y/edit?usp=sharing"",""งบพรบ!EZ50"")"),191405.17)</f>
        <v>191405.17</v>
      </c>
      <c r="M50" s="68">
        <f t="shared" ca="1" si="26"/>
        <v>67.63433568904594</v>
      </c>
      <c r="N50" s="68">
        <f t="shared" ca="1" si="27"/>
        <v>67.63433568904594</v>
      </c>
      <c r="O50" s="67">
        <f ca="1">IFERROR(__xludf.DUMMYFUNCTION("IMPORTRANGE(""https://docs.google.com/spreadsheets/d/1-uDff_7J0KD5mKrp0Vvzr7lt3OU09vwQwhkpOPPYv2Y/edit?usp=sharing"",""งบพรบ!FA50"")"),0)</f>
        <v>0</v>
      </c>
      <c r="P50" s="67">
        <f t="shared" ca="1" si="28"/>
        <v>0</v>
      </c>
      <c r="Q50" s="68">
        <f t="shared" ca="1" si="29"/>
        <v>0</v>
      </c>
      <c r="R50" s="152">
        <f ca="1">IFERROR(__xludf.DUMMYFUNCTION("IMPORTRANGE(""https://docs.google.com/spreadsheets/d/1gF7RJpRnL-1oyjyeWxs5SFWEH7y8ahOZsQlyp2A2e-A/edit?usp=sharing"",""อุดรธานี!I332"")"),8800)</f>
        <v>8800</v>
      </c>
      <c r="S50" s="152">
        <f ca="1">IFERROR(__xludf.DUMMYFUNCTION("IMPORTRANGE(""https://docs.google.com/spreadsheets/d/1gF7RJpRnL-1oyjyeWxs5SFWEH7y8ahOZsQlyp2A2e-A/edit?usp=sharing"",""อุดรธานี!J332"")"),42143)</f>
        <v>42143</v>
      </c>
      <c r="T50" s="153">
        <f t="shared" ca="1" si="31"/>
        <v>478.89772727272725</v>
      </c>
      <c r="U50" s="394" t="str">
        <f ca="1">IFERROR(__xludf.DUMMYFUNCTION("IMPORTRANGE(""https://docs.google.com/spreadsheets/d/1gF7RJpRnL-1oyjyeWxs5SFWEH7y8ahOZsQlyp2A2e-A/edit?usp=sharing"",""อุดรธานี!I344"")"),"")</f>
        <v/>
      </c>
      <c r="V50" s="152">
        <f ca="1">IFERROR(__xludf.DUMMYFUNCTION("IMPORTRANGE(""https://docs.google.com/spreadsheets/d/1gF7RJpRnL-1oyjyeWxs5SFWEH7y8ahOZsQlyp2A2e-A/edit?usp=sharing"",""อุดรธานี!J344"")"),24675)</f>
        <v>24675</v>
      </c>
      <c r="W50" s="216" t="e">
        <f t="shared" ca="1" si="33"/>
        <v>#VALUE!</v>
      </c>
      <c r="X50" s="278">
        <f ca="1">IFERROR(__xludf.DUMMYFUNCTION("IMPORTRANGE(""https://docs.google.com/spreadsheets/d/1gF7RJpRnL-1oyjyeWxs5SFWEH7y8ahOZsQlyp2A2e-A/edit?usp=sharing"",""อุดรธานี!I346"")"),12)</f>
        <v>12</v>
      </c>
      <c r="Y50" s="152">
        <f ca="1">IFERROR(__xludf.DUMMYFUNCTION("IMPORTRANGE(""https://docs.google.com/spreadsheets/d/1gF7RJpRnL-1oyjyeWxs5SFWEH7y8ahOZsQlyp2A2e-A/edit?usp=sharing"",""อุดรธานี!J346"")"),10)</f>
        <v>10</v>
      </c>
      <c r="Z50" s="216">
        <f t="shared" ca="1" si="35"/>
        <v>83.333333333333329</v>
      </c>
      <c r="AA50" s="152">
        <f ca="1">IFERROR(__xludf.DUMMYFUNCTION("IMPORTRANGE(""https://docs.google.com/spreadsheets/d/1gF7RJpRnL-1oyjyeWxs5SFWEH7y8ahOZsQlyp2A2e-A/edit?usp=sharing"",""อุดรธานี!J347"")"),245)</f>
        <v>245</v>
      </c>
      <c r="AB50" s="152">
        <f ca="1">IFERROR(__xludf.DUMMYFUNCTION("IMPORTRANGE(""https://docs.google.com/spreadsheets/d/1gF7RJpRnL-1oyjyeWxs5SFWEH7y8ahOZsQlyp2A2e-A/edit?usp=sharing"",""อุดรธานี!J348"")"),8)</f>
        <v>8</v>
      </c>
      <c r="AC50" s="152">
        <f ca="1">IFERROR(__xludf.DUMMYFUNCTION("IMPORTRANGE(""https://docs.google.com/spreadsheets/d/1gF7RJpRnL-1oyjyeWxs5SFWEH7y8ahOZsQlyp2A2e-A/edit?usp=sharing"",""อุดรธานี!J349"")"),909)</f>
        <v>909</v>
      </c>
      <c r="AD50" s="152">
        <f ca="1">IFERROR(__xludf.DUMMYFUNCTION("IMPORTRANGE(""https://docs.google.com/spreadsheets/d/1gF7RJpRnL-1oyjyeWxs5SFWEH7y8ahOZsQlyp2A2e-A/edit?usp=sharing"",""อุดรธานี!J343"")"),25837)</f>
        <v>25837</v>
      </c>
      <c r="AE50" s="152">
        <f ca="1">IFERROR(__xludf.DUMMYFUNCTION("IMPORTRANGE(""https://docs.google.com/spreadsheets/d/1gF7RJpRnL-1oyjyeWxs5SFWEH7y8ahOZsQlyp2A2e-A/edit?usp=sharing"",""อุดรธานี!J352"")"),1)</f>
        <v>1</v>
      </c>
      <c r="AF50" s="152">
        <f ca="1">IFERROR(__xludf.DUMMYFUNCTION("IMPORTRANGE(""https://docs.google.com/spreadsheets/d/1gF7RJpRnL-1oyjyeWxs5SFWEH7y8ahOZsQlyp2A2e-A/edit?usp=sharing"",""อุดรธานี!J353"")"),13337)</f>
        <v>13337</v>
      </c>
      <c r="AG50" s="152">
        <f ca="1">IFERROR(__xludf.DUMMYFUNCTION("IMPORTRANGE(""https://docs.google.com/spreadsheets/d/1gF7RJpRnL-1oyjyeWxs5SFWEH7y8ahOZsQlyp2A2e-A/edit?usp=sharing"",""อุดรธานี!J354"")"),2969)</f>
        <v>2969</v>
      </c>
    </row>
    <row r="51" spans="1:33" ht="21" customHeight="1" x14ac:dyDescent="0.3">
      <c r="A51" s="399">
        <v>20</v>
      </c>
      <c r="B51" s="400" t="s">
        <v>79</v>
      </c>
      <c r="C51" s="165">
        <f t="shared" ca="1" si="22"/>
        <v>203000</v>
      </c>
      <c r="D51" s="166">
        <f t="shared" ca="1" si="43"/>
        <v>203000</v>
      </c>
      <c r="E51" s="167">
        <f ca="1">IFERROR(__xludf.DUMMYFUNCTION("IMPORTRANGE(""https://docs.google.com/spreadsheets/d/1-uDff_7J0KD5mKrp0Vvzr7lt3OU09vwQwhkpOPPYv2Y/edit?usp=sharing"",""งบพรบ!ET51"")"),0)</f>
        <v>0</v>
      </c>
      <c r="F51" s="167">
        <f ca="1">IFERROR(__xludf.DUMMYFUNCTION("IMPORTRANGE(""https://docs.google.com/spreadsheets/d/1-uDff_7J0KD5mKrp0Vvzr7lt3OU09vwQwhkpOPPYv2Y/edit?usp=sharing"",""งบพรบ!EU51"")"),203000)</f>
        <v>203000</v>
      </c>
      <c r="G51" s="167">
        <f ca="1">IFERROR(__xludf.DUMMYFUNCTION("IMPORTRANGE(""https://docs.google.com/spreadsheets/d/1-uDff_7J0KD5mKrp0Vvzr7lt3OU09vwQwhkpOPPYv2Y/edit?usp=sharing"",""งบพรบ!EV51"")"),0)</f>
        <v>0</v>
      </c>
      <c r="H51" s="167">
        <f ca="1">IFERROR(__xludf.DUMMYFUNCTION("IMPORTRANGE(""https://docs.google.com/spreadsheets/d/1-uDff_7J0KD5mKrp0Vvzr7lt3OU09vwQwhkpOPPYv2Y/edit?usp=sharing"",""งบพรบ!EX51"")"),203000)</f>
        <v>203000</v>
      </c>
      <c r="I51" s="167">
        <f ca="1">IFERROR(__xludf.DUMMYFUNCTION("IMPORTRANGE(""https://docs.google.com/spreadsheets/d/1-uDff_7J0KD5mKrp0Vvzr7lt3OU09vwQwhkpOPPYv2Y/edit?usp=sharing"",""งบพรบ!EY51"")"),0)</f>
        <v>0</v>
      </c>
      <c r="J51" s="167">
        <f t="shared" ca="1" si="24"/>
        <v>174757</v>
      </c>
      <c r="K51" s="168">
        <f t="shared" ca="1" si="25"/>
        <v>86.087192118226596</v>
      </c>
      <c r="L51" s="167">
        <f ca="1">IFERROR(__xludf.DUMMYFUNCTION("IMPORTRANGE(""https://docs.google.com/spreadsheets/d/1-uDff_7J0KD5mKrp0Vvzr7lt3OU09vwQwhkpOPPYv2Y/edit?usp=sharing"",""งบพรบ!EZ51"")"),174757)</f>
        <v>174757</v>
      </c>
      <c r="M51" s="97">
        <f t="shared" ca="1" si="26"/>
        <v>86.087192118226596</v>
      </c>
      <c r="N51" s="97">
        <f t="shared" ca="1" si="27"/>
        <v>86.087192118226596</v>
      </c>
      <c r="O51" s="96">
        <f ca="1">IFERROR(__xludf.DUMMYFUNCTION("IMPORTRANGE(""https://docs.google.com/spreadsheets/d/1-uDff_7J0KD5mKrp0Vvzr7lt3OU09vwQwhkpOPPYv2Y/edit?usp=sharing"",""งบพรบ!FA51"")"),0)</f>
        <v>0</v>
      </c>
      <c r="P51" s="96">
        <f t="shared" ca="1" si="28"/>
        <v>0</v>
      </c>
      <c r="Q51" s="97">
        <f t="shared" ca="1" si="29"/>
        <v>0</v>
      </c>
      <c r="R51" s="192">
        <f ca="1">IFERROR(__xludf.DUMMYFUNCTION("IMPORTRANGE(""https://docs.google.com/spreadsheets/d/1kfLP0j3INXRa8bTDpcEmoWewMBV61jlFlfzczfjWIgc/edit?usp=sharing"",""อุบลราชธานี!I332"")"),6500)</f>
        <v>6500</v>
      </c>
      <c r="S51" s="192">
        <f ca="1">IFERROR(__xludf.DUMMYFUNCTION("IMPORTRANGE(""https://docs.google.com/spreadsheets/d/1kfLP0j3INXRa8bTDpcEmoWewMBV61jlFlfzczfjWIgc/edit?usp=sharing"",""อุบลราชธานี!J332"")"),20962)</f>
        <v>20962</v>
      </c>
      <c r="T51" s="410">
        <f t="shared" ca="1" si="31"/>
        <v>322.49230769230769</v>
      </c>
      <c r="U51" s="402" t="str">
        <f ca="1">IFERROR(__xludf.DUMMYFUNCTION("IMPORTRANGE(""https://docs.google.com/spreadsheets/d/1kfLP0j3INXRa8bTDpcEmoWewMBV61jlFlfzczfjWIgc/edit?usp=sharing"",""อุบลราชธานี!I344"")"),"")</f>
        <v/>
      </c>
      <c r="V51" s="191">
        <f ca="1">IFERROR(__xludf.DUMMYFUNCTION("IMPORTRANGE(""https://docs.google.com/spreadsheets/d/1kfLP0j3INXRa8bTDpcEmoWewMBV61jlFlfzczfjWIgc/edit?usp=sharing"",""อุบลราชธานี!J344"")"),5159)</f>
        <v>5159</v>
      </c>
      <c r="W51" s="218" t="e">
        <f t="shared" ca="1" si="33"/>
        <v>#VALUE!</v>
      </c>
      <c r="X51" s="280">
        <f ca="1">IFERROR(__xludf.DUMMYFUNCTION("IMPORTRANGE(""https://docs.google.com/spreadsheets/d/1kfLP0j3INXRa8bTDpcEmoWewMBV61jlFlfzczfjWIgc/edit?usp=sharing"",""อุบลราชธานี!I346"")"),10)</f>
        <v>10</v>
      </c>
      <c r="Y51" s="191">
        <f ca="1">IFERROR(__xludf.DUMMYFUNCTION("IMPORTRANGE(""https://docs.google.com/spreadsheets/d/1kfLP0j3INXRa8bTDpcEmoWewMBV61jlFlfzczfjWIgc/edit?usp=sharing"",""อุบลราชธานี!J346"")"),10)</f>
        <v>10</v>
      </c>
      <c r="Z51" s="218">
        <f t="shared" ca="1" si="35"/>
        <v>100</v>
      </c>
      <c r="AA51" s="191">
        <f ca="1">IFERROR(__xludf.DUMMYFUNCTION("IMPORTRANGE(""https://docs.google.com/spreadsheets/d/1kfLP0j3INXRa8bTDpcEmoWewMBV61jlFlfzczfjWIgc/edit?usp=sharing"",""อุบลราชธานี!J347"")"),65)</f>
        <v>65</v>
      </c>
      <c r="AB51" s="191">
        <f ca="1">IFERROR(__xludf.DUMMYFUNCTION("IMPORTRANGE(""https://docs.google.com/spreadsheets/d/1kfLP0j3INXRa8bTDpcEmoWewMBV61jlFlfzczfjWIgc/edit?usp=sharing"",""อุบลราชธานี!J348"")"),80)</f>
        <v>80</v>
      </c>
      <c r="AC51" s="191">
        <f ca="1">IFERROR(__xludf.DUMMYFUNCTION("IMPORTRANGE(""https://docs.google.com/spreadsheets/d/1kfLP0j3INXRa8bTDpcEmoWewMBV61jlFlfzczfjWIgc/edit?usp=sharing"",""อุบลราชธานี!J349"")"),16)</f>
        <v>16</v>
      </c>
      <c r="AD51" s="191">
        <f ca="1">IFERROR(__xludf.DUMMYFUNCTION("IMPORTRANGE(""https://docs.google.com/spreadsheets/d/1kfLP0j3INXRa8bTDpcEmoWewMBV61jlFlfzczfjWIgc/edit?usp=sharing"",""อุบลราชธานี!J343"")"),5320)</f>
        <v>5320</v>
      </c>
      <c r="AE51" s="191">
        <f ca="1">IFERROR(__xludf.DUMMYFUNCTION("IMPORTRANGE(""https://docs.google.com/spreadsheets/d/1kfLP0j3INXRa8bTDpcEmoWewMBV61jlFlfzczfjWIgc/edit?usp=sharing"",""อุบลราชธานี!J352"")"),2565)</f>
        <v>2565</v>
      </c>
      <c r="AF51" s="191">
        <f ca="1">IFERROR(__xludf.DUMMYFUNCTION("IMPORTRANGE(""https://docs.google.com/spreadsheets/d/1kfLP0j3INXRa8bTDpcEmoWewMBV61jlFlfzczfjWIgc/edit?usp=sharing"",""อุบลราชธานี!J353"")"),11881)</f>
        <v>11881</v>
      </c>
      <c r="AG51" s="191">
        <f ca="1">IFERROR(__xludf.DUMMYFUNCTION("IMPORTRANGE(""https://docs.google.com/spreadsheets/d/1kfLP0j3INXRa8bTDpcEmoWewMBV61jlFlfzczfjWIgc/edit?usp=sharing"",""อุบลราชธานี!J354"")"),3761)</f>
        <v>3761</v>
      </c>
    </row>
    <row r="52" spans="1:33" ht="21" customHeight="1" x14ac:dyDescent="0.3">
      <c r="A52" s="749" t="s">
        <v>80</v>
      </c>
      <c r="B52" s="647"/>
      <c r="C52" s="136">
        <f t="shared" ca="1" si="22"/>
        <v>6551000</v>
      </c>
      <c r="D52" s="136">
        <f t="shared" ref="D52:I52" ca="1" si="44">SUM(D53:D73)</f>
        <v>6551000</v>
      </c>
      <c r="E52" s="136">
        <f t="shared" ca="1" si="44"/>
        <v>2893000</v>
      </c>
      <c r="F52" s="136">
        <f t="shared" ca="1" si="44"/>
        <v>3658000</v>
      </c>
      <c r="G52" s="136">
        <f t="shared" ca="1" si="44"/>
        <v>0</v>
      </c>
      <c r="H52" s="136">
        <f t="shared" ca="1" si="44"/>
        <v>6551000</v>
      </c>
      <c r="I52" s="136">
        <f t="shared" ca="1" si="44"/>
        <v>0</v>
      </c>
      <c r="J52" s="136">
        <f t="shared" ca="1" si="24"/>
        <v>5211606.9100000011</v>
      </c>
      <c r="K52" s="137">
        <f t="shared" ca="1" si="25"/>
        <v>79.554372004274171</v>
      </c>
      <c r="L52" s="136">
        <f ca="1">SUM(L53:L73)</f>
        <v>5211606.9100000011</v>
      </c>
      <c r="M52" s="37">
        <f t="shared" ca="1" si="26"/>
        <v>79.554372004274171</v>
      </c>
      <c r="N52" s="37">
        <f t="shared" ca="1" si="27"/>
        <v>79.554372004274171</v>
      </c>
      <c r="O52" s="36">
        <f ca="1">SUM(O53:O73)</f>
        <v>0</v>
      </c>
      <c r="P52" s="36">
        <f t="shared" ca="1" si="28"/>
        <v>0</v>
      </c>
      <c r="Q52" s="37">
        <f t="shared" ca="1" si="29"/>
        <v>0</v>
      </c>
      <c r="R52" s="409">
        <f t="shared" ref="R52:S52" ca="1" si="45">SUM(R53:R73)</f>
        <v>29100</v>
      </c>
      <c r="S52" s="409">
        <f t="shared" ca="1" si="45"/>
        <v>110664</v>
      </c>
      <c r="T52" s="411">
        <f t="shared" ca="1" si="31"/>
        <v>380.28865979381442</v>
      </c>
      <c r="U52" s="409">
        <f t="shared" ref="U52:V52" ca="1" si="46">SUM(U53:U73)</f>
        <v>0</v>
      </c>
      <c r="V52" s="403">
        <f t="shared" ca="1" si="46"/>
        <v>40035</v>
      </c>
      <c r="W52" s="405">
        <f t="shared" ca="1" si="33"/>
        <v>0</v>
      </c>
      <c r="X52" s="409">
        <f t="shared" ref="X52:Y52" ca="1" si="47">SUM(X53:X73)</f>
        <v>80</v>
      </c>
      <c r="Y52" s="403">
        <f t="shared" ca="1" si="47"/>
        <v>83</v>
      </c>
      <c r="Z52" s="405">
        <f t="shared" ca="1" si="35"/>
        <v>103.75</v>
      </c>
      <c r="AA52" s="403">
        <f t="shared" ref="AA52:AG52" ca="1" si="48">SUM(AA53:AA73)</f>
        <v>2001</v>
      </c>
      <c r="AB52" s="403">
        <f t="shared" ca="1" si="48"/>
        <v>1974</v>
      </c>
      <c r="AC52" s="403">
        <f t="shared" ca="1" si="48"/>
        <v>112</v>
      </c>
      <c r="AD52" s="403">
        <f t="shared" ca="1" si="48"/>
        <v>44122</v>
      </c>
      <c r="AE52" s="403">
        <f t="shared" ca="1" si="48"/>
        <v>7856</v>
      </c>
      <c r="AF52" s="403">
        <f t="shared" ca="1" si="48"/>
        <v>56368</v>
      </c>
      <c r="AG52" s="403">
        <f t="shared" ca="1" si="48"/>
        <v>10174</v>
      </c>
    </row>
    <row r="53" spans="1:33" ht="21" customHeight="1" x14ac:dyDescent="0.3">
      <c r="A53" s="392">
        <v>1</v>
      </c>
      <c r="B53" s="393" t="s">
        <v>81</v>
      </c>
      <c r="C53" s="149">
        <f t="shared" ca="1" si="22"/>
        <v>183000</v>
      </c>
      <c r="D53" s="150">
        <f t="shared" ref="D53:D73" ca="1" si="49">+E53+F53</f>
        <v>183000</v>
      </c>
      <c r="E53" s="151">
        <f ca="1">IFERROR(__xludf.DUMMYFUNCTION("IMPORTRANGE(""https://docs.google.com/spreadsheets/d/1-uDff_7J0KD5mKrp0Vvzr7lt3OU09vwQwhkpOPPYv2Y/edit?usp=sharing"",""งบพรบ!ET53"")"),0)</f>
        <v>0</v>
      </c>
      <c r="F53" s="151">
        <f ca="1">IFERROR(__xludf.DUMMYFUNCTION("IMPORTRANGE(""https://docs.google.com/spreadsheets/d/1-uDff_7J0KD5mKrp0Vvzr7lt3OU09vwQwhkpOPPYv2Y/edit?usp=sharing"",""งบพรบ!EU53"")"),183000)</f>
        <v>183000</v>
      </c>
      <c r="G53" s="152">
        <f ca="1">IFERROR(__xludf.DUMMYFUNCTION("IMPORTRANGE(""https://docs.google.com/spreadsheets/d/1-uDff_7J0KD5mKrp0Vvzr7lt3OU09vwQwhkpOPPYv2Y/edit?usp=sharing"",""งบพรบ!EV53"")"),0)</f>
        <v>0</v>
      </c>
      <c r="H53" s="152">
        <f ca="1">IFERROR(__xludf.DUMMYFUNCTION("IMPORTRANGE(""https://docs.google.com/spreadsheets/d/1-uDff_7J0KD5mKrp0Vvzr7lt3OU09vwQwhkpOPPYv2Y/edit?usp=sharing"",""งบพรบ!EX53"")"),183000)</f>
        <v>183000</v>
      </c>
      <c r="I53" s="152">
        <f ca="1">IFERROR(__xludf.DUMMYFUNCTION("IMPORTRANGE(""https://docs.google.com/spreadsheets/d/1-uDff_7J0KD5mKrp0Vvzr7lt3OU09vwQwhkpOPPYv2Y/edit?usp=sharing"",""งบพรบ!EY53"")"),0)</f>
        <v>0</v>
      </c>
      <c r="J53" s="152">
        <f t="shared" ca="1" si="24"/>
        <v>140738</v>
      </c>
      <c r="K53" s="153">
        <f t="shared" ca="1" si="25"/>
        <v>76.906010928961749</v>
      </c>
      <c r="L53" s="152">
        <f ca="1">IFERROR(__xludf.DUMMYFUNCTION("IMPORTRANGE(""https://docs.google.com/spreadsheets/d/1-uDff_7J0KD5mKrp0Vvzr7lt3OU09vwQwhkpOPPYv2Y/edit?usp=sharing"",""งบพรบ!EZ53"")"),140738)</f>
        <v>140738</v>
      </c>
      <c r="M53" s="68">
        <f t="shared" ca="1" si="26"/>
        <v>76.906010928961749</v>
      </c>
      <c r="N53" s="68">
        <f t="shared" ca="1" si="27"/>
        <v>76.906010928961749</v>
      </c>
      <c r="O53" s="67">
        <f ca="1">IFERROR(__xludf.DUMMYFUNCTION("IMPORTRANGE(""https://docs.google.com/spreadsheets/d/1-uDff_7J0KD5mKrp0Vvzr7lt3OU09vwQwhkpOPPYv2Y/edit?usp=sharing"",""งบพรบ!FA53"")"),0)</f>
        <v>0</v>
      </c>
      <c r="P53" s="67">
        <f t="shared" ca="1" si="28"/>
        <v>0</v>
      </c>
      <c r="Q53" s="68">
        <f t="shared" ca="1" si="29"/>
        <v>0</v>
      </c>
      <c r="R53" s="152">
        <f ca="1">IFERROR(__xludf.DUMMYFUNCTION("IMPORTRANGE(""https://docs.google.com/spreadsheets/d/13wPX838HrBrQMCywv1BsuMkt4PEKTChp52zj44s2izQ/edit?usp=sharing"",""กาญจนบุรี!I332"")"),1600)</f>
        <v>1600</v>
      </c>
      <c r="S53" s="152">
        <f ca="1">IFERROR(__xludf.DUMMYFUNCTION("IMPORTRANGE(""https://docs.google.com/spreadsheets/d/13wPX838HrBrQMCywv1BsuMkt4PEKTChp52zj44s2izQ/edit?usp=sharing"",""กาญจนบุรี!J332"")"),8755)</f>
        <v>8755</v>
      </c>
      <c r="T53" s="153">
        <f t="shared" ca="1" si="31"/>
        <v>547.1875</v>
      </c>
      <c r="U53" s="394" t="str">
        <f ca="1">IFERROR(__xludf.DUMMYFUNCTION("IMPORTRANGE(""https://docs.google.com/spreadsheets/d/13wPX838HrBrQMCywv1BsuMkt4PEKTChp52zj44s2izQ/edit?usp=sharing"",""กาญจนบุรี!I344"")"),"")</f>
        <v/>
      </c>
      <c r="V53" s="152">
        <f ca="1">IFERROR(__xludf.DUMMYFUNCTION("IMPORTRANGE(""https://docs.google.com/spreadsheets/d/13wPX838HrBrQMCywv1BsuMkt4PEKTChp52zj44s2izQ/edit?usp=sharing"",""กาญจนบุรี!J344"")"),2631)</f>
        <v>2631</v>
      </c>
      <c r="W53" s="216" t="e">
        <f t="shared" ca="1" si="33"/>
        <v>#VALUE!</v>
      </c>
      <c r="X53" s="278">
        <f ca="1">IFERROR(__xludf.DUMMYFUNCTION("IMPORTRANGE(""https://docs.google.com/spreadsheets/d/13wPX838HrBrQMCywv1BsuMkt4PEKTChp52zj44s2izQ/edit?usp=sharing"",""กาญจนบุรี!I346"")"),5)</f>
        <v>5</v>
      </c>
      <c r="Y53" s="152">
        <f ca="1">IFERROR(__xludf.DUMMYFUNCTION("IMPORTRANGE(""https://docs.google.com/spreadsheets/d/13wPX838HrBrQMCywv1BsuMkt4PEKTChp52zj44s2izQ/edit?usp=sharing"",""กาญจนบุรี!J346"")"),0)</f>
        <v>0</v>
      </c>
      <c r="Z53" s="216">
        <f t="shared" ca="1" si="35"/>
        <v>0</v>
      </c>
      <c r="AA53" s="152">
        <f ca="1">IFERROR(__xludf.DUMMYFUNCTION("IMPORTRANGE(""https://docs.google.com/spreadsheets/d/13wPX838HrBrQMCywv1BsuMkt4PEKTChp52zj44s2izQ/edit?usp=sharing"",""กาญจนบุรี!J347"")"),0)</f>
        <v>0</v>
      </c>
      <c r="AB53" s="152">
        <f ca="1">IFERROR(__xludf.DUMMYFUNCTION("IMPORTRANGE(""https://docs.google.com/spreadsheets/d/13wPX838HrBrQMCywv1BsuMkt4PEKTChp52zj44s2izQ/edit?usp=sharing"",""กาญจนบุรี!J348"")"),60)</f>
        <v>60</v>
      </c>
      <c r="AC53" s="152">
        <f ca="1">IFERROR(__xludf.DUMMYFUNCTION("IMPORTRANGE(""https://docs.google.com/spreadsheets/d/13wPX838HrBrQMCywv1BsuMkt4PEKTChp52zj44s2izQ/edit?usp=sharing"",""กาญจนบุรี!J349"")"),60)</f>
        <v>60</v>
      </c>
      <c r="AD53" s="152">
        <f ca="1">IFERROR(__xludf.DUMMYFUNCTION("IMPORTRANGE(""https://docs.google.com/spreadsheets/d/13wPX838HrBrQMCywv1BsuMkt4PEKTChp52zj44s2izQ/edit?usp=sharing"",""กาญจนบุรี!J343"")"),2751)</f>
        <v>2751</v>
      </c>
      <c r="AE53" s="152">
        <f ca="1">IFERROR(__xludf.DUMMYFUNCTION("IMPORTRANGE(""https://docs.google.com/spreadsheets/d/13wPX838HrBrQMCywv1BsuMkt4PEKTChp52zj44s2izQ/edit?usp=sharing"",""กาญจนบุรี!J352"")"),178)</f>
        <v>178</v>
      </c>
      <c r="AF53" s="152">
        <f ca="1">IFERROR(__xludf.DUMMYFUNCTION("IMPORTRANGE(""https://docs.google.com/spreadsheets/d/13wPX838HrBrQMCywv1BsuMkt4PEKTChp52zj44s2izQ/edit?usp=sharing"",""กาญจนบุรี!J353"")"),4872)</f>
        <v>4872</v>
      </c>
      <c r="AG53" s="152">
        <f ca="1">IFERROR(__xludf.DUMMYFUNCTION("IMPORTRANGE(""https://docs.google.com/spreadsheets/d/13wPX838HrBrQMCywv1BsuMkt4PEKTChp52zj44s2izQ/edit?usp=sharing"",""กาญจนบุรี!J354"")"),1132)</f>
        <v>1132</v>
      </c>
    </row>
    <row r="54" spans="1:33" ht="21" customHeight="1" x14ac:dyDescent="0.3">
      <c r="A54" s="395">
        <v>2</v>
      </c>
      <c r="B54" s="396" t="s">
        <v>82</v>
      </c>
      <c r="C54" s="149">
        <f t="shared" ca="1" si="22"/>
        <v>185000</v>
      </c>
      <c r="D54" s="150">
        <f t="shared" ca="1" si="49"/>
        <v>185000</v>
      </c>
      <c r="E54" s="151">
        <f ca="1">IFERROR(__xludf.DUMMYFUNCTION("IMPORTRANGE(""https://docs.google.com/spreadsheets/d/1-uDff_7J0KD5mKrp0Vvzr7lt3OU09vwQwhkpOPPYv2Y/edit?usp=sharing"",""งบพรบ!ET54"")"),0)</f>
        <v>0</v>
      </c>
      <c r="F54" s="151">
        <f ca="1">IFERROR(__xludf.DUMMYFUNCTION("IMPORTRANGE(""https://docs.google.com/spreadsheets/d/1-uDff_7J0KD5mKrp0Vvzr7lt3OU09vwQwhkpOPPYv2Y/edit?usp=sharing"",""งบพรบ!EU54"")"),185000)</f>
        <v>185000</v>
      </c>
      <c r="G54" s="151">
        <f ca="1">IFERROR(__xludf.DUMMYFUNCTION("IMPORTRANGE(""https://docs.google.com/spreadsheets/d/1-uDff_7J0KD5mKrp0Vvzr7lt3OU09vwQwhkpOPPYv2Y/edit?usp=sharing"",""งบพรบ!EV54"")"),0)</f>
        <v>0</v>
      </c>
      <c r="H54" s="151">
        <f ca="1">IFERROR(__xludf.DUMMYFUNCTION("IMPORTRANGE(""https://docs.google.com/spreadsheets/d/1-uDff_7J0KD5mKrp0Vvzr7lt3OU09vwQwhkpOPPYv2Y/edit?usp=sharing"",""งบพรบ!EX54"")"),185000)</f>
        <v>185000</v>
      </c>
      <c r="I54" s="151">
        <f ca="1">IFERROR(__xludf.DUMMYFUNCTION("IMPORTRANGE(""https://docs.google.com/spreadsheets/d/1-uDff_7J0KD5mKrp0Vvzr7lt3OU09vwQwhkpOPPYv2Y/edit?usp=sharing"",""งบพรบ!EY54"")"),0)</f>
        <v>0</v>
      </c>
      <c r="J54" s="151">
        <f t="shared" ca="1" si="24"/>
        <v>114023.4</v>
      </c>
      <c r="K54" s="154">
        <f t="shared" ca="1" si="25"/>
        <v>61.634270270270271</v>
      </c>
      <c r="L54" s="151">
        <f ca="1">IFERROR(__xludf.DUMMYFUNCTION("IMPORTRANGE(""https://docs.google.com/spreadsheets/d/1-uDff_7J0KD5mKrp0Vvzr7lt3OU09vwQwhkpOPPYv2Y/edit?usp=sharing"",""งบพรบ!EZ54"")"),114023.4)</f>
        <v>114023.4</v>
      </c>
      <c r="M54" s="68">
        <f t="shared" ca="1" si="26"/>
        <v>61.634270270270271</v>
      </c>
      <c r="N54" s="68">
        <f t="shared" ca="1" si="27"/>
        <v>61.634270270270271</v>
      </c>
      <c r="O54" s="67">
        <f ca="1">IFERROR(__xludf.DUMMYFUNCTION("IMPORTRANGE(""https://docs.google.com/spreadsheets/d/1-uDff_7J0KD5mKrp0Vvzr7lt3OU09vwQwhkpOPPYv2Y/edit?usp=sharing"",""งบพรบ!FA54"")"),0)</f>
        <v>0</v>
      </c>
      <c r="P54" s="67">
        <f t="shared" ca="1" si="28"/>
        <v>0</v>
      </c>
      <c r="Q54" s="68">
        <f t="shared" ca="1" si="29"/>
        <v>0</v>
      </c>
      <c r="R54" s="152">
        <f ca="1">IFERROR(__xludf.DUMMYFUNCTION("IMPORTRANGE(""https://docs.google.com/spreadsheets/d/1ddFKvqj1W1NEiWytbGlB1zMx_ykJDVtmfEQ-6-lIUBA/edit?usp=sharing"",""จันทบุรี!I332"")"),1600)</f>
        <v>1600</v>
      </c>
      <c r="S54" s="152">
        <f ca="1">IFERROR(__xludf.DUMMYFUNCTION("IMPORTRANGE(""https://docs.google.com/spreadsheets/d/1ddFKvqj1W1NEiWytbGlB1zMx_ykJDVtmfEQ-6-lIUBA/edit?usp=sharing"",""จันทบุรี!J332"")"),10730)</f>
        <v>10730</v>
      </c>
      <c r="T54" s="153">
        <f t="shared" ca="1" si="31"/>
        <v>670.625</v>
      </c>
      <c r="U54" s="394" t="str">
        <f ca="1">IFERROR(__xludf.DUMMYFUNCTION("IMPORTRANGE(""https://docs.google.com/spreadsheets/d/1ddFKvqj1W1NEiWytbGlB1zMx_ykJDVtmfEQ-6-lIUBA/edit?usp=sharing"",""จันทบุรี!I344"")"),"")</f>
        <v/>
      </c>
      <c r="V54" s="152">
        <f ca="1">IFERROR(__xludf.DUMMYFUNCTION("IMPORTRANGE(""https://docs.google.com/spreadsheets/d/1ddFKvqj1W1NEiWytbGlB1zMx_ykJDVtmfEQ-6-lIUBA/edit?usp=sharing"",""จันทบุรี!J344"")"),6018)</f>
        <v>6018</v>
      </c>
      <c r="W54" s="216" t="e">
        <f t="shared" ca="1" si="33"/>
        <v>#VALUE!</v>
      </c>
      <c r="X54" s="278">
        <f ca="1">IFERROR(__xludf.DUMMYFUNCTION("IMPORTRANGE(""https://docs.google.com/spreadsheets/d/1ddFKvqj1W1NEiWytbGlB1zMx_ykJDVtmfEQ-6-lIUBA/edit?usp=sharing"",""จันทบุรี!I346"")"),6)</f>
        <v>6</v>
      </c>
      <c r="Y54" s="152">
        <f ca="1">IFERROR(__xludf.DUMMYFUNCTION("IMPORTRANGE(""https://docs.google.com/spreadsheets/d/1ddFKvqj1W1NEiWytbGlB1zMx_ykJDVtmfEQ-6-lIUBA/edit?usp=sharing"",""จันทบุรี!J346"")"),1)</f>
        <v>1</v>
      </c>
      <c r="Z54" s="216">
        <f t="shared" ca="1" si="35"/>
        <v>16.666666666666668</v>
      </c>
      <c r="AA54" s="152">
        <f ca="1">IFERROR(__xludf.DUMMYFUNCTION("IMPORTRANGE(""https://docs.google.com/spreadsheets/d/1ddFKvqj1W1NEiWytbGlB1zMx_ykJDVtmfEQ-6-lIUBA/edit?usp=sharing"",""จันทบุรี!J347"")"),394)</f>
        <v>394</v>
      </c>
      <c r="AB54" s="152">
        <f ca="1">IFERROR(__xludf.DUMMYFUNCTION("IMPORTRANGE(""https://docs.google.com/spreadsheets/d/1ddFKvqj1W1NEiWytbGlB1zMx_ykJDVtmfEQ-6-lIUBA/edit?usp=sharing"",""จันทบุรี!J348"")"),1377)</f>
        <v>1377</v>
      </c>
      <c r="AC54" s="152">
        <f ca="1">IFERROR(__xludf.DUMMYFUNCTION("IMPORTRANGE(""https://docs.google.com/spreadsheets/d/1ddFKvqj1W1NEiWytbGlB1zMx_ykJDVtmfEQ-6-lIUBA/edit?usp=sharing"",""จันทบุรี!J349"")"),0)</f>
        <v>0</v>
      </c>
      <c r="AD54" s="152">
        <f ca="1">IFERROR(__xludf.DUMMYFUNCTION("IMPORTRANGE(""https://docs.google.com/spreadsheets/d/1ddFKvqj1W1NEiWytbGlB1zMx_ykJDVtmfEQ-6-lIUBA/edit?usp=sharing"",""จันทบุรี!J343"")"),7789)</f>
        <v>7789</v>
      </c>
      <c r="AE54" s="152">
        <f ca="1">IFERROR(__xludf.DUMMYFUNCTION("IMPORTRANGE(""https://docs.google.com/spreadsheets/d/1ddFKvqj1W1NEiWytbGlB1zMx_ykJDVtmfEQ-6-lIUBA/edit?usp=sharing"",""จันทบุรี!J352"")"),1329)</f>
        <v>1329</v>
      </c>
      <c r="AF54" s="152">
        <f ca="1">IFERROR(__xludf.DUMMYFUNCTION("IMPORTRANGE(""https://docs.google.com/spreadsheets/d/1ddFKvqj1W1NEiWytbGlB1zMx_ykJDVtmfEQ-6-lIUBA/edit?usp=sharing"",""จันทบุรี!J353"")"),2520)</f>
        <v>2520</v>
      </c>
      <c r="AG54" s="152">
        <f ca="1">IFERROR(__xludf.DUMMYFUNCTION("IMPORTRANGE(""https://docs.google.com/spreadsheets/d/1ddFKvqj1W1NEiWytbGlB1zMx_ykJDVtmfEQ-6-lIUBA/edit?usp=sharing"",""จันทบุรี!J354"")"),421)</f>
        <v>421</v>
      </c>
    </row>
    <row r="55" spans="1:33" ht="21" customHeight="1" x14ac:dyDescent="0.3">
      <c r="A55" s="395">
        <v>3</v>
      </c>
      <c r="B55" s="396" t="s">
        <v>83</v>
      </c>
      <c r="C55" s="149">
        <f t="shared" ca="1" si="22"/>
        <v>610000</v>
      </c>
      <c r="D55" s="150">
        <f t="shared" ca="1" si="49"/>
        <v>610000</v>
      </c>
      <c r="E55" s="151">
        <f ca="1">IFERROR(__xludf.DUMMYFUNCTION("IMPORTRANGE(""https://docs.google.com/spreadsheets/d/1-uDff_7J0KD5mKrp0Vvzr7lt3OU09vwQwhkpOPPYv2Y/edit?usp=sharing"",""งบพรบ!ET55"")"),418000)</f>
        <v>418000</v>
      </c>
      <c r="F55" s="151">
        <f ca="1">IFERROR(__xludf.DUMMYFUNCTION("IMPORTRANGE(""https://docs.google.com/spreadsheets/d/1-uDff_7J0KD5mKrp0Vvzr7lt3OU09vwQwhkpOPPYv2Y/edit?usp=sharing"",""งบพรบ!EU55"")"),192000)</f>
        <v>192000</v>
      </c>
      <c r="G55" s="151">
        <f ca="1">IFERROR(__xludf.DUMMYFUNCTION("IMPORTRANGE(""https://docs.google.com/spreadsheets/d/1-uDff_7J0KD5mKrp0Vvzr7lt3OU09vwQwhkpOPPYv2Y/edit?usp=sharing"",""งบพรบ!EV55"")"),0)</f>
        <v>0</v>
      </c>
      <c r="H55" s="151">
        <f ca="1">IFERROR(__xludf.DUMMYFUNCTION("IMPORTRANGE(""https://docs.google.com/spreadsheets/d/1-uDff_7J0KD5mKrp0Vvzr7lt3OU09vwQwhkpOPPYv2Y/edit?usp=sharing"",""งบพรบ!EX55"")"),610000)</f>
        <v>610000</v>
      </c>
      <c r="I55" s="151">
        <f ca="1">IFERROR(__xludf.DUMMYFUNCTION("IMPORTRANGE(""https://docs.google.com/spreadsheets/d/1-uDff_7J0KD5mKrp0Vvzr7lt3OU09vwQwhkpOPPYv2Y/edit?usp=sharing"",""งบพรบ!EY55"")"),0)</f>
        <v>0</v>
      </c>
      <c r="J55" s="151">
        <f t="shared" ca="1" si="24"/>
        <v>507184.61</v>
      </c>
      <c r="K55" s="154">
        <f t="shared" ca="1" si="25"/>
        <v>83.145018032786879</v>
      </c>
      <c r="L55" s="151">
        <f ca="1">IFERROR(__xludf.DUMMYFUNCTION("IMPORTRANGE(""https://docs.google.com/spreadsheets/d/1-uDff_7J0KD5mKrp0Vvzr7lt3OU09vwQwhkpOPPYv2Y/edit?usp=sharing"",""งบพรบ!EZ55"")"),507184.61)</f>
        <v>507184.61</v>
      </c>
      <c r="M55" s="68">
        <f t="shared" ca="1" si="26"/>
        <v>83.145018032786879</v>
      </c>
      <c r="N55" s="68">
        <f t="shared" ca="1" si="27"/>
        <v>83.145018032786879</v>
      </c>
      <c r="O55" s="67">
        <f ca="1">IFERROR(__xludf.DUMMYFUNCTION("IMPORTRANGE(""https://docs.google.com/spreadsheets/d/1-uDff_7J0KD5mKrp0Vvzr7lt3OU09vwQwhkpOPPYv2Y/edit?usp=sharing"",""งบพรบ!FA55"")"),0)</f>
        <v>0</v>
      </c>
      <c r="P55" s="67">
        <f t="shared" ca="1" si="28"/>
        <v>0</v>
      </c>
      <c r="Q55" s="68">
        <f t="shared" ca="1" si="29"/>
        <v>0</v>
      </c>
      <c r="R55" s="152">
        <f ca="1">IFERROR(__xludf.DUMMYFUNCTION("IMPORTRANGE(""https://docs.google.com/spreadsheets/d/1T1PQvRODqOBZk8BRht_U031fIS1beLA0Ub2CEytj2q0/edit?usp=sharing"",""ฉะเชิงเทรา!I332"")"),4300)</f>
        <v>4300</v>
      </c>
      <c r="S55" s="152">
        <f ca="1">IFERROR(__xludf.DUMMYFUNCTION("IMPORTRANGE(""https://docs.google.com/spreadsheets/d/1T1PQvRODqOBZk8BRht_U031fIS1beLA0Ub2CEytj2q0/edit?usp=sharing"",""ฉะเชิงเทรา!J332"")"),13945)</f>
        <v>13945</v>
      </c>
      <c r="T55" s="153">
        <f t="shared" ca="1" si="31"/>
        <v>324.30232558139534</v>
      </c>
      <c r="U55" s="394" t="str">
        <f ca="1">IFERROR(__xludf.DUMMYFUNCTION("IMPORTRANGE(""https://docs.google.com/spreadsheets/d/1T1PQvRODqOBZk8BRht_U031fIS1beLA0Ub2CEytj2q0/edit?usp=sharing"",""ฉะเชิงเทรา!I344"")"),"")</f>
        <v/>
      </c>
      <c r="V55" s="152">
        <f ca="1">IFERROR(__xludf.DUMMYFUNCTION("IMPORTRANGE(""https://docs.google.com/spreadsheets/d/1T1PQvRODqOBZk8BRht_U031fIS1beLA0Ub2CEytj2q0/edit?usp=sharing"",""ฉะเชิงเทรา!J344"")"),5744)</f>
        <v>5744</v>
      </c>
      <c r="W55" s="216" t="e">
        <f t="shared" ca="1" si="33"/>
        <v>#VALUE!</v>
      </c>
      <c r="X55" s="278">
        <f ca="1">IFERROR(__xludf.DUMMYFUNCTION("IMPORTRANGE(""https://docs.google.com/spreadsheets/d/1T1PQvRODqOBZk8BRht_U031fIS1beLA0Ub2CEytj2q0/edit?usp=sharing"",""ฉะเชิงเทรา!I346"")"),7)</f>
        <v>7</v>
      </c>
      <c r="Y55" s="152">
        <f ca="1">IFERROR(__xludf.DUMMYFUNCTION("IMPORTRANGE(""https://docs.google.com/spreadsheets/d/1T1PQvRODqOBZk8BRht_U031fIS1beLA0Ub2CEytj2q0/edit?usp=sharing"",""ฉะเชิงเทรา!J346"")"),5)</f>
        <v>5</v>
      </c>
      <c r="Z55" s="216">
        <f t="shared" ca="1" si="35"/>
        <v>71.428571428571431</v>
      </c>
      <c r="AA55" s="152">
        <f ca="1">IFERROR(__xludf.DUMMYFUNCTION("IMPORTRANGE(""https://docs.google.com/spreadsheets/d/1T1PQvRODqOBZk8BRht_U031fIS1beLA0Ub2CEytj2q0/edit?usp=sharing"",""ฉะเชิงเทรา!J347"")"),0)</f>
        <v>0</v>
      </c>
      <c r="AB55" s="152">
        <f ca="1">IFERROR(__xludf.DUMMYFUNCTION("IMPORTRANGE(""https://docs.google.com/spreadsheets/d/1T1PQvRODqOBZk8BRht_U031fIS1beLA0Ub2CEytj2q0/edit?usp=sharing"",""ฉะเชิงเทรา!J348"")"),6)</f>
        <v>6</v>
      </c>
      <c r="AC55" s="152">
        <f ca="1">IFERROR(__xludf.DUMMYFUNCTION("IMPORTRANGE(""https://docs.google.com/spreadsheets/d/1T1PQvRODqOBZk8BRht_U031fIS1beLA0Ub2CEytj2q0/edit?usp=sharing"",""ฉะเชิงเทรา!J349"")"),0)</f>
        <v>0</v>
      </c>
      <c r="AD55" s="152">
        <f ca="1">IFERROR(__xludf.DUMMYFUNCTION("IMPORTRANGE(""https://docs.google.com/spreadsheets/d/1T1PQvRODqOBZk8BRht_U031fIS1beLA0Ub2CEytj2q0/edit?usp=sharing"",""ฉะเชิงเทรา!J343"")"),5750)</f>
        <v>5750</v>
      </c>
      <c r="AE55" s="152">
        <f ca="1">IFERROR(__xludf.DUMMYFUNCTION("IMPORTRANGE(""https://docs.google.com/spreadsheets/d/1T1PQvRODqOBZk8BRht_U031fIS1beLA0Ub2CEytj2q0/edit?usp=sharing"",""ฉะเชิงเทรา!J352"")"),66)</f>
        <v>66</v>
      </c>
      <c r="AF55" s="152">
        <f ca="1">IFERROR(__xludf.DUMMYFUNCTION("IMPORTRANGE(""https://docs.google.com/spreadsheets/d/1T1PQvRODqOBZk8BRht_U031fIS1beLA0Ub2CEytj2q0/edit?usp=sharing"",""ฉะเชิงเทรา!J353"")"),7267)</f>
        <v>7267</v>
      </c>
      <c r="AG55" s="152">
        <f ca="1">IFERROR(__xludf.DUMMYFUNCTION("IMPORTRANGE(""https://docs.google.com/spreadsheets/d/1T1PQvRODqOBZk8BRht_U031fIS1beLA0Ub2CEytj2q0/edit?usp=sharing"",""ฉะเชิงเทรา!J354"")"),928)</f>
        <v>928</v>
      </c>
    </row>
    <row r="56" spans="1:33" ht="21" customHeight="1" x14ac:dyDescent="0.3">
      <c r="A56" s="395">
        <v>4</v>
      </c>
      <c r="B56" s="396" t="s">
        <v>84</v>
      </c>
      <c r="C56" s="149">
        <f t="shared" ca="1" si="22"/>
        <v>181000</v>
      </c>
      <c r="D56" s="150">
        <f t="shared" ca="1" si="49"/>
        <v>181000</v>
      </c>
      <c r="E56" s="151">
        <f ca="1">IFERROR(__xludf.DUMMYFUNCTION("IMPORTRANGE(""https://docs.google.com/spreadsheets/d/1-uDff_7J0KD5mKrp0Vvzr7lt3OU09vwQwhkpOPPYv2Y/edit?usp=sharing"",""งบพรบ!ET56"")"),0)</f>
        <v>0</v>
      </c>
      <c r="F56" s="151">
        <f ca="1">IFERROR(__xludf.DUMMYFUNCTION("IMPORTRANGE(""https://docs.google.com/spreadsheets/d/1-uDff_7J0KD5mKrp0Vvzr7lt3OU09vwQwhkpOPPYv2Y/edit?usp=sharing"",""งบพรบ!EU56"")"),181000)</f>
        <v>181000</v>
      </c>
      <c r="G56" s="151">
        <f ca="1">IFERROR(__xludf.DUMMYFUNCTION("IMPORTRANGE(""https://docs.google.com/spreadsheets/d/1-uDff_7J0KD5mKrp0Vvzr7lt3OU09vwQwhkpOPPYv2Y/edit?usp=sharing"",""งบพรบ!EV56"")"),0)</f>
        <v>0</v>
      </c>
      <c r="H56" s="151">
        <f ca="1">IFERROR(__xludf.DUMMYFUNCTION("IMPORTRANGE(""https://docs.google.com/spreadsheets/d/1-uDff_7J0KD5mKrp0Vvzr7lt3OU09vwQwhkpOPPYv2Y/edit?usp=sharing"",""งบพรบ!EX56"")"),181000)</f>
        <v>181000</v>
      </c>
      <c r="I56" s="151">
        <f ca="1">IFERROR(__xludf.DUMMYFUNCTION("IMPORTRANGE(""https://docs.google.com/spreadsheets/d/1-uDff_7J0KD5mKrp0Vvzr7lt3OU09vwQwhkpOPPYv2Y/edit?usp=sharing"",""งบพรบ!EY56"")"),0)</f>
        <v>0</v>
      </c>
      <c r="J56" s="151">
        <f t="shared" ca="1" si="24"/>
        <v>147771.20000000001</v>
      </c>
      <c r="K56" s="154">
        <f t="shared" ca="1" si="25"/>
        <v>81.641546961325972</v>
      </c>
      <c r="L56" s="151">
        <f ca="1">IFERROR(__xludf.DUMMYFUNCTION("IMPORTRANGE(""https://docs.google.com/spreadsheets/d/1-uDff_7J0KD5mKrp0Vvzr7lt3OU09vwQwhkpOPPYv2Y/edit?usp=sharing"",""งบพรบ!EZ56"")"),147771.2)</f>
        <v>147771.20000000001</v>
      </c>
      <c r="M56" s="68">
        <f t="shared" ca="1" si="26"/>
        <v>81.641546961325972</v>
      </c>
      <c r="N56" s="68">
        <f t="shared" ca="1" si="27"/>
        <v>81.641546961325972</v>
      </c>
      <c r="O56" s="67">
        <f ca="1">IFERROR(__xludf.DUMMYFUNCTION("IMPORTRANGE(""https://docs.google.com/spreadsheets/d/1-uDff_7J0KD5mKrp0Vvzr7lt3OU09vwQwhkpOPPYv2Y/edit?usp=sharing"",""งบพรบ!FA56"")"),0)</f>
        <v>0</v>
      </c>
      <c r="P56" s="67">
        <f t="shared" ca="1" si="28"/>
        <v>0</v>
      </c>
      <c r="Q56" s="68">
        <f t="shared" ca="1" si="29"/>
        <v>0</v>
      </c>
      <c r="R56" s="152">
        <f ca="1">IFERROR(__xludf.DUMMYFUNCTION("IMPORTRANGE(""https://docs.google.com/spreadsheets/d/11tr1B-Bhyr79v2bkwVh5h_fR-PStkgjlZtkrZpYurG0/edit?usp=sharing"",""ชลบุรี!I332"")"),1400)</f>
        <v>1400</v>
      </c>
      <c r="S56" s="152">
        <f ca="1">IFERROR(__xludf.DUMMYFUNCTION("IMPORTRANGE(""https://docs.google.com/spreadsheets/d/11tr1B-Bhyr79v2bkwVh5h_fR-PStkgjlZtkrZpYurG0/edit?usp=sharing"",""ชลบุรี!J332"")"),7577)</f>
        <v>7577</v>
      </c>
      <c r="T56" s="153">
        <f t="shared" ca="1" si="31"/>
        <v>541.21428571428567</v>
      </c>
      <c r="U56" s="394" t="str">
        <f ca="1">IFERROR(__xludf.DUMMYFUNCTION("IMPORTRANGE(""https://docs.google.com/spreadsheets/d/11tr1B-Bhyr79v2bkwVh5h_fR-PStkgjlZtkrZpYurG0/edit?usp=sharing"",""ชลบุรี!I344"")"),"")</f>
        <v/>
      </c>
      <c r="V56" s="152">
        <f ca="1">IFERROR(__xludf.DUMMYFUNCTION("IMPORTRANGE(""https://docs.google.com/spreadsheets/d/11tr1B-Bhyr79v2bkwVh5h_fR-PStkgjlZtkrZpYurG0/edit?usp=sharing"",""ชลบุรี!J344"")"),1205)</f>
        <v>1205</v>
      </c>
      <c r="W56" s="216" t="e">
        <f t="shared" ca="1" si="33"/>
        <v>#VALUE!</v>
      </c>
      <c r="X56" s="278">
        <f ca="1">IFERROR(__xludf.DUMMYFUNCTION("IMPORTRANGE(""https://docs.google.com/spreadsheets/d/11tr1B-Bhyr79v2bkwVh5h_fR-PStkgjlZtkrZpYurG0/edit?usp=sharing"",""ชลบุรี!I346"")"),4)</f>
        <v>4</v>
      </c>
      <c r="Y56" s="152">
        <f ca="1">IFERROR(__xludf.DUMMYFUNCTION("IMPORTRANGE(""https://docs.google.com/spreadsheets/d/11tr1B-Bhyr79v2bkwVh5h_fR-PStkgjlZtkrZpYurG0/edit?usp=sharing"",""ชลบุรี!J346"")"),7)</f>
        <v>7</v>
      </c>
      <c r="Z56" s="216">
        <f t="shared" ca="1" si="35"/>
        <v>175</v>
      </c>
      <c r="AA56" s="152">
        <f ca="1">IFERROR(__xludf.DUMMYFUNCTION("IMPORTRANGE(""https://docs.google.com/spreadsheets/d/11tr1B-Bhyr79v2bkwVh5h_fR-PStkgjlZtkrZpYurG0/edit?usp=sharing"",""ชลบุรี!J347"")"),0)</f>
        <v>0</v>
      </c>
      <c r="AB56" s="152">
        <f ca="1">IFERROR(__xludf.DUMMYFUNCTION("IMPORTRANGE(""https://docs.google.com/spreadsheets/d/11tr1B-Bhyr79v2bkwVh5h_fR-PStkgjlZtkrZpYurG0/edit?usp=sharing"",""ชลบุรี!J348"")"),10)</f>
        <v>10</v>
      </c>
      <c r="AC56" s="152">
        <f ca="1">IFERROR(__xludf.DUMMYFUNCTION("IMPORTRANGE(""https://docs.google.com/spreadsheets/d/11tr1B-Bhyr79v2bkwVh5h_fR-PStkgjlZtkrZpYurG0/edit?usp=sharing"",""ชลบุรี!J349"")"),0)</f>
        <v>0</v>
      </c>
      <c r="AD56" s="152">
        <f ca="1">IFERROR(__xludf.DUMMYFUNCTION("IMPORTRANGE(""https://docs.google.com/spreadsheets/d/11tr1B-Bhyr79v2bkwVh5h_fR-PStkgjlZtkrZpYurG0/edit?usp=sharing"",""ชลบุรี!J343"")"),1215)</f>
        <v>1215</v>
      </c>
      <c r="AE56" s="152">
        <f ca="1">IFERROR(__xludf.DUMMYFUNCTION("IMPORTRANGE(""https://docs.google.com/spreadsheets/d/11tr1B-Bhyr79v2bkwVh5h_fR-PStkgjlZtkrZpYurG0/edit?usp=sharing"",""ชลบุรี!J352"")"),177)</f>
        <v>177</v>
      </c>
      <c r="AF56" s="152">
        <f ca="1">IFERROR(__xludf.DUMMYFUNCTION("IMPORTRANGE(""https://docs.google.com/spreadsheets/d/11tr1B-Bhyr79v2bkwVh5h_fR-PStkgjlZtkrZpYurG0/edit?usp=sharing"",""ชลบุรี!J353"")"),5585)</f>
        <v>5585</v>
      </c>
      <c r="AG56" s="152">
        <f ca="1">IFERROR(__xludf.DUMMYFUNCTION("IMPORTRANGE(""https://docs.google.com/spreadsheets/d/11tr1B-Bhyr79v2bkwVh5h_fR-PStkgjlZtkrZpYurG0/edit?usp=sharing"",""ชลบุรี!J354"")"),777)</f>
        <v>777</v>
      </c>
    </row>
    <row r="57" spans="1:33" ht="21" customHeight="1" x14ac:dyDescent="0.3">
      <c r="A57" s="395">
        <v>5</v>
      </c>
      <c r="B57" s="396" t="s">
        <v>85</v>
      </c>
      <c r="C57" s="149">
        <f t="shared" ca="1" si="22"/>
        <v>178000</v>
      </c>
      <c r="D57" s="150">
        <f t="shared" ca="1" si="49"/>
        <v>178000</v>
      </c>
      <c r="E57" s="151">
        <f ca="1">IFERROR(__xludf.DUMMYFUNCTION("IMPORTRANGE(""https://docs.google.com/spreadsheets/d/1-uDff_7J0KD5mKrp0Vvzr7lt3OU09vwQwhkpOPPYv2Y/edit?usp=sharing"",""งบพรบ!ET57"")"),0)</f>
        <v>0</v>
      </c>
      <c r="F57" s="151">
        <f ca="1">IFERROR(__xludf.DUMMYFUNCTION("IMPORTRANGE(""https://docs.google.com/spreadsheets/d/1-uDff_7J0KD5mKrp0Vvzr7lt3OU09vwQwhkpOPPYv2Y/edit?usp=sharing"",""งบพรบ!EU57"")"),178000)</f>
        <v>178000</v>
      </c>
      <c r="G57" s="151">
        <f ca="1">IFERROR(__xludf.DUMMYFUNCTION("IMPORTRANGE(""https://docs.google.com/spreadsheets/d/1-uDff_7J0KD5mKrp0Vvzr7lt3OU09vwQwhkpOPPYv2Y/edit?usp=sharing"",""งบพรบ!EV57"")"),0)</f>
        <v>0</v>
      </c>
      <c r="H57" s="151">
        <f ca="1">IFERROR(__xludf.DUMMYFUNCTION("IMPORTRANGE(""https://docs.google.com/spreadsheets/d/1-uDff_7J0KD5mKrp0Vvzr7lt3OU09vwQwhkpOPPYv2Y/edit?usp=sharing"",""งบพรบ!EX57"")"),178000)</f>
        <v>178000</v>
      </c>
      <c r="I57" s="151">
        <f ca="1">IFERROR(__xludf.DUMMYFUNCTION("IMPORTRANGE(""https://docs.google.com/spreadsheets/d/1-uDff_7J0KD5mKrp0Vvzr7lt3OU09vwQwhkpOPPYv2Y/edit?usp=sharing"",""งบพรบ!EY57"")"),0)</f>
        <v>0</v>
      </c>
      <c r="J57" s="151">
        <f t="shared" ca="1" si="24"/>
        <v>107068</v>
      </c>
      <c r="K57" s="154">
        <f t="shared" ca="1" si="25"/>
        <v>60.150561797752808</v>
      </c>
      <c r="L57" s="151">
        <f ca="1">IFERROR(__xludf.DUMMYFUNCTION("IMPORTRANGE(""https://docs.google.com/spreadsheets/d/1-uDff_7J0KD5mKrp0Vvzr7lt3OU09vwQwhkpOPPYv2Y/edit?usp=sharing"",""งบพรบ!EZ57"")"),107068)</f>
        <v>107068</v>
      </c>
      <c r="M57" s="68">
        <f t="shared" ca="1" si="26"/>
        <v>60.150561797752808</v>
      </c>
      <c r="N57" s="68">
        <f t="shared" ca="1" si="27"/>
        <v>60.150561797752808</v>
      </c>
      <c r="O57" s="67">
        <f ca="1">IFERROR(__xludf.DUMMYFUNCTION("IMPORTRANGE(""https://docs.google.com/spreadsheets/d/1-uDff_7J0KD5mKrp0Vvzr7lt3OU09vwQwhkpOPPYv2Y/edit?usp=sharing"",""งบพรบ!FA57"")"),0)</f>
        <v>0</v>
      </c>
      <c r="P57" s="67">
        <f t="shared" ca="1" si="28"/>
        <v>0</v>
      </c>
      <c r="Q57" s="68">
        <f t="shared" ca="1" si="29"/>
        <v>0</v>
      </c>
      <c r="R57" s="152">
        <f ca="1">IFERROR(__xludf.DUMMYFUNCTION("IMPORTRANGE(""https://docs.google.com/spreadsheets/d/1hh-FVnSX0vozXhGluamEcS54Dw9_zqW0N7qJUWgJ0Sw/edit?usp=sharing"",""ชัยนาท!I332"")"),800)</f>
        <v>800</v>
      </c>
      <c r="S57" s="152">
        <f ca="1">IFERROR(__xludf.DUMMYFUNCTION("IMPORTRANGE(""https://docs.google.com/spreadsheets/d/1hh-FVnSX0vozXhGluamEcS54Dw9_zqW0N7qJUWgJ0Sw/edit?usp=sharing"",""ชัยนาท!J332"")"),1721)</f>
        <v>1721</v>
      </c>
      <c r="T57" s="153">
        <f t="shared" ca="1" si="31"/>
        <v>215.125</v>
      </c>
      <c r="U57" s="394" t="str">
        <f ca="1">IFERROR(__xludf.DUMMYFUNCTION("IMPORTRANGE(""https://docs.google.com/spreadsheets/d/1hh-FVnSX0vozXhGluamEcS54Dw9_zqW0N7qJUWgJ0Sw/edit?usp=sharing"",""ชัยนาท!I344"")"),"")</f>
        <v/>
      </c>
      <c r="V57" s="152">
        <f ca="1">IFERROR(__xludf.DUMMYFUNCTION("IMPORTRANGE(""https://docs.google.com/spreadsheets/d/1hh-FVnSX0vozXhGluamEcS54Dw9_zqW0N7qJUWgJ0Sw/edit?usp=sharing"",""ชัยนาท!J344"")"),572)</f>
        <v>572</v>
      </c>
      <c r="W57" s="216" t="e">
        <f t="shared" ca="1" si="33"/>
        <v>#VALUE!</v>
      </c>
      <c r="X57" s="278">
        <f ca="1">IFERROR(__xludf.DUMMYFUNCTION("IMPORTRANGE(""https://docs.google.com/spreadsheets/d/1hh-FVnSX0vozXhGluamEcS54Dw9_zqW0N7qJUWgJ0Sw/edit?usp=sharing"",""ชัยนาท!I346"")"),5)</f>
        <v>5</v>
      </c>
      <c r="Y57" s="152">
        <f ca="1">IFERROR(__xludf.DUMMYFUNCTION("IMPORTRANGE(""https://docs.google.com/spreadsheets/d/1hh-FVnSX0vozXhGluamEcS54Dw9_zqW0N7qJUWgJ0Sw/edit?usp=sharing"",""ชัยนาท!J346"")"),5)</f>
        <v>5</v>
      </c>
      <c r="Z57" s="216">
        <f t="shared" ca="1" si="35"/>
        <v>100</v>
      </c>
      <c r="AA57" s="152">
        <f ca="1">IFERROR(__xludf.DUMMYFUNCTION("IMPORTRANGE(""https://docs.google.com/spreadsheets/d/1hh-FVnSX0vozXhGluamEcS54Dw9_zqW0N7qJUWgJ0Sw/edit?usp=sharing"",""ชัยนาท!J347"")"),0)</f>
        <v>0</v>
      </c>
      <c r="AB57" s="152">
        <f ca="1">IFERROR(__xludf.DUMMYFUNCTION("IMPORTRANGE(""https://docs.google.com/spreadsheets/d/1hh-FVnSX0vozXhGluamEcS54Dw9_zqW0N7qJUWgJ0Sw/edit?usp=sharing"",""ชัยนาท!J348"")"),3)</f>
        <v>3</v>
      </c>
      <c r="AC57" s="152">
        <f ca="1">IFERROR(__xludf.DUMMYFUNCTION("IMPORTRANGE(""https://docs.google.com/spreadsheets/d/1hh-FVnSX0vozXhGluamEcS54Dw9_zqW0N7qJUWgJ0Sw/edit?usp=sharing"",""ชัยนาท!J349"")"),0)</f>
        <v>0</v>
      </c>
      <c r="AD57" s="152">
        <f ca="1">IFERROR(__xludf.DUMMYFUNCTION("IMPORTRANGE(""https://docs.google.com/spreadsheets/d/1hh-FVnSX0vozXhGluamEcS54Dw9_zqW0N7qJUWgJ0Sw/edit?usp=sharing"",""ชัยนาท!J343"")"),575)</f>
        <v>575</v>
      </c>
      <c r="AE57" s="152">
        <f ca="1">IFERROR(__xludf.DUMMYFUNCTION("IMPORTRANGE(""https://docs.google.com/spreadsheets/d/1hh-FVnSX0vozXhGluamEcS54Dw9_zqW0N7qJUWgJ0Sw/edit?usp=sharing"",""ชัยนาท!J352"")"),0)</f>
        <v>0</v>
      </c>
      <c r="AF57" s="152">
        <f ca="1">IFERROR(__xludf.DUMMYFUNCTION("IMPORTRANGE(""https://docs.google.com/spreadsheets/d/1hh-FVnSX0vozXhGluamEcS54Dw9_zqW0N7qJUWgJ0Sw/edit?usp=sharing"",""ชัยนาท!J353"")"),1057)</f>
        <v>1057</v>
      </c>
      <c r="AG57" s="152">
        <f ca="1">IFERROR(__xludf.DUMMYFUNCTION("IMPORTRANGE(""https://docs.google.com/spreadsheets/d/1hh-FVnSX0vozXhGluamEcS54Dw9_zqW0N7qJUWgJ0Sw/edit?usp=sharing"",""ชัยนาท!J354"")"),89)</f>
        <v>89</v>
      </c>
    </row>
    <row r="58" spans="1:33" ht="21" customHeight="1" x14ac:dyDescent="0.3">
      <c r="A58" s="395">
        <v>6</v>
      </c>
      <c r="B58" s="396" t="s">
        <v>86</v>
      </c>
      <c r="C58" s="149">
        <f t="shared" ca="1" si="22"/>
        <v>356800</v>
      </c>
      <c r="D58" s="150">
        <f t="shared" ca="1" si="49"/>
        <v>356800</v>
      </c>
      <c r="E58" s="151">
        <f ca="1">IFERROR(__xludf.DUMMYFUNCTION("IMPORTRANGE(""https://docs.google.com/spreadsheets/d/1-uDff_7J0KD5mKrp0Vvzr7lt3OU09vwQwhkpOPPYv2Y/edit?usp=sharing"",""งบพรบ!ET58"")"),184800)</f>
        <v>184800</v>
      </c>
      <c r="F58" s="151">
        <f ca="1">IFERROR(__xludf.DUMMYFUNCTION("IMPORTRANGE(""https://docs.google.com/spreadsheets/d/1-uDff_7J0KD5mKrp0Vvzr7lt3OU09vwQwhkpOPPYv2Y/edit?usp=sharing"",""งบพรบ!EU58"")"),172000)</f>
        <v>172000</v>
      </c>
      <c r="G58" s="151">
        <f ca="1">IFERROR(__xludf.DUMMYFUNCTION("IMPORTRANGE(""https://docs.google.com/spreadsheets/d/1-uDff_7J0KD5mKrp0Vvzr7lt3OU09vwQwhkpOPPYv2Y/edit?usp=sharing"",""งบพรบ!EV58"")"),0)</f>
        <v>0</v>
      </c>
      <c r="H58" s="151">
        <f ca="1">IFERROR(__xludf.DUMMYFUNCTION("IMPORTRANGE(""https://docs.google.com/spreadsheets/d/1-uDff_7J0KD5mKrp0Vvzr7lt3OU09vwQwhkpOPPYv2Y/edit?usp=sharing"",""งบพรบ!EX58"")"),356800)</f>
        <v>356800</v>
      </c>
      <c r="I58" s="151">
        <f ca="1">IFERROR(__xludf.DUMMYFUNCTION("IMPORTRANGE(""https://docs.google.com/spreadsheets/d/1-uDff_7J0KD5mKrp0Vvzr7lt3OU09vwQwhkpOPPYv2Y/edit?usp=sharing"",""งบพรบ!EY58"")"),0)</f>
        <v>0</v>
      </c>
      <c r="J58" s="151">
        <f t="shared" ca="1" si="24"/>
        <v>273697</v>
      </c>
      <c r="K58" s="154">
        <f t="shared" ca="1" si="25"/>
        <v>76.708800448430495</v>
      </c>
      <c r="L58" s="151">
        <f ca="1">IFERROR(__xludf.DUMMYFUNCTION("IMPORTRANGE(""https://docs.google.com/spreadsheets/d/1-uDff_7J0KD5mKrp0Vvzr7lt3OU09vwQwhkpOPPYv2Y/edit?usp=sharing"",""งบพรบ!EZ58"")"),273697)</f>
        <v>273697</v>
      </c>
      <c r="M58" s="68">
        <f t="shared" ca="1" si="26"/>
        <v>76.708800448430495</v>
      </c>
      <c r="N58" s="68">
        <f t="shared" ca="1" si="27"/>
        <v>76.708800448430495</v>
      </c>
      <c r="O58" s="67">
        <f ca="1">IFERROR(__xludf.DUMMYFUNCTION("IMPORTRANGE(""https://docs.google.com/spreadsheets/d/1-uDff_7J0KD5mKrp0Vvzr7lt3OU09vwQwhkpOPPYv2Y/edit?usp=sharing"",""งบพรบ!FA58"")"),0)</f>
        <v>0</v>
      </c>
      <c r="P58" s="67">
        <f t="shared" ca="1" si="28"/>
        <v>0</v>
      </c>
      <c r="Q58" s="68">
        <f t="shared" ca="1" si="29"/>
        <v>0</v>
      </c>
      <c r="R58" s="152">
        <f ca="1">IFERROR(__xludf.DUMMYFUNCTION("IMPORTRANGE(""https://docs.google.com/spreadsheets/d/1jkqa6GXxSacMcY1eN8AHjMNJ_7dDXMJVRLDlaFSOdPM/edit?usp=sharing"",""ตราด!I332"")"),600)</f>
        <v>600</v>
      </c>
      <c r="S58" s="152">
        <f ca="1">IFERROR(__xludf.DUMMYFUNCTION("IMPORTRANGE(""https://docs.google.com/spreadsheets/d/1jkqa6GXxSacMcY1eN8AHjMNJ_7dDXMJVRLDlaFSOdPM/edit?usp=sharing"",""ตราด!J332"")"),6292)</f>
        <v>6292</v>
      </c>
      <c r="T58" s="153">
        <f t="shared" ca="1" si="31"/>
        <v>1048.6666666666667</v>
      </c>
      <c r="U58" s="394" t="str">
        <f ca="1">IFERROR(__xludf.DUMMYFUNCTION("IMPORTRANGE(""https://docs.google.com/spreadsheets/d/1jkqa6GXxSacMcY1eN8AHjMNJ_7dDXMJVRLDlaFSOdPM/edit?usp=sharing"",""ตราด!I344"")"),"")</f>
        <v/>
      </c>
      <c r="V58" s="152">
        <f ca="1">IFERROR(__xludf.DUMMYFUNCTION("IMPORTRANGE(""https://docs.google.com/spreadsheets/d/1jkqa6GXxSacMcY1eN8AHjMNJ_7dDXMJVRLDlaFSOdPM/edit?usp=sharing"",""ตราด!J344"")"),961)</f>
        <v>961</v>
      </c>
      <c r="W58" s="216" t="e">
        <f t="shared" ca="1" si="33"/>
        <v>#VALUE!</v>
      </c>
      <c r="X58" s="278">
        <f ca="1">IFERROR(__xludf.DUMMYFUNCTION("IMPORTRANGE(""https://docs.google.com/spreadsheets/d/1jkqa6GXxSacMcY1eN8AHjMNJ_7dDXMJVRLDlaFSOdPM/edit?usp=sharing"",""ตราด!I346"")"),2)</f>
        <v>2</v>
      </c>
      <c r="Y58" s="152">
        <f ca="1">IFERROR(__xludf.DUMMYFUNCTION("IMPORTRANGE(""https://docs.google.com/spreadsheets/d/1jkqa6GXxSacMcY1eN8AHjMNJ_7dDXMJVRLDlaFSOdPM/edit?usp=sharing"",""ตราด!J346"")"),2)</f>
        <v>2</v>
      </c>
      <c r="Z58" s="216">
        <f t="shared" ca="1" si="35"/>
        <v>100</v>
      </c>
      <c r="AA58" s="152">
        <f ca="1">IFERROR(__xludf.DUMMYFUNCTION("IMPORTRANGE(""https://docs.google.com/spreadsheets/d/1jkqa6GXxSacMcY1eN8AHjMNJ_7dDXMJVRLDlaFSOdPM/edit?usp=sharing"",""ตราด!J347"")"),1)</f>
        <v>1</v>
      </c>
      <c r="AB58" s="152">
        <f ca="1">IFERROR(__xludf.DUMMYFUNCTION("IMPORTRANGE(""https://docs.google.com/spreadsheets/d/1jkqa6GXxSacMcY1eN8AHjMNJ_7dDXMJVRLDlaFSOdPM/edit?usp=sharing"",""ตราด!J348"")"),7)</f>
        <v>7</v>
      </c>
      <c r="AC58" s="152">
        <f ca="1">IFERROR(__xludf.DUMMYFUNCTION("IMPORTRANGE(""https://docs.google.com/spreadsheets/d/1jkqa6GXxSacMcY1eN8AHjMNJ_7dDXMJVRLDlaFSOdPM/edit?usp=sharing"",""ตราด!J349"")"),0)</f>
        <v>0</v>
      </c>
      <c r="AD58" s="152">
        <f ca="1">IFERROR(__xludf.DUMMYFUNCTION("IMPORTRANGE(""https://docs.google.com/spreadsheets/d/1jkqa6GXxSacMcY1eN8AHjMNJ_7dDXMJVRLDlaFSOdPM/edit?usp=sharing"",""ตราด!J343"")"),969)</f>
        <v>969</v>
      </c>
      <c r="AE58" s="152">
        <f ca="1">IFERROR(__xludf.DUMMYFUNCTION("IMPORTRANGE(""https://docs.google.com/spreadsheets/d/1jkqa6GXxSacMcY1eN8AHjMNJ_7dDXMJVRLDlaFSOdPM/edit?usp=sharing"",""ตราด!J352"")"),24)</f>
        <v>24</v>
      </c>
      <c r="AF58" s="152">
        <f ca="1">IFERROR(__xludf.DUMMYFUNCTION("IMPORTRANGE(""https://docs.google.com/spreadsheets/d/1jkqa6GXxSacMcY1eN8AHjMNJ_7dDXMJVRLDlaFSOdPM/edit?usp=sharing"",""ตราด!J353"")"),4873)</f>
        <v>4873</v>
      </c>
      <c r="AG58" s="152">
        <f ca="1">IFERROR(__xludf.DUMMYFUNCTION("IMPORTRANGE(""https://docs.google.com/spreadsheets/d/1jkqa6GXxSacMcY1eN8AHjMNJ_7dDXMJVRLDlaFSOdPM/edit?usp=sharing"",""ตราด!J354"")"),450)</f>
        <v>450</v>
      </c>
    </row>
    <row r="59" spans="1:33" ht="21" customHeight="1" x14ac:dyDescent="0.3">
      <c r="A59" s="395">
        <v>7</v>
      </c>
      <c r="B59" s="396" t="s">
        <v>87</v>
      </c>
      <c r="C59" s="149">
        <f t="shared" ca="1" si="22"/>
        <v>580000</v>
      </c>
      <c r="D59" s="150">
        <f t="shared" ca="1" si="49"/>
        <v>580000</v>
      </c>
      <c r="E59" s="151">
        <f ca="1">IFERROR(__xludf.DUMMYFUNCTION("IMPORTRANGE(""https://docs.google.com/spreadsheets/d/1-uDff_7J0KD5mKrp0Vvzr7lt3OU09vwQwhkpOPPYv2Y/edit?usp=sharing"",""งบพรบ!ET59"")"),418000)</f>
        <v>418000</v>
      </c>
      <c r="F59" s="151">
        <f ca="1">IFERROR(__xludf.DUMMYFUNCTION("IMPORTRANGE(""https://docs.google.com/spreadsheets/d/1-uDff_7J0KD5mKrp0Vvzr7lt3OU09vwQwhkpOPPYv2Y/edit?usp=sharing"",""งบพรบ!EU59"")"),162000)</f>
        <v>162000</v>
      </c>
      <c r="G59" s="151">
        <f ca="1">IFERROR(__xludf.DUMMYFUNCTION("IMPORTRANGE(""https://docs.google.com/spreadsheets/d/1-uDff_7J0KD5mKrp0Vvzr7lt3OU09vwQwhkpOPPYv2Y/edit?usp=sharing"",""งบพรบ!EV59"")"),0)</f>
        <v>0</v>
      </c>
      <c r="H59" s="151">
        <f ca="1">IFERROR(__xludf.DUMMYFUNCTION("IMPORTRANGE(""https://docs.google.com/spreadsheets/d/1-uDff_7J0KD5mKrp0Vvzr7lt3OU09vwQwhkpOPPYv2Y/edit?usp=sharing"",""งบพรบ!EX59"")"),580000)</f>
        <v>580000</v>
      </c>
      <c r="I59" s="151">
        <f ca="1">IFERROR(__xludf.DUMMYFUNCTION("IMPORTRANGE(""https://docs.google.com/spreadsheets/d/1-uDff_7J0KD5mKrp0Vvzr7lt3OU09vwQwhkpOPPYv2Y/edit?usp=sharing"",""งบพรบ!EY59"")"),0)</f>
        <v>0</v>
      </c>
      <c r="J59" s="151">
        <f t="shared" ca="1" si="24"/>
        <v>478873</v>
      </c>
      <c r="K59" s="154">
        <f t="shared" ca="1" si="25"/>
        <v>82.564310344827589</v>
      </c>
      <c r="L59" s="151">
        <f ca="1">IFERROR(__xludf.DUMMYFUNCTION("IMPORTRANGE(""https://docs.google.com/spreadsheets/d/1-uDff_7J0KD5mKrp0Vvzr7lt3OU09vwQwhkpOPPYv2Y/edit?usp=sharing"",""งบพรบ!EZ59"")"),478873)</f>
        <v>478873</v>
      </c>
      <c r="M59" s="68">
        <f t="shared" ca="1" si="26"/>
        <v>82.564310344827589</v>
      </c>
      <c r="N59" s="68">
        <f t="shared" ca="1" si="27"/>
        <v>82.564310344827589</v>
      </c>
      <c r="O59" s="67">
        <f ca="1">IFERROR(__xludf.DUMMYFUNCTION("IMPORTRANGE(""https://docs.google.com/spreadsheets/d/1-uDff_7J0KD5mKrp0Vvzr7lt3OU09vwQwhkpOPPYv2Y/edit?usp=sharing"",""งบพรบ!FA59"")"),0)</f>
        <v>0</v>
      </c>
      <c r="P59" s="67">
        <f t="shared" ca="1" si="28"/>
        <v>0</v>
      </c>
      <c r="Q59" s="68">
        <f t="shared" ca="1" si="29"/>
        <v>0</v>
      </c>
      <c r="R59" s="152">
        <f ca="1">IFERROR(__xludf.DUMMYFUNCTION("IMPORTRANGE(""https://docs.google.com/spreadsheets/d/18hSgUJ3VwClqi_qtULmmW3cLr0oe3OKaSYoKzdpTsYQ/edit?usp=sharing"",""นครนายก!I332"")"),600)</f>
        <v>600</v>
      </c>
      <c r="S59" s="152">
        <f ca="1">IFERROR(__xludf.DUMMYFUNCTION("IMPORTRANGE(""https://docs.google.com/spreadsheets/d/18hSgUJ3VwClqi_qtULmmW3cLr0oe3OKaSYoKzdpTsYQ/edit?usp=sharing"",""นครนายก!J332"")"),539)</f>
        <v>539</v>
      </c>
      <c r="T59" s="153">
        <f t="shared" ca="1" si="31"/>
        <v>89.833333333333329</v>
      </c>
      <c r="U59" s="394" t="str">
        <f ca="1">IFERROR(__xludf.DUMMYFUNCTION("IMPORTRANGE(""https://docs.google.com/spreadsheets/d/18hSgUJ3VwClqi_qtULmmW3cLr0oe3OKaSYoKzdpTsYQ/edit?usp=sharing"",""นครนายก!I344"")"),"")</f>
        <v/>
      </c>
      <c r="V59" s="152">
        <f ca="1">IFERROR(__xludf.DUMMYFUNCTION("IMPORTRANGE(""https://docs.google.com/spreadsheets/d/18hSgUJ3VwClqi_qtULmmW3cLr0oe3OKaSYoKzdpTsYQ/edit?usp=sharing"",""นครนายก!J344"")"),321)</f>
        <v>321</v>
      </c>
      <c r="W59" s="216" t="e">
        <f t="shared" ca="1" si="33"/>
        <v>#VALUE!</v>
      </c>
      <c r="X59" s="278">
        <f ca="1">IFERROR(__xludf.DUMMYFUNCTION("IMPORTRANGE(""https://docs.google.com/spreadsheets/d/18hSgUJ3VwClqi_qtULmmW3cLr0oe3OKaSYoKzdpTsYQ/edit?usp=sharing"",""นครนายก!I346"")"),2)</f>
        <v>2</v>
      </c>
      <c r="Y59" s="152">
        <f ca="1">IFERROR(__xludf.DUMMYFUNCTION("IMPORTRANGE(""https://docs.google.com/spreadsheets/d/18hSgUJ3VwClqi_qtULmmW3cLr0oe3OKaSYoKzdpTsYQ/edit?usp=sharing"",""นครนายก!J346"")"),1)</f>
        <v>1</v>
      </c>
      <c r="Z59" s="216">
        <f t="shared" ca="1" si="35"/>
        <v>50</v>
      </c>
      <c r="AA59" s="152">
        <f ca="1">IFERROR(__xludf.DUMMYFUNCTION("IMPORTRANGE(""https://docs.google.com/spreadsheets/d/18hSgUJ3VwClqi_qtULmmW3cLr0oe3OKaSYoKzdpTsYQ/edit?usp=sharing"",""นครนายก!J347"")"),47)</f>
        <v>47</v>
      </c>
      <c r="AB59" s="152">
        <f ca="1">IFERROR(__xludf.DUMMYFUNCTION("IMPORTRANGE(""https://docs.google.com/spreadsheets/d/18hSgUJ3VwClqi_qtULmmW3cLr0oe3OKaSYoKzdpTsYQ/edit?usp=sharing"",""นครนายก!J348"")"),50)</f>
        <v>50</v>
      </c>
      <c r="AC59" s="152">
        <f ca="1">IFERROR(__xludf.DUMMYFUNCTION("IMPORTRANGE(""https://docs.google.com/spreadsheets/d/18hSgUJ3VwClqi_qtULmmW3cLr0oe3OKaSYoKzdpTsYQ/edit?usp=sharing"",""นครนายก!J349"")"),0)</f>
        <v>0</v>
      </c>
      <c r="AD59" s="152">
        <f ca="1">IFERROR(__xludf.DUMMYFUNCTION("IMPORTRANGE(""https://docs.google.com/spreadsheets/d/18hSgUJ3VwClqi_qtULmmW3cLr0oe3OKaSYoKzdpTsYQ/edit?usp=sharing"",""นครนายก!J343"")"),418)</f>
        <v>418</v>
      </c>
      <c r="AE59" s="152">
        <f ca="1">IFERROR(__xludf.DUMMYFUNCTION("IMPORTRANGE(""https://docs.google.com/spreadsheets/d/18hSgUJ3VwClqi_qtULmmW3cLr0oe3OKaSYoKzdpTsYQ/edit?usp=sharing"",""นครนายก!J352"")"),0)</f>
        <v>0</v>
      </c>
      <c r="AF59" s="152">
        <f ca="1">IFERROR(__xludf.DUMMYFUNCTION("IMPORTRANGE(""https://docs.google.com/spreadsheets/d/18hSgUJ3VwClqi_qtULmmW3cLr0oe3OKaSYoKzdpTsYQ/edit?usp=sharing"",""นครนายก!J353"")"),15)</f>
        <v>15</v>
      </c>
      <c r="AG59" s="152">
        <f ca="1">IFERROR(__xludf.DUMMYFUNCTION("IMPORTRANGE(""https://docs.google.com/spreadsheets/d/18hSgUJ3VwClqi_qtULmmW3cLr0oe3OKaSYoKzdpTsYQ/edit?usp=sharing"",""นครนายก!J354"")"),106)</f>
        <v>106</v>
      </c>
    </row>
    <row r="60" spans="1:33" ht="21" customHeight="1" x14ac:dyDescent="0.3">
      <c r="A60" s="395">
        <v>8</v>
      </c>
      <c r="B60" s="396" t="s">
        <v>88</v>
      </c>
      <c r="C60" s="149">
        <f t="shared" ca="1" si="22"/>
        <v>446300</v>
      </c>
      <c r="D60" s="150">
        <f t="shared" ca="1" si="49"/>
        <v>446300</v>
      </c>
      <c r="E60" s="151">
        <f ca="1">IFERROR(__xludf.DUMMYFUNCTION("IMPORTRANGE(""https://docs.google.com/spreadsheets/d/1-uDff_7J0KD5mKrp0Vvzr7lt3OU09vwQwhkpOPPYv2Y/edit?usp=sharing"",""งบพรบ!ET60"")"),289300)</f>
        <v>289300</v>
      </c>
      <c r="F60" s="151">
        <f ca="1">IFERROR(__xludf.DUMMYFUNCTION("IMPORTRANGE(""https://docs.google.com/spreadsheets/d/1-uDff_7J0KD5mKrp0Vvzr7lt3OU09vwQwhkpOPPYv2Y/edit?usp=sharing"",""งบพรบ!EU60"")"),157000)</f>
        <v>157000</v>
      </c>
      <c r="G60" s="151">
        <f ca="1">IFERROR(__xludf.DUMMYFUNCTION("IMPORTRANGE(""https://docs.google.com/spreadsheets/d/1-uDff_7J0KD5mKrp0Vvzr7lt3OU09vwQwhkpOPPYv2Y/edit?usp=sharing"",""งบพรบ!EV60"")"),0)</f>
        <v>0</v>
      </c>
      <c r="H60" s="151">
        <f ca="1">IFERROR(__xludf.DUMMYFUNCTION("IMPORTRANGE(""https://docs.google.com/spreadsheets/d/1-uDff_7J0KD5mKrp0Vvzr7lt3OU09vwQwhkpOPPYv2Y/edit?usp=sharing"",""งบพรบ!EX60"")"),446300)</f>
        <v>446300</v>
      </c>
      <c r="I60" s="151">
        <f ca="1">IFERROR(__xludf.DUMMYFUNCTION("IMPORTRANGE(""https://docs.google.com/spreadsheets/d/1-uDff_7J0KD5mKrp0Vvzr7lt3OU09vwQwhkpOPPYv2Y/edit?usp=sharing"",""งบพรบ!EY60"")"),0)</f>
        <v>0</v>
      </c>
      <c r="J60" s="151">
        <f t="shared" ca="1" si="24"/>
        <v>401833.05</v>
      </c>
      <c r="K60" s="154">
        <f t="shared" ca="1" si="25"/>
        <v>90.036533721711848</v>
      </c>
      <c r="L60" s="151">
        <f ca="1">IFERROR(__xludf.DUMMYFUNCTION("IMPORTRANGE(""https://docs.google.com/spreadsheets/d/1-uDff_7J0KD5mKrp0Vvzr7lt3OU09vwQwhkpOPPYv2Y/edit?usp=sharing"",""งบพรบ!EZ60"")"),401833.05)</f>
        <v>401833.05</v>
      </c>
      <c r="M60" s="68">
        <f t="shared" ca="1" si="26"/>
        <v>90.036533721711848</v>
      </c>
      <c r="N60" s="68">
        <f t="shared" ca="1" si="27"/>
        <v>90.036533721711848</v>
      </c>
      <c r="O60" s="67">
        <f ca="1">IFERROR(__xludf.DUMMYFUNCTION("IMPORTRANGE(""https://docs.google.com/spreadsheets/d/1-uDff_7J0KD5mKrp0Vvzr7lt3OU09vwQwhkpOPPYv2Y/edit?usp=sharing"",""งบพรบ!FA60"")"),0)</f>
        <v>0</v>
      </c>
      <c r="P60" s="67">
        <f t="shared" ca="1" si="28"/>
        <v>0</v>
      </c>
      <c r="Q60" s="68">
        <f t="shared" ca="1" si="29"/>
        <v>0</v>
      </c>
      <c r="R60" s="152">
        <f ca="1">IFERROR(__xludf.DUMMYFUNCTION("IMPORTRANGE(""https://docs.google.com/spreadsheets/d/1YTZo6WM2dQ6Ix6FSdnL5P7uVnVKu40sxZu975tgG10E/edit?usp=sharing"",""นครปฐม!I332"")"),200)</f>
        <v>200</v>
      </c>
      <c r="S60" s="152">
        <f ca="1">IFERROR(__xludf.DUMMYFUNCTION("IMPORTRANGE(""https://docs.google.com/spreadsheets/d/1YTZo6WM2dQ6Ix6FSdnL5P7uVnVKu40sxZu975tgG10E/edit?usp=sharing"",""นครปฐม!J332"")"),335)</f>
        <v>335</v>
      </c>
      <c r="T60" s="153">
        <f t="shared" ca="1" si="31"/>
        <v>167.5</v>
      </c>
      <c r="U60" s="394" t="str">
        <f ca="1">IFERROR(__xludf.DUMMYFUNCTION("IMPORTRANGE(""https://docs.google.com/spreadsheets/d/1YTZo6WM2dQ6Ix6FSdnL5P7uVnVKu40sxZu975tgG10E/edit?usp=sharing"",""นครปฐม!I344"")"),"")</f>
        <v/>
      </c>
      <c r="V60" s="152">
        <f ca="1">IFERROR(__xludf.DUMMYFUNCTION("IMPORTRANGE(""https://docs.google.com/spreadsheets/d/1YTZo6WM2dQ6Ix6FSdnL5P7uVnVKu40sxZu975tgG10E/edit?usp=sharing"",""นครปฐม!J344"")"),114)</f>
        <v>114</v>
      </c>
      <c r="W60" s="216" t="e">
        <f t="shared" ca="1" si="33"/>
        <v>#VALUE!</v>
      </c>
      <c r="X60" s="278">
        <f ca="1">IFERROR(__xludf.DUMMYFUNCTION("IMPORTRANGE(""https://docs.google.com/spreadsheets/d/1YTZo6WM2dQ6Ix6FSdnL5P7uVnVKu40sxZu975tgG10E/edit?usp=sharing"",""นครปฐม!I346"")"),2)</f>
        <v>2</v>
      </c>
      <c r="Y60" s="152">
        <f ca="1">IFERROR(__xludf.DUMMYFUNCTION("IMPORTRANGE(""https://docs.google.com/spreadsheets/d/1YTZo6WM2dQ6Ix6FSdnL5P7uVnVKu40sxZu975tgG10E/edit?usp=sharing"",""นครปฐม!J346"")"),2)</f>
        <v>2</v>
      </c>
      <c r="Z60" s="216">
        <f t="shared" ca="1" si="35"/>
        <v>100</v>
      </c>
      <c r="AA60" s="152">
        <f ca="1">IFERROR(__xludf.DUMMYFUNCTION("IMPORTRANGE(""https://docs.google.com/spreadsheets/d/1YTZo6WM2dQ6Ix6FSdnL5P7uVnVKu40sxZu975tgG10E/edit?usp=sharing"",""นครปฐม!J347"")"),184)</f>
        <v>184</v>
      </c>
      <c r="AB60" s="152">
        <f ca="1">IFERROR(__xludf.DUMMYFUNCTION("IMPORTRANGE(""https://docs.google.com/spreadsheets/d/1YTZo6WM2dQ6Ix6FSdnL5P7uVnVKu40sxZu975tgG10E/edit?usp=sharing"",""นครปฐม!J348"")"),36)</f>
        <v>36</v>
      </c>
      <c r="AC60" s="152">
        <f ca="1">IFERROR(__xludf.DUMMYFUNCTION("IMPORTRANGE(""https://docs.google.com/spreadsheets/d/1YTZo6WM2dQ6Ix6FSdnL5P7uVnVKu40sxZu975tgG10E/edit?usp=sharing"",""นครปฐม!J349"")"),1)</f>
        <v>1</v>
      </c>
      <c r="AD60" s="152">
        <f ca="1">IFERROR(__xludf.DUMMYFUNCTION("IMPORTRANGE(""https://docs.google.com/spreadsheets/d/1YTZo6WM2dQ6Ix6FSdnL5P7uVnVKu40sxZu975tgG10E/edit?usp=sharing"",""นครปฐม!J343"")"),335)</f>
        <v>335</v>
      </c>
      <c r="AE60" s="152">
        <f ca="1">IFERROR(__xludf.DUMMYFUNCTION("IMPORTRANGE(""https://docs.google.com/spreadsheets/d/1YTZo6WM2dQ6Ix6FSdnL5P7uVnVKu40sxZu975tgG10E/edit?usp=sharing"",""นครปฐม!J352"")"),0)</f>
        <v>0</v>
      </c>
      <c r="AF60" s="152">
        <f ca="1">IFERROR(__xludf.DUMMYFUNCTION("IMPORTRANGE(""https://docs.google.com/spreadsheets/d/1YTZo6WM2dQ6Ix6FSdnL5P7uVnVKu40sxZu975tgG10E/edit?usp=sharing"",""นครปฐม!J353"")"),0)</f>
        <v>0</v>
      </c>
      <c r="AG60" s="152">
        <f ca="1">IFERROR(__xludf.DUMMYFUNCTION("IMPORTRANGE(""https://docs.google.com/spreadsheets/d/1YTZo6WM2dQ6Ix6FSdnL5P7uVnVKu40sxZu975tgG10E/edit?usp=sharing"",""นครปฐม!J354"")"),0)</f>
        <v>0</v>
      </c>
    </row>
    <row r="61" spans="1:33" ht="21" customHeight="1" x14ac:dyDescent="0.3">
      <c r="A61" s="395">
        <v>9</v>
      </c>
      <c r="B61" s="396" t="s">
        <v>89</v>
      </c>
      <c r="C61" s="149">
        <f t="shared" ca="1" si="22"/>
        <v>531600</v>
      </c>
      <c r="D61" s="150">
        <f t="shared" ca="1" si="49"/>
        <v>531600</v>
      </c>
      <c r="E61" s="151">
        <f ca="1">IFERROR(__xludf.DUMMYFUNCTION("IMPORTRANGE(""https://docs.google.com/spreadsheets/d/1-uDff_7J0KD5mKrp0Vvzr7lt3OU09vwQwhkpOPPYv2Y/edit?usp=sharing"",""งบพรบ!ET61"")"),369600)</f>
        <v>369600</v>
      </c>
      <c r="F61" s="151">
        <f ca="1">IFERROR(__xludf.DUMMYFUNCTION("IMPORTRANGE(""https://docs.google.com/spreadsheets/d/1-uDff_7J0KD5mKrp0Vvzr7lt3OU09vwQwhkpOPPYv2Y/edit?usp=sharing"",""งบพรบ!EU61"")"),162000)</f>
        <v>162000</v>
      </c>
      <c r="G61" s="151">
        <f ca="1">IFERROR(__xludf.DUMMYFUNCTION("IMPORTRANGE(""https://docs.google.com/spreadsheets/d/1-uDff_7J0KD5mKrp0Vvzr7lt3OU09vwQwhkpOPPYv2Y/edit?usp=sharing"",""งบพรบ!EV61"")"),0)</f>
        <v>0</v>
      </c>
      <c r="H61" s="151">
        <f ca="1">IFERROR(__xludf.DUMMYFUNCTION("IMPORTRANGE(""https://docs.google.com/spreadsheets/d/1-uDff_7J0KD5mKrp0Vvzr7lt3OU09vwQwhkpOPPYv2Y/edit?usp=sharing"",""งบพรบ!EX61"")"),531600)</f>
        <v>531600</v>
      </c>
      <c r="I61" s="151">
        <f ca="1">IFERROR(__xludf.DUMMYFUNCTION("IMPORTRANGE(""https://docs.google.com/spreadsheets/d/1-uDff_7J0KD5mKrp0Vvzr7lt3OU09vwQwhkpOPPYv2Y/edit?usp=sharing"",""งบพรบ!EY61"")"),0)</f>
        <v>0</v>
      </c>
      <c r="J61" s="151">
        <f t="shared" ca="1" si="24"/>
        <v>413562.58</v>
      </c>
      <c r="K61" s="154">
        <f t="shared" ca="1" si="25"/>
        <v>77.795820165538004</v>
      </c>
      <c r="L61" s="151">
        <f ca="1">IFERROR(__xludf.DUMMYFUNCTION("IMPORTRANGE(""https://docs.google.com/spreadsheets/d/1-uDff_7J0KD5mKrp0Vvzr7lt3OU09vwQwhkpOPPYv2Y/edit?usp=sharing"",""งบพรบ!EZ61"")"),413562.58)</f>
        <v>413562.58</v>
      </c>
      <c r="M61" s="68">
        <f t="shared" ca="1" si="26"/>
        <v>77.795820165538004</v>
      </c>
      <c r="N61" s="68">
        <f t="shared" ca="1" si="27"/>
        <v>77.795820165538004</v>
      </c>
      <c r="O61" s="67">
        <f ca="1">IFERROR(__xludf.DUMMYFUNCTION("IMPORTRANGE(""https://docs.google.com/spreadsheets/d/1-uDff_7J0KD5mKrp0Vvzr7lt3OU09vwQwhkpOPPYv2Y/edit?usp=sharing"",""งบพรบ!FA61"")"),0)</f>
        <v>0</v>
      </c>
      <c r="P61" s="67">
        <f t="shared" ca="1" si="28"/>
        <v>0</v>
      </c>
      <c r="Q61" s="68">
        <f t="shared" ca="1" si="29"/>
        <v>0</v>
      </c>
      <c r="R61" s="152">
        <f ca="1">IFERROR(__xludf.DUMMYFUNCTION("IMPORTRANGE(""https://docs.google.com/spreadsheets/d/1OYoGg4WDg5RIzwGeB10padOxJF9E_Vljuvvct_M7RDo/edit?usp=sharing"",""ปทุมธานี!I332"")"),1400)</f>
        <v>1400</v>
      </c>
      <c r="S61" s="152">
        <f ca="1">IFERROR(__xludf.DUMMYFUNCTION("IMPORTRANGE(""https://docs.google.com/spreadsheets/d/1OYoGg4WDg5RIzwGeB10padOxJF9E_Vljuvvct_M7RDo/edit?usp=sharing"",""ปทุมธานี!J332"")"),1141)</f>
        <v>1141</v>
      </c>
      <c r="T61" s="153">
        <f t="shared" ca="1" si="31"/>
        <v>81.5</v>
      </c>
      <c r="U61" s="394" t="str">
        <f ca="1">IFERROR(__xludf.DUMMYFUNCTION("IMPORTRANGE(""https://docs.google.com/spreadsheets/d/1OYoGg4WDg5RIzwGeB10padOxJF9E_Vljuvvct_M7RDo/edit?usp=sharing"",""ปทุมธานี!I344"")"),"")</f>
        <v/>
      </c>
      <c r="V61" s="152">
        <f ca="1">IFERROR(__xludf.DUMMYFUNCTION("IMPORTRANGE(""https://docs.google.com/spreadsheets/d/1OYoGg4WDg5RIzwGeB10padOxJF9E_Vljuvvct_M7RDo/edit?usp=sharing"",""ปทุมธานี!J344"")"),412)</f>
        <v>412</v>
      </c>
      <c r="W61" s="216" t="e">
        <f t="shared" ca="1" si="33"/>
        <v>#VALUE!</v>
      </c>
      <c r="X61" s="278">
        <f ca="1">IFERROR(__xludf.DUMMYFUNCTION("IMPORTRANGE(""https://docs.google.com/spreadsheets/d/1OYoGg4WDg5RIzwGeB10padOxJF9E_Vljuvvct_M7RDo/edit?usp=sharing"",""ปทุมธานี!I346"")"),2)</f>
        <v>2</v>
      </c>
      <c r="Y61" s="152">
        <f ca="1">IFERROR(__xludf.DUMMYFUNCTION("IMPORTRANGE(""https://docs.google.com/spreadsheets/d/1OYoGg4WDg5RIzwGeB10padOxJF9E_Vljuvvct_M7RDo/edit?usp=sharing"",""ปทุมธานี!J346"")"),10)</f>
        <v>10</v>
      </c>
      <c r="Z61" s="216">
        <f t="shared" ca="1" si="35"/>
        <v>500</v>
      </c>
      <c r="AA61" s="152">
        <f ca="1">IFERROR(__xludf.DUMMYFUNCTION("IMPORTRANGE(""https://docs.google.com/spreadsheets/d/1OYoGg4WDg5RIzwGeB10padOxJF9E_Vljuvvct_M7RDo/edit?usp=sharing"",""ปทุมธานี!J347"")"),654)</f>
        <v>654</v>
      </c>
      <c r="AB61" s="152">
        <f ca="1">IFERROR(__xludf.DUMMYFUNCTION("IMPORTRANGE(""https://docs.google.com/spreadsheets/d/1OYoGg4WDg5RIzwGeB10padOxJF9E_Vljuvvct_M7RDo/edit?usp=sharing"",""ปทุมธานี!J348"")"),75)</f>
        <v>75</v>
      </c>
      <c r="AC61" s="152">
        <f ca="1">IFERROR(__xludf.DUMMYFUNCTION("IMPORTRANGE(""https://docs.google.com/spreadsheets/d/1OYoGg4WDg5RIzwGeB10padOxJF9E_Vljuvvct_M7RDo/edit?usp=sharing"",""ปทุมธานี!J349"")"),0)</f>
        <v>0</v>
      </c>
      <c r="AD61" s="152">
        <f ca="1">IFERROR(__xludf.DUMMYFUNCTION("IMPORTRANGE(""https://docs.google.com/spreadsheets/d/1OYoGg4WDg5RIzwGeB10padOxJF9E_Vljuvvct_M7RDo/edit?usp=sharing"",""ปทุมธานี!J343"")"),1141)</f>
        <v>1141</v>
      </c>
      <c r="AE61" s="152">
        <f ca="1">IFERROR(__xludf.DUMMYFUNCTION("IMPORTRANGE(""https://docs.google.com/spreadsheets/d/1OYoGg4WDg5RIzwGeB10padOxJF9E_Vljuvvct_M7RDo/edit?usp=sharing"",""ปทุมธานี!J352"")"),0)</f>
        <v>0</v>
      </c>
      <c r="AF61" s="152">
        <f ca="1">IFERROR(__xludf.DUMMYFUNCTION("IMPORTRANGE(""https://docs.google.com/spreadsheets/d/1OYoGg4WDg5RIzwGeB10padOxJF9E_Vljuvvct_M7RDo/edit?usp=sharing"",""ปทุมธานี!J353"")"),0)</f>
        <v>0</v>
      </c>
      <c r="AG61" s="152">
        <f ca="1">IFERROR(__xludf.DUMMYFUNCTION("IMPORTRANGE(""https://docs.google.com/spreadsheets/d/1OYoGg4WDg5RIzwGeB10padOxJF9E_Vljuvvct_M7RDo/edit?usp=sharing"",""ปทุมธานี!J354"")"),0)</f>
        <v>0</v>
      </c>
    </row>
    <row r="62" spans="1:33" ht="21" customHeight="1" x14ac:dyDescent="0.3">
      <c r="A62" s="395">
        <v>10</v>
      </c>
      <c r="B62" s="396" t="s">
        <v>90</v>
      </c>
      <c r="C62" s="149">
        <f t="shared" ca="1" si="22"/>
        <v>358800</v>
      </c>
      <c r="D62" s="150">
        <f t="shared" ca="1" si="49"/>
        <v>358800</v>
      </c>
      <c r="E62" s="151">
        <f ca="1">IFERROR(__xludf.DUMMYFUNCTION("IMPORTRANGE(""https://docs.google.com/spreadsheets/d/1-uDff_7J0KD5mKrp0Vvzr7lt3OU09vwQwhkpOPPYv2Y/edit?usp=sharing"",""งบพรบ!ET62"")"),184800)</f>
        <v>184800</v>
      </c>
      <c r="F62" s="151">
        <f ca="1">IFERROR(__xludf.DUMMYFUNCTION("IMPORTRANGE(""https://docs.google.com/spreadsheets/d/1-uDff_7J0KD5mKrp0Vvzr7lt3OU09vwQwhkpOPPYv2Y/edit?usp=sharing"",""งบพรบ!EU62"")"),174000)</f>
        <v>174000</v>
      </c>
      <c r="G62" s="151">
        <f ca="1">IFERROR(__xludf.DUMMYFUNCTION("IMPORTRANGE(""https://docs.google.com/spreadsheets/d/1-uDff_7J0KD5mKrp0Vvzr7lt3OU09vwQwhkpOPPYv2Y/edit?usp=sharing"",""งบพรบ!EV62"")"),0)</f>
        <v>0</v>
      </c>
      <c r="H62" s="151">
        <f ca="1">IFERROR(__xludf.DUMMYFUNCTION("IMPORTRANGE(""https://docs.google.com/spreadsheets/d/1-uDff_7J0KD5mKrp0Vvzr7lt3OU09vwQwhkpOPPYv2Y/edit?usp=sharing"",""งบพรบ!EX62"")"),358800)</f>
        <v>358800</v>
      </c>
      <c r="I62" s="151">
        <f ca="1">IFERROR(__xludf.DUMMYFUNCTION("IMPORTRANGE(""https://docs.google.com/spreadsheets/d/1-uDff_7J0KD5mKrp0Vvzr7lt3OU09vwQwhkpOPPYv2Y/edit?usp=sharing"",""งบพรบ!EY62"")"),0)</f>
        <v>0</v>
      </c>
      <c r="J62" s="151">
        <f t="shared" ca="1" si="24"/>
        <v>287031.12</v>
      </c>
      <c r="K62" s="154">
        <f t="shared" ca="1" si="25"/>
        <v>79.997525083612047</v>
      </c>
      <c r="L62" s="151">
        <f ca="1">IFERROR(__xludf.DUMMYFUNCTION("IMPORTRANGE(""https://docs.google.com/spreadsheets/d/1-uDff_7J0KD5mKrp0Vvzr7lt3OU09vwQwhkpOPPYv2Y/edit?usp=sharing"",""งบพรบ!EZ62"")"),287031.12)</f>
        <v>287031.12</v>
      </c>
      <c r="M62" s="68">
        <f t="shared" ca="1" si="26"/>
        <v>79.997525083612047</v>
      </c>
      <c r="N62" s="68">
        <f t="shared" ca="1" si="27"/>
        <v>79.997525083612047</v>
      </c>
      <c r="O62" s="67">
        <f ca="1">IFERROR(__xludf.DUMMYFUNCTION("IMPORTRANGE(""https://docs.google.com/spreadsheets/d/1-uDff_7J0KD5mKrp0Vvzr7lt3OU09vwQwhkpOPPYv2Y/edit?usp=sharing"",""งบพรบ!FA62"")"),0)</f>
        <v>0</v>
      </c>
      <c r="P62" s="67">
        <f t="shared" ca="1" si="28"/>
        <v>0</v>
      </c>
      <c r="Q62" s="68">
        <f t="shared" ca="1" si="29"/>
        <v>0</v>
      </c>
      <c r="R62" s="152">
        <f ca="1">IFERROR(__xludf.DUMMYFUNCTION("IMPORTRANGE(""https://docs.google.com/spreadsheets/d/1GbCIE4D4wk9FUozzqk7SxfDMxDVBwVmI5zcaVUSzKAc/edit?usp=sharing"",""ประจวบคีรีขันธ์!I332"")"),800)</f>
        <v>800</v>
      </c>
      <c r="S62" s="152">
        <f ca="1">IFERROR(__xludf.DUMMYFUNCTION("IMPORTRANGE(""https://docs.google.com/spreadsheets/d/1GbCIE4D4wk9FUozzqk7SxfDMxDVBwVmI5zcaVUSzKAc/edit?usp=sharing"",""ประจวบคีรีขันธ์!J332"")"),1847)</f>
        <v>1847</v>
      </c>
      <c r="T62" s="153">
        <f t="shared" ca="1" si="31"/>
        <v>230.875</v>
      </c>
      <c r="U62" s="394" t="str">
        <f ca="1">IFERROR(__xludf.DUMMYFUNCTION("IMPORTRANGE(""https://docs.google.com/spreadsheets/d/1GbCIE4D4wk9FUozzqk7SxfDMxDVBwVmI5zcaVUSzKAc/edit?usp=sharing"",""ประจวบคีรีขันธ์!I344"")"),"")</f>
        <v/>
      </c>
      <c r="V62" s="152">
        <f ca="1">IFERROR(__xludf.DUMMYFUNCTION("IMPORTRANGE(""https://docs.google.com/spreadsheets/d/1GbCIE4D4wk9FUozzqk7SxfDMxDVBwVmI5zcaVUSzKAc/edit?usp=sharing"",""ประจวบคีรีขันธ์!J344"")"),208)</f>
        <v>208</v>
      </c>
      <c r="W62" s="216" t="e">
        <f t="shared" ca="1" si="33"/>
        <v>#VALUE!</v>
      </c>
      <c r="X62" s="278">
        <f ca="1">IFERROR(__xludf.DUMMYFUNCTION("IMPORTRANGE(""https://docs.google.com/spreadsheets/d/1GbCIE4D4wk9FUozzqk7SxfDMxDVBwVmI5zcaVUSzKAc/edit?usp=sharing"",""ประจวบคีรีขันธ์!I346"")"),3)</f>
        <v>3</v>
      </c>
      <c r="Y62" s="152">
        <f ca="1">IFERROR(__xludf.DUMMYFUNCTION("IMPORTRANGE(""https://docs.google.com/spreadsheets/d/1GbCIE4D4wk9FUozzqk7SxfDMxDVBwVmI5zcaVUSzKAc/edit?usp=sharing"",""ประจวบคีรีขันธ์!J346"")"),0)</f>
        <v>0</v>
      </c>
      <c r="Z62" s="216">
        <f t="shared" ca="1" si="35"/>
        <v>0</v>
      </c>
      <c r="AA62" s="152">
        <f ca="1">IFERROR(__xludf.DUMMYFUNCTION("IMPORTRANGE(""https://docs.google.com/spreadsheets/d/1GbCIE4D4wk9FUozzqk7SxfDMxDVBwVmI5zcaVUSzKAc/edit?usp=sharing"",""ประจวบคีรีขันธ์!J347"")"),0)</f>
        <v>0</v>
      </c>
      <c r="AB62" s="152">
        <f ca="1">IFERROR(__xludf.DUMMYFUNCTION("IMPORTRANGE(""https://docs.google.com/spreadsheets/d/1GbCIE4D4wk9FUozzqk7SxfDMxDVBwVmI5zcaVUSzKAc/edit?usp=sharing"",""ประจวบคีรีขันธ์!J348"")"),3)</f>
        <v>3</v>
      </c>
      <c r="AC62" s="152">
        <f ca="1">IFERROR(__xludf.DUMMYFUNCTION("IMPORTRANGE(""https://docs.google.com/spreadsheets/d/1GbCIE4D4wk9FUozzqk7SxfDMxDVBwVmI5zcaVUSzKAc/edit?usp=sharing"",""ประจวบคีรีขันธ์!J349"")"),0)</f>
        <v>0</v>
      </c>
      <c r="AD62" s="152">
        <f ca="1">IFERROR(__xludf.DUMMYFUNCTION("IMPORTRANGE(""https://docs.google.com/spreadsheets/d/1GbCIE4D4wk9FUozzqk7SxfDMxDVBwVmI5zcaVUSzKAc/edit?usp=sharing"",""ประจวบคีรีขันธ์!J343"")"),211)</f>
        <v>211</v>
      </c>
      <c r="AE62" s="152">
        <f ca="1">IFERROR(__xludf.DUMMYFUNCTION("IMPORTRANGE(""https://docs.google.com/spreadsheets/d/1GbCIE4D4wk9FUozzqk7SxfDMxDVBwVmI5zcaVUSzKAc/edit?usp=sharing"",""ประจวบคีรีขันธ์!J352"")"),3910)</f>
        <v>3910</v>
      </c>
      <c r="AF62" s="152">
        <f ca="1">IFERROR(__xludf.DUMMYFUNCTION("IMPORTRANGE(""https://docs.google.com/spreadsheets/d/1GbCIE4D4wk9FUozzqk7SxfDMxDVBwVmI5zcaVUSzKAc/edit?usp=sharing"",""ประจวบคีรีขันธ์!J353"")"),1173)</f>
        <v>1173</v>
      </c>
      <c r="AG62" s="152">
        <f ca="1">IFERROR(__xludf.DUMMYFUNCTION("IMPORTRANGE(""https://docs.google.com/spreadsheets/d/1GbCIE4D4wk9FUozzqk7SxfDMxDVBwVmI5zcaVUSzKAc/edit?usp=sharing"",""ประจวบคีรีขันธ์!J354"")"),463)</f>
        <v>463</v>
      </c>
    </row>
    <row r="63" spans="1:33" ht="21" customHeight="1" x14ac:dyDescent="0.3">
      <c r="A63" s="395">
        <v>11</v>
      </c>
      <c r="B63" s="396" t="s">
        <v>91</v>
      </c>
      <c r="C63" s="149">
        <f t="shared" ca="1" si="22"/>
        <v>174000</v>
      </c>
      <c r="D63" s="150">
        <f t="shared" ca="1" si="49"/>
        <v>174000</v>
      </c>
      <c r="E63" s="151">
        <f ca="1">IFERROR(__xludf.DUMMYFUNCTION("IMPORTRANGE(""https://docs.google.com/spreadsheets/d/1-uDff_7J0KD5mKrp0Vvzr7lt3OU09vwQwhkpOPPYv2Y/edit?usp=sharing"",""งบพรบ!ET63"")"),0)</f>
        <v>0</v>
      </c>
      <c r="F63" s="151">
        <f ca="1">IFERROR(__xludf.DUMMYFUNCTION("IMPORTRANGE(""https://docs.google.com/spreadsheets/d/1-uDff_7J0KD5mKrp0Vvzr7lt3OU09vwQwhkpOPPYv2Y/edit?usp=sharing"",""งบพรบ!EU63"")"),174000)</f>
        <v>174000</v>
      </c>
      <c r="G63" s="151">
        <f ca="1">IFERROR(__xludf.DUMMYFUNCTION("IMPORTRANGE(""https://docs.google.com/spreadsheets/d/1-uDff_7J0KD5mKrp0Vvzr7lt3OU09vwQwhkpOPPYv2Y/edit?usp=sharing"",""งบพรบ!EV63"")"),0)</f>
        <v>0</v>
      </c>
      <c r="H63" s="151">
        <f ca="1">IFERROR(__xludf.DUMMYFUNCTION("IMPORTRANGE(""https://docs.google.com/spreadsheets/d/1-uDff_7J0KD5mKrp0Vvzr7lt3OU09vwQwhkpOPPYv2Y/edit?usp=sharing"",""งบพรบ!EX63"")"),174000)</f>
        <v>174000</v>
      </c>
      <c r="I63" s="151">
        <f ca="1">IFERROR(__xludf.DUMMYFUNCTION("IMPORTRANGE(""https://docs.google.com/spreadsheets/d/1-uDff_7J0KD5mKrp0Vvzr7lt3OU09vwQwhkpOPPYv2Y/edit?usp=sharing"",""งบพรบ!EY63"")"),0)</f>
        <v>0</v>
      </c>
      <c r="J63" s="151">
        <f t="shared" ca="1" si="24"/>
        <v>145855</v>
      </c>
      <c r="K63" s="154">
        <f t="shared" ca="1" si="25"/>
        <v>83.824712643678154</v>
      </c>
      <c r="L63" s="151">
        <f ca="1">IFERROR(__xludf.DUMMYFUNCTION("IMPORTRANGE(""https://docs.google.com/spreadsheets/d/1-uDff_7J0KD5mKrp0Vvzr7lt3OU09vwQwhkpOPPYv2Y/edit?usp=sharing"",""งบพรบ!EZ63"")"),145855)</f>
        <v>145855</v>
      </c>
      <c r="M63" s="68">
        <f t="shared" ca="1" si="26"/>
        <v>83.824712643678154</v>
      </c>
      <c r="N63" s="68">
        <f t="shared" ca="1" si="27"/>
        <v>83.824712643678154</v>
      </c>
      <c r="O63" s="67">
        <f ca="1">IFERROR(__xludf.DUMMYFUNCTION("IMPORTRANGE(""https://docs.google.com/spreadsheets/d/1-uDff_7J0KD5mKrp0Vvzr7lt3OU09vwQwhkpOPPYv2Y/edit?usp=sharing"",""งบพรบ!FA63"")"),0)</f>
        <v>0</v>
      </c>
      <c r="P63" s="67">
        <f t="shared" ca="1" si="28"/>
        <v>0</v>
      </c>
      <c r="Q63" s="68">
        <f t="shared" ca="1" si="29"/>
        <v>0</v>
      </c>
      <c r="R63" s="152">
        <f ca="1">IFERROR(__xludf.DUMMYFUNCTION("IMPORTRANGE(""https://docs.google.com/spreadsheets/d/1vVf6wykvW_lAyu7Yo9L4hUTqHqIeP_qcVuxCtosJEbg/edit?usp=sharing"",""ปราจีนบุรี!I332"")"),1000)</f>
        <v>1000</v>
      </c>
      <c r="S63" s="152">
        <f ca="1">IFERROR(__xludf.DUMMYFUNCTION("IMPORTRANGE(""https://docs.google.com/spreadsheets/d/1vVf6wykvW_lAyu7Yo9L4hUTqHqIeP_qcVuxCtosJEbg/edit?usp=sharing"",""ปราจีนบุรี!J332"")"),3241)</f>
        <v>3241</v>
      </c>
      <c r="T63" s="153">
        <f t="shared" ca="1" si="31"/>
        <v>324.10000000000002</v>
      </c>
      <c r="U63" s="394" t="str">
        <f ca="1">IFERROR(__xludf.DUMMYFUNCTION("IMPORTRANGE(""https://docs.google.com/spreadsheets/d/1vVf6wykvW_lAyu7Yo9L4hUTqHqIeP_qcVuxCtosJEbg/edit?usp=sharing"",""ปราจีนบุรี!I344"")"),"")</f>
        <v/>
      </c>
      <c r="V63" s="152">
        <f ca="1">IFERROR(__xludf.DUMMYFUNCTION("IMPORTRANGE(""https://docs.google.com/spreadsheets/d/1vVf6wykvW_lAyu7Yo9L4hUTqHqIeP_qcVuxCtosJEbg/edit?usp=sharing"",""ปราจีนบุรี!J344"")"),1224)</f>
        <v>1224</v>
      </c>
      <c r="W63" s="216" t="e">
        <f t="shared" ca="1" si="33"/>
        <v>#VALUE!</v>
      </c>
      <c r="X63" s="278">
        <f ca="1">IFERROR(__xludf.DUMMYFUNCTION("IMPORTRANGE(""https://docs.google.com/spreadsheets/d/1vVf6wykvW_lAyu7Yo9L4hUTqHqIeP_qcVuxCtosJEbg/edit?usp=sharing"",""ปราจีนบุรี!I346"")"),3)</f>
        <v>3</v>
      </c>
      <c r="Y63" s="152">
        <f ca="1">IFERROR(__xludf.DUMMYFUNCTION("IMPORTRANGE(""https://docs.google.com/spreadsheets/d/1vVf6wykvW_lAyu7Yo9L4hUTqHqIeP_qcVuxCtosJEbg/edit?usp=sharing"",""ปราจีนบุรี!J346"")"),1)</f>
        <v>1</v>
      </c>
      <c r="Z63" s="216">
        <f t="shared" ca="1" si="35"/>
        <v>33.333333333333336</v>
      </c>
      <c r="AA63" s="152">
        <f ca="1">IFERROR(__xludf.DUMMYFUNCTION("IMPORTRANGE(""https://docs.google.com/spreadsheets/d/1vVf6wykvW_lAyu7Yo9L4hUTqHqIeP_qcVuxCtosJEbg/edit?usp=sharing"",""ปราจีนบุรี!J347"")"),0)</f>
        <v>0</v>
      </c>
      <c r="AB63" s="152">
        <f ca="1">IFERROR(__xludf.DUMMYFUNCTION("IMPORTRANGE(""https://docs.google.com/spreadsheets/d/1vVf6wykvW_lAyu7Yo9L4hUTqHqIeP_qcVuxCtosJEbg/edit?usp=sharing"",""ปราจีนบุรี!J348"")"),3)</f>
        <v>3</v>
      </c>
      <c r="AC63" s="152">
        <f ca="1">IFERROR(__xludf.DUMMYFUNCTION("IMPORTRANGE(""https://docs.google.com/spreadsheets/d/1vVf6wykvW_lAyu7Yo9L4hUTqHqIeP_qcVuxCtosJEbg/edit?usp=sharing"",""ปราจีนบุรี!J349"")"),0)</f>
        <v>0</v>
      </c>
      <c r="AD63" s="152">
        <f ca="1">IFERROR(__xludf.DUMMYFUNCTION("IMPORTRANGE(""https://docs.google.com/spreadsheets/d/1vVf6wykvW_lAyu7Yo9L4hUTqHqIeP_qcVuxCtosJEbg/edit?usp=sharing"",""ปราจีนบุรี!J343"")"),1227)</f>
        <v>1227</v>
      </c>
      <c r="AE63" s="152">
        <f ca="1">IFERROR(__xludf.DUMMYFUNCTION("IMPORTRANGE(""https://docs.google.com/spreadsheets/d/1vVf6wykvW_lAyu7Yo9L4hUTqHqIeP_qcVuxCtosJEbg/edit?usp=sharing"",""ปราจีนบุรี!J352"")"),11)</f>
        <v>11</v>
      </c>
      <c r="AF63" s="152">
        <f ca="1">IFERROR(__xludf.DUMMYFUNCTION("IMPORTRANGE(""https://docs.google.com/spreadsheets/d/1vVf6wykvW_lAyu7Yo9L4hUTqHqIeP_qcVuxCtosJEbg/edit?usp=sharing"",""ปราจีนบุรี!J353"")"),1550)</f>
        <v>1550</v>
      </c>
      <c r="AG63" s="152">
        <f ca="1">IFERROR(__xludf.DUMMYFUNCTION("IMPORTRANGE(""https://docs.google.com/spreadsheets/d/1vVf6wykvW_lAyu7Yo9L4hUTqHqIeP_qcVuxCtosJEbg/edit?usp=sharing"",""ปราจีนบุรี!J354"")"),464)</f>
        <v>464</v>
      </c>
    </row>
    <row r="64" spans="1:33" ht="21" customHeight="1" x14ac:dyDescent="0.3">
      <c r="A64" s="395">
        <v>12</v>
      </c>
      <c r="B64" s="396" t="s">
        <v>92</v>
      </c>
      <c r="C64" s="149">
        <f t="shared" ca="1" si="22"/>
        <v>552800</v>
      </c>
      <c r="D64" s="150">
        <f t="shared" ca="1" si="49"/>
        <v>552800</v>
      </c>
      <c r="E64" s="151">
        <f ca="1">IFERROR(__xludf.DUMMYFUNCTION("IMPORTRANGE(""https://docs.google.com/spreadsheets/d/1-uDff_7J0KD5mKrp0Vvzr7lt3OU09vwQwhkpOPPYv2Y/edit?usp=sharing"",""งบพรบ!ET64"")"),393800)</f>
        <v>393800</v>
      </c>
      <c r="F64" s="151">
        <f ca="1">IFERROR(__xludf.DUMMYFUNCTION("IMPORTRANGE(""https://docs.google.com/spreadsheets/d/1-uDff_7J0KD5mKrp0Vvzr7lt3OU09vwQwhkpOPPYv2Y/edit?usp=sharing"",""งบพรบ!EU64"")"),159000)</f>
        <v>159000</v>
      </c>
      <c r="G64" s="151">
        <f ca="1">IFERROR(__xludf.DUMMYFUNCTION("IMPORTRANGE(""https://docs.google.com/spreadsheets/d/1-uDff_7J0KD5mKrp0Vvzr7lt3OU09vwQwhkpOPPYv2Y/edit?usp=sharing"",""งบพรบ!EV64"")"),0)</f>
        <v>0</v>
      </c>
      <c r="H64" s="151">
        <f ca="1">IFERROR(__xludf.DUMMYFUNCTION("IMPORTRANGE(""https://docs.google.com/spreadsheets/d/1-uDff_7J0KD5mKrp0Vvzr7lt3OU09vwQwhkpOPPYv2Y/edit?usp=sharing"",""งบพรบ!EX64"")"),552800)</f>
        <v>552800</v>
      </c>
      <c r="I64" s="151">
        <f ca="1">IFERROR(__xludf.DUMMYFUNCTION("IMPORTRANGE(""https://docs.google.com/spreadsheets/d/1-uDff_7J0KD5mKrp0Vvzr7lt3OU09vwQwhkpOPPYv2Y/edit?usp=sharing"",""งบพรบ!EY64"")"),0)</f>
        <v>0</v>
      </c>
      <c r="J64" s="151">
        <f t="shared" ca="1" si="24"/>
        <v>435595.13</v>
      </c>
      <c r="K64" s="154">
        <f t="shared" ca="1" si="25"/>
        <v>78.797961287988429</v>
      </c>
      <c r="L64" s="151">
        <f ca="1">IFERROR(__xludf.DUMMYFUNCTION("IMPORTRANGE(""https://docs.google.com/spreadsheets/d/1-uDff_7J0KD5mKrp0Vvzr7lt3OU09vwQwhkpOPPYv2Y/edit?usp=sharing"",""งบพรบ!EZ64"")"),435595.13)</f>
        <v>435595.13</v>
      </c>
      <c r="M64" s="68">
        <f t="shared" ca="1" si="26"/>
        <v>78.797961287988429</v>
      </c>
      <c r="N64" s="68">
        <f t="shared" ca="1" si="27"/>
        <v>78.797961287988429</v>
      </c>
      <c r="O64" s="67">
        <f ca="1">IFERROR(__xludf.DUMMYFUNCTION("IMPORTRANGE(""https://docs.google.com/spreadsheets/d/1-uDff_7J0KD5mKrp0Vvzr7lt3OU09vwQwhkpOPPYv2Y/edit?usp=sharing"",""งบพรบ!FA64"")"),0)</f>
        <v>0</v>
      </c>
      <c r="P64" s="67">
        <f t="shared" ca="1" si="28"/>
        <v>0</v>
      </c>
      <c r="Q64" s="68">
        <f t="shared" ca="1" si="29"/>
        <v>0</v>
      </c>
      <c r="R64" s="152">
        <f ca="1">IFERROR(__xludf.DUMMYFUNCTION("IMPORTRANGE(""https://docs.google.com/spreadsheets/d/1BIDqLLg5jk3v59G8NlR8rk5xfQDKne0sAvZHSj7TI6I/edit?usp=sharing"",""พระนครศรีอยุธยา!I332"")"),800)</f>
        <v>800</v>
      </c>
      <c r="S64" s="152">
        <f ca="1">IFERROR(__xludf.DUMMYFUNCTION("IMPORTRANGE(""https://docs.google.com/spreadsheets/d/1BIDqLLg5jk3v59G8NlR8rk5xfQDKne0sAvZHSj7TI6I/edit?usp=sharing"",""พระนครศรีอยุธยา!J332"")"),1407)</f>
        <v>1407</v>
      </c>
      <c r="T64" s="153">
        <f t="shared" ca="1" si="31"/>
        <v>175.875</v>
      </c>
      <c r="U64" s="394" t="str">
        <f ca="1">IFERROR(__xludf.DUMMYFUNCTION("IMPORTRANGE(""https://docs.google.com/spreadsheets/d/1BIDqLLg5jk3v59G8NlR8rk5xfQDKne0sAvZHSj7TI6I/edit?usp=sharing"",""พระนครศรีอยุธยา!I344"")"),"")</f>
        <v/>
      </c>
      <c r="V64" s="152">
        <f ca="1">IFERROR(__xludf.DUMMYFUNCTION("IMPORTRANGE(""https://docs.google.com/spreadsheets/d/1BIDqLLg5jk3v59G8NlR8rk5xfQDKne0sAvZHSj7TI6I/edit?usp=sharing"",""พระนครศรีอยุธยา!J344"")"),1016)</f>
        <v>1016</v>
      </c>
      <c r="W64" s="216" t="e">
        <f t="shared" ca="1" si="33"/>
        <v>#VALUE!</v>
      </c>
      <c r="X64" s="278">
        <f ca="1">IFERROR(__xludf.DUMMYFUNCTION("IMPORTRANGE(""https://docs.google.com/spreadsheets/d/1BIDqLLg5jk3v59G8NlR8rk5xfQDKne0sAvZHSj7TI6I/edit?usp=sharing"",""พระนครศรีอยุธยา!I346"")"),3)</f>
        <v>3</v>
      </c>
      <c r="Y64" s="152">
        <f ca="1">IFERROR(__xludf.DUMMYFUNCTION("IMPORTRANGE(""https://docs.google.com/spreadsheets/d/1BIDqLLg5jk3v59G8NlR8rk5xfQDKne0sAvZHSj7TI6I/edit?usp=sharing"",""พระนครศรีอยุธยา!J346"")"),6)</f>
        <v>6</v>
      </c>
      <c r="Z64" s="216">
        <f t="shared" ca="1" si="35"/>
        <v>200</v>
      </c>
      <c r="AA64" s="152">
        <f ca="1">IFERROR(__xludf.DUMMYFUNCTION("IMPORTRANGE(""https://docs.google.com/spreadsheets/d/1BIDqLLg5jk3v59G8NlR8rk5xfQDKne0sAvZHSj7TI6I/edit?usp=sharing"",""พระนครศรีอยุธยา!J347"")"),379)</f>
        <v>379</v>
      </c>
      <c r="AB64" s="152">
        <f ca="1">IFERROR(__xludf.DUMMYFUNCTION("IMPORTRANGE(""https://docs.google.com/spreadsheets/d/1BIDqLLg5jk3v59G8NlR8rk5xfQDKne0sAvZHSj7TI6I/edit?usp=sharing"",""พระนครศรีอยุธยา!J348"")"),12)</f>
        <v>12</v>
      </c>
      <c r="AC64" s="152">
        <f ca="1">IFERROR(__xludf.DUMMYFUNCTION("IMPORTRANGE(""https://docs.google.com/spreadsheets/d/1BIDqLLg5jk3v59G8NlR8rk5xfQDKne0sAvZHSj7TI6I/edit?usp=sharing"",""พระนครศรีอยุธยา!J349"")"),0)</f>
        <v>0</v>
      </c>
      <c r="AD64" s="152">
        <f ca="1">IFERROR(__xludf.DUMMYFUNCTION("IMPORTRANGE(""https://docs.google.com/spreadsheets/d/1BIDqLLg5jk3v59G8NlR8rk5xfQDKne0sAvZHSj7TI6I/edit?usp=sharing"",""พระนครศรีอยุธยา!J343"")"),1407)</f>
        <v>1407</v>
      </c>
      <c r="AE64" s="152">
        <f ca="1">IFERROR(__xludf.DUMMYFUNCTION("IMPORTRANGE(""https://docs.google.com/spreadsheets/d/1BIDqLLg5jk3v59G8NlR8rk5xfQDKne0sAvZHSj7TI6I/edit?usp=sharing"",""พระนครศรีอยุธยา!J352"")"),0)</f>
        <v>0</v>
      </c>
      <c r="AF64" s="152">
        <f ca="1">IFERROR(__xludf.DUMMYFUNCTION("IMPORTRANGE(""https://docs.google.com/spreadsheets/d/1BIDqLLg5jk3v59G8NlR8rk5xfQDKne0sAvZHSj7TI6I/edit?usp=sharing"",""พระนครศรีอยุธยา!J353"")"),0)</f>
        <v>0</v>
      </c>
      <c r="AG64" s="152">
        <f ca="1">IFERROR(__xludf.DUMMYFUNCTION("IMPORTRANGE(""https://docs.google.com/spreadsheets/d/1BIDqLLg5jk3v59G8NlR8rk5xfQDKne0sAvZHSj7TI6I/edit?usp=sharing"",""พระนครศรีอยุธยา!J354"")"),0)</f>
        <v>0</v>
      </c>
    </row>
    <row r="65" spans="1:33" ht="21" customHeight="1" x14ac:dyDescent="0.3">
      <c r="A65" s="395">
        <v>13</v>
      </c>
      <c r="B65" s="396" t="s">
        <v>93</v>
      </c>
      <c r="C65" s="149">
        <f t="shared" ca="1" si="22"/>
        <v>360800</v>
      </c>
      <c r="D65" s="150">
        <f t="shared" ca="1" si="49"/>
        <v>360800</v>
      </c>
      <c r="E65" s="151">
        <f ca="1">IFERROR(__xludf.DUMMYFUNCTION("IMPORTRANGE(""https://docs.google.com/spreadsheets/d/1-uDff_7J0KD5mKrp0Vvzr7lt3OU09vwQwhkpOPPYv2Y/edit?usp=sharing"",""งบพรบ!ET65"")"),184800)</f>
        <v>184800</v>
      </c>
      <c r="F65" s="151">
        <f ca="1">IFERROR(__xludf.DUMMYFUNCTION("IMPORTRANGE(""https://docs.google.com/spreadsheets/d/1-uDff_7J0KD5mKrp0Vvzr7lt3OU09vwQwhkpOPPYv2Y/edit?usp=sharing"",""งบพรบ!EU65"")"),176000)</f>
        <v>176000</v>
      </c>
      <c r="G65" s="151">
        <f ca="1">IFERROR(__xludf.DUMMYFUNCTION("IMPORTRANGE(""https://docs.google.com/spreadsheets/d/1-uDff_7J0KD5mKrp0Vvzr7lt3OU09vwQwhkpOPPYv2Y/edit?usp=sharing"",""งบพรบ!EV65"")"),0)</f>
        <v>0</v>
      </c>
      <c r="H65" s="151">
        <f ca="1">IFERROR(__xludf.DUMMYFUNCTION("IMPORTRANGE(""https://docs.google.com/spreadsheets/d/1-uDff_7J0KD5mKrp0Vvzr7lt3OU09vwQwhkpOPPYv2Y/edit?usp=sharing"",""งบพรบ!EX65"")"),360800)</f>
        <v>360800</v>
      </c>
      <c r="I65" s="151">
        <f ca="1">IFERROR(__xludf.DUMMYFUNCTION("IMPORTRANGE(""https://docs.google.com/spreadsheets/d/1-uDff_7J0KD5mKrp0Vvzr7lt3OU09vwQwhkpOPPYv2Y/edit?usp=sharing"",""งบพรบ!EY65"")"),0)</f>
        <v>0</v>
      </c>
      <c r="J65" s="151">
        <f t="shared" ca="1" si="24"/>
        <v>284529</v>
      </c>
      <c r="K65" s="154">
        <f t="shared" ca="1" si="25"/>
        <v>78.860587583148558</v>
      </c>
      <c r="L65" s="151">
        <f ca="1">IFERROR(__xludf.DUMMYFUNCTION("IMPORTRANGE(""https://docs.google.com/spreadsheets/d/1-uDff_7J0KD5mKrp0Vvzr7lt3OU09vwQwhkpOPPYv2Y/edit?usp=sharing"",""งบพรบ!EZ65"")"),284529)</f>
        <v>284529</v>
      </c>
      <c r="M65" s="68">
        <f t="shared" ca="1" si="26"/>
        <v>78.860587583148558</v>
      </c>
      <c r="N65" s="68">
        <f t="shared" ca="1" si="27"/>
        <v>78.860587583148558</v>
      </c>
      <c r="O65" s="67">
        <f ca="1">IFERROR(__xludf.DUMMYFUNCTION("IMPORTRANGE(""https://docs.google.com/spreadsheets/d/1-uDff_7J0KD5mKrp0Vvzr7lt3OU09vwQwhkpOPPYv2Y/edit?usp=sharing"",""งบพรบ!FA65"")"),0)</f>
        <v>0</v>
      </c>
      <c r="P65" s="67">
        <f t="shared" ca="1" si="28"/>
        <v>0</v>
      </c>
      <c r="Q65" s="68">
        <f t="shared" ca="1" si="29"/>
        <v>0</v>
      </c>
      <c r="R65" s="152">
        <f ca="1">IFERROR(__xludf.DUMMYFUNCTION("IMPORTRANGE(""https://docs.google.com/spreadsheets/d/1YXvxf8Yu6_rV4hTBrwMqAcAnv6DfhUxh5emyM3CJp_w/edit?usp=sharing"",""เพชรบุรี!I332"")"),700)</f>
        <v>700</v>
      </c>
      <c r="S65" s="152">
        <f ca="1">IFERROR(__xludf.DUMMYFUNCTION("IMPORTRANGE(""https://docs.google.com/spreadsheets/d/1YXvxf8Yu6_rV4hTBrwMqAcAnv6DfhUxh5emyM3CJp_w/edit?usp=sharing"",""เพชรบุรี!J332"")"),1619)</f>
        <v>1619</v>
      </c>
      <c r="T65" s="153">
        <f t="shared" ca="1" si="31"/>
        <v>231.28571428571428</v>
      </c>
      <c r="U65" s="394" t="str">
        <f ca="1">IFERROR(__xludf.DUMMYFUNCTION("IMPORTRANGE(""https://docs.google.com/spreadsheets/d/1YXvxf8Yu6_rV4hTBrwMqAcAnv6DfhUxh5emyM3CJp_w/edit?usp=sharing"",""เพชรบุรี!I344"")"),"")</f>
        <v/>
      </c>
      <c r="V65" s="152">
        <f ca="1">IFERROR(__xludf.DUMMYFUNCTION("IMPORTRANGE(""https://docs.google.com/spreadsheets/d/1YXvxf8Yu6_rV4hTBrwMqAcAnv6DfhUxh5emyM3CJp_w/edit?usp=sharing"",""เพชรบุรี!J344"")"),338)</f>
        <v>338</v>
      </c>
      <c r="W65" s="216" t="e">
        <f t="shared" ca="1" si="33"/>
        <v>#VALUE!</v>
      </c>
      <c r="X65" s="278">
        <f ca="1">IFERROR(__xludf.DUMMYFUNCTION("IMPORTRANGE(""https://docs.google.com/spreadsheets/d/1YXvxf8Yu6_rV4hTBrwMqAcAnv6DfhUxh5emyM3CJp_w/edit?usp=sharing"",""เพชรบุรี!I346"")"),4)</f>
        <v>4</v>
      </c>
      <c r="Y65" s="152">
        <f ca="1">IFERROR(__xludf.DUMMYFUNCTION("IMPORTRANGE(""https://docs.google.com/spreadsheets/d/1YXvxf8Yu6_rV4hTBrwMqAcAnv6DfhUxh5emyM3CJp_w/edit?usp=sharing"",""เพชรบุรี!J346"")"),2)</f>
        <v>2</v>
      </c>
      <c r="Z65" s="216">
        <f t="shared" ca="1" si="35"/>
        <v>50</v>
      </c>
      <c r="AA65" s="152">
        <f ca="1">IFERROR(__xludf.DUMMYFUNCTION("IMPORTRANGE(""https://docs.google.com/spreadsheets/d/1YXvxf8Yu6_rV4hTBrwMqAcAnv6DfhUxh5emyM3CJp_w/edit?usp=sharing"",""เพชรบุรี!J347"")"),28)</f>
        <v>28</v>
      </c>
      <c r="AB65" s="152">
        <f ca="1">IFERROR(__xludf.DUMMYFUNCTION("IMPORTRANGE(""https://docs.google.com/spreadsheets/d/1YXvxf8Yu6_rV4hTBrwMqAcAnv6DfhUxh5emyM3CJp_w/edit?usp=sharing"",""เพชรบุรี!J348"")"),31)</f>
        <v>31</v>
      </c>
      <c r="AC65" s="152">
        <f ca="1">IFERROR(__xludf.DUMMYFUNCTION("IMPORTRANGE(""https://docs.google.com/spreadsheets/d/1YXvxf8Yu6_rV4hTBrwMqAcAnv6DfhUxh5emyM3CJp_w/edit?usp=sharing"",""เพชรบุรี!J349"")"),0)</f>
        <v>0</v>
      </c>
      <c r="AD65" s="152">
        <f ca="1">IFERROR(__xludf.DUMMYFUNCTION("IMPORTRANGE(""https://docs.google.com/spreadsheets/d/1YXvxf8Yu6_rV4hTBrwMqAcAnv6DfhUxh5emyM3CJp_w/edit?usp=sharing"",""เพชรบุรี!J343"")"),397)</f>
        <v>397</v>
      </c>
      <c r="AE65" s="152">
        <f ca="1">IFERROR(__xludf.DUMMYFUNCTION("IMPORTRANGE(""https://docs.google.com/spreadsheets/d/1YXvxf8Yu6_rV4hTBrwMqAcAnv6DfhUxh5emyM3CJp_w/edit?usp=sharing"",""เพชรบุรี!J352"")"),0)</f>
        <v>0</v>
      </c>
      <c r="AF65" s="152">
        <f ca="1">IFERROR(__xludf.DUMMYFUNCTION("IMPORTRANGE(""https://docs.google.com/spreadsheets/d/1YXvxf8Yu6_rV4hTBrwMqAcAnv6DfhUxh5emyM3CJp_w/edit?usp=sharing"",""เพชรบุรี!J353"")"),734)</f>
        <v>734</v>
      </c>
      <c r="AG65" s="152">
        <f ca="1">IFERROR(__xludf.DUMMYFUNCTION("IMPORTRANGE(""https://docs.google.com/spreadsheets/d/1YXvxf8Yu6_rV4hTBrwMqAcAnv6DfhUxh5emyM3CJp_w/edit?usp=sharing"",""เพชรบุรี!J354"")"),488)</f>
        <v>488</v>
      </c>
    </row>
    <row r="66" spans="1:33" ht="21" customHeight="1" x14ac:dyDescent="0.3">
      <c r="A66" s="395">
        <v>14</v>
      </c>
      <c r="B66" s="396" t="s">
        <v>94</v>
      </c>
      <c r="C66" s="149">
        <f t="shared" ca="1" si="22"/>
        <v>252300</v>
      </c>
      <c r="D66" s="150">
        <f t="shared" ca="1" si="49"/>
        <v>252300</v>
      </c>
      <c r="E66" s="151">
        <f ca="1">IFERROR(__xludf.DUMMYFUNCTION("IMPORTRANGE(""https://docs.google.com/spreadsheets/d/1-uDff_7J0KD5mKrp0Vvzr7lt3OU09vwQwhkpOPPYv2Y/edit?usp=sharing"",""งบพรบ!ET66"")"),80300)</f>
        <v>80300</v>
      </c>
      <c r="F66" s="151">
        <f ca="1">IFERROR(__xludf.DUMMYFUNCTION("IMPORTRANGE(""https://docs.google.com/spreadsheets/d/1-uDff_7J0KD5mKrp0Vvzr7lt3OU09vwQwhkpOPPYv2Y/edit?usp=sharing"",""งบพรบ!EU66"")"),172000)</f>
        <v>172000</v>
      </c>
      <c r="G66" s="151">
        <f ca="1">IFERROR(__xludf.DUMMYFUNCTION("IMPORTRANGE(""https://docs.google.com/spreadsheets/d/1-uDff_7J0KD5mKrp0Vvzr7lt3OU09vwQwhkpOPPYv2Y/edit?usp=sharing"",""งบพรบ!EV66"")"),0)</f>
        <v>0</v>
      </c>
      <c r="H66" s="151">
        <f ca="1">IFERROR(__xludf.DUMMYFUNCTION("IMPORTRANGE(""https://docs.google.com/spreadsheets/d/1-uDff_7J0KD5mKrp0Vvzr7lt3OU09vwQwhkpOPPYv2Y/edit?usp=sharing"",""งบพรบ!EX66"")"),252300)</f>
        <v>252300</v>
      </c>
      <c r="I66" s="151">
        <f ca="1">IFERROR(__xludf.DUMMYFUNCTION("IMPORTRANGE(""https://docs.google.com/spreadsheets/d/1-uDff_7J0KD5mKrp0Vvzr7lt3OU09vwQwhkpOPPYv2Y/edit?usp=sharing"",""งบพรบ!EY66"")"),0)</f>
        <v>0</v>
      </c>
      <c r="J66" s="151">
        <f t="shared" ca="1" si="24"/>
        <v>222378.12</v>
      </c>
      <c r="K66" s="154">
        <f t="shared" ca="1" si="25"/>
        <v>88.140356718192635</v>
      </c>
      <c r="L66" s="151">
        <f ca="1">IFERROR(__xludf.DUMMYFUNCTION("IMPORTRANGE(""https://docs.google.com/spreadsheets/d/1-uDff_7J0KD5mKrp0Vvzr7lt3OU09vwQwhkpOPPYv2Y/edit?usp=sharing"",""งบพรบ!EZ66"")"),222378.12)</f>
        <v>222378.12</v>
      </c>
      <c r="M66" s="68">
        <f t="shared" ca="1" si="26"/>
        <v>88.140356718192635</v>
      </c>
      <c r="N66" s="68">
        <f t="shared" ca="1" si="27"/>
        <v>88.140356718192635</v>
      </c>
      <c r="O66" s="67">
        <f ca="1">IFERROR(__xludf.DUMMYFUNCTION("IMPORTRANGE(""https://docs.google.com/spreadsheets/d/1-uDff_7J0KD5mKrp0Vvzr7lt3OU09vwQwhkpOPPYv2Y/edit?usp=sharing"",""งบพรบ!FA66"")"),0)</f>
        <v>0</v>
      </c>
      <c r="P66" s="67">
        <f t="shared" ca="1" si="28"/>
        <v>0</v>
      </c>
      <c r="Q66" s="68">
        <f t="shared" ca="1" si="29"/>
        <v>0</v>
      </c>
      <c r="R66" s="152">
        <f ca="1">IFERROR(__xludf.DUMMYFUNCTION("IMPORTRANGE(""https://docs.google.com/spreadsheets/d/19KBlQQs7uwvsao6t2n-KvW3Ax8J8uRRfZPq1zPbXgKc/edit?usp=sharing"",""ระยอง!I332"")"),400)</f>
        <v>400</v>
      </c>
      <c r="S66" s="152">
        <f ca="1">IFERROR(__xludf.DUMMYFUNCTION("IMPORTRANGE(""https://docs.google.com/spreadsheets/d/19KBlQQs7uwvsao6t2n-KvW3Ax8J8uRRfZPq1zPbXgKc/edit?usp=sharing"",""ระยอง!J332"")"),1986)</f>
        <v>1986</v>
      </c>
      <c r="T66" s="153">
        <f t="shared" ca="1" si="31"/>
        <v>496.5</v>
      </c>
      <c r="U66" s="394" t="str">
        <f ca="1">IFERROR(__xludf.DUMMYFUNCTION("IMPORTRANGE(""https://docs.google.com/spreadsheets/d/19KBlQQs7uwvsao6t2n-KvW3Ax8J8uRRfZPq1zPbXgKc/edit?usp=sharing"",""ระยอง!I344"")"),"")</f>
        <v/>
      </c>
      <c r="V66" s="152">
        <f ca="1">IFERROR(__xludf.DUMMYFUNCTION("IMPORTRANGE(""https://docs.google.com/spreadsheets/d/19KBlQQs7uwvsao6t2n-KvW3Ax8J8uRRfZPq1zPbXgKc/edit?usp=sharing"",""ระยอง!J344"")"),207)</f>
        <v>207</v>
      </c>
      <c r="W66" s="216" t="e">
        <f t="shared" ca="1" si="33"/>
        <v>#VALUE!</v>
      </c>
      <c r="X66" s="278">
        <f ca="1">IFERROR(__xludf.DUMMYFUNCTION("IMPORTRANGE(""https://docs.google.com/spreadsheets/d/19KBlQQs7uwvsao6t2n-KvW3Ax8J8uRRfZPq1zPbXgKc/edit?usp=sharing"",""ระยอง!I346"")"),2)</f>
        <v>2</v>
      </c>
      <c r="Y66" s="152">
        <f ca="1">IFERROR(__xludf.DUMMYFUNCTION("IMPORTRANGE(""https://docs.google.com/spreadsheets/d/19KBlQQs7uwvsao6t2n-KvW3Ax8J8uRRfZPq1zPbXgKc/edit?usp=sharing"",""ระยอง!J346"")"),2)</f>
        <v>2</v>
      </c>
      <c r="Z66" s="216">
        <f t="shared" ca="1" si="35"/>
        <v>100</v>
      </c>
      <c r="AA66" s="152">
        <f ca="1">IFERROR(__xludf.DUMMYFUNCTION("IMPORTRANGE(""https://docs.google.com/spreadsheets/d/19KBlQQs7uwvsao6t2n-KvW3Ax8J8uRRfZPq1zPbXgKc/edit?usp=sharing"",""ระยอง!J347"")"),0)</f>
        <v>0</v>
      </c>
      <c r="AB66" s="152">
        <f ca="1">IFERROR(__xludf.DUMMYFUNCTION("IMPORTRANGE(""https://docs.google.com/spreadsheets/d/19KBlQQs7uwvsao6t2n-KvW3Ax8J8uRRfZPq1zPbXgKc/edit?usp=sharing"",""ระยอง!J348"")"),5)</f>
        <v>5</v>
      </c>
      <c r="AC66" s="152">
        <f ca="1">IFERROR(__xludf.DUMMYFUNCTION("IMPORTRANGE(""https://docs.google.com/spreadsheets/d/19KBlQQs7uwvsao6t2n-KvW3Ax8J8uRRfZPq1zPbXgKc/edit?usp=sharing"",""ระยอง!J349"")"),0)</f>
        <v>0</v>
      </c>
      <c r="AD66" s="152">
        <f ca="1">IFERROR(__xludf.DUMMYFUNCTION("IMPORTRANGE(""https://docs.google.com/spreadsheets/d/19KBlQQs7uwvsao6t2n-KvW3Ax8J8uRRfZPq1zPbXgKc/edit?usp=sharing"",""ระยอง!J343"")"),212)</f>
        <v>212</v>
      </c>
      <c r="AE66" s="152">
        <f ca="1">IFERROR(__xludf.DUMMYFUNCTION("IMPORTRANGE(""https://docs.google.com/spreadsheets/d/19KBlQQs7uwvsao6t2n-KvW3Ax8J8uRRfZPq1zPbXgKc/edit?usp=sharing"",""ระยอง!J352"")"),164)</f>
        <v>164</v>
      </c>
      <c r="AF66" s="152">
        <f ca="1">IFERROR(__xludf.DUMMYFUNCTION("IMPORTRANGE(""https://docs.google.com/spreadsheets/d/19KBlQQs7uwvsao6t2n-KvW3Ax8J8uRRfZPq1zPbXgKc/edit?usp=sharing"",""ระยอง!J353"")"),1584)</f>
        <v>1584</v>
      </c>
      <c r="AG66" s="152">
        <f ca="1">IFERROR(__xludf.DUMMYFUNCTION("IMPORTRANGE(""https://docs.google.com/spreadsheets/d/19KBlQQs7uwvsao6t2n-KvW3Ax8J8uRRfZPq1zPbXgKc/edit?usp=sharing"",""ระยอง!J354"")"),190)</f>
        <v>190</v>
      </c>
    </row>
    <row r="67" spans="1:33" ht="21" customHeight="1" x14ac:dyDescent="0.3">
      <c r="A67" s="395">
        <v>15</v>
      </c>
      <c r="B67" s="396" t="s">
        <v>95</v>
      </c>
      <c r="C67" s="149">
        <f t="shared" ca="1" si="22"/>
        <v>185000</v>
      </c>
      <c r="D67" s="150">
        <f t="shared" ca="1" si="49"/>
        <v>185000</v>
      </c>
      <c r="E67" s="151">
        <f ca="1">IFERROR(__xludf.DUMMYFUNCTION("IMPORTRANGE(""https://docs.google.com/spreadsheets/d/1-uDff_7J0KD5mKrp0Vvzr7lt3OU09vwQwhkpOPPYv2Y/edit?usp=sharing"",""งบพรบ!ET67"")"),0)</f>
        <v>0</v>
      </c>
      <c r="F67" s="151">
        <f ca="1">IFERROR(__xludf.DUMMYFUNCTION("IMPORTRANGE(""https://docs.google.com/spreadsheets/d/1-uDff_7J0KD5mKrp0Vvzr7lt3OU09vwQwhkpOPPYv2Y/edit?usp=sharing"",""งบพรบ!EU67"")"),185000)</f>
        <v>185000</v>
      </c>
      <c r="G67" s="151">
        <f ca="1">IFERROR(__xludf.DUMMYFUNCTION("IMPORTRANGE(""https://docs.google.com/spreadsheets/d/1-uDff_7J0KD5mKrp0Vvzr7lt3OU09vwQwhkpOPPYv2Y/edit?usp=sharing"",""งบพรบ!EV67"")"),0)</f>
        <v>0</v>
      </c>
      <c r="H67" s="151">
        <f ca="1">IFERROR(__xludf.DUMMYFUNCTION("IMPORTRANGE(""https://docs.google.com/spreadsheets/d/1-uDff_7J0KD5mKrp0Vvzr7lt3OU09vwQwhkpOPPYv2Y/edit?usp=sharing"",""งบพรบ!EX67"")"),185000)</f>
        <v>185000</v>
      </c>
      <c r="I67" s="151">
        <f ca="1">IFERROR(__xludf.DUMMYFUNCTION("IMPORTRANGE(""https://docs.google.com/spreadsheets/d/1-uDff_7J0KD5mKrp0Vvzr7lt3OU09vwQwhkpOPPYv2Y/edit?usp=sharing"",""งบพรบ!EY67"")"),0)</f>
        <v>0</v>
      </c>
      <c r="J67" s="151">
        <f t="shared" ca="1" si="24"/>
        <v>141913.35</v>
      </c>
      <c r="K67" s="154">
        <f t="shared" ca="1" si="25"/>
        <v>76.709918918918916</v>
      </c>
      <c r="L67" s="151">
        <f ca="1">IFERROR(__xludf.DUMMYFUNCTION("IMPORTRANGE(""https://docs.google.com/spreadsheets/d/1-uDff_7J0KD5mKrp0Vvzr7lt3OU09vwQwhkpOPPYv2Y/edit?usp=sharing"",""งบพรบ!EZ67"")"),141913.35)</f>
        <v>141913.35</v>
      </c>
      <c r="M67" s="68">
        <f t="shared" ca="1" si="26"/>
        <v>76.709918918918916</v>
      </c>
      <c r="N67" s="68">
        <f t="shared" ca="1" si="27"/>
        <v>76.709918918918916</v>
      </c>
      <c r="O67" s="67">
        <f ca="1">IFERROR(__xludf.DUMMYFUNCTION("IMPORTRANGE(""https://docs.google.com/spreadsheets/d/1-uDff_7J0KD5mKrp0Vvzr7lt3OU09vwQwhkpOPPYv2Y/edit?usp=sharing"",""งบพรบ!FA67"")"),0)</f>
        <v>0</v>
      </c>
      <c r="P67" s="67">
        <f t="shared" ca="1" si="28"/>
        <v>0</v>
      </c>
      <c r="Q67" s="68">
        <f t="shared" ca="1" si="29"/>
        <v>0</v>
      </c>
      <c r="R67" s="397">
        <f ca="1">IFERROR(__xludf.DUMMYFUNCTION("IMPORTRANGE(""https://docs.google.com/spreadsheets/d/1jQ6P4QcrGM89YfqcC_PxOHGCMq5ezhucwJd8ci-NHng/edit?usp=sharing"",""ราชบุรี!I332"")"),1600)</f>
        <v>1600</v>
      </c>
      <c r="S67" s="397">
        <f ca="1">IFERROR(__xludf.DUMMYFUNCTION("IMPORTRANGE(""https://docs.google.com/spreadsheets/d/1jQ6P4QcrGM89YfqcC_PxOHGCMq5ezhucwJd8ci-NHng/edit?usp=sharing"",""ราชบุรี!J332"")"),7264)</f>
        <v>7264</v>
      </c>
      <c r="T67" s="398">
        <f t="shared" ca="1" si="31"/>
        <v>454</v>
      </c>
      <c r="U67" s="394" t="str">
        <f ca="1">IFERROR(__xludf.DUMMYFUNCTION("IMPORTRANGE(""https://docs.google.com/spreadsheets/d/1jQ6P4QcrGM89YfqcC_PxOHGCMq5ezhucwJd8ci-NHng/edit?usp=sharing"",""ราชบุรี!I344"")"),"")</f>
        <v/>
      </c>
      <c r="V67" s="152">
        <f ca="1">IFERROR(__xludf.DUMMYFUNCTION("IMPORTRANGE(""https://docs.google.com/spreadsheets/d/1jQ6P4QcrGM89YfqcC_PxOHGCMq5ezhucwJd8ci-NHng/edit?usp=sharing"",""ราชบุรี!J344"")"),2473)</f>
        <v>2473</v>
      </c>
      <c r="W67" s="216" t="e">
        <f t="shared" ca="1" si="33"/>
        <v>#VALUE!</v>
      </c>
      <c r="X67" s="279">
        <f ca="1">IFERROR(__xludf.DUMMYFUNCTION("IMPORTRANGE(""https://docs.google.com/spreadsheets/d/1jQ6P4QcrGM89YfqcC_PxOHGCMq5ezhucwJd8ci-NHng/edit?usp=sharing"",""ราชบุรี!I346"")"),6)</f>
        <v>6</v>
      </c>
      <c r="Y67" s="152">
        <f ca="1">IFERROR(__xludf.DUMMYFUNCTION("IMPORTRANGE(""https://docs.google.com/spreadsheets/d/1jQ6P4QcrGM89YfqcC_PxOHGCMq5ezhucwJd8ci-NHng/edit?usp=sharing"",""ราชบุรี!J346"")"),6)</f>
        <v>6</v>
      </c>
      <c r="Z67" s="216">
        <f t="shared" ca="1" si="35"/>
        <v>100</v>
      </c>
      <c r="AA67" s="152">
        <f ca="1">IFERROR(__xludf.DUMMYFUNCTION("IMPORTRANGE(""https://docs.google.com/spreadsheets/d/1jQ6P4QcrGM89YfqcC_PxOHGCMq5ezhucwJd8ci-NHng/edit?usp=sharing"",""ราชบุรี!J347"")"),0)</f>
        <v>0</v>
      </c>
      <c r="AB67" s="152">
        <f ca="1">IFERROR(__xludf.DUMMYFUNCTION("IMPORTRANGE(""https://docs.google.com/spreadsheets/d/1jQ6P4QcrGM89YfqcC_PxOHGCMq5ezhucwJd8ci-NHng/edit?usp=sharing"",""ราชบุรี!J348"")"),4)</f>
        <v>4</v>
      </c>
      <c r="AC67" s="152">
        <f ca="1">IFERROR(__xludf.DUMMYFUNCTION("IMPORTRANGE(""https://docs.google.com/spreadsheets/d/1jQ6P4QcrGM89YfqcC_PxOHGCMq5ezhucwJd8ci-NHng/edit?usp=sharing"",""ราชบุรี!J349"")"),0)</f>
        <v>0</v>
      </c>
      <c r="AD67" s="152">
        <f ca="1">IFERROR(__xludf.DUMMYFUNCTION("IMPORTRANGE(""https://docs.google.com/spreadsheets/d/1jQ6P4QcrGM89YfqcC_PxOHGCMq5ezhucwJd8ci-NHng/edit?usp=sharing"",""ราชบุรี!J343"")"),2477)</f>
        <v>2477</v>
      </c>
      <c r="AE67" s="152">
        <f ca="1">IFERROR(__xludf.DUMMYFUNCTION("IMPORTRANGE(""https://docs.google.com/spreadsheets/d/1jQ6P4QcrGM89YfqcC_PxOHGCMq5ezhucwJd8ci-NHng/edit?usp=sharing"",""ราชบุรี!J352"")"),45)</f>
        <v>45</v>
      </c>
      <c r="AF67" s="152">
        <f ca="1">IFERROR(__xludf.DUMMYFUNCTION("IMPORTRANGE(""https://docs.google.com/spreadsheets/d/1jQ6P4QcrGM89YfqcC_PxOHGCMq5ezhucwJd8ci-NHng/edit?usp=sharing"",""ราชบุรี!J353"")"),4314)</f>
        <v>4314</v>
      </c>
      <c r="AG67" s="152">
        <f ca="1">IFERROR(__xludf.DUMMYFUNCTION("IMPORTRANGE(""https://docs.google.com/spreadsheets/d/1jQ6P4QcrGM89YfqcC_PxOHGCMq5ezhucwJd8ci-NHng/edit?usp=sharing"",""ราชบุรี!J354"")"),473)</f>
        <v>473</v>
      </c>
    </row>
    <row r="68" spans="1:33" ht="24" customHeight="1" x14ac:dyDescent="0.3">
      <c r="A68" s="395">
        <v>16</v>
      </c>
      <c r="B68" s="396" t="s">
        <v>96</v>
      </c>
      <c r="C68" s="149">
        <f t="shared" ca="1" si="22"/>
        <v>185000</v>
      </c>
      <c r="D68" s="150">
        <f t="shared" ca="1" si="49"/>
        <v>185000</v>
      </c>
      <c r="E68" s="151">
        <f ca="1">IFERROR(__xludf.DUMMYFUNCTION("IMPORTRANGE(""https://docs.google.com/spreadsheets/d/1-uDff_7J0KD5mKrp0Vvzr7lt3OU09vwQwhkpOPPYv2Y/edit?usp=sharing"",""งบพรบ!ET68"")"),0)</f>
        <v>0</v>
      </c>
      <c r="F68" s="151">
        <f ca="1">IFERROR(__xludf.DUMMYFUNCTION("IMPORTRANGE(""https://docs.google.com/spreadsheets/d/1-uDff_7J0KD5mKrp0Vvzr7lt3OU09vwQwhkpOPPYv2Y/edit?usp=sharing"",""งบพรบ!EU68"")"),185000)</f>
        <v>185000</v>
      </c>
      <c r="G68" s="151">
        <f ca="1">IFERROR(__xludf.DUMMYFUNCTION("IMPORTRANGE(""https://docs.google.com/spreadsheets/d/1-uDff_7J0KD5mKrp0Vvzr7lt3OU09vwQwhkpOPPYv2Y/edit?usp=sharing"",""งบพรบ!EV68"")"),0)</f>
        <v>0</v>
      </c>
      <c r="H68" s="151">
        <f ca="1">IFERROR(__xludf.DUMMYFUNCTION("IMPORTRANGE(""https://docs.google.com/spreadsheets/d/1-uDff_7J0KD5mKrp0Vvzr7lt3OU09vwQwhkpOPPYv2Y/edit?usp=sharing"",""งบพรบ!EX68"")"),185000)</f>
        <v>185000</v>
      </c>
      <c r="I68" s="151">
        <f ca="1">IFERROR(__xludf.DUMMYFUNCTION("IMPORTRANGE(""https://docs.google.com/spreadsheets/d/1-uDff_7J0KD5mKrp0Vvzr7lt3OU09vwQwhkpOPPYv2Y/edit?usp=sharing"",""งบพรบ!EY68"")"),0)</f>
        <v>0</v>
      </c>
      <c r="J68" s="151">
        <f t="shared" ca="1" si="24"/>
        <v>134800</v>
      </c>
      <c r="K68" s="154">
        <f t="shared" ca="1" si="25"/>
        <v>72.86486486486487</v>
      </c>
      <c r="L68" s="151">
        <f ca="1">IFERROR(__xludf.DUMMYFUNCTION("IMPORTRANGE(""https://docs.google.com/spreadsheets/d/1-uDff_7J0KD5mKrp0Vvzr7lt3OU09vwQwhkpOPPYv2Y/edit?usp=sharing"",""งบพรบ!EZ68"")"),134800)</f>
        <v>134800</v>
      </c>
      <c r="M68" s="68">
        <f t="shared" ca="1" si="26"/>
        <v>72.86486486486487</v>
      </c>
      <c r="N68" s="68">
        <f t="shared" ca="1" si="27"/>
        <v>72.86486486486487</v>
      </c>
      <c r="O68" s="67">
        <f ca="1">IFERROR(__xludf.DUMMYFUNCTION("IMPORTRANGE(""https://docs.google.com/spreadsheets/d/1-uDff_7J0KD5mKrp0Vvzr7lt3OU09vwQwhkpOPPYv2Y/edit?usp=sharing"",""งบพรบ!FA68"")"),0)</f>
        <v>0</v>
      </c>
      <c r="P68" s="67">
        <f t="shared" ca="1" si="28"/>
        <v>0</v>
      </c>
      <c r="Q68" s="68">
        <f t="shared" ca="1" si="29"/>
        <v>0</v>
      </c>
      <c r="R68" s="152">
        <f ca="1">IFERROR(__xludf.DUMMYFUNCTION("IMPORTRANGE(""https://docs.google.com/spreadsheets/d/1lufeA2cfFqM-elVq2hznhDzC6Pr7wkJ9ZG_sYNGCMCU/edit?usp=sharing"",""ลพบุรี!I332"")"),2100)</f>
        <v>2100</v>
      </c>
      <c r="S68" s="152">
        <f ca="1">IFERROR(__xludf.DUMMYFUNCTION("IMPORTRANGE(""https://docs.google.com/spreadsheets/d/1lufeA2cfFqM-elVq2hznhDzC6Pr7wkJ9ZG_sYNGCMCU/edit?usp=sharing"",""ลพบุรี!J332"")"),8318)</f>
        <v>8318</v>
      </c>
      <c r="T68" s="153">
        <f t="shared" ca="1" si="31"/>
        <v>396.09523809523807</v>
      </c>
      <c r="U68" s="394" t="str">
        <f ca="1">IFERROR(__xludf.DUMMYFUNCTION("IMPORTRANGE(""https://docs.google.com/spreadsheets/d/1lufeA2cfFqM-elVq2hznhDzC6Pr7wkJ9ZG_sYNGCMCU/edit?usp=sharing"",""ลพบุรี!I344"")"),"")</f>
        <v/>
      </c>
      <c r="V68" s="152">
        <f ca="1">IFERROR(__xludf.DUMMYFUNCTION("IMPORTRANGE(""https://docs.google.com/spreadsheets/d/1lufeA2cfFqM-elVq2hznhDzC6Pr7wkJ9ZG_sYNGCMCU/edit?usp=sharing"",""ลพบุรี!J344"")"),3134)</f>
        <v>3134</v>
      </c>
      <c r="W68" s="216" t="e">
        <f t="shared" ca="1" si="33"/>
        <v>#VALUE!</v>
      </c>
      <c r="X68" s="278">
        <f ca="1">IFERROR(__xludf.DUMMYFUNCTION("IMPORTRANGE(""https://docs.google.com/spreadsheets/d/1lufeA2cfFqM-elVq2hznhDzC6Pr7wkJ9ZG_sYNGCMCU/edit?usp=sharing"",""ลพบุรี!I346"")"),6)</f>
        <v>6</v>
      </c>
      <c r="Y68" s="152">
        <f ca="1">IFERROR(__xludf.DUMMYFUNCTION("IMPORTRANGE(""https://docs.google.com/spreadsheets/d/1lufeA2cfFqM-elVq2hznhDzC6Pr7wkJ9ZG_sYNGCMCU/edit?usp=sharing"",""ลพบุรี!J346"")"),5)</f>
        <v>5</v>
      </c>
      <c r="Z68" s="216">
        <f t="shared" ca="1" si="35"/>
        <v>83.333333333333329</v>
      </c>
      <c r="AA68" s="152">
        <f ca="1">IFERROR(__xludf.DUMMYFUNCTION("IMPORTRANGE(""https://docs.google.com/spreadsheets/d/1lufeA2cfFqM-elVq2hznhDzC6Pr7wkJ9ZG_sYNGCMCU/edit?usp=sharing"",""ลพบุรี!J347"")"),3)</f>
        <v>3</v>
      </c>
      <c r="AB68" s="152">
        <f ca="1">IFERROR(__xludf.DUMMYFUNCTION("IMPORTRANGE(""https://docs.google.com/spreadsheets/d/1lufeA2cfFqM-elVq2hznhDzC6Pr7wkJ9ZG_sYNGCMCU/edit?usp=sharing"",""ลพบุรี!J348"")"),0)</f>
        <v>0</v>
      </c>
      <c r="AC68" s="152">
        <f ca="1">IFERROR(__xludf.DUMMYFUNCTION("IMPORTRANGE(""https://docs.google.com/spreadsheets/d/1lufeA2cfFqM-elVq2hznhDzC6Pr7wkJ9ZG_sYNGCMCU/edit?usp=sharing"",""ลพบุรี!J349"")"),0)</f>
        <v>0</v>
      </c>
      <c r="AD68" s="152">
        <f ca="1">IFERROR(__xludf.DUMMYFUNCTION("IMPORTRANGE(""https://docs.google.com/spreadsheets/d/1lufeA2cfFqM-elVq2hznhDzC6Pr7wkJ9ZG_sYNGCMCU/edit?usp=sharing"",""ลพบุรี!J343"")"),3137)</f>
        <v>3137</v>
      </c>
      <c r="AE68" s="152">
        <f ca="1">IFERROR(__xludf.DUMMYFUNCTION("IMPORTRANGE(""https://docs.google.com/spreadsheets/d/1lufeA2cfFqM-elVq2hznhDzC6Pr7wkJ9ZG_sYNGCMCU/edit?usp=sharing"",""ลพบุรี!J352"")"),1174)</f>
        <v>1174</v>
      </c>
      <c r="AF68" s="152">
        <f ca="1">IFERROR(__xludf.DUMMYFUNCTION("IMPORTRANGE(""https://docs.google.com/spreadsheets/d/1lufeA2cfFqM-elVq2hznhDzC6Pr7wkJ9ZG_sYNGCMCU/edit?usp=sharing"",""ลพบุรี!J353"")"),4102)</f>
        <v>4102</v>
      </c>
      <c r="AG68" s="152">
        <f ca="1">IFERROR(__xludf.DUMMYFUNCTION("IMPORTRANGE(""https://docs.google.com/spreadsheets/d/1lufeA2cfFqM-elVq2hznhDzC6Pr7wkJ9ZG_sYNGCMCU/edit?usp=sharing"",""ลพบุรี!J354"")"),1079)</f>
        <v>1079</v>
      </c>
    </row>
    <row r="69" spans="1:33" ht="21" customHeight="1" x14ac:dyDescent="0.3">
      <c r="A69" s="395">
        <v>17</v>
      </c>
      <c r="B69" s="396" t="s">
        <v>97</v>
      </c>
      <c r="C69" s="149">
        <f t="shared" ca="1" si="22"/>
        <v>197000</v>
      </c>
      <c r="D69" s="150">
        <f t="shared" ca="1" si="49"/>
        <v>197000</v>
      </c>
      <c r="E69" s="151">
        <f ca="1">IFERROR(__xludf.DUMMYFUNCTION("IMPORTRANGE(""https://docs.google.com/spreadsheets/d/1-uDff_7J0KD5mKrp0Vvzr7lt3OU09vwQwhkpOPPYv2Y/edit?usp=sharing"",""งบพรบ!ET69"")"),0)</f>
        <v>0</v>
      </c>
      <c r="F69" s="151">
        <f ca="1">IFERROR(__xludf.DUMMYFUNCTION("IMPORTRANGE(""https://docs.google.com/spreadsheets/d/1-uDff_7J0KD5mKrp0Vvzr7lt3OU09vwQwhkpOPPYv2Y/edit?usp=sharing"",""งบพรบ!EU69"")"),197000)</f>
        <v>197000</v>
      </c>
      <c r="G69" s="151">
        <f ca="1">IFERROR(__xludf.DUMMYFUNCTION("IMPORTRANGE(""https://docs.google.com/spreadsheets/d/1-uDff_7J0KD5mKrp0Vvzr7lt3OU09vwQwhkpOPPYv2Y/edit?usp=sharing"",""งบพรบ!EV69"")"),0)</f>
        <v>0</v>
      </c>
      <c r="H69" s="151">
        <f ca="1">IFERROR(__xludf.DUMMYFUNCTION("IMPORTRANGE(""https://docs.google.com/spreadsheets/d/1-uDff_7J0KD5mKrp0Vvzr7lt3OU09vwQwhkpOPPYv2Y/edit?usp=sharing"",""งบพรบ!EX69"")"),197000)</f>
        <v>197000</v>
      </c>
      <c r="I69" s="151">
        <f ca="1">IFERROR(__xludf.DUMMYFUNCTION("IMPORTRANGE(""https://docs.google.com/spreadsheets/d/1-uDff_7J0KD5mKrp0Vvzr7lt3OU09vwQwhkpOPPYv2Y/edit?usp=sharing"",""งบพรบ!EY69"")"),0)</f>
        <v>0</v>
      </c>
      <c r="J69" s="151">
        <f t="shared" ca="1" si="24"/>
        <v>154800</v>
      </c>
      <c r="K69" s="154">
        <f t="shared" ca="1" si="25"/>
        <v>78.578680203045678</v>
      </c>
      <c r="L69" s="151">
        <f ca="1">IFERROR(__xludf.DUMMYFUNCTION("IMPORTRANGE(""https://docs.google.com/spreadsheets/d/1-uDff_7J0KD5mKrp0Vvzr7lt3OU09vwQwhkpOPPYv2Y/edit?usp=sharing"",""งบพรบ!EZ69"")"),154800)</f>
        <v>154800</v>
      </c>
      <c r="M69" s="68">
        <f t="shared" ca="1" si="26"/>
        <v>78.578680203045678</v>
      </c>
      <c r="N69" s="68">
        <f t="shared" ca="1" si="27"/>
        <v>78.578680203045678</v>
      </c>
      <c r="O69" s="67">
        <f ca="1">IFERROR(__xludf.DUMMYFUNCTION("IMPORTRANGE(""https://docs.google.com/spreadsheets/d/1-uDff_7J0KD5mKrp0Vvzr7lt3OU09vwQwhkpOPPYv2Y/edit?usp=sharing"",""งบพรบ!FA69"")"),0)</f>
        <v>0</v>
      </c>
      <c r="P69" s="67">
        <f t="shared" ca="1" si="28"/>
        <v>0</v>
      </c>
      <c r="Q69" s="68">
        <f t="shared" ca="1" si="29"/>
        <v>0</v>
      </c>
      <c r="R69" s="152">
        <f ca="1">IFERROR(__xludf.DUMMYFUNCTION("IMPORTRANGE(""https://docs.google.com/spreadsheets/d/10oOiF7loTyfsTkbd4MpaIm0HQ9SwB7IYHdIUvt-U1Uc/edit?usp=sharing"",""สระแก้ว!I332"")"),5300)</f>
        <v>5300</v>
      </c>
      <c r="S69" s="152">
        <f ca="1">IFERROR(__xludf.DUMMYFUNCTION("IMPORTRANGE(""https://docs.google.com/spreadsheets/d/10oOiF7loTyfsTkbd4MpaIm0HQ9SwB7IYHdIUvt-U1Uc/edit?usp=sharing"",""สระแก้ว!J332"")"),23708)</f>
        <v>23708</v>
      </c>
      <c r="T69" s="153">
        <f t="shared" ca="1" si="31"/>
        <v>447.32075471698113</v>
      </c>
      <c r="U69" s="394" t="str">
        <f ca="1">IFERROR(__xludf.DUMMYFUNCTION("IMPORTRANGE(""https://docs.google.com/spreadsheets/d/10oOiF7loTyfsTkbd4MpaIm0HQ9SwB7IYHdIUvt-U1Uc/edit?usp=sharing"",""สระแก้ว!I344"")"),"")</f>
        <v/>
      </c>
      <c r="V69" s="152">
        <f ca="1">IFERROR(__xludf.DUMMYFUNCTION("IMPORTRANGE(""https://docs.google.com/spreadsheets/d/10oOiF7loTyfsTkbd4MpaIm0HQ9SwB7IYHdIUvt-U1Uc/edit?usp=sharing"",""สระแก้ว!J344"")"),9163)</f>
        <v>9163</v>
      </c>
      <c r="W69" s="216" t="e">
        <f t="shared" ca="1" si="33"/>
        <v>#VALUE!</v>
      </c>
      <c r="X69" s="278">
        <f ca="1">IFERROR(__xludf.DUMMYFUNCTION("IMPORTRANGE(""https://docs.google.com/spreadsheets/d/10oOiF7loTyfsTkbd4MpaIm0HQ9SwB7IYHdIUvt-U1Uc/edit?usp=sharing"",""สระแก้ว!I346"")"),7)</f>
        <v>7</v>
      </c>
      <c r="Y69" s="152">
        <f ca="1">IFERROR(__xludf.DUMMYFUNCTION("IMPORTRANGE(""https://docs.google.com/spreadsheets/d/10oOiF7loTyfsTkbd4MpaIm0HQ9SwB7IYHdIUvt-U1Uc/edit?usp=sharing"",""สระแก้ว!J346"")"),6)</f>
        <v>6</v>
      </c>
      <c r="Z69" s="216">
        <f t="shared" ca="1" si="35"/>
        <v>85.714285714285708</v>
      </c>
      <c r="AA69" s="152">
        <f ca="1">IFERROR(__xludf.DUMMYFUNCTION("IMPORTRANGE(""https://docs.google.com/spreadsheets/d/10oOiF7loTyfsTkbd4MpaIm0HQ9SwB7IYHdIUvt-U1Uc/edit?usp=sharing"",""สระแก้ว!J347"")"),206)</f>
        <v>206</v>
      </c>
      <c r="AB69" s="152">
        <f ca="1">IFERROR(__xludf.DUMMYFUNCTION("IMPORTRANGE(""https://docs.google.com/spreadsheets/d/10oOiF7loTyfsTkbd4MpaIm0HQ9SwB7IYHdIUvt-U1Uc/edit?usp=sharing"",""สระแก้ว!J348"")"),191)</f>
        <v>191</v>
      </c>
      <c r="AC69" s="152">
        <f ca="1">IFERROR(__xludf.DUMMYFUNCTION("IMPORTRANGE(""https://docs.google.com/spreadsheets/d/10oOiF7loTyfsTkbd4MpaIm0HQ9SwB7IYHdIUvt-U1Uc/edit?usp=sharing"",""สระแก้ว!J349"")"),0)</f>
        <v>0</v>
      </c>
      <c r="AD69" s="152">
        <f ca="1">IFERROR(__xludf.DUMMYFUNCTION("IMPORTRANGE(""https://docs.google.com/spreadsheets/d/10oOiF7loTyfsTkbd4MpaIm0HQ9SwB7IYHdIUvt-U1Uc/edit?usp=sharing"",""สระแก้ว!J343"")"),9560)</f>
        <v>9560</v>
      </c>
      <c r="AE69" s="152">
        <f ca="1">IFERROR(__xludf.DUMMYFUNCTION("IMPORTRANGE(""https://docs.google.com/spreadsheets/d/10oOiF7loTyfsTkbd4MpaIm0HQ9SwB7IYHdIUvt-U1Uc/edit?usp=sharing"",""สระแก้ว!J352"")"),35)</f>
        <v>35</v>
      </c>
      <c r="AF69" s="152">
        <f ca="1">IFERROR(__xludf.DUMMYFUNCTION("IMPORTRANGE(""https://docs.google.com/spreadsheets/d/10oOiF7loTyfsTkbd4MpaIm0HQ9SwB7IYHdIUvt-U1Uc/edit?usp=sharing"",""สระแก้ว!J353"")"),11801)</f>
        <v>11801</v>
      </c>
      <c r="AG69" s="152">
        <f ca="1">IFERROR(__xludf.DUMMYFUNCTION("IMPORTRANGE(""https://docs.google.com/spreadsheets/d/10oOiF7loTyfsTkbd4MpaIm0HQ9SwB7IYHdIUvt-U1Uc/edit?usp=sharing"",""สระแก้ว!J354"")"),2347)</f>
        <v>2347</v>
      </c>
    </row>
    <row r="70" spans="1:33" ht="21" customHeight="1" x14ac:dyDescent="0.3">
      <c r="A70" s="395">
        <v>18</v>
      </c>
      <c r="B70" s="396" t="s">
        <v>98</v>
      </c>
      <c r="C70" s="149">
        <f t="shared" ca="1" si="22"/>
        <v>179000</v>
      </c>
      <c r="D70" s="150">
        <f t="shared" ca="1" si="49"/>
        <v>179000</v>
      </c>
      <c r="E70" s="151">
        <f ca="1">IFERROR(__xludf.DUMMYFUNCTION("IMPORTRANGE(""https://docs.google.com/spreadsheets/d/1-uDff_7J0KD5mKrp0Vvzr7lt3OU09vwQwhkpOPPYv2Y/edit?usp=sharing"",""งบพรบ!ET70"")"),0)</f>
        <v>0</v>
      </c>
      <c r="F70" s="151">
        <f ca="1">IFERROR(__xludf.DUMMYFUNCTION("IMPORTRANGE(""https://docs.google.com/spreadsheets/d/1-uDff_7J0KD5mKrp0Vvzr7lt3OU09vwQwhkpOPPYv2Y/edit?usp=sharing"",""งบพรบ!EU70"")"),179000)</f>
        <v>179000</v>
      </c>
      <c r="G70" s="151">
        <f ca="1">IFERROR(__xludf.DUMMYFUNCTION("IMPORTRANGE(""https://docs.google.com/spreadsheets/d/1-uDff_7J0KD5mKrp0Vvzr7lt3OU09vwQwhkpOPPYv2Y/edit?usp=sharing"",""งบพรบ!EV70"")"),0)</f>
        <v>0</v>
      </c>
      <c r="H70" s="151">
        <f ca="1">IFERROR(__xludf.DUMMYFUNCTION("IMPORTRANGE(""https://docs.google.com/spreadsheets/d/1-uDff_7J0KD5mKrp0Vvzr7lt3OU09vwQwhkpOPPYv2Y/edit?usp=sharing"",""งบพรบ!EX70"")"),179000)</f>
        <v>179000</v>
      </c>
      <c r="I70" s="151">
        <f ca="1">IFERROR(__xludf.DUMMYFUNCTION("IMPORTRANGE(""https://docs.google.com/spreadsheets/d/1-uDff_7J0KD5mKrp0Vvzr7lt3OU09vwQwhkpOPPYv2Y/edit?usp=sharing"",""งบพรบ!EY70"")"),0)</f>
        <v>0</v>
      </c>
      <c r="J70" s="151">
        <f t="shared" ca="1" si="24"/>
        <v>141903</v>
      </c>
      <c r="K70" s="154">
        <f t="shared" ca="1" si="25"/>
        <v>79.275418994413414</v>
      </c>
      <c r="L70" s="151">
        <f ca="1">IFERROR(__xludf.DUMMYFUNCTION("IMPORTRANGE(""https://docs.google.com/spreadsheets/d/1-uDff_7J0KD5mKrp0Vvzr7lt3OU09vwQwhkpOPPYv2Y/edit?usp=sharing"",""งบพรบ!EZ70"")"),141903)</f>
        <v>141903</v>
      </c>
      <c r="M70" s="68">
        <f t="shared" ca="1" si="26"/>
        <v>79.275418994413414</v>
      </c>
      <c r="N70" s="68">
        <f t="shared" ca="1" si="27"/>
        <v>79.275418994413414</v>
      </c>
      <c r="O70" s="67">
        <f ca="1">IFERROR(__xludf.DUMMYFUNCTION("IMPORTRANGE(""https://docs.google.com/spreadsheets/d/1-uDff_7J0KD5mKrp0Vvzr7lt3OU09vwQwhkpOPPYv2Y/edit?usp=sharing"",""งบพรบ!FA70"")"),0)</f>
        <v>0</v>
      </c>
      <c r="P70" s="67">
        <f t="shared" ca="1" si="28"/>
        <v>0</v>
      </c>
      <c r="Q70" s="68">
        <f t="shared" ca="1" si="29"/>
        <v>0</v>
      </c>
      <c r="R70" s="152">
        <f ca="1">IFERROR(__xludf.DUMMYFUNCTION("IMPORTRANGE(""https://docs.google.com/spreadsheets/d/1xmPlrr1QbdSIKvl1dWUl9K4PjAfSL9oeMr_37QVzcxc/edit?usp=sharing"",""สระบุรี!I332"")"),1500)</f>
        <v>1500</v>
      </c>
      <c r="S70" s="152">
        <f ca="1">IFERROR(__xludf.DUMMYFUNCTION("IMPORTRANGE(""https://docs.google.com/spreadsheets/d/1xmPlrr1QbdSIKvl1dWUl9K4PjAfSL9oeMr_37QVzcxc/edit?usp=sharing"",""สระบุรี!J332"")"),3852)</f>
        <v>3852</v>
      </c>
      <c r="T70" s="153">
        <f t="shared" ca="1" si="31"/>
        <v>256.8</v>
      </c>
      <c r="U70" s="394" t="str">
        <f ca="1">IFERROR(__xludf.DUMMYFUNCTION("IMPORTRANGE(""https://docs.google.com/spreadsheets/d/1xmPlrr1QbdSIKvl1dWUl9K4PjAfSL9oeMr_37QVzcxc/edit?usp=sharing"",""สระบุรี!I344"")"),"")</f>
        <v/>
      </c>
      <c r="V70" s="152">
        <f ca="1">IFERROR(__xludf.DUMMYFUNCTION("IMPORTRANGE(""https://docs.google.com/spreadsheets/d/1xmPlrr1QbdSIKvl1dWUl9K4PjAfSL9oeMr_37QVzcxc/edit?usp=sharing"",""สระบุรี!J344"")"),1450)</f>
        <v>1450</v>
      </c>
      <c r="W70" s="216" t="e">
        <f t="shared" ca="1" si="33"/>
        <v>#VALUE!</v>
      </c>
      <c r="X70" s="278">
        <f ca="1">IFERROR(__xludf.DUMMYFUNCTION("IMPORTRANGE(""https://docs.google.com/spreadsheets/d/1xmPlrr1QbdSIKvl1dWUl9K4PjAfSL9oeMr_37QVzcxc/edit?usp=sharing"",""สระบุรี!I346"")"),3)</f>
        <v>3</v>
      </c>
      <c r="Y70" s="152">
        <f ca="1">IFERROR(__xludf.DUMMYFUNCTION("IMPORTRANGE(""https://docs.google.com/spreadsheets/d/1xmPlrr1QbdSIKvl1dWUl9K4PjAfSL9oeMr_37QVzcxc/edit?usp=sharing"",""สระบุรี!J346"")"),0)</f>
        <v>0</v>
      </c>
      <c r="Z70" s="216">
        <f t="shared" ca="1" si="35"/>
        <v>0</v>
      </c>
      <c r="AA70" s="152">
        <f ca="1">IFERROR(__xludf.DUMMYFUNCTION("IMPORTRANGE(""https://docs.google.com/spreadsheets/d/1xmPlrr1QbdSIKvl1dWUl9K4PjAfSL9oeMr_37QVzcxc/edit?usp=sharing"",""สระบุรี!J347"")"),4)</f>
        <v>4</v>
      </c>
      <c r="AB70" s="152">
        <f ca="1">IFERROR(__xludf.DUMMYFUNCTION("IMPORTRANGE(""https://docs.google.com/spreadsheets/d/1xmPlrr1QbdSIKvl1dWUl9K4PjAfSL9oeMr_37QVzcxc/edit?usp=sharing"",""สระบุรี!J348"")"),43)</f>
        <v>43</v>
      </c>
      <c r="AC70" s="152">
        <f ca="1">IFERROR(__xludf.DUMMYFUNCTION("IMPORTRANGE(""https://docs.google.com/spreadsheets/d/1xmPlrr1QbdSIKvl1dWUl9K4PjAfSL9oeMr_37QVzcxc/edit?usp=sharing"",""สระบุรี!J349"")"),26)</f>
        <v>26</v>
      </c>
      <c r="AD70" s="152">
        <f ca="1">IFERROR(__xludf.DUMMYFUNCTION("IMPORTRANGE(""https://docs.google.com/spreadsheets/d/1xmPlrr1QbdSIKvl1dWUl9K4PjAfSL9oeMr_37QVzcxc/edit?usp=sharing"",""สระบุรี!J343"")"),1523)</f>
        <v>1523</v>
      </c>
      <c r="AE70" s="152">
        <f ca="1">IFERROR(__xludf.DUMMYFUNCTION("IMPORTRANGE(""https://docs.google.com/spreadsheets/d/1xmPlrr1QbdSIKvl1dWUl9K4PjAfSL9oeMr_37QVzcxc/edit?usp=sharing"",""สระบุรี!J352"")"),742)</f>
        <v>742</v>
      </c>
      <c r="AF70" s="152">
        <f ca="1">IFERROR(__xludf.DUMMYFUNCTION("IMPORTRANGE(""https://docs.google.com/spreadsheets/d/1xmPlrr1QbdSIKvl1dWUl9K4PjAfSL9oeMr_37QVzcxc/edit?usp=sharing"",""สระบุรี!J353"")"),1975)</f>
        <v>1975</v>
      </c>
      <c r="AG70" s="152">
        <f ca="1">IFERROR(__xludf.DUMMYFUNCTION("IMPORTRANGE(""https://docs.google.com/spreadsheets/d/1xmPlrr1QbdSIKvl1dWUl9K4PjAfSL9oeMr_37QVzcxc/edit?usp=sharing"",""สระบุรี!J354"")"),354)</f>
        <v>354</v>
      </c>
    </row>
    <row r="71" spans="1:33" ht="21" customHeight="1" x14ac:dyDescent="0.3">
      <c r="A71" s="395">
        <v>19</v>
      </c>
      <c r="B71" s="396" t="s">
        <v>99</v>
      </c>
      <c r="C71" s="149">
        <f t="shared" ca="1" si="22"/>
        <v>336800</v>
      </c>
      <c r="D71" s="150">
        <f t="shared" ca="1" si="49"/>
        <v>336800</v>
      </c>
      <c r="E71" s="151">
        <f ca="1">IFERROR(__xludf.DUMMYFUNCTION("IMPORTRANGE(""https://docs.google.com/spreadsheets/d/1-uDff_7J0KD5mKrp0Vvzr7lt3OU09vwQwhkpOPPYv2Y/edit?usp=sharing"",""งบพรบ!ET71"")"),184800)</f>
        <v>184800</v>
      </c>
      <c r="F71" s="151">
        <f ca="1">IFERROR(__xludf.DUMMYFUNCTION("IMPORTRANGE(""https://docs.google.com/spreadsheets/d/1-uDff_7J0KD5mKrp0Vvzr7lt3OU09vwQwhkpOPPYv2Y/edit?usp=sharing"",""งบพรบ!EU71"")"),152000)</f>
        <v>152000</v>
      </c>
      <c r="G71" s="151">
        <f ca="1">IFERROR(__xludf.DUMMYFUNCTION("IMPORTRANGE(""https://docs.google.com/spreadsheets/d/1-uDff_7J0KD5mKrp0Vvzr7lt3OU09vwQwhkpOPPYv2Y/edit?usp=sharing"",""งบพรบ!EV71"")"),0)</f>
        <v>0</v>
      </c>
      <c r="H71" s="151">
        <f ca="1">IFERROR(__xludf.DUMMYFUNCTION("IMPORTRANGE(""https://docs.google.com/spreadsheets/d/1-uDff_7J0KD5mKrp0Vvzr7lt3OU09vwQwhkpOPPYv2Y/edit?usp=sharing"",""งบพรบ!EX71"")"),336800)</f>
        <v>336800</v>
      </c>
      <c r="I71" s="151">
        <f ca="1">IFERROR(__xludf.DUMMYFUNCTION("IMPORTRANGE(""https://docs.google.com/spreadsheets/d/1-uDff_7J0KD5mKrp0Vvzr7lt3OU09vwQwhkpOPPYv2Y/edit?usp=sharing"",""งบพรบ!EY71"")"),0)</f>
        <v>0</v>
      </c>
      <c r="J71" s="151">
        <f t="shared" ca="1" si="24"/>
        <v>270186.7</v>
      </c>
      <c r="K71" s="154">
        <f t="shared" ca="1" si="25"/>
        <v>80.221704275534435</v>
      </c>
      <c r="L71" s="151">
        <f ca="1">IFERROR(__xludf.DUMMYFUNCTION("IMPORTRANGE(""https://docs.google.com/spreadsheets/d/1-uDff_7J0KD5mKrp0Vvzr7lt3OU09vwQwhkpOPPYv2Y/edit?usp=sharing"",""งบพรบ!EZ71"")"),270186.7)</f>
        <v>270186.7</v>
      </c>
      <c r="M71" s="68">
        <f t="shared" ca="1" si="26"/>
        <v>80.221704275534435</v>
      </c>
      <c r="N71" s="68">
        <f t="shared" ca="1" si="27"/>
        <v>80.221704275534435</v>
      </c>
      <c r="O71" s="67">
        <f ca="1">IFERROR(__xludf.DUMMYFUNCTION("IMPORTRANGE(""https://docs.google.com/spreadsheets/d/1-uDff_7J0KD5mKrp0Vvzr7lt3OU09vwQwhkpOPPYv2Y/edit?usp=sharing"",""งบพรบ!FA71"")"),0)</f>
        <v>0</v>
      </c>
      <c r="P71" s="67">
        <f t="shared" ca="1" si="28"/>
        <v>0</v>
      </c>
      <c r="Q71" s="68">
        <f t="shared" ca="1" si="29"/>
        <v>0</v>
      </c>
      <c r="R71" s="152">
        <f ca="1">IFERROR(__xludf.DUMMYFUNCTION("IMPORTRANGE(""https://docs.google.com/spreadsheets/d/1j51vR6CYVGhABJpv6tkstgok82RLpXieLzW1yOY5rHw/edit?usp=sharing"",""สิงห์บุรี!I332"")"),50)</f>
        <v>50</v>
      </c>
      <c r="S71" s="152">
        <f ca="1">IFERROR(__xludf.DUMMYFUNCTION("IMPORTRANGE(""https://docs.google.com/spreadsheets/d/1j51vR6CYVGhABJpv6tkstgok82RLpXieLzW1yOY5rHw/edit?usp=sharing"",""สิงห์บุรี!J332"")"),110)</f>
        <v>110</v>
      </c>
      <c r="T71" s="153">
        <f t="shared" ca="1" si="31"/>
        <v>220</v>
      </c>
      <c r="U71" s="394" t="str">
        <f ca="1">IFERROR(__xludf.DUMMYFUNCTION("IMPORTRANGE(""https://docs.google.com/spreadsheets/d/1j51vR6CYVGhABJpv6tkstgok82RLpXieLzW1yOY5rHw/edit?usp=sharing"",""สิงห์บุรี!I344"")"),"")</f>
        <v/>
      </c>
      <c r="V71" s="152">
        <f ca="1">IFERROR(__xludf.DUMMYFUNCTION("IMPORTRANGE(""https://docs.google.com/spreadsheets/d/1j51vR6CYVGhABJpv6tkstgok82RLpXieLzW1yOY5rHw/edit?usp=sharing"",""สิงห์บุรี!J344"")"),73)</f>
        <v>73</v>
      </c>
      <c r="W71" s="216" t="e">
        <f t="shared" ca="1" si="33"/>
        <v>#VALUE!</v>
      </c>
      <c r="X71" s="278">
        <f ca="1">IFERROR(__xludf.DUMMYFUNCTION("IMPORTRANGE(""https://docs.google.com/spreadsheets/d/1j51vR6CYVGhABJpv6tkstgok82RLpXieLzW1yOY5rHw/edit?usp=sharing"",""สิงห์บุรี!I346"")"),2)</f>
        <v>2</v>
      </c>
      <c r="Y71" s="152">
        <f ca="1">IFERROR(__xludf.DUMMYFUNCTION("IMPORTRANGE(""https://docs.google.com/spreadsheets/d/1j51vR6CYVGhABJpv6tkstgok82RLpXieLzW1yOY5rHw/edit?usp=sharing"",""สิงห์บุรี!J346"")"),2)</f>
        <v>2</v>
      </c>
      <c r="Z71" s="216">
        <f t="shared" ca="1" si="35"/>
        <v>100</v>
      </c>
      <c r="AA71" s="152">
        <f ca="1">IFERROR(__xludf.DUMMYFUNCTION("IMPORTRANGE(""https://docs.google.com/spreadsheets/d/1j51vR6CYVGhABJpv6tkstgok82RLpXieLzW1yOY5rHw/edit?usp=sharing"",""สิงห์บุรี!J347"")"),16)</f>
        <v>16</v>
      </c>
      <c r="AB71" s="152">
        <f ca="1">IFERROR(__xludf.DUMMYFUNCTION("IMPORTRANGE(""https://docs.google.com/spreadsheets/d/1j51vR6CYVGhABJpv6tkstgok82RLpXieLzW1yOY5rHw/edit?usp=sharing"",""สิงห์บุรี!J348"")"),3)</f>
        <v>3</v>
      </c>
      <c r="AC71" s="152">
        <f ca="1">IFERROR(__xludf.DUMMYFUNCTION("IMPORTRANGE(""https://docs.google.com/spreadsheets/d/1j51vR6CYVGhABJpv6tkstgok82RLpXieLzW1yOY5rHw/edit?usp=sharing"",""สิงห์บุรี!J349"")"),18)</f>
        <v>18</v>
      </c>
      <c r="AD71" s="152">
        <f ca="1">IFERROR(__xludf.DUMMYFUNCTION("IMPORTRANGE(""https://docs.google.com/spreadsheets/d/1j51vR6CYVGhABJpv6tkstgok82RLpXieLzW1yOY5rHw/edit?usp=sharing"",""สิงห์บุรี!J343"")"),110)</f>
        <v>110</v>
      </c>
      <c r="AE71" s="152">
        <f ca="1">IFERROR(__xludf.DUMMYFUNCTION("IMPORTRANGE(""https://docs.google.com/spreadsheets/d/1j51vR6CYVGhABJpv6tkstgok82RLpXieLzW1yOY5rHw/edit?usp=sharing"",""สิงห์บุรี!J352"")"),0)</f>
        <v>0</v>
      </c>
      <c r="AF71" s="152">
        <f ca="1">IFERROR(__xludf.DUMMYFUNCTION("IMPORTRANGE(""https://docs.google.com/spreadsheets/d/1j51vR6CYVGhABJpv6tkstgok82RLpXieLzW1yOY5rHw/edit?usp=sharing"",""สิงห์บุรี!J353"")"),0)</f>
        <v>0</v>
      </c>
      <c r="AG71" s="152">
        <f ca="1">IFERROR(__xludf.DUMMYFUNCTION("IMPORTRANGE(""https://docs.google.com/spreadsheets/d/1j51vR6CYVGhABJpv6tkstgok82RLpXieLzW1yOY5rHw/edit?usp=sharing"",""สิงห์บุรี!J354"")"),0)</f>
        <v>0</v>
      </c>
    </row>
    <row r="72" spans="1:33" ht="21" customHeight="1" x14ac:dyDescent="0.3">
      <c r="A72" s="395">
        <v>20</v>
      </c>
      <c r="B72" s="396" t="s">
        <v>100</v>
      </c>
      <c r="C72" s="149">
        <f t="shared" ca="1" si="22"/>
        <v>181000</v>
      </c>
      <c r="D72" s="150">
        <f t="shared" ca="1" si="49"/>
        <v>181000</v>
      </c>
      <c r="E72" s="151">
        <f ca="1">IFERROR(__xludf.DUMMYFUNCTION("IMPORTRANGE(""https://docs.google.com/spreadsheets/d/1-uDff_7J0KD5mKrp0Vvzr7lt3OU09vwQwhkpOPPYv2Y/edit?usp=sharing"",""งบพรบ!ET72"")"),0)</f>
        <v>0</v>
      </c>
      <c r="F72" s="151">
        <f ca="1">IFERROR(__xludf.DUMMYFUNCTION("IMPORTRANGE(""https://docs.google.com/spreadsheets/d/1-uDff_7J0KD5mKrp0Vvzr7lt3OU09vwQwhkpOPPYv2Y/edit?usp=sharing"",""งบพรบ!EU72"")"),181000)</f>
        <v>181000</v>
      </c>
      <c r="G72" s="151">
        <f ca="1">IFERROR(__xludf.DUMMYFUNCTION("IMPORTRANGE(""https://docs.google.com/spreadsheets/d/1-uDff_7J0KD5mKrp0Vvzr7lt3OU09vwQwhkpOPPYv2Y/edit?usp=sharing"",""งบพรบ!EV72"")"),0)</f>
        <v>0</v>
      </c>
      <c r="H72" s="151">
        <f ca="1">IFERROR(__xludf.DUMMYFUNCTION("IMPORTRANGE(""https://docs.google.com/spreadsheets/d/1-uDff_7J0KD5mKrp0Vvzr7lt3OU09vwQwhkpOPPYv2Y/edit?usp=sharing"",""งบพรบ!EX72"")"),181000)</f>
        <v>181000</v>
      </c>
      <c r="I72" s="151">
        <f ca="1">IFERROR(__xludf.DUMMYFUNCTION("IMPORTRANGE(""https://docs.google.com/spreadsheets/d/1-uDff_7J0KD5mKrp0Vvzr7lt3OU09vwQwhkpOPPYv2Y/edit?usp=sharing"",""งบพรบ!EY72"")"),0)</f>
        <v>0</v>
      </c>
      <c r="J72" s="151">
        <f t="shared" ca="1" si="24"/>
        <v>139909.65</v>
      </c>
      <c r="K72" s="154">
        <f t="shared" ca="1" si="25"/>
        <v>77.298149171270722</v>
      </c>
      <c r="L72" s="151">
        <f ca="1">IFERROR(__xludf.DUMMYFUNCTION("IMPORTRANGE(""https://docs.google.com/spreadsheets/d/1-uDff_7J0KD5mKrp0Vvzr7lt3OU09vwQwhkpOPPYv2Y/edit?usp=sharing"",""งบพรบ!EZ72"")"),139909.65)</f>
        <v>139909.65</v>
      </c>
      <c r="M72" s="68">
        <f t="shared" ca="1" si="26"/>
        <v>77.298149171270722</v>
      </c>
      <c r="N72" s="68">
        <f t="shared" ca="1" si="27"/>
        <v>77.298149171270722</v>
      </c>
      <c r="O72" s="67">
        <f ca="1">IFERROR(__xludf.DUMMYFUNCTION("IMPORTRANGE(""https://docs.google.com/spreadsheets/d/1-uDff_7J0KD5mKrp0Vvzr7lt3OU09vwQwhkpOPPYv2Y/edit?usp=sharing"",""งบพรบ!FA72"")"),0)</f>
        <v>0</v>
      </c>
      <c r="P72" s="67">
        <f t="shared" ca="1" si="28"/>
        <v>0</v>
      </c>
      <c r="Q72" s="68">
        <f t="shared" ca="1" si="29"/>
        <v>0</v>
      </c>
      <c r="R72" s="152">
        <f ca="1">IFERROR(__xludf.DUMMYFUNCTION("IMPORTRANGE(""https://docs.google.com/spreadsheets/d/1H1EalTWKUSzO4Z1-1CwzoDUaVffgrThEBe2sl74kKG0/edit?usp=sharing"",""สุพรรณบุรี!I332"")"),2300)</f>
        <v>2300</v>
      </c>
      <c r="S72" s="152">
        <f ca="1">IFERROR(__xludf.DUMMYFUNCTION("IMPORTRANGE(""https://docs.google.com/spreadsheets/d/1H1EalTWKUSzO4Z1-1CwzoDUaVffgrThEBe2sl74kKG0/edit?usp=sharing"",""สุพรรณบุรี!J332"")"),6135)</f>
        <v>6135</v>
      </c>
      <c r="T72" s="153">
        <f t="shared" ca="1" si="31"/>
        <v>266.73913043478262</v>
      </c>
      <c r="U72" s="394" t="str">
        <f ca="1">IFERROR(__xludf.DUMMYFUNCTION("IMPORTRANGE(""https://docs.google.com/spreadsheets/d/1H1EalTWKUSzO4Z1-1CwzoDUaVffgrThEBe2sl74kKG0/edit?usp=sharing"",""สุพรรณบุรี!I344"")"),"")</f>
        <v/>
      </c>
      <c r="V72" s="152">
        <f ca="1">IFERROR(__xludf.DUMMYFUNCTION("IMPORTRANGE(""https://docs.google.com/spreadsheets/d/1H1EalTWKUSzO4Z1-1CwzoDUaVffgrThEBe2sl74kKG0/edit?usp=sharing"",""สุพรรณบุรี!J344"")"),2719)</f>
        <v>2719</v>
      </c>
      <c r="W72" s="216" t="e">
        <f t="shared" ca="1" si="33"/>
        <v>#VALUE!</v>
      </c>
      <c r="X72" s="278">
        <f ca="1">IFERROR(__xludf.DUMMYFUNCTION("IMPORTRANGE(""https://docs.google.com/spreadsheets/d/1H1EalTWKUSzO4Z1-1CwzoDUaVffgrThEBe2sl74kKG0/edit?usp=sharing"",""สุพรรณบุรี!I346"")"),4)</f>
        <v>4</v>
      </c>
      <c r="Y72" s="152">
        <f ca="1">IFERROR(__xludf.DUMMYFUNCTION("IMPORTRANGE(""https://docs.google.com/spreadsheets/d/1H1EalTWKUSzO4Z1-1CwzoDUaVffgrThEBe2sl74kKG0/edit?usp=sharing"",""สุพรรณบุรี!J346"")"),17)</f>
        <v>17</v>
      </c>
      <c r="Z72" s="216">
        <f t="shared" ca="1" si="35"/>
        <v>425</v>
      </c>
      <c r="AA72" s="152">
        <f ca="1">IFERROR(__xludf.DUMMYFUNCTION("IMPORTRANGE(""https://docs.google.com/spreadsheets/d/1H1EalTWKUSzO4Z1-1CwzoDUaVffgrThEBe2sl74kKG0/edit?usp=sharing"",""สุพรรณบุรี!J347"")"),4)</f>
        <v>4</v>
      </c>
      <c r="AB72" s="152">
        <f ca="1">IFERROR(__xludf.DUMMYFUNCTION("IMPORTRANGE(""https://docs.google.com/spreadsheets/d/1H1EalTWKUSzO4Z1-1CwzoDUaVffgrThEBe2sl74kKG0/edit?usp=sharing"",""สุพรรณบุรี!J348"")"),53)</f>
        <v>53</v>
      </c>
      <c r="AC72" s="152">
        <f ca="1">IFERROR(__xludf.DUMMYFUNCTION("IMPORTRANGE(""https://docs.google.com/spreadsheets/d/1H1EalTWKUSzO4Z1-1CwzoDUaVffgrThEBe2sl74kKG0/edit?usp=sharing"",""สุพรรณบุรี!J349"")"),0)</f>
        <v>0</v>
      </c>
      <c r="AD72" s="152">
        <f ca="1">IFERROR(__xludf.DUMMYFUNCTION("IMPORTRANGE(""https://docs.google.com/spreadsheets/d/1H1EalTWKUSzO4Z1-1CwzoDUaVffgrThEBe2sl74kKG0/edit?usp=sharing"",""สุพรรณบุรี!J343"")"),2776)</f>
        <v>2776</v>
      </c>
      <c r="AE72" s="152">
        <f ca="1">IFERROR(__xludf.DUMMYFUNCTION("IMPORTRANGE(""https://docs.google.com/spreadsheets/d/1H1EalTWKUSzO4Z1-1CwzoDUaVffgrThEBe2sl74kKG0/edit?usp=sharing"",""สุพรรณบุรี!J352"")"),1)</f>
        <v>1</v>
      </c>
      <c r="AF72" s="152">
        <f ca="1">IFERROR(__xludf.DUMMYFUNCTION("IMPORTRANGE(""https://docs.google.com/spreadsheets/d/1H1EalTWKUSzO4Z1-1CwzoDUaVffgrThEBe2sl74kKG0/edit?usp=sharing"",""สุพรรณบุรี!J353"")"),2946)</f>
        <v>2946</v>
      </c>
      <c r="AG72" s="152">
        <f ca="1">IFERROR(__xludf.DUMMYFUNCTION("IMPORTRANGE(""https://docs.google.com/spreadsheets/d/1H1EalTWKUSzO4Z1-1CwzoDUaVffgrThEBe2sl74kKG0/edit?usp=sharing"",""สุพรรณบุรี!J354"")"),413)</f>
        <v>413</v>
      </c>
    </row>
    <row r="73" spans="1:33" ht="21" customHeight="1" x14ac:dyDescent="0.3">
      <c r="A73" s="399">
        <v>21</v>
      </c>
      <c r="B73" s="400" t="s">
        <v>101</v>
      </c>
      <c r="C73" s="157">
        <f t="shared" ca="1" si="22"/>
        <v>336800</v>
      </c>
      <c r="D73" s="158">
        <f t="shared" ca="1" si="49"/>
        <v>336800</v>
      </c>
      <c r="E73" s="159">
        <f ca="1">IFERROR(__xludf.DUMMYFUNCTION("IMPORTRANGE(""https://docs.google.com/spreadsheets/d/1-uDff_7J0KD5mKrp0Vvzr7lt3OU09vwQwhkpOPPYv2Y/edit?usp=sharing"",""งบพรบ!ET73"")"),184800)</f>
        <v>184800</v>
      </c>
      <c r="F73" s="159">
        <f ca="1">IFERROR(__xludf.DUMMYFUNCTION("IMPORTRANGE(""https://docs.google.com/spreadsheets/d/1-uDff_7J0KD5mKrp0Vvzr7lt3OU09vwQwhkpOPPYv2Y/edit?usp=sharing"",""งบพรบ!EU73"")"),152000)</f>
        <v>152000</v>
      </c>
      <c r="G73" s="159">
        <f ca="1">IFERROR(__xludf.DUMMYFUNCTION("IMPORTRANGE(""https://docs.google.com/spreadsheets/d/1-uDff_7J0KD5mKrp0Vvzr7lt3OU09vwQwhkpOPPYv2Y/edit?usp=sharing"",""งบพรบ!EV73"")"),0)</f>
        <v>0</v>
      </c>
      <c r="H73" s="159">
        <f ca="1">IFERROR(__xludf.DUMMYFUNCTION("IMPORTRANGE(""https://docs.google.com/spreadsheets/d/1-uDff_7J0KD5mKrp0Vvzr7lt3OU09vwQwhkpOPPYv2Y/edit?usp=sharing"",""งบพรบ!EX73"")"),336800)</f>
        <v>336800</v>
      </c>
      <c r="I73" s="159">
        <f ca="1">IFERROR(__xludf.DUMMYFUNCTION("IMPORTRANGE(""https://docs.google.com/spreadsheets/d/1-uDff_7J0KD5mKrp0Vvzr7lt3OU09vwQwhkpOPPYv2Y/edit?usp=sharing"",""งบพรบ!EY73"")"),0)</f>
        <v>0</v>
      </c>
      <c r="J73" s="159">
        <f t="shared" ca="1" si="24"/>
        <v>267955</v>
      </c>
      <c r="K73" s="160">
        <f t="shared" ca="1" si="25"/>
        <v>79.559085510688831</v>
      </c>
      <c r="L73" s="159">
        <f ca="1">IFERROR(__xludf.DUMMYFUNCTION("IMPORTRANGE(""https://docs.google.com/spreadsheets/d/1-uDff_7J0KD5mKrp0Vvzr7lt3OU09vwQwhkpOPPYv2Y/edit?usp=sharing"",""งบพรบ!EZ73"")"),267955)</f>
        <v>267955</v>
      </c>
      <c r="M73" s="89">
        <f t="shared" ca="1" si="26"/>
        <v>79.559085510688831</v>
      </c>
      <c r="N73" s="89">
        <f t="shared" ca="1" si="27"/>
        <v>79.559085510688831</v>
      </c>
      <c r="O73" s="88">
        <f ca="1">IFERROR(__xludf.DUMMYFUNCTION("IMPORTRANGE(""https://docs.google.com/spreadsheets/d/1-uDff_7J0KD5mKrp0Vvzr7lt3OU09vwQwhkpOPPYv2Y/edit?usp=sharing"",""งบพรบ!FA73"")"),0)</f>
        <v>0</v>
      </c>
      <c r="P73" s="88">
        <f t="shared" ca="1" si="28"/>
        <v>0</v>
      </c>
      <c r="Q73" s="89">
        <f t="shared" ca="1" si="29"/>
        <v>0</v>
      </c>
      <c r="R73" s="191">
        <f ca="1">IFERROR(__xludf.DUMMYFUNCTION("IMPORTRANGE(""https://docs.google.com/spreadsheets/d/1BmIruG_sIrJLYao_Pdr7zVArWsfoBt2692TMi6x_854/edit?usp=sharing"",""อ่างทอง!I332"")"),50)</f>
        <v>50</v>
      </c>
      <c r="S73" s="191">
        <f ca="1">IFERROR(__xludf.DUMMYFUNCTION("IMPORTRANGE(""https://docs.google.com/spreadsheets/d/1BmIruG_sIrJLYao_Pdr7zVArWsfoBt2692TMi6x_854/edit?usp=sharing"",""อ่างทอง!J332"")"),142)</f>
        <v>142</v>
      </c>
      <c r="T73" s="401">
        <f t="shared" ca="1" si="31"/>
        <v>284</v>
      </c>
      <c r="U73" s="402" t="str">
        <f ca="1">IFERROR(__xludf.DUMMYFUNCTION("IMPORTRANGE(""https://docs.google.com/spreadsheets/d/1BmIruG_sIrJLYao_Pdr7zVArWsfoBt2692TMi6x_854/edit?usp=sharing"",""อ่างทอง!I344"")"),"")</f>
        <v/>
      </c>
      <c r="V73" s="191">
        <f ca="1">IFERROR(__xludf.DUMMYFUNCTION("IMPORTRANGE(""https://docs.google.com/spreadsheets/d/1BmIruG_sIrJLYao_Pdr7zVArWsfoBt2692TMi6x_854/edit?usp=sharing"",""อ่างทอง!J344"")"),52)</f>
        <v>52</v>
      </c>
      <c r="W73" s="218" t="e">
        <f t="shared" ca="1" si="33"/>
        <v>#VALUE!</v>
      </c>
      <c r="X73" s="280">
        <f ca="1">IFERROR(__xludf.DUMMYFUNCTION("IMPORTRANGE(""https://docs.google.com/spreadsheets/d/1BmIruG_sIrJLYao_Pdr7zVArWsfoBt2692TMi6x_854/edit?usp=sharing"",""อ่างทอง!I346"")"),2)</f>
        <v>2</v>
      </c>
      <c r="Y73" s="191">
        <f ca="1">IFERROR(__xludf.DUMMYFUNCTION("IMPORTRANGE(""https://docs.google.com/spreadsheets/d/1BmIruG_sIrJLYao_Pdr7zVArWsfoBt2692TMi6x_854/edit?usp=sharing"",""อ่างทอง!J346"")"),3)</f>
        <v>3</v>
      </c>
      <c r="Z73" s="218">
        <f t="shared" ca="1" si="35"/>
        <v>150</v>
      </c>
      <c r="AA73" s="191">
        <f ca="1">IFERROR(__xludf.DUMMYFUNCTION("IMPORTRANGE(""https://docs.google.com/spreadsheets/d/1BmIruG_sIrJLYao_Pdr7zVArWsfoBt2692TMi6x_854/edit?usp=sharing"",""อ่างทอง!J347"")"),81)</f>
        <v>81</v>
      </c>
      <c r="AB73" s="191">
        <f ca="1">IFERROR(__xludf.DUMMYFUNCTION("IMPORTRANGE(""https://docs.google.com/spreadsheets/d/1BmIruG_sIrJLYao_Pdr7zVArWsfoBt2692TMi6x_854/edit?usp=sharing"",""อ่างทอง!J348"")"),2)</f>
        <v>2</v>
      </c>
      <c r="AC73" s="191">
        <f ca="1">IFERROR(__xludf.DUMMYFUNCTION("IMPORTRANGE(""https://docs.google.com/spreadsheets/d/1BmIruG_sIrJLYao_Pdr7zVArWsfoBt2692TMi6x_854/edit?usp=sharing"",""อ่างทอง!J349"")"),7)</f>
        <v>7</v>
      </c>
      <c r="AD73" s="191">
        <f ca="1">IFERROR(__xludf.DUMMYFUNCTION("IMPORTRANGE(""https://docs.google.com/spreadsheets/d/1BmIruG_sIrJLYao_Pdr7zVArWsfoBt2692TMi6x_854/edit?usp=sharing"",""อ่างทอง!J343"")"),142)</f>
        <v>142</v>
      </c>
      <c r="AE73" s="191">
        <f ca="1">IFERROR(__xludf.DUMMYFUNCTION("IMPORTRANGE(""https://docs.google.com/spreadsheets/d/1BmIruG_sIrJLYao_Pdr7zVArWsfoBt2692TMi6x_854/edit?usp=sharing"",""อ่างทอง!J352"")"),0)</f>
        <v>0</v>
      </c>
      <c r="AF73" s="191">
        <f ca="1">IFERROR(__xludf.DUMMYFUNCTION("IMPORTRANGE(""https://docs.google.com/spreadsheets/d/1BmIruG_sIrJLYao_Pdr7zVArWsfoBt2692TMi6x_854/edit?usp=sharing"",""อ่างทอง!J353"")"),0)</f>
        <v>0</v>
      </c>
      <c r="AG73" s="191">
        <f ca="1">IFERROR(__xludf.DUMMYFUNCTION("IMPORTRANGE(""https://docs.google.com/spreadsheets/d/1BmIruG_sIrJLYao_Pdr7zVArWsfoBt2692TMi6x_854/edit?usp=sharing"",""อ่างทอง!J354"")"),0)</f>
        <v>0</v>
      </c>
    </row>
    <row r="74" spans="1:33" ht="21" customHeight="1" x14ac:dyDescent="0.3">
      <c r="A74" s="747" t="s">
        <v>102</v>
      </c>
      <c r="B74" s="647"/>
      <c r="C74" s="403">
        <f t="shared" ca="1" si="22"/>
        <v>3831100</v>
      </c>
      <c r="D74" s="403">
        <f t="shared" ref="D74:I74" ca="1" si="50">SUM(D75:D88)</f>
        <v>2981100</v>
      </c>
      <c r="E74" s="403">
        <f t="shared" ca="1" si="50"/>
        <v>474100</v>
      </c>
      <c r="F74" s="403">
        <f t="shared" ca="1" si="50"/>
        <v>2507000</v>
      </c>
      <c r="G74" s="403">
        <f t="shared" ca="1" si="50"/>
        <v>850000</v>
      </c>
      <c r="H74" s="403">
        <f t="shared" ca="1" si="50"/>
        <v>3032275</v>
      </c>
      <c r="I74" s="403">
        <f t="shared" ca="1" si="50"/>
        <v>850000</v>
      </c>
      <c r="J74" s="403">
        <f t="shared" ca="1" si="24"/>
        <v>3087646.26</v>
      </c>
      <c r="K74" s="404">
        <f t="shared" ca="1" si="25"/>
        <v>80.594248649213014</v>
      </c>
      <c r="L74" s="403">
        <f ca="1">SUM(L75:L88)</f>
        <v>2237646.2599999998</v>
      </c>
      <c r="M74" s="405">
        <f t="shared" ca="1" si="26"/>
        <v>75.061093556069892</v>
      </c>
      <c r="N74" s="405">
        <f t="shared" ca="1" si="27"/>
        <v>73.794304936062844</v>
      </c>
      <c r="O74" s="406">
        <f ca="1">SUM(O75:O88)</f>
        <v>850000</v>
      </c>
      <c r="P74" s="406">
        <f t="shared" ca="1" si="28"/>
        <v>100</v>
      </c>
      <c r="Q74" s="405">
        <f t="shared" ca="1" si="29"/>
        <v>100</v>
      </c>
      <c r="R74" s="407">
        <f t="shared" ref="R74:S74" ca="1" si="51">SUM(R75:R88)</f>
        <v>18180</v>
      </c>
      <c r="S74" s="407">
        <f t="shared" ca="1" si="51"/>
        <v>75803</v>
      </c>
      <c r="T74" s="408">
        <f t="shared" ca="1" si="31"/>
        <v>416.95819581958193</v>
      </c>
      <c r="U74" s="409">
        <f t="shared" ref="U74:V74" ca="1" si="52">SUM(U75:U88)</f>
        <v>0</v>
      </c>
      <c r="V74" s="403">
        <f t="shared" ca="1" si="52"/>
        <v>28771</v>
      </c>
      <c r="W74" s="405">
        <f t="shared" ca="1" si="33"/>
        <v>0</v>
      </c>
      <c r="X74" s="409">
        <f t="shared" ref="X74:Y74" ca="1" si="53">SUM(X75:X88)</f>
        <v>55</v>
      </c>
      <c r="Y74" s="403">
        <f t="shared" ca="1" si="53"/>
        <v>66</v>
      </c>
      <c r="Z74" s="405">
        <f t="shared" ca="1" si="35"/>
        <v>120</v>
      </c>
      <c r="AA74" s="403">
        <f t="shared" ref="AA74:AG74" ca="1" si="54">SUM(AA75:AA88)</f>
        <v>429</v>
      </c>
      <c r="AB74" s="403">
        <f t="shared" ca="1" si="54"/>
        <v>83</v>
      </c>
      <c r="AC74" s="403">
        <f t="shared" ca="1" si="54"/>
        <v>132</v>
      </c>
      <c r="AD74" s="403">
        <f t="shared" ca="1" si="54"/>
        <v>29415</v>
      </c>
      <c r="AE74" s="403">
        <f t="shared" ca="1" si="54"/>
        <v>10804</v>
      </c>
      <c r="AF74" s="403">
        <f t="shared" ca="1" si="54"/>
        <v>37840</v>
      </c>
      <c r="AG74" s="403">
        <f t="shared" ca="1" si="54"/>
        <v>8548</v>
      </c>
    </row>
    <row r="75" spans="1:33" ht="21" customHeight="1" x14ac:dyDescent="0.3">
      <c r="A75" s="392">
        <v>1</v>
      </c>
      <c r="B75" s="393" t="s">
        <v>103</v>
      </c>
      <c r="C75" s="149">
        <f t="shared" ca="1" si="22"/>
        <v>183000</v>
      </c>
      <c r="D75" s="150">
        <f t="shared" ref="D75:D88" ca="1" si="55">+E75+F75</f>
        <v>183000</v>
      </c>
      <c r="E75" s="151">
        <f ca="1">IFERROR(__xludf.DUMMYFUNCTION("IMPORTRANGE(""https://docs.google.com/spreadsheets/d/1-uDff_7J0KD5mKrp0Vvzr7lt3OU09vwQwhkpOPPYv2Y/edit?usp=sharing"",""งบพรบ!ET75"")"),0)</f>
        <v>0</v>
      </c>
      <c r="F75" s="151">
        <f ca="1">IFERROR(__xludf.DUMMYFUNCTION("IMPORTRANGE(""https://docs.google.com/spreadsheets/d/1-uDff_7J0KD5mKrp0Vvzr7lt3OU09vwQwhkpOPPYv2Y/edit?usp=sharing"",""งบพรบ!EU75"")"),183000)</f>
        <v>183000</v>
      </c>
      <c r="G75" s="151">
        <f ca="1">IFERROR(__xludf.DUMMYFUNCTION("IMPORTRANGE(""https://docs.google.com/spreadsheets/d/1-uDff_7J0KD5mKrp0Vvzr7lt3OU09vwQwhkpOPPYv2Y/edit?usp=sharing"",""งบพรบ!EV75"")"),0)</f>
        <v>0</v>
      </c>
      <c r="H75" s="151">
        <f ca="1">IFERROR(__xludf.DUMMYFUNCTION("IMPORTRANGE(""https://docs.google.com/spreadsheets/d/1-uDff_7J0KD5mKrp0Vvzr7lt3OU09vwQwhkpOPPYv2Y/edit?usp=sharing"",""งบพรบ!EX75"")"),183000)</f>
        <v>183000</v>
      </c>
      <c r="I75" s="151">
        <f ca="1">IFERROR(__xludf.DUMMYFUNCTION("IMPORTRANGE(""https://docs.google.com/spreadsheets/d/1-uDff_7J0KD5mKrp0Vvzr7lt3OU09vwQwhkpOPPYv2Y/edit?usp=sharing"",""งบพรบ!EY75"")"),0)</f>
        <v>0</v>
      </c>
      <c r="J75" s="151">
        <f t="shared" ca="1" si="24"/>
        <v>160923.25</v>
      </c>
      <c r="K75" s="154">
        <f t="shared" ca="1" si="25"/>
        <v>87.936202185792354</v>
      </c>
      <c r="L75" s="151">
        <f ca="1">IFERROR(__xludf.DUMMYFUNCTION("IMPORTRANGE(""https://docs.google.com/spreadsheets/d/1-uDff_7J0KD5mKrp0Vvzr7lt3OU09vwQwhkpOPPYv2Y/edit?usp=sharing"",""งบพรบ!EZ75"")"),160923.25)</f>
        <v>160923.25</v>
      </c>
      <c r="M75" s="68">
        <f t="shared" ca="1" si="26"/>
        <v>87.936202185792354</v>
      </c>
      <c r="N75" s="68">
        <f t="shared" ca="1" si="27"/>
        <v>87.936202185792354</v>
      </c>
      <c r="O75" s="67">
        <f ca="1">IFERROR(__xludf.DUMMYFUNCTION("IMPORTRANGE(""https://docs.google.com/spreadsheets/d/1-uDff_7J0KD5mKrp0Vvzr7lt3OU09vwQwhkpOPPYv2Y/edit?usp=sharing"",""งบพรบ!FA75"")"),0)</f>
        <v>0</v>
      </c>
      <c r="P75" s="67">
        <f t="shared" ca="1" si="28"/>
        <v>0</v>
      </c>
      <c r="Q75" s="68">
        <f t="shared" ca="1" si="29"/>
        <v>0</v>
      </c>
      <c r="R75" s="152">
        <f ca="1">IFERROR(__xludf.DUMMYFUNCTION("IMPORTRANGE(""https://docs.google.com/spreadsheets/d/1kKUcYdkIfrgTSj8iHHHB2MD2FAtwyyocFgqGQn6ADyI/edit?usp=sharing"",""กระบี่!I332"")"),2000)</f>
        <v>2000</v>
      </c>
      <c r="S75" s="152">
        <f ca="1">IFERROR(__xludf.DUMMYFUNCTION("IMPORTRANGE(""https://docs.google.com/spreadsheets/d/1kKUcYdkIfrgTSj8iHHHB2MD2FAtwyyocFgqGQn6ADyI/edit?usp=sharing"",""กระบี่!J332"")"),7446)</f>
        <v>7446</v>
      </c>
      <c r="T75" s="153">
        <f t="shared" ca="1" si="31"/>
        <v>372.3</v>
      </c>
      <c r="U75" s="394" t="str">
        <f ca="1">IFERROR(__xludf.DUMMYFUNCTION("IMPORTRANGE(""https://docs.google.com/spreadsheets/d/1kKUcYdkIfrgTSj8iHHHB2MD2FAtwyyocFgqGQn6ADyI/edit?usp=sharing"",""กระบี่!I344"")"),"")</f>
        <v/>
      </c>
      <c r="V75" s="152">
        <f ca="1">IFERROR(__xludf.DUMMYFUNCTION("IMPORTRANGE(""https://docs.google.com/spreadsheets/d/1kKUcYdkIfrgTSj8iHHHB2MD2FAtwyyocFgqGQn6ADyI/edit?usp=sharing"",""กระบี่!J344"")"),2095)</f>
        <v>2095</v>
      </c>
      <c r="W75" s="216" t="e">
        <f t="shared" ca="1" si="33"/>
        <v>#VALUE!</v>
      </c>
      <c r="X75" s="278">
        <f ca="1">IFERROR(__xludf.DUMMYFUNCTION("IMPORTRANGE(""https://docs.google.com/spreadsheets/d/1kKUcYdkIfrgTSj8iHHHB2MD2FAtwyyocFgqGQn6ADyI/edit?usp=sharing"",""กระบี่!I346"")"),5)</f>
        <v>5</v>
      </c>
      <c r="Y75" s="152">
        <f ca="1">IFERROR(__xludf.DUMMYFUNCTION("IMPORTRANGE(""https://docs.google.com/spreadsheets/d/1kKUcYdkIfrgTSj8iHHHB2MD2FAtwyyocFgqGQn6ADyI/edit?usp=sharing"",""กระบี่!J346"")"),7)</f>
        <v>7</v>
      </c>
      <c r="Z75" s="216">
        <f t="shared" ca="1" si="35"/>
        <v>140</v>
      </c>
      <c r="AA75" s="152">
        <f ca="1">IFERROR(__xludf.DUMMYFUNCTION("IMPORTRANGE(""https://docs.google.com/spreadsheets/d/1kKUcYdkIfrgTSj8iHHHB2MD2FAtwyyocFgqGQn6ADyI/edit?usp=sharing"",""กระบี่!J347"")"),27)</f>
        <v>27</v>
      </c>
      <c r="AB75" s="152">
        <f ca="1">IFERROR(__xludf.DUMMYFUNCTION("IMPORTRANGE(""https://docs.google.com/spreadsheets/d/1kKUcYdkIfrgTSj8iHHHB2MD2FAtwyyocFgqGQn6ADyI/edit?usp=sharing"",""กระบี่!J348"")"),62)</f>
        <v>62</v>
      </c>
      <c r="AC75" s="152">
        <f ca="1">IFERROR(__xludf.DUMMYFUNCTION("IMPORTRANGE(""https://docs.google.com/spreadsheets/d/1kKUcYdkIfrgTSj8iHHHB2MD2FAtwyyocFgqGQn6ADyI/edit?usp=sharing"",""กระบี่!J349"")"),0)</f>
        <v>0</v>
      </c>
      <c r="AD75" s="152">
        <f ca="1">IFERROR(__xludf.DUMMYFUNCTION("IMPORTRANGE(""https://docs.google.com/spreadsheets/d/1kKUcYdkIfrgTSj8iHHHB2MD2FAtwyyocFgqGQn6ADyI/edit?usp=sharing"",""กระบี่!J343"")"),2184)</f>
        <v>2184</v>
      </c>
      <c r="AE75" s="152">
        <f ca="1">IFERROR(__xludf.DUMMYFUNCTION("IMPORTRANGE(""https://docs.google.com/spreadsheets/d/1kKUcYdkIfrgTSj8iHHHB2MD2FAtwyyocFgqGQn6ADyI/edit?usp=sharing"",""กระบี่!J352"")"),0)</f>
        <v>0</v>
      </c>
      <c r="AF75" s="152">
        <f ca="1">IFERROR(__xludf.DUMMYFUNCTION("IMPORTRANGE(""https://docs.google.com/spreadsheets/d/1kKUcYdkIfrgTSj8iHHHB2MD2FAtwyyocFgqGQn6ADyI/edit?usp=sharing"",""กระบี่!J353"")"),4734)</f>
        <v>4734</v>
      </c>
      <c r="AG75" s="152">
        <f ca="1">IFERROR(__xludf.DUMMYFUNCTION("IMPORTRANGE(""https://docs.google.com/spreadsheets/d/1kKUcYdkIfrgTSj8iHHHB2MD2FAtwyyocFgqGQn6ADyI/edit?usp=sharing"",""กระบี่!J354"")"),528)</f>
        <v>528</v>
      </c>
    </row>
    <row r="76" spans="1:33" ht="21" customHeight="1" x14ac:dyDescent="0.3">
      <c r="A76" s="395">
        <v>2</v>
      </c>
      <c r="B76" s="396" t="s">
        <v>104</v>
      </c>
      <c r="C76" s="149">
        <f t="shared" ca="1" si="22"/>
        <v>188000</v>
      </c>
      <c r="D76" s="150">
        <f t="shared" ca="1" si="55"/>
        <v>188000</v>
      </c>
      <c r="E76" s="151">
        <f ca="1">IFERROR(__xludf.DUMMYFUNCTION("IMPORTRANGE(""https://docs.google.com/spreadsheets/d/1-uDff_7J0KD5mKrp0Vvzr7lt3OU09vwQwhkpOPPYv2Y/edit?usp=sharing"",""งบพรบ!ET76"")"),0)</f>
        <v>0</v>
      </c>
      <c r="F76" s="151">
        <f ca="1">IFERROR(__xludf.DUMMYFUNCTION("IMPORTRANGE(""https://docs.google.com/spreadsheets/d/1-uDff_7J0KD5mKrp0Vvzr7lt3OU09vwQwhkpOPPYv2Y/edit?usp=sharing"",""งบพรบ!EU76"")"),188000)</f>
        <v>188000</v>
      </c>
      <c r="G76" s="151">
        <f ca="1">IFERROR(__xludf.DUMMYFUNCTION("IMPORTRANGE(""https://docs.google.com/spreadsheets/d/1-uDff_7J0KD5mKrp0Vvzr7lt3OU09vwQwhkpOPPYv2Y/edit?usp=sharing"",""งบพรบ!EV76"")"),0)</f>
        <v>0</v>
      </c>
      <c r="H76" s="151">
        <f ca="1">IFERROR(__xludf.DUMMYFUNCTION("IMPORTRANGE(""https://docs.google.com/spreadsheets/d/1-uDff_7J0KD5mKrp0Vvzr7lt3OU09vwQwhkpOPPYv2Y/edit?usp=sharing"",""งบพรบ!EX76"")"),188000)</f>
        <v>188000</v>
      </c>
      <c r="I76" s="151">
        <f ca="1">IFERROR(__xludf.DUMMYFUNCTION("IMPORTRANGE(""https://docs.google.com/spreadsheets/d/1-uDff_7J0KD5mKrp0Vvzr7lt3OU09vwQwhkpOPPYv2Y/edit?usp=sharing"",""งบพรบ!EY76"")"),0)</f>
        <v>0</v>
      </c>
      <c r="J76" s="151">
        <f t="shared" ca="1" si="24"/>
        <v>95465</v>
      </c>
      <c r="K76" s="154">
        <f t="shared" ca="1" si="25"/>
        <v>50.779255319148938</v>
      </c>
      <c r="L76" s="151">
        <f ca="1">IFERROR(__xludf.DUMMYFUNCTION("IMPORTRANGE(""https://docs.google.com/spreadsheets/d/1-uDff_7J0KD5mKrp0Vvzr7lt3OU09vwQwhkpOPPYv2Y/edit?usp=sharing"",""งบพรบ!EZ76"")"),95465)</f>
        <v>95465</v>
      </c>
      <c r="M76" s="68">
        <f t="shared" ca="1" si="26"/>
        <v>50.779255319148938</v>
      </c>
      <c r="N76" s="68">
        <f t="shared" ca="1" si="27"/>
        <v>50.779255319148938</v>
      </c>
      <c r="O76" s="67">
        <f ca="1">IFERROR(__xludf.DUMMYFUNCTION("IMPORTRANGE(""https://docs.google.com/spreadsheets/d/1-uDff_7J0KD5mKrp0Vvzr7lt3OU09vwQwhkpOPPYv2Y/edit?usp=sharing"",""งบพรบ!FA76"")"),0)</f>
        <v>0</v>
      </c>
      <c r="P76" s="67">
        <f t="shared" ca="1" si="28"/>
        <v>0</v>
      </c>
      <c r="Q76" s="68">
        <f t="shared" ca="1" si="29"/>
        <v>0</v>
      </c>
      <c r="R76" s="152">
        <f ca="1">IFERROR(__xludf.DUMMYFUNCTION("IMPORTRANGE(""https://docs.google.com/spreadsheets/d/1GwtLaSlNZkLk7iDqcyZz22giiy40b_usZZBXYciEN1U/edit?usp=sharing"",""ชุมพร!I332"")"),3100)</f>
        <v>3100</v>
      </c>
      <c r="S76" s="152">
        <f ca="1">IFERROR(__xludf.DUMMYFUNCTION("IMPORTRANGE(""https://docs.google.com/spreadsheets/d/1GwtLaSlNZkLk7iDqcyZz22giiy40b_usZZBXYciEN1U/edit?usp=sharing"",""ชุมพร!J332"")"),13690)</f>
        <v>13690</v>
      </c>
      <c r="T76" s="153">
        <f t="shared" ca="1" si="31"/>
        <v>441.61290322580646</v>
      </c>
      <c r="U76" s="394" t="str">
        <f ca="1">IFERROR(__xludf.DUMMYFUNCTION("IMPORTRANGE(""https://docs.google.com/spreadsheets/d/1GwtLaSlNZkLk7iDqcyZz22giiy40b_usZZBXYciEN1U/edit?usp=sharing"",""ชุมพร!I344"")"),"")</f>
        <v/>
      </c>
      <c r="V76" s="152">
        <f ca="1">IFERROR(__xludf.DUMMYFUNCTION("IMPORTRANGE(""https://docs.google.com/spreadsheets/d/1GwtLaSlNZkLk7iDqcyZz22giiy40b_usZZBXYciEN1U/edit?usp=sharing"",""ชุมพร!J344"")"),5819)</f>
        <v>5819</v>
      </c>
      <c r="W76" s="216" t="e">
        <f t="shared" ca="1" si="33"/>
        <v>#VALUE!</v>
      </c>
      <c r="X76" s="278">
        <f ca="1">IFERROR(__xludf.DUMMYFUNCTION("IMPORTRANGE(""https://docs.google.com/spreadsheets/d/1GwtLaSlNZkLk7iDqcyZz22giiy40b_usZZBXYciEN1U/edit?usp=sharing"",""ชุมพร!I346"")"),5)</f>
        <v>5</v>
      </c>
      <c r="Y76" s="152">
        <f ca="1">IFERROR(__xludf.DUMMYFUNCTION("IMPORTRANGE(""https://docs.google.com/spreadsheets/d/1GwtLaSlNZkLk7iDqcyZz22giiy40b_usZZBXYciEN1U/edit?usp=sharing"",""ชุมพร!J346"")"),6)</f>
        <v>6</v>
      </c>
      <c r="Z76" s="216">
        <f t="shared" ca="1" si="35"/>
        <v>120</v>
      </c>
      <c r="AA76" s="152">
        <f ca="1">IFERROR(__xludf.DUMMYFUNCTION("IMPORTRANGE(""https://docs.google.com/spreadsheets/d/1GwtLaSlNZkLk7iDqcyZz22giiy40b_usZZBXYciEN1U/edit?usp=sharing"",""ชุมพร!J347"")"),0)</f>
        <v>0</v>
      </c>
      <c r="AB76" s="152">
        <f ca="1">IFERROR(__xludf.DUMMYFUNCTION("IMPORTRANGE(""https://docs.google.com/spreadsheets/d/1GwtLaSlNZkLk7iDqcyZz22giiy40b_usZZBXYciEN1U/edit?usp=sharing"",""ชุมพร!J348"")"),2)</f>
        <v>2</v>
      </c>
      <c r="AC76" s="152">
        <f ca="1">IFERROR(__xludf.DUMMYFUNCTION("IMPORTRANGE(""https://docs.google.com/spreadsheets/d/1GwtLaSlNZkLk7iDqcyZz22giiy40b_usZZBXYciEN1U/edit?usp=sharing"",""ชุมพร!J349"")"),0)</f>
        <v>0</v>
      </c>
      <c r="AD76" s="152">
        <f ca="1">IFERROR(__xludf.DUMMYFUNCTION("IMPORTRANGE(""https://docs.google.com/spreadsheets/d/1GwtLaSlNZkLk7iDqcyZz22giiy40b_usZZBXYciEN1U/edit?usp=sharing"",""ชุมพร!J343"")"),5821)</f>
        <v>5821</v>
      </c>
      <c r="AE76" s="152">
        <f ca="1">IFERROR(__xludf.DUMMYFUNCTION("IMPORTRANGE(""https://docs.google.com/spreadsheets/d/1GwtLaSlNZkLk7iDqcyZz22giiy40b_usZZBXYciEN1U/edit?usp=sharing"",""ชุมพร!J352"")"),831)</f>
        <v>831</v>
      </c>
      <c r="AF76" s="152">
        <f ca="1">IFERROR(__xludf.DUMMYFUNCTION("IMPORTRANGE(""https://docs.google.com/spreadsheets/d/1GwtLaSlNZkLk7iDqcyZz22giiy40b_usZZBXYciEN1U/edit?usp=sharing"",""ชุมพร!J353"")"),7414)</f>
        <v>7414</v>
      </c>
      <c r="AG76" s="152">
        <f ca="1">IFERROR(__xludf.DUMMYFUNCTION("IMPORTRANGE(""https://docs.google.com/spreadsheets/d/1GwtLaSlNZkLk7iDqcyZz22giiy40b_usZZBXYciEN1U/edit?usp=sharing"",""ชุมพร!J354"")"),455)</f>
        <v>455</v>
      </c>
    </row>
    <row r="77" spans="1:33" ht="21" customHeight="1" x14ac:dyDescent="0.3">
      <c r="A77" s="395">
        <v>3</v>
      </c>
      <c r="B77" s="396" t="s">
        <v>105</v>
      </c>
      <c r="C77" s="149">
        <f t="shared" ca="1" si="22"/>
        <v>181000</v>
      </c>
      <c r="D77" s="150">
        <f t="shared" ca="1" si="55"/>
        <v>181000</v>
      </c>
      <c r="E77" s="151">
        <f ca="1">IFERROR(__xludf.DUMMYFUNCTION("IMPORTRANGE(""https://docs.google.com/spreadsheets/d/1-uDff_7J0KD5mKrp0Vvzr7lt3OU09vwQwhkpOPPYv2Y/edit?usp=sharing"",""งบพรบ!ET77"")"),0)</f>
        <v>0</v>
      </c>
      <c r="F77" s="151">
        <f ca="1">IFERROR(__xludf.DUMMYFUNCTION("IMPORTRANGE(""https://docs.google.com/spreadsheets/d/1-uDff_7J0KD5mKrp0Vvzr7lt3OU09vwQwhkpOPPYv2Y/edit?usp=sharing"",""งบพรบ!EU77"")"),181000)</f>
        <v>181000</v>
      </c>
      <c r="G77" s="151">
        <f ca="1">IFERROR(__xludf.DUMMYFUNCTION("IMPORTRANGE(""https://docs.google.com/spreadsheets/d/1-uDff_7J0KD5mKrp0Vvzr7lt3OU09vwQwhkpOPPYv2Y/edit?usp=sharing"",""งบพรบ!EV77"")"),0)</f>
        <v>0</v>
      </c>
      <c r="H77" s="151">
        <f ca="1">IFERROR(__xludf.DUMMYFUNCTION("IMPORTRANGE(""https://docs.google.com/spreadsheets/d/1-uDff_7J0KD5mKrp0Vvzr7lt3OU09vwQwhkpOPPYv2Y/edit?usp=sharing"",""งบพรบ!EX77"")"),181000)</f>
        <v>181000</v>
      </c>
      <c r="I77" s="151">
        <f ca="1">IFERROR(__xludf.DUMMYFUNCTION("IMPORTRANGE(""https://docs.google.com/spreadsheets/d/1-uDff_7J0KD5mKrp0Vvzr7lt3OU09vwQwhkpOPPYv2Y/edit?usp=sharing"",""งบพรบ!EY77"")"),0)</f>
        <v>0</v>
      </c>
      <c r="J77" s="151">
        <f t="shared" ca="1" si="24"/>
        <v>146948.76</v>
      </c>
      <c r="K77" s="154">
        <f t="shared" ca="1" si="25"/>
        <v>81.187160220994471</v>
      </c>
      <c r="L77" s="151">
        <f ca="1">IFERROR(__xludf.DUMMYFUNCTION("IMPORTRANGE(""https://docs.google.com/spreadsheets/d/1-uDff_7J0KD5mKrp0Vvzr7lt3OU09vwQwhkpOPPYv2Y/edit?usp=sharing"",""งบพรบ!EZ77"")"),146948.76)</f>
        <v>146948.76</v>
      </c>
      <c r="M77" s="68">
        <f t="shared" ca="1" si="26"/>
        <v>81.187160220994471</v>
      </c>
      <c r="N77" s="68">
        <f t="shared" ca="1" si="27"/>
        <v>81.187160220994471</v>
      </c>
      <c r="O77" s="67">
        <f ca="1">IFERROR(__xludf.DUMMYFUNCTION("IMPORTRANGE(""https://docs.google.com/spreadsheets/d/1-uDff_7J0KD5mKrp0Vvzr7lt3OU09vwQwhkpOPPYv2Y/edit?usp=sharing"",""งบพรบ!FA77"")"),0)</f>
        <v>0</v>
      </c>
      <c r="P77" s="67">
        <f t="shared" ca="1" si="28"/>
        <v>0</v>
      </c>
      <c r="Q77" s="68">
        <f t="shared" ca="1" si="29"/>
        <v>0</v>
      </c>
      <c r="R77" s="152">
        <f ca="1">IFERROR(__xludf.DUMMYFUNCTION("IMPORTRANGE(""https://docs.google.com/spreadsheets/d/16pAz3pOhQEZBhvFNMa5KGgZS6iKWpsKX0pg6tQmwFpo/edit?usp=sharing"",""ตรัง!I332"")"),1700)</f>
        <v>1700</v>
      </c>
      <c r="S77" s="152">
        <f ca="1">IFERROR(__xludf.DUMMYFUNCTION("IMPORTRANGE(""https://docs.google.com/spreadsheets/d/16pAz3pOhQEZBhvFNMa5KGgZS6iKWpsKX0pg6tQmwFpo/edit?usp=sharing"",""ตรัง!J332"")"),6466)</f>
        <v>6466</v>
      </c>
      <c r="T77" s="153">
        <f t="shared" ca="1" si="31"/>
        <v>380.35294117647061</v>
      </c>
      <c r="U77" s="394" t="str">
        <f ca="1">IFERROR(__xludf.DUMMYFUNCTION("IMPORTRANGE(""https://docs.google.com/spreadsheets/d/16pAz3pOhQEZBhvFNMa5KGgZS6iKWpsKX0pg6tQmwFpo/edit?usp=sharing"",""ตรัง!I344"")"),"")</f>
        <v/>
      </c>
      <c r="V77" s="152">
        <f ca="1">IFERROR(__xludf.DUMMYFUNCTION("IMPORTRANGE(""https://docs.google.com/spreadsheets/d/16pAz3pOhQEZBhvFNMa5KGgZS6iKWpsKX0pg6tQmwFpo/edit?usp=sharing"",""ตรัง!J344"")"),3809)</f>
        <v>3809</v>
      </c>
      <c r="W77" s="216" t="e">
        <f t="shared" ca="1" si="33"/>
        <v>#VALUE!</v>
      </c>
      <c r="X77" s="278">
        <f ca="1">IFERROR(__xludf.DUMMYFUNCTION("IMPORTRANGE(""https://docs.google.com/spreadsheets/d/16pAz3pOhQEZBhvFNMa5KGgZS6iKWpsKX0pg6tQmwFpo/edit?usp=sharing"",""ตรัง!I346"")"),4)</f>
        <v>4</v>
      </c>
      <c r="Y77" s="152">
        <f ca="1">IFERROR(__xludf.DUMMYFUNCTION("IMPORTRANGE(""https://docs.google.com/spreadsheets/d/16pAz3pOhQEZBhvFNMa5KGgZS6iKWpsKX0pg6tQmwFpo/edit?usp=sharing"",""ตรัง!J346"")"),6)</f>
        <v>6</v>
      </c>
      <c r="Z77" s="216">
        <f t="shared" ca="1" si="35"/>
        <v>150</v>
      </c>
      <c r="AA77" s="152">
        <f ca="1">IFERROR(__xludf.DUMMYFUNCTION("IMPORTRANGE(""https://docs.google.com/spreadsheets/d/16pAz3pOhQEZBhvFNMa5KGgZS6iKWpsKX0pg6tQmwFpo/edit?usp=sharing"",""ตรัง!J347"")"),1)</f>
        <v>1</v>
      </c>
      <c r="AB77" s="152">
        <f ca="1">IFERROR(__xludf.DUMMYFUNCTION("IMPORTRANGE(""https://docs.google.com/spreadsheets/d/16pAz3pOhQEZBhvFNMa5KGgZS6iKWpsKX0pg6tQmwFpo/edit?usp=sharing"",""ตรัง!J348"")"),0)</f>
        <v>0</v>
      </c>
      <c r="AC77" s="152">
        <f ca="1">IFERROR(__xludf.DUMMYFUNCTION("IMPORTRANGE(""https://docs.google.com/spreadsheets/d/16pAz3pOhQEZBhvFNMa5KGgZS6iKWpsKX0pg6tQmwFpo/edit?usp=sharing"",""ตรัง!J349"")"),0)</f>
        <v>0</v>
      </c>
      <c r="AD77" s="152">
        <f ca="1">IFERROR(__xludf.DUMMYFUNCTION("IMPORTRANGE(""https://docs.google.com/spreadsheets/d/16pAz3pOhQEZBhvFNMa5KGgZS6iKWpsKX0pg6tQmwFpo/edit?usp=sharing"",""ตรัง!J343"")"),3810)</f>
        <v>3810</v>
      </c>
      <c r="AE77" s="152">
        <f ca="1">IFERROR(__xludf.DUMMYFUNCTION("IMPORTRANGE(""https://docs.google.com/spreadsheets/d/16pAz3pOhQEZBhvFNMa5KGgZS6iKWpsKX0pg6tQmwFpo/edit?usp=sharing"",""ตรัง!J352"")"),4380)</f>
        <v>4380</v>
      </c>
      <c r="AF77" s="152">
        <f ca="1">IFERROR(__xludf.DUMMYFUNCTION("IMPORTRANGE(""https://docs.google.com/spreadsheets/d/16pAz3pOhQEZBhvFNMa5KGgZS6iKWpsKX0pg6tQmwFpo/edit?usp=sharing"",""ตรัง!J353"")"),2043)</f>
        <v>2043</v>
      </c>
      <c r="AG77" s="152">
        <f ca="1">IFERROR(__xludf.DUMMYFUNCTION("IMPORTRANGE(""https://docs.google.com/spreadsheets/d/16pAz3pOhQEZBhvFNMa5KGgZS6iKWpsKX0pg6tQmwFpo/edit?usp=sharing"",""ตรัง!J354"")"),613)</f>
        <v>613</v>
      </c>
    </row>
    <row r="78" spans="1:33" ht="21" customHeight="1" x14ac:dyDescent="0.3">
      <c r="A78" s="395">
        <v>4</v>
      </c>
      <c r="B78" s="396" t="s">
        <v>106</v>
      </c>
      <c r="C78" s="149">
        <f t="shared" ca="1" si="22"/>
        <v>189000</v>
      </c>
      <c r="D78" s="150">
        <f t="shared" ca="1" si="55"/>
        <v>189000</v>
      </c>
      <c r="E78" s="151">
        <f ca="1">IFERROR(__xludf.DUMMYFUNCTION("IMPORTRANGE(""https://docs.google.com/spreadsheets/d/1-uDff_7J0KD5mKrp0Vvzr7lt3OU09vwQwhkpOPPYv2Y/edit?usp=sharing"",""งบพรบ!ET78"")"),0)</f>
        <v>0</v>
      </c>
      <c r="F78" s="151">
        <f ca="1">IFERROR(__xludf.DUMMYFUNCTION("IMPORTRANGE(""https://docs.google.com/spreadsheets/d/1-uDff_7J0KD5mKrp0Vvzr7lt3OU09vwQwhkpOPPYv2Y/edit?usp=sharing"",""งบพรบ!EU78"")"),189000)</f>
        <v>189000</v>
      </c>
      <c r="G78" s="151">
        <f ca="1">IFERROR(__xludf.DUMMYFUNCTION("IMPORTRANGE(""https://docs.google.com/spreadsheets/d/1-uDff_7J0KD5mKrp0Vvzr7lt3OU09vwQwhkpOPPYv2Y/edit?usp=sharing"",""งบพรบ!EV78"")"),0)</f>
        <v>0</v>
      </c>
      <c r="H78" s="151">
        <f ca="1">IFERROR(__xludf.DUMMYFUNCTION("IMPORTRANGE(""https://docs.google.com/spreadsheets/d/1-uDff_7J0KD5mKrp0Vvzr7lt3OU09vwQwhkpOPPYv2Y/edit?usp=sharing"",""งบพรบ!EX78"")"),240175)</f>
        <v>240175</v>
      </c>
      <c r="I78" s="151">
        <f ca="1">IFERROR(__xludf.DUMMYFUNCTION("IMPORTRANGE(""https://docs.google.com/spreadsheets/d/1-uDff_7J0KD5mKrp0Vvzr7lt3OU09vwQwhkpOPPYv2Y/edit?usp=sharing"",""งบพรบ!EY78"")"),0)</f>
        <v>0</v>
      </c>
      <c r="J78" s="151">
        <f t="shared" ca="1" si="24"/>
        <v>188279.98</v>
      </c>
      <c r="K78" s="154">
        <f t="shared" ca="1" si="25"/>
        <v>99.619037037037032</v>
      </c>
      <c r="L78" s="151">
        <f ca="1">IFERROR(__xludf.DUMMYFUNCTION("IMPORTRANGE(""https://docs.google.com/spreadsheets/d/1-uDff_7J0KD5mKrp0Vvzr7lt3OU09vwQwhkpOPPYv2Y/edit?usp=sharing"",""งบพรบ!EZ78"")"),188279.98)</f>
        <v>188279.98</v>
      </c>
      <c r="M78" s="68">
        <f t="shared" ca="1" si="26"/>
        <v>99.619037037037032</v>
      </c>
      <c r="N78" s="68">
        <f t="shared" ca="1" si="27"/>
        <v>78.392830227958783</v>
      </c>
      <c r="O78" s="67">
        <f ca="1">IFERROR(__xludf.DUMMYFUNCTION("IMPORTRANGE(""https://docs.google.com/spreadsheets/d/1-uDff_7J0KD5mKrp0Vvzr7lt3OU09vwQwhkpOPPYv2Y/edit?usp=sharing"",""งบพรบ!FA78"")"),0)</f>
        <v>0</v>
      </c>
      <c r="P78" s="67">
        <f t="shared" ca="1" si="28"/>
        <v>0</v>
      </c>
      <c r="Q78" s="68">
        <f t="shared" ca="1" si="29"/>
        <v>0</v>
      </c>
      <c r="R78" s="152">
        <f ca="1">IFERROR(__xludf.DUMMYFUNCTION("IMPORTRANGE(""https://docs.google.com/spreadsheets/d/1Dj4jcHCTV9JXKCaMoheSXS52JE63kDKyG7bPXnFogHk/edit?usp=sharing"",""นครศรีธรรมราช!I332"")"),1600)</f>
        <v>1600</v>
      </c>
      <c r="S78" s="152">
        <f ca="1">IFERROR(__xludf.DUMMYFUNCTION("IMPORTRANGE(""https://docs.google.com/spreadsheets/d/1Dj4jcHCTV9JXKCaMoheSXS52JE63kDKyG7bPXnFogHk/edit?usp=sharing"",""นครศรีธรรมราช!J332"")"),9998)</f>
        <v>9998</v>
      </c>
      <c r="T78" s="153">
        <f t="shared" ca="1" si="31"/>
        <v>624.875</v>
      </c>
      <c r="U78" s="394" t="str">
        <f ca="1">IFERROR(__xludf.DUMMYFUNCTION("IMPORTRANGE(""https://docs.google.com/spreadsheets/d/1Dj4jcHCTV9JXKCaMoheSXS52JE63kDKyG7bPXnFogHk/edit?usp=sharing"",""นครศรีธรรมราช!I344"")"),"")</f>
        <v/>
      </c>
      <c r="V78" s="152">
        <f ca="1">IFERROR(__xludf.DUMMYFUNCTION("IMPORTRANGE(""https://docs.google.com/spreadsheets/d/1Dj4jcHCTV9JXKCaMoheSXS52JE63kDKyG7bPXnFogHk/edit?usp=sharing"",""นครศรีธรรมราช!J344"")"),3086)</f>
        <v>3086</v>
      </c>
      <c r="W78" s="216" t="e">
        <f t="shared" ca="1" si="33"/>
        <v>#VALUE!</v>
      </c>
      <c r="X78" s="278">
        <f ca="1">IFERROR(__xludf.DUMMYFUNCTION("IMPORTRANGE(""https://docs.google.com/spreadsheets/d/1Dj4jcHCTV9JXKCaMoheSXS52JE63kDKyG7bPXnFogHk/edit?usp=sharing"",""นครศรีธรรมราช!I346"")"),8)</f>
        <v>8</v>
      </c>
      <c r="Y78" s="152">
        <f ca="1">IFERROR(__xludf.DUMMYFUNCTION("IMPORTRANGE(""https://docs.google.com/spreadsheets/d/1Dj4jcHCTV9JXKCaMoheSXS52JE63kDKyG7bPXnFogHk/edit?usp=sharing"",""นครศรีธรรมราช!J346"")"),12)</f>
        <v>12</v>
      </c>
      <c r="Z78" s="216">
        <f t="shared" ca="1" si="35"/>
        <v>150</v>
      </c>
      <c r="AA78" s="152">
        <f ca="1">IFERROR(__xludf.DUMMYFUNCTION("IMPORTRANGE(""https://docs.google.com/spreadsheets/d/1Dj4jcHCTV9JXKCaMoheSXS52JE63kDKyG7bPXnFogHk/edit?usp=sharing"",""นครศรีธรรมราช!J347"")"),2)</f>
        <v>2</v>
      </c>
      <c r="AB78" s="152">
        <f ca="1">IFERROR(__xludf.DUMMYFUNCTION("IMPORTRANGE(""https://docs.google.com/spreadsheets/d/1Dj4jcHCTV9JXKCaMoheSXS52JE63kDKyG7bPXnFogHk/edit?usp=sharing"",""นครศรีธรรมราช!J348"")"),4)</f>
        <v>4</v>
      </c>
      <c r="AC78" s="152">
        <f ca="1">IFERROR(__xludf.DUMMYFUNCTION("IMPORTRANGE(""https://docs.google.com/spreadsheets/d/1Dj4jcHCTV9JXKCaMoheSXS52JE63kDKyG7bPXnFogHk/edit?usp=sharing"",""นครศรีธรรมราช!J349"")"),0)</f>
        <v>0</v>
      </c>
      <c r="AD78" s="152">
        <f ca="1">IFERROR(__xludf.DUMMYFUNCTION("IMPORTRANGE(""https://docs.google.com/spreadsheets/d/1Dj4jcHCTV9JXKCaMoheSXS52JE63kDKyG7bPXnFogHk/edit?usp=sharing"",""นครศรีธรรมราช!J343"")"),3092)</f>
        <v>3092</v>
      </c>
      <c r="AE78" s="152">
        <f ca="1">IFERROR(__xludf.DUMMYFUNCTION("IMPORTRANGE(""https://docs.google.com/spreadsheets/d/1Dj4jcHCTV9JXKCaMoheSXS52JE63kDKyG7bPXnFogHk/edit?usp=sharing"",""นครศรีธรรมราช!J352"")"),2007)</f>
        <v>2007</v>
      </c>
      <c r="AF78" s="152">
        <f ca="1">IFERROR(__xludf.DUMMYFUNCTION("IMPORTRANGE(""https://docs.google.com/spreadsheets/d/1Dj4jcHCTV9JXKCaMoheSXS52JE63kDKyG7bPXnFogHk/edit?usp=sharing"",""นครศรีธรรมราช!J353"")"),5661)</f>
        <v>5661</v>
      </c>
      <c r="AG78" s="152">
        <f ca="1">IFERROR(__xludf.DUMMYFUNCTION("IMPORTRANGE(""https://docs.google.com/spreadsheets/d/1Dj4jcHCTV9JXKCaMoheSXS52JE63kDKyG7bPXnFogHk/edit?usp=sharing"",""นครศรีธรรมราช!J354"")"),1245)</f>
        <v>1245</v>
      </c>
    </row>
    <row r="79" spans="1:33" ht="21" customHeight="1" x14ac:dyDescent="0.3">
      <c r="A79" s="395">
        <v>5</v>
      </c>
      <c r="B79" s="396" t="s">
        <v>107</v>
      </c>
      <c r="C79" s="149">
        <f t="shared" ca="1" si="22"/>
        <v>276500</v>
      </c>
      <c r="D79" s="150">
        <f t="shared" ca="1" si="55"/>
        <v>276500</v>
      </c>
      <c r="E79" s="151">
        <f ca="1">IFERROR(__xludf.DUMMYFUNCTION("IMPORTRANGE(""https://docs.google.com/spreadsheets/d/1-uDff_7J0KD5mKrp0Vvzr7lt3OU09vwQwhkpOPPYv2Y/edit?usp=sharing"",""งบพรบ!ET79"")"),104500)</f>
        <v>104500</v>
      </c>
      <c r="F79" s="151">
        <f ca="1">IFERROR(__xludf.DUMMYFUNCTION("IMPORTRANGE(""https://docs.google.com/spreadsheets/d/1-uDff_7J0KD5mKrp0Vvzr7lt3OU09vwQwhkpOPPYv2Y/edit?usp=sharing"",""งบพรบ!EU79"")"),172000)</f>
        <v>172000</v>
      </c>
      <c r="G79" s="151">
        <f ca="1">IFERROR(__xludf.DUMMYFUNCTION("IMPORTRANGE(""https://docs.google.com/spreadsheets/d/1-uDff_7J0KD5mKrp0Vvzr7lt3OU09vwQwhkpOPPYv2Y/edit?usp=sharing"",""งบพรบ!EV79"")"),0)</f>
        <v>0</v>
      </c>
      <c r="H79" s="151">
        <f ca="1">IFERROR(__xludf.DUMMYFUNCTION("IMPORTRANGE(""https://docs.google.com/spreadsheets/d/1-uDff_7J0KD5mKrp0Vvzr7lt3OU09vwQwhkpOPPYv2Y/edit?usp=sharing"",""งบพรบ!EX79"")"),276500)</f>
        <v>276500</v>
      </c>
      <c r="I79" s="151">
        <f ca="1">IFERROR(__xludf.DUMMYFUNCTION("IMPORTRANGE(""https://docs.google.com/spreadsheets/d/1-uDff_7J0KD5mKrp0Vvzr7lt3OU09vwQwhkpOPPYv2Y/edit?usp=sharing"",""งบพรบ!EY79"")"),0)</f>
        <v>0</v>
      </c>
      <c r="J79" s="151">
        <f t="shared" ca="1" si="24"/>
        <v>230750</v>
      </c>
      <c r="K79" s="154">
        <f t="shared" ca="1" si="25"/>
        <v>83.45388788426763</v>
      </c>
      <c r="L79" s="151">
        <f ca="1">IFERROR(__xludf.DUMMYFUNCTION("IMPORTRANGE(""https://docs.google.com/spreadsheets/d/1-uDff_7J0KD5mKrp0Vvzr7lt3OU09vwQwhkpOPPYv2Y/edit?usp=sharing"",""งบพรบ!EZ79"")"),230750)</f>
        <v>230750</v>
      </c>
      <c r="M79" s="68">
        <f t="shared" ca="1" si="26"/>
        <v>83.45388788426763</v>
      </c>
      <c r="N79" s="68">
        <f t="shared" ca="1" si="27"/>
        <v>83.45388788426763</v>
      </c>
      <c r="O79" s="67">
        <f ca="1">IFERROR(__xludf.DUMMYFUNCTION("IMPORTRANGE(""https://docs.google.com/spreadsheets/d/1-uDff_7J0KD5mKrp0Vvzr7lt3OU09vwQwhkpOPPYv2Y/edit?usp=sharing"",""งบพรบ!FA79"")"),0)</f>
        <v>0</v>
      </c>
      <c r="P79" s="67">
        <f t="shared" ca="1" si="28"/>
        <v>0</v>
      </c>
      <c r="Q79" s="68">
        <f t="shared" ca="1" si="29"/>
        <v>0</v>
      </c>
      <c r="R79" s="152">
        <f ca="1">IFERROR(__xludf.DUMMYFUNCTION("IMPORTRANGE(""https://docs.google.com/spreadsheets/d/1iodCdmuK2GR3jzUwk8tpccY2JHQQA-87DLOtJP-ooyU/edit?usp=sharing"",""นราธิวาส!I332"")"),300)</f>
        <v>300</v>
      </c>
      <c r="S79" s="152">
        <f ca="1">IFERROR(__xludf.DUMMYFUNCTION("IMPORTRANGE(""https://docs.google.com/spreadsheets/d/1iodCdmuK2GR3jzUwk8tpccY2JHQQA-87DLOtJP-ooyU/edit?usp=sharing"",""นราธิวาส!J332"")"),1171)</f>
        <v>1171</v>
      </c>
      <c r="T79" s="153">
        <f t="shared" ca="1" si="31"/>
        <v>390.33333333333331</v>
      </c>
      <c r="U79" s="394" t="str">
        <f ca="1">IFERROR(__xludf.DUMMYFUNCTION("IMPORTRANGE(""https://docs.google.com/spreadsheets/d/1iodCdmuK2GR3jzUwk8tpccY2JHQQA-87DLOtJP-ooyU/edit?usp=sharing"",""นราธิวาส!I344"")"),"")</f>
        <v/>
      </c>
      <c r="V79" s="152">
        <f ca="1">IFERROR(__xludf.DUMMYFUNCTION("IMPORTRANGE(""https://docs.google.com/spreadsheets/d/1iodCdmuK2GR3jzUwk8tpccY2JHQQA-87DLOtJP-ooyU/edit?usp=sharing"",""นราธิวาส!J344"")"),351)</f>
        <v>351</v>
      </c>
      <c r="W79" s="216" t="e">
        <f t="shared" ca="1" si="33"/>
        <v>#VALUE!</v>
      </c>
      <c r="X79" s="278">
        <f ca="1">IFERROR(__xludf.DUMMYFUNCTION("IMPORTRANGE(""https://docs.google.com/spreadsheets/d/1iodCdmuK2GR3jzUwk8tpccY2JHQQA-87DLOtJP-ooyU/edit?usp=sharing"",""นราธิวาส!I346"")"),2)</f>
        <v>2</v>
      </c>
      <c r="Y79" s="152">
        <f ca="1">IFERROR(__xludf.DUMMYFUNCTION("IMPORTRANGE(""https://docs.google.com/spreadsheets/d/1iodCdmuK2GR3jzUwk8tpccY2JHQQA-87DLOtJP-ooyU/edit?usp=sharing"",""นราธิวาส!J346"")"),2)</f>
        <v>2</v>
      </c>
      <c r="Z79" s="216">
        <f t="shared" ca="1" si="35"/>
        <v>100</v>
      </c>
      <c r="AA79" s="152">
        <f ca="1">IFERROR(__xludf.DUMMYFUNCTION("IMPORTRANGE(""https://docs.google.com/spreadsheets/d/1iodCdmuK2GR3jzUwk8tpccY2JHQQA-87DLOtJP-ooyU/edit?usp=sharing"",""นราธิวาส!J347"")"),137)</f>
        <v>137</v>
      </c>
      <c r="AB79" s="152">
        <f ca="1">IFERROR(__xludf.DUMMYFUNCTION("IMPORTRANGE(""https://docs.google.com/spreadsheets/d/1iodCdmuK2GR3jzUwk8tpccY2JHQQA-87DLOtJP-ooyU/edit?usp=sharing"",""นราธิวาส!J348"")"),9)</f>
        <v>9</v>
      </c>
      <c r="AC79" s="152">
        <f ca="1">IFERROR(__xludf.DUMMYFUNCTION("IMPORTRANGE(""https://docs.google.com/spreadsheets/d/1iodCdmuK2GR3jzUwk8tpccY2JHQQA-87DLOtJP-ooyU/edit?usp=sharing"",""นราธิวาส!J349"")"),0)</f>
        <v>0</v>
      </c>
      <c r="AD79" s="152">
        <f ca="1">IFERROR(__xludf.DUMMYFUNCTION("IMPORTRANGE(""https://docs.google.com/spreadsheets/d/1iodCdmuK2GR3jzUwk8tpccY2JHQQA-87DLOtJP-ooyU/edit?usp=sharing"",""นราธิวาส!J343"")"),497)</f>
        <v>497</v>
      </c>
      <c r="AE79" s="152">
        <f ca="1">IFERROR(__xludf.DUMMYFUNCTION("IMPORTRANGE(""https://docs.google.com/spreadsheets/d/1iodCdmuK2GR3jzUwk8tpccY2JHQQA-87DLOtJP-ooyU/edit?usp=sharing"",""นราธิวาส!J352"")"),0)</f>
        <v>0</v>
      </c>
      <c r="AF79" s="152">
        <f ca="1">IFERROR(__xludf.DUMMYFUNCTION("IMPORTRANGE(""https://docs.google.com/spreadsheets/d/1iodCdmuK2GR3jzUwk8tpccY2JHQQA-87DLOtJP-ooyU/edit?usp=sharing"",""นราธิวาส!J353"")"),255)</f>
        <v>255</v>
      </c>
      <c r="AG79" s="152">
        <f ca="1">IFERROR(__xludf.DUMMYFUNCTION("IMPORTRANGE(""https://docs.google.com/spreadsheets/d/1iodCdmuK2GR3jzUwk8tpccY2JHQQA-87DLOtJP-ooyU/edit?usp=sharing"",""นราธิวาส!J354"")"),419)</f>
        <v>419</v>
      </c>
    </row>
    <row r="80" spans="1:33" ht="21" customHeight="1" x14ac:dyDescent="0.3">
      <c r="A80" s="395">
        <v>6</v>
      </c>
      <c r="B80" s="396" t="s">
        <v>108</v>
      </c>
      <c r="C80" s="149">
        <f t="shared" ca="1" si="22"/>
        <v>172000</v>
      </c>
      <c r="D80" s="150">
        <f t="shared" ca="1" si="55"/>
        <v>172000</v>
      </c>
      <c r="E80" s="151">
        <f ca="1">IFERROR(__xludf.DUMMYFUNCTION("IMPORTRANGE(""https://docs.google.com/spreadsheets/d/1-uDff_7J0KD5mKrp0Vvzr7lt3OU09vwQwhkpOPPYv2Y/edit?usp=sharing"",""งบพรบ!ET80"")"),0)</f>
        <v>0</v>
      </c>
      <c r="F80" s="151">
        <f ca="1">IFERROR(__xludf.DUMMYFUNCTION("IMPORTRANGE(""https://docs.google.com/spreadsheets/d/1-uDff_7J0KD5mKrp0Vvzr7lt3OU09vwQwhkpOPPYv2Y/edit?usp=sharing"",""งบพรบ!EU80"")"),172000)</f>
        <v>172000</v>
      </c>
      <c r="G80" s="151">
        <f ca="1">IFERROR(__xludf.DUMMYFUNCTION("IMPORTRANGE(""https://docs.google.com/spreadsheets/d/1-uDff_7J0KD5mKrp0Vvzr7lt3OU09vwQwhkpOPPYv2Y/edit?usp=sharing"",""งบพรบ!EV80"")"),0)</f>
        <v>0</v>
      </c>
      <c r="H80" s="151">
        <f ca="1">IFERROR(__xludf.DUMMYFUNCTION("IMPORTRANGE(""https://docs.google.com/spreadsheets/d/1-uDff_7J0KD5mKrp0Vvzr7lt3OU09vwQwhkpOPPYv2Y/edit?usp=sharing"",""งบพรบ!EX80"")"),172000)</f>
        <v>172000</v>
      </c>
      <c r="I80" s="151">
        <f ca="1">IFERROR(__xludf.DUMMYFUNCTION("IMPORTRANGE(""https://docs.google.com/spreadsheets/d/1-uDff_7J0KD5mKrp0Vvzr7lt3OU09vwQwhkpOPPYv2Y/edit?usp=sharing"",""งบพรบ!EY80"")"),0)</f>
        <v>0</v>
      </c>
      <c r="J80" s="151">
        <f t="shared" ca="1" si="24"/>
        <v>140825</v>
      </c>
      <c r="K80" s="154">
        <f t="shared" ca="1" si="25"/>
        <v>81.875</v>
      </c>
      <c r="L80" s="151">
        <f ca="1">IFERROR(__xludf.DUMMYFUNCTION("IMPORTRANGE(""https://docs.google.com/spreadsheets/d/1-uDff_7J0KD5mKrp0Vvzr7lt3OU09vwQwhkpOPPYv2Y/edit?usp=sharing"",""งบพรบ!EZ80"")"),140825)</f>
        <v>140825</v>
      </c>
      <c r="M80" s="68">
        <f t="shared" ca="1" si="26"/>
        <v>81.875</v>
      </c>
      <c r="N80" s="68">
        <f t="shared" ca="1" si="27"/>
        <v>81.875</v>
      </c>
      <c r="O80" s="67">
        <f ca="1">IFERROR(__xludf.DUMMYFUNCTION("IMPORTRANGE(""https://docs.google.com/spreadsheets/d/1-uDff_7J0KD5mKrp0Vvzr7lt3OU09vwQwhkpOPPYv2Y/edit?usp=sharing"",""งบพรบ!FA80"")"),0)</f>
        <v>0</v>
      </c>
      <c r="P80" s="67">
        <f t="shared" ca="1" si="28"/>
        <v>0</v>
      </c>
      <c r="Q80" s="68">
        <f t="shared" ca="1" si="29"/>
        <v>0</v>
      </c>
      <c r="R80" s="397">
        <f ca="1">IFERROR(__xludf.DUMMYFUNCTION("IMPORTRANGE(""https://docs.google.com/spreadsheets/d/1SDNX3JhDdYRuIOsj0Wh2M-Qa_eaXl0NbWmhAOTbfQAs/edit?usp=sharing"",""ปัตตานี!I332"")"),300)</f>
        <v>300</v>
      </c>
      <c r="S80" s="397">
        <f ca="1">IFERROR(__xludf.DUMMYFUNCTION("IMPORTRANGE(""https://docs.google.com/spreadsheets/d/1SDNX3JhDdYRuIOsj0Wh2M-Qa_eaXl0NbWmhAOTbfQAs/edit?usp=sharing"",""ปัตตานี!J332"")"),933)</f>
        <v>933</v>
      </c>
      <c r="T80" s="398">
        <f t="shared" ca="1" si="31"/>
        <v>311</v>
      </c>
      <c r="U80" s="394" t="str">
        <f ca="1">IFERROR(__xludf.DUMMYFUNCTION("IMPORTRANGE(""https://docs.google.com/spreadsheets/d/1SDNX3JhDdYRuIOsj0Wh2M-Qa_eaXl0NbWmhAOTbfQAs/edit?usp=sharing"",""ปัตตานี!I344"")"),"")</f>
        <v/>
      </c>
      <c r="V80" s="152">
        <f ca="1">IFERROR(__xludf.DUMMYFUNCTION("IMPORTRANGE(""https://docs.google.com/spreadsheets/d/1SDNX3JhDdYRuIOsj0Wh2M-Qa_eaXl0NbWmhAOTbfQAs/edit?usp=sharing"",""ปัตตานี!J344"")"),147)</f>
        <v>147</v>
      </c>
      <c r="W80" s="216" t="e">
        <f t="shared" ca="1" si="33"/>
        <v>#VALUE!</v>
      </c>
      <c r="X80" s="279">
        <f ca="1">IFERROR(__xludf.DUMMYFUNCTION("IMPORTRANGE(""https://docs.google.com/spreadsheets/d/1SDNX3JhDdYRuIOsj0Wh2M-Qa_eaXl0NbWmhAOTbfQAs/edit?usp=sharing"",""ปัตตานี!I346"")"),2)</f>
        <v>2</v>
      </c>
      <c r="Y80" s="152">
        <f ca="1">IFERROR(__xludf.DUMMYFUNCTION("IMPORTRANGE(""https://docs.google.com/spreadsheets/d/1SDNX3JhDdYRuIOsj0Wh2M-Qa_eaXl0NbWmhAOTbfQAs/edit?usp=sharing"",""ปัตตานี!J346"")"),2)</f>
        <v>2</v>
      </c>
      <c r="Z80" s="216">
        <f t="shared" ca="1" si="35"/>
        <v>100</v>
      </c>
      <c r="AA80" s="152">
        <f ca="1">IFERROR(__xludf.DUMMYFUNCTION("IMPORTRANGE(""https://docs.google.com/spreadsheets/d/1SDNX3JhDdYRuIOsj0Wh2M-Qa_eaXl0NbWmhAOTbfQAs/edit?usp=sharing"",""ปัตตานี!J347"")"),0)</f>
        <v>0</v>
      </c>
      <c r="AB80" s="152">
        <f ca="1">IFERROR(__xludf.DUMMYFUNCTION("IMPORTRANGE(""https://docs.google.com/spreadsheets/d/1SDNX3JhDdYRuIOsj0Wh2M-Qa_eaXl0NbWmhAOTbfQAs/edit?usp=sharing"",""ปัตตานี!J348"")"),2)</f>
        <v>2</v>
      </c>
      <c r="AC80" s="152">
        <f ca="1">IFERROR(__xludf.DUMMYFUNCTION("IMPORTRANGE(""https://docs.google.com/spreadsheets/d/1SDNX3JhDdYRuIOsj0Wh2M-Qa_eaXl0NbWmhAOTbfQAs/edit?usp=sharing"",""ปัตตานี!J349"")"),0)</f>
        <v>0</v>
      </c>
      <c r="AD80" s="152">
        <f ca="1">IFERROR(__xludf.DUMMYFUNCTION("IMPORTRANGE(""https://docs.google.com/spreadsheets/d/1SDNX3JhDdYRuIOsj0Wh2M-Qa_eaXl0NbWmhAOTbfQAs/edit?usp=sharing"",""ปัตตานี!J343"")"),149)</f>
        <v>149</v>
      </c>
      <c r="AE80" s="152">
        <f ca="1">IFERROR(__xludf.DUMMYFUNCTION("IMPORTRANGE(""https://docs.google.com/spreadsheets/d/1SDNX3JhDdYRuIOsj0Wh2M-Qa_eaXl0NbWmhAOTbfQAs/edit?usp=sharing"",""ปัตตานี!J352"")"),44)</f>
        <v>44</v>
      </c>
      <c r="AF80" s="152">
        <f ca="1">IFERROR(__xludf.DUMMYFUNCTION("IMPORTRANGE(""https://docs.google.com/spreadsheets/d/1SDNX3JhDdYRuIOsj0Wh2M-Qa_eaXl0NbWmhAOTbfQAs/edit?usp=sharing"",""ปัตตานี!J353"")"),556)</f>
        <v>556</v>
      </c>
      <c r="AG80" s="152">
        <f ca="1">IFERROR(__xludf.DUMMYFUNCTION("IMPORTRANGE(""https://docs.google.com/spreadsheets/d/1SDNX3JhDdYRuIOsj0Wh2M-Qa_eaXl0NbWmhAOTbfQAs/edit?usp=sharing"",""ปัตตานี!J354"")"),228)</f>
        <v>228</v>
      </c>
    </row>
    <row r="81" spans="1:33" ht="21" customHeight="1" x14ac:dyDescent="0.3">
      <c r="A81" s="395">
        <v>7</v>
      </c>
      <c r="B81" s="396" t="s">
        <v>109</v>
      </c>
      <c r="C81" s="149">
        <f t="shared" ca="1" si="22"/>
        <v>178000</v>
      </c>
      <c r="D81" s="150">
        <f t="shared" ca="1" si="55"/>
        <v>178000</v>
      </c>
      <c r="E81" s="151">
        <f ca="1">IFERROR(__xludf.DUMMYFUNCTION("IMPORTRANGE(""https://docs.google.com/spreadsheets/d/1-uDff_7J0KD5mKrp0Vvzr7lt3OU09vwQwhkpOPPYv2Y/edit?usp=sharing"",""งบพรบ!ET81"")"),0)</f>
        <v>0</v>
      </c>
      <c r="F81" s="151">
        <f ca="1">IFERROR(__xludf.DUMMYFUNCTION("IMPORTRANGE(""https://docs.google.com/spreadsheets/d/1-uDff_7J0KD5mKrp0Vvzr7lt3OU09vwQwhkpOPPYv2Y/edit?usp=sharing"",""งบพรบ!EU81"")"),178000)</f>
        <v>178000</v>
      </c>
      <c r="G81" s="151">
        <f ca="1">IFERROR(__xludf.DUMMYFUNCTION("IMPORTRANGE(""https://docs.google.com/spreadsheets/d/1-uDff_7J0KD5mKrp0Vvzr7lt3OU09vwQwhkpOPPYv2Y/edit?usp=sharing"",""งบพรบ!EV81"")"),0)</f>
        <v>0</v>
      </c>
      <c r="H81" s="151">
        <f ca="1">IFERROR(__xludf.DUMMYFUNCTION("IMPORTRANGE(""https://docs.google.com/spreadsheets/d/1-uDff_7J0KD5mKrp0Vvzr7lt3OU09vwQwhkpOPPYv2Y/edit?usp=sharing"",""งบพรบ!EX81"")"),178000)</f>
        <v>178000</v>
      </c>
      <c r="I81" s="151">
        <f ca="1">IFERROR(__xludf.DUMMYFUNCTION("IMPORTRANGE(""https://docs.google.com/spreadsheets/d/1-uDff_7J0KD5mKrp0Vvzr7lt3OU09vwQwhkpOPPYv2Y/edit?usp=sharing"",""งบพรบ!EY81"")"),0)</f>
        <v>0</v>
      </c>
      <c r="J81" s="151">
        <f t="shared" ca="1" si="24"/>
        <v>47058.15</v>
      </c>
      <c r="K81" s="154">
        <f t="shared" ca="1" si="25"/>
        <v>26.437162921348314</v>
      </c>
      <c r="L81" s="151">
        <f ca="1">IFERROR(__xludf.DUMMYFUNCTION("IMPORTRANGE(""https://docs.google.com/spreadsheets/d/1-uDff_7J0KD5mKrp0Vvzr7lt3OU09vwQwhkpOPPYv2Y/edit?usp=sharing"",""งบพรบ!EZ81"")"),47058.15)</f>
        <v>47058.15</v>
      </c>
      <c r="M81" s="68">
        <f t="shared" ca="1" si="26"/>
        <v>26.437162921348314</v>
      </c>
      <c r="N81" s="68">
        <f t="shared" ca="1" si="27"/>
        <v>26.437162921348314</v>
      </c>
      <c r="O81" s="67">
        <f ca="1">IFERROR(__xludf.DUMMYFUNCTION("IMPORTRANGE(""https://docs.google.com/spreadsheets/d/1-uDff_7J0KD5mKrp0Vvzr7lt3OU09vwQwhkpOPPYv2Y/edit?usp=sharing"",""งบพรบ!FA81"")"),0)</f>
        <v>0</v>
      </c>
      <c r="P81" s="67">
        <f t="shared" ca="1" si="28"/>
        <v>0</v>
      </c>
      <c r="Q81" s="68">
        <f t="shared" ca="1" si="29"/>
        <v>0</v>
      </c>
      <c r="R81" s="152">
        <f ca="1">IFERROR(__xludf.DUMMYFUNCTION("IMPORTRANGE(""https://docs.google.com/spreadsheets/d/16JDLGguT8s5DsGCND1KcwHP_AWR_zDMTqLHPLJUKhaU/edit?usp=sharing"",""พังงา!I332"")"),800)</f>
        <v>800</v>
      </c>
      <c r="S81" s="152">
        <f ca="1">IFERROR(__xludf.DUMMYFUNCTION("IMPORTRANGE(""https://docs.google.com/spreadsheets/d/16JDLGguT8s5DsGCND1KcwHP_AWR_zDMTqLHPLJUKhaU/edit?usp=sharing"",""พังงา!J332"")"),1507)</f>
        <v>1507</v>
      </c>
      <c r="T81" s="153">
        <f t="shared" ca="1" si="31"/>
        <v>188.375</v>
      </c>
      <c r="U81" s="394" t="str">
        <f ca="1">IFERROR(__xludf.DUMMYFUNCTION("IMPORTRANGE(""https://docs.google.com/spreadsheets/d/16JDLGguT8s5DsGCND1KcwHP_AWR_zDMTqLHPLJUKhaU/edit?usp=sharing"",""พังงา!I344"")"),"")</f>
        <v/>
      </c>
      <c r="V81" s="152">
        <f ca="1">IFERROR(__xludf.DUMMYFUNCTION("IMPORTRANGE(""https://docs.google.com/spreadsheets/d/16JDLGguT8s5DsGCND1KcwHP_AWR_zDMTqLHPLJUKhaU/edit?usp=sharing"",""พังงา!J344"")"),635)</f>
        <v>635</v>
      </c>
      <c r="W81" s="216" t="e">
        <f t="shared" ca="1" si="33"/>
        <v>#VALUE!</v>
      </c>
      <c r="X81" s="278">
        <f ca="1">IFERROR(__xludf.DUMMYFUNCTION("IMPORTRANGE(""https://docs.google.com/spreadsheets/d/16JDLGguT8s5DsGCND1KcwHP_AWR_zDMTqLHPLJUKhaU/edit?usp=sharing"",""พังงา!I346"")"),5)</f>
        <v>5</v>
      </c>
      <c r="Y81" s="152">
        <f ca="1">IFERROR(__xludf.DUMMYFUNCTION("IMPORTRANGE(""https://docs.google.com/spreadsheets/d/16JDLGguT8s5DsGCND1KcwHP_AWR_zDMTqLHPLJUKhaU/edit?usp=sharing"",""พังงา!J346"")"),4)</f>
        <v>4</v>
      </c>
      <c r="Z81" s="216">
        <f t="shared" ca="1" si="35"/>
        <v>80</v>
      </c>
      <c r="AA81" s="152">
        <f ca="1">IFERROR(__xludf.DUMMYFUNCTION("IMPORTRANGE(""https://docs.google.com/spreadsheets/d/16JDLGguT8s5DsGCND1KcwHP_AWR_zDMTqLHPLJUKhaU/edit?usp=sharing"",""พังงา!J347"")"),9)</f>
        <v>9</v>
      </c>
      <c r="AB81" s="152">
        <f ca="1">IFERROR(__xludf.DUMMYFUNCTION("IMPORTRANGE(""https://docs.google.com/spreadsheets/d/16JDLGguT8s5DsGCND1KcwHP_AWR_zDMTqLHPLJUKhaU/edit?usp=sharing"",""พังงา!J348"")"),0)</f>
        <v>0</v>
      </c>
      <c r="AC81" s="152">
        <f ca="1">IFERROR(__xludf.DUMMYFUNCTION("IMPORTRANGE(""https://docs.google.com/spreadsheets/d/16JDLGguT8s5DsGCND1KcwHP_AWR_zDMTqLHPLJUKhaU/edit?usp=sharing"",""พังงา!J349"")"),0)</f>
        <v>0</v>
      </c>
      <c r="AD81" s="152">
        <f ca="1">IFERROR(__xludf.DUMMYFUNCTION("IMPORTRANGE(""https://docs.google.com/spreadsheets/d/16JDLGguT8s5DsGCND1KcwHP_AWR_zDMTqLHPLJUKhaU/edit?usp=sharing"",""พังงา!J343"")"),644)</f>
        <v>644</v>
      </c>
      <c r="AE81" s="152">
        <f ca="1">IFERROR(__xludf.DUMMYFUNCTION("IMPORTRANGE(""https://docs.google.com/spreadsheets/d/16JDLGguT8s5DsGCND1KcwHP_AWR_zDMTqLHPLJUKhaU/edit?usp=sharing"",""พังงา!J352"")"),434)</f>
        <v>434</v>
      </c>
      <c r="AF81" s="152">
        <f ca="1">IFERROR(__xludf.DUMMYFUNCTION("IMPORTRANGE(""https://docs.google.com/spreadsheets/d/16JDLGguT8s5DsGCND1KcwHP_AWR_zDMTqLHPLJUKhaU/edit?usp=sharing"",""พังงา!J353"")"),506)</f>
        <v>506</v>
      </c>
      <c r="AG81" s="152">
        <f ca="1">IFERROR(__xludf.DUMMYFUNCTION("IMPORTRANGE(""https://docs.google.com/spreadsheets/d/16JDLGguT8s5DsGCND1KcwHP_AWR_zDMTqLHPLJUKhaU/edit?usp=sharing"",""พังงา!J354"")"),357)</f>
        <v>357</v>
      </c>
    </row>
    <row r="82" spans="1:33" ht="21" customHeight="1" x14ac:dyDescent="0.3">
      <c r="A82" s="395">
        <v>8</v>
      </c>
      <c r="B82" s="396" t="s">
        <v>110</v>
      </c>
      <c r="C82" s="149">
        <f t="shared" ca="1" si="22"/>
        <v>177000</v>
      </c>
      <c r="D82" s="150">
        <f t="shared" ca="1" si="55"/>
        <v>177000</v>
      </c>
      <c r="E82" s="151">
        <f ca="1">IFERROR(__xludf.DUMMYFUNCTION("IMPORTRANGE(""https://docs.google.com/spreadsheets/d/1-uDff_7J0KD5mKrp0Vvzr7lt3OU09vwQwhkpOPPYv2Y/edit?usp=sharing"",""งบพรบ!ET82"")"),0)</f>
        <v>0</v>
      </c>
      <c r="F82" s="151">
        <f ca="1">IFERROR(__xludf.DUMMYFUNCTION("IMPORTRANGE(""https://docs.google.com/spreadsheets/d/1-uDff_7J0KD5mKrp0Vvzr7lt3OU09vwQwhkpOPPYv2Y/edit?usp=sharing"",""งบพรบ!EU82"")"),177000)</f>
        <v>177000</v>
      </c>
      <c r="G82" s="151">
        <f ca="1">IFERROR(__xludf.DUMMYFUNCTION("IMPORTRANGE(""https://docs.google.com/spreadsheets/d/1-uDff_7J0KD5mKrp0Vvzr7lt3OU09vwQwhkpOPPYv2Y/edit?usp=sharing"",""งบพรบ!EV82"")"),0)</f>
        <v>0</v>
      </c>
      <c r="H82" s="151">
        <f ca="1">IFERROR(__xludf.DUMMYFUNCTION("IMPORTRANGE(""https://docs.google.com/spreadsheets/d/1-uDff_7J0KD5mKrp0Vvzr7lt3OU09vwQwhkpOPPYv2Y/edit?usp=sharing"",""งบพรบ!EX82"")"),177000)</f>
        <v>177000</v>
      </c>
      <c r="I82" s="151">
        <f ca="1">IFERROR(__xludf.DUMMYFUNCTION("IMPORTRANGE(""https://docs.google.com/spreadsheets/d/1-uDff_7J0KD5mKrp0Vvzr7lt3OU09vwQwhkpOPPYv2Y/edit?usp=sharing"",""งบพรบ!EY82"")"),0)</f>
        <v>0</v>
      </c>
      <c r="J82" s="151">
        <f t="shared" ca="1" si="24"/>
        <v>115555.84</v>
      </c>
      <c r="K82" s="154">
        <f t="shared" ca="1" si="25"/>
        <v>65.285785310734468</v>
      </c>
      <c r="L82" s="151">
        <f ca="1">IFERROR(__xludf.DUMMYFUNCTION("IMPORTRANGE(""https://docs.google.com/spreadsheets/d/1-uDff_7J0KD5mKrp0Vvzr7lt3OU09vwQwhkpOPPYv2Y/edit?usp=sharing"",""งบพรบ!EZ82"")"),115555.84)</f>
        <v>115555.84</v>
      </c>
      <c r="M82" s="68">
        <f t="shared" ca="1" si="26"/>
        <v>65.285785310734468</v>
      </c>
      <c r="N82" s="68">
        <f t="shared" ca="1" si="27"/>
        <v>65.285785310734468</v>
      </c>
      <c r="O82" s="67">
        <f ca="1">IFERROR(__xludf.DUMMYFUNCTION("IMPORTRANGE(""https://docs.google.com/spreadsheets/d/1-uDff_7J0KD5mKrp0Vvzr7lt3OU09vwQwhkpOPPYv2Y/edit?usp=sharing"",""งบพรบ!FA82"")"),0)</f>
        <v>0</v>
      </c>
      <c r="P82" s="67">
        <f t="shared" ca="1" si="28"/>
        <v>0</v>
      </c>
      <c r="Q82" s="68">
        <f t="shared" ca="1" si="29"/>
        <v>0</v>
      </c>
      <c r="R82" s="152">
        <f ca="1">IFERROR(__xludf.DUMMYFUNCTION("IMPORTRANGE(""https://docs.google.com/spreadsheets/d/17ht0gPKzzT3PObBL1XJkeRmntBXI7wGjpLV7QorqlTk/edit?usp=sharing"",""พัทลุง!I332"")"),1200)</f>
        <v>1200</v>
      </c>
      <c r="S82" s="152">
        <f ca="1">IFERROR(__xludf.DUMMYFUNCTION("IMPORTRANGE(""https://docs.google.com/spreadsheets/d/17ht0gPKzzT3PObBL1XJkeRmntBXI7wGjpLV7QorqlTk/edit?usp=sharing"",""พัทลุง!J332"")"),5208)</f>
        <v>5208</v>
      </c>
      <c r="T82" s="153">
        <f t="shared" ca="1" si="31"/>
        <v>434</v>
      </c>
      <c r="U82" s="394" t="str">
        <f ca="1">IFERROR(__xludf.DUMMYFUNCTION("IMPORTRANGE(""https://docs.google.com/spreadsheets/d/17ht0gPKzzT3PObBL1XJkeRmntBXI7wGjpLV7QorqlTk/edit?usp=sharing"",""พัทลุง!I344"")"),"")</f>
        <v/>
      </c>
      <c r="V82" s="152">
        <f ca="1">IFERROR(__xludf.DUMMYFUNCTION("IMPORTRANGE(""https://docs.google.com/spreadsheets/d/17ht0gPKzzT3PObBL1XJkeRmntBXI7wGjpLV7QorqlTk/edit?usp=sharing"",""พัทลุง!J344"")"),2913)</f>
        <v>2913</v>
      </c>
      <c r="W82" s="216" t="e">
        <f t="shared" ca="1" si="33"/>
        <v>#VALUE!</v>
      </c>
      <c r="X82" s="278">
        <f ca="1">IFERROR(__xludf.DUMMYFUNCTION("IMPORTRANGE(""https://docs.google.com/spreadsheets/d/17ht0gPKzzT3PObBL1XJkeRmntBXI7wGjpLV7QorqlTk/edit?usp=sharing"",""พัทลุง!I346"")"),2)</f>
        <v>2</v>
      </c>
      <c r="Y82" s="152">
        <f ca="1">IFERROR(__xludf.DUMMYFUNCTION("IMPORTRANGE(""https://docs.google.com/spreadsheets/d/17ht0gPKzzT3PObBL1XJkeRmntBXI7wGjpLV7QorqlTk/edit?usp=sharing"",""พัทลุง!J346"")"),3)</f>
        <v>3</v>
      </c>
      <c r="Z82" s="216">
        <f t="shared" ca="1" si="35"/>
        <v>150</v>
      </c>
      <c r="AA82" s="152">
        <f ca="1">IFERROR(__xludf.DUMMYFUNCTION("IMPORTRANGE(""https://docs.google.com/spreadsheets/d/17ht0gPKzzT3PObBL1XJkeRmntBXI7wGjpLV7QorqlTk/edit?usp=sharing"",""พัทลุง!J347"")"),0)</f>
        <v>0</v>
      </c>
      <c r="AB82" s="152">
        <f ca="1">IFERROR(__xludf.DUMMYFUNCTION("IMPORTRANGE(""https://docs.google.com/spreadsheets/d/17ht0gPKzzT3PObBL1XJkeRmntBXI7wGjpLV7QorqlTk/edit?usp=sharing"",""พัทลุง!J348"")"),0)</f>
        <v>0</v>
      </c>
      <c r="AC82" s="152">
        <f ca="1">IFERROR(__xludf.DUMMYFUNCTION("IMPORTRANGE(""https://docs.google.com/spreadsheets/d/17ht0gPKzzT3PObBL1XJkeRmntBXI7wGjpLV7QorqlTk/edit?usp=sharing"",""พัทลุง!J349"")"),0)</f>
        <v>0</v>
      </c>
      <c r="AD82" s="152">
        <f ca="1">IFERROR(__xludf.DUMMYFUNCTION("IMPORTRANGE(""https://docs.google.com/spreadsheets/d/17ht0gPKzzT3PObBL1XJkeRmntBXI7wGjpLV7QorqlTk/edit?usp=sharing"",""พัทลุง!J343"")"),2913)</f>
        <v>2913</v>
      </c>
      <c r="AE82" s="152">
        <f ca="1">IFERROR(__xludf.DUMMYFUNCTION("IMPORTRANGE(""https://docs.google.com/spreadsheets/d/17ht0gPKzzT3PObBL1XJkeRmntBXI7wGjpLV7QorqlTk/edit?usp=sharing"",""พัทลุง!J352"")"),164)</f>
        <v>164</v>
      </c>
      <c r="AF82" s="152">
        <f ca="1">IFERROR(__xludf.DUMMYFUNCTION("IMPORTRANGE(""https://docs.google.com/spreadsheets/d/17ht0gPKzzT3PObBL1XJkeRmntBXI7wGjpLV7QorqlTk/edit?usp=sharing"",""พัทลุง!J353"")"),1861)</f>
        <v>1861</v>
      </c>
      <c r="AG82" s="152">
        <f ca="1">IFERROR(__xludf.DUMMYFUNCTION("IMPORTRANGE(""https://docs.google.com/spreadsheets/d/17ht0gPKzzT3PObBL1XJkeRmntBXI7wGjpLV7QorqlTk/edit?usp=sharing"",""พัทลุง!J354"")"),434)</f>
        <v>434</v>
      </c>
    </row>
    <row r="83" spans="1:33" ht="21" customHeight="1" x14ac:dyDescent="0.3">
      <c r="A83" s="395">
        <v>9</v>
      </c>
      <c r="B83" s="396" t="s">
        <v>111</v>
      </c>
      <c r="C83" s="149">
        <f t="shared" ca="1" si="22"/>
        <v>356800</v>
      </c>
      <c r="D83" s="150">
        <f t="shared" ca="1" si="55"/>
        <v>356800</v>
      </c>
      <c r="E83" s="151">
        <f ca="1">IFERROR(__xludf.DUMMYFUNCTION("IMPORTRANGE(""https://docs.google.com/spreadsheets/d/1-uDff_7J0KD5mKrp0Vvzr7lt3OU09vwQwhkpOPPYv2Y/edit?usp=sharing"",""งบพรบ!ET83"")"),184800)</f>
        <v>184800</v>
      </c>
      <c r="F83" s="151">
        <f ca="1">IFERROR(__xludf.DUMMYFUNCTION("IMPORTRANGE(""https://docs.google.com/spreadsheets/d/1-uDff_7J0KD5mKrp0Vvzr7lt3OU09vwQwhkpOPPYv2Y/edit?usp=sharing"",""งบพรบ!EU83"")"),172000)</f>
        <v>172000</v>
      </c>
      <c r="G83" s="151">
        <f ca="1">IFERROR(__xludf.DUMMYFUNCTION("IMPORTRANGE(""https://docs.google.com/spreadsheets/d/1-uDff_7J0KD5mKrp0Vvzr7lt3OU09vwQwhkpOPPYv2Y/edit?usp=sharing"",""งบพรบ!EV83"")"),0)</f>
        <v>0</v>
      </c>
      <c r="H83" s="151">
        <f ca="1">IFERROR(__xludf.DUMMYFUNCTION("IMPORTRANGE(""https://docs.google.com/spreadsheets/d/1-uDff_7J0KD5mKrp0Vvzr7lt3OU09vwQwhkpOPPYv2Y/edit?usp=sharing"",""งบพรบ!EX83"")"),356800)</f>
        <v>356800</v>
      </c>
      <c r="I83" s="151">
        <f ca="1">IFERROR(__xludf.DUMMYFUNCTION("IMPORTRANGE(""https://docs.google.com/spreadsheets/d/1-uDff_7J0KD5mKrp0Vvzr7lt3OU09vwQwhkpOPPYv2Y/edit?usp=sharing"",""งบพรบ!EY83"")"),0)</f>
        <v>0</v>
      </c>
      <c r="J83" s="151">
        <f t="shared" ca="1" si="24"/>
        <v>295122.51</v>
      </c>
      <c r="K83" s="154">
        <f t="shared" ca="1" si="25"/>
        <v>82.713707959641255</v>
      </c>
      <c r="L83" s="151">
        <f ca="1">IFERROR(__xludf.DUMMYFUNCTION("IMPORTRANGE(""https://docs.google.com/spreadsheets/d/1-uDff_7J0KD5mKrp0Vvzr7lt3OU09vwQwhkpOPPYv2Y/edit?usp=sharing"",""งบพรบ!EZ83"")"),295122.51)</f>
        <v>295122.51</v>
      </c>
      <c r="M83" s="68">
        <f t="shared" ca="1" si="26"/>
        <v>82.713707959641255</v>
      </c>
      <c r="N83" s="68">
        <f t="shared" ca="1" si="27"/>
        <v>82.713707959641255</v>
      </c>
      <c r="O83" s="67">
        <f ca="1">IFERROR(__xludf.DUMMYFUNCTION("IMPORTRANGE(""https://docs.google.com/spreadsheets/d/1-uDff_7J0KD5mKrp0Vvzr7lt3OU09vwQwhkpOPPYv2Y/edit?usp=sharing"",""งบพรบ!FA83"")"),0)</f>
        <v>0</v>
      </c>
      <c r="P83" s="67">
        <f t="shared" ca="1" si="28"/>
        <v>0</v>
      </c>
      <c r="Q83" s="68">
        <f t="shared" ca="1" si="29"/>
        <v>0</v>
      </c>
      <c r="R83" s="152">
        <f ca="1">IFERROR(__xludf.DUMMYFUNCTION("IMPORTRANGE(""https://docs.google.com/spreadsheets/d/1rd4qoM1q_hsgaolqNGfrim9gbsoLxQsda4-vOz5x_BM/edit?usp=sharing"",""ภูเก็ต!I332"")"),180)</f>
        <v>180</v>
      </c>
      <c r="S83" s="152">
        <f ca="1">IFERROR(__xludf.DUMMYFUNCTION("IMPORTRANGE(""https://docs.google.com/spreadsheets/d/1rd4qoM1q_hsgaolqNGfrim9gbsoLxQsda4-vOz5x_BM/edit?usp=sharing"",""ภูเก็ต!J332"")"),419)</f>
        <v>419</v>
      </c>
      <c r="T83" s="153">
        <f t="shared" ca="1" si="31"/>
        <v>232.77777777777777</v>
      </c>
      <c r="U83" s="394" t="str">
        <f ca="1">IFERROR(__xludf.DUMMYFUNCTION("IMPORTRANGE(""https://docs.google.com/spreadsheets/d/1rd4qoM1q_hsgaolqNGfrim9gbsoLxQsda4-vOz5x_BM/edit?usp=sharing"",""ภูเก็ต!I344"")"),"")</f>
        <v/>
      </c>
      <c r="V83" s="152">
        <f ca="1">IFERROR(__xludf.DUMMYFUNCTION("IMPORTRANGE(""https://docs.google.com/spreadsheets/d/1rd4qoM1q_hsgaolqNGfrim9gbsoLxQsda4-vOz5x_BM/edit?usp=sharing"",""ภูเก็ต!J344"")"),149)</f>
        <v>149</v>
      </c>
      <c r="W83" s="216" t="e">
        <f t="shared" ca="1" si="33"/>
        <v>#VALUE!</v>
      </c>
      <c r="X83" s="278">
        <f ca="1">IFERROR(__xludf.DUMMYFUNCTION("IMPORTRANGE(""https://docs.google.com/spreadsheets/d/1rd4qoM1q_hsgaolqNGfrim9gbsoLxQsda4-vOz5x_BM/edit?usp=sharing"",""ภูเก็ต!I346"")"),2)</f>
        <v>2</v>
      </c>
      <c r="Y83" s="152">
        <f ca="1">IFERROR(__xludf.DUMMYFUNCTION("IMPORTRANGE(""https://docs.google.com/spreadsheets/d/1rd4qoM1q_hsgaolqNGfrim9gbsoLxQsda4-vOz5x_BM/edit?usp=sharing"",""ภูเก็ต!J346"")"),0)</f>
        <v>0</v>
      </c>
      <c r="Z83" s="216">
        <f t="shared" ca="1" si="35"/>
        <v>0</v>
      </c>
      <c r="AA83" s="152">
        <f ca="1">IFERROR(__xludf.DUMMYFUNCTION("IMPORTRANGE(""https://docs.google.com/spreadsheets/d/1rd4qoM1q_hsgaolqNGfrim9gbsoLxQsda4-vOz5x_BM/edit?usp=sharing"",""ภูเก็ต!J347"")"),3)</f>
        <v>3</v>
      </c>
      <c r="AB83" s="152">
        <f ca="1">IFERROR(__xludf.DUMMYFUNCTION("IMPORTRANGE(""https://docs.google.com/spreadsheets/d/1rd4qoM1q_hsgaolqNGfrim9gbsoLxQsda4-vOz5x_BM/edit?usp=sharing"",""ภูเก็ต!J348"")"),0)</f>
        <v>0</v>
      </c>
      <c r="AC83" s="152">
        <f ca="1">IFERROR(__xludf.DUMMYFUNCTION("IMPORTRANGE(""https://docs.google.com/spreadsheets/d/1rd4qoM1q_hsgaolqNGfrim9gbsoLxQsda4-vOz5x_BM/edit?usp=sharing"",""ภูเก็ต!J349"")"),0)</f>
        <v>0</v>
      </c>
      <c r="AD83" s="152">
        <f ca="1">IFERROR(__xludf.DUMMYFUNCTION("IMPORTRANGE(""https://docs.google.com/spreadsheets/d/1rd4qoM1q_hsgaolqNGfrim9gbsoLxQsda4-vOz5x_BM/edit?usp=sharing"",""ภูเก็ต!J343"")"),152)</f>
        <v>152</v>
      </c>
      <c r="AE83" s="152">
        <f ca="1">IFERROR(__xludf.DUMMYFUNCTION("IMPORTRANGE(""https://docs.google.com/spreadsheets/d/1rd4qoM1q_hsgaolqNGfrim9gbsoLxQsda4-vOz5x_BM/edit?usp=sharing"",""ภูเก็ต!J352"")"),2)</f>
        <v>2</v>
      </c>
      <c r="AF83" s="152">
        <f ca="1">IFERROR(__xludf.DUMMYFUNCTION("IMPORTRANGE(""https://docs.google.com/spreadsheets/d/1rd4qoM1q_hsgaolqNGfrim9gbsoLxQsda4-vOz5x_BM/edit?usp=sharing"",""ภูเก็ต!J353"")"),128)</f>
        <v>128</v>
      </c>
      <c r="AG83" s="152">
        <f ca="1">IFERROR(__xludf.DUMMYFUNCTION("IMPORTRANGE(""https://docs.google.com/spreadsheets/d/1rd4qoM1q_hsgaolqNGfrim9gbsoLxQsda4-vOz5x_BM/edit?usp=sharing"",""ภูเก็ต!J354"")"),139)</f>
        <v>139</v>
      </c>
    </row>
    <row r="84" spans="1:33" ht="21" customHeight="1" x14ac:dyDescent="0.3">
      <c r="A84" s="395">
        <v>10</v>
      </c>
      <c r="B84" s="396" t="s">
        <v>112</v>
      </c>
      <c r="C84" s="149">
        <f t="shared" ca="1" si="22"/>
        <v>172000</v>
      </c>
      <c r="D84" s="150">
        <f t="shared" ca="1" si="55"/>
        <v>172000</v>
      </c>
      <c r="E84" s="151">
        <f ca="1">IFERROR(__xludf.DUMMYFUNCTION("IMPORTRANGE(""https://docs.google.com/spreadsheets/d/1-uDff_7J0KD5mKrp0Vvzr7lt3OU09vwQwhkpOPPYv2Y/edit?usp=sharing"",""งบพรบ!ET84"")"),0)</f>
        <v>0</v>
      </c>
      <c r="F84" s="151">
        <f ca="1">IFERROR(__xludf.DUMMYFUNCTION("IMPORTRANGE(""https://docs.google.com/spreadsheets/d/1-uDff_7J0KD5mKrp0Vvzr7lt3OU09vwQwhkpOPPYv2Y/edit?usp=sharing"",""งบพรบ!EU84"")"),172000)</f>
        <v>172000</v>
      </c>
      <c r="G84" s="151">
        <f ca="1">IFERROR(__xludf.DUMMYFUNCTION("IMPORTRANGE(""https://docs.google.com/spreadsheets/d/1-uDff_7J0KD5mKrp0Vvzr7lt3OU09vwQwhkpOPPYv2Y/edit?usp=sharing"",""งบพรบ!EV84"")"),0)</f>
        <v>0</v>
      </c>
      <c r="H84" s="151">
        <f ca="1">IFERROR(__xludf.DUMMYFUNCTION("IMPORTRANGE(""https://docs.google.com/spreadsheets/d/1-uDff_7J0KD5mKrp0Vvzr7lt3OU09vwQwhkpOPPYv2Y/edit?usp=sharing"",""งบพรบ!EX84"")"),172000)</f>
        <v>172000</v>
      </c>
      <c r="I84" s="151">
        <f ca="1">IFERROR(__xludf.DUMMYFUNCTION("IMPORTRANGE(""https://docs.google.com/spreadsheets/d/1-uDff_7J0KD5mKrp0Vvzr7lt3OU09vwQwhkpOPPYv2Y/edit?usp=sharing"",""งบพรบ!EY84"")"),0)</f>
        <v>0</v>
      </c>
      <c r="J84" s="151">
        <f t="shared" ca="1" si="24"/>
        <v>105986.59</v>
      </c>
      <c r="K84" s="154">
        <f t="shared" ca="1" si="25"/>
        <v>61.620110465116277</v>
      </c>
      <c r="L84" s="151">
        <f ca="1">IFERROR(__xludf.DUMMYFUNCTION("IMPORTRANGE(""https://docs.google.com/spreadsheets/d/1-uDff_7J0KD5mKrp0Vvzr7lt3OU09vwQwhkpOPPYv2Y/edit?usp=sharing"",""งบพรบ!EZ84"")"),105986.59)</f>
        <v>105986.59</v>
      </c>
      <c r="M84" s="68">
        <f t="shared" ca="1" si="26"/>
        <v>61.620110465116277</v>
      </c>
      <c r="N84" s="68">
        <f t="shared" ca="1" si="27"/>
        <v>61.620110465116277</v>
      </c>
      <c r="O84" s="67">
        <f ca="1">IFERROR(__xludf.DUMMYFUNCTION("IMPORTRANGE(""https://docs.google.com/spreadsheets/d/1-uDff_7J0KD5mKrp0Vvzr7lt3OU09vwQwhkpOPPYv2Y/edit?usp=sharing"",""งบพรบ!FA84"")"),0)</f>
        <v>0</v>
      </c>
      <c r="P84" s="67">
        <f t="shared" ca="1" si="28"/>
        <v>0</v>
      </c>
      <c r="Q84" s="68">
        <f t="shared" ca="1" si="29"/>
        <v>0</v>
      </c>
      <c r="R84" s="152">
        <f ca="1">IFERROR(__xludf.DUMMYFUNCTION("IMPORTRANGE(""https://docs.google.com/spreadsheets/d/1woKwKjgoLssDvPcPeVyezB5izizAn4X1JDrys69n6xI/edit?usp=sharing"",""ยะลา!I332"")"),200)</f>
        <v>200</v>
      </c>
      <c r="S84" s="152">
        <f ca="1">IFERROR(__xludf.DUMMYFUNCTION("IMPORTRANGE(""https://docs.google.com/spreadsheets/d/1woKwKjgoLssDvPcPeVyezB5izizAn4X1JDrys69n6xI/edit?usp=sharing"",""ยะลา!J332"")"),785)</f>
        <v>785</v>
      </c>
      <c r="T84" s="153">
        <f t="shared" ca="1" si="31"/>
        <v>392.5</v>
      </c>
      <c r="U84" s="394" t="str">
        <f ca="1">IFERROR(__xludf.DUMMYFUNCTION("IMPORTRANGE(""https://docs.google.com/spreadsheets/d/1woKwKjgoLssDvPcPeVyezB5izizAn4X1JDrys69n6xI/edit?usp=sharing"",""ยะลา!I344"")"),"")</f>
        <v/>
      </c>
      <c r="V84" s="152">
        <f ca="1">IFERROR(__xludf.DUMMYFUNCTION("IMPORTRANGE(""https://docs.google.com/spreadsheets/d/1woKwKjgoLssDvPcPeVyezB5izizAn4X1JDrys69n6xI/edit?usp=sharing"",""ยะลา!J344"")"),164)</f>
        <v>164</v>
      </c>
      <c r="W84" s="216" t="e">
        <f t="shared" ca="1" si="33"/>
        <v>#VALUE!</v>
      </c>
      <c r="X84" s="278">
        <f ca="1">IFERROR(__xludf.DUMMYFUNCTION("IMPORTRANGE(""https://docs.google.com/spreadsheets/d/1woKwKjgoLssDvPcPeVyezB5izizAn4X1JDrys69n6xI/edit?usp=sharing"",""ยะลา!I346"")"),2)</f>
        <v>2</v>
      </c>
      <c r="Y84" s="152">
        <f ca="1">IFERROR(__xludf.DUMMYFUNCTION("IMPORTRANGE(""https://docs.google.com/spreadsheets/d/1woKwKjgoLssDvPcPeVyezB5izizAn4X1JDrys69n6xI/edit?usp=sharing"",""ยะลา!J346"")"),1)</f>
        <v>1</v>
      </c>
      <c r="Z84" s="216">
        <f t="shared" ca="1" si="35"/>
        <v>50</v>
      </c>
      <c r="AA84" s="152">
        <f ca="1">IFERROR(__xludf.DUMMYFUNCTION("IMPORTRANGE(""https://docs.google.com/spreadsheets/d/1woKwKjgoLssDvPcPeVyezB5izizAn4X1JDrys69n6xI/edit?usp=sharing"",""ยะลา!J347"")"),0)</f>
        <v>0</v>
      </c>
      <c r="AB84" s="152">
        <f ca="1">IFERROR(__xludf.DUMMYFUNCTION("IMPORTRANGE(""https://docs.google.com/spreadsheets/d/1woKwKjgoLssDvPcPeVyezB5izizAn4X1JDrys69n6xI/edit?usp=sharing"",""ยะลา!J348"")"),0)</f>
        <v>0</v>
      </c>
      <c r="AC84" s="152">
        <f ca="1">IFERROR(__xludf.DUMMYFUNCTION("IMPORTRANGE(""https://docs.google.com/spreadsheets/d/1woKwKjgoLssDvPcPeVyezB5izizAn4X1JDrys69n6xI/edit?usp=sharing"",""ยะลา!J349"")"),0)</f>
        <v>0</v>
      </c>
      <c r="AD84" s="152">
        <f ca="1">IFERROR(__xludf.DUMMYFUNCTION("IMPORTRANGE(""https://docs.google.com/spreadsheets/d/1woKwKjgoLssDvPcPeVyezB5izizAn4X1JDrys69n6xI/edit?usp=sharing"",""ยะลา!J343"")"),164)</f>
        <v>164</v>
      </c>
      <c r="AE84" s="152">
        <f ca="1">IFERROR(__xludf.DUMMYFUNCTION("IMPORTRANGE(""https://docs.google.com/spreadsheets/d/1woKwKjgoLssDvPcPeVyezB5izizAn4X1JDrys69n6xI/edit?usp=sharing"",""ยะลา!J352"")"),0)</f>
        <v>0</v>
      </c>
      <c r="AF84" s="152">
        <f ca="1">IFERROR(__xludf.DUMMYFUNCTION("IMPORTRANGE(""https://docs.google.com/spreadsheets/d/1woKwKjgoLssDvPcPeVyezB5izizAn4X1JDrys69n6xI/edit?usp=sharing"",""ยะลา!J353"")"),377)</f>
        <v>377</v>
      </c>
      <c r="AG84" s="152">
        <f ca="1">IFERROR(__xludf.DUMMYFUNCTION("IMPORTRANGE(""https://docs.google.com/spreadsheets/d/1woKwKjgoLssDvPcPeVyezB5izizAn4X1JDrys69n6xI/edit?usp=sharing"",""ยะลา!J354"")"),244)</f>
        <v>244</v>
      </c>
    </row>
    <row r="85" spans="1:33" ht="21" customHeight="1" x14ac:dyDescent="0.3">
      <c r="A85" s="395">
        <v>11</v>
      </c>
      <c r="B85" s="396" t="s">
        <v>113</v>
      </c>
      <c r="C85" s="149">
        <f t="shared" ca="1" si="22"/>
        <v>1024000</v>
      </c>
      <c r="D85" s="150">
        <f t="shared" ca="1" si="55"/>
        <v>174000</v>
      </c>
      <c r="E85" s="151">
        <f ca="1">IFERROR(__xludf.DUMMYFUNCTION("IMPORTRANGE(""https://docs.google.com/spreadsheets/d/1-uDff_7J0KD5mKrp0Vvzr7lt3OU09vwQwhkpOPPYv2Y/edit?usp=sharing"",""งบพรบ!ET85"")"),0)</f>
        <v>0</v>
      </c>
      <c r="F85" s="151">
        <f ca="1">IFERROR(__xludf.DUMMYFUNCTION("IMPORTRANGE(""https://docs.google.com/spreadsheets/d/1-uDff_7J0KD5mKrp0Vvzr7lt3OU09vwQwhkpOPPYv2Y/edit?usp=sharing"",""งบพรบ!EU85"")"),174000)</f>
        <v>174000</v>
      </c>
      <c r="G85" s="151">
        <f ca="1">IFERROR(__xludf.DUMMYFUNCTION("IMPORTRANGE(""https://docs.google.com/spreadsheets/d/1-uDff_7J0KD5mKrp0Vvzr7lt3OU09vwQwhkpOPPYv2Y/edit?usp=sharing"",""งบพรบ!EV85"")"),850000)</f>
        <v>850000</v>
      </c>
      <c r="H85" s="151">
        <f ca="1">IFERROR(__xludf.DUMMYFUNCTION("IMPORTRANGE(""https://docs.google.com/spreadsheets/d/1-uDff_7J0KD5mKrp0Vvzr7lt3OU09vwQwhkpOPPYv2Y/edit?usp=sharing"",""งบพรบ!EX85"")"),174000)</f>
        <v>174000</v>
      </c>
      <c r="I85" s="151">
        <f ca="1">IFERROR(__xludf.DUMMYFUNCTION("IMPORTRANGE(""https://docs.google.com/spreadsheets/d/1-uDff_7J0KD5mKrp0Vvzr7lt3OU09vwQwhkpOPPYv2Y/edit?usp=sharing"",""งบพรบ!EY85"")"),850000)</f>
        <v>850000</v>
      </c>
      <c r="J85" s="151">
        <f t="shared" ca="1" si="24"/>
        <v>983476.67999999993</v>
      </c>
      <c r="K85" s="154">
        <f t="shared" ca="1" si="25"/>
        <v>96.042644531250005</v>
      </c>
      <c r="L85" s="151">
        <f ca="1">IFERROR(__xludf.DUMMYFUNCTION("IMPORTRANGE(""https://docs.google.com/spreadsheets/d/1-uDff_7J0KD5mKrp0Vvzr7lt3OU09vwQwhkpOPPYv2Y/edit?usp=sharing"",""งบพรบ!EZ85"")"),133476.68)</f>
        <v>133476.68</v>
      </c>
      <c r="M85" s="68">
        <f t="shared" ca="1" si="26"/>
        <v>76.710735632183912</v>
      </c>
      <c r="N85" s="68">
        <f t="shared" ca="1" si="27"/>
        <v>76.710735632183912</v>
      </c>
      <c r="O85" s="67">
        <f ca="1">IFERROR(__xludf.DUMMYFUNCTION("IMPORTRANGE(""https://docs.google.com/spreadsheets/d/1-uDff_7J0KD5mKrp0Vvzr7lt3OU09vwQwhkpOPPYv2Y/edit?usp=sharing"",""งบพรบ!FA85"")"),850000)</f>
        <v>850000</v>
      </c>
      <c r="P85" s="67">
        <f t="shared" ca="1" si="28"/>
        <v>100</v>
      </c>
      <c r="Q85" s="68">
        <f t="shared" ca="1" si="29"/>
        <v>100</v>
      </c>
      <c r="R85" s="152">
        <f ca="1">IFERROR(__xludf.DUMMYFUNCTION("IMPORTRANGE(""https://docs.google.com/spreadsheets/d/1qfrKjzMhm2HJfxQ-qVlJlJQ25Hne1d0khsySbZyGtPA/edit?usp=sharing"",""ระนอง!I332"")"),500)</f>
        <v>500</v>
      </c>
      <c r="S85" s="152">
        <f ca="1">IFERROR(__xludf.DUMMYFUNCTION("IMPORTRANGE(""https://docs.google.com/spreadsheets/d/1qfrKjzMhm2HJfxQ-qVlJlJQ25Hne1d0khsySbZyGtPA/edit?usp=sharing"",""ระนอง!J332"")"),2907)</f>
        <v>2907</v>
      </c>
      <c r="T85" s="153">
        <f t="shared" ca="1" si="31"/>
        <v>581.4</v>
      </c>
      <c r="U85" s="394" t="str">
        <f ca="1">IFERROR(__xludf.DUMMYFUNCTION("IMPORTRANGE(""https://docs.google.com/spreadsheets/d/1qfrKjzMhm2HJfxQ-qVlJlJQ25Hne1d0khsySbZyGtPA/edit?usp=sharing"",""ระนอง!I344"")"),"")</f>
        <v/>
      </c>
      <c r="V85" s="152">
        <f ca="1">IFERROR(__xludf.DUMMYFUNCTION("IMPORTRANGE(""https://docs.google.com/spreadsheets/d/1qfrKjzMhm2HJfxQ-qVlJlJQ25Hne1d0khsySbZyGtPA/edit?usp=sharing"",""ระนอง!J344"")"),267)</f>
        <v>267</v>
      </c>
      <c r="W85" s="216" t="e">
        <f t="shared" ca="1" si="33"/>
        <v>#VALUE!</v>
      </c>
      <c r="X85" s="278">
        <f ca="1">IFERROR(__xludf.DUMMYFUNCTION("IMPORTRANGE(""https://docs.google.com/spreadsheets/d/1qfrKjzMhm2HJfxQ-qVlJlJQ25Hne1d0khsySbZyGtPA/edit?usp=sharing"",""ระนอง!I346"")"),3)</f>
        <v>3</v>
      </c>
      <c r="Y85" s="152">
        <f ca="1">IFERROR(__xludf.DUMMYFUNCTION("IMPORTRANGE(""https://docs.google.com/spreadsheets/d/1qfrKjzMhm2HJfxQ-qVlJlJQ25Hne1d0khsySbZyGtPA/edit?usp=sharing"",""ระนอง!J346"")"),2)</f>
        <v>2</v>
      </c>
      <c r="Z85" s="216">
        <f t="shared" ca="1" si="35"/>
        <v>66.666666666666671</v>
      </c>
      <c r="AA85" s="152">
        <f ca="1">IFERROR(__xludf.DUMMYFUNCTION("IMPORTRANGE(""https://docs.google.com/spreadsheets/d/1qfrKjzMhm2HJfxQ-qVlJlJQ25Hne1d0khsySbZyGtPA/edit?usp=sharing"",""ระนอง!J347"")"),138)</f>
        <v>138</v>
      </c>
      <c r="AB85" s="152">
        <f ca="1">IFERROR(__xludf.DUMMYFUNCTION("IMPORTRANGE(""https://docs.google.com/spreadsheets/d/1qfrKjzMhm2HJfxQ-qVlJlJQ25Hne1d0khsySbZyGtPA/edit?usp=sharing"",""ระนอง!J348"")"),0)</f>
        <v>0</v>
      </c>
      <c r="AC85" s="152">
        <f ca="1">IFERROR(__xludf.DUMMYFUNCTION("IMPORTRANGE(""https://docs.google.com/spreadsheets/d/1qfrKjzMhm2HJfxQ-qVlJlJQ25Hne1d0khsySbZyGtPA/edit?usp=sharing"",""ระนอง!J349"")"),0)</f>
        <v>0</v>
      </c>
      <c r="AD85" s="152">
        <f ca="1">IFERROR(__xludf.DUMMYFUNCTION("IMPORTRANGE(""https://docs.google.com/spreadsheets/d/1qfrKjzMhm2HJfxQ-qVlJlJQ25Hne1d0khsySbZyGtPA/edit?usp=sharing"",""ระนอง!J343"")"),405)</f>
        <v>405</v>
      </c>
      <c r="AE85" s="152">
        <f ca="1">IFERROR(__xludf.DUMMYFUNCTION("IMPORTRANGE(""https://docs.google.com/spreadsheets/d/1qfrKjzMhm2HJfxQ-qVlJlJQ25Hne1d0khsySbZyGtPA/edit?usp=sharing"",""ระนอง!J352"")"),410)</f>
        <v>410</v>
      </c>
      <c r="AF85" s="152">
        <f ca="1">IFERROR(__xludf.DUMMYFUNCTION("IMPORTRANGE(""https://docs.google.com/spreadsheets/d/1qfrKjzMhm2HJfxQ-qVlJlJQ25Hne1d0khsySbZyGtPA/edit?usp=sharing"",""ระนอง!J353"")"),2264)</f>
        <v>2264</v>
      </c>
      <c r="AG85" s="152">
        <f ca="1">IFERROR(__xludf.DUMMYFUNCTION("IMPORTRANGE(""https://docs.google.com/spreadsheets/d/1qfrKjzMhm2HJfxQ-qVlJlJQ25Hne1d0khsySbZyGtPA/edit?usp=sharing"",""ระนอง!J354"")"),238)</f>
        <v>238</v>
      </c>
    </row>
    <row r="86" spans="1:33" ht="24" customHeight="1" x14ac:dyDescent="0.3">
      <c r="A86" s="395">
        <v>12</v>
      </c>
      <c r="B86" s="396" t="s">
        <v>114</v>
      </c>
      <c r="C86" s="149">
        <f t="shared" ca="1" si="22"/>
        <v>183000</v>
      </c>
      <c r="D86" s="150">
        <f t="shared" ca="1" si="55"/>
        <v>183000</v>
      </c>
      <c r="E86" s="151">
        <f ca="1">IFERROR(__xludf.DUMMYFUNCTION("IMPORTRANGE(""https://docs.google.com/spreadsheets/d/1-uDff_7J0KD5mKrp0Vvzr7lt3OU09vwQwhkpOPPYv2Y/edit?usp=sharing"",""งบพรบ!ET86"")"),0)</f>
        <v>0</v>
      </c>
      <c r="F86" s="151">
        <f ca="1">IFERROR(__xludf.DUMMYFUNCTION("IMPORTRANGE(""https://docs.google.com/spreadsheets/d/1-uDff_7J0KD5mKrp0Vvzr7lt3OU09vwQwhkpOPPYv2Y/edit?usp=sharing"",""งบพรบ!EU86"")"),183000)</f>
        <v>183000</v>
      </c>
      <c r="G86" s="151">
        <f ca="1">IFERROR(__xludf.DUMMYFUNCTION("IMPORTRANGE(""https://docs.google.com/spreadsheets/d/1-uDff_7J0KD5mKrp0Vvzr7lt3OU09vwQwhkpOPPYv2Y/edit?usp=sharing"",""งบพรบ!EV86"")"),0)</f>
        <v>0</v>
      </c>
      <c r="H86" s="151">
        <f ca="1">IFERROR(__xludf.DUMMYFUNCTION("IMPORTRANGE(""https://docs.google.com/spreadsheets/d/1-uDff_7J0KD5mKrp0Vvzr7lt3OU09vwQwhkpOPPYv2Y/edit?usp=sharing"",""งบพรบ!EX86"")"),183000)</f>
        <v>183000</v>
      </c>
      <c r="I86" s="151">
        <f ca="1">IFERROR(__xludf.DUMMYFUNCTION("IMPORTRANGE(""https://docs.google.com/spreadsheets/d/1-uDff_7J0KD5mKrp0Vvzr7lt3OU09vwQwhkpOPPYv2Y/edit?usp=sharing"",""งบพรบ!EY86"")"),0)</f>
        <v>0</v>
      </c>
      <c r="J86" s="151">
        <f t="shared" ca="1" si="24"/>
        <v>145593.5</v>
      </c>
      <c r="K86" s="154">
        <f t="shared" ca="1" si="25"/>
        <v>79.559289617486343</v>
      </c>
      <c r="L86" s="151">
        <f ca="1">IFERROR(__xludf.DUMMYFUNCTION("IMPORTRANGE(""https://docs.google.com/spreadsheets/d/1-uDff_7J0KD5mKrp0Vvzr7lt3OU09vwQwhkpOPPYv2Y/edit?usp=sharing"",""งบพรบ!EZ86"")"),145593.5)</f>
        <v>145593.5</v>
      </c>
      <c r="M86" s="68">
        <f t="shared" ca="1" si="26"/>
        <v>79.559289617486343</v>
      </c>
      <c r="N86" s="68">
        <f t="shared" ca="1" si="27"/>
        <v>79.559289617486343</v>
      </c>
      <c r="O86" s="67">
        <f ca="1">IFERROR(__xludf.DUMMYFUNCTION("IMPORTRANGE(""https://docs.google.com/spreadsheets/d/1-uDff_7J0KD5mKrp0Vvzr7lt3OU09vwQwhkpOPPYv2Y/edit?usp=sharing"",""งบพรบ!FA86"")"),0)</f>
        <v>0</v>
      </c>
      <c r="P86" s="67">
        <f t="shared" ca="1" si="28"/>
        <v>0</v>
      </c>
      <c r="Q86" s="68">
        <f t="shared" ca="1" si="29"/>
        <v>0</v>
      </c>
      <c r="R86" s="152">
        <f ca="1">IFERROR(__xludf.DUMMYFUNCTION("IMPORTRANGE(""https://docs.google.com/spreadsheets/d/1IbSCnFOKpZsnFogBHJnL_isstZVaOMnFiIN0fGTPZZw/edit?usp=sharing"",""สงขลา!I332"")"),1300)</f>
        <v>1300</v>
      </c>
      <c r="S86" s="152">
        <f ca="1">IFERROR(__xludf.DUMMYFUNCTION("IMPORTRANGE(""https://docs.google.com/spreadsheets/d/1IbSCnFOKpZsnFogBHJnL_isstZVaOMnFiIN0fGTPZZw/edit?usp=sharing"",""สงขลา!J332"")"),4533)</f>
        <v>4533</v>
      </c>
      <c r="T86" s="153">
        <f t="shared" ca="1" si="31"/>
        <v>348.69230769230768</v>
      </c>
      <c r="U86" s="394" t="str">
        <f ca="1">IFERROR(__xludf.DUMMYFUNCTION("IMPORTRANGE(""https://docs.google.com/spreadsheets/d/1IbSCnFOKpZsnFogBHJnL_isstZVaOMnFiIN0fGTPZZw/edit?usp=sharing"",""สงขลา!I344"")"),"")</f>
        <v/>
      </c>
      <c r="V86" s="152">
        <f ca="1">IFERROR(__xludf.DUMMYFUNCTION("IMPORTRANGE(""https://docs.google.com/spreadsheets/d/1IbSCnFOKpZsnFogBHJnL_isstZVaOMnFiIN0fGTPZZw/edit?usp=sharing"",""สงขลา!J344"")"),406)</f>
        <v>406</v>
      </c>
      <c r="W86" s="216" t="e">
        <f t="shared" ca="1" si="33"/>
        <v>#VALUE!</v>
      </c>
      <c r="X86" s="278">
        <f ca="1">IFERROR(__xludf.DUMMYFUNCTION("IMPORTRANGE(""https://docs.google.com/spreadsheets/d/1IbSCnFOKpZsnFogBHJnL_isstZVaOMnFiIN0fGTPZZw/edit?usp=sharing"",""สงขลา!I346"")"),5)</f>
        <v>5</v>
      </c>
      <c r="Y86" s="152">
        <f ca="1">IFERROR(__xludf.DUMMYFUNCTION("IMPORTRANGE(""https://docs.google.com/spreadsheets/d/1IbSCnFOKpZsnFogBHJnL_isstZVaOMnFiIN0fGTPZZw/edit?usp=sharing"",""สงขลา!J346"")"),8)</f>
        <v>8</v>
      </c>
      <c r="Z86" s="216">
        <f t="shared" ca="1" si="35"/>
        <v>160</v>
      </c>
      <c r="AA86" s="152">
        <f ca="1">IFERROR(__xludf.DUMMYFUNCTION("IMPORTRANGE(""https://docs.google.com/spreadsheets/d/1IbSCnFOKpZsnFogBHJnL_isstZVaOMnFiIN0fGTPZZw/edit?usp=sharing"",""สงขลา!J347"")"),5)</f>
        <v>5</v>
      </c>
      <c r="AB86" s="152">
        <f ca="1">IFERROR(__xludf.DUMMYFUNCTION("IMPORTRANGE(""https://docs.google.com/spreadsheets/d/1IbSCnFOKpZsnFogBHJnL_isstZVaOMnFiIN0fGTPZZw/edit?usp=sharing"",""สงขลา!J348"")"),1)</f>
        <v>1</v>
      </c>
      <c r="AC86" s="152">
        <f ca="1">IFERROR(__xludf.DUMMYFUNCTION("IMPORTRANGE(""https://docs.google.com/spreadsheets/d/1IbSCnFOKpZsnFogBHJnL_isstZVaOMnFiIN0fGTPZZw/edit?usp=sharing"",""สงขลา!J349"")"),0)</f>
        <v>0</v>
      </c>
      <c r="AD86" s="152">
        <f ca="1">IFERROR(__xludf.DUMMYFUNCTION("IMPORTRANGE(""https://docs.google.com/spreadsheets/d/1IbSCnFOKpZsnFogBHJnL_isstZVaOMnFiIN0fGTPZZw/edit?usp=sharing"",""สงขลา!J343"")"),412)</f>
        <v>412</v>
      </c>
      <c r="AE86" s="152">
        <f ca="1">IFERROR(__xludf.DUMMYFUNCTION("IMPORTRANGE(""https://docs.google.com/spreadsheets/d/1IbSCnFOKpZsnFogBHJnL_isstZVaOMnFiIN0fGTPZZw/edit?usp=sharing"",""สงขลา!J352"")"),97)</f>
        <v>97</v>
      </c>
      <c r="AF86" s="152">
        <f ca="1">IFERROR(__xludf.DUMMYFUNCTION("IMPORTRANGE(""https://docs.google.com/spreadsheets/d/1IbSCnFOKpZsnFogBHJnL_isstZVaOMnFiIN0fGTPZZw/edit?usp=sharing"",""สงขลา!J353"")"),3072)</f>
        <v>3072</v>
      </c>
      <c r="AG86" s="152">
        <f ca="1">IFERROR(__xludf.DUMMYFUNCTION("IMPORTRANGE(""https://docs.google.com/spreadsheets/d/1IbSCnFOKpZsnFogBHJnL_isstZVaOMnFiIN0fGTPZZw/edit?usp=sharing"",""สงขลา!J354"")"),1049)</f>
        <v>1049</v>
      </c>
    </row>
    <row r="87" spans="1:33" ht="24" customHeight="1" x14ac:dyDescent="0.3">
      <c r="A87" s="395">
        <v>13</v>
      </c>
      <c r="B87" s="396" t="s">
        <v>115</v>
      </c>
      <c r="C87" s="149">
        <f t="shared" ca="1" si="22"/>
        <v>356800</v>
      </c>
      <c r="D87" s="150">
        <f t="shared" ca="1" si="55"/>
        <v>356800</v>
      </c>
      <c r="E87" s="151">
        <f ca="1">IFERROR(__xludf.DUMMYFUNCTION("IMPORTRANGE(""https://docs.google.com/spreadsheets/d/1-uDff_7J0KD5mKrp0Vvzr7lt3OU09vwQwhkpOPPYv2Y/edit?usp=sharing"",""งบพรบ!ET87"")"),184800)</f>
        <v>184800</v>
      </c>
      <c r="F87" s="151">
        <f ca="1">IFERROR(__xludf.DUMMYFUNCTION("IMPORTRANGE(""https://docs.google.com/spreadsheets/d/1-uDff_7J0KD5mKrp0Vvzr7lt3OU09vwQwhkpOPPYv2Y/edit?usp=sharing"",""งบพรบ!EU87"")"),172000)</f>
        <v>172000</v>
      </c>
      <c r="G87" s="151">
        <f ca="1">IFERROR(__xludf.DUMMYFUNCTION("IMPORTRANGE(""https://docs.google.com/spreadsheets/d/1-uDff_7J0KD5mKrp0Vvzr7lt3OU09vwQwhkpOPPYv2Y/edit?usp=sharing"",""งบพรบ!EV87"")"),0)</f>
        <v>0</v>
      </c>
      <c r="H87" s="151">
        <f ca="1">IFERROR(__xludf.DUMMYFUNCTION("IMPORTRANGE(""https://docs.google.com/spreadsheets/d/1-uDff_7J0KD5mKrp0Vvzr7lt3OU09vwQwhkpOPPYv2Y/edit?usp=sharing"",""งบพรบ!EX87"")"),356800)</f>
        <v>356800</v>
      </c>
      <c r="I87" s="151">
        <f ca="1">IFERROR(__xludf.DUMMYFUNCTION("IMPORTRANGE(""https://docs.google.com/spreadsheets/d/1-uDff_7J0KD5mKrp0Vvzr7lt3OU09vwQwhkpOPPYv2Y/edit?usp=sharing"",""งบพรบ!EY87"")"),0)</f>
        <v>0</v>
      </c>
      <c r="J87" s="151">
        <f t="shared" ca="1" si="24"/>
        <v>263661</v>
      </c>
      <c r="K87" s="154">
        <f t="shared" ca="1" si="25"/>
        <v>73.896020179372201</v>
      </c>
      <c r="L87" s="151">
        <f ca="1">IFERROR(__xludf.DUMMYFUNCTION("IMPORTRANGE(""https://docs.google.com/spreadsheets/d/1-uDff_7J0KD5mKrp0Vvzr7lt3OU09vwQwhkpOPPYv2Y/edit?usp=sharing"",""งบพรบ!EZ87"")"),263661)</f>
        <v>263661</v>
      </c>
      <c r="M87" s="68">
        <f t="shared" ca="1" si="26"/>
        <v>73.896020179372201</v>
      </c>
      <c r="N87" s="68">
        <f t="shared" ca="1" si="27"/>
        <v>73.896020179372201</v>
      </c>
      <c r="O87" s="67">
        <f ca="1">IFERROR(__xludf.DUMMYFUNCTION("IMPORTRANGE(""https://docs.google.com/spreadsheets/d/1-uDff_7J0KD5mKrp0Vvzr7lt3OU09vwQwhkpOPPYv2Y/edit?usp=sharing"",""งบพรบ!FA87"")"),0)</f>
        <v>0</v>
      </c>
      <c r="P87" s="67">
        <f t="shared" ca="1" si="28"/>
        <v>0</v>
      </c>
      <c r="Q87" s="68">
        <f t="shared" ca="1" si="29"/>
        <v>0</v>
      </c>
      <c r="R87" s="152">
        <f ca="1">IFERROR(__xludf.DUMMYFUNCTION("IMPORTRANGE(""https://docs.google.com/spreadsheets/d/1q9nWasZJ-K8bFGvbE9n0qSRuKGA4Toe3Y89cKCiVtCU/edit?usp=sharing"",""สตูล!I332"")"),200)</f>
        <v>200</v>
      </c>
      <c r="S87" s="152">
        <f ca="1">IFERROR(__xludf.DUMMYFUNCTION("IMPORTRANGE(""https://docs.google.com/spreadsheets/d/1q9nWasZJ-K8bFGvbE9n0qSRuKGA4Toe3Y89cKCiVtCU/edit?usp=sharing"",""สตูล!J332"")"),633)</f>
        <v>633</v>
      </c>
      <c r="T87" s="153">
        <f t="shared" ca="1" si="31"/>
        <v>316.5</v>
      </c>
      <c r="U87" s="394" t="str">
        <f ca="1">IFERROR(__xludf.DUMMYFUNCTION("IMPORTRANGE(""https://docs.google.com/spreadsheets/d/1q9nWasZJ-K8bFGvbE9n0qSRuKGA4Toe3Y89cKCiVtCU/edit?usp=sharing"",""สตูล!I344"")"),"")</f>
        <v/>
      </c>
      <c r="V87" s="152">
        <f ca="1">IFERROR(__xludf.DUMMYFUNCTION("IMPORTRANGE(""https://docs.google.com/spreadsheets/d/1q9nWasZJ-K8bFGvbE9n0qSRuKGA4Toe3Y89cKCiVtCU/edit?usp=sharing"",""สตูล!J344"")"),76)</f>
        <v>76</v>
      </c>
      <c r="W87" s="216" t="e">
        <f t="shared" ca="1" si="33"/>
        <v>#VALUE!</v>
      </c>
      <c r="X87" s="278">
        <f ca="1">IFERROR(__xludf.DUMMYFUNCTION("IMPORTRANGE(""https://docs.google.com/spreadsheets/d/1q9nWasZJ-K8bFGvbE9n0qSRuKGA4Toe3Y89cKCiVtCU/edit?usp=sharing"",""สตูล!I346"")"),2)</f>
        <v>2</v>
      </c>
      <c r="Y87" s="152">
        <f ca="1">IFERROR(__xludf.DUMMYFUNCTION("IMPORTRANGE(""https://docs.google.com/spreadsheets/d/1q9nWasZJ-K8bFGvbE9n0qSRuKGA4Toe3Y89cKCiVtCU/edit?usp=sharing"",""สตูล!J346"")"),5)</f>
        <v>5</v>
      </c>
      <c r="Z87" s="216">
        <f t="shared" ca="1" si="35"/>
        <v>250</v>
      </c>
      <c r="AA87" s="152">
        <f ca="1">IFERROR(__xludf.DUMMYFUNCTION("IMPORTRANGE(""https://docs.google.com/spreadsheets/d/1q9nWasZJ-K8bFGvbE9n0qSRuKGA4Toe3Y89cKCiVtCU/edit?usp=sharing"",""สตูล!J347"")"),107)</f>
        <v>107</v>
      </c>
      <c r="AB87" s="152">
        <f ca="1">IFERROR(__xludf.DUMMYFUNCTION("IMPORTRANGE(""https://docs.google.com/spreadsheets/d/1q9nWasZJ-K8bFGvbE9n0qSRuKGA4Toe3Y89cKCiVtCU/edit?usp=sharing"",""สตูล!J348"")"),0)</f>
        <v>0</v>
      </c>
      <c r="AC87" s="152">
        <f ca="1">IFERROR(__xludf.DUMMYFUNCTION("IMPORTRANGE(""https://docs.google.com/spreadsheets/d/1q9nWasZJ-K8bFGvbE9n0qSRuKGA4Toe3Y89cKCiVtCU/edit?usp=sharing"",""สตูล!J349"")"),0)</f>
        <v>0</v>
      </c>
      <c r="AD87" s="152">
        <f ca="1">IFERROR(__xludf.DUMMYFUNCTION("IMPORTRANGE(""https://docs.google.com/spreadsheets/d/1q9nWasZJ-K8bFGvbE9n0qSRuKGA4Toe3Y89cKCiVtCU/edit?usp=sharing"",""สตูล!J343"")"),183)</f>
        <v>183</v>
      </c>
      <c r="AE87" s="152">
        <f ca="1">IFERROR(__xludf.DUMMYFUNCTION("IMPORTRANGE(""https://docs.google.com/spreadsheets/d/1q9nWasZJ-K8bFGvbE9n0qSRuKGA4Toe3Y89cKCiVtCU/edit?usp=sharing"",""สตูล!J352"")"),48)</f>
        <v>48</v>
      </c>
      <c r="AF87" s="152">
        <f ca="1">IFERROR(__xludf.DUMMYFUNCTION("IMPORTRANGE(""https://docs.google.com/spreadsheets/d/1q9nWasZJ-K8bFGvbE9n0qSRuKGA4Toe3Y89cKCiVtCU/edit?usp=sharing"",""สตูล!J353"")"),246)</f>
        <v>246</v>
      </c>
      <c r="AG87" s="152">
        <f ca="1">IFERROR(__xludf.DUMMYFUNCTION("IMPORTRANGE(""https://docs.google.com/spreadsheets/d/1q9nWasZJ-K8bFGvbE9n0qSRuKGA4Toe3Y89cKCiVtCU/edit?usp=sharing"",""สตูล!J354"")"),204)</f>
        <v>204</v>
      </c>
    </row>
    <row r="88" spans="1:33" ht="24" customHeight="1" x14ac:dyDescent="0.3">
      <c r="A88" s="399">
        <v>14</v>
      </c>
      <c r="B88" s="400" t="s">
        <v>116</v>
      </c>
      <c r="C88" s="157">
        <f t="shared" ca="1" si="22"/>
        <v>194000</v>
      </c>
      <c r="D88" s="158">
        <f t="shared" ca="1" si="55"/>
        <v>194000</v>
      </c>
      <c r="E88" s="159">
        <f ca="1">IFERROR(__xludf.DUMMYFUNCTION("IMPORTRANGE(""https://docs.google.com/spreadsheets/d/1-uDff_7J0KD5mKrp0Vvzr7lt3OU09vwQwhkpOPPYv2Y/edit?usp=sharing"",""งบพรบ!ET88"")"),0)</f>
        <v>0</v>
      </c>
      <c r="F88" s="159">
        <f ca="1">IFERROR(__xludf.DUMMYFUNCTION("IMPORTRANGE(""https://docs.google.com/spreadsheets/d/1-uDff_7J0KD5mKrp0Vvzr7lt3OU09vwQwhkpOPPYv2Y/edit?usp=sharing"",""งบพรบ!EU88"")"),194000)</f>
        <v>194000</v>
      </c>
      <c r="G88" s="159">
        <f ca="1">IFERROR(__xludf.DUMMYFUNCTION("IMPORTRANGE(""https://docs.google.com/spreadsheets/d/1-uDff_7J0KD5mKrp0Vvzr7lt3OU09vwQwhkpOPPYv2Y/edit?usp=sharing"",""งบพรบ!EV88"")"),0)</f>
        <v>0</v>
      </c>
      <c r="H88" s="159">
        <f ca="1">IFERROR(__xludf.DUMMYFUNCTION("IMPORTRANGE(""https://docs.google.com/spreadsheets/d/1-uDff_7J0KD5mKrp0Vvzr7lt3OU09vwQwhkpOPPYv2Y/edit?usp=sharing"",""งบพรบ!EX88"")"),194000)</f>
        <v>194000</v>
      </c>
      <c r="I88" s="159">
        <f ca="1">IFERROR(__xludf.DUMMYFUNCTION("IMPORTRANGE(""https://docs.google.com/spreadsheets/d/1-uDff_7J0KD5mKrp0Vvzr7lt3OU09vwQwhkpOPPYv2Y/edit?usp=sharing"",""งบพรบ!EY88"")"),0)</f>
        <v>0</v>
      </c>
      <c r="J88" s="159">
        <f t="shared" ca="1" si="24"/>
        <v>168000</v>
      </c>
      <c r="K88" s="160">
        <f t="shared" ca="1" si="25"/>
        <v>86.597938144329902</v>
      </c>
      <c r="L88" s="159">
        <f ca="1">IFERROR(__xludf.DUMMYFUNCTION("IMPORTRANGE(""https://docs.google.com/spreadsheets/d/1-uDff_7J0KD5mKrp0Vvzr7lt3OU09vwQwhkpOPPYv2Y/edit?usp=sharing"",""งบพรบ!EZ88"")"),168000)</f>
        <v>168000</v>
      </c>
      <c r="M88" s="89">
        <f t="shared" ca="1" si="26"/>
        <v>86.597938144329902</v>
      </c>
      <c r="N88" s="89">
        <f t="shared" ca="1" si="27"/>
        <v>86.597938144329902</v>
      </c>
      <c r="O88" s="88">
        <f ca="1">IFERROR(__xludf.DUMMYFUNCTION("IMPORTRANGE(""https://docs.google.com/spreadsheets/d/1-uDff_7J0KD5mKrp0Vvzr7lt3OU09vwQwhkpOPPYv2Y/edit?usp=sharing"",""งบพรบ!FA88"")"),0)</f>
        <v>0</v>
      </c>
      <c r="P88" s="88">
        <f t="shared" ca="1" si="28"/>
        <v>0</v>
      </c>
      <c r="Q88" s="89">
        <f t="shared" ca="1" si="29"/>
        <v>0</v>
      </c>
      <c r="R88" s="191">
        <f ca="1">IFERROR(__xludf.DUMMYFUNCTION("IMPORTRANGE(""https://docs.google.com/spreadsheets/d/18T20gbkS_WBjdscyTOV05cvq_JqvqQ17C81mpxf7Ncs/edit?usp=sharing"",""สุราษฎร์ธานี!I332"")"),4800)</f>
        <v>4800</v>
      </c>
      <c r="S88" s="191">
        <f ca="1">IFERROR(__xludf.DUMMYFUNCTION("IMPORTRANGE(""https://docs.google.com/spreadsheets/d/18T20gbkS_WBjdscyTOV05cvq_JqvqQ17C81mpxf7Ncs/edit?usp=sharing"",""สุราษฎร์ธานี!J332"")"),20107)</f>
        <v>20107</v>
      </c>
      <c r="T88" s="401">
        <f t="shared" ca="1" si="31"/>
        <v>418.89583333333331</v>
      </c>
      <c r="U88" s="402" t="str">
        <f ca="1">IFERROR(__xludf.DUMMYFUNCTION("IMPORTRANGE(""https://docs.google.com/spreadsheets/d/18T20gbkS_WBjdscyTOV05cvq_JqvqQ17C81mpxf7Ncs/edit?usp=sharing"",""สุราษฎร์ธานี!I344"")"),"")</f>
        <v/>
      </c>
      <c r="V88" s="191">
        <f ca="1">IFERROR(__xludf.DUMMYFUNCTION("IMPORTRANGE(""https://docs.google.com/spreadsheets/d/18T20gbkS_WBjdscyTOV05cvq_JqvqQ17C81mpxf7Ncs/edit?usp=sharing"",""สุราษฎร์ธานี!J344"")"),8854)</f>
        <v>8854</v>
      </c>
      <c r="W88" s="218" t="e">
        <f t="shared" ca="1" si="33"/>
        <v>#VALUE!</v>
      </c>
      <c r="X88" s="280">
        <f ca="1">IFERROR(__xludf.DUMMYFUNCTION("IMPORTRANGE(""https://docs.google.com/spreadsheets/d/18T20gbkS_WBjdscyTOV05cvq_JqvqQ17C81mpxf7Ncs/edit?usp=sharing"",""สุราษฎร์ธานี!I346"")"),8)</f>
        <v>8</v>
      </c>
      <c r="Y88" s="191">
        <f ca="1">IFERROR(__xludf.DUMMYFUNCTION("IMPORTRANGE(""https://docs.google.com/spreadsheets/d/18T20gbkS_WBjdscyTOV05cvq_JqvqQ17C81mpxf7Ncs/edit?usp=sharing"",""สุราษฎร์ธานี!J346"")"),8)</f>
        <v>8</v>
      </c>
      <c r="Z88" s="218">
        <f t="shared" ca="1" si="35"/>
        <v>100</v>
      </c>
      <c r="AA88" s="191">
        <f ca="1">IFERROR(__xludf.DUMMYFUNCTION("IMPORTRANGE(""https://docs.google.com/spreadsheets/d/18T20gbkS_WBjdscyTOV05cvq_JqvqQ17C81mpxf7Ncs/edit?usp=sharing"",""สุราษฎร์ธานี!J347"")"),0)</f>
        <v>0</v>
      </c>
      <c r="AB88" s="191">
        <f ca="1">IFERROR(__xludf.DUMMYFUNCTION("IMPORTRANGE(""https://docs.google.com/spreadsheets/d/18T20gbkS_WBjdscyTOV05cvq_JqvqQ17C81mpxf7Ncs/edit?usp=sharing"",""สุราษฎร์ธานี!J348"")"),3)</f>
        <v>3</v>
      </c>
      <c r="AC88" s="191">
        <f ca="1">IFERROR(__xludf.DUMMYFUNCTION("IMPORTRANGE(""https://docs.google.com/spreadsheets/d/18T20gbkS_WBjdscyTOV05cvq_JqvqQ17C81mpxf7Ncs/edit?usp=sharing"",""สุราษฎร์ธานี!J349"")"),132)</f>
        <v>132</v>
      </c>
      <c r="AD88" s="191">
        <f ca="1">IFERROR(__xludf.DUMMYFUNCTION("IMPORTRANGE(""https://docs.google.com/spreadsheets/d/18T20gbkS_WBjdscyTOV05cvq_JqvqQ17C81mpxf7Ncs/edit?usp=sharing"",""สุราษฎร์ธานี!J343"")"),8989)</f>
        <v>8989</v>
      </c>
      <c r="AE88" s="191">
        <f ca="1">IFERROR(__xludf.DUMMYFUNCTION("IMPORTRANGE(""https://docs.google.com/spreadsheets/d/18T20gbkS_WBjdscyTOV05cvq_JqvqQ17C81mpxf7Ncs/edit?usp=sharing"",""สุราษฎร์ธานี!J352"")"),2387)</f>
        <v>2387</v>
      </c>
      <c r="AF88" s="191">
        <f ca="1">IFERROR(__xludf.DUMMYFUNCTION("IMPORTRANGE(""https://docs.google.com/spreadsheets/d/18T20gbkS_WBjdscyTOV05cvq_JqvqQ17C81mpxf7Ncs/edit?usp=sharing"",""สุราษฎร์ธานี!J353"")"),8723)</f>
        <v>8723</v>
      </c>
      <c r="AG88" s="191">
        <f ca="1">IFERROR(__xludf.DUMMYFUNCTION("IMPORTRANGE(""https://docs.google.com/spreadsheets/d/18T20gbkS_WBjdscyTOV05cvq_JqvqQ17C81mpxf7Ncs/edit?usp=sharing"",""สุราษฎร์ธานี!J354"")"),2395)</f>
        <v>2395</v>
      </c>
    </row>
    <row r="89" spans="1:33" ht="21" customHeight="1" x14ac:dyDescent="0.3">
      <c r="A89" s="698" t="s">
        <v>117</v>
      </c>
      <c r="B89" s="662"/>
      <c r="C89" s="412">
        <f t="shared" ref="C89:Q89" ca="1" si="56">SUM(C90:C106)</f>
        <v>868800</v>
      </c>
      <c r="D89" s="139">
        <f t="shared" ca="1" si="56"/>
        <v>868800</v>
      </c>
      <c r="E89" s="139">
        <f t="shared" ca="1" si="56"/>
        <v>741300</v>
      </c>
      <c r="F89" s="139">
        <f t="shared" ca="1" si="56"/>
        <v>127500</v>
      </c>
      <c r="G89" s="139">
        <f t="shared" ca="1" si="56"/>
        <v>0</v>
      </c>
      <c r="H89" s="139">
        <f t="shared" ca="1" si="56"/>
        <v>817625</v>
      </c>
      <c r="I89" s="139">
        <f t="shared" ca="1" si="56"/>
        <v>0</v>
      </c>
      <c r="J89" s="139">
        <f t="shared" ca="1" si="56"/>
        <v>489288.43</v>
      </c>
      <c r="K89" s="140">
        <f t="shared" ca="1" si="56"/>
        <v>159.13260528814914</v>
      </c>
      <c r="L89" s="139">
        <f t="shared" ca="1" si="56"/>
        <v>489288.43</v>
      </c>
      <c r="M89" s="140">
        <f t="shared" ca="1" si="56"/>
        <v>159.13260528814914</v>
      </c>
      <c r="N89" s="140">
        <f t="shared" ca="1" si="56"/>
        <v>167.93559719527082</v>
      </c>
      <c r="O89" s="139">
        <f t="shared" ca="1" si="56"/>
        <v>0</v>
      </c>
      <c r="P89" s="139">
        <f t="shared" ca="1" si="56"/>
        <v>0</v>
      </c>
      <c r="Q89" s="139">
        <f t="shared" ca="1" si="56"/>
        <v>0</v>
      </c>
      <c r="R89" s="246"/>
      <c r="S89" s="246"/>
      <c r="T89" s="246"/>
      <c r="U89" s="246"/>
      <c r="V89" s="246"/>
      <c r="W89" s="247"/>
      <c r="X89" s="246"/>
      <c r="Y89" s="246"/>
      <c r="Z89" s="247"/>
      <c r="AA89" s="246"/>
      <c r="AB89" s="246"/>
      <c r="AC89" s="246"/>
      <c r="AD89" s="246"/>
      <c r="AE89" s="246"/>
      <c r="AF89" s="246"/>
      <c r="AG89" s="246"/>
    </row>
    <row r="90" spans="1:33" ht="24" customHeight="1" x14ac:dyDescent="0.3">
      <c r="A90" s="413"/>
      <c r="B90" s="103" t="s">
        <v>118</v>
      </c>
      <c r="C90" s="170">
        <f t="shared" ref="C90:C108" ca="1" si="57">D90+G90</f>
        <v>0</v>
      </c>
      <c r="D90" s="171">
        <f t="shared" ref="D90:D108" ca="1" si="58">+E90+F90</f>
        <v>0</v>
      </c>
      <c r="E90" s="414">
        <f ca="1">IFERROR(__xludf.DUMMYFUNCTION("IMPORTRANGE(""https://docs.google.com/spreadsheets/d/1-uDff_7J0KD5mKrp0Vvzr7lt3OU09vwQwhkpOPPYv2Y/edit?usp=sharing"",""งบพรบ!ET90"")"),0)</f>
        <v>0</v>
      </c>
      <c r="F90" s="414">
        <f ca="1">IFERROR(__xludf.DUMMYFUNCTION("IMPORTRANGE(""https://docs.google.com/spreadsheets/d/1-uDff_7J0KD5mKrp0Vvzr7lt3OU09vwQwhkpOPPYv2Y/edit?usp=sharing"",""งบพรบ!EU90"")"),0)</f>
        <v>0</v>
      </c>
      <c r="G90" s="414">
        <f ca="1">IFERROR(__xludf.DUMMYFUNCTION("IMPORTRANGE(""https://docs.google.com/spreadsheets/d/1-uDff_7J0KD5mKrp0Vvzr7lt3OU09vwQwhkpOPPYv2Y/edit?usp=sharing"",""งบพรบ!EV90"")"),0)</f>
        <v>0</v>
      </c>
      <c r="H90" s="414">
        <f ca="1">IFERROR(__xludf.DUMMYFUNCTION("IMPORTRANGE(""https://docs.google.com/spreadsheets/d/1-uDff_7J0KD5mKrp0Vvzr7lt3OU09vwQwhkpOPPYv2Y/edit?usp=sharing"",""งบพรบ!EX90"")"),0)</f>
        <v>0</v>
      </c>
      <c r="I90" s="414">
        <f ca="1">IFERROR(__xludf.DUMMYFUNCTION("IMPORTRANGE(""https://docs.google.com/spreadsheets/d/1-uDff_7J0KD5mKrp0Vvzr7lt3OU09vwQwhkpOPPYv2Y/edit?usp=sharing"",""งบพรบ!EY90"")"),0)</f>
        <v>0</v>
      </c>
      <c r="J90" s="414">
        <f t="shared" ref="J90:J108" ca="1" si="59">L90+O90</f>
        <v>0</v>
      </c>
      <c r="K90" s="415">
        <f t="shared" ref="K90:K108" ca="1" si="60">IF(C90&gt;0,J90*100/C90,0)</f>
        <v>0</v>
      </c>
      <c r="L90" s="414">
        <f ca="1">IFERROR(__xludf.DUMMYFUNCTION("IMPORTRANGE(""https://docs.google.com/spreadsheets/d/1-uDff_7J0KD5mKrp0Vvzr7lt3OU09vwQwhkpOPPYv2Y/edit?usp=sharing"",""งบพรบ!EZ90"")"),0)</f>
        <v>0</v>
      </c>
      <c r="M90" s="416">
        <f t="shared" ref="M90:M108" ca="1" si="61">IF(D90&gt;0,L90*100/D90,0)</f>
        <v>0</v>
      </c>
      <c r="N90" s="416">
        <f t="shared" ref="N90:N108" ca="1" si="62">IF(H90&gt;0,L90*100/H90,0)</f>
        <v>0</v>
      </c>
      <c r="O90" s="417">
        <f ca="1">IFERROR(__xludf.DUMMYFUNCTION("IMPORTRANGE(""https://docs.google.com/spreadsheets/d/1-uDff_7J0KD5mKrp0Vvzr7lt3OU09vwQwhkpOPPYv2Y/edit?usp=sharing"",""งบพรบ!FA90"")"),0)</f>
        <v>0</v>
      </c>
      <c r="P90" s="417">
        <f t="shared" ref="P90:P108" ca="1" si="63">IF(G90&gt;0,O90*100/G90,0)</f>
        <v>0</v>
      </c>
      <c r="Q90" s="416">
        <f t="shared" ref="Q90:Q108" ca="1" si="64">IF(I90&gt;0,O90*100/I90,0)</f>
        <v>0</v>
      </c>
      <c r="R90" s="327"/>
      <c r="S90" s="327"/>
      <c r="T90" s="327"/>
      <c r="U90" s="327"/>
      <c r="V90" s="327"/>
      <c r="W90" s="328"/>
      <c r="X90" s="327"/>
      <c r="Y90" s="327"/>
      <c r="Z90" s="328"/>
      <c r="AA90" s="327"/>
      <c r="AB90" s="327"/>
      <c r="AC90" s="327"/>
      <c r="AD90" s="327"/>
      <c r="AE90" s="327"/>
      <c r="AF90" s="327"/>
      <c r="AG90" s="327"/>
    </row>
    <row r="91" spans="1:33" ht="24" customHeight="1" x14ac:dyDescent="0.3">
      <c r="A91" s="263"/>
      <c r="B91" s="106" t="s">
        <v>119</v>
      </c>
      <c r="C91" s="173">
        <f t="shared" ca="1" si="57"/>
        <v>0</v>
      </c>
      <c r="D91" s="174">
        <f t="shared" ca="1" si="58"/>
        <v>0</v>
      </c>
      <c r="E91" s="418">
        <f ca="1">IFERROR(__xludf.DUMMYFUNCTION("IMPORTRANGE(""https://docs.google.com/spreadsheets/d/1-uDff_7J0KD5mKrp0Vvzr7lt3OU09vwQwhkpOPPYv2Y/edit?usp=sharing"",""งบพรบ!ET91"")"),0)</f>
        <v>0</v>
      </c>
      <c r="F91" s="418">
        <f ca="1">IFERROR(__xludf.DUMMYFUNCTION("IMPORTRANGE(""https://docs.google.com/spreadsheets/d/1-uDff_7J0KD5mKrp0Vvzr7lt3OU09vwQwhkpOPPYv2Y/edit?usp=sharing"",""งบพรบ!EU91"")"),0)</f>
        <v>0</v>
      </c>
      <c r="G91" s="418">
        <f ca="1">IFERROR(__xludf.DUMMYFUNCTION("IMPORTRANGE(""https://docs.google.com/spreadsheets/d/1-uDff_7J0KD5mKrp0Vvzr7lt3OU09vwQwhkpOPPYv2Y/edit?usp=sharing"",""งบพรบ!EV91"")"),0)</f>
        <v>0</v>
      </c>
      <c r="H91" s="418">
        <f ca="1">IFERROR(__xludf.DUMMYFUNCTION("IMPORTRANGE(""https://docs.google.com/spreadsheets/d/1-uDff_7J0KD5mKrp0Vvzr7lt3OU09vwQwhkpOPPYv2Y/edit?usp=sharing"",""งบพรบ!EX91"")"),0)</f>
        <v>0</v>
      </c>
      <c r="I91" s="418">
        <f ca="1">IFERROR(__xludf.DUMMYFUNCTION("IMPORTRANGE(""https://docs.google.com/spreadsheets/d/1-uDff_7J0KD5mKrp0Vvzr7lt3OU09vwQwhkpOPPYv2Y/edit?usp=sharing"",""งบพรบ!EY91"")"),0)</f>
        <v>0</v>
      </c>
      <c r="J91" s="418">
        <f t="shared" ca="1" si="59"/>
        <v>0</v>
      </c>
      <c r="K91" s="419">
        <f t="shared" ca="1" si="60"/>
        <v>0</v>
      </c>
      <c r="L91" s="418">
        <f ca="1">IFERROR(__xludf.DUMMYFUNCTION("IMPORTRANGE(""https://docs.google.com/spreadsheets/d/1-uDff_7J0KD5mKrp0Vvzr7lt3OU09vwQwhkpOPPYv2Y/edit?usp=sharing"",""งบพรบ!EZ91"")"),0)</f>
        <v>0</v>
      </c>
      <c r="M91" s="420">
        <f t="shared" ca="1" si="61"/>
        <v>0</v>
      </c>
      <c r="N91" s="420">
        <f t="shared" ca="1" si="62"/>
        <v>0</v>
      </c>
      <c r="O91" s="204">
        <f ca="1">IFERROR(__xludf.DUMMYFUNCTION("IMPORTRANGE(""https://docs.google.com/spreadsheets/d/1-uDff_7J0KD5mKrp0Vvzr7lt3OU09vwQwhkpOPPYv2Y/edit?usp=sharing"",""งบพรบ!FA91"")"),0)</f>
        <v>0</v>
      </c>
      <c r="P91" s="204">
        <f t="shared" ca="1" si="63"/>
        <v>0</v>
      </c>
      <c r="Q91" s="420">
        <f t="shared" ca="1" si="64"/>
        <v>0</v>
      </c>
      <c r="R91" s="291"/>
      <c r="S91" s="291"/>
      <c r="T91" s="291"/>
      <c r="U91" s="291"/>
      <c r="V91" s="291"/>
      <c r="W91" s="331"/>
      <c r="X91" s="291"/>
      <c r="Y91" s="291"/>
      <c r="Z91" s="331"/>
      <c r="AA91" s="291"/>
      <c r="AB91" s="291"/>
      <c r="AC91" s="291"/>
      <c r="AD91" s="291"/>
      <c r="AE91" s="291"/>
      <c r="AF91" s="291"/>
      <c r="AG91" s="291"/>
    </row>
    <row r="92" spans="1:33" ht="24" customHeight="1" x14ac:dyDescent="0.3">
      <c r="A92" s="263"/>
      <c r="B92" s="106" t="s">
        <v>120</v>
      </c>
      <c r="C92" s="173">
        <f t="shared" ca="1" si="57"/>
        <v>0</v>
      </c>
      <c r="D92" s="174">
        <f t="shared" ca="1" si="58"/>
        <v>0</v>
      </c>
      <c r="E92" s="418">
        <f ca="1">IFERROR(__xludf.DUMMYFUNCTION("IMPORTRANGE(""https://docs.google.com/spreadsheets/d/1-uDff_7J0KD5mKrp0Vvzr7lt3OU09vwQwhkpOPPYv2Y/edit?usp=sharing"",""งบพรบ!ET92"")"),0)</f>
        <v>0</v>
      </c>
      <c r="F92" s="418">
        <f ca="1">IFERROR(__xludf.DUMMYFUNCTION("IMPORTRANGE(""https://docs.google.com/spreadsheets/d/1-uDff_7J0KD5mKrp0Vvzr7lt3OU09vwQwhkpOPPYv2Y/edit?usp=sharing"",""งบพรบ!EU92"")"),0)</f>
        <v>0</v>
      </c>
      <c r="G92" s="418">
        <f ca="1">IFERROR(__xludf.DUMMYFUNCTION("IMPORTRANGE(""https://docs.google.com/spreadsheets/d/1-uDff_7J0KD5mKrp0Vvzr7lt3OU09vwQwhkpOPPYv2Y/edit?usp=sharing"",""งบพรบ!EV92"")"),0)</f>
        <v>0</v>
      </c>
      <c r="H92" s="418">
        <f ca="1">IFERROR(__xludf.DUMMYFUNCTION("IMPORTRANGE(""https://docs.google.com/spreadsheets/d/1-uDff_7J0KD5mKrp0Vvzr7lt3OU09vwQwhkpOPPYv2Y/edit?usp=sharing"",""งบพรบ!EX92"")"),0)</f>
        <v>0</v>
      </c>
      <c r="I92" s="418">
        <f ca="1">IFERROR(__xludf.DUMMYFUNCTION("IMPORTRANGE(""https://docs.google.com/spreadsheets/d/1-uDff_7J0KD5mKrp0Vvzr7lt3OU09vwQwhkpOPPYv2Y/edit?usp=sharing"",""งบพรบ!EY92"")"),0)</f>
        <v>0</v>
      </c>
      <c r="J92" s="418">
        <f t="shared" ca="1" si="59"/>
        <v>0</v>
      </c>
      <c r="K92" s="419">
        <f t="shared" ca="1" si="60"/>
        <v>0</v>
      </c>
      <c r="L92" s="418">
        <f ca="1">IFERROR(__xludf.DUMMYFUNCTION("IMPORTRANGE(""https://docs.google.com/spreadsheets/d/1-uDff_7J0KD5mKrp0Vvzr7lt3OU09vwQwhkpOPPYv2Y/edit?usp=sharing"",""งบพรบ!EZ92"")"),0)</f>
        <v>0</v>
      </c>
      <c r="M92" s="420">
        <f t="shared" ca="1" si="61"/>
        <v>0</v>
      </c>
      <c r="N92" s="420">
        <f t="shared" ca="1" si="62"/>
        <v>0</v>
      </c>
      <c r="O92" s="204">
        <f ca="1">IFERROR(__xludf.DUMMYFUNCTION("IMPORTRANGE(""https://docs.google.com/spreadsheets/d/1-uDff_7J0KD5mKrp0Vvzr7lt3OU09vwQwhkpOPPYv2Y/edit?usp=sharing"",""งบพรบ!FA92"")"),0)</f>
        <v>0</v>
      </c>
      <c r="P92" s="204">
        <f t="shared" ca="1" si="63"/>
        <v>0</v>
      </c>
      <c r="Q92" s="420">
        <f t="shared" ca="1" si="64"/>
        <v>0</v>
      </c>
      <c r="R92" s="291"/>
      <c r="S92" s="291"/>
      <c r="T92" s="291"/>
      <c r="U92" s="291"/>
      <c r="V92" s="291"/>
      <c r="W92" s="331"/>
      <c r="X92" s="291"/>
      <c r="Y92" s="291"/>
      <c r="Z92" s="331"/>
      <c r="AA92" s="291"/>
      <c r="AB92" s="291"/>
      <c r="AC92" s="291"/>
      <c r="AD92" s="291"/>
      <c r="AE92" s="291"/>
      <c r="AF92" s="291"/>
      <c r="AG92" s="291"/>
    </row>
    <row r="93" spans="1:33" ht="24" customHeight="1" x14ac:dyDescent="0.3">
      <c r="A93" s="263"/>
      <c r="B93" s="106" t="s">
        <v>121</v>
      </c>
      <c r="C93" s="173">
        <f t="shared" ca="1" si="57"/>
        <v>0</v>
      </c>
      <c r="D93" s="174">
        <f t="shared" ca="1" si="58"/>
        <v>0</v>
      </c>
      <c r="E93" s="418">
        <f ca="1">IFERROR(__xludf.DUMMYFUNCTION("IMPORTRANGE(""https://docs.google.com/spreadsheets/d/1-uDff_7J0KD5mKrp0Vvzr7lt3OU09vwQwhkpOPPYv2Y/edit?usp=sharing"",""งบพรบ!ET93"")"),0)</f>
        <v>0</v>
      </c>
      <c r="F93" s="418">
        <f ca="1">IFERROR(__xludf.DUMMYFUNCTION("IMPORTRANGE(""https://docs.google.com/spreadsheets/d/1-uDff_7J0KD5mKrp0Vvzr7lt3OU09vwQwhkpOPPYv2Y/edit?usp=sharing"",""งบพรบ!EU93"")"),0)</f>
        <v>0</v>
      </c>
      <c r="G93" s="418">
        <f ca="1">IFERROR(__xludf.DUMMYFUNCTION("IMPORTRANGE(""https://docs.google.com/spreadsheets/d/1-uDff_7J0KD5mKrp0Vvzr7lt3OU09vwQwhkpOPPYv2Y/edit?usp=sharing"",""งบพรบ!EV93"")"),0)</f>
        <v>0</v>
      </c>
      <c r="H93" s="418">
        <f ca="1">IFERROR(__xludf.DUMMYFUNCTION("IMPORTRANGE(""https://docs.google.com/spreadsheets/d/1-uDff_7J0KD5mKrp0Vvzr7lt3OU09vwQwhkpOPPYv2Y/edit?usp=sharing"",""งบพรบ!EX93"")"),0)</f>
        <v>0</v>
      </c>
      <c r="I93" s="418">
        <f ca="1">IFERROR(__xludf.DUMMYFUNCTION("IMPORTRANGE(""https://docs.google.com/spreadsheets/d/1-uDff_7J0KD5mKrp0Vvzr7lt3OU09vwQwhkpOPPYv2Y/edit?usp=sharing"",""งบพรบ!EY93"")"),0)</f>
        <v>0</v>
      </c>
      <c r="J93" s="418">
        <f t="shared" ca="1" si="59"/>
        <v>0</v>
      </c>
      <c r="K93" s="419">
        <f t="shared" ca="1" si="60"/>
        <v>0</v>
      </c>
      <c r="L93" s="418">
        <f ca="1">IFERROR(__xludf.DUMMYFUNCTION("IMPORTRANGE(""https://docs.google.com/spreadsheets/d/1-uDff_7J0KD5mKrp0Vvzr7lt3OU09vwQwhkpOPPYv2Y/edit?usp=sharing"",""งบพรบ!EZ93"")"),0)</f>
        <v>0</v>
      </c>
      <c r="M93" s="420">
        <f t="shared" ca="1" si="61"/>
        <v>0</v>
      </c>
      <c r="N93" s="420">
        <f t="shared" ca="1" si="62"/>
        <v>0</v>
      </c>
      <c r="O93" s="204">
        <f ca="1">IFERROR(__xludf.DUMMYFUNCTION("IMPORTRANGE(""https://docs.google.com/spreadsheets/d/1-uDff_7J0KD5mKrp0Vvzr7lt3OU09vwQwhkpOPPYv2Y/edit?usp=sharing"",""งบพรบ!FA93"")"),0)</f>
        <v>0</v>
      </c>
      <c r="P93" s="204">
        <f t="shared" ca="1" si="63"/>
        <v>0</v>
      </c>
      <c r="Q93" s="420">
        <f t="shared" ca="1" si="64"/>
        <v>0</v>
      </c>
      <c r="R93" s="291"/>
      <c r="S93" s="291"/>
      <c r="T93" s="291"/>
      <c r="U93" s="291"/>
      <c r="V93" s="291"/>
      <c r="W93" s="331"/>
      <c r="X93" s="291"/>
      <c r="Y93" s="291"/>
      <c r="Z93" s="331"/>
      <c r="AA93" s="291"/>
      <c r="AB93" s="291"/>
      <c r="AC93" s="291"/>
      <c r="AD93" s="291"/>
      <c r="AE93" s="291"/>
      <c r="AF93" s="291"/>
      <c r="AG93" s="291"/>
    </row>
    <row r="94" spans="1:33" ht="24" customHeight="1" x14ac:dyDescent="0.3">
      <c r="A94" s="263"/>
      <c r="B94" s="106" t="s">
        <v>122</v>
      </c>
      <c r="C94" s="173">
        <f t="shared" ca="1" si="57"/>
        <v>0</v>
      </c>
      <c r="D94" s="174">
        <f t="shared" ca="1" si="58"/>
        <v>0</v>
      </c>
      <c r="E94" s="418">
        <f ca="1">IFERROR(__xludf.DUMMYFUNCTION("IMPORTRANGE(""https://docs.google.com/spreadsheets/d/1-uDff_7J0KD5mKrp0Vvzr7lt3OU09vwQwhkpOPPYv2Y/edit?usp=sharing"",""งบพรบ!ET94"")"),0)</f>
        <v>0</v>
      </c>
      <c r="F94" s="418">
        <f ca="1">IFERROR(__xludf.DUMMYFUNCTION("IMPORTRANGE(""https://docs.google.com/spreadsheets/d/1-uDff_7J0KD5mKrp0Vvzr7lt3OU09vwQwhkpOPPYv2Y/edit?usp=sharing"",""งบพรบ!EU94"")"),0)</f>
        <v>0</v>
      </c>
      <c r="G94" s="418">
        <f ca="1">IFERROR(__xludf.DUMMYFUNCTION("IMPORTRANGE(""https://docs.google.com/spreadsheets/d/1-uDff_7J0KD5mKrp0Vvzr7lt3OU09vwQwhkpOPPYv2Y/edit?usp=sharing"",""งบพรบ!EV94"")"),0)</f>
        <v>0</v>
      </c>
      <c r="H94" s="418">
        <f ca="1">IFERROR(__xludf.DUMMYFUNCTION("IMPORTRANGE(""https://docs.google.com/spreadsheets/d/1-uDff_7J0KD5mKrp0Vvzr7lt3OU09vwQwhkpOPPYv2Y/edit?usp=sharing"",""งบพรบ!EX94"")"),0)</f>
        <v>0</v>
      </c>
      <c r="I94" s="418">
        <f ca="1">IFERROR(__xludf.DUMMYFUNCTION("IMPORTRANGE(""https://docs.google.com/spreadsheets/d/1-uDff_7J0KD5mKrp0Vvzr7lt3OU09vwQwhkpOPPYv2Y/edit?usp=sharing"",""งบพรบ!EY94"")"),0)</f>
        <v>0</v>
      </c>
      <c r="J94" s="418">
        <f t="shared" ca="1" si="59"/>
        <v>0</v>
      </c>
      <c r="K94" s="419">
        <f t="shared" ca="1" si="60"/>
        <v>0</v>
      </c>
      <c r="L94" s="418">
        <f ca="1">IFERROR(__xludf.DUMMYFUNCTION("IMPORTRANGE(""https://docs.google.com/spreadsheets/d/1-uDff_7J0KD5mKrp0Vvzr7lt3OU09vwQwhkpOPPYv2Y/edit?usp=sharing"",""งบพรบ!EZ94"")"),0)</f>
        <v>0</v>
      </c>
      <c r="M94" s="420">
        <f t="shared" ca="1" si="61"/>
        <v>0</v>
      </c>
      <c r="N94" s="420">
        <f t="shared" ca="1" si="62"/>
        <v>0</v>
      </c>
      <c r="O94" s="204">
        <f ca="1">IFERROR(__xludf.DUMMYFUNCTION("IMPORTRANGE(""https://docs.google.com/spreadsheets/d/1-uDff_7J0KD5mKrp0Vvzr7lt3OU09vwQwhkpOPPYv2Y/edit?usp=sharing"",""งบพรบ!FA94"")"),0)</f>
        <v>0</v>
      </c>
      <c r="P94" s="204">
        <f t="shared" ca="1" si="63"/>
        <v>0</v>
      </c>
      <c r="Q94" s="420">
        <f t="shared" ca="1" si="64"/>
        <v>0</v>
      </c>
      <c r="R94" s="291"/>
      <c r="S94" s="291"/>
      <c r="T94" s="291"/>
      <c r="U94" s="291"/>
      <c r="V94" s="291"/>
      <c r="W94" s="331"/>
      <c r="X94" s="291"/>
      <c r="Y94" s="291"/>
      <c r="Z94" s="331"/>
      <c r="AA94" s="291"/>
      <c r="AB94" s="291"/>
      <c r="AC94" s="291"/>
      <c r="AD94" s="291"/>
      <c r="AE94" s="291"/>
      <c r="AF94" s="291"/>
      <c r="AG94" s="291"/>
    </row>
    <row r="95" spans="1:33" ht="24" customHeight="1" x14ac:dyDescent="0.3">
      <c r="A95" s="263"/>
      <c r="B95" s="106" t="s">
        <v>123</v>
      </c>
      <c r="C95" s="173">
        <f t="shared" ca="1" si="57"/>
        <v>0</v>
      </c>
      <c r="D95" s="174">
        <f t="shared" ca="1" si="58"/>
        <v>0</v>
      </c>
      <c r="E95" s="418">
        <f ca="1">IFERROR(__xludf.DUMMYFUNCTION("IMPORTRANGE(""https://docs.google.com/spreadsheets/d/1-uDff_7J0KD5mKrp0Vvzr7lt3OU09vwQwhkpOPPYv2Y/edit?usp=sharing"",""งบพรบ!ET95"")"),0)</f>
        <v>0</v>
      </c>
      <c r="F95" s="418">
        <f ca="1">IFERROR(__xludf.DUMMYFUNCTION("IMPORTRANGE(""https://docs.google.com/spreadsheets/d/1-uDff_7J0KD5mKrp0Vvzr7lt3OU09vwQwhkpOPPYv2Y/edit?usp=sharing"",""งบพรบ!EU95"")"),0)</f>
        <v>0</v>
      </c>
      <c r="G95" s="418">
        <f ca="1">IFERROR(__xludf.DUMMYFUNCTION("IMPORTRANGE(""https://docs.google.com/spreadsheets/d/1-uDff_7J0KD5mKrp0Vvzr7lt3OU09vwQwhkpOPPYv2Y/edit?usp=sharing"",""งบพรบ!EV95"")"),0)</f>
        <v>0</v>
      </c>
      <c r="H95" s="418">
        <f ca="1">IFERROR(__xludf.DUMMYFUNCTION("IMPORTRANGE(""https://docs.google.com/spreadsheets/d/1-uDff_7J0KD5mKrp0Vvzr7lt3OU09vwQwhkpOPPYv2Y/edit?usp=sharing"",""งบพรบ!EX95"")"),0)</f>
        <v>0</v>
      </c>
      <c r="I95" s="418">
        <f ca="1">IFERROR(__xludf.DUMMYFUNCTION("IMPORTRANGE(""https://docs.google.com/spreadsheets/d/1-uDff_7J0KD5mKrp0Vvzr7lt3OU09vwQwhkpOPPYv2Y/edit?usp=sharing"",""งบพรบ!EY95"")"),0)</f>
        <v>0</v>
      </c>
      <c r="J95" s="418">
        <f t="shared" ca="1" si="59"/>
        <v>0</v>
      </c>
      <c r="K95" s="419">
        <f t="shared" ca="1" si="60"/>
        <v>0</v>
      </c>
      <c r="L95" s="418">
        <f ca="1">IFERROR(__xludf.DUMMYFUNCTION("IMPORTRANGE(""https://docs.google.com/spreadsheets/d/1-uDff_7J0KD5mKrp0Vvzr7lt3OU09vwQwhkpOPPYv2Y/edit?usp=sharing"",""งบพรบ!EZ95"")"),0)</f>
        <v>0</v>
      </c>
      <c r="M95" s="420">
        <f t="shared" ca="1" si="61"/>
        <v>0</v>
      </c>
      <c r="N95" s="420">
        <f t="shared" ca="1" si="62"/>
        <v>0</v>
      </c>
      <c r="O95" s="204">
        <f ca="1">IFERROR(__xludf.DUMMYFUNCTION("IMPORTRANGE(""https://docs.google.com/spreadsheets/d/1-uDff_7J0KD5mKrp0Vvzr7lt3OU09vwQwhkpOPPYv2Y/edit?usp=sharing"",""งบพรบ!FA95"")"),0)</f>
        <v>0</v>
      </c>
      <c r="P95" s="204">
        <f t="shared" ca="1" si="63"/>
        <v>0</v>
      </c>
      <c r="Q95" s="420">
        <f t="shared" ca="1" si="64"/>
        <v>0</v>
      </c>
      <c r="R95" s="291"/>
      <c r="S95" s="291"/>
      <c r="T95" s="291"/>
      <c r="U95" s="291"/>
      <c r="V95" s="291"/>
      <c r="W95" s="331"/>
      <c r="X95" s="291"/>
      <c r="Y95" s="291"/>
      <c r="Z95" s="331"/>
      <c r="AA95" s="291"/>
      <c r="AB95" s="291"/>
      <c r="AC95" s="291"/>
      <c r="AD95" s="291"/>
      <c r="AE95" s="291"/>
      <c r="AF95" s="291"/>
      <c r="AG95" s="291"/>
    </row>
    <row r="96" spans="1:33" ht="24" customHeight="1" x14ac:dyDescent="0.3">
      <c r="A96" s="263"/>
      <c r="B96" s="106" t="s">
        <v>124</v>
      </c>
      <c r="C96" s="173">
        <f t="shared" ca="1" si="57"/>
        <v>526500</v>
      </c>
      <c r="D96" s="174">
        <f t="shared" ca="1" si="58"/>
        <v>526500</v>
      </c>
      <c r="E96" s="418">
        <f ca="1">IFERROR(__xludf.DUMMYFUNCTION("IMPORTRANGE(""https://docs.google.com/spreadsheets/d/1-uDff_7J0KD5mKrp0Vvzr7lt3OU09vwQwhkpOPPYv2Y/edit?usp=sharing"",""งบพรบ!ET96"")"),399000)</f>
        <v>399000</v>
      </c>
      <c r="F96" s="418">
        <f ca="1">IFERROR(__xludf.DUMMYFUNCTION("IMPORTRANGE(""https://docs.google.com/spreadsheets/d/1-uDff_7J0KD5mKrp0Vvzr7lt3OU09vwQwhkpOPPYv2Y/edit?usp=sharing"",""งบพรบ!EU96"")"),127500)</f>
        <v>127500</v>
      </c>
      <c r="G96" s="418">
        <f ca="1">IFERROR(__xludf.DUMMYFUNCTION("IMPORTRANGE(""https://docs.google.com/spreadsheets/d/1-uDff_7J0KD5mKrp0Vvzr7lt3OU09vwQwhkpOPPYv2Y/edit?usp=sharing"",""งบพรบ!EV96"")"),0)</f>
        <v>0</v>
      </c>
      <c r="H96" s="418">
        <f ca="1">IFERROR(__xludf.DUMMYFUNCTION("IMPORTRANGE(""https://docs.google.com/spreadsheets/d/1-uDff_7J0KD5mKrp0Vvzr7lt3OU09vwQwhkpOPPYv2Y/edit?usp=sharing"",""งบพรบ!EX96"")"),475325)</f>
        <v>475325</v>
      </c>
      <c r="I96" s="418">
        <f ca="1">IFERROR(__xludf.DUMMYFUNCTION("IMPORTRANGE(""https://docs.google.com/spreadsheets/d/1-uDff_7J0KD5mKrp0Vvzr7lt3OU09vwQwhkpOPPYv2Y/edit?usp=sharing"",""งบพรบ!EY96"")"),0)</f>
        <v>0</v>
      </c>
      <c r="J96" s="418">
        <f t="shared" ca="1" si="59"/>
        <v>430488.43</v>
      </c>
      <c r="K96" s="419">
        <f t="shared" ca="1" si="60"/>
        <v>81.764184235517575</v>
      </c>
      <c r="L96" s="418">
        <f ca="1">IFERROR(__xludf.DUMMYFUNCTION("IMPORTRANGE(""https://docs.google.com/spreadsheets/d/1-uDff_7J0KD5mKrp0Vvzr7lt3OU09vwQwhkpOPPYv2Y/edit?usp=sharing"",""งบพรบ!EZ96"")"),430488.43)</f>
        <v>430488.43</v>
      </c>
      <c r="M96" s="420">
        <f t="shared" ca="1" si="61"/>
        <v>81.764184235517575</v>
      </c>
      <c r="N96" s="420">
        <f t="shared" ca="1" si="62"/>
        <v>90.567176142639241</v>
      </c>
      <c r="O96" s="204">
        <f ca="1">IFERROR(__xludf.DUMMYFUNCTION("IMPORTRANGE(""https://docs.google.com/spreadsheets/d/1-uDff_7J0KD5mKrp0Vvzr7lt3OU09vwQwhkpOPPYv2Y/edit?usp=sharing"",""งบพรบ!FA96"")"),0)</f>
        <v>0</v>
      </c>
      <c r="P96" s="204">
        <f t="shared" ca="1" si="63"/>
        <v>0</v>
      </c>
      <c r="Q96" s="420">
        <f t="shared" ca="1" si="64"/>
        <v>0</v>
      </c>
      <c r="R96" s="291"/>
      <c r="S96" s="291"/>
      <c r="T96" s="291"/>
      <c r="U96" s="291"/>
      <c r="V96" s="291"/>
      <c r="W96" s="331"/>
      <c r="X96" s="291"/>
      <c r="Y96" s="291"/>
      <c r="Z96" s="331"/>
      <c r="AA96" s="291"/>
      <c r="AB96" s="291"/>
      <c r="AC96" s="291"/>
      <c r="AD96" s="291"/>
      <c r="AE96" s="291"/>
      <c r="AF96" s="291"/>
      <c r="AG96" s="291"/>
    </row>
    <row r="97" spans="1:33" ht="24" customHeight="1" x14ac:dyDescent="0.3">
      <c r="A97" s="263"/>
      <c r="B97" s="106" t="s">
        <v>125</v>
      </c>
      <c r="C97" s="173">
        <f t="shared" ca="1" si="57"/>
        <v>0</v>
      </c>
      <c r="D97" s="174">
        <f t="shared" ca="1" si="58"/>
        <v>0</v>
      </c>
      <c r="E97" s="418">
        <f ca="1">IFERROR(__xludf.DUMMYFUNCTION("IMPORTRANGE(""https://docs.google.com/spreadsheets/d/1-uDff_7J0KD5mKrp0Vvzr7lt3OU09vwQwhkpOPPYv2Y/edit?usp=sharing"",""งบพรบ!ET97"")"),0)</f>
        <v>0</v>
      </c>
      <c r="F97" s="418">
        <f ca="1">IFERROR(__xludf.DUMMYFUNCTION("IMPORTRANGE(""https://docs.google.com/spreadsheets/d/1-uDff_7J0KD5mKrp0Vvzr7lt3OU09vwQwhkpOPPYv2Y/edit?usp=sharing"",""งบพรบ!EU97"")"),0)</f>
        <v>0</v>
      </c>
      <c r="G97" s="418">
        <f ca="1">IFERROR(__xludf.DUMMYFUNCTION("IMPORTRANGE(""https://docs.google.com/spreadsheets/d/1-uDff_7J0KD5mKrp0Vvzr7lt3OU09vwQwhkpOPPYv2Y/edit?usp=sharing"",""งบพรบ!EV97"")"),0)</f>
        <v>0</v>
      </c>
      <c r="H97" s="418">
        <f ca="1">IFERROR(__xludf.DUMMYFUNCTION("IMPORTRANGE(""https://docs.google.com/spreadsheets/d/1-uDff_7J0KD5mKrp0Vvzr7lt3OU09vwQwhkpOPPYv2Y/edit?usp=sharing"",""งบพรบ!EX97"")"),0)</f>
        <v>0</v>
      </c>
      <c r="I97" s="418">
        <f ca="1">IFERROR(__xludf.DUMMYFUNCTION("IMPORTRANGE(""https://docs.google.com/spreadsheets/d/1-uDff_7J0KD5mKrp0Vvzr7lt3OU09vwQwhkpOPPYv2Y/edit?usp=sharing"",""งบพรบ!EY97"")"),0)</f>
        <v>0</v>
      </c>
      <c r="J97" s="418">
        <f t="shared" ca="1" si="59"/>
        <v>0</v>
      </c>
      <c r="K97" s="419">
        <f t="shared" ca="1" si="60"/>
        <v>0</v>
      </c>
      <c r="L97" s="418">
        <f ca="1">IFERROR(__xludf.DUMMYFUNCTION("IMPORTRANGE(""https://docs.google.com/spreadsheets/d/1-uDff_7J0KD5mKrp0Vvzr7lt3OU09vwQwhkpOPPYv2Y/edit?usp=sharing"",""งบพรบ!EZ97"")"),0)</f>
        <v>0</v>
      </c>
      <c r="M97" s="420">
        <f t="shared" ca="1" si="61"/>
        <v>0</v>
      </c>
      <c r="N97" s="420">
        <f t="shared" ca="1" si="62"/>
        <v>0</v>
      </c>
      <c r="O97" s="204">
        <f ca="1">IFERROR(__xludf.DUMMYFUNCTION("IMPORTRANGE(""https://docs.google.com/spreadsheets/d/1-uDff_7J0KD5mKrp0Vvzr7lt3OU09vwQwhkpOPPYv2Y/edit?usp=sharing"",""งบพรบ!FA97"")"),0)</f>
        <v>0</v>
      </c>
      <c r="P97" s="204">
        <f t="shared" ca="1" si="63"/>
        <v>0</v>
      </c>
      <c r="Q97" s="420">
        <f t="shared" ca="1" si="64"/>
        <v>0</v>
      </c>
      <c r="R97" s="291"/>
      <c r="S97" s="291"/>
      <c r="T97" s="291"/>
      <c r="U97" s="291"/>
      <c r="V97" s="291"/>
      <c r="W97" s="331"/>
      <c r="X97" s="291"/>
      <c r="Y97" s="291"/>
      <c r="Z97" s="331"/>
      <c r="AA97" s="291"/>
      <c r="AB97" s="291"/>
      <c r="AC97" s="291"/>
      <c r="AD97" s="291"/>
      <c r="AE97" s="291"/>
      <c r="AF97" s="291"/>
      <c r="AG97" s="291"/>
    </row>
    <row r="98" spans="1:33" ht="24" customHeight="1" x14ac:dyDescent="0.3">
      <c r="A98" s="263"/>
      <c r="B98" s="106" t="s">
        <v>126</v>
      </c>
      <c r="C98" s="173">
        <f t="shared" ca="1" si="57"/>
        <v>0</v>
      </c>
      <c r="D98" s="174">
        <f t="shared" ca="1" si="58"/>
        <v>0</v>
      </c>
      <c r="E98" s="418">
        <f ca="1">IFERROR(__xludf.DUMMYFUNCTION("IMPORTRANGE(""https://docs.google.com/spreadsheets/d/1-uDff_7J0KD5mKrp0Vvzr7lt3OU09vwQwhkpOPPYv2Y/edit?usp=sharing"",""งบพรบ!ET98"")"),0)</f>
        <v>0</v>
      </c>
      <c r="F98" s="418">
        <f ca="1">IFERROR(__xludf.DUMMYFUNCTION("IMPORTRANGE(""https://docs.google.com/spreadsheets/d/1-uDff_7J0KD5mKrp0Vvzr7lt3OU09vwQwhkpOPPYv2Y/edit?usp=sharing"",""งบพรบ!EU98"")"),0)</f>
        <v>0</v>
      </c>
      <c r="G98" s="418">
        <f ca="1">IFERROR(__xludf.DUMMYFUNCTION("IMPORTRANGE(""https://docs.google.com/spreadsheets/d/1-uDff_7J0KD5mKrp0Vvzr7lt3OU09vwQwhkpOPPYv2Y/edit?usp=sharing"",""งบพรบ!EV98"")"),0)</f>
        <v>0</v>
      </c>
      <c r="H98" s="418">
        <f ca="1">IFERROR(__xludf.DUMMYFUNCTION("IMPORTRANGE(""https://docs.google.com/spreadsheets/d/1-uDff_7J0KD5mKrp0Vvzr7lt3OU09vwQwhkpOPPYv2Y/edit?usp=sharing"",""งบพรบ!EX98"")"),0)</f>
        <v>0</v>
      </c>
      <c r="I98" s="418">
        <f ca="1">IFERROR(__xludf.DUMMYFUNCTION("IMPORTRANGE(""https://docs.google.com/spreadsheets/d/1-uDff_7J0KD5mKrp0Vvzr7lt3OU09vwQwhkpOPPYv2Y/edit?usp=sharing"",""งบพรบ!EY98"")"),0)</f>
        <v>0</v>
      </c>
      <c r="J98" s="418">
        <f t="shared" ca="1" si="59"/>
        <v>0</v>
      </c>
      <c r="K98" s="419">
        <f t="shared" ca="1" si="60"/>
        <v>0</v>
      </c>
      <c r="L98" s="418">
        <f ca="1">IFERROR(__xludf.DUMMYFUNCTION("IMPORTRANGE(""https://docs.google.com/spreadsheets/d/1-uDff_7J0KD5mKrp0Vvzr7lt3OU09vwQwhkpOPPYv2Y/edit?usp=sharing"",""งบพรบ!EZ98"")"),0)</f>
        <v>0</v>
      </c>
      <c r="M98" s="420">
        <f t="shared" ca="1" si="61"/>
        <v>0</v>
      </c>
      <c r="N98" s="420">
        <f t="shared" ca="1" si="62"/>
        <v>0</v>
      </c>
      <c r="O98" s="204">
        <f ca="1">IFERROR(__xludf.DUMMYFUNCTION("IMPORTRANGE(""https://docs.google.com/spreadsheets/d/1-uDff_7J0KD5mKrp0Vvzr7lt3OU09vwQwhkpOPPYv2Y/edit?usp=sharing"",""งบพรบ!FA98"")"),0)</f>
        <v>0</v>
      </c>
      <c r="P98" s="204">
        <f t="shared" ca="1" si="63"/>
        <v>0</v>
      </c>
      <c r="Q98" s="420">
        <f t="shared" ca="1" si="64"/>
        <v>0</v>
      </c>
      <c r="R98" s="291"/>
      <c r="S98" s="291"/>
      <c r="T98" s="291"/>
      <c r="U98" s="291"/>
      <c r="V98" s="291"/>
      <c r="W98" s="331"/>
      <c r="X98" s="291"/>
      <c r="Y98" s="291"/>
      <c r="Z98" s="331"/>
      <c r="AA98" s="291"/>
      <c r="AB98" s="291"/>
      <c r="AC98" s="291"/>
      <c r="AD98" s="291"/>
      <c r="AE98" s="291"/>
      <c r="AF98" s="291"/>
      <c r="AG98" s="291"/>
    </row>
    <row r="99" spans="1:33" ht="24" customHeight="1" x14ac:dyDescent="0.3">
      <c r="A99" s="263"/>
      <c r="B99" s="106" t="s">
        <v>127</v>
      </c>
      <c r="C99" s="173">
        <f t="shared" ca="1" si="57"/>
        <v>76000</v>
      </c>
      <c r="D99" s="174">
        <f t="shared" ca="1" si="58"/>
        <v>76000</v>
      </c>
      <c r="E99" s="418">
        <f ca="1">IFERROR(__xludf.DUMMYFUNCTION("IMPORTRANGE(""https://docs.google.com/spreadsheets/d/1-uDff_7J0KD5mKrp0Vvzr7lt3OU09vwQwhkpOPPYv2Y/edit?usp=sharing"",""งบพรบ!ET99"")"),76000)</f>
        <v>76000</v>
      </c>
      <c r="F99" s="418">
        <f ca="1">IFERROR(__xludf.DUMMYFUNCTION("IMPORTRANGE(""https://docs.google.com/spreadsheets/d/1-uDff_7J0KD5mKrp0Vvzr7lt3OU09vwQwhkpOPPYv2Y/edit?usp=sharing"",""งบพรบ!EU99"")"),0)</f>
        <v>0</v>
      </c>
      <c r="G99" s="418">
        <f ca="1">IFERROR(__xludf.DUMMYFUNCTION("IMPORTRANGE(""https://docs.google.com/spreadsheets/d/1-uDff_7J0KD5mKrp0Vvzr7lt3OU09vwQwhkpOPPYv2Y/edit?usp=sharing"",""งบพรบ!EV99"")"),0)</f>
        <v>0</v>
      </c>
      <c r="H99" s="418">
        <f ca="1">IFERROR(__xludf.DUMMYFUNCTION("IMPORTRANGE(""https://docs.google.com/spreadsheets/d/1-uDff_7J0KD5mKrp0Vvzr7lt3OU09vwQwhkpOPPYv2Y/edit?usp=sharing"",""งบพรบ!EX99"")"),76000)</f>
        <v>76000</v>
      </c>
      <c r="I99" s="418">
        <f ca="1">IFERROR(__xludf.DUMMYFUNCTION("IMPORTRANGE(""https://docs.google.com/spreadsheets/d/1-uDff_7J0KD5mKrp0Vvzr7lt3OU09vwQwhkpOPPYv2Y/edit?usp=sharing"",""งบพรบ!EY99"")"),0)</f>
        <v>0</v>
      </c>
      <c r="J99" s="418">
        <f t="shared" ca="1" si="59"/>
        <v>58800</v>
      </c>
      <c r="K99" s="419">
        <f t="shared" ca="1" si="60"/>
        <v>77.368421052631575</v>
      </c>
      <c r="L99" s="418">
        <f ca="1">IFERROR(__xludf.DUMMYFUNCTION("IMPORTRANGE(""https://docs.google.com/spreadsheets/d/1-uDff_7J0KD5mKrp0Vvzr7lt3OU09vwQwhkpOPPYv2Y/edit?usp=sharing"",""งบพรบ!EZ99"")"),58800)</f>
        <v>58800</v>
      </c>
      <c r="M99" s="420">
        <f t="shared" ca="1" si="61"/>
        <v>77.368421052631575</v>
      </c>
      <c r="N99" s="420">
        <f t="shared" ca="1" si="62"/>
        <v>77.368421052631575</v>
      </c>
      <c r="O99" s="204">
        <f ca="1">IFERROR(__xludf.DUMMYFUNCTION("IMPORTRANGE(""https://docs.google.com/spreadsheets/d/1-uDff_7J0KD5mKrp0Vvzr7lt3OU09vwQwhkpOPPYv2Y/edit?usp=sharing"",""งบพรบ!FA99"")"),0)</f>
        <v>0</v>
      </c>
      <c r="P99" s="204">
        <f t="shared" ca="1" si="63"/>
        <v>0</v>
      </c>
      <c r="Q99" s="420">
        <f t="shared" ca="1" si="64"/>
        <v>0</v>
      </c>
      <c r="R99" s="291"/>
      <c r="S99" s="291"/>
      <c r="T99" s="291"/>
      <c r="U99" s="291"/>
      <c r="V99" s="291"/>
      <c r="W99" s="331"/>
      <c r="X99" s="291"/>
      <c r="Y99" s="291"/>
      <c r="Z99" s="331"/>
      <c r="AA99" s="291"/>
      <c r="AB99" s="291"/>
      <c r="AC99" s="291"/>
      <c r="AD99" s="291"/>
      <c r="AE99" s="291"/>
      <c r="AF99" s="291"/>
      <c r="AG99" s="291"/>
    </row>
    <row r="100" spans="1:33" ht="24" customHeight="1" x14ac:dyDescent="0.3">
      <c r="A100" s="263"/>
      <c r="B100" s="106" t="s">
        <v>128</v>
      </c>
      <c r="C100" s="173">
        <f t="shared" ca="1" si="57"/>
        <v>0</v>
      </c>
      <c r="D100" s="174">
        <f t="shared" ca="1" si="58"/>
        <v>0</v>
      </c>
      <c r="E100" s="418">
        <f ca="1">IFERROR(__xludf.DUMMYFUNCTION("IMPORTRANGE(""https://docs.google.com/spreadsheets/d/1-uDff_7J0KD5mKrp0Vvzr7lt3OU09vwQwhkpOPPYv2Y/edit?usp=sharing"",""งบพรบ!ET100"")"),0)</f>
        <v>0</v>
      </c>
      <c r="F100" s="418">
        <f ca="1">IFERROR(__xludf.DUMMYFUNCTION("IMPORTRANGE(""https://docs.google.com/spreadsheets/d/1-uDff_7J0KD5mKrp0Vvzr7lt3OU09vwQwhkpOPPYv2Y/edit?usp=sharing"",""งบพรบ!EU100"")"),0)</f>
        <v>0</v>
      </c>
      <c r="G100" s="418">
        <f ca="1">IFERROR(__xludf.DUMMYFUNCTION("IMPORTRANGE(""https://docs.google.com/spreadsheets/d/1-uDff_7J0KD5mKrp0Vvzr7lt3OU09vwQwhkpOPPYv2Y/edit?usp=sharing"",""งบพรบ!EV100"")"),0)</f>
        <v>0</v>
      </c>
      <c r="H100" s="418">
        <f ca="1">IFERROR(__xludf.DUMMYFUNCTION("IMPORTRANGE(""https://docs.google.com/spreadsheets/d/1-uDff_7J0KD5mKrp0Vvzr7lt3OU09vwQwhkpOPPYv2Y/edit?usp=sharing"",""งบพรบ!EX100"")"),0)</f>
        <v>0</v>
      </c>
      <c r="I100" s="418">
        <f ca="1">IFERROR(__xludf.DUMMYFUNCTION("IMPORTRANGE(""https://docs.google.com/spreadsheets/d/1-uDff_7J0KD5mKrp0Vvzr7lt3OU09vwQwhkpOPPYv2Y/edit?usp=sharing"",""งบพรบ!EY100"")"),0)</f>
        <v>0</v>
      </c>
      <c r="J100" s="418">
        <f t="shared" ca="1" si="59"/>
        <v>0</v>
      </c>
      <c r="K100" s="419">
        <f t="shared" ca="1" si="60"/>
        <v>0</v>
      </c>
      <c r="L100" s="418">
        <f ca="1">IFERROR(__xludf.DUMMYFUNCTION("IMPORTRANGE(""https://docs.google.com/spreadsheets/d/1-uDff_7J0KD5mKrp0Vvzr7lt3OU09vwQwhkpOPPYv2Y/edit?usp=sharing"",""งบพรบ!EZ100"")"),0)</f>
        <v>0</v>
      </c>
      <c r="M100" s="420">
        <f t="shared" ca="1" si="61"/>
        <v>0</v>
      </c>
      <c r="N100" s="420">
        <f t="shared" ca="1" si="62"/>
        <v>0</v>
      </c>
      <c r="O100" s="204">
        <f ca="1">IFERROR(__xludf.DUMMYFUNCTION("IMPORTRANGE(""https://docs.google.com/spreadsheets/d/1-uDff_7J0KD5mKrp0Vvzr7lt3OU09vwQwhkpOPPYv2Y/edit?usp=sharing"",""งบพรบ!FA100"")"),0)</f>
        <v>0</v>
      </c>
      <c r="P100" s="204">
        <f t="shared" ca="1" si="63"/>
        <v>0</v>
      </c>
      <c r="Q100" s="420">
        <f t="shared" ca="1" si="64"/>
        <v>0</v>
      </c>
      <c r="R100" s="291"/>
      <c r="S100" s="291"/>
      <c r="T100" s="291"/>
      <c r="U100" s="291"/>
      <c r="V100" s="291"/>
      <c r="W100" s="331"/>
      <c r="X100" s="291"/>
      <c r="Y100" s="291"/>
      <c r="Z100" s="331"/>
      <c r="AA100" s="291"/>
      <c r="AB100" s="291"/>
      <c r="AC100" s="291"/>
      <c r="AD100" s="291"/>
      <c r="AE100" s="291"/>
      <c r="AF100" s="291"/>
      <c r="AG100" s="291"/>
    </row>
    <row r="101" spans="1:33" ht="24" customHeight="1" x14ac:dyDescent="0.3">
      <c r="A101" s="263"/>
      <c r="B101" s="106" t="s">
        <v>129</v>
      </c>
      <c r="C101" s="173">
        <f t="shared" ca="1" si="57"/>
        <v>0</v>
      </c>
      <c r="D101" s="174">
        <f t="shared" ca="1" si="58"/>
        <v>0</v>
      </c>
      <c r="E101" s="418">
        <f ca="1">IFERROR(__xludf.DUMMYFUNCTION("IMPORTRANGE(""https://docs.google.com/spreadsheets/d/1-uDff_7J0KD5mKrp0Vvzr7lt3OU09vwQwhkpOPPYv2Y/edit?usp=sharing"",""งบพรบ!ET101"")"),0)</f>
        <v>0</v>
      </c>
      <c r="F101" s="418">
        <f ca="1">IFERROR(__xludf.DUMMYFUNCTION("IMPORTRANGE(""https://docs.google.com/spreadsheets/d/1-uDff_7J0KD5mKrp0Vvzr7lt3OU09vwQwhkpOPPYv2Y/edit?usp=sharing"",""งบพรบ!EU101"")"),0)</f>
        <v>0</v>
      </c>
      <c r="G101" s="418">
        <f ca="1">IFERROR(__xludf.DUMMYFUNCTION("IMPORTRANGE(""https://docs.google.com/spreadsheets/d/1-uDff_7J0KD5mKrp0Vvzr7lt3OU09vwQwhkpOPPYv2Y/edit?usp=sharing"",""งบพรบ!EV101"")"),0)</f>
        <v>0</v>
      </c>
      <c r="H101" s="418">
        <f ca="1">IFERROR(__xludf.DUMMYFUNCTION("IMPORTRANGE(""https://docs.google.com/spreadsheets/d/1-uDff_7J0KD5mKrp0Vvzr7lt3OU09vwQwhkpOPPYv2Y/edit?usp=sharing"",""งบพรบ!EX101"")"),0)</f>
        <v>0</v>
      </c>
      <c r="I101" s="418">
        <f ca="1">IFERROR(__xludf.DUMMYFUNCTION("IMPORTRANGE(""https://docs.google.com/spreadsheets/d/1-uDff_7J0KD5mKrp0Vvzr7lt3OU09vwQwhkpOPPYv2Y/edit?usp=sharing"",""งบพรบ!EY101"")"),0)</f>
        <v>0</v>
      </c>
      <c r="J101" s="418">
        <f t="shared" ca="1" si="59"/>
        <v>0</v>
      </c>
      <c r="K101" s="419">
        <f t="shared" ca="1" si="60"/>
        <v>0</v>
      </c>
      <c r="L101" s="418">
        <f ca="1">IFERROR(__xludf.DUMMYFUNCTION("IMPORTRANGE(""https://docs.google.com/spreadsheets/d/1-uDff_7J0KD5mKrp0Vvzr7lt3OU09vwQwhkpOPPYv2Y/edit?usp=sharing"",""งบพรบ!EZ101"")"),0)</f>
        <v>0</v>
      </c>
      <c r="M101" s="420">
        <f t="shared" ca="1" si="61"/>
        <v>0</v>
      </c>
      <c r="N101" s="420">
        <f t="shared" ca="1" si="62"/>
        <v>0</v>
      </c>
      <c r="O101" s="204">
        <f ca="1">IFERROR(__xludf.DUMMYFUNCTION("IMPORTRANGE(""https://docs.google.com/spreadsheets/d/1-uDff_7J0KD5mKrp0Vvzr7lt3OU09vwQwhkpOPPYv2Y/edit?usp=sharing"",""งบพรบ!FA101"")"),0)</f>
        <v>0</v>
      </c>
      <c r="P101" s="204">
        <f t="shared" ca="1" si="63"/>
        <v>0</v>
      </c>
      <c r="Q101" s="420">
        <f t="shared" ca="1" si="64"/>
        <v>0</v>
      </c>
      <c r="R101" s="291"/>
      <c r="S101" s="291"/>
      <c r="T101" s="291"/>
      <c r="U101" s="291"/>
      <c r="V101" s="291"/>
      <c r="W101" s="331"/>
      <c r="X101" s="291"/>
      <c r="Y101" s="291"/>
      <c r="Z101" s="331"/>
      <c r="AA101" s="291"/>
      <c r="AB101" s="291"/>
      <c r="AC101" s="291"/>
      <c r="AD101" s="291"/>
      <c r="AE101" s="291"/>
      <c r="AF101" s="291"/>
      <c r="AG101" s="291"/>
    </row>
    <row r="102" spans="1:33" ht="24" customHeight="1" x14ac:dyDescent="0.3">
      <c r="A102" s="263"/>
      <c r="B102" s="106" t="s">
        <v>130</v>
      </c>
      <c r="C102" s="173">
        <f t="shared" ca="1" si="57"/>
        <v>0</v>
      </c>
      <c r="D102" s="174">
        <f t="shared" ca="1" si="58"/>
        <v>0</v>
      </c>
      <c r="E102" s="418">
        <f ca="1">IFERROR(__xludf.DUMMYFUNCTION("IMPORTRANGE(""https://docs.google.com/spreadsheets/d/1-uDff_7J0KD5mKrp0Vvzr7lt3OU09vwQwhkpOPPYv2Y/edit?usp=sharing"",""งบพรบ!ET102"")"),0)</f>
        <v>0</v>
      </c>
      <c r="F102" s="418">
        <f ca="1">IFERROR(__xludf.DUMMYFUNCTION("IMPORTRANGE(""https://docs.google.com/spreadsheets/d/1-uDff_7J0KD5mKrp0Vvzr7lt3OU09vwQwhkpOPPYv2Y/edit?usp=sharing"",""งบพรบ!EU102"")"),0)</f>
        <v>0</v>
      </c>
      <c r="G102" s="418">
        <f ca="1">IFERROR(__xludf.DUMMYFUNCTION("IMPORTRANGE(""https://docs.google.com/spreadsheets/d/1-uDff_7J0KD5mKrp0Vvzr7lt3OU09vwQwhkpOPPYv2Y/edit?usp=sharing"",""งบพรบ!EV102"")"),0)</f>
        <v>0</v>
      </c>
      <c r="H102" s="418">
        <f ca="1">IFERROR(__xludf.DUMMYFUNCTION("IMPORTRANGE(""https://docs.google.com/spreadsheets/d/1-uDff_7J0KD5mKrp0Vvzr7lt3OU09vwQwhkpOPPYv2Y/edit?usp=sharing"",""งบพรบ!EX102"")"),0)</f>
        <v>0</v>
      </c>
      <c r="I102" s="418">
        <f ca="1">IFERROR(__xludf.DUMMYFUNCTION("IMPORTRANGE(""https://docs.google.com/spreadsheets/d/1-uDff_7J0KD5mKrp0Vvzr7lt3OU09vwQwhkpOPPYv2Y/edit?usp=sharing"",""งบพรบ!EY102"")"),0)</f>
        <v>0</v>
      </c>
      <c r="J102" s="418">
        <f t="shared" ca="1" si="59"/>
        <v>0</v>
      </c>
      <c r="K102" s="419">
        <f t="shared" ca="1" si="60"/>
        <v>0</v>
      </c>
      <c r="L102" s="418">
        <f ca="1">IFERROR(__xludf.DUMMYFUNCTION("IMPORTRANGE(""https://docs.google.com/spreadsheets/d/1-uDff_7J0KD5mKrp0Vvzr7lt3OU09vwQwhkpOPPYv2Y/edit?usp=sharing"",""งบพรบ!EZ102"")"),0)</f>
        <v>0</v>
      </c>
      <c r="M102" s="420">
        <f t="shared" ca="1" si="61"/>
        <v>0</v>
      </c>
      <c r="N102" s="420">
        <f t="shared" ca="1" si="62"/>
        <v>0</v>
      </c>
      <c r="O102" s="204">
        <f ca="1">IFERROR(__xludf.DUMMYFUNCTION("IMPORTRANGE(""https://docs.google.com/spreadsheets/d/1-uDff_7J0KD5mKrp0Vvzr7lt3OU09vwQwhkpOPPYv2Y/edit?usp=sharing"",""งบพรบ!FA102"")"),0)</f>
        <v>0</v>
      </c>
      <c r="P102" s="204">
        <f t="shared" ca="1" si="63"/>
        <v>0</v>
      </c>
      <c r="Q102" s="420">
        <f t="shared" ca="1" si="64"/>
        <v>0</v>
      </c>
      <c r="R102" s="291"/>
      <c r="S102" s="291"/>
      <c r="T102" s="291"/>
      <c r="U102" s="291"/>
      <c r="V102" s="291"/>
      <c r="W102" s="331"/>
      <c r="X102" s="291"/>
      <c r="Y102" s="291"/>
      <c r="Z102" s="331"/>
      <c r="AA102" s="291"/>
      <c r="AB102" s="291"/>
      <c r="AC102" s="291"/>
      <c r="AD102" s="291"/>
      <c r="AE102" s="291"/>
      <c r="AF102" s="291"/>
      <c r="AG102" s="291"/>
    </row>
    <row r="103" spans="1:33" ht="24" customHeight="1" x14ac:dyDescent="0.3">
      <c r="A103" s="263"/>
      <c r="B103" s="106" t="s">
        <v>131</v>
      </c>
      <c r="C103" s="173">
        <f t="shared" ca="1" si="57"/>
        <v>0</v>
      </c>
      <c r="D103" s="174">
        <f t="shared" ca="1" si="58"/>
        <v>0</v>
      </c>
      <c r="E103" s="418">
        <f ca="1">IFERROR(__xludf.DUMMYFUNCTION("IMPORTRANGE(""https://docs.google.com/spreadsheets/d/1-uDff_7J0KD5mKrp0Vvzr7lt3OU09vwQwhkpOPPYv2Y/edit?usp=sharing"",""งบพรบ!ET103"")"),0)</f>
        <v>0</v>
      </c>
      <c r="F103" s="418">
        <f ca="1">IFERROR(__xludf.DUMMYFUNCTION("IMPORTRANGE(""https://docs.google.com/spreadsheets/d/1-uDff_7J0KD5mKrp0Vvzr7lt3OU09vwQwhkpOPPYv2Y/edit?usp=sharing"",""งบพรบ!EU103"")"),0)</f>
        <v>0</v>
      </c>
      <c r="G103" s="418">
        <f ca="1">IFERROR(__xludf.DUMMYFUNCTION("IMPORTRANGE(""https://docs.google.com/spreadsheets/d/1-uDff_7J0KD5mKrp0Vvzr7lt3OU09vwQwhkpOPPYv2Y/edit?usp=sharing"",""งบพรบ!EV103"")"),0)</f>
        <v>0</v>
      </c>
      <c r="H103" s="418">
        <f ca="1">IFERROR(__xludf.DUMMYFUNCTION("IMPORTRANGE(""https://docs.google.com/spreadsheets/d/1-uDff_7J0KD5mKrp0Vvzr7lt3OU09vwQwhkpOPPYv2Y/edit?usp=sharing"",""งบพรบ!EX103"")"),0)</f>
        <v>0</v>
      </c>
      <c r="I103" s="418">
        <f ca="1">IFERROR(__xludf.DUMMYFUNCTION("IMPORTRANGE(""https://docs.google.com/spreadsheets/d/1-uDff_7J0KD5mKrp0Vvzr7lt3OU09vwQwhkpOPPYv2Y/edit?usp=sharing"",""งบพรบ!EY103"")"),0)</f>
        <v>0</v>
      </c>
      <c r="J103" s="418">
        <f t="shared" ca="1" si="59"/>
        <v>0</v>
      </c>
      <c r="K103" s="419">
        <f t="shared" ca="1" si="60"/>
        <v>0</v>
      </c>
      <c r="L103" s="418">
        <f ca="1">IFERROR(__xludf.DUMMYFUNCTION("IMPORTRANGE(""https://docs.google.com/spreadsheets/d/1-uDff_7J0KD5mKrp0Vvzr7lt3OU09vwQwhkpOPPYv2Y/edit?usp=sharing"",""งบพรบ!EZ103"")"),0)</f>
        <v>0</v>
      </c>
      <c r="M103" s="420">
        <f t="shared" ca="1" si="61"/>
        <v>0</v>
      </c>
      <c r="N103" s="420">
        <f t="shared" ca="1" si="62"/>
        <v>0</v>
      </c>
      <c r="O103" s="204">
        <f ca="1">IFERROR(__xludf.DUMMYFUNCTION("IMPORTRANGE(""https://docs.google.com/spreadsheets/d/1-uDff_7J0KD5mKrp0Vvzr7lt3OU09vwQwhkpOPPYv2Y/edit?usp=sharing"",""งบพรบ!FA103"")"),0)</f>
        <v>0</v>
      </c>
      <c r="P103" s="204">
        <f t="shared" ca="1" si="63"/>
        <v>0</v>
      </c>
      <c r="Q103" s="420">
        <f t="shared" ca="1" si="64"/>
        <v>0</v>
      </c>
      <c r="R103" s="334"/>
      <c r="S103" s="334"/>
      <c r="T103" s="334"/>
      <c r="U103" s="334"/>
      <c r="V103" s="334"/>
      <c r="W103" s="335"/>
      <c r="X103" s="334"/>
      <c r="Y103" s="334"/>
      <c r="Z103" s="335"/>
      <c r="AA103" s="334"/>
      <c r="AB103" s="334"/>
      <c r="AC103" s="334"/>
      <c r="AD103" s="334"/>
      <c r="AE103" s="334"/>
      <c r="AF103" s="334"/>
      <c r="AG103" s="334"/>
    </row>
    <row r="104" spans="1:33" ht="21" customHeight="1" x14ac:dyDescent="0.3">
      <c r="A104" s="421"/>
      <c r="B104" s="109" t="s">
        <v>132</v>
      </c>
      <c r="C104" s="173">
        <f t="shared" ca="1" si="57"/>
        <v>266300</v>
      </c>
      <c r="D104" s="174">
        <f t="shared" ca="1" si="58"/>
        <v>266300</v>
      </c>
      <c r="E104" s="317">
        <f ca="1">IFERROR(__xludf.DUMMYFUNCTION("IMPORTRANGE(""https://docs.google.com/spreadsheets/d/1-uDff_7J0KD5mKrp0Vvzr7lt3OU09vwQwhkpOPPYv2Y/edit?usp=sharing"",""งบพรบ!ET104"")"),266300)</f>
        <v>266300</v>
      </c>
      <c r="F104" s="317">
        <f ca="1">IFERROR(__xludf.DUMMYFUNCTION("IMPORTRANGE(""https://docs.google.com/spreadsheets/d/1-uDff_7J0KD5mKrp0Vvzr7lt3OU09vwQwhkpOPPYv2Y/edit?usp=sharing"",""งบพรบ!EU104"")"),0)</f>
        <v>0</v>
      </c>
      <c r="G104" s="317">
        <f ca="1">IFERROR(__xludf.DUMMYFUNCTION("IMPORTRANGE(""https://docs.google.com/spreadsheets/d/1-uDff_7J0KD5mKrp0Vvzr7lt3OU09vwQwhkpOPPYv2Y/edit?usp=sharing"",""งบพรบ!EV104"")"),0)</f>
        <v>0</v>
      </c>
      <c r="H104" s="317">
        <f ca="1">IFERROR(__xludf.DUMMYFUNCTION("IMPORTRANGE(""https://docs.google.com/spreadsheets/d/1-uDff_7J0KD5mKrp0Vvzr7lt3OU09vwQwhkpOPPYv2Y/edit?usp=sharing"",""งบพรบ!EX104"")"),266300)</f>
        <v>266300</v>
      </c>
      <c r="I104" s="317">
        <f ca="1">IFERROR(__xludf.DUMMYFUNCTION("IMPORTRANGE(""https://docs.google.com/spreadsheets/d/1-uDff_7J0KD5mKrp0Vvzr7lt3OU09vwQwhkpOPPYv2Y/edit?usp=sharing"",""งบพรบ!EY104"")"),0)</f>
        <v>0</v>
      </c>
      <c r="J104" s="317">
        <f t="shared" ca="1" si="59"/>
        <v>0</v>
      </c>
      <c r="K104" s="422">
        <f t="shared" ca="1" si="60"/>
        <v>0</v>
      </c>
      <c r="L104" s="317">
        <f ca="1">IFERROR(__xludf.DUMMYFUNCTION("IMPORTRANGE(""https://docs.google.com/spreadsheets/d/1-uDff_7J0KD5mKrp0Vvzr7lt3OU09vwQwhkpOPPYv2Y/edit?usp=sharing"",""งบพรบ!EZ104"")"),0)</f>
        <v>0</v>
      </c>
      <c r="M104" s="318">
        <f t="shared" ca="1" si="61"/>
        <v>0</v>
      </c>
      <c r="N104" s="318">
        <f t="shared" ca="1" si="62"/>
        <v>0</v>
      </c>
      <c r="O104" s="423">
        <f ca="1">IFERROR(__xludf.DUMMYFUNCTION("IMPORTRANGE(""https://docs.google.com/spreadsheets/d/1-uDff_7J0KD5mKrp0Vvzr7lt3OU09vwQwhkpOPPYv2Y/edit?usp=sharing"",""งบพรบ!FA104"")"),0)</f>
        <v>0</v>
      </c>
      <c r="P104" s="423">
        <f t="shared" ca="1" si="63"/>
        <v>0</v>
      </c>
      <c r="Q104" s="318">
        <f t="shared" ca="1" si="64"/>
        <v>0</v>
      </c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</row>
    <row r="105" spans="1:33" ht="24" customHeight="1" x14ac:dyDescent="0.3">
      <c r="A105" s="263"/>
      <c r="B105" s="109" t="s">
        <v>133</v>
      </c>
      <c r="C105" s="173">
        <f t="shared" ca="1" si="57"/>
        <v>0</v>
      </c>
      <c r="D105" s="174">
        <f t="shared" ca="1" si="58"/>
        <v>0</v>
      </c>
      <c r="E105" s="418">
        <f ca="1">IFERROR(__xludf.DUMMYFUNCTION("IMPORTRANGE(""https://docs.google.com/spreadsheets/d/1-uDff_7J0KD5mKrp0Vvzr7lt3OU09vwQwhkpOPPYv2Y/edit?usp=sharing"",""งบพรบ!ET105"")"),0)</f>
        <v>0</v>
      </c>
      <c r="F105" s="418">
        <f ca="1">IFERROR(__xludf.DUMMYFUNCTION("IMPORTRANGE(""https://docs.google.com/spreadsheets/d/1-uDff_7J0KD5mKrp0Vvzr7lt3OU09vwQwhkpOPPYv2Y/edit?usp=sharing"",""งบพรบ!EU105"")"),0)</f>
        <v>0</v>
      </c>
      <c r="G105" s="418">
        <f ca="1">IFERROR(__xludf.DUMMYFUNCTION("IMPORTRANGE(""https://docs.google.com/spreadsheets/d/1-uDff_7J0KD5mKrp0Vvzr7lt3OU09vwQwhkpOPPYv2Y/edit?usp=sharing"",""งบพรบ!EV105"")"),0)</f>
        <v>0</v>
      </c>
      <c r="H105" s="418">
        <f ca="1">IFERROR(__xludf.DUMMYFUNCTION("IMPORTRANGE(""https://docs.google.com/spreadsheets/d/1-uDff_7J0KD5mKrp0Vvzr7lt3OU09vwQwhkpOPPYv2Y/edit?usp=sharing"",""งบพรบ!EX105"")"),0)</f>
        <v>0</v>
      </c>
      <c r="I105" s="418">
        <f ca="1">IFERROR(__xludf.DUMMYFUNCTION("IMPORTRANGE(""https://docs.google.com/spreadsheets/d/1-uDff_7J0KD5mKrp0Vvzr7lt3OU09vwQwhkpOPPYv2Y/edit?usp=sharing"",""งบพรบ!EY105"")"),0)</f>
        <v>0</v>
      </c>
      <c r="J105" s="418">
        <f t="shared" ca="1" si="59"/>
        <v>0</v>
      </c>
      <c r="K105" s="419">
        <f t="shared" ca="1" si="60"/>
        <v>0</v>
      </c>
      <c r="L105" s="418">
        <f ca="1">IFERROR(__xludf.DUMMYFUNCTION("IMPORTRANGE(""https://docs.google.com/spreadsheets/d/1-uDff_7J0KD5mKrp0Vvzr7lt3OU09vwQwhkpOPPYv2Y/edit?usp=sharing"",""งบพรบ!EZ105"")"),0)</f>
        <v>0</v>
      </c>
      <c r="M105" s="420">
        <f t="shared" ca="1" si="61"/>
        <v>0</v>
      </c>
      <c r="N105" s="420">
        <f t="shared" ca="1" si="62"/>
        <v>0</v>
      </c>
      <c r="O105" s="204">
        <f ca="1">IFERROR(__xludf.DUMMYFUNCTION("IMPORTRANGE(""https://docs.google.com/spreadsheets/d/1-uDff_7J0KD5mKrp0Vvzr7lt3OU09vwQwhkpOPPYv2Y/edit?usp=sharing"",""งบพรบ!FA105"")"),0)</f>
        <v>0</v>
      </c>
      <c r="P105" s="204">
        <f t="shared" ca="1" si="63"/>
        <v>0</v>
      </c>
      <c r="Q105" s="420">
        <f t="shared" ca="1" si="64"/>
        <v>0</v>
      </c>
      <c r="R105" s="284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G105" s="284"/>
    </row>
    <row r="106" spans="1:33" ht="24" customHeight="1" x14ac:dyDescent="0.3">
      <c r="A106" s="263"/>
      <c r="B106" s="109" t="s">
        <v>134</v>
      </c>
      <c r="C106" s="173">
        <f t="shared" ca="1" si="57"/>
        <v>0</v>
      </c>
      <c r="D106" s="174">
        <f t="shared" ca="1" si="58"/>
        <v>0</v>
      </c>
      <c r="E106" s="418">
        <f ca="1">IFERROR(__xludf.DUMMYFUNCTION("IMPORTRANGE(""https://docs.google.com/spreadsheets/d/1-uDff_7J0KD5mKrp0Vvzr7lt3OU09vwQwhkpOPPYv2Y/edit?usp=sharing"",""งบพรบ!ET106"")"),0)</f>
        <v>0</v>
      </c>
      <c r="F106" s="418">
        <f ca="1">IFERROR(__xludf.DUMMYFUNCTION("IMPORTRANGE(""https://docs.google.com/spreadsheets/d/1-uDff_7J0KD5mKrp0Vvzr7lt3OU09vwQwhkpOPPYv2Y/edit?usp=sharing"",""งบพรบ!EU106"")"),0)</f>
        <v>0</v>
      </c>
      <c r="G106" s="418">
        <f ca="1">IFERROR(__xludf.DUMMYFUNCTION("IMPORTRANGE(""https://docs.google.com/spreadsheets/d/1-uDff_7J0KD5mKrp0Vvzr7lt3OU09vwQwhkpOPPYv2Y/edit?usp=sharing"",""งบพรบ!EV106"")"),0)</f>
        <v>0</v>
      </c>
      <c r="H106" s="418">
        <f ca="1">IFERROR(__xludf.DUMMYFUNCTION("IMPORTRANGE(""https://docs.google.com/spreadsheets/d/1-uDff_7J0KD5mKrp0Vvzr7lt3OU09vwQwhkpOPPYv2Y/edit?usp=sharing"",""งบพรบ!EX106"")"),0)</f>
        <v>0</v>
      </c>
      <c r="I106" s="418">
        <f ca="1">IFERROR(__xludf.DUMMYFUNCTION("IMPORTRANGE(""https://docs.google.com/spreadsheets/d/1-uDff_7J0KD5mKrp0Vvzr7lt3OU09vwQwhkpOPPYv2Y/edit?usp=sharing"",""งบพรบ!EY106"")"),0)</f>
        <v>0</v>
      </c>
      <c r="J106" s="418">
        <f t="shared" ca="1" si="59"/>
        <v>0</v>
      </c>
      <c r="K106" s="419">
        <f t="shared" ca="1" si="60"/>
        <v>0</v>
      </c>
      <c r="L106" s="418">
        <f ca="1">IFERROR(__xludf.DUMMYFUNCTION("IMPORTRANGE(""https://docs.google.com/spreadsheets/d/1-uDff_7J0KD5mKrp0Vvzr7lt3OU09vwQwhkpOPPYv2Y/edit?usp=sharing"",""งบพรบ!EZ106"")"),0)</f>
        <v>0</v>
      </c>
      <c r="M106" s="420">
        <f t="shared" ca="1" si="61"/>
        <v>0</v>
      </c>
      <c r="N106" s="420">
        <f t="shared" ca="1" si="62"/>
        <v>0</v>
      </c>
      <c r="O106" s="204">
        <f ca="1">IFERROR(__xludf.DUMMYFUNCTION("IMPORTRANGE(""https://docs.google.com/spreadsheets/d/1-uDff_7J0KD5mKrp0Vvzr7lt3OU09vwQwhkpOPPYv2Y/edit?usp=sharing"",""งบพรบ!FA106"")"),0)</f>
        <v>0</v>
      </c>
      <c r="P106" s="204">
        <f t="shared" ca="1" si="63"/>
        <v>0</v>
      </c>
      <c r="Q106" s="420">
        <f t="shared" ca="1" si="64"/>
        <v>0</v>
      </c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</row>
    <row r="107" spans="1:33" ht="24" customHeight="1" x14ac:dyDescent="0.3">
      <c r="A107" s="263"/>
      <c r="B107" s="109" t="s">
        <v>26</v>
      </c>
      <c r="C107" s="173">
        <f t="shared" ca="1" si="57"/>
        <v>0</v>
      </c>
      <c r="D107" s="174">
        <f t="shared" ca="1" si="58"/>
        <v>0</v>
      </c>
      <c r="E107" s="418">
        <f ca="1">IFERROR(__xludf.DUMMYFUNCTION("IMPORTRANGE(""https://docs.google.com/spreadsheets/d/1-uDff_7J0KD5mKrp0Vvzr7lt3OU09vwQwhkpOPPYv2Y/edit?usp=sharing"",""งบพรบ!ET107"")"),0)</f>
        <v>0</v>
      </c>
      <c r="F107" s="418">
        <f ca="1">IFERROR(__xludf.DUMMYFUNCTION("IMPORTRANGE(""https://docs.google.com/spreadsheets/d/1-uDff_7J0KD5mKrp0Vvzr7lt3OU09vwQwhkpOPPYv2Y/edit?usp=sharing"",""งบพรบ!EU107"")"),0)</f>
        <v>0</v>
      </c>
      <c r="G107" s="418">
        <f ca="1">IFERROR(__xludf.DUMMYFUNCTION("IMPORTRANGE(""https://docs.google.com/spreadsheets/d/1-uDff_7J0KD5mKrp0Vvzr7lt3OU09vwQwhkpOPPYv2Y/edit?usp=sharing"",""งบพรบ!EV107"")"),0)</f>
        <v>0</v>
      </c>
      <c r="H107" s="418">
        <f ca="1">IFERROR(__xludf.DUMMYFUNCTION("IMPORTRANGE(""https://docs.google.com/spreadsheets/d/1-uDff_7J0KD5mKrp0Vvzr7lt3OU09vwQwhkpOPPYv2Y/edit?usp=sharing"",""งบพรบ!EX107"")"),0)</f>
        <v>0</v>
      </c>
      <c r="I107" s="418">
        <f ca="1">IFERROR(__xludf.DUMMYFUNCTION("IMPORTRANGE(""https://docs.google.com/spreadsheets/d/1-uDff_7J0KD5mKrp0Vvzr7lt3OU09vwQwhkpOPPYv2Y/edit?usp=sharing"",""งบพรบ!EY107"")"),0)</f>
        <v>0</v>
      </c>
      <c r="J107" s="418">
        <f t="shared" ca="1" si="59"/>
        <v>0</v>
      </c>
      <c r="K107" s="419">
        <f t="shared" ca="1" si="60"/>
        <v>0</v>
      </c>
      <c r="L107" s="418">
        <f ca="1">IFERROR(__xludf.DUMMYFUNCTION("IMPORTRANGE(""https://docs.google.com/spreadsheets/d/1-uDff_7J0KD5mKrp0Vvzr7lt3OU09vwQwhkpOPPYv2Y/edit?usp=sharing"",""งบพรบ!EZ107"")"),0)</f>
        <v>0</v>
      </c>
      <c r="M107" s="420">
        <f t="shared" ca="1" si="61"/>
        <v>0</v>
      </c>
      <c r="N107" s="420">
        <f t="shared" ca="1" si="62"/>
        <v>0</v>
      </c>
      <c r="O107" s="204">
        <f ca="1">IFERROR(__xludf.DUMMYFUNCTION("IMPORTRANGE(""https://docs.google.com/spreadsheets/d/1-uDff_7J0KD5mKrp0Vvzr7lt3OU09vwQwhkpOPPYv2Y/edit?usp=sharing"",""งบพรบ!FA107"")"),0)</f>
        <v>0</v>
      </c>
      <c r="P107" s="204">
        <f t="shared" ca="1" si="63"/>
        <v>0</v>
      </c>
      <c r="Q107" s="420">
        <f t="shared" ca="1" si="64"/>
        <v>0</v>
      </c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</row>
    <row r="108" spans="1:33" ht="24" customHeight="1" x14ac:dyDescent="0.3">
      <c r="A108" s="268"/>
      <c r="B108" s="113" t="s">
        <v>135</v>
      </c>
      <c r="C108" s="193">
        <f t="shared" ca="1" si="57"/>
        <v>0</v>
      </c>
      <c r="D108" s="194">
        <f t="shared" ca="1" si="58"/>
        <v>0</v>
      </c>
      <c r="E108" s="424">
        <f ca="1">IFERROR(__xludf.DUMMYFUNCTION("IMPORTRANGE(""https://docs.google.com/spreadsheets/d/1-uDff_7J0KD5mKrp0Vvzr7lt3OU09vwQwhkpOPPYv2Y/edit?usp=sharing"",""งบพรบ!ET108"")"),0)</f>
        <v>0</v>
      </c>
      <c r="F108" s="424">
        <f ca="1">IFERROR(__xludf.DUMMYFUNCTION("IMPORTRANGE(""https://docs.google.com/spreadsheets/d/1-uDff_7J0KD5mKrp0Vvzr7lt3OU09vwQwhkpOPPYv2Y/edit?usp=sharing"",""งบพรบ!EU108"")"),0)</f>
        <v>0</v>
      </c>
      <c r="G108" s="424">
        <f ca="1">IFERROR(__xludf.DUMMYFUNCTION("IMPORTRANGE(""https://docs.google.com/spreadsheets/d/1-uDff_7J0KD5mKrp0Vvzr7lt3OU09vwQwhkpOPPYv2Y/edit?usp=sharing"",""งบพรบ!EV108"")"),0)</f>
        <v>0</v>
      </c>
      <c r="H108" s="424">
        <f ca="1">IFERROR(__xludf.DUMMYFUNCTION("IMPORTRANGE(""https://docs.google.com/spreadsheets/d/1-uDff_7J0KD5mKrp0Vvzr7lt3OU09vwQwhkpOPPYv2Y/edit?usp=sharing"",""งบพรบ!EX108"")"),0)</f>
        <v>0</v>
      </c>
      <c r="I108" s="424">
        <f ca="1">IFERROR(__xludf.DUMMYFUNCTION("IMPORTRANGE(""https://docs.google.com/spreadsheets/d/1-uDff_7J0KD5mKrp0Vvzr7lt3OU09vwQwhkpOPPYv2Y/edit?usp=sharing"",""งบพรบ!EY108"")"),0)</f>
        <v>0</v>
      </c>
      <c r="J108" s="424">
        <f t="shared" ca="1" si="59"/>
        <v>0</v>
      </c>
      <c r="K108" s="425">
        <f t="shared" ca="1" si="60"/>
        <v>0</v>
      </c>
      <c r="L108" s="424">
        <f ca="1">IFERROR(__xludf.DUMMYFUNCTION("IMPORTRANGE(""https://docs.google.com/spreadsheets/d/1-uDff_7J0KD5mKrp0Vvzr7lt3OU09vwQwhkpOPPYv2Y/edit?usp=sharing"",""งบพรบ!EZ108"")"),0)</f>
        <v>0</v>
      </c>
      <c r="M108" s="426">
        <f t="shared" ca="1" si="61"/>
        <v>0</v>
      </c>
      <c r="N108" s="426">
        <f t="shared" ca="1" si="62"/>
        <v>0</v>
      </c>
      <c r="O108" s="207">
        <f ca="1">IFERROR(__xludf.DUMMYFUNCTION("IMPORTRANGE(""https://docs.google.com/spreadsheets/d/1-uDff_7J0KD5mKrp0Vvzr7lt3OU09vwQwhkpOPPYv2Y/edit?usp=sharing"",""งบพรบ!FA108"")"),0)</f>
        <v>0</v>
      </c>
      <c r="P108" s="207">
        <f t="shared" ca="1" si="63"/>
        <v>0</v>
      </c>
      <c r="Q108" s="426">
        <f t="shared" ca="1" si="64"/>
        <v>0</v>
      </c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</row>
  </sheetData>
  <mergeCells count="36">
    <mergeCell ref="C2:Q2"/>
    <mergeCell ref="R2:AG2"/>
    <mergeCell ref="R3:T4"/>
    <mergeCell ref="X3:AA4"/>
    <mergeCell ref="AE3:AG3"/>
    <mergeCell ref="U4:W4"/>
    <mergeCell ref="AG4:AG5"/>
    <mergeCell ref="AE4:AE5"/>
    <mergeCell ref="AF4:AF5"/>
    <mergeCell ref="O5:Q5"/>
    <mergeCell ref="S5:T5"/>
    <mergeCell ref="V5:W5"/>
    <mergeCell ref="Y5:Z5"/>
    <mergeCell ref="C3:Q3"/>
    <mergeCell ref="C4:G4"/>
    <mergeCell ref="H4:I4"/>
    <mergeCell ref="J4:Q4"/>
    <mergeCell ref="AD3:AD5"/>
    <mergeCell ref="AB4:AB5"/>
    <mergeCell ref="AC4:AC5"/>
    <mergeCell ref="A74:B74"/>
    <mergeCell ref="A89:B89"/>
    <mergeCell ref="C5:C6"/>
    <mergeCell ref="D5:D6"/>
    <mergeCell ref="E5:E6"/>
    <mergeCell ref="A2:B6"/>
    <mergeCell ref="A7:B7"/>
    <mergeCell ref="J5:K5"/>
    <mergeCell ref="L5:N5"/>
    <mergeCell ref="A13:B13"/>
    <mergeCell ref="A31:B31"/>
    <mergeCell ref="A52:B52"/>
    <mergeCell ref="F5:F6"/>
    <mergeCell ref="G5:G6"/>
    <mergeCell ref="H5:H6"/>
    <mergeCell ref="I5:I6"/>
  </mergeCells>
  <conditionalFormatting sqref="K14:K30 K32:K51 K53:K73 K75:K88 K90:K108">
    <cfRule type="colorScale" priority="1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T14:T30 T32:T51 T53:T73 T75:T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FF00"/>
    <outlinePr summaryBelow="0" summaryRight="0"/>
  </sheetPr>
  <dimension ref="A1:AE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4.85546875" customWidth="1"/>
    <col min="4" max="6" width="13.85546875" customWidth="1"/>
    <col min="8" max="8" width="16.42578125" customWidth="1"/>
    <col min="10" max="10" width="14.5703125" customWidth="1"/>
    <col min="12" max="12" width="14.85546875" customWidth="1"/>
    <col min="13" max="13" width="14.5703125" customWidth="1"/>
    <col min="14" max="14" width="15.85546875" customWidth="1"/>
    <col min="16" max="16" width="14.5703125" customWidth="1"/>
    <col min="17" max="17" width="15.85546875" customWidth="1"/>
    <col min="18" max="19" width="15.28515625" customWidth="1"/>
    <col min="20" max="20" width="13.85546875" customWidth="1"/>
  </cols>
  <sheetData>
    <row r="1" spans="1:31" ht="19.5" x14ac:dyDescent="0.3">
      <c r="A1" s="1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7"/>
      <c r="S1" s="117"/>
      <c r="T1" s="117"/>
      <c r="U1" s="117"/>
      <c r="V1" s="117"/>
      <c r="W1" s="114"/>
      <c r="X1" s="114"/>
      <c r="Y1" s="114"/>
      <c r="Z1" s="114"/>
      <c r="AA1" s="114"/>
      <c r="AB1" s="114"/>
      <c r="AC1" s="114"/>
      <c r="AD1" s="114"/>
      <c r="AE1" s="114"/>
    </row>
    <row r="2" spans="1:31" ht="19.5" x14ac:dyDescent="0.2">
      <c r="A2" s="692" t="s">
        <v>1</v>
      </c>
      <c r="B2" s="658"/>
      <c r="C2" s="689" t="s">
        <v>243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90" t="s">
        <v>244</v>
      </c>
      <c r="X2" s="646"/>
      <c r="Y2" s="646"/>
      <c r="Z2" s="646"/>
      <c r="AA2" s="646"/>
      <c r="AB2" s="646"/>
      <c r="AC2" s="646"/>
      <c r="AD2" s="646"/>
      <c r="AE2" s="647"/>
    </row>
    <row r="3" spans="1:31" ht="19.5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45" t="s">
        <v>5</v>
      </c>
      <c r="S3" s="646"/>
      <c r="T3" s="646"/>
      <c r="U3" s="646"/>
      <c r="V3" s="647"/>
      <c r="W3" s="778" t="s">
        <v>245</v>
      </c>
      <c r="X3" s="646"/>
      <c r="Y3" s="646"/>
      <c r="Z3" s="646"/>
      <c r="AA3" s="646"/>
      <c r="AB3" s="646"/>
      <c r="AC3" s="646"/>
      <c r="AD3" s="646"/>
      <c r="AE3" s="647"/>
    </row>
    <row r="4" spans="1:31" ht="19.5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648" t="s">
        <v>11</v>
      </c>
      <c r="S4" s="651" t="s">
        <v>12</v>
      </c>
      <c r="T4" s="652" t="s">
        <v>13</v>
      </c>
      <c r="U4" s="652" t="s">
        <v>14</v>
      </c>
      <c r="V4" s="652" t="s">
        <v>15</v>
      </c>
      <c r="W4" s="775" t="s">
        <v>190</v>
      </c>
      <c r="X4" s="646"/>
      <c r="Y4" s="647"/>
      <c r="Z4" s="779" t="s">
        <v>246</v>
      </c>
      <c r="AA4" s="646"/>
      <c r="AB4" s="647"/>
      <c r="AC4" s="779" t="s">
        <v>247</v>
      </c>
      <c r="AD4" s="646"/>
      <c r="AE4" s="647"/>
    </row>
    <row r="5" spans="1:31" ht="19.5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649"/>
      <c r="S5" s="649"/>
      <c r="T5" s="649"/>
      <c r="U5" s="649"/>
      <c r="V5" s="649"/>
      <c r="W5" s="427" t="s">
        <v>28</v>
      </c>
      <c r="X5" s="776" t="s">
        <v>29</v>
      </c>
      <c r="Y5" s="647"/>
      <c r="Z5" s="428" t="s">
        <v>28</v>
      </c>
      <c r="AA5" s="777" t="s">
        <v>29</v>
      </c>
      <c r="AB5" s="647"/>
      <c r="AC5" s="428" t="s">
        <v>28</v>
      </c>
      <c r="AD5" s="777" t="s">
        <v>29</v>
      </c>
      <c r="AE5" s="647"/>
    </row>
    <row r="6" spans="1:31" ht="34.5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650"/>
      <c r="S6" s="650"/>
      <c r="T6" s="650"/>
      <c r="U6" s="650"/>
      <c r="V6" s="650"/>
      <c r="W6" s="429" t="s">
        <v>140</v>
      </c>
      <c r="X6" s="430" t="s">
        <v>140</v>
      </c>
      <c r="Y6" s="430" t="s">
        <v>31</v>
      </c>
      <c r="Z6" s="431" t="s">
        <v>140</v>
      </c>
      <c r="AA6" s="432" t="s">
        <v>34</v>
      </c>
      <c r="AB6" s="432" t="s">
        <v>140</v>
      </c>
      <c r="AC6" s="431" t="s">
        <v>140</v>
      </c>
      <c r="AD6" s="432" t="s">
        <v>34</v>
      </c>
      <c r="AE6" s="432" t="s">
        <v>140</v>
      </c>
    </row>
    <row r="7" spans="1:31" ht="19.5" x14ac:dyDescent="0.3">
      <c r="A7" s="694" t="s">
        <v>38</v>
      </c>
      <c r="B7" s="647"/>
      <c r="C7" s="126">
        <f t="shared" ref="C7:C9" ca="1" si="0">D7+G7</f>
        <v>3605300</v>
      </c>
      <c r="D7" s="127">
        <f t="shared" ref="D7:I7" ca="1" si="1">D8+D9</f>
        <v>3605300</v>
      </c>
      <c r="E7" s="128">
        <f t="shared" ca="1" si="1"/>
        <v>1622400</v>
      </c>
      <c r="F7" s="129">
        <f t="shared" ca="1" si="1"/>
        <v>1982900</v>
      </c>
      <c r="G7" s="130">
        <f t="shared" ca="1" si="1"/>
        <v>0</v>
      </c>
      <c r="H7" s="131">
        <f t="shared" ca="1" si="1"/>
        <v>3605300</v>
      </c>
      <c r="I7" s="131">
        <f t="shared" ca="1" si="1"/>
        <v>0</v>
      </c>
      <c r="J7" s="132">
        <f t="shared" ref="J7:J9" ca="1" si="2">L7+O7</f>
        <v>2507610.87</v>
      </c>
      <c r="K7" s="133">
        <f t="shared" ref="K7:K9" ca="1" si="3">IF(C7&gt;0,J7*100/C7,0)</f>
        <v>69.55345935151027</v>
      </c>
      <c r="L7" s="132">
        <f ca="1">L8+L9</f>
        <v>2507610.87</v>
      </c>
      <c r="M7" s="27">
        <f t="shared" ref="M7:M9" ca="1" si="4">IF(D7&gt;0,L7*100/D7,0)</f>
        <v>69.55345935151027</v>
      </c>
      <c r="N7" s="27">
        <f t="shared" ref="N7:N9" ca="1" si="5">IF(H7&gt;0,L7*100/H7,0)</f>
        <v>69.55345935151027</v>
      </c>
      <c r="O7" s="26">
        <f ca="1">O8+O9</f>
        <v>0</v>
      </c>
      <c r="P7" s="26">
        <f t="shared" ref="P7:P9" ca="1" si="6">IF(G7&gt;0,O7*100/G7,0)</f>
        <v>0</v>
      </c>
      <c r="Q7" s="27">
        <f t="shared" ref="Q7:Q9" ca="1" si="7">IF(I7&gt;0,O7*100/I7,0)</f>
        <v>0</v>
      </c>
      <c r="R7" s="26">
        <f t="shared" ref="R7:T7" ca="1" si="8">R8+R9</f>
        <v>21875000</v>
      </c>
      <c r="S7" s="26">
        <f t="shared" ca="1" si="8"/>
        <v>20974921</v>
      </c>
      <c r="T7" s="26">
        <f t="shared" ca="1" si="8"/>
        <v>14225715.550000001</v>
      </c>
      <c r="U7" s="27">
        <f t="shared" ref="U7:U9" ca="1" si="9">IF(R7&gt;0,T7*100/R7,0)</f>
        <v>65.031842514285714</v>
      </c>
      <c r="V7" s="27">
        <f t="shared" ref="V7:V9" ca="1" si="10">IF(S7&gt;0,T7*100/S7,0)</f>
        <v>67.822498830865683</v>
      </c>
      <c r="W7" s="433">
        <f ca="1">W8+W9</f>
        <v>350000</v>
      </c>
      <c r="X7" s="434">
        <f ca="1">X8</f>
        <v>187436.02</v>
      </c>
      <c r="Y7" s="435">
        <f t="shared" ref="Y7:Y88" ca="1" si="11">IF(W7&gt;0,X7*100/W7,0)</f>
        <v>53.553148571428572</v>
      </c>
      <c r="Z7" s="436">
        <f t="shared" ref="Z7:AE7" ca="1" si="12">Z8+Z9</f>
        <v>134000</v>
      </c>
      <c r="AA7" s="436">
        <f t="shared" ca="1" si="12"/>
        <v>3422</v>
      </c>
      <c r="AB7" s="436">
        <f t="shared" ca="1" si="12"/>
        <v>41673</v>
      </c>
      <c r="AC7" s="437">
        <f t="shared" ca="1" si="12"/>
        <v>216000</v>
      </c>
      <c r="AD7" s="438">
        <f t="shared" ca="1" si="12"/>
        <v>13271</v>
      </c>
      <c r="AE7" s="438">
        <f t="shared" ca="1" si="12"/>
        <v>145763.02000000002</v>
      </c>
    </row>
    <row r="8" spans="1:31" ht="19.5" x14ac:dyDescent="0.3">
      <c r="A8" s="134" t="s">
        <v>39</v>
      </c>
      <c r="B8" s="135"/>
      <c r="C8" s="136">
        <f t="shared" ca="1" si="0"/>
        <v>889100</v>
      </c>
      <c r="D8" s="136">
        <f t="shared" ref="D8:I8" ca="1" si="13">+D13+D31+D52+D74</f>
        <v>889100</v>
      </c>
      <c r="E8" s="136">
        <f t="shared" ca="1" si="13"/>
        <v>889100</v>
      </c>
      <c r="F8" s="136">
        <f t="shared" ca="1" si="13"/>
        <v>0</v>
      </c>
      <c r="G8" s="136">
        <f t="shared" ca="1" si="13"/>
        <v>0</v>
      </c>
      <c r="H8" s="136">
        <f t="shared" ca="1" si="13"/>
        <v>889100</v>
      </c>
      <c r="I8" s="136">
        <f t="shared" ca="1" si="13"/>
        <v>0</v>
      </c>
      <c r="J8" s="136">
        <f t="shared" ca="1" si="2"/>
        <v>496100.73</v>
      </c>
      <c r="K8" s="137">
        <f t="shared" ca="1" si="3"/>
        <v>55.798080080980768</v>
      </c>
      <c r="L8" s="136">
        <f ca="1">+L13+L31+L52+L74</f>
        <v>496100.73</v>
      </c>
      <c r="M8" s="37">
        <f t="shared" ca="1" si="4"/>
        <v>55.798080080980768</v>
      </c>
      <c r="N8" s="37">
        <f t="shared" ca="1" si="5"/>
        <v>55.798080080980768</v>
      </c>
      <c r="O8" s="36">
        <f ca="1">+O13+O31+O52+O74</f>
        <v>0</v>
      </c>
      <c r="P8" s="36">
        <f t="shared" ca="1" si="6"/>
        <v>0</v>
      </c>
      <c r="Q8" s="37">
        <f t="shared" ca="1" si="7"/>
        <v>0</v>
      </c>
      <c r="R8" s="36">
        <f t="shared" ref="R8:T8" ca="1" si="14">+R13+R31+R52+R74</f>
        <v>8375000</v>
      </c>
      <c r="S8" s="36">
        <f t="shared" ca="1" si="14"/>
        <v>7474921</v>
      </c>
      <c r="T8" s="36">
        <f t="shared" ca="1" si="14"/>
        <v>4185477.55</v>
      </c>
      <c r="U8" s="37">
        <f t="shared" ca="1" si="9"/>
        <v>49.97585134328358</v>
      </c>
      <c r="V8" s="37">
        <f t="shared" ca="1" si="10"/>
        <v>55.993602474193374</v>
      </c>
      <c r="W8" s="32">
        <f t="shared" ref="W8:X8" ca="1" si="15">+W13+W31+W52+W74</f>
        <v>350000</v>
      </c>
      <c r="X8" s="32">
        <f t="shared" ca="1" si="15"/>
        <v>187436.02</v>
      </c>
      <c r="Y8" s="33">
        <f t="shared" ca="1" si="11"/>
        <v>53.553148571428572</v>
      </c>
      <c r="Z8" s="32">
        <f t="shared" ref="Z8:AB8" ca="1" si="16">+Z13+Z31+Z52+Z74</f>
        <v>134000</v>
      </c>
      <c r="AA8" s="32">
        <f t="shared" ca="1" si="16"/>
        <v>3422</v>
      </c>
      <c r="AB8" s="32">
        <f t="shared" ca="1" si="16"/>
        <v>41673</v>
      </c>
      <c r="AC8" s="136">
        <v>0</v>
      </c>
      <c r="AD8" s="32">
        <v>0</v>
      </c>
      <c r="AE8" s="32">
        <v>0</v>
      </c>
    </row>
    <row r="9" spans="1:31" ht="19.5" x14ac:dyDescent="0.3">
      <c r="A9" s="38" t="s">
        <v>40</v>
      </c>
      <c r="B9" s="138"/>
      <c r="C9" s="139">
        <f t="shared" ca="1" si="0"/>
        <v>2716200</v>
      </c>
      <c r="D9" s="139">
        <f t="shared" ref="D9:I9" ca="1" si="17">+D89</f>
        <v>2716200</v>
      </c>
      <c r="E9" s="139">
        <f t="shared" ca="1" si="17"/>
        <v>733300</v>
      </c>
      <c r="F9" s="139">
        <f t="shared" ca="1" si="17"/>
        <v>1982900</v>
      </c>
      <c r="G9" s="139">
        <f t="shared" ca="1" si="17"/>
        <v>0</v>
      </c>
      <c r="H9" s="139">
        <f t="shared" ca="1" si="17"/>
        <v>2716200</v>
      </c>
      <c r="I9" s="139">
        <f t="shared" ca="1" si="17"/>
        <v>0</v>
      </c>
      <c r="J9" s="139">
        <f t="shared" ca="1" si="2"/>
        <v>2011510.14</v>
      </c>
      <c r="K9" s="140">
        <f t="shared" ca="1" si="3"/>
        <v>74.056039319637733</v>
      </c>
      <c r="L9" s="139">
        <f ca="1">+L89</f>
        <v>2011510.14</v>
      </c>
      <c r="M9" s="44">
        <f t="shared" ca="1" si="4"/>
        <v>74.056039319637733</v>
      </c>
      <c r="N9" s="44">
        <f t="shared" ca="1" si="5"/>
        <v>74.056039319637733</v>
      </c>
      <c r="O9" s="43">
        <f ca="1">+O89</f>
        <v>0</v>
      </c>
      <c r="P9" s="43">
        <f t="shared" ca="1" si="6"/>
        <v>0</v>
      </c>
      <c r="Q9" s="44">
        <f t="shared" ca="1" si="7"/>
        <v>0</v>
      </c>
      <c r="R9" s="43">
        <f t="shared" ref="R9:T9" ca="1" si="18">+R89</f>
        <v>13500000</v>
      </c>
      <c r="S9" s="43">
        <f t="shared" ca="1" si="18"/>
        <v>13500000</v>
      </c>
      <c r="T9" s="43">
        <f t="shared" ca="1" si="18"/>
        <v>10040238</v>
      </c>
      <c r="U9" s="44">
        <f t="shared" ca="1" si="9"/>
        <v>74.372133333333338</v>
      </c>
      <c r="V9" s="44">
        <f t="shared" ca="1" si="10"/>
        <v>74.372133333333338</v>
      </c>
      <c r="W9" s="39">
        <v>0</v>
      </c>
      <c r="X9" s="39">
        <v>0</v>
      </c>
      <c r="Y9" s="40">
        <f t="shared" si="11"/>
        <v>0</v>
      </c>
      <c r="Z9" s="39">
        <v>0</v>
      </c>
      <c r="AA9" s="39">
        <v>0</v>
      </c>
      <c r="AB9" s="39">
        <v>0</v>
      </c>
      <c r="AC9" s="139">
        <f t="shared" ref="AC9:AE9" ca="1" si="19">AC13+AC31+AC52+AC74</f>
        <v>216000</v>
      </c>
      <c r="AD9" s="139">
        <f t="shared" ca="1" si="19"/>
        <v>13271</v>
      </c>
      <c r="AE9" s="139">
        <f t="shared" ca="1" si="19"/>
        <v>145763.02000000002</v>
      </c>
    </row>
    <row r="10" spans="1:31" ht="19.5" hidden="1" x14ac:dyDescent="0.3">
      <c r="A10" s="141"/>
      <c r="B10" s="142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47">
        <f t="shared" si="11"/>
        <v>0</v>
      </c>
      <c r="Z10" s="46"/>
      <c r="AA10" s="46"/>
      <c r="AB10" s="46"/>
      <c r="AC10" s="214"/>
      <c r="AD10" s="46"/>
      <c r="AE10" s="46"/>
    </row>
    <row r="11" spans="1:31" ht="19.5" hidden="1" x14ac:dyDescent="0.3">
      <c r="A11" s="141"/>
      <c r="B11" s="142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47">
        <f t="shared" si="11"/>
        <v>0</v>
      </c>
      <c r="Z11" s="46"/>
      <c r="AA11" s="46"/>
      <c r="AB11" s="46"/>
      <c r="AC11" s="214"/>
      <c r="AD11" s="46"/>
      <c r="AE11" s="46"/>
    </row>
    <row r="12" spans="1:31" ht="19.5" hidden="1" x14ac:dyDescent="0.3">
      <c r="A12" s="141"/>
      <c r="B12" s="142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47">
        <f t="shared" si="11"/>
        <v>0</v>
      </c>
      <c r="Z12" s="46"/>
      <c r="AA12" s="46">
        <f t="shared" ref="AA12:AB12" ca="1" si="20">SUM(AA13:AA29)</f>
        <v>2465</v>
      </c>
      <c r="AB12" s="46">
        <f t="shared" ca="1" si="20"/>
        <v>22917</v>
      </c>
      <c r="AC12" s="214"/>
      <c r="AD12" s="46"/>
      <c r="AE12" s="46"/>
    </row>
    <row r="13" spans="1:31" ht="19.5" x14ac:dyDescent="0.3">
      <c r="A13" s="695" t="s">
        <v>41</v>
      </c>
      <c r="B13" s="647"/>
      <c r="C13" s="145">
        <f t="shared" ref="C13:C88" ca="1" si="21">D13+G13</f>
        <v>141000</v>
      </c>
      <c r="D13" s="145">
        <f t="shared" ref="D13:I13" ca="1" si="22">SUM(D14:D30)</f>
        <v>141000</v>
      </c>
      <c r="E13" s="145">
        <f t="shared" ca="1" si="22"/>
        <v>141000</v>
      </c>
      <c r="F13" s="145">
        <f t="shared" ca="1" si="22"/>
        <v>0</v>
      </c>
      <c r="G13" s="145">
        <f t="shared" ca="1" si="22"/>
        <v>0</v>
      </c>
      <c r="H13" s="145">
        <f t="shared" ca="1" si="22"/>
        <v>141000</v>
      </c>
      <c r="I13" s="145">
        <f t="shared" ca="1" si="22"/>
        <v>0</v>
      </c>
      <c r="J13" s="145">
        <f t="shared" ref="J13:J88" ca="1" si="23">L13+O13</f>
        <v>133097.9</v>
      </c>
      <c r="K13" s="146">
        <f t="shared" ref="K13:K88" ca="1" si="24">IF(C13&gt;0,J13*100/C13,0)</f>
        <v>94.395673758865243</v>
      </c>
      <c r="L13" s="145">
        <f ca="1">SUM(L14:L30)</f>
        <v>133097.9</v>
      </c>
      <c r="M13" s="57">
        <f t="shared" ref="M13:M88" ca="1" si="25">IF(D13&gt;0,L13*100/D13,0)</f>
        <v>94.395673758865243</v>
      </c>
      <c r="N13" s="57">
        <f t="shared" ref="N13:N88" ca="1" si="26">IF(H13&gt;0,L13*100/H13,0)</f>
        <v>94.395673758865243</v>
      </c>
      <c r="O13" s="56">
        <f ca="1">SUM(O14:O30)</f>
        <v>0</v>
      </c>
      <c r="P13" s="56">
        <f t="shared" ref="P13:P88" ca="1" si="27">IF(G13&gt;0,O13*100/G13,0)</f>
        <v>0</v>
      </c>
      <c r="Q13" s="57">
        <f t="shared" ref="Q13:Q88" ca="1" si="28">IF(I13&gt;0,O13*100/I13,0)</f>
        <v>0</v>
      </c>
      <c r="R13" s="56">
        <f t="shared" ref="R13:T13" ca="1" si="29">SUM(R14:R30)</f>
        <v>2437500</v>
      </c>
      <c r="S13" s="56">
        <f t="shared" ca="1" si="29"/>
        <v>2112720</v>
      </c>
      <c r="T13" s="56">
        <f t="shared" ca="1" si="29"/>
        <v>1024517.93</v>
      </c>
      <c r="U13" s="57">
        <f t="shared" ref="U13:U108" ca="1" si="30">IF(R13&gt;0,T13*100/R13,0)</f>
        <v>42.031504820512822</v>
      </c>
      <c r="V13" s="57">
        <f t="shared" ref="V13:V108" ca="1" si="31">IF(S13&gt;0,T13*100/S13,0)</f>
        <v>48.492840035593929</v>
      </c>
      <c r="W13" s="52">
        <f t="shared" ref="W13:X13" ca="1" si="32">SUM(W14:W30)</f>
        <v>125400</v>
      </c>
      <c r="X13" s="52">
        <f t="shared" ca="1" si="32"/>
        <v>38096.720000000001</v>
      </c>
      <c r="Y13" s="53">
        <f t="shared" ca="1" si="11"/>
        <v>30.380159489633172</v>
      </c>
      <c r="Z13" s="52">
        <f t="shared" ref="Z13:AE13" ca="1" si="33">SUM(Z14:Z30)</f>
        <v>39000</v>
      </c>
      <c r="AA13" s="52">
        <f t="shared" ca="1" si="33"/>
        <v>1335</v>
      </c>
      <c r="AB13" s="52">
        <f t="shared" ca="1" si="33"/>
        <v>12815</v>
      </c>
      <c r="AC13" s="52">
        <f t="shared" ca="1" si="33"/>
        <v>86400</v>
      </c>
      <c r="AD13" s="52">
        <f t="shared" ca="1" si="33"/>
        <v>4175</v>
      </c>
      <c r="AE13" s="52">
        <f t="shared" ca="1" si="33"/>
        <v>25281.72</v>
      </c>
    </row>
    <row r="14" spans="1:31" ht="19.5" x14ac:dyDescent="0.3">
      <c r="A14" s="147">
        <v>1</v>
      </c>
      <c r="B14" s="148" t="s">
        <v>42</v>
      </c>
      <c r="C14" s="149">
        <f t="shared" ca="1" si="21"/>
        <v>0</v>
      </c>
      <c r="D14" s="150">
        <f t="shared" ref="D14:D30" ca="1" si="34">+E14+F14</f>
        <v>0</v>
      </c>
      <c r="E14" s="151">
        <f ca="1">IFERROR(__xludf.DUMMYFUNCTION("IMPORTRANGE(""https://docs.google.com/spreadsheets/d/1-uDff_7J0KD5mKrp0Vvzr7lt3OU09vwQwhkpOPPYv2Y/edit?usp=sharing"",""งบพรบ!IF14"")"),0)</f>
        <v>0</v>
      </c>
      <c r="F14" s="151">
        <f ca="1">IFERROR(__xludf.DUMMYFUNCTION("IMPORTRANGE(""https://docs.google.com/spreadsheets/d/1-uDff_7J0KD5mKrp0Vvzr7lt3OU09vwQwhkpOPPYv2Y/edit?usp=sharing"",""งบพรบ!IG14"")"),0)</f>
        <v>0</v>
      </c>
      <c r="G14" s="152">
        <f ca="1">IFERROR(__xludf.DUMMYFUNCTION("IMPORTRANGE(""https://docs.google.com/spreadsheets/d/1-uDff_7J0KD5mKrp0Vvzr7lt3OU09vwQwhkpOPPYv2Y/edit?usp=sharing"",""งบพรบ!IH14"")"),0)</f>
        <v>0</v>
      </c>
      <c r="H14" s="152">
        <f ca="1">IFERROR(__xludf.DUMMYFUNCTION("IMPORTRANGE(""https://docs.google.com/spreadsheets/d/1-uDff_7J0KD5mKrp0Vvzr7lt3OU09vwQwhkpOPPYv2Y/edit?usp=sharing"",""งบพรบ!IJ14"")"),0)</f>
        <v>0</v>
      </c>
      <c r="I14" s="152">
        <f ca="1">IFERROR(__xludf.DUMMYFUNCTION("IMPORTRANGE(""https://docs.google.com/spreadsheets/d/1-uDff_7J0KD5mKrp0Vvzr7lt3OU09vwQwhkpOPPYv2Y/edit?usp=sharing"",""งบพรบ!IK14"")"),0)</f>
        <v>0</v>
      </c>
      <c r="J14" s="152">
        <f t="shared" ca="1" si="23"/>
        <v>0</v>
      </c>
      <c r="K14" s="153">
        <f t="shared" ca="1" si="24"/>
        <v>0</v>
      </c>
      <c r="L14" s="152">
        <f ca="1">IFERROR(__xludf.DUMMYFUNCTION("IMPORTRANGE(""https://docs.google.com/spreadsheets/d/1-uDff_7J0KD5mKrp0Vvzr7lt3OU09vwQwhkpOPPYv2Y/edit?usp=sharing"",""งบพรบ!IL14"")"),0)</f>
        <v>0</v>
      </c>
      <c r="M14" s="68">
        <f t="shared" ca="1" si="25"/>
        <v>0</v>
      </c>
      <c r="N14" s="68">
        <f t="shared" ca="1" si="26"/>
        <v>0</v>
      </c>
      <c r="O14" s="151">
        <f ca="1">IFERROR(__xludf.DUMMYFUNCTION("IMPORTRANGE(""https://docs.google.com/spreadsheets/d/1-uDff_7J0KD5mKrp0Vvzr7lt3OU09vwQwhkpOPPYv2Y/edit?usp=sharing"",""งบพรบ!IM14"")"),0)</f>
        <v>0</v>
      </c>
      <c r="P14" s="67">
        <f t="shared" ca="1" si="27"/>
        <v>0</v>
      </c>
      <c r="Q14" s="68">
        <f t="shared" ca="1" si="28"/>
        <v>0</v>
      </c>
      <c r="R14" s="67">
        <f ca="1">IFERROR(__xludf.DUMMYFUNCTION("IMPORTRANGE(""https://docs.google.com/spreadsheets/d/1jTcq05yEiRwXcBMLjiodW9e4biSGYWAHcDj22rKWQ3s/edit?usp=sharing"",""กำแพงเพชร!Q375"")"),625000)</f>
        <v>625000</v>
      </c>
      <c r="S14" s="67">
        <f ca="1">IFERROR(__xludf.DUMMYFUNCTION("IMPORTRANGE(""https://docs.google.com/spreadsheets/d/1jTcq05yEiRwXcBMLjiodW9e4biSGYWAHcDj22rKWQ3s/edit?usp=sharing"",""กำแพงเพชร!R375"")"),500000)</f>
        <v>500000</v>
      </c>
      <c r="T14" s="67">
        <f ca="1">IFERROR(__xludf.DUMMYFUNCTION("IMPORTRANGE(""https://docs.google.com/spreadsheets/d/1jTcq05yEiRwXcBMLjiodW9e4biSGYWAHcDj22rKWQ3s/edit?usp=sharing"",""กำแพงเพชร!S375"")"),281290)</f>
        <v>281290</v>
      </c>
      <c r="U14" s="68">
        <f t="shared" ca="1" si="30"/>
        <v>45.006399999999999</v>
      </c>
      <c r="V14" s="68">
        <f t="shared" ca="1" si="31"/>
        <v>56.258000000000003</v>
      </c>
      <c r="W14" s="439">
        <f t="shared" ref="W14:W30" ca="1" si="35">Z14+AC14</f>
        <v>10000</v>
      </c>
      <c r="X14" s="439">
        <f ca="1">IFERROR(__xludf.DUMMYFUNCTION("IMPORTRANGE(""https://docs.google.com/spreadsheets/d/1jTcq05yEiRwXcBMLjiodW9e4biSGYWAHcDj22rKWQ3s/edit?usp=sharing"",""กำแพงเพชร!J374"")"),2529)</f>
        <v>2529</v>
      </c>
      <c r="Y14" s="440">
        <f t="shared" ca="1" si="11"/>
        <v>25.29</v>
      </c>
      <c r="Z14" s="439">
        <f ca="1">IFERROR(__xludf.DUMMYFUNCTION("IMPORTRANGE(""https://docs.google.com/spreadsheets/d/1jTcq05yEiRwXcBMLjiodW9e4biSGYWAHcDj22rKWQ3s/edit?usp=sharing"",""กำแพงเพชร!I386"")"),10000)</f>
        <v>10000</v>
      </c>
      <c r="AA14" s="62">
        <f ca="1">IFERROR(__xludf.DUMMYFUNCTION("IMPORTRANGE(""https://docs.google.com/spreadsheets/d/1jTcq05yEiRwXcBMLjiodW9e4biSGYWAHcDj22rKWQ3s/edit?usp=sharing"",""กำแพงเพชร!J385"")"),184)</f>
        <v>184</v>
      </c>
      <c r="AB14" s="62">
        <f ca="1">IFERROR(__xludf.DUMMYFUNCTION("IMPORTRANGE(""https://docs.google.com/spreadsheets/d/1jTcq05yEiRwXcBMLjiodW9e4biSGYWAHcDj22rKWQ3s/edit?usp=sharing"",""กำแพงเพชร!J386"")"),2529)</f>
        <v>2529</v>
      </c>
      <c r="AC14" s="441">
        <f ca="1">IFERROR(__xludf.DUMMYFUNCTION("IMPORTRANGE(""https://docs.google.com/spreadsheets/d/1jTcq05yEiRwXcBMLjiodW9e4biSGYWAHcDj22rKWQ3s/edit?usp=sharing"",""กำแพงเพชร!I388"")"),0)</f>
        <v>0</v>
      </c>
      <c r="AD14" s="62">
        <f ca="1">IFERROR(__xludf.DUMMYFUNCTION("IMPORTRANGE(""https://docs.google.com/spreadsheets/d/1jTcq05yEiRwXcBMLjiodW9e4biSGYWAHcDj22rKWQ3s/edit?usp=sharing"",""กำแพงเพชร!j387"")"),0)</f>
        <v>0</v>
      </c>
      <c r="AE14" s="62">
        <f ca="1">IFERROR(__xludf.DUMMYFUNCTION("IMPORTRANGE(""https://docs.google.com/spreadsheets/d/1jTcq05yEiRwXcBMLjiodW9e4biSGYWAHcDj22rKWQ3s/edit?usp=sharing"",""กำแพงเพชร!j388"")"),0)</f>
        <v>0</v>
      </c>
    </row>
    <row r="15" spans="1:31" ht="19.5" x14ac:dyDescent="0.3">
      <c r="A15" s="147">
        <v>2</v>
      </c>
      <c r="B15" s="148" t="s">
        <v>43</v>
      </c>
      <c r="C15" s="149">
        <f t="shared" ca="1" si="21"/>
        <v>0</v>
      </c>
      <c r="D15" s="150">
        <f t="shared" ca="1" si="34"/>
        <v>0</v>
      </c>
      <c r="E15" s="151">
        <f ca="1">IFERROR(__xludf.DUMMYFUNCTION("IMPORTRANGE(""https://docs.google.com/spreadsheets/d/1-uDff_7J0KD5mKrp0Vvzr7lt3OU09vwQwhkpOPPYv2Y/edit?usp=sharing"",""งบพรบ!IF15"")"),0)</f>
        <v>0</v>
      </c>
      <c r="F15" s="151">
        <f ca="1">IFERROR(__xludf.DUMMYFUNCTION("IMPORTRANGE(""https://docs.google.com/spreadsheets/d/1-uDff_7J0KD5mKrp0Vvzr7lt3OU09vwQwhkpOPPYv2Y/edit?usp=sharing"",""งบพรบ!IG15"")"),0)</f>
        <v>0</v>
      </c>
      <c r="G15" s="151">
        <f ca="1">IFERROR(__xludf.DUMMYFUNCTION("IMPORTRANGE(""https://docs.google.com/spreadsheets/d/1-uDff_7J0KD5mKrp0Vvzr7lt3OU09vwQwhkpOPPYv2Y/edit?usp=sharing"",""งบพรบ!IH15"")"),0)</f>
        <v>0</v>
      </c>
      <c r="H15" s="151">
        <f ca="1">IFERROR(__xludf.DUMMYFUNCTION("IMPORTRANGE(""https://docs.google.com/spreadsheets/d/1-uDff_7J0KD5mKrp0Vvzr7lt3OU09vwQwhkpOPPYv2Y/edit?usp=sharing"",""งบพรบ!IJ15"")"),0)</f>
        <v>0</v>
      </c>
      <c r="I15" s="151">
        <f ca="1">IFERROR(__xludf.DUMMYFUNCTION("IMPORTRANGE(""https://docs.google.com/spreadsheets/d/1-uDff_7J0KD5mKrp0Vvzr7lt3OU09vwQwhkpOPPYv2Y/edit?usp=sharing"",""งบพรบ!IK15"")"),0)</f>
        <v>0</v>
      </c>
      <c r="J15" s="151">
        <f t="shared" ca="1" si="23"/>
        <v>0</v>
      </c>
      <c r="K15" s="154">
        <f t="shared" ca="1" si="24"/>
        <v>0</v>
      </c>
      <c r="L15" s="151">
        <f ca="1">IFERROR(__xludf.DUMMYFUNCTION("IMPORTRANGE(""https://docs.google.com/spreadsheets/d/1-uDff_7J0KD5mKrp0Vvzr7lt3OU09vwQwhkpOPPYv2Y/edit?usp=sharing"",""งบพรบ!IL15"")"),0)</f>
        <v>0</v>
      </c>
      <c r="M15" s="68">
        <f t="shared" ca="1" si="25"/>
        <v>0</v>
      </c>
      <c r="N15" s="68">
        <f t="shared" ca="1" si="26"/>
        <v>0</v>
      </c>
      <c r="O15" s="151">
        <f ca="1">IFERROR(__xludf.DUMMYFUNCTION("IMPORTRANGE(""https://docs.google.com/spreadsheets/d/1-uDff_7J0KD5mKrp0Vvzr7lt3OU09vwQwhkpOPPYv2Y/edit?usp=sharing"",""งบพรบ!IM15"")"),0)</f>
        <v>0</v>
      </c>
      <c r="P15" s="67">
        <f t="shared" ca="1" si="27"/>
        <v>0</v>
      </c>
      <c r="Q15" s="68">
        <f t="shared" ca="1" si="28"/>
        <v>0</v>
      </c>
      <c r="R15" s="67">
        <f ca="1">IFERROR(__xludf.DUMMYFUNCTION("IMPORTRANGE(""https://docs.google.com/spreadsheets/d/1KS0zmDSZPk8KnTAbGN-Xk6MtX1YRZD0ldgdt20K4CRk/edit?usp=sharing"",""เชียงราย!Q375"")"),125000)</f>
        <v>125000</v>
      </c>
      <c r="S15" s="67">
        <f ca="1">IFERROR(__xludf.DUMMYFUNCTION("IMPORTRANGE(""https://docs.google.com/spreadsheets/d/1KS0zmDSZPk8KnTAbGN-Xk6MtX1YRZD0ldgdt20K4CRk/edit?usp=sharing"",""เชียงราย!R375"")"),0)</f>
        <v>0</v>
      </c>
      <c r="T15" s="67">
        <f ca="1">IFERROR(__xludf.DUMMYFUNCTION("IMPORTRANGE(""https://docs.google.com/spreadsheets/d/1KS0zmDSZPk8KnTAbGN-Xk6MtX1YRZD0ldgdt20K4CRk/edit?usp=sharing"",""เชียงราย!S375"")"),49220)</f>
        <v>49220</v>
      </c>
      <c r="U15" s="68">
        <f t="shared" ca="1" si="30"/>
        <v>39.375999999999998</v>
      </c>
      <c r="V15" s="68">
        <f t="shared" ca="1" si="31"/>
        <v>0</v>
      </c>
      <c r="W15" s="442">
        <f t="shared" ca="1" si="35"/>
        <v>2000</v>
      </c>
      <c r="X15" s="442">
        <f ca="1">IFERROR(__xludf.DUMMYFUNCTION("IMPORTRANGE(""https://docs.google.com/spreadsheets/d/1KS0zmDSZPk8KnTAbGN-Xk6MtX1YRZD0ldgdt20K4CRk/edit?usp=sharing"",""เชียงราย!J374"")"),1140)</f>
        <v>1140</v>
      </c>
      <c r="Y15" s="443">
        <f t="shared" ca="1" si="11"/>
        <v>57</v>
      </c>
      <c r="Z15" s="442">
        <f ca="1">IFERROR(__xludf.DUMMYFUNCTION("IMPORTRANGE(""https://docs.google.com/spreadsheets/d/1KS0zmDSZPk8KnTAbGN-Xk6MtX1YRZD0ldgdt20K4CRk/edit?usp=sharing"",""เชียงราย!I386"")"),2000)</f>
        <v>2000</v>
      </c>
      <c r="AA15" s="78">
        <f ca="1">IFERROR(__xludf.DUMMYFUNCTION("IMPORTRANGE(""https://docs.google.com/spreadsheets/d/1KS0zmDSZPk8KnTAbGN-Xk6MtX1YRZD0ldgdt20K4CRk/edit?usp=sharing"",""เชียงราย!J385"")"),193)</f>
        <v>193</v>
      </c>
      <c r="AB15" s="78">
        <f ca="1">IFERROR(__xludf.DUMMYFUNCTION("IMPORTRANGE(""https://docs.google.com/spreadsheets/d/1KS0zmDSZPk8KnTAbGN-Xk6MtX1YRZD0ldgdt20K4CRk/edit?usp=sharing"",""เชียงราย!J386"")"),1140)</f>
        <v>1140</v>
      </c>
      <c r="AC15" s="278">
        <f ca="1">IFERROR(__xludf.DUMMYFUNCTION("IMPORTRANGE(""https://docs.google.com/spreadsheets/d/1KS0zmDSZPk8KnTAbGN-Xk6MtX1YRZD0ldgdt20K4CRk/edit?usp=sharing"",""เชียงราย!I388"")"),0)</f>
        <v>0</v>
      </c>
      <c r="AD15" s="78">
        <f ca="1">IFERROR(__xludf.DUMMYFUNCTION("IMPORTRANGE(""https://docs.google.com/spreadsheets/d/1KS0zmDSZPk8KnTAbGN-Xk6MtX1YRZD0ldgdt20K4CRk/edit?usp=sharing"",""เชียงราย!j387"")"),0)</f>
        <v>0</v>
      </c>
      <c r="AE15" s="78">
        <f ca="1">IFERROR(__xludf.DUMMYFUNCTION("IMPORTRANGE(""https://docs.google.com/spreadsheets/d/1KS0zmDSZPk8KnTAbGN-Xk6MtX1YRZD0ldgdt20K4CRk/edit?usp=sharing"",""เชียงราย!j388"")"),0)</f>
        <v>0</v>
      </c>
    </row>
    <row r="16" spans="1:31" ht="19.5" x14ac:dyDescent="0.3">
      <c r="A16" s="147">
        <v>3</v>
      </c>
      <c r="B16" s="148" t="s">
        <v>44</v>
      </c>
      <c r="C16" s="149">
        <f t="shared" ca="1" si="21"/>
        <v>48400</v>
      </c>
      <c r="D16" s="150">
        <f t="shared" ca="1" si="34"/>
        <v>48400</v>
      </c>
      <c r="E16" s="151">
        <f ca="1">IFERROR(__xludf.DUMMYFUNCTION("IMPORTRANGE(""https://docs.google.com/spreadsheets/d/1-uDff_7J0KD5mKrp0Vvzr7lt3OU09vwQwhkpOPPYv2Y/edit?usp=sharing"",""งบพรบ!IF16"")"),48400)</f>
        <v>48400</v>
      </c>
      <c r="F16" s="151">
        <f ca="1">IFERROR(__xludf.DUMMYFUNCTION("IMPORTRANGE(""https://docs.google.com/spreadsheets/d/1-uDff_7J0KD5mKrp0Vvzr7lt3OU09vwQwhkpOPPYv2Y/edit?usp=sharing"",""งบพรบ!IG16"")"),0)</f>
        <v>0</v>
      </c>
      <c r="G16" s="151">
        <f ca="1">IFERROR(__xludf.DUMMYFUNCTION("IMPORTRANGE(""https://docs.google.com/spreadsheets/d/1-uDff_7J0KD5mKrp0Vvzr7lt3OU09vwQwhkpOPPYv2Y/edit?usp=sharing"",""งบพรบ!IH16"")"),0)</f>
        <v>0</v>
      </c>
      <c r="H16" s="151">
        <f ca="1">IFERROR(__xludf.DUMMYFUNCTION("IMPORTRANGE(""https://docs.google.com/spreadsheets/d/1-uDff_7J0KD5mKrp0Vvzr7lt3OU09vwQwhkpOPPYv2Y/edit?usp=sharing"",""งบพรบ!IJ16"")"),48400)</f>
        <v>48400</v>
      </c>
      <c r="I16" s="151">
        <f ca="1">IFERROR(__xludf.DUMMYFUNCTION("IMPORTRANGE(""https://docs.google.com/spreadsheets/d/1-uDff_7J0KD5mKrp0Vvzr7lt3OU09vwQwhkpOPPYv2Y/edit?usp=sharing"",""งบพรบ!IK16"")"),0)</f>
        <v>0</v>
      </c>
      <c r="J16" s="151">
        <f t="shared" ca="1" si="23"/>
        <v>41890.6</v>
      </c>
      <c r="K16" s="154">
        <f t="shared" ca="1" si="24"/>
        <v>86.550826446280993</v>
      </c>
      <c r="L16" s="151">
        <f ca="1">IFERROR(__xludf.DUMMYFUNCTION("IMPORTRANGE(""https://docs.google.com/spreadsheets/d/1-uDff_7J0KD5mKrp0Vvzr7lt3OU09vwQwhkpOPPYv2Y/edit?usp=sharing"",""งบพรบ!IL16"")"),41890.6)</f>
        <v>41890.6</v>
      </c>
      <c r="M16" s="68">
        <f t="shared" ca="1" si="25"/>
        <v>86.550826446280993</v>
      </c>
      <c r="N16" s="68">
        <f t="shared" ca="1" si="26"/>
        <v>86.550826446280993</v>
      </c>
      <c r="O16" s="151">
        <f ca="1">IFERROR(__xludf.DUMMYFUNCTION("IMPORTRANGE(""https://docs.google.com/spreadsheets/d/1-uDff_7J0KD5mKrp0Vvzr7lt3OU09vwQwhkpOPPYv2Y/edit?usp=sharing"",""งบพรบ!IM16"")"),0)</f>
        <v>0</v>
      </c>
      <c r="P16" s="67">
        <f t="shared" ca="1" si="27"/>
        <v>0</v>
      </c>
      <c r="Q16" s="68">
        <f t="shared" ca="1" si="28"/>
        <v>0</v>
      </c>
      <c r="R16" s="67">
        <f ca="1">IFERROR(__xludf.DUMMYFUNCTION("IMPORTRANGE(""https://docs.google.com/spreadsheets/d/1rEDxBtusbi64tE0zunoIbsTVV16HeL0oJ6trHQeQ7K8/edit?usp=sharing"",""เชียงใหม่!Q375"")"),125000)</f>
        <v>125000</v>
      </c>
      <c r="S16" s="67">
        <f ca="1">IFERROR(__xludf.DUMMYFUNCTION("IMPORTRANGE(""https://docs.google.com/spreadsheets/d/1rEDxBtusbi64tE0zunoIbsTVV16HeL0oJ6trHQeQ7K8/edit?usp=sharing"",""เชียงใหม่!R375"")"),125000)</f>
        <v>125000</v>
      </c>
      <c r="T16" s="67">
        <f ca="1">IFERROR(__xludf.DUMMYFUNCTION("IMPORTRANGE(""https://docs.google.com/spreadsheets/d/1rEDxBtusbi64tE0zunoIbsTVV16HeL0oJ6trHQeQ7K8/edit?usp=sharing"",""เชียงใหม่!S375"")"),69600)</f>
        <v>69600</v>
      </c>
      <c r="U16" s="68">
        <f t="shared" ca="1" si="30"/>
        <v>55.68</v>
      </c>
      <c r="V16" s="68">
        <f t="shared" ca="1" si="31"/>
        <v>55.68</v>
      </c>
      <c r="W16" s="439">
        <f t="shared" ca="1" si="35"/>
        <v>2000</v>
      </c>
      <c r="X16" s="439">
        <f ca="1">IFERROR(__xludf.DUMMYFUNCTION("IMPORTRANGE(""https://docs.google.com/spreadsheets/d/1rEDxBtusbi64tE0zunoIbsTVV16HeL0oJ6trHQeQ7K8/edit?usp=sharing"",""เชียงใหม่!J374"")"),580)</f>
        <v>580</v>
      </c>
      <c r="Y16" s="440">
        <f t="shared" ca="1" si="11"/>
        <v>29</v>
      </c>
      <c r="Z16" s="439">
        <f ca="1">IFERROR(__xludf.DUMMYFUNCTION("IMPORTRANGE(""https://docs.google.com/spreadsheets/d/1rEDxBtusbi64tE0zunoIbsTVV16HeL0oJ6trHQeQ7K8/edit?usp=sharing"",""เชียงใหม่!I386"")"),2000)</f>
        <v>2000</v>
      </c>
      <c r="AA16" s="74">
        <f ca="1">IFERROR(__xludf.DUMMYFUNCTION("IMPORTRANGE(""https://docs.google.com/spreadsheets/d/1rEDxBtusbi64tE0zunoIbsTVV16HeL0oJ6trHQeQ7K8/edit?usp=sharing"",""เชียงใหม่!J385"")"),121)</f>
        <v>121</v>
      </c>
      <c r="AB16" s="74">
        <f ca="1">IFERROR(__xludf.DUMMYFUNCTION("IMPORTRANGE(""https://docs.google.com/spreadsheets/d/1rEDxBtusbi64tE0zunoIbsTVV16HeL0oJ6trHQeQ7K8/edit?usp=sharing"",""เชียงใหม่!J386"")"),580)</f>
        <v>580</v>
      </c>
      <c r="AC16" s="441">
        <f ca="1">IFERROR(__xludf.DUMMYFUNCTION("IMPORTRANGE(""https://docs.google.com/spreadsheets/d/1rEDxBtusbi64tE0zunoIbsTVV16HeL0oJ6trHQeQ7K8/edit?usp=sharing"",""เชียงใหม่!I388"")"),0)</f>
        <v>0</v>
      </c>
      <c r="AD16" s="74">
        <f ca="1">IFERROR(__xludf.DUMMYFUNCTION("IMPORTRANGE(""https://docs.google.com/spreadsheets/d/1rEDxBtusbi64tE0zunoIbsTVV16HeL0oJ6trHQeQ7K8/edit?usp=sharing"",""เชียงใหม่!j387"")"),0)</f>
        <v>0</v>
      </c>
      <c r="AE16" s="74">
        <f ca="1">IFERROR(__xludf.DUMMYFUNCTION("IMPORTRANGE(""https://docs.google.com/spreadsheets/d/1rEDxBtusbi64tE0zunoIbsTVV16HeL0oJ6trHQeQ7K8/edit?usp=sharing"",""เชียงใหม่!j388"")"),0)</f>
        <v>0</v>
      </c>
    </row>
    <row r="17" spans="1:31" ht="19.5" x14ac:dyDescent="0.3">
      <c r="A17" s="147">
        <v>4</v>
      </c>
      <c r="B17" s="148" t="s">
        <v>45</v>
      </c>
      <c r="C17" s="149">
        <f t="shared" ca="1" si="21"/>
        <v>0</v>
      </c>
      <c r="D17" s="150">
        <f t="shared" ca="1" si="34"/>
        <v>0</v>
      </c>
      <c r="E17" s="151">
        <f ca="1">IFERROR(__xludf.DUMMYFUNCTION("IMPORTRANGE(""https://docs.google.com/spreadsheets/d/1-uDff_7J0KD5mKrp0Vvzr7lt3OU09vwQwhkpOPPYv2Y/edit?usp=sharing"",""งบพรบ!IF17"")"),0)</f>
        <v>0</v>
      </c>
      <c r="F17" s="151">
        <f ca="1">IFERROR(__xludf.DUMMYFUNCTION("IMPORTRANGE(""https://docs.google.com/spreadsheets/d/1-uDff_7J0KD5mKrp0Vvzr7lt3OU09vwQwhkpOPPYv2Y/edit?usp=sharing"",""งบพรบ!IG17"")"),0)</f>
        <v>0</v>
      </c>
      <c r="G17" s="151">
        <f ca="1">IFERROR(__xludf.DUMMYFUNCTION("IMPORTRANGE(""https://docs.google.com/spreadsheets/d/1-uDff_7J0KD5mKrp0Vvzr7lt3OU09vwQwhkpOPPYv2Y/edit?usp=sharing"",""งบพรบ!IH17"")"),0)</f>
        <v>0</v>
      </c>
      <c r="H17" s="151">
        <f ca="1">IFERROR(__xludf.DUMMYFUNCTION("IMPORTRANGE(""https://docs.google.com/spreadsheets/d/1-uDff_7J0KD5mKrp0Vvzr7lt3OU09vwQwhkpOPPYv2Y/edit?usp=sharing"",""งบพรบ!IJ17"")"),0)</f>
        <v>0</v>
      </c>
      <c r="I17" s="151">
        <f ca="1">IFERROR(__xludf.DUMMYFUNCTION("IMPORTRANGE(""https://docs.google.com/spreadsheets/d/1-uDff_7J0KD5mKrp0Vvzr7lt3OU09vwQwhkpOPPYv2Y/edit?usp=sharing"",""งบพรบ!IK17"")"),0)</f>
        <v>0</v>
      </c>
      <c r="J17" s="151">
        <f t="shared" ca="1" si="23"/>
        <v>0</v>
      </c>
      <c r="K17" s="154">
        <f t="shared" ca="1" si="24"/>
        <v>0</v>
      </c>
      <c r="L17" s="151">
        <f ca="1">IFERROR(__xludf.DUMMYFUNCTION("IMPORTRANGE(""https://docs.google.com/spreadsheets/d/1-uDff_7J0KD5mKrp0Vvzr7lt3OU09vwQwhkpOPPYv2Y/edit?usp=sharing"",""งบพรบ!IL17"")"),0)</f>
        <v>0</v>
      </c>
      <c r="M17" s="68">
        <f t="shared" ca="1" si="25"/>
        <v>0</v>
      </c>
      <c r="N17" s="68">
        <f t="shared" ca="1" si="26"/>
        <v>0</v>
      </c>
      <c r="O17" s="151">
        <f ca="1">IFERROR(__xludf.DUMMYFUNCTION("IMPORTRANGE(""https://docs.google.com/spreadsheets/d/1-uDff_7J0KD5mKrp0Vvzr7lt3OU09vwQwhkpOPPYv2Y/edit?usp=sharing"",""งบพรบ!IM17"")"),0)</f>
        <v>0</v>
      </c>
      <c r="P17" s="67">
        <f t="shared" ca="1" si="27"/>
        <v>0</v>
      </c>
      <c r="Q17" s="68">
        <f t="shared" ca="1" si="28"/>
        <v>0</v>
      </c>
      <c r="R17" s="67">
        <f ca="1">IFERROR(__xludf.DUMMYFUNCTION("IMPORTRANGE(""https://docs.google.com/spreadsheets/d/1W6MnUbDkMi6xHnHko_XkFDO9kkuL6Wqyc-6OCDFjW9I/edit?usp=sharing"",""ตาก!Q375"")"),62500)</f>
        <v>62500</v>
      </c>
      <c r="S17" s="67">
        <f ca="1">IFERROR(__xludf.DUMMYFUNCTION("IMPORTRANGE(""https://docs.google.com/spreadsheets/d/1W6MnUbDkMi6xHnHko_XkFDO9kkuL6Wqyc-6OCDFjW9I/edit?usp=sharing"",""ตาก!R375"")"),62500)</f>
        <v>62500</v>
      </c>
      <c r="T17" s="67">
        <f ca="1">IFERROR(__xludf.DUMMYFUNCTION("IMPORTRANGE(""https://docs.google.com/spreadsheets/d/1W6MnUbDkMi6xHnHko_XkFDO9kkuL6Wqyc-6OCDFjW9I/edit?usp=sharing"",""ตาก!S375"")"),22140)</f>
        <v>22140</v>
      </c>
      <c r="U17" s="68">
        <f t="shared" ca="1" si="30"/>
        <v>35.423999999999999</v>
      </c>
      <c r="V17" s="68">
        <f t="shared" ca="1" si="31"/>
        <v>35.423999999999999</v>
      </c>
      <c r="W17" s="439">
        <f t="shared" ca="1" si="35"/>
        <v>1000</v>
      </c>
      <c r="X17" s="439">
        <f ca="1">IFERROR(__xludf.DUMMYFUNCTION("IMPORTRANGE(""https://docs.google.com/spreadsheets/d/1W6MnUbDkMi6xHnHko_XkFDO9kkuL6Wqyc-6OCDFjW9I/edit?usp=sharing"",""ตาก!J374"")"),200)</f>
        <v>200</v>
      </c>
      <c r="Y17" s="440">
        <f t="shared" ca="1" si="11"/>
        <v>20</v>
      </c>
      <c r="Z17" s="439">
        <f ca="1">IFERROR(__xludf.DUMMYFUNCTION("IMPORTRANGE(""https://docs.google.com/spreadsheets/d/1W6MnUbDkMi6xHnHko_XkFDO9kkuL6Wqyc-6OCDFjW9I/edit?usp=sharing"",""ตาก!I386"")"),1000)</f>
        <v>1000</v>
      </c>
      <c r="AA17" s="74">
        <f ca="1">IFERROR(__xludf.DUMMYFUNCTION("IMPORTRANGE(""https://docs.google.com/spreadsheets/d/1W6MnUbDkMi6xHnHko_XkFDO9kkuL6Wqyc-6OCDFjW9I/edit?usp=sharing"",""ตาก!J385"")"),24)</f>
        <v>24</v>
      </c>
      <c r="AB17" s="74">
        <f ca="1">IFERROR(__xludf.DUMMYFUNCTION("IMPORTRANGE(""https://docs.google.com/spreadsheets/d/1W6MnUbDkMi6xHnHko_XkFDO9kkuL6Wqyc-6OCDFjW9I/edit?usp=sharing"",""ตาก!J386"")"),200)</f>
        <v>200</v>
      </c>
      <c r="AC17" s="441">
        <f ca="1">IFERROR(__xludf.DUMMYFUNCTION("IMPORTRANGE(""https://docs.google.com/spreadsheets/d/1W6MnUbDkMi6xHnHko_XkFDO9kkuL6Wqyc-6OCDFjW9I/edit?usp=sharing"",""ตาก!I388"")"),0)</f>
        <v>0</v>
      </c>
      <c r="AD17" s="74">
        <f ca="1">IFERROR(__xludf.DUMMYFUNCTION("IMPORTRANGE(""https://docs.google.com/spreadsheets/d/1W6MnUbDkMi6xHnHko_XkFDO9kkuL6Wqyc-6OCDFjW9I/edit?usp=sharing"",""ตาก!j387"")"),0)</f>
        <v>0</v>
      </c>
      <c r="AE17" s="74">
        <f ca="1">IFERROR(__xludf.DUMMYFUNCTION("IMPORTRANGE(""https://docs.google.com/spreadsheets/d/1W6MnUbDkMi6xHnHko_XkFDO9kkuL6Wqyc-6OCDFjW9I/edit?usp=sharing"",""ตาก!j388"")"),0)</f>
        <v>0</v>
      </c>
    </row>
    <row r="18" spans="1:31" ht="19.5" x14ac:dyDescent="0.3">
      <c r="A18" s="147">
        <v>5</v>
      </c>
      <c r="B18" s="148" t="s">
        <v>46</v>
      </c>
      <c r="C18" s="149">
        <f t="shared" ca="1" si="21"/>
        <v>0</v>
      </c>
      <c r="D18" s="150">
        <f t="shared" ca="1" si="34"/>
        <v>0</v>
      </c>
      <c r="E18" s="151">
        <f ca="1">IFERROR(__xludf.DUMMYFUNCTION("IMPORTRANGE(""https://docs.google.com/spreadsheets/d/1-uDff_7J0KD5mKrp0Vvzr7lt3OU09vwQwhkpOPPYv2Y/edit?usp=sharing"",""งบพรบ!IF18"")"),0)</f>
        <v>0</v>
      </c>
      <c r="F18" s="151">
        <f ca="1">IFERROR(__xludf.DUMMYFUNCTION("IMPORTRANGE(""https://docs.google.com/spreadsheets/d/1-uDff_7J0KD5mKrp0Vvzr7lt3OU09vwQwhkpOPPYv2Y/edit?usp=sharing"",""งบพรบ!IG18"")"),0)</f>
        <v>0</v>
      </c>
      <c r="G18" s="151">
        <f ca="1">IFERROR(__xludf.DUMMYFUNCTION("IMPORTRANGE(""https://docs.google.com/spreadsheets/d/1-uDff_7J0KD5mKrp0Vvzr7lt3OU09vwQwhkpOPPYv2Y/edit?usp=sharing"",""งบพรบ!IH18"")"),0)</f>
        <v>0</v>
      </c>
      <c r="H18" s="151">
        <f ca="1">IFERROR(__xludf.DUMMYFUNCTION("IMPORTRANGE(""https://docs.google.com/spreadsheets/d/1-uDff_7J0KD5mKrp0Vvzr7lt3OU09vwQwhkpOPPYv2Y/edit?usp=sharing"",""งบพรบ!IJ18"")"),0)</f>
        <v>0</v>
      </c>
      <c r="I18" s="151">
        <f ca="1">IFERROR(__xludf.DUMMYFUNCTION("IMPORTRANGE(""https://docs.google.com/spreadsheets/d/1-uDff_7J0KD5mKrp0Vvzr7lt3OU09vwQwhkpOPPYv2Y/edit?usp=sharing"",""งบพรบ!IK18"")"),0)</f>
        <v>0</v>
      </c>
      <c r="J18" s="151">
        <f t="shared" ca="1" si="23"/>
        <v>0</v>
      </c>
      <c r="K18" s="154">
        <f t="shared" ca="1" si="24"/>
        <v>0</v>
      </c>
      <c r="L18" s="151">
        <f ca="1">IFERROR(__xludf.DUMMYFUNCTION("IMPORTRANGE(""https://docs.google.com/spreadsheets/d/1-uDff_7J0KD5mKrp0Vvzr7lt3OU09vwQwhkpOPPYv2Y/edit?usp=sharing"",""งบพรบ!IL18"")"),0)</f>
        <v>0</v>
      </c>
      <c r="M18" s="68">
        <f t="shared" ca="1" si="25"/>
        <v>0</v>
      </c>
      <c r="N18" s="68">
        <f t="shared" ca="1" si="26"/>
        <v>0</v>
      </c>
      <c r="O18" s="151">
        <f ca="1">IFERROR(__xludf.DUMMYFUNCTION("IMPORTRANGE(""https://docs.google.com/spreadsheets/d/1-uDff_7J0KD5mKrp0Vvzr7lt3OU09vwQwhkpOPPYv2Y/edit?usp=sharing"",""งบพรบ!IM18"")"),0)</f>
        <v>0</v>
      </c>
      <c r="P18" s="67">
        <f t="shared" ca="1" si="27"/>
        <v>0</v>
      </c>
      <c r="Q18" s="68">
        <f t="shared" ca="1" si="28"/>
        <v>0</v>
      </c>
      <c r="R18" s="67">
        <f ca="1">IFERROR(__xludf.DUMMYFUNCTION("IMPORTRANGE(""https://docs.google.com/spreadsheets/d/1IQAWArduLkta9LpYo4a_ULsyqdta6-6aDDiwpUnQT6c/edit?usp=sharing"",""นครสวรรค์!Q375"")"),125000)</f>
        <v>125000</v>
      </c>
      <c r="S18" s="67">
        <f ca="1">IFERROR(__xludf.DUMMYFUNCTION("IMPORTRANGE(""https://docs.google.com/spreadsheets/d/1IQAWArduLkta9LpYo4a_ULsyqdta6-6aDDiwpUnQT6c/edit?usp=sharing"",""นครสวรรค์!R375"")"),125000)</f>
        <v>125000</v>
      </c>
      <c r="T18" s="67">
        <f ca="1">IFERROR(__xludf.DUMMYFUNCTION("IMPORTRANGE(""https://docs.google.com/spreadsheets/d/1IQAWArduLkta9LpYo4a_ULsyqdta6-6aDDiwpUnQT6c/edit?usp=sharing"",""นครสวรรค์!S375"")"),49510)</f>
        <v>49510</v>
      </c>
      <c r="U18" s="68">
        <f t="shared" ca="1" si="30"/>
        <v>39.607999999999997</v>
      </c>
      <c r="V18" s="68">
        <f t="shared" ca="1" si="31"/>
        <v>39.607999999999997</v>
      </c>
      <c r="W18" s="439">
        <f t="shared" ca="1" si="35"/>
        <v>2000</v>
      </c>
      <c r="X18" s="439">
        <f ca="1">IFERROR(__xludf.DUMMYFUNCTION("IMPORTRANGE(""https://docs.google.com/spreadsheets/d/1IQAWArduLkta9LpYo4a_ULsyqdta6-6aDDiwpUnQT6c/edit?usp=sharing"",""นครสวรรค์!J374"")"),0)</f>
        <v>0</v>
      </c>
      <c r="Y18" s="440">
        <f t="shared" ca="1" si="11"/>
        <v>0</v>
      </c>
      <c r="Z18" s="439">
        <f ca="1">IFERROR(__xludf.DUMMYFUNCTION("IMPORTRANGE(""https://docs.google.com/spreadsheets/d/1IQAWArduLkta9LpYo4a_ULsyqdta6-6aDDiwpUnQT6c/edit?usp=sharing"",""นครสวรรค์!I386"")"),2000)</f>
        <v>2000</v>
      </c>
      <c r="AA18" s="74">
        <f ca="1">IFERROR(__xludf.DUMMYFUNCTION("IMPORTRANGE(""https://docs.google.com/spreadsheets/d/1IQAWArduLkta9LpYo4a_ULsyqdta6-6aDDiwpUnQT6c/edit?usp=sharing"",""นครสวรรค์!J385"")"),0)</f>
        <v>0</v>
      </c>
      <c r="AB18" s="74">
        <f ca="1">IFERROR(__xludf.DUMMYFUNCTION("IMPORTRANGE(""https://docs.google.com/spreadsheets/d/1IQAWArduLkta9LpYo4a_ULsyqdta6-6aDDiwpUnQT6c/edit?usp=sharing"",""นครสวรรค์!J386"")"),0)</f>
        <v>0</v>
      </c>
      <c r="AC18" s="441">
        <f ca="1">IFERROR(__xludf.DUMMYFUNCTION("IMPORTRANGE(""https://docs.google.com/spreadsheets/d/1IQAWArduLkta9LpYo4a_ULsyqdta6-6aDDiwpUnQT6c/edit?usp=sharing"",""นครสวรรค์!I388"")"),0)</f>
        <v>0</v>
      </c>
      <c r="AD18" s="74">
        <f ca="1">IFERROR(__xludf.DUMMYFUNCTION("IMPORTRANGE(""https://docs.google.com/spreadsheets/d/1IQAWArduLkta9LpYo4a_ULsyqdta6-6aDDiwpUnQT6c/edit?usp=sharing"",""นครสวรรค์!j387"")"),0)</f>
        <v>0</v>
      </c>
      <c r="AE18" s="74">
        <f ca="1">IFERROR(__xludf.DUMMYFUNCTION("IMPORTRANGE(""https://docs.google.com/spreadsheets/d/1IQAWArduLkta9LpYo4a_ULsyqdta6-6aDDiwpUnQT6c/edit?usp=sharing"",""นครสวรรค์!j388"")"),0)</f>
        <v>0</v>
      </c>
    </row>
    <row r="19" spans="1:31" ht="19.5" x14ac:dyDescent="0.3">
      <c r="A19" s="147">
        <v>6</v>
      </c>
      <c r="B19" s="148" t="s">
        <v>47</v>
      </c>
      <c r="C19" s="149">
        <f t="shared" ca="1" si="21"/>
        <v>0</v>
      </c>
      <c r="D19" s="150">
        <f t="shared" ca="1" si="34"/>
        <v>0</v>
      </c>
      <c r="E19" s="151">
        <f ca="1">IFERROR(__xludf.DUMMYFUNCTION("IMPORTRANGE(""https://docs.google.com/spreadsheets/d/1-uDff_7J0KD5mKrp0Vvzr7lt3OU09vwQwhkpOPPYv2Y/edit?usp=sharing"",""งบพรบ!IF19"")"),0)</f>
        <v>0</v>
      </c>
      <c r="F19" s="151">
        <f ca="1">IFERROR(__xludf.DUMMYFUNCTION("IMPORTRANGE(""https://docs.google.com/spreadsheets/d/1-uDff_7J0KD5mKrp0Vvzr7lt3OU09vwQwhkpOPPYv2Y/edit?usp=sharing"",""งบพรบ!IG19"")"),0)</f>
        <v>0</v>
      </c>
      <c r="G19" s="151">
        <f ca="1">IFERROR(__xludf.DUMMYFUNCTION("IMPORTRANGE(""https://docs.google.com/spreadsheets/d/1-uDff_7J0KD5mKrp0Vvzr7lt3OU09vwQwhkpOPPYv2Y/edit?usp=sharing"",""งบพรบ!IH19"")"),0)</f>
        <v>0</v>
      </c>
      <c r="H19" s="151">
        <f ca="1">IFERROR(__xludf.DUMMYFUNCTION("IMPORTRANGE(""https://docs.google.com/spreadsheets/d/1-uDff_7J0KD5mKrp0Vvzr7lt3OU09vwQwhkpOPPYv2Y/edit?usp=sharing"",""งบพรบ!IJ19"")"),0)</f>
        <v>0</v>
      </c>
      <c r="I19" s="151">
        <f ca="1">IFERROR(__xludf.DUMMYFUNCTION("IMPORTRANGE(""https://docs.google.com/spreadsheets/d/1-uDff_7J0KD5mKrp0Vvzr7lt3OU09vwQwhkpOPPYv2Y/edit?usp=sharing"",""งบพรบ!IK19"")"),0)</f>
        <v>0</v>
      </c>
      <c r="J19" s="151">
        <f t="shared" ca="1" si="23"/>
        <v>0</v>
      </c>
      <c r="K19" s="154">
        <f t="shared" ca="1" si="24"/>
        <v>0</v>
      </c>
      <c r="L19" s="151">
        <f ca="1">IFERROR(__xludf.DUMMYFUNCTION("IMPORTRANGE(""https://docs.google.com/spreadsheets/d/1-uDff_7J0KD5mKrp0Vvzr7lt3OU09vwQwhkpOPPYv2Y/edit?usp=sharing"",""งบพรบ!IL19"")"),0)</f>
        <v>0</v>
      </c>
      <c r="M19" s="68">
        <f t="shared" ca="1" si="25"/>
        <v>0</v>
      </c>
      <c r="N19" s="68">
        <f t="shared" ca="1" si="26"/>
        <v>0</v>
      </c>
      <c r="O19" s="151">
        <f ca="1">IFERROR(__xludf.DUMMYFUNCTION("IMPORTRANGE(""https://docs.google.com/spreadsheets/d/1-uDff_7J0KD5mKrp0Vvzr7lt3OU09vwQwhkpOPPYv2Y/edit?usp=sharing"",""งบพรบ!IM19"")"),0)</f>
        <v>0</v>
      </c>
      <c r="P19" s="67">
        <f t="shared" ca="1" si="27"/>
        <v>0</v>
      </c>
      <c r="Q19" s="68">
        <f t="shared" ca="1" si="28"/>
        <v>0</v>
      </c>
      <c r="R19" s="67">
        <f ca="1">IFERROR(__xludf.DUMMYFUNCTION("IMPORTRANGE(""https://docs.google.com/spreadsheets/d/10s13Sk5xrltsiR-Zkbmk5DwIaDIKO8XlbJAfqyT7Gvg/edit?usp=sharing"",""น่าน!Q375"")"),62500)</f>
        <v>62500</v>
      </c>
      <c r="S19" s="67">
        <f ca="1">IFERROR(__xludf.DUMMYFUNCTION("IMPORTRANGE(""https://docs.google.com/spreadsheets/d/10s13Sk5xrltsiR-Zkbmk5DwIaDIKO8XlbJAfqyT7Gvg/edit?usp=sharing"",""น่าน!R375"")"),37500)</f>
        <v>37500</v>
      </c>
      <c r="T19" s="67">
        <f ca="1">IFERROR(__xludf.DUMMYFUNCTION("IMPORTRANGE(""https://docs.google.com/spreadsheets/d/10s13Sk5xrltsiR-Zkbmk5DwIaDIKO8XlbJAfqyT7Gvg/edit?usp=sharing"",""น่าน!S375"")"),0)</f>
        <v>0</v>
      </c>
      <c r="U19" s="68">
        <f t="shared" ca="1" si="30"/>
        <v>0</v>
      </c>
      <c r="V19" s="68">
        <f t="shared" ca="1" si="31"/>
        <v>0</v>
      </c>
      <c r="W19" s="439">
        <f t="shared" ca="1" si="35"/>
        <v>1000</v>
      </c>
      <c r="X19" s="439">
        <f ca="1">IFERROR(__xludf.DUMMYFUNCTION("IMPORTRANGE(""https://docs.google.com/spreadsheets/d/10s13Sk5xrltsiR-Zkbmk5DwIaDIKO8XlbJAfqyT7Gvg/edit?usp=sharing"",""น่าน!J374"")"),144)</f>
        <v>144</v>
      </c>
      <c r="Y19" s="440">
        <f t="shared" ca="1" si="11"/>
        <v>14.4</v>
      </c>
      <c r="Z19" s="439">
        <f ca="1">IFERROR(__xludf.DUMMYFUNCTION("IMPORTRANGE(""https://docs.google.com/spreadsheets/d/10s13Sk5xrltsiR-Zkbmk5DwIaDIKO8XlbJAfqyT7Gvg/edit?usp=sharing"",""น่าน!I386"")"),1000)</f>
        <v>1000</v>
      </c>
      <c r="AA19" s="74">
        <f ca="1">IFERROR(__xludf.DUMMYFUNCTION("IMPORTRANGE(""https://docs.google.com/spreadsheets/d/10s13Sk5xrltsiR-Zkbmk5DwIaDIKO8XlbJAfqyT7Gvg/edit?usp=sharing"",""น่าน!J385"")"),12)</f>
        <v>12</v>
      </c>
      <c r="AB19" s="74">
        <f ca="1">IFERROR(__xludf.DUMMYFUNCTION("IMPORTRANGE(""https://docs.google.com/spreadsheets/d/10s13Sk5xrltsiR-Zkbmk5DwIaDIKO8XlbJAfqyT7Gvg/edit?usp=sharing"",""น่าน!J386"")"),144)</f>
        <v>144</v>
      </c>
      <c r="AC19" s="441">
        <f ca="1">IFERROR(__xludf.DUMMYFUNCTION("IMPORTRANGE(""https://docs.google.com/spreadsheets/d/10s13Sk5xrltsiR-Zkbmk5DwIaDIKO8XlbJAfqyT7Gvg/edit?usp=sharing"",""น่าน!I388"")"),0)</f>
        <v>0</v>
      </c>
      <c r="AD19" s="74">
        <f ca="1">IFERROR(__xludf.DUMMYFUNCTION("IMPORTRANGE(""https://docs.google.com/spreadsheets/d/10s13Sk5xrltsiR-Zkbmk5DwIaDIKO8XlbJAfqyT7Gvg/edit?usp=sharing"",""น่าน!j387"")"),0)</f>
        <v>0</v>
      </c>
      <c r="AE19" s="74">
        <f ca="1">IFERROR(__xludf.DUMMYFUNCTION("IMPORTRANGE(""https://docs.google.com/spreadsheets/d/10s13Sk5xrltsiR-Zkbmk5DwIaDIKO8XlbJAfqyT7Gvg/edit?usp=sharing"",""น่าน!j388"")"),0)</f>
        <v>0</v>
      </c>
    </row>
    <row r="20" spans="1:31" ht="19.5" x14ac:dyDescent="0.3">
      <c r="A20" s="147">
        <v>7</v>
      </c>
      <c r="B20" s="148" t="s">
        <v>48</v>
      </c>
      <c r="C20" s="149">
        <f t="shared" ca="1" si="21"/>
        <v>0</v>
      </c>
      <c r="D20" s="150">
        <f t="shared" ca="1" si="34"/>
        <v>0</v>
      </c>
      <c r="E20" s="151">
        <f ca="1">IFERROR(__xludf.DUMMYFUNCTION("IMPORTRANGE(""https://docs.google.com/spreadsheets/d/1-uDff_7J0KD5mKrp0Vvzr7lt3OU09vwQwhkpOPPYv2Y/edit?usp=sharing"",""งบพรบ!IF20"")"),0)</f>
        <v>0</v>
      </c>
      <c r="F20" s="151">
        <f ca="1">IFERROR(__xludf.DUMMYFUNCTION("IMPORTRANGE(""https://docs.google.com/spreadsheets/d/1-uDff_7J0KD5mKrp0Vvzr7lt3OU09vwQwhkpOPPYv2Y/edit?usp=sharing"",""งบพรบ!IG20"")"),0)</f>
        <v>0</v>
      </c>
      <c r="G20" s="151">
        <f ca="1">IFERROR(__xludf.DUMMYFUNCTION("IMPORTRANGE(""https://docs.google.com/spreadsheets/d/1-uDff_7J0KD5mKrp0Vvzr7lt3OU09vwQwhkpOPPYv2Y/edit?usp=sharing"",""งบพรบ!IH20"")"),0)</f>
        <v>0</v>
      </c>
      <c r="H20" s="151">
        <f ca="1">IFERROR(__xludf.DUMMYFUNCTION("IMPORTRANGE(""https://docs.google.com/spreadsheets/d/1-uDff_7J0KD5mKrp0Vvzr7lt3OU09vwQwhkpOPPYv2Y/edit?usp=sharing"",""งบพรบ!IJ20"")"),0)</f>
        <v>0</v>
      </c>
      <c r="I20" s="151">
        <f ca="1">IFERROR(__xludf.DUMMYFUNCTION("IMPORTRANGE(""https://docs.google.com/spreadsheets/d/1-uDff_7J0KD5mKrp0Vvzr7lt3OU09vwQwhkpOPPYv2Y/edit?usp=sharing"",""งบพรบ!IK20"")"),0)</f>
        <v>0</v>
      </c>
      <c r="J20" s="151">
        <f t="shared" ca="1" si="23"/>
        <v>0</v>
      </c>
      <c r="K20" s="154">
        <f t="shared" ca="1" si="24"/>
        <v>0</v>
      </c>
      <c r="L20" s="151">
        <f ca="1">IFERROR(__xludf.DUMMYFUNCTION("IMPORTRANGE(""https://docs.google.com/spreadsheets/d/1-uDff_7J0KD5mKrp0Vvzr7lt3OU09vwQwhkpOPPYv2Y/edit?usp=sharing"",""งบพรบ!IL20"")"),0)</f>
        <v>0</v>
      </c>
      <c r="M20" s="68">
        <f t="shared" ca="1" si="25"/>
        <v>0</v>
      </c>
      <c r="N20" s="68">
        <f t="shared" ca="1" si="26"/>
        <v>0</v>
      </c>
      <c r="O20" s="151">
        <f ca="1">IFERROR(__xludf.DUMMYFUNCTION("IMPORTRANGE(""https://docs.google.com/spreadsheets/d/1-uDff_7J0KD5mKrp0Vvzr7lt3OU09vwQwhkpOPPYv2Y/edit?usp=sharing"",""งบพรบ!IM20"")"),0)</f>
        <v>0</v>
      </c>
      <c r="P20" s="67">
        <f t="shared" ca="1" si="27"/>
        <v>0</v>
      </c>
      <c r="Q20" s="68">
        <f t="shared" ca="1" si="28"/>
        <v>0</v>
      </c>
      <c r="R20" s="67">
        <f ca="1">IFERROR(__xludf.DUMMYFUNCTION("IMPORTRANGE(""https://docs.google.com/spreadsheets/d/1uu4nAn4Dbi1XREnLKKotUANlKXa7yCgRcgq8HEzQYW8/edit?usp=sharing"",""พะเยา!Q375"")"),125000)</f>
        <v>125000</v>
      </c>
      <c r="S20" s="67">
        <f ca="1">IFERROR(__xludf.DUMMYFUNCTION("IMPORTRANGE(""https://docs.google.com/spreadsheets/d/1uu4nAn4Dbi1XREnLKKotUANlKXa7yCgRcgq8HEzQYW8/edit?usp=sharing"",""พะเยา!R375"")"),125000)</f>
        <v>125000</v>
      </c>
      <c r="T20" s="67">
        <f ca="1">IFERROR(__xludf.DUMMYFUNCTION("IMPORTRANGE(""https://docs.google.com/spreadsheets/d/1uu4nAn4Dbi1XREnLKKotUANlKXa7yCgRcgq8HEzQYW8/edit?usp=sharing"",""พะเยา!S375"")"),55405)</f>
        <v>55405</v>
      </c>
      <c r="U20" s="68">
        <f t="shared" ca="1" si="30"/>
        <v>44.323999999999998</v>
      </c>
      <c r="V20" s="68">
        <f t="shared" ca="1" si="31"/>
        <v>44.323999999999998</v>
      </c>
      <c r="W20" s="439">
        <f t="shared" ca="1" si="35"/>
        <v>88400</v>
      </c>
      <c r="X20" s="439">
        <f ca="1">IFERROR(__xludf.DUMMYFUNCTION("IMPORTRANGE(""https://docs.google.com/spreadsheets/d/1uu4nAn4Dbi1XREnLKKotUANlKXa7yCgRcgq8HEzQYW8/edit?usp=sharing"",""พะเยา!J374"")"),25440.72)</f>
        <v>25440.720000000001</v>
      </c>
      <c r="Y20" s="440">
        <f t="shared" ca="1" si="11"/>
        <v>28.779095022624436</v>
      </c>
      <c r="Z20" s="439">
        <f ca="1">IFERROR(__xludf.DUMMYFUNCTION("IMPORTRANGE(""https://docs.google.com/spreadsheets/d/1uu4nAn4Dbi1XREnLKKotUANlKXa7yCgRcgq8HEzQYW8/edit?usp=sharing"",""พะเยา!I386"")"),2000)</f>
        <v>2000</v>
      </c>
      <c r="AA20" s="74">
        <f ca="1">IFERROR(__xludf.DUMMYFUNCTION("IMPORTRANGE(""https://docs.google.com/spreadsheets/d/1uu4nAn4Dbi1XREnLKKotUANlKXa7yCgRcgq8HEzQYW8/edit?usp=sharing"",""พะเยา!J385"")"),25)</f>
        <v>25</v>
      </c>
      <c r="AB20" s="74">
        <f ca="1">IFERROR(__xludf.DUMMYFUNCTION("IMPORTRANGE(""https://docs.google.com/spreadsheets/d/1uu4nAn4Dbi1XREnLKKotUANlKXa7yCgRcgq8HEzQYW8/edit?usp=sharing"",""พะเยา!J386"")"),159)</f>
        <v>159</v>
      </c>
      <c r="AC20" s="441">
        <f ca="1">IFERROR(__xludf.DUMMYFUNCTION("IMPORTRANGE(""https://docs.google.com/spreadsheets/d/1uu4nAn4Dbi1XREnLKKotUANlKXa7yCgRcgq8HEzQYW8/edit?usp=sharing"",""พะเยา!I388"")"),86400)</f>
        <v>86400</v>
      </c>
      <c r="AD20" s="74">
        <f ca="1">IFERROR(__xludf.DUMMYFUNCTION("IMPORTRANGE(""https://docs.google.com/spreadsheets/d/1uu4nAn4Dbi1XREnLKKotUANlKXa7yCgRcgq8HEzQYW8/edit?usp=sharing"",""พะเยา!j387"")"),4175)</f>
        <v>4175</v>
      </c>
      <c r="AE20" s="74">
        <f ca="1">IFERROR(__xludf.DUMMYFUNCTION("IMPORTRANGE(""https://docs.google.com/spreadsheets/d/1uu4nAn4Dbi1XREnLKKotUANlKXa7yCgRcgq8HEzQYW8/edit?usp=sharing"",""พะเยา!j388"")"),25281.72)</f>
        <v>25281.72</v>
      </c>
    </row>
    <row r="21" spans="1:31" ht="19.5" x14ac:dyDescent="0.3">
      <c r="A21" s="147">
        <v>8</v>
      </c>
      <c r="B21" s="148" t="s">
        <v>49</v>
      </c>
      <c r="C21" s="149">
        <f t="shared" ca="1" si="21"/>
        <v>0</v>
      </c>
      <c r="D21" s="150">
        <f t="shared" ca="1" si="34"/>
        <v>0</v>
      </c>
      <c r="E21" s="151">
        <f ca="1">IFERROR(__xludf.DUMMYFUNCTION("IMPORTRANGE(""https://docs.google.com/spreadsheets/d/1-uDff_7J0KD5mKrp0Vvzr7lt3OU09vwQwhkpOPPYv2Y/edit?usp=sharing"",""งบพรบ!IF21"")"),0)</f>
        <v>0</v>
      </c>
      <c r="F21" s="151">
        <f ca="1">IFERROR(__xludf.DUMMYFUNCTION("IMPORTRANGE(""https://docs.google.com/spreadsheets/d/1-uDff_7J0KD5mKrp0Vvzr7lt3OU09vwQwhkpOPPYv2Y/edit?usp=sharing"",""งบพรบ!IG21"")"),0)</f>
        <v>0</v>
      </c>
      <c r="G21" s="151">
        <f ca="1">IFERROR(__xludf.DUMMYFUNCTION("IMPORTRANGE(""https://docs.google.com/spreadsheets/d/1-uDff_7J0KD5mKrp0Vvzr7lt3OU09vwQwhkpOPPYv2Y/edit?usp=sharing"",""งบพรบ!IH21"")"),0)</f>
        <v>0</v>
      </c>
      <c r="H21" s="151">
        <f ca="1">IFERROR(__xludf.DUMMYFUNCTION("IMPORTRANGE(""https://docs.google.com/spreadsheets/d/1-uDff_7J0KD5mKrp0Vvzr7lt3OU09vwQwhkpOPPYv2Y/edit?usp=sharing"",""งบพรบ!IJ21"")"),0)</f>
        <v>0</v>
      </c>
      <c r="I21" s="151">
        <f ca="1">IFERROR(__xludf.DUMMYFUNCTION("IMPORTRANGE(""https://docs.google.com/spreadsheets/d/1-uDff_7J0KD5mKrp0Vvzr7lt3OU09vwQwhkpOPPYv2Y/edit?usp=sharing"",""งบพรบ!IK21"")"),0)</f>
        <v>0</v>
      </c>
      <c r="J21" s="151">
        <f t="shared" ca="1" si="23"/>
        <v>0</v>
      </c>
      <c r="K21" s="154">
        <f t="shared" ca="1" si="24"/>
        <v>0</v>
      </c>
      <c r="L21" s="151">
        <f ca="1">IFERROR(__xludf.DUMMYFUNCTION("IMPORTRANGE(""https://docs.google.com/spreadsheets/d/1-uDff_7J0KD5mKrp0Vvzr7lt3OU09vwQwhkpOPPYv2Y/edit?usp=sharing"",""งบพรบ!IL21"")"),0)</f>
        <v>0</v>
      </c>
      <c r="M21" s="68">
        <f t="shared" ca="1" si="25"/>
        <v>0</v>
      </c>
      <c r="N21" s="68">
        <f t="shared" ca="1" si="26"/>
        <v>0</v>
      </c>
      <c r="O21" s="151">
        <f ca="1">IFERROR(__xludf.DUMMYFUNCTION("IMPORTRANGE(""https://docs.google.com/spreadsheets/d/1-uDff_7J0KD5mKrp0Vvzr7lt3OU09vwQwhkpOPPYv2Y/edit?usp=sharing"",""งบพรบ!IM21"")"),0)</f>
        <v>0</v>
      </c>
      <c r="P21" s="67">
        <f t="shared" ca="1" si="27"/>
        <v>0</v>
      </c>
      <c r="Q21" s="68">
        <f t="shared" ca="1" si="28"/>
        <v>0</v>
      </c>
      <c r="R21" s="67">
        <f ca="1">IFERROR(__xludf.DUMMYFUNCTION("IMPORTRANGE(""https://docs.google.com/spreadsheets/d/1xfJKIQxVOaPDIICqsflNlLu3JacTDk1FP9RH4phX7mI/edit?usp=sharing"",""พิจิตร!Q375"")"),187500)</f>
        <v>187500</v>
      </c>
      <c r="S21" s="67">
        <f ca="1">IFERROR(__xludf.DUMMYFUNCTION("IMPORTRANGE(""https://docs.google.com/spreadsheets/d/1xfJKIQxVOaPDIICqsflNlLu3JacTDk1FP9RH4phX7mI/edit?usp=sharing"",""พิจิตร!R375"")"),187500)</f>
        <v>187500</v>
      </c>
      <c r="T21" s="67">
        <f ca="1">IFERROR(__xludf.DUMMYFUNCTION("IMPORTRANGE(""https://docs.google.com/spreadsheets/d/1xfJKIQxVOaPDIICqsflNlLu3JacTDk1FP9RH4phX7mI/edit?usp=sharing"",""พิจิตร!S375"")"),85739.91)</f>
        <v>85739.91</v>
      </c>
      <c r="U21" s="68">
        <f t="shared" ca="1" si="30"/>
        <v>45.727952000000002</v>
      </c>
      <c r="V21" s="68">
        <f t="shared" ca="1" si="31"/>
        <v>45.727952000000002</v>
      </c>
      <c r="W21" s="439">
        <f t="shared" ca="1" si="35"/>
        <v>3000</v>
      </c>
      <c r="X21" s="439">
        <f ca="1">IFERROR(__xludf.DUMMYFUNCTION("IMPORTRANGE(""https://docs.google.com/spreadsheets/d/1xfJKIQxVOaPDIICqsflNlLu3JacTDk1FP9RH4phX7mI/edit?usp=sharing"",""พิจิตร!J374"")"),2111)</f>
        <v>2111</v>
      </c>
      <c r="Y21" s="440">
        <f t="shared" ca="1" si="11"/>
        <v>70.36666666666666</v>
      </c>
      <c r="Z21" s="439">
        <f ca="1">IFERROR(__xludf.DUMMYFUNCTION("IMPORTRANGE(""https://docs.google.com/spreadsheets/d/1xfJKIQxVOaPDIICqsflNlLu3JacTDk1FP9RH4phX7mI/edit?usp=sharing"",""พิจิตร!I386"")"),3000)</f>
        <v>3000</v>
      </c>
      <c r="AA21" s="74">
        <f ca="1">IFERROR(__xludf.DUMMYFUNCTION("IMPORTRANGE(""https://docs.google.com/spreadsheets/d/1xfJKIQxVOaPDIICqsflNlLu3JacTDk1FP9RH4phX7mI/edit?usp=sharing"",""พิจิตร!J385"")"),152)</f>
        <v>152</v>
      </c>
      <c r="AB21" s="74">
        <f ca="1">IFERROR(__xludf.DUMMYFUNCTION("IMPORTRANGE(""https://docs.google.com/spreadsheets/d/1xfJKIQxVOaPDIICqsflNlLu3JacTDk1FP9RH4phX7mI/edit?usp=sharing"",""พิจิตร!J386"")"),2111)</f>
        <v>2111</v>
      </c>
      <c r="AC21" s="441">
        <f ca="1">IFERROR(__xludf.DUMMYFUNCTION("IMPORTRANGE(""https://docs.google.com/spreadsheets/d/1xfJKIQxVOaPDIICqsflNlLu3JacTDk1FP9RH4phX7mI/edit?usp=sharing"",""พิจิตร!I388"")"),0)</f>
        <v>0</v>
      </c>
      <c r="AD21" s="74">
        <f ca="1">IFERROR(__xludf.DUMMYFUNCTION("IMPORTRANGE(""https://docs.google.com/spreadsheets/d/1xfJKIQxVOaPDIICqsflNlLu3JacTDk1FP9RH4phX7mI/edit?usp=sharing"",""พิจิตร!j387"")"),0)</f>
        <v>0</v>
      </c>
      <c r="AE21" s="74">
        <f ca="1">IFERROR(__xludf.DUMMYFUNCTION("IMPORTRANGE(""https://docs.google.com/spreadsheets/d/1xfJKIQxVOaPDIICqsflNlLu3JacTDk1FP9RH4phX7mI/edit?usp=sharing"",""พิจิตร!j388"")"),0)</f>
        <v>0</v>
      </c>
    </row>
    <row r="22" spans="1:31" ht="19.5" x14ac:dyDescent="0.3">
      <c r="A22" s="147">
        <v>9</v>
      </c>
      <c r="B22" s="148" t="s">
        <v>50</v>
      </c>
      <c r="C22" s="149">
        <f t="shared" ca="1" si="21"/>
        <v>0</v>
      </c>
      <c r="D22" s="150">
        <f t="shared" ca="1" si="34"/>
        <v>0</v>
      </c>
      <c r="E22" s="151">
        <f ca="1">IFERROR(__xludf.DUMMYFUNCTION("IMPORTRANGE(""https://docs.google.com/spreadsheets/d/1-uDff_7J0KD5mKrp0Vvzr7lt3OU09vwQwhkpOPPYv2Y/edit?usp=sharing"",""งบพรบ!IF22"")"),0)</f>
        <v>0</v>
      </c>
      <c r="F22" s="151">
        <f ca="1">IFERROR(__xludf.DUMMYFUNCTION("IMPORTRANGE(""https://docs.google.com/spreadsheets/d/1-uDff_7J0KD5mKrp0Vvzr7lt3OU09vwQwhkpOPPYv2Y/edit?usp=sharing"",""งบพรบ!IG22"")"),0)</f>
        <v>0</v>
      </c>
      <c r="G22" s="151">
        <f ca="1">IFERROR(__xludf.DUMMYFUNCTION("IMPORTRANGE(""https://docs.google.com/spreadsheets/d/1-uDff_7J0KD5mKrp0Vvzr7lt3OU09vwQwhkpOPPYv2Y/edit?usp=sharing"",""งบพรบ!IH22"")"),0)</f>
        <v>0</v>
      </c>
      <c r="H22" s="151">
        <f ca="1">IFERROR(__xludf.DUMMYFUNCTION("IMPORTRANGE(""https://docs.google.com/spreadsheets/d/1-uDff_7J0KD5mKrp0Vvzr7lt3OU09vwQwhkpOPPYv2Y/edit?usp=sharing"",""งบพรบ!IJ22"")"),0)</f>
        <v>0</v>
      </c>
      <c r="I22" s="151">
        <f ca="1">IFERROR(__xludf.DUMMYFUNCTION("IMPORTRANGE(""https://docs.google.com/spreadsheets/d/1-uDff_7J0KD5mKrp0Vvzr7lt3OU09vwQwhkpOPPYv2Y/edit?usp=sharing"",""งบพรบ!IK22"")"),0)</f>
        <v>0</v>
      </c>
      <c r="J22" s="151">
        <f t="shared" ca="1" si="23"/>
        <v>0</v>
      </c>
      <c r="K22" s="154">
        <f t="shared" ca="1" si="24"/>
        <v>0</v>
      </c>
      <c r="L22" s="151">
        <f ca="1">IFERROR(__xludf.DUMMYFUNCTION("IMPORTRANGE(""https://docs.google.com/spreadsheets/d/1-uDff_7J0KD5mKrp0Vvzr7lt3OU09vwQwhkpOPPYv2Y/edit?usp=sharing"",""งบพรบ!IL22"")"),0)</f>
        <v>0</v>
      </c>
      <c r="M22" s="68">
        <f t="shared" ca="1" si="25"/>
        <v>0</v>
      </c>
      <c r="N22" s="68">
        <f t="shared" ca="1" si="26"/>
        <v>0</v>
      </c>
      <c r="O22" s="151">
        <f ca="1">IFERROR(__xludf.DUMMYFUNCTION("IMPORTRANGE(""https://docs.google.com/spreadsheets/d/1-uDff_7J0KD5mKrp0Vvzr7lt3OU09vwQwhkpOPPYv2Y/edit?usp=sharing"",""งบพรบ!IM22"")"),0)</f>
        <v>0</v>
      </c>
      <c r="P22" s="67">
        <f t="shared" ca="1" si="27"/>
        <v>0</v>
      </c>
      <c r="Q22" s="68">
        <f t="shared" ca="1" si="28"/>
        <v>0</v>
      </c>
      <c r="R22" s="67">
        <f ca="1">IFERROR(__xludf.DUMMYFUNCTION("IMPORTRANGE(""https://docs.google.com/spreadsheets/d/1JtRfZkJMHtEhI5RdRHxYUG4FIZHqKDpNyIuN7A1Q0_k/edit?usp=sharing"",""พิษณุโลก!Q375"")"),62500)</f>
        <v>62500</v>
      </c>
      <c r="S22" s="67">
        <f ca="1">IFERROR(__xludf.DUMMYFUNCTION("IMPORTRANGE(""https://docs.google.com/spreadsheets/d/1JtRfZkJMHtEhI5RdRHxYUG4FIZHqKDpNyIuN7A1Q0_k/edit?usp=sharing"",""พิษณุโลก!R375"")"),62500)</f>
        <v>62500</v>
      </c>
      <c r="T22" s="67">
        <f ca="1">IFERROR(__xludf.DUMMYFUNCTION("IMPORTRANGE(""https://docs.google.com/spreadsheets/d/1JtRfZkJMHtEhI5RdRHxYUG4FIZHqKDpNyIuN7A1Q0_k/edit?usp=sharing"",""พิษณุโลก!S375"")"),4830)</f>
        <v>4830</v>
      </c>
      <c r="U22" s="68">
        <f t="shared" ca="1" si="30"/>
        <v>7.7279999999999998</v>
      </c>
      <c r="V22" s="68">
        <f t="shared" ca="1" si="31"/>
        <v>7.7279999999999998</v>
      </c>
      <c r="W22" s="439">
        <f t="shared" ca="1" si="35"/>
        <v>1000</v>
      </c>
      <c r="X22" s="439">
        <f ca="1">IFERROR(__xludf.DUMMYFUNCTION("IMPORTRANGE(""https://docs.google.com/spreadsheets/d/1JtRfZkJMHtEhI5RdRHxYUG4FIZHqKDpNyIuN7A1Q0_k/edit?usp=sharing"",""พิษณุโลก!J374"")"),0)</f>
        <v>0</v>
      </c>
      <c r="Y22" s="440">
        <f t="shared" ca="1" si="11"/>
        <v>0</v>
      </c>
      <c r="Z22" s="439">
        <f ca="1">IFERROR(__xludf.DUMMYFUNCTION("IMPORTRANGE(""https://docs.google.com/spreadsheets/d/1JtRfZkJMHtEhI5RdRHxYUG4FIZHqKDpNyIuN7A1Q0_k/edit?usp=sharing"",""พิษณุโลก!I386"")"),1000)</f>
        <v>1000</v>
      </c>
      <c r="AA22" s="74">
        <f ca="1">IFERROR(__xludf.DUMMYFUNCTION("IMPORTRANGE(""https://docs.google.com/spreadsheets/d/1JtRfZkJMHtEhI5RdRHxYUG4FIZHqKDpNyIuN7A1Q0_k/edit?usp=sharing"",""พิษณุโลก!J385"")"),0)</f>
        <v>0</v>
      </c>
      <c r="AB22" s="74">
        <f ca="1">IFERROR(__xludf.DUMMYFUNCTION("IMPORTRANGE(""https://docs.google.com/spreadsheets/d/1JtRfZkJMHtEhI5RdRHxYUG4FIZHqKDpNyIuN7A1Q0_k/edit?usp=sharing"",""พิษณุโลก!J386"")"),0)</f>
        <v>0</v>
      </c>
      <c r="AC22" s="441">
        <f ca="1">IFERROR(__xludf.DUMMYFUNCTION("IMPORTRANGE(""https://docs.google.com/spreadsheets/d/1JtRfZkJMHtEhI5RdRHxYUG4FIZHqKDpNyIuN7A1Q0_k/edit?usp=sharing"",""พิษณุโลก!I388"")"),0)</f>
        <v>0</v>
      </c>
      <c r="AD22" s="74">
        <f ca="1">IFERROR(__xludf.DUMMYFUNCTION("IMPORTRANGE(""https://docs.google.com/spreadsheets/d/1JtRfZkJMHtEhI5RdRHxYUG4FIZHqKDpNyIuN7A1Q0_k/edit?usp=sharing"",""พิษณุโลก!j387"")"),0)</f>
        <v>0</v>
      </c>
      <c r="AE22" s="74">
        <f ca="1">IFERROR(__xludf.DUMMYFUNCTION("IMPORTRANGE(""https://docs.google.com/spreadsheets/d/1JtRfZkJMHtEhI5RdRHxYUG4FIZHqKDpNyIuN7A1Q0_k/edit?usp=sharing"",""พิษณุโลก!j388"")"),0)</f>
        <v>0</v>
      </c>
    </row>
    <row r="23" spans="1:31" ht="19.5" x14ac:dyDescent="0.3">
      <c r="A23" s="147">
        <v>10</v>
      </c>
      <c r="B23" s="148" t="s">
        <v>51</v>
      </c>
      <c r="C23" s="149">
        <f t="shared" ca="1" si="21"/>
        <v>0</v>
      </c>
      <c r="D23" s="150">
        <f t="shared" ca="1" si="34"/>
        <v>0</v>
      </c>
      <c r="E23" s="151">
        <f ca="1">IFERROR(__xludf.DUMMYFUNCTION("IMPORTRANGE(""https://docs.google.com/spreadsheets/d/1-uDff_7J0KD5mKrp0Vvzr7lt3OU09vwQwhkpOPPYv2Y/edit?usp=sharing"",""งบพรบ!IF23"")"),0)</f>
        <v>0</v>
      </c>
      <c r="F23" s="151">
        <f ca="1">IFERROR(__xludf.DUMMYFUNCTION("IMPORTRANGE(""https://docs.google.com/spreadsheets/d/1-uDff_7J0KD5mKrp0Vvzr7lt3OU09vwQwhkpOPPYv2Y/edit?usp=sharing"",""งบพรบ!IG23"")"),0)</f>
        <v>0</v>
      </c>
      <c r="G23" s="151">
        <f ca="1">IFERROR(__xludf.DUMMYFUNCTION("IMPORTRANGE(""https://docs.google.com/spreadsheets/d/1-uDff_7J0KD5mKrp0Vvzr7lt3OU09vwQwhkpOPPYv2Y/edit?usp=sharing"",""งบพรบ!IH23"")"),0)</f>
        <v>0</v>
      </c>
      <c r="H23" s="151">
        <f ca="1">IFERROR(__xludf.DUMMYFUNCTION("IMPORTRANGE(""https://docs.google.com/spreadsheets/d/1-uDff_7J0KD5mKrp0Vvzr7lt3OU09vwQwhkpOPPYv2Y/edit?usp=sharing"",""งบพรบ!IJ23"")"),0)</f>
        <v>0</v>
      </c>
      <c r="I23" s="151">
        <f ca="1">IFERROR(__xludf.DUMMYFUNCTION("IMPORTRANGE(""https://docs.google.com/spreadsheets/d/1-uDff_7J0KD5mKrp0Vvzr7lt3OU09vwQwhkpOPPYv2Y/edit?usp=sharing"",""งบพรบ!IK23"")"),0)</f>
        <v>0</v>
      </c>
      <c r="J23" s="151">
        <f t="shared" ca="1" si="23"/>
        <v>0</v>
      </c>
      <c r="K23" s="154">
        <f t="shared" ca="1" si="24"/>
        <v>0</v>
      </c>
      <c r="L23" s="151">
        <f ca="1">IFERROR(__xludf.DUMMYFUNCTION("IMPORTRANGE(""https://docs.google.com/spreadsheets/d/1-uDff_7J0KD5mKrp0Vvzr7lt3OU09vwQwhkpOPPYv2Y/edit?usp=sharing"",""งบพรบ!IL23"")"),0)</f>
        <v>0</v>
      </c>
      <c r="M23" s="68">
        <f t="shared" ca="1" si="25"/>
        <v>0</v>
      </c>
      <c r="N23" s="68">
        <f t="shared" ca="1" si="26"/>
        <v>0</v>
      </c>
      <c r="O23" s="151">
        <f ca="1">IFERROR(__xludf.DUMMYFUNCTION("IMPORTRANGE(""https://docs.google.com/spreadsheets/d/1-uDff_7J0KD5mKrp0Vvzr7lt3OU09vwQwhkpOPPYv2Y/edit?usp=sharing"",""งบพรบ!IM23"")"),0)</f>
        <v>0</v>
      </c>
      <c r="P23" s="67">
        <f t="shared" ca="1" si="27"/>
        <v>0</v>
      </c>
      <c r="Q23" s="68">
        <f t="shared" ca="1" si="28"/>
        <v>0</v>
      </c>
      <c r="R23" s="67">
        <f ca="1">IFERROR(__xludf.DUMMYFUNCTION("IMPORTRANGE(""https://docs.google.com/spreadsheets/d/1xlcVZWUNn6SuWm0c307h32SiGkd9BaeQWlAktfD3KO8/edit?usp=sharing"",""เพชรบูรณ์!Q375"")"),0)</f>
        <v>0</v>
      </c>
      <c r="S23" s="67">
        <f ca="1">IFERROR(__xludf.DUMMYFUNCTION("IMPORTRANGE(""https://docs.google.com/spreadsheets/d/1xlcVZWUNn6SuWm0c307h32SiGkd9BaeQWlAktfD3KO8/edit?usp=sharing"",""เพชรบูรณ์!R375"")"),0)</f>
        <v>0</v>
      </c>
      <c r="T23" s="67">
        <f ca="1">IFERROR(__xludf.DUMMYFUNCTION("IMPORTRANGE(""https://docs.google.com/spreadsheets/d/1xlcVZWUNn6SuWm0c307h32SiGkd9BaeQWlAktfD3KO8/edit?usp=sharing"",""เพชรบูรณ์!S375"")"),0)</f>
        <v>0</v>
      </c>
      <c r="U23" s="68">
        <f t="shared" ca="1" si="30"/>
        <v>0</v>
      </c>
      <c r="V23" s="68">
        <f t="shared" ca="1" si="31"/>
        <v>0</v>
      </c>
      <c r="W23" s="439">
        <f t="shared" ca="1" si="35"/>
        <v>0</v>
      </c>
      <c r="X23" s="439">
        <f ca="1">IFERROR(__xludf.DUMMYFUNCTION("IMPORTRANGE(""https://docs.google.com/spreadsheets/d/1xlcVZWUNn6SuWm0c307h32SiGkd9BaeQWlAktfD3KO8/edit?usp=sharing"",""เพชรบูรณ์!J374"")"),0)</f>
        <v>0</v>
      </c>
      <c r="Y23" s="440">
        <f t="shared" ca="1" si="11"/>
        <v>0</v>
      </c>
      <c r="Z23" s="439">
        <f ca="1">IFERROR(__xludf.DUMMYFUNCTION("IMPORTRANGE(""https://docs.google.com/spreadsheets/d/1xlcVZWUNn6SuWm0c307h32SiGkd9BaeQWlAktfD3KO8/edit?usp=sharing"",""เพชรบูรณ์!I386"")"),0)</f>
        <v>0</v>
      </c>
      <c r="AA23" s="74">
        <f ca="1">IFERROR(__xludf.DUMMYFUNCTION("IMPORTRANGE(""https://docs.google.com/spreadsheets/d/1xlcVZWUNn6SuWm0c307h32SiGkd9BaeQWlAktfD3KO8/edit?usp=sharing"",""เพชรบูรณ์!J385"")"),0)</f>
        <v>0</v>
      </c>
      <c r="AB23" s="74">
        <f ca="1">IFERROR(__xludf.DUMMYFUNCTION("IMPORTRANGE(""https://docs.google.com/spreadsheets/d/1xlcVZWUNn6SuWm0c307h32SiGkd9BaeQWlAktfD3KO8/edit?usp=sharing"",""เพชรบูรณ์!J386"")"),0)</f>
        <v>0</v>
      </c>
      <c r="AC23" s="441">
        <f ca="1">IFERROR(__xludf.DUMMYFUNCTION("IMPORTRANGE(""https://docs.google.com/spreadsheets/d/1xlcVZWUNn6SuWm0c307h32SiGkd9BaeQWlAktfD3KO8/edit?usp=sharing"",""เพชรบูรณ์!I388"")"),0)</f>
        <v>0</v>
      </c>
      <c r="AD23" s="74">
        <f ca="1">IFERROR(__xludf.DUMMYFUNCTION("IMPORTRANGE(""https://docs.google.com/spreadsheets/d/1xlcVZWUNn6SuWm0c307h32SiGkd9BaeQWlAktfD3KO8/edit?usp=sharing"",""เพชรบูรณ์!j387"")"),0)</f>
        <v>0</v>
      </c>
      <c r="AE23" s="74">
        <f ca="1">IFERROR(__xludf.DUMMYFUNCTION("IMPORTRANGE(""https://docs.google.com/spreadsheets/d/1xlcVZWUNn6SuWm0c307h32SiGkd9BaeQWlAktfD3KO8/edit?usp=sharing"",""เพชรบูรณ์!j388"")"),0)</f>
        <v>0</v>
      </c>
    </row>
    <row r="24" spans="1:31" ht="19.5" x14ac:dyDescent="0.3">
      <c r="A24" s="147">
        <v>11</v>
      </c>
      <c r="B24" s="148" t="s">
        <v>52</v>
      </c>
      <c r="C24" s="149">
        <f t="shared" ca="1" si="21"/>
        <v>0</v>
      </c>
      <c r="D24" s="150">
        <f t="shared" ca="1" si="34"/>
        <v>0</v>
      </c>
      <c r="E24" s="151">
        <f ca="1">IFERROR(__xludf.DUMMYFUNCTION("IMPORTRANGE(""https://docs.google.com/spreadsheets/d/1-uDff_7J0KD5mKrp0Vvzr7lt3OU09vwQwhkpOPPYv2Y/edit?usp=sharing"",""งบพรบ!IF24"")"),0)</f>
        <v>0</v>
      </c>
      <c r="F24" s="151">
        <f ca="1">IFERROR(__xludf.DUMMYFUNCTION("IMPORTRANGE(""https://docs.google.com/spreadsheets/d/1-uDff_7J0KD5mKrp0Vvzr7lt3OU09vwQwhkpOPPYv2Y/edit?usp=sharing"",""งบพรบ!IG24"")"),0)</f>
        <v>0</v>
      </c>
      <c r="G24" s="151">
        <f ca="1">IFERROR(__xludf.DUMMYFUNCTION("IMPORTRANGE(""https://docs.google.com/spreadsheets/d/1-uDff_7J0KD5mKrp0Vvzr7lt3OU09vwQwhkpOPPYv2Y/edit?usp=sharing"",""งบพรบ!IH24"")"),0)</f>
        <v>0</v>
      </c>
      <c r="H24" s="151">
        <f ca="1">IFERROR(__xludf.DUMMYFUNCTION("IMPORTRANGE(""https://docs.google.com/spreadsheets/d/1-uDff_7J0KD5mKrp0Vvzr7lt3OU09vwQwhkpOPPYv2Y/edit?usp=sharing"",""งบพรบ!IJ24"")"),0)</f>
        <v>0</v>
      </c>
      <c r="I24" s="151">
        <f ca="1">IFERROR(__xludf.DUMMYFUNCTION("IMPORTRANGE(""https://docs.google.com/spreadsheets/d/1-uDff_7J0KD5mKrp0Vvzr7lt3OU09vwQwhkpOPPYv2Y/edit?usp=sharing"",""งบพรบ!IK24"")"),0)</f>
        <v>0</v>
      </c>
      <c r="J24" s="151">
        <f t="shared" ca="1" si="23"/>
        <v>0</v>
      </c>
      <c r="K24" s="154">
        <f t="shared" ca="1" si="24"/>
        <v>0</v>
      </c>
      <c r="L24" s="151">
        <f ca="1">IFERROR(__xludf.DUMMYFUNCTION("IMPORTRANGE(""https://docs.google.com/spreadsheets/d/1-uDff_7J0KD5mKrp0Vvzr7lt3OU09vwQwhkpOPPYv2Y/edit?usp=sharing"",""งบพรบ!IL24"")"),0)</f>
        <v>0</v>
      </c>
      <c r="M24" s="68">
        <f t="shared" ca="1" si="25"/>
        <v>0</v>
      </c>
      <c r="N24" s="68">
        <f t="shared" ca="1" si="26"/>
        <v>0</v>
      </c>
      <c r="O24" s="151">
        <f ca="1">IFERROR(__xludf.DUMMYFUNCTION("IMPORTRANGE(""https://docs.google.com/spreadsheets/d/1-uDff_7J0KD5mKrp0Vvzr7lt3OU09vwQwhkpOPPYv2Y/edit?usp=sharing"",""งบพรบ!IM24"")"),0)</f>
        <v>0</v>
      </c>
      <c r="P24" s="67">
        <f t="shared" ca="1" si="27"/>
        <v>0</v>
      </c>
      <c r="Q24" s="68">
        <f t="shared" ca="1" si="28"/>
        <v>0</v>
      </c>
      <c r="R24" s="67">
        <f ca="1">IFERROR(__xludf.DUMMYFUNCTION("IMPORTRANGE(""https://docs.google.com/spreadsheets/d/1lOVebEIsI9qjGXl6EX66luk7wiuP2tBaryw-wKvv4e0/edit?usp=sharing"",""แพร่!Q375"")"),62500)</f>
        <v>62500</v>
      </c>
      <c r="S24" s="67">
        <f ca="1">IFERROR(__xludf.DUMMYFUNCTION("IMPORTRANGE(""https://docs.google.com/spreadsheets/d/1lOVebEIsI9qjGXl6EX66luk7wiuP2tBaryw-wKvv4e0/edit?usp=sharing"",""แพร่!R375"")"),62500)</f>
        <v>62500</v>
      </c>
      <c r="T24" s="67">
        <f ca="1">IFERROR(__xludf.DUMMYFUNCTION("IMPORTRANGE(""https://docs.google.com/spreadsheets/d/1lOVebEIsI9qjGXl6EX66luk7wiuP2tBaryw-wKvv4e0/edit?usp=sharing"",""แพร่!S375"")"),0)</f>
        <v>0</v>
      </c>
      <c r="U24" s="68">
        <f t="shared" ca="1" si="30"/>
        <v>0</v>
      </c>
      <c r="V24" s="68">
        <f t="shared" ca="1" si="31"/>
        <v>0</v>
      </c>
      <c r="W24" s="439">
        <f t="shared" ca="1" si="35"/>
        <v>1000</v>
      </c>
      <c r="X24" s="439">
        <f ca="1">IFERROR(__xludf.DUMMYFUNCTION("IMPORTRANGE(""https://docs.google.com/spreadsheets/d/1lOVebEIsI9qjGXl6EX66luk7wiuP2tBaryw-wKvv4e0/edit?usp=sharing"",""แพร่!J374"")"),0)</f>
        <v>0</v>
      </c>
      <c r="Y24" s="440">
        <f t="shared" ca="1" si="11"/>
        <v>0</v>
      </c>
      <c r="Z24" s="439">
        <f ca="1">IFERROR(__xludf.DUMMYFUNCTION("IMPORTRANGE(""https://docs.google.com/spreadsheets/d/1lOVebEIsI9qjGXl6EX66luk7wiuP2tBaryw-wKvv4e0/edit?usp=sharing"",""แพร่!I386"")"),1000)</f>
        <v>1000</v>
      </c>
      <c r="AA24" s="74">
        <f ca="1">IFERROR(__xludf.DUMMYFUNCTION("IMPORTRANGE(""https://docs.google.com/spreadsheets/d/1lOVebEIsI9qjGXl6EX66luk7wiuP2tBaryw-wKvv4e0/edit?usp=sharing"",""แพร่!J385"")"),0)</f>
        <v>0</v>
      </c>
      <c r="AB24" s="74">
        <f ca="1">IFERROR(__xludf.DUMMYFUNCTION("IMPORTRANGE(""https://docs.google.com/spreadsheets/d/1lOVebEIsI9qjGXl6EX66luk7wiuP2tBaryw-wKvv4e0/edit?usp=sharing"",""แพร่!J386"")"),0)</f>
        <v>0</v>
      </c>
      <c r="AC24" s="441">
        <f ca="1">IFERROR(__xludf.DUMMYFUNCTION("IMPORTRANGE(""https://docs.google.com/spreadsheets/d/1lOVebEIsI9qjGXl6EX66luk7wiuP2tBaryw-wKvv4e0/edit?usp=sharing"",""แพร่!I388"")"),0)</f>
        <v>0</v>
      </c>
      <c r="AD24" s="74">
        <f ca="1">IFERROR(__xludf.DUMMYFUNCTION("IMPORTRANGE(""https://docs.google.com/spreadsheets/d/1lOVebEIsI9qjGXl6EX66luk7wiuP2tBaryw-wKvv4e0/edit?usp=sharing"",""แพร่!j387"")"),0)</f>
        <v>0</v>
      </c>
      <c r="AE24" s="74">
        <f ca="1">IFERROR(__xludf.DUMMYFUNCTION("IMPORTRANGE(""https://docs.google.com/spreadsheets/d/1lOVebEIsI9qjGXl6EX66luk7wiuP2tBaryw-wKvv4e0/edit?usp=sharing"",""แพร่!j388"")"),0)</f>
        <v>0</v>
      </c>
    </row>
    <row r="25" spans="1:31" ht="19.5" x14ac:dyDescent="0.3">
      <c r="A25" s="147">
        <v>12</v>
      </c>
      <c r="B25" s="148" t="s">
        <v>53</v>
      </c>
      <c r="C25" s="149">
        <f t="shared" ca="1" si="21"/>
        <v>0</v>
      </c>
      <c r="D25" s="150">
        <f t="shared" ca="1" si="34"/>
        <v>0</v>
      </c>
      <c r="E25" s="151">
        <f ca="1">IFERROR(__xludf.DUMMYFUNCTION("IMPORTRANGE(""https://docs.google.com/spreadsheets/d/1-uDff_7J0KD5mKrp0Vvzr7lt3OU09vwQwhkpOPPYv2Y/edit?usp=sharing"",""งบพรบ!IF25"")"),0)</f>
        <v>0</v>
      </c>
      <c r="F25" s="151">
        <f ca="1">IFERROR(__xludf.DUMMYFUNCTION("IMPORTRANGE(""https://docs.google.com/spreadsheets/d/1-uDff_7J0KD5mKrp0Vvzr7lt3OU09vwQwhkpOPPYv2Y/edit?usp=sharing"",""งบพรบ!IG25"")"),0)</f>
        <v>0</v>
      </c>
      <c r="G25" s="151">
        <f ca="1">IFERROR(__xludf.DUMMYFUNCTION("IMPORTRANGE(""https://docs.google.com/spreadsheets/d/1-uDff_7J0KD5mKrp0Vvzr7lt3OU09vwQwhkpOPPYv2Y/edit?usp=sharing"",""งบพรบ!IH25"")"),0)</f>
        <v>0</v>
      </c>
      <c r="H25" s="151">
        <f ca="1">IFERROR(__xludf.DUMMYFUNCTION("IMPORTRANGE(""https://docs.google.com/spreadsheets/d/1-uDff_7J0KD5mKrp0Vvzr7lt3OU09vwQwhkpOPPYv2Y/edit?usp=sharing"",""งบพรบ!IJ25"")"),0)</f>
        <v>0</v>
      </c>
      <c r="I25" s="151">
        <f ca="1">IFERROR(__xludf.DUMMYFUNCTION("IMPORTRANGE(""https://docs.google.com/spreadsheets/d/1-uDff_7J0KD5mKrp0Vvzr7lt3OU09vwQwhkpOPPYv2Y/edit?usp=sharing"",""งบพรบ!IK25"")"),0)</f>
        <v>0</v>
      </c>
      <c r="J25" s="151">
        <f t="shared" ca="1" si="23"/>
        <v>0</v>
      </c>
      <c r="K25" s="154">
        <f t="shared" ca="1" si="24"/>
        <v>0</v>
      </c>
      <c r="L25" s="151">
        <f ca="1">IFERROR(__xludf.DUMMYFUNCTION("IMPORTRANGE(""https://docs.google.com/spreadsheets/d/1-uDff_7J0KD5mKrp0Vvzr7lt3OU09vwQwhkpOPPYv2Y/edit?usp=sharing"",""งบพรบ!IL25"")"),0)</f>
        <v>0</v>
      </c>
      <c r="M25" s="68">
        <f t="shared" ca="1" si="25"/>
        <v>0</v>
      </c>
      <c r="N25" s="68">
        <f t="shared" ca="1" si="26"/>
        <v>0</v>
      </c>
      <c r="O25" s="151">
        <f ca="1">IFERROR(__xludf.DUMMYFUNCTION("IMPORTRANGE(""https://docs.google.com/spreadsheets/d/1-uDff_7J0KD5mKrp0Vvzr7lt3OU09vwQwhkpOPPYv2Y/edit?usp=sharing"",""งบพรบ!IM25"")"),0)</f>
        <v>0</v>
      </c>
      <c r="P25" s="67">
        <f t="shared" ca="1" si="27"/>
        <v>0</v>
      </c>
      <c r="Q25" s="68">
        <f t="shared" ca="1" si="28"/>
        <v>0</v>
      </c>
      <c r="R25" s="67">
        <f ca="1">IFERROR(__xludf.DUMMYFUNCTION("IMPORTRANGE(""https://docs.google.com/spreadsheets/d/1dQrvX0vEcN7Gu0fnZ0B5S90AeR19zth4XlExFBeExMY/edit?usp=sharing"",""แม่ฮ่องสอน!Q375"")"),0)</f>
        <v>0</v>
      </c>
      <c r="S25" s="67">
        <f ca="1">IFERROR(__xludf.DUMMYFUNCTION("IMPORTRANGE(""https://docs.google.com/spreadsheets/d/1dQrvX0vEcN7Gu0fnZ0B5S90AeR19zth4XlExFBeExMY/edit?usp=sharing"",""แม่ฮ่องสอน!R375"")"),0)</f>
        <v>0</v>
      </c>
      <c r="T25" s="67">
        <f ca="1">IFERROR(__xludf.DUMMYFUNCTION("IMPORTRANGE(""https://docs.google.com/spreadsheets/d/1dQrvX0vEcN7Gu0fnZ0B5S90AeR19zth4XlExFBeExMY/edit?usp=sharing"",""แม่ฮ่องสอน!S375"")"),0)</f>
        <v>0</v>
      </c>
      <c r="U25" s="68">
        <f t="shared" ca="1" si="30"/>
        <v>0</v>
      </c>
      <c r="V25" s="68">
        <f t="shared" ca="1" si="31"/>
        <v>0</v>
      </c>
      <c r="W25" s="439">
        <f t="shared" ca="1" si="35"/>
        <v>0</v>
      </c>
      <c r="X25" s="439">
        <f ca="1">IFERROR(__xludf.DUMMYFUNCTION("IMPORTRANGE(""https://docs.google.com/spreadsheets/d/1dQrvX0vEcN7Gu0fnZ0B5S90AeR19zth4XlExFBeExMY/edit?usp=sharing"",""แม่ฮ่องสอน!J374"")"),0)</f>
        <v>0</v>
      </c>
      <c r="Y25" s="440">
        <f t="shared" ca="1" si="11"/>
        <v>0</v>
      </c>
      <c r="Z25" s="439">
        <f ca="1">IFERROR(__xludf.DUMMYFUNCTION("IMPORTRANGE(""https://docs.google.com/spreadsheets/d/1dQrvX0vEcN7Gu0fnZ0B5S90AeR19zth4XlExFBeExMY/edit?usp=sharing"",""แม่ฮ่องสอน!I386"")"),0)</f>
        <v>0</v>
      </c>
      <c r="AA25" s="74">
        <f ca="1">IFERROR(__xludf.DUMMYFUNCTION("IMPORTRANGE(""https://docs.google.com/spreadsheets/d/1dQrvX0vEcN7Gu0fnZ0B5S90AeR19zth4XlExFBeExMY/edit?usp=sharing"",""แม่ฮ่องสอน!J385"")"),0)</f>
        <v>0</v>
      </c>
      <c r="AB25" s="74">
        <f ca="1">IFERROR(__xludf.DUMMYFUNCTION("IMPORTRANGE(""https://docs.google.com/spreadsheets/d/1dQrvX0vEcN7Gu0fnZ0B5S90AeR19zth4XlExFBeExMY/edit?usp=sharing"",""แม่ฮ่องสอน!J386"")"),0)</f>
        <v>0</v>
      </c>
      <c r="AC25" s="441">
        <f ca="1">IFERROR(__xludf.DUMMYFUNCTION("IMPORTRANGE(""https://docs.google.com/spreadsheets/d/1dQrvX0vEcN7Gu0fnZ0B5S90AeR19zth4XlExFBeExMY/edit?usp=sharing"",""แม่ฮ่องสอน!I388"")"),0)</f>
        <v>0</v>
      </c>
      <c r="AD25" s="74">
        <f ca="1">IFERROR(__xludf.DUMMYFUNCTION("IMPORTRANGE(""https://docs.google.com/spreadsheets/d/1dQrvX0vEcN7Gu0fnZ0B5S90AeR19zth4XlExFBeExMY/edit?usp=sharing"",""แม่ฮ่องสอน!j387"")"),0)</f>
        <v>0</v>
      </c>
      <c r="AE25" s="74">
        <f ca="1">IFERROR(__xludf.DUMMYFUNCTION("IMPORTRANGE(""https://docs.google.com/spreadsheets/d/1dQrvX0vEcN7Gu0fnZ0B5S90AeR19zth4XlExFBeExMY/edit?usp=sharing"",""แม่ฮ่องสอน!j388"")"),0)</f>
        <v>0</v>
      </c>
    </row>
    <row r="26" spans="1:31" ht="19.5" x14ac:dyDescent="0.3">
      <c r="A26" s="147">
        <v>13</v>
      </c>
      <c r="B26" s="148" t="s">
        <v>54</v>
      </c>
      <c r="C26" s="149">
        <f t="shared" ca="1" si="21"/>
        <v>44900</v>
      </c>
      <c r="D26" s="150">
        <f t="shared" ca="1" si="34"/>
        <v>44900</v>
      </c>
      <c r="E26" s="151">
        <f ca="1">IFERROR(__xludf.DUMMYFUNCTION("IMPORTRANGE(""https://docs.google.com/spreadsheets/d/1-uDff_7J0KD5mKrp0Vvzr7lt3OU09vwQwhkpOPPYv2Y/edit?usp=sharing"",""งบพรบ!IF26"")"),44900)</f>
        <v>44900</v>
      </c>
      <c r="F26" s="151">
        <f ca="1">IFERROR(__xludf.DUMMYFUNCTION("IMPORTRANGE(""https://docs.google.com/spreadsheets/d/1-uDff_7J0KD5mKrp0Vvzr7lt3OU09vwQwhkpOPPYv2Y/edit?usp=sharing"",""งบพรบ!IG26"")"),0)</f>
        <v>0</v>
      </c>
      <c r="G26" s="151">
        <f ca="1">IFERROR(__xludf.DUMMYFUNCTION("IMPORTRANGE(""https://docs.google.com/spreadsheets/d/1-uDff_7J0KD5mKrp0Vvzr7lt3OU09vwQwhkpOPPYv2Y/edit?usp=sharing"",""งบพรบ!IH26"")"),0)</f>
        <v>0</v>
      </c>
      <c r="H26" s="151">
        <f ca="1">IFERROR(__xludf.DUMMYFUNCTION("IMPORTRANGE(""https://docs.google.com/spreadsheets/d/1-uDff_7J0KD5mKrp0Vvzr7lt3OU09vwQwhkpOPPYv2Y/edit?usp=sharing"",""งบพรบ!IJ26"")"),44900)</f>
        <v>44900</v>
      </c>
      <c r="I26" s="151">
        <f ca="1">IFERROR(__xludf.DUMMYFUNCTION("IMPORTRANGE(""https://docs.google.com/spreadsheets/d/1-uDff_7J0KD5mKrp0Vvzr7lt3OU09vwQwhkpOPPYv2Y/edit?usp=sharing"",""งบพรบ!IK26"")"),0)</f>
        <v>0</v>
      </c>
      <c r="J26" s="151">
        <f t="shared" ca="1" si="23"/>
        <v>44470.3</v>
      </c>
      <c r="K26" s="154">
        <f t="shared" ca="1" si="24"/>
        <v>99.042984409799558</v>
      </c>
      <c r="L26" s="151">
        <f ca="1">IFERROR(__xludf.DUMMYFUNCTION("IMPORTRANGE(""https://docs.google.com/spreadsheets/d/1-uDff_7J0KD5mKrp0Vvzr7lt3OU09vwQwhkpOPPYv2Y/edit?usp=sharing"",""งบพรบ!IL26"")"),44470.3)</f>
        <v>44470.3</v>
      </c>
      <c r="M26" s="68">
        <f t="shared" ca="1" si="25"/>
        <v>99.042984409799558</v>
      </c>
      <c r="N26" s="68">
        <f t="shared" ca="1" si="26"/>
        <v>99.042984409799558</v>
      </c>
      <c r="O26" s="151">
        <f ca="1">IFERROR(__xludf.DUMMYFUNCTION("IMPORTRANGE(""https://docs.google.com/spreadsheets/d/1-uDff_7J0KD5mKrp0Vvzr7lt3OU09vwQwhkpOPPYv2Y/edit?usp=sharing"",""งบพรบ!IM26"")"),0)</f>
        <v>0</v>
      </c>
      <c r="P26" s="67">
        <f t="shared" ca="1" si="27"/>
        <v>0</v>
      </c>
      <c r="Q26" s="68">
        <f t="shared" ca="1" si="28"/>
        <v>0</v>
      </c>
      <c r="R26" s="67">
        <f ca="1">IFERROR(__xludf.DUMMYFUNCTION("IMPORTRANGE(""https://docs.google.com/spreadsheets/d/1DY4XTNNwjluuxqdfdn6qvOSlMRrZqUtmYcZR0ttFiG4/edit?usp=sharing"",""ลำปาง!Q375"")"),125000)</f>
        <v>125000</v>
      </c>
      <c r="S26" s="67">
        <f ca="1">IFERROR(__xludf.DUMMYFUNCTION("IMPORTRANGE(""https://docs.google.com/spreadsheets/d/1DY4XTNNwjluuxqdfdn6qvOSlMRrZqUtmYcZR0ttFiG4/edit?usp=sharing"",""ลำปาง!R375"")"),125000)</f>
        <v>125000</v>
      </c>
      <c r="T26" s="67">
        <f ca="1">IFERROR(__xludf.DUMMYFUNCTION("IMPORTRANGE(""https://docs.google.com/spreadsheets/d/1DY4XTNNwjluuxqdfdn6qvOSlMRrZqUtmYcZR0ttFiG4/edit?usp=sharing"",""ลำปาง!S375"")"),59440.02)</f>
        <v>59440.02</v>
      </c>
      <c r="U26" s="68">
        <f t="shared" ca="1" si="30"/>
        <v>47.552016000000002</v>
      </c>
      <c r="V26" s="68">
        <f t="shared" ca="1" si="31"/>
        <v>47.552016000000002</v>
      </c>
      <c r="W26" s="439">
        <f t="shared" ca="1" si="35"/>
        <v>2000</v>
      </c>
      <c r="X26" s="439">
        <f ca="1">IFERROR(__xludf.DUMMYFUNCTION("IMPORTRANGE(""https://docs.google.com/spreadsheets/d/1DY4XTNNwjluuxqdfdn6qvOSlMRrZqUtmYcZR0ttFiG4/edit?usp=sharing"",""ลำปาง!J374"")"),427)</f>
        <v>427</v>
      </c>
      <c r="Y26" s="440">
        <f t="shared" ca="1" si="11"/>
        <v>21.35</v>
      </c>
      <c r="Z26" s="439">
        <f ca="1">IFERROR(__xludf.DUMMYFUNCTION("IMPORTRANGE(""https://docs.google.com/spreadsheets/d/1DY4XTNNwjluuxqdfdn6qvOSlMRrZqUtmYcZR0ttFiG4/edit?usp=sharing"",""ลำปาง!I386"")"),2000)</f>
        <v>2000</v>
      </c>
      <c r="AA26" s="74">
        <f ca="1">IFERROR(__xludf.DUMMYFUNCTION("IMPORTRANGE(""https://docs.google.com/spreadsheets/d/1DY4XTNNwjluuxqdfdn6qvOSlMRrZqUtmYcZR0ttFiG4/edit?usp=sharing"",""ลำปาง!J385"")"),41)</f>
        <v>41</v>
      </c>
      <c r="AB26" s="74">
        <f ca="1">IFERROR(__xludf.DUMMYFUNCTION("IMPORTRANGE(""https://docs.google.com/spreadsheets/d/1DY4XTNNwjluuxqdfdn6qvOSlMRrZqUtmYcZR0ttFiG4/edit?usp=sharing"",""ลำปาง!J386"")"),427)</f>
        <v>427</v>
      </c>
      <c r="AC26" s="441">
        <f ca="1">IFERROR(__xludf.DUMMYFUNCTION("IMPORTRANGE(""https://docs.google.com/spreadsheets/d/1DY4XTNNwjluuxqdfdn6qvOSlMRrZqUtmYcZR0ttFiG4/edit?usp=sharing"",""ลำปาง!I388"")"),0)</f>
        <v>0</v>
      </c>
      <c r="AD26" s="74">
        <f ca="1">IFERROR(__xludf.DUMMYFUNCTION("IMPORTRANGE(""https://docs.google.com/spreadsheets/d/1DY4XTNNwjluuxqdfdn6qvOSlMRrZqUtmYcZR0ttFiG4/edit?usp=sharing"",""ลำปาง!j387"")"),0)</f>
        <v>0</v>
      </c>
      <c r="AE26" s="74">
        <f ca="1">IFERROR(__xludf.DUMMYFUNCTION("IMPORTRANGE(""https://docs.google.com/spreadsheets/d/1DY4XTNNwjluuxqdfdn6qvOSlMRrZqUtmYcZR0ttFiG4/edit?usp=sharing"",""ลำปาง!j388"")"),0)</f>
        <v>0</v>
      </c>
    </row>
    <row r="27" spans="1:31" ht="19.5" x14ac:dyDescent="0.3">
      <c r="A27" s="147">
        <v>14</v>
      </c>
      <c r="B27" s="148" t="s">
        <v>55</v>
      </c>
      <c r="C27" s="149">
        <f t="shared" ca="1" si="21"/>
        <v>0</v>
      </c>
      <c r="D27" s="150">
        <f t="shared" ca="1" si="34"/>
        <v>0</v>
      </c>
      <c r="E27" s="151">
        <f ca="1">IFERROR(__xludf.DUMMYFUNCTION("IMPORTRANGE(""https://docs.google.com/spreadsheets/d/1-uDff_7J0KD5mKrp0Vvzr7lt3OU09vwQwhkpOPPYv2Y/edit?usp=sharing"",""งบพรบ!IF27"")"),0)</f>
        <v>0</v>
      </c>
      <c r="F27" s="151">
        <f ca="1">IFERROR(__xludf.DUMMYFUNCTION("IMPORTRANGE(""https://docs.google.com/spreadsheets/d/1-uDff_7J0KD5mKrp0Vvzr7lt3OU09vwQwhkpOPPYv2Y/edit?usp=sharing"",""งบพรบ!IG27"")"),0)</f>
        <v>0</v>
      </c>
      <c r="G27" s="151">
        <f ca="1">IFERROR(__xludf.DUMMYFUNCTION("IMPORTRANGE(""https://docs.google.com/spreadsheets/d/1-uDff_7J0KD5mKrp0Vvzr7lt3OU09vwQwhkpOPPYv2Y/edit?usp=sharing"",""งบพรบ!IH27"")"),0)</f>
        <v>0</v>
      </c>
      <c r="H27" s="151">
        <f ca="1">IFERROR(__xludf.DUMMYFUNCTION("IMPORTRANGE(""https://docs.google.com/spreadsheets/d/1-uDff_7J0KD5mKrp0Vvzr7lt3OU09vwQwhkpOPPYv2Y/edit?usp=sharing"",""งบพรบ!IJ27"")"),0)</f>
        <v>0</v>
      </c>
      <c r="I27" s="151">
        <f ca="1">IFERROR(__xludf.DUMMYFUNCTION("IMPORTRANGE(""https://docs.google.com/spreadsheets/d/1-uDff_7J0KD5mKrp0Vvzr7lt3OU09vwQwhkpOPPYv2Y/edit?usp=sharing"",""งบพรบ!IK27"")"),0)</f>
        <v>0</v>
      </c>
      <c r="J27" s="151">
        <f t="shared" ca="1" si="23"/>
        <v>0</v>
      </c>
      <c r="K27" s="154">
        <f t="shared" ca="1" si="24"/>
        <v>0</v>
      </c>
      <c r="L27" s="151">
        <f ca="1">IFERROR(__xludf.DUMMYFUNCTION("IMPORTRANGE(""https://docs.google.com/spreadsheets/d/1-uDff_7J0KD5mKrp0Vvzr7lt3OU09vwQwhkpOPPYv2Y/edit?usp=sharing"",""งบพรบ!IL27"")"),0)</f>
        <v>0</v>
      </c>
      <c r="M27" s="68">
        <f t="shared" ca="1" si="25"/>
        <v>0</v>
      </c>
      <c r="N27" s="68">
        <f t="shared" ca="1" si="26"/>
        <v>0</v>
      </c>
      <c r="O27" s="151">
        <f ca="1">IFERROR(__xludf.DUMMYFUNCTION("IMPORTRANGE(""https://docs.google.com/spreadsheets/d/1-uDff_7J0KD5mKrp0Vvzr7lt3OU09vwQwhkpOPPYv2Y/edit?usp=sharing"",""งบพรบ!IM27"")"),0)</f>
        <v>0</v>
      </c>
      <c r="P27" s="67">
        <f t="shared" ca="1" si="27"/>
        <v>0</v>
      </c>
      <c r="Q27" s="68">
        <f t="shared" ca="1" si="28"/>
        <v>0</v>
      </c>
      <c r="R27" s="67">
        <f ca="1">IFERROR(__xludf.DUMMYFUNCTION("IMPORTRANGE(""https://docs.google.com/spreadsheets/d/1ICwG78r0OFT8biBlxnBF8r7she7gNSzOvJ958PWT09c/edit?usp=sharing"",""ลำพูน!Q375"")"),62500)</f>
        <v>62500</v>
      </c>
      <c r="S27" s="67">
        <f ca="1">IFERROR(__xludf.DUMMYFUNCTION("IMPORTRANGE(""https://docs.google.com/spreadsheets/d/1ICwG78r0OFT8biBlxnBF8r7she7gNSzOvJ958PWT09c/edit?usp=sharing"",""ลำพูน!R375"")"),12720)</f>
        <v>12720</v>
      </c>
      <c r="T27" s="67">
        <f ca="1">IFERROR(__xludf.DUMMYFUNCTION("IMPORTRANGE(""https://docs.google.com/spreadsheets/d/1ICwG78r0OFT8biBlxnBF8r7she7gNSzOvJ958PWT09c/edit?usp=sharing"",""ลำพูน!S375"")"),8500)</f>
        <v>8500</v>
      </c>
      <c r="U27" s="68">
        <f t="shared" ca="1" si="30"/>
        <v>13.6</v>
      </c>
      <c r="V27" s="68">
        <f t="shared" ca="1" si="31"/>
        <v>66.823899371069189</v>
      </c>
      <c r="W27" s="439">
        <f t="shared" ca="1" si="35"/>
        <v>1000</v>
      </c>
      <c r="X27" s="439">
        <f ca="1">IFERROR(__xludf.DUMMYFUNCTION("IMPORTRANGE(""https://docs.google.com/spreadsheets/d/1ICwG78r0OFT8biBlxnBF8r7she7gNSzOvJ958PWT09c/edit?usp=sharing"",""ลำพูน!J374"")"),282)</f>
        <v>282</v>
      </c>
      <c r="Y27" s="440">
        <f t="shared" ca="1" si="11"/>
        <v>28.2</v>
      </c>
      <c r="Z27" s="439">
        <f ca="1">IFERROR(__xludf.DUMMYFUNCTION("IMPORTRANGE(""https://docs.google.com/spreadsheets/d/1ICwG78r0OFT8biBlxnBF8r7she7gNSzOvJ958PWT09c/edit?usp=sharing"",""ลำพูน!I386"")"),1000)</f>
        <v>1000</v>
      </c>
      <c r="AA27" s="74">
        <f ca="1">IFERROR(__xludf.DUMMYFUNCTION("IMPORTRANGE(""https://docs.google.com/spreadsheets/d/1ICwG78r0OFT8biBlxnBF8r7she7gNSzOvJ958PWT09c/edit?usp=sharing"",""ลำพูน!J385"")"),54)</f>
        <v>54</v>
      </c>
      <c r="AB27" s="74">
        <f ca="1">IFERROR(__xludf.DUMMYFUNCTION("IMPORTRANGE(""https://docs.google.com/spreadsheets/d/1ICwG78r0OFT8biBlxnBF8r7she7gNSzOvJ958PWT09c/edit?usp=sharing"",""ลำพูน!J386"")"),282)</f>
        <v>282</v>
      </c>
      <c r="AC27" s="441">
        <f ca="1">IFERROR(__xludf.DUMMYFUNCTION("IMPORTRANGE(""https://docs.google.com/spreadsheets/d/1ICwG78r0OFT8biBlxnBF8r7she7gNSzOvJ958PWT09c/edit?usp=sharing"",""ลำพูน!I388"")"),0)</f>
        <v>0</v>
      </c>
      <c r="AD27" s="74">
        <f ca="1">IFERROR(__xludf.DUMMYFUNCTION("IMPORTRANGE(""https://docs.google.com/spreadsheets/d/1ICwG78r0OFT8biBlxnBF8r7she7gNSzOvJ958PWT09c/edit?usp=sharing"",""ลำพูน!j387"")"),0)</f>
        <v>0</v>
      </c>
      <c r="AE27" s="74">
        <f ca="1">IFERROR(__xludf.DUMMYFUNCTION("IMPORTRANGE(""https://docs.google.com/spreadsheets/d/1ICwG78r0OFT8biBlxnBF8r7she7gNSzOvJ958PWT09c/edit?usp=sharing"",""ลำพูน!j388"")"),0)</f>
        <v>0</v>
      </c>
    </row>
    <row r="28" spans="1:31" ht="19.5" x14ac:dyDescent="0.3">
      <c r="A28" s="147">
        <v>15</v>
      </c>
      <c r="B28" s="148" t="s">
        <v>56</v>
      </c>
      <c r="C28" s="149">
        <f t="shared" ca="1" si="21"/>
        <v>0</v>
      </c>
      <c r="D28" s="150">
        <f t="shared" ca="1" si="34"/>
        <v>0</v>
      </c>
      <c r="E28" s="151">
        <f ca="1">IFERROR(__xludf.DUMMYFUNCTION("IMPORTRANGE(""https://docs.google.com/spreadsheets/d/1-uDff_7J0KD5mKrp0Vvzr7lt3OU09vwQwhkpOPPYv2Y/edit?usp=sharing"",""งบพรบ!IF28"")"),0)</f>
        <v>0</v>
      </c>
      <c r="F28" s="151">
        <f ca="1">IFERROR(__xludf.DUMMYFUNCTION("IMPORTRANGE(""https://docs.google.com/spreadsheets/d/1-uDff_7J0KD5mKrp0Vvzr7lt3OU09vwQwhkpOPPYv2Y/edit?usp=sharing"",""งบพรบ!IG28"")"),0)</f>
        <v>0</v>
      </c>
      <c r="G28" s="151">
        <f ca="1">IFERROR(__xludf.DUMMYFUNCTION("IMPORTRANGE(""https://docs.google.com/spreadsheets/d/1-uDff_7J0KD5mKrp0Vvzr7lt3OU09vwQwhkpOPPYv2Y/edit?usp=sharing"",""งบพรบ!IH28"")"),0)</f>
        <v>0</v>
      </c>
      <c r="H28" s="151">
        <f ca="1">IFERROR(__xludf.DUMMYFUNCTION("IMPORTRANGE(""https://docs.google.com/spreadsheets/d/1-uDff_7J0KD5mKrp0Vvzr7lt3OU09vwQwhkpOPPYv2Y/edit?usp=sharing"",""งบพรบ!IJ28"")"),0)</f>
        <v>0</v>
      </c>
      <c r="I28" s="151">
        <f ca="1">IFERROR(__xludf.DUMMYFUNCTION("IMPORTRANGE(""https://docs.google.com/spreadsheets/d/1-uDff_7J0KD5mKrp0Vvzr7lt3OU09vwQwhkpOPPYv2Y/edit?usp=sharing"",""งบพรบ!IK28"")"),0)</f>
        <v>0</v>
      </c>
      <c r="J28" s="151">
        <f t="shared" ca="1" si="23"/>
        <v>0</v>
      </c>
      <c r="K28" s="154">
        <f t="shared" ca="1" si="24"/>
        <v>0</v>
      </c>
      <c r="L28" s="151">
        <f ca="1">IFERROR(__xludf.DUMMYFUNCTION("IMPORTRANGE(""https://docs.google.com/spreadsheets/d/1-uDff_7J0KD5mKrp0Vvzr7lt3OU09vwQwhkpOPPYv2Y/edit?usp=sharing"",""งบพรบ!IL28"")"),0)</f>
        <v>0</v>
      </c>
      <c r="M28" s="68">
        <f t="shared" ca="1" si="25"/>
        <v>0</v>
      </c>
      <c r="N28" s="68">
        <f t="shared" ca="1" si="26"/>
        <v>0</v>
      </c>
      <c r="O28" s="151">
        <f ca="1">IFERROR(__xludf.DUMMYFUNCTION("IMPORTRANGE(""https://docs.google.com/spreadsheets/d/1-uDff_7J0KD5mKrp0Vvzr7lt3OU09vwQwhkpOPPYv2Y/edit?usp=sharing"",""งบพรบ!IM28"")"),0)</f>
        <v>0</v>
      </c>
      <c r="P28" s="67">
        <f t="shared" ca="1" si="27"/>
        <v>0</v>
      </c>
      <c r="Q28" s="68">
        <f t="shared" ca="1" si="28"/>
        <v>0</v>
      </c>
      <c r="R28" s="67">
        <f ca="1">IFERROR(__xludf.DUMMYFUNCTION("IMPORTRANGE(""https://docs.google.com/spreadsheets/d/1B0f2xJpZUC6Z0xXnqKlZtEPzsf6L84eP1r1Q15seqRM/edit?usp=sharing"",""สุโขทัย!Q375"")"),125000)</f>
        <v>125000</v>
      </c>
      <c r="S28" s="67">
        <f ca="1">IFERROR(__xludf.DUMMYFUNCTION("IMPORTRANGE(""https://docs.google.com/spreadsheets/d/1B0f2xJpZUC6Z0xXnqKlZtEPzsf6L84eP1r1Q15seqRM/edit?usp=sharing"",""สุโขทัย!R375"")"),125000)</f>
        <v>125000</v>
      </c>
      <c r="T28" s="67">
        <f ca="1">IFERROR(__xludf.DUMMYFUNCTION("IMPORTRANGE(""https://docs.google.com/spreadsheets/d/1B0f2xJpZUC6Z0xXnqKlZtEPzsf6L84eP1r1Q15seqRM/edit?usp=sharing"",""สุโขทัย!S375"")"),17000)</f>
        <v>17000</v>
      </c>
      <c r="U28" s="68">
        <f t="shared" ca="1" si="30"/>
        <v>13.6</v>
      </c>
      <c r="V28" s="68">
        <f t="shared" ca="1" si="31"/>
        <v>13.6</v>
      </c>
      <c r="W28" s="439">
        <f t="shared" ca="1" si="35"/>
        <v>2000</v>
      </c>
      <c r="X28" s="439">
        <f ca="1">IFERROR(__xludf.DUMMYFUNCTION("IMPORTRANGE(""https://docs.google.com/spreadsheets/d/1B0f2xJpZUC6Z0xXnqKlZtEPzsf6L84eP1r1Q15seqRM/edit?usp=sharing"",""สุโขทัย!J374"")"),0)</f>
        <v>0</v>
      </c>
      <c r="Y28" s="440">
        <f t="shared" ca="1" si="11"/>
        <v>0</v>
      </c>
      <c r="Z28" s="439">
        <f ca="1">IFERROR(__xludf.DUMMYFUNCTION("IMPORTRANGE(""https://docs.google.com/spreadsheets/d/1B0f2xJpZUC6Z0xXnqKlZtEPzsf6L84eP1r1Q15seqRM/edit?usp=sharing"",""สุโขทัย!I386"")"),2000)</f>
        <v>2000</v>
      </c>
      <c r="AA28" s="74">
        <f ca="1">IFERROR(__xludf.DUMMYFUNCTION("IMPORTRANGE(""https://docs.google.com/spreadsheets/d/1B0f2xJpZUC6Z0xXnqKlZtEPzsf6L84eP1r1Q15seqRM/edit?usp=sharing"",""สุโขทัย!J385"")"),0)</f>
        <v>0</v>
      </c>
      <c r="AB28" s="74">
        <f ca="1">IFERROR(__xludf.DUMMYFUNCTION("IMPORTRANGE(""https://docs.google.com/spreadsheets/d/1B0f2xJpZUC6Z0xXnqKlZtEPzsf6L84eP1r1Q15seqRM/edit?usp=sharing"",""สุโขทัย!J386"")"),0)</f>
        <v>0</v>
      </c>
      <c r="AC28" s="441">
        <f ca="1">IFERROR(__xludf.DUMMYFUNCTION("IMPORTRANGE(""https://docs.google.com/spreadsheets/d/1B0f2xJpZUC6Z0xXnqKlZtEPzsf6L84eP1r1Q15seqRM/edit?usp=sharing"",""สุโขทัย!I388"")"),0)</f>
        <v>0</v>
      </c>
      <c r="AD28" s="74">
        <f ca="1">IFERROR(__xludf.DUMMYFUNCTION("IMPORTRANGE(""https://docs.google.com/spreadsheets/d/1B0f2xJpZUC6Z0xXnqKlZtEPzsf6L84eP1r1Q15seqRM/edit?usp=sharing"",""สุโขทัย!j387"")"),0)</f>
        <v>0</v>
      </c>
      <c r="AE28" s="74">
        <f ca="1">IFERROR(__xludf.DUMMYFUNCTION("IMPORTRANGE(""https://docs.google.com/spreadsheets/d/1B0f2xJpZUC6Z0xXnqKlZtEPzsf6L84eP1r1Q15seqRM/edit?usp=sharing"",""สุโขทัย!j388"")"),0)</f>
        <v>0</v>
      </c>
    </row>
    <row r="29" spans="1:31" ht="19.5" x14ac:dyDescent="0.3">
      <c r="A29" s="147">
        <v>16</v>
      </c>
      <c r="B29" s="148" t="s">
        <v>57</v>
      </c>
      <c r="C29" s="149">
        <f t="shared" ca="1" si="21"/>
        <v>47700</v>
      </c>
      <c r="D29" s="150">
        <f t="shared" ca="1" si="34"/>
        <v>47700</v>
      </c>
      <c r="E29" s="151">
        <f ca="1">IFERROR(__xludf.DUMMYFUNCTION("IMPORTRANGE(""https://docs.google.com/spreadsheets/d/1-uDff_7J0KD5mKrp0Vvzr7lt3OU09vwQwhkpOPPYv2Y/edit?usp=sharing"",""งบพรบ!IF29"")"),47700)</f>
        <v>47700</v>
      </c>
      <c r="F29" s="151">
        <f ca="1">IFERROR(__xludf.DUMMYFUNCTION("IMPORTRANGE(""https://docs.google.com/spreadsheets/d/1-uDff_7J0KD5mKrp0Vvzr7lt3OU09vwQwhkpOPPYv2Y/edit?usp=sharing"",""งบพรบ!IG29"")"),0)</f>
        <v>0</v>
      </c>
      <c r="G29" s="151">
        <f ca="1">IFERROR(__xludf.DUMMYFUNCTION("IMPORTRANGE(""https://docs.google.com/spreadsheets/d/1-uDff_7J0KD5mKrp0Vvzr7lt3OU09vwQwhkpOPPYv2Y/edit?usp=sharing"",""งบพรบ!IH29"")"),0)</f>
        <v>0</v>
      </c>
      <c r="H29" s="151">
        <f ca="1">IFERROR(__xludf.DUMMYFUNCTION("IMPORTRANGE(""https://docs.google.com/spreadsheets/d/1-uDff_7J0KD5mKrp0Vvzr7lt3OU09vwQwhkpOPPYv2Y/edit?usp=sharing"",""งบพรบ!IJ29"")"),47700)</f>
        <v>47700</v>
      </c>
      <c r="I29" s="151">
        <f ca="1">IFERROR(__xludf.DUMMYFUNCTION("IMPORTRANGE(""https://docs.google.com/spreadsheets/d/1-uDff_7J0KD5mKrp0Vvzr7lt3OU09vwQwhkpOPPYv2Y/edit?usp=sharing"",""งบพรบ!IK29"")"),0)</f>
        <v>0</v>
      </c>
      <c r="J29" s="151">
        <f t="shared" ca="1" si="23"/>
        <v>46737</v>
      </c>
      <c r="K29" s="154">
        <f t="shared" ca="1" si="24"/>
        <v>97.981132075471692</v>
      </c>
      <c r="L29" s="151">
        <f ca="1">IFERROR(__xludf.DUMMYFUNCTION("IMPORTRANGE(""https://docs.google.com/spreadsheets/d/1-uDff_7J0KD5mKrp0Vvzr7lt3OU09vwQwhkpOPPYv2Y/edit?usp=sharing"",""งบพรบ!IL29"")"),46737)</f>
        <v>46737</v>
      </c>
      <c r="M29" s="68">
        <f t="shared" ca="1" si="25"/>
        <v>97.981132075471692</v>
      </c>
      <c r="N29" s="68">
        <f t="shared" ca="1" si="26"/>
        <v>97.981132075471692</v>
      </c>
      <c r="O29" s="151">
        <f ca="1">IFERROR(__xludf.DUMMYFUNCTION("IMPORTRANGE(""https://docs.google.com/spreadsheets/d/1-uDff_7J0KD5mKrp0Vvzr7lt3OU09vwQwhkpOPPYv2Y/edit?usp=sharing"",""งบพรบ!IM29"")"),0)</f>
        <v>0</v>
      </c>
      <c r="P29" s="67">
        <f t="shared" ca="1" si="27"/>
        <v>0</v>
      </c>
      <c r="Q29" s="68">
        <f t="shared" ca="1" si="28"/>
        <v>0</v>
      </c>
      <c r="R29" s="67">
        <f ca="1">IFERROR(__xludf.DUMMYFUNCTION("IMPORTRANGE(""https://docs.google.com/spreadsheets/d/1v0b9pFQCsKUVExMei7AgY2yQkdeNQvtOssygGsXbiKo/edit?usp=sharing"",""อุตรดิตถ์!Q375"")"),312500)</f>
        <v>312500</v>
      </c>
      <c r="S29" s="67">
        <f ca="1">IFERROR(__xludf.DUMMYFUNCTION("IMPORTRANGE(""https://docs.google.com/spreadsheets/d/1v0b9pFQCsKUVExMei7AgY2yQkdeNQvtOssygGsXbiKo/edit?usp=sharing"",""อุตรดิตถ์!R375"")"),312500)</f>
        <v>312500</v>
      </c>
      <c r="T29" s="67">
        <f ca="1">IFERROR(__xludf.DUMMYFUNCTION("IMPORTRANGE(""https://docs.google.com/spreadsheets/d/1v0b9pFQCsKUVExMei7AgY2yQkdeNQvtOssygGsXbiKo/edit?usp=sharing"",""อุตรดิตถ์!S375"")"),131259)</f>
        <v>131259</v>
      </c>
      <c r="U29" s="68">
        <f t="shared" ca="1" si="30"/>
        <v>42.002879999999998</v>
      </c>
      <c r="V29" s="68">
        <f t="shared" ca="1" si="31"/>
        <v>42.002879999999998</v>
      </c>
      <c r="W29" s="439">
        <f t="shared" ca="1" si="35"/>
        <v>5000</v>
      </c>
      <c r="X29" s="439">
        <f ca="1">IFERROR(__xludf.DUMMYFUNCTION("IMPORTRANGE(""https://docs.google.com/spreadsheets/d/1v0b9pFQCsKUVExMei7AgY2yQkdeNQvtOssygGsXbiKo/edit?usp=sharing"",""อุตรดิตถ์!J374"")"),2530)</f>
        <v>2530</v>
      </c>
      <c r="Y29" s="440">
        <f t="shared" ca="1" si="11"/>
        <v>50.6</v>
      </c>
      <c r="Z29" s="439">
        <f ca="1">IFERROR(__xludf.DUMMYFUNCTION("IMPORTRANGE(""https://docs.google.com/spreadsheets/d/1v0b9pFQCsKUVExMei7AgY2yQkdeNQvtOssygGsXbiKo/edit?usp=sharing"",""อุตรดิตถ์!I386"")"),5000)</f>
        <v>5000</v>
      </c>
      <c r="AA29" s="74">
        <f ca="1">IFERROR(__xludf.DUMMYFUNCTION("IMPORTRANGE(""https://docs.google.com/spreadsheets/d/1v0b9pFQCsKUVExMei7AgY2yQkdeNQvtOssygGsXbiKo/edit?usp=sharing"",""อุตรดิตถ์!J385"")"),324)</f>
        <v>324</v>
      </c>
      <c r="AB29" s="74">
        <f ca="1">IFERROR(__xludf.DUMMYFUNCTION("IMPORTRANGE(""https://docs.google.com/spreadsheets/d/1v0b9pFQCsKUVExMei7AgY2yQkdeNQvtOssygGsXbiKo/edit?usp=sharing"",""อุตรดิตถ์!J386"")"),2530)</f>
        <v>2530</v>
      </c>
      <c r="AC29" s="441">
        <f ca="1">IFERROR(__xludf.DUMMYFUNCTION("IMPORTRANGE(""https://docs.google.com/spreadsheets/d/1v0b9pFQCsKUVExMei7AgY2yQkdeNQvtOssygGsXbiKo/edit?usp=sharing"",""อุตรดิตถ์!I388"")"),0)</f>
        <v>0</v>
      </c>
      <c r="AD29" s="441">
        <f ca="1">IFERROR(__xludf.DUMMYFUNCTION("IMPORTRANGE(""https://docs.google.com/spreadsheets/d/1v0b9pFQCsKUVExMei7AgY2yQkdeNQvtOssygGsXbiKo/edit?usp=sharing"",""อุตรดิตถ์!j387"")"),0)</f>
        <v>0</v>
      </c>
      <c r="AE29" s="441">
        <f ca="1">IFERROR(__xludf.DUMMYFUNCTION("IMPORTRANGE(""https://docs.google.com/spreadsheets/d/1v0b9pFQCsKUVExMei7AgY2yQkdeNQvtOssygGsXbiKo/edit?usp=sharing"",""อุตรดิตถ์!j388"")"),0)</f>
        <v>0</v>
      </c>
    </row>
    <row r="30" spans="1:31" ht="19.5" x14ac:dyDescent="0.3">
      <c r="A30" s="155">
        <v>17</v>
      </c>
      <c r="B30" s="156" t="s">
        <v>58</v>
      </c>
      <c r="C30" s="157">
        <f t="shared" ca="1" si="21"/>
        <v>0</v>
      </c>
      <c r="D30" s="158">
        <f t="shared" ca="1" si="34"/>
        <v>0</v>
      </c>
      <c r="E30" s="159">
        <f ca="1">IFERROR(__xludf.DUMMYFUNCTION("IMPORTRANGE(""https://docs.google.com/spreadsheets/d/1-uDff_7J0KD5mKrp0Vvzr7lt3OU09vwQwhkpOPPYv2Y/edit?usp=sharing"",""งบพรบ!IF30"")"),0)</f>
        <v>0</v>
      </c>
      <c r="F30" s="159">
        <f ca="1">IFERROR(__xludf.DUMMYFUNCTION("IMPORTRANGE(""https://docs.google.com/spreadsheets/d/1-uDff_7J0KD5mKrp0Vvzr7lt3OU09vwQwhkpOPPYv2Y/edit?usp=sharing"",""งบพรบ!IG30"")"),0)</f>
        <v>0</v>
      </c>
      <c r="G30" s="159">
        <f ca="1">IFERROR(__xludf.DUMMYFUNCTION("IMPORTRANGE(""https://docs.google.com/spreadsheets/d/1-uDff_7J0KD5mKrp0Vvzr7lt3OU09vwQwhkpOPPYv2Y/edit?usp=sharing"",""งบพรบ!IH30"")"),0)</f>
        <v>0</v>
      </c>
      <c r="H30" s="159">
        <f ca="1">IFERROR(__xludf.DUMMYFUNCTION("IMPORTRANGE(""https://docs.google.com/spreadsheets/d/1-uDff_7J0KD5mKrp0Vvzr7lt3OU09vwQwhkpOPPYv2Y/edit?usp=sharing"",""งบพรบ!IJ30"")"),0)</f>
        <v>0</v>
      </c>
      <c r="I30" s="159">
        <f ca="1">IFERROR(__xludf.DUMMYFUNCTION("IMPORTRANGE(""https://docs.google.com/spreadsheets/d/1-uDff_7J0KD5mKrp0Vvzr7lt3OU09vwQwhkpOPPYv2Y/edit?usp=sharing"",""งบพรบ!IK30"")"),0)</f>
        <v>0</v>
      </c>
      <c r="J30" s="159">
        <f t="shared" ca="1" si="23"/>
        <v>0</v>
      </c>
      <c r="K30" s="160">
        <f t="shared" ca="1" si="24"/>
        <v>0</v>
      </c>
      <c r="L30" s="159">
        <f ca="1">IFERROR(__xludf.DUMMYFUNCTION("IMPORTRANGE(""https://docs.google.com/spreadsheets/d/1-uDff_7J0KD5mKrp0Vvzr7lt3OU09vwQwhkpOPPYv2Y/edit?usp=sharing"",""งบพรบ!IL30"")"),0)</f>
        <v>0</v>
      </c>
      <c r="M30" s="89">
        <f t="shared" ca="1" si="25"/>
        <v>0</v>
      </c>
      <c r="N30" s="89">
        <f t="shared" ca="1" si="26"/>
        <v>0</v>
      </c>
      <c r="O30" s="159">
        <f ca="1">IFERROR(__xludf.DUMMYFUNCTION("IMPORTRANGE(""https://docs.google.com/spreadsheets/d/1-uDff_7J0KD5mKrp0Vvzr7lt3OU09vwQwhkpOPPYv2Y/edit?usp=sharing"",""งบพรบ!IM30"")"),0)</f>
        <v>0</v>
      </c>
      <c r="P30" s="88">
        <f t="shared" ca="1" si="27"/>
        <v>0</v>
      </c>
      <c r="Q30" s="89">
        <f t="shared" ca="1" si="28"/>
        <v>0</v>
      </c>
      <c r="R30" s="88">
        <f ca="1">IFERROR(__xludf.DUMMYFUNCTION("IMPORTRANGE(""https://docs.google.com/spreadsheets/d/1UsNK1e-WWiCo2PvGqdNfdme4m17_Ezd3J69EeeiQPD0/edit?usp=sharing"",""อุทัยธานี!Q375"")"),250000)</f>
        <v>250000</v>
      </c>
      <c r="S30" s="88">
        <f ca="1">IFERROR(__xludf.DUMMYFUNCTION("IMPORTRANGE(""https://docs.google.com/spreadsheets/d/1UsNK1e-WWiCo2PvGqdNfdme4m17_Ezd3J69EeeiQPD0/edit?usp=sharing"",""อุทัยธานี!R375"")"),250000)</f>
        <v>250000</v>
      </c>
      <c r="T30" s="88">
        <f ca="1">IFERROR(__xludf.DUMMYFUNCTION("IMPORTRANGE(""https://docs.google.com/spreadsheets/d/1UsNK1e-WWiCo2PvGqdNfdme4m17_Ezd3J69EeeiQPD0/edit?usp=sharing"",""อุทัยธานี!S375"")"),190584)</f>
        <v>190584</v>
      </c>
      <c r="U30" s="89">
        <f t="shared" ca="1" si="30"/>
        <v>76.233599999999996</v>
      </c>
      <c r="V30" s="89">
        <f t="shared" ca="1" si="31"/>
        <v>76.233599999999996</v>
      </c>
      <c r="W30" s="444">
        <f t="shared" ca="1" si="35"/>
        <v>4000</v>
      </c>
      <c r="X30" s="444">
        <f ca="1">IFERROR(__xludf.DUMMYFUNCTION("IMPORTRANGE(""https://docs.google.com/spreadsheets/d/1UsNK1e-WWiCo2PvGqdNfdme4m17_Ezd3J69EeeiQPD0/edit?usp=sharing"",""อุทัยธานี!J374"")"),2713)</f>
        <v>2713</v>
      </c>
      <c r="Y30" s="445">
        <f t="shared" ca="1" si="11"/>
        <v>67.825000000000003</v>
      </c>
      <c r="Z30" s="444">
        <f ca="1">IFERROR(__xludf.DUMMYFUNCTION("IMPORTRANGE(""https://docs.google.com/spreadsheets/d/1UsNK1e-WWiCo2PvGqdNfdme4m17_Ezd3J69EeeiQPD0/edit?usp=sharing"",""อุทัยธานี!I386"")"),4000)</f>
        <v>4000</v>
      </c>
      <c r="AA30" s="84">
        <f ca="1">IFERROR(__xludf.DUMMYFUNCTION("IMPORTRANGE(""https://docs.google.com/spreadsheets/d/1UsNK1e-WWiCo2PvGqdNfdme4m17_Ezd3J69EeeiQPD0/edit?usp=sharing"",""อุทัยธานี!J385"")"),205)</f>
        <v>205</v>
      </c>
      <c r="AB30" s="84">
        <f ca="1">IFERROR(__xludf.DUMMYFUNCTION("IMPORTRANGE(""https://docs.google.com/spreadsheets/d/1UsNK1e-WWiCo2PvGqdNfdme4m17_Ezd3J69EeeiQPD0/edit?usp=sharing"",""อุทัยธานี!J386"")"),2713)</f>
        <v>2713</v>
      </c>
      <c r="AC30" s="446">
        <f ca="1">IFERROR(__xludf.DUMMYFUNCTION("IMPORTRANGE(""https://docs.google.com/spreadsheets/d/1UsNK1e-WWiCo2PvGqdNfdme4m17_Ezd3J69EeeiQPD0/edit?usp=sharing"",""อุทัยธานี!I388"")"),0)</f>
        <v>0</v>
      </c>
      <c r="AD30" s="446">
        <f ca="1">IFERROR(__xludf.DUMMYFUNCTION("IMPORTRANGE(""https://docs.google.com/spreadsheets/d/1UsNK1e-WWiCo2PvGqdNfdme4m17_Ezd3J69EeeiQPD0/edit?usp=sharing"",""อุทัยธานี!j387"")"),0)</f>
        <v>0</v>
      </c>
      <c r="AE30" s="446">
        <f ca="1">IFERROR(__xludf.DUMMYFUNCTION("IMPORTRANGE(""https://docs.google.com/spreadsheets/d/1UsNK1e-WWiCo2PvGqdNfdme4m17_Ezd3J69EeeiQPD0/edit?usp=sharing"",""อุทัยธานี!j388"")"),0)</f>
        <v>0</v>
      </c>
    </row>
    <row r="31" spans="1:31" ht="19.5" x14ac:dyDescent="0.3">
      <c r="A31" s="696" t="s">
        <v>59</v>
      </c>
      <c r="B31" s="662"/>
      <c r="C31" s="161">
        <f t="shared" ca="1" si="21"/>
        <v>277400</v>
      </c>
      <c r="D31" s="161">
        <f t="shared" ref="D31:I31" ca="1" si="36">SUM(D32:D51)</f>
        <v>277400</v>
      </c>
      <c r="E31" s="161">
        <f t="shared" ca="1" si="36"/>
        <v>277400</v>
      </c>
      <c r="F31" s="161">
        <f t="shared" ca="1" si="36"/>
        <v>0</v>
      </c>
      <c r="G31" s="161">
        <f t="shared" ca="1" si="36"/>
        <v>0</v>
      </c>
      <c r="H31" s="161">
        <f t="shared" ca="1" si="36"/>
        <v>277400</v>
      </c>
      <c r="I31" s="161">
        <f t="shared" ca="1" si="36"/>
        <v>0</v>
      </c>
      <c r="J31" s="161">
        <f t="shared" ca="1" si="23"/>
        <v>128516.6</v>
      </c>
      <c r="K31" s="162">
        <f t="shared" ca="1" si="24"/>
        <v>46.328983417447731</v>
      </c>
      <c r="L31" s="161">
        <f ca="1">SUM(L32:L51)</f>
        <v>128516.6</v>
      </c>
      <c r="M31" s="94">
        <f t="shared" ca="1" si="25"/>
        <v>46.328983417447731</v>
      </c>
      <c r="N31" s="94">
        <f t="shared" ca="1" si="26"/>
        <v>46.328983417447731</v>
      </c>
      <c r="O31" s="93">
        <f ca="1">SUM(O32:O51)</f>
        <v>0</v>
      </c>
      <c r="P31" s="93">
        <f t="shared" ca="1" si="27"/>
        <v>0</v>
      </c>
      <c r="Q31" s="94">
        <f t="shared" ca="1" si="28"/>
        <v>0</v>
      </c>
      <c r="R31" s="93">
        <f t="shared" ref="R31:T31" ca="1" si="37">SUM(R32:R51)</f>
        <v>4456250</v>
      </c>
      <c r="S31" s="93">
        <f t="shared" ca="1" si="37"/>
        <v>4031250</v>
      </c>
      <c r="T31" s="93">
        <f t="shared" ca="1" si="37"/>
        <v>2462552.8899999997</v>
      </c>
      <c r="U31" s="94">
        <f t="shared" ca="1" si="30"/>
        <v>55.26065391304347</v>
      </c>
      <c r="V31" s="94">
        <f t="shared" ca="1" si="31"/>
        <v>61.086583317829451</v>
      </c>
      <c r="W31" s="447">
        <f t="shared" ref="W31:X31" ca="1" si="38">SUM(W32:W51)</f>
        <v>200900</v>
      </c>
      <c r="X31" s="447">
        <f t="shared" ca="1" si="38"/>
        <v>143868.29999999999</v>
      </c>
      <c r="Y31" s="448">
        <f t="shared" ca="1" si="11"/>
        <v>71.611896465903428</v>
      </c>
      <c r="Z31" s="447">
        <f t="shared" ref="Z31:AE31" ca="1" si="39">SUM(Z32:Z51)</f>
        <v>71300</v>
      </c>
      <c r="AA31" s="447">
        <f t="shared" ca="1" si="39"/>
        <v>1577</v>
      </c>
      <c r="AB31" s="447">
        <f t="shared" ca="1" si="39"/>
        <v>23387</v>
      </c>
      <c r="AC31" s="447">
        <f t="shared" ca="1" si="39"/>
        <v>129600</v>
      </c>
      <c r="AD31" s="447">
        <f t="shared" ca="1" si="39"/>
        <v>9096</v>
      </c>
      <c r="AE31" s="447">
        <f t="shared" ca="1" si="39"/>
        <v>120481.3</v>
      </c>
    </row>
    <row r="32" spans="1:31" ht="19.5" x14ac:dyDescent="0.3">
      <c r="A32" s="147">
        <v>1</v>
      </c>
      <c r="B32" s="148" t="s">
        <v>60</v>
      </c>
      <c r="C32" s="149">
        <f t="shared" ca="1" si="21"/>
        <v>0</v>
      </c>
      <c r="D32" s="150">
        <f t="shared" ref="D32:D51" ca="1" si="40">+E32+F32</f>
        <v>0</v>
      </c>
      <c r="E32" s="151">
        <f ca="1">IFERROR(__xludf.DUMMYFUNCTION("IMPORTRANGE(""https://docs.google.com/spreadsheets/d/1-uDff_7J0KD5mKrp0Vvzr7lt3OU09vwQwhkpOPPYv2Y/edit?usp=sharing"",""งบพรบ!IF32"")"),0)</f>
        <v>0</v>
      </c>
      <c r="F32" s="151">
        <f ca="1">IFERROR(__xludf.DUMMYFUNCTION("IMPORTRANGE(""https://docs.google.com/spreadsheets/d/1-uDff_7J0KD5mKrp0Vvzr7lt3OU09vwQwhkpOPPYv2Y/edit?usp=sharing"",""งบพรบ!IG32"")"),0)</f>
        <v>0</v>
      </c>
      <c r="G32" s="152">
        <f ca="1">IFERROR(__xludf.DUMMYFUNCTION("IMPORTRANGE(""https://docs.google.com/spreadsheets/d/1-uDff_7J0KD5mKrp0Vvzr7lt3OU09vwQwhkpOPPYv2Y/edit?usp=sharing"",""งบพรบ!IH32"")"),0)</f>
        <v>0</v>
      </c>
      <c r="H32" s="152">
        <f ca="1">IFERROR(__xludf.DUMMYFUNCTION("IMPORTRANGE(""https://docs.google.com/spreadsheets/d/1-uDff_7J0KD5mKrp0Vvzr7lt3OU09vwQwhkpOPPYv2Y/edit?usp=sharing"",""งบพรบ!IJ32"")"),0)</f>
        <v>0</v>
      </c>
      <c r="I32" s="152">
        <f ca="1">IFERROR(__xludf.DUMMYFUNCTION("IMPORTRANGE(""https://docs.google.com/spreadsheets/d/1-uDff_7J0KD5mKrp0Vvzr7lt3OU09vwQwhkpOPPYv2Y/edit?usp=sharing"",""งบพรบ!IK32"")"),0)</f>
        <v>0</v>
      </c>
      <c r="J32" s="152">
        <f t="shared" ca="1" si="23"/>
        <v>0</v>
      </c>
      <c r="K32" s="153">
        <f t="shared" ca="1" si="24"/>
        <v>0</v>
      </c>
      <c r="L32" s="152">
        <f ca="1">IFERROR(__xludf.DUMMYFUNCTION("IMPORTRANGE(""https://docs.google.com/spreadsheets/d/1-uDff_7J0KD5mKrp0Vvzr7lt3OU09vwQwhkpOPPYv2Y/edit?usp=sharing"",""งบพรบ!IL32"")"),0)</f>
        <v>0</v>
      </c>
      <c r="M32" s="68">
        <f t="shared" ca="1" si="25"/>
        <v>0</v>
      </c>
      <c r="N32" s="68">
        <f t="shared" ca="1" si="26"/>
        <v>0</v>
      </c>
      <c r="O32" s="151">
        <f ca="1">IFERROR(__xludf.DUMMYFUNCTION("IMPORTRANGE(""https://docs.google.com/spreadsheets/d/1-uDff_7J0KD5mKrp0Vvzr7lt3OU09vwQwhkpOPPYv2Y/edit?usp=sharing"",""งบพรบ!IM32"")"),0)</f>
        <v>0</v>
      </c>
      <c r="P32" s="67">
        <f t="shared" ca="1" si="27"/>
        <v>0</v>
      </c>
      <c r="Q32" s="68">
        <f t="shared" ca="1" si="28"/>
        <v>0</v>
      </c>
      <c r="R32" s="67">
        <f ca="1">IFERROR(__xludf.DUMMYFUNCTION("IMPORTRANGE(""https://docs.google.com/spreadsheets/d/1yhBcrRPreicbMKl9Bu_Snb2-OcQAF62RKfhTLhJ2eAA/edit?usp=sharing"",""กาฬสินธุ์!Q375"")"),62500)</f>
        <v>62500</v>
      </c>
      <c r="S32" s="67">
        <f ca="1">IFERROR(__xludf.DUMMYFUNCTION("IMPORTRANGE(""https://docs.google.com/spreadsheets/d/1yhBcrRPreicbMKl9Bu_Snb2-OcQAF62RKfhTLhJ2eAA/edit?usp=sharing"",""กาฬสินธุ์!R375"")"),62500)</f>
        <v>62500</v>
      </c>
      <c r="T32" s="67">
        <f ca="1">IFERROR(__xludf.DUMMYFUNCTION("IMPORTRANGE(""https://docs.google.com/spreadsheets/d/1yhBcrRPreicbMKl9Bu_Snb2-OcQAF62RKfhTLhJ2eAA/edit?usp=sharing"",""กาฬสินธุ์!S375"")"),0)</f>
        <v>0</v>
      </c>
      <c r="U32" s="68">
        <f t="shared" ca="1" si="30"/>
        <v>0</v>
      </c>
      <c r="V32" s="68">
        <f t="shared" ca="1" si="31"/>
        <v>0</v>
      </c>
      <c r="W32" s="439">
        <f t="shared" ref="W32:W51" ca="1" si="41">Z32+AC32</f>
        <v>1000</v>
      </c>
      <c r="X32" s="439">
        <f ca="1">IFERROR(__xludf.DUMMYFUNCTION("IMPORTRANGE(""https://docs.google.com/spreadsheets/d/1yhBcrRPreicbMKl9Bu_Snb2-OcQAF62RKfhTLhJ2eAA/edit?usp=sharing"",""กาฬสินธุ์!J374"")"),0)</f>
        <v>0</v>
      </c>
      <c r="Y32" s="440">
        <f t="shared" ca="1" si="11"/>
        <v>0</v>
      </c>
      <c r="Z32" s="439">
        <f ca="1">IFERROR(__xludf.DUMMYFUNCTION("IMPORTRANGE(""https://docs.google.com/spreadsheets/d/1yhBcrRPreicbMKl9Bu_Snb2-OcQAF62RKfhTLhJ2eAA/edit?usp=sharing"",""กาฬสินธุ์!I386"")"),1000)</f>
        <v>1000</v>
      </c>
      <c r="AA32" s="62">
        <f ca="1">IFERROR(__xludf.DUMMYFUNCTION("IMPORTRANGE(""https://docs.google.com/spreadsheets/d/1yhBcrRPreicbMKl9Bu_Snb2-OcQAF62RKfhTLhJ2eAA/edit?usp=sharing"",""กาฬสินธุ์!J385"")"),0)</f>
        <v>0</v>
      </c>
      <c r="AB32" s="62">
        <f ca="1">IFERROR(__xludf.DUMMYFUNCTION("IMPORTRANGE(""https://docs.google.com/spreadsheets/d/1yhBcrRPreicbMKl9Bu_Snb2-OcQAF62RKfhTLhJ2eAA/edit?usp=sharing"",""กาฬสินธุ์!J386"")"),0)</f>
        <v>0</v>
      </c>
      <c r="AC32" s="441">
        <f ca="1">IFERROR(__xludf.DUMMYFUNCTION("IMPORTRANGE(""https://docs.google.com/spreadsheets/d/1yhBcrRPreicbMKl9Bu_Snb2-OcQAF62RKfhTLhJ2eAA/edit?usp=sharing"",""กาฬสินธุ์!I388"")"),0)</f>
        <v>0</v>
      </c>
      <c r="AD32" s="62">
        <f ca="1">IFERROR(__xludf.DUMMYFUNCTION("IMPORTRANGE(""https://docs.google.com/spreadsheets/d/1yhBcrRPreicbMKl9Bu_Snb2-OcQAF62RKfhTLhJ2eAA/edit?usp=sharing"",""กาฬสินธุ์!J387"")"),0)</f>
        <v>0</v>
      </c>
      <c r="AE32" s="62">
        <f ca="1">IFERROR(__xludf.DUMMYFUNCTION("IMPORTRANGE(""https://docs.google.com/spreadsheets/d/1yhBcrRPreicbMKl9Bu_Snb2-OcQAF62RKfhTLhJ2eAA/edit?usp=sharing"",""กาฬสินธุ์!J388"")"),0)</f>
        <v>0</v>
      </c>
    </row>
    <row r="33" spans="1:31" ht="19.5" x14ac:dyDescent="0.3">
      <c r="A33" s="147">
        <v>2</v>
      </c>
      <c r="B33" s="148" t="s">
        <v>61</v>
      </c>
      <c r="C33" s="149">
        <f t="shared" ca="1" si="21"/>
        <v>0</v>
      </c>
      <c r="D33" s="150">
        <f t="shared" ca="1" si="40"/>
        <v>0</v>
      </c>
      <c r="E33" s="151">
        <f ca="1">IFERROR(__xludf.DUMMYFUNCTION("IMPORTRANGE(""https://docs.google.com/spreadsheets/d/1-uDff_7J0KD5mKrp0Vvzr7lt3OU09vwQwhkpOPPYv2Y/edit?usp=sharing"",""งบพรบ!IF33"")"),0)</f>
        <v>0</v>
      </c>
      <c r="F33" s="151">
        <f ca="1">IFERROR(__xludf.DUMMYFUNCTION("IMPORTRANGE(""https://docs.google.com/spreadsheets/d/1-uDff_7J0KD5mKrp0Vvzr7lt3OU09vwQwhkpOPPYv2Y/edit?usp=sharing"",""งบพรบ!IG33"")"),0)</f>
        <v>0</v>
      </c>
      <c r="G33" s="151">
        <f ca="1">IFERROR(__xludf.DUMMYFUNCTION("IMPORTRANGE(""https://docs.google.com/spreadsheets/d/1-uDff_7J0KD5mKrp0Vvzr7lt3OU09vwQwhkpOPPYv2Y/edit?usp=sharing"",""งบพรบ!IH33"")"),0)</f>
        <v>0</v>
      </c>
      <c r="H33" s="151">
        <f ca="1">IFERROR(__xludf.DUMMYFUNCTION("IMPORTRANGE(""https://docs.google.com/spreadsheets/d/1-uDff_7J0KD5mKrp0Vvzr7lt3OU09vwQwhkpOPPYv2Y/edit?usp=sharing"",""งบพรบ!IJ33"")"),0)</f>
        <v>0</v>
      </c>
      <c r="I33" s="151">
        <f ca="1">IFERROR(__xludf.DUMMYFUNCTION("IMPORTRANGE(""https://docs.google.com/spreadsheets/d/1-uDff_7J0KD5mKrp0Vvzr7lt3OU09vwQwhkpOPPYv2Y/edit?usp=sharing"",""งบพรบ!IK33"")"),0)</f>
        <v>0</v>
      </c>
      <c r="J33" s="151">
        <f t="shared" ca="1" si="23"/>
        <v>0</v>
      </c>
      <c r="K33" s="154">
        <f t="shared" ca="1" si="24"/>
        <v>0</v>
      </c>
      <c r="L33" s="151">
        <f ca="1">IFERROR(__xludf.DUMMYFUNCTION("IMPORTRANGE(""https://docs.google.com/spreadsheets/d/1-uDff_7J0KD5mKrp0Vvzr7lt3OU09vwQwhkpOPPYv2Y/edit?usp=sharing"",""งบพรบ!IL33"")"),0)</f>
        <v>0</v>
      </c>
      <c r="M33" s="68">
        <f t="shared" ca="1" si="25"/>
        <v>0</v>
      </c>
      <c r="N33" s="68">
        <f t="shared" ca="1" si="26"/>
        <v>0</v>
      </c>
      <c r="O33" s="151">
        <f ca="1">IFERROR(__xludf.DUMMYFUNCTION("IMPORTRANGE(""https://docs.google.com/spreadsheets/d/1-uDff_7J0KD5mKrp0Vvzr7lt3OU09vwQwhkpOPPYv2Y/edit?usp=sharing"",""งบพรบ!IM33"")"),0)</f>
        <v>0</v>
      </c>
      <c r="P33" s="67">
        <f t="shared" ca="1" si="27"/>
        <v>0</v>
      </c>
      <c r="Q33" s="68">
        <f t="shared" ca="1" si="28"/>
        <v>0</v>
      </c>
      <c r="R33" s="67">
        <f ca="1">IFERROR(__xludf.DUMMYFUNCTION("IMPORTRANGE(""https://docs.google.com/spreadsheets/d/1aHkj4IaQMThhwWwevcOymEh837vdxeC_PycurhTbGFA/edit?usp=sharing"",""ขอนแก่น!Q375"")"),62500)</f>
        <v>62500</v>
      </c>
      <c r="S33" s="67">
        <f ca="1">IFERROR(__xludf.DUMMYFUNCTION("IMPORTRANGE(""https://docs.google.com/spreadsheets/d/1aHkj4IaQMThhwWwevcOymEh837vdxeC_PycurhTbGFA/edit?usp=sharing"",""ขอนแก่น!R375"")"),0)</f>
        <v>0</v>
      </c>
      <c r="T33" s="67">
        <f ca="1">IFERROR(__xludf.DUMMYFUNCTION("IMPORTRANGE(""https://docs.google.com/spreadsheets/d/1aHkj4IaQMThhwWwevcOymEh837vdxeC_PycurhTbGFA/edit?usp=sharing"",""ขอนแก่น!S375"")"),0)</f>
        <v>0</v>
      </c>
      <c r="U33" s="68">
        <f t="shared" ca="1" si="30"/>
        <v>0</v>
      </c>
      <c r="V33" s="68">
        <f t="shared" ca="1" si="31"/>
        <v>0</v>
      </c>
      <c r="W33" s="439">
        <f t="shared" ca="1" si="41"/>
        <v>1000</v>
      </c>
      <c r="X33" s="439">
        <f ca="1">IFERROR(__xludf.DUMMYFUNCTION("IMPORTRANGE(""https://docs.google.com/spreadsheets/d/1aHkj4IaQMThhwWwevcOymEh837vdxeC_PycurhTbGFA/edit?usp=sharing"",""ขอนแก่น!J374"")"),0)</f>
        <v>0</v>
      </c>
      <c r="Y33" s="440">
        <f t="shared" ca="1" si="11"/>
        <v>0</v>
      </c>
      <c r="Z33" s="439">
        <f ca="1">IFERROR(__xludf.DUMMYFUNCTION("IMPORTRANGE(""https://docs.google.com/spreadsheets/d/1aHkj4IaQMThhwWwevcOymEh837vdxeC_PycurhTbGFA/edit?usp=sharing"",""ขอนแก่น!I386"")"),1000)</f>
        <v>1000</v>
      </c>
      <c r="AA33" s="74">
        <f ca="1">IFERROR(__xludf.DUMMYFUNCTION("IMPORTRANGE(""https://docs.google.com/spreadsheets/d/1aHkj4IaQMThhwWwevcOymEh837vdxeC_PycurhTbGFA/edit?usp=sharing"",""ขอนแก่น!J385"")"),0)</f>
        <v>0</v>
      </c>
      <c r="AB33" s="74">
        <f ca="1">IFERROR(__xludf.DUMMYFUNCTION("IMPORTRANGE(""https://docs.google.com/spreadsheets/d/1aHkj4IaQMThhwWwevcOymEh837vdxeC_PycurhTbGFA/edit?usp=sharing"",""ขอนแก่น!J386"")"),0)</f>
        <v>0</v>
      </c>
      <c r="AC33" s="441">
        <f ca="1">IFERROR(__xludf.DUMMYFUNCTION("IMPORTRANGE(""https://docs.google.com/spreadsheets/d/1aHkj4IaQMThhwWwevcOymEh837vdxeC_PycurhTbGFA/edit?usp=sharing"",""ขอนแก่น!I388"")"),0)</f>
        <v>0</v>
      </c>
      <c r="AD33" s="74">
        <f ca="1">IFERROR(__xludf.DUMMYFUNCTION("IMPORTRANGE(""https://docs.google.com/spreadsheets/d/1aHkj4IaQMThhwWwevcOymEh837vdxeC_PycurhTbGFA/edit?usp=sharing"",""ขอนแก่น!J387"")"),0)</f>
        <v>0</v>
      </c>
      <c r="AE33" s="74">
        <f ca="1">IFERROR(__xludf.DUMMYFUNCTION("IMPORTRANGE(""https://docs.google.com/spreadsheets/d/1aHkj4IaQMThhwWwevcOymEh837vdxeC_PycurhTbGFA/edit?usp=sharing"",""ขอนแก่น!J388"")"),0)</f>
        <v>0</v>
      </c>
    </row>
    <row r="34" spans="1:31" ht="19.5" x14ac:dyDescent="0.3">
      <c r="A34" s="147">
        <v>3</v>
      </c>
      <c r="B34" s="148" t="s">
        <v>62</v>
      </c>
      <c r="C34" s="149">
        <f t="shared" ca="1" si="21"/>
        <v>0</v>
      </c>
      <c r="D34" s="150">
        <f t="shared" ca="1" si="40"/>
        <v>0</v>
      </c>
      <c r="E34" s="151">
        <f ca="1">IFERROR(__xludf.DUMMYFUNCTION("IMPORTRANGE(""https://docs.google.com/spreadsheets/d/1-uDff_7J0KD5mKrp0Vvzr7lt3OU09vwQwhkpOPPYv2Y/edit?usp=sharing"",""งบพรบ!IF34"")"),0)</f>
        <v>0</v>
      </c>
      <c r="F34" s="151">
        <f ca="1">IFERROR(__xludf.DUMMYFUNCTION("IMPORTRANGE(""https://docs.google.com/spreadsheets/d/1-uDff_7J0KD5mKrp0Vvzr7lt3OU09vwQwhkpOPPYv2Y/edit?usp=sharing"",""งบพรบ!IG34"")"),0)</f>
        <v>0</v>
      </c>
      <c r="G34" s="151">
        <f ca="1">IFERROR(__xludf.DUMMYFUNCTION("IMPORTRANGE(""https://docs.google.com/spreadsheets/d/1-uDff_7J0KD5mKrp0Vvzr7lt3OU09vwQwhkpOPPYv2Y/edit?usp=sharing"",""งบพรบ!IH34"")"),0)</f>
        <v>0</v>
      </c>
      <c r="H34" s="151">
        <f ca="1">IFERROR(__xludf.DUMMYFUNCTION("IMPORTRANGE(""https://docs.google.com/spreadsheets/d/1-uDff_7J0KD5mKrp0Vvzr7lt3OU09vwQwhkpOPPYv2Y/edit?usp=sharing"",""งบพรบ!IJ34"")"),0)</f>
        <v>0</v>
      </c>
      <c r="I34" s="151">
        <f ca="1">IFERROR(__xludf.DUMMYFUNCTION("IMPORTRANGE(""https://docs.google.com/spreadsheets/d/1-uDff_7J0KD5mKrp0Vvzr7lt3OU09vwQwhkpOPPYv2Y/edit?usp=sharing"",""งบพรบ!IK34"")"),0)</f>
        <v>0</v>
      </c>
      <c r="J34" s="151">
        <f t="shared" ca="1" si="23"/>
        <v>0</v>
      </c>
      <c r="K34" s="154">
        <f t="shared" ca="1" si="24"/>
        <v>0</v>
      </c>
      <c r="L34" s="151">
        <f ca="1">IFERROR(__xludf.DUMMYFUNCTION("IMPORTRANGE(""https://docs.google.com/spreadsheets/d/1-uDff_7J0KD5mKrp0Vvzr7lt3OU09vwQwhkpOPPYv2Y/edit?usp=sharing"",""งบพรบ!IL34"")"),0)</f>
        <v>0</v>
      </c>
      <c r="M34" s="68">
        <f t="shared" ca="1" si="25"/>
        <v>0</v>
      </c>
      <c r="N34" s="68">
        <f t="shared" ca="1" si="26"/>
        <v>0</v>
      </c>
      <c r="O34" s="151">
        <f ca="1">IFERROR(__xludf.DUMMYFUNCTION("IMPORTRANGE(""https://docs.google.com/spreadsheets/d/1-uDff_7J0KD5mKrp0Vvzr7lt3OU09vwQwhkpOPPYv2Y/edit?usp=sharing"",""งบพรบ!IM34"")"),0)</f>
        <v>0</v>
      </c>
      <c r="P34" s="67">
        <f t="shared" ca="1" si="27"/>
        <v>0</v>
      </c>
      <c r="Q34" s="68">
        <f t="shared" ca="1" si="28"/>
        <v>0</v>
      </c>
      <c r="R34" s="67">
        <f ca="1">IFERROR(__xludf.DUMMYFUNCTION("IMPORTRANGE(""https://docs.google.com/spreadsheets/d/1FvTu2DsIWUjP6WCWra38Bkj_oOl_sOMf14r5Fg5srxU/edit?usp=sharing"",""ชัยภูมิ!Q375"")"),0)</f>
        <v>0</v>
      </c>
      <c r="S34" s="67">
        <f ca="1">IFERROR(__xludf.DUMMYFUNCTION("IMPORTRANGE(""https://docs.google.com/spreadsheets/d/1FvTu2DsIWUjP6WCWra38Bkj_oOl_sOMf14r5Fg5srxU/edit?usp=sharing"",""ชัยภูมิ!R375"")"),0)</f>
        <v>0</v>
      </c>
      <c r="T34" s="67">
        <f ca="1">IFERROR(__xludf.DUMMYFUNCTION("IMPORTRANGE(""https://docs.google.com/spreadsheets/d/1FvTu2DsIWUjP6WCWra38Bkj_oOl_sOMf14r5Fg5srxU/edit?usp=sharing"",""ชัยภูมิ!S375"")"),0)</f>
        <v>0</v>
      </c>
      <c r="U34" s="68">
        <f t="shared" ca="1" si="30"/>
        <v>0</v>
      </c>
      <c r="V34" s="68">
        <f t="shared" ca="1" si="31"/>
        <v>0</v>
      </c>
      <c r="W34" s="439">
        <f t="shared" ca="1" si="41"/>
        <v>0</v>
      </c>
      <c r="X34" s="439">
        <f ca="1">IFERROR(__xludf.DUMMYFUNCTION("IMPORTRANGE(""https://docs.google.com/spreadsheets/d/1FvTu2DsIWUjP6WCWra38Bkj_oOl_sOMf14r5Fg5srxU/edit?usp=sharing"",""ชัยภูมิ!J374"")"),0)</f>
        <v>0</v>
      </c>
      <c r="Y34" s="440">
        <f t="shared" ca="1" si="11"/>
        <v>0</v>
      </c>
      <c r="Z34" s="439">
        <f ca="1">IFERROR(__xludf.DUMMYFUNCTION("IMPORTRANGE(""https://docs.google.com/spreadsheets/d/1FvTu2DsIWUjP6WCWra38Bkj_oOl_sOMf14r5Fg5srxU/edit?usp=sharing"",""ชัยภูมิ!I386"")"),0)</f>
        <v>0</v>
      </c>
      <c r="AA34" s="74">
        <f ca="1">IFERROR(__xludf.DUMMYFUNCTION("IMPORTRANGE(""https://docs.google.com/spreadsheets/d/1FvTu2DsIWUjP6WCWra38Bkj_oOl_sOMf14r5Fg5srxU/edit?usp=sharing"",""ชัยภูมิ!J385"")"),0)</f>
        <v>0</v>
      </c>
      <c r="AB34" s="74">
        <f ca="1">IFERROR(__xludf.DUMMYFUNCTION("IMPORTRANGE(""https://docs.google.com/spreadsheets/d/1FvTu2DsIWUjP6WCWra38Bkj_oOl_sOMf14r5Fg5srxU/edit?usp=sharing"",""ชัยภูมิ!J386"")"),0)</f>
        <v>0</v>
      </c>
      <c r="AC34" s="441">
        <f ca="1">IFERROR(__xludf.DUMMYFUNCTION("IMPORTRANGE(""https://docs.google.com/spreadsheets/d/1FvTu2DsIWUjP6WCWra38Bkj_oOl_sOMf14r5Fg5srxU/edit?usp=sharing"",""ชัยภูมิ!I388"")"),0)</f>
        <v>0</v>
      </c>
      <c r="AD34" s="74">
        <f ca="1">IFERROR(__xludf.DUMMYFUNCTION("IMPORTRANGE(""https://docs.google.com/spreadsheets/d/1FvTu2DsIWUjP6WCWra38Bkj_oOl_sOMf14r5Fg5srxU/edit?usp=sharing"",""ชัยภูมิ!J387"")"),0)</f>
        <v>0</v>
      </c>
      <c r="AE34" s="74">
        <f ca="1">IFERROR(__xludf.DUMMYFUNCTION("IMPORTRANGE(""https://docs.google.com/spreadsheets/d/1FvTu2DsIWUjP6WCWra38Bkj_oOl_sOMf14r5Fg5srxU/edit?usp=sharing"",""ชัยภูมิ!J388"")"),0)</f>
        <v>0</v>
      </c>
    </row>
    <row r="35" spans="1:31" ht="19.5" x14ac:dyDescent="0.3">
      <c r="A35" s="147">
        <v>4</v>
      </c>
      <c r="B35" s="148" t="s">
        <v>63</v>
      </c>
      <c r="C35" s="149">
        <f t="shared" ca="1" si="21"/>
        <v>0</v>
      </c>
      <c r="D35" s="150">
        <f t="shared" ca="1" si="40"/>
        <v>0</v>
      </c>
      <c r="E35" s="151">
        <f ca="1">IFERROR(__xludf.DUMMYFUNCTION("IMPORTRANGE(""https://docs.google.com/spreadsheets/d/1-uDff_7J0KD5mKrp0Vvzr7lt3OU09vwQwhkpOPPYv2Y/edit?usp=sharing"",""งบพรบ!IF35"")"),0)</f>
        <v>0</v>
      </c>
      <c r="F35" s="151">
        <f ca="1">IFERROR(__xludf.DUMMYFUNCTION("IMPORTRANGE(""https://docs.google.com/spreadsheets/d/1-uDff_7J0KD5mKrp0Vvzr7lt3OU09vwQwhkpOPPYv2Y/edit?usp=sharing"",""งบพรบ!IG35"")"),0)</f>
        <v>0</v>
      </c>
      <c r="G35" s="151">
        <f ca="1">IFERROR(__xludf.DUMMYFUNCTION("IMPORTRANGE(""https://docs.google.com/spreadsheets/d/1-uDff_7J0KD5mKrp0Vvzr7lt3OU09vwQwhkpOPPYv2Y/edit?usp=sharing"",""งบพรบ!IH35"")"),0)</f>
        <v>0</v>
      </c>
      <c r="H35" s="151">
        <f ca="1">IFERROR(__xludf.DUMMYFUNCTION("IMPORTRANGE(""https://docs.google.com/spreadsheets/d/1-uDff_7J0KD5mKrp0Vvzr7lt3OU09vwQwhkpOPPYv2Y/edit?usp=sharing"",""งบพรบ!IJ35"")"),0)</f>
        <v>0</v>
      </c>
      <c r="I35" s="151">
        <f ca="1">IFERROR(__xludf.DUMMYFUNCTION("IMPORTRANGE(""https://docs.google.com/spreadsheets/d/1-uDff_7J0KD5mKrp0Vvzr7lt3OU09vwQwhkpOPPYv2Y/edit?usp=sharing"",""งบพรบ!IK35"")"),0)</f>
        <v>0</v>
      </c>
      <c r="J35" s="151">
        <f t="shared" ca="1" si="23"/>
        <v>0</v>
      </c>
      <c r="K35" s="154">
        <f t="shared" ca="1" si="24"/>
        <v>0</v>
      </c>
      <c r="L35" s="151">
        <f ca="1">IFERROR(__xludf.DUMMYFUNCTION("IMPORTRANGE(""https://docs.google.com/spreadsheets/d/1-uDff_7J0KD5mKrp0Vvzr7lt3OU09vwQwhkpOPPYv2Y/edit?usp=sharing"",""งบพรบ!IL35"")"),0)</f>
        <v>0</v>
      </c>
      <c r="M35" s="68">
        <f t="shared" ca="1" si="25"/>
        <v>0</v>
      </c>
      <c r="N35" s="68">
        <f t="shared" ca="1" si="26"/>
        <v>0</v>
      </c>
      <c r="O35" s="151">
        <f ca="1">IFERROR(__xludf.DUMMYFUNCTION("IMPORTRANGE(""https://docs.google.com/spreadsheets/d/1-uDff_7J0KD5mKrp0Vvzr7lt3OU09vwQwhkpOPPYv2Y/edit?usp=sharing"",""งบพรบ!IM35"")"),0)</f>
        <v>0</v>
      </c>
      <c r="P35" s="67">
        <f t="shared" ca="1" si="27"/>
        <v>0</v>
      </c>
      <c r="Q35" s="68">
        <f t="shared" ca="1" si="28"/>
        <v>0</v>
      </c>
      <c r="R35" s="67">
        <f ca="1">IFERROR(__xludf.DUMMYFUNCTION("IMPORTRANGE(""https://docs.google.com/spreadsheets/d/1XVB7oCJ3pr-vBUdflwPQ8Z2LlzhnCvZaaYjAfP-647E/edit?usp=sharing"",""นครพนม!Q375"")"),62500)</f>
        <v>62500</v>
      </c>
      <c r="S35" s="67">
        <f ca="1">IFERROR(__xludf.DUMMYFUNCTION("IMPORTRANGE(""https://docs.google.com/spreadsheets/d/1XVB7oCJ3pr-vBUdflwPQ8Z2LlzhnCvZaaYjAfP-647E/edit?usp=sharing"",""นครพนม!R375"")"),62500)</f>
        <v>62500</v>
      </c>
      <c r="T35" s="67">
        <f ca="1">IFERROR(__xludf.DUMMYFUNCTION("IMPORTRANGE(""https://docs.google.com/spreadsheets/d/1XVB7oCJ3pr-vBUdflwPQ8Z2LlzhnCvZaaYjAfP-647E/edit?usp=sharing"",""นครพนม!S375"")"),13200)</f>
        <v>13200</v>
      </c>
      <c r="U35" s="68">
        <f t="shared" ca="1" si="30"/>
        <v>21.12</v>
      </c>
      <c r="V35" s="68">
        <f t="shared" ca="1" si="31"/>
        <v>21.12</v>
      </c>
      <c r="W35" s="439">
        <f t="shared" ca="1" si="41"/>
        <v>1000</v>
      </c>
      <c r="X35" s="439">
        <f ca="1">IFERROR(__xludf.DUMMYFUNCTION("IMPORTRANGE(""https://docs.google.com/spreadsheets/d/1XVB7oCJ3pr-vBUdflwPQ8Z2LlzhnCvZaaYjAfP-647E/edit?usp=sharing"",""นครพนม!J374"")"),0)</f>
        <v>0</v>
      </c>
      <c r="Y35" s="440">
        <f t="shared" ca="1" si="11"/>
        <v>0</v>
      </c>
      <c r="Z35" s="439">
        <f ca="1">IFERROR(__xludf.DUMMYFUNCTION("IMPORTRANGE(""https://docs.google.com/spreadsheets/d/1XVB7oCJ3pr-vBUdflwPQ8Z2LlzhnCvZaaYjAfP-647E/edit?usp=sharing"",""นครพนม!I386"")"),1000)</f>
        <v>1000</v>
      </c>
      <c r="AA35" s="74">
        <f ca="1">IFERROR(__xludf.DUMMYFUNCTION("IMPORTRANGE(""https://docs.google.com/spreadsheets/d/1XVB7oCJ3pr-vBUdflwPQ8Z2LlzhnCvZaaYjAfP-647E/edit?usp=sharing"",""นครพนม!J385"")"),0)</f>
        <v>0</v>
      </c>
      <c r="AB35" s="74">
        <f ca="1">IFERROR(__xludf.DUMMYFUNCTION("IMPORTRANGE(""https://docs.google.com/spreadsheets/d/1XVB7oCJ3pr-vBUdflwPQ8Z2LlzhnCvZaaYjAfP-647E/edit?usp=sharing"",""นครพนม!J386"")"),0)</f>
        <v>0</v>
      </c>
      <c r="AC35" s="441">
        <f ca="1">IFERROR(__xludf.DUMMYFUNCTION("IMPORTRANGE(""https://docs.google.com/spreadsheets/d/1XVB7oCJ3pr-vBUdflwPQ8Z2LlzhnCvZaaYjAfP-647E/edit?usp=sharing"",""นครพนม!I388"")"),0)</f>
        <v>0</v>
      </c>
      <c r="AD35" s="74">
        <f ca="1">IFERROR(__xludf.DUMMYFUNCTION("IMPORTRANGE(""https://docs.google.com/spreadsheets/d/1XVB7oCJ3pr-vBUdflwPQ8Z2LlzhnCvZaaYjAfP-647E/edit?usp=sharing"",""นครพนม!J387"")"),0)</f>
        <v>0</v>
      </c>
      <c r="AE35" s="74">
        <f ca="1">IFERROR(__xludf.DUMMYFUNCTION("IMPORTRANGE(""https://docs.google.com/spreadsheets/d/1XVB7oCJ3pr-vBUdflwPQ8Z2LlzhnCvZaaYjAfP-647E/edit?usp=sharing"",""นครพนม!J388"")"),0)</f>
        <v>0</v>
      </c>
    </row>
    <row r="36" spans="1:31" ht="19.5" x14ac:dyDescent="0.3">
      <c r="A36" s="147">
        <v>5</v>
      </c>
      <c r="B36" s="148" t="s">
        <v>64</v>
      </c>
      <c r="C36" s="149">
        <f t="shared" ca="1" si="21"/>
        <v>0</v>
      </c>
      <c r="D36" s="150">
        <f t="shared" ca="1" si="40"/>
        <v>0</v>
      </c>
      <c r="E36" s="151">
        <f ca="1">IFERROR(__xludf.DUMMYFUNCTION("IMPORTRANGE(""https://docs.google.com/spreadsheets/d/1-uDff_7J0KD5mKrp0Vvzr7lt3OU09vwQwhkpOPPYv2Y/edit?usp=sharing"",""งบพรบ!IF36"")"),0)</f>
        <v>0</v>
      </c>
      <c r="F36" s="151">
        <f ca="1">IFERROR(__xludf.DUMMYFUNCTION("IMPORTRANGE(""https://docs.google.com/spreadsheets/d/1-uDff_7J0KD5mKrp0Vvzr7lt3OU09vwQwhkpOPPYv2Y/edit?usp=sharing"",""งบพรบ!IG36"")"),0)</f>
        <v>0</v>
      </c>
      <c r="G36" s="151">
        <f ca="1">IFERROR(__xludf.DUMMYFUNCTION("IMPORTRANGE(""https://docs.google.com/spreadsheets/d/1-uDff_7J0KD5mKrp0Vvzr7lt3OU09vwQwhkpOPPYv2Y/edit?usp=sharing"",""งบพรบ!IH36"")"),0)</f>
        <v>0</v>
      </c>
      <c r="H36" s="151">
        <f ca="1">IFERROR(__xludf.DUMMYFUNCTION("IMPORTRANGE(""https://docs.google.com/spreadsheets/d/1-uDff_7J0KD5mKrp0Vvzr7lt3OU09vwQwhkpOPPYv2Y/edit?usp=sharing"",""งบพรบ!IJ36"")"),0)</f>
        <v>0</v>
      </c>
      <c r="I36" s="151">
        <f ca="1">IFERROR(__xludf.DUMMYFUNCTION("IMPORTRANGE(""https://docs.google.com/spreadsheets/d/1-uDff_7J0KD5mKrp0Vvzr7lt3OU09vwQwhkpOPPYv2Y/edit?usp=sharing"",""งบพรบ!IK36"")"),0)</f>
        <v>0</v>
      </c>
      <c r="J36" s="151">
        <f t="shared" ca="1" si="23"/>
        <v>0</v>
      </c>
      <c r="K36" s="154">
        <f t="shared" ca="1" si="24"/>
        <v>0</v>
      </c>
      <c r="L36" s="151">
        <f ca="1">IFERROR(__xludf.DUMMYFUNCTION("IMPORTRANGE(""https://docs.google.com/spreadsheets/d/1-uDff_7J0KD5mKrp0Vvzr7lt3OU09vwQwhkpOPPYv2Y/edit?usp=sharing"",""งบพรบ!IL36"")"),0)</f>
        <v>0</v>
      </c>
      <c r="M36" s="68">
        <f t="shared" ca="1" si="25"/>
        <v>0</v>
      </c>
      <c r="N36" s="68">
        <f t="shared" ca="1" si="26"/>
        <v>0</v>
      </c>
      <c r="O36" s="151">
        <f ca="1">IFERROR(__xludf.DUMMYFUNCTION("IMPORTRANGE(""https://docs.google.com/spreadsheets/d/1-uDff_7J0KD5mKrp0Vvzr7lt3OU09vwQwhkpOPPYv2Y/edit?usp=sharing"",""งบพรบ!IM36"")"),0)</f>
        <v>0</v>
      </c>
      <c r="P36" s="67">
        <f t="shared" ca="1" si="27"/>
        <v>0</v>
      </c>
      <c r="Q36" s="68">
        <f t="shared" ca="1" si="28"/>
        <v>0</v>
      </c>
      <c r="R36" s="67">
        <f ca="1">IFERROR(__xludf.DUMMYFUNCTION("IMPORTRANGE(""https://docs.google.com/spreadsheets/d/1Mnpb-8PYAgn85W6KOTD40hc_Xc55CaLfHoGAbrZ8tls/edit?usp=sharing"",""นครราชสีมา!Q375"")"),750000)</f>
        <v>750000</v>
      </c>
      <c r="S36" s="67">
        <f ca="1">IFERROR(__xludf.DUMMYFUNCTION("IMPORTRANGE(""https://docs.google.com/spreadsheets/d/1Mnpb-8PYAgn85W6KOTD40hc_Xc55CaLfHoGAbrZ8tls/edit?usp=sharing"",""นครราชสีมา!R375"")"),750000)</f>
        <v>750000</v>
      </c>
      <c r="T36" s="67">
        <f ca="1">IFERROR(__xludf.DUMMYFUNCTION("IMPORTRANGE(""https://docs.google.com/spreadsheets/d/1Mnpb-8PYAgn85W6KOTD40hc_Xc55CaLfHoGAbrZ8tls/edit?usp=sharing"",""นครราชสีมา!S375"")"),294772.7)</f>
        <v>294772.7</v>
      </c>
      <c r="U36" s="68">
        <f t="shared" ca="1" si="30"/>
        <v>39.303026666666668</v>
      </c>
      <c r="V36" s="68">
        <f t="shared" ca="1" si="31"/>
        <v>39.303026666666668</v>
      </c>
      <c r="W36" s="439">
        <f t="shared" ca="1" si="41"/>
        <v>98400</v>
      </c>
      <c r="X36" s="439">
        <f ca="1">IFERROR(__xludf.DUMMYFUNCTION("IMPORTRANGE(""https://docs.google.com/spreadsheets/d/1Mnpb-8PYAgn85W6KOTD40hc_Xc55CaLfHoGAbrZ8tls/edit?usp=sharing"",""นครราชสีมา!J374"")"),93892.71)</f>
        <v>93892.71</v>
      </c>
      <c r="Y36" s="440">
        <f t="shared" ca="1" si="11"/>
        <v>95.419420731707319</v>
      </c>
      <c r="Z36" s="439">
        <f ca="1">IFERROR(__xludf.DUMMYFUNCTION("IMPORTRANGE(""https://docs.google.com/spreadsheets/d/1Mnpb-8PYAgn85W6KOTD40hc_Xc55CaLfHoGAbrZ8tls/edit?usp=sharing"",""นครราชสีมา!I386"")"),12000)</f>
        <v>12000</v>
      </c>
      <c r="AA36" s="74">
        <f ca="1">IFERROR(__xludf.DUMMYFUNCTION("IMPORTRANGE(""https://docs.google.com/spreadsheets/d/1Mnpb-8PYAgn85W6KOTD40hc_Xc55CaLfHoGAbrZ8tls/edit?usp=sharing"",""นครราชสีมา!J385"")"),349)</f>
        <v>349</v>
      </c>
      <c r="AB36" s="74">
        <f ca="1">IFERROR(__xludf.DUMMYFUNCTION("IMPORTRANGE(""https://docs.google.com/spreadsheets/d/1Mnpb-8PYAgn85W6KOTD40hc_Xc55CaLfHoGAbrZ8tls/edit?usp=sharing"",""นครราชสีมา!J386"")"),5340)</f>
        <v>5340</v>
      </c>
      <c r="AC36" s="441">
        <f ca="1">IFERROR(__xludf.DUMMYFUNCTION("IMPORTRANGE(""https://docs.google.com/spreadsheets/d/1Mnpb-8PYAgn85W6KOTD40hc_Xc55CaLfHoGAbrZ8tls/edit?usp=sharing"",""นครราชสีมา!I388"")"),86400)</f>
        <v>86400</v>
      </c>
      <c r="AD36" s="74">
        <f ca="1">IFERROR(__xludf.DUMMYFUNCTION("IMPORTRANGE(""https://docs.google.com/spreadsheets/d/1Mnpb-8PYAgn85W6KOTD40hc_Xc55CaLfHoGAbrZ8tls/edit?usp=sharing"",""นครราชสีมา!J387"")"),6806)</f>
        <v>6806</v>
      </c>
      <c r="AE36" s="74">
        <f ca="1">IFERROR(__xludf.DUMMYFUNCTION("IMPORTRANGE(""https://docs.google.com/spreadsheets/d/1Mnpb-8PYAgn85W6KOTD40hc_Xc55CaLfHoGAbrZ8tls/edit?usp=sharing"",""นครราชสีมา!J388"")"),88552.71)</f>
        <v>88552.71</v>
      </c>
    </row>
    <row r="37" spans="1:31" ht="19.5" x14ac:dyDescent="0.3">
      <c r="A37" s="147">
        <v>6</v>
      </c>
      <c r="B37" s="148" t="s">
        <v>65</v>
      </c>
      <c r="C37" s="149">
        <f t="shared" ca="1" si="21"/>
        <v>0</v>
      </c>
      <c r="D37" s="150">
        <f t="shared" ca="1" si="40"/>
        <v>0</v>
      </c>
      <c r="E37" s="151">
        <f ca="1">IFERROR(__xludf.DUMMYFUNCTION("IMPORTRANGE(""https://docs.google.com/spreadsheets/d/1-uDff_7J0KD5mKrp0Vvzr7lt3OU09vwQwhkpOPPYv2Y/edit?usp=sharing"",""งบพรบ!IF37"")"),0)</f>
        <v>0</v>
      </c>
      <c r="F37" s="151">
        <f ca="1">IFERROR(__xludf.DUMMYFUNCTION("IMPORTRANGE(""https://docs.google.com/spreadsheets/d/1-uDff_7J0KD5mKrp0Vvzr7lt3OU09vwQwhkpOPPYv2Y/edit?usp=sharing"",""งบพรบ!IG37"")"),0)</f>
        <v>0</v>
      </c>
      <c r="G37" s="151">
        <f ca="1">IFERROR(__xludf.DUMMYFUNCTION("IMPORTRANGE(""https://docs.google.com/spreadsheets/d/1-uDff_7J0KD5mKrp0Vvzr7lt3OU09vwQwhkpOPPYv2Y/edit?usp=sharing"",""งบพรบ!IH37"")"),0)</f>
        <v>0</v>
      </c>
      <c r="H37" s="151">
        <f ca="1">IFERROR(__xludf.DUMMYFUNCTION("IMPORTRANGE(""https://docs.google.com/spreadsheets/d/1-uDff_7J0KD5mKrp0Vvzr7lt3OU09vwQwhkpOPPYv2Y/edit?usp=sharing"",""งบพรบ!IJ37"")"),0)</f>
        <v>0</v>
      </c>
      <c r="I37" s="151">
        <f ca="1">IFERROR(__xludf.DUMMYFUNCTION("IMPORTRANGE(""https://docs.google.com/spreadsheets/d/1-uDff_7J0KD5mKrp0Vvzr7lt3OU09vwQwhkpOPPYv2Y/edit?usp=sharing"",""งบพรบ!IK37"")"),0)</f>
        <v>0</v>
      </c>
      <c r="J37" s="151">
        <f t="shared" ca="1" si="23"/>
        <v>0</v>
      </c>
      <c r="K37" s="154">
        <f t="shared" ca="1" si="24"/>
        <v>0</v>
      </c>
      <c r="L37" s="151">
        <f ca="1">IFERROR(__xludf.DUMMYFUNCTION("IMPORTRANGE(""https://docs.google.com/spreadsheets/d/1-uDff_7J0KD5mKrp0Vvzr7lt3OU09vwQwhkpOPPYv2Y/edit?usp=sharing"",""งบพรบ!IL37"")"),0)</f>
        <v>0</v>
      </c>
      <c r="M37" s="68">
        <f t="shared" ca="1" si="25"/>
        <v>0</v>
      </c>
      <c r="N37" s="68">
        <f t="shared" ca="1" si="26"/>
        <v>0</v>
      </c>
      <c r="O37" s="151">
        <f ca="1">IFERROR(__xludf.DUMMYFUNCTION("IMPORTRANGE(""https://docs.google.com/spreadsheets/d/1-uDff_7J0KD5mKrp0Vvzr7lt3OU09vwQwhkpOPPYv2Y/edit?usp=sharing"",""งบพรบ!IM37"")"),0)</f>
        <v>0</v>
      </c>
      <c r="P37" s="67">
        <f t="shared" ca="1" si="27"/>
        <v>0</v>
      </c>
      <c r="Q37" s="68">
        <f t="shared" ca="1" si="28"/>
        <v>0</v>
      </c>
      <c r="R37" s="67">
        <f ca="1">IFERROR(__xludf.DUMMYFUNCTION("IMPORTRANGE(""https://docs.google.com/spreadsheets/d/1xoDLGBv9CYbyosIhki0kTq6IpYNj-gpjxfobnaDiut0/edit?usp=sharing"",""บึงกาฬ!Q375"")"),250000)</f>
        <v>250000</v>
      </c>
      <c r="S37" s="67">
        <f ca="1">IFERROR(__xludf.DUMMYFUNCTION("IMPORTRANGE(""https://docs.google.com/spreadsheets/d/1xoDLGBv9CYbyosIhki0kTq6IpYNj-gpjxfobnaDiut0/edit?usp=sharing"",""บึงกาฬ!R375"")"),250000)</f>
        <v>250000</v>
      </c>
      <c r="T37" s="67">
        <f ca="1">IFERROR(__xludf.DUMMYFUNCTION("IMPORTRANGE(""https://docs.google.com/spreadsheets/d/1xoDLGBv9CYbyosIhki0kTq6IpYNj-gpjxfobnaDiut0/edit?usp=sharing"",""บึงกาฬ!S375"")"),206360)</f>
        <v>206360</v>
      </c>
      <c r="U37" s="68">
        <f t="shared" ca="1" si="30"/>
        <v>82.543999999999997</v>
      </c>
      <c r="V37" s="68">
        <f t="shared" ca="1" si="31"/>
        <v>82.543999999999997</v>
      </c>
      <c r="W37" s="439">
        <f t="shared" ca="1" si="41"/>
        <v>4000</v>
      </c>
      <c r="X37" s="439">
        <f ca="1">IFERROR(__xludf.DUMMYFUNCTION("IMPORTRANGE(""https://docs.google.com/spreadsheets/d/1xoDLGBv9CYbyosIhki0kTq6IpYNj-gpjxfobnaDiut0/edit?usp=sharing"",""บึงกาฬ!J374"")"),684)</f>
        <v>684</v>
      </c>
      <c r="Y37" s="440">
        <f t="shared" ca="1" si="11"/>
        <v>17.100000000000001</v>
      </c>
      <c r="Z37" s="439">
        <f ca="1">IFERROR(__xludf.DUMMYFUNCTION("IMPORTRANGE(""https://docs.google.com/spreadsheets/d/1xoDLGBv9CYbyosIhki0kTq6IpYNj-gpjxfobnaDiut0/edit?usp=sharing"",""บึงกาฬ!I386"")"),4000)</f>
        <v>4000</v>
      </c>
      <c r="AA37" s="74">
        <f ca="1">IFERROR(__xludf.DUMMYFUNCTION("IMPORTRANGE(""https://docs.google.com/spreadsheets/d/1xoDLGBv9CYbyosIhki0kTq6IpYNj-gpjxfobnaDiut0/edit?usp=sharing"",""บึงกาฬ!J385"")"),46)</f>
        <v>46</v>
      </c>
      <c r="AB37" s="74">
        <f ca="1">IFERROR(__xludf.DUMMYFUNCTION("IMPORTRANGE(""https://docs.google.com/spreadsheets/d/1xoDLGBv9CYbyosIhki0kTq6IpYNj-gpjxfobnaDiut0/edit?usp=sharing"",""บึงกาฬ!J386"")"),684)</f>
        <v>684</v>
      </c>
      <c r="AC37" s="441">
        <f ca="1">IFERROR(__xludf.DUMMYFUNCTION("IMPORTRANGE(""https://docs.google.com/spreadsheets/d/1xoDLGBv9CYbyosIhki0kTq6IpYNj-gpjxfobnaDiut0/edit?usp=sharing"",""บึงกาฬ!I388"")"),0)</f>
        <v>0</v>
      </c>
      <c r="AD37" s="74">
        <f ca="1">IFERROR(__xludf.DUMMYFUNCTION("IMPORTRANGE(""https://docs.google.com/spreadsheets/d/1xoDLGBv9CYbyosIhki0kTq6IpYNj-gpjxfobnaDiut0/edit?usp=sharing"",""บึงกาฬ!J387"")"),0)</f>
        <v>0</v>
      </c>
      <c r="AE37" s="74">
        <f ca="1">IFERROR(__xludf.DUMMYFUNCTION("IMPORTRANGE(""https://docs.google.com/spreadsheets/d/1xoDLGBv9CYbyosIhki0kTq6IpYNj-gpjxfobnaDiut0/edit?usp=sharing"",""บึงกาฬ!J388"")"),0)</f>
        <v>0</v>
      </c>
    </row>
    <row r="38" spans="1:31" ht="19.5" x14ac:dyDescent="0.3">
      <c r="A38" s="147">
        <v>7</v>
      </c>
      <c r="B38" s="148" t="s">
        <v>66</v>
      </c>
      <c r="C38" s="149">
        <f t="shared" ca="1" si="21"/>
        <v>0</v>
      </c>
      <c r="D38" s="150">
        <f t="shared" ca="1" si="40"/>
        <v>0</v>
      </c>
      <c r="E38" s="151">
        <f ca="1">IFERROR(__xludf.DUMMYFUNCTION("IMPORTRANGE(""https://docs.google.com/spreadsheets/d/1-uDff_7J0KD5mKrp0Vvzr7lt3OU09vwQwhkpOPPYv2Y/edit?usp=sharing"",""งบพรบ!IF38"")"),0)</f>
        <v>0</v>
      </c>
      <c r="F38" s="151">
        <f ca="1">IFERROR(__xludf.DUMMYFUNCTION("IMPORTRANGE(""https://docs.google.com/spreadsheets/d/1-uDff_7J0KD5mKrp0Vvzr7lt3OU09vwQwhkpOPPYv2Y/edit?usp=sharing"",""งบพรบ!IG38"")"),0)</f>
        <v>0</v>
      </c>
      <c r="G38" s="151">
        <f ca="1">IFERROR(__xludf.DUMMYFUNCTION("IMPORTRANGE(""https://docs.google.com/spreadsheets/d/1-uDff_7J0KD5mKrp0Vvzr7lt3OU09vwQwhkpOPPYv2Y/edit?usp=sharing"",""งบพรบ!IH38"")"),0)</f>
        <v>0</v>
      </c>
      <c r="H38" s="151">
        <f ca="1">IFERROR(__xludf.DUMMYFUNCTION("IMPORTRANGE(""https://docs.google.com/spreadsheets/d/1-uDff_7J0KD5mKrp0Vvzr7lt3OU09vwQwhkpOPPYv2Y/edit?usp=sharing"",""งบพรบ!IJ38"")"),0)</f>
        <v>0</v>
      </c>
      <c r="I38" s="151">
        <f ca="1">IFERROR(__xludf.DUMMYFUNCTION("IMPORTRANGE(""https://docs.google.com/spreadsheets/d/1-uDff_7J0KD5mKrp0Vvzr7lt3OU09vwQwhkpOPPYv2Y/edit?usp=sharing"",""งบพรบ!IK38"")"),0)</f>
        <v>0</v>
      </c>
      <c r="J38" s="151">
        <f t="shared" ca="1" si="23"/>
        <v>0</v>
      </c>
      <c r="K38" s="154">
        <f t="shared" ca="1" si="24"/>
        <v>0</v>
      </c>
      <c r="L38" s="151">
        <f ca="1">IFERROR(__xludf.DUMMYFUNCTION("IMPORTRANGE(""https://docs.google.com/spreadsheets/d/1-uDff_7J0KD5mKrp0Vvzr7lt3OU09vwQwhkpOPPYv2Y/edit?usp=sharing"",""งบพรบ!IL38"")"),0)</f>
        <v>0</v>
      </c>
      <c r="M38" s="68">
        <f t="shared" ca="1" si="25"/>
        <v>0</v>
      </c>
      <c r="N38" s="68">
        <f t="shared" ca="1" si="26"/>
        <v>0</v>
      </c>
      <c r="O38" s="151">
        <f ca="1">IFERROR(__xludf.DUMMYFUNCTION("IMPORTRANGE(""https://docs.google.com/spreadsheets/d/1-uDff_7J0KD5mKrp0Vvzr7lt3OU09vwQwhkpOPPYv2Y/edit?usp=sharing"",""งบพรบ!IM38"")"),0)</f>
        <v>0</v>
      </c>
      <c r="P38" s="67">
        <f t="shared" ca="1" si="27"/>
        <v>0</v>
      </c>
      <c r="Q38" s="68">
        <f t="shared" ca="1" si="28"/>
        <v>0</v>
      </c>
      <c r="R38" s="67">
        <f ca="1">IFERROR(__xludf.DUMMYFUNCTION("IMPORTRANGE(""https://docs.google.com/spreadsheets/d/1MMPq-JyI6DSgQETxuSiXkesP-P7JHuemnE6QJIa-Nlw/edit?usp=sharing"",""บุรีรัมย์!Q375"")"),125000)</f>
        <v>125000</v>
      </c>
      <c r="S38" s="67">
        <f ca="1">IFERROR(__xludf.DUMMYFUNCTION("IMPORTRANGE(""https://docs.google.com/spreadsheets/d/1MMPq-JyI6DSgQETxuSiXkesP-P7JHuemnE6QJIa-Nlw/edit?usp=sharing"",""บุรีรัมย์!R375"")"),125000)</f>
        <v>125000</v>
      </c>
      <c r="T38" s="67">
        <f ca="1">IFERROR(__xludf.DUMMYFUNCTION("IMPORTRANGE(""https://docs.google.com/spreadsheets/d/1MMPq-JyI6DSgQETxuSiXkesP-P7JHuemnE6QJIa-Nlw/edit?usp=sharing"",""บุรีรัมย์!S375"")"),47260)</f>
        <v>47260</v>
      </c>
      <c r="U38" s="68">
        <f t="shared" ca="1" si="30"/>
        <v>37.808</v>
      </c>
      <c r="V38" s="68">
        <f t="shared" ca="1" si="31"/>
        <v>37.808</v>
      </c>
      <c r="W38" s="442">
        <f t="shared" ca="1" si="41"/>
        <v>2000</v>
      </c>
      <c r="X38" s="442">
        <f ca="1">IFERROR(__xludf.DUMMYFUNCTION("IMPORTRANGE(""https://docs.google.com/spreadsheets/d/1MMPq-JyI6DSgQETxuSiXkesP-P7JHuemnE6QJIa-Nlw/edit?usp=sharing"",""บุรีรัมย์!J374"")"),161)</f>
        <v>161</v>
      </c>
      <c r="Y38" s="443">
        <f t="shared" ca="1" si="11"/>
        <v>8.0500000000000007</v>
      </c>
      <c r="Z38" s="442">
        <f ca="1">IFERROR(__xludf.DUMMYFUNCTION("IMPORTRANGE(""https://docs.google.com/spreadsheets/d/1MMPq-JyI6DSgQETxuSiXkesP-P7JHuemnE6QJIa-Nlw/edit?usp=sharing"",""บุรีรัมย์!I386"")"),2000)</f>
        <v>2000</v>
      </c>
      <c r="AA38" s="78">
        <f ca="1">IFERROR(__xludf.DUMMYFUNCTION("IMPORTRANGE(""https://docs.google.com/spreadsheets/d/1MMPq-JyI6DSgQETxuSiXkesP-P7JHuemnE6QJIa-Nlw/edit?usp=sharing"",""บุรีรัมย์!J385"")"),6)</f>
        <v>6</v>
      </c>
      <c r="AB38" s="78">
        <f ca="1">IFERROR(__xludf.DUMMYFUNCTION("IMPORTRANGE(""https://docs.google.com/spreadsheets/d/1MMPq-JyI6DSgQETxuSiXkesP-P7JHuemnE6QJIa-Nlw/edit?usp=sharing"",""บุรีรัมย์!J386"")"),161)</f>
        <v>161</v>
      </c>
      <c r="AC38" s="278">
        <f ca="1">IFERROR(__xludf.DUMMYFUNCTION("IMPORTRANGE(""https://docs.google.com/spreadsheets/d/1MMPq-JyI6DSgQETxuSiXkesP-P7JHuemnE6QJIa-Nlw/edit?usp=sharing"",""บุรีรัมย์!I388"")"),0)</f>
        <v>0</v>
      </c>
      <c r="AD38" s="78">
        <f ca="1">IFERROR(__xludf.DUMMYFUNCTION("IMPORTRANGE(""https://docs.google.com/spreadsheets/d/1MMPq-JyI6DSgQETxuSiXkesP-P7JHuemnE6QJIa-Nlw/edit?usp=sharing"",""บุรีรัมย์!J387"")"),0)</f>
        <v>0</v>
      </c>
      <c r="AE38" s="78">
        <f ca="1">IFERROR(__xludf.DUMMYFUNCTION("IMPORTRANGE(""https://docs.google.com/spreadsheets/d/1MMPq-JyI6DSgQETxuSiXkesP-P7JHuemnE6QJIa-Nlw/edit?usp=sharing"",""บุรีรัมย์!J388"")"),0)</f>
        <v>0</v>
      </c>
    </row>
    <row r="39" spans="1:31" ht="19.5" x14ac:dyDescent="0.3">
      <c r="A39" s="147">
        <v>8</v>
      </c>
      <c r="B39" s="148" t="s">
        <v>67</v>
      </c>
      <c r="C39" s="149">
        <f t="shared" ca="1" si="21"/>
        <v>46300</v>
      </c>
      <c r="D39" s="150">
        <f t="shared" ca="1" si="40"/>
        <v>46300</v>
      </c>
      <c r="E39" s="151">
        <f ca="1">IFERROR(__xludf.DUMMYFUNCTION("IMPORTRANGE(""https://docs.google.com/spreadsheets/d/1-uDff_7J0KD5mKrp0Vvzr7lt3OU09vwQwhkpOPPYv2Y/edit?usp=sharing"",""งบพรบ!IF39"")"),46300)</f>
        <v>46300</v>
      </c>
      <c r="F39" s="151">
        <f ca="1">IFERROR(__xludf.DUMMYFUNCTION("IMPORTRANGE(""https://docs.google.com/spreadsheets/d/1-uDff_7J0KD5mKrp0Vvzr7lt3OU09vwQwhkpOPPYv2Y/edit?usp=sharing"",""งบพรบ!IG39"")"),0)</f>
        <v>0</v>
      </c>
      <c r="G39" s="151">
        <f ca="1">IFERROR(__xludf.DUMMYFUNCTION("IMPORTRANGE(""https://docs.google.com/spreadsheets/d/1-uDff_7J0KD5mKrp0Vvzr7lt3OU09vwQwhkpOPPYv2Y/edit?usp=sharing"",""งบพรบ!IH39"")"),0)</f>
        <v>0</v>
      </c>
      <c r="H39" s="151">
        <f ca="1">IFERROR(__xludf.DUMMYFUNCTION("IMPORTRANGE(""https://docs.google.com/spreadsheets/d/1-uDff_7J0KD5mKrp0Vvzr7lt3OU09vwQwhkpOPPYv2Y/edit?usp=sharing"",""งบพรบ!IJ39"")"),46300)</f>
        <v>46300</v>
      </c>
      <c r="I39" s="151">
        <f ca="1">IFERROR(__xludf.DUMMYFUNCTION("IMPORTRANGE(""https://docs.google.com/spreadsheets/d/1-uDff_7J0KD5mKrp0Vvzr7lt3OU09vwQwhkpOPPYv2Y/edit?usp=sharing"",""งบพรบ!IK39"")"),0)</f>
        <v>0</v>
      </c>
      <c r="J39" s="151">
        <f t="shared" ca="1" si="23"/>
        <v>0</v>
      </c>
      <c r="K39" s="154">
        <f t="shared" ca="1" si="24"/>
        <v>0</v>
      </c>
      <c r="L39" s="151">
        <f ca="1">IFERROR(__xludf.DUMMYFUNCTION("IMPORTRANGE(""https://docs.google.com/spreadsheets/d/1-uDff_7J0KD5mKrp0Vvzr7lt3OU09vwQwhkpOPPYv2Y/edit?usp=sharing"",""งบพรบ!IL39"")"),0)</f>
        <v>0</v>
      </c>
      <c r="M39" s="68">
        <f t="shared" ca="1" si="25"/>
        <v>0</v>
      </c>
      <c r="N39" s="68">
        <f t="shared" ca="1" si="26"/>
        <v>0</v>
      </c>
      <c r="O39" s="151">
        <f ca="1">IFERROR(__xludf.DUMMYFUNCTION("IMPORTRANGE(""https://docs.google.com/spreadsheets/d/1-uDff_7J0KD5mKrp0Vvzr7lt3OU09vwQwhkpOPPYv2Y/edit?usp=sharing"",""งบพรบ!IM39"")"),0)</f>
        <v>0</v>
      </c>
      <c r="P39" s="67">
        <f t="shared" ca="1" si="27"/>
        <v>0</v>
      </c>
      <c r="Q39" s="68">
        <f t="shared" ca="1" si="28"/>
        <v>0</v>
      </c>
      <c r="R39" s="67">
        <f ca="1">IFERROR(__xludf.DUMMYFUNCTION("IMPORTRANGE(""https://docs.google.com/spreadsheets/d/1l6IZ8xUPgMrESzcTYwhA1k_tPjeQjJPTqlm8Gd9eU5g/edit?usp=sharing"",""มหาสารคาม!Q375"")"),62500)</f>
        <v>62500</v>
      </c>
      <c r="S39" s="67">
        <f ca="1">IFERROR(__xludf.DUMMYFUNCTION("IMPORTRANGE(""https://docs.google.com/spreadsheets/d/1l6IZ8xUPgMrESzcTYwhA1k_tPjeQjJPTqlm8Gd9eU5g/edit?usp=sharing"",""มหาสารคาม!R375"")"),12500)</f>
        <v>12500</v>
      </c>
      <c r="T39" s="67">
        <f ca="1">IFERROR(__xludf.DUMMYFUNCTION("IMPORTRANGE(""https://docs.google.com/spreadsheets/d/1l6IZ8xUPgMrESzcTYwhA1k_tPjeQjJPTqlm8Gd9eU5g/edit?usp=sharing"",""มหาสารคาม!S375"")"),0)</f>
        <v>0</v>
      </c>
      <c r="U39" s="68">
        <f t="shared" ca="1" si="30"/>
        <v>0</v>
      </c>
      <c r="V39" s="68">
        <f t="shared" ca="1" si="31"/>
        <v>0</v>
      </c>
      <c r="W39" s="442">
        <f t="shared" ca="1" si="41"/>
        <v>1000</v>
      </c>
      <c r="X39" s="442">
        <f ca="1">IFERROR(__xludf.DUMMYFUNCTION("IMPORTRANGE(""https://docs.google.com/spreadsheets/d/1l6IZ8xUPgMrESzcTYwhA1k_tPjeQjJPTqlm8Gd9eU5g/edit?usp=sharing"",""มหาสารคาม!J374"")"),0)</f>
        <v>0</v>
      </c>
      <c r="Y39" s="443">
        <f t="shared" ca="1" si="11"/>
        <v>0</v>
      </c>
      <c r="Z39" s="442">
        <f ca="1">IFERROR(__xludf.DUMMYFUNCTION("IMPORTRANGE(""https://docs.google.com/spreadsheets/d/1l6IZ8xUPgMrESzcTYwhA1k_tPjeQjJPTqlm8Gd9eU5g/edit?usp=sharing"",""มหาสารคาม!I386"")"),1000)</f>
        <v>1000</v>
      </c>
      <c r="AA39" s="78">
        <f ca="1">IFERROR(__xludf.DUMMYFUNCTION("IMPORTRANGE(""https://docs.google.com/spreadsheets/d/1l6IZ8xUPgMrESzcTYwhA1k_tPjeQjJPTqlm8Gd9eU5g/edit?usp=sharing"",""มหาสารคาม!J385"")"),0)</f>
        <v>0</v>
      </c>
      <c r="AB39" s="78">
        <f ca="1">IFERROR(__xludf.DUMMYFUNCTION("IMPORTRANGE(""https://docs.google.com/spreadsheets/d/1l6IZ8xUPgMrESzcTYwhA1k_tPjeQjJPTqlm8Gd9eU5g/edit?usp=sharing"",""มหาสารคาม!J386"")"),0)</f>
        <v>0</v>
      </c>
      <c r="AC39" s="278">
        <f ca="1">IFERROR(__xludf.DUMMYFUNCTION("IMPORTRANGE(""https://docs.google.com/spreadsheets/d/1l6IZ8xUPgMrESzcTYwhA1k_tPjeQjJPTqlm8Gd9eU5g/edit?usp=sharing"",""มหาสารคาม!I388"")"),0)</f>
        <v>0</v>
      </c>
      <c r="AD39" s="78">
        <f ca="1">IFERROR(__xludf.DUMMYFUNCTION("IMPORTRANGE(""https://docs.google.com/spreadsheets/d/1l6IZ8xUPgMrESzcTYwhA1k_tPjeQjJPTqlm8Gd9eU5g/edit?usp=sharing"",""มหาสารคาม!J387"")"),0)</f>
        <v>0</v>
      </c>
      <c r="AE39" s="78">
        <f ca="1">IFERROR(__xludf.DUMMYFUNCTION("IMPORTRANGE(""https://docs.google.com/spreadsheets/d/1l6IZ8xUPgMrESzcTYwhA1k_tPjeQjJPTqlm8Gd9eU5g/edit?usp=sharing"",""มหาสารคาม!J388"")"),0)</f>
        <v>0</v>
      </c>
    </row>
    <row r="40" spans="1:31" ht="19.5" x14ac:dyDescent="0.3">
      <c r="A40" s="147">
        <v>9</v>
      </c>
      <c r="B40" s="148" t="s">
        <v>68</v>
      </c>
      <c r="C40" s="149">
        <f t="shared" ca="1" si="21"/>
        <v>0</v>
      </c>
      <c r="D40" s="150">
        <f t="shared" ca="1" si="40"/>
        <v>0</v>
      </c>
      <c r="E40" s="151">
        <f ca="1">IFERROR(__xludf.DUMMYFUNCTION("IMPORTRANGE(""https://docs.google.com/spreadsheets/d/1-uDff_7J0KD5mKrp0Vvzr7lt3OU09vwQwhkpOPPYv2Y/edit?usp=sharing"",""งบพรบ!IF40"")"),0)</f>
        <v>0</v>
      </c>
      <c r="F40" s="151">
        <f ca="1">IFERROR(__xludf.DUMMYFUNCTION("IMPORTRANGE(""https://docs.google.com/spreadsheets/d/1-uDff_7J0KD5mKrp0Vvzr7lt3OU09vwQwhkpOPPYv2Y/edit?usp=sharing"",""งบพรบ!IG40"")"),0)</f>
        <v>0</v>
      </c>
      <c r="G40" s="151">
        <f ca="1">IFERROR(__xludf.DUMMYFUNCTION("IMPORTRANGE(""https://docs.google.com/spreadsheets/d/1-uDff_7J0KD5mKrp0Vvzr7lt3OU09vwQwhkpOPPYv2Y/edit?usp=sharing"",""งบพรบ!IH40"")"),0)</f>
        <v>0</v>
      </c>
      <c r="H40" s="151">
        <f ca="1">IFERROR(__xludf.DUMMYFUNCTION("IMPORTRANGE(""https://docs.google.com/spreadsheets/d/1-uDff_7J0KD5mKrp0Vvzr7lt3OU09vwQwhkpOPPYv2Y/edit?usp=sharing"",""งบพรบ!IJ40"")"),0)</f>
        <v>0</v>
      </c>
      <c r="I40" s="151">
        <f ca="1">IFERROR(__xludf.DUMMYFUNCTION("IMPORTRANGE(""https://docs.google.com/spreadsheets/d/1-uDff_7J0KD5mKrp0Vvzr7lt3OU09vwQwhkpOPPYv2Y/edit?usp=sharing"",""งบพรบ!IK40"")"),0)</f>
        <v>0</v>
      </c>
      <c r="J40" s="151">
        <f t="shared" ca="1" si="23"/>
        <v>0</v>
      </c>
      <c r="K40" s="154">
        <f t="shared" ca="1" si="24"/>
        <v>0</v>
      </c>
      <c r="L40" s="151">
        <f ca="1">IFERROR(__xludf.DUMMYFUNCTION("IMPORTRANGE(""https://docs.google.com/spreadsheets/d/1-uDff_7J0KD5mKrp0Vvzr7lt3OU09vwQwhkpOPPYv2Y/edit?usp=sharing"",""งบพรบ!IL40"")"),0)</f>
        <v>0</v>
      </c>
      <c r="M40" s="68">
        <f t="shared" ca="1" si="25"/>
        <v>0</v>
      </c>
      <c r="N40" s="68">
        <f t="shared" ca="1" si="26"/>
        <v>0</v>
      </c>
      <c r="O40" s="151">
        <f ca="1">IFERROR(__xludf.DUMMYFUNCTION("IMPORTRANGE(""https://docs.google.com/spreadsheets/d/1-uDff_7J0KD5mKrp0Vvzr7lt3OU09vwQwhkpOPPYv2Y/edit?usp=sharing"",""งบพรบ!IM40"")"),0)</f>
        <v>0</v>
      </c>
      <c r="P40" s="67">
        <f t="shared" ca="1" si="27"/>
        <v>0</v>
      </c>
      <c r="Q40" s="68">
        <f t="shared" ca="1" si="28"/>
        <v>0</v>
      </c>
      <c r="R40" s="67">
        <f ca="1">IFERROR(__xludf.DUMMYFUNCTION("IMPORTRANGE(""https://docs.google.com/spreadsheets/d/1uB74YLqNjWX6FObjekfB2NtSYigTQyR2rq9u4Ub2Sq4/edit?usp=sharing"",""มุกดาหาร!Q375"")"),125000)</f>
        <v>125000</v>
      </c>
      <c r="S40" s="67">
        <f ca="1">IFERROR(__xludf.DUMMYFUNCTION("IMPORTRANGE(""https://docs.google.com/spreadsheets/d/1uB74YLqNjWX6FObjekfB2NtSYigTQyR2rq9u4Ub2Sq4/edit?usp=sharing"",""มุกดาหาร!R375"")"),125000)</f>
        <v>125000</v>
      </c>
      <c r="T40" s="67">
        <f ca="1">IFERROR(__xludf.DUMMYFUNCTION("IMPORTRANGE(""https://docs.google.com/spreadsheets/d/1uB74YLqNjWX6FObjekfB2NtSYigTQyR2rq9u4Ub2Sq4/edit?usp=sharing"",""มุกดาหาร!S375"")"),77624)</f>
        <v>77624</v>
      </c>
      <c r="U40" s="68">
        <f t="shared" ca="1" si="30"/>
        <v>62.099200000000003</v>
      </c>
      <c r="V40" s="68">
        <f t="shared" ca="1" si="31"/>
        <v>62.099200000000003</v>
      </c>
      <c r="W40" s="442">
        <f t="shared" ca="1" si="41"/>
        <v>2000</v>
      </c>
      <c r="X40" s="442">
        <f ca="1">IFERROR(__xludf.DUMMYFUNCTION("IMPORTRANGE(""https://docs.google.com/spreadsheets/d/1uB74YLqNjWX6FObjekfB2NtSYigTQyR2rq9u4Ub2Sq4/edit?usp=sharing"",""มุกดาหาร!J374"")"),601)</f>
        <v>601</v>
      </c>
      <c r="Y40" s="443">
        <f t="shared" ca="1" si="11"/>
        <v>30.05</v>
      </c>
      <c r="Z40" s="442">
        <f ca="1">IFERROR(__xludf.DUMMYFUNCTION("IMPORTRANGE(""https://docs.google.com/spreadsheets/d/1uB74YLqNjWX6FObjekfB2NtSYigTQyR2rq9u4Ub2Sq4/edit?usp=sharing"",""มุกดาหาร!I386"")"),2000)</f>
        <v>2000</v>
      </c>
      <c r="AA40" s="78">
        <f ca="1">IFERROR(__xludf.DUMMYFUNCTION("IMPORTRANGE(""https://docs.google.com/spreadsheets/d/1uB74YLqNjWX6FObjekfB2NtSYigTQyR2rq9u4Ub2Sq4/edit?usp=sharing"",""มุกดาหาร!J385"")"),45)</f>
        <v>45</v>
      </c>
      <c r="AB40" s="78">
        <f ca="1">IFERROR(__xludf.DUMMYFUNCTION("IMPORTRANGE(""https://docs.google.com/spreadsheets/d/1uB74YLqNjWX6FObjekfB2NtSYigTQyR2rq9u4Ub2Sq4/edit?usp=sharing"",""มุกดาหาร!J386"")"),601)</f>
        <v>601</v>
      </c>
      <c r="AC40" s="278">
        <f ca="1">IFERROR(__xludf.DUMMYFUNCTION("IMPORTRANGE(""https://docs.google.com/spreadsheets/d/1uB74YLqNjWX6FObjekfB2NtSYigTQyR2rq9u4Ub2Sq4/edit?usp=sharing"",""มุกดาหาร!I388"")"),0)</f>
        <v>0</v>
      </c>
      <c r="AD40" s="78">
        <f ca="1">IFERROR(__xludf.DUMMYFUNCTION("IMPORTRANGE(""https://docs.google.com/spreadsheets/d/1uB74YLqNjWX6FObjekfB2NtSYigTQyR2rq9u4Ub2Sq4/edit?usp=sharing"",""มุกดาหาร!J387"")"),0)</f>
        <v>0</v>
      </c>
      <c r="AE40" s="78">
        <f ca="1">IFERROR(__xludf.DUMMYFUNCTION("IMPORTRANGE(""https://docs.google.com/spreadsheets/d/1uB74YLqNjWX6FObjekfB2NtSYigTQyR2rq9u4Ub2Sq4/edit?usp=sharing"",""มุกดาหาร!J388"")"),0)</f>
        <v>0</v>
      </c>
    </row>
    <row r="41" spans="1:31" ht="19.5" x14ac:dyDescent="0.3">
      <c r="A41" s="147">
        <v>10</v>
      </c>
      <c r="B41" s="148" t="s">
        <v>69</v>
      </c>
      <c r="C41" s="149">
        <f t="shared" ca="1" si="21"/>
        <v>46000</v>
      </c>
      <c r="D41" s="150">
        <f t="shared" ca="1" si="40"/>
        <v>46000</v>
      </c>
      <c r="E41" s="151">
        <f ca="1">IFERROR(__xludf.DUMMYFUNCTION("IMPORTRANGE(""https://docs.google.com/spreadsheets/d/1-uDff_7J0KD5mKrp0Vvzr7lt3OU09vwQwhkpOPPYv2Y/edit?usp=sharing"",""งบพรบ!IF41"")"),46000)</f>
        <v>46000</v>
      </c>
      <c r="F41" s="151">
        <f ca="1">IFERROR(__xludf.DUMMYFUNCTION("IMPORTRANGE(""https://docs.google.com/spreadsheets/d/1-uDff_7J0KD5mKrp0Vvzr7lt3OU09vwQwhkpOPPYv2Y/edit?usp=sharing"",""งบพรบ!IG41"")"),0)</f>
        <v>0</v>
      </c>
      <c r="G41" s="151">
        <f ca="1">IFERROR(__xludf.DUMMYFUNCTION("IMPORTRANGE(""https://docs.google.com/spreadsheets/d/1-uDff_7J0KD5mKrp0Vvzr7lt3OU09vwQwhkpOPPYv2Y/edit?usp=sharing"",""งบพรบ!IH41"")"),0)</f>
        <v>0</v>
      </c>
      <c r="H41" s="151">
        <f ca="1">IFERROR(__xludf.DUMMYFUNCTION("IMPORTRANGE(""https://docs.google.com/spreadsheets/d/1-uDff_7J0KD5mKrp0Vvzr7lt3OU09vwQwhkpOPPYv2Y/edit?usp=sharing"",""งบพรบ!IJ41"")"),46000)</f>
        <v>46000</v>
      </c>
      <c r="I41" s="151">
        <f ca="1">IFERROR(__xludf.DUMMYFUNCTION("IMPORTRANGE(""https://docs.google.com/spreadsheets/d/1-uDff_7J0KD5mKrp0Vvzr7lt3OU09vwQwhkpOPPYv2Y/edit?usp=sharing"",""งบพรบ!IK41"")"),0)</f>
        <v>0</v>
      </c>
      <c r="J41" s="151">
        <f t="shared" ca="1" si="23"/>
        <v>10370</v>
      </c>
      <c r="K41" s="154">
        <f t="shared" ca="1" si="24"/>
        <v>22.543478260869566</v>
      </c>
      <c r="L41" s="151">
        <f ca="1">IFERROR(__xludf.DUMMYFUNCTION("IMPORTRANGE(""https://docs.google.com/spreadsheets/d/1-uDff_7J0KD5mKrp0Vvzr7lt3OU09vwQwhkpOPPYv2Y/edit?usp=sharing"",""งบพรบ!IL41"")"),10370)</f>
        <v>10370</v>
      </c>
      <c r="M41" s="68">
        <f t="shared" ca="1" si="25"/>
        <v>22.543478260869566</v>
      </c>
      <c r="N41" s="68">
        <f t="shared" ca="1" si="26"/>
        <v>22.543478260869566</v>
      </c>
      <c r="O41" s="151">
        <f ca="1">IFERROR(__xludf.DUMMYFUNCTION("IMPORTRANGE(""https://docs.google.com/spreadsheets/d/1-uDff_7J0KD5mKrp0Vvzr7lt3OU09vwQwhkpOPPYv2Y/edit?usp=sharing"",""งบพรบ!IM41"")"),0)</f>
        <v>0</v>
      </c>
      <c r="P41" s="67">
        <f t="shared" ca="1" si="27"/>
        <v>0</v>
      </c>
      <c r="Q41" s="68">
        <f t="shared" ca="1" si="28"/>
        <v>0</v>
      </c>
      <c r="R41" s="67">
        <f ca="1">IFERROR(__xludf.DUMMYFUNCTION("IMPORTRANGE(""https://docs.google.com/spreadsheets/d/1NexK3geCPxCTO1fzNF8dPec7yZyUx3OaWkFBC9HsQOo/edit?usp=sharing"",""ยโสธร!Q375"")"),93750)</f>
        <v>93750</v>
      </c>
      <c r="S41" s="67">
        <f ca="1">IFERROR(__xludf.DUMMYFUNCTION("IMPORTRANGE(""https://docs.google.com/spreadsheets/d/1NexK3geCPxCTO1fzNF8dPec7yZyUx3OaWkFBC9HsQOo/edit?usp=sharing"",""ยโสธร!R375"")"),93750)</f>
        <v>93750</v>
      </c>
      <c r="T41" s="67">
        <f ca="1">IFERROR(__xludf.DUMMYFUNCTION("IMPORTRANGE(""https://docs.google.com/spreadsheets/d/1NexK3geCPxCTO1fzNF8dPec7yZyUx3OaWkFBC9HsQOo/edit?usp=sharing"",""ยโสธร!S375"")"),77940)</f>
        <v>77940</v>
      </c>
      <c r="U41" s="68">
        <f t="shared" ca="1" si="30"/>
        <v>83.135999999999996</v>
      </c>
      <c r="V41" s="68">
        <f t="shared" ca="1" si="31"/>
        <v>83.135999999999996</v>
      </c>
      <c r="W41" s="442">
        <f t="shared" ca="1" si="41"/>
        <v>1500</v>
      </c>
      <c r="X41" s="442">
        <f ca="1">IFERROR(__xludf.DUMMYFUNCTION("IMPORTRANGE(""https://docs.google.com/spreadsheets/d/1NexK3geCPxCTO1fzNF8dPec7yZyUx3OaWkFBC9HsQOo/edit?usp=sharing"",""ยโสธร!J374"")"),948)</f>
        <v>948</v>
      </c>
      <c r="Y41" s="443">
        <f t="shared" ca="1" si="11"/>
        <v>63.2</v>
      </c>
      <c r="Z41" s="442">
        <f ca="1">IFERROR(__xludf.DUMMYFUNCTION("IMPORTRANGE(""https://docs.google.com/spreadsheets/d/1NexK3geCPxCTO1fzNF8dPec7yZyUx3OaWkFBC9HsQOo/edit?usp=sharing"",""ยโสธร!I386"")"),1500)</f>
        <v>1500</v>
      </c>
      <c r="AA41" s="78">
        <f ca="1">IFERROR(__xludf.DUMMYFUNCTION("IMPORTRANGE(""https://docs.google.com/spreadsheets/d/1NexK3geCPxCTO1fzNF8dPec7yZyUx3OaWkFBC9HsQOo/edit?usp=sharing"",""ยโสธร!J385"")"),84)</f>
        <v>84</v>
      </c>
      <c r="AB41" s="78">
        <f ca="1">IFERROR(__xludf.DUMMYFUNCTION("IMPORTRANGE(""https://docs.google.com/spreadsheets/d/1NexK3geCPxCTO1fzNF8dPec7yZyUx3OaWkFBC9HsQOo/edit?usp=sharing"",""ยโสธร!J386"")"),948)</f>
        <v>948</v>
      </c>
      <c r="AC41" s="278">
        <f ca="1">IFERROR(__xludf.DUMMYFUNCTION("IMPORTRANGE(""https://docs.google.com/spreadsheets/d/1NexK3geCPxCTO1fzNF8dPec7yZyUx3OaWkFBC9HsQOo/edit?usp=sharing"",""ยโสธร!I388"")"),0)</f>
        <v>0</v>
      </c>
      <c r="AD41" s="78">
        <f ca="1">IFERROR(__xludf.DUMMYFUNCTION("IMPORTRANGE(""https://docs.google.com/spreadsheets/d/1NexK3geCPxCTO1fzNF8dPec7yZyUx3OaWkFBC9HsQOo/edit?usp=sharing"",""ยโสธร!J387"")"),0)</f>
        <v>0</v>
      </c>
      <c r="AE41" s="78">
        <f ca="1">IFERROR(__xludf.DUMMYFUNCTION("IMPORTRANGE(""https://docs.google.com/spreadsheets/d/1NexK3geCPxCTO1fzNF8dPec7yZyUx3OaWkFBC9HsQOo/edit?usp=sharing"",""ยโสธร!J388"")"),0)</f>
        <v>0</v>
      </c>
    </row>
    <row r="42" spans="1:31" ht="19.5" x14ac:dyDescent="0.3">
      <c r="A42" s="147">
        <v>11</v>
      </c>
      <c r="B42" s="148" t="s">
        <v>70</v>
      </c>
      <c r="C42" s="149">
        <f t="shared" ca="1" si="21"/>
        <v>0</v>
      </c>
      <c r="D42" s="150">
        <f t="shared" ca="1" si="40"/>
        <v>0</v>
      </c>
      <c r="E42" s="151">
        <f ca="1">IFERROR(__xludf.DUMMYFUNCTION("IMPORTRANGE(""https://docs.google.com/spreadsheets/d/1-uDff_7J0KD5mKrp0Vvzr7lt3OU09vwQwhkpOPPYv2Y/edit?usp=sharing"",""งบพรบ!IF42"")"),0)</f>
        <v>0</v>
      </c>
      <c r="F42" s="151">
        <f ca="1">IFERROR(__xludf.DUMMYFUNCTION("IMPORTRANGE(""https://docs.google.com/spreadsheets/d/1-uDff_7J0KD5mKrp0Vvzr7lt3OU09vwQwhkpOPPYv2Y/edit?usp=sharing"",""งบพรบ!IG42"")"),0)</f>
        <v>0</v>
      </c>
      <c r="G42" s="151">
        <f ca="1">IFERROR(__xludf.DUMMYFUNCTION("IMPORTRANGE(""https://docs.google.com/spreadsheets/d/1-uDff_7J0KD5mKrp0Vvzr7lt3OU09vwQwhkpOPPYv2Y/edit?usp=sharing"",""งบพรบ!IH42"")"),0)</f>
        <v>0</v>
      </c>
      <c r="H42" s="151">
        <f ca="1">IFERROR(__xludf.DUMMYFUNCTION("IMPORTRANGE(""https://docs.google.com/spreadsheets/d/1-uDff_7J0KD5mKrp0Vvzr7lt3OU09vwQwhkpOPPYv2Y/edit?usp=sharing"",""งบพรบ!IJ42"")"),0)</f>
        <v>0</v>
      </c>
      <c r="I42" s="151">
        <f ca="1">IFERROR(__xludf.DUMMYFUNCTION("IMPORTRANGE(""https://docs.google.com/spreadsheets/d/1-uDff_7J0KD5mKrp0Vvzr7lt3OU09vwQwhkpOPPYv2Y/edit?usp=sharing"",""งบพรบ!IK42"")"),0)</f>
        <v>0</v>
      </c>
      <c r="J42" s="151">
        <f t="shared" ca="1" si="23"/>
        <v>0</v>
      </c>
      <c r="K42" s="154">
        <f t="shared" ca="1" si="24"/>
        <v>0</v>
      </c>
      <c r="L42" s="151">
        <f ca="1">IFERROR(__xludf.DUMMYFUNCTION("IMPORTRANGE(""https://docs.google.com/spreadsheets/d/1-uDff_7J0KD5mKrp0Vvzr7lt3OU09vwQwhkpOPPYv2Y/edit?usp=sharing"",""งบพรบ!IL42"")"),0)</f>
        <v>0</v>
      </c>
      <c r="M42" s="68">
        <f t="shared" ca="1" si="25"/>
        <v>0</v>
      </c>
      <c r="N42" s="68">
        <f t="shared" ca="1" si="26"/>
        <v>0</v>
      </c>
      <c r="O42" s="151">
        <f ca="1">IFERROR(__xludf.DUMMYFUNCTION("IMPORTRANGE(""https://docs.google.com/spreadsheets/d/1-uDff_7J0KD5mKrp0Vvzr7lt3OU09vwQwhkpOPPYv2Y/edit?usp=sharing"",""งบพรบ!IM42"")"),0)</f>
        <v>0</v>
      </c>
      <c r="P42" s="67">
        <f t="shared" ca="1" si="27"/>
        <v>0</v>
      </c>
      <c r="Q42" s="68">
        <f t="shared" ca="1" si="28"/>
        <v>0</v>
      </c>
      <c r="R42" s="67">
        <f ca="1">IFERROR(__xludf.DUMMYFUNCTION("IMPORTRANGE(""https://docs.google.com/spreadsheets/d/1v_cJrbBlyqmnHPReHk44g9NrMRdENNlSy_E_c5M9fIg/edit?usp=sharing"",""ร้อยเอ็ด!Q375"")"),343750)</f>
        <v>343750</v>
      </c>
      <c r="S42" s="67">
        <f ca="1">IFERROR(__xludf.DUMMYFUNCTION("IMPORTRANGE(""https://docs.google.com/spreadsheets/d/1v_cJrbBlyqmnHPReHk44g9NrMRdENNlSy_E_c5M9fIg/edit?usp=sharing"",""ร้อยเอ็ด!R375"")"),343750)</f>
        <v>343750</v>
      </c>
      <c r="T42" s="67">
        <f ca="1">IFERROR(__xludf.DUMMYFUNCTION("IMPORTRANGE(""https://docs.google.com/spreadsheets/d/1v_cJrbBlyqmnHPReHk44g9NrMRdENNlSy_E_c5M9fIg/edit?usp=sharing"",""ร้อยเอ็ด!S375"")"),187691.6)</f>
        <v>187691.6</v>
      </c>
      <c r="U42" s="68">
        <f t="shared" ca="1" si="30"/>
        <v>54.601192727272725</v>
      </c>
      <c r="V42" s="68">
        <f t="shared" ca="1" si="31"/>
        <v>54.601192727272725</v>
      </c>
      <c r="W42" s="439">
        <f t="shared" ca="1" si="41"/>
        <v>5500</v>
      </c>
      <c r="X42" s="439">
        <f ca="1">IFERROR(__xludf.DUMMYFUNCTION("IMPORTRANGE(""https://docs.google.com/spreadsheets/d/1v_cJrbBlyqmnHPReHk44g9NrMRdENNlSy_E_c5M9fIg/edit?usp=sharing"",""ร้อยเอ็ด!J374"")"),343)</f>
        <v>343</v>
      </c>
      <c r="Y42" s="440">
        <f t="shared" ca="1" si="11"/>
        <v>6.2363636363636363</v>
      </c>
      <c r="Z42" s="439">
        <f ca="1">IFERROR(__xludf.DUMMYFUNCTION("IMPORTRANGE(""https://docs.google.com/spreadsheets/d/1v_cJrbBlyqmnHPReHk44g9NrMRdENNlSy_E_c5M9fIg/edit?usp=sharing"",""ร้อยเอ็ด!I386"")"),5500)</f>
        <v>5500</v>
      </c>
      <c r="AA42" s="74">
        <f ca="1">IFERROR(__xludf.DUMMYFUNCTION("IMPORTRANGE(""https://docs.google.com/spreadsheets/d/1v_cJrbBlyqmnHPReHk44g9NrMRdENNlSy_E_c5M9fIg/edit?usp=sharing"",""ร้อยเอ็ด!J385"")"),45)</f>
        <v>45</v>
      </c>
      <c r="AB42" s="74">
        <f ca="1">IFERROR(__xludf.DUMMYFUNCTION("IMPORTRANGE(""https://docs.google.com/spreadsheets/d/1v_cJrbBlyqmnHPReHk44g9NrMRdENNlSy_E_c5M9fIg/edit?usp=sharing"",""ร้อยเอ็ด!J386"")"),343)</f>
        <v>343</v>
      </c>
      <c r="AC42" s="441">
        <f ca="1">IFERROR(__xludf.DUMMYFUNCTION("IMPORTRANGE(""https://docs.google.com/spreadsheets/d/1v_cJrbBlyqmnHPReHk44g9NrMRdENNlSy_E_c5M9fIg/edit?usp=sharing"",""ร้อยเอ็ด!I388"")"),0)</f>
        <v>0</v>
      </c>
      <c r="AD42" s="74">
        <f ca="1">IFERROR(__xludf.DUMMYFUNCTION("IMPORTRANGE(""https://docs.google.com/spreadsheets/d/1v_cJrbBlyqmnHPReHk44g9NrMRdENNlSy_E_c5M9fIg/edit?usp=sharing"",""ร้อยเอ็ด!J387"")"),0)</f>
        <v>0</v>
      </c>
      <c r="AE42" s="74">
        <f ca="1">IFERROR(__xludf.DUMMYFUNCTION("IMPORTRANGE(""https://docs.google.com/spreadsheets/d/1v_cJrbBlyqmnHPReHk44g9NrMRdENNlSy_E_c5M9fIg/edit?usp=sharing"",""ร้อยเอ็ด!J388"")"),0)</f>
        <v>0</v>
      </c>
    </row>
    <row r="43" spans="1:31" ht="19.5" x14ac:dyDescent="0.3">
      <c r="A43" s="147">
        <v>12</v>
      </c>
      <c r="B43" s="148" t="s">
        <v>71</v>
      </c>
      <c r="C43" s="149">
        <f t="shared" ca="1" si="21"/>
        <v>0</v>
      </c>
      <c r="D43" s="150">
        <f t="shared" ca="1" si="40"/>
        <v>0</v>
      </c>
      <c r="E43" s="151">
        <f ca="1">IFERROR(__xludf.DUMMYFUNCTION("IMPORTRANGE(""https://docs.google.com/spreadsheets/d/1-uDff_7J0KD5mKrp0Vvzr7lt3OU09vwQwhkpOPPYv2Y/edit?usp=sharing"",""งบพรบ!IF43"")"),0)</f>
        <v>0</v>
      </c>
      <c r="F43" s="151">
        <f ca="1">IFERROR(__xludf.DUMMYFUNCTION("IMPORTRANGE(""https://docs.google.com/spreadsheets/d/1-uDff_7J0KD5mKrp0Vvzr7lt3OU09vwQwhkpOPPYv2Y/edit?usp=sharing"",""งบพรบ!IG43"")"),0)</f>
        <v>0</v>
      </c>
      <c r="G43" s="151">
        <f ca="1">IFERROR(__xludf.DUMMYFUNCTION("IMPORTRANGE(""https://docs.google.com/spreadsheets/d/1-uDff_7J0KD5mKrp0Vvzr7lt3OU09vwQwhkpOPPYv2Y/edit?usp=sharing"",""งบพรบ!IH43"")"),0)</f>
        <v>0</v>
      </c>
      <c r="H43" s="151">
        <f ca="1">IFERROR(__xludf.DUMMYFUNCTION("IMPORTRANGE(""https://docs.google.com/spreadsheets/d/1-uDff_7J0KD5mKrp0Vvzr7lt3OU09vwQwhkpOPPYv2Y/edit?usp=sharing"",""งบพรบ!IJ43"")"),0)</f>
        <v>0</v>
      </c>
      <c r="I43" s="151">
        <f ca="1">IFERROR(__xludf.DUMMYFUNCTION("IMPORTRANGE(""https://docs.google.com/spreadsheets/d/1-uDff_7J0KD5mKrp0Vvzr7lt3OU09vwQwhkpOPPYv2Y/edit?usp=sharing"",""งบพรบ!IK43"")"),0)</f>
        <v>0</v>
      </c>
      <c r="J43" s="151">
        <f t="shared" ca="1" si="23"/>
        <v>0</v>
      </c>
      <c r="K43" s="154">
        <f t="shared" ca="1" si="24"/>
        <v>0</v>
      </c>
      <c r="L43" s="151">
        <f ca="1">IFERROR(__xludf.DUMMYFUNCTION("IMPORTRANGE(""https://docs.google.com/spreadsheets/d/1-uDff_7J0KD5mKrp0Vvzr7lt3OU09vwQwhkpOPPYv2Y/edit?usp=sharing"",""งบพรบ!IL43"")"),0)</f>
        <v>0</v>
      </c>
      <c r="M43" s="68">
        <f t="shared" ca="1" si="25"/>
        <v>0</v>
      </c>
      <c r="N43" s="68">
        <f t="shared" ca="1" si="26"/>
        <v>0</v>
      </c>
      <c r="O43" s="151">
        <f ca="1">IFERROR(__xludf.DUMMYFUNCTION("IMPORTRANGE(""https://docs.google.com/spreadsheets/d/1-uDff_7J0KD5mKrp0Vvzr7lt3OU09vwQwhkpOPPYv2Y/edit?usp=sharing"",""งบพรบ!IM43"")"),0)</f>
        <v>0</v>
      </c>
      <c r="P43" s="67">
        <f t="shared" ca="1" si="27"/>
        <v>0</v>
      </c>
      <c r="Q43" s="68">
        <f t="shared" ca="1" si="28"/>
        <v>0</v>
      </c>
      <c r="R43" s="67">
        <f ca="1">IFERROR(__xludf.DUMMYFUNCTION("IMPORTRANGE(""https://docs.google.com/spreadsheets/d/1Ul4RCpCX66NxYADU1QpwAPjOmBzW64SsT11s1wzXw_c/edit?usp=sharing"",""เลย!Q375"")"),312500)</f>
        <v>312500</v>
      </c>
      <c r="S43" s="67">
        <f ca="1">IFERROR(__xludf.DUMMYFUNCTION("IMPORTRANGE(""https://docs.google.com/spreadsheets/d/1Ul4RCpCX66NxYADU1QpwAPjOmBzW64SsT11s1wzXw_c/edit?usp=sharing"",""เลย!R375"")"),312500)</f>
        <v>312500</v>
      </c>
      <c r="T43" s="67">
        <f ca="1">IFERROR(__xludf.DUMMYFUNCTION("IMPORTRANGE(""https://docs.google.com/spreadsheets/d/1Ul4RCpCX66NxYADU1QpwAPjOmBzW64SsT11s1wzXw_c/edit?usp=sharing"",""เลย!S375"")"),232008)</f>
        <v>232008</v>
      </c>
      <c r="U43" s="68">
        <f t="shared" ca="1" si="30"/>
        <v>74.242559999999997</v>
      </c>
      <c r="V43" s="68">
        <f t="shared" ca="1" si="31"/>
        <v>74.242559999999997</v>
      </c>
      <c r="W43" s="439">
        <f t="shared" ca="1" si="41"/>
        <v>5000</v>
      </c>
      <c r="X43" s="439">
        <f ca="1">IFERROR(__xludf.DUMMYFUNCTION("IMPORTRANGE(""https://docs.google.com/spreadsheets/d/1Ul4RCpCX66NxYADU1QpwAPjOmBzW64SsT11s1wzXw_c/edit?usp=sharing"",""เลย!J374"")"),2215)</f>
        <v>2215</v>
      </c>
      <c r="Y43" s="440">
        <f t="shared" ca="1" si="11"/>
        <v>44.3</v>
      </c>
      <c r="Z43" s="439">
        <f ca="1">IFERROR(__xludf.DUMMYFUNCTION("IMPORTRANGE(""https://docs.google.com/spreadsheets/d/1Ul4RCpCX66NxYADU1QpwAPjOmBzW64SsT11s1wzXw_c/edit?usp=sharing"",""เลย!I386"")"),5000)</f>
        <v>5000</v>
      </c>
      <c r="AA43" s="74">
        <f ca="1">IFERROR(__xludf.DUMMYFUNCTION("IMPORTRANGE(""https://docs.google.com/spreadsheets/d/1Ul4RCpCX66NxYADU1QpwAPjOmBzW64SsT11s1wzXw_c/edit?usp=sharing"",""เลย!J385"")"),131)</f>
        <v>131</v>
      </c>
      <c r="AB43" s="74">
        <f ca="1">IFERROR(__xludf.DUMMYFUNCTION("IMPORTRANGE(""https://docs.google.com/spreadsheets/d/1Ul4RCpCX66NxYADU1QpwAPjOmBzW64SsT11s1wzXw_c/edit?usp=sharing"",""เลย!J386"")"),2215)</f>
        <v>2215</v>
      </c>
      <c r="AC43" s="441">
        <f ca="1">IFERROR(__xludf.DUMMYFUNCTION("IMPORTRANGE(""https://docs.google.com/spreadsheets/d/1Ul4RCpCX66NxYADU1QpwAPjOmBzW64SsT11s1wzXw_c/edit?usp=sharing"",""เลย!I388"")"),0)</f>
        <v>0</v>
      </c>
      <c r="AD43" s="74">
        <f ca="1">IFERROR(__xludf.DUMMYFUNCTION("IMPORTRANGE(""https://docs.google.com/spreadsheets/d/1Ul4RCpCX66NxYADU1QpwAPjOmBzW64SsT11s1wzXw_c/edit?usp=sharing"",""เลย!J387"")"),0)</f>
        <v>0</v>
      </c>
      <c r="AE43" s="74">
        <f ca="1">IFERROR(__xludf.DUMMYFUNCTION("IMPORTRANGE(""https://docs.google.com/spreadsheets/d/1Ul4RCpCX66NxYADU1QpwAPjOmBzW64SsT11s1wzXw_c/edit?usp=sharing"",""เลย!J388"")"),0)</f>
        <v>0</v>
      </c>
    </row>
    <row r="44" spans="1:31" ht="19.5" x14ac:dyDescent="0.3">
      <c r="A44" s="147">
        <v>13</v>
      </c>
      <c r="B44" s="148" t="s">
        <v>72</v>
      </c>
      <c r="C44" s="149">
        <f t="shared" ca="1" si="21"/>
        <v>0</v>
      </c>
      <c r="D44" s="150">
        <f t="shared" ca="1" si="40"/>
        <v>0</v>
      </c>
      <c r="E44" s="151">
        <f ca="1">IFERROR(__xludf.DUMMYFUNCTION("IMPORTRANGE(""https://docs.google.com/spreadsheets/d/1-uDff_7J0KD5mKrp0Vvzr7lt3OU09vwQwhkpOPPYv2Y/edit?usp=sharing"",""งบพรบ!IF44"")"),0)</f>
        <v>0</v>
      </c>
      <c r="F44" s="151">
        <f ca="1">IFERROR(__xludf.DUMMYFUNCTION("IMPORTRANGE(""https://docs.google.com/spreadsheets/d/1-uDff_7J0KD5mKrp0Vvzr7lt3OU09vwQwhkpOPPYv2Y/edit?usp=sharing"",""งบพรบ!IG44"")"),0)</f>
        <v>0</v>
      </c>
      <c r="G44" s="151">
        <f ca="1">IFERROR(__xludf.DUMMYFUNCTION("IMPORTRANGE(""https://docs.google.com/spreadsheets/d/1-uDff_7J0KD5mKrp0Vvzr7lt3OU09vwQwhkpOPPYv2Y/edit?usp=sharing"",""งบพรบ!IH44"")"),0)</f>
        <v>0</v>
      </c>
      <c r="H44" s="151">
        <f ca="1">IFERROR(__xludf.DUMMYFUNCTION("IMPORTRANGE(""https://docs.google.com/spreadsheets/d/1-uDff_7J0KD5mKrp0Vvzr7lt3OU09vwQwhkpOPPYv2Y/edit?usp=sharing"",""งบพรบ!IJ44"")"),0)</f>
        <v>0</v>
      </c>
      <c r="I44" s="151">
        <f ca="1">IFERROR(__xludf.DUMMYFUNCTION("IMPORTRANGE(""https://docs.google.com/spreadsheets/d/1-uDff_7J0KD5mKrp0Vvzr7lt3OU09vwQwhkpOPPYv2Y/edit?usp=sharing"",""งบพรบ!IK44"")"),0)</f>
        <v>0</v>
      </c>
      <c r="J44" s="151">
        <f t="shared" ca="1" si="23"/>
        <v>0</v>
      </c>
      <c r="K44" s="154">
        <f t="shared" ca="1" si="24"/>
        <v>0</v>
      </c>
      <c r="L44" s="151">
        <f ca="1">IFERROR(__xludf.DUMMYFUNCTION("IMPORTRANGE(""https://docs.google.com/spreadsheets/d/1-uDff_7J0KD5mKrp0Vvzr7lt3OU09vwQwhkpOPPYv2Y/edit?usp=sharing"",""งบพรบ!IL44"")"),0)</f>
        <v>0</v>
      </c>
      <c r="M44" s="68">
        <f t="shared" ca="1" si="25"/>
        <v>0</v>
      </c>
      <c r="N44" s="68">
        <f t="shared" ca="1" si="26"/>
        <v>0</v>
      </c>
      <c r="O44" s="151">
        <f ca="1">IFERROR(__xludf.DUMMYFUNCTION("IMPORTRANGE(""https://docs.google.com/spreadsheets/d/1-uDff_7J0KD5mKrp0Vvzr7lt3OU09vwQwhkpOPPYv2Y/edit?usp=sharing"",""งบพรบ!IM44"")"),0)</f>
        <v>0</v>
      </c>
      <c r="P44" s="67">
        <f t="shared" ca="1" si="27"/>
        <v>0</v>
      </c>
      <c r="Q44" s="68">
        <f t="shared" ca="1" si="28"/>
        <v>0</v>
      </c>
      <c r="R44" s="67">
        <f ca="1">IFERROR(__xludf.DUMMYFUNCTION("IMPORTRANGE(""https://docs.google.com/spreadsheets/d/1bRrNKwbHDVktQG10isr5vbWRtt5spIZPpkOSWgbT5ug/edit?usp=sharing"",""ศรีสะเกษ!Q375"")"),93750)</f>
        <v>93750</v>
      </c>
      <c r="S44" s="67">
        <f ca="1">IFERROR(__xludf.DUMMYFUNCTION("IMPORTRANGE(""https://docs.google.com/spreadsheets/d/1bRrNKwbHDVktQG10isr5vbWRtt5spIZPpkOSWgbT5ug/edit?usp=sharing"",""ศรีสะเกษ!R375"")"),93750)</f>
        <v>93750</v>
      </c>
      <c r="T44" s="67">
        <f ca="1">IFERROR(__xludf.DUMMYFUNCTION("IMPORTRANGE(""https://docs.google.com/spreadsheets/d/1bRrNKwbHDVktQG10isr5vbWRtt5spIZPpkOSWgbT5ug/edit?usp=sharing"",""ศรีสะเกษ!S375"")"),55475)</f>
        <v>55475</v>
      </c>
      <c r="U44" s="68">
        <f t="shared" ca="1" si="30"/>
        <v>59.173333333333332</v>
      </c>
      <c r="V44" s="68">
        <f t="shared" ca="1" si="31"/>
        <v>59.173333333333332</v>
      </c>
      <c r="W44" s="439">
        <f t="shared" ca="1" si="41"/>
        <v>1500</v>
      </c>
      <c r="X44" s="439">
        <f ca="1">IFERROR(__xludf.DUMMYFUNCTION("IMPORTRANGE(""https://docs.google.com/spreadsheets/d/1bRrNKwbHDVktQG10isr5vbWRtt5spIZPpkOSWgbT5ug/edit?usp=sharing"",""ศรีสะเกษ!J374"")"),0)</f>
        <v>0</v>
      </c>
      <c r="Y44" s="440">
        <f t="shared" ca="1" si="11"/>
        <v>0</v>
      </c>
      <c r="Z44" s="439">
        <f ca="1">IFERROR(__xludf.DUMMYFUNCTION("IMPORTRANGE(""https://docs.google.com/spreadsheets/d/1bRrNKwbHDVktQG10isr5vbWRtt5spIZPpkOSWgbT5ug/edit?usp=sharing"",""ศรีสะเกษ!I386"")"),1500)</f>
        <v>1500</v>
      </c>
      <c r="AA44" s="74">
        <f ca="1">IFERROR(__xludf.DUMMYFUNCTION("IMPORTRANGE(""https://docs.google.com/spreadsheets/d/1bRrNKwbHDVktQG10isr5vbWRtt5spIZPpkOSWgbT5ug/edit?usp=sharing"",""ศรีสะเกษ!J385"")"),0)</f>
        <v>0</v>
      </c>
      <c r="AB44" s="74">
        <f ca="1">IFERROR(__xludf.DUMMYFUNCTION("IMPORTRANGE(""https://docs.google.com/spreadsheets/d/1bRrNKwbHDVktQG10isr5vbWRtt5spIZPpkOSWgbT5ug/edit?usp=sharing"",""ศรีสะเกษ!J386"")"),0)</f>
        <v>0</v>
      </c>
      <c r="AC44" s="441">
        <f ca="1">IFERROR(__xludf.DUMMYFUNCTION("IMPORTRANGE(""https://docs.google.com/spreadsheets/d/1bRrNKwbHDVktQG10isr5vbWRtt5spIZPpkOSWgbT5ug/edit?usp=sharing"",""ศรีสะเกษ!I388"")"),0)</f>
        <v>0</v>
      </c>
      <c r="AD44" s="74">
        <f ca="1">IFERROR(__xludf.DUMMYFUNCTION("IMPORTRANGE(""https://docs.google.com/spreadsheets/d/1bRrNKwbHDVktQG10isr5vbWRtt5spIZPpkOSWgbT5ug/edit?usp=sharing"",""ศรีสะเกษ!J387"")"),0)</f>
        <v>0</v>
      </c>
      <c r="AE44" s="74">
        <f ca="1">IFERROR(__xludf.DUMMYFUNCTION("IMPORTRANGE(""https://docs.google.com/spreadsheets/d/1bRrNKwbHDVktQG10isr5vbWRtt5spIZPpkOSWgbT5ug/edit?usp=sharing"",""ศรีสะเกษ!J388"")"),0)</f>
        <v>0</v>
      </c>
    </row>
    <row r="45" spans="1:31" ht="19.5" x14ac:dyDescent="0.3">
      <c r="A45" s="147">
        <v>14</v>
      </c>
      <c r="B45" s="148" t="s">
        <v>73</v>
      </c>
      <c r="C45" s="149">
        <f t="shared" ca="1" si="21"/>
        <v>0</v>
      </c>
      <c r="D45" s="150">
        <f t="shared" ca="1" si="40"/>
        <v>0</v>
      </c>
      <c r="E45" s="151">
        <f ca="1">IFERROR(__xludf.DUMMYFUNCTION("IMPORTRANGE(""https://docs.google.com/spreadsheets/d/1-uDff_7J0KD5mKrp0Vvzr7lt3OU09vwQwhkpOPPYv2Y/edit?usp=sharing"",""งบพรบ!IF45"")"),0)</f>
        <v>0</v>
      </c>
      <c r="F45" s="151">
        <f ca="1">IFERROR(__xludf.DUMMYFUNCTION("IMPORTRANGE(""https://docs.google.com/spreadsheets/d/1-uDff_7J0KD5mKrp0Vvzr7lt3OU09vwQwhkpOPPYv2Y/edit?usp=sharing"",""งบพรบ!IG45"")"),0)</f>
        <v>0</v>
      </c>
      <c r="G45" s="151">
        <f ca="1">IFERROR(__xludf.DUMMYFUNCTION("IMPORTRANGE(""https://docs.google.com/spreadsheets/d/1-uDff_7J0KD5mKrp0Vvzr7lt3OU09vwQwhkpOPPYv2Y/edit?usp=sharing"",""งบพรบ!IH45"")"),0)</f>
        <v>0</v>
      </c>
      <c r="H45" s="151">
        <f ca="1">IFERROR(__xludf.DUMMYFUNCTION("IMPORTRANGE(""https://docs.google.com/spreadsheets/d/1-uDff_7J0KD5mKrp0Vvzr7lt3OU09vwQwhkpOPPYv2Y/edit?usp=sharing"",""งบพรบ!IJ45"")"),0)</f>
        <v>0</v>
      </c>
      <c r="I45" s="151">
        <f ca="1">IFERROR(__xludf.DUMMYFUNCTION("IMPORTRANGE(""https://docs.google.com/spreadsheets/d/1-uDff_7J0KD5mKrp0Vvzr7lt3OU09vwQwhkpOPPYv2Y/edit?usp=sharing"",""งบพรบ!IK45"")"),0)</f>
        <v>0</v>
      </c>
      <c r="J45" s="151">
        <f t="shared" ca="1" si="23"/>
        <v>0</v>
      </c>
      <c r="K45" s="154">
        <f t="shared" ca="1" si="24"/>
        <v>0</v>
      </c>
      <c r="L45" s="151">
        <f ca="1">IFERROR(__xludf.DUMMYFUNCTION("IMPORTRANGE(""https://docs.google.com/spreadsheets/d/1-uDff_7J0KD5mKrp0Vvzr7lt3OU09vwQwhkpOPPYv2Y/edit?usp=sharing"",""งบพรบ!IL45"")"),0)</f>
        <v>0</v>
      </c>
      <c r="M45" s="68">
        <f t="shared" ca="1" si="25"/>
        <v>0</v>
      </c>
      <c r="N45" s="68">
        <f t="shared" ca="1" si="26"/>
        <v>0</v>
      </c>
      <c r="O45" s="151">
        <f ca="1">IFERROR(__xludf.DUMMYFUNCTION("IMPORTRANGE(""https://docs.google.com/spreadsheets/d/1-uDff_7J0KD5mKrp0Vvzr7lt3OU09vwQwhkpOPPYv2Y/edit?usp=sharing"",""งบพรบ!IM45"")"),0)</f>
        <v>0</v>
      </c>
      <c r="P45" s="67">
        <f t="shared" ca="1" si="27"/>
        <v>0</v>
      </c>
      <c r="Q45" s="68">
        <f t="shared" ca="1" si="28"/>
        <v>0</v>
      </c>
      <c r="R45" s="67">
        <f ca="1">IFERROR(__xludf.DUMMYFUNCTION("IMPORTRANGE(""https://docs.google.com/spreadsheets/d/17P34_Ow5kFBfdQD0qspb2UuPX5zpi6WMrQzslghyvrI/edit?usp=sharing"",""สกลนคร!Q375"")"),487500)</f>
        <v>487500</v>
      </c>
      <c r="S45" s="67">
        <f ca="1">IFERROR(__xludf.DUMMYFUNCTION("IMPORTRANGE(""https://docs.google.com/spreadsheets/d/17P34_Ow5kFBfdQD0qspb2UuPX5zpi6WMrQzslghyvrI/edit?usp=sharing"",""สกลนคร!R375"")"),175000)</f>
        <v>175000</v>
      </c>
      <c r="T45" s="67">
        <f ca="1">IFERROR(__xludf.DUMMYFUNCTION("IMPORTRANGE(""https://docs.google.com/spreadsheets/d/17P34_Ow5kFBfdQD0qspb2UuPX5zpi6WMrQzslghyvrI/edit?usp=sharing"",""สกลนคร!S375"")"),128319.87)</f>
        <v>128319.87</v>
      </c>
      <c r="U45" s="68">
        <f t="shared" ca="1" si="30"/>
        <v>26.322024615384617</v>
      </c>
      <c r="V45" s="68">
        <f t="shared" ca="1" si="31"/>
        <v>73.325640000000007</v>
      </c>
      <c r="W45" s="439">
        <f t="shared" ca="1" si="41"/>
        <v>7800</v>
      </c>
      <c r="X45" s="439">
        <f ca="1">IFERROR(__xludf.DUMMYFUNCTION("IMPORTRANGE(""https://docs.google.com/spreadsheets/d/17P34_Ow5kFBfdQD0qspb2UuPX5zpi6WMrQzslghyvrI/edit?usp=sharing"",""สกลนคร!J374"")"),1188)</f>
        <v>1188</v>
      </c>
      <c r="Y45" s="440">
        <f t="shared" ca="1" si="11"/>
        <v>15.23076923076923</v>
      </c>
      <c r="Z45" s="439">
        <f ca="1">IFERROR(__xludf.DUMMYFUNCTION("IMPORTRANGE(""https://docs.google.com/spreadsheets/d/17P34_Ow5kFBfdQD0qspb2UuPX5zpi6WMrQzslghyvrI/edit?usp=sharing"",""สกลนคร!I386"")"),7800)</f>
        <v>7800</v>
      </c>
      <c r="AA45" s="74">
        <f ca="1">IFERROR(__xludf.DUMMYFUNCTION("IMPORTRANGE(""https://docs.google.com/spreadsheets/d/17P34_Ow5kFBfdQD0qspb2UuPX5zpi6WMrQzslghyvrI/edit?usp=sharing"",""สกลนคร!J385"")"),119)</f>
        <v>119</v>
      </c>
      <c r="AB45" s="74">
        <f ca="1">IFERROR(__xludf.DUMMYFUNCTION("IMPORTRANGE(""https://docs.google.com/spreadsheets/d/17P34_Ow5kFBfdQD0qspb2UuPX5zpi6WMrQzslghyvrI/edit?usp=sharing"",""สกลนคร!J386"")"),1188)</f>
        <v>1188</v>
      </c>
      <c r="AC45" s="441">
        <f ca="1">IFERROR(__xludf.DUMMYFUNCTION("IMPORTRANGE(""https://docs.google.com/spreadsheets/d/17P34_Ow5kFBfdQD0qspb2UuPX5zpi6WMrQzslghyvrI/edit?usp=sharing"",""สกลนคร!I388"")"),0)</f>
        <v>0</v>
      </c>
      <c r="AD45" s="74">
        <f ca="1">IFERROR(__xludf.DUMMYFUNCTION("IMPORTRANGE(""https://docs.google.com/spreadsheets/d/17P34_Ow5kFBfdQD0qspb2UuPX5zpi6WMrQzslghyvrI/edit?usp=sharing"",""สกลนคร!J387"")"),0)</f>
        <v>0</v>
      </c>
      <c r="AE45" s="74">
        <f ca="1">IFERROR(__xludf.DUMMYFUNCTION("IMPORTRANGE(""https://docs.google.com/spreadsheets/d/17P34_Ow5kFBfdQD0qspb2UuPX5zpi6WMrQzslghyvrI/edit?usp=sharing"",""สกลนคร!J388"")"),0)</f>
        <v>0</v>
      </c>
    </row>
    <row r="46" spans="1:31" ht="19.5" x14ac:dyDescent="0.3">
      <c r="A46" s="147">
        <v>15</v>
      </c>
      <c r="B46" s="148" t="s">
        <v>74</v>
      </c>
      <c r="C46" s="149">
        <f t="shared" ca="1" si="21"/>
        <v>0</v>
      </c>
      <c r="D46" s="150">
        <f t="shared" ca="1" si="40"/>
        <v>0</v>
      </c>
      <c r="E46" s="151">
        <f ca="1">IFERROR(__xludf.DUMMYFUNCTION("IMPORTRANGE(""https://docs.google.com/spreadsheets/d/1-uDff_7J0KD5mKrp0Vvzr7lt3OU09vwQwhkpOPPYv2Y/edit?usp=sharing"",""งบพรบ!IF46"")"),0)</f>
        <v>0</v>
      </c>
      <c r="F46" s="151">
        <f ca="1">IFERROR(__xludf.DUMMYFUNCTION("IMPORTRANGE(""https://docs.google.com/spreadsheets/d/1-uDff_7J0KD5mKrp0Vvzr7lt3OU09vwQwhkpOPPYv2Y/edit?usp=sharing"",""งบพรบ!IG46"")"),0)</f>
        <v>0</v>
      </c>
      <c r="G46" s="151">
        <f ca="1">IFERROR(__xludf.DUMMYFUNCTION("IMPORTRANGE(""https://docs.google.com/spreadsheets/d/1-uDff_7J0KD5mKrp0Vvzr7lt3OU09vwQwhkpOPPYv2Y/edit?usp=sharing"",""งบพรบ!IH46"")"),0)</f>
        <v>0</v>
      </c>
      <c r="H46" s="151">
        <f ca="1">IFERROR(__xludf.DUMMYFUNCTION("IMPORTRANGE(""https://docs.google.com/spreadsheets/d/1-uDff_7J0KD5mKrp0Vvzr7lt3OU09vwQwhkpOPPYv2Y/edit?usp=sharing"",""งบพรบ!IJ46"")"),0)</f>
        <v>0</v>
      </c>
      <c r="I46" s="151">
        <f ca="1">IFERROR(__xludf.DUMMYFUNCTION("IMPORTRANGE(""https://docs.google.com/spreadsheets/d/1-uDff_7J0KD5mKrp0Vvzr7lt3OU09vwQwhkpOPPYv2Y/edit?usp=sharing"",""งบพรบ!IK46"")"),0)</f>
        <v>0</v>
      </c>
      <c r="J46" s="151">
        <f t="shared" ca="1" si="23"/>
        <v>0</v>
      </c>
      <c r="K46" s="154">
        <f t="shared" ca="1" si="24"/>
        <v>0</v>
      </c>
      <c r="L46" s="151">
        <f ca="1">IFERROR(__xludf.DUMMYFUNCTION("IMPORTRANGE(""https://docs.google.com/spreadsheets/d/1-uDff_7J0KD5mKrp0Vvzr7lt3OU09vwQwhkpOPPYv2Y/edit?usp=sharing"",""งบพรบ!IL46"")"),0)</f>
        <v>0</v>
      </c>
      <c r="M46" s="68">
        <f t="shared" ca="1" si="25"/>
        <v>0</v>
      </c>
      <c r="N46" s="68">
        <f t="shared" ca="1" si="26"/>
        <v>0</v>
      </c>
      <c r="O46" s="151">
        <f ca="1">IFERROR(__xludf.DUMMYFUNCTION("IMPORTRANGE(""https://docs.google.com/spreadsheets/d/1-uDff_7J0KD5mKrp0Vvzr7lt3OU09vwQwhkpOPPYv2Y/edit?usp=sharing"",""งบพรบ!IM46"")"),0)</f>
        <v>0</v>
      </c>
      <c r="P46" s="67">
        <f t="shared" ca="1" si="27"/>
        <v>0</v>
      </c>
      <c r="Q46" s="68">
        <f t="shared" ca="1" si="28"/>
        <v>0</v>
      </c>
      <c r="R46" s="67">
        <f ca="1">IFERROR(__xludf.DUMMYFUNCTION("IMPORTRANGE(""https://docs.google.com/spreadsheets/d/1yswqbM3-AEpThF3ZSUa1AcmHnmRTF1vlJ1CZGcJ8YuU/edit?usp=sharing"",""สุรินทร์!Q375"")"),312500)</f>
        <v>312500</v>
      </c>
      <c r="S46" s="67">
        <f ca="1">IFERROR(__xludf.DUMMYFUNCTION("IMPORTRANGE(""https://docs.google.com/spreadsheets/d/1yswqbM3-AEpThF3ZSUa1AcmHnmRTF1vlJ1CZGcJ8YuU/edit?usp=sharing"",""สุรินทร์!R375"")"),312500)</f>
        <v>312500</v>
      </c>
      <c r="T46" s="67">
        <f ca="1">IFERROR(__xludf.DUMMYFUNCTION("IMPORTRANGE(""https://docs.google.com/spreadsheets/d/1yswqbM3-AEpThF3ZSUa1AcmHnmRTF1vlJ1CZGcJ8YuU/edit?usp=sharing"",""สุรินทร์!S375"")"),203093.22)</f>
        <v>203093.22</v>
      </c>
      <c r="U46" s="68">
        <f t="shared" ca="1" si="30"/>
        <v>64.989830400000002</v>
      </c>
      <c r="V46" s="68">
        <f t="shared" ca="1" si="31"/>
        <v>64.989830400000002</v>
      </c>
      <c r="W46" s="439">
        <f t="shared" ca="1" si="41"/>
        <v>5000</v>
      </c>
      <c r="X46" s="439">
        <f ca="1">IFERROR(__xludf.DUMMYFUNCTION("IMPORTRANGE(""https://docs.google.com/spreadsheets/d/1yswqbM3-AEpThF3ZSUa1AcmHnmRTF1vlJ1CZGcJ8YuU/edit?usp=sharing"",""สุรินทร์!J374"")"),2429)</f>
        <v>2429</v>
      </c>
      <c r="Y46" s="440">
        <f t="shared" ca="1" si="11"/>
        <v>48.58</v>
      </c>
      <c r="Z46" s="439">
        <f ca="1">IFERROR(__xludf.DUMMYFUNCTION("IMPORTRANGE(""https://docs.google.com/spreadsheets/d/1yswqbM3-AEpThF3ZSUa1AcmHnmRTF1vlJ1CZGcJ8YuU/edit?usp=sharing"",""สุรินทร์!I386"")"),5000)</f>
        <v>5000</v>
      </c>
      <c r="AA46" s="74">
        <f ca="1">IFERROR(__xludf.DUMMYFUNCTION("IMPORTRANGE(""https://docs.google.com/spreadsheets/d/1yswqbM3-AEpThF3ZSUa1AcmHnmRTF1vlJ1CZGcJ8YuU/edit?usp=sharing"",""สุรินทร์!J385"")"),164)</f>
        <v>164</v>
      </c>
      <c r="AB46" s="74">
        <f ca="1">IFERROR(__xludf.DUMMYFUNCTION("IMPORTRANGE(""https://docs.google.com/spreadsheets/d/1yswqbM3-AEpThF3ZSUa1AcmHnmRTF1vlJ1CZGcJ8YuU/edit?usp=sharing"",""สุรินทร์!J386"")"),2429)</f>
        <v>2429</v>
      </c>
      <c r="AC46" s="441">
        <f ca="1">IFERROR(__xludf.DUMMYFUNCTION("IMPORTRANGE(""https://docs.google.com/spreadsheets/d/1yswqbM3-AEpThF3ZSUa1AcmHnmRTF1vlJ1CZGcJ8YuU/edit?usp=sharing"",""สุรินทร์!I388"")"),0)</f>
        <v>0</v>
      </c>
      <c r="AD46" s="74">
        <f ca="1">IFERROR(__xludf.DUMMYFUNCTION("IMPORTRANGE(""https://docs.google.com/spreadsheets/d/1yswqbM3-AEpThF3ZSUa1AcmHnmRTF1vlJ1CZGcJ8YuU/edit?usp=sharing"",""สุรินทร์!J387"")"),0)</f>
        <v>0</v>
      </c>
      <c r="AE46" s="74">
        <f ca="1">IFERROR(__xludf.DUMMYFUNCTION("IMPORTRANGE(""https://docs.google.com/spreadsheets/d/1yswqbM3-AEpThF3ZSUa1AcmHnmRTF1vlJ1CZGcJ8YuU/edit?usp=sharing"",""สุรินทร์!J388"")"),0)</f>
        <v>0</v>
      </c>
    </row>
    <row r="47" spans="1:31" ht="19.5" x14ac:dyDescent="0.3">
      <c r="A47" s="147">
        <v>16</v>
      </c>
      <c r="B47" s="148" t="s">
        <v>75</v>
      </c>
      <c r="C47" s="149">
        <f t="shared" ca="1" si="21"/>
        <v>44600</v>
      </c>
      <c r="D47" s="150">
        <f t="shared" ca="1" si="40"/>
        <v>44600</v>
      </c>
      <c r="E47" s="151">
        <f ca="1">IFERROR(__xludf.DUMMYFUNCTION("IMPORTRANGE(""https://docs.google.com/spreadsheets/d/1-uDff_7J0KD5mKrp0Vvzr7lt3OU09vwQwhkpOPPYv2Y/edit?usp=sharing"",""งบพรบ!IF47"")"),44600)</f>
        <v>44600</v>
      </c>
      <c r="F47" s="151">
        <f ca="1">IFERROR(__xludf.DUMMYFUNCTION("IMPORTRANGE(""https://docs.google.com/spreadsheets/d/1-uDff_7J0KD5mKrp0Vvzr7lt3OU09vwQwhkpOPPYv2Y/edit?usp=sharing"",""งบพรบ!IG47"")"),0)</f>
        <v>0</v>
      </c>
      <c r="G47" s="151">
        <f ca="1">IFERROR(__xludf.DUMMYFUNCTION("IMPORTRANGE(""https://docs.google.com/spreadsheets/d/1-uDff_7J0KD5mKrp0Vvzr7lt3OU09vwQwhkpOPPYv2Y/edit?usp=sharing"",""งบพรบ!IH47"")"),0)</f>
        <v>0</v>
      </c>
      <c r="H47" s="151">
        <f ca="1">IFERROR(__xludf.DUMMYFUNCTION("IMPORTRANGE(""https://docs.google.com/spreadsheets/d/1-uDff_7J0KD5mKrp0Vvzr7lt3OU09vwQwhkpOPPYv2Y/edit?usp=sharing"",""งบพรบ!IJ47"")"),44600)</f>
        <v>44600</v>
      </c>
      <c r="I47" s="151">
        <f ca="1">IFERROR(__xludf.DUMMYFUNCTION("IMPORTRANGE(""https://docs.google.com/spreadsheets/d/1-uDff_7J0KD5mKrp0Vvzr7lt3OU09vwQwhkpOPPYv2Y/edit?usp=sharing"",""งบพรบ!IK47"")"),0)</f>
        <v>0</v>
      </c>
      <c r="J47" s="151">
        <f t="shared" ca="1" si="23"/>
        <v>44600</v>
      </c>
      <c r="K47" s="154">
        <f t="shared" ca="1" si="24"/>
        <v>100</v>
      </c>
      <c r="L47" s="151">
        <f ca="1">IFERROR(__xludf.DUMMYFUNCTION("IMPORTRANGE(""https://docs.google.com/spreadsheets/d/1-uDff_7J0KD5mKrp0Vvzr7lt3OU09vwQwhkpOPPYv2Y/edit?usp=sharing"",""งบพรบ!IL47"")"),44600)</f>
        <v>44600</v>
      </c>
      <c r="M47" s="68">
        <f t="shared" ca="1" si="25"/>
        <v>100</v>
      </c>
      <c r="N47" s="68">
        <f t="shared" ca="1" si="26"/>
        <v>100</v>
      </c>
      <c r="O47" s="151">
        <f ca="1">IFERROR(__xludf.DUMMYFUNCTION("IMPORTRANGE(""https://docs.google.com/spreadsheets/d/1-uDff_7J0KD5mKrp0Vvzr7lt3OU09vwQwhkpOPPYv2Y/edit?usp=sharing"",""งบพรบ!IM47"")"),0)</f>
        <v>0</v>
      </c>
      <c r="P47" s="67">
        <f t="shared" ca="1" si="27"/>
        <v>0</v>
      </c>
      <c r="Q47" s="68">
        <f t="shared" ca="1" si="28"/>
        <v>0</v>
      </c>
      <c r="R47" s="67">
        <f ca="1">IFERROR(__xludf.DUMMYFUNCTION("IMPORTRANGE(""https://docs.google.com/spreadsheets/d/13JHU_EFbsQOUQ0JSQ3dWy1VTRosIWcDq6Nc99z2qzdc/edit?usp=sharing"",""หนองคาย!Q375"")"),62500)</f>
        <v>62500</v>
      </c>
      <c r="S47" s="67">
        <f ca="1">IFERROR(__xludf.DUMMYFUNCTION("IMPORTRANGE(""https://docs.google.com/spreadsheets/d/13JHU_EFbsQOUQ0JSQ3dWy1VTRosIWcDq6Nc99z2qzdc/edit?usp=sharing"",""หนองคาย!R375"")"),62500)</f>
        <v>62500</v>
      </c>
      <c r="T47" s="67">
        <f ca="1">IFERROR(__xludf.DUMMYFUNCTION("IMPORTRANGE(""https://docs.google.com/spreadsheets/d/13JHU_EFbsQOUQ0JSQ3dWy1VTRosIWcDq6Nc99z2qzdc/edit?usp=sharing"",""หนองคาย!S375"")"),51881)</f>
        <v>51881</v>
      </c>
      <c r="U47" s="68">
        <f t="shared" ca="1" si="30"/>
        <v>83.009600000000006</v>
      </c>
      <c r="V47" s="68">
        <f t="shared" ca="1" si="31"/>
        <v>83.009600000000006</v>
      </c>
      <c r="W47" s="439">
        <f t="shared" ca="1" si="41"/>
        <v>1000</v>
      </c>
      <c r="X47" s="439">
        <f ca="1">IFERROR(__xludf.DUMMYFUNCTION("IMPORTRANGE(""https://docs.google.com/spreadsheets/d/13JHU_EFbsQOUQ0JSQ3dWy1VTRosIWcDq6Nc99z2qzdc/edit?usp=sharing"",""หนองคาย!J374"")"),1037)</f>
        <v>1037</v>
      </c>
      <c r="Y47" s="440">
        <f t="shared" ca="1" si="11"/>
        <v>103.7</v>
      </c>
      <c r="Z47" s="439">
        <f ca="1">IFERROR(__xludf.DUMMYFUNCTION("IMPORTRANGE(""https://docs.google.com/spreadsheets/d/13JHU_EFbsQOUQ0JSQ3dWy1VTRosIWcDq6Nc99z2qzdc/edit?usp=sharing"",""หนองคาย!I386"")"),1000)</f>
        <v>1000</v>
      </c>
      <c r="AA47" s="74">
        <f ca="1">IFERROR(__xludf.DUMMYFUNCTION("IMPORTRANGE(""https://docs.google.com/spreadsheets/d/13JHU_EFbsQOUQ0JSQ3dWy1VTRosIWcDq6Nc99z2qzdc/edit?usp=sharing"",""หนองคาย!J385"")"),77)</f>
        <v>77</v>
      </c>
      <c r="AB47" s="74">
        <f ca="1">IFERROR(__xludf.DUMMYFUNCTION("IMPORTRANGE(""https://docs.google.com/spreadsheets/d/13JHU_EFbsQOUQ0JSQ3dWy1VTRosIWcDq6Nc99z2qzdc/edit?usp=sharing"",""หนองคาย!J386"")"),1037)</f>
        <v>1037</v>
      </c>
      <c r="AC47" s="441">
        <f ca="1">IFERROR(__xludf.DUMMYFUNCTION("IMPORTRANGE(""https://docs.google.com/spreadsheets/d/13JHU_EFbsQOUQ0JSQ3dWy1VTRosIWcDq6Nc99z2qzdc/edit?usp=sharing"",""หนองคาย!I388"")"),0)</f>
        <v>0</v>
      </c>
      <c r="AD47" s="74">
        <f ca="1">IFERROR(__xludf.DUMMYFUNCTION("IMPORTRANGE(""https://docs.google.com/spreadsheets/d/13JHU_EFbsQOUQ0JSQ3dWy1VTRosIWcDq6Nc99z2qzdc/edit?usp=sharing"",""หนองคาย!J387"")"),0)</f>
        <v>0</v>
      </c>
      <c r="AE47" s="74">
        <f ca="1">IFERROR(__xludf.DUMMYFUNCTION("IMPORTRANGE(""https://docs.google.com/spreadsheets/d/13JHU_EFbsQOUQ0JSQ3dWy1VTRosIWcDq6Nc99z2qzdc/edit?usp=sharing"",""หนองคาย!J388"")"),0)</f>
        <v>0</v>
      </c>
    </row>
    <row r="48" spans="1:31" ht="19.5" x14ac:dyDescent="0.3">
      <c r="A48" s="147">
        <v>17</v>
      </c>
      <c r="B48" s="148" t="s">
        <v>76</v>
      </c>
      <c r="C48" s="149">
        <f t="shared" ca="1" si="21"/>
        <v>47300</v>
      </c>
      <c r="D48" s="150">
        <f t="shared" ca="1" si="40"/>
        <v>47300</v>
      </c>
      <c r="E48" s="151">
        <f ca="1">IFERROR(__xludf.DUMMYFUNCTION("IMPORTRANGE(""https://docs.google.com/spreadsheets/d/1-uDff_7J0KD5mKrp0Vvzr7lt3OU09vwQwhkpOPPYv2Y/edit?usp=sharing"",""งบพรบ!IF48"")"),47300)</f>
        <v>47300</v>
      </c>
      <c r="F48" s="151">
        <f ca="1">IFERROR(__xludf.DUMMYFUNCTION("IMPORTRANGE(""https://docs.google.com/spreadsheets/d/1-uDff_7J0KD5mKrp0Vvzr7lt3OU09vwQwhkpOPPYv2Y/edit?usp=sharing"",""งบพรบ!IG48"")"),0)</f>
        <v>0</v>
      </c>
      <c r="G48" s="151">
        <f ca="1">IFERROR(__xludf.DUMMYFUNCTION("IMPORTRANGE(""https://docs.google.com/spreadsheets/d/1-uDff_7J0KD5mKrp0Vvzr7lt3OU09vwQwhkpOPPYv2Y/edit?usp=sharing"",""งบพรบ!IH48"")"),0)</f>
        <v>0</v>
      </c>
      <c r="H48" s="151">
        <f ca="1">IFERROR(__xludf.DUMMYFUNCTION("IMPORTRANGE(""https://docs.google.com/spreadsheets/d/1-uDff_7J0KD5mKrp0Vvzr7lt3OU09vwQwhkpOPPYv2Y/edit?usp=sharing"",""งบพรบ!IJ48"")"),47300)</f>
        <v>47300</v>
      </c>
      <c r="I48" s="151">
        <f ca="1">IFERROR(__xludf.DUMMYFUNCTION("IMPORTRANGE(""https://docs.google.com/spreadsheets/d/1-uDff_7J0KD5mKrp0Vvzr7lt3OU09vwQwhkpOPPYv2Y/edit?usp=sharing"",""งบพรบ!IK48"")"),0)</f>
        <v>0</v>
      </c>
      <c r="J48" s="151">
        <f t="shared" ca="1" si="23"/>
        <v>27584.6</v>
      </c>
      <c r="K48" s="154">
        <f t="shared" ca="1" si="24"/>
        <v>58.318393234672307</v>
      </c>
      <c r="L48" s="151">
        <f ca="1">IFERROR(__xludf.DUMMYFUNCTION("IMPORTRANGE(""https://docs.google.com/spreadsheets/d/1-uDff_7J0KD5mKrp0Vvzr7lt3OU09vwQwhkpOPPYv2Y/edit?usp=sharing"",""งบพรบ!IL48"")"),27584.6)</f>
        <v>27584.6</v>
      </c>
      <c r="M48" s="68">
        <f t="shared" ca="1" si="25"/>
        <v>58.318393234672307</v>
      </c>
      <c r="N48" s="68">
        <f t="shared" ca="1" si="26"/>
        <v>58.318393234672307</v>
      </c>
      <c r="O48" s="151">
        <f ca="1">IFERROR(__xludf.DUMMYFUNCTION("IMPORTRANGE(""https://docs.google.com/spreadsheets/d/1-uDff_7J0KD5mKrp0Vvzr7lt3OU09vwQwhkpOPPYv2Y/edit?usp=sharing"",""งบพรบ!IM48"")"),0)</f>
        <v>0</v>
      </c>
      <c r="P48" s="67">
        <f t="shared" ca="1" si="27"/>
        <v>0</v>
      </c>
      <c r="Q48" s="68">
        <f t="shared" ca="1" si="28"/>
        <v>0</v>
      </c>
      <c r="R48" s="67">
        <f ca="1">IFERROR(__xludf.DUMMYFUNCTION("IMPORTRANGE(""https://docs.google.com/spreadsheets/d/1Hx73zIEgVdDZZaYSTc46Dqv64atFhpr3GelxLbaIN8A/edit?usp=sharing"",""หนองบัวลำภู!Q375"")"),437500)</f>
        <v>437500</v>
      </c>
      <c r="S48" s="67">
        <f ca="1">IFERROR(__xludf.DUMMYFUNCTION("IMPORTRANGE(""https://docs.google.com/spreadsheets/d/1Hx73zIEgVdDZZaYSTc46Dqv64atFhpr3GelxLbaIN8A/edit?usp=sharing"",""หนองบัวลำภู!R375"")"),437500)</f>
        <v>437500</v>
      </c>
      <c r="T48" s="67">
        <f ca="1">IFERROR(__xludf.DUMMYFUNCTION("IMPORTRANGE(""https://docs.google.com/spreadsheets/d/1Hx73zIEgVdDZZaYSTc46Dqv64atFhpr3GelxLbaIN8A/edit?usp=sharing"",""หนองบัวลำภู!S375"")"),321340)</f>
        <v>321340</v>
      </c>
      <c r="U48" s="68">
        <f t="shared" ca="1" si="30"/>
        <v>73.44914285714286</v>
      </c>
      <c r="V48" s="68">
        <f t="shared" ca="1" si="31"/>
        <v>73.44914285714286</v>
      </c>
      <c r="W48" s="439">
        <f t="shared" ca="1" si="41"/>
        <v>50200</v>
      </c>
      <c r="X48" s="439">
        <f ca="1">IFERROR(__xludf.DUMMYFUNCTION("IMPORTRANGE(""https://docs.google.com/spreadsheets/d/1Hx73zIEgVdDZZaYSTc46Dqv64atFhpr3GelxLbaIN8A/edit?usp=sharing"",""หนองบัวลำภู!J374"")"),35326.59)</f>
        <v>35326.589999999997</v>
      </c>
      <c r="Y48" s="440">
        <f t="shared" ca="1" si="11"/>
        <v>70.371693227091626</v>
      </c>
      <c r="Z48" s="439">
        <f ca="1">IFERROR(__xludf.DUMMYFUNCTION("IMPORTRANGE(""https://docs.google.com/spreadsheets/d/1Hx73zIEgVdDZZaYSTc46Dqv64atFhpr3GelxLbaIN8A/edit?usp=sharing"",""หนองบัวลำภู!I386"")"),7000)</f>
        <v>7000</v>
      </c>
      <c r="AA48" s="74">
        <f ca="1">IFERROR(__xludf.DUMMYFUNCTION("IMPORTRANGE(""https://docs.google.com/spreadsheets/d/1Hx73zIEgVdDZZaYSTc46Dqv64atFhpr3GelxLbaIN8A/edit?usp=sharing"",""หนองบัวลำภู!J385"")"),184)</f>
        <v>184</v>
      </c>
      <c r="AB48" s="74">
        <f ca="1">IFERROR(__xludf.DUMMYFUNCTION("IMPORTRANGE(""https://docs.google.com/spreadsheets/d/1Hx73zIEgVdDZZaYSTc46Dqv64atFhpr3GelxLbaIN8A/edit?usp=sharing"",""หนองบัวลำภู!J386"")"),3398)</f>
        <v>3398</v>
      </c>
      <c r="AC48" s="441">
        <f ca="1">IFERROR(__xludf.DUMMYFUNCTION("IMPORTRANGE(""https://docs.google.com/spreadsheets/d/1Hx73zIEgVdDZZaYSTc46Dqv64atFhpr3GelxLbaIN8A/edit?usp=sharing"",""หนองบัวลำภู!I388"")"),43200)</f>
        <v>43200</v>
      </c>
      <c r="AD48" s="74">
        <f ca="1">IFERROR(__xludf.DUMMYFUNCTION("IMPORTRANGE(""https://docs.google.com/spreadsheets/d/1Hx73zIEgVdDZZaYSTc46Dqv64atFhpr3GelxLbaIN8A/edit?usp=sharing"",""หนองบัวลำภู!J387"")"),2290)</f>
        <v>2290</v>
      </c>
      <c r="AE48" s="74">
        <f ca="1">IFERROR(__xludf.DUMMYFUNCTION("IMPORTRANGE(""https://docs.google.com/spreadsheets/d/1Hx73zIEgVdDZZaYSTc46Dqv64atFhpr3GelxLbaIN8A/edit?usp=sharing"",""หนองบัวลำภู!J388"")"),31928.59)</f>
        <v>31928.59</v>
      </c>
    </row>
    <row r="49" spans="1:31" ht="19.5" x14ac:dyDescent="0.3">
      <c r="A49" s="147">
        <v>18</v>
      </c>
      <c r="B49" s="148" t="s">
        <v>77</v>
      </c>
      <c r="C49" s="149">
        <f t="shared" ca="1" si="21"/>
        <v>43500</v>
      </c>
      <c r="D49" s="150">
        <f t="shared" ca="1" si="40"/>
        <v>43500</v>
      </c>
      <c r="E49" s="151">
        <f ca="1">IFERROR(__xludf.DUMMYFUNCTION("IMPORTRANGE(""https://docs.google.com/spreadsheets/d/1-uDff_7J0KD5mKrp0Vvzr7lt3OU09vwQwhkpOPPYv2Y/edit?usp=sharing"",""งบพรบ!IF49"")"),43500)</f>
        <v>43500</v>
      </c>
      <c r="F49" s="151">
        <f ca="1">IFERROR(__xludf.DUMMYFUNCTION("IMPORTRANGE(""https://docs.google.com/spreadsheets/d/1-uDff_7J0KD5mKrp0Vvzr7lt3OU09vwQwhkpOPPYv2Y/edit?usp=sharing"",""งบพรบ!IG49"")"),0)</f>
        <v>0</v>
      </c>
      <c r="G49" s="151">
        <f ca="1">IFERROR(__xludf.DUMMYFUNCTION("IMPORTRANGE(""https://docs.google.com/spreadsheets/d/1-uDff_7J0KD5mKrp0Vvzr7lt3OU09vwQwhkpOPPYv2Y/edit?usp=sharing"",""งบพรบ!IH49"")"),0)</f>
        <v>0</v>
      </c>
      <c r="H49" s="151">
        <f ca="1">IFERROR(__xludf.DUMMYFUNCTION("IMPORTRANGE(""https://docs.google.com/spreadsheets/d/1-uDff_7J0KD5mKrp0Vvzr7lt3OU09vwQwhkpOPPYv2Y/edit?usp=sharing"",""งบพรบ!IJ49"")"),43500)</f>
        <v>43500</v>
      </c>
      <c r="I49" s="151">
        <f ca="1">IFERROR(__xludf.DUMMYFUNCTION("IMPORTRANGE(""https://docs.google.com/spreadsheets/d/1-uDff_7J0KD5mKrp0Vvzr7lt3OU09vwQwhkpOPPYv2Y/edit?usp=sharing"",""งบพรบ!IK49"")"),0)</f>
        <v>0</v>
      </c>
      <c r="J49" s="151">
        <f t="shared" ca="1" si="23"/>
        <v>28962</v>
      </c>
      <c r="K49" s="154">
        <f t="shared" ca="1" si="24"/>
        <v>66.57931034482759</v>
      </c>
      <c r="L49" s="151">
        <f ca="1">IFERROR(__xludf.DUMMYFUNCTION("IMPORTRANGE(""https://docs.google.com/spreadsheets/d/1-uDff_7J0KD5mKrp0Vvzr7lt3OU09vwQwhkpOPPYv2Y/edit?usp=sharing"",""งบพรบ!IL49"")"),28962)</f>
        <v>28962</v>
      </c>
      <c r="M49" s="68">
        <f t="shared" ca="1" si="25"/>
        <v>66.57931034482759</v>
      </c>
      <c r="N49" s="68">
        <f t="shared" ca="1" si="26"/>
        <v>66.57931034482759</v>
      </c>
      <c r="O49" s="151">
        <f ca="1">IFERROR(__xludf.DUMMYFUNCTION("IMPORTRANGE(""https://docs.google.com/spreadsheets/d/1-uDff_7J0KD5mKrp0Vvzr7lt3OU09vwQwhkpOPPYv2Y/edit?usp=sharing"",""งบพรบ!IM49"")"),0)</f>
        <v>0</v>
      </c>
      <c r="P49" s="67">
        <f t="shared" ca="1" si="27"/>
        <v>0</v>
      </c>
      <c r="Q49" s="68">
        <f t="shared" ca="1" si="28"/>
        <v>0</v>
      </c>
      <c r="R49" s="67">
        <f ca="1">IFERROR(__xludf.DUMMYFUNCTION("IMPORTRANGE(""https://docs.google.com/spreadsheets/d/1lFxr3ctmjFN90yc-xV6jrQ9Ty8BKYVBWnAZ15wcNIJc/edit?usp=sharing"",""อำนาจเจริญ!Q375"")"),62500)</f>
        <v>62500</v>
      </c>
      <c r="S49" s="67">
        <f ca="1">IFERROR(__xludf.DUMMYFUNCTION("IMPORTRANGE(""https://docs.google.com/spreadsheets/d/1lFxr3ctmjFN90yc-xV6jrQ9Ty8BKYVBWnAZ15wcNIJc/edit?usp=sharing"",""อำนาจเจริญ!R375"")"),62500)</f>
        <v>62500</v>
      </c>
      <c r="T49" s="67">
        <f ca="1">IFERROR(__xludf.DUMMYFUNCTION("IMPORTRANGE(""https://docs.google.com/spreadsheets/d/1lFxr3ctmjFN90yc-xV6jrQ9Ty8BKYVBWnAZ15wcNIJc/edit?usp=sharing"",""อำนาจเจริญ!S375"")"),30580)</f>
        <v>30580</v>
      </c>
      <c r="U49" s="68">
        <f t="shared" ca="1" si="30"/>
        <v>48.927999999999997</v>
      </c>
      <c r="V49" s="68">
        <f t="shared" ca="1" si="31"/>
        <v>48.927999999999997</v>
      </c>
      <c r="W49" s="439">
        <f t="shared" ca="1" si="41"/>
        <v>1000</v>
      </c>
      <c r="X49" s="439">
        <f ca="1">IFERROR(__xludf.DUMMYFUNCTION("IMPORTRANGE(""https://docs.google.com/spreadsheets/d/1lFxr3ctmjFN90yc-xV6jrQ9Ty8BKYVBWnAZ15wcNIJc/edit?usp=sharing"",""อำนาจเจริญ!J374"")"),515)</f>
        <v>515</v>
      </c>
      <c r="Y49" s="440">
        <f t="shared" ca="1" si="11"/>
        <v>51.5</v>
      </c>
      <c r="Z49" s="439">
        <f ca="1">IFERROR(__xludf.DUMMYFUNCTION("IMPORTRANGE(""https://docs.google.com/spreadsheets/d/1lFxr3ctmjFN90yc-xV6jrQ9Ty8BKYVBWnAZ15wcNIJc/edit?usp=sharing"",""อำนาจเจริญ!I386"")"),1000)</f>
        <v>1000</v>
      </c>
      <c r="AA49" s="74">
        <f ca="1">IFERROR(__xludf.DUMMYFUNCTION("IMPORTRANGE(""https://docs.google.com/spreadsheets/d/1lFxr3ctmjFN90yc-xV6jrQ9Ty8BKYVBWnAZ15wcNIJc/edit?usp=sharing"",""อำนาจเจริญ!J385"")"),30)</f>
        <v>30</v>
      </c>
      <c r="AB49" s="74">
        <f ca="1">IFERROR(__xludf.DUMMYFUNCTION("IMPORTRANGE(""https://docs.google.com/spreadsheets/d/1lFxr3ctmjFN90yc-xV6jrQ9Ty8BKYVBWnAZ15wcNIJc/edit?usp=sharing"",""อำนาจเจริญ!J386"")"),515)</f>
        <v>515</v>
      </c>
      <c r="AC49" s="441">
        <f ca="1">IFERROR(__xludf.DUMMYFUNCTION("IMPORTRANGE(""https://docs.google.com/spreadsheets/d/1lFxr3ctmjFN90yc-xV6jrQ9Ty8BKYVBWnAZ15wcNIJc/edit?usp=sharing"",""อำนาจเจริญ!I388"")"),0)</f>
        <v>0</v>
      </c>
      <c r="AD49" s="74">
        <f ca="1">IFERROR(__xludf.DUMMYFUNCTION("IMPORTRANGE(""https://docs.google.com/spreadsheets/d/1lFxr3ctmjFN90yc-xV6jrQ9Ty8BKYVBWnAZ15wcNIJc/edit?usp=sharing"",""อำนาจเจริญ!J387"")"),0)</f>
        <v>0</v>
      </c>
      <c r="AE49" s="74">
        <f ca="1">IFERROR(__xludf.DUMMYFUNCTION("IMPORTRANGE(""https://docs.google.com/spreadsheets/d/1lFxr3ctmjFN90yc-xV6jrQ9Ty8BKYVBWnAZ15wcNIJc/edit?usp=sharing"",""อำนาจเจริญ!J388"")"),0)</f>
        <v>0</v>
      </c>
    </row>
    <row r="50" spans="1:31" ht="19.5" x14ac:dyDescent="0.3">
      <c r="A50" s="147">
        <v>19</v>
      </c>
      <c r="B50" s="148" t="s">
        <v>78</v>
      </c>
      <c r="C50" s="149">
        <f t="shared" ca="1" si="21"/>
        <v>49700</v>
      </c>
      <c r="D50" s="150">
        <f t="shared" ca="1" si="40"/>
        <v>49700</v>
      </c>
      <c r="E50" s="151">
        <f ca="1">IFERROR(__xludf.DUMMYFUNCTION("IMPORTRANGE(""https://docs.google.com/spreadsheets/d/1-uDff_7J0KD5mKrp0Vvzr7lt3OU09vwQwhkpOPPYv2Y/edit?usp=sharing"",""งบพรบ!IF50"")"),49700)</f>
        <v>49700</v>
      </c>
      <c r="F50" s="151">
        <f ca="1">IFERROR(__xludf.DUMMYFUNCTION("IMPORTRANGE(""https://docs.google.com/spreadsheets/d/1-uDff_7J0KD5mKrp0Vvzr7lt3OU09vwQwhkpOPPYv2Y/edit?usp=sharing"",""งบพรบ!IG50"")"),0)</f>
        <v>0</v>
      </c>
      <c r="G50" s="151">
        <f ca="1">IFERROR(__xludf.DUMMYFUNCTION("IMPORTRANGE(""https://docs.google.com/spreadsheets/d/1-uDff_7J0KD5mKrp0Vvzr7lt3OU09vwQwhkpOPPYv2Y/edit?usp=sharing"",""งบพรบ!IH50"")"),0)</f>
        <v>0</v>
      </c>
      <c r="H50" s="151">
        <f ca="1">IFERROR(__xludf.DUMMYFUNCTION("IMPORTRANGE(""https://docs.google.com/spreadsheets/d/1-uDff_7J0KD5mKrp0Vvzr7lt3OU09vwQwhkpOPPYv2Y/edit?usp=sharing"",""งบพรบ!IJ50"")"),49700)</f>
        <v>49700</v>
      </c>
      <c r="I50" s="151">
        <f ca="1">IFERROR(__xludf.DUMMYFUNCTION("IMPORTRANGE(""https://docs.google.com/spreadsheets/d/1-uDff_7J0KD5mKrp0Vvzr7lt3OU09vwQwhkpOPPYv2Y/edit?usp=sharing"",""งบพรบ!IK50"")"),0)</f>
        <v>0</v>
      </c>
      <c r="J50" s="151">
        <f t="shared" ca="1" si="23"/>
        <v>17000</v>
      </c>
      <c r="K50" s="154">
        <f t="shared" ca="1" si="24"/>
        <v>34.205231388329977</v>
      </c>
      <c r="L50" s="151">
        <f ca="1">IFERROR(__xludf.DUMMYFUNCTION("IMPORTRANGE(""https://docs.google.com/spreadsheets/d/1-uDff_7J0KD5mKrp0Vvzr7lt3OU09vwQwhkpOPPYv2Y/edit?usp=sharing"",""งบพรบ!IL50"")"),17000)</f>
        <v>17000</v>
      </c>
      <c r="M50" s="68">
        <f t="shared" ca="1" si="25"/>
        <v>34.205231388329977</v>
      </c>
      <c r="N50" s="68">
        <f t="shared" ca="1" si="26"/>
        <v>34.205231388329977</v>
      </c>
      <c r="O50" s="151">
        <f ca="1">IFERROR(__xludf.DUMMYFUNCTION("IMPORTRANGE(""https://docs.google.com/spreadsheets/d/1-uDff_7J0KD5mKrp0Vvzr7lt3OU09vwQwhkpOPPYv2Y/edit?usp=sharing"",""งบพรบ!IM50"")"),0)</f>
        <v>0</v>
      </c>
      <c r="P50" s="67">
        <f t="shared" ca="1" si="27"/>
        <v>0</v>
      </c>
      <c r="Q50" s="68">
        <f t="shared" ca="1" si="28"/>
        <v>0</v>
      </c>
      <c r="R50" s="67">
        <f ca="1">IFERROR(__xludf.DUMMYFUNCTION("IMPORTRANGE(""https://docs.google.com/spreadsheets/d/1gF7RJpRnL-1oyjyeWxs5SFWEH7y8ahOZsQlyp2A2e-A/edit?usp=sharing"",""อุดรธานี!Q375"")"),125000)</f>
        <v>125000</v>
      </c>
      <c r="S50" s="67">
        <f ca="1">IFERROR(__xludf.DUMMYFUNCTION("IMPORTRANGE(""https://docs.google.com/spreadsheets/d/1gF7RJpRnL-1oyjyeWxs5SFWEH7y8ahOZsQlyp2A2e-A/edit?usp=sharing"",""อุดรธานี!R375"")"),125000)</f>
        <v>125000</v>
      </c>
      <c r="T50" s="67">
        <f ca="1">IFERROR(__xludf.DUMMYFUNCTION("IMPORTRANGE(""https://docs.google.com/spreadsheets/d/1gF7RJpRnL-1oyjyeWxs5SFWEH7y8ahOZsQlyp2A2e-A/edit?usp=sharing"",""อุดรธานี!S375"")"),99480)</f>
        <v>99480</v>
      </c>
      <c r="U50" s="68">
        <f t="shared" ca="1" si="30"/>
        <v>79.584000000000003</v>
      </c>
      <c r="V50" s="68">
        <f t="shared" ca="1" si="31"/>
        <v>79.584000000000003</v>
      </c>
      <c r="W50" s="439">
        <f t="shared" ca="1" si="41"/>
        <v>2000</v>
      </c>
      <c r="X50" s="439">
        <f ca="1">IFERROR(__xludf.DUMMYFUNCTION("IMPORTRANGE(""https://docs.google.com/spreadsheets/d/1gF7RJpRnL-1oyjyeWxs5SFWEH7y8ahOZsQlyp2A2e-A/edit?usp=sharing"",""อุดรธานี!J374"")"),220)</f>
        <v>220</v>
      </c>
      <c r="Y50" s="440">
        <f t="shared" ca="1" si="11"/>
        <v>11</v>
      </c>
      <c r="Z50" s="439">
        <f ca="1">IFERROR(__xludf.DUMMYFUNCTION("IMPORTRANGE(""https://docs.google.com/spreadsheets/d/1gF7RJpRnL-1oyjyeWxs5SFWEH7y8ahOZsQlyp2A2e-A/edit?usp=sharing"",""อุดรธานี!I386"")"),2000)</f>
        <v>2000</v>
      </c>
      <c r="AA50" s="74">
        <f ca="1">IFERROR(__xludf.DUMMYFUNCTION("IMPORTRANGE(""https://docs.google.com/spreadsheets/d/1gF7RJpRnL-1oyjyeWxs5SFWEH7y8ahOZsQlyp2A2e-A/edit?usp=sharing"",""อุดรธานี!J385"")"),16)</f>
        <v>16</v>
      </c>
      <c r="AB50" s="74">
        <f ca="1">IFERROR(__xludf.DUMMYFUNCTION("IMPORTRANGE(""https://docs.google.com/spreadsheets/d/1gF7RJpRnL-1oyjyeWxs5SFWEH7y8ahOZsQlyp2A2e-A/edit?usp=sharing"",""อุดรธานี!J386"")"),220)</f>
        <v>220</v>
      </c>
      <c r="AC50" s="441">
        <f ca="1">IFERROR(__xludf.DUMMYFUNCTION("IMPORTRANGE(""https://docs.google.com/spreadsheets/d/1gF7RJpRnL-1oyjyeWxs5SFWEH7y8ahOZsQlyp2A2e-A/edit?usp=sharing"",""อุดรธานี!I388"")"),0)</f>
        <v>0</v>
      </c>
      <c r="AD50" s="74">
        <f ca="1">IFERROR(__xludf.DUMMYFUNCTION("IMPORTRANGE(""https://docs.google.com/spreadsheets/d/1gF7RJpRnL-1oyjyeWxs5SFWEH7y8ahOZsQlyp2A2e-A/edit?usp=sharing"",""อุดรธานี!J387"")"),0)</f>
        <v>0</v>
      </c>
      <c r="AE50" s="74">
        <f ca="1">IFERROR(__xludf.DUMMYFUNCTION("IMPORTRANGE(""https://docs.google.com/spreadsheets/d/1gF7RJpRnL-1oyjyeWxs5SFWEH7y8ahOZsQlyp2A2e-A/edit?usp=sharing"",""อุดรธานี!J388"")"),0)</f>
        <v>0</v>
      </c>
    </row>
    <row r="51" spans="1:31" ht="19.5" x14ac:dyDescent="0.3">
      <c r="A51" s="163">
        <v>20</v>
      </c>
      <c r="B51" s="164" t="s">
        <v>79</v>
      </c>
      <c r="C51" s="165">
        <f t="shared" ca="1" si="21"/>
        <v>0</v>
      </c>
      <c r="D51" s="166">
        <f t="shared" ca="1" si="40"/>
        <v>0</v>
      </c>
      <c r="E51" s="167">
        <f ca="1">IFERROR(__xludf.DUMMYFUNCTION("IMPORTRANGE(""https://docs.google.com/spreadsheets/d/1-uDff_7J0KD5mKrp0Vvzr7lt3OU09vwQwhkpOPPYv2Y/edit?usp=sharing"",""งบพรบ!IF51"")"),0)</f>
        <v>0</v>
      </c>
      <c r="F51" s="167">
        <f ca="1">IFERROR(__xludf.DUMMYFUNCTION("IMPORTRANGE(""https://docs.google.com/spreadsheets/d/1-uDff_7J0KD5mKrp0Vvzr7lt3OU09vwQwhkpOPPYv2Y/edit?usp=sharing"",""งบพรบ!IG51"")"),0)</f>
        <v>0</v>
      </c>
      <c r="G51" s="167">
        <f ca="1">IFERROR(__xludf.DUMMYFUNCTION("IMPORTRANGE(""https://docs.google.com/spreadsheets/d/1-uDff_7J0KD5mKrp0Vvzr7lt3OU09vwQwhkpOPPYv2Y/edit?usp=sharing"",""งบพรบ!IH51"")"),0)</f>
        <v>0</v>
      </c>
      <c r="H51" s="167">
        <f ca="1">IFERROR(__xludf.DUMMYFUNCTION("IMPORTRANGE(""https://docs.google.com/spreadsheets/d/1-uDff_7J0KD5mKrp0Vvzr7lt3OU09vwQwhkpOPPYv2Y/edit?usp=sharing"",""งบพรบ!IJ51"")"),0)</f>
        <v>0</v>
      </c>
      <c r="I51" s="167">
        <f ca="1">IFERROR(__xludf.DUMMYFUNCTION("IMPORTRANGE(""https://docs.google.com/spreadsheets/d/1-uDff_7J0KD5mKrp0Vvzr7lt3OU09vwQwhkpOPPYv2Y/edit?usp=sharing"",""งบพรบ!IK51"")"),0)</f>
        <v>0</v>
      </c>
      <c r="J51" s="167">
        <f t="shared" ca="1" si="23"/>
        <v>0</v>
      </c>
      <c r="K51" s="168">
        <f t="shared" ca="1" si="24"/>
        <v>0</v>
      </c>
      <c r="L51" s="167">
        <f ca="1">IFERROR(__xludf.DUMMYFUNCTION("IMPORTRANGE(""https://docs.google.com/spreadsheets/d/1-uDff_7J0KD5mKrp0Vvzr7lt3OU09vwQwhkpOPPYv2Y/edit?usp=sharing"",""งบพรบ!IL51"")"),0)</f>
        <v>0</v>
      </c>
      <c r="M51" s="97">
        <f t="shared" ca="1" si="25"/>
        <v>0</v>
      </c>
      <c r="N51" s="97">
        <f t="shared" ca="1" si="26"/>
        <v>0</v>
      </c>
      <c r="O51" s="167">
        <f ca="1">IFERROR(__xludf.DUMMYFUNCTION("IMPORTRANGE(""https://docs.google.com/spreadsheets/d/1-uDff_7J0KD5mKrp0Vvzr7lt3OU09vwQwhkpOPPYv2Y/edit?usp=sharing"",""งบพรบ!IM51"")"),0)</f>
        <v>0</v>
      </c>
      <c r="P51" s="96">
        <f t="shared" ca="1" si="27"/>
        <v>0</v>
      </c>
      <c r="Q51" s="97">
        <f t="shared" ca="1" si="28"/>
        <v>0</v>
      </c>
      <c r="R51" s="96">
        <f ca="1">IFERROR(__xludf.DUMMYFUNCTION("IMPORTRANGE(""https://docs.google.com/spreadsheets/d/1kfLP0j3INXRa8bTDpcEmoWewMBV61jlFlfzczfjWIgc/edit?usp=sharing"",""อุบลราชธานี!Q375"")"),625000)</f>
        <v>625000</v>
      </c>
      <c r="S51" s="96">
        <f ca="1">IFERROR(__xludf.DUMMYFUNCTION("IMPORTRANGE(""https://docs.google.com/spreadsheets/d/1kfLP0j3INXRa8bTDpcEmoWewMBV61jlFlfzczfjWIgc/edit?usp=sharing"",""อุบลราชธานี!R375"")"),625000)</f>
        <v>625000</v>
      </c>
      <c r="T51" s="96">
        <f ca="1">IFERROR(__xludf.DUMMYFUNCTION("IMPORTRANGE(""https://docs.google.com/spreadsheets/d/1kfLP0j3INXRa8bTDpcEmoWewMBV61jlFlfzczfjWIgc/edit?usp=sharing"",""อุบลราชธานี!S375"")"),435527.5)</f>
        <v>435527.5</v>
      </c>
      <c r="U51" s="97">
        <f t="shared" ca="1" si="30"/>
        <v>69.684399999999997</v>
      </c>
      <c r="V51" s="97">
        <f t="shared" ca="1" si="31"/>
        <v>69.684399999999997</v>
      </c>
      <c r="W51" s="449">
        <f t="shared" ca="1" si="41"/>
        <v>10000</v>
      </c>
      <c r="X51" s="449">
        <f ca="1">IFERROR(__xludf.DUMMYFUNCTION("IMPORTRANGE(""https://docs.google.com/spreadsheets/d/1kfLP0j3INXRa8bTDpcEmoWewMBV61jlFlfzczfjWIgc/edit?usp=sharing"",""อุบลราชธานี!J374"")"),4308)</f>
        <v>4308</v>
      </c>
      <c r="Y51" s="450">
        <f t="shared" ca="1" si="11"/>
        <v>43.08</v>
      </c>
      <c r="Z51" s="449">
        <f ca="1">IFERROR(__xludf.DUMMYFUNCTION("IMPORTRANGE(""https://docs.google.com/spreadsheets/d/1kfLP0j3INXRa8bTDpcEmoWewMBV61jlFlfzczfjWIgc/edit?usp=sharing"",""อุบลราชธานี!I386"")"),10000)</f>
        <v>10000</v>
      </c>
      <c r="AA51" s="84">
        <f ca="1">IFERROR(__xludf.DUMMYFUNCTION("IMPORTRANGE(""https://docs.google.com/spreadsheets/d/1kfLP0j3INXRa8bTDpcEmoWewMBV61jlFlfzczfjWIgc/edit?usp=sharing"",""อุบลราชธานี!J385"")"),281)</f>
        <v>281</v>
      </c>
      <c r="AB51" s="84">
        <f ca="1">IFERROR(__xludf.DUMMYFUNCTION("IMPORTRANGE(""https://docs.google.com/spreadsheets/d/1kfLP0j3INXRa8bTDpcEmoWewMBV61jlFlfzczfjWIgc/edit?usp=sharing"",""อุบลราชธานี!J386"")"),4308)</f>
        <v>4308</v>
      </c>
      <c r="AC51" s="446">
        <f ca="1">IFERROR(__xludf.DUMMYFUNCTION("IMPORTRANGE(""https://docs.google.com/spreadsheets/d/1kfLP0j3INXRa8bTDpcEmoWewMBV61jlFlfzczfjWIgc/edit?usp=sharing"",""อุบลราชธานี!I388"")"),0)</f>
        <v>0</v>
      </c>
      <c r="AD51" s="84">
        <f ca="1">IFERROR(__xludf.DUMMYFUNCTION("IMPORTRANGE(""https://docs.google.com/spreadsheets/d/1kfLP0j3INXRa8bTDpcEmoWewMBV61jlFlfzczfjWIgc/edit?usp=sharing"",""อุบลราชธานี!J387"")"),0)</f>
        <v>0</v>
      </c>
      <c r="AE51" s="84">
        <f ca="1">IFERROR(__xludf.DUMMYFUNCTION("IMPORTRANGE(""https://docs.google.com/spreadsheets/d/1kfLP0j3INXRa8bTDpcEmoWewMBV61jlFlfzczfjWIgc/edit?usp=sharing"",""อุบลราชธานี!J388"")"),0)</f>
        <v>0</v>
      </c>
    </row>
    <row r="52" spans="1:31" ht="19.5" x14ac:dyDescent="0.3">
      <c r="A52" s="697" t="s">
        <v>80</v>
      </c>
      <c r="B52" s="647"/>
      <c r="C52" s="145">
        <f t="shared" ca="1" si="21"/>
        <v>249900</v>
      </c>
      <c r="D52" s="145">
        <f t="shared" ref="D52:I52" ca="1" si="42">SUM(D53:D73)</f>
        <v>249900</v>
      </c>
      <c r="E52" s="145">
        <f t="shared" ca="1" si="42"/>
        <v>249900</v>
      </c>
      <c r="F52" s="145">
        <f t="shared" ca="1" si="42"/>
        <v>0</v>
      </c>
      <c r="G52" s="145">
        <f t="shared" ca="1" si="42"/>
        <v>0</v>
      </c>
      <c r="H52" s="145">
        <f t="shared" ca="1" si="42"/>
        <v>249900</v>
      </c>
      <c r="I52" s="145">
        <f t="shared" ca="1" si="42"/>
        <v>0</v>
      </c>
      <c r="J52" s="145">
        <f t="shared" ca="1" si="23"/>
        <v>191172.23</v>
      </c>
      <c r="K52" s="146">
        <f t="shared" ca="1" si="24"/>
        <v>76.499491796718686</v>
      </c>
      <c r="L52" s="145">
        <f ca="1">SUM(L53:L73)</f>
        <v>191172.23</v>
      </c>
      <c r="M52" s="57">
        <f t="shared" ca="1" si="25"/>
        <v>76.499491796718686</v>
      </c>
      <c r="N52" s="57">
        <f t="shared" ca="1" si="26"/>
        <v>76.499491796718686</v>
      </c>
      <c r="O52" s="56">
        <f ca="1">SUM(O53:O73)</f>
        <v>0</v>
      </c>
      <c r="P52" s="56">
        <f t="shared" ca="1" si="27"/>
        <v>0</v>
      </c>
      <c r="Q52" s="57">
        <f t="shared" ca="1" si="28"/>
        <v>0</v>
      </c>
      <c r="R52" s="56">
        <f t="shared" ref="R52:T52" ca="1" si="43">SUM(R53:R73)</f>
        <v>862500</v>
      </c>
      <c r="S52" s="56">
        <f t="shared" ca="1" si="43"/>
        <v>846576</v>
      </c>
      <c r="T52" s="56">
        <f t="shared" ca="1" si="43"/>
        <v>444288</v>
      </c>
      <c r="U52" s="57">
        <f t="shared" ca="1" si="30"/>
        <v>51.511652173913042</v>
      </c>
      <c r="V52" s="57">
        <f t="shared" ca="1" si="31"/>
        <v>52.4805805976073</v>
      </c>
      <c r="W52" s="52">
        <f t="shared" ref="W52:X52" ca="1" si="44">SUM(W53:W73)</f>
        <v>13800</v>
      </c>
      <c r="X52" s="52">
        <f t="shared" ca="1" si="44"/>
        <v>3278</v>
      </c>
      <c r="Y52" s="53">
        <f t="shared" ca="1" si="11"/>
        <v>23.753623188405797</v>
      </c>
      <c r="Z52" s="52">
        <f t="shared" ref="Z52:AE52" ca="1" si="45">SUM(Z53:Z73)</f>
        <v>13800</v>
      </c>
      <c r="AA52" s="52">
        <f t="shared" ca="1" si="45"/>
        <v>218</v>
      </c>
      <c r="AB52" s="52">
        <f t="shared" ca="1" si="45"/>
        <v>3278</v>
      </c>
      <c r="AC52" s="52">
        <f t="shared" ca="1" si="45"/>
        <v>0</v>
      </c>
      <c r="AD52" s="52">
        <f t="shared" ca="1" si="45"/>
        <v>0</v>
      </c>
      <c r="AE52" s="52">
        <f t="shared" ca="1" si="45"/>
        <v>0</v>
      </c>
    </row>
    <row r="53" spans="1:31" ht="19.5" x14ac:dyDescent="0.3">
      <c r="A53" s="147">
        <v>1</v>
      </c>
      <c r="B53" s="148" t="s">
        <v>81</v>
      </c>
      <c r="C53" s="149">
        <f t="shared" ca="1" si="21"/>
        <v>0</v>
      </c>
      <c r="D53" s="150">
        <f t="shared" ref="D53:D73" ca="1" si="46">+E53+F53</f>
        <v>0</v>
      </c>
      <c r="E53" s="151">
        <f ca="1">IFERROR(__xludf.DUMMYFUNCTION("IMPORTRANGE(""https://docs.google.com/spreadsheets/d/1-uDff_7J0KD5mKrp0Vvzr7lt3OU09vwQwhkpOPPYv2Y/edit?usp=sharing"",""งบพรบ!IF53"")"),0)</f>
        <v>0</v>
      </c>
      <c r="F53" s="151">
        <f ca="1">IFERROR(__xludf.DUMMYFUNCTION("IMPORTRANGE(""https://docs.google.com/spreadsheets/d/1-uDff_7J0KD5mKrp0Vvzr7lt3OU09vwQwhkpOPPYv2Y/edit?usp=sharing"",""งบพรบ!IG53"")"),0)</f>
        <v>0</v>
      </c>
      <c r="G53" s="152">
        <f ca="1">IFERROR(__xludf.DUMMYFUNCTION("IMPORTRANGE(""https://docs.google.com/spreadsheets/d/1-uDff_7J0KD5mKrp0Vvzr7lt3OU09vwQwhkpOPPYv2Y/edit?usp=sharing"",""งบพรบ!IH53"")"),0)</f>
        <v>0</v>
      </c>
      <c r="H53" s="152">
        <f ca="1">IFERROR(__xludf.DUMMYFUNCTION("IMPORTRANGE(""https://docs.google.com/spreadsheets/d/1-uDff_7J0KD5mKrp0Vvzr7lt3OU09vwQwhkpOPPYv2Y/edit?usp=sharing"",""งบพรบ!IJ53"")"),0)</f>
        <v>0</v>
      </c>
      <c r="I53" s="152">
        <f ca="1">IFERROR(__xludf.DUMMYFUNCTION("IMPORTRANGE(""https://docs.google.com/spreadsheets/d/1-uDff_7J0KD5mKrp0Vvzr7lt3OU09vwQwhkpOPPYv2Y/edit?usp=sharing"",""งบพรบ!IK53"")"),0)</f>
        <v>0</v>
      </c>
      <c r="J53" s="152">
        <f t="shared" ca="1" si="23"/>
        <v>0</v>
      </c>
      <c r="K53" s="153">
        <f t="shared" ca="1" si="24"/>
        <v>0</v>
      </c>
      <c r="L53" s="152">
        <f ca="1">IFERROR(__xludf.DUMMYFUNCTION("IMPORTRANGE(""https://docs.google.com/spreadsheets/d/1-uDff_7J0KD5mKrp0Vvzr7lt3OU09vwQwhkpOPPYv2Y/edit?usp=sharing"",""งบพรบ!IL53"")"),0)</f>
        <v>0</v>
      </c>
      <c r="M53" s="68">
        <f t="shared" ca="1" si="25"/>
        <v>0</v>
      </c>
      <c r="N53" s="68">
        <f t="shared" ca="1" si="26"/>
        <v>0</v>
      </c>
      <c r="O53" s="151">
        <f ca="1">IFERROR(__xludf.DUMMYFUNCTION("IMPORTRANGE(""https://docs.google.com/spreadsheets/d/1-uDff_7J0KD5mKrp0Vvzr7lt3OU09vwQwhkpOPPYv2Y/edit?usp=sharing"",""งบพรบ!IM53"")"),0)</f>
        <v>0</v>
      </c>
      <c r="P53" s="67">
        <f t="shared" ca="1" si="27"/>
        <v>0</v>
      </c>
      <c r="Q53" s="68">
        <f t="shared" ca="1" si="28"/>
        <v>0</v>
      </c>
      <c r="R53" s="67">
        <f ca="1">IFERROR(__xludf.DUMMYFUNCTION("IMPORTRANGE(""https://docs.google.com/spreadsheets/d/13wPX838HrBrQMCywv1BsuMkt4PEKTChp52zj44s2izQ/edit?usp=sharing"",""กาญจนบุรี!Q375"")"),0)</f>
        <v>0</v>
      </c>
      <c r="S53" s="67">
        <f ca="1">IFERROR(__xludf.DUMMYFUNCTION("IMPORTRANGE(""https://docs.google.com/spreadsheets/d/13wPX838HrBrQMCywv1BsuMkt4PEKTChp52zj44s2izQ/edit?usp=sharing"",""กาญจนบุรี!R375"")"),0)</f>
        <v>0</v>
      </c>
      <c r="T53" s="67">
        <f ca="1">IFERROR(__xludf.DUMMYFUNCTION("IMPORTRANGE(""https://docs.google.com/spreadsheets/d/13wPX838HrBrQMCywv1BsuMkt4PEKTChp52zj44s2izQ/edit?usp=sharing"",""กาญจนบุรี!S375"")"),0)</f>
        <v>0</v>
      </c>
      <c r="U53" s="68">
        <f t="shared" ca="1" si="30"/>
        <v>0</v>
      </c>
      <c r="V53" s="68">
        <f t="shared" ca="1" si="31"/>
        <v>0</v>
      </c>
      <c r="W53" s="439">
        <f t="shared" ref="W53:W73" ca="1" si="47">Z53+AC53</f>
        <v>0</v>
      </c>
      <c r="X53" s="439">
        <f ca="1">IFERROR(__xludf.DUMMYFUNCTION("IMPORTRANGE(""https://docs.google.com/spreadsheets/d/13wPX838HrBrQMCywv1BsuMkt4PEKTChp52zj44s2izQ/edit?usp=sharing"",""กาญจนบุรี!J374"")"),0)</f>
        <v>0</v>
      </c>
      <c r="Y53" s="440">
        <f t="shared" ca="1" si="11"/>
        <v>0</v>
      </c>
      <c r="Z53" s="439">
        <f ca="1">IFERROR(__xludf.DUMMYFUNCTION("IMPORTRANGE(""https://docs.google.com/spreadsheets/d/13wPX838HrBrQMCywv1BsuMkt4PEKTChp52zj44s2izQ/edit?usp=sharing"",""กาญจนบุรี!I386"")"),0)</f>
        <v>0</v>
      </c>
      <c r="AA53" s="62">
        <f ca="1">IFERROR(__xludf.DUMMYFUNCTION("IMPORTRANGE(""https://docs.google.com/spreadsheets/d/13wPX838HrBrQMCywv1BsuMkt4PEKTChp52zj44s2izQ/edit?usp=sharing"",""กาญจนบุรี!J385"")"),0)</f>
        <v>0</v>
      </c>
      <c r="AB53" s="62">
        <f ca="1">IFERROR(__xludf.DUMMYFUNCTION("IMPORTRANGE(""https://docs.google.com/spreadsheets/d/13wPX838HrBrQMCywv1BsuMkt4PEKTChp52zj44s2izQ/edit?usp=sharing"",""กาญจนบุรี!J386"")"),0)</f>
        <v>0</v>
      </c>
      <c r="AC53" s="284">
        <f ca="1">IFERROR(__xludf.DUMMYFUNCTION("IMPORTRANGE(""https://docs.google.com/spreadsheets/d/13wPX838HrBrQMCywv1BsuMkt4PEKTChp52zj44s2izQ/edit?usp=sharing"",""กาญจนบุรี!I388"")"),0)</f>
        <v>0</v>
      </c>
      <c r="AD53" s="62">
        <f ca="1">IFERROR(__xludf.DUMMYFUNCTION("IMPORTRANGE(""https://docs.google.com/spreadsheets/d/13wPX838HrBrQMCywv1BsuMkt4PEKTChp52zj44s2izQ/edit?usp=sharing"",""กาญจนบุรี!J387"")"),0)</f>
        <v>0</v>
      </c>
      <c r="AE53" s="62">
        <f ca="1">IFERROR(__xludf.DUMMYFUNCTION("IMPORTRANGE(""https://docs.google.com/spreadsheets/d/13wPX838HrBrQMCywv1BsuMkt4PEKTChp52zj44s2izQ/edit?usp=sharing"",""กาญจนบุรี!J388"")"),0)</f>
        <v>0</v>
      </c>
    </row>
    <row r="54" spans="1:31" ht="19.5" x14ac:dyDescent="0.3">
      <c r="A54" s="147">
        <v>2</v>
      </c>
      <c r="B54" s="148" t="s">
        <v>82</v>
      </c>
      <c r="C54" s="149">
        <f t="shared" ca="1" si="21"/>
        <v>0</v>
      </c>
      <c r="D54" s="150">
        <f t="shared" ca="1" si="46"/>
        <v>0</v>
      </c>
      <c r="E54" s="151">
        <f ca="1">IFERROR(__xludf.DUMMYFUNCTION("IMPORTRANGE(""https://docs.google.com/spreadsheets/d/1-uDff_7J0KD5mKrp0Vvzr7lt3OU09vwQwhkpOPPYv2Y/edit?usp=sharing"",""งบพรบ!IF54"")"),0)</f>
        <v>0</v>
      </c>
      <c r="F54" s="151">
        <f ca="1">IFERROR(__xludf.DUMMYFUNCTION("IMPORTRANGE(""https://docs.google.com/spreadsheets/d/1-uDff_7J0KD5mKrp0Vvzr7lt3OU09vwQwhkpOPPYv2Y/edit?usp=sharing"",""งบพรบ!IG54"")"),0)</f>
        <v>0</v>
      </c>
      <c r="G54" s="151">
        <f ca="1">IFERROR(__xludf.DUMMYFUNCTION("IMPORTRANGE(""https://docs.google.com/spreadsheets/d/1-uDff_7J0KD5mKrp0Vvzr7lt3OU09vwQwhkpOPPYv2Y/edit?usp=sharing"",""งบพรบ!IH54"")"),0)</f>
        <v>0</v>
      </c>
      <c r="H54" s="151">
        <f ca="1">IFERROR(__xludf.DUMMYFUNCTION("IMPORTRANGE(""https://docs.google.com/spreadsheets/d/1-uDff_7J0KD5mKrp0Vvzr7lt3OU09vwQwhkpOPPYv2Y/edit?usp=sharing"",""งบพรบ!IJ54"")"),0)</f>
        <v>0</v>
      </c>
      <c r="I54" s="151">
        <f ca="1">IFERROR(__xludf.DUMMYFUNCTION("IMPORTRANGE(""https://docs.google.com/spreadsheets/d/1-uDff_7J0KD5mKrp0Vvzr7lt3OU09vwQwhkpOPPYv2Y/edit?usp=sharing"",""งบพรบ!IK54"")"),0)</f>
        <v>0</v>
      </c>
      <c r="J54" s="151">
        <f t="shared" ca="1" si="23"/>
        <v>0</v>
      </c>
      <c r="K54" s="154">
        <f t="shared" ca="1" si="24"/>
        <v>0</v>
      </c>
      <c r="L54" s="151">
        <f ca="1">IFERROR(__xludf.DUMMYFUNCTION("IMPORTRANGE(""https://docs.google.com/spreadsheets/d/1-uDff_7J0KD5mKrp0Vvzr7lt3OU09vwQwhkpOPPYv2Y/edit?usp=sharing"",""งบพรบ!IL54"")"),0)</f>
        <v>0</v>
      </c>
      <c r="M54" s="68">
        <f t="shared" ca="1" si="25"/>
        <v>0</v>
      </c>
      <c r="N54" s="68">
        <f t="shared" ca="1" si="26"/>
        <v>0</v>
      </c>
      <c r="O54" s="151">
        <f ca="1">IFERROR(__xludf.DUMMYFUNCTION("IMPORTRANGE(""https://docs.google.com/spreadsheets/d/1-uDff_7J0KD5mKrp0Vvzr7lt3OU09vwQwhkpOPPYv2Y/edit?usp=sharing"",""งบพรบ!IM54"")"),0)</f>
        <v>0</v>
      </c>
      <c r="P54" s="67">
        <f t="shared" ca="1" si="27"/>
        <v>0</v>
      </c>
      <c r="Q54" s="68">
        <f t="shared" ca="1" si="28"/>
        <v>0</v>
      </c>
      <c r="R54" s="67">
        <f ca="1">IFERROR(__xludf.DUMMYFUNCTION("IMPORTRANGE(""https://docs.google.com/spreadsheets/d/1ddFKvqj1W1NEiWytbGlB1zMx_ykJDVtmfEQ-6-lIUBA/edit?usp=sharing"",""จันทบุรี!Q375"")"),62500)</f>
        <v>62500</v>
      </c>
      <c r="S54" s="67">
        <f ca="1">IFERROR(__xludf.DUMMYFUNCTION("IMPORTRANGE(""https://docs.google.com/spreadsheets/d/1ddFKvqj1W1NEiWytbGlB1zMx_ykJDVtmfEQ-6-lIUBA/edit?usp=sharing"",""จันทบุรี!R375"")"),62500)</f>
        <v>62500</v>
      </c>
      <c r="T54" s="67">
        <f ca="1">IFERROR(__xludf.DUMMYFUNCTION("IMPORTRANGE(""https://docs.google.com/spreadsheets/d/1ddFKvqj1W1NEiWytbGlB1zMx_ykJDVtmfEQ-6-lIUBA/edit?usp=sharing"",""จันทบุรี!S375"")"),23720)</f>
        <v>23720</v>
      </c>
      <c r="U54" s="68">
        <f t="shared" ca="1" si="30"/>
        <v>37.951999999999998</v>
      </c>
      <c r="V54" s="68">
        <f t="shared" ca="1" si="31"/>
        <v>37.951999999999998</v>
      </c>
      <c r="W54" s="439">
        <f t="shared" ca="1" si="47"/>
        <v>1000</v>
      </c>
      <c r="X54" s="439">
        <f ca="1">IFERROR(__xludf.DUMMYFUNCTION("IMPORTRANGE(""https://docs.google.com/spreadsheets/d/1ddFKvqj1W1NEiWytbGlB1zMx_ykJDVtmfEQ-6-lIUBA/edit?usp=sharing"",""จันทบุรี!J374"")"),595)</f>
        <v>595</v>
      </c>
      <c r="Y54" s="440">
        <f t="shared" ca="1" si="11"/>
        <v>59.5</v>
      </c>
      <c r="Z54" s="439">
        <f ca="1">IFERROR(__xludf.DUMMYFUNCTION("IMPORTRANGE(""https://docs.google.com/spreadsheets/d/1ddFKvqj1W1NEiWytbGlB1zMx_ykJDVtmfEQ-6-lIUBA/edit?usp=sharing"",""จันทบุรี!I386"")"),1000)</f>
        <v>1000</v>
      </c>
      <c r="AA54" s="74">
        <f ca="1">IFERROR(__xludf.DUMMYFUNCTION("IMPORTRANGE(""https://docs.google.com/spreadsheets/d/1ddFKvqj1W1NEiWytbGlB1zMx_ykJDVtmfEQ-6-lIUBA/edit?usp=sharing"",""จันทบุรี!J385"")"),75)</f>
        <v>75</v>
      </c>
      <c r="AB54" s="74">
        <f ca="1">IFERROR(__xludf.DUMMYFUNCTION("IMPORTRANGE(""https://docs.google.com/spreadsheets/d/1ddFKvqj1W1NEiWytbGlB1zMx_ykJDVtmfEQ-6-lIUBA/edit?usp=sharing"",""จันทบุรี!J386"")"),595)</f>
        <v>595</v>
      </c>
      <c r="AC54" s="441">
        <f ca="1">IFERROR(__xludf.DUMMYFUNCTION("IMPORTRANGE(""https://docs.google.com/spreadsheets/d/1ddFKvqj1W1NEiWytbGlB1zMx_ykJDVtmfEQ-6-lIUBA/edit?usp=sharing"",""จันทบุรี!I388"")"),0)</f>
        <v>0</v>
      </c>
      <c r="AD54" s="74">
        <f ca="1">IFERROR(__xludf.DUMMYFUNCTION("IMPORTRANGE(""https://docs.google.com/spreadsheets/d/1ddFKvqj1W1NEiWytbGlB1zMx_ykJDVtmfEQ-6-lIUBA/edit?usp=sharing"",""จันทบุรี!J387"")"),0)</f>
        <v>0</v>
      </c>
      <c r="AE54" s="74">
        <f ca="1">IFERROR(__xludf.DUMMYFUNCTION("IMPORTRANGE(""https://docs.google.com/spreadsheets/d/1ddFKvqj1W1NEiWytbGlB1zMx_ykJDVtmfEQ-6-lIUBA/edit?usp=sharing"",""จันทบุรี!J388"")"),0)</f>
        <v>0</v>
      </c>
    </row>
    <row r="55" spans="1:31" ht="19.5" x14ac:dyDescent="0.3">
      <c r="A55" s="147">
        <v>3</v>
      </c>
      <c r="B55" s="148" t="s">
        <v>83</v>
      </c>
      <c r="C55" s="149">
        <f t="shared" ca="1" si="21"/>
        <v>0</v>
      </c>
      <c r="D55" s="150">
        <f t="shared" ca="1" si="46"/>
        <v>0</v>
      </c>
      <c r="E55" s="151">
        <f ca="1">IFERROR(__xludf.DUMMYFUNCTION("IMPORTRANGE(""https://docs.google.com/spreadsheets/d/1-uDff_7J0KD5mKrp0Vvzr7lt3OU09vwQwhkpOPPYv2Y/edit?usp=sharing"",""งบพรบ!IF55"")"),0)</f>
        <v>0</v>
      </c>
      <c r="F55" s="151">
        <f ca="1">IFERROR(__xludf.DUMMYFUNCTION("IMPORTRANGE(""https://docs.google.com/spreadsheets/d/1-uDff_7J0KD5mKrp0Vvzr7lt3OU09vwQwhkpOPPYv2Y/edit?usp=sharing"",""งบพรบ!IG55"")"),0)</f>
        <v>0</v>
      </c>
      <c r="G55" s="151">
        <f ca="1">IFERROR(__xludf.DUMMYFUNCTION("IMPORTRANGE(""https://docs.google.com/spreadsheets/d/1-uDff_7J0KD5mKrp0Vvzr7lt3OU09vwQwhkpOPPYv2Y/edit?usp=sharing"",""งบพรบ!IH55"")"),0)</f>
        <v>0</v>
      </c>
      <c r="H55" s="151">
        <f ca="1">IFERROR(__xludf.DUMMYFUNCTION("IMPORTRANGE(""https://docs.google.com/spreadsheets/d/1-uDff_7J0KD5mKrp0Vvzr7lt3OU09vwQwhkpOPPYv2Y/edit?usp=sharing"",""งบพรบ!IJ55"")"),0)</f>
        <v>0</v>
      </c>
      <c r="I55" s="151">
        <f ca="1">IFERROR(__xludf.DUMMYFUNCTION("IMPORTRANGE(""https://docs.google.com/spreadsheets/d/1-uDff_7J0KD5mKrp0Vvzr7lt3OU09vwQwhkpOPPYv2Y/edit?usp=sharing"",""งบพรบ!IK55"")"),0)</f>
        <v>0</v>
      </c>
      <c r="J55" s="151">
        <f t="shared" ca="1" si="23"/>
        <v>0</v>
      </c>
      <c r="K55" s="154">
        <f t="shared" ca="1" si="24"/>
        <v>0</v>
      </c>
      <c r="L55" s="151">
        <f ca="1">IFERROR(__xludf.DUMMYFUNCTION("IMPORTRANGE(""https://docs.google.com/spreadsheets/d/1-uDff_7J0KD5mKrp0Vvzr7lt3OU09vwQwhkpOPPYv2Y/edit?usp=sharing"",""งบพรบ!IL55"")"),0)</f>
        <v>0</v>
      </c>
      <c r="M55" s="68">
        <f t="shared" ca="1" si="25"/>
        <v>0</v>
      </c>
      <c r="N55" s="68">
        <f t="shared" ca="1" si="26"/>
        <v>0</v>
      </c>
      <c r="O55" s="151">
        <f ca="1">IFERROR(__xludf.DUMMYFUNCTION("IMPORTRANGE(""https://docs.google.com/spreadsheets/d/1-uDff_7J0KD5mKrp0Vvzr7lt3OU09vwQwhkpOPPYv2Y/edit?usp=sharing"",""งบพรบ!IM55"")"),0)</f>
        <v>0</v>
      </c>
      <c r="P55" s="67">
        <f t="shared" ca="1" si="27"/>
        <v>0</v>
      </c>
      <c r="Q55" s="68">
        <f t="shared" ca="1" si="28"/>
        <v>0</v>
      </c>
      <c r="R55" s="67">
        <f ca="1">IFERROR(__xludf.DUMMYFUNCTION("IMPORTRANGE(""https://docs.google.com/spreadsheets/d/1T1PQvRODqOBZk8BRht_U031fIS1beLA0Ub2CEytj2q0/edit?usp=sharing"",""ฉะเชิงเทรา!Q375"")"),62500)</f>
        <v>62500</v>
      </c>
      <c r="S55" s="67">
        <f ca="1">IFERROR(__xludf.DUMMYFUNCTION("IMPORTRANGE(""https://docs.google.com/spreadsheets/d/1T1PQvRODqOBZk8BRht_U031fIS1beLA0Ub2CEytj2q0/edit?usp=sharing"",""ฉะเชิงเทรา!R375"")"),62500)</f>
        <v>62500</v>
      </c>
      <c r="T55" s="67">
        <f ca="1">IFERROR(__xludf.DUMMYFUNCTION("IMPORTRANGE(""https://docs.google.com/spreadsheets/d/1T1PQvRODqOBZk8BRht_U031fIS1beLA0Ub2CEytj2q0/edit?usp=sharing"",""ฉะเชิงเทรา!S375"")"),39020)</f>
        <v>39020</v>
      </c>
      <c r="U55" s="68">
        <f t="shared" ca="1" si="30"/>
        <v>62.432000000000002</v>
      </c>
      <c r="V55" s="68">
        <f t="shared" ca="1" si="31"/>
        <v>62.432000000000002</v>
      </c>
      <c r="W55" s="439">
        <f t="shared" ca="1" si="47"/>
        <v>1000</v>
      </c>
      <c r="X55" s="439">
        <f ca="1">IFERROR(__xludf.DUMMYFUNCTION("IMPORTRANGE(""https://docs.google.com/spreadsheets/d/1T1PQvRODqOBZk8BRht_U031fIS1beLA0Ub2CEytj2q0/edit?usp=sharing"",""ฉะเชิงเทรา!J374"")"),220)</f>
        <v>220</v>
      </c>
      <c r="Y55" s="440">
        <f t="shared" ca="1" si="11"/>
        <v>22</v>
      </c>
      <c r="Z55" s="439">
        <f ca="1">IFERROR(__xludf.DUMMYFUNCTION("IMPORTRANGE(""https://docs.google.com/spreadsheets/d/1T1PQvRODqOBZk8BRht_U031fIS1beLA0Ub2CEytj2q0/edit?usp=sharing"",""ฉะเชิงเทรา!I386"")"),1000)</f>
        <v>1000</v>
      </c>
      <c r="AA55" s="74">
        <f ca="1">IFERROR(__xludf.DUMMYFUNCTION("IMPORTRANGE(""https://docs.google.com/spreadsheets/d/1T1PQvRODqOBZk8BRht_U031fIS1beLA0Ub2CEytj2q0/edit?usp=sharing"",""ฉะเชิงเทรา!J385"")"),10)</f>
        <v>10</v>
      </c>
      <c r="AB55" s="74">
        <f ca="1">IFERROR(__xludf.DUMMYFUNCTION("IMPORTRANGE(""https://docs.google.com/spreadsheets/d/1T1PQvRODqOBZk8BRht_U031fIS1beLA0Ub2CEytj2q0/edit?usp=sharing"",""ฉะเชิงเทรา!J386"")"),220)</f>
        <v>220</v>
      </c>
      <c r="AC55" s="441">
        <f ca="1">IFERROR(__xludf.DUMMYFUNCTION("IMPORTRANGE(""https://docs.google.com/spreadsheets/d/1T1PQvRODqOBZk8BRht_U031fIS1beLA0Ub2CEytj2q0/edit?usp=sharing"",""ฉะเชิงเทรา!I388"")"),0)</f>
        <v>0</v>
      </c>
      <c r="AD55" s="74">
        <f ca="1">IFERROR(__xludf.DUMMYFUNCTION("IMPORTRANGE(""https://docs.google.com/spreadsheets/d/1T1PQvRODqOBZk8BRht_U031fIS1beLA0Ub2CEytj2q0/edit?usp=sharing"",""ฉะเชิงเทรา!J387"")"),0)</f>
        <v>0</v>
      </c>
      <c r="AE55" s="74">
        <f ca="1">IFERROR(__xludf.DUMMYFUNCTION("IMPORTRANGE(""https://docs.google.com/spreadsheets/d/1T1PQvRODqOBZk8BRht_U031fIS1beLA0Ub2CEytj2q0/edit?usp=sharing"",""ฉะเชิงเทรา!J388"")"),0)</f>
        <v>0</v>
      </c>
    </row>
    <row r="56" spans="1:31" ht="19.5" x14ac:dyDescent="0.3">
      <c r="A56" s="147">
        <v>4</v>
      </c>
      <c r="B56" s="148" t="s">
        <v>84</v>
      </c>
      <c r="C56" s="149">
        <f t="shared" ca="1" si="21"/>
        <v>39800</v>
      </c>
      <c r="D56" s="150">
        <f t="shared" ca="1" si="46"/>
        <v>39800</v>
      </c>
      <c r="E56" s="151">
        <f ca="1">IFERROR(__xludf.DUMMYFUNCTION("IMPORTRANGE(""https://docs.google.com/spreadsheets/d/1-uDff_7J0KD5mKrp0Vvzr7lt3OU09vwQwhkpOPPYv2Y/edit?usp=sharing"",""งบพรบ!IF56"")"),39800)</f>
        <v>39800</v>
      </c>
      <c r="F56" s="151">
        <f ca="1">IFERROR(__xludf.DUMMYFUNCTION("IMPORTRANGE(""https://docs.google.com/spreadsheets/d/1-uDff_7J0KD5mKrp0Vvzr7lt3OU09vwQwhkpOPPYv2Y/edit?usp=sharing"",""งบพรบ!IG56"")"),0)</f>
        <v>0</v>
      </c>
      <c r="G56" s="151">
        <f ca="1">IFERROR(__xludf.DUMMYFUNCTION("IMPORTRANGE(""https://docs.google.com/spreadsheets/d/1-uDff_7J0KD5mKrp0Vvzr7lt3OU09vwQwhkpOPPYv2Y/edit?usp=sharing"",""งบพรบ!IH56"")"),0)</f>
        <v>0</v>
      </c>
      <c r="H56" s="151">
        <f ca="1">IFERROR(__xludf.DUMMYFUNCTION("IMPORTRANGE(""https://docs.google.com/spreadsheets/d/1-uDff_7J0KD5mKrp0Vvzr7lt3OU09vwQwhkpOPPYv2Y/edit?usp=sharing"",""งบพรบ!IJ56"")"),39800)</f>
        <v>39800</v>
      </c>
      <c r="I56" s="151">
        <f ca="1">IFERROR(__xludf.DUMMYFUNCTION("IMPORTRANGE(""https://docs.google.com/spreadsheets/d/1-uDff_7J0KD5mKrp0Vvzr7lt3OU09vwQwhkpOPPYv2Y/edit?usp=sharing"",""งบพรบ!IK56"")"),0)</f>
        <v>0</v>
      </c>
      <c r="J56" s="151">
        <f t="shared" ca="1" si="23"/>
        <v>39800</v>
      </c>
      <c r="K56" s="154">
        <f t="shared" ca="1" si="24"/>
        <v>100</v>
      </c>
      <c r="L56" s="151">
        <f ca="1">IFERROR(__xludf.DUMMYFUNCTION("IMPORTRANGE(""https://docs.google.com/spreadsheets/d/1-uDff_7J0KD5mKrp0Vvzr7lt3OU09vwQwhkpOPPYv2Y/edit?usp=sharing"",""งบพรบ!IL56"")"),39800)</f>
        <v>39800</v>
      </c>
      <c r="M56" s="68">
        <f t="shared" ca="1" si="25"/>
        <v>100</v>
      </c>
      <c r="N56" s="68">
        <f t="shared" ca="1" si="26"/>
        <v>100</v>
      </c>
      <c r="O56" s="151">
        <f ca="1">IFERROR(__xludf.DUMMYFUNCTION("IMPORTRANGE(""https://docs.google.com/spreadsheets/d/1-uDff_7J0KD5mKrp0Vvzr7lt3OU09vwQwhkpOPPYv2Y/edit?usp=sharing"",""งบพรบ!IM56"")"),0)</f>
        <v>0</v>
      </c>
      <c r="P56" s="67">
        <f t="shared" ca="1" si="27"/>
        <v>0</v>
      </c>
      <c r="Q56" s="68">
        <f t="shared" ca="1" si="28"/>
        <v>0</v>
      </c>
      <c r="R56" s="67">
        <f ca="1">IFERROR(__xludf.DUMMYFUNCTION("IMPORTRANGE(""https://docs.google.com/spreadsheets/d/11tr1B-Bhyr79v2bkwVh5h_fR-PStkgjlZtkrZpYurG0/edit?usp=sharing"",""ชลบุรี!Q375"")"),62500)</f>
        <v>62500</v>
      </c>
      <c r="S56" s="67">
        <f ca="1">IFERROR(__xludf.DUMMYFUNCTION("IMPORTRANGE(""https://docs.google.com/spreadsheets/d/11tr1B-Bhyr79v2bkwVh5h_fR-PStkgjlZtkrZpYurG0/edit?usp=sharing"",""ชลบุรี!R375"")"),62500)</f>
        <v>62500</v>
      </c>
      <c r="T56" s="67">
        <f ca="1">IFERROR(__xludf.DUMMYFUNCTION("IMPORTRANGE(""https://docs.google.com/spreadsheets/d/11tr1B-Bhyr79v2bkwVh5h_fR-PStkgjlZtkrZpYurG0/edit?usp=sharing"",""ชลบุรี!S375"")"),20000)</f>
        <v>20000</v>
      </c>
      <c r="U56" s="68">
        <f t="shared" ca="1" si="30"/>
        <v>32</v>
      </c>
      <c r="V56" s="68">
        <f t="shared" ca="1" si="31"/>
        <v>32</v>
      </c>
      <c r="W56" s="439">
        <f t="shared" ca="1" si="47"/>
        <v>1000</v>
      </c>
      <c r="X56" s="439">
        <f ca="1">IFERROR(__xludf.DUMMYFUNCTION("IMPORTRANGE(""https://docs.google.com/spreadsheets/d/11tr1B-Bhyr79v2bkwVh5h_fR-PStkgjlZtkrZpYurG0/edit?usp=sharing"",""ชลบุรี!J374"")"),0)</f>
        <v>0</v>
      </c>
      <c r="Y56" s="440">
        <f t="shared" ca="1" si="11"/>
        <v>0</v>
      </c>
      <c r="Z56" s="439">
        <f ca="1">IFERROR(__xludf.DUMMYFUNCTION("IMPORTRANGE(""https://docs.google.com/spreadsheets/d/11tr1B-Bhyr79v2bkwVh5h_fR-PStkgjlZtkrZpYurG0/edit?usp=sharing"",""ชลบุรี!I386"")"),1000)</f>
        <v>1000</v>
      </c>
      <c r="AA56" s="74">
        <f ca="1">IFERROR(__xludf.DUMMYFUNCTION("IMPORTRANGE(""https://docs.google.com/spreadsheets/d/11tr1B-Bhyr79v2bkwVh5h_fR-PStkgjlZtkrZpYurG0/edit?usp=sharing"",""ชลบุรี!J385"")"),0)</f>
        <v>0</v>
      </c>
      <c r="AB56" s="74">
        <f ca="1">IFERROR(__xludf.DUMMYFUNCTION("IMPORTRANGE(""https://docs.google.com/spreadsheets/d/11tr1B-Bhyr79v2bkwVh5h_fR-PStkgjlZtkrZpYurG0/edit?usp=sharing"",""ชลบุรี!J386"")"),0)</f>
        <v>0</v>
      </c>
      <c r="AC56" s="441">
        <f ca="1">IFERROR(__xludf.DUMMYFUNCTION("IMPORTRANGE(""https://docs.google.com/spreadsheets/d/11tr1B-Bhyr79v2bkwVh5h_fR-PStkgjlZtkrZpYurG0/edit?usp=sharing"",""ชลบุรี!I388"")"),0)</f>
        <v>0</v>
      </c>
      <c r="AD56" s="74">
        <f ca="1">IFERROR(__xludf.DUMMYFUNCTION("IMPORTRANGE(""https://docs.google.com/spreadsheets/d/11tr1B-Bhyr79v2bkwVh5h_fR-PStkgjlZtkrZpYurG0/edit?usp=sharing"",""ชลบุรี!J387"")"),0)</f>
        <v>0</v>
      </c>
      <c r="AE56" s="74">
        <f ca="1">IFERROR(__xludf.DUMMYFUNCTION("IMPORTRANGE(""https://docs.google.com/spreadsheets/d/11tr1B-Bhyr79v2bkwVh5h_fR-PStkgjlZtkrZpYurG0/edit?usp=sharing"",""ชลบุรี!J388"")"),0)</f>
        <v>0</v>
      </c>
    </row>
    <row r="57" spans="1:31" ht="19.5" x14ac:dyDescent="0.3">
      <c r="A57" s="147">
        <v>5</v>
      </c>
      <c r="B57" s="148" t="s">
        <v>85</v>
      </c>
      <c r="C57" s="149">
        <f t="shared" ca="1" si="21"/>
        <v>0</v>
      </c>
      <c r="D57" s="150">
        <f t="shared" ca="1" si="46"/>
        <v>0</v>
      </c>
      <c r="E57" s="151">
        <f ca="1">IFERROR(__xludf.DUMMYFUNCTION("IMPORTRANGE(""https://docs.google.com/spreadsheets/d/1-uDff_7J0KD5mKrp0Vvzr7lt3OU09vwQwhkpOPPYv2Y/edit?usp=sharing"",""งบพรบ!IF57"")"),0)</f>
        <v>0</v>
      </c>
      <c r="F57" s="151">
        <f ca="1">IFERROR(__xludf.DUMMYFUNCTION("IMPORTRANGE(""https://docs.google.com/spreadsheets/d/1-uDff_7J0KD5mKrp0Vvzr7lt3OU09vwQwhkpOPPYv2Y/edit?usp=sharing"",""งบพรบ!IG57"")"),0)</f>
        <v>0</v>
      </c>
      <c r="G57" s="151">
        <f ca="1">IFERROR(__xludf.DUMMYFUNCTION("IMPORTRANGE(""https://docs.google.com/spreadsheets/d/1-uDff_7J0KD5mKrp0Vvzr7lt3OU09vwQwhkpOPPYv2Y/edit?usp=sharing"",""งบพรบ!IH57"")"),0)</f>
        <v>0</v>
      </c>
      <c r="H57" s="151">
        <f ca="1">IFERROR(__xludf.DUMMYFUNCTION("IMPORTRANGE(""https://docs.google.com/spreadsheets/d/1-uDff_7J0KD5mKrp0Vvzr7lt3OU09vwQwhkpOPPYv2Y/edit?usp=sharing"",""งบพรบ!IJ57"")"),0)</f>
        <v>0</v>
      </c>
      <c r="I57" s="151">
        <f ca="1">IFERROR(__xludf.DUMMYFUNCTION("IMPORTRANGE(""https://docs.google.com/spreadsheets/d/1-uDff_7J0KD5mKrp0Vvzr7lt3OU09vwQwhkpOPPYv2Y/edit?usp=sharing"",""งบพรบ!IK57"")"),0)</f>
        <v>0</v>
      </c>
      <c r="J57" s="151">
        <f t="shared" ca="1" si="23"/>
        <v>0</v>
      </c>
      <c r="K57" s="154">
        <f t="shared" ca="1" si="24"/>
        <v>0</v>
      </c>
      <c r="L57" s="151">
        <f ca="1">IFERROR(__xludf.DUMMYFUNCTION("IMPORTRANGE(""https://docs.google.com/spreadsheets/d/1-uDff_7J0KD5mKrp0Vvzr7lt3OU09vwQwhkpOPPYv2Y/edit?usp=sharing"",""งบพรบ!IL57"")"),0)</f>
        <v>0</v>
      </c>
      <c r="M57" s="68">
        <f t="shared" ca="1" si="25"/>
        <v>0</v>
      </c>
      <c r="N57" s="68">
        <f t="shared" ca="1" si="26"/>
        <v>0</v>
      </c>
      <c r="O57" s="151">
        <f ca="1">IFERROR(__xludf.DUMMYFUNCTION("IMPORTRANGE(""https://docs.google.com/spreadsheets/d/1-uDff_7J0KD5mKrp0Vvzr7lt3OU09vwQwhkpOPPYv2Y/edit?usp=sharing"",""งบพรบ!IM57"")"),0)</f>
        <v>0</v>
      </c>
      <c r="P57" s="67">
        <f t="shared" ca="1" si="27"/>
        <v>0</v>
      </c>
      <c r="Q57" s="68">
        <f t="shared" ca="1" si="28"/>
        <v>0</v>
      </c>
      <c r="R57" s="67">
        <f ca="1">IFERROR(__xludf.DUMMYFUNCTION("IMPORTRANGE(""https://docs.google.com/spreadsheets/d/1hh-FVnSX0vozXhGluamEcS54Dw9_zqW0N7qJUWgJ0Sw/edit?usp=sharing"",""ชัยนาท!Q375"")"),0)</f>
        <v>0</v>
      </c>
      <c r="S57" s="67">
        <f ca="1">IFERROR(__xludf.DUMMYFUNCTION("IMPORTRANGE(""https://docs.google.com/spreadsheets/d/1hh-FVnSX0vozXhGluamEcS54Dw9_zqW0N7qJUWgJ0Sw/edit?usp=sharing"",""ชัยนาท!R375"")"),0)</f>
        <v>0</v>
      </c>
      <c r="T57" s="67">
        <f ca="1">IFERROR(__xludf.DUMMYFUNCTION("IMPORTRANGE(""https://docs.google.com/spreadsheets/d/1hh-FVnSX0vozXhGluamEcS54Dw9_zqW0N7qJUWgJ0Sw/edit?usp=sharing"",""ชัยนาท!S375"")"),0)</f>
        <v>0</v>
      </c>
      <c r="U57" s="68">
        <f t="shared" ca="1" si="30"/>
        <v>0</v>
      </c>
      <c r="V57" s="68">
        <f t="shared" ca="1" si="31"/>
        <v>0</v>
      </c>
      <c r="W57" s="439">
        <f t="shared" ca="1" si="47"/>
        <v>0</v>
      </c>
      <c r="X57" s="439">
        <f ca="1">IFERROR(__xludf.DUMMYFUNCTION("IMPORTRANGE(""https://docs.google.com/spreadsheets/d/1hh-FVnSX0vozXhGluamEcS54Dw9_zqW0N7qJUWgJ0Sw/edit?usp=sharing"",""ชัยนาท!J374"")"),0)</f>
        <v>0</v>
      </c>
      <c r="Y57" s="440">
        <f t="shared" ca="1" si="11"/>
        <v>0</v>
      </c>
      <c r="Z57" s="439">
        <f ca="1">IFERROR(__xludf.DUMMYFUNCTION("IMPORTRANGE(""https://docs.google.com/spreadsheets/d/1hh-FVnSX0vozXhGluamEcS54Dw9_zqW0N7qJUWgJ0Sw/edit?usp=sharing"",""ชัยนาท!I386"")"),0)</f>
        <v>0</v>
      </c>
      <c r="AA57" s="74">
        <f ca="1">IFERROR(__xludf.DUMMYFUNCTION("IMPORTRANGE(""https://docs.google.com/spreadsheets/d/1hh-FVnSX0vozXhGluamEcS54Dw9_zqW0N7qJUWgJ0Sw/edit?usp=sharing"",""ชัยนาท!J385"")"),0)</f>
        <v>0</v>
      </c>
      <c r="AB57" s="74">
        <f ca="1">IFERROR(__xludf.DUMMYFUNCTION("IMPORTRANGE(""https://docs.google.com/spreadsheets/d/1hh-FVnSX0vozXhGluamEcS54Dw9_zqW0N7qJUWgJ0Sw/edit?usp=sharing"",""ชัยนาท!J386"")"),0)</f>
        <v>0</v>
      </c>
      <c r="AC57" s="441">
        <f ca="1">IFERROR(__xludf.DUMMYFUNCTION("IMPORTRANGE(""https://docs.google.com/spreadsheets/d/1hh-FVnSX0vozXhGluamEcS54Dw9_zqW0N7qJUWgJ0Sw/edit?usp=sharing"",""ชัยนาท!I388"")"),0)</f>
        <v>0</v>
      </c>
      <c r="AD57" s="74">
        <f ca="1">IFERROR(__xludf.DUMMYFUNCTION("IMPORTRANGE(""https://docs.google.com/spreadsheets/d/1hh-FVnSX0vozXhGluamEcS54Dw9_zqW0N7qJUWgJ0Sw/edit?usp=sharing"",""ชัยนาท!J387"")"),0)</f>
        <v>0</v>
      </c>
      <c r="AE57" s="74">
        <f ca="1">IFERROR(__xludf.DUMMYFUNCTION("IMPORTRANGE(""https://docs.google.com/spreadsheets/d/1hh-FVnSX0vozXhGluamEcS54Dw9_zqW0N7qJUWgJ0Sw/edit?usp=sharing"",""ชัยนาท!J388"")"),0)</f>
        <v>0</v>
      </c>
    </row>
    <row r="58" spans="1:31" ht="19.5" x14ac:dyDescent="0.3">
      <c r="A58" s="147">
        <v>6</v>
      </c>
      <c r="B58" s="148" t="s">
        <v>86</v>
      </c>
      <c r="C58" s="149">
        <f t="shared" ca="1" si="21"/>
        <v>40600</v>
      </c>
      <c r="D58" s="150">
        <f t="shared" ca="1" si="46"/>
        <v>40600</v>
      </c>
      <c r="E58" s="151">
        <f ca="1">IFERROR(__xludf.DUMMYFUNCTION("IMPORTRANGE(""https://docs.google.com/spreadsheets/d/1-uDff_7J0KD5mKrp0Vvzr7lt3OU09vwQwhkpOPPYv2Y/edit?usp=sharing"",""งบพรบ!IF58"")"),40600)</f>
        <v>40600</v>
      </c>
      <c r="F58" s="151">
        <f ca="1">IFERROR(__xludf.DUMMYFUNCTION("IMPORTRANGE(""https://docs.google.com/spreadsheets/d/1-uDff_7J0KD5mKrp0Vvzr7lt3OU09vwQwhkpOPPYv2Y/edit?usp=sharing"",""งบพรบ!IG58"")"),0)</f>
        <v>0</v>
      </c>
      <c r="G58" s="151">
        <f ca="1">IFERROR(__xludf.DUMMYFUNCTION("IMPORTRANGE(""https://docs.google.com/spreadsheets/d/1-uDff_7J0KD5mKrp0Vvzr7lt3OU09vwQwhkpOPPYv2Y/edit?usp=sharing"",""งบพรบ!IH58"")"),0)</f>
        <v>0</v>
      </c>
      <c r="H58" s="151">
        <f ca="1">IFERROR(__xludf.DUMMYFUNCTION("IMPORTRANGE(""https://docs.google.com/spreadsheets/d/1-uDff_7J0KD5mKrp0Vvzr7lt3OU09vwQwhkpOPPYv2Y/edit?usp=sharing"",""งบพรบ!IJ58"")"),40600)</f>
        <v>40600</v>
      </c>
      <c r="I58" s="151">
        <f ca="1">IFERROR(__xludf.DUMMYFUNCTION("IMPORTRANGE(""https://docs.google.com/spreadsheets/d/1-uDff_7J0KD5mKrp0Vvzr7lt3OU09vwQwhkpOPPYv2Y/edit?usp=sharing"",""งบพรบ!IK58"")"),0)</f>
        <v>0</v>
      </c>
      <c r="J58" s="151">
        <f t="shared" ca="1" si="23"/>
        <v>38269</v>
      </c>
      <c r="K58" s="154">
        <f t="shared" ca="1" si="24"/>
        <v>94.258620689655174</v>
      </c>
      <c r="L58" s="151">
        <f ca="1">IFERROR(__xludf.DUMMYFUNCTION("IMPORTRANGE(""https://docs.google.com/spreadsheets/d/1-uDff_7J0KD5mKrp0Vvzr7lt3OU09vwQwhkpOPPYv2Y/edit?usp=sharing"",""งบพรบ!IL58"")"),38269)</f>
        <v>38269</v>
      </c>
      <c r="M58" s="68">
        <f t="shared" ca="1" si="25"/>
        <v>94.258620689655174</v>
      </c>
      <c r="N58" s="68">
        <f t="shared" ca="1" si="26"/>
        <v>94.258620689655174</v>
      </c>
      <c r="O58" s="151">
        <f ca="1">IFERROR(__xludf.DUMMYFUNCTION("IMPORTRANGE(""https://docs.google.com/spreadsheets/d/1-uDff_7J0KD5mKrp0Vvzr7lt3OU09vwQwhkpOPPYv2Y/edit?usp=sharing"",""งบพรบ!IM58"")"),0)</f>
        <v>0</v>
      </c>
      <c r="P58" s="67">
        <f t="shared" ca="1" si="27"/>
        <v>0</v>
      </c>
      <c r="Q58" s="68">
        <f t="shared" ca="1" si="28"/>
        <v>0</v>
      </c>
      <c r="R58" s="67">
        <f ca="1">IFERROR(__xludf.DUMMYFUNCTION("IMPORTRANGE(""https://docs.google.com/spreadsheets/d/1jkqa6GXxSacMcY1eN8AHjMNJ_7dDXMJVRLDlaFSOdPM/edit?usp=sharing"",""ตราด!Q375"")"),62500)</f>
        <v>62500</v>
      </c>
      <c r="S58" s="67">
        <f ca="1">IFERROR(__xludf.DUMMYFUNCTION("IMPORTRANGE(""https://docs.google.com/spreadsheets/d/1jkqa6GXxSacMcY1eN8AHjMNJ_7dDXMJVRLDlaFSOdPM/edit?usp=sharing"",""ตราด!R375"")"),62500)</f>
        <v>62500</v>
      </c>
      <c r="T58" s="67">
        <f ca="1">IFERROR(__xludf.DUMMYFUNCTION("IMPORTRANGE(""https://docs.google.com/spreadsheets/d/1jkqa6GXxSacMcY1eN8AHjMNJ_7dDXMJVRLDlaFSOdPM/edit?usp=sharing"",""ตราด!S375"")"),12000)</f>
        <v>12000</v>
      </c>
      <c r="U58" s="68">
        <f t="shared" ca="1" si="30"/>
        <v>19.2</v>
      </c>
      <c r="V58" s="68">
        <f t="shared" ca="1" si="31"/>
        <v>19.2</v>
      </c>
      <c r="W58" s="439">
        <f t="shared" ca="1" si="47"/>
        <v>1000</v>
      </c>
      <c r="X58" s="439">
        <f ca="1">IFERROR(__xludf.DUMMYFUNCTION("IMPORTRANGE(""https://docs.google.com/spreadsheets/d/1jkqa6GXxSacMcY1eN8AHjMNJ_7dDXMJVRLDlaFSOdPM/edit?usp=sharing"",""ตราด!J374"")"),287)</f>
        <v>287</v>
      </c>
      <c r="Y58" s="440">
        <f t="shared" ca="1" si="11"/>
        <v>28.7</v>
      </c>
      <c r="Z58" s="439">
        <f ca="1">IFERROR(__xludf.DUMMYFUNCTION("IMPORTRANGE(""https://docs.google.com/spreadsheets/d/1jkqa6GXxSacMcY1eN8AHjMNJ_7dDXMJVRLDlaFSOdPM/edit?usp=sharing"",""ตราด!I386"")"),1000)</f>
        <v>1000</v>
      </c>
      <c r="AA58" s="74">
        <f ca="1">IFERROR(__xludf.DUMMYFUNCTION("IMPORTRANGE(""https://docs.google.com/spreadsheets/d/1jkqa6GXxSacMcY1eN8AHjMNJ_7dDXMJVRLDlaFSOdPM/edit?usp=sharing"",""ตราด!J385"")"),9)</f>
        <v>9</v>
      </c>
      <c r="AB58" s="74">
        <f ca="1">IFERROR(__xludf.DUMMYFUNCTION("IMPORTRANGE(""https://docs.google.com/spreadsheets/d/1jkqa6GXxSacMcY1eN8AHjMNJ_7dDXMJVRLDlaFSOdPM/edit?usp=sharing"",""ตราด!J386"")"),287)</f>
        <v>287</v>
      </c>
      <c r="AC58" s="441">
        <f ca="1">IFERROR(__xludf.DUMMYFUNCTION("IMPORTRANGE(""https://docs.google.com/spreadsheets/d/1jkqa6GXxSacMcY1eN8AHjMNJ_7dDXMJVRLDlaFSOdPM/edit?usp=sharing"",""ตราด!I388"")"),0)</f>
        <v>0</v>
      </c>
      <c r="AD58" s="74">
        <f ca="1">IFERROR(__xludf.DUMMYFUNCTION("IMPORTRANGE(""https://docs.google.com/spreadsheets/d/1jkqa6GXxSacMcY1eN8AHjMNJ_7dDXMJVRLDlaFSOdPM/edit?usp=sharing"",""ตราด!J387"")"),0)</f>
        <v>0</v>
      </c>
      <c r="AE58" s="74">
        <f ca="1">IFERROR(__xludf.DUMMYFUNCTION("IMPORTRANGE(""https://docs.google.com/spreadsheets/d/1jkqa6GXxSacMcY1eN8AHjMNJ_7dDXMJVRLDlaFSOdPM/edit?usp=sharing"",""ตราด!J388"")"),0)</f>
        <v>0</v>
      </c>
    </row>
    <row r="59" spans="1:31" ht="19.5" x14ac:dyDescent="0.3">
      <c r="A59" s="147">
        <v>7</v>
      </c>
      <c r="B59" s="148" t="s">
        <v>87</v>
      </c>
      <c r="C59" s="149">
        <f t="shared" ca="1" si="21"/>
        <v>0</v>
      </c>
      <c r="D59" s="150">
        <f t="shared" ca="1" si="46"/>
        <v>0</v>
      </c>
      <c r="E59" s="151">
        <f ca="1">IFERROR(__xludf.DUMMYFUNCTION("IMPORTRANGE(""https://docs.google.com/spreadsheets/d/1-uDff_7J0KD5mKrp0Vvzr7lt3OU09vwQwhkpOPPYv2Y/edit?usp=sharing"",""งบพรบ!IF59"")"),0)</f>
        <v>0</v>
      </c>
      <c r="F59" s="151">
        <f ca="1">IFERROR(__xludf.DUMMYFUNCTION("IMPORTRANGE(""https://docs.google.com/spreadsheets/d/1-uDff_7J0KD5mKrp0Vvzr7lt3OU09vwQwhkpOPPYv2Y/edit?usp=sharing"",""งบพรบ!IG59"")"),0)</f>
        <v>0</v>
      </c>
      <c r="G59" s="151">
        <f ca="1">IFERROR(__xludf.DUMMYFUNCTION("IMPORTRANGE(""https://docs.google.com/spreadsheets/d/1-uDff_7J0KD5mKrp0Vvzr7lt3OU09vwQwhkpOPPYv2Y/edit?usp=sharing"",""งบพรบ!IH59"")"),0)</f>
        <v>0</v>
      </c>
      <c r="H59" s="151">
        <f ca="1">IFERROR(__xludf.DUMMYFUNCTION("IMPORTRANGE(""https://docs.google.com/spreadsheets/d/1-uDff_7J0KD5mKrp0Vvzr7lt3OU09vwQwhkpOPPYv2Y/edit?usp=sharing"",""งบพรบ!IJ59"")"),0)</f>
        <v>0</v>
      </c>
      <c r="I59" s="151">
        <f ca="1">IFERROR(__xludf.DUMMYFUNCTION("IMPORTRANGE(""https://docs.google.com/spreadsheets/d/1-uDff_7J0KD5mKrp0Vvzr7lt3OU09vwQwhkpOPPYv2Y/edit?usp=sharing"",""งบพรบ!IK59"")"),0)</f>
        <v>0</v>
      </c>
      <c r="J59" s="151">
        <f t="shared" ca="1" si="23"/>
        <v>0</v>
      </c>
      <c r="K59" s="154">
        <f t="shared" ca="1" si="24"/>
        <v>0</v>
      </c>
      <c r="L59" s="151">
        <f ca="1">IFERROR(__xludf.DUMMYFUNCTION("IMPORTRANGE(""https://docs.google.com/spreadsheets/d/1-uDff_7J0KD5mKrp0Vvzr7lt3OU09vwQwhkpOPPYv2Y/edit?usp=sharing"",""งบพรบ!IL59"")"),0)</f>
        <v>0</v>
      </c>
      <c r="M59" s="68">
        <f t="shared" ca="1" si="25"/>
        <v>0</v>
      </c>
      <c r="N59" s="68">
        <f t="shared" ca="1" si="26"/>
        <v>0</v>
      </c>
      <c r="O59" s="151">
        <f ca="1">IFERROR(__xludf.DUMMYFUNCTION("IMPORTRANGE(""https://docs.google.com/spreadsheets/d/1-uDff_7J0KD5mKrp0Vvzr7lt3OU09vwQwhkpOPPYv2Y/edit?usp=sharing"",""งบพรบ!IM59"")"),0)</f>
        <v>0</v>
      </c>
      <c r="P59" s="67">
        <f t="shared" ca="1" si="27"/>
        <v>0</v>
      </c>
      <c r="Q59" s="68">
        <f t="shared" ca="1" si="28"/>
        <v>0</v>
      </c>
      <c r="R59" s="67">
        <f ca="1">IFERROR(__xludf.DUMMYFUNCTION("IMPORTRANGE(""https://docs.google.com/spreadsheets/d/18hSgUJ3VwClqi_qtULmmW3cLr0oe3OKaSYoKzdpTsYQ/edit?usp=sharing"",""นครนายก!Q375"")"),0)</f>
        <v>0</v>
      </c>
      <c r="S59" s="67">
        <f ca="1">IFERROR(__xludf.DUMMYFUNCTION("IMPORTRANGE(""https://docs.google.com/spreadsheets/d/18hSgUJ3VwClqi_qtULmmW3cLr0oe3OKaSYoKzdpTsYQ/edit?usp=sharing"",""นครนายก!R375"")"),0)</f>
        <v>0</v>
      </c>
      <c r="T59" s="67">
        <f ca="1">IFERROR(__xludf.DUMMYFUNCTION("IMPORTRANGE(""https://docs.google.com/spreadsheets/d/18hSgUJ3VwClqi_qtULmmW3cLr0oe3OKaSYoKzdpTsYQ/edit?usp=sharing"",""นครนายก!S375"")"),0)</f>
        <v>0</v>
      </c>
      <c r="U59" s="68">
        <f t="shared" ca="1" si="30"/>
        <v>0</v>
      </c>
      <c r="V59" s="68">
        <f t="shared" ca="1" si="31"/>
        <v>0</v>
      </c>
      <c r="W59" s="439">
        <f t="shared" ca="1" si="47"/>
        <v>0</v>
      </c>
      <c r="X59" s="439">
        <f ca="1">IFERROR(__xludf.DUMMYFUNCTION("IMPORTRANGE(""https://docs.google.com/spreadsheets/d/18hSgUJ3VwClqi_qtULmmW3cLr0oe3OKaSYoKzdpTsYQ/edit?usp=sharing"",""นครนายก!J374"")"),0)</f>
        <v>0</v>
      </c>
      <c r="Y59" s="440">
        <f t="shared" ca="1" si="11"/>
        <v>0</v>
      </c>
      <c r="Z59" s="439">
        <f ca="1">IFERROR(__xludf.DUMMYFUNCTION("IMPORTRANGE(""https://docs.google.com/spreadsheets/d/18hSgUJ3VwClqi_qtULmmW3cLr0oe3OKaSYoKzdpTsYQ/edit?usp=sharing"",""นครนายก!I386"")"),0)</f>
        <v>0</v>
      </c>
      <c r="AA59" s="74">
        <f ca="1">IFERROR(__xludf.DUMMYFUNCTION("IMPORTRANGE(""https://docs.google.com/spreadsheets/d/18hSgUJ3VwClqi_qtULmmW3cLr0oe3OKaSYoKzdpTsYQ/edit?usp=sharing"",""นครนายก!J385"")"),0)</f>
        <v>0</v>
      </c>
      <c r="AB59" s="74">
        <f ca="1">IFERROR(__xludf.DUMMYFUNCTION("IMPORTRANGE(""https://docs.google.com/spreadsheets/d/18hSgUJ3VwClqi_qtULmmW3cLr0oe3OKaSYoKzdpTsYQ/edit?usp=sharing"",""นครนายก!J386"")"),0)</f>
        <v>0</v>
      </c>
      <c r="AC59" s="441">
        <f ca="1">IFERROR(__xludf.DUMMYFUNCTION("IMPORTRANGE(""https://docs.google.com/spreadsheets/d/18hSgUJ3VwClqi_qtULmmW3cLr0oe3OKaSYoKzdpTsYQ/edit?usp=sharing"",""นครนายก!I388"")"),0)</f>
        <v>0</v>
      </c>
      <c r="AD59" s="74">
        <f ca="1">IFERROR(__xludf.DUMMYFUNCTION("IMPORTRANGE(""https://docs.google.com/spreadsheets/d/18hSgUJ3VwClqi_qtULmmW3cLr0oe3OKaSYoKzdpTsYQ/edit?usp=sharing"",""นครนายก!J387"")"),0)</f>
        <v>0</v>
      </c>
      <c r="AE59" s="74">
        <f ca="1">IFERROR(__xludf.DUMMYFUNCTION("IMPORTRANGE(""https://docs.google.com/spreadsheets/d/18hSgUJ3VwClqi_qtULmmW3cLr0oe3OKaSYoKzdpTsYQ/edit?usp=sharing"",""นครนายก!J388"")"),0)</f>
        <v>0</v>
      </c>
    </row>
    <row r="60" spans="1:31" ht="19.5" x14ac:dyDescent="0.3">
      <c r="A60" s="147">
        <v>8</v>
      </c>
      <c r="B60" s="148" t="s">
        <v>88</v>
      </c>
      <c r="C60" s="149">
        <f t="shared" ca="1" si="21"/>
        <v>0</v>
      </c>
      <c r="D60" s="150">
        <f t="shared" ca="1" si="46"/>
        <v>0</v>
      </c>
      <c r="E60" s="151">
        <f ca="1">IFERROR(__xludf.DUMMYFUNCTION("IMPORTRANGE(""https://docs.google.com/spreadsheets/d/1-uDff_7J0KD5mKrp0Vvzr7lt3OU09vwQwhkpOPPYv2Y/edit?usp=sharing"",""งบพรบ!IF60"")"),0)</f>
        <v>0</v>
      </c>
      <c r="F60" s="151">
        <f ca="1">IFERROR(__xludf.DUMMYFUNCTION("IMPORTRANGE(""https://docs.google.com/spreadsheets/d/1-uDff_7J0KD5mKrp0Vvzr7lt3OU09vwQwhkpOPPYv2Y/edit?usp=sharing"",""งบพรบ!IG60"")"),0)</f>
        <v>0</v>
      </c>
      <c r="G60" s="151">
        <f ca="1">IFERROR(__xludf.DUMMYFUNCTION("IMPORTRANGE(""https://docs.google.com/spreadsheets/d/1-uDff_7J0KD5mKrp0Vvzr7lt3OU09vwQwhkpOPPYv2Y/edit?usp=sharing"",""งบพรบ!IH60"")"),0)</f>
        <v>0</v>
      </c>
      <c r="H60" s="151">
        <f ca="1">IFERROR(__xludf.DUMMYFUNCTION("IMPORTRANGE(""https://docs.google.com/spreadsheets/d/1-uDff_7J0KD5mKrp0Vvzr7lt3OU09vwQwhkpOPPYv2Y/edit?usp=sharing"",""งบพรบ!IJ60"")"),0)</f>
        <v>0</v>
      </c>
      <c r="I60" s="151">
        <f ca="1">IFERROR(__xludf.DUMMYFUNCTION("IMPORTRANGE(""https://docs.google.com/spreadsheets/d/1-uDff_7J0KD5mKrp0Vvzr7lt3OU09vwQwhkpOPPYv2Y/edit?usp=sharing"",""งบพรบ!IK60"")"),0)</f>
        <v>0</v>
      </c>
      <c r="J60" s="151">
        <f t="shared" ca="1" si="23"/>
        <v>0</v>
      </c>
      <c r="K60" s="154">
        <f t="shared" ca="1" si="24"/>
        <v>0</v>
      </c>
      <c r="L60" s="151">
        <f ca="1">IFERROR(__xludf.DUMMYFUNCTION("IMPORTRANGE(""https://docs.google.com/spreadsheets/d/1-uDff_7J0KD5mKrp0Vvzr7lt3OU09vwQwhkpOPPYv2Y/edit?usp=sharing"",""งบพรบ!IL60"")"),0)</f>
        <v>0</v>
      </c>
      <c r="M60" s="68">
        <f t="shared" ca="1" si="25"/>
        <v>0</v>
      </c>
      <c r="N60" s="68">
        <f t="shared" ca="1" si="26"/>
        <v>0</v>
      </c>
      <c r="O60" s="151">
        <f ca="1">IFERROR(__xludf.DUMMYFUNCTION("IMPORTRANGE(""https://docs.google.com/spreadsheets/d/1-uDff_7J0KD5mKrp0Vvzr7lt3OU09vwQwhkpOPPYv2Y/edit?usp=sharing"",""งบพรบ!IM60"")"),0)</f>
        <v>0</v>
      </c>
      <c r="P60" s="67">
        <f t="shared" ca="1" si="27"/>
        <v>0</v>
      </c>
      <c r="Q60" s="68">
        <f t="shared" ca="1" si="28"/>
        <v>0</v>
      </c>
      <c r="R60" s="67">
        <f ca="1">IFERROR(__xludf.DUMMYFUNCTION("IMPORTRANGE(""https://docs.google.com/spreadsheets/d/1YTZo6WM2dQ6Ix6FSdnL5P7uVnVKu40sxZu975tgG10E/edit?usp=sharing"",""นครปฐม!Q375"")"),0)</f>
        <v>0</v>
      </c>
      <c r="S60" s="67">
        <f ca="1">IFERROR(__xludf.DUMMYFUNCTION("IMPORTRANGE(""https://docs.google.com/spreadsheets/d/1YTZo6WM2dQ6Ix6FSdnL5P7uVnVKu40sxZu975tgG10E/edit?usp=sharing"",""นครปฐม!R375"")"),0)</f>
        <v>0</v>
      </c>
      <c r="T60" s="67">
        <f ca="1">IFERROR(__xludf.DUMMYFUNCTION("IMPORTRANGE(""https://docs.google.com/spreadsheets/d/1YTZo6WM2dQ6Ix6FSdnL5P7uVnVKu40sxZu975tgG10E/edit?usp=sharing"",""นครปฐม!S375"")"),0)</f>
        <v>0</v>
      </c>
      <c r="U60" s="68">
        <f t="shared" ca="1" si="30"/>
        <v>0</v>
      </c>
      <c r="V60" s="68">
        <f t="shared" ca="1" si="31"/>
        <v>0</v>
      </c>
      <c r="W60" s="439">
        <f t="shared" ca="1" si="47"/>
        <v>0</v>
      </c>
      <c r="X60" s="439">
        <f ca="1">IFERROR(__xludf.DUMMYFUNCTION("IMPORTRANGE(""https://docs.google.com/spreadsheets/d/1YTZo6WM2dQ6Ix6FSdnL5P7uVnVKu40sxZu975tgG10E/edit?usp=sharing"",""นครปฐม!J374"")"),0)</f>
        <v>0</v>
      </c>
      <c r="Y60" s="440">
        <f t="shared" ca="1" si="11"/>
        <v>0</v>
      </c>
      <c r="Z60" s="439">
        <f ca="1">IFERROR(__xludf.DUMMYFUNCTION("IMPORTRANGE(""https://docs.google.com/spreadsheets/d/1YTZo6WM2dQ6Ix6FSdnL5P7uVnVKu40sxZu975tgG10E/edit?usp=sharing"",""นครปฐม!I386"")"),0)</f>
        <v>0</v>
      </c>
      <c r="AA60" s="74">
        <f ca="1">IFERROR(__xludf.DUMMYFUNCTION("IMPORTRANGE(""https://docs.google.com/spreadsheets/d/1YTZo6WM2dQ6Ix6FSdnL5P7uVnVKu40sxZu975tgG10E/edit?usp=sharing"",""นครปฐม!J385"")"),0)</f>
        <v>0</v>
      </c>
      <c r="AB60" s="74">
        <f ca="1">IFERROR(__xludf.DUMMYFUNCTION("IMPORTRANGE(""https://docs.google.com/spreadsheets/d/1YTZo6WM2dQ6Ix6FSdnL5P7uVnVKu40sxZu975tgG10E/edit?usp=sharing"",""นครปฐม!J386"")"),0)</f>
        <v>0</v>
      </c>
      <c r="AC60" s="441">
        <f ca="1">IFERROR(__xludf.DUMMYFUNCTION("IMPORTRANGE(""https://docs.google.com/spreadsheets/d/1YTZo6WM2dQ6Ix6FSdnL5P7uVnVKu40sxZu975tgG10E/edit?usp=sharing"",""นครปฐม!I388"")"),0)</f>
        <v>0</v>
      </c>
      <c r="AD60" s="74">
        <f ca="1">IFERROR(__xludf.DUMMYFUNCTION("IMPORTRANGE(""https://docs.google.com/spreadsheets/d/1YTZo6WM2dQ6Ix6FSdnL5P7uVnVKu40sxZu975tgG10E/edit?usp=sharing"",""นครปฐม!J387"")"),0)</f>
        <v>0</v>
      </c>
      <c r="AE60" s="74">
        <f ca="1">IFERROR(__xludf.DUMMYFUNCTION("IMPORTRANGE(""https://docs.google.com/spreadsheets/d/1YTZo6WM2dQ6Ix6FSdnL5P7uVnVKu40sxZu975tgG10E/edit?usp=sharing"",""นครปฐม!J388"")"),0)</f>
        <v>0</v>
      </c>
    </row>
    <row r="61" spans="1:31" ht="19.5" x14ac:dyDescent="0.3">
      <c r="A61" s="147">
        <v>9</v>
      </c>
      <c r="B61" s="148" t="s">
        <v>89</v>
      </c>
      <c r="C61" s="149">
        <f t="shared" ca="1" si="21"/>
        <v>0</v>
      </c>
      <c r="D61" s="150">
        <f t="shared" ca="1" si="46"/>
        <v>0</v>
      </c>
      <c r="E61" s="151">
        <f ca="1">IFERROR(__xludf.DUMMYFUNCTION("IMPORTRANGE(""https://docs.google.com/spreadsheets/d/1-uDff_7J0KD5mKrp0Vvzr7lt3OU09vwQwhkpOPPYv2Y/edit?usp=sharing"",""งบพรบ!IF61"")"),0)</f>
        <v>0</v>
      </c>
      <c r="F61" s="151">
        <f ca="1">IFERROR(__xludf.DUMMYFUNCTION("IMPORTRANGE(""https://docs.google.com/spreadsheets/d/1-uDff_7J0KD5mKrp0Vvzr7lt3OU09vwQwhkpOPPYv2Y/edit?usp=sharing"",""งบพรบ!IG61"")"),0)</f>
        <v>0</v>
      </c>
      <c r="G61" s="151">
        <f ca="1">IFERROR(__xludf.DUMMYFUNCTION("IMPORTRANGE(""https://docs.google.com/spreadsheets/d/1-uDff_7J0KD5mKrp0Vvzr7lt3OU09vwQwhkpOPPYv2Y/edit?usp=sharing"",""งบพรบ!IH61"")"),0)</f>
        <v>0</v>
      </c>
      <c r="H61" s="151">
        <f ca="1">IFERROR(__xludf.DUMMYFUNCTION("IMPORTRANGE(""https://docs.google.com/spreadsheets/d/1-uDff_7J0KD5mKrp0Vvzr7lt3OU09vwQwhkpOPPYv2Y/edit?usp=sharing"",""งบพรบ!IJ61"")"),0)</f>
        <v>0</v>
      </c>
      <c r="I61" s="151">
        <f ca="1">IFERROR(__xludf.DUMMYFUNCTION("IMPORTRANGE(""https://docs.google.com/spreadsheets/d/1-uDff_7J0KD5mKrp0Vvzr7lt3OU09vwQwhkpOPPYv2Y/edit?usp=sharing"",""งบพรบ!IK61"")"),0)</f>
        <v>0</v>
      </c>
      <c r="J61" s="151">
        <f t="shared" ca="1" si="23"/>
        <v>0</v>
      </c>
      <c r="K61" s="154">
        <f t="shared" ca="1" si="24"/>
        <v>0</v>
      </c>
      <c r="L61" s="151">
        <f ca="1">IFERROR(__xludf.DUMMYFUNCTION("IMPORTRANGE(""https://docs.google.com/spreadsheets/d/1-uDff_7J0KD5mKrp0Vvzr7lt3OU09vwQwhkpOPPYv2Y/edit?usp=sharing"",""งบพรบ!IL61"")"),0)</f>
        <v>0</v>
      </c>
      <c r="M61" s="68">
        <f t="shared" ca="1" si="25"/>
        <v>0</v>
      </c>
      <c r="N61" s="68">
        <f t="shared" ca="1" si="26"/>
        <v>0</v>
      </c>
      <c r="O61" s="151">
        <f ca="1">IFERROR(__xludf.DUMMYFUNCTION("IMPORTRANGE(""https://docs.google.com/spreadsheets/d/1-uDff_7J0KD5mKrp0Vvzr7lt3OU09vwQwhkpOPPYv2Y/edit?usp=sharing"",""งบพรบ!IM61"")"),0)</f>
        <v>0</v>
      </c>
      <c r="P61" s="67">
        <f t="shared" ca="1" si="27"/>
        <v>0</v>
      </c>
      <c r="Q61" s="68">
        <f t="shared" ca="1" si="28"/>
        <v>0</v>
      </c>
      <c r="R61" s="67">
        <f ca="1">IFERROR(__xludf.DUMMYFUNCTION("IMPORTRANGE(""https://docs.google.com/spreadsheets/d/1OYoGg4WDg5RIzwGeB10padOxJF9E_Vljuvvct_M7RDo/edit?usp=sharing"",""ปทุมธานี!Q375"")"),0)</f>
        <v>0</v>
      </c>
      <c r="S61" s="67">
        <f ca="1">IFERROR(__xludf.DUMMYFUNCTION("IMPORTRANGE(""https://docs.google.com/spreadsheets/d/1OYoGg4WDg5RIzwGeB10padOxJF9E_Vljuvvct_M7RDo/edit?usp=sharing"",""ปทุมธานี!R375"")"),0)</f>
        <v>0</v>
      </c>
      <c r="T61" s="67">
        <f ca="1">IFERROR(__xludf.DUMMYFUNCTION("IMPORTRANGE(""https://docs.google.com/spreadsheets/d/1OYoGg4WDg5RIzwGeB10padOxJF9E_Vljuvvct_M7RDo/edit?usp=sharing"",""ปทุมธานี!S375"")"),0)</f>
        <v>0</v>
      </c>
      <c r="U61" s="68">
        <f t="shared" ca="1" si="30"/>
        <v>0</v>
      </c>
      <c r="V61" s="68">
        <f t="shared" ca="1" si="31"/>
        <v>0</v>
      </c>
      <c r="W61" s="439">
        <f t="shared" ca="1" si="47"/>
        <v>0</v>
      </c>
      <c r="X61" s="439">
        <f ca="1">IFERROR(__xludf.DUMMYFUNCTION("IMPORTRANGE(""https://docs.google.com/spreadsheets/d/1OYoGg4WDg5RIzwGeB10padOxJF9E_Vljuvvct_M7RDo/edit?usp=sharing"",""ปทุมธานี!J374"")"),0)</f>
        <v>0</v>
      </c>
      <c r="Y61" s="440">
        <f t="shared" ca="1" si="11"/>
        <v>0</v>
      </c>
      <c r="Z61" s="439">
        <f ca="1">IFERROR(__xludf.DUMMYFUNCTION("IMPORTRANGE(""https://docs.google.com/spreadsheets/d/1OYoGg4WDg5RIzwGeB10padOxJF9E_Vljuvvct_M7RDo/edit?usp=sharing"",""ปทุมธานี!I386"")"),0)</f>
        <v>0</v>
      </c>
      <c r="AA61" s="74">
        <f ca="1">IFERROR(__xludf.DUMMYFUNCTION("IMPORTRANGE(""https://docs.google.com/spreadsheets/d/1OYoGg4WDg5RIzwGeB10padOxJF9E_Vljuvvct_M7RDo/edit?usp=sharing"",""ปทุมธานี!J385"")"),0)</f>
        <v>0</v>
      </c>
      <c r="AB61" s="74">
        <f ca="1">IFERROR(__xludf.DUMMYFUNCTION("IMPORTRANGE(""https://docs.google.com/spreadsheets/d/1OYoGg4WDg5RIzwGeB10padOxJF9E_Vljuvvct_M7RDo/edit?usp=sharing"",""ปทุมธานี!J386"")"),0)</f>
        <v>0</v>
      </c>
      <c r="AC61" s="441">
        <f ca="1">IFERROR(__xludf.DUMMYFUNCTION("IMPORTRANGE(""https://docs.google.com/spreadsheets/d/1OYoGg4WDg5RIzwGeB10padOxJF9E_Vljuvvct_M7RDo/edit?usp=sharing"",""ปทุมธานี!I388"")"),0)</f>
        <v>0</v>
      </c>
      <c r="AD61" s="74">
        <f ca="1">IFERROR(__xludf.DUMMYFUNCTION("IMPORTRANGE(""https://docs.google.com/spreadsheets/d/1OYoGg4WDg5RIzwGeB10padOxJF9E_Vljuvvct_M7RDo/edit?usp=sharing"",""ปทุมธานี!J387"")"),0)</f>
        <v>0</v>
      </c>
      <c r="AE61" s="74">
        <f ca="1">IFERROR(__xludf.DUMMYFUNCTION("IMPORTRANGE(""https://docs.google.com/spreadsheets/d/1OYoGg4WDg5RIzwGeB10padOxJF9E_Vljuvvct_M7RDo/edit?usp=sharing"",""ปทุมธานี!J388"")"),0)</f>
        <v>0</v>
      </c>
    </row>
    <row r="62" spans="1:31" ht="19.5" x14ac:dyDescent="0.3">
      <c r="A62" s="147">
        <v>10</v>
      </c>
      <c r="B62" s="148" t="s">
        <v>90</v>
      </c>
      <c r="C62" s="149">
        <f t="shared" ca="1" si="21"/>
        <v>43400</v>
      </c>
      <c r="D62" s="150">
        <f t="shared" ca="1" si="46"/>
        <v>43400</v>
      </c>
      <c r="E62" s="151">
        <f ca="1">IFERROR(__xludf.DUMMYFUNCTION("IMPORTRANGE(""https://docs.google.com/spreadsheets/d/1-uDff_7J0KD5mKrp0Vvzr7lt3OU09vwQwhkpOPPYv2Y/edit?usp=sharing"",""งบพรบ!IF62"")"),43400)</f>
        <v>43400</v>
      </c>
      <c r="F62" s="151">
        <f ca="1">IFERROR(__xludf.DUMMYFUNCTION("IMPORTRANGE(""https://docs.google.com/spreadsheets/d/1-uDff_7J0KD5mKrp0Vvzr7lt3OU09vwQwhkpOPPYv2Y/edit?usp=sharing"",""งบพรบ!IG62"")"),0)</f>
        <v>0</v>
      </c>
      <c r="G62" s="151">
        <f ca="1">IFERROR(__xludf.DUMMYFUNCTION("IMPORTRANGE(""https://docs.google.com/spreadsheets/d/1-uDff_7J0KD5mKrp0Vvzr7lt3OU09vwQwhkpOPPYv2Y/edit?usp=sharing"",""งบพรบ!IH62"")"),0)</f>
        <v>0</v>
      </c>
      <c r="H62" s="151">
        <f ca="1">IFERROR(__xludf.DUMMYFUNCTION("IMPORTRANGE(""https://docs.google.com/spreadsheets/d/1-uDff_7J0KD5mKrp0Vvzr7lt3OU09vwQwhkpOPPYv2Y/edit?usp=sharing"",""งบพรบ!IJ62"")"),43400)</f>
        <v>43400</v>
      </c>
      <c r="I62" s="151">
        <f ca="1">IFERROR(__xludf.DUMMYFUNCTION("IMPORTRANGE(""https://docs.google.com/spreadsheets/d/1-uDff_7J0KD5mKrp0Vvzr7lt3OU09vwQwhkpOPPYv2Y/edit?usp=sharing"",""งบพรบ!IK62"")"),0)</f>
        <v>0</v>
      </c>
      <c r="J62" s="151">
        <f t="shared" ca="1" si="23"/>
        <v>36420</v>
      </c>
      <c r="K62" s="154">
        <f t="shared" ca="1" si="24"/>
        <v>83.917050691244242</v>
      </c>
      <c r="L62" s="151">
        <f ca="1">IFERROR(__xludf.DUMMYFUNCTION("IMPORTRANGE(""https://docs.google.com/spreadsheets/d/1-uDff_7J0KD5mKrp0Vvzr7lt3OU09vwQwhkpOPPYv2Y/edit?usp=sharing"",""งบพรบ!IL62"")"),36420)</f>
        <v>36420</v>
      </c>
      <c r="M62" s="68">
        <f t="shared" ca="1" si="25"/>
        <v>83.917050691244242</v>
      </c>
      <c r="N62" s="68">
        <f t="shared" ca="1" si="26"/>
        <v>83.917050691244242</v>
      </c>
      <c r="O62" s="151">
        <f ca="1">IFERROR(__xludf.DUMMYFUNCTION("IMPORTRANGE(""https://docs.google.com/spreadsheets/d/1-uDff_7J0KD5mKrp0Vvzr7lt3OU09vwQwhkpOPPYv2Y/edit?usp=sharing"",""งบพรบ!IM62"")"),0)</f>
        <v>0</v>
      </c>
      <c r="P62" s="67">
        <f t="shared" ca="1" si="27"/>
        <v>0</v>
      </c>
      <c r="Q62" s="68">
        <f t="shared" ca="1" si="28"/>
        <v>0</v>
      </c>
      <c r="R62" s="67">
        <f ca="1">IFERROR(__xludf.DUMMYFUNCTION("IMPORTRANGE(""https://docs.google.com/spreadsheets/d/1GbCIE4D4wk9FUozzqk7SxfDMxDVBwVmI5zcaVUSzKAc/edit?usp=sharing"",""ประจวบคีรีขันธ์!Q375"")"),18750)</f>
        <v>18750</v>
      </c>
      <c r="S62" s="67">
        <f ca="1">IFERROR(__xludf.DUMMYFUNCTION("IMPORTRANGE(""https://docs.google.com/spreadsheets/d/1GbCIE4D4wk9FUozzqk7SxfDMxDVBwVmI5zcaVUSzKAc/edit?usp=sharing"",""ประจวบคีรีขันธ์!R375"")"),18750)</f>
        <v>18750</v>
      </c>
      <c r="T62" s="67">
        <f ca="1">IFERROR(__xludf.DUMMYFUNCTION("IMPORTRANGE(""https://docs.google.com/spreadsheets/d/1GbCIE4D4wk9FUozzqk7SxfDMxDVBwVmI5zcaVUSzKAc/edit?usp=sharing"",""ประจวบคีรีขันธ์!S375"")"),4500)</f>
        <v>4500</v>
      </c>
      <c r="U62" s="68">
        <f t="shared" ca="1" si="30"/>
        <v>24</v>
      </c>
      <c r="V62" s="68">
        <f t="shared" ca="1" si="31"/>
        <v>24</v>
      </c>
      <c r="W62" s="439">
        <f t="shared" ca="1" si="47"/>
        <v>300</v>
      </c>
      <c r="X62" s="439">
        <f ca="1">IFERROR(__xludf.DUMMYFUNCTION("IMPORTRANGE(""https://docs.google.com/spreadsheets/d/1GbCIE4D4wk9FUozzqk7SxfDMxDVBwVmI5zcaVUSzKAc/edit?usp=sharing"",""ประจวบคีรีขันธ์!J374"")"),0)</f>
        <v>0</v>
      </c>
      <c r="Y62" s="440">
        <f t="shared" ca="1" si="11"/>
        <v>0</v>
      </c>
      <c r="Z62" s="439">
        <f ca="1">IFERROR(__xludf.DUMMYFUNCTION("IMPORTRANGE(""https://docs.google.com/spreadsheets/d/1GbCIE4D4wk9FUozzqk7SxfDMxDVBwVmI5zcaVUSzKAc/edit?usp=sharing"",""ประจวบคีรีขันธ์!I386"")"),300)</f>
        <v>300</v>
      </c>
      <c r="AA62" s="74">
        <f ca="1">IFERROR(__xludf.DUMMYFUNCTION("IMPORTRANGE(""https://docs.google.com/spreadsheets/d/1GbCIE4D4wk9FUozzqk7SxfDMxDVBwVmI5zcaVUSzKAc/edit?usp=sharing"",""ประจวบคีรีขันธ์!J385"")"),0)</f>
        <v>0</v>
      </c>
      <c r="AB62" s="74">
        <f ca="1">IFERROR(__xludf.DUMMYFUNCTION("IMPORTRANGE(""https://docs.google.com/spreadsheets/d/1GbCIE4D4wk9FUozzqk7SxfDMxDVBwVmI5zcaVUSzKAc/edit?usp=sharing"",""ประจวบคีรีขันธ์!J386"")"),0)</f>
        <v>0</v>
      </c>
      <c r="AC62" s="441">
        <f ca="1">IFERROR(__xludf.DUMMYFUNCTION("IMPORTRANGE(""https://docs.google.com/spreadsheets/d/1GbCIE4D4wk9FUozzqk7SxfDMxDVBwVmI5zcaVUSzKAc/edit?usp=sharing"",""ประจวบคีรีขันธ์!I388"")"),0)</f>
        <v>0</v>
      </c>
      <c r="AD62" s="74">
        <f ca="1">IFERROR(__xludf.DUMMYFUNCTION("IMPORTRANGE(""https://docs.google.com/spreadsheets/d/1GbCIE4D4wk9FUozzqk7SxfDMxDVBwVmI5zcaVUSzKAc/edit?usp=sharing"",""ประจวบคีรีขันธ์!J387"")"),0)</f>
        <v>0</v>
      </c>
      <c r="AE62" s="74">
        <f ca="1">IFERROR(__xludf.DUMMYFUNCTION("IMPORTRANGE(""https://docs.google.com/spreadsheets/d/1GbCIE4D4wk9FUozzqk7SxfDMxDVBwVmI5zcaVUSzKAc/edit?usp=sharing"",""ประจวบคีรีขันธ์!J388"")"),0)</f>
        <v>0</v>
      </c>
    </row>
    <row r="63" spans="1:31" ht="19.5" x14ac:dyDescent="0.3">
      <c r="A63" s="147">
        <v>11</v>
      </c>
      <c r="B63" s="148" t="s">
        <v>91</v>
      </c>
      <c r="C63" s="149">
        <f t="shared" ca="1" si="21"/>
        <v>0</v>
      </c>
      <c r="D63" s="150">
        <f t="shared" ca="1" si="46"/>
        <v>0</v>
      </c>
      <c r="E63" s="151">
        <f ca="1">IFERROR(__xludf.DUMMYFUNCTION("IMPORTRANGE(""https://docs.google.com/spreadsheets/d/1-uDff_7J0KD5mKrp0Vvzr7lt3OU09vwQwhkpOPPYv2Y/edit?usp=sharing"",""งบพรบ!IF63"")"),0)</f>
        <v>0</v>
      </c>
      <c r="F63" s="151">
        <f ca="1">IFERROR(__xludf.DUMMYFUNCTION("IMPORTRANGE(""https://docs.google.com/spreadsheets/d/1-uDff_7J0KD5mKrp0Vvzr7lt3OU09vwQwhkpOPPYv2Y/edit?usp=sharing"",""งบพรบ!IG63"")"),0)</f>
        <v>0</v>
      </c>
      <c r="G63" s="151">
        <f ca="1">IFERROR(__xludf.DUMMYFUNCTION("IMPORTRANGE(""https://docs.google.com/spreadsheets/d/1-uDff_7J0KD5mKrp0Vvzr7lt3OU09vwQwhkpOPPYv2Y/edit?usp=sharing"",""งบพรบ!IH63"")"),0)</f>
        <v>0</v>
      </c>
      <c r="H63" s="151">
        <f ca="1">IFERROR(__xludf.DUMMYFUNCTION("IMPORTRANGE(""https://docs.google.com/spreadsheets/d/1-uDff_7J0KD5mKrp0Vvzr7lt3OU09vwQwhkpOPPYv2Y/edit?usp=sharing"",""งบพรบ!IJ63"")"),0)</f>
        <v>0</v>
      </c>
      <c r="I63" s="151">
        <f ca="1">IFERROR(__xludf.DUMMYFUNCTION("IMPORTRANGE(""https://docs.google.com/spreadsheets/d/1-uDff_7J0KD5mKrp0Vvzr7lt3OU09vwQwhkpOPPYv2Y/edit?usp=sharing"",""งบพรบ!IK63"")"),0)</f>
        <v>0</v>
      </c>
      <c r="J63" s="151">
        <f t="shared" ca="1" si="23"/>
        <v>0</v>
      </c>
      <c r="K63" s="154">
        <f t="shared" ca="1" si="24"/>
        <v>0</v>
      </c>
      <c r="L63" s="151">
        <f ca="1">IFERROR(__xludf.DUMMYFUNCTION("IMPORTRANGE(""https://docs.google.com/spreadsheets/d/1-uDff_7J0KD5mKrp0Vvzr7lt3OU09vwQwhkpOPPYv2Y/edit?usp=sharing"",""งบพรบ!IL63"")"),0)</f>
        <v>0</v>
      </c>
      <c r="M63" s="68">
        <f t="shared" ca="1" si="25"/>
        <v>0</v>
      </c>
      <c r="N63" s="68">
        <f t="shared" ca="1" si="26"/>
        <v>0</v>
      </c>
      <c r="O63" s="151">
        <f ca="1">IFERROR(__xludf.DUMMYFUNCTION("IMPORTRANGE(""https://docs.google.com/spreadsheets/d/1-uDff_7J0KD5mKrp0Vvzr7lt3OU09vwQwhkpOPPYv2Y/edit?usp=sharing"",""งบพรบ!IM63"")"),0)</f>
        <v>0</v>
      </c>
      <c r="P63" s="67">
        <f t="shared" ca="1" si="27"/>
        <v>0</v>
      </c>
      <c r="Q63" s="68">
        <f t="shared" ca="1" si="28"/>
        <v>0</v>
      </c>
      <c r="R63" s="67">
        <f ca="1">IFERROR(__xludf.DUMMYFUNCTION("IMPORTRANGE(""https://docs.google.com/spreadsheets/d/1vVf6wykvW_lAyu7Yo9L4hUTqHqIeP_qcVuxCtosJEbg/edit?usp=sharing"",""ปราจีนบุรี!Q375"")"),125000)</f>
        <v>125000</v>
      </c>
      <c r="S63" s="67">
        <f ca="1">IFERROR(__xludf.DUMMYFUNCTION("IMPORTRANGE(""https://docs.google.com/spreadsheets/d/1vVf6wykvW_lAyu7Yo9L4hUTqHqIeP_qcVuxCtosJEbg/edit?usp=sharing"",""ปราจีนบุรี!R375"")"),125000)</f>
        <v>125000</v>
      </c>
      <c r="T63" s="67">
        <f ca="1">IFERROR(__xludf.DUMMYFUNCTION("IMPORTRANGE(""https://docs.google.com/spreadsheets/d/1vVf6wykvW_lAyu7Yo9L4hUTqHqIeP_qcVuxCtosJEbg/edit?usp=sharing"",""ปราจีนบุรี!S375"")"),43691)</f>
        <v>43691</v>
      </c>
      <c r="U63" s="68">
        <f t="shared" ca="1" si="30"/>
        <v>34.952800000000003</v>
      </c>
      <c r="V63" s="68">
        <f t="shared" ca="1" si="31"/>
        <v>34.952800000000003</v>
      </c>
      <c r="W63" s="439">
        <f t="shared" ca="1" si="47"/>
        <v>2000</v>
      </c>
      <c r="X63" s="439">
        <f ca="1">IFERROR(__xludf.DUMMYFUNCTION("IMPORTRANGE(""https://docs.google.com/spreadsheets/d/1vVf6wykvW_lAyu7Yo9L4hUTqHqIeP_qcVuxCtosJEbg/edit?usp=sharing"",""ปราจีนบุรี!J374"")"),9)</f>
        <v>9</v>
      </c>
      <c r="Y63" s="440">
        <f t="shared" ca="1" si="11"/>
        <v>0.45</v>
      </c>
      <c r="Z63" s="439">
        <f ca="1">IFERROR(__xludf.DUMMYFUNCTION("IMPORTRANGE(""https://docs.google.com/spreadsheets/d/1vVf6wykvW_lAyu7Yo9L4hUTqHqIeP_qcVuxCtosJEbg/edit?usp=sharing"",""ปราจีนบุรี!I386"")"),2000)</f>
        <v>2000</v>
      </c>
      <c r="AA63" s="74">
        <f ca="1">IFERROR(__xludf.DUMMYFUNCTION("IMPORTRANGE(""https://docs.google.com/spreadsheets/d/1vVf6wykvW_lAyu7Yo9L4hUTqHqIeP_qcVuxCtosJEbg/edit?usp=sharing"",""ปราจีนบุรี!J385"")"),2)</f>
        <v>2</v>
      </c>
      <c r="AB63" s="74">
        <f ca="1">IFERROR(__xludf.DUMMYFUNCTION("IMPORTRANGE(""https://docs.google.com/spreadsheets/d/1vVf6wykvW_lAyu7Yo9L4hUTqHqIeP_qcVuxCtosJEbg/edit?usp=sharing"",""ปราจีนบุรี!J386"")"),9)</f>
        <v>9</v>
      </c>
      <c r="AC63" s="441">
        <f ca="1">IFERROR(__xludf.DUMMYFUNCTION("IMPORTRANGE(""https://docs.google.com/spreadsheets/d/1vVf6wykvW_lAyu7Yo9L4hUTqHqIeP_qcVuxCtosJEbg/edit?usp=sharing"",""ปราจีนบุรี!I388"")"),0)</f>
        <v>0</v>
      </c>
      <c r="AD63" s="74">
        <f ca="1">IFERROR(__xludf.DUMMYFUNCTION("IMPORTRANGE(""https://docs.google.com/spreadsheets/d/1vVf6wykvW_lAyu7Yo9L4hUTqHqIeP_qcVuxCtosJEbg/edit?usp=sharing"",""ปราจีนบุรี!J387"")"),0)</f>
        <v>0</v>
      </c>
      <c r="AE63" s="74">
        <f ca="1">IFERROR(__xludf.DUMMYFUNCTION("IMPORTRANGE(""https://docs.google.com/spreadsheets/d/1vVf6wykvW_lAyu7Yo9L4hUTqHqIeP_qcVuxCtosJEbg/edit?usp=sharing"",""ปราจีนบุรี!J388"")"),0)</f>
        <v>0</v>
      </c>
    </row>
    <row r="64" spans="1:31" ht="19.5" x14ac:dyDescent="0.3">
      <c r="A64" s="147">
        <v>12</v>
      </c>
      <c r="B64" s="148" t="s">
        <v>92</v>
      </c>
      <c r="C64" s="149">
        <f t="shared" ca="1" si="21"/>
        <v>0</v>
      </c>
      <c r="D64" s="150">
        <f t="shared" ca="1" si="46"/>
        <v>0</v>
      </c>
      <c r="E64" s="151">
        <f ca="1">IFERROR(__xludf.DUMMYFUNCTION("IMPORTRANGE(""https://docs.google.com/spreadsheets/d/1-uDff_7J0KD5mKrp0Vvzr7lt3OU09vwQwhkpOPPYv2Y/edit?usp=sharing"",""งบพรบ!IF64"")"),0)</f>
        <v>0</v>
      </c>
      <c r="F64" s="151">
        <f ca="1">IFERROR(__xludf.DUMMYFUNCTION("IMPORTRANGE(""https://docs.google.com/spreadsheets/d/1-uDff_7J0KD5mKrp0Vvzr7lt3OU09vwQwhkpOPPYv2Y/edit?usp=sharing"",""งบพรบ!IG64"")"),0)</f>
        <v>0</v>
      </c>
      <c r="G64" s="151">
        <f ca="1">IFERROR(__xludf.DUMMYFUNCTION("IMPORTRANGE(""https://docs.google.com/spreadsheets/d/1-uDff_7J0KD5mKrp0Vvzr7lt3OU09vwQwhkpOPPYv2Y/edit?usp=sharing"",""งบพรบ!IH64"")"),0)</f>
        <v>0</v>
      </c>
      <c r="H64" s="151">
        <f ca="1">IFERROR(__xludf.DUMMYFUNCTION("IMPORTRANGE(""https://docs.google.com/spreadsheets/d/1-uDff_7J0KD5mKrp0Vvzr7lt3OU09vwQwhkpOPPYv2Y/edit?usp=sharing"",""งบพรบ!IJ64"")"),0)</f>
        <v>0</v>
      </c>
      <c r="I64" s="151">
        <f ca="1">IFERROR(__xludf.DUMMYFUNCTION("IMPORTRANGE(""https://docs.google.com/spreadsheets/d/1-uDff_7J0KD5mKrp0Vvzr7lt3OU09vwQwhkpOPPYv2Y/edit?usp=sharing"",""งบพรบ!IK64"")"),0)</f>
        <v>0</v>
      </c>
      <c r="J64" s="151">
        <f t="shared" ca="1" si="23"/>
        <v>0</v>
      </c>
      <c r="K64" s="154">
        <f t="shared" ca="1" si="24"/>
        <v>0</v>
      </c>
      <c r="L64" s="151">
        <f ca="1">IFERROR(__xludf.DUMMYFUNCTION("IMPORTRANGE(""https://docs.google.com/spreadsheets/d/1-uDff_7J0KD5mKrp0Vvzr7lt3OU09vwQwhkpOPPYv2Y/edit?usp=sharing"",""งบพรบ!IL64"")"),0)</f>
        <v>0</v>
      </c>
      <c r="M64" s="68">
        <f t="shared" ca="1" si="25"/>
        <v>0</v>
      </c>
      <c r="N64" s="68">
        <f t="shared" ca="1" si="26"/>
        <v>0</v>
      </c>
      <c r="O64" s="151">
        <f ca="1">IFERROR(__xludf.DUMMYFUNCTION("IMPORTRANGE(""https://docs.google.com/spreadsheets/d/1-uDff_7J0KD5mKrp0Vvzr7lt3OU09vwQwhkpOPPYv2Y/edit?usp=sharing"",""งบพรบ!IM64"")"),0)</f>
        <v>0</v>
      </c>
      <c r="P64" s="67">
        <f t="shared" ca="1" si="27"/>
        <v>0</v>
      </c>
      <c r="Q64" s="68">
        <f t="shared" ca="1" si="28"/>
        <v>0</v>
      </c>
      <c r="R64" s="67">
        <f ca="1">IFERROR(__xludf.DUMMYFUNCTION("IMPORTRANGE(""https://docs.google.com/spreadsheets/d/1BIDqLLg5jk3v59G8NlR8rk5xfQDKne0sAvZHSj7TI6I/edit?usp=sharing"",""พระนครศรีอยุธยา!Q375"")"),0)</f>
        <v>0</v>
      </c>
      <c r="S64" s="67">
        <f ca="1">IFERROR(__xludf.DUMMYFUNCTION("IMPORTRANGE(""https://docs.google.com/spreadsheets/d/1BIDqLLg5jk3v59G8NlR8rk5xfQDKne0sAvZHSj7TI6I/edit?usp=sharing"",""พระนครศรีอยุธยา!R375"")"),0)</f>
        <v>0</v>
      </c>
      <c r="T64" s="67">
        <f ca="1">IFERROR(__xludf.DUMMYFUNCTION("IMPORTRANGE(""https://docs.google.com/spreadsheets/d/1BIDqLLg5jk3v59G8NlR8rk5xfQDKne0sAvZHSj7TI6I/edit?usp=sharing"",""พระนครศรีอยุธยา!S375"")"),0)</f>
        <v>0</v>
      </c>
      <c r="U64" s="68">
        <f t="shared" ca="1" si="30"/>
        <v>0</v>
      </c>
      <c r="V64" s="68">
        <f t="shared" ca="1" si="31"/>
        <v>0</v>
      </c>
      <c r="W64" s="439">
        <f t="shared" ca="1" si="47"/>
        <v>0</v>
      </c>
      <c r="X64" s="439">
        <f ca="1">IFERROR(__xludf.DUMMYFUNCTION("IMPORTRANGE(""https://docs.google.com/spreadsheets/d/1BIDqLLg5jk3v59G8NlR8rk5xfQDKne0sAvZHSj7TI6I/edit?usp=sharing"",""พระนครศรีอยุธยา!J374"")"),0)</f>
        <v>0</v>
      </c>
      <c r="Y64" s="440">
        <f t="shared" ca="1" si="11"/>
        <v>0</v>
      </c>
      <c r="Z64" s="439">
        <f ca="1">IFERROR(__xludf.DUMMYFUNCTION("IMPORTRANGE(""https://docs.google.com/spreadsheets/d/1BIDqLLg5jk3v59G8NlR8rk5xfQDKne0sAvZHSj7TI6I/edit?usp=sharing"",""พระนครศรีอยุธยา!I386"")"),0)</f>
        <v>0</v>
      </c>
      <c r="AA64" s="74">
        <f ca="1">IFERROR(__xludf.DUMMYFUNCTION("IMPORTRANGE(""https://docs.google.com/spreadsheets/d/1BIDqLLg5jk3v59G8NlR8rk5xfQDKne0sAvZHSj7TI6I/edit?usp=sharing"",""พระนครศรีอยุธยา!J385"")"),0)</f>
        <v>0</v>
      </c>
      <c r="AB64" s="74">
        <f ca="1">IFERROR(__xludf.DUMMYFUNCTION("IMPORTRANGE(""https://docs.google.com/spreadsheets/d/1BIDqLLg5jk3v59G8NlR8rk5xfQDKne0sAvZHSj7TI6I/edit?usp=sharing"",""พระนครศรีอยุธยา!J386"")"),0)</f>
        <v>0</v>
      </c>
      <c r="AC64" s="441">
        <f ca="1">IFERROR(__xludf.DUMMYFUNCTION("IMPORTRANGE(""https://docs.google.com/spreadsheets/d/1BIDqLLg5jk3v59G8NlR8rk5xfQDKne0sAvZHSj7TI6I/edit?usp=sharing"",""พระนครศรีอยุธยา!I388"")"),0)</f>
        <v>0</v>
      </c>
      <c r="AD64" s="74">
        <f ca="1">IFERROR(__xludf.DUMMYFUNCTION("IMPORTRANGE(""https://docs.google.com/spreadsheets/d/1BIDqLLg5jk3v59G8NlR8rk5xfQDKne0sAvZHSj7TI6I/edit?usp=sharing"",""พระนครศรีอยุธยา!J387"")"),0)</f>
        <v>0</v>
      </c>
      <c r="AE64" s="74">
        <f ca="1">IFERROR(__xludf.DUMMYFUNCTION("IMPORTRANGE(""https://docs.google.com/spreadsheets/d/1BIDqLLg5jk3v59G8NlR8rk5xfQDKne0sAvZHSj7TI6I/edit?usp=sharing"",""พระนครศรีอยุธยา!J388"")"),0)</f>
        <v>0</v>
      </c>
    </row>
    <row r="65" spans="1:31" ht="19.5" x14ac:dyDescent="0.3">
      <c r="A65" s="147">
        <v>13</v>
      </c>
      <c r="B65" s="148" t="s">
        <v>93</v>
      </c>
      <c r="C65" s="149">
        <f t="shared" ca="1" si="21"/>
        <v>0</v>
      </c>
      <c r="D65" s="150">
        <f t="shared" ca="1" si="46"/>
        <v>0</v>
      </c>
      <c r="E65" s="151">
        <f ca="1">IFERROR(__xludf.DUMMYFUNCTION("IMPORTRANGE(""https://docs.google.com/spreadsheets/d/1-uDff_7J0KD5mKrp0Vvzr7lt3OU09vwQwhkpOPPYv2Y/edit?usp=sharing"",""งบพรบ!IF65"")"),0)</f>
        <v>0</v>
      </c>
      <c r="F65" s="151">
        <f ca="1">IFERROR(__xludf.DUMMYFUNCTION("IMPORTRANGE(""https://docs.google.com/spreadsheets/d/1-uDff_7J0KD5mKrp0Vvzr7lt3OU09vwQwhkpOPPYv2Y/edit?usp=sharing"",""งบพรบ!IG65"")"),0)</f>
        <v>0</v>
      </c>
      <c r="G65" s="151">
        <f ca="1">IFERROR(__xludf.DUMMYFUNCTION("IMPORTRANGE(""https://docs.google.com/spreadsheets/d/1-uDff_7J0KD5mKrp0Vvzr7lt3OU09vwQwhkpOPPYv2Y/edit?usp=sharing"",""งบพรบ!IH65"")"),0)</f>
        <v>0</v>
      </c>
      <c r="H65" s="151">
        <f ca="1">IFERROR(__xludf.DUMMYFUNCTION("IMPORTRANGE(""https://docs.google.com/spreadsheets/d/1-uDff_7J0KD5mKrp0Vvzr7lt3OU09vwQwhkpOPPYv2Y/edit?usp=sharing"",""งบพรบ!IJ65"")"),0)</f>
        <v>0</v>
      </c>
      <c r="I65" s="151">
        <f ca="1">IFERROR(__xludf.DUMMYFUNCTION("IMPORTRANGE(""https://docs.google.com/spreadsheets/d/1-uDff_7J0KD5mKrp0Vvzr7lt3OU09vwQwhkpOPPYv2Y/edit?usp=sharing"",""งบพรบ!IK65"")"),0)</f>
        <v>0</v>
      </c>
      <c r="J65" s="151">
        <f t="shared" ca="1" si="23"/>
        <v>0</v>
      </c>
      <c r="K65" s="154">
        <f t="shared" ca="1" si="24"/>
        <v>0</v>
      </c>
      <c r="L65" s="151">
        <f ca="1">IFERROR(__xludf.DUMMYFUNCTION("IMPORTRANGE(""https://docs.google.com/spreadsheets/d/1-uDff_7J0KD5mKrp0Vvzr7lt3OU09vwQwhkpOPPYv2Y/edit?usp=sharing"",""งบพรบ!IL65"")"),0)</f>
        <v>0</v>
      </c>
      <c r="M65" s="68">
        <f t="shared" ca="1" si="25"/>
        <v>0</v>
      </c>
      <c r="N65" s="68">
        <f t="shared" ca="1" si="26"/>
        <v>0</v>
      </c>
      <c r="O65" s="151">
        <f ca="1">IFERROR(__xludf.DUMMYFUNCTION("IMPORTRANGE(""https://docs.google.com/spreadsheets/d/1-uDff_7J0KD5mKrp0Vvzr7lt3OU09vwQwhkpOPPYv2Y/edit?usp=sharing"",""งบพรบ!IM65"")"),0)</f>
        <v>0</v>
      </c>
      <c r="P65" s="67">
        <f t="shared" ca="1" si="27"/>
        <v>0</v>
      </c>
      <c r="Q65" s="68">
        <f t="shared" ca="1" si="28"/>
        <v>0</v>
      </c>
      <c r="R65" s="67">
        <f ca="1">IFERROR(__xludf.DUMMYFUNCTION("IMPORTRANGE(""https://docs.google.com/spreadsheets/d/1YXvxf8Yu6_rV4hTBrwMqAcAnv6DfhUxh5emyM3CJp_w/edit?usp=sharing"",""เพชรบุรี!Q375"")"),0)</f>
        <v>0</v>
      </c>
      <c r="S65" s="67">
        <f ca="1">IFERROR(__xludf.DUMMYFUNCTION("IMPORTRANGE(""https://docs.google.com/spreadsheets/d/1YXvxf8Yu6_rV4hTBrwMqAcAnv6DfhUxh5emyM3CJp_w/edit?usp=sharing"",""เพชรบุรี!R375"")"),0)</f>
        <v>0</v>
      </c>
      <c r="T65" s="67">
        <f ca="1">IFERROR(__xludf.DUMMYFUNCTION("IMPORTRANGE(""https://docs.google.com/spreadsheets/d/1YXvxf8Yu6_rV4hTBrwMqAcAnv6DfhUxh5emyM3CJp_w/edit?usp=sharing"",""เพชรบุรี!S375"")"),0)</f>
        <v>0</v>
      </c>
      <c r="U65" s="68">
        <f t="shared" ca="1" si="30"/>
        <v>0</v>
      </c>
      <c r="V65" s="68">
        <f t="shared" ca="1" si="31"/>
        <v>0</v>
      </c>
      <c r="W65" s="439">
        <f t="shared" ca="1" si="47"/>
        <v>0</v>
      </c>
      <c r="X65" s="439">
        <f ca="1">IFERROR(__xludf.DUMMYFUNCTION("IMPORTRANGE(""https://docs.google.com/spreadsheets/d/1YXvxf8Yu6_rV4hTBrwMqAcAnv6DfhUxh5emyM3CJp_w/edit?usp=sharing"",""เพชรบุรี!J374"")"),0)</f>
        <v>0</v>
      </c>
      <c r="Y65" s="440">
        <f t="shared" ca="1" si="11"/>
        <v>0</v>
      </c>
      <c r="Z65" s="439">
        <f ca="1">IFERROR(__xludf.DUMMYFUNCTION("IMPORTRANGE(""https://docs.google.com/spreadsheets/d/1YXvxf8Yu6_rV4hTBrwMqAcAnv6DfhUxh5emyM3CJp_w/edit?usp=sharing"",""เพชรบุรี!I386"")"),0)</f>
        <v>0</v>
      </c>
      <c r="AA65" s="74">
        <f ca="1">IFERROR(__xludf.DUMMYFUNCTION("IMPORTRANGE(""https://docs.google.com/spreadsheets/d/1YXvxf8Yu6_rV4hTBrwMqAcAnv6DfhUxh5emyM3CJp_w/edit?usp=sharing"",""เพชรบุรี!J385"")"),0)</f>
        <v>0</v>
      </c>
      <c r="AB65" s="74">
        <f ca="1">IFERROR(__xludf.DUMMYFUNCTION("IMPORTRANGE(""https://docs.google.com/spreadsheets/d/1YXvxf8Yu6_rV4hTBrwMqAcAnv6DfhUxh5emyM3CJp_w/edit?usp=sharing"",""เพชรบุรี!J386"")"),0)</f>
        <v>0</v>
      </c>
      <c r="AC65" s="441">
        <f ca="1">IFERROR(__xludf.DUMMYFUNCTION("IMPORTRANGE(""https://docs.google.com/spreadsheets/d/1YXvxf8Yu6_rV4hTBrwMqAcAnv6DfhUxh5emyM3CJp_w/edit?usp=sharing"",""เพชรบุรี!I388"")"),0)</f>
        <v>0</v>
      </c>
      <c r="AD65" s="74">
        <f ca="1">IFERROR(__xludf.DUMMYFUNCTION("IMPORTRANGE(""https://docs.google.com/spreadsheets/d/1YXvxf8Yu6_rV4hTBrwMqAcAnv6DfhUxh5emyM3CJp_w/edit?usp=sharing"",""เพชรบุรี!J387"")"),0)</f>
        <v>0</v>
      </c>
      <c r="AE65" s="74">
        <f ca="1">IFERROR(__xludf.DUMMYFUNCTION("IMPORTRANGE(""https://docs.google.com/spreadsheets/d/1YXvxf8Yu6_rV4hTBrwMqAcAnv6DfhUxh5emyM3CJp_w/edit?usp=sharing"",""เพชรบุรี!J388"")"),0)</f>
        <v>0</v>
      </c>
    </row>
    <row r="66" spans="1:31" ht="19.5" x14ac:dyDescent="0.3">
      <c r="A66" s="147">
        <v>14</v>
      </c>
      <c r="B66" s="148" t="s">
        <v>94</v>
      </c>
      <c r="C66" s="149">
        <f t="shared" ca="1" si="21"/>
        <v>42500</v>
      </c>
      <c r="D66" s="150">
        <f t="shared" ca="1" si="46"/>
        <v>42500</v>
      </c>
      <c r="E66" s="151">
        <f ca="1">IFERROR(__xludf.DUMMYFUNCTION("IMPORTRANGE(""https://docs.google.com/spreadsheets/d/1-uDff_7J0KD5mKrp0Vvzr7lt3OU09vwQwhkpOPPYv2Y/edit?usp=sharing"",""งบพรบ!IF66"")"),42500)</f>
        <v>42500</v>
      </c>
      <c r="F66" s="151">
        <f ca="1">IFERROR(__xludf.DUMMYFUNCTION("IMPORTRANGE(""https://docs.google.com/spreadsheets/d/1-uDff_7J0KD5mKrp0Vvzr7lt3OU09vwQwhkpOPPYv2Y/edit?usp=sharing"",""งบพรบ!IG66"")"),0)</f>
        <v>0</v>
      </c>
      <c r="G66" s="151">
        <f ca="1">IFERROR(__xludf.DUMMYFUNCTION("IMPORTRANGE(""https://docs.google.com/spreadsheets/d/1-uDff_7J0KD5mKrp0Vvzr7lt3OU09vwQwhkpOPPYv2Y/edit?usp=sharing"",""งบพรบ!IH66"")"),0)</f>
        <v>0</v>
      </c>
      <c r="H66" s="151">
        <f ca="1">IFERROR(__xludf.DUMMYFUNCTION("IMPORTRANGE(""https://docs.google.com/spreadsheets/d/1-uDff_7J0KD5mKrp0Vvzr7lt3OU09vwQwhkpOPPYv2Y/edit?usp=sharing"",""งบพรบ!IJ66"")"),42500)</f>
        <v>42500</v>
      </c>
      <c r="I66" s="151">
        <f ca="1">IFERROR(__xludf.DUMMYFUNCTION("IMPORTRANGE(""https://docs.google.com/spreadsheets/d/1-uDff_7J0KD5mKrp0Vvzr7lt3OU09vwQwhkpOPPYv2Y/edit?usp=sharing"",""งบพรบ!IK66"")"),0)</f>
        <v>0</v>
      </c>
      <c r="J66" s="151">
        <f t="shared" ca="1" si="23"/>
        <v>7561.6</v>
      </c>
      <c r="K66" s="154">
        <f t="shared" ca="1" si="24"/>
        <v>17.792000000000002</v>
      </c>
      <c r="L66" s="151">
        <f ca="1">IFERROR(__xludf.DUMMYFUNCTION("IMPORTRANGE(""https://docs.google.com/spreadsheets/d/1-uDff_7J0KD5mKrp0Vvzr7lt3OU09vwQwhkpOPPYv2Y/edit?usp=sharing"",""งบพรบ!IL66"")"),7561.6)</f>
        <v>7561.6</v>
      </c>
      <c r="M66" s="68">
        <f t="shared" ca="1" si="25"/>
        <v>17.792000000000002</v>
      </c>
      <c r="N66" s="68">
        <f t="shared" ca="1" si="26"/>
        <v>17.792000000000002</v>
      </c>
      <c r="O66" s="151">
        <f ca="1">IFERROR(__xludf.DUMMYFUNCTION("IMPORTRANGE(""https://docs.google.com/spreadsheets/d/1-uDff_7J0KD5mKrp0Vvzr7lt3OU09vwQwhkpOPPYv2Y/edit?usp=sharing"",""งบพรบ!IM66"")"),0)</f>
        <v>0</v>
      </c>
      <c r="P66" s="67">
        <f t="shared" ca="1" si="27"/>
        <v>0</v>
      </c>
      <c r="Q66" s="68">
        <f t="shared" ca="1" si="28"/>
        <v>0</v>
      </c>
      <c r="R66" s="67">
        <f ca="1">IFERROR(__xludf.DUMMYFUNCTION("IMPORTRANGE(""https://docs.google.com/spreadsheets/d/19KBlQQs7uwvsao6t2n-KvW3Ax8J8uRRfZPq1zPbXgKc/edit?usp=sharing"",""ระยอง!Q375"")"),31250)</f>
        <v>31250</v>
      </c>
      <c r="S66" s="67">
        <f ca="1">IFERROR(__xludf.DUMMYFUNCTION("IMPORTRANGE(""https://docs.google.com/spreadsheets/d/19KBlQQs7uwvsao6t2n-KvW3Ax8J8uRRfZPq1zPbXgKc/edit?usp=sharing"",""ระยอง!R375"")"),31250)</f>
        <v>31250</v>
      </c>
      <c r="T66" s="67">
        <f ca="1">IFERROR(__xludf.DUMMYFUNCTION("IMPORTRANGE(""https://docs.google.com/spreadsheets/d/19KBlQQs7uwvsao6t2n-KvW3Ax8J8uRRfZPq1zPbXgKc/edit?usp=sharing"",""ระยอง!S375"")"),30740)</f>
        <v>30740</v>
      </c>
      <c r="U66" s="68">
        <f t="shared" ca="1" si="30"/>
        <v>98.367999999999995</v>
      </c>
      <c r="V66" s="68">
        <f t="shared" ca="1" si="31"/>
        <v>98.367999999999995</v>
      </c>
      <c r="W66" s="439">
        <f t="shared" ca="1" si="47"/>
        <v>500</v>
      </c>
      <c r="X66" s="439">
        <f ca="1">IFERROR(__xludf.DUMMYFUNCTION("IMPORTRANGE(""https://docs.google.com/spreadsheets/d/19KBlQQs7uwvsao6t2n-KvW3Ax8J8uRRfZPq1zPbXgKc/edit?usp=sharing"",""ระยอง!J374"")"),0)</f>
        <v>0</v>
      </c>
      <c r="Y66" s="440">
        <f t="shared" ca="1" si="11"/>
        <v>0</v>
      </c>
      <c r="Z66" s="439">
        <f ca="1">IFERROR(__xludf.DUMMYFUNCTION("IMPORTRANGE(""https://docs.google.com/spreadsheets/d/19KBlQQs7uwvsao6t2n-KvW3Ax8J8uRRfZPq1zPbXgKc/edit?usp=sharing"",""ระยอง!I386"")"),500)</f>
        <v>500</v>
      </c>
      <c r="AA66" s="74">
        <f ca="1">IFERROR(__xludf.DUMMYFUNCTION("IMPORTRANGE(""https://docs.google.com/spreadsheets/d/19KBlQQs7uwvsao6t2n-KvW3Ax8J8uRRfZPq1zPbXgKc/edit?usp=sharing"",""ระยอง!J385"")"),0)</f>
        <v>0</v>
      </c>
      <c r="AB66" s="74">
        <f ca="1">IFERROR(__xludf.DUMMYFUNCTION("IMPORTRANGE(""https://docs.google.com/spreadsheets/d/19KBlQQs7uwvsao6t2n-KvW3Ax8J8uRRfZPq1zPbXgKc/edit?usp=sharing"",""ระยอง!J386"")"),0)</f>
        <v>0</v>
      </c>
      <c r="AC66" s="441">
        <f ca="1">IFERROR(__xludf.DUMMYFUNCTION("IMPORTRANGE(""https://docs.google.com/spreadsheets/d/19KBlQQs7uwvsao6t2n-KvW3Ax8J8uRRfZPq1zPbXgKc/edit?usp=sharing"",""ระยอง!I388"")"),0)</f>
        <v>0</v>
      </c>
      <c r="AD66" s="74">
        <f ca="1">IFERROR(__xludf.DUMMYFUNCTION("IMPORTRANGE(""https://docs.google.com/spreadsheets/d/19KBlQQs7uwvsao6t2n-KvW3Ax8J8uRRfZPq1zPbXgKc/edit?usp=sharing"",""ระยอง!J387"")"),0)</f>
        <v>0</v>
      </c>
      <c r="AE66" s="74">
        <f ca="1">IFERROR(__xludf.DUMMYFUNCTION("IMPORTRANGE(""https://docs.google.com/spreadsheets/d/19KBlQQs7uwvsao6t2n-KvW3Ax8J8uRRfZPq1zPbXgKc/edit?usp=sharing"",""ระยอง!J388"")"),0)</f>
        <v>0</v>
      </c>
    </row>
    <row r="67" spans="1:31" ht="19.5" x14ac:dyDescent="0.3">
      <c r="A67" s="147">
        <v>15</v>
      </c>
      <c r="B67" s="148" t="s">
        <v>95</v>
      </c>
      <c r="C67" s="149">
        <f t="shared" ca="1" si="21"/>
        <v>0</v>
      </c>
      <c r="D67" s="150">
        <f t="shared" ca="1" si="46"/>
        <v>0</v>
      </c>
      <c r="E67" s="151">
        <f ca="1">IFERROR(__xludf.DUMMYFUNCTION("IMPORTRANGE(""https://docs.google.com/spreadsheets/d/1-uDff_7J0KD5mKrp0Vvzr7lt3OU09vwQwhkpOPPYv2Y/edit?usp=sharing"",""งบพรบ!IF67"")"),0)</f>
        <v>0</v>
      </c>
      <c r="F67" s="151">
        <f ca="1">IFERROR(__xludf.DUMMYFUNCTION("IMPORTRANGE(""https://docs.google.com/spreadsheets/d/1-uDff_7J0KD5mKrp0Vvzr7lt3OU09vwQwhkpOPPYv2Y/edit?usp=sharing"",""งบพรบ!IG67"")"),0)</f>
        <v>0</v>
      </c>
      <c r="G67" s="151">
        <f ca="1">IFERROR(__xludf.DUMMYFUNCTION("IMPORTRANGE(""https://docs.google.com/spreadsheets/d/1-uDff_7J0KD5mKrp0Vvzr7lt3OU09vwQwhkpOPPYv2Y/edit?usp=sharing"",""งบพรบ!IH67"")"),0)</f>
        <v>0</v>
      </c>
      <c r="H67" s="151">
        <f ca="1">IFERROR(__xludf.DUMMYFUNCTION("IMPORTRANGE(""https://docs.google.com/spreadsheets/d/1-uDff_7J0KD5mKrp0Vvzr7lt3OU09vwQwhkpOPPYv2Y/edit?usp=sharing"",""งบพรบ!IJ67"")"),0)</f>
        <v>0</v>
      </c>
      <c r="I67" s="151">
        <f ca="1">IFERROR(__xludf.DUMMYFUNCTION("IMPORTRANGE(""https://docs.google.com/spreadsheets/d/1-uDff_7J0KD5mKrp0Vvzr7lt3OU09vwQwhkpOPPYv2Y/edit?usp=sharing"",""งบพรบ!IK67"")"),0)</f>
        <v>0</v>
      </c>
      <c r="J67" s="151">
        <f t="shared" ca="1" si="23"/>
        <v>0</v>
      </c>
      <c r="K67" s="154">
        <f t="shared" ca="1" si="24"/>
        <v>0</v>
      </c>
      <c r="L67" s="151">
        <f ca="1">IFERROR(__xludf.DUMMYFUNCTION("IMPORTRANGE(""https://docs.google.com/spreadsheets/d/1-uDff_7J0KD5mKrp0Vvzr7lt3OU09vwQwhkpOPPYv2Y/edit?usp=sharing"",""งบพรบ!IL67"")"),0)</f>
        <v>0</v>
      </c>
      <c r="M67" s="68">
        <f t="shared" ca="1" si="25"/>
        <v>0</v>
      </c>
      <c r="N67" s="68">
        <f t="shared" ca="1" si="26"/>
        <v>0</v>
      </c>
      <c r="O67" s="151">
        <f ca="1">IFERROR(__xludf.DUMMYFUNCTION("IMPORTRANGE(""https://docs.google.com/spreadsheets/d/1-uDff_7J0KD5mKrp0Vvzr7lt3OU09vwQwhkpOPPYv2Y/edit?usp=sharing"",""งบพรบ!IM67"")"),0)</f>
        <v>0</v>
      </c>
      <c r="P67" s="67">
        <f t="shared" ca="1" si="27"/>
        <v>0</v>
      </c>
      <c r="Q67" s="68">
        <f t="shared" ca="1" si="28"/>
        <v>0</v>
      </c>
      <c r="R67" s="67">
        <f ca="1">IFERROR(__xludf.DUMMYFUNCTION("IMPORTRANGE(""https://docs.google.com/spreadsheets/d/1jQ6P4QcrGM89YfqcC_PxOHGCMq5ezhucwJd8ci-NHng/edit?usp=sharing"",""ราชบุรี!Q375"")"),62500)</f>
        <v>62500</v>
      </c>
      <c r="S67" s="67">
        <f ca="1">IFERROR(__xludf.DUMMYFUNCTION("IMPORTRANGE(""https://docs.google.com/spreadsheets/d/1jQ6P4QcrGM89YfqcC_PxOHGCMq5ezhucwJd8ci-NHng/edit?usp=sharing"",""ราชบุรี!R375"")"),46760)</f>
        <v>46760</v>
      </c>
      <c r="T67" s="67">
        <f ca="1">IFERROR(__xludf.DUMMYFUNCTION("IMPORTRANGE(""https://docs.google.com/spreadsheets/d/1jQ6P4QcrGM89YfqcC_PxOHGCMq5ezhucwJd8ci-NHng/edit?usp=sharing"",""ราชบุรี!S375"")"),40760)</f>
        <v>40760</v>
      </c>
      <c r="U67" s="68">
        <f t="shared" ca="1" si="30"/>
        <v>65.215999999999994</v>
      </c>
      <c r="V67" s="68">
        <f t="shared" ca="1" si="31"/>
        <v>87.16852010265184</v>
      </c>
      <c r="W67" s="439">
        <f t="shared" ca="1" si="47"/>
        <v>1000</v>
      </c>
      <c r="X67" s="439">
        <f ca="1">IFERROR(__xludf.DUMMYFUNCTION("IMPORTRANGE(""https://docs.google.com/spreadsheets/d/1jQ6P4QcrGM89YfqcC_PxOHGCMq5ezhucwJd8ci-NHng/edit?usp=sharing"",""ราชบุรี!J374"")"),373)</f>
        <v>373</v>
      </c>
      <c r="Y67" s="440">
        <f t="shared" ca="1" si="11"/>
        <v>37.299999999999997</v>
      </c>
      <c r="Z67" s="439">
        <f ca="1">IFERROR(__xludf.DUMMYFUNCTION("IMPORTRANGE(""https://docs.google.com/spreadsheets/d/1jQ6P4QcrGM89YfqcC_PxOHGCMq5ezhucwJd8ci-NHng/edit?usp=sharing"",""ราชบุรี!I386"")"),1000)</f>
        <v>1000</v>
      </c>
      <c r="AA67" s="74">
        <f ca="1">IFERROR(__xludf.DUMMYFUNCTION("IMPORTRANGE(""https://docs.google.com/spreadsheets/d/1jQ6P4QcrGM89YfqcC_PxOHGCMq5ezhucwJd8ci-NHng/edit?usp=sharing"",""ราชบุรี!J385"")"),35)</f>
        <v>35</v>
      </c>
      <c r="AB67" s="74">
        <f ca="1">IFERROR(__xludf.DUMMYFUNCTION("IMPORTRANGE(""https://docs.google.com/spreadsheets/d/1jQ6P4QcrGM89YfqcC_PxOHGCMq5ezhucwJd8ci-NHng/edit?usp=sharing"",""ราชบุรี!J386"")"),373)</f>
        <v>373</v>
      </c>
      <c r="AC67" s="441">
        <f ca="1">IFERROR(__xludf.DUMMYFUNCTION("IMPORTRANGE(""https://docs.google.com/spreadsheets/d/1jQ6P4QcrGM89YfqcC_PxOHGCMq5ezhucwJd8ci-NHng/edit?usp=sharing"",""ราชบุรี!I388"")"),0)</f>
        <v>0</v>
      </c>
      <c r="AD67" s="74">
        <f ca="1">IFERROR(__xludf.DUMMYFUNCTION("IMPORTRANGE(""https://docs.google.com/spreadsheets/d/1jQ6P4QcrGM89YfqcC_PxOHGCMq5ezhucwJd8ci-NHng/edit?usp=sharing"",""ราชบุรี!J387"")"),0)</f>
        <v>0</v>
      </c>
      <c r="AE67" s="74">
        <f ca="1">IFERROR(__xludf.DUMMYFUNCTION("IMPORTRANGE(""https://docs.google.com/spreadsheets/d/1jQ6P4QcrGM89YfqcC_PxOHGCMq5ezhucwJd8ci-NHng/edit?usp=sharing"",""ราชบุรี!J388"")"),0)</f>
        <v>0</v>
      </c>
    </row>
    <row r="68" spans="1:31" ht="19.5" x14ac:dyDescent="0.3">
      <c r="A68" s="147">
        <v>16</v>
      </c>
      <c r="B68" s="148" t="s">
        <v>96</v>
      </c>
      <c r="C68" s="149">
        <f t="shared" ca="1" si="21"/>
        <v>42500</v>
      </c>
      <c r="D68" s="150">
        <f t="shared" ca="1" si="46"/>
        <v>42500</v>
      </c>
      <c r="E68" s="151">
        <f ca="1">IFERROR(__xludf.DUMMYFUNCTION("IMPORTRANGE(""https://docs.google.com/spreadsheets/d/1-uDff_7J0KD5mKrp0Vvzr7lt3OU09vwQwhkpOPPYv2Y/edit?usp=sharing"",""งบพรบ!IF68"")"),42500)</f>
        <v>42500</v>
      </c>
      <c r="F68" s="151">
        <f ca="1">IFERROR(__xludf.DUMMYFUNCTION("IMPORTRANGE(""https://docs.google.com/spreadsheets/d/1-uDff_7J0KD5mKrp0Vvzr7lt3OU09vwQwhkpOPPYv2Y/edit?usp=sharing"",""งบพรบ!IG68"")"),0)</f>
        <v>0</v>
      </c>
      <c r="G68" s="151">
        <f ca="1">IFERROR(__xludf.DUMMYFUNCTION("IMPORTRANGE(""https://docs.google.com/spreadsheets/d/1-uDff_7J0KD5mKrp0Vvzr7lt3OU09vwQwhkpOPPYv2Y/edit?usp=sharing"",""งบพรบ!IH68"")"),0)</f>
        <v>0</v>
      </c>
      <c r="H68" s="151">
        <f ca="1">IFERROR(__xludf.DUMMYFUNCTION("IMPORTRANGE(""https://docs.google.com/spreadsheets/d/1-uDff_7J0KD5mKrp0Vvzr7lt3OU09vwQwhkpOPPYv2Y/edit?usp=sharing"",""งบพรบ!IJ68"")"),42500)</f>
        <v>42500</v>
      </c>
      <c r="I68" s="151">
        <f ca="1">IFERROR(__xludf.DUMMYFUNCTION("IMPORTRANGE(""https://docs.google.com/spreadsheets/d/1-uDff_7J0KD5mKrp0Vvzr7lt3OU09vwQwhkpOPPYv2Y/edit?usp=sharing"",""งบพรบ!IK68"")"),0)</f>
        <v>0</v>
      </c>
      <c r="J68" s="151">
        <f t="shared" ca="1" si="23"/>
        <v>37280</v>
      </c>
      <c r="K68" s="154">
        <f t="shared" ca="1" si="24"/>
        <v>87.71764705882353</v>
      </c>
      <c r="L68" s="151">
        <f ca="1">IFERROR(__xludf.DUMMYFUNCTION("IMPORTRANGE(""https://docs.google.com/spreadsheets/d/1-uDff_7J0KD5mKrp0Vvzr7lt3OU09vwQwhkpOPPYv2Y/edit?usp=sharing"",""งบพรบ!IL68"")"),37280)</f>
        <v>37280</v>
      </c>
      <c r="M68" s="68">
        <f t="shared" ca="1" si="25"/>
        <v>87.71764705882353</v>
      </c>
      <c r="N68" s="68">
        <f t="shared" ca="1" si="26"/>
        <v>87.71764705882353</v>
      </c>
      <c r="O68" s="151">
        <f ca="1">IFERROR(__xludf.DUMMYFUNCTION("IMPORTRANGE(""https://docs.google.com/spreadsheets/d/1-uDff_7J0KD5mKrp0Vvzr7lt3OU09vwQwhkpOPPYv2Y/edit?usp=sharing"",""งบพรบ!IM68"")"),0)</f>
        <v>0</v>
      </c>
      <c r="P68" s="67">
        <f t="shared" ca="1" si="27"/>
        <v>0</v>
      </c>
      <c r="Q68" s="68">
        <f t="shared" ca="1" si="28"/>
        <v>0</v>
      </c>
      <c r="R68" s="67">
        <f ca="1">IFERROR(__xludf.DUMMYFUNCTION("IMPORTRANGE(""https://docs.google.com/spreadsheets/d/1lufeA2cfFqM-elVq2hznhDzC6Pr7wkJ9ZG_sYNGCMCU/edit?usp=sharing"",""ลพบุรี!Q375"")"),187500)</f>
        <v>187500</v>
      </c>
      <c r="S68" s="67">
        <f ca="1">IFERROR(__xludf.DUMMYFUNCTION("IMPORTRANGE(""https://docs.google.com/spreadsheets/d/1lufeA2cfFqM-elVq2hznhDzC6Pr7wkJ9ZG_sYNGCMCU/edit?usp=sharing"",""ลพบุรี!R375"")"),187500)</f>
        <v>187500</v>
      </c>
      <c r="T68" s="67">
        <f ca="1">IFERROR(__xludf.DUMMYFUNCTION("IMPORTRANGE(""https://docs.google.com/spreadsheets/d/1lufeA2cfFqM-elVq2hznhDzC6Pr7wkJ9ZG_sYNGCMCU/edit?usp=sharing"",""ลพบุรี!S375"")"),104063)</f>
        <v>104063</v>
      </c>
      <c r="U68" s="68">
        <f t="shared" ca="1" si="30"/>
        <v>55.500266666666668</v>
      </c>
      <c r="V68" s="68">
        <f t="shared" ca="1" si="31"/>
        <v>55.500266666666668</v>
      </c>
      <c r="W68" s="442">
        <f t="shared" ca="1" si="47"/>
        <v>3000</v>
      </c>
      <c r="X68" s="442">
        <f ca="1">IFERROR(__xludf.DUMMYFUNCTION("IMPORTRANGE(""https://docs.google.com/spreadsheets/d/1lufeA2cfFqM-elVq2hznhDzC6Pr7wkJ9ZG_sYNGCMCU/edit?usp=sharing"",""ลพบุรี!J374"")"),0)</f>
        <v>0</v>
      </c>
      <c r="Y68" s="443">
        <f t="shared" ca="1" si="11"/>
        <v>0</v>
      </c>
      <c r="Z68" s="442">
        <f ca="1">IFERROR(__xludf.DUMMYFUNCTION("IMPORTRANGE(""https://docs.google.com/spreadsheets/d/1lufeA2cfFqM-elVq2hznhDzC6Pr7wkJ9ZG_sYNGCMCU/edit?usp=sharing"",""ลพบุรี!I386"")"),3000)</f>
        <v>3000</v>
      </c>
      <c r="AA68" s="78">
        <f ca="1">IFERROR(__xludf.DUMMYFUNCTION("IMPORTRANGE(""https://docs.google.com/spreadsheets/d/1lufeA2cfFqM-elVq2hznhDzC6Pr7wkJ9ZG_sYNGCMCU/edit?usp=sharing"",""ลพบุรี!J385"")"),0)</f>
        <v>0</v>
      </c>
      <c r="AB68" s="78">
        <f ca="1">IFERROR(__xludf.DUMMYFUNCTION("IMPORTRANGE(""https://docs.google.com/spreadsheets/d/1lufeA2cfFqM-elVq2hznhDzC6Pr7wkJ9ZG_sYNGCMCU/edit?usp=sharing"",""ลพบุรี!J386"")"),0)</f>
        <v>0</v>
      </c>
      <c r="AC68" s="278">
        <f ca="1">IFERROR(__xludf.DUMMYFUNCTION("IMPORTRANGE(""https://docs.google.com/spreadsheets/d/1lufeA2cfFqM-elVq2hznhDzC6Pr7wkJ9ZG_sYNGCMCU/edit?usp=sharing"",""ลพบุรี!I388"")"),0)</f>
        <v>0</v>
      </c>
      <c r="AD68" s="78">
        <f ca="1">IFERROR(__xludf.DUMMYFUNCTION("IMPORTRANGE(""https://docs.google.com/spreadsheets/d/1lufeA2cfFqM-elVq2hznhDzC6Pr7wkJ9ZG_sYNGCMCU/edit?usp=sharing"",""ลพบุรี!J387"")"),0)</f>
        <v>0</v>
      </c>
      <c r="AE68" s="78">
        <f ca="1">IFERROR(__xludf.DUMMYFUNCTION("IMPORTRANGE(""https://docs.google.com/spreadsheets/d/1lufeA2cfFqM-elVq2hznhDzC6Pr7wkJ9ZG_sYNGCMCU/edit?usp=sharing"",""ลพบุรี!J388"")"),0)</f>
        <v>0</v>
      </c>
    </row>
    <row r="69" spans="1:31" ht="19.5" x14ac:dyDescent="0.3">
      <c r="A69" s="147">
        <v>17</v>
      </c>
      <c r="B69" s="148" t="s">
        <v>97</v>
      </c>
      <c r="C69" s="149">
        <f t="shared" ca="1" si="21"/>
        <v>0</v>
      </c>
      <c r="D69" s="150">
        <f t="shared" ca="1" si="46"/>
        <v>0</v>
      </c>
      <c r="E69" s="151">
        <f ca="1">IFERROR(__xludf.DUMMYFUNCTION("IMPORTRANGE(""https://docs.google.com/spreadsheets/d/1-uDff_7J0KD5mKrp0Vvzr7lt3OU09vwQwhkpOPPYv2Y/edit?usp=sharing"",""งบพรบ!IF69"")"),0)</f>
        <v>0</v>
      </c>
      <c r="F69" s="151">
        <f ca="1">IFERROR(__xludf.DUMMYFUNCTION("IMPORTRANGE(""https://docs.google.com/spreadsheets/d/1-uDff_7J0KD5mKrp0Vvzr7lt3OU09vwQwhkpOPPYv2Y/edit?usp=sharing"",""งบพรบ!IG69"")"),0)</f>
        <v>0</v>
      </c>
      <c r="G69" s="151">
        <f ca="1">IFERROR(__xludf.DUMMYFUNCTION("IMPORTRANGE(""https://docs.google.com/spreadsheets/d/1-uDff_7J0KD5mKrp0Vvzr7lt3OU09vwQwhkpOPPYv2Y/edit?usp=sharing"",""งบพรบ!IH69"")"),0)</f>
        <v>0</v>
      </c>
      <c r="H69" s="151">
        <f ca="1">IFERROR(__xludf.DUMMYFUNCTION("IMPORTRANGE(""https://docs.google.com/spreadsheets/d/1-uDff_7J0KD5mKrp0Vvzr7lt3OU09vwQwhkpOPPYv2Y/edit?usp=sharing"",""งบพรบ!IJ69"")"),0)</f>
        <v>0</v>
      </c>
      <c r="I69" s="151">
        <f ca="1">IFERROR(__xludf.DUMMYFUNCTION("IMPORTRANGE(""https://docs.google.com/spreadsheets/d/1-uDff_7J0KD5mKrp0Vvzr7lt3OU09vwQwhkpOPPYv2Y/edit?usp=sharing"",""งบพรบ!IK69"")"),0)</f>
        <v>0</v>
      </c>
      <c r="J69" s="151">
        <f t="shared" ca="1" si="23"/>
        <v>0</v>
      </c>
      <c r="K69" s="154">
        <f t="shared" ca="1" si="24"/>
        <v>0</v>
      </c>
      <c r="L69" s="151">
        <f ca="1">IFERROR(__xludf.DUMMYFUNCTION("IMPORTRANGE(""https://docs.google.com/spreadsheets/d/1-uDff_7J0KD5mKrp0Vvzr7lt3OU09vwQwhkpOPPYv2Y/edit?usp=sharing"",""งบพรบ!IL69"")"),0)</f>
        <v>0</v>
      </c>
      <c r="M69" s="68">
        <f t="shared" ca="1" si="25"/>
        <v>0</v>
      </c>
      <c r="N69" s="68">
        <f t="shared" ca="1" si="26"/>
        <v>0</v>
      </c>
      <c r="O69" s="151">
        <f ca="1">IFERROR(__xludf.DUMMYFUNCTION("IMPORTRANGE(""https://docs.google.com/spreadsheets/d/1-uDff_7J0KD5mKrp0Vvzr7lt3OU09vwQwhkpOPPYv2Y/edit?usp=sharing"",""งบพรบ!IM69"")"),0)</f>
        <v>0</v>
      </c>
      <c r="P69" s="67">
        <f t="shared" ca="1" si="27"/>
        <v>0</v>
      </c>
      <c r="Q69" s="68">
        <f t="shared" ca="1" si="28"/>
        <v>0</v>
      </c>
      <c r="R69" s="67">
        <f ca="1">IFERROR(__xludf.DUMMYFUNCTION("IMPORTRANGE(""https://docs.google.com/spreadsheets/d/10oOiF7loTyfsTkbd4MpaIm0HQ9SwB7IYHdIUvt-U1Uc/edit?usp=sharing"",""สระแก้ว!Q375"")"),0)</f>
        <v>0</v>
      </c>
      <c r="S69" s="67">
        <f ca="1">IFERROR(__xludf.DUMMYFUNCTION("IMPORTRANGE(""https://docs.google.com/spreadsheets/d/10oOiF7loTyfsTkbd4MpaIm0HQ9SwB7IYHdIUvt-U1Uc/edit?usp=sharing"",""สระแก้ว!R375"")"),0)</f>
        <v>0</v>
      </c>
      <c r="T69" s="67">
        <f ca="1">IFERROR(__xludf.DUMMYFUNCTION("IMPORTRANGE(""https://docs.google.com/spreadsheets/d/10oOiF7loTyfsTkbd4MpaIm0HQ9SwB7IYHdIUvt-U1Uc/edit?usp=sharing"",""สระแก้ว!S375"")"),0)</f>
        <v>0</v>
      </c>
      <c r="U69" s="68">
        <f t="shared" ca="1" si="30"/>
        <v>0</v>
      </c>
      <c r="V69" s="68">
        <f t="shared" ca="1" si="31"/>
        <v>0</v>
      </c>
      <c r="W69" s="439">
        <f t="shared" ca="1" si="47"/>
        <v>0</v>
      </c>
      <c r="X69" s="439">
        <f ca="1">IFERROR(__xludf.DUMMYFUNCTION("IMPORTRANGE(""https://docs.google.com/spreadsheets/d/10oOiF7loTyfsTkbd4MpaIm0HQ9SwB7IYHdIUvt-U1Uc/edit?usp=sharing"",""สระแก้ว!J374"")"),0)</f>
        <v>0</v>
      </c>
      <c r="Y69" s="440">
        <f t="shared" ca="1" si="11"/>
        <v>0</v>
      </c>
      <c r="Z69" s="439">
        <f ca="1">IFERROR(__xludf.DUMMYFUNCTION("IMPORTRANGE(""https://docs.google.com/spreadsheets/d/10oOiF7loTyfsTkbd4MpaIm0HQ9SwB7IYHdIUvt-U1Uc/edit?usp=sharing"",""สระแก้ว!I386"")"),0)</f>
        <v>0</v>
      </c>
      <c r="AA69" s="74">
        <f ca="1">IFERROR(__xludf.DUMMYFUNCTION("IMPORTRANGE(""https://docs.google.com/spreadsheets/d/10oOiF7loTyfsTkbd4MpaIm0HQ9SwB7IYHdIUvt-U1Uc/edit?usp=sharing"",""สระแก้ว!J385"")"),0)</f>
        <v>0</v>
      </c>
      <c r="AB69" s="74">
        <f ca="1">IFERROR(__xludf.DUMMYFUNCTION("IMPORTRANGE(""https://docs.google.com/spreadsheets/d/10oOiF7loTyfsTkbd4MpaIm0HQ9SwB7IYHdIUvt-U1Uc/edit?usp=sharing"",""สระแก้ว!J386"")"),0)</f>
        <v>0</v>
      </c>
      <c r="AC69" s="441">
        <f ca="1">IFERROR(__xludf.DUMMYFUNCTION("IMPORTRANGE(""https://docs.google.com/spreadsheets/d/10oOiF7loTyfsTkbd4MpaIm0HQ9SwB7IYHdIUvt-U1Uc/edit?usp=sharing"",""สระแก้ว!I388"")"),0)</f>
        <v>0</v>
      </c>
      <c r="AD69" s="74">
        <f ca="1">IFERROR(__xludf.DUMMYFUNCTION("IMPORTRANGE(""https://docs.google.com/spreadsheets/d/10oOiF7loTyfsTkbd4MpaIm0HQ9SwB7IYHdIUvt-U1Uc/edit?usp=sharing"",""สระแก้ว!J387"")"),0)</f>
        <v>0</v>
      </c>
      <c r="AE69" s="74">
        <f ca="1">IFERROR(__xludf.DUMMYFUNCTION("IMPORTRANGE(""https://docs.google.com/spreadsheets/d/10oOiF7loTyfsTkbd4MpaIm0HQ9SwB7IYHdIUvt-U1Uc/edit?usp=sharing"",""สระแก้ว!J388"")"),0)</f>
        <v>0</v>
      </c>
    </row>
    <row r="70" spans="1:31" ht="19.5" x14ac:dyDescent="0.3">
      <c r="A70" s="147">
        <v>18</v>
      </c>
      <c r="B70" s="148" t="s">
        <v>98</v>
      </c>
      <c r="C70" s="149">
        <f t="shared" ca="1" si="21"/>
        <v>41100</v>
      </c>
      <c r="D70" s="150">
        <f t="shared" ca="1" si="46"/>
        <v>41100</v>
      </c>
      <c r="E70" s="151">
        <f ca="1">IFERROR(__xludf.DUMMYFUNCTION("IMPORTRANGE(""https://docs.google.com/spreadsheets/d/1-uDff_7J0KD5mKrp0Vvzr7lt3OU09vwQwhkpOPPYv2Y/edit?usp=sharing"",""งบพรบ!IF70"")"),41100)</f>
        <v>41100</v>
      </c>
      <c r="F70" s="151">
        <f ca="1">IFERROR(__xludf.DUMMYFUNCTION("IMPORTRANGE(""https://docs.google.com/spreadsheets/d/1-uDff_7J0KD5mKrp0Vvzr7lt3OU09vwQwhkpOPPYv2Y/edit?usp=sharing"",""งบพรบ!IG70"")"),0)</f>
        <v>0</v>
      </c>
      <c r="G70" s="151">
        <f ca="1">IFERROR(__xludf.DUMMYFUNCTION("IMPORTRANGE(""https://docs.google.com/spreadsheets/d/1-uDff_7J0KD5mKrp0Vvzr7lt3OU09vwQwhkpOPPYv2Y/edit?usp=sharing"",""งบพรบ!IH70"")"),0)</f>
        <v>0</v>
      </c>
      <c r="H70" s="151">
        <f ca="1">IFERROR(__xludf.DUMMYFUNCTION("IMPORTRANGE(""https://docs.google.com/spreadsheets/d/1-uDff_7J0KD5mKrp0Vvzr7lt3OU09vwQwhkpOPPYv2Y/edit?usp=sharing"",""งบพรบ!IJ70"")"),41100)</f>
        <v>41100</v>
      </c>
      <c r="I70" s="151">
        <f ca="1">IFERROR(__xludf.DUMMYFUNCTION("IMPORTRANGE(""https://docs.google.com/spreadsheets/d/1-uDff_7J0KD5mKrp0Vvzr7lt3OU09vwQwhkpOPPYv2Y/edit?usp=sharing"",""งบพรบ!IK70"")"),0)</f>
        <v>0</v>
      </c>
      <c r="J70" s="151">
        <f t="shared" ca="1" si="23"/>
        <v>31841.63</v>
      </c>
      <c r="K70" s="154">
        <f t="shared" ca="1" si="24"/>
        <v>77.473552311435526</v>
      </c>
      <c r="L70" s="151">
        <f ca="1">IFERROR(__xludf.DUMMYFUNCTION("IMPORTRANGE(""https://docs.google.com/spreadsheets/d/1-uDff_7J0KD5mKrp0Vvzr7lt3OU09vwQwhkpOPPYv2Y/edit?usp=sharing"",""งบพรบ!IL70"")"),31841.63)</f>
        <v>31841.63</v>
      </c>
      <c r="M70" s="68">
        <f t="shared" ca="1" si="25"/>
        <v>77.473552311435526</v>
      </c>
      <c r="N70" s="68">
        <f t="shared" ca="1" si="26"/>
        <v>77.473552311435526</v>
      </c>
      <c r="O70" s="151">
        <f ca="1">IFERROR(__xludf.DUMMYFUNCTION("IMPORTRANGE(""https://docs.google.com/spreadsheets/d/1-uDff_7J0KD5mKrp0Vvzr7lt3OU09vwQwhkpOPPYv2Y/edit?usp=sharing"",""งบพรบ!IM70"")"),0)</f>
        <v>0</v>
      </c>
      <c r="P70" s="67">
        <f t="shared" ca="1" si="27"/>
        <v>0</v>
      </c>
      <c r="Q70" s="68">
        <f t="shared" ca="1" si="28"/>
        <v>0</v>
      </c>
      <c r="R70" s="67">
        <f ca="1">IFERROR(__xludf.DUMMYFUNCTION("IMPORTRANGE(""https://docs.google.com/spreadsheets/d/1xmPlrr1QbdSIKvl1dWUl9K4PjAfSL9oeMr_37QVzcxc/edit?usp=sharing"",""สระบุรี!Q375"")"),125000)</f>
        <v>125000</v>
      </c>
      <c r="S70" s="67">
        <f ca="1">IFERROR(__xludf.DUMMYFUNCTION("IMPORTRANGE(""https://docs.google.com/spreadsheets/d/1xmPlrr1QbdSIKvl1dWUl9K4PjAfSL9oeMr_37QVzcxc/edit?usp=sharing"",""สระบุรี!R375"")"),125000)</f>
        <v>125000</v>
      </c>
      <c r="T70" s="67">
        <f ca="1">IFERROR(__xludf.DUMMYFUNCTION("IMPORTRANGE(""https://docs.google.com/spreadsheets/d/1xmPlrr1QbdSIKvl1dWUl9K4PjAfSL9oeMr_37QVzcxc/edit?usp=sharing"",""สระบุรี!S375"")"),63478)</f>
        <v>63478</v>
      </c>
      <c r="U70" s="68">
        <f t="shared" ca="1" si="30"/>
        <v>50.782400000000003</v>
      </c>
      <c r="V70" s="68">
        <f t="shared" ca="1" si="31"/>
        <v>50.782400000000003</v>
      </c>
      <c r="W70" s="439">
        <f t="shared" ca="1" si="47"/>
        <v>2000</v>
      </c>
      <c r="X70" s="439">
        <f ca="1">IFERROR(__xludf.DUMMYFUNCTION("IMPORTRANGE(""https://docs.google.com/spreadsheets/d/1xmPlrr1QbdSIKvl1dWUl9K4PjAfSL9oeMr_37QVzcxc/edit?usp=sharing"",""สระบุรี!J374"")"),1794)</f>
        <v>1794</v>
      </c>
      <c r="Y70" s="440">
        <f t="shared" ca="1" si="11"/>
        <v>89.7</v>
      </c>
      <c r="Z70" s="439">
        <f ca="1">IFERROR(__xludf.DUMMYFUNCTION("IMPORTRANGE(""https://docs.google.com/spreadsheets/d/1xmPlrr1QbdSIKvl1dWUl9K4PjAfSL9oeMr_37QVzcxc/edit?usp=sharing"",""สระบุรี!I386"")"),2000)</f>
        <v>2000</v>
      </c>
      <c r="AA70" s="74">
        <f ca="1">IFERROR(__xludf.DUMMYFUNCTION("IMPORTRANGE(""https://docs.google.com/spreadsheets/d/1xmPlrr1QbdSIKvl1dWUl9K4PjAfSL9oeMr_37QVzcxc/edit?usp=sharing"",""สระบุรี!J385"")"),87)</f>
        <v>87</v>
      </c>
      <c r="AB70" s="74">
        <f ca="1">IFERROR(__xludf.DUMMYFUNCTION("IMPORTRANGE(""https://docs.google.com/spreadsheets/d/1xmPlrr1QbdSIKvl1dWUl9K4PjAfSL9oeMr_37QVzcxc/edit?usp=sharing"",""สระบุรี!J386"")"),1794)</f>
        <v>1794</v>
      </c>
      <c r="AC70" s="441">
        <f ca="1">IFERROR(__xludf.DUMMYFUNCTION("IMPORTRANGE(""https://docs.google.com/spreadsheets/d/1xmPlrr1QbdSIKvl1dWUl9K4PjAfSL9oeMr_37QVzcxc/edit?usp=sharing"",""สระบุรี!I388"")"),0)</f>
        <v>0</v>
      </c>
      <c r="AD70" s="74">
        <f ca="1">IFERROR(__xludf.DUMMYFUNCTION("IMPORTRANGE(""https://docs.google.com/spreadsheets/d/1xmPlrr1QbdSIKvl1dWUl9K4PjAfSL9oeMr_37QVzcxc/edit?usp=sharing"",""สระบุรี!J387"")"),0)</f>
        <v>0</v>
      </c>
      <c r="AE70" s="74">
        <f ca="1">IFERROR(__xludf.DUMMYFUNCTION("IMPORTRANGE(""https://docs.google.com/spreadsheets/d/1xmPlrr1QbdSIKvl1dWUl9K4PjAfSL9oeMr_37QVzcxc/edit?usp=sharing"",""สระบุรี!J388"")"),0)</f>
        <v>0</v>
      </c>
    </row>
    <row r="71" spans="1:31" ht="19.5" x14ac:dyDescent="0.3">
      <c r="A71" s="147">
        <v>19</v>
      </c>
      <c r="B71" s="148" t="s">
        <v>99</v>
      </c>
      <c r="C71" s="149">
        <f t="shared" ca="1" si="21"/>
        <v>0</v>
      </c>
      <c r="D71" s="150">
        <f t="shared" ca="1" si="46"/>
        <v>0</v>
      </c>
      <c r="E71" s="151">
        <f ca="1">IFERROR(__xludf.DUMMYFUNCTION("IMPORTRANGE(""https://docs.google.com/spreadsheets/d/1-uDff_7J0KD5mKrp0Vvzr7lt3OU09vwQwhkpOPPYv2Y/edit?usp=sharing"",""งบพรบ!IF71"")"),0)</f>
        <v>0</v>
      </c>
      <c r="F71" s="151">
        <f ca="1">IFERROR(__xludf.DUMMYFUNCTION("IMPORTRANGE(""https://docs.google.com/spreadsheets/d/1-uDff_7J0KD5mKrp0Vvzr7lt3OU09vwQwhkpOPPYv2Y/edit?usp=sharing"",""งบพรบ!IG71"")"),0)</f>
        <v>0</v>
      </c>
      <c r="G71" s="151">
        <f ca="1">IFERROR(__xludf.DUMMYFUNCTION("IMPORTRANGE(""https://docs.google.com/spreadsheets/d/1-uDff_7J0KD5mKrp0Vvzr7lt3OU09vwQwhkpOPPYv2Y/edit?usp=sharing"",""งบพรบ!IH71"")"),0)</f>
        <v>0</v>
      </c>
      <c r="H71" s="151">
        <f ca="1">IFERROR(__xludf.DUMMYFUNCTION("IMPORTRANGE(""https://docs.google.com/spreadsheets/d/1-uDff_7J0KD5mKrp0Vvzr7lt3OU09vwQwhkpOPPYv2Y/edit?usp=sharing"",""งบพรบ!IJ71"")"),0)</f>
        <v>0</v>
      </c>
      <c r="I71" s="151">
        <f ca="1">IFERROR(__xludf.DUMMYFUNCTION("IMPORTRANGE(""https://docs.google.com/spreadsheets/d/1-uDff_7J0KD5mKrp0Vvzr7lt3OU09vwQwhkpOPPYv2Y/edit?usp=sharing"",""งบพรบ!IK71"")"),0)</f>
        <v>0</v>
      </c>
      <c r="J71" s="151">
        <f t="shared" ca="1" si="23"/>
        <v>0</v>
      </c>
      <c r="K71" s="154">
        <f t="shared" ca="1" si="24"/>
        <v>0</v>
      </c>
      <c r="L71" s="151">
        <f ca="1">IFERROR(__xludf.DUMMYFUNCTION("IMPORTRANGE(""https://docs.google.com/spreadsheets/d/1-uDff_7J0KD5mKrp0Vvzr7lt3OU09vwQwhkpOPPYv2Y/edit?usp=sharing"",""งบพรบ!IL71"")"),0)</f>
        <v>0</v>
      </c>
      <c r="M71" s="68">
        <f t="shared" ca="1" si="25"/>
        <v>0</v>
      </c>
      <c r="N71" s="68">
        <f t="shared" ca="1" si="26"/>
        <v>0</v>
      </c>
      <c r="O71" s="151">
        <f ca="1">IFERROR(__xludf.DUMMYFUNCTION("IMPORTRANGE(""https://docs.google.com/spreadsheets/d/1-uDff_7J0KD5mKrp0Vvzr7lt3OU09vwQwhkpOPPYv2Y/edit?usp=sharing"",""งบพรบ!IM71"")"),0)</f>
        <v>0</v>
      </c>
      <c r="P71" s="67">
        <f t="shared" ca="1" si="27"/>
        <v>0</v>
      </c>
      <c r="Q71" s="68">
        <f t="shared" ca="1" si="28"/>
        <v>0</v>
      </c>
      <c r="R71" s="67">
        <f ca="1">IFERROR(__xludf.DUMMYFUNCTION("IMPORTRANGE(""https://docs.google.com/spreadsheets/d/1j51vR6CYVGhABJpv6tkstgok82RLpXieLzW1yOY5rHw/edit?usp=sharing"",""สิงห์บุรี!Q375"")"),0)</f>
        <v>0</v>
      </c>
      <c r="S71" s="67">
        <f ca="1">IFERROR(__xludf.DUMMYFUNCTION("IMPORTRANGE(""https://docs.google.com/spreadsheets/d/1j51vR6CYVGhABJpv6tkstgok82RLpXieLzW1yOY5rHw/edit?usp=sharing"",""สิงห์บุรี!R375"")"),0)</f>
        <v>0</v>
      </c>
      <c r="T71" s="67">
        <f ca="1">IFERROR(__xludf.DUMMYFUNCTION("IMPORTRANGE(""https://docs.google.com/spreadsheets/d/1j51vR6CYVGhABJpv6tkstgok82RLpXieLzW1yOY5rHw/edit?usp=sharing"",""สิงห์บุรี!S375"")"),0)</f>
        <v>0</v>
      </c>
      <c r="U71" s="68">
        <f t="shared" ca="1" si="30"/>
        <v>0</v>
      </c>
      <c r="V71" s="68">
        <f t="shared" ca="1" si="31"/>
        <v>0</v>
      </c>
      <c r="W71" s="439">
        <f t="shared" ca="1" si="47"/>
        <v>0</v>
      </c>
      <c r="X71" s="439">
        <f ca="1">IFERROR(__xludf.DUMMYFUNCTION("IMPORTRANGE(""https://docs.google.com/spreadsheets/d/1j51vR6CYVGhABJpv6tkstgok82RLpXieLzW1yOY5rHw/edit?usp=sharing"",""สิงห์บุรี!J374"")"),0)</f>
        <v>0</v>
      </c>
      <c r="Y71" s="440">
        <f t="shared" ca="1" si="11"/>
        <v>0</v>
      </c>
      <c r="Z71" s="439">
        <f ca="1">IFERROR(__xludf.DUMMYFUNCTION("IMPORTRANGE(""https://docs.google.com/spreadsheets/d/1j51vR6CYVGhABJpv6tkstgok82RLpXieLzW1yOY5rHw/edit?usp=sharing"",""สิงห์บุรี!I386"")"),0)</f>
        <v>0</v>
      </c>
      <c r="AA71" s="74">
        <f ca="1">IFERROR(__xludf.DUMMYFUNCTION("IMPORTRANGE(""https://docs.google.com/spreadsheets/d/1j51vR6CYVGhABJpv6tkstgok82RLpXieLzW1yOY5rHw/edit?usp=sharing"",""สิงห์บุรี!J385"")"),0)</f>
        <v>0</v>
      </c>
      <c r="AB71" s="74">
        <f ca="1">IFERROR(__xludf.DUMMYFUNCTION("IMPORTRANGE(""https://docs.google.com/spreadsheets/d/1j51vR6CYVGhABJpv6tkstgok82RLpXieLzW1yOY5rHw/edit?usp=sharing"",""สิงห์บุรี!J386"")"),0)</f>
        <v>0</v>
      </c>
      <c r="AC71" s="441">
        <f ca="1">IFERROR(__xludf.DUMMYFUNCTION("IMPORTRANGE(""https://docs.google.com/spreadsheets/d/1j51vR6CYVGhABJpv6tkstgok82RLpXieLzW1yOY5rHw/edit?usp=sharing"",""สิงห์บุรี!I388"")"),0)</f>
        <v>0</v>
      </c>
      <c r="AD71" s="74">
        <f ca="1">IFERROR(__xludf.DUMMYFUNCTION("IMPORTRANGE(""https://docs.google.com/spreadsheets/d/1j51vR6CYVGhABJpv6tkstgok82RLpXieLzW1yOY5rHw/edit?usp=sharing"",""สิงห์บุรี!J387"")"),0)</f>
        <v>0</v>
      </c>
      <c r="AE71" s="74">
        <f ca="1">IFERROR(__xludf.DUMMYFUNCTION("IMPORTRANGE(""https://docs.google.com/spreadsheets/d/1j51vR6CYVGhABJpv6tkstgok82RLpXieLzW1yOY5rHw/edit?usp=sharing"",""สิงห์บุรี!J388"")"),0)</f>
        <v>0</v>
      </c>
    </row>
    <row r="72" spans="1:31" ht="19.5" x14ac:dyDescent="0.3">
      <c r="A72" s="147">
        <v>20</v>
      </c>
      <c r="B72" s="148" t="s">
        <v>100</v>
      </c>
      <c r="C72" s="149">
        <f t="shared" ca="1" si="21"/>
        <v>0</v>
      </c>
      <c r="D72" s="150">
        <f t="shared" ca="1" si="46"/>
        <v>0</v>
      </c>
      <c r="E72" s="151">
        <f ca="1">IFERROR(__xludf.DUMMYFUNCTION("IMPORTRANGE(""https://docs.google.com/spreadsheets/d/1-uDff_7J0KD5mKrp0Vvzr7lt3OU09vwQwhkpOPPYv2Y/edit?usp=sharing"",""งบพรบ!IF72"")"),0)</f>
        <v>0</v>
      </c>
      <c r="F72" s="151">
        <f ca="1">IFERROR(__xludf.DUMMYFUNCTION("IMPORTRANGE(""https://docs.google.com/spreadsheets/d/1-uDff_7J0KD5mKrp0Vvzr7lt3OU09vwQwhkpOPPYv2Y/edit?usp=sharing"",""งบพรบ!IG72"")"),0)</f>
        <v>0</v>
      </c>
      <c r="G72" s="151">
        <f ca="1">IFERROR(__xludf.DUMMYFUNCTION("IMPORTRANGE(""https://docs.google.com/spreadsheets/d/1-uDff_7J0KD5mKrp0Vvzr7lt3OU09vwQwhkpOPPYv2Y/edit?usp=sharing"",""งบพรบ!IH72"")"),0)</f>
        <v>0</v>
      </c>
      <c r="H72" s="151">
        <f ca="1">IFERROR(__xludf.DUMMYFUNCTION("IMPORTRANGE(""https://docs.google.com/spreadsheets/d/1-uDff_7J0KD5mKrp0Vvzr7lt3OU09vwQwhkpOPPYv2Y/edit?usp=sharing"",""งบพรบ!IJ72"")"),0)</f>
        <v>0</v>
      </c>
      <c r="I72" s="151">
        <f ca="1">IFERROR(__xludf.DUMMYFUNCTION("IMPORTRANGE(""https://docs.google.com/spreadsheets/d/1-uDff_7J0KD5mKrp0Vvzr7lt3OU09vwQwhkpOPPYv2Y/edit?usp=sharing"",""งบพรบ!IK72"")"),0)</f>
        <v>0</v>
      </c>
      <c r="J72" s="151">
        <f t="shared" ca="1" si="23"/>
        <v>0</v>
      </c>
      <c r="K72" s="154">
        <f t="shared" ca="1" si="24"/>
        <v>0</v>
      </c>
      <c r="L72" s="151">
        <f ca="1">IFERROR(__xludf.DUMMYFUNCTION("IMPORTRANGE(""https://docs.google.com/spreadsheets/d/1-uDff_7J0KD5mKrp0Vvzr7lt3OU09vwQwhkpOPPYv2Y/edit?usp=sharing"",""งบพรบ!IL72"")"),0)</f>
        <v>0</v>
      </c>
      <c r="M72" s="68">
        <f t="shared" ca="1" si="25"/>
        <v>0</v>
      </c>
      <c r="N72" s="68">
        <f t="shared" ca="1" si="26"/>
        <v>0</v>
      </c>
      <c r="O72" s="151">
        <f ca="1">IFERROR(__xludf.DUMMYFUNCTION("IMPORTRANGE(""https://docs.google.com/spreadsheets/d/1-uDff_7J0KD5mKrp0Vvzr7lt3OU09vwQwhkpOPPYv2Y/edit?usp=sharing"",""งบพรบ!IM72"")"),0)</f>
        <v>0</v>
      </c>
      <c r="P72" s="67">
        <f t="shared" ca="1" si="27"/>
        <v>0</v>
      </c>
      <c r="Q72" s="68">
        <f t="shared" ca="1" si="28"/>
        <v>0</v>
      </c>
      <c r="R72" s="67">
        <f ca="1">IFERROR(__xludf.DUMMYFUNCTION("IMPORTRANGE(""https://docs.google.com/spreadsheets/d/1H1EalTWKUSzO4Z1-1CwzoDUaVffgrThEBe2sl74kKG0/edit?usp=sharing"",""สุพรรณบุรี!Q375"")"),62500)</f>
        <v>62500</v>
      </c>
      <c r="S72" s="67">
        <f ca="1">IFERROR(__xludf.DUMMYFUNCTION("IMPORTRANGE(""https://docs.google.com/spreadsheets/d/1H1EalTWKUSzO4Z1-1CwzoDUaVffgrThEBe2sl74kKG0/edit?usp=sharing"",""สุพรรณบุรี!R375"")"),62316)</f>
        <v>62316</v>
      </c>
      <c r="T72" s="67">
        <f ca="1">IFERROR(__xludf.DUMMYFUNCTION("IMPORTRANGE(""https://docs.google.com/spreadsheets/d/1H1EalTWKUSzO4Z1-1CwzoDUaVffgrThEBe2sl74kKG0/edit?usp=sharing"",""สุพรรณบุรี!S375"")"),62316)</f>
        <v>62316</v>
      </c>
      <c r="U72" s="68">
        <f t="shared" ca="1" si="30"/>
        <v>99.705600000000004</v>
      </c>
      <c r="V72" s="68">
        <f t="shared" ca="1" si="31"/>
        <v>100</v>
      </c>
      <c r="W72" s="439">
        <f t="shared" ca="1" si="47"/>
        <v>1000</v>
      </c>
      <c r="X72" s="439">
        <f ca="1">IFERROR(__xludf.DUMMYFUNCTION("IMPORTRANGE(""https://docs.google.com/spreadsheets/d/1H1EalTWKUSzO4Z1-1CwzoDUaVffgrThEBe2sl74kKG0/edit?usp=sharing"",""สุพรรณบุรี!J374"")"),0)</f>
        <v>0</v>
      </c>
      <c r="Y72" s="440">
        <f t="shared" ca="1" si="11"/>
        <v>0</v>
      </c>
      <c r="Z72" s="439">
        <f ca="1">IFERROR(__xludf.DUMMYFUNCTION("IMPORTRANGE(""https://docs.google.com/spreadsheets/d/1H1EalTWKUSzO4Z1-1CwzoDUaVffgrThEBe2sl74kKG0/edit?usp=sharing"",""สุพรรณบุรี!I386"")"),1000)</f>
        <v>1000</v>
      </c>
      <c r="AA72" s="74">
        <f ca="1">IFERROR(__xludf.DUMMYFUNCTION("IMPORTRANGE(""https://docs.google.com/spreadsheets/d/1H1EalTWKUSzO4Z1-1CwzoDUaVffgrThEBe2sl74kKG0/edit?usp=sharing"",""สุพรรณบุรี!J385"")"),0)</f>
        <v>0</v>
      </c>
      <c r="AB72" s="74">
        <f ca="1">IFERROR(__xludf.DUMMYFUNCTION("IMPORTRANGE(""https://docs.google.com/spreadsheets/d/1H1EalTWKUSzO4Z1-1CwzoDUaVffgrThEBe2sl74kKG0/edit?usp=sharing"",""สุพรรณบุรี!J386"")"),0)</f>
        <v>0</v>
      </c>
      <c r="AC72" s="441">
        <f ca="1">IFERROR(__xludf.DUMMYFUNCTION("IMPORTRANGE(""https://docs.google.com/spreadsheets/d/1H1EalTWKUSzO4Z1-1CwzoDUaVffgrThEBe2sl74kKG0/edit?usp=sharing"",""สุพรรณบุรี!I388"")"),0)</f>
        <v>0</v>
      </c>
      <c r="AD72" s="74">
        <f ca="1">IFERROR(__xludf.DUMMYFUNCTION("IMPORTRANGE(""https://docs.google.com/spreadsheets/d/1H1EalTWKUSzO4Z1-1CwzoDUaVffgrThEBe2sl74kKG0/edit?usp=sharing"",""สุพรรณบุรี!J387"")"),0)</f>
        <v>0</v>
      </c>
      <c r="AE72" s="74">
        <f ca="1">IFERROR(__xludf.DUMMYFUNCTION("IMPORTRANGE(""https://docs.google.com/spreadsheets/d/1H1EalTWKUSzO4Z1-1CwzoDUaVffgrThEBe2sl74kKG0/edit?usp=sharing"",""สุพรรณบุรี!J388"")"),0)</f>
        <v>0</v>
      </c>
    </row>
    <row r="73" spans="1:31" ht="19.5" x14ac:dyDescent="0.3">
      <c r="A73" s="155">
        <v>21</v>
      </c>
      <c r="B73" s="156" t="s">
        <v>101</v>
      </c>
      <c r="C73" s="157">
        <f t="shared" ca="1" si="21"/>
        <v>0</v>
      </c>
      <c r="D73" s="158">
        <f t="shared" ca="1" si="46"/>
        <v>0</v>
      </c>
      <c r="E73" s="159">
        <f ca="1">IFERROR(__xludf.DUMMYFUNCTION("IMPORTRANGE(""https://docs.google.com/spreadsheets/d/1-uDff_7J0KD5mKrp0Vvzr7lt3OU09vwQwhkpOPPYv2Y/edit?usp=sharing"",""งบพรบ!IF73"")"),0)</f>
        <v>0</v>
      </c>
      <c r="F73" s="159">
        <f ca="1">IFERROR(__xludf.DUMMYFUNCTION("IMPORTRANGE(""https://docs.google.com/spreadsheets/d/1-uDff_7J0KD5mKrp0Vvzr7lt3OU09vwQwhkpOPPYv2Y/edit?usp=sharing"",""งบพรบ!IG73"")"),0)</f>
        <v>0</v>
      </c>
      <c r="G73" s="159">
        <f ca="1">IFERROR(__xludf.DUMMYFUNCTION("IMPORTRANGE(""https://docs.google.com/spreadsheets/d/1-uDff_7J0KD5mKrp0Vvzr7lt3OU09vwQwhkpOPPYv2Y/edit?usp=sharing"",""งบพรบ!IH73"")"),0)</f>
        <v>0</v>
      </c>
      <c r="H73" s="159">
        <f ca="1">IFERROR(__xludf.DUMMYFUNCTION("IMPORTRANGE(""https://docs.google.com/spreadsheets/d/1-uDff_7J0KD5mKrp0Vvzr7lt3OU09vwQwhkpOPPYv2Y/edit?usp=sharing"",""งบพรบ!IJ73"")"),0)</f>
        <v>0</v>
      </c>
      <c r="I73" s="159">
        <f ca="1">IFERROR(__xludf.DUMMYFUNCTION("IMPORTRANGE(""https://docs.google.com/spreadsheets/d/1-uDff_7J0KD5mKrp0Vvzr7lt3OU09vwQwhkpOPPYv2Y/edit?usp=sharing"",""งบพรบ!IK73"")"),0)</f>
        <v>0</v>
      </c>
      <c r="J73" s="159">
        <f t="shared" ca="1" si="23"/>
        <v>0</v>
      </c>
      <c r="K73" s="160">
        <f t="shared" ca="1" si="24"/>
        <v>0</v>
      </c>
      <c r="L73" s="159">
        <f ca="1">IFERROR(__xludf.DUMMYFUNCTION("IMPORTRANGE(""https://docs.google.com/spreadsheets/d/1-uDff_7J0KD5mKrp0Vvzr7lt3OU09vwQwhkpOPPYv2Y/edit?usp=sharing"",""งบพรบ!IL73"")"),0)</f>
        <v>0</v>
      </c>
      <c r="M73" s="89">
        <f t="shared" ca="1" si="25"/>
        <v>0</v>
      </c>
      <c r="N73" s="89">
        <f t="shared" ca="1" si="26"/>
        <v>0</v>
      </c>
      <c r="O73" s="159">
        <f ca="1">IFERROR(__xludf.DUMMYFUNCTION("IMPORTRANGE(""https://docs.google.com/spreadsheets/d/1-uDff_7J0KD5mKrp0Vvzr7lt3OU09vwQwhkpOPPYv2Y/edit?usp=sharing"",""งบพรบ!IM73"")"),0)</f>
        <v>0</v>
      </c>
      <c r="P73" s="88">
        <f t="shared" ca="1" si="27"/>
        <v>0</v>
      </c>
      <c r="Q73" s="89">
        <f t="shared" ca="1" si="28"/>
        <v>0</v>
      </c>
      <c r="R73" s="88">
        <f ca="1">IFERROR(__xludf.DUMMYFUNCTION("IMPORTRANGE(""https://docs.google.com/spreadsheets/d/1BmIruG_sIrJLYao_Pdr7zVArWsfoBt2692TMi6x_854/edit?usp=sharing"",""อ่างทอง!Q375"")"),0)</f>
        <v>0</v>
      </c>
      <c r="S73" s="88">
        <f ca="1">IFERROR(__xludf.DUMMYFUNCTION("IMPORTRANGE(""https://docs.google.com/spreadsheets/d/1BmIruG_sIrJLYao_Pdr7zVArWsfoBt2692TMi6x_854/edit?usp=sharing"",""อ่างทอง!R375"")"),0)</f>
        <v>0</v>
      </c>
      <c r="T73" s="88">
        <f ca="1">IFERROR(__xludf.DUMMYFUNCTION("IMPORTRANGE(""https://docs.google.com/spreadsheets/d/1BmIruG_sIrJLYao_Pdr7zVArWsfoBt2692TMi6x_854/edit?usp=sharing"",""อ่างทอง!S375"")"),0)</f>
        <v>0</v>
      </c>
      <c r="U73" s="89">
        <f t="shared" ca="1" si="30"/>
        <v>0</v>
      </c>
      <c r="V73" s="89">
        <f t="shared" ca="1" si="31"/>
        <v>0</v>
      </c>
      <c r="W73" s="444">
        <f t="shared" ca="1" si="47"/>
        <v>0</v>
      </c>
      <c r="X73" s="444">
        <f ca="1">IFERROR(__xludf.DUMMYFUNCTION("IMPORTRANGE(""https://docs.google.com/spreadsheets/d/1BmIruG_sIrJLYao_Pdr7zVArWsfoBt2692TMi6x_854/edit?usp=sharing"",""อ่างทอง!J374"")"),0)</f>
        <v>0</v>
      </c>
      <c r="Y73" s="445">
        <f t="shared" ca="1" si="11"/>
        <v>0</v>
      </c>
      <c r="Z73" s="444">
        <f ca="1">IFERROR(__xludf.DUMMYFUNCTION("IMPORTRANGE(""https://docs.google.com/spreadsheets/d/1BmIruG_sIrJLYao_Pdr7zVArWsfoBt2692TMi6x_854/edit?usp=sharing"",""อ่างทอง!I386"")"),0)</f>
        <v>0</v>
      </c>
      <c r="AA73" s="84">
        <f ca="1">IFERROR(__xludf.DUMMYFUNCTION("IMPORTRANGE(""https://docs.google.com/spreadsheets/d/1BmIruG_sIrJLYao_Pdr7zVArWsfoBt2692TMi6x_854/edit?usp=sharing"",""อ่างทอง!J385"")"),0)</f>
        <v>0</v>
      </c>
      <c r="AB73" s="84">
        <f ca="1">IFERROR(__xludf.DUMMYFUNCTION("IMPORTRANGE(""https://docs.google.com/spreadsheets/d/1BmIruG_sIrJLYao_Pdr7zVArWsfoBt2692TMi6x_854/edit?usp=sharing"",""อ่างทอง!J386"")"),0)</f>
        <v>0</v>
      </c>
      <c r="AC73" s="446">
        <f ca="1">IFERROR(__xludf.DUMMYFUNCTION("IMPORTRANGE(""https://docs.google.com/spreadsheets/d/1BmIruG_sIrJLYao_Pdr7zVArWsfoBt2692TMi6x_854/edit?usp=sharing"",""อ่างทอง!I388"")"),0)</f>
        <v>0</v>
      </c>
      <c r="AD73" s="84">
        <f ca="1">IFERROR(__xludf.DUMMYFUNCTION("IMPORTRANGE(""https://docs.google.com/spreadsheets/d/1BmIruG_sIrJLYao_Pdr7zVArWsfoBt2692TMi6x_854/edit?usp=sharing"",""อ่างทอง!J387"")"),0)</f>
        <v>0</v>
      </c>
      <c r="AE73" s="84">
        <f ca="1">IFERROR(__xludf.DUMMYFUNCTION("IMPORTRANGE(""https://docs.google.com/spreadsheets/d/1BmIruG_sIrJLYao_Pdr7zVArWsfoBt2692TMi6x_854/edit?usp=sharing"",""อ่างทอง!J388"")"),0)</f>
        <v>0</v>
      </c>
    </row>
    <row r="74" spans="1:31" ht="19.5" x14ac:dyDescent="0.3">
      <c r="A74" s="696" t="s">
        <v>102</v>
      </c>
      <c r="B74" s="662"/>
      <c r="C74" s="161">
        <f t="shared" ca="1" si="21"/>
        <v>220800</v>
      </c>
      <c r="D74" s="161">
        <f t="shared" ref="D74:I74" ca="1" si="48">SUM(D75:D88)</f>
        <v>220800</v>
      </c>
      <c r="E74" s="161">
        <f t="shared" ca="1" si="48"/>
        <v>220800</v>
      </c>
      <c r="F74" s="161">
        <f t="shared" ca="1" si="48"/>
        <v>0</v>
      </c>
      <c r="G74" s="161">
        <f t="shared" ca="1" si="48"/>
        <v>0</v>
      </c>
      <c r="H74" s="161">
        <f t="shared" ca="1" si="48"/>
        <v>220800</v>
      </c>
      <c r="I74" s="161">
        <f t="shared" ca="1" si="48"/>
        <v>0</v>
      </c>
      <c r="J74" s="161">
        <f t="shared" ca="1" si="23"/>
        <v>43314</v>
      </c>
      <c r="K74" s="162">
        <f t="shared" ca="1" si="24"/>
        <v>19.616847826086957</v>
      </c>
      <c r="L74" s="161">
        <f ca="1">SUM(L75:L88)</f>
        <v>43314</v>
      </c>
      <c r="M74" s="94">
        <f t="shared" ca="1" si="25"/>
        <v>19.616847826086957</v>
      </c>
      <c r="N74" s="94">
        <f t="shared" ca="1" si="26"/>
        <v>19.616847826086957</v>
      </c>
      <c r="O74" s="93">
        <f ca="1">SUM(O75:O88)</f>
        <v>0</v>
      </c>
      <c r="P74" s="93">
        <f t="shared" ca="1" si="27"/>
        <v>0</v>
      </c>
      <c r="Q74" s="94">
        <f t="shared" ca="1" si="28"/>
        <v>0</v>
      </c>
      <c r="R74" s="93">
        <f t="shared" ref="R74:T74" ca="1" si="49">SUM(R75:R88)</f>
        <v>618750</v>
      </c>
      <c r="S74" s="93">
        <f t="shared" ca="1" si="49"/>
        <v>484375</v>
      </c>
      <c r="T74" s="93">
        <f t="shared" ca="1" si="49"/>
        <v>254118.72999999998</v>
      </c>
      <c r="U74" s="94">
        <f t="shared" ca="1" si="30"/>
        <v>41.06969373737374</v>
      </c>
      <c r="V74" s="94">
        <f t="shared" ca="1" si="31"/>
        <v>52.463221677419355</v>
      </c>
      <c r="W74" s="447">
        <f t="shared" ref="W74:X74" ca="1" si="50">SUM(W75:W88)</f>
        <v>9900</v>
      </c>
      <c r="X74" s="447">
        <f t="shared" ca="1" si="50"/>
        <v>2193</v>
      </c>
      <c r="Y74" s="448">
        <f t="shared" ca="1" si="11"/>
        <v>22.151515151515152</v>
      </c>
      <c r="Z74" s="447">
        <f t="shared" ref="Z74:AE74" ca="1" si="51">SUM(Z75:Z88)</f>
        <v>9900</v>
      </c>
      <c r="AA74" s="447">
        <f t="shared" ca="1" si="51"/>
        <v>292</v>
      </c>
      <c r="AB74" s="447">
        <f t="shared" ca="1" si="51"/>
        <v>2193</v>
      </c>
      <c r="AC74" s="447">
        <f t="shared" ca="1" si="51"/>
        <v>0</v>
      </c>
      <c r="AD74" s="447">
        <f t="shared" ca="1" si="51"/>
        <v>0</v>
      </c>
      <c r="AE74" s="447">
        <f t="shared" ca="1" si="51"/>
        <v>0</v>
      </c>
    </row>
    <row r="75" spans="1:31" ht="19.5" x14ac:dyDescent="0.3">
      <c r="A75" s="147">
        <v>1</v>
      </c>
      <c r="B75" s="148" t="s">
        <v>103</v>
      </c>
      <c r="C75" s="149">
        <f t="shared" ca="1" si="21"/>
        <v>45700</v>
      </c>
      <c r="D75" s="150">
        <f t="shared" ref="D75:D88" ca="1" si="52">+E75+F75</f>
        <v>45700</v>
      </c>
      <c r="E75" s="151">
        <f ca="1">IFERROR(__xludf.DUMMYFUNCTION("IMPORTRANGE(""https://docs.google.com/spreadsheets/d/1-uDff_7J0KD5mKrp0Vvzr7lt3OU09vwQwhkpOPPYv2Y/edit?usp=sharing"",""งบพรบ!IF75"")"),45700)</f>
        <v>45700</v>
      </c>
      <c r="F75" s="151">
        <f ca="1">IFERROR(__xludf.DUMMYFUNCTION("IMPORTRANGE(""https://docs.google.com/spreadsheets/d/1-uDff_7J0KD5mKrp0Vvzr7lt3OU09vwQwhkpOPPYv2Y/edit?usp=sharing"",""งบพรบ!IG75"")"),0)</f>
        <v>0</v>
      </c>
      <c r="G75" s="151">
        <f ca="1">IFERROR(__xludf.DUMMYFUNCTION("IMPORTRANGE(""https://docs.google.com/spreadsheets/d/1-uDff_7J0KD5mKrp0Vvzr7lt3OU09vwQwhkpOPPYv2Y/edit?usp=sharing"",""งบพรบ!IH75"")"),0)</f>
        <v>0</v>
      </c>
      <c r="H75" s="151">
        <f ca="1">IFERROR(__xludf.DUMMYFUNCTION("IMPORTRANGE(""https://docs.google.com/spreadsheets/d/1-uDff_7J0KD5mKrp0Vvzr7lt3OU09vwQwhkpOPPYv2Y/edit?usp=sharing"",""งบพรบ!IJ75"")"),45700)</f>
        <v>45700</v>
      </c>
      <c r="I75" s="151">
        <f ca="1">IFERROR(__xludf.DUMMYFUNCTION("IMPORTRANGE(""https://docs.google.com/spreadsheets/d/1-uDff_7J0KD5mKrp0Vvzr7lt3OU09vwQwhkpOPPYv2Y/edit?usp=sharing"",""งบพรบ!IK75"")"),0)</f>
        <v>0</v>
      </c>
      <c r="J75" s="151">
        <f t="shared" ca="1" si="23"/>
        <v>10150</v>
      </c>
      <c r="K75" s="154">
        <f t="shared" ca="1" si="24"/>
        <v>22.210065645514224</v>
      </c>
      <c r="L75" s="151">
        <f ca="1">IFERROR(__xludf.DUMMYFUNCTION("IMPORTRANGE(""https://docs.google.com/spreadsheets/d/1-uDff_7J0KD5mKrp0Vvzr7lt3OU09vwQwhkpOPPYv2Y/edit?usp=sharing"",""งบพรบ!IL75"")"),10150)</f>
        <v>10150</v>
      </c>
      <c r="M75" s="68">
        <f t="shared" ca="1" si="25"/>
        <v>22.210065645514224</v>
      </c>
      <c r="N75" s="68">
        <f t="shared" ca="1" si="26"/>
        <v>22.210065645514224</v>
      </c>
      <c r="O75" s="151">
        <f ca="1">IFERROR(__xludf.DUMMYFUNCTION("IMPORTRANGE(""https://docs.google.com/spreadsheets/d/1-uDff_7J0KD5mKrp0Vvzr7lt3OU09vwQwhkpOPPYv2Y/edit?usp=sharing"",""งบพรบ!IM75"")"),0)</f>
        <v>0</v>
      </c>
      <c r="P75" s="67">
        <f t="shared" ca="1" si="27"/>
        <v>0</v>
      </c>
      <c r="Q75" s="68">
        <f t="shared" ca="1" si="28"/>
        <v>0</v>
      </c>
      <c r="R75" s="67">
        <f ca="1">IFERROR(__xludf.DUMMYFUNCTION("IMPORTRANGE(""https://docs.google.com/spreadsheets/d/1kKUcYdkIfrgTSj8iHHHB2MD2FAtwyyocFgqGQn6ADyI/edit?usp=sharing"",""กระบี่!Q375"")"),62500)</f>
        <v>62500</v>
      </c>
      <c r="S75" s="67">
        <f ca="1">IFERROR(__xludf.DUMMYFUNCTION("IMPORTRANGE(""https://docs.google.com/spreadsheets/d/1kKUcYdkIfrgTSj8iHHHB2MD2FAtwyyocFgqGQn6ADyI/edit?usp=sharing"",""กระบี่!R375"")"),62500)</f>
        <v>62500</v>
      </c>
      <c r="T75" s="67">
        <f ca="1">IFERROR(__xludf.DUMMYFUNCTION("IMPORTRANGE(""https://docs.google.com/spreadsheets/d/1kKUcYdkIfrgTSj8iHHHB2MD2FAtwyyocFgqGQn6ADyI/edit?usp=sharing"",""กระบี่!S375"")"),19662)</f>
        <v>19662</v>
      </c>
      <c r="U75" s="68">
        <f t="shared" ca="1" si="30"/>
        <v>31.459199999999999</v>
      </c>
      <c r="V75" s="68">
        <f t="shared" ca="1" si="31"/>
        <v>31.459199999999999</v>
      </c>
      <c r="W75" s="439">
        <f t="shared" ref="W75:W88" ca="1" si="53">Z75+AC75</f>
        <v>1000</v>
      </c>
      <c r="X75" s="439">
        <f ca="1">IFERROR(__xludf.DUMMYFUNCTION("IMPORTRANGE(""https://docs.google.com/spreadsheets/d/1kKUcYdkIfrgTSj8iHHHB2MD2FAtwyyocFgqGQn6ADyI/edit?usp=sharing"",""กระบี่!J374"")"),0)</f>
        <v>0</v>
      </c>
      <c r="Y75" s="440">
        <f t="shared" ca="1" si="11"/>
        <v>0</v>
      </c>
      <c r="Z75" s="439">
        <f ca="1">IFERROR(__xludf.DUMMYFUNCTION("IMPORTRANGE(""https://docs.google.com/spreadsheets/d/1kKUcYdkIfrgTSj8iHHHB2MD2FAtwyyocFgqGQn6ADyI/edit?usp=sharing"",""กระบี่!I386"")"),1000)</f>
        <v>1000</v>
      </c>
      <c r="AA75" s="62">
        <f ca="1">IFERROR(__xludf.DUMMYFUNCTION("IMPORTRANGE(""https://docs.google.com/spreadsheets/d/1kKUcYdkIfrgTSj8iHHHB2MD2FAtwyyocFgqGQn6ADyI/edit?usp=sharing"",""กระบี่!J385"")"),0)</f>
        <v>0</v>
      </c>
      <c r="AB75" s="62">
        <f ca="1">IFERROR(__xludf.DUMMYFUNCTION("IMPORTRANGE(""https://docs.google.com/spreadsheets/d/1kKUcYdkIfrgTSj8iHHHB2MD2FAtwyyocFgqGQn6ADyI/edit?usp=sharing"",""กระบี่!J386"")"),0)</f>
        <v>0</v>
      </c>
      <c r="AC75" s="441">
        <f ca="1">IFERROR(__xludf.DUMMYFUNCTION("IMPORTRANGE(""https://docs.google.com/spreadsheets/d/1kKUcYdkIfrgTSj8iHHHB2MD2FAtwyyocFgqGQn6ADyI/edit?usp=sharing"",""กระบี่!I388"")"),0)</f>
        <v>0</v>
      </c>
      <c r="AD75" s="62">
        <f ca="1">IFERROR(__xludf.DUMMYFUNCTION("IMPORTRANGE(""https://docs.google.com/spreadsheets/d/1kKUcYdkIfrgTSj8iHHHB2MD2FAtwyyocFgqGQn6ADyI/edit?usp=sharing"",""กระบี่!J387"")"),0)</f>
        <v>0</v>
      </c>
      <c r="AE75" s="62">
        <f ca="1">IFERROR(__xludf.DUMMYFUNCTION("IMPORTRANGE(""https://docs.google.com/spreadsheets/d/1kKUcYdkIfrgTSj8iHHHB2MD2FAtwyyocFgqGQn6ADyI/edit?usp=sharing"",""กระบี่!J388"")"),0)</f>
        <v>0</v>
      </c>
    </row>
    <row r="76" spans="1:31" ht="19.5" x14ac:dyDescent="0.3">
      <c r="A76" s="147">
        <v>2</v>
      </c>
      <c r="B76" s="148" t="s">
        <v>104</v>
      </c>
      <c r="C76" s="149">
        <f t="shared" ca="1" si="21"/>
        <v>43900</v>
      </c>
      <c r="D76" s="150">
        <f t="shared" ca="1" si="52"/>
        <v>43900</v>
      </c>
      <c r="E76" s="151">
        <f ca="1">IFERROR(__xludf.DUMMYFUNCTION("IMPORTRANGE(""https://docs.google.com/spreadsheets/d/1-uDff_7J0KD5mKrp0Vvzr7lt3OU09vwQwhkpOPPYv2Y/edit?usp=sharing"",""งบพรบ!IF76"")"),43900)</f>
        <v>43900</v>
      </c>
      <c r="F76" s="151">
        <f ca="1">IFERROR(__xludf.DUMMYFUNCTION("IMPORTRANGE(""https://docs.google.com/spreadsheets/d/1-uDff_7J0KD5mKrp0Vvzr7lt3OU09vwQwhkpOPPYv2Y/edit?usp=sharing"",""งบพรบ!IG76"")"),0)</f>
        <v>0</v>
      </c>
      <c r="G76" s="151">
        <f ca="1">IFERROR(__xludf.DUMMYFUNCTION("IMPORTRANGE(""https://docs.google.com/spreadsheets/d/1-uDff_7J0KD5mKrp0Vvzr7lt3OU09vwQwhkpOPPYv2Y/edit?usp=sharing"",""งบพรบ!IH76"")"),0)</f>
        <v>0</v>
      </c>
      <c r="H76" s="151">
        <f ca="1">IFERROR(__xludf.DUMMYFUNCTION("IMPORTRANGE(""https://docs.google.com/spreadsheets/d/1-uDff_7J0KD5mKrp0Vvzr7lt3OU09vwQwhkpOPPYv2Y/edit?usp=sharing"",""งบพรบ!IJ76"")"),43900)</f>
        <v>43900</v>
      </c>
      <c r="I76" s="151">
        <f ca="1">IFERROR(__xludf.DUMMYFUNCTION("IMPORTRANGE(""https://docs.google.com/spreadsheets/d/1-uDff_7J0KD5mKrp0Vvzr7lt3OU09vwQwhkpOPPYv2Y/edit?usp=sharing"",""งบพรบ!IK76"")"),0)</f>
        <v>0</v>
      </c>
      <c r="J76" s="151">
        <f t="shared" ca="1" si="23"/>
        <v>25035</v>
      </c>
      <c r="K76" s="154">
        <f t="shared" ca="1" si="24"/>
        <v>57.027334851936217</v>
      </c>
      <c r="L76" s="151">
        <f ca="1">IFERROR(__xludf.DUMMYFUNCTION("IMPORTRANGE(""https://docs.google.com/spreadsheets/d/1-uDff_7J0KD5mKrp0Vvzr7lt3OU09vwQwhkpOPPYv2Y/edit?usp=sharing"",""งบพรบ!IL76"")"),25035)</f>
        <v>25035</v>
      </c>
      <c r="M76" s="68">
        <f t="shared" ca="1" si="25"/>
        <v>57.027334851936217</v>
      </c>
      <c r="N76" s="68">
        <f t="shared" ca="1" si="26"/>
        <v>57.027334851936217</v>
      </c>
      <c r="O76" s="151">
        <f ca="1">IFERROR(__xludf.DUMMYFUNCTION("IMPORTRANGE(""https://docs.google.com/spreadsheets/d/1-uDff_7J0KD5mKrp0Vvzr7lt3OU09vwQwhkpOPPYv2Y/edit?usp=sharing"",""งบพรบ!IM76"")"),0)</f>
        <v>0</v>
      </c>
      <c r="P76" s="67">
        <f t="shared" ca="1" si="27"/>
        <v>0</v>
      </c>
      <c r="Q76" s="68">
        <f t="shared" ca="1" si="28"/>
        <v>0</v>
      </c>
      <c r="R76" s="67">
        <f ca="1">IFERROR(__xludf.DUMMYFUNCTION("IMPORTRANGE(""https://docs.google.com/spreadsheets/d/1GwtLaSlNZkLk7iDqcyZz22giiy40b_usZZBXYciEN1U/edit?usp=sharing"",""ชุมพร!Q375"")"),125000)</f>
        <v>125000</v>
      </c>
      <c r="S76" s="67">
        <f ca="1">IFERROR(__xludf.DUMMYFUNCTION("IMPORTRANGE(""https://docs.google.com/spreadsheets/d/1GwtLaSlNZkLk7iDqcyZz22giiy40b_usZZBXYciEN1U/edit?usp=sharing"",""ชุมพร!R375"")"),62500)</f>
        <v>62500</v>
      </c>
      <c r="T76" s="67">
        <f ca="1">IFERROR(__xludf.DUMMYFUNCTION("IMPORTRANGE(""https://docs.google.com/spreadsheets/d/1GwtLaSlNZkLk7iDqcyZz22giiy40b_usZZBXYciEN1U/edit?usp=sharing"",""ชุมพร!S375"")"),1660)</f>
        <v>1660</v>
      </c>
      <c r="U76" s="68">
        <f t="shared" ca="1" si="30"/>
        <v>1.3280000000000001</v>
      </c>
      <c r="V76" s="68">
        <f t="shared" ca="1" si="31"/>
        <v>2.6560000000000001</v>
      </c>
      <c r="W76" s="439">
        <f t="shared" ca="1" si="53"/>
        <v>2000</v>
      </c>
      <c r="X76" s="439">
        <f ca="1">IFERROR(__xludf.DUMMYFUNCTION("IMPORTRANGE(""https://docs.google.com/spreadsheets/d/1GwtLaSlNZkLk7iDqcyZz22giiy40b_usZZBXYciEN1U/edit?usp=sharing"",""ชุมพร!J374"")"),0)</f>
        <v>0</v>
      </c>
      <c r="Y76" s="440">
        <f t="shared" ca="1" si="11"/>
        <v>0</v>
      </c>
      <c r="Z76" s="439">
        <f ca="1">IFERROR(__xludf.DUMMYFUNCTION("IMPORTRANGE(""https://docs.google.com/spreadsheets/d/1GwtLaSlNZkLk7iDqcyZz22giiy40b_usZZBXYciEN1U/edit?usp=sharing"",""ชุมพร!I386"")"),2000)</f>
        <v>2000</v>
      </c>
      <c r="AA76" s="74">
        <f ca="1">IFERROR(__xludf.DUMMYFUNCTION("IMPORTRANGE(""https://docs.google.com/spreadsheets/d/1GwtLaSlNZkLk7iDqcyZz22giiy40b_usZZBXYciEN1U/edit?usp=sharing"",""ชุมพร!J385"")"),0)</f>
        <v>0</v>
      </c>
      <c r="AB76" s="74">
        <f ca="1">IFERROR(__xludf.DUMMYFUNCTION("IMPORTRANGE(""https://docs.google.com/spreadsheets/d/1GwtLaSlNZkLk7iDqcyZz22giiy40b_usZZBXYciEN1U/edit?usp=sharing"",""ชุมพร!J386"")"),0)</f>
        <v>0</v>
      </c>
      <c r="AC76" s="441">
        <f ca="1">IFERROR(__xludf.DUMMYFUNCTION("IMPORTRANGE(""https://docs.google.com/spreadsheets/d/1GwtLaSlNZkLk7iDqcyZz22giiy40b_usZZBXYciEN1U/edit?usp=sharing"",""ชุมพร!I388"")"),0)</f>
        <v>0</v>
      </c>
      <c r="AD76" s="74">
        <f ca="1">IFERROR(__xludf.DUMMYFUNCTION("IMPORTRANGE(""https://docs.google.com/spreadsheets/d/1GwtLaSlNZkLk7iDqcyZz22giiy40b_usZZBXYciEN1U/edit?usp=sharing"",""ชุมพร!J387"")"),0)</f>
        <v>0</v>
      </c>
      <c r="AE76" s="74">
        <f ca="1">IFERROR(__xludf.DUMMYFUNCTION("IMPORTRANGE(""https://docs.google.com/spreadsheets/d/1GwtLaSlNZkLk7iDqcyZz22giiy40b_usZZBXYciEN1U/edit?usp=sharing"",""ชุมพร!J388"")"),0)</f>
        <v>0</v>
      </c>
    </row>
    <row r="77" spans="1:31" ht="19.5" x14ac:dyDescent="0.3">
      <c r="A77" s="147">
        <v>3</v>
      </c>
      <c r="B77" s="148" t="s">
        <v>105</v>
      </c>
      <c r="C77" s="149">
        <f t="shared" ca="1" si="21"/>
        <v>0</v>
      </c>
      <c r="D77" s="150">
        <f t="shared" ca="1" si="52"/>
        <v>0</v>
      </c>
      <c r="E77" s="151">
        <f ca="1">IFERROR(__xludf.DUMMYFUNCTION("IMPORTRANGE(""https://docs.google.com/spreadsheets/d/1-uDff_7J0KD5mKrp0Vvzr7lt3OU09vwQwhkpOPPYv2Y/edit?usp=sharing"",""งบพรบ!IF77"")"),0)</f>
        <v>0</v>
      </c>
      <c r="F77" s="151">
        <f ca="1">IFERROR(__xludf.DUMMYFUNCTION("IMPORTRANGE(""https://docs.google.com/spreadsheets/d/1-uDff_7J0KD5mKrp0Vvzr7lt3OU09vwQwhkpOPPYv2Y/edit?usp=sharing"",""งบพรบ!IG77"")"),0)</f>
        <v>0</v>
      </c>
      <c r="G77" s="151">
        <f ca="1">IFERROR(__xludf.DUMMYFUNCTION("IMPORTRANGE(""https://docs.google.com/spreadsheets/d/1-uDff_7J0KD5mKrp0Vvzr7lt3OU09vwQwhkpOPPYv2Y/edit?usp=sharing"",""งบพรบ!IH77"")"),0)</f>
        <v>0</v>
      </c>
      <c r="H77" s="151">
        <f ca="1">IFERROR(__xludf.DUMMYFUNCTION("IMPORTRANGE(""https://docs.google.com/spreadsheets/d/1-uDff_7J0KD5mKrp0Vvzr7lt3OU09vwQwhkpOPPYv2Y/edit?usp=sharing"",""งบพรบ!IJ77"")"),0)</f>
        <v>0</v>
      </c>
      <c r="I77" s="151">
        <f ca="1">IFERROR(__xludf.DUMMYFUNCTION("IMPORTRANGE(""https://docs.google.com/spreadsheets/d/1-uDff_7J0KD5mKrp0Vvzr7lt3OU09vwQwhkpOPPYv2Y/edit?usp=sharing"",""งบพรบ!IK77"")"),0)</f>
        <v>0</v>
      </c>
      <c r="J77" s="151">
        <f t="shared" ca="1" si="23"/>
        <v>0</v>
      </c>
      <c r="K77" s="154">
        <f t="shared" ca="1" si="24"/>
        <v>0</v>
      </c>
      <c r="L77" s="151">
        <f ca="1">IFERROR(__xludf.DUMMYFUNCTION("IMPORTRANGE(""https://docs.google.com/spreadsheets/d/1-uDff_7J0KD5mKrp0Vvzr7lt3OU09vwQwhkpOPPYv2Y/edit?usp=sharing"",""งบพรบ!IL77"")"),0)</f>
        <v>0</v>
      </c>
      <c r="M77" s="68">
        <f t="shared" ca="1" si="25"/>
        <v>0</v>
      </c>
      <c r="N77" s="68">
        <f t="shared" ca="1" si="26"/>
        <v>0</v>
      </c>
      <c r="O77" s="151">
        <f ca="1">IFERROR(__xludf.DUMMYFUNCTION("IMPORTRANGE(""https://docs.google.com/spreadsheets/d/1-uDff_7J0KD5mKrp0Vvzr7lt3OU09vwQwhkpOPPYv2Y/edit?usp=sharing"",""งบพรบ!IM77"")"),0)</f>
        <v>0</v>
      </c>
      <c r="P77" s="67">
        <f t="shared" ca="1" si="27"/>
        <v>0</v>
      </c>
      <c r="Q77" s="68">
        <f t="shared" ca="1" si="28"/>
        <v>0</v>
      </c>
      <c r="R77" s="67">
        <f ca="1">IFERROR(__xludf.DUMMYFUNCTION("IMPORTRANGE(""https://docs.google.com/spreadsheets/d/16pAz3pOhQEZBhvFNMa5KGgZS6iKWpsKX0pg6tQmwFpo/edit?usp=sharing"",""ตรัง!Q375"")"),62500)</f>
        <v>62500</v>
      </c>
      <c r="S77" s="67">
        <f ca="1">IFERROR(__xludf.DUMMYFUNCTION("IMPORTRANGE(""https://docs.google.com/spreadsheets/d/16pAz3pOhQEZBhvFNMa5KGgZS6iKWpsKX0pg6tQmwFpo/edit?usp=sharing"",""ตรัง!R375"")"),62500)</f>
        <v>62500</v>
      </c>
      <c r="T77" s="67">
        <f ca="1">IFERROR(__xludf.DUMMYFUNCTION("IMPORTRANGE(""https://docs.google.com/spreadsheets/d/16pAz3pOhQEZBhvFNMa5KGgZS6iKWpsKX0pg6tQmwFpo/edit?usp=sharing"",""ตรัง!S375"")"),24262)</f>
        <v>24262</v>
      </c>
      <c r="U77" s="68">
        <f t="shared" ca="1" si="30"/>
        <v>38.819200000000002</v>
      </c>
      <c r="V77" s="68">
        <f t="shared" ca="1" si="31"/>
        <v>38.819200000000002</v>
      </c>
      <c r="W77" s="439">
        <f t="shared" ca="1" si="53"/>
        <v>1000</v>
      </c>
      <c r="X77" s="439">
        <f ca="1">IFERROR(__xludf.DUMMYFUNCTION("IMPORTRANGE(""https://docs.google.com/spreadsheets/d/16pAz3pOhQEZBhvFNMa5KGgZS6iKWpsKX0pg6tQmwFpo/edit?usp=sharing"",""ตรัง!J374"")"),465)</f>
        <v>465</v>
      </c>
      <c r="Y77" s="440">
        <f t="shared" ca="1" si="11"/>
        <v>46.5</v>
      </c>
      <c r="Z77" s="439">
        <f ca="1">IFERROR(__xludf.DUMMYFUNCTION("IMPORTRANGE(""https://docs.google.com/spreadsheets/d/16pAz3pOhQEZBhvFNMa5KGgZS6iKWpsKX0pg6tQmwFpo/edit?usp=sharing"",""ตรัง!I386"")"),1000)</f>
        <v>1000</v>
      </c>
      <c r="AA77" s="74">
        <f ca="1">IFERROR(__xludf.DUMMYFUNCTION("IMPORTRANGE(""https://docs.google.com/spreadsheets/d/16pAz3pOhQEZBhvFNMa5KGgZS6iKWpsKX0pg6tQmwFpo/edit?usp=sharing"",""ตรัง!J385"")"),28)</f>
        <v>28</v>
      </c>
      <c r="AB77" s="74">
        <f ca="1">IFERROR(__xludf.DUMMYFUNCTION("IMPORTRANGE(""https://docs.google.com/spreadsheets/d/16pAz3pOhQEZBhvFNMa5KGgZS6iKWpsKX0pg6tQmwFpo/edit?usp=sharing"",""ตรัง!J386"")"),465)</f>
        <v>465</v>
      </c>
      <c r="AC77" s="441">
        <f ca="1">IFERROR(__xludf.DUMMYFUNCTION("IMPORTRANGE(""https://docs.google.com/spreadsheets/d/16pAz3pOhQEZBhvFNMa5KGgZS6iKWpsKX0pg6tQmwFpo/edit?usp=sharing"",""ตรัง!I388"")"),0)</f>
        <v>0</v>
      </c>
      <c r="AD77" s="74">
        <f ca="1">IFERROR(__xludf.DUMMYFUNCTION("IMPORTRANGE(""https://docs.google.com/spreadsheets/d/16pAz3pOhQEZBhvFNMa5KGgZS6iKWpsKX0pg6tQmwFpo/edit?usp=sharing"",""ตรัง!J387"")"),0)</f>
        <v>0</v>
      </c>
      <c r="AE77" s="74">
        <f ca="1">IFERROR(__xludf.DUMMYFUNCTION("IMPORTRANGE(""https://docs.google.com/spreadsheets/d/16pAz3pOhQEZBhvFNMa5KGgZS6iKWpsKX0pg6tQmwFpo/edit?usp=sharing"",""ตรัง!J388"")"),0)</f>
        <v>0</v>
      </c>
    </row>
    <row r="78" spans="1:31" ht="19.5" x14ac:dyDescent="0.3">
      <c r="A78" s="147">
        <v>4</v>
      </c>
      <c r="B78" s="148" t="s">
        <v>106</v>
      </c>
      <c r="C78" s="149">
        <f t="shared" ca="1" si="21"/>
        <v>0</v>
      </c>
      <c r="D78" s="150">
        <f t="shared" ca="1" si="52"/>
        <v>0</v>
      </c>
      <c r="E78" s="151">
        <f ca="1">IFERROR(__xludf.DUMMYFUNCTION("IMPORTRANGE(""https://docs.google.com/spreadsheets/d/1-uDff_7J0KD5mKrp0Vvzr7lt3OU09vwQwhkpOPPYv2Y/edit?usp=sharing"",""งบพรบ!IF78"")"),0)</f>
        <v>0</v>
      </c>
      <c r="F78" s="151">
        <f ca="1">IFERROR(__xludf.DUMMYFUNCTION("IMPORTRANGE(""https://docs.google.com/spreadsheets/d/1-uDff_7J0KD5mKrp0Vvzr7lt3OU09vwQwhkpOPPYv2Y/edit?usp=sharing"",""งบพรบ!IG78"")"),0)</f>
        <v>0</v>
      </c>
      <c r="G78" s="151">
        <f ca="1">IFERROR(__xludf.DUMMYFUNCTION("IMPORTRANGE(""https://docs.google.com/spreadsheets/d/1-uDff_7J0KD5mKrp0Vvzr7lt3OU09vwQwhkpOPPYv2Y/edit?usp=sharing"",""งบพรบ!IH78"")"),0)</f>
        <v>0</v>
      </c>
      <c r="H78" s="151">
        <f ca="1">IFERROR(__xludf.DUMMYFUNCTION("IMPORTRANGE(""https://docs.google.com/spreadsheets/d/1-uDff_7J0KD5mKrp0Vvzr7lt3OU09vwQwhkpOPPYv2Y/edit?usp=sharing"",""งบพรบ!IJ78"")"),0)</f>
        <v>0</v>
      </c>
      <c r="I78" s="151">
        <f ca="1">IFERROR(__xludf.DUMMYFUNCTION("IMPORTRANGE(""https://docs.google.com/spreadsheets/d/1-uDff_7J0KD5mKrp0Vvzr7lt3OU09vwQwhkpOPPYv2Y/edit?usp=sharing"",""งบพรบ!IK78"")"),0)</f>
        <v>0</v>
      </c>
      <c r="J78" s="151">
        <f t="shared" ca="1" si="23"/>
        <v>0</v>
      </c>
      <c r="K78" s="154">
        <f t="shared" ca="1" si="24"/>
        <v>0</v>
      </c>
      <c r="L78" s="151">
        <f ca="1">IFERROR(__xludf.DUMMYFUNCTION("IMPORTRANGE(""https://docs.google.com/spreadsheets/d/1-uDff_7J0KD5mKrp0Vvzr7lt3OU09vwQwhkpOPPYv2Y/edit?usp=sharing"",""งบพรบ!IL78"")"),0)</f>
        <v>0</v>
      </c>
      <c r="M78" s="68">
        <f t="shared" ca="1" si="25"/>
        <v>0</v>
      </c>
      <c r="N78" s="68">
        <f t="shared" ca="1" si="26"/>
        <v>0</v>
      </c>
      <c r="O78" s="151">
        <f ca="1">IFERROR(__xludf.DUMMYFUNCTION("IMPORTRANGE(""https://docs.google.com/spreadsheets/d/1-uDff_7J0KD5mKrp0Vvzr7lt3OU09vwQwhkpOPPYv2Y/edit?usp=sharing"",""งบพรบ!IM78"")"),0)</f>
        <v>0</v>
      </c>
      <c r="P78" s="67">
        <f t="shared" ca="1" si="27"/>
        <v>0</v>
      </c>
      <c r="Q78" s="68">
        <f t="shared" ca="1" si="28"/>
        <v>0</v>
      </c>
      <c r="R78" s="67">
        <f ca="1">IFERROR(__xludf.DUMMYFUNCTION("IMPORTRANGE(""https://docs.google.com/spreadsheets/d/1Dj4jcHCTV9JXKCaMoheSXS52JE63kDKyG7bPXnFogHk/edit?usp=sharing"",""นครศรีธรรมราช!Q375"")"),62500)</f>
        <v>62500</v>
      </c>
      <c r="S78" s="67">
        <f ca="1">IFERROR(__xludf.DUMMYFUNCTION("IMPORTRANGE(""https://docs.google.com/spreadsheets/d/1Dj4jcHCTV9JXKCaMoheSXS52JE63kDKyG7bPXnFogHk/edit?usp=sharing"",""นครศรีธรรมราช!R375"")"),62500)</f>
        <v>62500</v>
      </c>
      <c r="T78" s="67">
        <f ca="1">IFERROR(__xludf.DUMMYFUNCTION("IMPORTRANGE(""https://docs.google.com/spreadsheets/d/1Dj4jcHCTV9JXKCaMoheSXS52JE63kDKyG7bPXnFogHk/edit?usp=sharing"",""นครศรีธรรมราช!S375"")"),19799.99)</f>
        <v>19799.990000000002</v>
      </c>
      <c r="U78" s="68">
        <f t="shared" ca="1" si="30"/>
        <v>31.679984000000005</v>
      </c>
      <c r="V78" s="68">
        <f t="shared" ca="1" si="31"/>
        <v>31.679984000000005</v>
      </c>
      <c r="W78" s="439">
        <f t="shared" ca="1" si="53"/>
        <v>1000</v>
      </c>
      <c r="X78" s="439">
        <f ca="1">IFERROR(__xludf.DUMMYFUNCTION("IMPORTRANGE(""https://docs.google.com/spreadsheets/d/1Dj4jcHCTV9JXKCaMoheSXS52JE63kDKyG7bPXnFogHk/edit?usp=sharing"",""นครศรีธรรมราช!J374"")"),0)</f>
        <v>0</v>
      </c>
      <c r="Y78" s="440">
        <f t="shared" ca="1" si="11"/>
        <v>0</v>
      </c>
      <c r="Z78" s="439">
        <f ca="1">IFERROR(__xludf.DUMMYFUNCTION("IMPORTRANGE(""https://docs.google.com/spreadsheets/d/1Dj4jcHCTV9JXKCaMoheSXS52JE63kDKyG7bPXnFogHk/edit?usp=sharing"",""นครศรีธรรมราช!I386"")"),1000)</f>
        <v>1000</v>
      </c>
      <c r="AA78" s="74">
        <f ca="1">IFERROR(__xludf.DUMMYFUNCTION("IMPORTRANGE(""https://docs.google.com/spreadsheets/d/1Dj4jcHCTV9JXKCaMoheSXS52JE63kDKyG7bPXnFogHk/edit?usp=sharing"",""นครศรีธรรมราช!J385"")"),0)</f>
        <v>0</v>
      </c>
      <c r="AB78" s="74">
        <f ca="1">IFERROR(__xludf.DUMMYFUNCTION("IMPORTRANGE(""https://docs.google.com/spreadsheets/d/1Dj4jcHCTV9JXKCaMoheSXS52JE63kDKyG7bPXnFogHk/edit?usp=sharing"",""นครศรีธรรมราช!J386"")"),0)</f>
        <v>0</v>
      </c>
      <c r="AC78" s="441">
        <f ca="1">IFERROR(__xludf.DUMMYFUNCTION("IMPORTRANGE(""https://docs.google.com/spreadsheets/d/1Dj4jcHCTV9JXKCaMoheSXS52JE63kDKyG7bPXnFogHk/edit?usp=sharing"",""นครศรีธรรมราช!I388"")"),0)</f>
        <v>0</v>
      </c>
      <c r="AD78" s="74">
        <f ca="1">IFERROR(__xludf.DUMMYFUNCTION("IMPORTRANGE(""https://docs.google.com/spreadsheets/d/1Dj4jcHCTV9JXKCaMoheSXS52JE63kDKyG7bPXnFogHk/edit?usp=sharing"",""นครศรีธรรมราช!J387"")"),0)</f>
        <v>0</v>
      </c>
      <c r="AE78" s="74">
        <f ca="1">IFERROR(__xludf.DUMMYFUNCTION("IMPORTRANGE(""https://docs.google.com/spreadsheets/d/1Dj4jcHCTV9JXKCaMoheSXS52JE63kDKyG7bPXnFogHk/edit?usp=sharing"",""นครศรีธรรมราช!J388"")"),0)</f>
        <v>0</v>
      </c>
    </row>
    <row r="79" spans="1:31" ht="19.5" x14ac:dyDescent="0.3">
      <c r="A79" s="147">
        <v>5</v>
      </c>
      <c r="B79" s="148" t="s">
        <v>107</v>
      </c>
      <c r="C79" s="149">
        <f t="shared" ca="1" si="21"/>
        <v>0</v>
      </c>
      <c r="D79" s="150">
        <f t="shared" ca="1" si="52"/>
        <v>0</v>
      </c>
      <c r="E79" s="151">
        <f ca="1">IFERROR(__xludf.DUMMYFUNCTION("IMPORTRANGE(""https://docs.google.com/spreadsheets/d/1-uDff_7J0KD5mKrp0Vvzr7lt3OU09vwQwhkpOPPYv2Y/edit?usp=sharing"",""งบพรบ!IF79"")"),0)</f>
        <v>0</v>
      </c>
      <c r="F79" s="151">
        <f ca="1">IFERROR(__xludf.DUMMYFUNCTION("IMPORTRANGE(""https://docs.google.com/spreadsheets/d/1-uDff_7J0KD5mKrp0Vvzr7lt3OU09vwQwhkpOPPYv2Y/edit?usp=sharing"",""งบพรบ!IG79"")"),0)</f>
        <v>0</v>
      </c>
      <c r="G79" s="151">
        <f ca="1">IFERROR(__xludf.DUMMYFUNCTION("IMPORTRANGE(""https://docs.google.com/spreadsheets/d/1-uDff_7J0KD5mKrp0Vvzr7lt3OU09vwQwhkpOPPYv2Y/edit?usp=sharing"",""งบพรบ!IH79"")"),0)</f>
        <v>0</v>
      </c>
      <c r="H79" s="151">
        <f ca="1">IFERROR(__xludf.DUMMYFUNCTION("IMPORTRANGE(""https://docs.google.com/spreadsheets/d/1-uDff_7J0KD5mKrp0Vvzr7lt3OU09vwQwhkpOPPYv2Y/edit?usp=sharing"",""งบพรบ!IJ79"")"),0)</f>
        <v>0</v>
      </c>
      <c r="I79" s="151">
        <f ca="1">IFERROR(__xludf.DUMMYFUNCTION("IMPORTRANGE(""https://docs.google.com/spreadsheets/d/1-uDff_7J0KD5mKrp0Vvzr7lt3OU09vwQwhkpOPPYv2Y/edit?usp=sharing"",""งบพรบ!IK79"")"),0)</f>
        <v>0</v>
      </c>
      <c r="J79" s="151">
        <f t="shared" ca="1" si="23"/>
        <v>0</v>
      </c>
      <c r="K79" s="154">
        <f t="shared" ca="1" si="24"/>
        <v>0</v>
      </c>
      <c r="L79" s="151">
        <f ca="1">IFERROR(__xludf.DUMMYFUNCTION("IMPORTRANGE(""https://docs.google.com/spreadsheets/d/1-uDff_7J0KD5mKrp0Vvzr7lt3OU09vwQwhkpOPPYv2Y/edit?usp=sharing"",""งบพรบ!IL79"")"),0)</f>
        <v>0</v>
      </c>
      <c r="M79" s="68">
        <f t="shared" ca="1" si="25"/>
        <v>0</v>
      </c>
      <c r="N79" s="68">
        <f t="shared" ca="1" si="26"/>
        <v>0</v>
      </c>
      <c r="O79" s="151">
        <f ca="1">IFERROR(__xludf.DUMMYFUNCTION("IMPORTRANGE(""https://docs.google.com/spreadsheets/d/1-uDff_7J0KD5mKrp0Vvzr7lt3OU09vwQwhkpOPPYv2Y/edit?usp=sharing"",""งบพรบ!IM79"")"),0)</f>
        <v>0</v>
      </c>
      <c r="P79" s="67">
        <f t="shared" ca="1" si="27"/>
        <v>0</v>
      </c>
      <c r="Q79" s="68">
        <f t="shared" ca="1" si="28"/>
        <v>0</v>
      </c>
      <c r="R79" s="67">
        <f ca="1">IFERROR(__xludf.DUMMYFUNCTION("IMPORTRANGE(""https://docs.google.com/spreadsheets/d/1iodCdmuK2GR3jzUwk8tpccY2JHQQA-87DLOtJP-ooyU/edit?usp=sharing"",""นราธิวาส!Q375"")"),62500)</f>
        <v>62500</v>
      </c>
      <c r="S79" s="67">
        <f ca="1">IFERROR(__xludf.DUMMYFUNCTION("IMPORTRANGE(""https://docs.google.com/spreadsheets/d/1iodCdmuK2GR3jzUwk8tpccY2JHQQA-87DLOtJP-ooyU/edit?usp=sharing"",""นราธิวาส!R375"")"),40625)</f>
        <v>40625</v>
      </c>
      <c r="T79" s="67">
        <f ca="1">IFERROR(__xludf.DUMMYFUNCTION("IMPORTRANGE(""https://docs.google.com/spreadsheets/d/1iodCdmuK2GR3jzUwk8tpccY2JHQQA-87DLOtJP-ooyU/edit?usp=sharing"",""นราธิวาส!S375"")"),34039.94)</f>
        <v>34039.94</v>
      </c>
      <c r="U79" s="68">
        <f t="shared" ca="1" si="30"/>
        <v>54.463903999999999</v>
      </c>
      <c r="V79" s="68">
        <f t="shared" ca="1" si="31"/>
        <v>83.790621538461536</v>
      </c>
      <c r="W79" s="439">
        <f t="shared" ca="1" si="53"/>
        <v>1000</v>
      </c>
      <c r="X79" s="439">
        <f ca="1">IFERROR(__xludf.DUMMYFUNCTION("IMPORTRANGE(""https://docs.google.com/spreadsheets/d/1iodCdmuK2GR3jzUwk8tpccY2JHQQA-87DLOtJP-ooyU/edit?usp=sharing"",""นราธิวาส!J374"")"),238)</f>
        <v>238</v>
      </c>
      <c r="Y79" s="440">
        <f t="shared" ca="1" si="11"/>
        <v>23.8</v>
      </c>
      <c r="Z79" s="439">
        <f ca="1">IFERROR(__xludf.DUMMYFUNCTION("IMPORTRANGE(""https://docs.google.com/spreadsheets/d/1iodCdmuK2GR3jzUwk8tpccY2JHQQA-87DLOtJP-ooyU/edit?usp=sharing"",""นราธิวาส!I386"")"),1000)</f>
        <v>1000</v>
      </c>
      <c r="AA79" s="74">
        <f ca="1">IFERROR(__xludf.DUMMYFUNCTION("IMPORTRANGE(""https://docs.google.com/spreadsheets/d/1iodCdmuK2GR3jzUwk8tpccY2JHQQA-87DLOtJP-ooyU/edit?usp=sharing"",""นราธิวาส!J385"")"),77)</f>
        <v>77</v>
      </c>
      <c r="AB79" s="74">
        <f ca="1">IFERROR(__xludf.DUMMYFUNCTION("IMPORTRANGE(""https://docs.google.com/spreadsheets/d/1iodCdmuK2GR3jzUwk8tpccY2JHQQA-87DLOtJP-ooyU/edit?usp=sharing"",""นราธิวาส!J386"")"),238)</f>
        <v>238</v>
      </c>
      <c r="AC79" s="441">
        <f ca="1">IFERROR(__xludf.DUMMYFUNCTION("IMPORTRANGE(""https://docs.google.com/spreadsheets/d/1iodCdmuK2GR3jzUwk8tpccY2JHQQA-87DLOtJP-ooyU/edit?usp=sharing"",""นราธิวาส!I388"")"),0)</f>
        <v>0</v>
      </c>
      <c r="AD79" s="74">
        <f ca="1">IFERROR(__xludf.DUMMYFUNCTION("IMPORTRANGE(""https://docs.google.com/spreadsheets/d/1iodCdmuK2GR3jzUwk8tpccY2JHQQA-87DLOtJP-ooyU/edit?usp=sharing"",""นราธิวาส!J387"")"),0)</f>
        <v>0</v>
      </c>
      <c r="AE79" s="74">
        <f ca="1">IFERROR(__xludf.DUMMYFUNCTION("IMPORTRANGE(""https://docs.google.com/spreadsheets/d/1iodCdmuK2GR3jzUwk8tpccY2JHQQA-87DLOtJP-ooyU/edit?usp=sharing"",""นราธิวาส!J388"")"),0)</f>
        <v>0</v>
      </c>
    </row>
    <row r="80" spans="1:31" ht="19.5" x14ac:dyDescent="0.3">
      <c r="A80" s="147">
        <v>6</v>
      </c>
      <c r="B80" s="148" t="s">
        <v>108</v>
      </c>
      <c r="C80" s="149">
        <f t="shared" ca="1" si="21"/>
        <v>45100</v>
      </c>
      <c r="D80" s="150">
        <f t="shared" ca="1" si="52"/>
        <v>45100</v>
      </c>
      <c r="E80" s="151">
        <f ca="1">IFERROR(__xludf.DUMMYFUNCTION("IMPORTRANGE(""https://docs.google.com/spreadsheets/d/1-uDff_7J0KD5mKrp0Vvzr7lt3OU09vwQwhkpOPPYv2Y/edit?usp=sharing"",""งบพรบ!IF80"")"),45100)</f>
        <v>45100</v>
      </c>
      <c r="F80" s="151">
        <f ca="1">IFERROR(__xludf.DUMMYFUNCTION("IMPORTRANGE(""https://docs.google.com/spreadsheets/d/1-uDff_7J0KD5mKrp0Vvzr7lt3OU09vwQwhkpOPPYv2Y/edit?usp=sharing"",""งบพรบ!IG80"")"),0)</f>
        <v>0</v>
      </c>
      <c r="G80" s="151">
        <f ca="1">IFERROR(__xludf.DUMMYFUNCTION("IMPORTRANGE(""https://docs.google.com/spreadsheets/d/1-uDff_7J0KD5mKrp0Vvzr7lt3OU09vwQwhkpOPPYv2Y/edit?usp=sharing"",""งบพรบ!IH80"")"),0)</f>
        <v>0</v>
      </c>
      <c r="H80" s="151">
        <f ca="1">IFERROR(__xludf.DUMMYFUNCTION("IMPORTRANGE(""https://docs.google.com/spreadsheets/d/1-uDff_7J0KD5mKrp0Vvzr7lt3OU09vwQwhkpOPPYv2Y/edit?usp=sharing"",""งบพรบ!IJ80"")"),45100)</f>
        <v>45100</v>
      </c>
      <c r="I80" s="151">
        <f ca="1">IFERROR(__xludf.DUMMYFUNCTION("IMPORTRANGE(""https://docs.google.com/spreadsheets/d/1-uDff_7J0KD5mKrp0Vvzr7lt3OU09vwQwhkpOPPYv2Y/edit?usp=sharing"",""งบพรบ!IK80"")"),0)</f>
        <v>0</v>
      </c>
      <c r="J80" s="151">
        <f t="shared" ca="1" si="23"/>
        <v>5529</v>
      </c>
      <c r="K80" s="154">
        <f t="shared" ca="1" si="24"/>
        <v>12.259423503325943</v>
      </c>
      <c r="L80" s="151">
        <f ca="1">IFERROR(__xludf.DUMMYFUNCTION("IMPORTRANGE(""https://docs.google.com/spreadsheets/d/1-uDff_7J0KD5mKrp0Vvzr7lt3OU09vwQwhkpOPPYv2Y/edit?usp=sharing"",""งบพรบ!IL80"")"),5529)</f>
        <v>5529</v>
      </c>
      <c r="M80" s="68">
        <f t="shared" ca="1" si="25"/>
        <v>12.259423503325943</v>
      </c>
      <c r="N80" s="68">
        <f t="shared" ca="1" si="26"/>
        <v>12.259423503325943</v>
      </c>
      <c r="O80" s="151">
        <f ca="1">IFERROR(__xludf.DUMMYFUNCTION("IMPORTRANGE(""https://docs.google.com/spreadsheets/d/1-uDff_7J0KD5mKrp0Vvzr7lt3OU09vwQwhkpOPPYv2Y/edit?usp=sharing"",""งบพรบ!IM80"")"),0)</f>
        <v>0</v>
      </c>
      <c r="P80" s="67">
        <f t="shared" ca="1" si="27"/>
        <v>0</v>
      </c>
      <c r="Q80" s="68">
        <f t="shared" ca="1" si="28"/>
        <v>0</v>
      </c>
      <c r="R80" s="67">
        <f ca="1">IFERROR(__xludf.DUMMYFUNCTION("IMPORTRANGE(""https://docs.google.com/spreadsheets/d/1SDNX3JhDdYRuIOsj0Wh2M-Qa_eaXl0NbWmhAOTbfQAs/edit?usp=sharing"",""ปัตตานี!Q375"")"),18750)</f>
        <v>18750</v>
      </c>
      <c r="S80" s="67">
        <f ca="1">IFERROR(__xludf.DUMMYFUNCTION("IMPORTRANGE(""https://docs.google.com/spreadsheets/d/1SDNX3JhDdYRuIOsj0Wh2M-Qa_eaXl0NbWmhAOTbfQAs/edit?usp=sharing"",""ปัตตานี!R375"")"),18750)</f>
        <v>18750</v>
      </c>
      <c r="T80" s="67">
        <f ca="1">IFERROR(__xludf.DUMMYFUNCTION("IMPORTRANGE(""https://docs.google.com/spreadsheets/d/1SDNX3JhDdYRuIOsj0Wh2M-Qa_eaXl0NbWmhAOTbfQAs/edit?usp=sharing"",""ปัตตานี!S375"")"),0)</f>
        <v>0</v>
      </c>
      <c r="U80" s="68">
        <f t="shared" ca="1" si="30"/>
        <v>0</v>
      </c>
      <c r="V80" s="68">
        <f t="shared" ca="1" si="31"/>
        <v>0</v>
      </c>
      <c r="W80" s="439">
        <f t="shared" ca="1" si="53"/>
        <v>300</v>
      </c>
      <c r="X80" s="439">
        <f ca="1">IFERROR(__xludf.DUMMYFUNCTION("IMPORTRANGE(""https://docs.google.com/spreadsheets/d/1SDNX3JhDdYRuIOsj0Wh2M-Qa_eaXl0NbWmhAOTbfQAs/edit?usp=sharing"",""ปัตตานี!J374"")"),149)</f>
        <v>149</v>
      </c>
      <c r="Y80" s="440">
        <f t="shared" ca="1" si="11"/>
        <v>49.666666666666664</v>
      </c>
      <c r="Z80" s="439">
        <f ca="1">IFERROR(__xludf.DUMMYFUNCTION("IMPORTRANGE(""https://docs.google.com/spreadsheets/d/1SDNX3JhDdYRuIOsj0Wh2M-Qa_eaXl0NbWmhAOTbfQAs/edit?usp=sharing"",""ปัตตานี!I386"")"),300)</f>
        <v>300</v>
      </c>
      <c r="AA80" s="74">
        <f ca="1">IFERROR(__xludf.DUMMYFUNCTION("IMPORTRANGE(""https://docs.google.com/spreadsheets/d/1SDNX3JhDdYRuIOsj0Wh2M-Qa_eaXl0NbWmhAOTbfQAs/edit?usp=sharing"",""ปัตตานี!J385"")"),24)</f>
        <v>24</v>
      </c>
      <c r="AB80" s="74">
        <f ca="1">IFERROR(__xludf.DUMMYFUNCTION("IMPORTRANGE(""https://docs.google.com/spreadsheets/d/1SDNX3JhDdYRuIOsj0Wh2M-Qa_eaXl0NbWmhAOTbfQAs/edit?usp=sharing"",""ปัตตานี!J386"")"),149)</f>
        <v>149</v>
      </c>
      <c r="AC80" s="441">
        <f ca="1">IFERROR(__xludf.DUMMYFUNCTION("IMPORTRANGE(""https://docs.google.com/spreadsheets/d/1SDNX3JhDdYRuIOsj0Wh2M-Qa_eaXl0NbWmhAOTbfQAs/edit?usp=sharing"",""ปัตตานี!I388"")"),0)</f>
        <v>0</v>
      </c>
      <c r="AD80" s="74">
        <f ca="1">IFERROR(__xludf.DUMMYFUNCTION("IMPORTRANGE(""https://docs.google.com/spreadsheets/d/1SDNX3JhDdYRuIOsj0Wh2M-Qa_eaXl0NbWmhAOTbfQAs/edit?usp=sharing"",""ปัตตานี!J387"")"),0)</f>
        <v>0</v>
      </c>
      <c r="AE80" s="74">
        <f ca="1">IFERROR(__xludf.DUMMYFUNCTION("IMPORTRANGE(""https://docs.google.com/spreadsheets/d/1SDNX3JhDdYRuIOsj0Wh2M-Qa_eaXl0NbWmhAOTbfQAs/edit?usp=sharing"",""ปัตตานี!J388"")"),0)</f>
        <v>0</v>
      </c>
    </row>
    <row r="81" spans="1:31" ht="19.5" x14ac:dyDescent="0.3">
      <c r="A81" s="147">
        <v>7</v>
      </c>
      <c r="B81" s="148" t="s">
        <v>109</v>
      </c>
      <c r="C81" s="149">
        <f t="shared" ca="1" si="21"/>
        <v>45100</v>
      </c>
      <c r="D81" s="150">
        <f t="shared" ca="1" si="52"/>
        <v>45100</v>
      </c>
      <c r="E81" s="151">
        <f ca="1">IFERROR(__xludf.DUMMYFUNCTION("IMPORTRANGE(""https://docs.google.com/spreadsheets/d/1-uDff_7J0KD5mKrp0Vvzr7lt3OU09vwQwhkpOPPYv2Y/edit?usp=sharing"",""งบพรบ!IF81"")"),45100)</f>
        <v>45100</v>
      </c>
      <c r="F81" s="151">
        <f ca="1">IFERROR(__xludf.DUMMYFUNCTION("IMPORTRANGE(""https://docs.google.com/spreadsheets/d/1-uDff_7J0KD5mKrp0Vvzr7lt3OU09vwQwhkpOPPYv2Y/edit?usp=sharing"",""งบพรบ!IG81"")"),0)</f>
        <v>0</v>
      </c>
      <c r="G81" s="151">
        <f ca="1">IFERROR(__xludf.DUMMYFUNCTION("IMPORTRANGE(""https://docs.google.com/spreadsheets/d/1-uDff_7J0KD5mKrp0Vvzr7lt3OU09vwQwhkpOPPYv2Y/edit?usp=sharing"",""งบพรบ!IH81"")"),0)</f>
        <v>0</v>
      </c>
      <c r="H81" s="151">
        <f ca="1">IFERROR(__xludf.DUMMYFUNCTION("IMPORTRANGE(""https://docs.google.com/spreadsheets/d/1-uDff_7J0KD5mKrp0Vvzr7lt3OU09vwQwhkpOPPYv2Y/edit?usp=sharing"",""งบพรบ!IJ81"")"),45100)</f>
        <v>45100</v>
      </c>
      <c r="I81" s="151">
        <f ca="1">IFERROR(__xludf.DUMMYFUNCTION("IMPORTRANGE(""https://docs.google.com/spreadsheets/d/1-uDff_7J0KD5mKrp0Vvzr7lt3OU09vwQwhkpOPPYv2Y/edit?usp=sharing"",""งบพรบ!IK81"")"),0)</f>
        <v>0</v>
      </c>
      <c r="J81" s="151">
        <f t="shared" ca="1" si="23"/>
        <v>2600</v>
      </c>
      <c r="K81" s="154">
        <f t="shared" ca="1" si="24"/>
        <v>5.7649667405764964</v>
      </c>
      <c r="L81" s="151">
        <f ca="1">IFERROR(__xludf.DUMMYFUNCTION("IMPORTRANGE(""https://docs.google.com/spreadsheets/d/1-uDff_7J0KD5mKrp0Vvzr7lt3OU09vwQwhkpOPPYv2Y/edit?usp=sharing"",""งบพรบ!IL81"")"),2600)</f>
        <v>2600</v>
      </c>
      <c r="M81" s="68">
        <f t="shared" ca="1" si="25"/>
        <v>5.7649667405764964</v>
      </c>
      <c r="N81" s="68">
        <f t="shared" ca="1" si="26"/>
        <v>5.7649667405764964</v>
      </c>
      <c r="O81" s="151">
        <f ca="1">IFERROR(__xludf.DUMMYFUNCTION("IMPORTRANGE(""https://docs.google.com/spreadsheets/d/1-uDff_7J0KD5mKrp0Vvzr7lt3OU09vwQwhkpOPPYv2Y/edit?usp=sharing"",""งบพรบ!IM81"")"),0)</f>
        <v>0</v>
      </c>
      <c r="P81" s="67">
        <f t="shared" ca="1" si="27"/>
        <v>0</v>
      </c>
      <c r="Q81" s="68">
        <f t="shared" ca="1" si="28"/>
        <v>0</v>
      </c>
      <c r="R81" s="67">
        <f ca="1">IFERROR(__xludf.DUMMYFUNCTION("IMPORTRANGE(""https://docs.google.com/spreadsheets/d/16JDLGguT8s5DsGCND1KcwHP_AWR_zDMTqLHPLJUKhaU/edit?usp=sharing"",""พังงา!Q375"")"),50000)</f>
        <v>50000</v>
      </c>
      <c r="S81" s="67">
        <f ca="1">IFERROR(__xludf.DUMMYFUNCTION("IMPORTRANGE(""https://docs.google.com/spreadsheets/d/16JDLGguT8s5DsGCND1KcwHP_AWR_zDMTqLHPLJUKhaU/edit?usp=sharing"",""พังงา!R375"")"),9375)</f>
        <v>9375</v>
      </c>
      <c r="T81" s="67">
        <f ca="1">IFERROR(__xludf.DUMMYFUNCTION("IMPORTRANGE(""https://docs.google.com/spreadsheets/d/16JDLGguT8s5DsGCND1KcwHP_AWR_zDMTqLHPLJUKhaU/edit?usp=sharing"",""พังงา!S375"")"),2480)</f>
        <v>2480</v>
      </c>
      <c r="U81" s="68">
        <f t="shared" ca="1" si="30"/>
        <v>4.96</v>
      </c>
      <c r="V81" s="68">
        <f t="shared" ca="1" si="31"/>
        <v>26.453333333333333</v>
      </c>
      <c r="W81" s="439">
        <f t="shared" ca="1" si="53"/>
        <v>800</v>
      </c>
      <c r="X81" s="439">
        <f ca="1">IFERROR(__xludf.DUMMYFUNCTION("IMPORTRANGE(""https://docs.google.com/spreadsheets/d/16JDLGguT8s5DsGCND1KcwHP_AWR_zDMTqLHPLJUKhaU/edit?usp=sharing"",""พังงา!J374"")"),104)</f>
        <v>104</v>
      </c>
      <c r="Y81" s="440">
        <f t="shared" ca="1" si="11"/>
        <v>13</v>
      </c>
      <c r="Z81" s="439">
        <f ca="1">IFERROR(__xludf.DUMMYFUNCTION("IMPORTRANGE(""https://docs.google.com/spreadsheets/d/16JDLGguT8s5DsGCND1KcwHP_AWR_zDMTqLHPLJUKhaU/edit?usp=sharing"",""พังงา!I386"")"),800)</f>
        <v>800</v>
      </c>
      <c r="AA81" s="74">
        <f ca="1">IFERROR(__xludf.DUMMYFUNCTION("IMPORTRANGE(""https://docs.google.com/spreadsheets/d/16JDLGguT8s5DsGCND1KcwHP_AWR_zDMTqLHPLJUKhaU/edit?usp=sharing"",""พังงา!J385"")"),10)</f>
        <v>10</v>
      </c>
      <c r="AB81" s="74">
        <f ca="1">IFERROR(__xludf.DUMMYFUNCTION("IMPORTRANGE(""https://docs.google.com/spreadsheets/d/16JDLGguT8s5DsGCND1KcwHP_AWR_zDMTqLHPLJUKhaU/edit?usp=sharing"",""พังงา!J386"")"),104)</f>
        <v>104</v>
      </c>
      <c r="AC81" s="441">
        <f ca="1">IFERROR(__xludf.DUMMYFUNCTION("IMPORTRANGE(""https://docs.google.com/spreadsheets/d/16JDLGguT8s5DsGCND1KcwHP_AWR_zDMTqLHPLJUKhaU/edit?usp=sharing"",""พังงา!I388"")"),0)</f>
        <v>0</v>
      </c>
      <c r="AD81" s="74">
        <f ca="1">IFERROR(__xludf.DUMMYFUNCTION("IMPORTRANGE(""https://docs.google.com/spreadsheets/d/16JDLGguT8s5DsGCND1KcwHP_AWR_zDMTqLHPLJUKhaU/edit?usp=sharing"",""พังงา!J387"")"),0)</f>
        <v>0</v>
      </c>
      <c r="AE81" s="74">
        <f ca="1">IFERROR(__xludf.DUMMYFUNCTION("IMPORTRANGE(""https://docs.google.com/spreadsheets/d/16JDLGguT8s5DsGCND1KcwHP_AWR_zDMTqLHPLJUKhaU/edit?usp=sharing"",""พังงา!J388"")"),0)</f>
        <v>0</v>
      </c>
    </row>
    <row r="82" spans="1:31" ht="19.5" x14ac:dyDescent="0.3">
      <c r="A82" s="147">
        <v>8</v>
      </c>
      <c r="B82" s="148" t="s">
        <v>110</v>
      </c>
      <c r="C82" s="149">
        <f t="shared" ca="1" si="21"/>
        <v>0</v>
      </c>
      <c r="D82" s="150">
        <f t="shared" ca="1" si="52"/>
        <v>0</v>
      </c>
      <c r="E82" s="151">
        <f ca="1">IFERROR(__xludf.DUMMYFUNCTION("IMPORTRANGE(""https://docs.google.com/spreadsheets/d/1-uDff_7J0KD5mKrp0Vvzr7lt3OU09vwQwhkpOPPYv2Y/edit?usp=sharing"",""งบพรบ!IF82"")"),0)</f>
        <v>0</v>
      </c>
      <c r="F82" s="151">
        <f ca="1">IFERROR(__xludf.DUMMYFUNCTION("IMPORTRANGE(""https://docs.google.com/spreadsheets/d/1-uDff_7J0KD5mKrp0Vvzr7lt3OU09vwQwhkpOPPYv2Y/edit?usp=sharing"",""งบพรบ!IG82"")"),0)</f>
        <v>0</v>
      </c>
      <c r="G82" s="151">
        <f ca="1">IFERROR(__xludf.DUMMYFUNCTION("IMPORTRANGE(""https://docs.google.com/spreadsheets/d/1-uDff_7J0KD5mKrp0Vvzr7lt3OU09vwQwhkpOPPYv2Y/edit?usp=sharing"",""งบพรบ!IH82"")"),0)</f>
        <v>0</v>
      </c>
      <c r="H82" s="151">
        <f ca="1">IFERROR(__xludf.DUMMYFUNCTION("IMPORTRANGE(""https://docs.google.com/spreadsheets/d/1-uDff_7J0KD5mKrp0Vvzr7lt3OU09vwQwhkpOPPYv2Y/edit?usp=sharing"",""งบพรบ!IJ82"")"),0)</f>
        <v>0</v>
      </c>
      <c r="I82" s="151">
        <f ca="1">IFERROR(__xludf.DUMMYFUNCTION("IMPORTRANGE(""https://docs.google.com/spreadsheets/d/1-uDff_7J0KD5mKrp0Vvzr7lt3OU09vwQwhkpOPPYv2Y/edit?usp=sharing"",""งบพรบ!IK82"")"),0)</f>
        <v>0</v>
      </c>
      <c r="J82" s="151">
        <f t="shared" ca="1" si="23"/>
        <v>0</v>
      </c>
      <c r="K82" s="154">
        <f t="shared" ca="1" si="24"/>
        <v>0</v>
      </c>
      <c r="L82" s="151">
        <f ca="1">IFERROR(__xludf.DUMMYFUNCTION("IMPORTRANGE(""https://docs.google.com/spreadsheets/d/1-uDff_7J0KD5mKrp0Vvzr7lt3OU09vwQwhkpOPPYv2Y/edit?usp=sharing"",""งบพรบ!IL82"")"),0)</f>
        <v>0</v>
      </c>
      <c r="M82" s="68">
        <f t="shared" ca="1" si="25"/>
        <v>0</v>
      </c>
      <c r="N82" s="68">
        <f t="shared" ca="1" si="26"/>
        <v>0</v>
      </c>
      <c r="O82" s="151">
        <f ca="1">IFERROR(__xludf.DUMMYFUNCTION("IMPORTRANGE(""https://docs.google.com/spreadsheets/d/1-uDff_7J0KD5mKrp0Vvzr7lt3OU09vwQwhkpOPPYv2Y/edit?usp=sharing"",""งบพรบ!IM82"")"),0)</f>
        <v>0</v>
      </c>
      <c r="P82" s="67">
        <f t="shared" ca="1" si="27"/>
        <v>0</v>
      </c>
      <c r="Q82" s="68">
        <f t="shared" ca="1" si="28"/>
        <v>0</v>
      </c>
      <c r="R82" s="67">
        <f ca="1">IFERROR(__xludf.DUMMYFUNCTION("IMPORTRANGE(""https://docs.google.com/spreadsheets/d/17ht0gPKzzT3PObBL1XJkeRmntBXI7wGjpLV7QorqlTk/edit?usp=sharing"",""พัทลุง!Q375"")"),0)</f>
        <v>0</v>
      </c>
      <c r="S82" s="67">
        <f ca="1">IFERROR(__xludf.DUMMYFUNCTION("IMPORTRANGE(""https://docs.google.com/spreadsheets/d/17ht0gPKzzT3PObBL1XJkeRmntBXI7wGjpLV7QorqlTk/edit?usp=sharing"",""พัทลุง!R375"")"),0)</f>
        <v>0</v>
      </c>
      <c r="T82" s="67">
        <f ca="1">IFERROR(__xludf.DUMMYFUNCTION("IMPORTRANGE(""https://docs.google.com/spreadsheets/d/17ht0gPKzzT3PObBL1XJkeRmntBXI7wGjpLV7QorqlTk/edit?usp=sharing"",""พัทลุง!S375"")"),0)</f>
        <v>0</v>
      </c>
      <c r="U82" s="68">
        <f t="shared" ca="1" si="30"/>
        <v>0</v>
      </c>
      <c r="V82" s="68">
        <f t="shared" ca="1" si="31"/>
        <v>0</v>
      </c>
      <c r="W82" s="439">
        <f t="shared" ca="1" si="53"/>
        <v>0</v>
      </c>
      <c r="X82" s="439">
        <f ca="1">IFERROR(__xludf.DUMMYFUNCTION("IMPORTRANGE(""https://docs.google.com/spreadsheets/d/17ht0gPKzzT3PObBL1XJkeRmntBXI7wGjpLV7QorqlTk/edit?usp=sharing"",""พัทลุง!J374"")"),0)</f>
        <v>0</v>
      </c>
      <c r="Y82" s="440">
        <f t="shared" ca="1" si="11"/>
        <v>0</v>
      </c>
      <c r="Z82" s="439">
        <f ca="1">IFERROR(__xludf.DUMMYFUNCTION("IMPORTRANGE(""https://docs.google.com/spreadsheets/d/17ht0gPKzzT3PObBL1XJkeRmntBXI7wGjpLV7QorqlTk/edit?usp=sharing"",""พัทลุง!I386"")"),0)</f>
        <v>0</v>
      </c>
      <c r="AA82" s="74">
        <f ca="1">IFERROR(__xludf.DUMMYFUNCTION("IMPORTRANGE(""https://docs.google.com/spreadsheets/d/17ht0gPKzzT3PObBL1XJkeRmntBXI7wGjpLV7QorqlTk/edit?usp=sharing"",""พัทลุง!J385"")"),0)</f>
        <v>0</v>
      </c>
      <c r="AB82" s="74">
        <f ca="1">IFERROR(__xludf.DUMMYFUNCTION("IMPORTRANGE(""https://docs.google.com/spreadsheets/d/17ht0gPKzzT3PObBL1XJkeRmntBXI7wGjpLV7QorqlTk/edit?usp=sharing"",""พัทลุง!J386"")"),0)</f>
        <v>0</v>
      </c>
      <c r="AC82" s="284">
        <f ca="1">IFERROR(__xludf.DUMMYFUNCTION("IMPORTRANGE(""https://docs.google.com/spreadsheets/d/17ht0gPKzzT3PObBL1XJkeRmntBXI7wGjpLV7QorqlTk/edit?usp=sharing"",""พัทลุง!I388"")"),0)</f>
        <v>0</v>
      </c>
      <c r="AD82" s="74">
        <f ca="1">IFERROR(__xludf.DUMMYFUNCTION("IMPORTRANGE(""https://docs.google.com/spreadsheets/d/17ht0gPKzzT3PObBL1XJkeRmntBXI7wGjpLV7QorqlTk/edit?usp=sharing"",""พัทลุง!J387"")"),0)</f>
        <v>0</v>
      </c>
      <c r="AE82" s="74">
        <f ca="1">IFERROR(__xludf.DUMMYFUNCTION("IMPORTRANGE(""https://docs.google.com/spreadsheets/d/17ht0gPKzzT3PObBL1XJkeRmntBXI7wGjpLV7QorqlTk/edit?usp=sharing"",""พัทลุง!J388"")"),0)</f>
        <v>0</v>
      </c>
    </row>
    <row r="83" spans="1:31" ht="19.5" x14ac:dyDescent="0.3">
      <c r="A83" s="147">
        <v>9</v>
      </c>
      <c r="B83" s="148" t="s">
        <v>111</v>
      </c>
      <c r="C83" s="149">
        <f t="shared" ca="1" si="21"/>
        <v>41000</v>
      </c>
      <c r="D83" s="150">
        <f t="shared" ca="1" si="52"/>
        <v>41000</v>
      </c>
      <c r="E83" s="151">
        <f ca="1">IFERROR(__xludf.DUMMYFUNCTION("IMPORTRANGE(""https://docs.google.com/spreadsheets/d/1-uDff_7J0KD5mKrp0Vvzr7lt3OU09vwQwhkpOPPYv2Y/edit?usp=sharing"",""งบพรบ!IF83"")"),41000)</f>
        <v>41000</v>
      </c>
      <c r="F83" s="151">
        <f ca="1">IFERROR(__xludf.DUMMYFUNCTION("IMPORTRANGE(""https://docs.google.com/spreadsheets/d/1-uDff_7J0KD5mKrp0Vvzr7lt3OU09vwQwhkpOPPYv2Y/edit?usp=sharing"",""งบพรบ!IG83"")"),0)</f>
        <v>0</v>
      </c>
      <c r="G83" s="151">
        <f ca="1">IFERROR(__xludf.DUMMYFUNCTION("IMPORTRANGE(""https://docs.google.com/spreadsheets/d/1-uDff_7J0KD5mKrp0Vvzr7lt3OU09vwQwhkpOPPYv2Y/edit?usp=sharing"",""งบพรบ!IH83"")"),0)</f>
        <v>0</v>
      </c>
      <c r="H83" s="151">
        <f ca="1">IFERROR(__xludf.DUMMYFUNCTION("IMPORTRANGE(""https://docs.google.com/spreadsheets/d/1-uDff_7J0KD5mKrp0Vvzr7lt3OU09vwQwhkpOPPYv2Y/edit?usp=sharing"",""งบพรบ!IJ83"")"),41000)</f>
        <v>41000</v>
      </c>
      <c r="I83" s="151">
        <f ca="1">IFERROR(__xludf.DUMMYFUNCTION("IMPORTRANGE(""https://docs.google.com/spreadsheets/d/1-uDff_7J0KD5mKrp0Vvzr7lt3OU09vwQwhkpOPPYv2Y/edit?usp=sharing"",""งบพรบ!IK83"")"),0)</f>
        <v>0</v>
      </c>
      <c r="J83" s="151">
        <f t="shared" ca="1" si="23"/>
        <v>0</v>
      </c>
      <c r="K83" s="154">
        <f t="shared" ca="1" si="24"/>
        <v>0</v>
      </c>
      <c r="L83" s="151">
        <f ca="1">IFERROR(__xludf.DUMMYFUNCTION("IMPORTRANGE(""https://docs.google.com/spreadsheets/d/1-uDff_7J0KD5mKrp0Vvzr7lt3OU09vwQwhkpOPPYv2Y/edit?usp=sharing"",""งบพรบ!IL83"")"),0)</f>
        <v>0</v>
      </c>
      <c r="M83" s="68">
        <f t="shared" ca="1" si="25"/>
        <v>0</v>
      </c>
      <c r="N83" s="68">
        <f t="shared" ca="1" si="26"/>
        <v>0</v>
      </c>
      <c r="O83" s="151">
        <f ca="1">IFERROR(__xludf.DUMMYFUNCTION("IMPORTRANGE(""https://docs.google.com/spreadsheets/d/1-uDff_7J0KD5mKrp0Vvzr7lt3OU09vwQwhkpOPPYv2Y/edit?usp=sharing"",""งบพรบ!IM83"")"),0)</f>
        <v>0</v>
      </c>
      <c r="P83" s="67">
        <f t="shared" ca="1" si="27"/>
        <v>0</v>
      </c>
      <c r="Q83" s="68">
        <f t="shared" ca="1" si="28"/>
        <v>0</v>
      </c>
      <c r="R83" s="67">
        <f ca="1">IFERROR(__xludf.DUMMYFUNCTION("IMPORTRANGE(""https://docs.google.com/spreadsheets/d/1rd4qoM1q_hsgaolqNGfrim9gbsoLxQsda4-vOz5x_BM/edit?usp=sharing"",""ภูเก็ต!Q375"")"),12500)</f>
        <v>12500</v>
      </c>
      <c r="S83" s="67">
        <f ca="1">IFERROR(__xludf.DUMMYFUNCTION("IMPORTRANGE(""https://docs.google.com/spreadsheets/d/1rd4qoM1q_hsgaolqNGfrim9gbsoLxQsda4-vOz5x_BM/edit?usp=sharing"",""ภูเก็ต!R375"")"),12500)</f>
        <v>12500</v>
      </c>
      <c r="T83" s="67">
        <f ca="1">IFERROR(__xludf.DUMMYFUNCTION("IMPORTRANGE(""https://docs.google.com/spreadsheets/d/1rd4qoM1q_hsgaolqNGfrim9gbsoLxQsda4-vOz5x_BM/edit?usp=sharing"",""ภูเก็ต!S375"")"),1740)</f>
        <v>1740</v>
      </c>
      <c r="U83" s="68">
        <f t="shared" ca="1" si="30"/>
        <v>13.92</v>
      </c>
      <c r="V83" s="68">
        <f t="shared" ca="1" si="31"/>
        <v>13.92</v>
      </c>
      <c r="W83" s="439">
        <f t="shared" ca="1" si="53"/>
        <v>200</v>
      </c>
      <c r="X83" s="439">
        <f ca="1">IFERROR(__xludf.DUMMYFUNCTION("IMPORTRANGE(""https://docs.google.com/spreadsheets/d/1rd4qoM1q_hsgaolqNGfrim9gbsoLxQsda4-vOz5x_BM/edit?usp=sharing"",""ภูเก็ต!J374"")"),17)</f>
        <v>17</v>
      </c>
      <c r="Y83" s="440">
        <f t="shared" ca="1" si="11"/>
        <v>8.5</v>
      </c>
      <c r="Z83" s="439">
        <f ca="1">IFERROR(__xludf.DUMMYFUNCTION("IMPORTRANGE(""https://docs.google.com/spreadsheets/d/1rd4qoM1q_hsgaolqNGfrim9gbsoLxQsda4-vOz5x_BM/edit?usp=sharing"",""ภูเก็ต!I386"")"),200)</f>
        <v>200</v>
      </c>
      <c r="AA83" s="74">
        <f ca="1">IFERROR(__xludf.DUMMYFUNCTION("IMPORTRANGE(""https://docs.google.com/spreadsheets/d/1rd4qoM1q_hsgaolqNGfrim9gbsoLxQsda4-vOz5x_BM/edit?usp=sharing"",""ภูเก็ต!J385"")"),5)</f>
        <v>5</v>
      </c>
      <c r="AB83" s="74">
        <f ca="1">IFERROR(__xludf.DUMMYFUNCTION("IMPORTRANGE(""https://docs.google.com/spreadsheets/d/1rd4qoM1q_hsgaolqNGfrim9gbsoLxQsda4-vOz5x_BM/edit?usp=sharing"",""ภูเก็ต!J386"")"),17)</f>
        <v>17</v>
      </c>
      <c r="AC83" s="441">
        <f ca="1">IFERROR(__xludf.DUMMYFUNCTION("IMPORTRANGE(""https://docs.google.com/spreadsheets/d/1rd4qoM1q_hsgaolqNGfrim9gbsoLxQsda4-vOz5x_BM/edit?usp=sharing"",""ภูเก็ต!I388"")"),0)</f>
        <v>0</v>
      </c>
      <c r="AD83" s="74">
        <f ca="1">IFERROR(__xludf.DUMMYFUNCTION("IMPORTRANGE(""https://docs.google.com/spreadsheets/d/1rd4qoM1q_hsgaolqNGfrim9gbsoLxQsda4-vOz5x_BM/edit?usp=sharing"",""ภูเก็ต!J387"")"),0)</f>
        <v>0</v>
      </c>
      <c r="AE83" s="74">
        <f ca="1">IFERROR(__xludf.DUMMYFUNCTION("IMPORTRANGE(""https://docs.google.com/spreadsheets/d/1rd4qoM1q_hsgaolqNGfrim9gbsoLxQsda4-vOz5x_BM/edit?usp=sharing"",""ภูเก็ต!J388"")"),0)</f>
        <v>0</v>
      </c>
    </row>
    <row r="84" spans="1:31" ht="19.5" x14ac:dyDescent="0.3">
      <c r="A84" s="147">
        <v>10</v>
      </c>
      <c r="B84" s="148" t="s">
        <v>112</v>
      </c>
      <c r="C84" s="149">
        <f t="shared" ca="1" si="21"/>
        <v>0</v>
      </c>
      <c r="D84" s="150">
        <f t="shared" ca="1" si="52"/>
        <v>0</v>
      </c>
      <c r="E84" s="151">
        <f ca="1">IFERROR(__xludf.DUMMYFUNCTION("IMPORTRANGE(""https://docs.google.com/spreadsheets/d/1-uDff_7J0KD5mKrp0Vvzr7lt3OU09vwQwhkpOPPYv2Y/edit?usp=sharing"",""งบพรบ!IF84"")"),0)</f>
        <v>0</v>
      </c>
      <c r="F84" s="151">
        <f ca="1">IFERROR(__xludf.DUMMYFUNCTION("IMPORTRANGE(""https://docs.google.com/spreadsheets/d/1-uDff_7J0KD5mKrp0Vvzr7lt3OU09vwQwhkpOPPYv2Y/edit?usp=sharing"",""งบพรบ!IG84"")"),0)</f>
        <v>0</v>
      </c>
      <c r="G84" s="151">
        <f ca="1">IFERROR(__xludf.DUMMYFUNCTION("IMPORTRANGE(""https://docs.google.com/spreadsheets/d/1-uDff_7J0KD5mKrp0Vvzr7lt3OU09vwQwhkpOPPYv2Y/edit?usp=sharing"",""งบพรบ!IH84"")"),0)</f>
        <v>0</v>
      </c>
      <c r="H84" s="151">
        <f ca="1">IFERROR(__xludf.DUMMYFUNCTION("IMPORTRANGE(""https://docs.google.com/spreadsheets/d/1-uDff_7J0KD5mKrp0Vvzr7lt3OU09vwQwhkpOPPYv2Y/edit?usp=sharing"",""งบพรบ!IJ84"")"),0)</f>
        <v>0</v>
      </c>
      <c r="I84" s="151">
        <f ca="1">IFERROR(__xludf.DUMMYFUNCTION("IMPORTRANGE(""https://docs.google.com/spreadsheets/d/1-uDff_7J0KD5mKrp0Vvzr7lt3OU09vwQwhkpOPPYv2Y/edit?usp=sharing"",""งบพรบ!IK84"")"),0)</f>
        <v>0</v>
      </c>
      <c r="J84" s="151">
        <f t="shared" ca="1" si="23"/>
        <v>0</v>
      </c>
      <c r="K84" s="154">
        <f t="shared" ca="1" si="24"/>
        <v>0</v>
      </c>
      <c r="L84" s="151">
        <f ca="1">IFERROR(__xludf.DUMMYFUNCTION("IMPORTRANGE(""https://docs.google.com/spreadsheets/d/1-uDff_7J0KD5mKrp0Vvzr7lt3OU09vwQwhkpOPPYv2Y/edit?usp=sharing"",""งบพรบ!IL84"")"),0)</f>
        <v>0</v>
      </c>
      <c r="M84" s="68">
        <f t="shared" ca="1" si="25"/>
        <v>0</v>
      </c>
      <c r="N84" s="68">
        <f t="shared" ca="1" si="26"/>
        <v>0</v>
      </c>
      <c r="O84" s="151">
        <f ca="1">IFERROR(__xludf.DUMMYFUNCTION("IMPORTRANGE(""https://docs.google.com/spreadsheets/d/1-uDff_7J0KD5mKrp0Vvzr7lt3OU09vwQwhkpOPPYv2Y/edit?usp=sharing"",""งบพรบ!IM84"")"),0)</f>
        <v>0</v>
      </c>
      <c r="P84" s="67">
        <f t="shared" ca="1" si="27"/>
        <v>0</v>
      </c>
      <c r="Q84" s="68">
        <f t="shared" ca="1" si="28"/>
        <v>0</v>
      </c>
      <c r="R84" s="67">
        <f ca="1">IFERROR(__xludf.DUMMYFUNCTION("IMPORTRANGE(""https://docs.google.com/spreadsheets/d/1woKwKjgoLssDvPcPeVyezB5izizAn4X1JDrys69n6xI/edit?usp=sharing"",""ยะลา!Q375"")"),9375)</f>
        <v>9375</v>
      </c>
      <c r="S84" s="67">
        <f ca="1">IFERROR(__xludf.DUMMYFUNCTION("IMPORTRANGE(""https://docs.google.com/spreadsheets/d/1woKwKjgoLssDvPcPeVyezB5izizAn4X1JDrys69n6xI/edit?usp=sharing"",""ยะลา!R375"")"),9375)</f>
        <v>9375</v>
      </c>
      <c r="T84" s="67">
        <f ca="1">IFERROR(__xludf.DUMMYFUNCTION("IMPORTRANGE(""https://docs.google.com/spreadsheets/d/1woKwKjgoLssDvPcPeVyezB5izizAn4X1JDrys69n6xI/edit?usp=sharing"",""ยะลา!S375"")"),9375)</f>
        <v>9375</v>
      </c>
      <c r="U84" s="68">
        <f t="shared" ca="1" si="30"/>
        <v>100</v>
      </c>
      <c r="V84" s="68">
        <f t="shared" ca="1" si="31"/>
        <v>100</v>
      </c>
      <c r="W84" s="439">
        <f t="shared" ca="1" si="53"/>
        <v>150</v>
      </c>
      <c r="X84" s="439">
        <f ca="1">IFERROR(__xludf.DUMMYFUNCTION("IMPORTRANGE(""https://docs.google.com/spreadsheets/d/1woKwKjgoLssDvPcPeVyezB5izizAn4X1JDrys69n6xI/edit?usp=sharing"",""ยะลา!J374"")"),176)</f>
        <v>176</v>
      </c>
      <c r="Y84" s="440">
        <f t="shared" ca="1" si="11"/>
        <v>117.33333333333333</v>
      </c>
      <c r="Z84" s="439">
        <f ca="1">IFERROR(__xludf.DUMMYFUNCTION("IMPORTRANGE(""https://docs.google.com/spreadsheets/d/1woKwKjgoLssDvPcPeVyezB5izizAn4X1JDrys69n6xI/edit?usp=sharing"",""ยะลา!I386"")"),150)</f>
        <v>150</v>
      </c>
      <c r="AA84" s="74">
        <f ca="1">IFERROR(__xludf.DUMMYFUNCTION("IMPORTRANGE(""https://docs.google.com/spreadsheets/d/1woKwKjgoLssDvPcPeVyezB5izizAn4X1JDrys69n6xI/edit?usp=sharing"",""ยะลา!J385"")"),21)</f>
        <v>21</v>
      </c>
      <c r="AB84" s="74">
        <f ca="1">IFERROR(__xludf.DUMMYFUNCTION("IMPORTRANGE(""https://docs.google.com/spreadsheets/d/1woKwKjgoLssDvPcPeVyezB5izizAn4X1JDrys69n6xI/edit?usp=sharing"",""ยะลา!J386"")"),176)</f>
        <v>176</v>
      </c>
      <c r="AC84" s="441">
        <f ca="1">IFERROR(__xludf.DUMMYFUNCTION("IMPORTRANGE(""https://docs.google.com/spreadsheets/d/1woKwKjgoLssDvPcPeVyezB5izizAn4X1JDrys69n6xI/edit?usp=sharing"",""ยะลา!I388"")"),0)</f>
        <v>0</v>
      </c>
      <c r="AD84" s="74">
        <f ca="1">IFERROR(__xludf.DUMMYFUNCTION("IMPORTRANGE(""https://docs.google.com/spreadsheets/d/1woKwKjgoLssDvPcPeVyezB5izizAn4X1JDrys69n6xI/edit?usp=sharing"",""ยะลา!J387"")"),0)</f>
        <v>0</v>
      </c>
      <c r="AE84" s="74">
        <f ca="1">IFERROR(__xludf.DUMMYFUNCTION("IMPORTRANGE(""https://docs.google.com/spreadsheets/d/1woKwKjgoLssDvPcPeVyezB5izizAn4X1JDrys69n6xI/edit?usp=sharing"",""ยะลา!J388"")"),0)</f>
        <v>0</v>
      </c>
    </row>
    <row r="85" spans="1:31" ht="19.5" x14ac:dyDescent="0.3">
      <c r="A85" s="147">
        <v>11</v>
      </c>
      <c r="B85" s="148" t="s">
        <v>113</v>
      </c>
      <c r="C85" s="149">
        <f t="shared" ca="1" si="21"/>
        <v>0</v>
      </c>
      <c r="D85" s="150">
        <f t="shared" ca="1" si="52"/>
        <v>0</v>
      </c>
      <c r="E85" s="151">
        <f ca="1">IFERROR(__xludf.DUMMYFUNCTION("IMPORTRANGE(""https://docs.google.com/spreadsheets/d/1-uDff_7J0KD5mKrp0Vvzr7lt3OU09vwQwhkpOPPYv2Y/edit?usp=sharing"",""งบพรบ!IF85"")"),0)</f>
        <v>0</v>
      </c>
      <c r="F85" s="151">
        <f ca="1">IFERROR(__xludf.DUMMYFUNCTION("IMPORTRANGE(""https://docs.google.com/spreadsheets/d/1-uDff_7J0KD5mKrp0Vvzr7lt3OU09vwQwhkpOPPYv2Y/edit?usp=sharing"",""งบพรบ!IG85"")"),0)</f>
        <v>0</v>
      </c>
      <c r="G85" s="151">
        <f ca="1">IFERROR(__xludf.DUMMYFUNCTION("IMPORTRANGE(""https://docs.google.com/spreadsheets/d/1-uDff_7J0KD5mKrp0Vvzr7lt3OU09vwQwhkpOPPYv2Y/edit?usp=sharing"",""งบพรบ!IH85"")"),0)</f>
        <v>0</v>
      </c>
      <c r="H85" s="151">
        <f ca="1">IFERROR(__xludf.DUMMYFUNCTION("IMPORTRANGE(""https://docs.google.com/spreadsheets/d/1-uDff_7J0KD5mKrp0Vvzr7lt3OU09vwQwhkpOPPYv2Y/edit?usp=sharing"",""งบพรบ!IJ85"")"),0)</f>
        <v>0</v>
      </c>
      <c r="I85" s="151">
        <f ca="1">IFERROR(__xludf.DUMMYFUNCTION("IMPORTRANGE(""https://docs.google.com/spreadsheets/d/1-uDff_7J0KD5mKrp0Vvzr7lt3OU09vwQwhkpOPPYv2Y/edit?usp=sharing"",""งบพรบ!IK85"")"),0)</f>
        <v>0</v>
      </c>
      <c r="J85" s="151">
        <f t="shared" ca="1" si="23"/>
        <v>0</v>
      </c>
      <c r="K85" s="154">
        <f t="shared" ca="1" si="24"/>
        <v>0</v>
      </c>
      <c r="L85" s="151">
        <f ca="1">IFERROR(__xludf.DUMMYFUNCTION("IMPORTRANGE(""https://docs.google.com/spreadsheets/d/1-uDff_7J0KD5mKrp0Vvzr7lt3OU09vwQwhkpOPPYv2Y/edit?usp=sharing"",""งบพรบ!IL85"")"),0)</f>
        <v>0</v>
      </c>
      <c r="M85" s="68">
        <f t="shared" ca="1" si="25"/>
        <v>0</v>
      </c>
      <c r="N85" s="68">
        <f t="shared" ca="1" si="26"/>
        <v>0</v>
      </c>
      <c r="O85" s="151">
        <f ca="1">IFERROR(__xludf.DUMMYFUNCTION("IMPORTRANGE(""https://docs.google.com/spreadsheets/d/1-uDff_7J0KD5mKrp0Vvzr7lt3OU09vwQwhkpOPPYv2Y/edit?usp=sharing"",""งบพรบ!IM85"")"),0)</f>
        <v>0</v>
      </c>
      <c r="P85" s="67">
        <f t="shared" ca="1" si="27"/>
        <v>0</v>
      </c>
      <c r="Q85" s="68">
        <f t="shared" ca="1" si="28"/>
        <v>0</v>
      </c>
      <c r="R85" s="67">
        <f ca="1">IFERROR(__xludf.DUMMYFUNCTION("IMPORTRANGE(""https://docs.google.com/spreadsheets/d/1qfrKjzMhm2HJfxQ-qVlJlJQ25Hne1d0khsySbZyGtPA/edit?usp=sharing"",""ระนอง!Q375"")"),18750)</f>
        <v>18750</v>
      </c>
      <c r="S85" s="67">
        <f ca="1">IFERROR(__xludf.DUMMYFUNCTION("IMPORTRANGE(""https://docs.google.com/spreadsheets/d/1qfrKjzMhm2HJfxQ-qVlJlJQ25Hne1d0khsySbZyGtPA/edit?usp=sharing"",""ระนอง!R375"")"),18750)</f>
        <v>18750</v>
      </c>
      <c r="T85" s="67">
        <f ca="1">IFERROR(__xludf.DUMMYFUNCTION("IMPORTRANGE(""https://docs.google.com/spreadsheets/d/1qfrKjzMhm2HJfxQ-qVlJlJQ25Hne1d0khsySbZyGtPA/edit?usp=sharing"",""ระนอง!S375"")"),16908)</f>
        <v>16908</v>
      </c>
      <c r="U85" s="68">
        <f t="shared" ca="1" si="30"/>
        <v>90.176000000000002</v>
      </c>
      <c r="V85" s="68">
        <f t="shared" ca="1" si="31"/>
        <v>90.176000000000002</v>
      </c>
      <c r="W85" s="439">
        <f t="shared" ca="1" si="53"/>
        <v>300</v>
      </c>
      <c r="X85" s="439">
        <f ca="1">IFERROR(__xludf.DUMMYFUNCTION("IMPORTRANGE(""https://docs.google.com/spreadsheets/d/1qfrKjzMhm2HJfxQ-qVlJlJQ25Hne1d0khsySbZyGtPA/edit?usp=sharing"",""ระนอง!J374"")"),284)</f>
        <v>284</v>
      </c>
      <c r="Y85" s="440">
        <f t="shared" ca="1" si="11"/>
        <v>94.666666666666671</v>
      </c>
      <c r="Z85" s="439">
        <f ca="1">IFERROR(__xludf.DUMMYFUNCTION("IMPORTRANGE(""https://docs.google.com/spreadsheets/d/1qfrKjzMhm2HJfxQ-qVlJlJQ25Hne1d0khsySbZyGtPA/edit?usp=sharing"",""ระนอง!I386"")"),300)</f>
        <v>300</v>
      </c>
      <c r="AA85" s="74">
        <f ca="1">IFERROR(__xludf.DUMMYFUNCTION("IMPORTRANGE(""https://docs.google.com/spreadsheets/d/1qfrKjzMhm2HJfxQ-qVlJlJQ25Hne1d0khsySbZyGtPA/edit?usp=sharing"",""ระนอง!J385"")"),43)</f>
        <v>43</v>
      </c>
      <c r="AB85" s="74">
        <f ca="1">IFERROR(__xludf.DUMMYFUNCTION("IMPORTRANGE(""https://docs.google.com/spreadsheets/d/1qfrKjzMhm2HJfxQ-qVlJlJQ25Hne1d0khsySbZyGtPA/edit?usp=sharing"",""ระนอง!J386"")"),284)</f>
        <v>284</v>
      </c>
      <c r="AC85" s="441">
        <f ca="1">IFERROR(__xludf.DUMMYFUNCTION("IMPORTRANGE(""https://docs.google.com/spreadsheets/d/1qfrKjzMhm2HJfxQ-qVlJlJQ25Hne1d0khsySbZyGtPA/edit?usp=sharing"",""ระนอง!I388"")"),0)</f>
        <v>0</v>
      </c>
      <c r="AD85" s="74">
        <f ca="1">IFERROR(__xludf.DUMMYFUNCTION("IMPORTRANGE(""https://docs.google.com/spreadsheets/d/1qfrKjzMhm2HJfxQ-qVlJlJQ25Hne1d0khsySbZyGtPA/edit?usp=sharing"",""ระนอง!J387"")"),0)</f>
        <v>0</v>
      </c>
      <c r="AE85" s="74">
        <f ca="1">IFERROR(__xludf.DUMMYFUNCTION("IMPORTRANGE(""https://docs.google.com/spreadsheets/d/1qfrKjzMhm2HJfxQ-qVlJlJQ25Hne1d0khsySbZyGtPA/edit?usp=sharing"",""ระนอง!J388"")"),0)</f>
        <v>0</v>
      </c>
    </row>
    <row r="86" spans="1:31" ht="19.5" x14ac:dyDescent="0.3">
      <c r="A86" s="147">
        <v>12</v>
      </c>
      <c r="B86" s="148" t="s">
        <v>114</v>
      </c>
      <c r="C86" s="149">
        <f t="shared" ca="1" si="21"/>
        <v>0</v>
      </c>
      <c r="D86" s="150">
        <f t="shared" ca="1" si="52"/>
        <v>0</v>
      </c>
      <c r="E86" s="151">
        <f ca="1">IFERROR(__xludf.DUMMYFUNCTION("IMPORTRANGE(""https://docs.google.com/spreadsheets/d/1-uDff_7J0KD5mKrp0Vvzr7lt3OU09vwQwhkpOPPYv2Y/edit?usp=sharing"",""งบพรบ!IF86"")"),0)</f>
        <v>0</v>
      </c>
      <c r="F86" s="151">
        <f ca="1">IFERROR(__xludf.DUMMYFUNCTION("IMPORTRANGE(""https://docs.google.com/spreadsheets/d/1-uDff_7J0KD5mKrp0Vvzr7lt3OU09vwQwhkpOPPYv2Y/edit?usp=sharing"",""งบพรบ!IG86"")"),0)</f>
        <v>0</v>
      </c>
      <c r="G86" s="151">
        <f ca="1">IFERROR(__xludf.DUMMYFUNCTION("IMPORTRANGE(""https://docs.google.com/spreadsheets/d/1-uDff_7J0KD5mKrp0Vvzr7lt3OU09vwQwhkpOPPYv2Y/edit?usp=sharing"",""งบพรบ!IH86"")"),0)</f>
        <v>0</v>
      </c>
      <c r="H86" s="151">
        <f ca="1">IFERROR(__xludf.DUMMYFUNCTION("IMPORTRANGE(""https://docs.google.com/spreadsheets/d/1-uDff_7J0KD5mKrp0Vvzr7lt3OU09vwQwhkpOPPYv2Y/edit?usp=sharing"",""งบพรบ!IJ86"")"),0)</f>
        <v>0</v>
      </c>
      <c r="I86" s="151">
        <f ca="1">IFERROR(__xludf.DUMMYFUNCTION("IMPORTRANGE(""https://docs.google.com/spreadsheets/d/1-uDff_7J0KD5mKrp0Vvzr7lt3OU09vwQwhkpOPPYv2Y/edit?usp=sharing"",""งบพรบ!IK86"")"),0)</f>
        <v>0</v>
      </c>
      <c r="J86" s="151">
        <f t="shared" ca="1" si="23"/>
        <v>0</v>
      </c>
      <c r="K86" s="154">
        <f t="shared" ca="1" si="24"/>
        <v>0</v>
      </c>
      <c r="L86" s="151">
        <f ca="1">IFERROR(__xludf.DUMMYFUNCTION("IMPORTRANGE(""https://docs.google.com/spreadsheets/d/1-uDff_7J0KD5mKrp0Vvzr7lt3OU09vwQwhkpOPPYv2Y/edit?usp=sharing"",""งบพรบ!IL86"")"),0)</f>
        <v>0</v>
      </c>
      <c r="M86" s="68">
        <f t="shared" ca="1" si="25"/>
        <v>0</v>
      </c>
      <c r="N86" s="68">
        <f t="shared" ca="1" si="26"/>
        <v>0</v>
      </c>
      <c r="O86" s="151">
        <f ca="1">IFERROR(__xludf.DUMMYFUNCTION("IMPORTRANGE(""https://docs.google.com/spreadsheets/d/1-uDff_7J0KD5mKrp0Vvzr7lt3OU09vwQwhkpOPPYv2Y/edit?usp=sharing"",""งบพรบ!IM86"")"),0)</f>
        <v>0</v>
      </c>
      <c r="P86" s="67">
        <f t="shared" ca="1" si="27"/>
        <v>0</v>
      </c>
      <c r="Q86" s="68">
        <f t="shared" ca="1" si="28"/>
        <v>0</v>
      </c>
      <c r="R86" s="67">
        <f ca="1">IFERROR(__xludf.DUMMYFUNCTION("IMPORTRANGE(""https://docs.google.com/spreadsheets/d/1IbSCnFOKpZsnFogBHJnL_isstZVaOMnFiIN0fGTPZZw/edit?usp=sharing"",""สงขลา!Q375"")"),62500)</f>
        <v>62500</v>
      </c>
      <c r="S86" s="67">
        <f ca="1">IFERROR(__xludf.DUMMYFUNCTION("IMPORTRANGE(""https://docs.google.com/spreadsheets/d/1IbSCnFOKpZsnFogBHJnL_isstZVaOMnFiIN0fGTPZZw/edit?usp=sharing"",""สงขลา!R375"")"),62500)</f>
        <v>62500</v>
      </c>
      <c r="T86" s="67">
        <f ca="1">IFERROR(__xludf.DUMMYFUNCTION("IMPORTRANGE(""https://docs.google.com/spreadsheets/d/1IbSCnFOKpZsnFogBHJnL_isstZVaOMnFiIN0fGTPZZw/edit?usp=sharing"",""สงขลา!S375"")"),62400)</f>
        <v>62400</v>
      </c>
      <c r="U86" s="68">
        <f t="shared" ca="1" si="30"/>
        <v>99.84</v>
      </c>
      <c r="V86" s="68">
        <f t="shared" ca="1" si="31"/>
        <v>99.84</v>
      </c>
      <c r="W86" s="439">
        <f t="shared" ca="1" si="53"/>
        <v>1000</v>
      </c>
      <c r="X86" s="439">
        <f ca="1">IFERROR(__xludf.DUMMYFUNCTION("IMPORTRANGE(""https://docs.google.com/spreadsheets/d/1IbSCnFOKpZsnFogBHJnL_isstZVaOMnFiIN0fGTPZZw/edit?usp=sharing"",""สงขลา!J374"")"),441)</f>
        <v>441</v>
      </c>
      <c r="Y86" s="440">
        <f t="shared" ca="1" si="11"/>
        <v>44.1</v>
      </c>
      <c r="Z86" s="439">
        <f ca="1">IFERROR(__xludf.DUMMYFUNCTION("IMPORTRANGE(""https://docs.google.com/spreadsheets/d/1IbSCnFOKpZsnFogBHJnL_isstZVaOMnFiIN0fGTPZZw/edit?usp=sharing"",""สงขลา!I386"")"),1000)</f>
        <v>1000</v>
      </c>
      <c r="AA86" s="74">
        <f ca="1">IFERROR(__xludf.DUMMYFUNCTION("IMPORTRANGE(""https://docs.google.com/spreadsheets/d/1IbSCnFOKpZsnFogBHJnL_isstZVaOMnFiIN0fGTPZZw/edit?usp=sharing"",""สงขลา!J385"")"),57)</f>
        <v>57</v>
      </c>
      <c r="AB86" s="74">
        <f ca="1">IFERROR(__xludf.DUMMYFUNCTION("IMPORTRANGE(""https://docs.google.com/spreadsheets/d/1IbSCnFOKpZsnFogBHJnL_isstZVaOMnFiIN0fGTPZZw/edit?usp=sharing"",""สงขลา!J386"")"),441)</f>
        <v>441</v>
      </c>
      <c r="AC86" s="441">
        <f ca="1">IFERROR(__xludf.DUMMYFUNCTION("IMPORTRANGE(""https://docs.google.com/spreadsheets/d/1IbSCnFOKpZsnFogBHJnL_isstZVaOMnFiIN0fGTPZZw/edit?usp=sharing"",""สงขลา!I388"")"),0)</f>
        <v>0</v>
      </c>
      <c r="AD86" s="74">
        <f ca="1">IFERROR(__xludf.DUMMYFUNCTION("IMPORTRANGE(""https://docs.google.com/spreadsheets/d/1IbSCnFOKpZsnFogBHJnL_isstZVaOMnFiIN0fGTPZZw/edit?usp=sharing"",""สงขลา!J387"")"),0)</f>
        <v>0</v>
      </c>
      <c r="AE86" s="74">
        <f ca="1">IFERROR(__xludf.DUMMYFUNCTION("IMPORTRANGE(""https://docs.google.com/spreadsheets/d/1IbSCnFOKpZsnFogBHJnL_isstZVaOMnFiIN0fGTPZZw/edit?usp=sharing"",""สงขลา!J388"")"),0)</f>
        <v>0</v>
      </c>
    </row>
    <row r="87" spans="1:31" ht="19.5" x14ac:dyDescent="0.3">
      <c r="A87" s="147">
        <v>13</v>
      </c>
      <c r="B87" s="148" t="s">
        <v>115</v>
      </c>
      <c r="C87" s="149">
        <f t="shared" ca="1" si="21"/>
        <v>0</v>
      </c>
      <c r="D87" s="150">
        <f t="shared" ca="1" si="52"/>
        <v>0</v>
      </c>
      <c r="E87" s="151">
        <f ca="1">IFERROR(__xludf.DUMMYFUNCTION("IMPORTRANGE(""https://docs.google.com/spreadsheets/d/1-uDff_7J0KD5mKrp0Vvzr7lt3OU09vwQwhkpOPPYv2Y/edit?usp=sharing"",""งบพรบ!IF87"")"),0)</f>
        <v>0</v>
      </c>
      <c r="F87" s="151">
        <f ca="1">IFERROR(__xludf.DUMMYFUNCTION("IMPORTRANGE(""https://docs.google.com/spreadsheets/d/1-uDff_7J0KD5mKrp0Vvzr7lt3OU09vwQwhkpOPPYv2Y/edit?usp=sharing"",""งบพรบ!IG87"")"),0)</f>
        <v>0</v>
      </c>
      <c r="G87" s="151">
        <f ca="1">IFERROR(__xludf.DUMMYFUNCTION("IMPORTRANGE(""https://docs.google.com/spreadsheets/d/1-uDff_7J0KD5mKrp0Vvzr7lt3OU09vwQwhkpOPPYv2Y/edit?usp=sharing"",""งบพรบ!IH87"")"),0)</f>
        <v>0</v>
      </c>
      <c r="H87" s="151">
        <f ca="1">IFERROR(__xludf.DUMMYFUNCTION("IMPORTRANGE(""https://docs.google.com/spreadsheets/d/1-uDff_7J0KD5mKrp0Vvzr7lt3OU09vwQwhkpOPPYv2Y/edit?usp=sharing"",""งบพรบ!IJ87"")"),0)</f>
        <v>0</v>
      </c>
      <c r="I87" s="151">
        <f ca="1">IFERROR(__xludf.DUMMYFUNCTION("IMPORTRANGE(""https://docs.google.com/spreadsheets/d/1-uDff_7J0KD5mKrp0Vvzr7lt3OU09vwQwhkpOPPYv2Y/edit?usp=sharing"",""งบพรบ!IK87"")"),0)</f>
        <v>0</v>
      </c>
      <c r="J87" s="151">
        <f t="shared" ca="1" si="23"/>
        <v>0</v>
      </c>
      <c r="K87" s="154">
        <f t="shared" ca="1" si="24"/>
        <v>0</v>
      </c>
      <c r="L87" s="151">
        <f ca="1">IFERROR(__xludf.DUMMYFUNCTION("IMPORTRANGE(""https://docs.google.com/spreadsheets/d/1-uDff_7J0KD5mKrp0Vvzr7lt3OU09vwQwhkpOPPYv2Y/edit?usp=sharing"",""งบพรบ!IL87"")"),0)</f>
        <v>0</v>
      </c>
      <c r="M87" s="68">
        <f t="shared" ca="1" si="25"/>
        <v>0</v>
      </c>
      <c r="N87" s="68">
        <f t="shared" ca="1" si="26"/>
        <v>0</v>
      </c>
      <c r="O87" s="151">
        <f ca="1">IFERROR(__xludf.DUMMYFUNCTION("IMPORTRANGE(""https://docs.google.com/spreadsheets/d/1-uDff_7J0KD5mKrp0Vvzr7lt3OU09vwQwhkpOPPYv2Y/edit?usp=sharing"",""งบพรบ!IM87"")"),0)</f>
        <v>0</v>
      </c>
      <c r="P87" s="67">
        <f t="shared" ca="1" si="27"/>
        <v>0</v>
      </c>
      <c r="Q87" s="68">
        <f t="shared" ca="1" si="28"/>
        <v>0</v>
      </c>
      <c r="R87" s="67">
        <f ca="1">IFERROR(__xludf.DUMMYFUNCTION("IMPORTRANGE(""https://docs.google.com/spreadsheets/d/1q9nWasZJ-K8bFGvbE9n0qSRuKGA4Toe3Y89cKCiVtCU/edit?usp=sharing"",""สตูล!Q375"")"),9375)</f>
        <v>9375</v>
      </c>
      <c r="S87" s="67">
        <f ca="1">IFERROR(__xludf.DUMMYFUNCTION("IMPORTRANGE(""https://docs.google.com/spreadsheets/d/1q9nWasZJ-K8bFGvbE9n0qSRuKGA4Toe3Y89cKCiVtCU/edit?usp=sharing"",""สตูล!R375"")"),0)</f>
        <v>0</v>
      </c>
      <c r="T87" s="67">
        <f ca="1">IFERROR(__xludf.DUMMYFUNCTION("IMPORTRANGE(""https://docs.google.com/spreadsheets/d/1q9nWasZJ-K8bFGvbE9n0qSRuKGA4Toe3Y89cKCiVtCU/edit?usp=sharing"",""สตูล!S375"")"),0)</f>
        <v>0</v>
      </c>
      <c r="U87" s="68">
        <f t="shared" ca="1" si="30"/>
        <v>0</v>
      </c>
      <c r="V87" s="68">
        <f t="shared" ca="1" si="31"/>
        <v>0</v>
      </c>
      <c r="W87" s="439">
        <f t="shared" ca="1" si="53"/>
        <v>150</v>
      </c>
      <c r="X87" s="439">
        <f ca="1">IFERROR(__xludf.DUMMYFUNCTION("IMPORTRANGE(""https://docs.google.com/spreadsheets/d/1q9nWasZJ-K8bFGvbE9n0qSRuKGA4Toe3Y89cKCiVtCU/edit?usp=sharing"",""สตูล!J374"")"),0)</f>
        <v>0</v>
      </c>
      <c r="Y87" s="440">
        <f t="shared" ca="1" si="11"/>
        <v>0</v>
      </c>
      <c r="Z87" s="439">
        <f ca="1">IFERROR(__xludf.DUMMYFUNCTION("IMPORTRANGE(""https://docs.google.com/spreadsheets/d/1q9nWasZJ-K8bFGvbE9n0qSRuKGA4Toe3Y89cKCiVtCU/edit?usp=sharing"",""สตูล!I386"")"),150)</f>
        <v>150</v>
      </c>
      <c r="AA87" s="74">
        <f ca="1">IFERROR(__xludf.DUMMYFUNCTION("IMPORTRANGE(""https://docs.google.com/spreadsheets/d/1q9nWasZJ-K8bFGvbE9n0qSRuKGA4Toe3Y89cKCiVtCU/edit?usp=sharing"",""สตูล!J385"")"),0)</f>
        <v>0</v>
      </c>
      <c r="AB87" s="74">
        <f ca="1">IFERROR(__xludf.DUMMYFUNCTION("IMPORTRANGE(""https://docs.google.com/spreadsheets/d/1q9nWasZJ-K8bFGvbE9n0qSRuKGA4Toe3Y89cKCiVtCU/edit?usp=sharing"",""สตูล!J386"")"),0)</f>
        <v>0</v>
      </c>
      <c r="AC87" s="441">
        <f ca="1">IFERROR(__xludf.DUMMYFUNCTION("IMPORTRANGE(""https://docs.google.com/spreadsheets/d/1q9nWasZJ-K8bFGvbE9n0qSRuKGA4Toe3Y89cKCiVtCU/edit?usp=sharing"",""สตูล!I388"")"),0)</f>
        <v>0</v>
      </c>
      <c r="AD87" s="74">
        <f ca="1">IFERROR(__xludf.DUMMYFUNCTION("IMPORTRANGE(""https://docs.google.com/spreadsheets/d/1q9nWasZJ-K8bFGvbE9n0qSRuKGA4Toe3Y89cKCiVtCU/edit?usp=sharing"",""สตูล!J387"")"),0)</f>
        <v>0</v>
      </c>
      <c r="AE87" s="74">
        <f ca="1">IFERROR(__xludf.DUMMYFUNCTION("IMPORTRANGE(""https://docs.google.com/spreadsheets/d/1q9nWasZJ-K8bFGvbE9n0qSRuKGA4Toe3Y89cKCiVtCU/edit?usp=sharing"",""สตูล!J388"")"),0)</f>
        <v>0</v>
      </c>
    </row>
    <row r="88" spans="1:31" ht="19.5" x14ac:dyDescent="0.3">
      <c r="A88" s="155">
        <v>14</v>
      </c>
      <c r="B88" s="156" t="s">
        <v>116</v>
      </c>
      <c r="C88" s="157">
        <f t="shared" ca="1" si="21"/>
        <v>0</v>
      </c>
      <c r="D88" s="158">
        <f t="shared" ca="1" si="52"/>
        <v>0</v>
      </c>
      <c r="E88" s="159">
        <f ca="1">IFERROR(__xludf.DUMMYFUNCTION("IMPORTRANGE(""https://docs.google.com/spreadsheets/d/1-uDff_7J0KD5mKrp0Vvzr7lt3OU09vwQwhkpOPPYv2Y/edit?usp=sharing"",""งบพรบ!IF88"")"),0)</f>
        <v>0</v>
      </c>
      <c r="F88" s="159">
        <f ca="1">IFERROR(__xludf.DUMMYFUNCTION("IMPORTRANGE(""https://docs.google.com/spreadsheets/d/1-uDff_7J0KD5mKrp0Vvzr7lt3OU09vwQwhkpOPPYv2Y/edit?usp=sharing"",""งบพรบ!IG88"")"),0)</f>
        <v>0</v>
      </c>
      <c r="G88" s="159">
        <f ca="1">IFERROR(__xludf.DUMMYFUNCTION("IMPORTRANGE(""https://docs.google.com/spreadsheets/d/1-uDff_7J0KD5mKrp0Vvzr7lt3OU09vwQwhkpOPPYv2Y/edit?usp=sharing"",""งบพรบ!IH88"")"),0)</f>
        <v>0</v>
      </c>
      <c r="H88" s="159">
        <f ca="1">IFERROR(__xludf.DUMMYFUNCTION("IMPORTRANGE(""https://docs.google.com/spreadsheets/d/1-uDff_7J0KD5mKrp0Vvzr7lt3OU09vwQwhkpOPPYv2Y/edit?usp=sharing"",""งบพรบ!IJ88"")"),0)</f>
        <v>0</v>
      </c>
      <c r="I88" s="159">
        <f ca="1">IFERROR(__xludf.DUMMYFUNCTION("IMPORTRANGE(""https://docs.google.com/spreadsheets/d/1-uDff_7J0KD5mKrp0Vvzr7lt3OU09vwQwhkpOPPYv2Y/edit?usp=sharing"",""งบพรบ!IK88"")"),0)</f>
        <v>0</v>
      </c>
      <c r="J88" s="159">
        <f t="shared" ca="1" si="23"/>
        <v>0</v>
      </c>
      <c r="K88" s="160">
        <f t="shared" ca="1" si="24"/>
        <v>0</v>
      </c>
      <c r="L88" s="159">
        <f ca="1">IFERROR(__xludf.DUMMYFUNCTION("IMPORTRANGE(""https://docs.google.com/spreadsheets/d/1-uDff_7J0KD5mKrp0Vvzr7lt3OU09vwQwhkpOPPYv2Y/edit?usp=sharing"",""งบพรบ!IL88"")"),0)</f>
        <v>0</v>
      </c>
      <c r="M88" s="89">
        <f t="shared" ca="1" si="25"/>
        <v>0</v>
      </c>
      <c r="N88" s="89">
        <f t="shared" ca="1" si="26"/>
        <v>0</v>
      </c>
      <c r="O88" s="159">
        <f ca="1">IFERROR(__xludf.DUMMYFUNCTION("IMPORTRANGE(""https://docs.google.com/spreadsheets/d/1-uDff_7J0KD5mKrp0Vvzr7lt3OU09vwQwhkpOPPYv2Y/edit?usp=sharing"",""งบพรบ!IM88"")"),0)</f>
        <v>0</v>
      </c>
      <c r="P88" s="88">
        <f t="shared" ca="1" si="27"/>
        <v>0</v>
      </c>
      <c r="Q88" s="89">
        <f t="shared" ca="1" si="28"/>
        <v>0</v>
      </c>
      <c r="R88" s="88">
        <f ca="1">IFERROR(__xludf.DUMMYFUNCTION("IMPORTRANGE(""https://docs.google.com/spreadsheets/d/18T20gbkS_WBjdscyTOV05cvq_JqvqQ17C81mpxf7Ncs/edit?usp=sharing"",""สุราษฎร์ธานี!Q375"")"),62500)</f>
        <v>62500</v>
      </c>
      <c r="S88" s="88">
        <f ca="1">IFERROR(__xludf.DUMMYFUNCTION("IMPORTRANGE(""https://docs.google.com/spreadsheets/d/18T20gbkS_WBjdscyTOV05cvq_JqvqQ17C81mpxf7Ncs/edit?usp=sharing"",""สุราษฎร์ธานี!R375"")"),62500)</f>
        <v>62500</v>
      </c>
      <c r="T88" s="88">
        <f ca="1">IFERROR(__xludf.DUMMYFUNCTION("IMPORTRANGE(""https://docs.google.com/spreadsheets/d/18T20gbkS_WBjdscyTOV05cvq_JqvqQ17C81mpxf7Ncs/edit?usp=sharing"",""สุราษฎร์ธานี!S375"")"),61791.8)</f>
        <v>61791.8</v>
      </c>
      <c r="U88" s="89">
        <f t="shared" ca="1" si="30"/>
        <v>98.866879999999995</v>
      </c>
      <c r="V88" s="89">
        <f t="shared" ca="1" si="31"/>
        <v>98.866879999999995</v>
      </c>
      <c r="W88" s="444">
        <f t="shared" ca="1" si="53"/>
        <v>1000</v>
      </c>
      <c r="X88" s="444">
        <f ca="1">IFERROR(__xludf.DUMMYFUNCTION("IMPORTRANGE(""https://docs.google.com/spreadsheets/d/18T20gbkS_WBjdscyTOV05cvq_JqvqQ17C81mpxf7Ncs/edit?usp=sharing"",""สุราษฎร์ธานี!J374"")"),319)</f>
        <v>319</v>
      </c>
      <c r="Y88" s="445">
        <f t="shared" ca="1" si="11"/>
        <v>31.9</v>
      </c>
      <c r="Z88" s="444">
        <f ca="1">IFERROR(__xludf.DUMMYFUNCTION("IMPORTRANGE(""https://docs.google.com/spreadsheets/d/18T20gbkS_WBjdscyTOV05cvq_JqvqQ17C81mpxf7Ncs/edit?usp=sharing"",""สุราษฎร์ธานี!I386"")"),1000)</f>
        <v>1000</v>
      </c>
      <c r="AA88" s="84">
        <f ca="1">IFERROR(__xludf.DUMMYFUNCTION("IMPORTRANGE(""https://docs.google.com/spreadsheets/d/18T20gbkS_WBjdscyTOV05cvq_JqvqQ17C81mpxf7Ncs/edit?usp=sharing"",""สุราษฎร์ธานี!J385"")"),27)</f>
        <v>27</v>
      </c>
      <c r="AB88" s="84">
        <f ca="1">IFERROR(__xludf.DUMMYFUNCTION("IMPORTRANGE(""https://docs.google.com/spreadsheets/d/18T20gbkS_WBjdscyTOV05cvq_JqvqQ17C81mpxf7Ncs/edit?usp=sharing"",""สุราษฎร์ธานี!J386"")"),319)</f>
        <v>319</v>
      </c>
      <c r="AC88" s="446">
        <f ca="1">IFERROR(__xludf.DUMMYFUNCTION("IMPORTRANGE(""https://docs.google.com/spreadsheets/d/18T20gbkS_WBjdscyTOV05cvq_JqvqQ17C81mpxf7Ncs/edit?usp=sharing"",""สุราษฎร์ธานี!I388"")"),0)</f>
        <v>0</v>
      </c>
      <c r="AD88" s="84">
        <f ca="1">IFERROR(__xludf.DUMMYFUNCTION("IMPORTRANGE(""https://docs.google.com/spreadsheets/d/18T20gbkS_WBjdscyTOV05cvq_JqvqQ17C81mpxf7Ncs/edit?usp=sharing"",""สุราษฎร์ธานี!J387"")"),0)</f>
        <v>0</v>
      </c>
      <c r="AE88" s="84">
        <f ca="1">IFERROR(__xludf.DUMMYFUNCTION("IMPORTRANGE(""https://docs.google.com/spreadsheets/d/18T20gbkS_WBjdscyTOV05cvq_JqvqQ17C81mpxf7Ncs/edit?usp=sharing"",""สุราษฎร์ธานี!J388"")"),0)</f>
        <v>0</v>
      </c>
    </row>
    <row r="89" spans="1:31" ht="19.5" x14ac:dyDescent="0.3">
      <c r="A89" s="698" t="s">
        <v>117</v>
      </c>
      <c r="B89" s="662"/>
      <c r="C89" s="200">
        <f t="shared" ref="C89:T89" ca="1" si="54">SUM(C90:C106)</f>
        <v>2716200</v>
      </c>
      <c r="D89" s="39">
        <f t="shared" ca="1" si="54"/>
        <v>2716200</v>
      </c>
      <c r="E89" s="39">
        <f t="shared" ca="1" si="54"/>
        <v>733300</v>
      </c>
      <c r="F89" s="39">
        <f t="shared" ca="1" si="54"/>
        <v>1982900</v>
      </c>
      <c r="G89" s="39">
        <f t="shared" ca="1" si="54"/>
        <v>0</v>
      </c>
      <c r="H89" s="39">
        <f t="shared" ca="1" si="54"/>
        <v>2716200</v>
      </c>
      <c r="I89" s="39">
        <f t="shared" ca="1" si="54"/>
        <v>0</v>
      </c>
      <c r="J89" s="39">
        <f t="shared" ca="1" si="54"/>
        <v>2011510.14</v>
      </c>
      <c r="K89" s="40">
        <f t="shared" ca="1" si="54"/>
        <v>64.461654142921972</v>
      </c>
      <c r="L89" s="39">
        <f t="shared" ca="1" si="54"/>
        <v>2011510.14</v>
      </c>
      <c r="M89" s="40">
        <f t="shared" ca="1" si="54"/>
        <v>64.461654142921972</v>
      </c>
      <c r="N89" s="40">
        <f t="shared" ca="1" si="54"/>
        <v>164.46165414292199</v>
      </c>
      <c r="O89" s="39">
        <f t="shared" ca="1" si="54"/>
        <v>0</v>
      </c>
      <c r="P89" s="39">
        <f t="shared" ca="1" si="54"/>
        <v>0</v>
      </c>
      <c r="Q89" s="39">
        <f t="shared" ca="1" si="54"/>
        <v>0</v>
      </c>
      <c r="R89" s="39">
        <f t="shared" ca="1" si="54"/>
        <v>13500000</v>
      </c>
      <c r="S89" s="39">
        <f t="shared" ca="1" si="54"/>
        <v>13500000</v>
      </c>
      <c r="T89" s="39">
        <f t="shared" ca="1" si="54"/>
        <v>10040238</v>
      </c>
      <c r="U89" s="39">
        <f t="shared" ca="1" si="30"/>
        <v>74.372133333333338</v>
      </c>
      <c r="V89" s="39">
        <f t="shared" ca="1" si="31"/>
        <v>74.372133333333338</v>
      </c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x14ac:dyDescent="0.3">
      <c r="A90" s="102"/>
      <c r="B90" s="103" t="s">
        <v>118</v>
      </c>
      <c r="C90" s="170">
        <f t="shared" ref="C90:C108" ca="1" si="55">D90+G90</f>
        <v>0</v>
      </c>
      <c r="D90" s="171">
        <f t="shared" ref="D90:D108" ca="1" si="56">+E90+F90</f>
        <v>0</v>
      </c>
      <c r="E90" s="62">
        <f ca="1">IFERROR(__xludf.DUMMYFUNCTION("IMPORTRANGE(""https://docs.google.com/spreadsheets/d/1-uDff_7J0KD5mKrp0Vvzr7lt3OU09vwQwhkpOPPYv2Y/edit?usp=sharing"",""งบพรบ!IF90"")"),0)</f>
        <v>0</v>
      </c>
      <c r="F90" s="62">
        <f ca="1">IFERROR(__xludf.DUMMYFUNCTION("IMPORTRANGE(""https://docs.google.com/spreadsheets/d/1-uDff_7J0KD5mKrp0Vvzr7lt3OU09vwQwhkpOPPYv2Y/edit?usp=sharing"",""งบพรบ!IG90"")"),0)</f>
        <v>0</v>
      </c>
      <c r="G90" s="62">
        <f ca="1">IFERROR(__xludf.DUMMYFUNCTION("IMPORTRANGE(""https://docs.google.com/spreadsheets/d/1-uDff_7J0KD5mKrp0Vvzr7lt3OU09vwQwhkpOPPYv2Y/edit?usp=sharing"",""งบพรบ!IH90"")"),0)</f>
        <v>0</v>
      </c>
      <c r="H90" s="62">
        <f ca="1">IFERROR(__xludf.DUMMYFUNCTION("IMPORTRANGE(""https://docs.google.com/spreadsheets/d/1-uDff_7J0KD5mKrp0Vvzr7lt3OU09vwQwhkpOPPYv2Y/edit?usp=sharing"",""งบพรบ!IJ90"")"),0)</f>
        <v>0</v>
      </c>
      <c r="I90" s="62">
        <f ca="1">IFERROR(__xludf.DUMMYFUNCTION("IMPORTRANGE(""https://docs.google.com/spreadsheets/d/1-uDff_7J0KD5mKrp0Vvzr7lt3OU09vwQwhkpOPPYv2Y/edit?usp=sharing"",""งบพรบ!IK90"")"),0)</f>
        <v>0</v>
      </c>
      <c r="J90" s="62">
        <f t="shared" ref="J90:J108" ca="1" si="57">L90+O90</f>
        <v>0</v>
      </c>
      <c r="K90" s="104">
        <f t="shared" ref="K90:K108" ca="1" si="58">IF(C90&gt;0,J90*100/C90,0)</f>
        <v>0</v>
      </c>
      <c r="L90" s="62">
        <f ca="1">IFERROR(__xludf.DUMMYFUNCTION("IMPORTRANGE(""https://docs.google.com/spreadsheets/d/1-uDff_7J0KD5mKrp0Vvzr7lt3OU09vwQwhkpOPPYv2Y/edit?usp=sharing"",""งบพรบ!IL90"")"),0)</f>
        <v>0</v>
      </c>
      <c r="M90" s="65">
        <f t="shared" ref="M90:M108" ca="1" si="59">IF(D90&gt;0,L90*100/D90,0)</f>
        <v>0</v>
      </c>
      <c r="N90" s="65">
        <f t="shared" ref="N90:N108" ca="1" si="60">IF(H90&gt;0,L90*100/H90,0)</f>
        <v>0</v>
      </c>
      <c r="O90" s="451">
        <f ca="1">IFERROR(__xludf.DUMMYFUNCTION("IMPORTRANGE(""https://docs.google.com/spreadsheets/d/1-uDff_7J0KD5mKrp0Vvzr7lt3OU09vwQwhkpOPPYv2Y/edit?usp=sharing"",""งบพรบ!IM90"")"),0)</f>
        <v>0</v>
      </c>
      <c r="P90" s="66">
        <f t="shared" ref="P90:P108" ca="1" si="61">IF(G90&gt;0,O90*100/G90,0)</f>
        <v>0</v>
      </c>
      <c r="Q90" s="65">
        <f t="shared" ref="Q90:Q108" ca="1" si="62">IF(I90&gt;0,O90*100/I90,0)</f>
        <v>0</v>
      </c>
      <c r="R90" s="66">
        <v>0</v>
      </c>
      <c r="S90" s="66">
        <v>0</v>
      </c>
      <c r="T90" s="66">
        <v>0</v>
      </c>
      <c r="U90" s="65">
        <f t="shared" si="30"/>
        <v>0</v>
      </c>
      <c r="V90" s="65">
        <f t="shared" si="31"/>
        <v>0</v>
      </c>
      <c r="W90" s="62"/>
      <c r="X90" s="62"/>
      <c r="Y90" s="62"/>
      <c r="Z90" s="62"/>
      <c r="AA90" s="62"/>
      <c r="AB90" s="62"/>
      <c r="AC90" s="62"/>
      <c r="AD90" s="62"/>
      <c r="AE90" s="62"/>
    </row>
    <row r="91" spans="1:31" ht="19.5" x14ac:dyDescent="0.3">
      <c r="A91" s="105"/>
      <c r="B91" s="106" t="s">
        <v>119</v>
      </c>
      <c r="C91" s="173">
        <f t="shared" ca="1" si="55"/>
        <v>0</v>
      </c>
      <c r="D91" s="174">
        <f t="shared" ca="1" si="56"/>
        <v>0</v>
      </c>
      <c r="E91" s="74">
        <f ca="1">IFERROR(__xludf.DUMMYFUNCTION("IMPORTRANGE(""https://docs.google.com/spreadsheets/d/1-uDff_7J0KD5mKrp0Vvzr7lt3OU09vwQwhkpOPPYv2Y/edit?usp=sharing"",""งบพรบ!IF91"")"),0)</f>
        <v>0</v>
      </c>
      <c r="F91" s="74">
        <f ca="1">IFERROR(__xludf.DUMMYFUNCTION("IMPORTRANGE(""https://docs.google.com/spreadsheets/d/1-uDff_7J0KD5mKrp0Vvzr7lt3OU09vwQwhkpOPPYv2Y/edit?usp=sharing"",""งบพรบ!IG91"")"),0)</f>
        <v>0</v>
      </c>
      <c r="G91" s="74">
        <f ca="1">IFERROR(__xludf.DUMMYFUNCTION("IMPORTRANGE(""https://docs.google.com/spreadsheets/d/1-uDff_7J0KD5mKrp0Vvzr7lt3OU09vwQwhkpOPPYv2Y/edit?usp=sharing"",""งบพรบ!IH91"")"),0)</f>
        <v>0</v>
      </c>
      <c r="H91" s="74">
        <f ca="1">IFERROR(__xludf.DUMMYFUNCTION("IMPORTRANGE(""https://docs.google.com/spreadsheets/d/1-uDff_7J0KD5mKrp0Vvzr7lt3OU09vwQwhkpOPPYv2Y/edit?usp=sharing"",""งบพรบ!IJ91"")"),0)</f>
        <v>0</v>
      </c>
      <c r="I91" s="74">
        <f ca="1">IFERROR(__xludf.DUMMYFUNCTION("IMPORTRANGE(""https://docs.google.com/spreadsheets/d/1-uDff_7J0KD5mKrp0Vvzr7lt3OU09vwQwhkpOPPYv2Y/edit?usp=sharing"",""งบพรบ!IK91"")"),0)</f>
        <v>0</v>
      </c>
      <c r="J91" s="74">
        <f t="shared" ca="1" si="57"/>
        <v>0</v>
      </c>
      <c r="K91" s="75">
        <f t="shared" ca="1" si="58"/>
        <v>0</v>
      </c>
      <c r="L91" s="74">
        <f ca="1">IFERROR(__xludf.DUMMYFUNCTION("IMPORTRANGE(""https://docs.google.com/spreadsheets/d/1-uDff_7J0KD5mKrp0Vvzr7lt3OU09vwQwhkpOPPYv2Y/edit?usp=sharing"",""งบพรบ!IL91"")"),0)</f>
        <v>0</v>
      </c>
      <c r="M91" s="76">
        <f t="shared" ca="1" si="59"/>
        <v>0</v>
      </c>
      <c r="N91" s="76">
        <f t="shared" ca="1" si="60"/>
        <v>0</v>
      </c>
      <c r="O91" s="452">
        <f ca="1">IFERROR(__xludf.DUMMYFUNCTION("IMPORTRANGE(""https://docs.google.com/spreadsheets/d/1-uDff_7J0KD5mKrp0Vvzr7lt3OU09vwQwhkpOPPYv2Y/edit?usp=sharing"",""งบพรบ!IM91"")"),0)</f>
        <v>0</v>
      </c>
      <c r="P91" s="77">
        <f t="shared" ca="1" si="61"/>
        <v>0</v>
      </c>
      <c r="Q91" s="76">
        <f t="shared" ca="1" si="62"/>
        <v>0</v>
      </c>
      <c r="R91" s="77">
        <v>0</v>
      </c>
      <c r="S91" s="77">
        <v>0</v>
      </c>
      <c r="T91" s="77">
        <v>0</v>
      </c>
      <c r="U91" s="76">
        <f t="shared" si="30"/>
        <v>0</v>
      </c>
      <c r="V91" s="76">
        <f t="shared" si="31"/>
        <v>0</v>
      </c>
      <c r="W91" s="74"/>
      <c r="X91" s="74"/>
      <c r="Y91" s="74"/>
      <c r="Z91" s="74"/>
      <c r="AA91" s="74"/>
      <c r="AB91" s="74"/>
      <c r="AC91" s="74"/>
      <c r="AD91" s="74"/>
      <c r="AE91" s="74"/>
    </row>
    <row r="92" spans="1:31" ht="19.5" x14ac:dyDescent="0.3">
      <c r="A92" s="105"/>
      <c r="B92" s="106" t="s">
        <v>120</v>
      </c>
      <c r="C92" s="173">
        <f t="shared" ca="1" si="55"/>
        <v>0</v>
      </c>
      <c r="D92" s="174">
        <f t="shared" ca="1" si="56"/>
        <v>0</v>
      </c>
      <c r="E92" s="74">
        <f ca="1">IFERROR(__xludf.DUMMYFUNCTION("IMPORTRANGE(""https://docs.google.com/spreadsheets/d/1-uDff_7J0KD5mKrp0Vvzr7lt3OU09vwQwhkpOPPYv2Y/edit?usp=sharing"",""งบพรบ!IF92"")"),0)</f>
        <v>0</v>
      </c>
      <c r="F92" s="74">
        <f ca="1">IFERROR(__xludf.DUMMYFUNCTION("IMPORTRANGE(""https://docs.google.com/spreadsheets/d/1-uDff_7J0KD5mKrp0Vvzr7lt3OU09vwQwhkpOPPYv2Y/edit?usp=sharing"",""งบพรบ!IG92"")"),0)</f>
        <v>0</v>
      </c>
      <c r="G92" s="74">
        <f ca="1">IFERROR(__xludf.DUMMYFUNCTION("IMPORTRANGE(""https://docs.google.com/spreadsheets/d/1-uDff_7J0KD5mKrp0Vvzr7lt3OU09vwQwhkpOPPYv2Y/edit?usp=sharing"",""งบพรบ!IH92"")"),0)</f>
        <v>0</v>
      </c>
      <c r="H92" s="74">
        <f ca="1">IFERROR(__xludf.DUMMYFUNCTION("IMPORTRANGE(""https://docs.google.com/spreadsheets/d/1-uDff_7J0KD5mKrp0Vvzr7lt3OU09vwQwhkpOPPYv2Y/edit?usp=sharing"",""งบพรบ!IJ92"")"),0)</f>
        <v>0</v>
      </c>
      <c r="I92" s="74">
        <f ca="1">IFERROR(__xludf.DUMMYFUNCTION("IMPORTRANGE(""https://docs.google.com/spreadsheets/d/1-uDff_7J0KD5mKrp0Vvzr7lt3OU09vwQwhkpOPPYv2Y/edit?usp=sharing"",""งบพรบ!IK92"")"),0)</f>
        <v>0</v>
      </c>
      <c r="J92" s="74">
        <f t="shared" ca="1" si="57"/>
        <v>0</v>
      </c>
      <c r="K92" s="75">
        <f t="shared" ca="1" si="58"/>
        <v>0</v>
      </c>
      <c r="L92" s="74">
        <f ca="1">IFERROR(__xludf.DUMMYFUNCTION("IMPORTRANGE(""https://docs.google.com/spreadsheets/d/1-uDff_7J0KD5mKrp0Vvzr7lt3OU09vwQwhkpOPPYv2Y/edit?usp=sharing"",""งบพรบ!IL92"")"),0)</f>
        <v>0</v>
      </c>
      <c r="M92" s="76">
        <f t="shared" ca="1" si="59"/>
        <v>0</v>
      </c>
      <c r="N92" s="76">
        <f t="shared" ca="1" si="60"/>
        <v>0</v>
      </c>
      <c r="O92" s="452">
        <f ca="1">IFERROR(__xludf.DUMMYFUNCTION("IMPORTRANGE(""https://docs.google.com/spreadsheets/d/1-uDff_7J0KD5mKrp0Vvzr7lt3OU09vwQwhkpOPPYv2Y/edit?usp=sharing"",""งบพรบ!IM92"")"),0)</f>
        <v>0</v>
      </c>
      <c r="P92" s="77">
        <f t="shared" ca="1" si="61"/>
        <v>0</v>
      </c>
      <c r="Q92" s="76">
        <f t="shared" ca="1" si="62"/>
        <v>0</v>
      </c>
      <c r="R92" s="77">
        <v>0</v>
      </c>
      <c r="S92" s="77">
        <v>0</v>
      </c>
      <c r="T92" s="77">
        <v>0</v>
      </c>
      <c r="U92" s="76">
        <f t="shared" si="30"/>
        <v>0</v>
      </c>
      <c r="V92" s="76">
        <f t="shared" si="31"/>
        <v>0</v>
      </c>
      <c r="W92" s="74"/>
      <c r="X92" s="74"/>
      <c r="Y92" s="74"/>
      <c r="Z92" s="74"/>
      <c r="AA92" s="74"/>
      <c r="AB92" s="74"/>
      <c r="AC92" s="74"/>
      <c r="AD92" s="74"/>
      <c r="AE92" s="74"/>
    </row>
    <row r="93" spans="1:31" ht="19.5" x14ac:dyDescent="0.3">
      <c r="A93" s="105"/>
      <c r="B93" s="106" t="s">
        <v>121</v>
      </c>
      <c r="C93" s="173">
        <f t="shared" ca="1" si="55"/>
        <v>0</v>
      </c>
      <c r="D93" s="174">
        <f t="shared" ca="1" si="56"/>
        <v>0</v>
      </c>
      <c r="E93" s="74">
        <f ca="1">IFERROR(__xludf.DUMMYFUNCTION("IMPORTRANGE(""https://docs.google.com/spreadsheets/d/1-uDff_7J0KD5mKrp0Vvzr7lt3OU09vwQwhkpOPPYv2Y/edit?usp=sharing"",""งบพรบ!IF93"")"),0)</f>
        <v>0</v>
      </c>
      <c r="F93" s="74">
        <f ca="1">IFERROR(__xludf.DUMMYFUNCTION("IMPORTRANGE(""https://docs.google.com/spreadsheets/d/1-uDff_7J0KD5mKrp0Vvzr7lt3OU09vwQwhkpOPPYv2Y/edit?usp=sharing"",""งบพรบ!IG93"")"),0)</f>
        <v>0</v>
      </c>
      <c r="G93" s="74">
        <f ca="1">IFERROR(__xludf.DUMMYFUNCTION("IMPORTRANGE(""https://docs.google.com/spreadsheets/d/1-uDff_7J0KD5mKrp0Vvzr7lt3OU09vwQwhkpOPPYv2Y/edit?usp=sharing"",""งบพรบ!IH93"")"),0)</f>
        <v>0</v>
      </c>
      <c r="H93" s="74">
        <f ca="1">IFERROR(__xludf.DUMMYFUNCTION("IMPORTRANGE(""https://docs.google.com/spreadsheets/d/1-uDff_7J0KD5mKrp0Vvzr7lt3OU09vwQwhkpOPPYv2Y/edit?usp=sharing"",""งบพรบ!IJ93"")"),733300)</f>
        <v>733300</v>
      </c>
      <c r="I93" s="74">
        <f ca="1">IFERROR(__xludf.DUMMYFUNCTION("IMPORTRANGE(""https://docs.google.com/spreadsheets/d/1-uDff_7J0KD5mKrp0Vvzr7lt3OU09vwQwhkpOPPYv2Y/edit?usp=sharing"",""งบพรบ!IK93"")"),0)</f>
        <v>0</v>
      </c>
      <c r="J93" s="74">
        <f t="shared" ca="1" si="57"/>
        <v>733300</v>
      </c>
      <c r="K93" s="75">
        <f t="shared" ca="1" si="58"/>
        <v>0</v>
      </c>
      <c r="L93" s="74">
        <f ca="1">IFERROR(__xludf.DUMMYFUNCTION("IMPORTRANGE(""https://docs.google.com/spreadsheets/d/1-uDff_7J0KD5mKrp0Vvzr7lt3OU09vwQwhkpOPPYv2Y/edit?usp=sharing"",""งบพรบ!IL93"")"),733300)</f>
        <v>733300</v>
      </c>
      <c r="M93" s="76">
        <f t="shared" ca="1" si="59"/>
        <v>0</v>
      </c>
      <c r="N93" s="76">
        <f t="shared" ca="1" si="60"/>
        <v>100</v>
      </c>
      <c r="O93" s="452">
        <f ca="1">IFERROR(__xludf.DUMMYFUNCTION("IMPORTRANGE(""https://docs.google.com/spreadsheets/d/1-uDff_7J0KD5mKrp0Vvzr7lt3OU09vwQwhkpOPPYv2Y/edit?usp=sharing"",""งบพรบ!IM93"")"),0)</f>
        <v>0</v>
      </c>
      <c r="P93" s="77">
        <f t="shared" ca="1" si="61"/>
        <v>0</v>
      </c>
      <c r="Q93" s="76">
        <f t="shared" ca="1" si="62"/>
        <v>0</v>
      </c>
      <c r="R93" s="77">
        <v>0</v>
      </c>
      <c r="S93" s="77">
        <v>0</v>
      </c>
      <c r="T93" s="77">
        <v>0</v>
      </c>
      <c r="U93" s="76">
        <f t="shared" si="30"/>
        <v>0</v>
      </c>
      <c r="V93" s="76">
        <f t="shared" si="31"/>
        <v>0</v>
      </c>
      <c r="W93" s="74"/>
      <c r="X93" s="74"/>
      <c r="Y93" s="74"/>
      <c r="Z93" s="74"/>
      <c r="AA93" s="74"/>
      <c r="AB93" s="74"/>
      <c r="AC93" s="74"/>
      <c r="AD93" s="74"/>
      <c r="AE93" s="74"/>
    </row>
    <row r="94" spans="1:31" ht="19.5" x14ac:dyDescent="0.3">
      <c r="A94" s="105"/>
      <c r="B94" s="106" t="s">
        <v>122</v>
      </c>
      <c r="C94" s="173">
        <f t="shared" ca="1" si="55"/>
        <v>0</v>
      </c>
      <c r="D94" s="174">
        <f t="shared" ca="1" si="56"/>
        <v>0</v>
      </c>
      <c r="E94" s="74">
        <f ca="1">IFERROR(__xludf.DUMMYFUNCTION("IMPORTRANGE(""https://docs.google.com/spreadsheets/d/1-uDff_7J0KD5mKrp0Vvzr7lt3OU09vwQwhkpOPPYv2Y/edit?usp=sharing"",""งบพรบ!IF94"")"),0)</f>
        <v>0</v>
      </c>
      <c r="F94" s="74">
        <f ca="1">IFERROR(__xludf.DUMMYFUNCTION("IMPORTRANGE(""https://docs.google.com/spreadsheets/d/1-uDff_7J0KD5mKrp0Vvzr7lt3OU09vwQwhkpOPPYv2Y/edit?usp=sharing"",""งบพรบ!IG94"")"),0)</f>
        <v>0</v>
      </c>
      <c r="G94" s="74">
        <f ca="1">IFERROR(__xludf.DUMMYFUNCTION("IMPORTRANGE(""https://docs.google.com/spreadsheets/d/1-uDff_7J0KD5mKrp0Vvzr7lt3OU09vwQwhkpOPPYv2Y/edit?usp=sharing"",""งบพรบ!IH94"")"),0)</f>
        <v>0</v>
      </c>
      <c r="H94" s="74">
        <f ca="1">IFERROR(__xludf.DUMMYFUNCTION("IMPORTRANGE(""https://docs.google.com/spreadsheets/d/1-uDff_7J0KD5mKrp0Vvzr7lt3OU09vwQwhkpOPPYv2Y/edit?usp=sharing"",""งบพรบ!IJ94"")"),0)</f>
        <v>0</v>
      </c>
      <c r="I94" s="74">
        <f ca="1">IFERROR(__xludf.DUMMYFUNCTION("IMPORTRANGE(""https://docs.google.com/spreadsheets/d/1-uDff_7J0KD5mKrp0Vvzr7lt3OU09vwQwhkpOPPYv2Y/edit?usp=sharing"",""งบพรบ!IK94"")"),0)</f>
        <v>0</v>
      </c>
      <c r="J94" s="74">
        <f t="shared" ca="1" si="57"/>
        <v>0</v>
      </c>
      <c r="K94" s="75">
        <f t="shared" ca="1" si="58"/>
        <v>0</v>
      </c>
      <c r="L94" s="74">
        <f ca="1">IFERROR(__xludf.DUMMYFUNCTION("IMPORTRANGE(""https://docs.google.com/spreadsheets/d/1-uDff_7J0KD5mKrp0Vvzr7lt3OU09vwQwhkpOPPYv2Y/edit?usp=sharing"",""งบพรบ!IL94"")"),0)</f>
        <v>0</v>
      </c>
      <c r="M94" s="76">
        <f t="shared" ca="1" si="59"/>
        <v>0</v>
      </c>
      <c r="N94" s="76">
        <f t="shared" ca="1" si="60"/>
        <v>0</v>
      </c>
      <c r="O94" s="452">
        <f ca="1">IFERROR(__xludf.DUMMYFUNCTION("IMPORTRANGE(""https://docs.google.com/spreadsheets/d/1-uDff_7J0KD5mKrp0Vvzr7lt3OU09vwQwhkpOPPYv2Y/edit?usp=sharing"",""งบพรบ!IM94"")"),0)</f>
        <v>0</v>
      </c>
      <c r="P94" s="77">
        <f t="shared" ca="1" si="61"/>
        <v>0</v>
      </c>
      <c r="Q94" s="76">
        <f t="shared" ca="1" si="62"/>
        <v>0</v>
      </c>
      <c r="R94" s="77">
        <v>0</v>
      </c>
      <c r="S94" s="77">
        <v>0</v>
      </c>
      <c r="T94" s="77">
        <v>0</v>
      </c>
      <c r="U94" s="76">
        <f t="shared" si="30"/>
        <v>0</v>
      </c>
      <c r="V94" s="76">
        <f t="shared" si="31"/>
        <v>0</v>
      </c>
      <c r="W94" s="74"/>
      <c r="X94" s="74"/>
      <c r="Y94" s="74"/>
      <c r="Z94" s="74"/>
      <c r="AA94" s="74"/>
      <c r="AB94" s="74"/>
      <c r="AC94" s="74"/>
      <c r="AD94" s="74"/>
      <c r="AE94" s="74"/>
    </row>
    <row r="95" spans="1:31" ht="19.5" x14ac:dyDescent="0.3">
      <c r="A95" s="105"/>
      <c r="B95" s="106" t="s">
        <v>123</v>
      </c>
      <c r="C95" s="173">
        <f t="shared" ca="1" si="55"/>
        <v>0</v>
      </c>
      <c r="D95" s="174">
        <f t="shared" ca="1" si="56"/>
        <v>0</v>
      </c>
      <c r="E95" s="74">
        <f ca="1">IFERROR(__xludf.DUMMYFUNCTION("IMPORTRANGE(""https://docs.google.com/spreadsheets/d/1-uDff_7J0KD5mKrp0Vvzr7lt3OU09vwQwhkpOPPYv2Y/edit?usp=sharing"",""งบพรบ!IF95"")"),0)</f>
        <v>0</v>
      </c>
      <c r="F95" s="74">
        <f ca="1">IFERROR(__xludf.DUMMYFUNCTION("IMPORTRANGE(""https://docs.google.com/spreadsheets/d/1-uDff_7J0KD5mKrp0Vvzr7lt3OU09vwQwhkpOPPYv2Y/edit?usp=sharing"",""งบพรบ!IG95"")"),0)</f>
        <v>0</v>
      </c>
      <c r="G95" s="74">
        <f ca="1">IFERROR(__xludf.DUMMYFUNCTION("IMPORTRANGE(""https://docs.google.com/spreadsheets/d/1-uDff_7J0KD5mKrp0Vvzr7lt3OU09vwQwhkpOPPYv2Y/edit?usp=sharing"",""งบพรบ!IH95"")"),0)</f>
        <v>0</v>
      </c>
      <c r="H95" s="74">
        <f ca="1">IFERROR(__xludf.DUMMYFUNCTION("IMPORTRANGE(""https://docs.google.com/spreadsheets/d/1-uDff_7J0KD5mKrp0Vvzr7lt3OU09vwQwhkpOPPYv2Y/edit?usp=sharing"",""งบพรบ!IJ95"")"),0)</f>
        <v>0</v>
      </c>
      <c r="I95" s="74">
        <f ca="1">IFERROR(__xludf.DUMMYFUNCTION("IMPORTRANGE(""https://docs.google.com/spreadsheets/d/1-uDff_7J0KD5mKrp0Vvzr7lt3OU09vwQwhkpOPPYv2Y/edit?usp=sharing"",""งบพรบ!IK95"")"),0)</f>
        <v>0</v>
      </c>
      <c r="J95" s="74">
        <f t="shared" ca="1" si="57"/>
        <v>0</v>
      </c>
      <c r="K95" s="75">
        <f t="shared" ca="1" si="58"/>
        <v>0</v>
      </c>
      <c r="L95" s="74">
        <f ca="1">IFERROR(__xludf.DUMMYFUNCTION("IMPORTRANGE(""https://docs.google.com/spreadsheets/d/1-uDff_7J0KD5mKrp0Vvzr7lt3OU09vwQwhkpOPPYv2Y/edit?usp=sharing"",""งบพรบ!IL95"")"),0)</f>
        <v>0</v>
      </c>
      <c r="M95" s="76">
        <f t="shared" ca="1" si="59"/>
        <v>0</v>
      </c>
      <c r="N95" s="76">
        <f t="shared" ca="1" si="60"/>
        <v>0</v>
      </c>
      <c r="O95" s="452">
        <f ca="1">IFERROR(__xludf.DUMMYFUNCTION("IMPORTRANGE(""https://docs.google.com/spreadsheets/d/1-uDff_7J0KD5mKrp0Vvzr7lt3OU09vwQwhkpOPPYv2Y/edit?usp=sharing"",""งบพรบ!IM95"")"),0)</f>
        <v>0</v>
      </c>
      <c r="P95" s="77">
        <f t="shared" ca="1" si="61"/>
        <v>0</v>
      </c>
      <c r="Q95" s="76">
        <f t="shared" ca="1" si="62"/>
        <v>0</v>
      </c>
      <c r="R95" s="77">
        <v>0</v>
      </c>
      <c r="S95" s="77">
        <v>0</v>
      </c>
      <c r="T95" s="77">
        <v>0</v>
      </c>
      <c r="U95" s="76">
        <f t="shared" si="30"/>
        <v>0</v>
      </c>
      <c r="V95" s="76">
        <f t="shared" si="31"/>
        <v>0</v>
      </c>
      <c r="W95" s="74"/>
      <c r="X95" s="74"/>
      <c r="Y95" s="74"/>
      <c r="Z95" s="74"/>
      <c r="AA95" s="74"/>
      <c r="AB95" s="74"/>
      <c r="AC95" s="74"/>
      <c r="AD95" s="74"/>
      <c r="AE95" s="74"/>
    </row>
    <row r="96" spans="1:31" ht="19.5" x14ac:dyDescent="0.3">
      <c r="A96" s="105"/>
      <c r="B96" s="106" t="s">
        <v>124</v>
      </c>
      <c r="C96" s="173">
        <f t="shared" ca="1" si="55"/>
        <v>0</v>
      </c>
      <c r="D96" s="174">
        <f t="shared" ca="1" si="56"/>
        <v>0</v>
      </c>
      <c r="E96" s="74">
        <f ca="1">IFERROR(__xludf.DUMMYFUNCTION("IMPORTRANGE(""https://docs.google.com/spreadsheets/d/1-uDff_7J0KD5mKrp0Vvzr7lt3OU09vwQwhkpOPPYv2Y/edit?usp=sharing"",""งบพรบ!IF96"")"),0)</f>
        <v>0</v>
      </c>
      <c r="F96" s="74">
        <f ca="1">IFERROR(__xludf.DUMMYFUNCTION("IMPORTRANGE(""https://docs.google.com/spreadsheets/d/1-uDff_7J0KD5mKrp0Vvzr7lt3OU09vwQwhkpOPPYv2Y/edit?usp=sharing"",""งบพรบ!IG96"")"),0)</f>
        <v>0</v>
      </c>
      <c r="G96" s="74">
        <f ca="1">IFERROR(__xludf.DUMMYFUNCTION("IMPORTRANGE(""https://docs.google.com/spreadsheets/d/1-uDff_7J0KD5mKrp0Vvzr7lt3OU09vwQwhkpOPPYv2Y/edit?usp=sharing"",""งบพรบ!IH96"")"),0)</f>
        <v>0</v>
      </c>
      <c r="H96" s="74">
        <f ca="1">IFERROR(__xludf.DUMMYFUNCTION("IMPORTRANGE(""https://docs.google.com/spreadsheets/d/1-uDff_7J0KD5mKrp0Vvzr7lt3OU09vwQwhkpOPPYv2Y/edit?usp=sharing"",""งบพรบ!IJ96"")"),0)</f>
        <v>0</v>
      </c>
      <c r="I96" s="74">
        <f ca="1">IFERROR(__xludf.DUMMYFUNCTION("IMPORTRANGE(""https://docs.google.com/spreadsheets/d/1-uDff_7J0KD5mKrp0Vvzr7lt3OU09vwQwhkpOPPYv2Y/edit?usp=sharing"",""งบพรบ!IK96"")"),0)</f>
        <v>0</v>
      </c>
      <c r="J96" s="74">
        <f t="shared" ca="1" si="57"/>
        <v>0</v>
      </c>
      <c r="K96" s="75">
        <f t="shared" ca="1" si="58"/>
        <v>0</v>
      </c>
      <c r="L96" s="74">
        <f ca="1">IFERROR(__xludf.DUMMYFUNCTION("IMPORTRANGE(""https://docs.google.com/spreadsheets/d/1-uDff_7J0KD5mKrp0Vvzr7lt3OU09vwQwhkpOPPYv2Y/edit?usp=sharing"",""งบพรบ!IL96"")"),0)</f>
        <v>0</v>
      </c>
      <c r="M96" s="76">
        <f t="shared" ca="1" si="59"/>
        <v>0</v>
      </c>
      <c r="N96" s="76">
        <f t="shared" ca="1" si="60"/>
        <v>0</v>
      </c>
      <c r="O96" s="452">
        <f ca="1">IFERROR(__xludf.DUMMYFUNCTION("IMPORTRANGE(""https://docs.google.com/spreadsheets/d/1-uDff_7J0KD5mKrp0Vvzr7lt3OU09vwQwhkpOPPYv2Y/edit?usp=sharing"",""งบพรบ!IM96"")"),0)</f>
        <v>0</v>
      </c>
      <c r="P96" s="77">
        <f t="shared" ca="1" si="61"/>
        <v>0</v>
      </c>
      <c r="Q96" s="76">
        <f t="shared" ca="1" si="62"/>
        <v>0</v>
      </c>
      <c r="R96" s="77">
        <v>0</v>
      </c>
      <c r="S96" s="77">
        <v>0</v>
      </c>
      <c r="T96" s="77">
        <v>0</v>
      </c>
      <c r="U96" s="76">
        <f t="shared" si="30"/>
        <v>0</v>
      </c>
      <c r="V96" s="76">
        <f t="shared" si="31"/>
        <v>0</v>
      </c>
      <c r="W96" s="74"/>
      <c r="X96" s="74"/>
      <c r="Y96" s="74"/>
      <c r="Z96" s="74"/>
      <c r="AA96" s="74"/>
      <c r="AB96" s="74"/>
      <c r="AC96" s="74"/>
      <c r="AD96" s="74"/>
      <c r="AE96" s="74"/>
    </row>
    <row r="97" spans="1:31" ht="19.5" x14ac:dyDescent="0.3">
      <c r="A97" s="105"/>
      <c r="B97" s="106" t="s">
        <v>125</v>
      </c>
      <c r="C97" s="173">
        <f t="shared" ca="1" si="55"/>
        <v>0</v>
      </c>
      <c r="D97" s="174">
        <f t="shared" ca="1" si="56"/>
        <v>0</v>
      </c>
      <c r="E97" s="74">
        <f ca="1">IFERROR(__xludf.DUMMYFUNCTION("IMPORTRANGE(""https://docs.google.com/spreadsheets/d/1-uDff_7J0KD5mKrp0Vvzr7lt3OU09vwQwhkpOPPYv2Y/edit?usp=sharing"",""งบพรบ!IF97"")"),0)</f>
        <v>0</v>
      </c>
      <c r="F97" s="74">
        <f ca="1">IFERROR(__xludf.DUMMYFUNCTION("IMPORTRANGE(""https://docs.google.com/spreadsheets/d/1-uDff_7J0KD5mKrp0Vvzr7lt3OU09vwQwhkpOPPYv2Y/edit?usp=sharing"",""งบพรบ!IG97"")"),0)</f>
        <v>0</v>
      </c>
      <c r="G97" s="74">
        <f ca="1">IFERROR(__xludf.DUMMYFUNCTION("IMPORTRANGE(""https://docs.google.com/spreadsheets/d/1-uDff_7J0KD5mKrp0Vvzr7lt3OU09vwQwhkpOPPYv2Y/edit?usp=sharing"",""งบพรบ!IH97"")"),0)</f>
        <v>0</v>
      </c>
      <c r="H97" s="74">
        <f ca="1">IFERROR(__xludf.DUMMYFUNCTION("IMPORTRANGE(""https://docs.google.com/spreadsheets/d/1-uDff_7J0KD5mKrp0Vvzr7lt3OU09vwQwhkpOPPYv2Y/edit?usp=sharing"",""งบพรบ!IJ97"")"),0)</f>
        <v>0</v>
      </c>
      <c r="I97" s="74">
        <f ca="1">IFERROR(__xludf.DUMMYFUNCTION("IMPORTRANGE(""https://docs.google.com/spreadsheets/d/1-uDff_7J0KD5mKrp0Vvzr7lt3OU09vwQwhkpOPPYv2Y/edit?usp=sharing"",""งบพรบ!IK97"")"),0)</f>
        <v>0</v>
      </c>
      <c r="J97" s="74">
        <f t="shared" ca="1" si="57"/>
        <v>0</v>
      </c>
      <c r="K97" s="75">
        <f t="shared" ca="1" si="58"/>
        <v>0</v>
      </c>
      <c r="L97" s="74">
        <f ca="1">IFERROR(__xludf.DUMMYFUNCTION("IMPORTRANGE(""https://docs.google.com/spreadsheets/d/1-uDff_7J0KD5mKrp0Vvzr7lt3OU09vwQwhkpOPPYv2Y/edit?usp=sharing"",""งบพรบ!IL97"")"),0)</f>
        <v>0</v>
      </c>
      <c r="M97" s="76">
        <f t="shared" ca="1" si="59"/>
        <v>0</v>
      </c>
      <c r="N97" s="76">
        <f t="shared" ca="1" si="60"/>
        <v>0</v>
      </c>
      <c r="O97" s="452">
        <f ca="1">IFERROR(__xludf.DUMMYFUNCTION("IMPORTRANGE(""https://docs.google.com/spreadsheets/d/1-uDff_7J0KD5mKrp0Vvzr7lt3OU09vwQwhkpOPPYv2Y/edit?usp=sharing"",""งบพรบ!IM97"")"),0)</f>
        <v>0</v>
      </c>
      <c r="P97" s="77">
        <f t="shared" ca="1" si="61"/>
        <v>0</v>
      </c>
      <c r="Q97" s="76">
        <f t="shared" ca="1" si="62"/>
        <v>0</v>
      </c>
      <c r="R97" s="77">
        <v>0</v>
      </c>
      <c r="S97" s="77">
        <v>0</v>
      </c>
      <c r="T97" s="77">
        <v>0</v>
      </c>
      <c r="U97" s="76">
        <f t="shared" si="30"/>
        <v>0</v>
      </c>
      <c r="V97" s="76">
        <f t="shared" si="31"/>
        <v>0</v>
      </c>
      <c r="W97" s="74"/>
      <c r="X97" s="74"/>
      <c r="Y97" s="74"/>
      <c r="Z97" s="74"/>
      <c r="AA97" s="74"/>
      <c r="AB97" s="74"/>
      <c r="AC97" s="74"/>
      <c r="AD97" s="74"/>
      <c r="AE97" s="74"/>
    </row>
    <row r="98" spans="1:31" ht="19.5" x14ac:dyDescent="0.3">
      <c r="A98" s="105"/>
      <c r="B98" s="106" t="s">
        <v>126</v>
      </c>
      <c r="C98" s="173">
        <f t="shared" ca="1" si="55"/>
        <v>0</v>
      </c>
      <c r="D98" s="174">
        <f t="shared" ca="1" si="56"/>
        <v>0</v>
      </c>
      <c r="E98" s="74">
        <f ca="1">IFERROR(__xludf.DUMMYFUNCTION("IMPORTRANGE(""https://docs.google.com/spreadsheets/d/1-uDff_7J0KD5mKrp0Vvzr7lt3OU09vwQwhkpOPPYv2Y/edit?usp=sharing"",""งบพรบ!IF98"")"),0)</f>
        <v>0</v>
      </c>
      <c r="F98" s="74">
        <f ca="1">IFERROR(__xludf.DUMMYFUNCTION("IMPORTRANGE(""https://docs.google.com/spreadsheets/d/1-uDff_7J0KD5mKrp0Vvzr7lt3OU09vwQwhkpOPPYv2Y/edit?usp=sharing"",""งบพรบ!IG98"")"),0)</f>
        <v>0</v>
      </c>
      <c r="G98" s="74">
        <f ca="1">IFERROR(__xludf.DUMMYFUNCTION("IMPORTRANGE(""https://docs.google.com/spreadsheets/d/1-uDff_7J0KD5mKrp0Vvzr7lt3OU09vwQwhkpOPPYv2Y/edit?usp=sharing"",""งบพรบ!IH98"")"),0)</f>
        <v>0</v>
      </c>
      <c r="H98" s="74">
        <f ca="1">IFERROR(__xludf.DUMMYFUNCTION("IMPORTRANGE(""https://docs.google.com/spreadsheets/d/1-uDff_7J0KD5mKrp0Vvzr7lt3OU09vwQwhkpOPPYv2Y/edit?usp=sharing"",""งบพรบ!IJ98"")"),0)</f>
        <v>0</v>
      </c>
      <c r="I98" s="74">
        <f ca="1">IFERROR(__xludf.DUMMYFUNCTION("IMPORTRANGE(""https://docs.google.com/spreadsheets/d/1-uDff_7J0KD5mKrp0Vvzr7lt3OU09vwQwhkpOPPYv2Y/edit?usp=sharing"",""งบพรบ!IK98"")"),0)</f>
        <v>0</v>
      </c>
      <c r="J98" s="74">
        <f t="shared" ca="1" si="57"/>
        <v>0</v>
      </c>
      <c r="K98" s="75">
        <f t="shared" ca="1" si="58"/>
        <v>0</v>
      </c>
      <c r="L98" s="74">
        <f ca="1">IFERROR(__xludf.DUMMYFUNCTION("IMPORTRANGE(""https://docs.google.com/spreadsheets/d/1-uDff_7J0KD5mKrp0Vvzr7lt3OU09vwQwhkpOPPYv2Y/edit?usp=sharing"",""งบพรบ!IL98"")"),0)</f>
        <v>0</v>
      </c>
      <c r="M98" s="76">
        <f t="shared" ca="1" si="59"/>
        <v>0</v>
      </c>
      <c r="N98" s="76">
        <f t="shared" ca="1" si="60"/>
        <v>0</v>
      </c>
      <c r="O98" s="452">
        <f ca="1">IFERROR(__xludf.DUMMYFUNCTION("IMPORTRANGE(""https://docs.google.com/spreadsheets/d/1-uDff_7J0KD5mKrp0Vvzr7lt3OU09vwQwhkpOPPYv2Y/edit?usp=sharing"",""งบพรบ!IM98"")"),0)</f>
        <v>0</v>
      </c>
      <c r="P98" s="77">
        <f t="shared" ca="1" si="61"/>
        <v>0</v>
      </c>
      <c r="Q98" s="76">
        <f t="shared" ca="1" si="62"/>
        <v>0</v>
      </c>
      <c r="R98" s="77">
        <v>0</v>
      </c>
      <c r="S98" s="77">
        <v>0</v>
      </c>
      <c r="T98" s="77">
        <v>0</v>
      </c>
      <c r="U98" s="76">
        <f t="shared" si="30"/>
        <v>0</v>
      </c>
      <c r="V98" s="76">
        <f t="shared" si="31"/>
        <v>0</v>
      </c>
      <c r="W98" s="74"/>
      <c r="X98" s="74"/>
      <c r="Y98" s="74"/>
      <c r="Z98" s="74"/>
      <c r="AA98" s="74"/>
      <c r="AB98" s="74"/>
      <c r="AC98" s="74"/>
      <c r="AD98" s="74"/>
      <c r="AE98" s="74"/>
    </row>
    <row r="99" spans="1:31" ht="19.5" x14ac:dyDescent="0.3">
      <c r="A99" s="105"/>
      <c r="B99" s="106" t="s">
        <v>127</v>
      </c>
      <c r="C99" s="173">
        <f t="shared" ca="1" si="55"/>
        <v>0</v>
      </c>
      <c r="D99" s="174">
        <f t="shared" ca="1" si="56"/>
        <v>0</v>
      </c>
      <c r="E99" s="74">
        <f ca="1">IFERROR(__xludf.DUMMYFUNCTION("IMPORTRANGE(""https://docs.google.com/spreadsheets/d/1-uDff_7J0KD5mKrp0Vvzr7lt3OU09vwQwhkpOPPYv2Y/edit?usp=sharing"",""งบพรบ!IF99"")"),0)</f>
        <v>0</v>
      </c>
      <c r="F99" s="74">
        <f ca="1">IFERROR(__xludf.DUMMYFUNCTION("IMPORTRANGE(""https://docs.google.com/spreadsheets/d/1-uDff_7J0KD5mKrp0Vvzr7lt3OU09vwQwhkpOPPYv2Y/edit?usp=sharing"",""งบพรบ!IG99"")"),0)</f>
        <v>0</v>
      </c>
      <c r="G99" s="74">
        <f ca="1">IFERROR(__xludf.DUMMYFUNCTION("IMPORTRANGE(""https://docs.google.com/spreadsheets/d/1-uDff_7J0KD5mKrp0Vvzr7lt3OU09vwQwhkpOPPYv2Y/edit?usp=sharing"",""งบพรบ!IH99"")"),0)</f>
        <v>0</v>
      </c>
      <c r="H99" s="74">
        <f ca="1">IFERROR(__xludf.DUMMYFUNCTION("IMPORTRANGE(""https://docs.google.com/spreadsheets/d/1-uDff_7J0KD5mKrp0Vvzr7lt3OU09vwQwhkpOPPYv2Y/edit?usp=sharing"",""งบพรบ!IJ99"")"),0)</f>
        <v>0</v>
      </c>
      <c r="I99" s="74">
        <f ca="1">IFERROR(__xludf.DUMMYFUNCTION("IMPORTRANGE(""https://docs.google.com/spreadsheets/d/1-uDff_7J0KD5mKrp0Vvzr7lt3OU09vwQwhkpOPPYv2Y/edit?usp=sharing"",""งบพรบ!IK99"")"),0)</f>
        <v>0</v>
      </c>
      <c r="J99" s="74">
        <f t="shared" ca="1" si="57"/>
        <v>0</v>
      </c>
      <c r="K99" s="75">
        <f t="shared" ca="1" si="58"/>
        <v>0</v>
      </c>
      <c r="L99" s="74">
        <f ca="1">IFERROR(__xludf.DUMMYFUNCTION("IMPORTRANGE(""https://docs.google.com/spreadsheets/d/1-uDff_7J0KD5mKrp0Vvzr7lt3OU09vwQwhkpOPPYv2Y/edit?usp=sharing"",""งบพรบ!IL99"")"),0)</f>
        <v>0</v>
      </c>
      <c r="M99" s="76">
        <f t="shared" ca="1" si="59"/>
        <v>0</v>
      </c>
      <c r="N99" s="76">
        <f t="shared" ca="1" si="60"/>
        <v>0</v>
      </c>
      <c r="O99" s="452">
        <f ca="1">IFERROR(__xludf.DUMMYFUNCTION("IMPORTRANGE(""https://docs.google.com/spreadsheets/d/1-uDff_7J0KD5mKrp0Vvzr7lt3OU09vwQwhkpOPPYv2Y/edit?usp=sharing"",""งบพรบ!IM99"")"),0)</f>
        <v>0</v>
      </c>
      <c r="P99" s="77">
        <f t="shared" ca="1" si="61"/>
        <v>0</v>
      </c>
      <c r="Q99" s="76">
        <f t="shared" ca="1" si="62"/>
        <v>0</v>
      </c>
      <c r="R99" s="77">
        <v>0</v>
      </c>
      <c r="S99" s="77">
        <v>0</v>
      </c>
      <c r="T99" s="77">
        <v>0</v>
      </c>
      <c r="U99" s="76">
        <f t="shared" si="30"/>
        <v>0</v>
      </c>
      <c r="V99" s="76">
        <f t="shared" si="31"/>
        <v>0</v>
      </c>
      <c r="W99" s="74"/>
      <c r="X99" s="74"/>
      <c r="Y99" s="74"/>
      <c r="Z99" s="74"/>
      <c r="AA99" s="74"/>
      <c r="AB99" s="74"/>
      <c r="AC99" s="74"/>
      <c r="AD99" s="74"/>
      <c r="AE99" s="74"/>
    </row>
    <row r="100" spans="1:31" ht="19.5" x14ac:dyDescent="0.3">
      <c r="A100" s="105"/>
      <c r="B100" s="106" t="s">
        <v>128</v>
      </c>
      <c r="C100" s="173">
        <f t="shared" ca="1" si="55"/>
        <v>1982900</v>
      </c>
      <c r="D100" s="174">
        <f t="shared" ca="1" si="56"/>
        <v>1982900</v>
      </c>
      <c r="E100" s="74">
        <f ca="1">IFERROR(__xludf.DUMMYFUNCTION("IMPORTRANGE(""https://docs.google.com/spreadsheets/d/1-uDff_7J0KD5mKrp0Vvzr7lt3OU09vwQwhkpOPPYv2Y/edit?usp=sharing"",""งบพรบ!IF100"")"),0)</f>
        <v>0</v>
      </c>
      <c r="F100" s="74">
        <f ca="1">IFERROR(__xludf.DUMMYFUNCTION("IMPORTRANGE(""https://docs.google.com/spreadsheets/d/1-uDff_7J0KD5mKrp0Vvzr7lt3OU09vwQwhkpOPPYv2Y/edit?usp=sharing"",""งบพรบ!IG100"")"),1982900)</f>
        <v>1982900</v>
      </c>
      <c r="G100" s="74">
        <f ca="1">IFERROR(__xludf.DUMMYFUNCTION("IMPORTRANGE(""https://docs.google.com/spreadsheets/d/1-uDff_7J0KD5mKrp0Vvzr7lt3OU09vwQwhkpOPPYv2Y/edit?usp=sharing"",""งบพรบ!IH100"")"),0)</f>
        <v>0</v>
      </c>
      <c r="H100" s="74">
        <f ca="1">IFERROR(__xludf.DUMMYFUNCTION("IMPORTRANGE(""https://docs.google.com/spreadsheets/d/1-uDff_7J0KD5mKrp0Vvzr7lt3OU09vwQwhkpOPPYv2Y/edit?usp=sharing"",""งบพรบ!IJ100"")"),1982900)</f>
        <v>1982900</v>
      </c>
      <c r="I100" s="74">
        <f ca="1">IFERROR(__xludf.DUMMYFUNCTION("IMPORTRANGE(""https://docs.google.com/spreadsheets/d/1-uDff_7J0KD5mKrp0Vvzr7lt3OU09vwQwhkpOPPYv2Y/edit?usp=sharing"",""งบพรบ!IK100"")"),0)</f>
        <v>0</v>
      </c>
      <c r="J100" s="74">
        <f t="shared" ca="1" si="57"/>
        <v>1278210.1399999999</v>
      </c>
      <c r="K100" s="75">
        <f t="shared" ca="1" si="58"/>
        <v>64.461654142921972</v>
      </c>
      <c r="L100" s="74">
        <f ca="1">IFERROR(__xludf.DUMMYFUNCTION("IMPORTRANGE(""https://docs.google.com/spreadsheets/d/1-uDff_7J0KD5mKrp0Vvzr7lt3OU09vwQwhkpOPPYv2Y/edit?usp=sharing"",""งบพรบ!IL100"")"),1278210.14)</f>
        <v>1278210.1399999999</v>
      </c>
      <c r="M100" s="76">
        <f t="shared" ca="1" si="59"/>
        <v>64.461654142921972</v>
      </c>
      <c r="N100" s="76">
        <f t="shared" ca="1" si="60"/>
        <v>64.461654142921972</v>
      </c>
      <c r="O100" s="452">
        <f ca="1">IFERROR(__xludf.DUMMYFUNCTION("IMPORTRANGE(""https://docs.google.com/spreadsheets/d/1-uDff_7J0KD5mKrp0Vvzr7lt3OU09vwQwhkpOPPYv2Y/edit?usp=sharing"",""งบพรบ!IM100"")"),0)</f>
        <v>0</v>
      </c>
      <c r="P100" s="77">
        <f t="shared" ca="1" si="61"/>
        <v>0</v>
      </c>
      <c r="Q100" s="76">
        <f t="shared" ca="1" si="62"/>
        <v>0</v>
      </c>
      <c r="R100" s="77">
        <f ca="1">IFERROR(__xludf.DUMMYFUNCTION("IMPORTRANGE(""https://docs.google.com/spreadsheets/d/1ItG2mGa2ceCfYo0BwxsXqNm01IGEUdYcSSLTEv9YCik/edit?usp=sharing"",""เบิกจ่ายกองทุน!BW93"")"),13500000)</f>
        <v>13500000</v>
      </c>
      <c r="S100" s="77">
        <f ca="1">IFERROR(__xludf.DUMMYFUNCTION("IMPORTRANGE(""https://docs.google.com/spreadsheets/d/1ItG2mGa2ceCfYo0BwxsXqNm01IGEUdYcSSLTEv9YCik/edit?usp=sharing"",""เบิกจ่ายกองทุน!BX93"")"),13500000)</f>
        <v>13500000</v>
      </c>
      <c r="T100" s="77">
        <f ca="1">IFERROR(__xludf.DUMMYFUNCTION("IMPORTRANGE(""https://docs.google.com/spreadsheets/d/1ItG2mGa2ceCfYo0BwxsXqNm01IGEUdYcSSLTEv9YCik/edit?usp=sharing"",""เบิกจ่ายกองทุน!BY93"")"),10040238)</f>
        <v>10040238</v>
      </c>
      <c r="U100" s="76">
        <f t="shared" ca="1" si="30"/>
        <v>74.372133333333338</v>
      </c>
      <c r="V100" s="76">
        <f t="shared" ca="1" si="31"/>
        <v>74.372133333333338</v>
      </c>
      <c r="W100" s="74"/>
      <c r="X100" s="74"/>
      <c r="Y100" s="74"/>
      <c r="Z100" s="74"/>
      <c r="AA100" s="74"/>
      <c r="AB100" s="74"/>
      <c r="AC100" s="74"/>
      <c r="AD100" s="74"/>
      <c r="AE100" s="74"/>
    </row>
    <row r="101" spans="1:31" ht="19.5" x14ac:dyDescent="0.3">
      <c r="A101" s="105"/>
      <c r="B101" s="106" t="s">
        <v>129</v>
      </c>
      <c r="C101" s="173">
        <f t="shared" ca="1" si="55"/>
        <v>0</v>
      </c>
      <c r="D101" s="174">
        <f t="shared" ca="1" si="56"/>
        <v>0</v>
      </c>
      <c r="E101" s="74">
        <f ca="1">IFERROR(__xludf.DUMMYFUNCTION("IMPORTRANGE(""https://docs.google.com/spreadsheets/d/1-uDff_7J0KD5mKrp0Vvzr7lt3OU09vwQwhkpOPPYv2Y/edit?usp=sharing"",""งบพรบ!IF101"")"),0)</f>
        <v>0</v>
      </c>
      <c r="F101" s="74">
        <f ca="1">IFERROR(__xludf.DUMMYFUNCTION("IMPORTRANGE(""https://docs.google.com/spreadsheets/d/1-uDff_7J0KD5mKrp0Vvzr7lt3OU09vwQwhkpOPPYv2Y/edit?usp=sharing"",""งบพรบ!IG101"")"),0)</f>
        <v>0</v>
      </c>
      <c r="G101" s="74">
        <f ca="1">IFERROR(__xludf.DUMMYFUNCTION("IMPORTRANGE(""https://docs.google.com/spreadsheets/d/1-uDff_7J0KD5mKrp0Vvzr7lt3OU09vwQwhkpOPPYv2Y/edit?usp=sharing"",""งบพรบ!IH101"")"),0)</f>
        <v>0</v>
      </c>
      <c r="H101" s="74">
        <f ca="1">IFERROR(__xludf.DUMMYFUNCTION("IMPORTRANGE(""https://docs.google.com/spreadsheets/d/1-uDff_7J0KD5mKrp0Vvzr7lt3OU09vwQwhkpOPPYv2Y/edit?usp=sharing"",""งบพรบ!IJ101"")"),0)</f>
        <v>0</v>
      </c>
      <c r="I101" s="74">
        <f ca="1">IFERROR(__xludf.DUMMYFUNCTION("IMPORTRANGE(""https://docs.google.com/spreadsheets/d/1-uDff_7J0KD5mKrp0Vvzr7lt3OU09vwQwhkpOPPYv2Y/edit?usp=sharing"",""งบพรบ!IK101"")"),0)</f>
        <v>0</v>
      </c>
      <c r="J101" s="74">
        <f t="shared" ca="1" si="57"/>
        <v>0</v>
      </c>
      <c r="K101" s="75">
        <f t="shared" ca="1" si="58"/>
        <v>0</v>
      </c>
      <c r="L101" s="74">
        <f ca="1">IFERROR(__xludf.DUMMYFUNCTION("IMPORTRANGE(""https://docs.google.com/spreadsheets/d/1-uDff_7J0KD5mKrp0Vvzr7lt3OU09vwQwhkpOPPYv2Y/edit?usp=sharing"",""งบพรบ!IL101"")"),0)</f>
        <v>0</v>
      </c>
      <c r="M101" s="76">
        <f t="shared" ca="1" si="59"/>
        <v>0</v>
      </c>
      <c r="N101" s="76">
        <f t="shared" ca="1" si="60"/>
        <v>0</v>
      </c>
      <c r="O101" s="452">
        <f ca="1">IFERROR(__xludf.DUMMYFUNCTION("IMPORTRANGE(""https://docs.google.com/spreadsheets/d/1-uDff_7J0KD5mKrp0Vvzr7lt3OU09vwQwhkpOPPYv2Y/edit?usp=sharing"",""งบพรบ!IM101"")"),0)</f>
        <v>0</v>
      </c>
      <c r="P101" s="77">
        <f t="shared" ca="1" si="61"/>
        <v>0</v>
      </c>
      <c r="Q101" s="76">
        <f t="shared" ca="1" si="62"/>
        <v>0</v>
      </c>
      <c r="R101" s="77">
        <v>0</v>
      </c>
      <c r="S101" s="77">
        <v>0</v>
      </c>
      <c r="T101" s="77">
        <v>0</v>
      </c>
      <c r="U101" s="76">
        <f t="shared" si="30"/>
        <v>0</v>
      </c>
      <c r="V101" s="76">
        <f t="shared" si="31"/>
        <v>0</v>
      </c>
      <c r="W101" s="74"/>
      <c r="X101" s="74"/>
      <c r="Y101" s="74"/>
      <c r="Z101" s="74"/>
      <c r="AA101" s="74"/>
      <c r="AB101" s="74"/>
      <c r="AC101" s="74"/>
      <c r="AD101" s="74"/>
      <c r="AE101" s="74"/>
    </row>
    <row r="102" spans="1:31" ht="19.5" x14ac:dyDescent="0.3">
      <c r="A102" s="105"/>
      <c r="B102" s="106" t="s">
        <v>130</v>
      </c>
      <c r="C102" s="173">
        <f t="shared" ca="1" si="55"/>
        <v>0</v>
      </c>
      <c r="D102" s="174">
        <f t="shared" ca="1" si="56"/>
        <v>0</v>
      </c>
      <c r="E102" s="74">
        <f ca="1">IFERROR(__xludf.DUMMYFUNCTION("IMPORTRANGE(""https://docs.google.com/spreadsheets/d/1-uDff_7J0KD5mKrp0Vvzr7lt3OU09vwQwhkpOPPYv2Y/edit?usp=sharing"",""งบพรบ!IF102"")"),0)</f>
        <v>0</v>
      </c>
      <c r="F102" s="74">
        <f ca="1">IFERROR(__xludf.DUMMYFUNCTION("IMPORTRANGE(""https://docs.google.com/spreadsheets/d/1-uDff_7J0KD5mKrp0Vvzr7lt3OU09vwQwhkpOPPYv2Y/edit?usp=sharing"",""งบพรบ!IG102"")"),0)</f>
        <v>0</v>
      </c>
      <c r="G102" s="74">
        <f ca="1">IFERROR(__xludf.DUMMYFUNCTION("IMPORTRANGE(""https://docs.google.com/spreadsheets/d/1-uDff_7J0KD5mKrp0Vvzr7lt3OU09vwQwhkpOPPYv2Y/edit?usp=sharing"",""งบพรบ!IH102"")"),0)</f>
        <v>0</v>
      </c>
      <c r="H102" s="74">
        <f ca="1">IFERROR(__xludf.DUMMYFUNCTION("IMPORTRANGE(""https://docs.google.com/spreadsheets/d/1-uDff_7J0KD5mKrp0Vvzr7lt3OU09vwQwhkpOPPYv2Y/edit?usp=sharing"",""งบพรบ!IJ102"")"),0)</f>
        <v>0</v>
      </c>
      <c r="I102" s="74">
        <f ca="1">IFERROR(__xludf.DUMMYFUNCTION("IMPORTRANGE(""https://docs.google.com/spreadsheets/d/1-uDff_7J0KD5mKrp0Vvzr7lt3OU09vwQwhkpOPPYv2Y/edit?usp=sharing"",""งบพรบ!IK102"")"),0)</f>
        <v>0</v>
      </c>
      <c r="J102" s="74">
        <f t="shared" ca="1" si="57"/>
        <v>0</v>
      </c>
      <c r="K102" s="75">
        <f t="shared" ca="1" si="58"/>
        <v>0</v>
      </c>
      <c r="L102" s="74">
        <f ca="1">IFERROR(__xludf.DUMMYFUNCTION("IMPORTRANGE(""https://docs.google.com/spreadsheets/d/1-uDff_7J0KD5mKrp0Vvzr7lt3OU09vwQwhkpOPPYv2Y/edit?usp=sharing"",""งบพรบ!IL102"")"),0)</f>
        <v>0</v>
      </c>
      <c r="M102" s="76">
        <f t="shared" ca="1" si="59"/>
        <v>0</v>
      </c>
      <c r="N102" s="76">
        <f t="shared" ca="1" si="60"/>
        <v>0</v>
      </c>
      <c r="O102" s="452">
        <f ca="1">IFERROR(__xludf.DUMMYFUNCTION("IMPORTRANGE(""https://docs.google.com/spreadsheets/d/1-uDff_7J0KD5mKrp0Vvzr7lt3OU09vwQwhkpOPPYv2Y/edit?usp=sharing"",""งบพรบ!IM102"")"),0)</f>
        <v>0</v>
      </c>
      <c r="P102" s="77">
        <f t="shared" ca="1" si="61"/>
        <v>0</v>
      </c>
      <c r="Q102" s="76">
        <f t="shared" ca="1" si="62"/>
        <v>0</v>
      </c>
      <c r="R102" s="77">
        <v>0</v>
      </c>
      <c r="S102" s="77">
        <v>0</v>
      </c>
      <c r="T102" s="77">
        <v>0</v>
      </c>
      <c r="U102" s="76">
        <f t="shared" si="30"/>
        <v>0</v>
      </c>
      <c r="V102" s="76">
        <f t="shared" si="31"/>
        <v>0</v>
      </c>
      <c r="W102" s="74"/>
      <c r="X102" s="74"/>
      <c r="Y102" s="74"/>
      <c r="Z102" s="74"/>
      <c r="AA102" s="74"/>
      <c r="AB102" s="74"/>
      <c r="AC102" s="74"/>
      <c r="AD102" s="74"/>
      <c r="AE102" s="74"/>
    </row>
    <row r="103" spans="1:31" ht="19.5" x14ac:dyDescent="0.3">
      <c r="A103" s="105"/>
      <c r="B103" s="106" t="s">
        <v>131</v>
      </c>
      <c r="C103" s="173">
        <f t="shared" ca="1" si="55"/>
        <v>0</v>
      </c>
      <c r="D103" s="174">
        <f t="shared" ca="1" si="56"/>
        <v>0</v>
      </c>
      <c r="E103" s="74">
        <f ca="1">IFERROR(__xludf.DUMMYFUNCTION("IMPORTRANGE(""https://docs.google.com/spreadsheets/d/1-uDff_7J0KD5mKrp0Vvzr7lt3OU09vwQwhkpOPPYv2Y/edit?usp=sharing"",""งบพรบ!IF103"")"),0)</f>
        <v>0</v>
      </c>
      <c r="F103" s="74">
        <f ca="1">IFERROR(__xludf.DUMMYFUNCTION("IMPORTRANGE(""https://docs.google.com/spreadsheets/d/1-uDff_7J0KD5mKrp0Vvzr7lt3OU09vwQwhkpOPPYv2Y/edit?usp=sharing"",""งบพรบ!IG103"")"),0)</f>
        <v>0</v>
      </c>
      <c r="G103" s="74">
        <f ca="1">IFERROR(__xludf.DUMMYFUNCTION("IMPORTRANGE(""https://docs.google.com/spreadsheets/d/1-uDff_7J0KD5mKrp0Vvzr7lt3OU09vwQwhkpOPPYv2Y/edit?usp=sharing"",""งบพรบ!IH103"")"),0)</f>
        <v>0</v>
      </c>
      <c r="H103" s="74">
        <f ca="1">IFERROR(__xludf.DUMMYFUNCTION("IMPORTRANGE(""https://docs.google.com/spreadsheets/d/1-uDff_7J0KD5mKrp0Vvzr7lt3OU09vwQwhkpOPPYv2Y/edit?usp=sharing"",""งบพรบ!IJ103"")"),0)</f>
        <v>0</v>
      </c>
      <c r="I103" s="74">
        <f ca="1">IFERROR(__xludf.DUMMYFUNCTION("IMPORTRANGE(""https://docs.google.com/spreadsheets/d/1-uDff_7J0KD5mKrp0Vvzr7lt3OU09vwQwhkpOPPYv2Y/edit?usp=sharing"",""งบพรบ!IK103"")"),0)</f>
        <v>0</v>
      </c>
      <c r="J103" s="74">
        <f t="shared" ca="1" si="57"/>
        <v>0</v>
      </c>
      <c r="K103" s="75">
        <f t="shared" ca="1" si="58"/>
        <v>0</v>
      </c>
      <c r="L103" s="74">
        <f ca="1">IFERROR(__xludf.DUMMYFUNCTION("IMPORTRANGE(""https://docs.google.com/spreadsheets/d/1-uDff_7J0KD5mKrp0Vvzr7lt3OU09vwQwhkpOPPYv2Y/edit?usp=sharing"",""งบพรบ!IL103"")"),0)</f>
        <v>0</v>
      </c>
      <c r="M103" s="76">
        <f t="shared" ca="1" si="59"/>
        <v>0</v>
      </c>
      <c r="N103" s="76">
        <f t="shared" ca="1" si="60"/>
        <v>0</v>
      </c>
      <c r="O103" s="452">
        <f ca="1">IFERROR(__xludf.DUMMYFUNCTION("IMPORTRANGE(""https://docs.google.com/spreadsheets/d/1-uDff_7J0KD5mKrp0Vvzr7lt3OU09vwQwhkpOPPYv2Y/edit?usp=sharing"",""งบพรบ!IM103"")"),0)</f>
        <v>0</v>
      </c>
      <c r="P103" s="77">
        <f t="shared" ca="1" si="61"/>
        <v>0</v>
      </c>
      <c r="Q103" s="76">
        <f t="shared" ca="1" si="62"/>
        <v>0</v>
      </c>
      <c r="R103" s="107">
        <v>0</v>
      </c>
      <c r="S103" s="107">
        <v>0</v>
      </c>
      <c r="T103" s="107">
        <v>0</v>
      </c>
      <c r="U103" s="108">
        <f t="shared" si="30"/>
        <v>0</v>
      </c>
      <c r="V103" s="108">
        <f t="shared" si="31"/>
        <v>0</v>
      </c>
      <c r="W103" s="203"/>
      <c r="X103" s="203"/>
      <c r="Y103" s="203"/>
      <c r="Z103" s="203"/>
      <c r="AA103" s="74"/>
      <c r="AB103" s="74"/>
      <c r="AC103" s="74"/>
      <c r="AD103" s="74"/>
      <c r="AE103" s="74"/>
    </row>
    <row r="104" spans="1:31" ht="19.5" x14ac:dyDescent="0.3">
      <c r="A104" s="105"/>
      <c r="B104" s="106" t="s">
        <v>132</v>
      </c>
      <c r="C104" s="173">
        <f t="shared" ca="1" si="55"/>
        <v>733300</v>
      </c>
      <c r="D104" s="174">
        <f t="shared" ca="1" si="56"/>
        <v>733300</v>
      </c>
      <c r="E104" s="74">
        <f ca="1">IFERROR(__xludf.DUMMYFUNCTION("IMPORTRANGE(""https://docs.google.com/spreadsheets/d/1-uDff_7J0KD5mKrp0Vvzr7lt3OU09vwQwhkpOPPYv2Y/edit?usp=sharing"",""งบพรบ!IF104"")"),733300)</f>
        <v>733300</v>
      </c>
      <c r="F104" s="74">
        <f ca="1">IFERROR(__xludf.DUMMYFUNCTION("IMPORTRANGE(""https://docs.google.com/spreadsheets/d/1-uDff_7J0KD5mKrp0Vvzr7lt3OU09vwQwhkpOPPYv2Y/edit?usp=sharing"",""งบพรบ!IG104"")"),0)</f>
        <v>0</v>
      </c>
      <c r="G104" s="74">
        <f ca="1">IFERROR(__xludf.DUMMYFUNCTION("IMPORTRANGE(""https://docs.google.com/spreadsheets/d/1-uDff_7J0KD5mKrp0Vvzr7lt3OU09vwQwhkpOPPYv2Y/edit?usp=sharing"",""งบพรบ!IH104"")"),0)</f>
        <v>0</v>
      </c>
      <c r="H104" s="74">
        <f ca="1">IFERROR(__xludf.DUMMYFUNCTION("IMPORTRANGE(""https://docs.google.com/spreadsheets/d/1-uDff_7J0KD5mKrp0Vvzr7lt3OU09vwQwhkpOPPYv2Y/edit?usp=sharing"",""งบพรบ!IJ104"")"),0)</f>
        <v>0</v>
      </c>
      <c r="I104" s="74">
        <f ca="1">IFERROR(__xludf.DUMMYFUNCTION("IMPORTRANGE(""https://docs.google.com/spreadsheets/d/1-uDff_7J0KD5mKrp0Vvzr7lt3OU09vwQwhkpOPPYv2Y/edit?usp=sharing"",""งบพรบ!IK104"")"),0)</f>
        <v>0</v>
      </c>
      <c r="J104" s="74">
        <f t="shared" ca="1" si="57"/>
        <v>0</v>
      </c>
      <c r="K104" s="75">
        <f t="shared" ca="1" si="58"/>
        <v>0</v>
      </c>
      <c r="L104" s="74">
        <f ca="1">IFERROR(__xludf.DUMMYFUNCTION("IMPORTRANGE(""https://docs.google.com/spreadsheets/d/1-uDff_7J0KD5mKrp0Vvzr7lt3OU09vwQwhkpOPPYv2Y/edit?usp=sharing"",""งบพรบ!IL104"")"),0)</f>
        <v>0</v>
      </c>
      <c r="M104" s="76">
        <f t="shared" ca="1" si="59"/>
        <v>0</v>
      </c>
      <c r="N104" s="76">
        <f t="shared" ca="1" si="60"/>
        <v>0</v>
      </c>
      <c r="O104" s="452">
        <f ca="1">IFERROR(__xludf.DUMMYFUNCTION("IMPORTRANGE(""https://docs.google.com/spreadsheets/d/1-uDff_7J0KD5mKrp0Vvzr7lt3OU09vwQwhkpOPPYv2Y/edit?usp=sharing"",""งบพรบ!IM104"")"),0)</f>
        <v>0</v>
      </c>
      <c r="P104" s="77">
        <f t="shared" ca="1" si="61"/>
        <v>0</v>
      </c>
      <c r="Q104" s="76">
        <f t="shared" ca="1" si="62"/>
        <v>0</v>
      </c>
      <c r="R104" s="77">
        <v>0</v>
      </c>
      <c r="S104" s="77">
        <v>0</v>
      </c>
      <c r="T104" s="77">
        <v>0</v>
      </c>
      <c r="U104" s="76">
        <f t="shared" si="30"/>
        <v>0</v>
      </c>
      <c r="V104" s="76">
        <f t="shared" si="31"/>
        <v>0</v>
      </c>
      <c r="W104" s="74"/>
      <c r="X104" s="74"/>
      <c r="Y104" s="74"/>
      <c r="Z104" s="74"/>
      <c r="AA104" s="74"/>
      <c r="AB104" s="74"/>
      <c r="AC104" s="74"/>
      <c r="AD104" s="74"/>
      <c r="AE104" s="74"/>
    </row>
    <row r="105" spans="1:31" ht="19.5" x14ac:dyDescent="0.3">
      <c r="A105" s="105"/>
      <c r="B105" s="109" t="s">
        <v>133</v>
      </c>
      <c r="C105" s="173">
        <f t="shared" ca="1" si="55"/>
        <v>0</v>
      </c>
      <c r="D105" s="174">
        <f t="shared" ca="1" si="56"/>
        <v>0</v>
      </c>
      <c r="E105" s="74">
        <f ca="1">IFERROR(__xludf.DUMMYFUNCTION("IMPORTRANGE(""https://docs.google.com/spreadsheets/d/1-uDff_7J0KD5mKrp0Vvzr7lt3OU09vwQwhkpOPPYv2Y/edit?usp=sharing"",""งบพรบ!IF105"")"),0)</f>
        <v>0</v>
      </c>
      <c r="F105" s="74">
        <f ca="1">IFERROR(__xludf.DUMMYFUNCTION("IMPORTRANGE(""https://docs.google.com/spreadsheets/d/1-uDff_7J0KD5mKrp0Vvzr7lt3OU09vwQwhkpOPPYv2Y/edit?usp=sharing"",""งบพรบ!IG105"")"),0)</f>
        <v>0</v>
      </c>
      <c r="G105" s="74">
        <f ca="1">IFERROR(__xludf.DUMMYFUNCTION("IMPORTRANGE(""https://docs.google.com/spreadsheets/d/1-uDff_7J0KD5mKrp0Vvzr7lt3OU09vwQwhkpOPPYv2Y/edit?usp=sharing"",""งบพรบ!IH105"")"),0)</f>
        <v>0</v>
      </c>
      <c r="H105" s="74">
        <f ca="1">IFERROR(__xludf.DUMMYFUNCTION("IMPORTRANGE(""https://docs.google.com/spreadsheets/d/1-uDff_7J0KD5mKrp0Vvzr7lt3OU09vwQwhkpOPPYv2Y/edit?usp=sharing"",""งบพรบ!IJ105"")"),0)</f>
        <v>0</v>
      </c>
      <c r="I105" s="74">
        <f ca="1">IFERROR(__xludf.DUMMYFUNCTION("IMPORTRANGE(""https://docs.google.com/spreadsheets/d/1-uDff_7J0KD5mKrp0Vvzr7lt3OU09vwQwhkpOPPYv2Y/edit?usp=sharing"",""งบพรบ!IK105"")"),0)</f>
        <v>0</v>
      </c>
      <c r="J105" s="74">
        <f t="shared" ca="1" si="57"/>
        <v>0</v>
      </c>
      <c r="K105" s="75">
        <f t="shared" ca="1" si="58"/>
        <v>0</v>
      </c>
      <c r="L105" s="74">
        <f ca="1">IFERROR(__xludf.DUMMYFUNCTION("IMPORTRANGE(""https://docs.google.com/spreadsheets/d/1-uDff_7J0KD5mKrp0Vvzr7lt3OU09vwQwhkpOPPYv2Y/edit?usp=sharing"",""งบพรบ!IL105"")"),0)</f>
        <v>0</v>
      </c>
      <c r="M105" s="76">
        <f t="shared" ca="1" si="59"/>
        <v>0</v>
      </c>
      <c r="N105" s="76">
        <f t="shared" ca="1" si="60"/>
        <v>0</v>
      </c>
      <c r="O105" s="452">
        <f ca="1">IFERROR(__xludf.DUMMYFUNCTION("IMPORTRANGE(""https://docs.google.com/spreadsheets/d/1-uDff_7J0KD5mKrp0Vvzr7lt3OU09vwQwhkpOPPYv2Y/edit?usp=sharing"",""งบพรบ!IM105"")"),0)</f>
        <v>0</v>
      </c>
      <c r="P105" s="77">
        <f t="shared" ca="1" si="61"/>
        <v>0</v>
      </c>
      <c r="Q105" s="76">
        <f t="shared" ca="1" si="62"/>
        <v>0</v>
      </c>
      <c r="R105" s="110">
        <v>0</v>
      </c>
      <c r="S105" s="110">
        <v>0</v>
      </c>
      <c r="T105" s="110">
        <v>0</v>
      </c>
      <c r="U105" s="111">
        <f t="shared" si="30"/>
        <v>0</v>
      </c>
      <c r="V105" s="111">
        <f t="shared" si="31"/>
        <v>0</v>
      </c>
      <c r="W105" s="100"/>
      <c r="X105" s="100"/>
      <c r="Y105" s="100"/>
      <c r="Z105" s="100"/>
      <c r="AA105" s="74"/>
      <c r="AB105" s="74"/>
      <c r="AC105" s="74"/>
      <c r="AD105" s="74"/>
      <c r="AE105" s="74"/>
    </row>
    <row r="106" spans="1:31" ht="19.5" x14ac:dyDescent="0.3">
      <c r="A106" s="105"/>
      <c r="B106" s="109" t="s">
        <v>134</v>
      </c>
      <c r="C106" s="173">
        <f t="shared" ca="1" si="55"/>
        <v>0</v>
      </c>
      <c r="D106" s="174">
        <f t="shared" ca="1" si="56"/>
        <v>0</v>
      </c>
      <c r="E106" s="74">
        <f ca="1">IFERROR(__xludf.DUMMYFUNCTION("IMPORTRANGE(""https://docs.google.com/spreadsheets/d/1-uDff_7J0KD5mKrp0Vvzr7lt3OU09vwQwhkpOPPYv2Y/edit?usp=sharing"",""งบพรบ!IF106"")"),0)</f>
        <v>0</v>
      </c>
      <c r="F106" s="74">
        <f ca="1">IFERROR(__xludf.DUMMYFUNCTION("IMPORTRANGE(""https://docs.google.com/spreadsheets/d/1-uDff_7J0KD5mKrp0Vvzr7lt3OU09vwQwhkpOPPYv2Y/edit?usp=sharing"",""งบพรบ!IG106"")"),0)</f>
        <v>0</v>
      </c>
      <c r="G106" s="74">
        <f ca="1">IFERROR(__xludf.DUMMYFUNCTION("IMPORTRANGE(""https://docs.google.com/spreadsheets/d/1-uDff_7J0KD5mKrp0Vvzr7lt3OU09vwQwhkpOPPYv2Y/edit?usp=sharing"",""งบพรบ!IH106"")"),0)</f>
        <v>0</v>
      </c>
      <c r="H106" s="74">
        <f ca="1">IFERROR(__xludf.DUMMYFUNCTION("IMPORTRANGE(""https://docs.google.com/spreadsheets/d/1-uDff_7J0KD5mKrp0Vvzr7lt3OU09vwQwhkpOPPYv2Y/edit?usp=sharing"",""งบพรบ!IJ106"")"),0)</f>
        <v>0</v>
      </c>
      <c r="I106" s="74">
        <f ca="1">IFERROR(__xludf.DUMMYFUNCTION("IMPORTRANGE(""https://docs.google.com/spreadsheets/d/1-uDff_7J0KD5mKrp0Vvzr7lt3OU09vwQwhkpOPPYv2Y/edit?usp=sharing"",""งบพรบ!IK106"")"),0)</f>
        <v>0</v>
      </c>
      <c r="J106" s="74">
        <f t="shared" ca="1" si="57"/>
        <v>0</v>
      </c>
      <c r="K106" s="75">
        <f t="shared" ca="1" si="58"/>
        <v>0</v>
      </c>
      <c r="L106" s="74">
        <f ca="1">IFERROR(__xludf.DUMMYFUNCTION("IMPORTRANGE(""https://docs.google.com/spreadsheets/d/1-uDff_7J0KD5mKrp0Vvzr7lt3OU09vwQwhkpOPPYv2Y/edit?usp=sharing"",""งบพรบ!IL106"")"),0)</f>
        <v>0</v>
      </c>
      <c r="M106" s="76">
        <f t="shared" ca="1" si="59"/>
        <v>0</v>
      </c>
      <c r="N106" s="76">
        <f t="shared" ca="1" si="60"/>
        <v>0</v>
      </c>
      <c r="O106" s="452">
        <f ca="1">IFERROR(__xludf.DUMMYFUNCTION("IMPORTRANGE(""https://docs.google.com/spreadsheets/d/1-uDff_7J0KD5mKrp0Vvzr7lt3OU09vwQwhkpOPPYv2Y/edit?usp=sharing"",""งบพรบ!IM106"")"),0)</f>
        <v>0</v>
      </c>
      <c r="P106" s="77">
        <f t="shared" ca="1" si="61"/>
        <v>0</v>
      </c>
      <c r="Q106" s="76">
        <f t="shared" ca="1" si="62"/>
        <v>0</v>
      </c>
      <c r="R106" s="77">
        <v>0</v>
      </c>
      <c r="S106" s="77">
        <v>0</v>
      </c>
      <c r="T106" s="77">
        <v>0</v>
      </c>
      <c r="U106" s="76">
        <f t="shared" si="30"/>
        <v>0</v>
      </c>
      <c r="V106" s="76">
        <f t="shared" si="31"/>
        <v>0</v>
      </c>
      <c r="W106" s="74"/>
      <c r="X106" s="74"/>
      <c r="Y106" s="74"/>
      <c r="Z106" s="74"/>
      <c r="AA106" s="74"/>
      <c r="AB106" s="74"/>
      <c r="AC106" s="74"/>
      <c r="AD106" s="74"/>
      <c r="AE106" s="74"/>
    </row>
    <row r="107" spans="1:31" ht="19.5" x14ac:dyDescent="0.3">
      <c r="A107" s="105"/>
      <c r="B107" s="109" t="s">
        <v>26</v>
      </c>
      <c r="C107" s="173">
        <f t="shared" ca="1" si="55"/>
        <v>0</v>
      </c>
      <c r="D107" s="174">
        <f t="shared" ca="1" si="56"/>
        <v>0</v>
      </c>
      <c r="E107" s="74">
        <f ca="1">IFERROR(__xludf.DUMMYFUNCTION("IMPORTRANGE(""https://docs.google.com/spreadsheets/d/1-uDff_7J0KD5mKrp0Vvzr7lt3OU09vwQwhkpOPPYv2Y/edit?usp=sharing"",""งบพรบ!IF107"")"),0)</f>
        <v>0</v>
      </c>
      <c r="F107" s="74">
        <f ca="1">IFERROR(__xludf.DUMMYFUNCTION("IMPORTRANGE(""https://docs.google.com/spreadsheets/d/1-uDff_7J0KD5mKrp0Vvzr7lt3OU09vwQwhkpOPPYv2Y/edit?usp=sharing"",""งบพรบ!IG107"")"),0)</f>
        <v>0</v>
      </c>
      <c r="G107" s="74">
        <f ca="1">IFERROR(__xludf.DUMMYFUNCTION("IMPORTRANGE(""https://docs.google.com/spreadsheets/d/1-uDff_7J0KD5mKrp0Vvzr7lt3OU09vwQwhkpOPPYv2Y/edit?usp=sharing"",""งบพรบ!IH107"")"),0)</f>
        <v>0</v>
      </c>
      <c r="H107" s="74">
        <f ca="1">IFERROR(__xludf.DUMMYFUNCTION("IMPORTRANGE(""https://docs.google.com/spreadsheets/d/1-uDff_7J0KD5mKrp0Vvzr7lt3OU09vwQwhkpOPPYv2Y/edit?usp=sharing"",""งบพรบ!IJ107"")"),0)</f>
        <v>0</v>
      </c>
      <c r="I107" s="74">
        <f ca="1">IFERROR(__xludf.DUMMYFUNCTION("IMPORTRANGE(""https://docs.google.com/spreadsheets/d/1-uDff_7J0KD5mKrp0Vvzr7lt3OU09vwQwhkpOPPYv2Y/edit?usp=sharing"",""งบพรบ!IK107"")"),0)</f>
        <v>0</v>
      </c>
      <c r="J107" s="74">
        <f t="shared" ca="1" si="57"/>
        <v>0</v>
      </c>
      <c r="K107" s="75">
        <f t="shared" ca="1" si="58"/>
        <v>0</v>
      </c>
      <c r="L107" s="74">
        <f ca="1">IFERROR(__xludf.DUMMYFUNCTION("IMPORTRANGE(""https://docs.google.com/spreadsheets/d/1-uDff_7J0KD5mKrp0Vvzr7lt3OU09vwQwhkpOPPYv2Y/edit?usp=sharing"",""งบพรบ!IL107"")"),0)</f>
        <v>0</v>
      </c>
      <c r="M107" s="76">
        <f t="shared" ca="1" si="59"/>
        <v>0</v>
      </c>
      <c r="N107" s="76">
        <f t="shared" ca="1" si="60"/>
        <v>0</v>
      </c>
      <c r="O107" s="452">
        <f ca="1">IFERROR(__xludf.DUMMYFUNCTION("IMPORTRANGE(""https://docs.google.com/spreadsheets/d/1-uDff_7J0KD5mKrp0Vvzr7lt3OU09vwQwhkpOPPYv2Y/edit?usp=sharing"",""งบพรบ!IM107"")"),0)</f>
        <v>0</v>
      </c>
      <c r="P107" s="77">
        <f t="shared" ca="1" si="61"/>
        <v>0</v>
      </c>
      <c r="Q107" s="76">
        <f t="shared" ca="1" si="62"/>
        <v>0</v>
      </c>
      <c r="R107" s="77">
        <v>0</v>
      </c>
      <c r="S107" s="77">
        <v>0</v>
      </c>
      <c r="T107" s="77">
        <v>0</v>
      </c>
      <c r="U107" s="76">
        <f t="shared" si="30"/>
        <v>0</v>
      </c>
      <c r="V107" s="76">
        <f t="shared" si="31"/>
        <v>0</v>
      </c>
      <c r="W107" s="74"/>
      <c r="X107" s="74"/>
      <c r="Y107" s="74"/>
      <c r="Z107" s="74"/>
      <c r="AA107" s="74"/>
      <c r="AB107" s="74"/>
      <c r="AC107" s="74"/>
      <c r="AD107" s="74"/>
      <c r="AE107" s="74"/>
    </row>
    <row r="108" spans="1:31" ht="19.5" x14ac:dyDescent="0.3">
      <c r="A108" s="112"/>
      <c r="B108" s="113" t="s">
        <v>135</v>
      </c>
      <c r="C108" s="193">
        <f t="shared" ca="1" si="55"/>
        <v>0</v>
      </c>
      <c r="D108" s="194">
        <f t="shared" ca="1" si="56"/>
        <v>0</v>
      </c>
      <c r="E108" s="84">
        <f ca="1">IFERROR(__xludf.DUMMYFUNCTION("IMPORTRANGE(""https://docs.google.com/spreadsheets/d/1-uDff_7J0KD5mKrp0Vvzr7lt3OU09vwQwhkpOPPYv2Y/edit?usp=sharing"",""งบพรบ!IF108"")"),0)</f>
        <v>0</v>
      </c>
      <c r="F108" s="84">
        <f ca="1">IFERROR(__xludf.DUMMYFUNCTION("IMPORTRANGE(""https://docs.google.com/spreadsheets/d/1-uDff_7J0KD5mKrp0Vvzr7lt3OU09vwQwhkpOPPYv2Y/edit?usp=sharing"",""งบพรบ!IG108"")"),0)</f>
        <v>0</v>
      </c>
      <c r="G108" s="84">
        <f ca="1">IFERROR(__xludf.DUMMYFUNCTION("IMPORTRANGE(""https://docs.google.com/spreadsheets/d/1-uDff_7J0KD5mKrp0Vvzr7lt3OU09vwQwhkpOPPYv2Y/edit?usp=sharing"",""งบพรบ!IH108"")"),0)</f>
        <v>0</v>
      </c>
      <c r="H108" s="84">
        <f ca="1">IFERROR(__xludf.DUMMYFUNCTION("IMPORTRANGE(""https://docs.google.com/spreadsheets/d/1-uDff_7J0KD5mKrp0Vvzr7lt3OU09vwQwhkpOPPYv2Y/edit?usp=sharing"",""งบพรบ!IJ108"")"),0)</f>
        <v>0</v>
      </c>
      <c r="I108" s="84">
        <f ca="1">IFERROR(__xludf.DUMMYFUNCTION("IMPORTRANGE(""https://docs.google.com/spreadsheets/d/1-uDff_7J0KD5mKrp0Vvzr7lt3OU09vwQwhkpOPPYv2Y/edit?usp=sharing"",""งบพรบ!IK108"")"),0)</f>
        <v>0</v>
      </c>
      <c r="J108" s="84">
        <f t="shared" ca="1" si="57"/>
        <v>0</v>
      </c>
      <c r="K108" s="85">
        <f t="shared" ca="1" si="58"/>
        <v>0</v>
      </c>
      <c r="L108" s="84">
        <f ca="1">IFERROR(__xludf.DUMMYFUNCTION("IMPORTRANGE(""https://docs.google.com/spreadsheets/d/1-uDff_7J0KD5mKrp0Vvzr7lt3OU09vwQwhkpOPPYv2Y/edit?usp=sharing"",""งบพรบ!IL108"")"),0)</f>
        <v>0</v>
      </c>
      <c r="M108" s="86">
        <f t="shared" ca="1" si="59"/>
        <v>0</v>
      </c>
      <c r="N108" s="86">
        <f t="shared" ca="1" si="60"/>
        <v>0</v>
      </c>
      <c r="O108" s="453">
        <f ca="1">IFERROR(__xludf.DUMMYFUNCTION("IMPORTRANGE(""https://docs.google.com/spreadsheets/d/1-uDff_7J0KD5mKrp0Vvzr7lt3OU09vwQwhkpOPPYv2Y/edit?usp=sharing"",""งบพรบ!IM108"")"),0)</f>
        <v>0</v>
      </c>
      <c r="P108" s="87">
        <f t="shared" ca="1" si="61"/>
        <v>0</v>
      </c>
      <c r="Q108" s="86">
        <f t="shared" ca="1" si="62"/>
        <v>0</v>
      </c>
      <c r="R108" s="87">
        <v>0</v>
      </c>
      <c r="S108" s="87">
        <v>0</v>
      </c>
      <c r="T108" s="87">
        <v>0</v>
      </c>
      <c r="U108" s="86">
        <f t="shared" si="30"/>
        <v>0</v>
      </c>
      <c r="V108" s="86">
        <f t="shared" si="31"/>
        <v>0</v>
      </c>
      <c r="W108" s="84"/>
      <c r="X108" s="84"/>
      <c r="Y108" s="84"/>
      <c r="Z108" s="84"/>
      <c r="AA108" s="84"/>
      <c r="AB108" s="84"/>
      <c r="AC108" s="84"/>
      <c r="AD108" s="84"/>
      <c r="AE108" s="84"/>
    </row>
  </sheetData>
  <mergeCells count="36">
    <mergeCell ref="Z4:AB4"/>
    <mergeCell ref="AC4:AE4"/>
    <mergeCell ref="C5:C6"/>
    <mergeCell ref="D5:D6"/>
    <mergeCell ref="E5:E6"/>
    <mergeCell ref="F5:F6"/>
    <mergeCell ref="G5:G6"/>
    <mergeCell ref="H5:H6"/>
    <mergeCell ref="A89:B89"/>
    <mergeCell ref="L5:N5"/>
    <mergeCell ref="O5:Q5"/>
    <mergeCell ref="AA5:AB5"/>
    <mergeCell ref="AD5:AE5"/>
    <mergeCell ref="A2:B6"/>
    <mergeCell ref="C2:V2"/>
    <mergeCell ref="W2:AE2"/>
    <mergeCell ref="C3:Q3"/>
    <mergeCell ref="R3:V3"/>
    <mergeCell ref="W3:AE3"/>
    <mergeCell ref="C4:G4"/>
    <mergeCell ref="H4:I4"/>
    <mergeCell ref="J4:Q4"/>
    <mergeCell ref="R4:R6"/>
    <mergeCell ref="S4:S6"/>
    <mergeCell ref="A7:B7"/>
    <mergeCell ref="A13:B13"/>
    <mergeCell ref="A31:B31"/>
    <mergeCell ref="A52:B52"/>
    <mergeCell ref="A74:B74"/>
    <mergeCell ref="V4:V6"/>
    <mergeCell ref="W4:Y4"/>
    <mergeCell ref="X5:Y5"/>
    <mergeCell ref="I5:I6"/>
    <mergeCell ref="J5:K5"/>
    <mergeCell ref="T4:T6"/>
    <mergeCell ref="U4:U6"/>
  </mergeCells>
  <conditionalFormatting sqref="K14:K30 K32:K51 K53:K73 K75:K88 K90:K100 K102:K108">
    <cfRule type="colorScale" priority="3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K101">
    <cfRule type="colorScale" priority="2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U14:U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Y14:Y30 Y32:Y51 Y53:Y73 Y75:Y88">
    <cfRule type="colorScale" priority="4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FF00"/>
    <outlinePr summaryBelow="0" summaryRight="0"/>
  </sheetPr>
  <dimension ref="A1:AT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8" max="8" width="15.5703125" customWidth="1"/>
    <col min="18" max="18" width="18.7109375" customWidth="1"/>
    <col min="19" max="19" width="17.28515625" customWidth="1"/>
    <col min="20" max="20" width="15.28515625" customWidth="1"/>
    <col min="23" max="46" width="11.42578125" customWidth="1"/>
  </cols>
  <sheetData>
    <row r="1" spans="1:46" ht="19.5" x14ac:dyDescent="0.3">
      <c r="A1" s="234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7"/>
      <c r="S1" s="117"/>
      <c r="T1" s="117"/>
      <c r="U1" s="117"/>
      <c r="V1" s="117"/>
      <c r="W1" s="114"/>
      <c r="X1" s="114"/>
      <c r="Y1" s="116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114"/>
      <c r="AM1" s="114"/>
      <c r="AN1" s="116"/>
      <c r="AO1" s="339"/>
      <c r="AP1" s="339"/>
      <c r="AQ1" s="339"/>
      <c r="AR1" s="339"/>
      <c r="AS1" s="339"/>
      <c r="AT1" s="339"/>
    </row>
    <row r="2" spans="1:46" ht="30" customHeight="1" x14ac:dyDescent="0.2">
      <c r="A2" s="692" t="s">
        <v>1</v>
      </c>
      <c r="B2" s="658"/>
      <c r="C2" s="689" t="s">
        <v>248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89" t="s">
        <v>249</v>
      </c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6"/>
      <c r="AR2" s="646"/>
      <c r="AS2" s="646"/>
      <c r="AT2" s="647"/>
    </row>
    <row r="3" spans="1:46" ht="30" customHeight="1" x14ac:dyDescent="0.2">
      <c r="A3" s="659"/>
      <c r="B3" s="660"/>
      <c r="C3" s="717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09" t="s">
        <v>5</v>
      </c>
      <c r="S3" s="646"/>
      <c r="T3" s="646"/>
      <c r="U3" s="646"/>
      <c r="V3" s="647"/>
      <c r="W3" s="687" t="s">
        <v>250</v>
      </c>
      <c r="X3" s="674"/>
      <c r="Y3" s="658"/>
      <c r="Z3" s="687" t="s">
        <v>251</v>
      </c>
      <c r="AA3" s="674"/>
      <c r="AB3" s="674"/>
      <c r="AC3" s="674"/>
      <c r="AD3" s="674"/>
      <c r="AE3" s="658"/>
      <c r="AF3" s="687" t="s">
        <v>252</v>
      </c>
      <c r="AG3" s="674"/>
      <c r="AH3" s="674"/>
      <c r="AI3" s="674"/>
      <c r="AJ3" s="674"/>
      <c r="AK3" s="658"/>
      <c r="AL3" s="687" t="s">
        <v>253</v>
      </c>
      <c r="AM3" s="674"/>
      <c r="AN3" s="658"/>
      <c r="AO3" s="687" t="s">
        <v>254</v>
      </c>
      <c r="AP3" s="674"/>
      <c r="AQ3" s="674"/>
      <c r="AR3" s="674"/>
      <c r="AS3" s="674"/>
      <c r="AT3" s="658"/>
    </row>
    <row r="4" spans="1:46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782" t="s">
        <v>11</v>
      </c>
      <c r="S4" s="703" t="s">
        <v>12</v>
      </c>
      <c r="T4" s="783" t="s">
        <v>13</v>
      </c>
      <c r="U4" s="710" t="s">
        <v>14</v>
      </c>
      <c r="V4" s="710" t="s">
        <v>15</v>
      </c>
      <c r="W4" s="661"/>
      <c r="X4" s="675"/>
      <c r="Y4" s="662"/>
      <c r="Z4" s="661"/>
      <c r="AA4" s="675"/>
      <c r="AB4" s="675"/>
      <c r="AC4" s="675"/>
      <c r="AD4" s="675"/>
      <c r="AE4" s="662"/>
      <c r="AF4" s="661"/>
      <c r="AG4" s="675"/>
      <c r="AH4" s="675"/>
      <c r="AI4" s="675"/>
      <c r="AJ4" s="675"/>
      <c r="AK4" s="662"/>
      <c r="AL4" s="661"/>
      <c r="AM4" s="675"/>
      <c r="AN4" s="662"/>
      <c r="AO4" s="661"/>
      <c r="AP4" s="675"/>
      <c r="AQ4" s="675"/>
      <c r="AR4" s="675"/>
      <c r="AS4" s="675"/>
      <c r="AT4" s="662"/>
    </row>
    <row r="5" spans="1:46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649"/>
      <c r="S5" s="649"/>
      <c r="T5" s="649"/>
      <c r="U5" s="649"/>
      <c r="V5" s="649"/>
      <c r="W5" s="119" t="s">
        <v>28</v>
      </c>
      <c r="X5" s="780" t="s">
        <v>29</v>
      </c>
      <c r="Y5" s="647"/>
      <c r="Z5" s="781" t="s">
        <v>28</v>
      </c>
      <c r="AA5" s="647"/>
      <c r="AB5" s="780" t="s">
        <v>29</v>
      </c>
      <c r="AC5" s="646"/>
      <c r="AD5" s="646"/>
      <c r="AE5" s="647"/>
      <c r="AF5" s="781" t="s">
        <v>28</v>
      </c>
      <c r="AG5" s="647"/>
      <c r="AH5" s="780" t="s">
        <v>29</v>
      </c>
      <c r="AI5" s="646"/>
      <c r="AJ5" s="646"/>
      <c r="AK5" s="647"/>
      <c r="AL5" s="119" t="s">
        <v>28</v>
      </c>
      <c r="AM5" s="780" t="s">
        <v>29</v>
      </c>
      <c r="AN5" s="647"/>
      <c r="AO5" s="781" t="s">
        <v>28</v>
      </c>
      <c r="AP5" s="647"/>
      <c r="AQ5" s="780" t="s">
        <v>29</v>
      </c>
      <c r="AR5" s="646"/>
      <c r="AS5" s="646"/>
      <c r="AT5" s="647"/>
    </row>
    <row r="6" spans="1:46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650"/>
      <c r="S6" s="650"/>
      <c r="T6" s="650"/>
      <c r="U6" s="650"/>
      <c r="V6" s="650"/>
      <c r="W6" s="119" t="s">
        <v>153</v>
      </c>
      <c r="X6" s="180" t="s">
        <v>153</v>
      </c>
      <c r="Y6" s="210" t="s">
        <v>31</v>
      </c>
      <c r="Z6" s="119" t="s">
        <v>153</v>
      </c>
      <c r="AA6" s="119" t="s">
        <v>140</v>
      </c>
      <c r="AB6" s="180" t="s">
        <v>153</v>
      </c>
      <c r="AC6" s="210" t="s">
        <v>31</v>
      </c>
      <c r="AD6" s="180" t="s">
        <v>140</v>
      </c>
      <c r="AE6" s="210" t="s">
        <v>31</v>
      </c>
      <c r="AF6" s="119" t="s">
        <v>153</v>
      </c>
      <c r="AG6" s="119" t="s">
        <v>34</v>
      </c>
      <c r="AH6" s="180" t="s">
        <v>153</v>
      </c>
      <c r="AI6" s="210" t="s">
        <v>31</v>
      </c>
      <c r="AJ6" s="180" t="s">
        <v>34</v>
      </c>
      <c r="AK6" s="210" t="s">
        <v>31</v>
      </c>
      <c r="AL6" s="119" t="s">
        <v>153</v>
      </c>
      <c r="AM6" s="180" t="s">
        <v>153</v>
      </c>
      <c r="AN6" s="210" t="s">
        <v>31</v>
      </c>
      <c r="AO6" s="119" t="s">
        <v>153</v>
      </c>
      <c r="AP6" s="119" t="s">
        <v>255</v>
      </c>
      <c r="AQ6" s="180" t="s">
        <v>153</v>
      </c>
      <c r="AR6" s="210" t="s">
        <v>31</v>
      </c>
      <c r="AS6" s="180" t="s">
        <v>255</v>
      </c>
      <c r="AT6" s="210" t="s">
        <v>31</v>
      </c>
    </row>
    <row r="7" spans="1:46" ht="19.5" x14ac:dyDescent="0.3">
      <c r="A7" s="694" t="s">
        <v>38</v>
      </c>
      <c r="B7" s="647"/>
      <c r="C7" s="454">
        <f t="shared" ref="C7:C9" ca="1" si="0">D7+G7</f>
        <v>28900</v>
      </c>
      <c r="D7" s="455">
        <f t="shared" ref="D7:E7" ca="1" si="1">D8+D9+D12</f>
        <v>28900</v>
      </c>
      <c r="E7" s="456">
        <f t="shared" si="1"/>
        <v>0</v>
      </c>
      <c r="F7" s="457">
        <f ca="1">F8+F9</f>
        <v>28900</v>
      </c>
      <c r="G7" s="458">
        <f t="shared" ref="G7:I7" si="2">G8+G9+G12</f>
        <v>0</v>
      </c>
      <c r="H7" s="459">
        <f t="shared" ca="1" si="2"/>
        <v>28900</v>
      </c>
      <c r="I7" s="459">
        <f t="shared" si="2"/>
        <v>0</v>
      </c>
      <c r="J7" s="460">
        <f t="shared" ref="J7:J9" ca="1" si="3">L7+O7</f>
        <v>28778.720000000001</v>
      </c>
      <c r="K7" s="461">
        <f t="shared" ref="K7:K9" ca="1" si="4">IF(C7&gt;0,J7*100/C7,0)</f>
        <v>99.58034602076124</v>
      </c>
      <c r="L7" s="460">
        <f ca="1">L8+L9+L12</f>
        <v>28778.720000000001</v>
      </c>
      <c r="M7" s="462">
        <f t="shared" ref="M7:M9" ca="1" si="5">IF(D7&gt;0,L7*100/D7,0)</f>
        <v>99.58034602076124</v>
      </c>
      <c r="N7" s="462">
        <f t="shared" ref="N7:N9" ca="1" si="6">IF(H7&gt;0,L7*100/H7,0)</f>
        <v>99.58034602076124</v>
      </c>
      <c r="O7" s="463">
        <f>O8+O9+O12</f>
        <v>0</v>
      </c>
      <c r="P7" s="463">
        <f t="shared" ref="P7:P9" si="7">IF(G7&gt;0,O7*100/G7,0)</f>
        <v>0</v>
      </c>
      <c r="Q7" s="462">
        <f t="shared" ref="Q7:Q9" si="8">IF(I7&gt;0,O7*100/I7,0)</f>
        <v>0</v>
      </c>
      <c r="R7" s="463">
        <f t="shared" ref="R7:T7" ca="1" si="9">R8+R9</f>
        <v>2200990</v>
      </c>
      <c r="S7" s="462">
        <f t="shared" ca="1" si="9"/>
        <v>2200990</v>
      </c>
      <c r="T7" s="463">
        <f t="shared" ca="1" si="9"/>
        <v>1374149</v>
      </c>
      <c r="U7" s="462">
        <f t="shared" ref="U7:U9" ca="1" si="10">IF(R7&gt;0,T7*100/R7,0)</f>
        <v>62.433223231364067</v>
      </c>
      <c r="V7" s="462">
        <f t="shared" ref="V7:V9" ca="1" si="11">IF(S7&gt;0,T7*100/S7,0)</f>
        <v>62.433223231364067</v>
      </c>
      <c r="W7" s="211">
        <f t="shared" ref="W7:X7" ca="1" si="12">W9</f>
        <v>43</v>
      </c>
      <c r="X7" s="212">
        <f t="shared" ca="1" si="12"/>
        <v>22</v>
      </c>
      <c r="Y7" s="213">
        <f t="shared" ref="Y7:Y9" ca="1" si="13">IF(W7&gt;0,X7*100/W7,0)</f>
        <v>51.162790697674417</v>
      </c>
      <c r="Z7" s="211">
        <f t="shared" ref="Z7:AB7" ca="1" si="14">Z9</f>
        <v>8</v>
      </c>
      <c r="AA7" s="211">
        <f t="shared" ca="1" si="14"/>
        <v>90494</v>
      </c>
      <c r="AB7" s="212">
        <f t="shared" ca="1" si="14"/>
        <v>6</v>
      </c>
      <c r="AC7" s="213">
        <f t="shared" ref="AC7:AC9" ca="1" si="15">IF(Z7&gt;0,AB7*100/Z7,0)</f>
        <v>75</v>
      </c>
      <c r="AD7" s="212">
        <f ca="1">AD9</f>
        <v>60743</v>
      </c>
      <c r="AE7" s="213">
        <f t="shared" ref="AE7:AE9" ca="1" si="16">IF(AB7&gt;0,AD7*100/AB7,0)</f>
        <v>1012383.3333333334</v>
      </c>
      <c r="AF7" s="211">
        <f t="shared" ref="AF7:AH7" ca="1" si="17">AF9</f>
        <v>10</v>
      </c>
      <c r="AG7" s="211">
        <f t="shared" ca="1" si="17"/>
        <v>10</v>
      </c>
      <c r="AH7" s="212">
        <f t="shared" ca="1" si="17"/>
        <v>1</v>
      </c>
      <c r="AI7" s="213">
        <f t="shared" ref="AI7:AI9" ca="1" si="18">IF(AF7&gt;0,AH7*100/AF7,0)</f>
        <v>10</v>
      </c>
      <c r="AJ7" s="212">
        <f ca="1">AJ9</f>
        <v>1</v>
      </c>
      <c r="AK7" s="213">
        <f t="shared" ref="AK7:AK9" ca="1" si="19">IF(AH7&gt;0,AJ7*100/AH7,0)</f>
        <v>100</v>
      </c>
      <c r="AL7" s="211">
        <f t="shared" ref="AL7:AM7" ca="1" si="20">AL9</f>
        <v>18</v>
      </c>
      <c r="AM7" s="212">
        <f t="shared" ca="1" si="20"/>
        <v>10</v>
      </c>
      <c r="AN7" s="213">
        <f t="shared" ref="AN7:AN9" ca="1" si="21">IF(AL7&gt;0,AM7*100/AL7,0)</f>
        <v>55.555555555555557</v>
      </c>
      <c r="AO7" s="211">
        <f t="shared" ref="AO7:AQ7" ca="1" si="22">AO9</f>
        <v>7</v>
      </c>
      <c r="AP7" s="211">
        <f t="shared" ca="1" si="22"/>
        <v>37.155000000000001</v>
      </c>
      <c r="AQ7" s="212">
        <f t="shared" ca="1" si="22"/>
        <v>5</v>
      </c>
      <c r="AR7" s="213">
        <f t="shared" ref="AR7:AR9" ca="1" si="23">IF(AO7&gt;0,AQ7*100/AO7,0)</f>
        <v>71.428571428571431</v>
      </c>
      <c r="AS7" s="212">
        <f ca="1">AS9</f>
        <v>28.515000000000001</v>
      </c>
      <c r="AT7" s="213">
        <f t="shared" ref="AT7:AT9" ca="1" si="24">IF(AQ7&gt;0,AS7*100/AQ7,0)</f>
        <v>570.29999999999995</v>
      </c>
    </row>
    <row r="8" spans="1:46" ht="19.5" x14ac:dyDescent="0.3">
      <c r="A8" s="134" t="s">
        <v>39</v>
      </c>
      <c r="B8" s="135"/>
      <c r="C8" s="464">
        <f t="shared" si="0"/>
        <v>0</v>
      </c>
      <c r="D8" s="464">
        <f t="shared" ref="D8:I8" si="25">+D13+D31+D52+D74</f>
        <v>0</v>
      </c>
      <c r="E8" s="464">
        <f t="shared" si="25"/>
        <v>0</v>
      </c>
      <c r="F8" s="464">
        <f t="shared" si="25"/>
        <v>0</v>
      </c>
      <c r="G8" s="464">
        <f t="shared" si="25"/>
        <v>0</v>
      </c>
      <c r="H8" s="464">
        <f t="shared" si="25"/>
        <v>0</v>
      </c>
      <c r="I8" s="464">
        <f t="shared" si="25"/>
        <v>0</v>
      </c>
      <c r="J8" s="464">
        <f t="shared" si="3"/>
        <v>0</v>
      </c>
      <c r="K8" s="465">
        <f t="shared" si="4"/>
        <v>0</v>
      </c>
      <c r="L8" s="464">
        <f>+L13+L31+L52+L74</f>
        <v>0</v>
      </c>
      <c r="M8" s="466">
        <f t="shared" si="5"/>
        <v>0</v>
      </c>
      <c r="N8" s="466">
        <f t="shared" si="6"/>
        <v>0</v>
      </c>
      <c r="O8" s="467">
        <f>+O13+O31+O52+O74</f>
        <v>0</v>
      </c>
      <c r="P8" s="467">
        <f t="shared" si="7"/>
        <v>0</v>
      </c>
      <c r="Q8" s="466">
        <f t="shared" si="8"/>
        <v>0</v>
      </c>
      <c r="R8" s="467">
        <f t="shared" ref="R8:T8" si="26">+R13+R31+R52+R74</f>
        <v>0</v>
      </c>
      <c r="S8" s="466">
        <f t="shared" si="26"/>
        <v>0</v>
      </c>
      <c r="T8" s="467">
        <f t="shared" si="26"/>
        <v>0</v>
      </c>
      <c r="U8" s="466">
        <f t="shared" si="10"/>
        <v>0</v>
      </c>
      <c r="V8" s="466">
        <f t="shared" si="11"/>
        <v>0</v>
      </c>
      <c r="W8" s="276">
        <f t="shared" ref="W8:X8" si="27">+W13+W31+W52+W74</f>
        <v>0</v>
      </c>
      <c r="X8" s="276">
        <f t="shared" si="27"/>
        <v>0</v>
      </c>
      <c r="Y8" s="37">
        <f t="shared" si="13"/>
        <v>0</v>
      </c>
      <c r="Z8" s="276">
        <f t="shared" ref="Z8:AB8" si="28">+Z13+Z31+Z52+Z74</f>
        <v>0</v>
      </c>
      <c r="AA8" s="276">
        <f t="shared" si="28"/>
        <v>0</v>
      </c>
      <c r="AB8" s="276">
        <f t="shared" si="28"/>
        <v>0</v>
      </c>
      <c r="AC8" s="37">
        <f t="shared" si="15"/>
        <v>0</v>
      </c>
      <c r="AD8" s="276">
        <f>+AD13+AD31+AD52+AD74</f>
        <v>0</v>
      </c>
      <c r="AE8" s="37">
        <f t="shared" si="16"/>
        <v>0</v>
      </c>
      <c r="AF8" s="276">
        <f t="shared" ref="AF8:AH8" si="29">+AF13+AF31+AF52+AF74</f>
        <v>0</v>
      </c>
      <c r="AG8" s="276">
        <f t="shared" si="29"/>
        <v>0</v>
      </c>
      <c r="AH8" s="276">
        <f t="shared" si="29"/>
        <v>0</v>
      </c>
      <c r="AI8" s="37">
        <f t="shared" si="18"/>
        <v>0</v>
      </c>
      <c r="AJ8" s="276">
        <f>+AJ13+AJ31+AJ52+AJ74</f>
        <v>0</v>
      </c>
      <c r="AK8" s="37">
        <f t="shared" si="19"/>
        <v>0</v>
      </c>
      <c r="AL8" s="276">
        <f t="shared" ref="AL8:AM8" si="30">+AL13+AL31+AL52+AL74</f>
        <v>0</v>
      </c>
      <c r="AM8" s="276">
        <f t="shared" si="30"/>
        <v>0</v>
      </c>
      <c r="AN8" s="37">
        <f t="shared" si="21"/>
        <v>0</v>
      </c>
      <c r="AO8" s="276">
        <f t="shared" ref="AO8:AQ8" si="31">+AO13+AO31+AO52+AO74</f>
        <v>0</v>
      </c>
      <c r="AP8" s="276">
        <f t="shared" si="31"/>
        <v>0</v>
      </c>
      <c r="AQ8" s="276">
        <f t="shared" si="31"/>
        <v>0</v>
      </c>
      <c r="AR8" s="37">
        <f t="shared" si="23"/>
        <v>0</v>
      </c>
      <c r="AS8" s="276">
        <f>+AS13+AS31+AS52+AS74</f>
        <v>0</v>
      </c>
      <c r="AT8" s="37">
        <f t="shared" si="24"/>
        <v>0</v>
      </c>
    </row>
    <row r="9" spans="1:46" ht="19.5" x14ac:dyDescent="0.3">
      <c r="A9" s="245" t="s">
        <v>40</v>
      </c>
      <c r="B9" s="468"/>
      <c r="C9" s="248">
        <f t="shared" ca="1" si="0"/>
        <v>28900</v>
      </c>
      <c r="D9" s="248">
        <f t="shared" ref="D9:I9" ca="1" si="32">+D89</f>
        <v>28900</v>
      </c>
      <c r="E9" s="248">
        <f t="shared" si="32"/>
        <v>0</v>
      </c>
      <c r="F9" s="248">
        <f t="shared" ca="1" si="32"/>
        <v>28900</v>
      </c>
      <c r="G9" s="248">
        <f t="shared" si="32"/>
        <v>0</v>
      </c>
      <c r="H9" s="248">
        <f t="shared" ca="1" si="32"/>
        <v>28900</v>
      </c>
      <c r="I9" s="248">
        <f t="shared" si="32"/>
        <v>0</v>
      </c>
      <c r="J9" s="248">
        <f t="shared" ca="1" si="3"/>
        <v>28778.720000000001</v>
      </c>
      <c r="K9" s="469">
        <f t="shared" ca="1" si="4"/>
        <v>99.58034602076124</v>
      </c>
      <c r="L9" s="248">
        <f ca="1">+L89</f>
        <v>28778.720000000001</v>
      </c>
      <c r="M9" s="470">
        <f t="shared" ca="1" si="5"/>
        <v>99.58034602076124</v>
      </c>
      <c r="N9" s="470">
        <f t="shared" ca="1" si="6"/>
        <v>99.58034602076124</v>
      </c>
      <c r="O9" s="471">
        <f>+O89</f>
        <v>0</v>
      </c>
      <c r="P9" s="471">
        <f t="shared" si="7"/>
        <v>0</v>
      </c>
      <c r="Q9" s="470">
        <f t="shared" si="8"/>
        <v>0</v>
      </c>
      <c r="R9" s="471">
        <f t="shared" ref="R9:T9" ca="1" si="33">+R89</f>
        <v>2200990</v>
      </c>
      <c r="S9" s="470">
        <f t="shared" ca="1" si="33"/>
        <v>2200990</v>
      </c>
      <c r="T9" s="471">
        <f t="shared" ca="1" si="33"/>
        <v>1374149</v>
      </c>
      <c r="U9" s="470">
        <f t="shared" ca="1" si="10"/>
        <v>62.433223231364067</v>
      </c>
      <c r="V9" s="470">
        <f t="shared" ca="1" si="11"/>
        <v>62.433223231364067</v>
      </c>
      <c r="W9" s="248">
        <f ca="1">IFERROR(__xludf.DUMMYFUNCTION("IMPORTRANGE(""https://docs.google.com/spreadsheets/d/1W-HhGofCdyidljablT5AVQ143BAUWsE-bKbHVeok6Og/edit?usp=sharing"",""ทั้งประเทศ!I391"")"),43)</f>
        <v>43</v>
      </c>
      <c r="X9" s="248">
        <f ca="1">IFERROR(__xludf.DUMMYFUNCTION("IMPORTRANGE(""https://docs.google.com/spreadsheets/d/1W-HhGofCdyidljablT5AVQ143BAUWsE-bKbHVeok6Og/edit?usp=sharing"",""ทั้งประเทศ!J391"")"),22)</f>
        <v>22</v>
      </c>
      <c r="Y9" s="470">
        <f t="shared" ca="1" si="13"/>
        <v>51.162790697674417</v>
      </c>
      <c r="Z9" s="248">
        <f ca="1">IFERROR(__xludf.DUMMYFUNCTION("IMPORTRANGE(""https://docs.google.com/spreadsheets/d/1W-HhGofCdyidljablT5AVQ143BAUWsE-bKbHVeok6Og/edit?usp=sharing"",""ทั้งประเทศ!I402"")"),8)</f>
        <v>8</v>
      </c>
      <c r="AA9" s="248">
        <f ca="1">IFERROR(__xludf.DUMMYFUNCTION("IMPORTRANGE(""https://docs.google.com/spreadsheets/d/1W-HhGofCdyidljablT5AVQ143BAUWsE-bKbHVeok6Og/edit?usp=sharing"",""ทั้งประเทศ!I403"")"),90494)</f>
        <v>90494</v>
      </c>
      <c r="AB9" s="248">
        <f ca="1">IFERROR(__xludf.DUMMYFUNCTION("IMPORTRANGE(""https://docs.google.com/spreadsheets/d/1W-HhGofCdyidljablT5AVQ143BAUWsE-bKbHVeok6Og/edit?usp=sharing"",""ทั้งประเทศ!J402"")"),6)</f>
        <v>6</v>
      </c>
      <c r="AC9" s="470">
        <f t="shared" ca="1" si="15"/>
        <v>75</v>
      </c>
      <c r="AD9" s="248">
        <f ca="1">IFERROR(__xludf.DUMMYFUNCTION("IMPORTRANGE(""https://docs.google.com/spreadsheets/d/1W-HhGofCdyidljablT5AVQ143BAUWsE-bKbHVeok6Og/edit?usp=sharing"",""ทั้งประเทศ!J403"")"),60743)</f>
        <v>60743</v>
      </c>
      <c r="AE9" s="470">
        <f t="shared" ca="1" si="16"/>
        <v>1012383.3333333334</v>
      </c>
      <c r="AF9" s="248">
        <f ca="1">IFERROR(__xludf.DUMMYFUNCTION("IMPORTRANGE(""https://docs.google.com/spreadsheets/d/1W-HhGofCdyidljablT5AVQ143BAUWsE-bKbHVeok6Og/edit?usp=sharing"",""ทั้งประเทศ!I404"")"),10)</f>
        <v>10</v>
      </c>
      <c r="AG9" s="248">
        <f ca="1">IFERROR(__xludf.DUMMYFUNCTION("IMPORTRANGE(""https://docs.google.com/spreadsheets/d/1W-HhGofCdyidljablT5AVQ143BAUWsE-bKbHVeok6Og/edit?usp=sharing"",""ทั้งประเทศ!I405"")"),10)</f>
        <v>10</v>
      </c>
      <c r="AH9" s="248">
        <f ca="1">IFERROR(__xludf.DUMMYFUNCTION("IMPORTRANGE(""https://docs.google.com/spreadsheets/d/1W-HhGofCdyidljablT5AVQ143BAUWsE-bKbHVeok6Og/edit?usp=sharing"",""ทั้งประเทศ!J404"")"),1)</f>
        <v>1</v>
      </c>
      <c r="AI9" s="470">
        <f t="shared" ca="1" si="18"/>
        <v>10</v>
      </c>
      <c r="AJ9" s="248">
        <f ca="1">IFERROR(__xludf.DUMMYFUNCTION("IMPORTRANGE(""https://docs.google.com/spreadsheets/d/1W-HhGofCdyidljablT5AVQ143BAUWsE-bKbHVeok6Og/edit?usp=sharing"",""ทั้งประเทศ!J405"")"),1)</f>
        <v>1</v>
      </c>
      <c r="AK9" s="470">
        <f t="shared" ca="1" si="19"/>
        <v>100</v>
      </c>
      <c r="AL9" s="248">
        <f ca="1">IFERROR(__xludf.DUMMYFUNCTION("IMPORTRANGE(""https://docs.google.com/spreadsheets/d/1W-HhGofCdyidljablT5AVQ143BAUWsE-bKbHVeok6Og/edit?usp=sharing"",""ทั้งประเทศ!I406"")"),18)</f>
        <v>18</v>
      </c>
      <c r="AM9" s="248">
        <f ca="1">IFERROR(__xludf.DUMMYFUNCTION("IMPORTRANGE(""https://docs.google.com/spreadsheets/d/1W-HhGofCdyidljablT5AVQ143BAUWsE-bKbHVeok6Og/edit?usp=sharing"",""ทั้งประเทศ!J406"")"),10)</f>
        <v>10</v>
      </c>
      <c r="AN9" s="470">
        <f t="shared" ca="1" si="21"/>
        <v>55.555555555555557</v>
      </c>
      <c r="AO9" s="248">
        <f ca="1">IFERROR(__xludf.DUMMYFUNCTION("IMPORTRANGE(""https://docs.google.com/spreadsheets/d/1W-HhGofCdyidljablT5AVQ143BAUWsE-bKbHVeok6Og/edit?usp=sharing"",""ทั้งประเทศ!I407"")"),7)</f>
        <v>7</v>
      </c>
      <c r="AP9" s="248">
        <f ca="1">IFERROR(__xludf.DUMMYFUNCTION("IMPORTRANGE(""https://docs.google.com/spreadsheets/d/1W-HhGofCdyidljablT5AVQ143BAUWsE-bKbHVeok6Og/edit?usp=sharing"",""ทั้งประเทศ!I408"")"),37.155)</f>
        <v>37.155000000000001</v>
      </c>
      <c r="AQ9" s="248">
        <f ca="1">IFERROR(__xludf.DUMMYFUNCTION("IMPORTRANGE(""https://docs.google.com/spreadsheets/d/1W-HhGofCdyidljablT5AVQ143BAUWsE-bKbHVeok6Og/edit?usp=sharing"",""ทั้งประเทศ!J407"")"),5)</f>
        <v>5</v>
      </c>
      <c r="AR9" s="470">
        <f t="shared" ca="1" si="23"/>
        <v>71.428571428571431</v>
      </c>
      <c r="AS9" s="248">
        <f ca="1">IFERROR(__xludf.DUMMYFUNCTION("IMPORTRANGE(""https://docs.google.com/spreadsheets/d/1W-HhGofCdyidljablT5AVQ143BAUWsE-bKbHVeok6Og/edit?usp=sharing"",""ทั้งประเทศ!J408"")"),28.515)</f>
        <v>28.515000000000001</v>
      </c>
      <c r="AT9" s="470">
        <f t="shared" ca="1" si="24"/>
        <v>570.29999999999995</v>
      </c>
    </row>
    <row r="10" spans="1:46" ht="12.75" hidden="1" x14ac:dyDescent="0.2">
      <c r="A10" s="142"/>
      <c r="B10" s="142"/>
      <c r="C10" s="214"/>
      <c r="D10" s="214"/>
      <c r="E10" s="214"/>
      <c r="F10" s="214"/>
      <c r="G10" s="214"/>
      <c r="H10" s="214"/>
      <c r="I10" s="214"/>
      <c r="J10" s="214"/>
      <c r="K10" s="249"/>
      <c r="L10" s="214"/>
      <c r="M10" s="196"/>
      <c r="N10" s="196"/>
      <c r="O10" s="195"/>
      <c r="P10" s="195"/>
      <c r="Q10" s="196"/>
      <c r="R10" s="195"/>
      <c r="S10" s="196"/>
      <c r="T10" s="195"/>
      <c r="U10" s="196"/>
      <c r="V10" s="196"/>
      <c r="W10" s="214"/>
      <c r="X10" s="214"/>
      <c r="Y10" s="196"/>
      <c r="Z10" s="214"/>
      <c r="AA10" s="214"/>
      <c r="AB10" s="214"/>
      <c r="AC10" s="196"/>
      <c r="AD10" s="214"/>
      <c r="AE10" s="196"/>
      <c r="AF10" s="214"/>
      <c r="AG10" s="214"/>
      <c r="AH10" s="214"/>
      <c r="AI10" s="196"/>
      <c r="AJ10" s="214"/>
      <c r="AK10" s="196"/>
      <c r="AL10" s="214"/>
      <c r="AM10" s="214"/>
      <c r="AN10" s="196"/>
      <c r="AO10" s="214"/>
      <c r="AP10" s="214"/>
      <c r="AQ10" s="214"/>
      <c r="AR10" s="196"/>
      <c r="AS10" s="214"/>
      <c r="AT10" s="196"/>
    </row>
    <row r="11" spans="1:46" ht="12.75" hidden="1" x14ac:dyDescent="0.2">
      <c r="A11" s="142"/>
      <c r="B11" s="142"/>
      <c r="C11" s="214"/>
      <c r="D11" s="214"/>
      <c r="E11" s="214"/>
      <c r="F11" s="214"/>
      <c r="G11" s="214"/>
      <c r="H11" s="214"/>
      <c r="I11" s="214"/>
      <c r="J11" s="214"/>
      <c r="K11" s="249"/>
      <c r="L11" s="214"/>
      <c r="M11" s="196"/>
      <c r="N11" s="196"/>
      <c r="O11" s="195"/>
      <c r="P11" s="195"/>
      <c r="Q11" s="196"/>
      <c r="R11" s="195"/>
      <c r="S11" s="196"/>
      <c r="T11" s="195"/>
      <c r="U11" s="196"/>
      <c r="V11" s="196"/>
      <c r="W11" s="214"/>
      <c r="X11" s="214"/>
      <c r="Y11" s="196"/>
      <c r="Z11" s="214"/>
      <c r="AA11" s="214"/>
      <c r="AB11" s="214"/>
      <c r="AC11" s="196"/>
      <c r="AD11" s="214"/>
      <c r="AE11" s="196"/>
      <c r="AF11" s="214"/>
      <c r="AG11" s="214"/>
      <c r="AH11" s="214"/>
      <c r="AI11" s="196"/>
      <c r="AJ11" s="214"/>
      <c r="AK11" s="196"/>
      <c r="AL11" s="214"/>
      <c r="AM11" s="214"/>
      <c r="AN11" s="196"/>
      <c r="AO11" s="214"/>
      <c r="AP11" s="214"/>
      <c r="AQ11" s="214"/>
      <c r="AR11" s="196"/>
      <c r="AS11" s="214"/>
      <c r="AT11" s="196"/>
    </row>
    <row r="12" spans="1:46" ht="19.5" hidden="1" x14ac:dyDescent="0.3">
      <c r="A12" s="142"/>
      <c r="B12" s="142"/>
      <c r="C12" s="214"/>
      <c r="D12" s="214"/>
      <c r="E12" s="214"/>
      <c r="F12" s="214"/>
      <c r="G12" s="214"/>
      <c r="H12" s="214"/>
      <c r="I12" s="214"/>
      <c r="J12" s="214"/>
      <c r="K12" s="249"/>
      <c r="L12" s="214"/>
      <c r="M12" s="196"/>
      <c r="N12" s="196"/>
      <c r="O12" s="195"/>
      <c r="P12" s="195"/>
      <c r="Q12" s="196"/>
      <c r="R12" s="195"/>
      <c r="S12" s="196"/>
      <c r="T12" s="195"/>
      <c r="U12" s="196"/>
      <c r="V12" s="196"/>
      <c r="W12" s="143"/>
      <c r="X12" s="143"/>
      <c r="Y12" s="51"/>
      <c r="Z12" s="143"/>
      <c r="AA12" s="143"/>
      <c r="AB12" s="143"/>
      <c r="AC12" s="51"/>
      <c r="AD12" s="143"/>
      <c r="AE12" s="51"/>
      <c r="AF12" s="143"/>
      <c r="AG12" s="143"/>
      <c r="AH12" s="143"/>
      <c r="AI12" s="51"/>
      <c r="AJ12" s="143"/>
      <c r="AK12" s="51"/>
      <c r="AL12" s="143"/>
      <c r="AM12" s="143"/>
      <c r="AN12" s="51"/>
      <c r="AO12" s="143"/>
      <c r="AP12" s="143"/>
      <c r="AQ12" s="143"/>
      <c r="AR12" s="51"/>
      <c r="AS12" s="143"/>
      <c r="AT12" s="51"/>
    </row>
    <row r="13" spans="1:46" ht="19.5" x14ac:dyDescent="0.3">
      <c r="A13" s="747" t="s">
        <v>41</v>
      </c>
      <c r="B13" s="647"/>
      <c r="C13" s="464">
        <f t="shared" ref="C13:C88" si="34">D13+G13</f>
        <v>0</v>
      </c>
      <c r="D13" s="464">
        <f t="shared" ref="D13:I13" si="35">SUM(D14:D30)</f>
        <v>0</v>
      </c>
      <c r="E13" s="464">
        <f t="shared" si="35"/>
        <v>0</v>
      </c>
      <c r="F13" s="464">
        <f t="shared" si="35"/>
        <v>0</v>
      </c>
      <c r="G13" s="464">
        <f t="shared" si="35"/>
        <v>0</v>
      </c>
      <c r="H13" s="464">
        <f t="shared" si="35"/>
        <v>0</v>
      </c>
      <c r="I13" s="464">
        <f t="shared" si="35"/>
        <v>0</v>
      </c>
      <c r="J13" s="464">
        <f t="shared" ref="J13:J88" si="36">L13+O13</f>
        <v>0</v>
      </c>
      <c r="K13" s="465">
        <f t="shared" ref="K13:K88" si="37">IF(C13&gt;0,J13*100/C13,0)</f>
        <v>0</v>
      </c>
      <c r="L13" s="464">
        <f>SUM(L14:L30)</f>
        <v>0</v>
      </c>
      <c r="M13" s="466">
        <f t="shared" ref="M13:M88" si="38">IF(D13&gt;0,L13*100/D13,0)</f>
        <v>0</v>
      </c>
      <c r="N13" s="466">
        <f t="shared" ref="N13:N88" si="39">IF(H13&gt;0,L13*100/H13,0)</f>
        <v>0</v>
      </c>
      <c r="O13" s="467">
        <f>SUM(O14:O30)</f>
        <v>0</v>
      </c>
      <c r="P13" s="467">
        <f t="shared" ref="P13:P88" si="40">IF(G13&gt;0,O13*100/G13,0)</f>
        <v>0</v>
      </c>
      <c r="Q13" s="466">
        <f t="shared" ref="Q13:Q88" si="41">IF(I13&gt;0,O13*100/I13,0)</f>
        <v>0</v>
      </c>
      <c r="R13" s="467">
        <f t="shared" ref="R13:T13" si="42">SUM(R14:R30)</f>
        <v>0</v>
      </c>
      <c r="S13" s="466">
        <f t="shared" si="42"/>
        <v>0</v>
      </c>
      <c r="T13" s="467">
        <f t="shared" si="42"/>
        <v>0</v>
      </c>
      <c r="U13" s="466">
        <f>IF(R13&gt;0,T13*100/R13,0)</f>
        <v>0</v>
      </c>
      <c r="V13" s="466">
        <f>IF(S13&gt;0,T13*100/S13,0)</f>
        <v>0</v>
      </c>
      <c r="W13" s="276">
        <f t="shared" ref="W13:X13" si="43">SUM(W14:W30)</f>
        <v>0</v>
      </c>
      <c r="X13" s="276">
        <f t="shared" si="43"/>
        <v>0</v>
      </c>
      <c r="Y13" s="37">
        <f t="shared" ref="Y13:Y88" si="44">IF(W13&gt;0,X13*100/W13,0)</f>
        <v>0</v>
      </c>
      <c r="Z13" s="276">
        <f t="shared" ref="Z13:AB13" si="45">SUM(Z14:Z30)</f>
        <v>0</v>
      </c>
      <c r="AA13" s="276">
        <f t="shared" si="45"/>
        <v>0</v>
      </c>
      <c r="AB13" s="276">
        <f t="shared" si="45"/>
        <v>0</v>
      </c>
      <c r="AC13" s="37">
        <f t="shared" ref="AC13:AC88" si="46">IF(Z13&gt;0,AB13*100/Z13,0)</f>
        <v>0</v>
      </c>
      <c r="AD13" s="276">
        <f>SUM(AD14:AD30)</f>
        <v>0</v>
      </c>
      <c r="AE13" s="37">
        <f t="shared" ref="AE13:AE88" si="47">IF(AB13&gt;0,AD13*100/AB13,0)</f>
        <v>0</v>
      </c>
      <c r="AF13" s="276">
        <f t="shared" ref="AF13:AH13" si="48">SUM(AF14:AF30)</f>
        <v>0</v>
      </c>
      <c r="AG13" s="276">
        <f t="shared" si="48"/>
        <v>0</v>
      </c>
      <c r="AH13" s="276">
        <f t="shared" si="48"/>
        <v>0</v>
      </c>
      <c r="AI13" s="37">
        <f t="shared" ref="AI13:AI88" si="49">IF(AF13&gt;0,AH13*100/AF13,0)</f>
        <v>0</v>
      </c>
      <c r="AJ13" s="276">
        <f>SUM(AJ14:AJ30)</f>
        <v>0</v>
      </c>
      <c r="AK13" s="37">
        <f t="shared" ref="AK13:AK88" si="50">IF(AH13&gt;0,AJ13*100/AH13,0)</f>
        <v>0</v>
      </c>
      <c r="AL13" s="276">
        <f t="shared" ref="AL13:AM13" si="51">SUM(AL14:AL30)</f>
        <v>0</v>
      </c>
      <c r="AM13" s="276">
        <f t="shared" si="51"/>
        <v>0</v>
      </c>
      <c r="AN13" s="37">
        <f t="shared" ref="AN13:AN88" si="52">IF(AL13&gt;0,AM13*100/AL13,0)</f>
        <v>0</v>
      </c>
      <c r="AO13" s="276">
        <f t="shared" ref="AO13:AQ13" si="53">SUM(AO14:AO30)</f>
        <v>0</v>
      </c>
      <c r="AP13" s="276">
        <f t="shared" si="53"/>
        <v>0</v>
      </c>
      <c r="AQ13" s="276">
        <f t="shared" si="53"/>
        <v>0</v>
      </c>
      <c r="AR13" s="37">
        <f t="shared" ref="AR13:AR88" si="54">IF(AO13&gt;0,AQ13*100/AO13,0)</f>
        <v>0</v>
      </c>
      <c r="AS13" s="276">
        <f>SUM(AS14:AS30)</f>
        <v>0</v>
      </c>
      <c r="AT13" s="37">
        <f t="shared" ref="AT13:AT88" si="55">IF(AQ13&gt;0,AS13*100/AQ13,0)</f>
        <v>0</v>
      </c>
    </row>
    <row r="14" spans="1:46" ht="19.5" x14ac:dyDescent="0.3">
      <c r="A14" s="147">
        <v>1</v>
      </c>
      <c r="B14" s="148" t="s">
        <v>42</v>
      </c>
      <c r="C14" s="472">
        <f t="shared" si="34"/>
        <v>0</v>
      </c>
      <c r="D14" s="473">
        <f t="shared" ref="D14:D30" si="56">+E14+F14</f>
        <v>0</v>
      </c>
      <c r="E14" s="151">
        <v>0</v>
      </c>
      <c r="F14" s="151">
        <v>0</v>
      </c>
      <c r="G14" s="152">
        <v>0</v>
      </c>
      <c r="H14" s="152">
        <v>0</v>
      </c>
      <c r="I14" s="152">
        <v>0</v>
      </c>
      <c r="J14" s="251">
        <f t="shared" si="36"/>
        <v>0</v>
      </c>
      <c r="K14" s="474">
        <f t="shared" si="37"/>
        <v>0</v>
      </c>
      <c r="L14" s="152">
        <v>0</v>
      </c>
      <c r="M14" s="260">
        <f t="shared" si="38"/>
        <v>0</v>
      </c>
      <c r="N14" s="260">
        <f t="shared" si="39"/>
        <v>0</v>
      </c>
      <c r="O14" s="151">
        <v>0</v>
      </c>
      <c r="P14" s="475">
        <f t="shared" si="40"/>
        <v>0</v>
      </c>
      <c r="Q14" s="260">
        <f t="shared" si="41"/>
        <v>0</v>
      </c>
      <c r="R14" s="475">
        <v>0</v>
      </c>
      <c r="S14" s="260">
        <v>0</v>
      </c>
      <c r="T14" s="475">
        <v>0</v>
      </c>
      <c r="U14" s="260">
        <v>0</v>
      </c>
      <c r="V14" s="260">
        <v>0</v>
      </c>
      <c r="W14" s="279">
        <v>0</v>
      </c>
      <c r="X14" s="397">
        <v>0</v>
      </c>
      <c r="Y14" s="216">
        <f t="shared" si="44"/>
        <v>0</v>
      </c>
      <c r="Z14" s="279">
        <v>0</v>
      </c>
      <c r="AA14" s="279">
        <v>0</v>
      </c>
      <c r="AB14" s="397">
        <v>0</v>
      </c>
      <c r="AC14" s="216">
        <f t="shared" si="46"/>
        <v>0</v>
      </c>
      <c r="AD14" s="397">
        <v>0</v>
      </c>
      <c r="AE14" s="216">
        <f t="shared" si="47"/>
        <v>0</v>
      </c>
      <c r="AF14" s="279">
        <v>0</v>
      </c>
      <c r="AG14" s="279">
        <v>0</v>
      </c>
      <c r="AH14" s="397">
        <v>0</v>
      </c>
      <c r="AI14" s="216">
        <f t="shared" si="49"/>
        <v>0</v>
      </c>
      <c r="AJ14" s="397">
        <v>0</v>
      </c>
      <c r="AK14" s="216">
        <f t="shared" si="50"/>
        <v>0</v>
      </c>
      <c r="AL14" s="279">
        <v>0</v>
      </c>
      <c r="AM14" s="397">
        <v>0</v>
      </c>
      <c r="AN14" s="216">
        <f t="shared" si="52"/>
        <v>0</v>
      </c>
      <c r="AO14" s="279">
        <v>0</v>
      </c>
      <c r="AP14" s="279">
        <v>0</v>
      </c>
      <c r="AQ14" s="397">
        <v>0</v>
      </c>
      <c r="AR14" s="216">
        <f t="shared" si="54"/>
        <v>0</v>
      </c>
      <c r="AS14" s="397">
        <v>0</v>
      </c>
      <c r="AT14" s="216">
        <f t="shared" si="55"/>
        <v>0</v>
      </c>
    </row>
    <row r="15" spans="1:46" ht="19.5" x14ac:dyDescent="0.3">
      <c r="A15" s="147">
        <v>2</v>
      </c>
      <c r="B15" s="148" t="s">
        <v>43</v>
      </c>
      <c r="C15" s="472">
        <f t="shared" si="34"/>
        <v>0</v>
      </c>
      <c r="D15" s="473">
        <f t="shared" si="56"/>
        <v>0</v>
      </c>
      <c r="E15" s="151">
        <v>0</v>
      </c>
      <c r="F15" s="151">
        <v>0</v>
      </c>
      <c r="G15" s="151">
        <v>0</v>
      </c>
      <c r="H15" s="151">
        <v>0</v>
      </c>
      <c r="I15" s="151">
        <v>0</v>
      </c>
      <c r="J15" s="262">
        <f t="shared" si="36"/>
        <v>0</v>
      </c>
      <c r="K15" s="476">
        <f t="shared" si="37"/>
        <v>0</v>
      </c>
      <c r="L15" s="151">
        <v>0</v>
      </c>
      <c r="M15" s="260">
        <f t="shared" si="38"/>
        <v>0</v>
      </c>
      <c r="N15" s="260">
        <f t="shared" si="39"/>
        <v>0</v>
      </c>
      <c r="O15" s="151">
        <v>0</v>
      </c>
      <c r="P15" s="475">
        <f t="shared" si="40"/>
        <v>0</v>
      </c>
      <c r="Q15" s="260">
        <f t="shared" si="41"/>
        <v>0</v>
      </c>
      <c r="R15" s="475">
        <v>0</v>
      </c>
      <c r="S15" s="260">
        <v>0</v>
      </c>
      <c r="T15" s="475">
        <v>0</v>
      </c>
      <c r="U15" s="260">
        <v>0</v>
      </c>
      <c r="V15" s="260">
        <v>0</v>
      </c>
      <c r="W15" s="278">
        <v>0</v>
      </c>
      <c r="X15" s="152">
        <v>0</v>
      </c>
      <c r="Y15" s="216">
        <f t="shared" si="44"/>
        <v>0</v>
      </c>
      <c r="Z15" s="278">
        <v>0</v>
      </c>
      <c r="AA15" s="278">
        <v>0</v>
      </c>
      <c r="AB15" s="152">
        <v>0</v>
      </c>
      <c r="AC15" s="216">
        <f t="shared" si="46"/>
        <v>0</v>
      </c>
      <c r="AD15" s="152">
        <v>0</v>
      </c>
      <c r="AE15" s="216">
        <f t="shared" si="47"/>
        <v>0</v>
      </c>
      <c r="AF15" s="278">
        <v>0</v>
      </c>
      <c r="AG15" s="278">
        <v>0</v>
      </c>
      <c r="AH15" s="152">
        <v>0</v>
      </c>
      <c r="AI15" s="216">
        <f t="shared" si="49"/>
        <v>0</v>
      </c>
      <c r="AJ15" s="152">
        <v>0</v>
      </c>
      <c r="AK15" s="216">
        <f t="shared" si="50"/>
        <v>0</v>
      </c>
      <c r="AL15" s="278">
        <v>0</v>
      </c>
      <c r="AM15" s="152">
        <v>0</v>
      </c>
      <c r="AN15" s="216">
        <f t="shared" si="52"/>
        <v>0</v>
      </c>
      <c r="AO15" s="278">
        <v>0</v>
      </c>
      <c r="AP15" s="278">
        <v>0</v>
      </c>
      <c r="AQ15" s="152">
        <v>0</v>
      </c>
      <c r="AR15" s="216">
        <f t="shared" si="54"/>
        <v>0</v>
      </c>
      <c r="AS15" s="152">
        <v>0</v>
      </c>
      <c r="AT15" s="216">
        <f t="shared" si="55"/>
        <v>0</v>
      </c>
    </row>
    <row r="16" spans="1:46" ht="19.5" x14ac:dyDescent="0.3">
      <c r="A16" s="147">
        <v>3</v>
      </c>
      <c r="B16" s="148" t="s">
        <v>44</v>
      </c>
      <c r="C16" s="472">
        <f t="shared" si="34"/>
        <v>0</v>
      </c>
      <c r="D16" s="473">
        <f t="shared" si="56"/>
        <v>0</v>
      </c>
      <c r="E16" s="151">
        <v>0</v>
      </c>
      <c r="F16" s="151">
        <v>0</v>
      </c>
      <c r="G16" s="151">
        <v>0</v>
      </c>
      <c r="H16" s="151">
        <v>0</v>
      </c>
      <c r="I16" s="151">
        <v>0</v>
      </c>
      <c r="J16" s="262">
        <f t="shared" si="36"/>
        <v>0</v>
      </c>
      <c r="K16" s="476">
        <f t="shared" si="37"/>
        <v>0</v>
      </c>
      <c r="L16" s="151">
        <v>0</v>
      </c>
      <c r="M16" s="260">
        <f t="shared" si="38"/>
        <v>0</v>
      </c>
      <c r="N16" s="260">
        <f t="shared" si="39"/>
        <v>0</v>
      </c>
      <c r="O16" s="151">
        <v>0</v>
      </c>
      <c r="P16" s="475">
        <f t="shared" si="40"/>
        <v>0</v>
      </c>
      <c r="Q16" s="260">
        <f t="shared" si="41"/>
        <v>0</v>
      </c>
      <c r="R16" s="475">
        <v>0</v>
      </c>
      <c r="S16" s="260">
        <v>0</v>
      </c>
      <c r="T16" s="475">
        <v>0</v>
      </c>
      <c r="U16" s="260">
        <v>0</v>
      </c>
      <c r="V16" s="260">
        <v>0</v>
      </c>
      <c r="W16" s="279">
        <v>0</v>
      </c>
      <c r="X16" s="397">
        <v>0</v>
      </c>
      <c r="Y16" s="216">
        <f t="shared" si="44"/>
        <v>0</v>
      </c>
      <c r="Z16" s="279">
        <v>0</v>
      </c>
      <c r="AA16" s="279">
        <v>0</v>
      </c>
      <c r="AB16" s="397">
        <v>0</v>
      </c>
      <c r="AC16" s="216">
        <f t="shared" si="46"/>
        <v>0</v>
      </c>
      <c r="AD16" s="397">
        <v>0</v>
      </c>
      <c r="AE16" s="216">
        <f t="shared" si="47"/>
        <v>0</v>
      </c>
      <c r="AF16" s="279">
        <v>0</v>
      </c>
      <c r="AG16" s="279">
        <v>0</v>
      </c>
      <c r="AH16" s="397">
        <v>0</v>
      </c>
      <c r="AI16" s="216">
        <f t="shared" si="49"/>
        <v>0</v>
      </c>
      <c r="AJ16" s="397">
        <v>0</v>
      </c>
      <c r="AK16" s="216">
        <f t="shared" si="50"/>
        <v>0</v>
      </c>
      <c r="AL16" s="279">
        <v>0</v>
      </c>
      <c r="AM16" s="397">
        <v>0</v>
      </c>
      <c r="AN16" s="216">
        <f t="shared" si="52"/>
        <v>0</v>
      </c>
      <c r="AO16" s="279">
        <v>0</v>
      </c>
      <c r="AP16" s="279">
        <v>0</v>
      </c>
      <c r="AQ16" s="397">
        <v>0</v>
      </c>
      <c r="AR16" s="216">
        <f t="shared" si="54"/>
        <v>0</v>
      </c>
      <c r="AS16" s="397">
        <v>0</v>
      </c>
      <c r="AT16" s="216">
        <f t="shared" si="55"/>
        <v>0</v>
      </c>
    </row>
    <row r="17" spans="1:46" ht="19.5" x14ac:dyDescent="0.3">
      <c r="A17" s="147">
        <v>4</v>
      </c>
      <c r="B17" s="148" t="s">
        <v>45</v>
      </c>
      <c r="C17" s="472">
        <f t="shared" si="34"/>
        <v>0</v>
      </c>
      <c r="D17" s="473">
        <f t="shared" si="56"/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262">
        <f t="shared" si="36"/>
        <v>0</v>
      </c>
      <c r="K17" s="476">
        <f t="shared" si="37"/>
        <v>0</v>
      </c>
      <c r="L17" s="151">
        <v>0</v>
      </c>
      <c r="M17" s="260">
        <f t="shared" si="38"/>
        <v>0</v>
      </c>
      <c r="N17" s="260">
        <f t="shared" si="39"/>
        <v>0</v>
      </c>
      <c r="O17" s="151">
        <v>0</v>
      </c>
      <c r="P17" s="475">
        <f t="shared" si="40"/>
        <v>0</v>
      </c>
      <c r="Q17" s="260">
        <f t="shared" si="41"/>
        <v>0</v>
      </c>
      <c r="R17" s="475">
        <v>0</v>
      </c>
      <c r="S17" s="260">
        <v>0</v>
      </c>
      <c r="T17" s="475">
        <v>0</v>
      </c>
      <c r="U17" s="260">
        <v>0</v>
      </c>
      <c r="V17" s="260">
        <v>0</v>
      </c>
      <c r="W17" s="278">
        <v>0</v>
      </c>
      <c r="X17" s="152">
        <v>0</v>
      </c>
      <c r="Y17" s="216">
        <f t="shared" si="44"/>
        <v>0</v>
      </c>
      <c r="Z17" s="278">
        <v>0</v>
      </c>
      <c r="AA17" s="278">
        <v>0</v>
      </c>
      <c r="AB17" s="152">
        <v>0</v>
      </c>
      <c r="AC17" s="216">
        <f t="shared" si="46"/>
        <v>0</v>
      </c>
      <c r="AD17" s="152">
        <v>0</v>
      </c>
      <c r="AE17" s="216">
        <f t="shared" si="47"/>
        <v>0</v>
      </c>
      <c r="AF17" s="278">
        <v>0</v>
      </c>
      <c r="AG17" s="278">
        <v>0</v>
      </c>
      <c r="AH17" s="152">
        <v>0</v>
      </c>
      <c r="AI17" s="216">
        <f t="shared" si="49"/>
        <v>0</v>
      </c>
      <c r="AJ17" s="152">
        <v>0</v>
      </c>
      <c r="AK17" s="216">
        <f t="shared" si="50"/>
        <v>0</v>
      </c>
      <c r="AL17" s="278">
        <v>0</v>
      </c>
      <c r="AM17" s="152">
        <v>0</v>
      </c>
      <c r="AN17" s="216">
        <f t="shared" si="52"/>
        <v>0</v>
      </c>
      <c r="AO17" s="278">
        <v>0</v>
      </c>
      <c r="AP17" s="278">
        <v>0</v>
      </c>
      <c r="AQ17" s="152">
        <v>0</v>
      </c>
      <c r="AR17" s="216">
        <f t="shared" si="54"/>
        <v>0</v>
      </c>
      <c r="AS17" s="152">
        <v>0</v>
      </c>
      <c r="AT17" s="216">
        <f t="shared" si="55"/>
        <v>0</v>
      </c>
    </row>
    <row r="18" spans="1:46" ht="19.5" x14ac:dyDescent="0.3">
      <c r="A18" s="147">
        <v>5</v>
      </c>
      <c r="B18" s="148" t="s">
        <v>46</v>
      </c>
      <c r="C18" s="472">
        <f t="shared" si="34"/>
        <v>0</v>
      </c>
      <c r="D18" s="473">
        <f t="shared" si="56"/>
        <v>0</v>
      </c>
      <c r="E18" s="151">
        <v>0</v>
      </c>
      <c r="F18" s="151">
        <v>0</v>
      </c>
      <c r="G18" s="151">
        <v>0</v>
      </c>
      <c r="H18" s="151">
        <v>0</v>
      </c>
      <c r="I18" s="151">
        <v>0</v>
      </c>
      <c r="J18" s="262">
        <f t="shared" si="36"/>
        <v>0</v>
      </c>
      <c r="K18" s="476">
        <f t="shared" si="37"/>
        <v>0</v>
      </c>
      <c r="L18" s="151">
        <v>0</v>
      </c>
      <c r="M18" s="260">
        <f t="shared" si="38"/>
        <v>0</v>
      </c>
      <c r="N18" s="260">
        <f t="shared" si="39"/>
        <v>0</v>
      </c>
      <c r="O18" s="151">
        <v>0</v>
      </c>
      <c r="P18" s="475">
        <f t="shared" si="40"/>
        <v>0</v>
      </c>
      <c r="Q18" s="260">
        <f t="shared" si="41"/>
        <v>0</v>
      </c>
      <c r="R18" s="475">
        <v>0</v>
      </c>
      <c r="S18" s="260">
        <v>0</v>
      </c>
      <c r="T18" s="475">
        <v>0</v>
      </c>
      <c r="U18" s="260">
        <v>0</v>
      </c>
      <c r="V18" s="260">
        <v>0</v>
      </c>
      <c r="W18" s="278">
        <v>0</v>
      </c>
      <c r="X18" s="152">
        <v>0</v>
      </c>
      <c r="Y18" s="216">
        <f t="shared" si="44"/>
        <v>0</v>
      </c>
      <c r="Z18" s="278">
        <v>0</v>
      </c>
      <c r="AA18" s="278">
        <v>0</v>
      </c>
      <c r="AB18" s="152">
        <v>0</v>
      </c>
      <c r="AC18" s="216">
        <f t="shared" si="46"/>
        <v>0</v>
      </c>
      <c r="AD18" s="152">
        <v>0</v>
      </c>
      <c r="AE18" s="216">
        <f t="shared" si="47"/>
        <v>0</v>
      </c>
      <c r="AF18" s="278">
        <v>0</v>
      </c>
      <c r="AG18" s="278">
        <v>0</v>
      </c>
      <c r="AH18" s="152">
        <v>0</v>
      </c>
      <c r="AI18" s="216">
        <f t="shared" si="49"/>
        <v>0</v>
      </c>
      <c r="AJ18" s="152">
        <v>0</v>
      </c>
      <c r="AK18" s="216">
        <f t="shared" si="50"/>
        <v>0</v>
      </c>
      <c r="AL18" s="278">
        <v>0</v>
      </c>
      <c r="AM18" s="152">
        <v>0</v>
      </c>
      <c r="AN18" s="216">
        <f t="shared" si="52"/>
        <v>0</v>
      </c>
      <c r="AO18" s="278">
        <v>0</v>
      </c>
      <c r="AP18" s="278">
        <v>0</v>
      </c>
      <c r="AQ18" s="152">
        <v>0</v>
      </c>
      <c r="AR18" s="216">
        <f t="shared" si="54"/>
        <v>0</v>
      </c>
      <c r="AS18" s="152">
        <v>0</v>
      </c>
      <c r="AT18" s="216">
        <f t="shared" si="55"/>
        <v>0</v>
      </c>
    </row>
    <row r="19" spans="1:46" ht="19.5" x14ac:dyDescent="0.3">
      <c r="A19" s="147">
        <v>6</v>
      </c>
      <c r="B19" s="148" t="s">
        <v>47</v>
      </c>
      <c r="C19" s="472">
        <f t="shared" si="34"/>
        <v>0</v>
      </c>
      <c r="D19" s="473">
        <f t="shared" si="56"/>
        <v>0</v>
      </c>
      <c r="E19" s="151">
        <v>0</v>
      </c>
      <c r="F19" s="151">
        <v>0</v>
      </c>
      <c r="G19" s="151">
        <v>0</v>
      </c>
      <c r="H19" s="151">
        <v>0</v>
      </c>
      <c r="I19" s="151">
        <v>0</v>
      </c>
      <c r="J19" s="262">
        <f t="shared" si="36"/>
        <v>0</v>
      </c>
      <c r="K19" s="476">
        <f t="shared" si="37"/>
        <v>0</v>
      </c>
      <c r="L19" s="151">
        <v>0</v>
      </c>
      <c r="M19" s="260">
        <f t="shared" si="38"/>
        <v>0</v>
      </c>
      <c r="N19" s="260">
        <f t="shared" si="39"/>
        <v>0</v>
      </c>
      <c r="O19" s="151">
        <v>0</v>
      </c>
      <c r="P19" s="475">
        <f t="shared" si="40"/>
        <v>0</v>
      </c>
      <c r="Q19" s="260">
        <f t="shared" si="41"/>
        <v>0</v>
      </c>
      <c r="R19" s="475">
        <v>0</v>
      </c>
      <c r="S19" s="260">
        <v>0</v>
      </c>
      <c r="T19" s="475">
        <v>0</v>
      </c>
      <c r="U19" s="260">
        <v>0</v>
      </c>
      <c r="V19" s="260">
        <v>0</v>
      </c>
      <c r="W19" s="278">
        <v>0</v>
      </c>
      <c r="X19" s="152">
        <v>0</v>
      </c>
      <c r="Y19" s="216">
        <f t="shared" si="44"/>
        <v>0</v>
      </c>
      <c r="Z19" s="278">
        <v>0</v>
      </c>
      <c r="AA19" s="278">
        <v>0</v>
      </c>
      <c r="AB19" s="152">
        <v>0</v>
      </c>
      <c r="AC19" s="216">
        <f t="shared" si="46"/>
        <v>0</v>
      </c>
      <c r="AD19" s="152">
        <v>0</v>
      </c>
      <c r="AE19" s="216">
        <f t="shared" si="47"/>
        <v>0</v>
      </c>
      <c r="AF19" s="278">
        <v>0</v>
      </c>
      <c r="AG19" s="278">
        <v>0</v>
      </c>
      <c r="AH19" s="152">
        <v>0</v>
      </c>
      <c r="AI19" s="216">
        <f t="shared" si="49"/>
        <v>0</v>
      </c>
      <c r="AJ19" s="152">
        <v>0</v>
      </c>
      <c r="AK19" s="216">
        <f t="shared" si="50"/>
        <v>0</v>
      </c>
      <c r="AL19" s="278">
        <v>0</v>
      </c>
      <c r="AM19" s="152">
        <v>0</v>
      </c>
      <c r="AN19" s="216">
        <f t="shared" si="52"/>
        <v>0</v>
      </c>
      <c r="AO19" s="278">
        <v>0</v>
      </c>
      <c r="AP19" s="278">
        <v>0</v>
      </c>
      <c r="AQ19" s="152">
        <v>0</v>
      </c>
      <c r="AR19" s="216">
        <f t="shared" si="54"/>
        <v>0</v>
      </c>
      <c r="AS19" s="152">
        <v>0</v>
      </c>
      <c r="AT19" s="216">
        <f t="shared" si="55"/>
        <v>0</v>
      </c>
    </row>
    <row r="20" spans="1:46" ht="19.5" x14ac:dyDescent="0.3">
      <c r="A20" s="147">
        <v>7</v>
      </c>
      <c r="B20" s="148" t="s">
        <v>48</v>
      </c>
      <c r="C20" s="472">
        <f t="shared" si="34"/>
        <v>0</v>
      </c>
      <c r="D20" s="473">
        <f t="shared" si="56"/>
        <v>0</v>
      </c>
      <c r="E20" s="151">
        <v>0</v>
      </c>
      <c r="F20" s="151">
        <v>0</v>
      </c>
      <c r="G20" s="151">
        <v>0</v>
      </c>
      <c r="H20" s="151">
        <v>0</v>
      </c>
      <c r="I20" s="151">
        <v>0</v>
      </c>
      <c r="J20" s="262">
        <f t="shared" si="36"/>
        <v>0</v>
      </c>
      <c r="K20" s="476">
        <f t="shared" si="37"/>
        <v>0</v>
      </c>
      <c r="L20" s="151">
        <v>0</v>
      </c>
      <c r="M20" s="260">
        <f t="shared" si="38"/>
        <v>0</v>
      </c>
      <c r="N20" s="260">
        <f t="shared" si="39"/>
        <v>0</v>
      </c>
      <c r="O20" s="151">
        <v>0</v>
      </c>
      <c r="P20" s="475">
        <f t="shared" si="40"/>
        <v>0</v>
      </c>
      <c r="Q20" s="260">
        <f t="shared" si="41"/>
        <v>0</v>
      </c>
      <c r="R20" s="475">
        <v>0</v>
      </c>
      <c r="S20" s="260">
        <v>0</v>
      </c>
      <c r="T20" s="475">
        <v>0</v>
      </c>
      <c r="U20" s="260">
        <v>0</v>
      </c>
      <c r="V20" s="260">
        <v>0</v>
      </c>
      <c r="W20" s="278">
        <v>0</v>
      </c>
      <c r="X20" s="152">
        <v>0</v>
      </c>
      <c r="Y20" s="216">
        <f t="shared" si="44"/>
        <v>0</v>
      </c>
      <c r="Z20" s="278">
        <v>0</v>
      </c>
      <c r="AA20" s="278">
        <v>0</v>
      </c>
      <c r="AB20" s="152">
        <v>0</v>
      </c>
      <c r="AC20" s="216">
        <f t="shared" si="46"/>
        <v>0</v>
      </c>
      <c r="AD20" s="152">
        <v>0</v>
      </c>
      <c r="AE20" s="216">
        <f t="shared" si="47"/>
        <v>0</v>
      </c>
      <c r="AF20" s="278">
        <v>0</v>
      </c>
      <c r="AG20" s="278">
        <v>0</v>
      </c>
      <c r="AH20" s="152">
        <v>0</v>
      </c>
      <c r="AI20" s="216">
        <f t="shared" si="49"/>
        <v>0</v>
      </c>
      <c r="AJ20" s="152">
        <v>0</v>
      </c>
      <c r="AK20" s="216">
        <f t="shared" si="50"/>
        <v>0</v>
      </c>
      <c r="AL20" s="278">
        <v>0</v>
      </c>
      <c r="AM20" s="152">
        <v>0</v>
      </c>
      <c r="AN20" s="216">
        <f t="shared" si="52"/>
        <v>0</v>
      </c>
      <c r="AO20" s="278">
        <v>0</v>
      </c>
      <c r="AP20" s="278">
        <v>0</v>
      </c>
      <c r="AQ20" s="152">
        <v>0</v>
      </c>
      <c r="AR20" s="216">
        <f t="shared" si="54"/>
        <v>0</v>
      </c>
      <c r="AS20" s="152">
        <v>0</v>
      </c>
      <c r="AT20" s="216">
        <f t="shared" si="55"/>
        <v>0</v>
      </c>
    </row>
    <row r="21" spans="1:46" ht="19.5" x14ac:dyDescent="0.3">
      <c r="A21" s="147">
        <v>8</v>
      </c>
      <c r="B21" s="148" t="s">
        <v>49</v>
      </c>
      <c r="C21" s="472">
        <f t="shared" si="34"/>
        <v>0</v>
      </c>
      <c r="D21" s="473">
        <f t="shared" si="56"/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262">
        <f t="shared" si="36"/>
        <v>0</v>
      </c>
      <c r="K21" s="476">
        <f t="shared" si="37"/>
        <v>0</v>
      </c>
      <c r="L21" s="151">
        <v>0</v>
      </c>
      <c r="M21" s="260">
        <f t="shared" si="38"/>
        <v>0</v>
      </c>
      <c r="N21" s="260">
        <f t="shared" si="39"/>
        <v>0</v>
      </c>
      <c r="O21" s="151">
        <v>0</v>
      </c>
      <c r="P21" s="475">
        <f t="shared" si="40"/>
        <v>0</v>
      </c>
      <c r="Q21" s="260">
        <f t="shared" si="41"/>
        <v>0</v>
      </c>
      <c r="R21" s="475">
        <v>0</v>
      </c>
      <c r="S21" s="260">
        <v>0</v>
      </c>
      <c r="T21" s="475">
        <v>0</v>
      </c>
      <c r="U21" s="260">
        <v>0</v>
      </c>
      <c r="V21" s="260">
        <v>0</v>
      </c>
      <c r="W21" s="278">
        <v>0</v>
      </c>
      <c r="X21" s="152">
        <v>0</v>
      </c>
      <c r="Y21" s="216">
        <f t="shared" si="44"/>
        <v>0</v>
      </c>
      <c r="Z21" s="278">
        <v>0</v>
      </c>
      <c r="AA21" s="278">
        <v>0</v>
      </c>
      <c r="AB21" s="152">
        <v>0</v>
      </c>
      <c r="AC21" s="216">
        <f t="shared" si="46"/>
        <v>0</v>
      </c>
      <c r="AD21" s="152">
        <v>0</v>
      </c>
      <c r="AE21" s="216">
        <f t="shared" si="47"/>
        <v>0</v>
      </c>
      <c r="AF21" s="278">
        <v>0</v>
      </c>
      <c r="AG21" s="278">
        <v>0</v>
      </c>
      <c r="AH21" s="152">
        <v>0</v>
      </c>
      <c r="AI21" s="216">
        <f t="shared" si="49"/>
        <v>0</v>
      </c>
      <c r="AJ21" s="152">
        <v>0</v>
      </c>
      <c r="AK21" s="216">
        <f t="shared" si="50"/>
        <v>0</v>
      </c>
      <c r="AL21" s="278">
        <v>0</v>
      </c>
      <c r="AM21" s="152">
        <v>0</v>
      </c>
      <c r="AN21" s="216">
        <f t="shared" si="52"/>
        <v>0</v>
      </c>
      <c r="AO21" s="278">
        <v>0</v>
      </c>
      <c r="AP21" s="278">
        <v>0</v>
      </c>
      <c r="AQ21" s="152">
        <v>0</v>
      </c>
      <c r="AR21" s="216">
        <f t="shared" si="54"/>
        <v>0</v>
      </c>
      <c r="AS21" s="152">
        <v>0</v>
      </c>
      <c r="AT21" s="216">
        <f t="shared" si="55"/>
        <v>0</v>
      </c>
    </row>
    <row r="22" spans="1:46" ht="19.5" x14ac:dyDescent="0.3">
      <c r="A22" s="147">
        <v>9</v>
      </c>
      <c r="B22" s="148" t="s">
        <v>50</v>
      </c>
      <c r="C22" s="472">
        <f t="shared" si="34"/>
        <v>0</v>
      </c>
      <c r="D22" s="473">
        <f t="shared" si="56"/>
        <v>0</v>
      </c>
      <c r="E22" s="151">
        <v>0</v>
      </c>
      <c r="F22" s="151">
        <v>0</v>
      </c>
      <c r="G22" s="151">
        <v>0</v>
      </c>
      <c r="H22" s="151">
        <v>0</v>
      </c>
      <c r="I22" s="151">
        <v>0</v>
      </c>
      <c r="J22" s="262">
        <f t="shared" si="36"/>
        <v>0</v>
      </c>
      <c r="K22" s="476">
        <f t="shared" si="37"/>
        <v>0</v>
      </c>
      <c r="L22" s="151">
        <v>0</v>
      </c>
      <c r="M22" s="260">
        <f t="shared" si="38"/>
        <v>0</v>
      </c>
      <c r="N22" s="260">
        <f t="shared" si="39"/>
        <v>0</v>
      </c>
      <c r="O22" s="151">
        <v>0</v>
      </c>
      <c r="P22" s="475">
        <f t="shared" si="40"/>
        <v>0</v>
      </c>
      <c r="Q22" s="260">
        <f t="shared" si="41"/>
        <v>0</v>
      </c>
      <c r="R22" s="475">
        <v>0</v>
      </c>
      <c r="S22" s="260">
        <v>0</v>
      </c>
      <c r="T22" s="475">
        <v>0</v>
      </c>
      <c r="U22" s="260">
        <v>0</v>
      </c>
      <c r="V22" s="260">
        <v>0</v>
      </c>
      <c r="W22" s="278">
        <v>0</v>
      </c>
      <c r="X22" s="152">
        <v>0</v>
      </c>
      <c r="Y22" s="216">
        <f t="shared" si="44"/>
        <v>0</v>
      </c>
      <c r="Z22" s="278">
        <v>0</v>
      </c>
      <c r="AA22" s="278">
        <v>0</v>
      </c>
      <c r="AB22" s="152">
        <v>0</v>
      </c>
      <c r="AC22" s="216">
        <f t="shared" si="46"/>
        <v>0</v>
      </c>
      <c r="AD22" s="152">
        <v>0</v>
      </c>
      <c r="AE22" s="216">
        <f t="shared" si="47"/>
        <v>0</v>
      </c>
      <c r="AF22" s="278">
        <v>0</v>
      </c>
      <c r="AG22" s="278">
        <v>0</v>
      </c>
      <c r="AH22" s="152">
        <v>0</v>
      </c>
      <c r="AI22" s="216">
        <f t="shared" si="49"/>
        <v>0</v>
      </c>
      <c r="AJ22" s="152">
        <v>0</v>
      </c>
      <c r="AK22" s="216">
        <f t="shared" si="50"/>
        <v>0</v>
      </c>
      <c r="AL22" s="278">
        <v>0</v>
      </c>
      <c r="AM22" s="152">
        <v>0</v>
      </c>
      <c r="AN22" s="216">
        <f t="shared" si="52"/>
        <v>0</v>
      </c>
      <c r="AO22" s="278">
        <v>0</v>
      </c>
      <c r="AP22" s="278">
        <v>0</v>
      </c>
      <c r="AQ22" s="152">
        <v>0</v>
      </c>
      <c r="AR22" s="216">
        <f t="shared" si="54"/>
        <v>0</v>
      </c>
      <c r="AS22" s="152">
        <v>0</v>
      </c>
      <c r="AT22" s="216">
        <f t="shared" si="55"/>
        <v>0</v>
      </c>
    </row>
    <row r="23" spans="1:46" ht="19.5" x14ac:dyDescent="0.3">
      <c r="A23" s="147">
        <v>10</v>
      </c>
      <c r="B23" s="148" t="s">
        <v>51</v>
      </c>
      <c r="C23" s="472">
        <f t="shared" si="34"/>
        <v>0</v>
      </c>
      <c r="D23" s="473">
        <f t="shared" si="56"/>
        <v>0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262">
        <f t="shared" si="36"/>
        <v>0</v>
      </c>
      <c r="K23" s="476">
        <f t="shared" si="37"/>
        <v>0</v>
      </c>
      <c r="L23" s="151">
        <v>0</v>
      </c>
      <c r="M23" s="260">
        <f t="shared" si="38"/>
        <v>0</v>
      </c>
      <c r="N23" s="260">
        <f t="shared" si="39"/>
        <v>0</v>
      </c>
      <c r="O23" s="151">
        <v>0</v>
      </c>
      <c r="P23" s="475">
        <f t="shared" si="40"/>
        <v>0</v>
      </c>
      <c r="Q23" s="260">
        <f t="shared" si="41"/>
        <v>0</v>
      </c>
      <c r="R23" s="475">
        <v>0</v>
      </c>
      <c r="S23" s="260">
        <v>0</v>
      </c>
      <c r="T23" s="475">
        <v>0</v>
      </c>
      <c r="U23" s="260">
        <v>0</v>
      </c>
      <c r="V23" s="260">
        <v>0</v>
      </c>
      <c r="W23" s="279">
        <v>0</v>
      </c>
      <c r="X23" s="397">
        <v>0</v>
      </c>
      <c r="Y23" s="216">
        <f t="shared" si="44"/>
        <v>0</v>
      </c>
      <c r="Z23" s="279">
        <v>0</v>
      </c>
      <c r="AA23" s="279">
        <v>0</v>
      </c>
      <c r="AB23" s="397">
        <v>0</v>
      </c>
      <c r="AC23" s="216">
        <f t="shared" si="46"/>
        <v>0</v>
      </c>
      <c r="AD23" s="397">
        <v>0</v>
      </c>
      <c r="AE23" s="216">
        <f t="shared" si="47"/>
        <v>0</v>
      </c>
      <c r="AF23" s="279">
        <v>0</v>
      </c>
      <c r="AG23" s="279">
        <v>0</v>
      </c>
      <c r="AH23" s="397">
        <v>0</v>
      </c>
      <c r="AI23" s="216">
        <f t="shared" si="49"/>
        <v>0</v>
      </c>
      <c r="AJ23" s="397">
        <v>0</v>
      </c>
      <c r="AK23" s="216">
        <f t="shared" si="50"/>
        <v>0</v>
      </c>
      <c r="AL23" s="279">
        <v>0</v>
      </c>
      <c r="AM23" s="397">
        <v>0</v>
      </c>
      <c r="AN23" s="216">
        <f t="shared" si="52"/>
        <v>0</v>
      </c>
      <c r="AO23" s="279">
        <v>0</v>
      </c>
      <c r="AP23" s="279">
        <v>0</v>
      </c>
      <c r="AQ23" s="397">
        <v>0</v>
      </c>
      <c r="AR23" s="216">
        <f t="shared" si="54"/>
        <v>0</v>
      </c>
      <c r="AS23" s="397">
        <v>0</v>
      </c>
      <c r="AT23" s="216">
        <f t="shared" si="55"/>
        <v>0</v>
      </c>
    </row>
    <row r="24" spans="1:46" ht="19.5" x14ac:dyDescent="0.3">
      <c r="A24" s="147">
        <v>11</v>
      </c>
      <c r="B24" s="148" t="s">
        <v>52</v>
      </c>
      <c r="C24" s="472">
        <f t="shared" si="34"/>
        <v>0</v>
      </c>
      <c r="D24" s="473">
        <f t="shared" si="56"/>
        <v>0</v>
      </c>
      <c r="E24" s="151">
        <v>0</v>
      </c>
      <c r="F24" s="151">
        <v>0</v>
      </c>
      <c r="G24" s="151">
        <v>0</v>
      </c>
      <c r="H24" s="151">
        <v>0</v>
      </c>
      <c r="I24" s="151">
        <v>0</v>
      </c>
      <c r="J24" s="262">
        <f t="shared" si="36"/>
        <v>0</v>
      </c>
      <c r="K24" s="476">
        <f t="shared" si="37"/>
        <v>0</v>
      </c>
      <c r="L24" s="151">
        <v>0</v>
      </c>
      <c r="M24" s="260">
        <f t="shared" si="38"/>
        <v>0</v>
      </c>
      <c r="N24" s="260">
        <f t="shared" si="39"/>
        <v>0</v>
      </c>
      <c r="O24" s="151">
        <v>0</v>
      </c>
      <c r="P24" s="475">
        <f t="shared" si="40"/>
        <v>0</v>
      </c>
      <c r="Q24" s="260">
        <f t="shared" si="41"/>
        <v>0</v>
      </c>
      <c r="R24" s="475">
        <v>0</v>
      </c>
      <c r="S24" s="260">
        <v>0</v>
      </c>
      <c r="T24" s="475">
        <v>0</v>
      </c>
      <c r="U24" s="260">
        <v>0</v>
      </c>
      <c r="V24" s="260">
        <v>0</v>
      </c>
      <c r="W24" s="278">
        <v>0</v>
      </c>
      <c r="X24" s="152">
        <v>0</v>
      </c>
      <c r="Y24" s="216">
        <f t="shared" si="44"/>
        <v>0</v>
      </c>
      <c r="Z24" s="278">
        <v>0</v>
      </c>
      <c r="AA24" s="278">
        <v>0</v>
      </c>
      <c r="AB24" s="152">
        <v>0</v>
      </c>
      <c r="AC24" s="216">
        <f t="shared" si="46"/>
        <v>0</v>
      </c>
      <c r="AD24" s="152">
        <v>0</v>
      </c>
      <c r="AE24" s="216">
        <f t="shared" si="47"/>
        <v>0</v>
      </c>
      <c r="AF24" s="278">
        <v>0</v>
      </c>
      <c r="AG24" s="278">
        <v>0</v>
      </c>
      <c r="AH24" s="152">
        <v>0</v>
      </c>
      <c r="AI24" s="216">
        <f t="shared" si="49"/>
        <v>0</v>
      </c>
      <c r="AJ24" s="152">
        <v>0</v>
      </c>
      <c r="AK24" s="216">
        <f t="shared" si="50"/>
        <v>0</v>
      </c>
      <c r="AL24" s="278">
        <v>0</v>
      </c>
      <c r="AM24" s="152">
        <v>0</v>
      </c>
      <c r="AN24" s="216">
        <f t="shared" si="52"/>
        <v>0</v>
      </c>
      <c r="AO24" s="278">
        <v>0</v>
      </c>
      <c r="AP24" s="278">
        <v>0</v>
      </c>
      <c r="AQ24" s="152">
        <v>0</v>
      </c>
      <c r="AR24" s="216">
        <f t="shared" si="54"/>
        <v>0</v>
      </c>
      <c r="AS24" s="152">
        <v>0</v>
      </c>
      <c r="AT24" s="216">
        <f t="shared" si="55"/>
        <v>0</v>
      </c>
    </row>
    <row r="25" spans="1:46" ht="19.5" x14ac:dyDescent="0.3">
      <c r="A25" s="147">
        <v>12</v>
      </c>
      <c r="B25" s="148" t="s">
        <v>53</v>
      </c>
      <c r="C25" s="472">
        <f t="shared" si="34"/>
        <v>0</v>
      </c>
      <c r="D25" s="473">
        <f t="shared" si="56"/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262">
        <f t="shared" si="36"/>
        <v>0</v>
      </c>
      <c r="K25" s="476">
        <f t="shared" si="37"/>
        <v>0</v>
      </c>
      <c r="L25" s="151">
        <v>0</v>
      </c>
      <c r="M25" s="260">
        <f t="shared" si="38"/>
        <v>0</v>
      </c>
      <c r="N25" s="260">
        <f t="shared" si="39"/>
        <v>0</v>
      </c>
      <c r="O25" s="151">
        <v>0</v>
      </c>
      <c r="P25" s="475">
        <f t="shared" si="40"/>
        <v>0</v>
      </c>
      <c r="Q25" s="260">
        <f t="shared" si="41"/>
        <v>0</v>
      </c>
      <c r="R25" s="475">
        <v>0</v>
      </c>
      <c r="S25" s="260">
        <v>0</v>
      </c>
      <c r="T25" s="475">
        <v>0</v>
      </c>
      <c r="U25" s="260">
        <v>0</v>
      </c>
      <c r="V25" s="260">
        <v>0</v>
      </c>
      <c r="W25" s="278">
        <v>0</v>
      </c>
      <c r="X25" s="152">
        <v>0</v>
      </c>
      <c r="Y25" s="216">
        <f t="shared" si="44"/>
        <v>0</v>
      </c>
      <c r="Z25" s="278">
        <v>0</v>
      </c>
      <c r="AA25" s="278">
        <v>0</v>
      </c>
      <c r="AB25" s="152">
        <v>0</v>
      </c>
      <c r="AC25" s="216">
        <f t="shared" si="46"/>
        <v>0</v>
      </c>
      <c r="AD25" s="152">
        <v>0</v>
      </c>
      <c r="AE25" s="216">
        <f t="shared" si="47"/>
        <v>0</v>
      </c>
      <c r="AF25" s="278">
        <v>0</v>
      </c>
      <c r="AG25" s="278">
        <v>0</v>
      </c>
      <c r="AH25" s="152">
        <v>0</v>
      </c>
      <c r="AI25" s="216">
        <f t="shared" si="49"/>
        <v>0</v>
      </c>
      <c r="AJ25" s="152">
        <v>0</v>
      </c>
      <c r="AK25" s="216">
        <f t="shared" si="50"/>
        <v>0</v>
      </c>
      <c r="AL25" s="278">
        <v>0</v>
      </c>
      <c r="AM25" s="152">
        <v>0</v>
      </c>
      <c r="AN25" s="216">
        <f t="shared" si="52"/>
        <v>0</v>
      </c>
      <c r="AO25" s="278">
        <v>0</v>
      </c>
      <c r="AP25" s="278">
        <v>0</v>
      </c>
      <c r="AQ25" s="152">
        <v>0</v>
      </c>
      <c r="AR25" s="216">
        <f t="shared" si="54"/>
        <v>0</v>
      </c>
      <c r="AS25" s="152">
        <v>0</v>
      </c>
      <c r="AT25" s="216">
        <f t="shared" si="55"/>
        <v>0</v>
      </c>
    </row>
    <row r="26" spans="1:46" ht="19.5" x14ac:dyDescent="0.3">
      <c r="A26" s="147">
        <v>13</v>
      </c>
      <c r="B26" s="148" t="s">
        <v>54</v>
      </c>
      <c r="C26" s="472">
        <f t="shared" si="34"/>
        <v>0</v>
      </c>
      <c r="D26" s="473">
        <f t="shared" si="56"/>
        <v>0</v>
      </c>
      <c r="E26" s="151">
        <v>0</v>
      </c>
      <c r="F26" s="151">
        <v>0</v>
      </c>
      <c r="G26" s="151">
        <v>0</v>
      </c>
      <c r="H26" s="151">
        <v>0</v>
      </c>
      <c r="I26" s="151">
        <v>0</v>
      </c>
      <c r="J26" s="262">
        <f t="shared" si="36"/>
        <v>0</v>
      </c>
      <c r="K26" s="476">
        <f t="shared" si="37"/>
        <v>0</v>
      </c>
      <c r="L26" s="151">
        <v>0</v>
      </c>
      <c r="M26" s="260">
        <f t="shared" si="38"/>
        <v>0</v>
      </c>
      <c r="N26" s="260">
        <f t="shared" si="39"/>
        <v>0</v>
      </c>
      <c r="O26" s="151">
        <v>0</v>
      </c>
      <c r="P26" s="475">
        <f t="shared" si="40"/>
        <v>0</v>
      </c>
      <c r="Q26" s="260">
        <f t="shared" si="41"/>
        <v>0</v>
      </c>
      <c r="R26" s="475">
        <v>0</v>
      </c>
      <c r="S26" s="260">
        <v>0</v>
      </c>
      <c r="T26" s="475">
        <v>0</v>
      </c>
      <c r="U26" s="260">
        <v>0</v>
      </c>
      <c r="V26" s="260">
        <v>0</v>
      </c>
      <c r="W26" s="279">
        <v>0</v>
      </c>
      <c r="X26" s="397">
        <v>0</v>
      </c>
      <c r="Y26" s="216">
        <f t="shared" si="44"/>
        <v>0</v>
      </c>
      <c r="Z26" s="279">
        <v>0</v>
      </c>
      <c r="AA26" s="279">
        <v>0</v>
      </c>
      <c r="AB26" s="397">
        <v>0</v>
      </c>
      <c r="AC26" s="216">
        <f t="shared" si="46"/>
        <v>0</v>
      </c>
      <c r="AD26" s="397">
        <v>0</v>
      </c>
      <c r="AE26" s="216">
        <f t="shared" si="47"/>
        <v>0</v>
      </c>
      <c r="AF26" s="279">
        <v>0</v>
      </c>
      <c r="AG26" s="279">
        <v>0</v>
      </c>
      <c r="AH26" s="397">
        <v>0</v>
      </c>
      <c r="AI26" s="216">
        <f t="shared" si="49"/>
        <v>0</v>
      </c>
      <c r="AJ26" s="397">
        <v>0</v>
      </c>
      <c r="AK26" s="216">
        <f t="shared" si="50"/>
        <v>0</v>
      </c>
      <c r="AL26" s="279">
        <v>0</v>
      </c>
      <c r="AM26" s="397">
        <v>0</v>
      </c>
      <c r="AN26" s="216">
        <f t="shared" si="52"/>
        <v>0</v>
      </c>
      <c r="AO26" s="279">
        <v>0</v>
      </c>
      <c r="AP26" s="279">
        <v>0</v>
      </c>
      <c r="AQ26" s="397">
        <v>0</v>
      </c>
      <c r="AR26" s="216">
        <f t="shared" si="54"/>
        <v>0</v>
      </c>
      <c r="AS26" s="397">
        <v>0</v>
      </c>
      <c r="AT26" s="216">
        <f t="shared" si="55"/>
        <v>0</v>
      </c>
    </row>
    <row r="27" spans="1:46" ht="19.5" x14ac:dyDescent="0.3">
      <c r="A27" s="147">
        <v>14</v>
      </c>
      <c r="B27" s="148" t="s">
        <v>55</v>
      </c>
      <c r="C27" s="472">
        <f t="shared" si="34"/>
        <v>0</v>
      </c>
      <c r="D27" s="473">
        <f t="shared" si="56"/>
        <v>0</v>
      </c>
      <c r="E27" s="151">
        <v>0</v>
      </c>
      <c r="F27" s="151">
        <v>0</v>
      </c>
      <c r="G27" s="151">
        <v>0</v>
      </c>
      <c r="H27" s="151">
        <v>0</v>
      </c>
      <c r="I27" s="151">
        <v>0</v>
      </c>
      <c r="J27" s="262">
        <f t="shared" si="36"/>
        <v>0</v>
      </c>
      <c r="K27" s="476">
        <f t="shared" si="37"/>
        <v>0</v>
      </c>
      <c r="L27" s="151">
        <v>0</v>
      </c>
      <c r="M27" s="260">
        <f t="shared" si="38"/>
        <v>0</v>
      </c>
      <c r="N27" s="260">
        <f t="shared" si="39"/>
        <v>0</v>
      </c>
      <c r="O27" s="151">
        <v>0</v>
      </c>
      <c r="P27" s="475">
        <f t="shared" si="40"/>
        <v>0</v>
      </c>
      <c r="Q27" s="260">
        <f t="shared" si="41"/>
        <v>0</v>
      </c>
      <c r="R27" s="475">
        <v>0</v>
      </c>
      <c r="S27" s="260">
        <v>0</v>
      </c>
      <c r="T27" s="475">
        <v>0</v>
      </c>
      <c r="U27" s="260">
        <v>0</v>
      </c>
      <c r="V27" s="260">
        <v>0</v>
      </c>
      <c r="W27" s="278">
        <v>0</v>
      </c>
      <c r="X27" s="152">
        <v>0</v>
      </c>
      <c r="Y27" s="216">
        <f t="shared" si="44"/>
        <v>0</v>
      </c>
      <c r="Z27" s="278">
        <v>0</v>
      </c>
      <c r="AA27" s="278">
        <v>0</v>
      </c>
      <c r="AB27" s="152">
        <v>0</v>
      </c>
      <c r="AC27" s="216">
        <f t="shared" si="46"/>
        <v>0</v>
      </c>
      <c r="AD27" s="152">
        <v>0</v>
      </c>
      <c r="AE27" s="216">
        <f t="shared" si="47"/>
        <v>0</v>
      </c>
      <c r="AF27" s="278">
        <v>0</v>
      </c>
      <c r="AG27" s="278">
        <v>0</v>
      </c>
      <c r="AH27" s="152">
        <v>0</v>
      </c>
      <c r="AI27" s="216">
        <f t="shared" si="49"/>
        <v>0</v>
      </c>
      <c r="AJ27" s="152">
        <v>0</v>
      </c>
      <c r="AK27" s="216">
        <f t="shared" si="50"/>
        <v>0</v>
      </c>
      <c r="AL27" s="278">
        <v>0</v>
      </c>
      <c r="AM27" s="152">
        <v>0</v>
      </c>
      <c r="AN27" s="216">
        <f t="shared" si="52"/>
        <v>0</v>
      </c>
      <c r="AO27" s="278">
        <v>0</v>
      </c>
      <c r="AP27" s="278">
        <v>0</v>
      </c>
      <c r="AQ27" s="152">
        <v>0</v>
      </c>
      <c r="AR27" s="216">
        <f t="shared" si="54"/>
        <v>0</v>
      </c>
      <c r="AS27" s="152">
        <v>0</v>
      </c>
      <c r="AT27" s="216">
        <f t="shared" si="55"/>
        <v>0</v>
      </c>
    </row>
    <row r="28" spans="1:46" ht="19.5" x14ac:dyDescent="0.3">
      <c r="A28" s="147">
        <v>15</v>
      </c>
      <c r="B28" s="148" t="s">
        <v>56</v>
      </c>
      <c r="C28" s="472">
        <f t="shared" si="34"/>
        <v>0</v>
      </c>
      <c r="D28" s="473">
        <f t="shared" si="56"/>
        <v>0</v>
      </c>
      <c r="E28" s="151">
        <v>0</v>
      </c>
      <c r="F28" s="151">
        <v>0</v>
      </c>
      <c r="G28" s="151">
        <v>0</v>
      </c>
      <c r="H28" s="151">
        <v>0</v>
      </c>
      <c r="I28" s="151">
        <v>0</v>
      </c>
      <c r="J28" s="262">
        <f t="shared" si="36"/>
        <v>0</v>
      </c>
      <c r="K28" s="476">
        <f t="shared" si="37"/>
        <v>0</v>
      </c>
      <c r="L28" s="151">
        <v>0</v>
      </c>
      <c r="M28" s="260">
        <f t="shared" si="38"/>
        <v>0</v>
      </c>
      <c r="N28" s="260">
        <f t="shared" si="39"/>
        <v>0</v>
      </c>
      <c r="O28" s="151">
        <v>0</v>
      </c>
      <c r="P28" s="475">
        <f t="shared" si="40"/>
        <v>0</v>
      </c>
      <c r="Q28" s="260">
        <f t="shared" si="41"/>
        <v>0</v>
      </c>
      <c r="R28" s="475">
        <v>0</v>
      </c>
      <c r="S28" s="260">
        <v>0</v>
      </c>
      <c r="T28" s="475">
        <v>0</v>
      </c>
      <c r="U28" s="260">
        <v>0</v>
      </c>
      <c r="V28" s="260">
        <v>0</v>
      </c>
      <c r="W28" s="278">
        <v>0</v>
      </c>
      <c r="X28" s="152">
        <v>0</v>
      </c>
      <c r="Y28" s="216">
        <f t="shared" si="44"/>
        <v>0</v>
      </c>
      <c r="Z28" s="278">
        <v>0</v>
      </c>
      <c r="AA28" s="278">
        <v>0</v>
      </c>
      <c r="AB28" s="152">
        <v>0</v>
      </c>
      <c r="AC28" s="216">
        <f t="shared" si="46"/>
        <v>0</v>
      </c>
      <c r="AD28" s="152">
        <v>0</v>
      </c>
      <c r="AE28" s="216">
        <f t="shared" si="47"/>
        <v>0</v>
      </c>
      <c r="AF28" s="278">
        <v>0</v>
      </c>
      <c r="AG28" s="278">
        <v>0</v>
      </c>
      <c r="AH28" s="152">
        <v>0</v>
      </c>
      <c r="AI28" s="216">
        <f t="shared" si="49"/>
        <v>0</v>
      </c>
      <c r="AJ28" s="152">
        <v>0</v>
      </c>
      <c r="AK28" s="216">
        <f t="shared" si="50"/>
        <v>0</v>
      </c>
      <c r="AL28" s="278">
        <v>0</v>
      </c>
      <c r="AM28" s="152">
        <v>0</v>
      </c>
      <c r="AN28" s="216">
        <f t="shared" si="52"/>
        <v>0</v>
      </c>
      <c r="AO28" s="278">
        <v>0</v>
      </c>
      <c r="AP28" s="278">
        <v>0</v>
      </c>
      <c r="AQ28" s="152">
        <v>0</v>
      </c>
      <c r="AR28" s="216">
        <f t="shared" si="54"/>
        <v>0</v>
      </c>
      <c r="AS28" s="152">
        <v>0</v>
      </c>
      <c r="AT28" s="216">
        <f t="shared" si="55"/>
        <v>0</v>
      </c>
    </row>
    <row r="29" spans="1:46" ht="19.5" x14ac:dyDescent="0.3">
      <c r="A29" s="147">
        <v>16</v>
      </c>
      <c r="B29" s="148" t="s">
        <v>57</v>
      </c>
      <c r="C29" s="472">
        <f t="shared" si="34"/>
        <v>0</v>
      </c>
      <c r="D29" s="473">
        <f t="shared" si="56"/>
        <v>0</v>
      </c>
      <c r="E29" s="151">
        <v>0</v>
      </c>
      <c r="F29" s="151">
        <v>0</v>
      </c>
      <c r="G29" s="151">
        <v>0</v>
      </c>
      <c r="H29" s="151">
        <v>0</v>
      </c>
      <c r="I29" s="151">
        <v>0</v>
      </c>
      <c r="J29" s="262">
        <f t="shared" si="36"/>
        <v>0</v>
      </c>
      <c r="K29" s="476">
        <f t="shared" si="37"/>
        <v>0</v>
      </c>
      <c r="L29" s="151">
        <v>0</v>
      </c>
      <c r="M29" s="260">
        <f t="shared" si="38"/>
        <v>0</v>
      </c>
      <c r="N29" s="260">
        <f t="shared" si="39"/>
        <v>0</v>
      </c>
      <c r="O29" s="151">
        <v>0</v>
      </c>
      <c r="P29" s="475">
        <f t="shared" si="40"/>
        <v>0</v>
      </c>
      <c r="Q29" s="260">
        <f t="shared" si="41"/>
        <v>0</v>
      </c>
      <c r="R29" s="475">
        <v>0</v>
      </c>
      <c r="S29" s="260">
        <v>0</v>
      </c>
      <c r="T29" s="475">
        <v>0</v>
      </c>
      <c r="U29" s="260">
        <v>0</v>
      </c>
      <c r="V29" s="260">
        <v>0</v>
      </c>
      <c r="W29" s="278">
        <v>0</v>
      </c>
      <c r="X29" s="152">
        <v>0</v>
      </c>
      <c r="Y29" s="216">
        <f t="shared" si="44"/>
        <v>0</v>
      </c>
      <c r="Z29" s="278">
        <v>0</v>
      </c>
      <c r="AA29" s="278">
        <v>0</v>
      </c>
      <c r="AB29" s="152">
        <v>0</v>
      </c>
      <c r="AC29" s="216">
        <f t="shared" si="46"/>
        <v>0</v>
      </c>
      <c r="AD29" s="152">
        <v>0</v>
      </c>
      <c r="AE29" s="216">
        <f t="shared" si="47"/>
        <v>0</v>
      </c>
      <c r="AF29" s="278">
        <v>0</v>
      </c>
      <c r="AG29" s="278">
        <v>0</v>
      </c>
      <c r="AH29" s="152">
        <v>0</v>
      </c>
      <c r="AI29" s="216">
        <f t="shared" si="49"/>
        <v>0</v>
      </c>
      <c r="AJ29" s="152">
        <v>0</v>
      </c>
      <c r="AK29" s="216">
        <f t="shared" si="50"/>
        <v>0</v>
      </c>
      <c r="AL29" s="278">
        <v>0</v>
      </c>
      <c r="AM29" s="152">
        <v>0</v>
      </c>
      <c r="AN29" s="216">
        <f t="shared" si="52"/>
        <v>0</v>
      </c>
      <c r="AO29" s="278">
        <v>0</v>
      </c>
      <c r="AP29" s="278">
        <v>0</v>
      </c>
      <c r="AQ29" s="152">
        <v>0</v>
      </c>
      <c r="AR29" s="216">
        <f t="shared" si="54"/>
        <v>0</v>
      </c>
      <c r="AS29" s="152">
        <v>0</v>
      </c>
      <c r="AT29" s="216">
        <f t="shared" si="55"/>
        <v>0</v>
      </c>
    </row>
    <row r="30" spans="1:46" ht="19.5" x14ac:dyDescent="0.3">
      <c r="A30" s="155">
        <v>17</v>
      </c>
      <c r="B30" s="156" t="s">
        <v>58</v>
      </c>
      <c r="C30" s="477">
        <f t="shared" si="34"/>
        <v>0</v>
      </c>
      <c r="D30" s="478">
        <f t="shared" si="56"/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479">
        <f t="shared" si="36"/>
        <v>0</v>
      </c>
      <c r="K30" s="480">
        <f t="shared" si="37"/>
        <v>0</v>
      </c>
      <c r="L30" s="159">
        <v>0</v>
      </c>
      <c r="M30" s="481">
        <f t="shared" si="38"/>
        <v>0</v>
      </c>
      <c r="N30" s="481">
        <f t="shared" si="39"/>
        <v>0</v>
      </c>
      <c r="O30" s="159">
        <v>0</v>
      </c>
      <c r="P30" s="482">
        <f t="shared" si="40"/>
        <v>0</v>
      </c>
      <c r="Q30" s="481">
        <f t="shared" si="41"/>
        <v>0</v>
      </c>
      <c r="R30" s="482">
        <v>0</v>
      </c>
      <c r="S30" s="481">
        <v>0</v>
      </c>
      <c r="T30" s="482">
        <v>0</v>
      </c>
      <c r="U30" s="481">
        <v>0</v>
      </c>
      <c r="V30" s="481">
        <v>0</v>
      </c>
      <c r="W30" s="280">
        <v>0</v>
      </c>
      <c r="X30" s="191">
        <v>0</v>
      </c>
      <c r="Y30" s="218">
        <f t="shared" si="44"/>
        <v>0</v>
      </c>
      <c r="Z30" s="280">
        <v>0</v>
      </c>
      <c r="AA30" s="280">
        <v>0</v>
      </c>
      <c r="AB30" s="191">
        <v>0</v>
      </c>
      <c r="AC30" s="218">
        <f t="shared" si="46"/>
        <v>0</v>
      </c>
      <c r="AD30" s="191">
        <v>0</v>
      </c>
      <c r="AE30" s="218">
        <f t="shared" si="47"/>
        <v>0</v>
      </c>
      <c r="AF30" s="280">
        <v>0</v>
      </c>
      <c r="AG30" s="280">
        <v>0</v>
      </c>
      <c r="AH30" s="191">
        <v>0</v>
      </c>
      <c r="AI30" s="218">
        <f t="shared" si="49"/>
        <v>0</v>
      </c>
      <c r="AJ30" s="191">
        <v>0</v>
      </c>
      <c r="AK30" s="218">
        <f t="shared" si="50"/>
        <v>0</v>
      </c>
      <c r="AL30" s="280">
        <v>0</v>
      </c>
      <c r="AM30" s="191">
        <v>0</v>
      </c>
      <c r="AN30" s="218">
        <f t="shared" si="52"/>
        <v>0</v>
      </c>
      <c r="AO30" s="280">
        <v>0</v>
      </c>
      <c r="AP30" s="280">
        <v>0</v>
      </c>
      <c r="AQ30" s="191">
        <v>0</v>
      </c>
      <c r="AR30" s="218">
        <f t="shared" si="54"/>
        <v>0</v>
      </c>
      <c r="AS30" s="191">
        <v>0</v>
      </c>
      <c r="AT30" s="218">
        <f t="shared" si="55"/>
        <v>0</v>
      </c>
    </row>
    <row r="31" spans="1:46" ht="19.5" x14ac:dyDescent="0.3">
      <c r="A31" s="784" t="s">
        <v>59</v>
      </c>
      <c r="B31" s="662"/>
      <c r="C31" s="483">
        <f t="shared" si="34"/>
        <v>0</v>
      </c>
      <c r="D31" s="483">
        <f t="shared" ref="D31:I31" si="57">SUM(D32:D51)</f>
        <v>0</v>
      </c>
      <c r="E31" s="483">
        <f t="shared" si="57"/>
        <v>0</v>
      </c>
      <c r="F31" s="483">
        <f t="shared" si="57"/>
        <v>0</v>
      </c>
      <c r="G31" s="483">
        <f t="shared" si="57"/>
        <v>0</v>
      </c>
      <c r="H31" s="483">
        <f t="shared" si="57"/>
        <v>0</v>
      </c>
      <c r="I31" s="483">
        <f t="shared" si="57"/>
        <v>0</v>
      </c>
      <c r="J31" s="483">
        <f t="shared" si="36"/>
        <v>0</v>
      </c>
      <c r="K31" s="484">
        <f t="shared" si="37"/>
        <v>0</v>
      </c>
      <c r="L31" s="483">
        <f>SUM(L32:L51)</f>
        <v>0</v>
      </c>
      <c r="M31" s="485">
        <f t="shared" si="38"/>
        <v>0</v>
      </c>
      <c r="N31" s="485">
        <f t="shared" si="39"/>
        <v>0</v>
      </c>
      <c r="O31" s="486">
        <f>SUM(O32:O51)</f>
        <v>0</v>
      </c>
      <c r="P31" s="486">
        <f t="shared" si="40"/>
        <v>0</v>
      </c>
      <c r="Q31" s="485">
        <f t="shared" si="41"/>
        <v>0</v>
      </c>
      <c r="R31" s="486">
        <f t="shared" ref="R31:T31" si="58">SUM(R32:R51)</f>
        <v>0</v>
      </c>
      <c r="S31" s="485">
        <f t="shared" si="58"/>
        <v>0</v>
      </c>
      <c r="T31" s="486">
        <f t="shared" si="58"/>
        <v>0</v>
      </c>
      <c r="U31" s="485">
        <f>IF(R31&gt;0,T31*100/R31,0)</f>
        <v>0</v>
      </c>
      <c r="V31" s="485">
        <f>IF(S31&gt;0,T31*100/S31,0)</f>
        <v>0</v>
      </c>
      <c r="W31" s="409">
        <f t="shared" ref="W31:X31" si="59">SUM(W32:W51)</f>
        <v>0</v>
      </c>
      <c r="X31" s="407">
        <f t="shared" si="59"/>
        <v>0</v>
      </c>
      <c r="Y31" s="405">
        <f t="shared" si="44"/>
        <v>0</v>
      </c>
      <c r="Z31" s="409">
        <f t="shared" ref="Z31:AB31" si="60">SUM(Z32:Z51)</f>
        <v>0</v>
      </c>
      <c r="AA31" s="409">
        <f t="shared" si="60"/>
        <v>0</v>
      </c>
      <c r="AB31" s="407">
        <f t="shared" si="60"/>
        <v>0</v>
      </c>
      <c r="AC31" s="405">
        <f t="shared" si="46"/>
        <v>0</v>
      </c>
      <c r="AD31" s="407">
        <f>SUM(AD32:AD51)</f>
        <v>0</v>
      </c>
      <c r="AE31" s="405">
        <f t="shared" si="47"/>
        <v>0</v>
      </c>
      <c r="AF31" s="409">
        <f t="shared" ref="AF31:AH31" si="61">SUM(AF32:AF51)</f>
        <v>0</v>
      </c>
      <c r="AG31" s="409">
        <f t="shared" si="61"/>
        <v>0</v>
      </c>
      <c r="AH31" s="407">
        <f t="shared" si="61"/>
        <v>0</v>
      </c>
      <c r="AI31" s="405">
        <f t="shared" si="49"/>
        <v>0</v>
      </c>
      <c r="AJ31" s="407">
        <f>SUM(AJ32:AJ51)</f>
        <v>0</v>
      </c>
      <c r="AK31" s="405">
        <f t="shared" si="50"/>
        <v>0</v>
      </c>
      <c r="AL31" s="409">
        <f t="shared" ref="AL31:AM31" si="62">SUM(AL32:AL51)</f>
        <v>0</v>
      </c>
      <c r="AM31" s="407">
        <f t="shared" si="62"/>
        <v>0</v>
      </c>
      <c r="AN31" s="405">
        <f t="shared" si="52"/>
        <v>0</v>
      </c>
      <c r="AO31" s="409">
        <f t="shared" ref="AO31:AQ31" si="63">SUM(AO32:AO51)</f>
        <v>0</v>
      </c>
      <c r="AP31" s="409">
        <f t="shared" si="63"/>
        <v>0</v>
      </c>
      <c r="AQ31" s="407">
        <f t="shared" si="63"/>
        <v>0</v>
      </c>
      <c r="AR31" s="405">
        <f t="shared" si="54"/>
        <v>0</v>
      </c>
      <c r="AS31" s="407">
        <f>SUM(AS32:AS51)</f>
        <v>0</v>
      </c>
      <c r="AT31" s="405">
        <f t="shared" si="55"/>
        <v>0</v>
      </c>
    </row>
    <row r="32" spans="1:46" ht="19.5" x14ac:dyDescent="0.3">
      <c r="A32" s="147">
        <v>1</v>
      </c>
      <c r="B32" s="148" t="s">
        <v>60</v>
      </c>
      <c r="C32" s="472">
        <f t="shared" si="34"/>
        <v>0</v>
      </c>
      <c r="D32" s="473">
        <f t="shared" ref="D32:D51" si="64">+E32+F32</f>
        <v>0</v>
      </c>
      <c r="E32" s="151">
        <v>0</v>
      </c>
      <c r="F32" s="151">
        <v>0</v>
      </c>
      <c r="G32" s="152">
        <v>0</v>
      </c>
      <c r="H32" s="152">
        <v>0</v>
      </c>
      <c r="I32" s="152">
        <v>0</v>
      </c>
      <c r="J32" s="251">
        <f t="shared" si="36"/>
        <v>0</v>
      </c>
      <c r="K32" s="474">
        <f t="shared" si="37"/>
        <v>0</v>
      </c>
      <c r="L32" s="152">
        <v>0</v>
      </c>
      <c r="M32" s="260">
        <f t="shared" si="38"/>
        <v>0</v>
      </c>
      <c r="N32" s="260">
        <f t="shared" si="39"/>
        <v>0</v>
      </c>
      <c r="O32" s="151">
        <v>0</v>
      </c>
      <c r="P32" s="475">
        <f t="shared" si="40"/>
        <v>0</v>
      </c>
      <c r="Q32" s="260">
        <f t="shared" si="41"/>
        <v>0</v>
      </c>
      <c r="R32" s="475">
        <v>0</v>
      </c>
      <c r="S32" s="260">
        <v>0</v>
      </c>
      <c r="T32" s="475">
        <v>0</v>
      </c>
      <c r="U32" s="260">
        <v>0</v>
      </c>
      <c r="V32" s="260">
        <v>0</v>
      </c>
      <c r="W32" s="278">
        <v>0</v>
      </c>
      <c r="X32" s="152">
        <v>0</v>
      </c>
      <c r="Y32" s="216">
        <f t="shared" si="44"/>
        <v>0</v>
      </c>
      <c r="Z32" s="278">
        <v>0</v>
      </c>
      <c r="AA32" s="278">
        <v>0</v>
      </c>
      <c r="AB32" s="152">
        <v>0</v>
      </c>
      <c r="AC32" s="216">
        <f t="shared" si="46"/>
        <v>0</v>
      </c>
      <c r="AD32" s="152">
        <v>0</v>
      </c>
      <c r="AE32" s="216">
        <f t="shared" si="47"/>
        <v>0</v>
      </c>
      <c r="AF32" s="278">
        <v>0</v>
      </c>
      <c r="AG32" s="278">
        <v>0</v>
      </c>
      <c r="AH32" s="152">
        <v>0</v>
      </c>
      <c r="AI32" s="216">
        <f t="shared" si="49"/>
        <v>0</v>
      </c>
      <c r="AJ32" s="152">
        <v>0</v>
      </c>
      <c r="AK32" s="216">
        <f t="shared" si="50"/>
        <v>0</v>
      </c>
      <c r="AL32" s="278">
        <v>0</v>
      </c>
      <c r="AM32" s="152">
        <v>0</v>
      </c>
      <c r="AN32" s="216">
        <f t="shared" si="52"/>
        <v>0</v>
      </c>
      <c r="AO32" s="278">
        <v>0</v>
      </c>
      <c r="AP32" s="278">
        <v>0</v>
      </c>
      <c r="AQ32" s="152">
        <v>0</v>
      </c>
      <c r="AR32" s="216">
        <f t="shared" si="54"/>
        <v>0</v>
      </c>
      <c r="AS32" s="152">
        <v>0</v>
      </c>
      <c r="AT32" s="216">
        <f t="shared" si="55"/>
        <v>0</v>
      </c>
    </row>
    <row r="33" spans="1:46" ht="19.5" x14ac:dyDescent="0.3">
      <c r="A33" s="147">
        <v>2</v>
      </c>
      <c r="B33" s="148" t="s">
        <v>61</v>
      </c>
      <c r="C33" s="472">
        <f t="shared" si="34"/>
        <v>0</v>
      </c>
      <c r="D33" s="473">
        <f t="shared" si="64"/>
        <v>0</v>
      </c>
      <c r="E33" s="151">
        <v>0</v>
      </c>
      <c r="F33" s="151">
        <v>0</v>
      </c>
      <c r="G33" s="151">
        <v>0</v>
      </c>
      <c r="H33" s="151">
        <v>0</v>
      </c>
      <c r="I33" s="151">
        <v>0</v>
      </c>
      <c r="J33" s="262">
        <f t="shared" si="36"/>
        <v>0</v>
      </c>
      <c r="K33" s="476">
        <f t="shared" si="37"/>
        <v>0</v>
      </c>
      <c r="L33" s="151">
        <v>0</v>
      </c>
      <c r="M33" s="260">
        <f t="shared" si="38"/>
        <v>0</v>
      </c>
      <c r="N33" s="260">
        <f t="shared" si="39"/>
        <v>0</v>
      </c>
      <c r="O33" s="151">
        <v>0</v>
      </c>
      <c r="P33" s="475">
        <f t="shared" si="40"/>
        <v>0</v>
      </c>
      <c r="Q33" s="260">
        <f t="shared" si="41"/>
        <v>0</v>
      </c>
      <c r="R33" s="475">
        <v>0</v>
      </c>
      <c r="S33" s="260">
        <v>0</v>
      </c>
      <c r="T33" s="475">
        <v>0</v>
      </c>
      <c r="U33" s="260">
        <v>0</v>
      </c>
      <c r="V33" s="260">
        <v>0</v>
      </c>
      <c r="W33" s="278">
        <v>0</v>
      </c>
      <c r="X33" s="152">
        <v>0</v>
      </c>
      <c r="Y33" s="216">
        <f t="shared" si="44"/>
        <v>0</v>
      </c>
      <c r="Z33" s="278">
        <v>0</v>
      </c>
      <c r="AA33" s="278">
        <v>0</v>
      </c>
      <c r="AB33" s="152">
        <v>0</v>
      </c>
      <c r="AC33" s="216">
        <f t="shared" si="46"/>
        <v>0</v>
      </c>
      <c r="AD33" s="152">
        <v>0</v>
      </c>
      <c r="AE33" s="216">
        <f t="shared" si="47"/>
        <v>0</v>
      </c>
      <c r="AF33" s="278">
        <v>0</v>
      </c>
      <c r="AG33" s="278">
        <v>0</v>
      </c>
      <c r="AH33" s="152">
        <v>0</v>
      </c>
      <c r="AI33" s="216">
        <f t="shared" si="49"/>
        <v>0</v>
      </c>
      <c r="AJ33" s="152">
        <v>0</v>
      </c>
      <c r="AK33" s="216">
        <f t="shared" si="50"/>
        <v>0</v>
      </c>
      <c r="AL33" s="278">
        <v>0</v>
      </c>
      <c r="AM33" s="152">
        <v>0</v>
      </c>
      <c r="AN33" s="216">
        <f t="shared" si="52"/>
        <v>0</v>
      </c>
      <c r="AO33" s="278">
        <v>0</v>
      </c>
      <c r="AP33" s="278">
        <v>0</v>
      </c>
      <c r="AQ33" s="152">
        <v>0</v>
      </c>
      <c r="AR33" s="216">
        <f t="shared" si="54"/>
        <v>0</v>
      </c>
      <c r="AS33" s="152">
        <v>0</v>
      </c>
      <c r="AT33" s="216">
        <f t="shared" si="55"/>
        <v>0</v>
      </c>
    </row>
    <row r="34" spans="1:46" ht="19.5" x14ac:dyDescent="0.3">
      <c r="A34" s="147">
        <v>3</v>
      </c>
      <c r="B34" s="148" t="s">
        <v>62</v>
      </c>
      <c r="C34" s="472">
        <f t="shared" si="34"/>
        <v>0</v>
      </c>
      <c r="D34" s="473">
        <f t="shared" si="64"/>
        <v>0</v>
      </c>
      <c r="E34" s="151">
        <v>0</v>
      </c>
      <c r="F34" s="151">
        <v>0</v>
      </c>
      <c r="G34" s="151">
        <v>0</v>
      </c>
      <c r="H34" s="151">
        <v>0</v>
      </c>
      <c r="I34" s="151">
        <v>0</v>
      </c>
      <c r="J34" s="262">
        <f t="shared" si="36"/>
        <v>0</v>
      </c>
      <c r="K34" s="476">
        <f t="shared" si="37"/>
        <v>0</v>
      </c>
      <c r="L34" s="151">
        <v>0</v>
      </c>
      <c r="M34" s="260">
        <f t="shared" si="38"/>
        <v>0</v>
      </c>
      <c r="N34" s="260">
        <f t="shared" si="39"/>
        <v>0</v>
      </c>
      <c r="O34" s="151">
        <v>0</v>
      </c>
      <c r="P34" s="475">
        <f t="shared" si="40"/>
        <v>0</v>
      </c>
      <c r="Q34" s="260">
        <f t="shared" si="41"/>
        <v>0</v>
      </c>
      <c r="R34" s="475">
        <v>0</v>
      </c>
      <c r="S34" s="260">
        <v>0</v>
      </c>
      <c r="T34" s="475">
        <v>0</v>
      </c>
      <c r="U34" s="260">
        <v>0</v>
      </c>
      <c r="V34" s="260">
        <v>0</v>
      </c>
      <c r="W34" s="278">
        <v>0</v>
      </c>
      <c r="X34" s="152">
        <v>0</v>
      </c>
      <c r="Y34" s="216">
        <f t="shared" si="44"/>
        <v>0</v>
      </c>
      <c r="Z34" s="278">
        <v>0</v>
      </c>
      <c r="AA34" s="278">
        <v>0</v>
      </c>
      <c r="AB34" s="152">
        <v>0</v>
      </c>
      <c r="AC34" s="216">
        <f t="shared" si="46"/>
        <v>0</v>
      </c>
      <c r="AD34" s="152">
        <v>0</v>
      </c>
      <c r="AE34" s="216">
        <f t="shared" si="47"/>
        <v>0</v>
      </c>
      <c r="AF34" s="278">
        <v>0</v>
      </c>
      <c r="AG34" s="278">
        <v>0</v>
      </c>
      <c r="AH34" s="152">
        <v>0</v>
      </c>
      <c r="AI34" s="216">
        <f t="shared" si="49"/>
        <v>0</v>
      </c>
      <c r="AJ34" s="152">
        <v>0</v>
      </c>
      <c r="AK34" s="216">
        <f t="shared" si="50"/>
        <v>0</v>
      </c>
      <c r="AL34" s="278">
        <v>0</v>
      </c>
      <c r="AM34" s="152">
        <v>0</v>
      </c>
      <c r="AN34" s="216">
        <f t="shared" si="52"/>
        <v>0</v>
      </c>
      <c r="AO34" s="278">
        <v>0</v>
      </c>
      <c r="AP34" s="278">
        <v>0</v>
      </c>
      <c r="AQ34" s="152">
        <v>0</v>
      </c>
      <c r="AR34" s="216">
        <f t="shared" si="54"/>
        <v>0</v>
      </c>
      <c r="AS34" s="152">
        <v>0</v>
      </c>
      <c r="AT34" s="216">
        <f t="shared" si="55"/>
        <v>0</v>
      </c>
    </row>
    <row r="35" spans="1:46" ht="19.5" x14ac:dyDescent="0.3">
      <c r="A35" s="147">
        <v>4</v>
      </c>
      <c r="B35" s="148" t="s">
        <v>63</v>
      </c>
      <c r="C35" s="472">
        <f t="shared" si="34"/>
        <v>0</v>
      </c>
      <c r="D35" s="473">
        <f t="shared" si="64"/>
        <v>0</v>
      </c>
      <c r="E35" s="151">
        <v>0</v>
      </c>
      <c r="F35" s="151">
        <v>0</v>
      </c>
      <c r="G35" s="151">
        <v>0</v>
      </c>
      <c r="H35" s="151">
        <v>0</v>
      </c>
      <c r="I35" s="151">
        <v>0</v>
      </c>
      <c r="J35" s="262">
        <f t="shared" si="36"/>
        <v>0</v>
      </c>
      <c r="K35" s="476">
        <f t="shared" si="37"/>
        <v>0</v>
      </c>
      <c r="L35" s="151">
        <v>0</v>
      </c>
      <c r="M35" s="260">
        <f t="shared" si="38"/>
        <v>0</v>
      </c>
      <c r="N35" s="260">
        <f t="shared" si="39"/>
        <v>0</v>
      </c>
      <c r="O35" s="151">
        <v>0</v>
      </c>
      <c r="P35" s="475">
        <f t="shared" si="40"/>
        <v>0</v>
      </c>
      <c r="Q35" s="260">
        <f t="shared" si="41"/>
        <v>0</v>
      </c>
      <c r="R35" s="475">
        <v>0</v>
      </c>
      <c r="S35" s="260">
        <v>0</v>
      </c>
      <c r="T35" s="475">
        <v>0</v>
      </c>
      <c r="U35" s="260">
        <v>0</v>
      </c>
      <c r="V35" s="260">
        <v>0</v>
      </c>
      <c r="W35" s="278">
        <v>0</v>
      </c>
      <c r="X35" s="152">
        <v>0</v>
      </c>
      <c r="Y35" s="216">
        <f t="shared" si="44"/>
        <v>0</v>
      </c>
      <c r="Z35" s="278">
        <v>0</v>
      </c>
      <c r="AA35" s="278">
        <v>0</v>
      </c>
      <c r="AB35" s="152">
        <v>0</v>
      </c>
      <c r="AC35" s="216">
        <f t="shared" si="46"/>
        <v>0</v>
      </c>
      <c r="AD35" s="152">
        <v>0</v>
      </c>
      <c r="AE35" s="216">
        <f t="shared" si="47"/>
        <v>0</v>
      </c>
      <c r="AF35" s="278">
        <v>0</v>
      </c>
      <c r="AG35" s="278">
        <v>0</v>
      </c>
      <c r="AH35" s="152">
        <v>0</v>
      </c>
      <c r="AI35" s="216">
        <f t="shared" si="49"/>
        <v>0</v>
      </c>
      <c r="AJ35" s="152">
        <v>0</v>
      </c>
      <c r="AK35" s="216">
        <f t="shared" si="50"/>
        <v>0</v>
      </c>
      <c r="AL35" s="278">
        <v>0</v>
      </c>
      <c r="AM35" s="152">
        <v>0</v>
      </c>
      <c r="AN35" s="216">
        <f t="shared" si="52"/>
        <v>0</v>
      </c>
      <c r="AO35" s="278">
        <v>0</v>
      </c>
      <c r="AP35" s="278">
        <v>0</v>
      </c>
      <c r="AQ35" s="152">
        <v>0</v>
      </c>
      <c r="AR35" s="216">
        <f t="shared" si="54"/>
        <v>0</v>
      </c>
      <c r="AS35" s="152">
        <v>0</v>
      </c>
      <c r="AT35" s="216">
        <f t="shared" si="55"/>
        <v>0</v>
      </c>
    </row>
    <row r="36" spans="1:46" ht="19.5" x14ac:dyDescent="0.3">
      <c r="A36" s="147">
        <v>5</v>
      </c>
      <c r="B36" s="148" t="s">
        <v>64</v>
      </c>
      <c r="C36" s="472">
        <f t="shared" si="34"/>
        <v>0</v>
      </c>
      <c r="D36" s="473">
        <f t="shared" si="64"/>
        <v>0</v>
      </c>
      <c r="E36" s="151">
        <v>0</v>
      </c>
      <c r="F36" s="151">
        <v>0</v>
      </c>
      <c r="G36" s="151">
        <v>0</v>
      </c>
      <c r="H36" s="151">
        <v>0</v>
      </c>
      <c r="I36" s="151">
        <v>0</v>
      </c>
      <c r="J36" s="262">
        <f t="shared" si="36"/>
        <v>0</v>
      </c>
      <c r="K36" s="476">
        <f t="shared" si="37"/>
        <v>0</v>
      </c>
      <c r="L36" s="151">
        <v>0</v>
      </c>
      <c r="M36" s="260">
        <f t="shared" si="38"/>
        <v>0</v>
      </c>
      <c r="N36" s="260">
        <f t="shared" si="39"/>
        <v>0</v>
      </c>
      <c r="O36" s="151">
        <v>0</v>
      </c>
      <c r="P36" s="475">
        <f t="shared" si="40"/>
        <v>0</v>
      </c>
      <c r="Q36" s="260">
        <f t="shared" si="41"/>
        <v>0</v>
      </c>
      <c r="R36" s="475">
        <v>0</v>
      </c>
      <c r="S36" s="260">
        <v>0</v>
      </c>
      <c r="T36" s="475">
        <v>0</v>
      </c>
      <c r="U36" s="260">
        <v>0</v>
      </c>
      <c r="V36" s="260">
        <v>0</v>
      </c>
      <c r="W36" s="279">
        <v>0</v>
      </c>
      <c r="X36" s="397">
        <v>0</v>
      </c>
      <c r="Y36" s="216">
        <f t="shared" si="44"/>
        <v>0</v>
      </c>
      <c r="Z36" s="279">
        <v>0</v>
      </c>
      <c r="AA36" s="279">
        <v>0</v>
      </c>
      <c r="AB36" s="397">
        <v>0</v>
      </c>
      <c r="AC36" s="216">
        <f t="shared" si="46"/>
        <v>0</v>
      </c>
      <c r="AD36" s="397">
        <v>0</v>
      </c>
      <c r="AE36" s="216">
        <f t="shared" si="47"/>
        <v>0</v>
      </c>
      <c r="AF36" s="279">
        <v>0</v>
      </c>
      <c r="AG36" s="279">
        <v>0</v>
      </c>
      <c r="AH36" s="397">
        <v>0</v>
      </c>
      <c r="AI36" s="216">
        <f t="shared" si="49"/>
        <v>0</v>
      </c>
      <c r="AJ36" s="397">
        <v>0</v>
      </c>
      <c r="AK36" s="216">
        <f t="shared" si="50"/>
        <v>0</v>
      </c>
      <c r="AL36" s="279">
        <v>0</v>
      </c>
      <c r="AM36" s="397">
        <v>0</v>
      </c>
      <c r="AN36" s="216">
        <f t="shared" si="52"/>
        <v>0</v>
      </c>
      <c r="AO36" s="279">
        <v>0</v>
      </c>
      <c r="AP36" s="279">
        <v>0</v>
      </c>
      <c r="AQ36" s="397">
        <v>0</v>
      </c>
      <c r="AR36" s="216">
        <f t="shared" si="54"/>
        <v>0</v>
      </c>
      <c r="AS36" s="397">
        <v>0</v>
      </c>
      <c r="AT36" s="216">
        <f t="shared" si="55"/>
        <v>0</v>
      </c>
    </row>
    <row r="37" spans="1:46" ht="19.5" x14ac:dyDescent="0.3">
      <c r="A37" s="147">
        <v>6</v>
      </c>
      <c r="B37" s="148" t="s">
        <v>65</v>
      </c>
      <c r="C37" s="472">
        <f t="shared" si="34"/>
        <v>0</v>
      </c>
      <c r="D37" s="473">
        <f t="shared" si="64"/>
        <v>0</v>
      </c>
      <c r="E37" s="151">
        <v>0</v>
      </c>
      <c r="F37" s="151">
        <v>0</v>
      </c>
      <c r="G37" s="151">
        <v>0</v>
      </c>
      <c r="H37" s="151">
        <v>0</v>
      </c>
      <c r="I37" s="151">
        <v>0</v>
      </c>
      <c r="J37" s="262">
        <f t="shared" si="36"/>
        <v>0</v>
      </c>
      <c r="K37" s="476">
        <f t="shared" si="37"/>
        <v>0</v>
      </c>
      <c r="L37" s="151">
        <v>0</v>
      </c>
      <c r="M37" s="260">
        <f t="shared" si="38"/>
        <v>0</v>
      </c>
      <c r="N37" s="260">
        <f t="shared" si="39"/>
        <v>0</v>
      </c>
      <c r="O37" s="151">
        <v>0</v>
      </c>
      <c r="P37" s="475">
        <f t="shared" si="40"/>
        <v>0</v>
      </c>
      <c r="Q37" s="260">
        <f t="shared" si="41"/>
        <v>0</v>
      </c>
      <c r="R37" s="475">
        <v>0</v>
      </c>
      <c r="S37" s="260">
        <v>0</v>
      </c>
      <c r="T37" s="475">
        <v>0</v>
      </c>
      <c r="U37" s="260">
        <v>0</v>
      </c>
      <c r="V37" s="260">
        <v>0</v>
      </c>
      <c r="W37" s="278">
        <v>0</v>
      </c>
      <c r="X37" s="152">
        <v>0</v>
      </c>
      <c r="Y37" s="216">
        <f t="shared" si="44"/>
        <v>0</v>
      </c>
      <c r="Z37" s="278">
        <v>0</v>
      </c>
      <c r="AA37" s="278">
        <v>0</v>
      </c>
      <c r="AB37" s="152">
        <v>0</v>
      </c>
      <c r="AC37" s="216">
        <f t="shared" si="46"/>
        <v>0</v>
      </c>
      <c r="AD37" s="152">
        <v>0</v>
      </c>
      <c r="AE37" s="216">
        <f t="shared" si="47"/>
        <v>0</v>
      </c>
      <c r="AF37" s="278">
        <v>0</v>
      </c>
      <c r="AG37" s="278">
        <v>0</v>
      </c>
      <c r="AH37" s="152">
        <v>0</v>
      </c>
      <c r="AI37" s="216">
        <f t="shared" si="49"/>
        <v>0</v>
      </c>
      <c r="AJ37" s="152">
        <v>0</v>
      </c>
      <c r="AK37" s="216">
        <f t="shared" si="50"/>
        <v>0</v>
      </c>
      <c r="AL37" s="278">
        <v>0</v>
      </c>
      <c r="AM37" s="152">
        <v>0</v>
      </c>
      <c r="AN37" s="216">
        <f t="shared" si="52"/>
        <v>0</v>
      </c>
      <c r="AO37" s="278">
        <v>0</v>
      </c>
      <c r="AP37" s="278">
        <v>0</v>
      </c>
      <c r="AQ37" s="152">
        <v>0</v>
      </c>
      <c r="AR37" s="216">
        <f t="shared" si="54"/>
        <v>0</v>
      </c>
      <c r="AS37" s="152">
        <v>0</v>
      </c>
      <c r="AT37" s="216">
        <f t="shared" si="55"/>
        <v>0</v>
      </c>
    </row>
    <row r="38" spans="1:46" ht="19.5" x14ac:dyDescent="0.3">
      <c r="A38" s="147">
        <v>7</v>
      </c>
      <c r="B38" s="148" t="s">
        <v>66</v>
      </c>
      <c r="C38" s="472">
        <f t="shared" si="34"/>
        <v>0</v>
      </c>
      <c r="D38" s="473">
        <f t="shared" si="64"/>
        <v>0</v>
      </c>
      <c r="E38" s="151">
        <v>0</v>
      </c>
      <c r="F38" s="151">
        <v>0</v>
      </c>
      <c r="G38" s="151">
        <v>0</v>
      </c>
      <c r="H38" s="151">
        <v>0</v>
      </c>
      <c r="I38" s="151">
        <v>0</v>
      </c>
      <c r="J38" s="262">
        <f t="shared" si="36"/>
        <v>0</v>
      </c>
      <c r="K38" s="476">
        <f t="shared" si="37"/>
        <v>0</v>
      </c>
      <c r="L38" s="151">
        <v>0</v>
      </c>
      <c r="M38" s="260">
        <f t="shared" si="38"/>
        <v>0</v>
      </c>
      <c r="N38" s="260">
        <f t="shared" si="39"/>
        <v>0</v>
      </c>
      <c r="O38" s="151">
        <v>0</v>
      </c>
      <c r="P38" s="475">
        <f t="shared" si="40"/>
        <v>0</v>
      </c>
      <c r="Q38" s="260">
        <f t="shared" si="41"/>
        <v>0</v>
      </c>
      <c r="R38" s="475">
        <v>0</v>
      </c>
      <c r="S38" s="260">
        <v>0</v>
      </c>
      <c r="T38" s="475">
        <v>0</v>
      </c>
      <c r="U38" s="260">
        <v>0</v>
      </c>
      <c r="V38" s="260">
        <v>0</v>
      </c>
      <c r="W38" s="279">
        <v>0</v>
      </c>
      <c r="X38" s="397">
        <v>0</v>
      </c>
      <c r="Y38" s="216">
        <f t="shared" si="44"/>
        <v>0</v>
      </c>
      <c r="Z38" s="279">
        <v>0</v>
      </c>
      <c r="AA38" s="279">
        <v>0</v>
      </c>
      <c r="AB38" s="397">
        <v>0</v>
      </c>
      <c r="AC38" s="216">
        <f t="shared" si="46"/>
        <v>0</v>
      </c>
      <c r="AD38" s="397">
        <v>0</v>
      </c>
      <c r="AE38" s="216">
        <f t="shared" si="47"/>
        <v>0</v>
      </c>
      <c r="AF38" s="279">
        <v>0</v>
      </c>
      <c r="AG38" s="279">
        <v>0</v>
      </c>
      <c r="AH38" s="397">
        <v>0</v>
      </c>
      <c r="AI38" s="216">
        <f t="shared" si="49"/>
        <v>0</v>
      </c>
      <c r="AJ38" s="397">
        <v>0</v>
      </c>
      <c r="AK38" s="216">
        <f t="shared" si="50"/>
        <v>0</v>
      </c>
      <c r="AL38" s="279">
        <v>0</v>
      </c>
      <c r="AM38" s="397">
        <v>0</v>
      </c>
      <c r="AN38" s="216">
        <f t="shared" si="52"/>
        <v>0</v>
      </c>
      <c r="AO38" s="279">
        <v>0</v>
      </c>
      <c r="AP38" s="279">
        <v>0</v>
      </c>
      <c r="AQ38" s="397">
        <v>0</v>
      </c>
      <c r="AR38" s="216">
        <f t="shared" si="54"/>
        <v>0</v>
      </c>
      <c r="AS38" s="397">
        <v>0</v>
      </c>
      <c r="AT38" s="216">
        <f t="shared" si="55"/>
        <v>0</v>
      </c>
    </row>
    <row r="39" spans="1:46" ht="19.5" x14ac:dyDescent="0.3">
      <c r="A39" s="147">
        <v>8</v>
      </c>
      <c r="B39" s="148" t="s">
        <v>67</v>
      </c>
      <c r="C39" s="472">
        <f t="shared" si="34"/>
        <v>0</v>
      </c>
      <c r="D39" s="473">
        <f t="shared" si="64"/>
        <v>0</v>
      </c>
      <c r="E39" s="151">
        <v>0</v>
      </c>
      <c r="F39" s="151">
        <v>0</v>
      </c>
      <c r="G39" s="151">
        <v>0</v>
      </c>
      <c r="H39" s="151">
        <v>0</v>
      </c>
      <c r="I39" s="151">
        <v>0</v>
      </c>
      <c r="J39" s="262">
        <f t="shared" si="36"/>
        <v>0</v>
      </c>
      <c r="K39" s="476">
        <f t="shared" si="37"/>
        <v>0</v>
      </c>
      <c r="L39" s="151">
        <v>0</v>
      </c>
      <c r="M39" s="260">
        <f t="shared" si="38"/>
        <v>0</v>
      </c>
      <c r="N39" s="260">
        <f t="shared" si="39"/>
        <v>0</v>
      </c>
      <c r="O39" s="151">
        <v>0</v>
      </c>
      <c r="P39" s="475">
        <f t="shared" si="40"/>
        <v>0</v>
      </c>
      <c r="Q39" s="260">
        <f t="shared" si="41"/>
        <v>0</v>
      </c>
      <c r="R39" s="475">
        <v>0</v>
      </c>
      <c r="S39" s="260">
        <v>0</v>
      </c>
      <c r="T39" s="475">
        <v>0</v>
      </c>
      <c r="U39" s="260">
        <v>0</v>
      </c>
      <c r="V39" s="260">
        <v>0</v>
      </c>
      <c r="W39" s="278">
        <v>0</v>
      </c>
      <c r="X39" s="152">
        <v>0</v>
      </c>
      <c r="Y39" s="216">
        <f t="shared" si="44"/>
        <v>0</v>
      </c>
      <c r="Z39" s="278">
        <v>0</v>
      </c>
      <c r="AA39" s="278">
        <v>0</v>
      </c>
      <c r="AB39" s="152">
        <v>0</v>
      </c>
      <c r="AC39" s="216">
        <f t="shared" si="46"/>
        <v>0</v>
      </c>
      <c r="AD39" s="152">
        <v>0</v>
      </c>
      <c r="AE39" s="216">
        <f t="shared" si="47"/>
        <v>0</v>
      </c>
      <c r="AF39" s="278">
        <v>0</v>
      </c>
      <c r="AG39" s="278">
        <v>0</v>
      </c>
      <c r="AH39" s="152">
        <v>0</v>
      </c>
      <c r="AI39" s="216">
        <f t="shared" si="49"/>
        <v>0</v>
      </c>
      <c r="AJ39" s="152">
        <v>0</v>
      </c>
      <c r="AK39" s="216">
        <f t="shared" si="50"/>
        <v>0</v>
      </c>
      <c r="AL39" s="278">
        <v>0</v>
      </c>
      <c r="AM39" s="152">
        <v>0</v>
      </c>
      <c r="AN39" s="216">
        <f t="shared" si="52"/>
        <v>0</v>
      </c>
      <c r="AO39" s="278">
        <v>0</v>
      </c>
      <c r="AP39" s="278">
        <v>0</v>
      </c>
      <c r="AQ39" s="152">
        <v>0</v>
      </c>
      <c r="AR39" s="216">
        <f t="shared" si="54"/>
        <v>0</v>
      </c>
      <c r="AS39" s="152">
        <v>0</v>
      </c>
      <c r="AT39" s="216">
        <f t="shared" si="55"/>
        <v>0</v>
      </c>
    </row>
    <row r="40" spans="1:46" ht="19.5" x14ac:dyDescent="0.3">
      <c r="A40" s="147">
        <v>9</v>
      </c>
      <c r="B40" s="148" t="s">
        <v>68</v>
      </c>
      <c r="C40" s="472">
        <f t="shared" si="34"/>
        <v>0</v>
      </c>
      <c r="D40" s="473">
        <f t="shared" si="64"/>
        <v>0</v>
      </c>
      <c r="E40" s="151">
        <v>0</v>
      </c>
      <c r="F40" s="151">
        <v>0</v>
      </c>
      <c r="G40" s="151">
        <v>0</v>
      </c>
      <c r="H40" s="151">
        <v>0</v>
      </c>
      <c r="I40" s="151">
        <v>0</v>
      </c>
      <c r="J40" s="262">
        <f t="shared" si="36"/>
        <v>0</v>
      </c>
      <c r="K40" s="476">
        <f t="shared" si="37"/>
        <v>0</v>
      </c>
      <c r="L40" s="151">
        <v>0</v>
      </c>
      <c r="M40" s="260">
        <f t="shared" si="38"/>
        <v>0</v>
      </c>
      <c r="N40" s="260">
        <f t="shared" si="39"/>
        <v>0</v>
      </c>
      <c r="O40" s="151">
        <v>0</v>
      </c>
      <c r="P40" s="475">
        <f t="shared" si="40"/>
        <v>0</v>
      </c>
      <c r="Q40" s="260">
        <f t="shared" si="41"/>
        <v>0</v>
      </c>
      <c r="R40" s="475">
        <v>0</v>
      </c>
      <c r="S40" s="260">
        <v>0</v>
      </c>
      <c r="T40" s="475">
        <v>0</v>
      </c>
      <c r="U40" s="260">
        <v>0</v>
      </c>
      <c r="V40" s="260">
        <v>0</v>
      </c>
      <c r="W40" s="278">
        <v>0</v>
      </c>
      <c r="X40" s="152">
        <v>0</v>
      </c>
      <c r="Y40" s="216">
        <f t="shared" si="44"/>
        <v>0</v>
      </c>
      <c r="Z40" s="278">
        <v>0</v>
      </c>
      <c r="AA40" s="278">
        <v>0</v>
      </c>
      <c r="AB40" s="152">
        <v>0</v>
      </c>
      <c r="AC40" s="216">
        <f t="shared" si="46"/>
        <v>0</v>
      </c>
      <c r="AD40" s="152">
        <v>0</v>
      </c>
      <c r="AE40" s="216">
        <f t="shared" si="47"/>
        <v>0</v>
      </c>
      <c r="AF40" s="278">
        <v>0</v>
      </c>
      <c r="AG40" s="278">
        <v>0</v>
      </c>
      <c r="AH40" s="152">
        <v>0</v>
      </c>
      <c r="AI40" s="216">
        <f t="shared" si="49"/>
        <v>0</v>
      </c>
      <c r="AJ40" s="152">
        <v>0</v>
      </c>
      <c r="AK40" s="216">
        <f t="shared" si="50"/>
        <v>0</v>
      </c>
      <c r="AL40" s="278">
        <v>0</v>
      </c>
      <c r="AM40" s="152">
        <v>0</v>
      </c>
      <c r="AN40" s="216">
        <f t="shared" si="52"/>
        <v>0</v>
      </c>
      <c r="AO40" s="278">
        <v>0</v>
      </c>
      <c r="AP40" s="278">
        <v>0</v>
      </c>
      <c r="AQ40" s="152">
        <v>0</v>
      </c>
      <c r="AR40" s="216">
        <f t="shared" si="54"/>
        <v>0</v>
      </c>
      <c r="AS40" s="152">
        <v>0</v>
      </c>
      <c r="AT40" s="216">
        <f t="shared" si="55"/>
        <v>0</v>
      </c>
    </row>
    <row r="41" spans="1:46" ht="19.5" x14ac:dyDescent="0.3">
      <c r="A41" s="147">
        <v>10</v>
      </c>
      <c r="B41" s="148" t="s">
        <v>69</v>
      </c>
      <c r="C41" s="472">
        <f t="shared" si="34"/>
        <v>0</v>
      </c>
      <c r="D41" s="473">
        <f t="shared" si="64"/>
        <v>0</v>
      </c>
      <c r="E41" s="151">
        <v>0</v>
      </c>
      <c r="F41" s="151">
        <v>0</v>
      </c>
      <c r="G41" s="151">
        <v>0</v>
      </c>
      <c r="H41" s="151">
        <v>0</v>
      </c>
      <c r="I41" s="151">
        <v>0</v>
      </c>
      <c r="J41" s="262">
        <f t="shared" si="36"/>
        <v>0</v>
      </c>
      <c r="K41" s="476">
        <f t="shared" si="37"/>
        <v>0</v>
      </c>
      <c r="L41" s="151">
        <v>0</v>
      </c>
      <c r="M41" s="260">
        <f t="shared" si="38"/>
        <v>0</v>
      </c>
      <c r="N41" s="260">
        <f t="shared" si="39"/>
        <v>0</v>
      </c>
      <c r="O41" s="151">
        <v>0</v>
      </c>
      <c r="P41" s="475">
        <f t="shared" si="40"/>
        <v>0</v>
      </c>
      <c r="Q41" s="260">
        <f t="shared" si="41"/>
        <v>0</v>
      </c>
      <c r="R41" s="475">
        <v>0</v>
      </c>
      <c r="S41" s="260">
        <v>0</v>
      </c>
      <c r="T41" s="475">
        <v>0</v>
      </c>
      <c r="U41" s="260">
        <v>0</v>
      </c>
      <c r="V41" s="260">
        <v>0</v>
      </c>
      <c r="W41" s="279">
        <v>0</v>
      </c>
      <c r="X41" s="397">
        <v>0</v>
      </c>
      <c r="Y41" s="216">
        <f t="shared" si="44"/>
        <v>0</v>
      </c>
      <c r="Z41" s="279">
        <v>0</v>
      </c>
      <c r="AA41" s="279">
        <v>0</v>
      </c>
      <c r="AB41" s="397">
        <v>0</v>
      </c>
      <c r="AC41" s="216">
        <f t="shared" si="46"/>
        <v>0</v>
      </c>
      <c r="AD41" s="397">
        <v>0</v>
      </c>
      <c r="AE41" s="216">
        <f t="shared" si="47"/>
        <v>0</v>
      </c>
      <c r="AF41" s="279">
        <v>0</v>
      </c>
      <c r="AG41" s="279">
        <v>0</v>
      </c>
      <c r="AH41" s="397">
        <v>0</v>
      </c>
      <c r="AI41" s="216">
        <f t="shared" si="49"/>
        <v>0</v>
      </c>
      <c r="AJ41" s="397">
        <v>0</v>
      </c>
      <c r="AK41" s="216">
        <f t="shared" si="50"/>
        <v>0</v>
      </c>
      <c r="AL41" s="279">
        <v>0</v>
      </c>
      <c r="AM41" s="397">
        <v>0</v>
      </c>
      <c r="AN41" s="216">
        <f t="shared" si="52"/>
        <v>0</v>
      </c>
      <c r="AO41" s="279">
        <v>0</v>
      </c>
      <c r="AP41" s="279">
        <v>0</v>
      </c>
      <c r="AQ41" s="397">
        <v>0</v>
      </c>
      <c r="AR41" s="216">
        <f t="shared" si="54"/>
        <v>0</v>
      </c>
      <c r="AS41" s="397">
        <v>0</v>
      </c>
      <c r="AT41" s="216">
        <f t="shared" si="55"/>
        <v>0</v>
      </c>
    </row>
    <row r="42" spans="1:46" ht="19.5" x14ac:dyDescent="0.3">
      <c r="A42" s="147">
        <v>11</v>
      </c>
      <c r="B42" s="148" t="s">
        <v>70</v>
      </c>
      <c r="C42" s="472">
        <f t="shared" si="34"/>
        <v>0</v>
      </c>
      <c r="D42" s="473">
        <f t="shared" si="64"/>
        <v>0</v>
      </c>
      <c r="E42" s="151">
        <v>0</v>
      </c>
      <c r="F42" s="151">
        <v>0</v>
      </c>
      <c r="G42" s="151">
        <v>0</v>
      </c>
      <c r="H42" s="151">
        <v>0</v>
      </c>
      <c r="I42" s="151">
        <v>0</v>
      </c>
      <c r="J42" s="262">
        <f t="shared" si="36"/>
        <v>0</v>
      </c>
      <c r="K42" s="476">
        <f t="shared" si="37"/>
        <v>0</v>
      </c>
      <c r="L42" s="151">
        <v>0</v>
      </c>
      <c r="M42" s="260">
        <f t="shared" si="38"/>
        <v>0</v>
      </c>
      <c r="N42" s="260">
        <f t="shared" si="39"/>
        <v>0</v>
      </c>
      <c r="O42" s="151">
        <v>0</v>
      </c>
      <c r="P42" s="475">
        <f t="shared" si="40"/>
        <v>0</v>
      </c>
      <c r="Q42" s="260">
        <f t="shared" si="41"/>
        <v>0</v>
      </c>
      <c r="R42" s="475">
        <v>0</v>
      </c>
      <c r="S42" s="260">
        <v>0</v>
      </c>
      <c r="T42" s="475">
        <v>0</v>
      </c>
      <c r="U42" s="260">
        <v>0</v>
      </c>
      <c r="V42" s="260">
        <v>0</v>
      </c>
      <c r="W42" s="278">
        <v>0</v>
      </c>
      <c r="X42" s="152">
        <v>0</v>
      </c>
      <c r="Y42" s="216">
        <f t="shared" si="44"/>
        <v>0</v>
      </c>
      <c r="Z42" s="278">
        <v>0</v>
      </c>
      <c r="AA42" s="278">
        <v>0</v>
      </c>
      <c r="AB42" s="152">
        <v>0</v>
      </c>
      <c r="AC42" s="216">
        <f t="shared" si="46"/>
        <v>0</v>
      </c>
      <c r="AD42" s="152">
        <v>0</v>
      </c>
      <c r="AE42" s="216">
        <f t="shared" si="47"/>
        <v>0</v>
      </c>
      <c r="AF42" s="278">
        <v>0</v>
      </c>
      <c r="AG42" s="278">
        <v>0</v>
      </c>
      <c r="AH42" s="152">
        <v>0</v>
      </c>
      <c r="AI42" s="216">
        <f t="shared" si="49"/>
        <v>0</v>
      </c>
      <c r="AJ42" s="152">
        <v>0</v>
      </c>
      <c r="AK42" s="216">
        <f t="shared" si="50"/>
        <v>0</v>
      </c>
      <c r="AL42" s="278">
        <v>0</v>
      </c>
      <c r="AM42" s="152">
        <v>0</v>
      </c>
      <c r="AN42" s="216">
        <f t="shared" si="52"/>
        <v>0</v>
      </c>
      <c r="AO42" s="278">
        <v>0</v>
      </c>
      <c r="AP42" s="278">
        <v>0</v>
      </c>
      <c r="AQ42" s="152">
        <v>0</v>
      </c>
      <c r="AR42" s="216">
        <f t="shared" si="54"/>
        <v>0</v>
      </c>
      <c r="AS42" s="152">
        <v>0</v>
      </c>
      <c r="AT42" s="216">
        <f t="shared" si="55"/>
        <v>0</v>
      </c>
    </row>
    <row r="43" spans="1:46" ht="19.5" x14ac:dyDescent="0.3">
      <c r="A43" s="147">
        <v>12</v>
      </c>
      <c r="B43" s="148" t="s">
        <v>71</v>
      </c>
      <c r="C43" s="472">
        <f t="shared" si="34"/>
        <v>0</v>
      </c>
      <c r="D43" s="473">
        <f t="shared" si="64"/>
        <v>0</v>
      </c>
      <c r="E43" s="151">
        <v>0</v>
      </c>
      <c r="F43" s="151">
        <v>0</v>
      </c>
      <c r="G43" s="151">
        <v>0</v>
      </c>
      <c r="H43" s="151">
        <v>0</v>
      </c>
      <c r="I43" s="151">
        <v>0</v>
      </c>
      <c r="J43" s="262">
        <f t="shared" si="36"/>
        <v>0</v>
      </c>
      <c r="K43" s="476">
        <f t="shared" si="37"/>
        <v>0</v>
      </c>
      <c r="L43" s="151">
        <v>0</v>
      </c>
      <c r="M43" s="260">
        <f t="shared" si="38"/>
        <v>0</v>
      </c>
      <c r="N43" s="260">
        <f t="shared" si="39"/>
        <v>0</v>
      </c>
      <c r="O43" s="151">
        <v>0</v>
      </c>
      <c r="P43" s="475">
        <f t="shared" si="40"/>
        <v>0</v>
      </c>
      <c r="Q43" s="260">
        <f t="shared" si="41"/>
        <v>0</v>
      </c>
      <c r="R43" s="475">
        <v>0</v>
      </c>
      <c r="S43" s="260">
        <v>0</v>
      </c>
      <c r="T43" s="475">
        <v>0</v>
      </c>
      <c r="U43" s="260">
        <v>0</v>
      </c>
      <c r="V43" s="260">
        <v>0</v>
      </c>
      <c r="W43" s="278">
        <v>0</v>
      </c>
      <c r="X43" s="152">
        <v>0</v>
      </c>
      <c r="Y43" s="216">
        <f t="shared" si="44"/>
        <v>0</v>
      </c>
      <c r="Z43" s="278">
        <v>0</v>
      </c>
      <c r="AA43" s="278">
        <v>0</v>
      </c>
      <c r="AB43" s="152">
        <v>0</v>
      </c>
      <c r="AC43" s="216">
        <f t="shared" si="46"/>
        <v>0</v>
      </c>
      <c r="AD43" s="152">
        <v>0</v>
      </c>
      <c r="AE43" s="216">
        <f t="shared" si="47"/>
        <v>0</v>
      </c>
      <c r="AF43" s="278">
        <v>0</v>
      </c>
      <c r="AG43" s="278">
        <v>0</v>
      </c>
      <c r="AH43" s="152">
        <v>0</v>
      </c>
      <c r="AI43" s="216">
        <f t="shared" si="49"/>
        <v>0</v>
      </c>
      <c r="AJ43" s="152">
        <v>0</v>
      </c>
      <c r="AK43" s="216">
        <f t="shared" si="50"/>
        <v>0</v>
      </c>
      <c r="AL43" s="278">
        <v>0</v>
      </c>
      <c r="AM43" s="152">
        <v>0</v>
      </c>
      <c r="AN43" s="216">
        <f t="shared" si="52"/>
        <v>0</v>
      </c>
      <c r="AO43" s="278">
        <v>0</v>
      </c>
      <c r="AP43" s="278">
        <v>0</v>
      </c>
      <c r="AQ43" s="152">
        <v>0</v>
      </c>
      <c r="AR43" s="216">
        <f t="shared" si="54"/>
        <v>0</v>
      </c>
      <c r="AS43" s="152">
        <v>0</v>
      </c>
      <c r="AT43" s="216">
        <f t="shared" si="55"/>
        <v>0</v>
      </c>
    </row>
    <row r="44" spans="1:46" ht="19.5" x14ac:dyDescent="0.3">
      <c r="A44" s="147">
        <v>13</v>
      </c>
      <c r="B44" s="148" t="s">
        <v>72</v>
      </c>
      <c r="C44" s="472">
        <f t="shared" si="34"/>
        <v>0</v>
      </c>
      <c r="D44" s="473">
        <f t="shared" si="64"/>
        <v>0</v>
      </c>
      <c r="E44" s="151">
        <v>0</v>
      </c>
      <c r="F44" s="151">
        <v>0</v>
      </c>
      <c r="G44" s="151">
        <v>0</v>
      </c>
      <c r="H44" s="151">
        <v>0</v>
      </c>
      <c r="I44" s="151">
        <v>0</v>
      </c>
      <c r="J44" s="262">
        <f t="shared" si="36"/>
        <v>0</v>
      </c>
      <c r="K44" s="476">
        <f t="shared" si="37"/>
        <v>0</v>
      </c>
      <c r="L44" s="151">
        <v>0</v>
      </c>
      <c r="M44" s="260">
        <f t="shared" si="38"/>
        <v>0</v>
      </c>
      <c r="N44" s="260">
        <f t="shared" si="39"/>
        <v>0</v>
      </c>
      <c r="O44" s="151">
        <v>0</v>
      </c>
      <c r="P44" s="475">
        <f t="shared" si="40"/>
        <v>0</v>
      </c>
      <c r="Q44" s="260">
        <f t="shared" si="41"/>
        <v>0</v>
      </c>
      <c r="R44" s="475">
        <v>0</v>
      </c>
      <c r="S44" s="260">
        <v>0</v>
      </c>
      <c r="T44" s="475">
        <v>0</v>
      </c>
      <c r="U44" s="260">
        <v>0</v>
      </c>
      <c r="V44" s="260">
        <v>0</v>
      </c>
      <c r="W44" s="278">
        <v>0</v>
      </c>
      <c r="X44" s="152">
        <v>0</v>
      </c>
      <c r="Y44" s="216">
        <f t="shared" si="44"/>
        <v>0</v>
      </c>
      <c r="Z44" s="278">
        <v>0</v>
      </c>
      <c r="AA44" s="278">
        <v>0</v>
      </c>
      <c r="AB44" s="152">
        <v>0</v>
      </c>
      <c r="AC44" s="216">
        <f t="shared" si="46"/>
        <v>0</v>
      </c>
      <c r="AD44" s="152">
        <v>0</v>
      </c>
      <c r="AE44" s="216">
        <f t="shared" si="47"/>
        <v>0</v>
      </c>
      <c r="AF44" s="278">
        <v>0</v>
      </c>
      <c r="AG44" s="278">
        <v>0</v>
      </c>
      <c r="AH44" s="152">
        <v>0</v>
      </c>
      <c r="AI44" s="216">
        <f t="shared" si="49"/>
        <v>0</v>
      </c>
      <c r="AJ44" s="152">
        <v>0</v>
      </c>
      <c r="AK44" s="216">
        <f t="shared" si="50"/>
        <v>0</v>
      </c>
      <c r="AL44" s="278">
        <v>0</v>
      </c>
      <c r="AM44" s="152">
        <v>0</v>
      </c>
      <c r="AN44" s="216">
        <f t="shared" si="52"/>
        <v>0</v>
      </c>
      <c r="AO44" s="278">
        <v>0</v>
      </c>
      <c r="AP44" s="278">
        <v>0</v>
      </c>
      <c r="AQ44" s="152">
        <v>0</v>
      </c>
      <c r="AR44" s="216">
        <f t="shared" si="54"/>
        <v>0</v>
      </c>
      <c r="AS44" s="152">
        <v>0</v>
      </c>
      <c r="AT44" s="216">
        <f t="shared" si="55"/>
        <v>0</v>
      </c>
    </row>
    <row r="45" spans="1:46" ht="19.5" x14ac:dyDescent="0.3">
      <c r="A45" s="147">
        <v>14</v>
      </c>
      <c r="B45" s="148" t="s">
        <v>73</v>
      </c>
      <c r="C45" s="472">
        <f t="shared" si="34"/>
        <v>0</v>
      </c>
      <c r="D45" s="473">
        <f t="shared" si="64"/>
        <v>0</v>
      </c>
      <c r="E45" s="151">
        <v>0</v>
      </c>
      <c r="F45" s="151">
        <v>0</v>
      </c>
      <c r="G45" s="151">
        <v>0</v>
      </c>
      <c r="H45" s="151">
        <v>0</v>
      </c>
      <c r="I45" s="151">
        <v>0</v>
      </c>
      <c r="J45" s="262">
        <f t="shared" si="36"/>
        <v>0</v>
      </c>
      <c r="K45" s="476">
        <f t="shared" si="37"/>
        <v>0</v>
      </c>
      <c r="L45" s="151">
        <v>0</v>
      </c>
      <c r="M45" s="260">
        <f t="shared" si="38"/>
        <v>0</v>
      </c>
      <c r="N45" s="260">
        <f t="shared" si="39"/>
        <v>0</v>
      </c>
      <c r="O45" s="151">
        <v>0</v>
      </c>
      <c r="P45" s="475">
        <f t="shared" si="40"/>
        <v>0</v>
      </c>
      <c r="Q45" s="260">
        <f t="shared" si="41"/>
        <v>0</v>
      </c>
      <c r="R45" s="475">
        <v>0</v>
      </c>
      <c r="S45" s="260">
        <v>0</v>
      </c>
      <c r="T45" s="475">
        <v>0</v>
      </c>
      <c r="U45" s="260">
        <v>0</v>
      </c>
      <c r="V45" s="260">
        <v>0</v>
      </c>
      <c r="W45" s="278">
        <v>0</v>
      </c>
      <c r="X45" s="152">
        <v>0</v>
      </c>
      <c r="Y45" s="216">
        <f t="shared" si="44"/>
        <v>0</v>
      </c>
      <c r="Z45" s="278">
        <v>0</v>
      </c>
      <c r="AA45" s="278">
        <v>0</v>
      </c>
      <c r="AB45" s="152">
        <v>0</v>
      </c>
      <c r="AC45" s="216">
        <f t="shared" si="46"/>
        <v>0</v>
      </c>
      <c r="AD45" s="152">
        <v>0</v>
      </c>
      <c r="AE45" s="216">
        <f t="shared" si="47"/>
        <v>0</v>
      </c>
      <c r="AF45" s="278">
        <v>0</v>
      </c>
      <c r="AG45" s="278">
        <v>0</v>
      </c>
      <c r="AH45" s="152">
        <v>0</v>
      </c>
      <c r="AI45" s="216">
        <f t="shared" si="49"/>
        <v>0</v>
      </c>
      <c r="AJ45" s="152">
        <v>0</v>
      </c>
      <c r="AK45" s="216">
        <f t="shared" si="50"/>
        <v>0</v>
      </c>
      <c r="AL45" s="278">
        <v>0</v>
      </c>
      <c r="AM45" s="152">
        <v>0</v>
      </c>
      <c r="AN45" s="216">
        <f t="shared" si="52"/>
        <v>0</v>
      </c>
      <c r="AO45" s="278">
        <v>0</v>
      </c>
      <c r="AP45" s="278">
        <v>0</v>
      </c>
      <c r="AQ45" s="152">
        <v>0</v>
      </c>
      <c r="AR45" s="216">
        <f t="shared" si="54"/>
        <v>0</v>
      </c>
      <c r="AS45" s="152">
        <v>0</v>
      </c>
      <c r="AT45" s="216">
        <f t="shared" si="55"/>
        <v>0</v>
      </c>
    </row>
    <row r="46" spans="1:46" ht="19.5" x14ac:dyDescent="0.3">
      <c r="A46" s="147">
        <v>15</v>
      </c>
      <c r="B46" s="148" t="s">
        <v>74</v>
      </c>
      <c r="C46" s="472">
        <f t="shared" si="34"/>
        <v>0</v>
      </c>
      <c r="D46" s="473">
        <f t="shared" si="64"/>
        <v>0</v>
      </c>
      <c r="E46" s="151">
        <v>0</v>
      </c>
      <c r="F46" s="151">
        <v>0</v>
      </c>
      <c r="G46" s="151">
        <v>0</v>
      </c>
      <c r="H46" s="151">
        <v>0</v>
      </c>
      <c r="I46" s="151">
        <v>0</v>
      </c>
      <c r="J46" s="262">
        <f t="shared" si="36"/>
        <v>0</v>
      </c>
      <c r="K46" s="476">
        <f t="shared" si="37"/>
        <v>0</v>
      </c>
      <c r="L46" s="151">
        <v>0</v>
      </c>
      <c r="M46" s="260">
        <f t="shared" si="38"/>
        <v>0</v>
      </c>
      <c r="N46" s="260">
        <f t="shared" si="39"/>
        <v>0</v>
      </c>
      <c r="O46" s="151">
        <v>0</v>
      </c>
      <c r="P46" s="475">
        <f t="shared" si="40"/>
        <v>0</v>
      </c>
      <c r="Q46" s="260">
        <f t="shared" si="41"/>
        <v>0</v>
      </c>
      <c r="R46" s="475">
        <v>0</v>
      </c>
      <c r="S46" s="260">
        <v>0</v>
      </c>
      <c r="T46" s="475">
        <v>0</v>
      </c>
      <c r="U46" s="260">
        <v>0</v>
      </c>
      <c r="V46" s="260">
        <v>0</v>
      </c>
      <c r="W46" s="278">
        <v>0</v>
      </c>
      <c r="X46" s="152">
        <v>0</v>
      </c>
      <c r="Y46" s="216">
        <f t="shared" si="44"/>
        <v>0</v>
      </c>
      <c r="Z46" s="278">
        <v>0</v>
      </c>
      <c r="AA46" s="278">
        <v>0</v>
      </c>
      <c r="AB46" s="152">
        <v>0</v>
      </c>
      <c r="AC46" s="216">
        <f t="shared" si="46"/>
        <v>0</v>
      </c>
      <c r="AD46" s="152">
        <v>0</v>
      </c>
      <c r="AE46" s="216">
        <f t="shared" si="47"/>
        <v>0</v>
      </c>
      <c r="AF46" s="278">
        <v>0</v>
      </c>
      <c r="AG46" s="278">
        <v>0</v>
      </c>
      <c r="AH46" s="152">
        <v>0</v>
      </c>
      <c r="AI46" s="216">
        <f t="shared" si="49"/>
        <v>0</v>
      </c>
      <c r="AJ46" s="152">
        <v>0</v>
      </c>
      <c r="AK46" s="216">
        <f t="shared" si="50"/>
        <v>0</v>
      </c>
      <c r="AL46" s="278">
        <v>0</v>
      </c>
      <c r="AM46" s="152">
        <v>0</v>
      </c>
      <c r="AN46" s="216">
        <f t="shared" si="52"/>
        <v>0</v>
      </c>
      <c r="AO46" s="278">
        <v>0</v>
      </c>
      <c r="AP46" s="278">
        <v>0</v>
      </c>
      <c r="AQ46" s="152">
        <v>0</v>
      </c>
      <c r="AR46" s="216">
        <f t="shared" si="54"/>
        <v>0</v>
      </c>
      <c r="AS46" s="152">
        <v>0</v>
      </c>
      <c r="AT46" s="216">
        <f t="shared" si="55"/>
        <v>0</v>
      </c>
    </row>
    <row r="47" spans="1:46" ht="19.5" x14ac:dyDescent="0.3">
      <c r="A47" s="147">
        <v>16</v>
      </c>
      <c r="B47" s="148" t="s">
        <v>75</v>
      </c>
      <c r="C47" s="472">
        <f t="shared" si="34"/>
        <v>0</v>
      </c>
      <c r="D47" s="473">
        <f t="shared" si="64"/>
        <v>0</v>
      </c>
      <c r="E47" s="151">
        <v>0</v>
      </c>
      <c r="F47" s="151">
        <v>0</v>
      </c>
      <c r="G47" s="151">
        <v>0</v>
      </c>
      <c r="H47" s="151">
        <v>0</v>
      </c>
      <c r="I47" s="151">
        <v>0</v>
      </c>
      <c r="J47" s="262">
        <f t="shared" si="36"/>
        <v>0</v>
      </c>
      <c r="K47" s="476">
        <f t="shared" si="37"/>
        <v>0</v>
      </c>
      <c r="L47" s="151">
        <v>0</v>
      </c>
      <c r="M47" s="260">
        <f t="shared" si="38"/>
        <v>0</v>
      </c>
      <c r="N47" s="260">
        <f t="shared" si="39"/>
        <v>0</v>
      </c>
      <c r="O47" s="151">
        <v>0</v>
      </c>
      <c r="P47" s="475">
        <f t="shared" si="40"/>
        <v>0</v>
      </c>
      <c r="Q47" s="260">
        <f t="shared" si="41"/>
        <v>0</v>
      </c>
      <c r="R47" s="475">
        <v>0</v>
      </c>
      <c r="S47" s="260">
        <v>0</v>
      </c>
      <c r="T47" s="475">
        <v>0</v>
      </c>
      <c r="U47" s="260">
        <v>0</v>
      </c>
      <c r="V47" s="260">
        <v>0</v>
      </c>
      <c r="W47" s="279">
        <v>0</v>
      </c>
      <c r="X47" s="397">
        <v>0</v>
      </c>
      <c r="Y47" s="216">
        <f t="shared" si="44"/>
        <v>0</v>
      </c>
      <c r="Z47" s="279">
        <v>0</v>
      </c>
      <c r="AA47" s="279">
        <v>0</v>
      </c>
      <c r="AB47" s="397">
        <v>0</v>
      </c>
      <c r="AC47" s="216">
        <f t="shared" si="46"/>
        <v>0</v>
      </c>
      <c r="AD47" s="397">
        <v>0</v>
      </c>
      <c r="AE47" s="216">
        <f t="shared" si="47"/>
        <v>0</v>
      </c>
      <c r="AF47" s="279">
        <v>0</v>
      </c>
      <c r="AG47" s="279">
        <v>0</v>
      </c>
      <c r="AH47" s="397">
        <v>0</v>
      </c>
      <c r="AI47" s="216">
        <f t="shared" si="49"/>
        <v>0</v>
      </c>
      <c r="AJ47" s="397">
        <v>0</v>
      </c>
      <c r="AK47" s="216">
        <f t="shared" si="50"/>
        <v>0</v>
      </c>
      <c r="AL47" s="279">
        <v>0</v>
      </c>
      <c r="AM47" s="397">
        <v>0</v>
      </c>
      <c r="AN47" s="216">
        <f t="shared" si="52"/>
        <v>0</v>
      </c>
      <c r="AO47" s="279">
        <v>0</v>
      </c>
      <c r="AP47" s="279">
        <v>0</v>
      </c>
      <c r="AQ47" s="397">
        <v>0</v>
      </c>
      <c r="AR47" s="216">
        <f t="shared" si="54"/>
        <v>0</v>
      </c>
      <c r="AS47" s="397">
        <v>0</v>
      </c>
      <c r="AT47" s="216">
        <f t="shared" si="55"/>
        <v>0</v>
      </c>
    </row>
    <row r="48" spans="1:46" ht="19.5" x14ac:dyDescent="0.3">
      <c r="A48" s="147">
        <v>17</v>
      </c>
      <c r="B48" s="148" t="s">
        <v>76</v>
      </c>
      <c r="C48" s="472">
        <f t="shared" si="34"/>
        <v>0</v>
      </c>
      <c r="D48" s="473">
        <f t="shared" si="64"/>
        <v>0</v>
      </c>
      <c r="E48" s="151">
        <v>0</v>
      </c>
      <c r="F48" s="151">
        <v>0</v>
      </c>
      <c r="G48" s="151">
        <v>0</v>
      </c>
      <c r="H48" s="151">
        <v>0</v>
      </c>
      <c r="I48" s="151">
        <v>0</v>
      </c>
      <c r="J48" s="262">
        <f t="shared" si="36"/>
        <v>0</v>
      </c>
      <c r="K48" s="476">
        <f t="shared" si="37"/>
        <v>0</v>
      </c>
      <c r="L48" s="151">
        <v>0</v>
      </c>
      <c r="M48" s="260">
        <f t="shared" si="38"/>
        <v>0</v>
      </c>
      <c r="N48" s="260">
        <f t="shared" si="39"/>
        <v>0</v>
      </c>
      <c r="O48" s="151">
        <v>0</v>
      </c>
      <c r="P48" s="475">
        <f t="shared" si="40"/>
        <v>0</v>
      </c>
      <c r="Q48" s="260">
        <f t="shared" si="41"/>
        <v>0</v>
      </c>
      <c r="R48" s="475">
        <v>0</v>
      </c>
      <c r="S48" s="260">
        <v>0</v>
      </c>
      <c r="T48" s="475">
        <v>0</v>
      </c>
      <c r="U48" s="260">
        <v>0</v>
      </c>
      <c r="V48" s="260">
        <v>0</v>
      </c>
      <c r="W48" s="278">
        <v>0</v>
      </c>
      <c r="X48" s="152">
        <v>0</v>
      </c>
      <c r="Y48" s="216">
        <f t="shared" si="44"/>
        <v>0</v>
      </c>
      <c r="Z48" s="278">
        <v>0</v>
      </c>
      <c r="AA48" s="278">
        <v>0</v>
      </c>
      <c r="AB48" s="152">
        <v>0</v>
      </c>
      <c r="AC48" s="216">
        <f t="shared" si="46"/>
        <v>0</v>
      </c>
      <c r="AD48" s="152">
        <v>0</v>
      </c>
      <c r="AE48" s="216">
        <f t="shared" si="47"/>
        <v>0</v>
      </c>
      <c r="AF48" s="278">
        <v>0</v>
      </c>
      <c r="AG48" s="278">
        <v>0</v>
      </c>
      <c r="AH48" s="152">
        <v>0</v>
      </c>
      <c r="AI48" s="216">
        <f t="shared" si="49"/>
        <v>0</v>
      </c>
      <c r="AJ48" s="152">
        <v>0</v>
      </c>
      <c r="AK48" s="216">
        <f t="shared" si="50"/>
        <v>0</v>
      </c>
      <c r="AL48" s="278">
        <v>0</v>
      </c>
      <c r="AM48" s="152">
        <v>0</v>
      </c>
      <c r="AN48" s="216">
        <f t="shared" si="52"/>
        <v>0</v>
      </c>
      <c r="AO48" s="278">
        <v>0</v>
      </c>
      <c r="AP48" s="278">
        <v>0</v>
      </c>
      <c r="AQ48" s="152">
        <v>0</v>
      </c>
      <c r="AR48" s="216">
        <f t="shared" si="54"/>
        <v>0</v>
      </c>
      <c r="AS48" s="152">
        <v>0</v>
      </c>
      <c r="AT48" s="216">
        <f t="shared" si="55"/>
        <v>0</v>
      </c>
    </row>
    <row r="49" spans="1:46" ht="19.5" x14ac:dyDescent="0.3">
      <c r="A49" s="147">
        <v>18</v>
      </c>
      <c r="B49" s="148" t="s">
        <v>77</v>
      </c>
      <c r="C49" s="472">
        <f t="shared" si="34"/>
        <v>0</v>
      </c>
      <c r="D49" s="473">
        <f t="shared" si="64"/>
        <v>0</v>
      </c>
      <c r="E49" s="151">
        <v>0</v>
      </c>
      <c r="F49" s="151">
        <v>0</v>
      </c>
      <c r="G49" s="151">
        <v>0</v>
      </c>
      <c r="H49" s="151">
        <v>0</v>
      </c>
      <c r="I49" s="151">
        <v>0</v>
      </c>
      <c r="J49" s="262">
        <f t="shared" si="36"/>
        <v>0</v>
      </c>
      <c r="K49" s="476">
        <f t="shared" si="37"/>
        <v>0</v>
      </c>
      <c r="L49" s="151">
        <v>0</v>
      </c>
      <c r="M49" s="260">
        <f t="shared" si="38"/>
        <v>0</v>
      </c>
      <c r="N49" s="260">
        <f t="shared" si="39"/>
        <v>0</v>
      </c>
      <c r="O49" s="151">
        <v>0</v>
      </c>
      <c r="P49" s="475">
        <f t="shared" si="40"/>
        <v>0</v>
      </c>
      <c r="Q49" s="260">
        <f t="shared" si="41"/>
        <v>0</v>
      </c>
      <c r="R49" s="475">
        <v>0</v>
      </c>
      <c r="S49" s="260">
        <v>0</v>
      </c>
      <c r="T49" s="475">
        <v>0</v>
      </c>
      <c r="U49" s="260">
        <v>0</v>
      </c>
      <c r="V49" s="260">
        <v>0</v>
      </c>
      <c r="W49" s="278">
        <v>0</v>
      </c>
      <c r="X49" s="152">
        <v>0</v>
      </c>
      <c r="Y49" s="216">
        <f t="shared" si="44"/>
        <v>0</v>
      </c>
      <c r="Z49" s="278">
        <v>0</v>
      </c>
      <c r="AA49" s="278">
        <v>0</v>
      </c>
      <c r="AB49" s="152">
        <v>0</v>
      </c>
      <c r="AC49" s="216">
        <f t="shared" si="46"/>
        <v>0</v>
      </c>
      <c r="AD49" s="152">
        <v>0</v>
      </c>
      <c r="AE49" s="216">
        <f t="shared" si="47"/>
        <v>0</v>
      </c>
      <c r="AF49" s="278">
        <v>0</v>
      </c>
      <c r="AG49" s="278">
        <v>0</v>
      </c>
      <c r="AH49" s="152">
        <v>0</v>
      </c>
      <c r="AI49" s="216">
        <f t="shared" si="49"/>
        <v>0</v>
      </c>
      <c r="AJ49" s="152">
        <v>0</v>
      </c>
      <c r="AK49" s="216">
        <f t="shared" si="50"/>
        <v>0</v>
      </c>
      <c r="AL49" s="278">
        <v>0</v>
      </c>
      <c r="AM49" s="152">
        <v>0</v>
      </c>
      <c r="AN49" s="216">
        <f t="shared" si="52"/>
        <v>0</v>
      </c>
      <c r="AO49" s="278">
        <v>0</v>
      </c>
      <c r="AP49" s="278">
        <v>0</v>
      </c>
      <c r="AQ49" s="152">
        <v>0</v>
      </c>
      <c r="AR49" s="216">
        <f t="shared" si="54"/>
        <v>0</v>
      </c>
      <c r="AS49" s="152">
        <v>0</v>
      </c>
      <c r="AT49" s="216">
        <f t="shared" si="55"/>
        <v>0</v>
      </c>
    </row>
    <row r="50" spans="1:46" ht="19.5" x14ac:dyDescent="0.3">
      <c r="A50" s="147">
        <v>19</v>
      </c>
      <c r="B50" s="148" t="s">
        <v>78</v>
      </c>
      <c r="C50" s="472">
        <f t="shared" si="34"/>
        <v>0</v>
      </c>
      <c r="D50" s="473">
        <f t="shared" si="64"/>
        <v>0</v>
      </c>
      <c r="E50" s="151">
        <v>0</v>
      </c>
      <c r="F50" s="151">
        <v>0</v>
      </c>
      <c r="G50" s="151">
        <v>0</v>
      </c>
      <c r="H50" s="151">
        <v>0</v>
      </c>
      <c r="I50" s="151">
        <v>0</v>
      </c>
      <c r="J50" s="262">
        <f t="shared" si="36"/>
        <v>0</v>
      </c>
      <c r="K50" s="476">
        <f t="shared" si="37"/>
        <v>0</v>
      </c>
      <c r="L50" s="151">
        <v>0</v>
      </c>
      <c r="M50" s="260">
        <f t="shared" si="38"/>
        <v>0</v>
      </c>
      <c r="N50" s="260">
        <f t="shared" si="39"/>
        <v>0</v>
      </c>
      <c r="O50" s="151">
        <v>0</v>
      </c>
      <c r="P50" s="475">
        <f t="shared" si="40"/>
        <v>0</v>
      </c>
      <c r="Q50" s="260">
        <f t="shared" si="41"/>
        <v>0</v>
      </c>
      <c r="R50" s="475">
        <v>0</v>
      </c>
      <c r="S50" s="260">
        <v>0</v>
      </c>
      <c r="T50" s="475">
        <v>0</v>
      </c>
      <c r="U50" s="260">
        <v>0</v>
      </c>
      <c r="V50" s="260">
        <v>0</v>
      </c>
      <c r="W50" s="278">
        <v>0</v>
      </c>
      <c r="X50" s="152">
        <v>0</v>
      </c>
      <c r="Y50" s="216">
        <f t="shared" si="44"/>
        <v>0</v>
      </c>
      <c r="Z50" s="278">
        <v>0</v>
      </c>
      <c r="AA50" s="278">
        <v>0</v>
      </c>
      <c r="AB50" s="152">
        <v>0</v>
      </c>
      <c r="AC50" s="216">
        <f t="shared" si="46"/>
        <v>0</v>
      </c>
      <c r="AD50" s="152">
        <v>0</v>
      </c>
      <c r="AE50" s="216">
        <f t="shared" si="47"/>
        <v>0</v>
      </c>
      <c r="AF50" s="278">
        <v>0</v>
      </c>
      <c r="AG50" s="278">
        <v>0</v>
      </c>
      <c r="AH50" s="152">
        <v>0</v>
      </c>
      <c r="AI50" s="216">
        <f t="shared" si="49"/>
        <v>0</v>
      </c>
      <c r="AJ50" s="152">
        <v>0</v>
      </c>
      <c r="AK50" s="216">
        <f t="shared" si="50"/>
        <v>0</v>
      </c>
      <c r="AL50" s="278">
        <v>0</v>
      </c>
      <c r="AM50" s="152">
        <v>0</v>
      </c>
      <c r="AN50" s="216">
        <f t="shared" si="52"/>
        <v>0</v>
      </c>
      <c r="AO50" s="278">
        <v>0</v>
      </c>
      <c r="AP50" s="278">
        <v>0</v>
      </c>
      <c r="AQ50" s="152">
        <v>0</v>
      </c>
      <c r="AR50" s="216">
        <f t="shared" si="54"/>
        <v>0</v>
      </c>
      <c r="AS50" s="152">
        <v>0</v>
      </c>
      <c r="AT50" s="216">
        <f t="shared" si="55"/>
        <v>0</v>
      </c>
    </row>
    <row r="51" spans="1:46" ht="19.5" x14ac:dyDescent="0.3">
      <c r="A51" s="155">
        <v>20</v>
      </c>
      <c r="B51" s="156" t="s">
        <v>79</v>
      </c>
      <c r="C51" s="477">
        <f t="shared" si="34"/>
        <v>0</v>
      </c>
      <c r="D51" s="478">
        <f t="shared" si="64"/>
        <v>0</v>
      </c>
      <c r="E51" s="159">
        <v>0</v>
      </c>
      <c r="F51" s="159">
        <v>0</v>
      </c>
      <c r="G51" s="159">
        <v>0</v>
      </c>
      <c r="H51" s="159">
        <v>0</v>
      </c>
      <c r="I51" s="159">
        <v>0</v>
      </c>
      <c r="J51" s="479">
        <f t="shared" si="36"/>
        <v>0</v>
      </c>
      <c r="K51" s="480">
        <f t="shared" si="37"/>
        <v>0</v>
      </c>
      <c r="L51" s="159">
        <v>0</v>
      </c>
      <c r="M51" s="481">
        <f t="shared" si="38"/>
        <v>0</v>
      </c>
      <c r="N51" s="481">
        <f t="shared" si="39"/>
        <v>0</v>
      </c>
      <c r="O51" s="159">
        <v>0</v>
      </c>
      <c r="P51" s="482">
        <f t="shared" si="40"/>
        <v>0</v>
      </c>
      <c r="Q51" s="481">
        <f t="shared" si="41"/>
        <v>0</v>
      </c>
      <c r="R51" s="482">
        <v>0</v>
      </c>
      <c r="S51" s="481">
        <v>0</v>
      </c>
      <c r="T51" s="482">
        <v>0</v>
      </c>
      <c r="U51" s="481">
        <v>0</v>
      </c>
      <c r="V51" s="481">
        <v>0</v>
      </c>
      <c r="W51" s="280">
        <v>0</v>
      </c>
      <c r="X51" s="191">
        <v>0</v>
      </c>
      <c r="Y51" s="218">
        <f t="shared" si="44"/>
        <v>0</v>
      </c>
      <c r="Z51" s="280">
        <v>0</v>
      </c>
      <c r="AA51" s="280">
        <v>0</v>
      </c>
      <c r="AB51" s="191">
        <v>0</v>
      </c>
      <c r="AC51" s="218">
        <f t="shared" si="46"/>
        <v>0</v>
      </c>
      <c r="AD51" s="191">
        <v>0</v>
      </c>
      <c r="AE51" s="218">
        <f t="shared" si="47"/>
        <v>0</v>
      </c>
      <c r="AF51" s="280">
        <v>0</v>
      </c>
      <c r="AG51" s="280">
        <v>0</v>
      </c>
      <c r="AH51" s="191">
        <v>0</v>
      </c>
      <c r="AI51" s="218">
        <f t="shared" si="49"/>
        <v>0</v>
      </c>
      <c r="AJ51" s="191">
        <v>0</v>
      </c>
      <c r="AK51" s="218">
        <f t="shared" si="50"/>
        <v>0</v>
      </c>
      <c r="AL51" s="280">
        <v>0</v>
      </c>
      <c r="AM51" s="191">
        <v>0</v>
      </c>
      <c r="AN51" s="218">
        <f t="shared" si="52"/>
        <v>0</v>
      </c>
      <c r="AO51" s="280">
        <v>0</v>
      </c>
      <c r="AP51" s="280">
        <v>0</v>
      </c>
      <c r="AQ51" s="191">
        <v>0</v>
      </c>
      <c r="AR51" s="218">
        <f t="shared" si="54"/>
        <v>0</v>
      </c>
      <c r="AS51" s="191">
        <v>0</v>
      </c>
      <c r="AT51" s="218">
        <f t="shared" si="55"/>
        <v>0</v>
      </c>
    </row>
    <row r="52" spans="1:46" ht="19.5" x14ac:dyDescent="0.3">
      <c r="A52" s="785" t="s">
        <v>80</v>
      </c>
      <c r="B52" s="662"/>
      <c r="C52" s="483">
        <f t="shared" si="34"/>
        <v>0</v>
      </c>
      <c r="D52" s="483">
        <f t="shared" ref="D52:I52" si="65">SUM(D53:D73)</f>
        <v>0</v>
      </c>
      <c r="E52" s="483">
        <f t="shared" si="65"/>
        <v>0</v>
      </c>
      <c r="F52" s="483">
        <f t="shared" si="65"/>
        <v>0</v>
      </c>
      <c r="G52" s="483">
        <f t="shared" si="65"/>
        <v>0</v>
      </c>
      <c r="H52" s="483">
        <f t="shared" si="65"/>
        <v>0</v>
      </c>
      <c r="I52" s="483">
        <f t="shared" si="65"/>
        <v>0</v>
      </c>
      <c r="J52" s="483">
        <f t="shared" si="36"/>
        <v>0</v>
      </c>
      <c r="K52" s="484">
        <f t="shared" si="37"/>
        <v>0</v>
      </c>
      <c r="L52" s="483">
        <f>SUM(L53:L73)</f>
        <v>0</v>
      </c>
      <c r="M52" s="485">
        <f t="shared" si="38"/>
        <v>0</v>
      </c>
      <c r="N52" s="485">
        <f t="shared" si="39"/>
        <v>0</v>
      </c>
      <c r="O52" s="486">
        <f>SUM(O53:O73)</f>
        <v>0</v>
      </c>
      <c r="P52" s="486">
        <f t="shared" si="40"/>
        <v>0</v>
      </c>
      <c r="Q52" s="485">
        <f t="shared" si="41"/>
        <v>0</v>
      </c>
      <c r="R52" s="486">
        <f t="shared" ref="R52:T52" si="66">SUM(R53:R73)</f>
        <v>0</v>
      </c>
      <c r="S52" s="485">
        <f t="shared" si="66"/>
        <v>0</v>
      </c>
      <c r="T52" s="486">
        <f t="shared" si="66"/>
        <v>0</v>
      </c>
      <c r="U52" s="485">
        <f>IF(R52&gt;0,T52*100/R52,0)</f>
        <v>0</v>
      </c>
      <c r="V52" s="485">
        <f>IF(S52&gt;0,T52*100/S52,0)</f>
        <v>0</v>
      </c>
      <c r="W52" s="409">
        <f t="shared" ref="W52:X52" si="67">SUM(W53:W73)</f>
        <v>0</v>
      </c>
      <c r="X52" s="407">
        <f t="shared" si="67"/>
        <v>0</v>
      </c>
      <c r="Y52" s="405">
        <f t="shared" si="44"/>
        <v>0</v>
      </c>
      <c r="Z52" s="409">
        <f t="shared" ref="Z52:AB52" si="68">SUM(Z53:Z73)</f>
        <v>0</v>
      </c>
      <c r="AA52" s="409">
        <f t="shared" si="68"/>
        <v>0</v>
      </c>
      <c r="AB52" s="407">
        <f t="shared" si="68"/>
        <v>0</v>
      </c>
      <c r="AC52" s="405">
        <f t="shared" si="46"/>
        <v>0</v>
      </c>
      <c r="AD52" s="407">
        <f>SUM(AD53:AD73)</f>
        <v>0</v>
      </c>
      <c r="AE52" s="405">
        <f t="shared" si="47"/>
        <v>0</v>
      </c>
      <c r="AF52" s="409">
        <f t="shared" ref="AF52:AH52" si="69">SUM(AF53:AF73)</f>
        <v>0</v>
      </c>
      <c r="AG52" s="409">
        <f t="shared" si="69"/>
        <v>0</v>
      </c>
      <c r="AH52" s="407">
        <f t="shared" si="69"/>
        <v>0</v>
      </c>
      <c r="AI52" s="405">
        <f t="shared" si="49"/>
        <v>0</v>
      </c>
      <c r="AJ52" s="407">
        <f>SUM(AJ53:AJ73)</f>
        <v>0</v>
      </c>
      <c r="AK52" s="405">
        <f t="shared" si="50"/>
        <v>0</v>
      </c>
      <c r="AL52" s="409">
        <f t="shared" ref="AL52:AM52" si="70">SUM(AL53:AL73)</f>
        <v>0</v>
      </c>
      <c r="AM52" s="407">
        <f t="shared" si="70"/>
        <v>0</v>
      </c>
      <c r="AN52" s="405">
        <f t="shared" si="52"/>
        <v>0</v>
      </c>
      <c r="AO52" s="409">
        <f t="shared" ref="AO52:AQ52" si="71">SUM(AO53:AO73)</f>
        <v>0</v>
      </c>
      <c r="AP52" s="409">
        <f t="shared" si="71"/>
        <v>0</v>
      </c>
      <c r="AQ52" s="407">
        <f t="shared" si="71"/>
        <v>0</v>
      </c>
      <c r="AR52" s="405">
        <f t="shared" si="54"/>
        <v>0</v>
      </c>
      <c r="AS52" s="407">
        <f>SUM(AS53:AS73)</f>
        <v>0</v>
      </c>
      <c r="AT52" s="405">
        <f t="shared" si="55"/>
        <v>0</v>
      </c>
    </row>
    <row r="53" spans="1:46" ht="19.5" x14ac:dyDescent="0.3">
      <c r="A53" s="147">
        <v>1</v>
      </c>
      <c r="B53" s="148" t="s">
        <v>81</v>
      </c>
      <c r="C53" s="472">
        <f t="shared" si="34"/>
        <v>0</v>
      </c>
      <c r="D53" s="473">
        <f t="shared" ref="D53:D73" si="72">+E53+F53</f>
        <v>0</v>
      </c>
      <c r="E53" s="151">
        <v>0</v>
      </c>
      <c r="F53" s="151">
        <v>0</v>
      </c>
      <c r="G53" s="152">
        <v>0</v>
      </c>
      <c r="H53" s="152">
        <v>0</v>
      </c>
      <c r="I53" s="152">
        <v>0</v>
      </c>
      <c r="J53" s="251">
        <f t="shared" si="36"/>
        <v>0</v>
      </c>
      <c r="K53" s="474">
        <f t="shared" si="37"/>
        <v>0</v>
      </c>
      <c r="L53" s="152">
        <v>0</v>
      </c>
      <c r="M53" s="260">
        <f t="shared" si="38"/>
        <v>0</v>
      </c>
      <c r="N53" s="260">
        <f t="shared" si="39"/>
        <v>0</v>
      </c>
      <c r="O53" s="151">
        <v>0</v>
      </c>
      <c r="P53" s="475">
        <f t="shared" si="40"/>
        <v>0</v>
      </c>
      <c r="Q53" s="260">
        <f t="shared" si="41"/>
        <v>0</v>
      </c>
      <c r="R53" s="475">
        <v>0</v>
      </c>
      <c r="S53" s="260">
        <v>0</v>
      </c>
      <c r="T53" s="475">
        <v>0</v>
      </c>
      <c r="U53" s="260">
        <v>0</v>
      </c>
      <c r="V53" s="260">
        <v>0</v>
      </c>
      <c r="W53" s="278">
        <v>0</v>
      </c>
      <c r="X53" s="152">
        <v>0</v>
      </c>
      <c r="Y53" s="216">
        <f t="shared" si="44"/>
        <v>0</v>
      </c>
      <c r="Z53" s="278">
        <v>0</v>
      </c>
      <c r="AA53" s="278">
        <v>0</v>
      </c>
      <c r="AB53" s="152">
        <v>0</v>
      </c>
      <c r="AC53" s="216">
        <f t="shared" si="46"/>
        <v>0</v>
      </c>
      <c r="AD53" s="152">
        <v>0</v>
      </c>
      <c r="AE53" s="216">
        <f t="shared" si="47"/>
        <v>0</v>
      </c>
      <c r="AF53" s="278">
        <v>0</v>
      </c>
      <c r="AG53" s="278">
        <v>0</v>
      </c>
      <c r="AH53" s="152">
        <v>0</v>
      </c>
      <c r="AI53" s="216">
        <f t="shared" si="49"/>
        <v>0</v>
      </c>
      <c r="AJ53" s="152">
        <v>0</v>
      </c>
      <c r="AK53" s="216">
        <f t="shared" si="50"/>
        <v>0</v>
      </c>
      <c r="AL53" s="278">
        <v>0</v>
      </c>
      <c r="AM53" s="152">
        <v>0</v>
      </c>
      <c r="AN53" s="216">
        <f t="shared" si="52"/>
        <v>0</v>
      </c>
      <c r="AO53" s="278">
        <v>0</v>
      </c>
      <c r="AP53" s="278">
        <v>0</v>
      </c>
      <c r="AQ53" s="152">
        <v>0</v>
      </c>
      <c r="AR53" s="216">
        <f t="shared" si="54"/>
        <v>0</v>
      </c>
      <c r="AS53" s="152">
        <v>0</v>
      </c>
      <c r="AT53" s="216">
        <f t="shared" si="55"/>
        <v>0</v>
      </c>
    </row>
    <row r="54" spans="1:46" ht="19.5" x14ac:dyDescent="0.3">
      <c r="A54" s="147">
        <v>2</v>
      </c>
      <c r="B54" s="148" t="s">
        <v>82</v>
      </c>
      <c r="C54" s="472">
        <f t="shared" si="34"/>
        <v>0</v>
      </c>
      <c r="D54" s="473">
        <f t="shared" si="72"/>
        <v>0</v>
      </c>
      <c r="E54" s="151">
        <v>0</v>
      </c>
      <c r="F54" s="151">
        <v>0</v>
      </c>
      <c r="G54" s="151">
        <v>0</v>
      </c>
      <c r="H54" s="151">
        <v>0</v>
      </c>
      <c r="I54" s="151">
        <v>0</v>
      </c>
      <c r="J54" s="262">
        <f t="shared" si="36"/>
        <v>0</v>
      </c>
      <c r="K54" s="476">
        <f t="shared" si="37"/>
        <v>0</v>
      </c>
      <c r="L54" s="151">
        <v>0</v>
      </c>
      <c r="M54" s="260">
        <f t="shared" si="38"/>
        <v>0</v>
      </c>
      <c r="N54" s="260">
        <f t="shared" si="39"/>
        <v>0</v>
      </c>
      <c r="O54" s="151">
        <v>0</v>
      </c>
      <c r="P54" s="475">
        <f t="shared" si="40"/>
        <v>0</v>
      </c>
      <c r="Q54" s="260">
        <f t="shared" si="41"/>
        <v>0</v>
      </c>
      <c r="R54" s="475">
        <v>0</v>
      </c>
      <c r="S54" s="260">
        <v>0</v>
      </c>
      <c r="T54" s="475">
        <v>0</v>
      </c>
      <c r="U54" s="260">
        <v>0</v>
      </c>
      <c r="V54" s="260">
        <v>0</v>
      </c>
      <c r="W54" s="278">
        <v>0</v>
      </c>
      <c r="X54" s="152">
        <v>0</v>
      </c>
      <c r="Y54" s="216">
        <f t="shared" si="44"/>
        <v>0</v>
      </c>
      <c r="Z54" s="278">
        <v>0</v>
      </c>
      <c r="AA54" s="278">
        <v>0</v>
      </c>
      <c r="AB54" s="152">
        <v>0</v>
      </c>
      <c r="AC54" s="216">
        <f t="shared" si="46"/>
        <v>0</v>
      </c>
      <c r="AD54" s="152">
        <v>0</v>
      </c>
      <c r="AE54" s="216">
        <f t="shared" si="47"/>
        <v>0</v>
      </c>
      <c r="AF54" s="278">
        <v>0</v>
      </c>
      <c r="AG54" s="278">
        <v>0</v>
      </c>
      <c r="AH54" s="152">
        <v>0</v>
      </c>
      <c r="AI54" s="216">
        <f t="shared" si="49"/>
        <v>0</v>
      </c>
      <c r="AJ54" s="152">
        <v>0</v>
      </c>
      <c r="AK54" s="216">
        <f t="shared" si="50"/>
        <v>0</v>
      </c>
      <c r="AL54" s="278">
        <v>0</v>
      </c>
      <c r="AM54" s="152">
        <v>0</v>
      </c>
      <c r="AN54" s="216">
        <f t="shared" si="52"/>
        <v>0</v>
      </c>
      <c r="AO54" s="278">
        <v>0</v>
      </c>
      <c r="AP54" s="278">
        <v>0</v>
      </c>
      <c r="AQ54" s="152">
        <v>0</v>
      </c>
      <c r="AR54" s="216">
        <f t="shared" si="54"/>
        <v>0</v>
      </c>
      <c r="AS54" s="152">
        <v>0</v>
      </c>
      <c r="AT54" s="216">
        <f t="shared" si="55"/>
        <v>0</v>
      </c>
    </row>
    <row r="55" spans="1:46" ht="19.5" x14ac:dyDescent="0.3">
      <c r="A55" s="147">
        <v>3</v>
      </c>
      <c r="B55" s="148" t="s">
        <v>83</v>
      </c>
      <c r="C55" s="472">
        <f t="shared" si="34"/>
        <v>0</v>
      </c>
      <c r="D55" s="473">
        <f t="shared" si="72"/>
        <v>0</v>
      </c>
      <c r="E55" s="151">
        <v>0</v>
      </c>
      <c r="F55" s="151">
        <v>0</v>
      </c>
      <c r="G55" s="151">
        <v>0</v>
      </c>
      <c r="H55" s="151">
        <v>0</v>
      </c>
      <c r="I55" s="151">
        <v>0</v>
      </c>
      <c r="J55" s="262">
        <f t="shared" si="36"/>
        <v>0</v>
      </c>
      <c r="K55" s="476">
        <f t="shared" si="37"/>
        <v>0</v>
      </c>
      <c r="L55" s="151">
        <v>0</v>
      </c>
      <c r="M55" s="260">
        <f t="shared" si="38"/>
        <v>0</v>
      </c>
      <c r="N55" s="260">
        <f t="shared" si="39"/>
        <v>0</v>
      </c>
      <c r="O55" s="151">
        <v>0</v>
      </c>
      <c r="P55" s="475">
        <f t="shared" si="40"/>
        <v>0</v>
      </c>
      <c r="Q55" s="260">
        <f t="shared" si="41"/>
        <v>0</v>
      </c>
      <c r="R55" s="475">
        <v>0</v>
      </c>
      <c r="S55" s="260">
        <v>0</v>
      </c>
      <c r="T55" s="475">
        <v>0</v>
      </c>
      <c r="U55" s="260">
        <v>0</v>
      </c>
      <c r="V55" s="260">
        <v>0</v>
      </c>
      <c r="W55" s="278">
        <v>0</v>
      </c>
      <c r="X55" s="152">
        <v>0</v>
      </c>
      <c r="Y55" s="216">
        <f t="shared" si="44"/>
        <v>0</v>
      </c>
      <c r="Z55" s="278">
        <v>0</v>
      </c>
      <c r="AA55" s="278">
        <v>0</v>
      </c>
      <c r="AB55" s="152">
        <v>0</v>
      </c>
      <c r="AC55" s="216">
        <f t="shared" si="46"/>
        <v>0</v>
      </c>
      <c r="AD55" s="152">
        <v>0</v>
      </c>
      <c r="AE55" s="216">
        <f t="shared" si="47"/>
        <v>0</v>
      </c>
      <c r="AF55" s="278">
        <v>0</v>
      </c>
      <c r="AG55" s="278">
        <v>0</v>
      </c>
      <c r="AH55" s="152">
        <v>0</v>
      </c>
      <c r="AI55" s="216">
        <f t="shared" si="49"/>
        <v>0</v>
      </c>
      <c r="AJ55" s="152">
        <v>0</v>
      </c>
      <c r="AK55" s="216">
        <f t="shared" si="50"/>
        <v>0</v>
      </c>
      <c r="AL55" s="278">
        <v>0</v>
      </c>
      <c r="AM55" s="152">
        <v>0</v>
      </c>
      <c r="AN55" s="216">
        <f t="shared" si="52"/>
        <v>0</v>
      </c>
      <c r="AO55" s="278">
        <v>0</v>
      </c>
      <c r="AP55" s="278">
        <v>0</v>
      </c>
      <c r="AQ55" s="152">
        <v>0</v>
      </c>
      <c r="AR55" s="216">
        <f t="shared" si="54"/>
        <v>0</v>
      </c>
      <c r="AS55" s="152">
        <v>0</v>
      </c>
      <c r="AT55" s="216">
        <f t="shared" si="55"/>
        <v>0</v>
      </c>
    </row>
    <row r="56" spans="1:46" ht="19.5" x14ac:dyDescent="0.3">
      <c r="A56" s="147">
        <v>4</v>
      </c>
      <c r="B56" s="148" t="s">
        <v>84</v>
      </c>
      <c r="C56" s="472">
        <f t="shared" si="34"/>
        <v>0</v>
      </c>
      <c r="D56" s="473">
        <f t="shared" si="72"/>
        <v>0</v>
      </c>
      <c r="E56" s="151">
        <v>0</v>
      </c>
      <c r="F56" s="151">
        <v>0</v>
      </c>
      <c r="G56" s="151">
        <v>0</v>
      </c>
      <c r="H56" s="151">
        <v>0</v>
      </c>
      <c r="I56" s="151">
        <v>0</v>
      </c>
      <c r="J56" s="262">
        <f t="shared" si="36"/>
        <v>0</v>
      </c>
      <c r="K56" s="476">
        <f t="shared" si="37"/>
        <v>0</v>
      </c>
      <c r="L56" s="151">
        <v>0</v>
      </c>
      <c r="M56" s="260">
        <f t="shared" si="38"/>
        <v>0</v>
      </c>
      <c r="N56" s="260">
        <f t="shared" si="39"/>
        <v>0</v>
      </c>
      <c r="O56" s="151">
        <v>0</v>
      </c>
      <c r="P56" s="475">
        <f t="shared" si="40"/>
        <v>0</v>
      </c>
      <c r="Q56" s="260">
        <f t="shared" si="41"/>
        <v>0</v>
      </c>
      <c r="R56" s="475">
        <v>0</v>
      </c>
      <c r="S56" s="260">
        <v>0</v>
      </c>
      <c r="T56" s="475">
        <v>0</v>
      </c>
      <c r="U56" s="260">
        <v>0</v>
      </c>
      <c r="V56" s="260">
        <v>0</v>
      </c>
      <c r="W56" s="278">
        <v>0</v>
      </c>
      <c r="X56" s="152">
        <v>0</v>
      </c>
      <c r="Y56" s="216">
        <f t="shared" si="44"/>
        <v>0</v>
      </c>
      <c r="Z56" s="278">
        <v>0</v>
      </c>
      <c r="AA56" s="278">
        <v>0</v>
      </c>
      <c r="AB56" s="152">
        <v>0</v>
      </c>
      <c r="AC56" s="216">
        <f t="shared" si="46"/>
        <v>0</v>
      </c>
      <c r="AD56" s="152">
        <v>0</v>
      </c>
      <c r="AE56" s="216">
        <f t="shared" si="47"/>
        <v>0</v>
      </c>
      <c r="AF56" s="278">
        <v>0</v>
      </c>
      <c r="AG56" s="278">
        <v>0</v>
      </c>
      <c r="AH56" s="152">
        <v>0</v>
      </c>
      <c r="AI56" s="216">
        <f t="shared" si="49"/>
        <v>0</v>
      </c>
      <c r="AJ56" s="152">
        <v>0</v>
      </c>
      <c r="AK56" s="216">
        <f t="shared" si="50"/>
        <v>0</v>
      </c>
      <c r="AL56" s="278">
        <v>0</v>
      </c>
      <c r="AM56" s="152">
        <v>0</v>
      </c>
      <c r="AN56" s="216">
        <f t="shared" si="52"/>
        <v>0</v>
      </c>
      <c r="AO56" s="278">
        <v>0</v>
      </c>
      <c r="AP56" s="278">
        <v>0</v>
      </c>
      <c r="AQ56" s="152">
        <v>0</v>
      </c>
      <c r="AR56" s="216">
        <f t="shared" si="54"/>
        <v>0</v>
      </c>
      <c r="AS56" s="152">
        <v>0</v>
      </c>
      <c r="AT56" s="216">
        <f t="shared" si="55"/>
        <v>0</v>
      </c>
    </row>
    <row r="57" spans="1:46" ht="19.5" x14ac:dyDescent="0.3">
      <c r="A57" s="147">
        <v>5</v>
      </c>
      <c r="B57" s="148" t="s">
        <v>85</v>
      </c>
      <c r="C57" s="472">
        <f t="shared" si="34"/>
        <v>0</v>
      </c>
      <c r="D57" s="473">
        <f t="shared" si="72"/>
        <v>0</v>
      </c>
      <c r="E57" s="151">
        <v>0</v>
      </c>
      <c r="F57" s="151">
        <v>0</v>
      </c>
      <c r="G57" s="151">
        <v>0</v>
      </c>
      <c r="H57" s="151">
        <v>0</v>
      </c>
      <c r="I57" s="151">
        <v>0</v>
      </c>
      <c r="J57" s="262">
        <f t="shared" si="36"/>
        <v>0</v>
      </c>
      <c r="K57" s="476">
        <f t="shared" si="37"/>
        <v>0</v>
      </c>
      <c r="L57" s="151">
        <v>0</v>
      </c>
      <c r="M57" s="260">
        <f t="shared" si="38"/>
        <v>0</v>
      </c>
      <c r="N57" s="260">
        <f t="shared" si="39"/>
        <v>0</v>
      </c>
      <c r="O57" s="151">
        <v>0</v>
      </c>
      <c r="P57" s="475">
        <f t="shared" si="40"/>
        <v>0</v>
      </c>
      <c r="Q57" s="260">
        <f t="shared" si="41"/>
        <v>0</v>
      </c>
      <c r="R57" s="475">
        <v>0</v>
      </c>
      <c r="S57" s="260">
        <v>0</v>
      </c>
      <c r="T57" s="475">
        <v>0</v>
      </c>
      <c r="U57" s="260">
        <v>0</v>
      </c>
      <c r="V57" s="260">
        <v>0</v>
      </c>
      <c r="W57" s="278">
        <v>0</v>
      </c>
      <c r="X57" s="152">
        <v>0</v>
      </c>
      <c r="Y57" s="216">
        <f t="shared" si="44"/>
        <v>0</v>
      </c>
      <c r="Z57" s="278">
        <v>0</v>
      </c>
      <c r="AA57" s="278">
        <v>0</v>
      </c>
      <c r="AB57" s="152">
        <v>0</v>
      </c>
      <c r="AC57" s="216">
        <f t="shared" si="46"/>
        <v>0</v>
      </c>
      <c r="AD57" s="152">
        <v>0</v>
      </c>
      <c r="AE57" s="216">
        <f t="shared" si="47"/>
        <v>0</v>
      </c>
      <c r="AF57" s="278">
        <v>0</v>
      </c>
      <c r="AG57" s="278">
        <v>0</v>
      </c>
      <c r="AH57" s="152">
        <v>0</v>
      </c>
      <c r="AI57" s="216">
        <f t="shared" si="49"/>
        <v>0</v>
      </c>
      <c r="AJ57" s="152">
        <v>0</v>
      </c>
      <c r="AK57" s="216">
        <f t="shared" si="50"/>
        <v>0</v>
      </c>
      <c r="AL57" s="278">
        <v>0</v>
      </c>
      <c r="AM57" s="152">
        <v>0</v>
      </c>
      <c r="AN57" s="216">
        <f t="shared" si="52"/>
        <v>0</v>
      </c>
      <c r="AO57" s="278">
        <v>0</v>
      </c>
      <c r="AP57" s="278">
        <v>0</v>
      </c>
      <c r="AQ57" s="152">
        <v>0</v>
      </c>
      <c r="AR57" s="216">
        <f t="shared" si="54"/>
        <v>0</v>
      </c>
      <c r="AS57" s="152">
        <v>0</v>
      </c>
      <c r="AT57" s="216">
        <f t="shared" si="55"/>
        <v>0</v>
      </c>
    </row>
    <row r="58" spans="1:46" ht="19.5" x14ac:dyDescent="0.3">
      <c r="A58" s="147">
        <v>6</v>
      </c>
      <c r="B58" s="148" t="s">
        <v>86</v>
      </c>
      <c r="C58" s="472">
        <f t="shared" si="34"/>
        <v>0</v>
      </c>
      <c r="D58" s="473">
        <f t="shared" si="72"/>
        <v>0</v>
      </c>
      <c r="E58" s="151">
        <v>0</v>
      </c>
      <c r="F58" s="151">
        <v>0</v>
      </c>
      <c r="G58" s="151">
        <v>0</v>
      </c>
      <c r="H58" s="151">
        <v>0</v>
      </c>
      <c r="I58" s="151">
        <v>0</v>
      </c>
      <c r="J58" s="262">
        <f t="shared" si="36"/>
        <v>0</v>
      </c>
      <c r="K58" s="476">
        <f t="shared" si="37"/>
        <v>0</v>
      </c>
      <c r="L58" s="151">
        <v>0</v>
      </c>
      <c r="M58" s="260">
        <f t="shared" si="38"/>
        <v>0</v>
      </c>
      <c r="N58" s="260">
        <f t="shared" si="39"/>
        <v>0</v>
      </c>
      <c r="O58" s="151">
        <v>0</v>
      </c>
      <c r="P58" s="475">
        <f t="shared" si="40"/>
        <v>0</v>
      </c>
      <c r="Q58" s="260">
        <f t="shared" si="41"/>
        <v>0</v>
      </c>
      <c r="R58" s="475">
        <v>0</v>
      </c>
      <c r="S58" s="260">
        <v>0</v>
      </c>
      <c r="T58" s="475">
        <v>0</v>
      </c>
      <c r="U58" s="260">
        <v>0</v>
      </c>
      <c r="V58" s="260">
        <v>0</v>
      </c>
      <c r="W58" s="278">
        <v>0</v>
      </c>
      <c r="X58" s="152">
        <v>0</v>
      </c>
      <c r="Y58" s="216">
        <f t="shared" si="44"/>
        <v>0</v>
      </c>
      <c r="Z58" s="278">
        <v>0</v>
      </c>
      <c r="AA58" s="278">
        <v>0</v>
      </c>
      <c r="AB58" s="152">
        <v>0</v>
      </c>
      <c r="AC58" s="216">
        <f t="shared" si="46"/>
        <v>0</v>
      </c>
      <c r="AD58" s="152">
        <v>0</v>
      </c>
      <c r="AE58" s="216">
        <f t="shared" si="47"/>
        <v>0</v>
      </c>
      <c r="AF58" s="278">
        <v>0</v>
      </c>
      <c r="AG58" s="278">
        <v>0</v>
      </c>
      <c r="AH58" s="152">
        <v>0</v>
      </c>
      <c r="AI58" s="216">
        <f t="shared" si="49"/>
        <v>0</v>
      </c>
      <c r="AJ58" s="152">
        <v>0</v>
      </c>
      <c r="AK58" s="216">
        <f t="shared" si="50"/>
        <v>0</v>
      </c>
      <c r="AL58" s="278">
        <v>0</v>
      </c>
      <c r="AM58" s="152">
        <v>0</v>
      </c>
      <c r="AN58" s="216">
        <f t="shared" si="52"/>
        <v>0</v>
      </c>
      <c r="AO58" s="278">
        <v>0</v>
      </c>
      <c r="AP58" s="278">
        <v>0</v>
      </c>
      <c r="AQ58" s="152">
        <v>0</v>
      </c>
      <c r="AR58" s="216">
        <f t="shared" si="54"/>
        <v>0</v>
      </c>
      <c r="AS58" s="152">
        <v>0</v>
      </c>
      <c r="AT58" s="216">
        <f t="shared" si="55"/>
        <v>0</v>
      </c>
    </row>
    <row r="59" spans="1:46" ht="19.5" x14ac:dyDescent="0.3">
      <c r="A59" s="147">
        <v>7</v>
      </c>
      <c r="B59" s="148" t="s">
        <v>87</v>
      </c>
      <c r="C59" s="472">
        <f t="shared" si="34"/>
        <v>0</v>
      </c>
      <c r="D59" s="473">
        <f t="shared" si="72"/>
        <v>0</v>
      </c>
      <c r="E59" s="151">
        <v>0</v>
      </c>
      <c r="F59" s="151">
        <v>0</v>
      </c>
      <c r="G59" s="151">
        <v>0</v>
      </c>
      <c r="H59" s="151">
        <v>0</v>
      </c>
      <c r="I59" s="151">
        <v>0</v>
      </c>
      <c r="J59" s="262">
        <f t="shared" si="36"/>
        <v>0</v>
      </c>
      <c r="K59" s="476">
        <f t="shared" si="37"/>
        <v>0</v>
      </c>
      <c r="L59" s="151">
        <v>0</v>
      </c>
      <c r="M59" s="260">
        <f t="shared" si="38"/>
        <v>0</v>
      </c>
      <c r="N59" s="260">
        <f t="shared" si="39"/>
        <v>0</v>
      </c>
      <c r="O59" s="151">
        <v>0</v>
      </c>
      <c r="P59" s="475">
        <f t="shared" si="40"/>
        <v>0</v>
      </c>
      <c r="Q59" s="260">
        <f t="shared" si="41"/>
        <v>0</v>
      </c>
      <c r="R59" s="475">
        <v>0</v>
      </c>
      <c r="S59" s="260">
        <v>0</v>
      </c>
      <c r="T59" s="475">
        <v>0</v>
      </c>
      <c r="U59" s="260">
        <v>0</v>
      </c>
      <c r="V59" s="260">
        <v>0</v>
      </c>
      <c r="W59" s="278">
        <v>0</v>
      </c>
      <c r="X59" s="152">
        <v>0</v>
      </c>
      <c r="Y59" s="216">
        <f t="shared" si="44"/>
        <v>0</v>
      </c>
      <c r="Z59" s="278">
        <v>0</v>
      </c>
      <c r="AA59" s="278">
        <v>0</v>
      </c>
      <c r="AB59" s="152">
        <v>0</v>
      </c>
      <c r="AC59" s="216">
        <f t="shared" si="46"/>
        <v>0</v>
      </c>
      <c r="AD59" s="152">
        <v>0</v>
      </c>
      <c r="AE59" s="216">
        <f t="shared" si="47"/>
        <v>0</v>
      </c>
      <c r="AF59" s="278">
        <v>0</v>
      </c>
      <c r="AG59" s="278">
        <v>0</v>
      </c>
      <c r="AH59" s="152">
        <v>0</v>
      </c>
      <c r="AI59" s="216">
        <f t="shared" si="49"/>
        <v>0</v>
      </c>
      <c r="AJ59" s="152">
        <v>0</v>
      </c>
      <c r="AK59" s="216">
        <f t="shared" si="50"/>
        <v>0</v>
      </c>
      <c r="AL59" s="278">
        <v>0</v>
      </c>
      <c r="AM59" s="152">
        <v>0</v>
      </c>
      <c r="AN59" s="216">
        <f t="shared" si="52"/>
        <v>0</v>
      </c>
      <c r="AO59" s="278">
        <v>0</v>
      </c>
      <c r="AP59" s="278">
        <v>0</v>
      </c>
      <c r="AQ59" s="152">
        <v>0</v>
      </c>
      <c r="AR59" s="216">
        <f t="shared" si="54"/>
        <v>0</v>
      </c>
      <c r="AS59" s="152">
        <v>0</v>
      </c>
      <c r="AT59" s="216">
        <f t="shared" si="55"/>
        <v>0</v>
      </c>
    </row>
    <row r="60" spans="1:46" ht="19.5" x14ac:dyDescent="0.3">
      <c r="A60" s="147">
        <v>8</v>
      </c>
      <c r="B60" s="148" t="s">
        <v>88</v>
      </c>
      <c r="C60" s="472">
        <f t="shared" si="34"/>
        <v>0</v>
      </c>
      <c r="D60" s="473">
        <f t="shared" si="72"/>
        <v>0</v>
      </c>
      <c r="E60" s="151">
        <v>0</v>
      </c>
      <c r="F60" s="151">
        <v>0</v>
      </c>
      <c r="G60" s="151">
        <v>0</v>
      </c>
      <c r="H60" s="151">
        <v>0</v>
      </c>
      <c r="I60" s="151">
        <v>0</v>
      </c>
      <c r="J60" s="262">
        <f t="shared" si="36"/>
        <v>0</v>
      </c>
      <c r="K60" s="476">
        <f t="shared" si="37"/>
        <v>0</v>
      </c>
      <c r="L60" s="151">
        <v>0</v>
      </c>
      <c r="M60" s="260">
        <f t="shared" si="38"/>
        <v>0</v>
      </c>
      <c r="N60" s="260">
        <f t="shared" si="39"/>
        <v>0</v>
      </c>
      <c r="O60" s="151">
        <v>0</v>
      </c>
      <c r="P60" s="475">
        <f t="shared" si="40"/>
        <v>0</v>
      </c>
      <c r="Q60" s="260">
        <f t="shared" si="41"/>
        <v>0</v>
      </c>
      <c r="R60" s="475">
        <v>0</v>
      </c>
      <c r="S60" s="260">
        <v>0</v>
      </c>
      <c r="T60" s="475">
        <v>0</v>
      </c>
      <c r="U60" s="260">
        <v>0</v>
      </c>
      <c r="V60" s="260">
        <v>0</v>
      </c>
      <c r="W60" s="278">
        <v>0</v>
      </c>
      <c r="X60" s="152">
        <v>0</v>
      </c>
      <c r="Y60" s="216">
        <f t="shared" si="44"/>
        <v>0</v>
      </c>
      <c r="Z60" s="278">
        <v>0</v>
      </c>
      <c r="AA60" s="278">
        <v>0</v>
      </c>
      <c r="AB60" s="152">
        <v>0</v>
      </c>
      <c r="AC60" s="216">
        <f t="shared" si="46"/>
        <v>0</v>
      </c>
      <c r="AD60" s="152">
        <v>0</v>
      </c>
      <c r="AE60" s="216">
        <f t="shared" si="47"/>
        <v>0</v>
      </c>
      <c r="AF60" s="278">
        <v>0</v>
      </c>
      <c r="AG60" s="278">
        <v>0</v>
      </c>
      <c r="AH60" s="152">
        <v>0</v>
      </c>
      <c r="AI60" s="216">
        <f t="shared" si="49"/>
        <v>0</v>
      </c>
      <c r="AJ60" s="152">
        <v>0</v>
      </c>
      <c r="AK60" s="216">
        <f t="shared" si="50"/>
        <v>0</v>
      </c>
      <c r="AL60" s="278">
        <v>0</v>
      </c>
      <c r="AM60" s="152">
        <v>0</v>
      </c>
      <c r="AN60" s="216">
        <f t="shared" si="52"/>
        <v>0</v>
      </c>
      <c r="AO60" s="278">
        <v>0</v>
      </c>
      <c r="AP60" s="278">
        <v>0</v>
      </c>
      <c r="AQ60" s="152">
        <v>0</v>
      </c>
      <c r="AR60" s="216">
        <f t="shared" si="54"/>
        <v>0</v>
      </c>
      <c r="AS60" s="152">
        <v>0</v>
      </c>
      <c r="AT60" s="216">
        <f t="shared" si="55"/>
        <v>0</v>
      </c>
    </row>
    <row r="61" spans="1:46" ht="19.5" x14ac:dyDescent="0.3">
      <c r="A61" s="147">
        <v>9</v>
      </c>
      <c r="B61" s="148" t="s">
        <v>89</v>
      </c>
      <c r="C61" s="472">
        <f t="shared" si="34"/>
        <v>0</v>
      </c>
      <c r="D61" s="473">
        <f t="shared" si="72"/>
        <v>0</v>
      </c>
      <c r="E61" s="151">
        <v>0</v>
      </c>
      <c r="F61" s="151">
        <v>0</v>
      </c>
      <c r="G61" s="151">
        <v>0</v>
      </c>
      <c r="H61" s="151">
        <v>0</v>
      </c>
      <c r="I61" s="151">
        <v>0</v>
      </c>
      <c r="J61" s="262">
        <f t="shared" si="36"/>
        <v>0</v>
      </c>
      <c r="K61" s="476">
        <f t="shared" si="37"/>
        <v>0</v>
      </c>
      <c r="L61" s="151">
        <v>0</v>
      </c>
      <c r="M61" s="260">
        <f t="shared" si="38"/>
        <v>0</v>
      </c>
      <c r="N61" s="260">
        <f t="shared" si="39"/>
        <v>0</v>
      </c>
      <c r="O61" s="151">
        <v>0</v>
      </c>
      <c r="P61" s="475">
        <f t="shared" si="40"/>
        <v>0</v>
      </c>
      <c r="Q61" s="260">
        <f t="shared" si="41"/>
        <v>0</v>
      </c>
      <c r="R61" s="475">
        <v>0</v>
      </c>
      <c r="S61" s="260">
        <v>0</v>
      </c>
      <c r="T61" s="475">
        <v>0</v>
      </c>
      <c r="U61" s="260">
        <v>0</v>
      </c>
      <c r="V61" s="260">
        <v>0</v>
      </c>
      <c r="W61" s="278">
        <v>0</v>
      </c>
      <c r="X61" s="152">
        <v>0</v>
      </c>
      <c r="Y61" s="216">
        <f t="shared" si="44"/>
        <v>0</v>
      </c>
      <c r="Z61" s="278">
        <v>0</v>
      </c>
      <c r="AA61" s="278">
        <v>0</v>
      </c>
      <c r="AB61" s="152">
        <v>0</v>
      </c>
      <c r="AC61" s="216">
        <f t="shared" si="46"/>
        <v>0</v>
      </c>
      <c r="AD61" s="152">
        <v>0</v>
      </c>
      <c r="AE61" s="216">
        <f t="shared" si="47"/>
        <v>0</v>
      </c>
      <c r="AF61" s="278">
        <v>0</v>
      </c>
      <c r="AG61" s="278">
        <v>0</v>
      </c>
      <c r="AH61" s="152">
        <v>0</v>
      </c>
      <c r="AI61" s="216">
        <f t="shared" si="49"/>
        <v>0</v>
      </c>
      <c r="AJ61" s="152">
        <v>0</v>
      </c>
      <c r="AK61" s="216">
        <f t="shared" si="50"/>
        <v>0</v>
      </c>
      <c r="AL61" s="278">
        <v>0</v>
      </c>
      <c r="AM61" s="152">
        <v>0</v>
      </c>
      <c r="AN61" s="216">
        <f t="shared" si="52"/>
        <v>0</v>
      </c>
      <c r="AO61" s="278">
        <v>0</v>
      </c>
      <c r="AP61" s="278">
        <v>0</v>
      </c>
      <c r="AQ61" s="152">
        <v>0</v>
      </c>
      <c r="AR61" s="216">
        <f t="shared" si="54"/>
        <v>0</v>
      </c>
      <c r="AS61" s="152">
        <v>0</v>
      </c>
      <c r="AT61" s="216">
        <f t="shared" si="55"/>
        <v>0</v>
      </c>
    </row>
    <row r="62" spans="1:46" ht="19.5" x14ac:dyDescent="0.3">
      <c r="A62" s="147">
        <v>10</v>
      </c>
      <c r="B62" s="148" t="s">
        <v>90</v>
      </c>
      <c r="C62" s="472">
        <f t="shared" si="34"/>
        <v>0</v>
      </c>
      <c r="D62" s="473">
        <f t="shared" si="72"/>
        <v>0</v>
      </c>
      <c r="E62" s="151">
        <v>0</v>
      </c>
      <c r="F62" s="151">
        <v>0</v>
      </c>
      <c r="G62" s="151">
        <v>0</v>
      </c>
      <c r="H62" s="151">
        <v>0</v>
      </c>
      <c r="I62" s="151">
        <v>0</v>
      </c>
      <c r="J62" s="262">
        <f t="shared" si="36"/>
        <v>0</v>
      </c>
      <c r="K62" s="476">
        <f t="shared" si="37"/>
        <v>0</v>
      </c>
      <c r="L62" s="151">
        <v>0</v>
      </c>
      <c r="M62" s="260">
        <f t="shared" si="38"/>
        <v>0</v>
      </c>
      <c r="N62" s="260">
        <f t="shared" si="39"/>
        <v>0</v>
      </c>
      <c r="O62" s="151">
        <v>0</v>
      </c>
      <c r="P62" s="475">
        <f t="shared" si="40"/>
        <v>0</v>
      </c>
      <c r="Q62" s="260">
        <f t="shared" si="41"/>
        <v>0</v>
      </c>
      <c r="R62" s="475">
        <v>0</v>
      </c>
      <c r="S62" s="260">
        <v>0</v>
      </c>
      <c r="T62" s="475">
        <v>0</v>
      </c>
      <c r="U62" s="260">
        <v>0</v>
      </c>
      <c r="V62" s="260">
        <v>0</v>
      </c>
      <c r="W62" s="278">
        <v>0</v>
      </c>
      <c r="X62" s="152">
        <v>0</v>
      </c>
      <c r="Y62" s="216">
        <f t="shared" si="44"/>
        <v>0</v>
      </c>
      <c r="Z62" s="278">
        <v>0</v>
      </c>
      <c r="AA62" s="278">
        <v>0</v>
      </c>
      <c r="AB62" s="152">
        <v>0</v>
      </c>
      <c r="AC62" s="216">
        <f t="shared" si="46"/>
        <v>0</v>
      </c>
      <c r="AD62" s="152">
        <v>0</v>
      </c>
      <c r="AE62" s="216">
        <f t="shared" si="47"/>
        <v>0</v>
      </c>
      <c r="AF62" s="278">
        <v>0</v>
      </c>
      <c r="AG62" s="278">
        <v>0</v>
      </c>
      <c r="AH62" s="152">
        <v>0</v>
      </c>
      <c r="AI62" s="216">
        <f t="shared" si="49"/>
        <v>0</v>
      </c>
      <c r="AJ62" s="152">
        <v>0</v>
      </c>
      <c r="AK62" s="216">
        <f t="shared" si="50"/>
        <v>0</v>
      </c>
      <c r="AL62" s="278">
        <v>0</v>
      </c>
      <c r="AM62" s="152">
        <v>0</v>
      </c>
      <c r="AN62" s="216">
        <f t="shared" si="52"/>
        <v>0</v>
      </c>
      <c r="AO62" s="278">
        <v>0</v>
      </c>
      <c r="AP62" s="278">
        <v>0</v>
      </c>
      <c r="AQ62" s="152">
        <v>0</v>
      </c>
      <c r="AR62" s="216">
        <f t="shared" si="54"/>
        <v>0</v>
      </c>
      <c r="AS62" s="152">
        <v>0</v>
      </c>
      <c r="AT62" s="216">
        <f t="shared" si="55"/>
        <v>0</v>
      </c>
    </row>
    <row r="63" spans="1:46" ht="19.5" x14ac:dyDescent="0.3">
      <c r="A63" s="147">
        <v>11</v>
      </c>
      <c r="B63" s="148" t="s">
        <v>91</v>
      </c>
      <c r="C63" s="472">
        <f t="shared" si="34"/>
        <v>0</v>
      </c>
      <c r="D63" s="473">
        <f t="shared" si="72"/>
        <v>0</v>
      </c>
      <c r="E63" s="151">
        <v>0</v>
      </c>
      <c r="F63" s="151">
        <v>0</v>
      </c>
      <c r="G63" s="151">
        <v>0</v>
      </c>
      <c r="H63" s="151">
        <v>0</v>
      </c>
      <c r="I63" s="151">
        <v>0</v>
      </c>
      <c r="J63" s="262">
        <f t="shared" si="36"/>
        <v>0</v>
      </c>
      <c r="K63" s="476">
        <f t="shared" si="37"/>
        <v>0</v>
      </c>
      <c r="L63" s="151">
        <v>0</v>
      </c>
      <c r="M63" s="260">
        <f t="shared" si="38"/>
        <v>0</v>
      </c>
      <c r="N63" s="260">
        <f t="shared" si="39"/>
        <v>0</v>
      </c>
      <c r="O63" s="151">
        <v>0</v>
      </c>
      <c r="P63" s="475">
        <f t="shared" si="40"/>
        <v>0</v>
      </c>
      <c r="Q63" s="260">
        <f t="shared" si="41"/>
        <v>0</v>
      </c>
      <c r="R63" s="475">
        <v>0</v>
      </c>
      <c r="S63" s="260">
        <v>0</v>
      </c>
      <c r="T63" s="475">
        <v>0</v>
      </c>
      <c r="U63" s="260">
        <v>0</v>
      </c>
      <c r="V63" s="260">
        <v>0</v>
      </c>
      <c r="W63" s="278">
        <v>0</v>
      </c>
      <c r="X63" s="152">
        <v>0</v>
      </c>
      <c r="Y63" s="216">
        <f t="shared" si="44"/>
        <v>0</v>
      </c>
      <c r="Z63" s="278">
        <v>0</v>
      </c>
      <c r="AA63" s="278">
        <v>0</v>
      </c>
      <c r="AB63" s="152">
        <v>0</v>
      </c>
      <c r="AC63" s="216">
        <f t="shared" si="46"/>
        <v>0</v>
      </c>
      <c r="AD63" s="152">
        <v>0</v>
      </c>
      <c r="AE63" s="216">
        <f t="shared" si="47"/>
        <v>0</v>
      </c>
      <c r="AF63" s="278">
        <v>0</v>
      </c>
      <c r="AG63" s="278">
        <v>0</v>
      </c>
      <c r="AH63" s="152">
        <v>0</v>
      </c>
      <c r="AI63" s="216">
        <f t="shared" si="49"/>
        <v>0</v>
      </c>
      <c r="AJ63" s="152">
        <v>0</v>
      </c>
      <c r="AK63" s="216">
        <f t="shared" si="50"/>
        <v>0</v>
      </c>
      <c r="AL63" s="278">
        <v>0</v>
      </c>
      <c r="AM63" s="152">
        <v>0</v>
      </c>
      <c r="AN63" s="216">
        <f t="shared" si="52"/>
        <v>0</v>
      </c>
      <c r="AO63" s="278">
        <v>0</v>
      </c>
      <c r="AP63" s="278">
        <v>0</v>
      </c>
      <c r="AQ63" s="152">
        <v>0</v>
      </c>
      <c r="AR63" s="216">
        <f t="shared" si="54"/>
        <v>0</v>
      </c>
      <c r="AS63" s="152">
        <v>0</v>
      </c>
      <c r="AT63" s="216">
        <f t="shared" si="55"/>
        <v>0</v>
      </c>
    </row>
    <row r="64" spans="1:46" ht="19.5" x14ac:dyDescent="0.3">
      <c r="A64" s="147">
        <v>12</v>
      </c>
      <c r="B64" s="148" t="s">
        <v>92</v>
      </c>
      <c r="C64" s="472">
        <f t="shared" si="34"/>
        <v>0</v>
      </c>
      <c r="D64" s="473">
        <f t="shared" si="72"/>
        <v>0</v>
      </c>
      <c r="E64" s="151">
        <v>0</v>
      </c>
      <c r="F64" s="151">
        <v>0</v>
      </c>
      <c r="G64" s="151">
        <v>0</v>
      </c>
      <c r="H64" s="151">
        <v>0</v>
      </c>
      <c r="I64" s="151">
        <v>0</v>
      </c>
      <c r="J64" s="262">
        <f t="shared" si="36"/>
        <v>0</v>
      </c>
      <c r="K64" s="476">
        <f t="shared" si="37"/>
        <v>0</v>
      </c>
      <c r="L64" s="151">
        <v>0</v>
      </c>
      <c r="M64" s="260">
        <f t="shared" si="38"/>
        <v>0</v>
      </c>
      <c r="N64" s="260">
        <f t="shared" si="39"/>
        <v>0</v>
      </c>
      <c r="O64" s="151">
        <v>0</v>
      </c>
      <c r="P64" s="475">
        <f t="shared" si="40"/>
        <v>0</v>
      </c>
      <c r="Q64" s="260">
        <f t="shared" si="41"/>
        <v>0</v>
      </c>
      <c r="R64" s="475">
        <v>0</v>
      </c>
      <c r="S64" s="260">
        <v>0</v>
      </c>
      <c r="T64" s="475">
        <v>0</v>
      </c>
      <c r="U64" s="260">
        <v>0</v>
      </c>
      <c r="V64" s="260">
        <v>0</v>
      </c>
      <c r="W64" s="278">
        <v>0</v>
      </c>
      <c r="X64" s="152">
        <v>0</v>
      </c>
      <c r="Y64" s="216">
        <f t="shared" si="44"/>
        <v>0</v>
      </c>
      <c r="Z64" s="278">
        <v>0</v>
      </c>
      <c r="AA64" s="278">
        <v>0</v>
      </c>
      <c r="AB64" s="152">
        <v>0</v>
      </c>
      <c r="AC64" s="216">
        <f t="shared" si="46"/>
        <v>0</v>
      </c>
      <c r="AD64" s="152">
        <v>0</v>
      </c>
      <c r="AE64" s="216">
        <f t="shared" si="47"/>
        <v>0</v>
      </c>
      <c r="AF64" s="278">
        <v>0</v>
      </c>
      <c r="AG64" s="278">
        <v>0</v>
      </c>
      <c r="AH64" s="152">
        <v>0</v>
      </c>
      <c r="AI64" s="216">
        <f t="shared" si="49"/>
        <v>0</v>
      </c>
      <c r="AJ64" s="152">
        <v>0</v>
      </c>
      <c r="AK64" s="216">
        <f t="shared" si="50"/>
        <v>0</v>
      </c>
      <c r="AL64" s="278">
        <v>0</v>
      </c>
      <c r="AM64" s="152">
        <v>0</v>
      </c>
      <c r="AN64" s="216">
        <f t="shared" si="52"/>
        <v>0</v>
      </c>
      <c r="AO64" s="278">
        <v>0</v>
      </c>
      <c r="AP64" s="278">
        <v>0</v>
      </c>
      <c r="AQ64" s="152">
        <v>0</v>
      </c>
      <c r="AR64" s="216">
        <f t="shared" si="54"/>
        <v>0</v>
      </c>
      <c r="AS64" s="152">
        <v>0</v>
      </c>
      <c r="AT64" s="216">
        <f t="shared" si="55"/>
        <v>0</v>
      </c>
    </row>
    <row r="65" spans="1:46" ht="19.5" x14ac:dyDescent="0.3">
      <c r="A65" s="147">
        <v>13</v>
      </c>
      <c r="B65" s="148" t="s">
        <v>93</v>
      </c>
      <c r="C65" s="472">
        <f t="shared" si="34"/>
        <v>0</v>
      </c>
      <c r="D65" s="473">
        <f t="shared" si="72"/>
        <v>0</v>
      </c>
      <c r="E65" s="151">
        <v>0</v>
      </c>
      <c r="F65" s="151">
        <v>0</v>
      </c>
      <c r="G65" s="151">
        <v>0</v>
      </c>
      <c r="H65" s="151">
        <v>0</v>
      </c>
      <c r="I65" s="151">
        <v>0</v>
      </c>
      <c r="J65" s="262">
        <f t="shared" si="36"/>
        <v>0</v>
      </c>
      <c r="K65" s="476">
        <f t="shared" si="37"/>
        <v>0</v>
      </c>
      <c r="L65" s="151">
        <v>0</v>
      </c>
      <c r="M65" s="260">
        <f t="shared" si="38"/>
        <v>0</v>
      </c>
      <c r="N65" s="260">
        <f t="shared" si="39"/>
        <v>0</v>
      </c>
      <c r="O65" s="151">
        <v>0</v>
      </c>
      <c r="P65" s="475">
        <f t="shared" si="40"/>
        <v>0</v>
      </c>
      <c r="Q65" s="260">
        <f t="shared" si="41"/>
        <v>0</v>
      </c>
      <c r="R65" s="475">
        <v>0</v>
      </c>
      <c r="S65" s="260">
        <v>0</v>
      </c>
      <c r="T65" s="475">
        <v>0</v>
      </c>
      <c r="U65" s="260">
        <v>0</v>
      </c>
      <c r="V65" s="260">
        <v>0</v>
      </c>
      <c r="W65" s="278">
        <v>0</v>
      </c>
      <c r="X65" s="152">
        <v>0</v>
      </c>
      <c r="Y65" s="216">
        <f t="shared" si="44"/>
        <v>0</v>
      </c>
      <c r="Z65" s="278">
        <v>0</v>
      </c>
      <c r="AA65" s="278">
        <v>0</v>
      </c>
      <c r="AB65" s="152">
        <v>0</v>
      </c>
      <c r="AC65" s="216">
        <f t="shared" si="46"/>
        <v>0</v>
      </c>
      <c r="AD65" s="152">
        <v>0</v>
      </c>
      <c r="AE65" s="216">
        <f t="shared" si="47"/>
        <v>0</v>
      </c>
      <c r="AF65" s="278">
        <v>0</v>
      </c>
      <c r="AG65" s="278">
        <v>0</v>
      </c>
      <c r="AH65" s="152">
        <v>0</v>
      </c>
      <c r="AI65" s="216">
        <f t="shared" si="49"/>
        <v>0</v>
      </c>
      <c r="AJ65" s="152">
        <v>0</v>
      </c>
      <c r="AK65" s="216">
        <f t="shared" si="50"/>
        <v>0</v>
      </c>
      <c r="AL65" s="278">
        <v>0</v>
      </c>
      <c r="AM65" s="152">
        <v>0</v>
      </c>
      <c r="AN65" s="216">
        <f t="shared" si="52"/>
        <v>0</v>
      </c>
      <c r="AO65" s="278">
        <v>0</v>
      </c>
      <c r="AP65" s="278">
        <v>0</v>
      </c>
      <c r="AQ65" s="152">
        <v>0</v>
      </c>
      <c r="AR65" s="216">
        <f t="shared" si="54"/>
        <v>0</v>
      </c>
      <c r="AS65" s="152">
        <v>0</v>
      </c>
      <c r="AT65" s="216">
        <f t="shared" si="55"/>
        <v>0</v>
      </c>
    </row>
    <row r="66" spans="1:46" ht="19.5" x14ac:dyDescent="0.3">
      <c r="A66" s="147">
        <v>14</v>
      </c>
      <c r="B66" s="148" t="s">
        <v>94</v>
      </c>
      <c r="C66" s="472">
        <f t="shared" si="34"/>
        <v>0</v>
      </c>
      <c r="D66" s="473">
        <f t="shared" si="72"/>
        <v>0</v>
      </c>
      <c r="E66" s="151">
        <v>0</v>
      </c>
      <c r="F66" s="151">
        <v>0</v>
      </c>
      <c r="G66" s="151">
        <v>0</v>
      </c>
      <c r="H66" s="151">
        <v>0</v>
      </c>
      <c r="I66" s="151">
        <v>0</v>
      </c>
      <c r="J66" s="262">
        <f t="shared" si="36"/>
        <v>0</v>
      </c>
      <c r="K66" s="476">
        <f t="shared" si="37"/>
        <v>0</v>
      </c>
      <c r="L66" s="151">
        <v>0</v>
      </c>
      <c r="M66" s="260">
        <f t="shared" si="38"/>
        <v>0</v>
      </c>
      <c r="N66" s="260">
        <f t="shared" si="39"/>
        <v>0</v>
      </c>
      <c r="O66" s="151">
        <v>0</v>
      </c>
      <c r="P66" s="475">
        <f t="shared" si="40"/>
        <v>0</v>
      </c>
      <c r="Q66" s="260">
        <f t="shared" si="41"/>
        <v>0</v>
      </c>
      <c r="R66" s="475">
        <v>0</v>
      </c>
      <c r="S66" s="260">
        <v>0</v>
      </c>
      <c r="T66" s="475">
        <v>0</v>
      </c>
      <c r="U66" s="260">
        <v>0</v>
      </c>
      <c r="V66" s="260">
        <v>0</v>
      </c>
      <c r="W66" s="278">
        <v>0</v>
      </c>
      <c r="X66" s="152">
        <v>0</v>
      </c>
      <c r="Y66" s="216">
        <f t="shared" si="44"/>
        <v>0</v>
      </c>
      <c r="Z66" s="278">
        <v>0</v>
      </c>
      <c r="AA66" s="278">
        <v>0</v>
      </c>
      <c r="AB66" s="152">
        <v>0</v>
      </c>
      <c r="AC66" s="216">
        <f t="shared" si="46"/>
        <v>0</v>
      </c>
      <c r="AD66" s="152">
        <v>0</v>
      </c>
      <c r="AE66" s="216">
        <f t="shared" si="47"/>
        <v>0</v>
      </c>
      <c r="AF66" s="278">
        <v>0</v>
      </c>
      <c r="AG66" s="278">
        <v>0</v>
      </c>
      <c r="AH66" s="152">
        <v>0</v>
      </c>
      <c r="AI66" s="216">
        <f t="shared" si="49"/>
        <v>0</v>
      </c>
      <c r="AJ66" s="152">
        <v>0</v>
      </c>
      <c r="AK66" s="216">
        <f t="shared" si="50"/>
        <v>0</v>
      </c>
      <c r="AL66" s="278">
        <v>0</v>
      </c>
      <c r="AM66" s="152">
        <v>0</v>
      </c>
      <c r="AN66" s="216">
        <f t="shared" si="52"/>
        <v>0</v>
      </c>
      <c r="AO66" s="278">
        <v>0</v>
      </c>
      <c r="AP66" s="278">
        <v>0</v>
      </c>
      <c r="AQ66" s="152">
        <v>0</v>
      </c>
      <c r="AR66" s="216">
        <f t="shared" si="54"/>
        <v>0</v>
      </c>
      <c r="AS66" s="152">
        <v>0</v>
      </c>
      <c r="AT66" s="216">
        <f t="shared" si="55"/>
        <v>0</v>
      </c>
    </row>
    <row r="67" spans="1:46" ht="19.5" x14ac:dyDescent="0.3">
      <c r="A67" s="147">
        <v>15</v>
      </c>
      <c r="B67" s="148" t="s">
        <v>95</v>
      </c>
      <c r="C67" s="472">
        <f t="shared" si="34"/>
        <v>0</v>
      </c>
      <c r="D67" s="473">
        <f t="shared" si="72"/>
        <v>0</v>
      </c>
      <c r="E67" s="151">
        <v>0</v>
      </c>
      <c r="F67" s="151">
        <v>0</v>
      </c>
      <c r="G67" s="151">
        <v>0</v>
      </c>
      <c r="H67" s="151">
        <v>0</v>
      </c>
      <c r="I67" s="151">
        <v>0</v>
      </c>
      <c r="J67" s="262">
        <f t="shared" si="36"/>
        <v>0</v>
      </c>
      <c r="K67" s="476">
        <f t="shared" si="37"/>
        <v>0</v>
      </c>
      <c r="L67" s="151">
        <v>0</v>
      </c>
      <c r="M67" s="260">
        <f t="shared" si="38"/>
        <v>0</v>
      </c>
      <c r="N67" s="260">
        <f t="shared" si="39"/>
        <v>0</v>
      </c>
      <c r="O67" s="151">
        <v>0</v>
      </c>
      <c r="P67" s="475">
        <f t="shared" si="40"/>
        <v>0</v>
      </c>
      <c r="Q67" s="260">
        <f t="shared" si="41"/>
        <v>0</v>
      </c>
      <c r="R67" s="475">
        <v>0</v>
      </c>
      <c r="S67" s="260">
        <v>0</v>
      </c>
      <c r="T67" s="475">
        <v>0</v>
      </c>
      <c r="U67" s="260">
        <v>0</v>
      </c>
      <c r="V67" s="260">
        <v>0</v>
      </c>
      <c r="W67" s="278">
        <v>0</v>
      </c>
      <c r="X67" s="152">
        <v>0</v>
      </c>
      <c r="Y67" s="216">
        <f t="shared" si="44"/>
        <v>0</v>
      </c>
      <c r="Z67" s="278">
        <v>0</v>
      </c>
      <c r="AA67" s="278">
        <v>0</v>
      </c>
      <c r="AB67" s="152">
        <v>0</v>
      </c>
      <c r="AC67" s="216">
        <f t="shared" si="46"/>
        <v>0</v>
      </c>
      <c r="AD67" s="152">
        <v>0</v>
      </c>
      <c r="AE67" s="216">
        <f t="shared" si="47"/>
        <v>0</v>
      </c>
      <c r="AF67" s="278">
        <v>0</v>
      </c>
      <c r="AG67" s="278">
        <v>0</v>
      </c>
      <c r="AH67" s="152">
        <v>0</v>
      </c>
      <c r="AI67" s="216">
        <f t="shared" si="49"/>
        <v>0</v>
      </c>
      <c r="AJ67" s="152">
        <v>0</v>
      </c>
      <c r="AK67" s="216">
        <f t="shared" si="50"/>
        <v>0</v>
      </c>
      <c r="AL67" s="278">
        <v>0</v>
      </c>
      <c r="AM67" s="152">
        <v>0</v>
      </c>
      <c r="AN67" s="216">
        <f t="shared" si="52"/>
        <v>0</v>
      </c>
      <c r="AO67" s="278">
        <v>0</v>
      </c>
      <c r="AP67" s="278">
        <v>0</v>
      </c>
      <c r="AQ67" s="152">
        <v>0</v>
      </c>
      <c r="AR67" s="216">
        <f t="shared" si="54"/>
        <v>0</v>
      </c>
      <c r="AS67" s="152">
        <v>0</v>
      </c>
      <c r="AT67" s="216">
        <f t="shared" si="55"/>
        <v>0</v>
      </c>
    </row>
    <row r="68" spans="1:46" ht="19.5" x14ac:dyDescent="0.3">
      <c r="A68" s="147">
        <v>16</v>
      </c>
      <c r="B68" s="148" t="s">
        <v>96</v>
      </c>
      <c r="C68" s="472">
        <f t="shared" si="34"/>
        <v>0</v>
      </c>
      <c r="D68" s="473">
        <f t="shared" si="72"/>
        <v>0</v>
      </c>
      <c r="E68" s="151">
        <v>0</v>
      </c>
      <c r="F68" s="151">
        <v>0</v>
      </c>
      <c r="G68" s="151">
        <v>0</v>
      </c>
      <c r="H68" s="151">
        <v>0</v>
      </c>
      <c r="I68" s="151">
        <v>0</v>
      </c>
      <c r="J68" s="262">
        <f t="shared" si="36"/>
        <v>0</v>
      </c>
      <c r="K68" s="476">
        <f t="shared" si="37"/>
        <v>0</v>
      </c>
      <c r="L68" s="151">
        <v>0</v>
      </c>
      <c r="M68" s="260">
        <f t="shared" si="38"/>
        <v>0</v>
      </c>
      <c r="N68" s="260">
        <f t="shared" si="39"/>
        <v>0</v>
      </c>
      <c r="O68" s="151">
        <v>0</v>
      </c>
      <c r="P68" s="475">
        <f t="shared" si="40"/>
        <v>0</v>
      </c>
      <c r="Q68" s="260">
        <f t="shared" si="41"/>
        <v>0</v>
      </c>
      <c r="R68" s="475">
        <v>0</v>
      </c>
      <c r="S68" s="260">
        <v>0</v>
      </c>
      <c r="T68" s="475">
        <v>0</v>
      </c>
      <c r="U68" s="260">
        <v>0</v>
      </c>
      <c r="V68" s="260">
        <v>0</v>
      </c>
      <c r="W68" s="278">
        <v>0</v>
      </c>
      <c r="X68" s="152">
        <v>0</v>
      </c>
      <c r="Y68" s="216">
        <f t="shared" si="44"/>
        <v>0</v>
      </c>
      <c r="Z68" s="278">
        <v>0</v>
      </c>
      <c r="AA68" s="278">
        <v>0</v>
      </c>
      <c r="AB68" s="152">
        <v>0</v>
      </c>
      <c r="AC68" s="216">
        <f t="shared" si="46"/>
        <v>0</v>
      </c>
      <c r="AD68" s="152">
        <v>0</v>
      </c>
      <c r="AE68" s="216">
        <f t="shared" si="47"/>
        <v>0</v>
      </c>
      <c r="AF68" s="278">
        <v>0</v>
      </c>
      <c r="AG68" s="278">
        <v>0</v>
      </c>
      <c r="AH68" s="152">
        <v>0</v>
      </c>
      <c r="AI68" s="216">
        <f t="shared" si="49"/>
        <v>0</v>
      </c>
      <c r="AJ68" s="152">
        <v>0</v>
      </c>
      <c r="AK68" s="216">
        <f t="shared" si="50"/>
        <v>0</v>
      </c>
      <c r="AL68" s="278">
        <v>0</v>
      </c>
      <c r="AM68" s="152">
        <v>0</v>
      </c>
      <c r="AN68" s="216">
        <f t="shared" si="52"/>
        <v>0</v>
      </c>
      <c r="AO68" s="278">
        <v>0</v>
      </c>
      <c r="AP68" s="278">
        <v>0</v>
      </c>
      <c r="AQ68" s="152">
        <v>0</v>
      </c>
      <c r="AR68" s="216">
        <f t="shared" si="54"/>
        <v>0</v>
      </c>
      <c r="AS68" s="152">
        <v>0</v>
      </c>
      <c r="AT68" s="216">
        <f t="shared" si="55"/>
        <v>0</v>
      </c>
    </row>
    <row r="69" spans="1:46" ht="19.5" x14ac:dyDescent="0.3">
      <c r="A69" s="147">
        <v>17</v>
      </c>
      <c r="B69" s="148" t="s">
        <v>97</v>
      </c>
      <c r="C69" s="472">
        <f t="shared" si="34"/>
        <v>0</v>
      </c>
      <c r="D69" s="473">
        <f t="shared" si="72"/>
        <v>0</v>
      </c>
      <c r="E69" s="151">
        <v>0</v>
      </c>
      <c r="F69" s="151">
        <v>0</v>
      </c>
      <c r="G69" s="151">
        <v>0</v>
      </c>
      <c r="H69" s="151">
        <v>0</v>
      </c>
      <c r="I69" s="151">
        <v>0</v>
      </c>
      <c r="J69" s="262">
        <f t="shared" si="36"/>
        <v>0</v>
      </c>
      <c r="K69" s="476">
        <f t="shared" si="37"/>
        <v>0</v>
      </c>
      <c r="L69" s="151">
        <v>0</v>
      </c>
      <c r="M69" s="260">
        <f t="shared" si="38"/>
        <v>0</v>
      </c>
      <c r="N69" s="260">
        <f t="shared" si="39"/>
        <v>0</v>
      </c>
      <c r="O69" s="151">
        <v>0</v>
      </c>
      <c r="P69" s="475">
        <f t="shared" si="40"/>
        <v>0</v>
      </c>
      <c r="Q69" s="260">
        <f t="shared" si="41"/>
        <v>0</v>
      </c>
      <c r="R69" s="475">
        <v>0</v>
      </c>
      <c r="S69" s="260">
        <v>0</v>
      </c>
      <c r="T69" s="475">
        <v>0</v>
      </c>
      <c r="U69" s="260">
        <v>0</v>
      </c>
      <c r="V69" s="260">
        <v>0</v>
      </c>
      <c r="W69" s="278">
        <v>0</v>
      </c>
      <c r="X69" s="152">
        <v>0</v>
      </c>
      <c r="Y69" s="216">
        <f t="shared" si="44"/>
        <v>0</v>
      </c>
      <c r="Z69" s="278">
        <v>0</v>
      </c>
      <c r="AA69" s="278">
        <v>0</v>
      </c>
      <c r="AB69" s="152">
        <v>0</v>
      </c>
      <c r="AC69" s="216">
        <f t="shared" si="46"/>
        <v>0</v>
      </c>
      <c r="AD69" s="152">
        <v>0</v>
      </c>
      <c r="AE69" s="216">
        <f t="shared" si="47"/>
        <v>0</v>
      </c>
      <c r="AF69" s="278">
        <v>0</v>
      </c>
      <c r="AG69" s="278">
        <v>0</v>
      </c>
      <c r="AH69" s="152">
        <v>0</v>
      </c>
      <c r="AI69" s="216">
        <f t="shared" si="49"/>
        <v>0</v>
      </c>
      <c r="AJ69" s="152">
        <v>0</v>
      </c>
      <c r="AK69" s="216">
        <f t="shared" si="50"/>
        <v>0</v>
      </c>
      <c r="AL69" s="278">
        <v>0</v>
      </c>
      <c r="AM69" s="152">
        <v>0</v>
      </c>
      <c r="AN69" s="216">
        <f t="shared" si="52"/>
        <v>0</v>
      </c>
      <c r="AO69" s="278">
        <v>0</v>
      </c>
      <c r="AP69" s="278">
        <v>0</v>
      </c>
      <c r="AQ69" s="152">
        <v>0</v>
      </c>
      <c r="AR69" s="216">
        <f t="shared" si="54"/>
        <v>0</v>
      </c>
      <c r="AS69" s="152">
        <v>0</v>
      </c>
      <c r="AT69" s="216">
        <f t="shared" si="55"/>
        <v>0</v>
      </c>
    </row>
    <row r="70" spans="1:46" ht="19.5" x14ac:dyDescent="0.3">
      <c r="A70" s="147">
        <v>18</v>
      </c>
      <c r="B70" s="148" t="s">
        <v>98</v>
      </c>
      <c r="C70" s="472">
        <f t="shared" si="34"/>
        <v>0</v>
      </c>
      <c r="D70" s="473">
        <f t="shared" si="72"/>
        <v>0</v>
      </c>
      <c r="E70" s="151">
        <v>0</v>
      </c>
      <c r="F70" s="151">
        <v>0</v>
      </c>
      <c r="G70" s="151">
        <v>0</v>
      </c>
      <c r="H70" s="151">
        <v>0</v>
      </c>
      <c r="I70" s="151">
        <v>0</v>
      </c>
      <c r="J70" s="262">
        <f t="shared" si="36"/>
        <v>0</v>
      </c>
      <c r="K70" s="476">
        <f t="shared" si="37"/>
        <v>0</v>
      </c>
      <c r="L70" s="151">
        <v>0</v>
      </c>
      <c r="M70" s="260">
        <f t="shared" si="38"/>
        <v>0</v>
      </c>
      <c r="N70" s="260">
        <f t="shared" si="39"/>
        <v>0</v>
      </c>
      <c r="O70" s="151">
        <v>0</v>
      </c>
      <c r="P70" s="475">
        <f t="shared" si="40"/>
        <v>0</v>
      </c>
      <c r="Q70" s="260">
        <f t="shared" si="41"/>
        <v>0</v>
      </c>
      <c r="R70" s="475">
        <v>0</v>
      </c>
      <c r="S70" s="260">
        <v>0</v>
      </c>
      <c r="T70" s="475">
        <v>0</v>
      </c>
      <c r="U70" s="260">
        <v>0</v>
      </c>
      <c r="V70" s="260">
        <v>0</v>
      </c>
      <c r="W70" s="278">
        <v>0</v>
      </c>
      <c r="X70" s="152">
        <v>0</v>
      </c>
      <c r="Y70" s="216">
        <f t="shared" si="44"/>
        <v>0</v>
      </c>
      <c r="Z70" s="278">
        <v>0</v>
      </c>
      <c r="AA70" s="278">
        <v>0</v>
      </c>
      <c r="AB70" s="152">
        <v>0</v>
      </c>
      <c r="AC70" s="216">
        <f t="shared" si="46"/>
        <v>0</v>
      </c>
      <c r="AD70" s="152">
        <v>0</v>
      </c>
      <c r="AE70" s="216">
        <f t="shared" si="47"/>
        <v>0</v>
      </c>
      <c r="AF70" s="278">
        <v>0</v>
      </c>
      <c r="AG70" s="278">
        <v>0</v>
      </c>
      <c r="AH70" s="152">
        <v>0</v>
      </c>
      <c r="AI70" s="216">
        <f t="shared" si="49"/>
        <v>0</v>
      </c>
      <c r="AJ70" s="152">
        <v>0</v>
      </c>
      <c r="AK70" s="216">
        <f t="shared" si="50"/>
        <v>0</v>
      </c>
      <c r="AL70" s="278">
        <v>0</v>
      </c>
      <c r="AM70" s="152">
        <v>0</v>
      </c>
      <c r="AN70" s="216">
        <f t="shared" si="52"/>
        <v>0</v>
      </c>
      <c r="AO70" s="278">
        <v>0</v>
      </c>
      <c r="AP70" s="278">
        <v>0</v>
      </c>
      <c r="AQ70" s="152">
        <v>0</v>
      </c>
      <c r="AR70" s="216">
        <f t="shared" si="54"/>
        <v>0</v>
      </c>
      <c r="AS70" s="152">
        <v>0</v>
      </c>
      <c r="AT70" s="216">
        <f t="shared" si="55"/>
        <v>0</v>
      </c>
    </row>
    <row r="71" spans="1:46" ht="19.5" x14ac:dyDescent="0.3">
      <c r="A71" s="147">
        <v>19</v>
      </c>
      <c r="B71" s="148" t="s">
        <v>99</v>
      </c>
      <c r="C71" s="472">
        <f t="shared" si="34"/>
        <v>0</v>
      </c>
      <c r="D71" s="473">
        <f t="shared" si="72"/>
        <v>0</v>
      </c>
      <c r="E71" s="151">
        <v>0</v>
      </c>
      <c r="F71" s="151">
        <v>0</v>
      </c>
      <c r="G71" s="151">
        <v>0</v>
      </c>
      <c r="H71" s="151">
        <v>0</v>
      </c>
      <c r="I71" s="151">
        <v>0</v>
      </c>
      <c r="J71" s="262">
        <f t="shared" si="36"/>
        <v>0</v>
      </c>
      <c r="K71" s="476">
        <f t="shared" si="37"/>
        <v>0</v>
      </c>
      <c r="L71" s="151">
        <v>0</v>
      </c>
      <c r="M71" s="260">
        <f t="shared" si="38"/>
        <v>0</v>
      </c>
      <c r="N71" s="260">
        <f t="shared" si="39"/>
        <v>0</v>
      </c>
      <c r="O71" s="151">
        <v>0</v>
      </c>
      <c r="P71" s="475">
        <f t="shared" si="40"/>
        <v>0</v>
      </c>
      <c r="Q71" s="260">
        <f t="shared" si="41"/>
        <v>0</v>
      </c>
      <c r="R71" s="475">
        <v>0</v>
      </c>
      <c r="S71" s="260">
        <v>0</v>
      </c>
      <c r="T71" s="475">
        <v>0</v>
      </c>
      <c r="U71" s="260">
        <v>0</v>
      </c>
      <c r="V71" s="260">
        <v>0</v>
      </c>
      <c r="W71" s="278">
        <v>0</v>
      </c>
      <c r="X71" s="152">
        <v>0</v>
      </c>
      <c r="Y71" s="216">
        <f t="shared" si="44"/>
        <v>0</v>
      </c>
      <c r="Z71" s="278">
        <v>0</v>
      </c>
      <c r="AA71" s="278">
        <v>0</v>
      </c>
      <c r="AB71" s="152">
        <v>0</v>
      </c>
      <c r="AC71" s="216">
        <f t="shared" si="46"/>
        <v>0</v>
      </c>
      <c r="AD71" s="152">
        <v>0</v>
      </c>
      <c r="AE71" s="216">
        <f t="shared" si="47"/>
        <v>0</v>
      </c>
      <c r="AF71" s="278">
        <v>0</v>
      </c>
      <c r="AG71" s="278">
        <v>0</v>
      </c>
      <c r="AH71" s="152">
        <v>0</v>
      </c>
      <c r="AI71" s="216">
        <f t="shared" si="49"/>
        <v>0</v>
      </c>
      <c r="AJ71" s="152">
        <v>0</v>
      </c>
      <c r="AK71" s="216">
        <f t="shared" si="50"/>
        <v>0</v>
      </c>
      <c r="AL71" s="278">
        <v>0</v>
      </c>
      <c r="AM71" s="152">
        <v>0</v>
      </c>
      <c r="AN71" s="216">
        <f t="shared" si="52"/>
        <v>0</v>
      </c>
      <c r="AO71" s="278">
        <v>0</v>
      </c>
      <c r="AP71" s="278">
        <v>0</v>
      </c>
      <c r="AQ71" s="152">
        <v>0</v>
      </c>
      <c r="AR71" s="216">
        <f t="shared" si="54"/>
        <v>0</v>
      </c>
      <c r="AS71" s="152">
        <v>0</v>
      </c>
      <c r="AT71" s="216">
        <f t="shared" si="55"/>
        <v>0</v>
      </c>
    </row>
    <row r="72" spans="1:46" ht="19.5" x14ac:dyDescent="0.3">
      <c r="A72" s="147">
        <v>20</v>
      </c>
      <c r="B72" s="148" t="s">
        <v>100</v>
      </c>
      <c r="C72" s="472">
        <f t="shared" si="34"/>
        <v>0</v>
      </c>
      <c r="D72" s="473">
        <f t="shared" si="72"/>
        <v>0</v>
      </c>
      <c r="E72" s="151">
        <v>0</v>
      </c>
      <c r="F72" s="151">
        <v>0</v>
      </c>
      <c r="G72" s="151">
        <v>0</v>
      </c>
      <c r="H72" s="151">
        <v>0</v>
      </c>
      <c r="I72" s="151">
        <v>0</v>
      </c>
      <c r="J72" s="262">
        <f t="shared" si="36"/>
        <v>0</v>
      </c>
      <c r="K72" s="476">
        <f t="shared" si="37"/>
        <v>0</v>
      </c>
      <c r="L72" s="151">
        <v>0</v>
      </c>
      <c r="M72" s="260">
        <f t="shared" si="38"/>
        <v>0</v>
      </c>
      <c r="N72" s="260">
        <f t="shared" si="39"/>
        <v>0</v>
      </c>
      <c r="O72" s="151">
        <v>0</v>
      </c>
      <c r="P72" s="475">
        <f t="shared" si="40"/>
        <v>0</v>
      </c>
      <c r="Q72" s="260">
        <f t="shared" si="41"/>
        <v>0</v>
      </c>
      <c r="R72" s="475">
        <v>0</v>
      </c>
      <c r="S72" s="260">
        <v>0</v>
      </c>
      <c r="T72" s="475">
        <v>0</v>
      </c>
      <c r="U72" s="260">
        <v>0</v>
      </c>
      <c r="V72" s="260">
        <v>0</v>
      </c>
      <c r="W72" s="278">
        <v>0</v>
      </c>
      <c r="X72" s="152">
        <v>0</v>
      </c>
      <c r="Y72" s="216">
        <f t="shared" si="44"/>
        <v>0</v>
      </c>
      <c r="Z72" s="278">
        <v>0</v>
      </c>
      <c r="AA72" s="278">
        <v>0</v>
      </c>
      <c r="AB72" s="152">
        <v>0</v>
      </c>
      <c r="AC72" s="216">
        <f t="shared" si="46"/>
        <v>0</v>
      </c>
      <c r="AD72" s="152">
        <v>0</v>
      </c>
      <c r="AE72" s="216">
        <f t="shared" si="47"/>
        <v>0</v>
      </c>
      <c r="AF72" s="278">
        <v>0</v>
      </c>
      <c r="AG72" s="278">
        <v>0</v>
      </c>
      <c r="AH72" s="152">
        <v>0</v>
      </c>
      <c r="AI72" s="216">
        <f t="shared" si="49"/>
        <v>0</v>
      </c>
      <c r="AJ72" s="152">
        <v>0</v>
      </c>
      <c r="AK72" s="216">
        <f t="shared" si="50"/>
        <v>0</v>
      </c>
      <c r="AL72" s="278">
        <v>0</v>
      </c>
      <c r="AM72" s="152">
        <v>0</v>
      </c>
      <c r="AN72" s="216">
        <f t="shared" si="52"/>
        <v>0</v>
      </c>
      <c r="AO72" s="278">
        <v>0</v>
      </c>
      <c r="AP72" s="278">
        <v>0</v>
      </c>
      <c r="AQ72" s="152">
        <v>0</v>
      </c>
      <c r="AR72" s="216">
        <f t="shared" si="54"/>
        <v>0</v>
      </c>
      <c r="AS72" s="152">
        <v>0</v>
      </c>
      <c r="AT72" s="216">
        <f t="shared" si="55"/>
        <v>0</v>
      </c>
    </row>
    <row r="73" spans="1:46" ht="19.5" x14ac:dyDescent="0.3">
      <c r="A73" s="155">
        <v>21</v>
      </c>
      <c r="B73" s="156" t="s">
        <v>101</v>
      </c>
      <c r="C73" s="477">
        <f t="shared" si="34"/>
        <v>0</v>
      </c>
      <c r="D73" s="478">
        <f t="shared" si="72"/>
        <v>0</v>
      </c>
      <c r="E73" s="159">
        <v>0</v>
      </c>
      <c r="F73" s="159">
        <v>0</v>
      </c>
      <c r="G73" s="159">
        <v>0</v>
      </c>
      <c r="H73" s="159">
        <v>0</v>
      </c>
      <c r="I73" s="159">
        <v>0</v>
      </c>
      <c r="J73" s="479">
        <f t="shared" si="36"/>
        <v>0</v>
      </c>
      <c r="K73" s="480">
        <f t="shared" si="37"/>
        <v>0</v>
      </c>
      <c r="L73" s="159">
        <v>0</v>
      </c>
      <c r="M73" s="481">
        <f t="shared" si="38"/>
        <v>0</v>
      </c>
      <c r="N73" s="481">
        <f t="shared" si="39"/>
        <v>0</v>
      </c>
      <c r="O73" s="159">
        <v>0</v>
      </c>
      <c r="P73" s="482">
        <f t="shared" si="40"/>
        <v>0</v>
      </c>
      <c r="Q73" s="481">
        <f t="shared" si="41"/>
        <v>0</v>
      </c>
      <c r="R73" s="482">
        <v>0</v>
      </c>
      <c r="S73" s="481">
        <v>0</v>
      </c>
      <c r="T73" s="482">
        <v>0</v>
      </c>
      <c r="U73" s="481">
        <v>0</v>
      </c>
      <c r="V73" s="481">
        <v>0</v>
      </c>
      <c r="W73" s="487">
        <v>0</v>
      </c>
      <c r="X73" s="488">
        <v>0</v>
      </c>
      <c r="Y73" s="218">
        <f t="shared" si="44"/>
        <v>0</v>
      </c>
      <c r="Z73" s="487">
        <v>0</v>
      </c>
      <c r="AA73" s="487">
        <v>0</v>
      </c>
      <c r="AB73" s="488">
        <v>0</v>
      </c>
      <c r="AC73" s="218">
        <f t="shared" si="46"/>
        <v>0</v>
      </c>
      <c r="AD73" s="488">
        <v>0</v>
      </c>
      <c r="AE73" s="218">
        <f t="shared" si="47"/>
        <v>0</v>
      </c>
      <c r="AF73" s="487">
        <v>0</v>
      </c>
      <c r="AG73" s="487">
        <v>0</v>
      </c>
      <c r="AH73" s="488">
        <v>0</v>
      </c>
      <c r="AI73" s="218">
        <f t="shared" si="49"/>
        <v>0</v>
      </c>
      <c r="AJ73" s="488">
        <v>0</v>
      </c>
      <c r="AK73" s="218">
        <f t="shared" si="50"/>
        <v>0</v>
      </c>
      <c r="AL73" s="487">
        <v>0</v>
      </c>
      <c r="AM73" s="488">
        <v>0</v>
      </c>
      <c r="AN73" s="218">
        <f t="shared" si="52"/>
        <v>0</v>
      </c>
      <c r="AO73" s="487">
        <v>0</v>
      </c>
      <c r="AP73" s="487">
        <v>0</v>
      </c>
      <c r="AQ73" s="488">
        <v>0</v>
      </c>
      <c r="AR73" s="218">
        <f t="shared" si="54"/>
        <v>0</v>
      </c>
      <c r="AS73" s="488">
        <v>0</v>
      </c>
      <c r="AT73" s="218">
        <f t="shared" si="55"/>
        <v>0</v>
      </c>
    </row>
    <row r="74" spans="1:46" ht="19.5" x14ac:dyDescent="0.3">
      <c r="A74" s="784" t="s">
        <v>102</v>
      </c>
      <c r="B74" s="662"/>
      <c r="C74" s="483">
        <f t="shared" si="34"/>
        <v>0</v>
      </c>
      <c r="D74" s="483">
        <f t="shared" ref="D74:I74" si="73">SUM(D75:D88)</f>
        <v>0</v>
      </c>
      <c r="E74" s="483">
        <f t="shared" si="73"/>
        <v>0</v>
      </c>
      <c r="F74" s="483">
        <f t="shared" si="73"/>
        <v>0</v>
      </c>
      <c r="G74" s="483">
        <f t="shared" si="73"/>
        <v>0</v>
      </c>
      <c r="H74" s="483">
        <f t="shared" si="73"/>
        <v>0</v>
      </c>
      <c r="I74" s="483">
        <f t="shared" si="73"/>
        <v>0</v>
      </c>
      <c r="J74" s="483">
        <f t="shared" si="36"/>
        <v>0</v>
      </c>
      <c r="K74" s="484">
        <f t="shared" si="37"/>
        <v>0</v>
      </c>
      <c r="L74" s="483">
        <f>SUM(L75:L88)</f>
        <v>0</v>
      </c>
      <c r="M74" s="485">
        <f t="shared" si="38"/>
        <v>0</v>
      </c>
      <c r="N74" s="485">
        <f t="shared" si="39"/>
        <v>0</v>
      </c>
      <c r="O74" s="486">
        <f>SUM(O75:O88)</f>
        <v>0</v>
      </c>
      <c r="P74" s="486">
        <f t="shared" si="40"/>
        <v>0</v>
      </c>
      <c r="Q74" s="485">
        <f t="shared" si="41"/>
        <v>0</v>
      </c>
      <c r="R74" s="486">
        <f t="shared" ref="R74:T74" si="74">SUM(R75:R88)</f>
        <v>0</v>
      </c>
      <c r="S74" s="485">
        <f t="shared" si="74"/>
        <v>0</v>
      </c>
      <c r="T74" s="486">
        <f t="shared" si="74"/>
        <v>0</v>
      </c>
      <c r="U74" s="485">
        <f>IF(R74&gt;0,T74*100/R74,0)</f>
        <v>0</v>
      </c>
      <c r="V74" s="485">
        <f>IF(S74&gt;0,T74*100/S74,0)</f>
        <v>0</v>
      </c>
      <c r="W74" s="409">
        <f t="shared" ref="W74:X74" si="75">SUM(W75:W88)</f>
        <v>0</v>
      </c>
      <c r="X74" s="407">
        <f t="shared" si="75"/>
        <v>0</v>
      </c>
      <c r="Y74" s="405">
        <f t="shared" si="44"/>
        <v>0</v>
      </c>
      <c r="Z74" s="409">
        <f t="shared" ref="Z74:AB74" si="76">SUM(Z75:Z88)</f>
        <v>0</v>
      </c>
      <c r="AA74" s="409">
        <f t="shared" si="76"/>
        <v>0</v>
      </c>
      <c r="AB74" s="407">
        <f t="shared" si="76"/>
        <v>0</v>
      </c>
      <c r="AC74" s="405">
        <f t="shared" si="46"/>
        <v>0</v>
      </c>
      <c r="AD74" s="407">
        <f>SUM(AD75:AD88)</f>
        <v>0</v>
      </c>
      <c r="AE74" s="405">
        <f t="shared" si="47"/>
        <v>0</v>
      </c>
      <c r="AF74" s="409">
        <f t="shared" ref="AF74:AH74" si="77">SUM(AF75:AF88)</f>
        <v>0</v>
      </c>
      <c r="AG74" s="409">
        <f t="shared" si="77"/>
        <v>0</v>
      </c>
      <c r="AH74" s="407">
        <f t="shared" si="77"/>
        <v>0</v>
      </c>
      <c r="AI74" s="405">
        <f t="shared" si="49"/>
        <v>0</v>
      </c>
      <c r="AJ74" s="407">
        <f>SUM(AJ75:AJ88)</f>
        <v>0</v>
      </c>
      <c r="AK74" s="405">
        <f t="shared" si="50"/>
        <v>0</v>
      </c>
      <c r="AL74" s="409">
        <f t="shared" ref="AL74:AM74" si="78">SUM(AL75:AL88)</f>
        <v>0</v>
      </c>
      <c r="AM74" s="407">
        <f t="shared" si="78"/>
        <v>0</v>
      </c>
      <c r="AN74" s="405">
        <f t="shared" si="52"/>
        <v>0</v>
      </c>
      <c r="AO74" s="409">
        <f t="shared" ref="AO74:AQ74" si="79">SUM(AO75:AO88)</f>
        <v>0</v>
      </c>
      <c r="AP74" s="409">
        <f t="shared" si="79"/>
        <v>0</v>
      </c>
      <c r="AQ74" s="407">
        <f t="shared" si="79"/>
        <v>0</v>
      </c>
      <c r="AR74" s="405">
        <f t="shared" si="54"/>
        <v>0</v>
      </c>
      <c r="AS74" s="407">
        <f>SUM(AS75:AS88)</f>
        <v>0</v>
      </c>
      <c r="AT74" s="405">
        <f t="shared" si="55"/>
        <v>0</v>
      </c>
    </row>
    <row r="75" spans="1:46" ht="19.5" x14ac:dyDescent="0.3">
      <c r="A75" s="147">
        <v>1</v>
      </c>
      <c r="B75" s="148" t="s">
        <v>103</v>
      </c>
      <c r="C75" s="472">
        <f t="shared" si="34"/>
        <v>0</v>
      </c>
      <c r="D75" s="473">
        <f t="shared" ref="D75:D88" si="80">+E75+F75</f>
        <v>0</v>
      </c>
      <c r="E75" s="151">
        <v>0</v>
      </c>
      <c r="F75" s="151">
        <v>0</v>
      </c>
      <c r="G75" s="151">
        <v>0</v>
      </c>
      <c r="H75" s="151">
        <v>0</v>
      </c>
      <c r="I75" s="151">
        <v>0</v>
      </c>
      <c r="J75" s="262">
        <f t="shared" si="36"/>
        <v>0</v>
      </c>
      <c r="K75" s="476">
        <f t="shared" si="37"/>
        <v>0</v>
      </c>
      <c r="L75" s="151">
        <v>0</v>
      </c>
      <c r="M75" s="260">
        <f t="shared" si="38"/>
        <v>0</v>
      </c>
      <c r="N75" s="260">
        <f t="shared" si="39"/>
        <v>0</v>
      </c>
      <c r="O75" s="151">
        <v>0</v>
      </c>
      <c r="P75" s="475">
        <f t="shared" si="40"/>
        <v>0</v>
      </c>
      <c r="Q75" s="260">
        <f t="shared" si="41"/>
        <v>0</v>
      </c>
      <c r="R75" s="475">
        <v>0</v>
      </c>
      <c r="S75" s="260">
        <v>0</v>
      </c>
      <c r="T75" s="475">
        <v>0</v>
      </c>
      <c r="U75" s="260">
        <v>0</v>
      </c>
      <c r="V75" s="260">
        <v>0</v>
      </c>
      <c r="W75" s="278">
        <v>0</v>
      </c>
      <c r="X75" s="152">
        <v>0</v>
      </c>
      <c r="Y75" s="216">
        <f t="shared" si="44"/>
        <v>0</v>
      </c>
      <c r="Z75" s="278">
        <v>0</v>
      </c>
      <c r="AA75" s="278">
        <v>0</v>
      </c>
      <c r="AB75" s="152">
        <v>0</v>
      </c>
      <c r="AC75" s="216">
        <f t="shared" si="46"/>
        <v>0</v>
      </c>
      <c r="AD75" s="152">
        <v>0</v>
      </c>
      <c r="AE75" s="216">
        <f t="shared" si="47"/>
        <v>0</v>
      </c>
      <c r="AF75" s="278">
        <v>0</v>
      </c>
      <c r="AG75" s="278">
        <v>0</v>
      </c>
      <c r="AH75" s="152">
        <v>0</v>
      </c>
      <c r="AI75" s="216">
        <f t="shared" si="49"/>
        <v>0</v>
      </c>
      <c r="AJ75" s="152">
        <v>0</v>
      </c>
      <c r="AK75" s="216">
        <f t="shared" si="50"/>
        <v>0</v>
      </c>
      <c r="AL75" s="278">
        <v>0</v>
      </c>
      <c r="AM75" s="152">
        <v>0</v>
      </c>
      <c r="AN75" s="216">
        <f t="shared" si="52"/>
        <v>0</v>
      </c>
      <c r="AO75" s="278">
        <v>0</v>
      </c>
      <c r="AP75" s="278">
        <v>0</v>
      </c>
      <c r="AQ75" s="152">
        <v>0</v>
      </c>
      <c r="AR75" s="216">
        <f t="shared" si="54"/>
        <v>0</v>
      </c>
      <c r="AS75" s="152">
        <v>0</v>
      </c>
      <c r="AT75" s="216">
        <f t="shared" si="55"/>
        <v>0</v>
      </c>
    </row>
    <row r="76" spans="1:46" ht="19.5" x14ac:dyDescent="0.3">
      <c r="A76" s="147">
        <v>2</v>
      </c>
      <c r="B76" s="148" t="s">
        <v>104</v>
      </c>
      <c r="C76" s="472">
        <f t="shared" si="34"/>
        <v>0</v>
      </c>
      <c r="D76" s="473">
        <f t="shared" si="80"/>
        <v>0</v>
      </c>
      <c r="E76" s="151">
        <v>0</v>
      </c>
      <c r="F76" s="151">
        <v>0</v>
      </c>
      <c r="G76" s="151">
        <v>0</v>
      </c>
      <c r="H76" s="151">
        <v>0</v>
      </c>
      <c r="I76" s="151">
        <v>0</v>
      </c>
      <c r="J76" s="262">
        <f t="shared" si="36"/>
        <v>0</v>
      </c>
      <c r="K76" s="476">
        <f t="shared" si="37"/>
        <v>0</v>
      </c>
      <c r="L76" s="151">
        <v>0</v>
      </c>
      <c r="M76" s="260">
        <f t="shared" si="38"/>
        <v>0</v>
      </c>
      <c r="N76" s="260">
        <f t="shared" si="39"/>
        <v>0</v>
      </c>
      <c r="O76" s="151">
        <v>0</v>
      </c>
      <c r="P76" s="475">
        <f t="shared" si="40"/>
        <v>0</v>
      </c>
      <c r="Q76" s="260">
        <f t="shared" si="41"/>
        <v>0</v>
      </c>
      <c r="R76" s="475">
        <v>0</v>
      </c>
      <c r="S76" s="260">
        <v>0</v>
      </c>
      <c r="T76" s="475">
        <v>0</v>
      </c>
      <c r="U76" s="260">
        <v>0</v>
      </c>
      <c r="V76" s="260">
        <v>0</v>
      </c>
      <c r="W76" s="278">
        <v>0</v>
      </c>
      <c r="X76" s="152">
        <v>0</v>
      </c>
      <c r="Y76" s="216">
        <f t="shared" si="44"/>
        <v>0</v>
      </c>
      <c r="Z76" s="278">
        <v>0</v>
      </c>
      <c r="AA76" s="278">
        <v>0</v>
      </c>
      <c r="AB76" s="152">
        <v>0</v>
      </c>
      <c r="AC76" s="216">
        <f t="shared" si="46"/>
        <v>0</v>
      </c>
      <c r="AD76" s="152">
        <v>0</v>
      </c>
      <c r="AE76" s="216">
        <f t="shared" si="47"/>
        <v>0</v>
      </c>
      <c r="AF76" s="278">
        <v>0</v>
      </c>
      <c r="AG76" s="278">
        <v>0</v>
      </c>
      <c r="AH76" s="152">
        <v>0</v>
      </c>
      <c r="AI76" s="216">
        <f t="shared" si="49"/>
        <v>0</v>
      </c>
      <c r="AJ76" s="152">
        <v>0</v>
      </c>
      <c r="AK76" s="216">
        <f t="shared" si="50"/>
        <v>0</v>
      </c>
      <c r="AL76" s="278">
        <v>0</v>
      </c>
      <c r="AM76" s="152">
        <v>0</v>
      </c>
      <c r="AN76" s="216">
        <f t="shared" si="52"/>
        <v>0</v>
      </c>
      <c r="AO76" s="278">
        <v>0</v>
      </c>
      <c r="AP76" s="278">
        <v>0</v>
      </c>
      <c r="AQ76" s="152">
        <v>0</v>
      </c>
      <c r="AR76" s="216">
        <f t="shared" si="54"/>
        <v>0</v>
      </c>
      <c r="AS76" s="152">
        <v>0</v>
      </c>
      <c r="AT76" s="216">
        <f t="shared" si="55"/>
        <v>0</v>
      </c>
    </row>
    <row r="77" spans="1:46" ht="19.5" x14ac:dyDescent="0.3">
      <c r="A77" s="147">
        <v>3</v>
      </c>
      <c r="B77" s="148" t="s">
        <v>105</v>
      </c>
      <c r="C77" s="472">
        <f t="shared" si="34"/>
        <v>0</v>
      </c>
      <c r="D77" s="473">
        <f t="shared" si="80"/>
        <v>0</v>
      </c>
      <c r="E77" s="151">
        <v>0</v>
      </c>
      <c r="F77" s="151">
        <v>0</v>
      </c>
      <c r="G77" s="151">
        <v>0</v>
      </c>
      <c r="H77" s="151">
        <v>0</v>
      </c>
      <c r="I77" s="151">
        <v>0</v>
      </c>
      <c r="J77" s="262">
        <f t="shared" si="36"/>
        <v>0</v>
      </c>
      <c r="K77" s="476">
        <f t="shared" si="37"/>
        <v>0</v>
      </c>
      <c r="L77" s="151">
        <v>0</v>
      </c>
      <c r="M77" s="260">
        <f t="shared" si="38"/>
        <v>0</v>
      </c>
      <c r="N77" s="260">
        <f t="shared" si="39"/>
        <v>0</v>
      </c>
      <c r="O77" s="151">
        <v>0</v>
      </c>
      <c r="P77" s="475">
        <f t="shared" si="40"/>
        <v>0</v>
      </c>
      <c r="Q77" s="260">
        <f t="shared" si="41"/>
        <v>0</v>
      </c>
      <c r="R77" s="475">
        <v>0</v>
      </c>
      <c r="S77" s="260">
        <v>0</v>
      </c>
      <c r="T77" s="475">
        <v>0</v>
      </c>
      <c r="U77" s="260">
        <v>0</v>
      </c>
      <c r="V77" s="260">
        <v>0</v>
      </c>
      <c r="W77" s="278">
        <v>0</v>
      </c>
      <c r="X77" s="152">
        <v>0</v>
      </c>
      <c r="Y77" s="216">
        <f t="shared" si="44"/>
        <v>0</v>
      </c>
      <c r="Z77" s="278">
        <v>0</v>
      </c>
      <c r="AA77" s="278">
        <v>0</v>
      </c>
      <c r="AB77" s="152">
        <v>0</v>
      </c>
      <c r="AC77" s="216">
        <f t="shared" si="46"/>
        <v>0</v>
      </c>
      <c r="AD77" s="152">
        <v>0</v>
      </c>
      <c r="AE77" s="216">
        <f t="shared" si="47"/>
        <v>0</v>
      </c>
      <c r="AF77" s="278">
        <v>0</v>
      </c>
      <c r="AG77" s="278">
        <v>0</v>
      </c>
      <c r="AH77" s="152">
        <v>0</v>
      </c>
      <c r="AI77" s="216">
        <f t="shared" si="49"/>
        <v>0</v>
      </c>
      <c r="AJ77" s="152">
        <v>0</v>
      </c>
      <c r="AK77" s="216">
        <f t="shared" si="50"/>
        <v>0</v>
      </c>
      <c r="AL77" s="278">
        <v>0</v>
      </c>
      <c r="AM77" s="152">
        <v>0</v>
      </c>
      <c r="AN77" s="216">
        <f t="shared" si="52"/>
        <v>0</v>
      </c>
      <c r="AO77" s="278">
        <v>0</v>
      </c>
      <c r="AP77" s="278">
        <v>0</v>
      </c>
      <c r="AQ77" s="152">
        <v>0</v>
      </c>
      <c r="AR77" s="216">
        <f t="shared" si="54"/>
        <v>0</v>
      </c>
      <c r="AS77" s="152">
        <v>0</v>
      </c>
      <c r="AT77" s="216">
        <f t="shared" si="55"/>
        <v>0</v>
      </c>
    </row>
    <row r="78" spans="1:46" ht="19.5" x14ac:dyDescent="0.3">
      <c r="A78" s="147">
        <v>4</v>
      </c>
      <c r="B78" s="148" t="s">
        <v>106</v>
      </c>
      <c r="C78" s="472">
        <f t="shared" si="34"/>
        <v>0</v>
      </c>
      <c r="D78" s="473">
        <f t="shared" si="80"/>
        <v>0</v>
      </c>
      <c r="E78" s="151">
        <v>0</v>
      </c>
      <c r="F78" s="151">
        <v>0</v>
      </c>
      <c r="G78" s="151">
        <v>0</v>
      </c>
      <c r="H78" s="151">
        <v>0</v>
      </c>
      <c r="I78" s="151">
        <v>0</v>
      </c>
      <c r="J78" s="262">
        <f t="shared" si="36"/>
        <v>0</v>
      </c>
      <c r="K78" s="476">
        <f t="shared" si="37"/>
        <v>0</v>
      </c>
      <c r="L78" s="151">
        <v>0</v>
      </c>
      <c r="M78" s="260">
        <f t="shared" si="38"/>
        <v>0</v>
      </c>
      <c r="N78" s="260">
        <f t="shared" si="39"/>
        <v>0</v>
      </c>
      <c r="O78" s="151">
        <v>0</v>
      </c>
      <c r="P78" s="475">
        <f t="shared" si="40"/>
        <v>0</v>
      </c>
      <c r="Q78" s="260">
        <f t="shared" si="41"/>
        <v>0</v>
      </c>
      <c r="R78" s="475">
        <v>0</v>
      </c>
      <c r="S78" s="260">
        <v>0</v>
      </c>
      <c r="T78" s="475">
        <v>0</v>
      </c>
      <c r="U78" s="260">
        <v>0</v>
      </c>
      <c r="V78" s="260">
        <v>0</v>
      </c>
      <c r="W78" s="278">
        <v>0</v>
      </c>
      <c r="X78" s="152">
        <v>0</v>
      </c>
      <c r="Y78" s="216">
        <f t="shared" si="44"/>
        <v>0</v>
      </c>
      <c r="Z78" s="278">
        <v>0</v>
      </c>
      <c r="AA78" s="278">
        <v>0</v>
      </c>
      <c r="AB78" s="152">
        <v>0</v>
      </c>
      <c r="AC78" s="216">
        <f t="shared" si="46"/>
        <v>0</v>
      </c>
      <c r="AD78" s="152">
        <v>0</v>
      </c>
      <c r="AE78" s="216">
        <f t="shared" si="47"/>
        <v>0</v>
      </c>
      <c r="AF78" s="278">
        <v>0</v>
      </c>
      <c r="AG78" s="278">
        <v>0</v>
      </c>
      <c r="AH78" s="152">
        <v>0</v>
      </c>
      <c r="AI78" s="216">
        <f t="shared" si="49"/>
        <v>0</v>
      </c>
      <c r="AJ78" s="152">
        <v>0</v>
      </c>
      <c r="AK78" s="216">
        <f t="shared" si="50"/>
        <v>0</v>
      </c>
      <c r="AL78" s="278">
        <v>0</v>
      </c>
      <c r="AM78" s="152">
        <v>0</v>
      </c>
      <c r="AN78" s="216">
        <f t="shared" si="52"/>
        <v>0</v>
      </c>
      <c r="AO78" s="278">
        <v>0</v>
      </c>
      <c r="AP78" s="278">
        <v>0</v>
      </c>
      <c r="AQ78" s="152">
        <v>0</v>
      </c>
      <c r="AR78" s="216">
        <f t="shared" si="54"/>
        <v>0</v>
      </c>
      <c r="AS78" s="152">
        <v>0</v>
      </c>
      <c r="AT78" s="216">
        <f t="shared" si="55"/>
        <v>0</v>
      </c>
    </row>
    <row r="79" spans="1:46" ht="19.5" x14ac:dyDescent="0.3">
      <c r="A79" s="147">
        <v>5</v>
      </c>
      <c r="B79" s="148" t="s">
        <v>107</v>
      </c>
      <c r="C79" s="472">
        <f t="shared" si="34"/>
        <v>0</v>
      </c>
      <c r="D79" s="473">
        <f t="shared" si="80"/>
        <v>0</v>
      </c>
      <c r="E79" s="151">
        <v>0</v>
      </c>
      <c r="F79" s="151">
        <v>0</v>
      </c>
      <c r="G79" s="151">
        <v>0</v>
      </c>
      <c r="H79" s="151">
        <v>0</v>
      </c>
      <c r="I79" s="151">
        <v>0</v>
      </c>
      <c r="J79" s="262">
        <f t="shared" si="36"/>
        <v>0</v>
      </c>
      <c r="K79" s="476">
        <f t="shared" si="37"/>
        <v>0</v>
      </c>
      <c r="L79" s="151">
        <v>0</v>
      </c>
      <c r="M79" s="260">
        <f t="shared" si="38"/>
        <v>0</v>
      </c>
      <c r="N79" s="260">
        <f t="shared" si="39"/>
        <v>0</v>
      </c>
      <c r="O79" s="151">
        <v>0</v>
      </c>
      <c r="P79" s="475">
        <f t="shared" si="40"/>
        <v>0</v>
      </c>
      <c r="Q79" s="260">
        <f t="shared" si="41"/>
        <v>0</v>
      </c>
      <c r="R79" s="475">
        <v>0</v>
      </c>
      <c r="S79" s="260">
        <v>0</v>
      </c>
      <c r="T79" s="475">
        <v>0</v>
      </c>
      <c r="U79" s="260">
        <v>0</v>
      </c>
      <c r="V79" s="260">
        <v>0</v>
      </c>
      <c r="W79" s="278">
        <v>0</v>
      </c>
      <c r="X79" s="152">
        <v>0</v>
      </c>
      <c r="Y79" s="216">
        <f t="shared" si="44"/>
        <v>0</v>
      </c>
      <c r="Z79" s="278">
        <v>0</v>
      </c>
      <c r="AA79" s="278">
        <v>0</v>
      </c>
      <c r="AB79" s="152">
        <v>0</v>
      </c>
      <c r="AC79" s="216">
        <f t="shared" si="46"/>
        <v>0</v>
      </c>
      <c r="AD79" s="152">
        <v>0</v>
      </c>
      <c r="AE79" s="216">
        <f t="shared" si="47"/>
        <v>0</v>
      </c>
      <c r="AF79" s="278">
        <v>0</v>
      </c>
      <c r="AG79" s="278">
        <v>0</v>
      </c>
      <c r="AH79" s="152">
        <v>0</v>
      </c>
      <c r="AI79" s="216">
        <f t="shared" si="49"/>
        <v>0</v>
      </c>
      <c r="AJ79" s="152">
        <v>0</v>
      </c>
      <c r="AK79" s="216">
        <f t="shared" si="50"/>
        <v>0</v>
      </c>
      <c r="AL79" s="278">
        <v>0</v>
      </c>
      <c r="AM79" s="152">
        <v>0</v>
      </c>
      <c r="AN79" s="216">
        <f t="shared" si="52"/>
        <v>0</v>
      </c>
      <c r="AO79" s="278">
        <v>0</v>
      </c>
      <c r="AP79" s="278">
        <v>0</v>
      </c>
      <c r="AQ79" s="152">
        <v>0</v>
      </c>
      <c r="AR79" s="216">
        <f t="shared" si="54"/>
        <v>0</v>
      </c>
      <c r="AS79" s="152">
        <v>0</v>
      </c>
      <c r="AT79" s="216">
        <f t="shared" si="55"/>
        <v>0</v>
      </c>
    </row>
    <row r="80" spans="1:46" ht="19.5" x14ac:dyDescent="0.3">
      <c r="A80" s="147">
        <v>6</v>
      </c>
      <c r="B80" s="148" t="s">
        <v>108</v>
      </c>
      <c r="C80" s="472">
        <f t="shared" si="34"/>
        <v>0</v>
      </c>
      <c r="D80" s="473">
        <f t="shared" si="80"/>
        <v>0</v>
      </c>
      <c r="E80" s="151">
        <v>0</v>
      </c>
      <c r="F80" s="151">
        <v>0</v>
      </c>
      <c r="G80" s="151">
        <v>0</v>
      </c>
      <c r="H80" s="151">
        <v>0</v>
      </c>
      <c r="I80" s="151">
        <v>0</v>
      </c>
      <c r="J80" s="262">
        <f t="shared" si="36"/>
        <v>0</v>
      </c>
      <c r="K80" s="476">
        <f t="shared" si="37"/>
        <v>0</v>
      </c>
      <c r="L80" s="151">
        <v>0</v>
      </c>
      <c r="M80" s="260">
        <f t="shared" si="38"/>
        <v>0</v>
      </c>
      <c r="N80" s="260">
        <f t="shared" si="39"/>
        <v>0</v>
      </c>
      <c r="O80" s="151">
        <v>0</v>
      </c>
      <c r="P80" s="475">
        <f t="shared" si="40"/>
        <v>0</v>
      </c>
      <c r="Q80" s="260">
        <f t="shared" si="41"/>
        <v>0</v>
      </c>
      <c r="R80" s="475">
        <v>0</v>
      </c>
      <c r="S80" s="260">
        <v>0</v>
      </c>
      <c r="T80" s="475">
        <v>0</v>
      </c>
      <c r="U80" s="260">
        <v>0</v>
      </c>
      <c r="V80" s="260">
        <v>0</v>
      </c>
      <c r="W80" s="278">
        <v>0</v>
      </c>
      <c r="X80" s="152">
        <v>0</v>
      </c>
      <c r="Y80" s="216">
        <f t="shared" si="44"/>
        <v>0</v>
      </c>
      <c r="Z80" s="278">
        <v>0</v>
      </c>
      <c r="AA80" s="278">
        <v>0</v>
      </c>
      <c r="AB80" s="152">
        <v>0</v>
      </c>
      <c r="AC80" s="216">
        <f t="shared" si="46"/>
        <v>0</v>
      </c>
      <c r="AD80" s="152">
        <v>0</v>
      </c>
      <c r="AE80" s="216">
        <f t="shared" si="47"/>
        <v>0</v>
      </c>
      <c r="AF80" s="278">
        <v>0</v>
      </c>
      <c r="AG80" s="278">
        <v>0</v>
      </c>
      <c r="AH80" s="152">
        <v>0</v>
      </c>
      <c r="AI80" s="216">
        <f t="shared" si="49"/>
        <v>0</v>
      </c>
      <c r="AJ80" s="152">
        <v>0</v>
      </c>
      <c r="AK80" s="216">
        <f t="shared" si="50"/>
        <v>0</v>
      </c>
      <c r="AL80" s="278">
        <v>0</v>
      </c>
      <c r="AM80" s="152">
        <v>0</v>
      </c>
      <c r="AN80" s="216">
        <f t="shared" si="52"/>
        <v>0</v>
      </c>
      <c r="AO80" s="278">
        <v>0</v>
      </c>
      <c r="AP80" s="278">
        <v>0</v>
      </c>
      <c r="AQ80" s="152">
        <v>0</v>
      </c>
      <c r="AR80" s="216">
        <f t="shared" si="54"/>
        <v>0</v>
      </c>
      <c r="AS80" s="152">
        <v>0</v>
      </c>
      <c r="AT80" s="216">
        <f t="shared" si="55"/>
        <v>0</v>
      </c>
    </row>
    <row r="81" spans="1:46" ht="19.5" x14ac:dyDescent="0.3">
      <c r="A81" s="147">
        <v>7</v>
      </c>
      <c r="B81" s="148" t="s">
        <v>109</v>
      </c>
      <c r="C81" s="472">
        <f t="shared" si="34"/>
        <v>0</v>
      </c>
      <c r="D81" s="473">
        <f t="shared" si="80"/>
        <v>0</v>
      </c>
      <c r="E81" s="151">
        <v>0</v>
      </c>
      <c r="F81" s="151">
        <v>0</v>
      </c>
      <c r="G81" s="151">
        <v>0</v>
      </c>
      <c r="H81" s="151">
        <v>0</v>
      </c>
      <c r="I81" s="151">
        <v>0</v>
      </c>
      <c r="J81" s="262">
        <f t="shared" si="36"/>
        <v>0</v>
      </c>
      <c r="K81" s="476">
        <f t="shared" si="37"/>
        <v>0</v>
      </c>
      <c r="L81" s="151">
        <v>0</v>
      </c>
      <c r="M81" s="260">
        <f t="shared" si="38"/>
        <v>0</v>
      </c>
      <c r="N81" s="260">
        <f t="shared" si="39"/>
        <v>0</v>
      </c>
      <c r="O81" s="151">
        <v>0</v>
      </c>
      <c r="P81" s="475">
        <f t="shared" si="40"/>
        <v>0</v>
      </c>
      <c r="Q81" s="260">
        <f t="shared" si="41"/>
        <v>0</v>
      </c>
      <c r="R81" s="475">
        <v>0</v>
      </c>
      <c r="S81" s="260">
        <v>0</v>
      </c>
      <c r="T81" s="475">
        <v>0</v>
      </c>
      <c r="U81" s="260">
        <v>0</v>
      </c>
      <c r="V81" s="260">
        <v>0</v>
      </c>
      <c r="W81" s="278">
        <v>0</v>
      </c>
      <c r="X81" s="152">
        <v>0</v>
      </c>
      <c r="Y81" s="216">
        <f t="shared" si="44"/>
        <v>0</v>
      </c>
      <c r="Z81" s="278">
        <v>0</v>
      </c>
      <c r="AA81" s="278">
        <v>0</v>
      </c>
      <c r="AB81" s="152">
        <v>0</v>
      </c>
      <c r="AC81" s="216">
        <f t="shared" si="46"/>
        <v>0</v>
      </c>
      <c r="AD81" s="152">
        <v>0</v>
      </c>
      <c r="AE81" s="216">
        <f t="shared" si="47"/>
        <v>0</v>
      </c>
      <c r="AF81" s="278">
        <v>0</v>
      </c>
      <c r="AG81" s="278">
        <v>0</v>
      </c>
      <c r="AH81" s="152">
        <v>0</v>
      </c>
      <c r="AI81" s="216">
        <f t="shared" si="49"/>
        <v>0</v>
      </c>
      <c r="AJ81" s="152">
        <v>0</v>
      </c>
      <c r="AK81" s="216">
        <f t="shared" si="50"/>
        <v>0</v>
      </c>
      <c r="AL81" s="278">
        <v>0</v>
      </c>
      <c r="AM81" s="152">
        <v>0</v>
      </c>
      <c r="AN81" s="216">
        <f t="shared" si="52"/>
        <v>0</v>
      </c>
      <c r="AO81" s="278">
        <v>0</v>
      </c>
      <c r="AP81" s="278">
        <v>0</v>
      </c>
      <c r="AQ81" s="152">
        <v>0</v>
      </c>
      <c r="AR81" s="216">
        <f t="shared" si="54"/>
        <v>0</v>
      </c>
      <c r="AS81" s="152">
        <v>0</v>
      </c>
      <c r="AT81" s="216">
        <f t="shared" si="55"/>
        <v>0</v>
      </c>
    </row>
    <row r="82" spans="1:46" ht="19.5" x14ac:dyDescent="0.3">
      <c r="A82" s="147">
        <v>8</v>
      </c>
      <c r="B82" s="148" t="s">
        <v>110</v>
      </c>
      <c r="C82" s="472">
        <f t="shared" si="34"/>
        <v>0</v>
      </c>
      <c r="D82" s="473">
        <f t="shared" si="80"/>
        <v>0</v>
      </c>
      <c r="E82" s="151">
        <v>0</v>
      </c>
      <c r="F82" s="151">
        <v>0</v>
      </c>
      <c r="G82" s="151">
        <v>0</v>
      </c>
      <c r="H82" s="151">
        <v>0</v>
      </c>
      <c r="I82" s="151">
        <v>0</v>
      </c>
      <c r="J82" s="262">
        <f t="shared" si="36"/>
        <v>0</v>
      </c>
      <c r="K82" s="476">
        <f t="shared" si="37"/>
        <v>0</v>
      </c>
      <c r="L82" s="151">
        <v>0</v>
      </c>
      <c r="M82" s="260">
        <f t="shared" si="38"/>
        <v>0</v>
      </c>
      <c r="N82" s="260">
        <f t="shared" si="39"/>
        <v>0</v>
      </c>
      <c r="O82" s="151">
        <v>0</v>
      </c>
      <c r="P82" s="475">
        <f t="shared" si="40"/>
        <v>0</v>
      </c>
      <c r="Q82" s="260">
        <f t="shared" si="41"/>
        <v>0</v>
      </c>
      <c r="R82" s="475">
        <v>0</v>
      </c>
      <c r="S82" s="260">
        <v>0</v>
      </c>
      <c r="T82" s="475">
        <v>0</v>
      </c>
      <c r="U82" s="260">
        <v>0</v>
      </c>
      <c r="V82" s="260">
        <v>0</v>
      </c>
      <c r="W82" s="278">
        <v>0</v>
      </c>
      <c r="X82" s="152">
        <v>0</v>
      </c>
      <c r="Y82" s="216">
        <f t="shared" si="44"/>
        <v>0</v>
      </c>
      <c r="Z82" s="278">
        <v>0</v>
      </c>
      <c r="AA82" s="278">
        <v>0</v>
      </c>
      <c r="AB82" s="152">
        <v>0</v>
      </c>
      <c r="AC82" s="216">
        <f t="shared" si="46"/>
        <v>0</v>
      </c>
      <c r="AD82" s="152">
        <v>0</v>
      </c>
      <c r="AE82" s="216">
        <f t="shared" si="47"/>
        <v>0</v>
      </c>
      <c r="AF82" s="278">
        <v>0</v>
      </c>
      <c r="AG82" s="278">
        <v>0</v>
      </c>
      <c r="AH82" s="152">
        <v>0</v>
      </c>
      <c r="AI82" s="216">
        <f t="shared" si="49"/>
        <v>0</v>
      </c>
      <c r="AJ82" s="152">
        <v>0</v>
      </c>
      <c r="AK82" s="216">
        <f t="shared" si="50"/>
        <v>0</v>
      </c>
      <c r="AL82" s="278">
        <v>0</v>
      </c>
      <c r="AM82" s="152">
        <v>0</v>
      </c>
      <c r="AN82" s="216">
        <f t="shared" si="52"/>
        <v>0</v>
      </c>
      <c r="AO82" s="278">
        <v>0</v>
      </c>
      <c r="AP82" s="278">
        <v>0</v>
      </c>
      <c r="AQ82" s="152">
        <v>0</v>
      </c>
      <c r="AR82" s="216">
        <f t="shared" si="54"/>
        <v>0</v>
      </c>
      <c r="AS82" s="152">
        <v>0</v>
      </c>
      <c r="AT82" s="216">
        <f t="shared" si="55"/>
        <v>0</v>
      </c>
    </row>
    <row r="83" spans="1:46" ht="19.5" x14ac:dyDescent="0.3">
      <c r="A83" s="147">
        <v>9</v>
      </c>
      <c r="B83" s="148" t="s">
        <v>111</v>
      </c>
      <c r="C83" s="472">
        <f t="shared" si="34"/>
        <v>0</v>
      </c>
      <c r="D83" s="473">
        <f t="shared" si="80"/>
        <v>0</v>
      </c>
      <c r="E83" s="151">
        <v>0</v>
      </c>
      <c r="F83" s="151">
        <v>0</v>
      </c>
      <c r="G83" s="151">
        <v>0</v>
      </c>
      <c r="H83" s="151">
        <v>0</v>
      </c>
      <c r="I83" s="151">
        <v>0</v>
      </c>
      <c r="J83" s="262">
        <f t="shared" si="36"/>
        <v>0</v>
      </c>
      <c r="K83" s="476">
        <f t="shared" si="37"/>
        <v>0</v>
      </c>
      <c r="L83" s="151">
        <v>0</v>
      </c>
      <c r="M83" s="260">
        <f t="shared" si="38"/>
        <v>0</v>
      </c>
      <c r="N83" s="260">
        <f t="shared" si="39"/>
        <v>0</v>
      </c>
      <c r="O83" s="151">
        <v>0</v>
      </c>
      <c r="P83" s="475">
        <f t="shared" si="40"/>
        <v>0</v>
      </c>
      <c r="Q83" s="260">
        <f t="shared" si="41"/>
        <v>0</v>
      </c>
      <c r="R83" s="475">
        <v>0</v>
      </c>
      <c r="S83" s="260">
        <v>0</v>
      </c>
      <c r="T83" s="475">
        <v>0</v>
      </c>
      <c r="U83" s="260">
        <v>0</v>
      </c>
      <c r="V83" s="260">
        <v>0</v>
      </c>
      <c r="W83" s="278">
        <v>0</v>
      </c>
      <c r="X83" s="152">
        <v>0</v>
      </c>
      <c r="Y83" s="216">
        <f t="shared" si="44"/>
        <v>0</v>
      </c>
      <c r="Z83" s="278">
        <v>0</v>
      </c>
      <c r="AA83" s="278">
        <v>0</v>
      </c>
      <c r="AB83" s="152">
        <v>0</v>
      </c>
      <c r="AC83" s="216">
        <f t="shared" si="46"/>
        <v>0</v>
      </c>
      <c r="AD83" s="152">
        <v>0</v>
      </c>
      <c r="AE83" s="216">
        <f t="shared" si="47"/>
        <v>0</v>
      </c>
      <c r="AF83" s="278">
        <v>0</v>
      </c>
      <c r="AG83" s="278">
        <v>0</v>
      </c>
      <c r="AH83" s="152">
        <v>0</v>
      </c>
      <c r="AI83" s="216">
        <f t="shared" si="49"/>
        <v>0</v>
      </c>
      <c r="AJ83" s="152">
        <v>0</v>
      </c>
      <c r="AK83" s="216">
        <f t="shared" si="50"/>
        <v>0</v>
      </c>
      <c r="AL83" s="278">
        <v>0</v>
      </c>
      <c r="AM83" s="152">
        <v>0</v>
      </c>
      <c r="AN83" s="216">
        <f t="shared" si="52"/>
        <v>0</v>
      </c>
      <c r="AO83" s="278">
        <v>0</v>
      </c>
      <c r="AP83" s="278">
        <v>0</v>
      </c>
      <c r="AQ83" s="152">
        <v>0</v>
      </c>
      <c r="AR83" s="216">
        <f t="shared" si="54"/>
        <v>0</v>
      </c>
      <c r="AS83" s="152">
        <v>0</v>
      </c>
      <c r="AT83" s="216">
        <f t="shared" si="55"/>
        <v>0</v>
      </c>
    </row>
    <row r="84" spans="1:46" ht="19.5" x14ac:dyDescent="0.3">
      <c r="A84" s="147">
        <v>10</v>
      </c>
      <c r="B84" s="148" t="s">
        <v>112</v>
      </c>
      <c r="C84" s="472">
        <f t="shared" si="34"/>
        <v>0</v>
      </c>
      <c r="D84" s="473">
        <f t="shared" si="80"/>
        <v>0</v>
      </c>
      <c r="E84" s="151">
        <v>0</v>
      </c>
      <c r="F84" s="151">
        <v>0</v>
      </c>
      <c r="G84" s="151">
        <v>0</v>
      </c>
      <c r="H84" s="151">
        <v>0</v>
      </c>
      <c r="I84" s="151">
        <v>0</v>
      </c>
      <c r="J84" s="262">
        <f t="shared" si="36"/>
        <v>0</v>
      </c>
      <c r="K84" s="476">
        <f t="shared" si="37"/>
        <v>0</v>
      </c>
      <c r="L84" s="151">
        <v>0</v>
      </c>
      <c r="M84" s="260">
        <f t="shared" si="38"/>
        <v>0</v>
      </c>
      <c r="N84" s="260">
        <f t="shared" si="39"/>
        <v>0</v>
      </c>
      <c r="O84" s="151">
        <v>0</v>
      </c>
      <c r="P84" s="475">
        <f t="shared" si="40"/>
        <v>0</v>
      </c>
      <c r="Q84" s="260">
        <f t="shared" si="41"/>
        <v>0</v>
      </c>
      <c r="R84" s="475">
        <v>0</v>
      </c>
      <c r="S84" s="260">
        <v>0</v>
      </c>
      <c r="T84" s="475">
        <v>0</v>
      </c>
      <c r="U84" s="260">
        <v>0</v>
      </c>
      <c r="V84" s="260">
        <v>0</v>
      </c>
      <c r="W84" s="278">
        <v>0</v>
      </c>
      <c r="X84" s="152">
        <v>0</v>
      </c>
      <c r="Y84" s="216">
        <f t="shared" si="44"/>
        <v>0</v>
      </c>
      <c r="Z84" s="278">
        <v>0</v>
      </c>
      <c r="AA84" s="278">
        <v>0</v>
      </c>
      <c r="AB84" s="152">
        <v>0</v>
      </c>
      <c r="AC84" s="216">
        <f t="shared" si="46"/>
        <v>0</v>
      </c>
      <c r="AD84" s="152">
        <v>0</v>
      </c>
      <c r="AE84" s="216">
        <f t="shared" si="47"/>
        <v>0</v>
      </c>
      <c r="AF84" s="278">
        <v>0</v>
      </c>
      <c r="AG84" s="278">
        <v>0</v>
      </c>
      <c r="AH84" s="152">
        <v>0</v>
      </c>
      <c r="AI84" s="216">
        <f t="shared" si="49"/>
        <v>0</v>
      </c>
      <c r="AJ84" s="152">
        <v>0</v>
      </c>
      <c r="AK84" s="216">
        <f t="shared" si="50"/>
        <v>0</v>
      </c>
      <c r="AL84" s="278">
        <v>0</v>
      </c>
      <c r="AM84" s="152">
        <v>0</v>
      </c>
      <c r="AN84" s="216">
        <f t="shared" si="52"/>
        <v>0</v>
      </c>
      <c r="AO84" s="278">
        <v>0</v>
      </c>
      <c r="AP84" s="278">
        <v>0</v>
      </c>
      <c r="AQ84" s="152">
        <v>0</v>
      </c>
      <c r="AR84" s="216">
        <f t="shared" si="54"/>
        <v>0</v>
      </c>
      <c r="AS84" s="152">
        <v>0</v>
      </c>
      <c r="AT84" s="216">
        <f t="shared" si="55"/>
        <v>0</v>
      </c>
    </row>
    <row r="85" spans="1:46" ht="19.5" x14ac:dyDescent="0.3">
      <c r="A85" s="147">
        <v>11</v>
      </c>
      <c r="B85" s="148" t="s">
        <v>113</v>
      </c>
      <c r="C85" s="472">
        <f t="shared" si="34"/>
        <v>0</v>
      </c>
      <c r="D85" s="473">
        <f t="shared" si="80"/>
        <v>0</v>
      </c>
      <c r="E85" s="151">
        <v>0</v>
      </c>
      <c r="F85" s="151">
        <v>0</v>
      </c>
      <c r="G85" s="151">
        <v>0</v>
      </c>
      <c r="H85" s="151">
        <v>0</v>
      </c>
      <c r="I85" s="151">
        <v>0</v>
      </c>
      <c r="J85" s="262">
        <f t="shared" si="36"/>
        <v>0</v>
      </c>
      <c r="K85" s="476">
        <f t="shared" si="37"/>
        <v>0</v>
      </c>
      <c r="L85" s="151">
        <v>0</v>
      </c>
      <c r="M85" s="260">
        <f t="shared" si="38"/>
        <v>0</v>
      </c>
      <c r="N85" s="260">
        <f t="shared" si="39"/>
        <v>0</v>
      </c>
      <c r="O85" s="151">
        <v>0</v>
      </c>
      <c r="P85" s="475">
        <f t="shared" si="40"/>
        <v>0</v>
      </c>
      <c r="Q85" s="260">
        <f t="shared" si="41"/>
        <v>0</v>
      </c>
      <c r="R85" s="475">
        <v>0</v>
      </c>
      <c r="S85" s="260">
        <v>0</v>
      </c>
      <c r="T85" s="475">
        <v>0</v>
      </c>
      <c r="U85" s="260">
        <v>0</v>
      </c>
      <c r="V85" s="260">
        <v>0</v>
      </c>
      <c r="W85" s="278">
        <v>0</v>
      </c>
      <c r="X85" s="152">
        <v>0</v>
      </c>
      <c r="Y85" s="216">
        <f t="shared" si="44"/>
        <v>0</v>
      </c>
      <c r="Z85" s="278">
        <v>0</v>
      </c>
      <c r="AA85" s="278">
        <v>0</v>
      </c>
      <c r="AB85" s="152">
        <v>0</v>
      </c>
      <c r="AC85" s="216">
        <f t="shared" si="46"/>
        <v>0</v>
      </c>
      <c r="AD85" s="152">
        <v>0</v>
      </c>
      <c r="AE85" s="216">
        <f t="shared" si="47"/>
        <v>0</v>
      </c>
      <c r="AF85" s="278">
        <v>0</v>
      </c>
      <c r="AG85" s="278">
        <v>0</v>
      </c>
      <c r="AH85" s="152">
        <v>0</v>
      </c>
      <c r="AI85" s="216">
        <f t="shared" si="49"/>
        <v>0</v>
      </c>
      <c r="AJ85" s="152">
        <v>0</v>
      </c>
      <c r="AK85" s="216">
        <f t="shared" si="50"/>
        <v>0</v>
      </c>
      <c r="AL85" s="278">
        <v>0</v>
      </c>
      <c r="AM85" s="152">
        <v>0</v>
      </c>
      <c r="AN85" s="216">
        <f t="shared" si="52"/>
        <v>0</v>
      </c>
      <c r="AO85" s="278">
        <v>0</v>
      </c>
      <c r="AP85" s="278">
        <v>0</v>
      </c>
      <c r="AQ85" s="152">
        <v>0</v>
      </c>
      <c r="AR85" s="216">
        <f t="shared" si="54"/>
        <v>0</v>
      </c>
      <c r="AS85" s="152">
        <v>0</v>
      </c>
      <c r="AT85" s="216">
        <f t="shared" si="55"/>
        <v>0</v>
      </c>
    </row>
    <row r="86" spans="1:46" ht="19.5" x14ac:dyDescent="0.3">
      <c r="A86" s="147">
        <v>12</v>
      </c>
      <c r="B86" s="148" t="s">
        <v>114</v>
      </c>
      <c r="C86" s="472">
        <f t="shared" si="34"/>
        <v>0</v>
      </c>
      <c r="D86" s="473">
        <f t="shared" si="80"/>
        <v>0</v>
      </c>
      <c r="E86" s="151">
        <v>0</v>
      </c>
      <c r="F86" s="151">
        <v>0</v>
      </c>
      <c r="G86" s="151">
        <v>0</v>
      </c>
      <c r="H86" s="151">
        <v>0</v>
      </c>
      <c r="I86" s="151">
        <v>0</v>
      </c>
      <c r="J86" s="262">
        <f t="shared" si="36"/>
        <v>0</v>
      </c>
      <c r="K86" s="476">
        <f t="shared" si="37"/>
        <v>0</v>
      </c>
      <c r="L86" s="151">
        <v>0</v>
      </c>
      <c r="M86" s="260">
        <f t="shared" si="38"/>
        <v>0</v>
      </c>
      <c r="N86" s="260">
        <f t="shared" si="39"/>
        <v>0</v>
      </c>
      <c r="O86" s="151">
        <v>0</v>
      </c>
      <c r="P86" s="475">
        <f t="shared" si="40"/>
        <v>0</v>
      </c>
      <c r="Q86" s="260">
        <f t="shared" si="41"/>
        <v>0</v>
      </c>
      <c r="R86" s="475">
        <v>0</v>
      </c>
      <c r="S86" s="260">
        <v>0</v>
      </c>
      <c r="T86" s="475">
        <v>0</v>
      </c>
      <c r="U86" s="260">
        <v>0</v>
      </c>
      <c r="V86" s="260">
        <v>0</v>
      </c>
      <c r="W86" s="279">
        <v>0</v>
      </c>
      <c r="X86" s="397">
        <v>0</v>
      </c>
      <c r="Y86" s="216">
        <f t="shared" si="44"/>
        <v>0</v>
      </c>
      <c r="Z86" s="279">
        <v>0</v>
      </c>
      <c r="AA86" s="279">
        <v>0</v>
      </c>
      <c r="AB86" s="397">
        <v>0</v>
      </c>
      <c r="AC86" s="216">
        <f t="shared" si="46"/>
        <v>0</v>
      </c>
      <c r="AD86" s="397">
        <v>0</v>
      </c>
      <c r="AE86" s="216">
        <f t="shared" si="47"/>
        <v>0</v>
      </c>
      <c r="AF86" s="279">
        <v>0</v>
      </c>
      <c r="AG86" s="279">
        <v>0</v>
      </c>
      <c r="AH86" s="397">
        <v>0</v>
      </c>
      <c r="AI86" s="216">
        <f t="shared" si="49"/>
        <v>0</v>
      </c>
      <c r="AJ86" s="397">
        <v>0</v>
      </c>
      <c r="AK86" s="216">
        <f t="shared" si="50"/>
        <v>0</v>
      </c>
      <c r="AL86" s="279">
        <v>0</v>
      </c>
      <c r="AM86" s="397">
        <v>0</v>
      </c>
      <c r="AN86" s="216">
        <f t="shared" si="52"/>
        <v>0</v>
      </c>
      <c r="AO86" s="279">
        <v>0</v>
      </c>
      <c r="AP86" s="279">
        <v>0</v>
      </c>
      <c r="AQ86" s="397">
        <v>0</v>
      </c>
      <c r="AR86" s="216">
        <f t="shared" si="54"/>
        <v>0</v>
      </c>
      <c r="AS86" s="397">
        <v>0</v>
      </c>
      <c r="AT86" s="216">
        <f t="shared" si="55"/>
        <v>0</v>
      </c>
    </row>
    <row r="87" spans="1:46" ht="19.5" x14ac:dyDescent="0.3">
      <c r="A87" s="147">
        <v>13</v>
      </c>
      <c r="B87" s="148" t="s">
        <v>115</v>
      </c>
      <c r="C87" s="472">
        <f t="shared" si="34"/>
        <v>0</v>
      </c>
      <c r="D87" s="473">
        <f t="shared" si="80"/>
        <v>0</v>
      </c>
      <c r="E87" s="151">
        <v>0</v>
      </c>
      <c r="F87" s="151">
        <v>0</v>
      </c>
      <c r="G87" s="151">
        <v>0</v>
      </c>
      <c r="H87" s="151">
        <v>0</v>
      </c>
      <c r="I87" s="151">
        <v>0</v>
      </c>
      <c r="J87" s="262">
        <f t="shared" si="36"/>
        <v>0</v>
      </c>
      <c r="K87" s="476">
        <f t="shared" si="37"/>
        <v>0</v>
      </c>
      <c r="L87" s="151">
        <v>0</v>
      </c>
      <c r="M87" s="260">
        <f t="shared" si="38"/>
        <v>0</v>
      </c>
      <c r="N87" s="260">
        <f t="shared" si="39"/>
        <v>0</v>
      </c>
      <c r="O87" s="151">
        <v>0</v>
      </c>
      <c r="P87" s="475">
        <f t="shared" si="40"/>
        <v>0</v>
      </c>
      <c r="Q87" s="260">
        <f t="shared" si="41"/>
        <v>0</v>
      </c>
      <c r="R87" s="475">
        <v>0</v>
      </c>
      <c r="S87" s="260">
        <v>0</v>
      </c>
      <c r="T87" s="475">
        <v>0</v>
      </c>
      <c r="U87" s="260">
        <v>0</v>
      </c>
      <c r="V87" s="260">
        <v>0</v>
      </c>
      <c r="W87" s="278">
        <v>0</v>
      </c>
      <c r="X87" s="152">
        <v>0</v>
      </c>
      <c r="Y87" s="216">
        <f t="shared" si="44"/>
        <v>0</v>
      </c>
      <c r="Z87" s="278">
        <v>0</v>
      </c>
      <c r="AA87" s="278">
        <v>0</v>
      </c>
      <c r="AB87" s="152">
        <v>0</v>
      </c>
      <c r="AC87" s="216">
        <f t="shared" si="46"/>
        <v>0</v>
      </c>
      <c r="AD87" s="152">
        <v>0</v>
      </c>
      <c r="AE87" s="216">
        <f t="shared" si="47"/>
        <v>0</v>
      </c>
      <c r="AF87" s="278">
        <v>0</v>
      </c>
      <c r="AG87" s="278">
        <v>0</v>
      </c>
      <c r="AH87" s="152">
        <v>0</v>
      </c>
      <c r="AI87" s="216">
        <f t="shared" si="49"/>
        <v>0</v>
      </c>
      <c r="AJ87" s="152">
        <v>0</v>
      </c>
      <c r="AK87" s="216">
        <f t="shared" si="50"/>
        <v>0</v>
      </c>
      <c r="AL87" s="278">
        <v>0</v>
      </c>
      <c r="AM87" s="152">
        <v>0</v>
      </c>
      <c r="AN87" s="216">
        <f t="shared" si="52"/>
        <v>0</v>
      </c>
      <c r="AO87" s="278">
        <v>0</v>
      </c>
      <c r="AP87" s="278">
        <v>0</v>
      </c>
      <c r="AQ87" s="152">
        <v>0</v>
      </c>
      <c r="AR87" s="216">
        <f t="shared" si="54"/>
        <v>0</v>
      </c>
      <c r="AS87" s="152">
        <v>0</v>
      </c>
      <c r="AT87" s="216">
        <f t="shared" si="55"/>
        <v>0</v>
      </c>
    </row>
    <row r="88" spans="1:46" ht="19.5" x14ac:dyDescent="0.3">
      <c r="A88" s="155">
        <v>14</v>
      </c>
      <c r="B88" s="156" t="s">
        <v>116</v>
      </c>
      <c r="C88" s="477">
        <f t="shared" si="34"/>
        <v>0</v>
      </c>
      <c r="D88" s="478">
        <f t="shared" si="80"/>
        <v>0</v>
      </c>
      <c r="E88" s="159">
        <v>0</v>
      </c>
      <c r="F88" s="159">
        <v>0</v>
      </c>
      <c r="G88" s="159">
        <v>0</v>
      </c>
      <c r="H88" s="159">
        <v>0</v>
      </c>
      <c r="I88" s="159">
        <v>0</v>
      </c>
      <c r="J88" s="479">
        <f t="shared" si="36"/>
        <v>0</v>
      </c>
      <c r="K88" s="480">
        <f t="shared" si="37"/>
        <v>0</v>
      </c>
      <c r="L88" s="159">
        <v>0</v>
      </c>
      <c r="M88" s="481">
        <f t="shared" si="38"/>
        <v>0</v>
      </c>
      <c r="N88" s="481">
        <f t="shared" si="39"/>
        <v>0</v>
      </c>
      <c r="O88" s="159">
        <v>0</v>
      </c>
      <c r="P88" s="482">
        <f t="shared" si="40"/>
        <v>0</v>
      </c>
      <c r="Q88" s="481">
        <f t="shared" si="41"/>
        <v>0</v>
      </c>
      <c r="R88" s="482">
        <v>0</v>
      </c>
      <c r="S88" s="481">
        <v>0</v>
      </c>
      <c r="T88" s="482">
        <v>0</v>
      </c>
      <c r="U88" s="481">
        <v>0</v>
      </c>
      <c r="V88" s="481">
        <v>0</v>
      </c>
      <c r="W88" s="280">
        <v>0</v>
      </c>
      <c r="X88" s="191">
        <v>0</v>
      </c>
      <c r="Y88" s="218">
        <f t="shared" si="44"/>
        <v>0</v>
      </c>
      <c r="Z88" s="280">
        <v>0</v>
      </c>
      <c r="AA88" s="280">
        <v>0</v>
      </c>
      <c r="AB88" s="191">
        <v>0</v>
      </c>
      <c r="AC88" s="218">
        <f t="shared" si="46"/>
        <v>0</v>
      </c>
      <c r="AD88" s="191">
        <v>0</v>
      </c>
      <c r="AE88" s="218">
        <f t="shared" si="47"/>
        <v>0</v>
      </c>
      <c r="AF88" s="280">
        <v>0</v>
      </c>
      <c r="AG88" s="280">
        <v>0</v>
      </c>
      <c r="AH88" s="191">
        <v>0</v>
      </c>
      <c r="AI88" s="218">
        <f t="shared" si="49"/>
        <v>0</v>
      </c>
      <c r="AJ88" s="191">
        <v>0</v>
      </c>
      <c r="AK88" s="218">
        <f t="shared" si="50"/>
        <v>0</v>
      </c>
      <c r="AL88" s="280">
        <v>0</v>
      </c>
      <c r="AM88" s="191">
        <v>0</v>
      </c>
      <c r="AN88" s="218">
        <f t="shared" si="52"/>
        <v>0</v>
      </c>
      <c r="AO88" s="280">
        <v>0</v>
      </c>
      <c r="AP88" s="280">
        <v>0</v>
      </c>
      <c r="AQ88" s="191">
        <v>0</v>
      </c>
      <c r="AR88" s="218">
        <f t="shared" si="54"/>
        <v>0</v>
      </c>
      <c r="AS88" s="191">
        <v>0</v>
      </c>
      <c r="AT88" s="218">
        <f t="shared" si="55"/>
        <v>0</v>
      </c>
    </row>
    <row r="89" spans="1:46" ht="19.5" x14ac:dyDescent="0.3">
      <c r="A89" s="698" t="s">
        <v>117</v>
      </c>
      <c r="B89" s="662"/>
      <c r="C89" s="489">
        <f t="shared" ref="C89:T89" ca="1" si="81">SUM(C90:C106)</f>
        <v>28900</v>
      </c>
      <c r="D89" s="489">
        <f t="shared" ca="1" si="81"/>
        <v>28900</v>
      </c>
      <c r="E89" s="489">
        <f t="shared" si="81"/>
        <v>0</v>
      </c>
      <c r="F89" s="489">
        <f t="shared" ca="1" si="81"/>
        <v>28900</v>
      </c>
      <c r="G89" s="489">
        <f t="shared" si="81"/>
        <v>0</v>
      </c>
      <c r="H89" s="489">
        <f t="shared" ca="1" si="81"/>
        <v>28900</v>
      </c>
      <c r="I89" s="489">
        <f t="shared" si="81"/>
        <v>0</v>
      </c>
      <c r="J89" s="489">
        <f t="shared" ca="1" si="81"/>
        <v>28778.720000000001</v>
      </c>
      <c r="K89" s="490">
        <f t="shared" ca="1" si="81"/>
        <v>99.58034602076124</v>
      </c>
      <c r="L89" s="489">
        <f t="shared" ca="1" si="81"/>
        <v>28778.720000000001</v>
      </c>
      <c r="M89" s="490">
        <f t="shared" ca="1" si="81"/>
        <v>99.58034602076124</v>
      </c>
      <c r="N89" s="490">
        <f t="shared" ca="1" si="81"/>
        <v>99.58034602076124</v>
      </c>
      <c r="O89" s="489">
        <f t="shared" si="81"/>
        <v>0</v>
      </c>
      <c r="P89" s="489">
        <f t="shared" si="81"/>
        <v>0</v>
      </c>
      <c r="Q89" s="489">
        <f t="shared" si="81"/>
        <v>0</v>
      </c>
      <c r="R89" s="491">
        <f t="shared" ca="1" si="81"/>
        <v>2200990</v>
      </c>
      <c r="S89" s="489">
        <f t="shared" ca="1" si="81"/>
        <v>2200990</v>
      </c>
      <c r="T89" s="491">
        <f t="shared" ca="1" si="81"/>
        <v>1374149</v>
      </c>
      <c r="U89" s="489">
        <f t="shared" ref="U89:U108" ca="1" si="82">IF(R89&gt;0,T89*100/R89,0)</f>
        <v>62.433223231364067</v>
      </c>
      <c r="V89" s="489">
        <f t="shared" ref="V89:V108" ca="1" si="83">IF(S89&gt;0,T89*100/S89,0)</f>
        <v>62.433223231364067</v>
      </c>
      <c r="W89" s="169"/>
      <c r="X89" s="169"/>
      <c r="Y89" s="255"/>
      <c r="Z89" s="169"/>
      <c r="AA89" s="169"/>
      <c r="AB89" s="169"/>
      <c r="AC89" s="255"/>
      <c r="AD89" s="169"/>
      <c r="AE89" s="255"/>
      <c r="AF89" s="169"/>
      <c r="AG89" s="169"/>
      <c r="AH89" s="169"/>
      <c r="AI89" s="255"/>
      <c r="AJ89" s="169"/>
      <c r="AK89" s="255"/>
      <c r="AL89" s="169"/>
      <c r="AM89" s="169"/>
      <c r="AN89" s="255"/>
      <c r="AO89" s="169"/>
      <c r="AP89" s="169"/>
      <c r="AQ89" s="169"/>
      <c r="AR89" s="255"/>
      <c r="AS89" s="169"/>
      <c r="AT89" s="255"/>
    </row>
    <row r="90" spans="1:46" ht="19.5" x14ac:dyDescent="0.3">
      <c r="A90" s="257"/>
      <c r="B90" s="258" t="s">
        <v>118</v>
      </c>
      <c r="C90" s="472">
        <f t="shared" ref="C90:C108" si="84">D90+G90</f>
        <v>0</v>
      </c>
      <c r="D90" s="473">
        <f t="shared" ref="D90:D108" si="85">+E90+F90</f>
        <v>0</v>
      </c>
      <c r="E90" s="151">
        <v>0</v>
      </c>
      <c r="F90" s="151">
        <v>0</v>
      </c>
      <c r="G90" s="151">
        <v>0</v>
      </c>
      <c r="H90" s="151">
        <v>0</v>
      </c>
      <c r="I90" s="151">
        <v>0</v>
      </c>
      <c r="J90" s="262">
        <f t="shared" ref="J90:J108" si="86">L90+O90</f>
        <v>0</v>
      </c>
      <c r="K90" s="476">
        <f t="shared" ref="K90:K108" si="87">IF(C90&gt;0,J90*100/C90,0)</f>
        <v>0</v>
      </c>
      <c r="L90" s="151">
        <v>0</v>
      </c>
      <c r="M90" s="260">
        <f t="shared" ref="M90:M108" si="88">IF(D90&gt;0,L90*100/D90,0)</f>
        <v>0</v>
      </c>
      <c r="N90" s="260">
        <f t="shared" ref="N90:N108" si="89">IF(H90&gt;0,L90*100/H90,0)</f>
        <v>0</v>
      </c>
      <c r="O90" s="151">
        <v>0</v>
      </c>
      <c r="P90" s="475">
        <f t="shared" ref="P90:P108" si="90">IF(G90&gt;0,O90*100/G90,0)</f>
        <v>0</v>
      </c>
      <c r="Q90" s="260">
        <f t="shared" ref="Q90:Q108" si="91">IF(I90&gt;0,O90*100/I90,0)</f>
        <v>0</v>
      </c>
      <c r="R90" s="67">
        <v>0</v>
      </c>
      <c r="S90" s="67">
        <v>0</v>
      </c>
      <c r="T90" s="67">
        <v>0</v>
      </c>
      <c r="U90" s="260">
        <f t="shared" si="82"/>
        <v>0</v>
      </c>
      <c r="V90" s="260">
        <f t="shared" si="83"/>
        <v>0</v>
      </c>
      <c r="W90" s="492">
        <v>0</v>
      </c>
      <c r="X90" s="492">
        <v>0</v>
      </c>
      <c r="Y90" s="493">
        <v>0</v>
      </c>
      <c r="Z90" s="492">
        <v>0</v>
      </c>
      <c r="AA90" s="492">
        <v>0</v>
      </c>
      <c r="AB90" s="492">
        <v>0</v>
      </c>
      <c r="AC90" s="493">
        <v>0</v>
      </c>
      <c r="AD90" s="492">
        <v>0</v>
      </c>
      <c r="AE90" s="493">
        <v>0</v>
      </c>
      <c r="AF90" s="492">
        <v>0</v>
      </c>
      <c r="AG90" s="492">
        <v>0</v>
      </c>
      <c r="AH90" s="492">
        <v>0</v>
      </c>
      <c r="AI90" s="493">
        <v>0</v>
      </c>
      <c r="AJ90" s="492">
        <v>0</v>
      </c>
      <c r="AK90" s="493">
        <v>0</v>
      </c>
      <c r="AL90" s="492">
        <v>0</v>
      </c>
      <c r="AM90" s="492">
        <v>0</v>
      </c>
      <c r="AN90" s="493">
        <v>0</v>
      </c>
      <c r="AO90" s="492">
        <v>0</v>
      </c>
      <c r="AP90" s="492">
        <v>0</v>
      </c>
      <c r="AQ90" s="492">
        <v>0</v>
      </c>
      <c r="AR90" s="493">
        <v>0</v>
      </c>
      <c r="AS90" s="492">
        <v>0</v>
      </c>
      <c r="AT90" s="493">
        <v>0</v>
      </c>
    </row>
    <row r="91" spans="1:46" ht="19.5" x14ac:dyDescent="0.3">
      <c r="A91" s="257"/>
      <c r="B91" s="258" t="s">
        <v>119</v>
      </c>
      <c r="C91" s="472">
        <f t="shared" si="84"/>
        <v>0</v>
      </c>
      <c r="D91" s="473">
        <f t="shared" si="85"/>
        <v>0</v>
      </c>
      <c r="E91" s="151">
        <v>0</v>
      </c>
      <c r="F91" s="151">
        <v>0</v>
      </c>
      <c r="G91" s="151">
        <v>0</v>
      </c>
      <c r="H91" s="151">
        <v>0</v>
      </c>
      <c r="I91" s="151">
        <v>0</v>
      </c>
      <c r="J91" s="262">
        <f t="shared" si="86"/>
        <v>0</v>
      </c>
      <c r="K91" s="476">
        <f t="shared" si="87"/>
        <v>0</v>
      </c>
      <c r="L91" s="151">
        <v>0</v>
      </c>
      <c r="M91" s="260">
        <f t="shared" si="88"/>
        <v>0</v>
      </c>
      <c r="N91" s="260">
        <f t="shared" si="89"/>
        <v>0</v>
      </c>
      <c r="O91" s="151">
        <v>0</v>
      </c>
      <c r="P91" s="475">
        <f t="shared" si="90"/>
        <v>0</v>
      </c>
      <c r="Q91" s="260">
        <f t="shared" si="91"/>
        <v>0</v>
      </c>
      <c r="R91" s="67">
        <v>0</v>
      </c>
      <c r="S91" s="67">
        <v>0</v>
      </c>
      <c r="T91" s="67">
        <v>0</v>
      </c>
      <c r="U91" s="260">
        <f t="shared" si="82"/>
        <v>0</v>
      </c>
      <c r="V91" s="260">
        <f t="shared" si="83"/>
        <v>0</v>
      </c>
      <c r="W91" s="492">
        <v>0</v>
      </c>
      <c r="X91" s="492">
        <v>0</v>
      </c>
      <c r="Y91" s="493">
        <v>0</v>
      </c>
      <c r="Z91" s="492">
        <v>0</v>
      </c>
      <c r="AA91" s="492">
        <v>0</v>
      </c>
      <c r="AB91" s="492">
        <v>0</v>
      </c>
      <c r="AC91" s="493">
        <v>0</v>
      </c>
      <c r="AD91" s="492">
        <v>0</v>
      </c>
      <c r="AE91" s="493">
        <v>0</v>
      </c>
      <c r="AF91" s="492">
        <v>0</v>
      </c>
      <c r="AG91" s="492">
        <v>0</v>
      </c>
      <c r="AH91" s="492">
        <v>0</v>
      </c>
      <c r="AI91" s="493">
        <v>0</v>
      </c>
      <c r="AJ91" s="492">
        <v>0</v>
      </c>
      <c r="AK91" s="493">
        <v>0</v>
      </c>
      <c r="AL91" s="492">
        <v>0</v>
      </c>
      <c r="AM91" s="492">
        <v>0</v>
      </c>
      <c r="AN91" s="493">
        <v>0</v>
      </c>
      <c r="AO91" s="492">
        <v>0</v>
      </c>
      <c r="AP91" s="492">
        <v>0</v>
      </c>
      <c r="AQ91" s="492">
        <v>0</v>
      </c>
      <c r="AR91" s="493">
        <v>0</v>
      </c>
      <c r="AS91" s="492">
        <v>0</v>
      </c>
      <c r="AT91" s="493">
        <v>0</v>
      </c>
    </row>
    <row r="92" spans="1:46" ht="19.5" x14ac:dyDescent="0.3">
      <c r="A92" s="257"/>
      <c r="B92" s="258" t="s">
        <v>120</v>
      </c>
      <c r="C92" s="472">
        <f t="shared" si="84"/>
        <v>0</v>
      </c>
      <c r="D92" s="473">
        <f t="shared" si="85"/>
        <v>0</v>
      </c>
      <c r="E92" s="151">
        <v>0</v>
      </c>
      <c r="F92" s="151">
        <v>0</v>
      </c>
      <c r="G92" s="151">
        <v>0</v>
      </c>
      <c r="H92" s="151">
        <v>0</v>
      </c>
      <c r="I92" s="151">
        <v>0</v>
      </c>
      <c r="J92" s="262">
        <f t="shared" si="86"/>
        <v>0</v>
      </c>
      <c r="K92" s="476">
        <f t="shared" si="87"/>
        <v>0</v>
      </c>
      <c r="L92" s="151">
        <v>0</v>
      </c>
      <c r="M92" s="260">
        <f t="shared" si="88"/>
        <v>0</v>
      </c>
      <c r="N92" s="260">
        <f t="shared" si="89"/>
        <v>0</v>
      </c>
      <c r="O92" s="151">
        <v>0</v>
      </c>
      <c r="P92" s="475">
        <f t="shared" si="90"/>
        <v>0</v>
      </c>
      <c r="Q92" s="260">
        <f t="shared" si="91"/>
        <v>0</v>
      </c>
      <c r="R92" s="67">
        <v>0</v>
      </c>
      <c r="S92" s="67">
        <v>0</v>
      </c>
      <c r="T92" s="67">
        <v>0</v>
      </c>
      <c r="U92" s="260">
        <f t="shared" si="82"/>
        <v>0</v>
      </c>
      <c r="V92" s="260">
        <f t="shared" si="83"/>
        <v>0</v>
      </c>
      <c r="W92" s="492">
        <v>0</v>
      </c>
      <c r="X92" s="492">
        <v>0</v>
      </c>
      <c r="Y92" s="493">
        <v>0</v>
      </c>
      <c r="Z92" s="492">
        <v>0</v>
      </c>
      <c r="AA92" s="492">
        <v>0</v>
      </c>
      <c r="AB92" s="492">
        <v>0</v>
      </c>
      <c r="AC92" s="493">
        <v>0</v>
      </c>
      <c r="AD92" s="492">
        <v>0</v>
      </c>
      <c r="AE92" s="493">
        <v>0</v>
      </c>
      <c r="AF92" s="492">
        <v>0</v>
      </c>
      <c r="AG92" s="492">
        <v>0</v>
      </c>
      <c r="AH92" s="492">
        <v>0</v>
      </c>
      <c r="AI92" s="493">
        <v>0</v>
      </c>
      <c r="AJ92" s="492">
        <v>0</v>
      </c>
      <c r="AK92" s="493">
        <v>0</v>
      </c>
      <c r="AL92" s="492">
        <v>0</v>
      </c>
      <c r="AM92" s="492">
        <v>0</v>
      </c>
      <c r="AN92" s="493">
        <v>0</v>
      </c>
      <c r="AO92" s="492">
        <v>0</v>
      </c>
      <c r="AP92" s="492">
        <v>0</v>
      </c>
      <c r="AQ92" s="492">
        <v>0</v>
      </c>
      <c r="AR92" s="493">
        <v>0</v>
      </c>
      <c r="AS92" s="492">
        <v>0</v>
      </c>
      <c r="AT92" s="493">
        <v>0</v>
      </c>
    </row>
    <row r="93" spans="1:46" ht="19.5" x14ac:dyDescent="0.3">
      <c r="A93" s="257"/>
      <c r="B93" s="258" t="s">
        <v>121</v>
      </c>
      <c r="C93" s="472">
        <f t="shared" si="84"/>
        <v>0</v>
      </c>
      <c r="D93" s="473">
        <f t="shared" si="85"/>
        <v>0</v>
      </c>
      <c r="E93" s="151">
        <v>0</v>
      </c>
      <c r="F93" s="151">
        <v>0</v>
      </c>
      <c r="G93" s="151">
        <v>0</v>
      </c>
      <c r="H93" s="151">
        <v>0</v>
      </c>
      <c r="I93" s="151">
        <v>0</v>
      </c>
      <c r="J93" s="262">
        <f t="shared" si="86"/>
        <v>0</v>
      </c>
      <c r="K93" s="476">
        <f t="shared" si="87"/>
        <v>0</v>
      </c>
      <c r="L93" s="151">
        <v>0</v>
      </c>
      <c r="M93" s="260">
        <f t="shared" si="88"/>
        <v>0</v>
      </c>
      <c r="N93" s="260">
        <f t="shared" si="89"/>
        <v>0</v>
      </c>
      <c r="O93" s="151">
        <v>0</v>
      </c>
      <c r="P93" s="475">
        <f t="shared" si="90"/>
        <v>0</v>
      </c>
      <c r="Q93" s="260">
        <f t="shared" si="91"/>
        <v>0</v>
      </c>
      <c r="R93" s="67">
        <v>0</v>
      </c>
      <c r="S93" s="67">
        <v>0</v>
      </c>
      <c r="T93" s="67">
        <v>0</v>
      </c>
      <c r="U93" s="260">
        <f t="shared" si="82"/>
        <v>0</v>
      </c>
      <c r="V93" s="260">
        <f t="shared" si="83"/>
        <v>0</v>
      </c>
      <c r="W93" s="492">
        <v>0</v>
      </c>
      <c r="X93" s="492">
        <v>0</v>
      </c>
      <c r="Y93" s="493">
        <v>0</v>
      </c>
      <c r="Z93" s="492">
        <v>0</v>
      </c>
      <c r="AA93" s="492">
        <v>0</v>
      </c>
      <c r="AB93" s="492">
        <v>0</v>
      </c>
      <c r="AC93" s="493">
        <v>0</v>
      </c>
      <c r="AD93" s="492">
        <v>0</v>
      </c>
      <c r="AE93" s="493">
        <v>0</v>
      </c>
      <c r="AF93" s="492">
        <v>0</v>
      </c>
      <c r="AG93" s="492">
        <v>0</v>
      </c>
      <c r="AH93" s="492">
        <v>0</v>
      </c>
      <c r="AI93" s="493">
        <v>0</v>
      </c>
      <c r="AJ93" s="492">
        <v>0</v>
      </c>
      <c r="AK93" s="493">
        <v>0</v>
      </c>
      <c r="AL93" s="492">
        <v>0</v>
      </c>
      <c r="AM93" s="492">
        <v>0</v>
      </c>
      <c r="AN93" s="493">
        <v>0</v>
      </c>
      <c r="AO93" s="492">
        <v>0</v>
      </c>
      <c r="AP93" s="492">
        <v>0</v>
      </c>
      <c r="AQ93" s="492">
        <v>0</v>
      </c>
      <c r="AR93" s="493">
        <v>0</v>
      </c>
      <c r="AS93" s="492">
        <v>0</v>
      </c>
      <c r="AT93" s="493">
        <v>0</v>
      </c>
    </row>
    <row r="94" spans="1:46" ht="19.5" x14ac:dyDescent="0.3">
      <c r="A94" s="257"/>
      <c r="B94" s="258" t="s">
        <v>122</v>
      </c>
      <c r="C94" s="472">
        <f t="shared" si="84"/>
        <v>0</v>
      </c>
      <c r="D94" s="473">
        <f t="shared" si="85"/>
        <v>0</v>
      </c>
      <c r="E94" s="151">
        <v>0</v>
      </c>
      <c r="F94" s="151">
        <v>0</v>
      </c>
      <c r="G94" s="151">
        <v>0</v>
      </c>
      <c r="H94" s="151">
        <v>0</v>
      </c>
      <c r="I94" s="151">
        <v>0</v>
      </c>
      <c r="J94" s="262">
        <f t="shared" si="86"/>
        <v>0</v>
      </c>
      <c r="K94" s="476">
        <f t="shared" si="87"/>
        <v>0</v>
      </c>
      <c r="L94" s="151">
        <v>0</v>
      </c>
      <c r="M94" s="260">
        <f t="shared" si="88"/>
        <v>0</v>
      </c>
      <c r="N94" s="260">
        <f t="shared" si="89"/>
        <v>0</v>
      </c>
      <c r="O94" s="151">
        <v>0</v>
      </c>
      <c r="P94" s="475">
        <f t="shared" si="90"/>
        <v>0</v>
      </c>
      <c r="Q94" s="260">
        <f t="shared" si="91"/>
        <v>0</v>
      </c>
      <c r="R94" s="67">
        <v>0</v>
      </c>
      <c r="S94" s="67">
        <v>0</v>
      </c>
      <c r="T94" s="67">
        <v>0</v>
      </c>
      <c r="U94" s="260">
        <f t="shared" si="82"/>
        <v>0</v>
      </c>
      <c r="V94" s="260">
        <f t="shared" si="83"/>
        <v>0</v>
      </c>
      <c r="W94" s="492">
        <v>0</v>
      </c>
      <c r="X94" s="492">
        <v>0</v>
      </c>
      <c r="Y94" s="493">
        <v>0</v>
      </c>
      <c r="Z94" s="492">
        <v>0</v>
      </c>
      <c r="AA94" s="492">
        <v>0</v>
      </c>
      <c r="AB94" s="492">
        <v>0</v>
      </c>
      <c r="AC94" s="493">
        <v>0</v>
      </c>
      <c r="AD94" s="492">
        <v>0</v>
      </c>
      <c r="AE94" s="493">
        <v>0</v>
      </c>
      <c r="AF94" s="492">
        <v>0</v>
      </c>
      <c r="AG94" s="492">
        <v>0</v>
      </c>
      <c r="AH94" s="492">
        <v>0</v>
      </c>
      <c r="AI94" s="493">
        <v>0</v>
      </c>
      <c r="AJ94" s="492">
        <v>0</v>
      </c>
      <c r="AK94" s="493">
        <v>0</v>
      </c>
      <c r="AL94" s="492">
        <v>0</v>
      </c>
      <c r="AM94" s="492">
        <v>0</v>
      </c>
      <c r="AN94" s="493">
        <v>0</v>
      </c>
      <c r="AO94" s="492">
        <v>0</v>
      </c>
      <c r="AP94" s="492">
        <v>0</v>
      </c>
      <c r="AQ94" s="492">
        <v>0</v>
      </c>
      <c r="AR94" s="493">
        <v>0</v>
      </c>
      <c r="AS94" s="492">
        <v>0</v>
      </c>
      <c r="AT94" s="493">
        <v>0</v>
      </c>
    </row>
    <row r="95" spans="1:46" ht="19.5" x14ac:dyDescent="0.3">
      <c r="A95" s="257"/>
      <c r="B95" s="258" t="s">
        <v>123</v>
      </c>
      <c r="C95" s="472">
        <f t="shared" si="84"/>
        <v>0</v>
      </c>
      <c r="D95" s="473">
        <f t="shared" si="85"/>
        <v>0</v>
      </c>
      <c r="E95" s="151">
        <v>0</v>
      </c>
      <c r="F95" s="151">
        <v>0</v>
      </c>
      <c r="G95" s="151">
        <v>0</v>
      </c>
      <c r="H95" s="151">
        <v>0</v>
      </c>
      <c r="I95" s="151">
        <v>0</v>
      </c>
      <c r="J95" s="262">
        <f t="shared" si="86"/>
        <v>0</v>
      </c>
      <c r="K95" s="476">
        <f t="shared" si="87"/>
        <v>0</v>
      </c>
      <c r="L95" s="151">
        <v>0</v>
      </c>
      <c r="M95" s="260">
        <f t="shared" si="88"/>
        <v>0</v>
      </c>
      <c r="N95" s="260">
        <f t="shared" si="89"/>
        <v>0</v>
      </c>
      <c r="O95" s="151">
        <v>0</v>
      </c>
      <c r="P95" s="475">
        <f t="shared" si="90"/>
        <v>0</v>
      </c>
      <c r="Q95" s="260">
        <f t="shared" si="91"/>
        <v>0</v>
      </c>
      <c r="R95" s="67">
        <v>0</v>
      </c>
      <c r="S95" s="67">
        <v>0</v>
      </c>
      <c r="T95" s="67">
        <v>0</v>
      </c>
      <c r="U95" s="260">
        <f t="shared" si="82"/>
        <v>0</v>
      </c>
      <c r="V95" s="260">
        <f t="shared" si="83"/>
        <v>0</v>
      </c>
      <c r="W95" s="492">
        <v>0</v>
      </c>
      <c r="X95" s="492">
        <v>0</v>
      </c>
      <c r="Y95" s="493">
        <v>0</v>
      </c>
      <c r="Z95" s="492">
        <v>0</v>
      </c>
      <c r="AA95" s="492">
        <v>0</v>
      </c>
      <c r="AB95" s="492">
        <v>0</v>
      </c>
      <c r="AC95" s="493">
        <v>0</v>
      </c>
      <c r="AD95" s="492">
        <v>0</v>
      </c>
      <c r="AE95" s="493">
        <v>0</v>
      </c>
      <c r="AF95" s="492">
        <v>0</v>
      </c>
      <c r="AG95" s="492">
        <v>0</v>
      </c>
      <c r="AH95" s="492">
        <v>0</v>
      </c>
      <c r="AI95" s="493">
        <v>0</v>
      </c>
      <c r="AJ95" s="492">
        <v>0</v>
      </c>
      <c r="AK95" s="493">
        <v>0</v>
      </c>
      <c r="AL95" s="492">
        <v>0</v>
      </c>
      <c r="AM95" s="492">
        <v>0</v>
      </c>
      <c r="AN95" s="493">
        <v>0</v>
      </c>
      <c r="AO95" s="492">
        <v>0</v>
      </c>
      <c r="AP95" s="492">
        <v>0</v>
      </c>
      <c r="AQ95" s="492">
        <v>0</v>
      </c>
      <c r="AR95" s="493">
        <v>0</v>
      </c>
      <c r="AS95" s="492">
        <v>0</v>
      </c>
      <c r="AT95" s="493">
        <v>0</v>
      </c>
    </row>
    <row r="96" spans="1:46" ht="19.5" x14ac:dyDescent="0.3">
      <c r="A96" s="257"/>
      <c r="B96" s="258" t="s">
        <v>124</v>
      </c>
      <c r="C96" s="472">
        <f t="shared" si="84"/>
        <v>0</v>
      </c>
      <c r="D96" s="473">
        <f t="shared" si="85"/>
        <v>0</v>
      </c>
      <c r="E96" s="151">
        <v>0</v>
      </c>
      <c r="F96" s="151">
        <v>0</v>
      </c>
      <c r="G96" s="151">
        <v>0</v>
      </c>
      <c r="H96" s="151">
        <v>0</v>
      </c>
      <c r="I96" s="151">
        <v>0</v>
      </c>
      <c r="J96" s="262">
        <f t="shared" si="86"/>
        <v>0</v>
      </c>
      <c r="K96" s="476">
        <f t="shared" si="87"/>
        <v>0</v>
      </c>
      <c r="L96" s="151">
        <v>0</v>
      </c>
      <c r="M96" s="260">
        <f t="shared" si="88"/>
        <v>0</v>
      </c>
      <c r="N96" s="260">
        <f t="shared" si="89"/>
        <v>0</v>
      </c>
      <c r="O96" s="151">
        <v>0</v>
      </c>
      <c r="P96" s="475">
        <f t="shared" si="90"/>
        <v>0</v>
      </c>
      <c r="Q96" s="260">
        <f t="shared" si="91"/>
        <v>0</v>
      </c>
      <c r="R96" s="67">
        <v>0</v>
      </c>
      <c r="S96" s="67">
        <v>0</v>
      </c>
      <c r="T96" s="67">
        <v>0</v>
      </c>
      <c r="U96" s="260">
        <f t="shared" si="82"/>
        <v>0</v>
      </c>
      <c r="V96" s="260">
        <f t="shared" si="83"/>
        <v>0</v>
      </c>
      <c r="W96" s="492">
        <v>0</v>
      </c>
      <c r="X96" s="492">
        <v>0</v>
      </c>
      <c r="Y96" s="493">
        <v>0</v>
      </c>
      <c r="Z96" s="492">
        <v>0</v>
      </c>
      <c r="AA96" s="492">
        <v>0</v>
      </c>
      <c r="AB96" s="492">
        <v>0</v>
      </c>
      <c r="AC96" s="493">
        <v>0</v>
      </c>
      <c r="AD96" s="492">
        <v>0</v>
      </c>
      <c r="AE96" s="493">
        <v>0</v>
      </c>
      <c r="AF96" s="492">
        <v>0</v>
      </c>
      <c r="AG96" s="492">
        <v>0</v>
      </c>
      <c r="AH96" s="492">
        <v>0</v>
      </c>
      <c r="AI96" s="493">
        <v>0</v>
      </c>
      <c r="AJ96" s="492">
        <v>0</v>
      </c>
      <c r="AK96" s="493">
        <v>0</v>
      </c>
      <c r="AL96" s="492">
        <v>0</v>
      </c>
      <c r="AM96" s="492">
        <v>0</v>
      </c>
      <c r="AN96" s="493">
        <v>0</v>
      </c>
      <c r="AO96" s="492">
        <v>0</v>
      </c>
      <c r="AP96" s="492">
        <v>0</v>
      </c>
      <c r="AQ96" s="492">
        <v>0</v>
      </c>
      <c r="AR96" s="493">
        <v>0</v>
      </c>
      <c r="AS96" s="492">
        <v>0</v>
      </c>
      <c r="AT96" s="493">
        <v>0</v>
      </c>
    </row>
    <row r="97" spans="1:46" ht="19.5" x14ac:dyDescent="0.3">
      <c r="A97" s="257"/>
      <c r="B97" s="258" t="s">
        <v>125</v>
      </c>
      <c r="C97" s="472">
        <f t="shared" si="84"/>
        <v>0</v>
      </c>
      <c r="D97" s="473">
        <f t="shared" si="85"/>
        <v>0</v>
      </c>
      <c r="E97" s="151">
        <v>0</v>
      </c>
      <c r="F97" s="151">
        <v>0</v>
      </c>
      <c r="G97" s="151">
        <v>0</v>
      </c>
      <c r="H97" s="151">
        <v>0</v>
      </c>
      <c r="I97" s="151">
        <v>0</v>
      </c>
      <c r="J97" s="262">
        <f t="shared" si="86"/>
        <v>0</v>
      </c>
      <c r="K97" s="476">
        <f t="shared" si="87"/>
        <v>0</v>
      </c>
      <c r="L97" s="151">
        <v>0</v>
      </c>
      <c r="M97" s="260">
        <f t="shared" si="88"/>
        <v>0</v>
      </c>
      <c r="N97" s="260">
        <f t="shared" si="89"/>
        <v>0</v>
      </c>
      <c r="O97" s="151">
        <v>0</v>
      </c>
      <c r="P97" s="475">
        <f t="shared" si="90"/>
        <v>0</v>
      </c>
      <c r="Q97" s="260">
        <f t="shared" si="91"/>
        <v>0</v>
      </c>
      <c r="R97" s="67">
        <v>0</v>
      </c>
      <c r="S97" s="67">
        <v>0</v>
      </c>
      <c r="T97" s="67">
        <v>0</v>
      </c>
      <c r="U97" s="260">
        <f t="shared" si="82"/>
        <v>0</v>
      </c>
      <c r="V97" s="260">
        <f t="shared" si="83"/>
        <v>0</v>
      </c>
      <c r="W97" s="492">
        <v>0</v>
      </c>
      <c r="X97" s="492">
        <v>0</v>
      </c>
      <c r="Y97" s="493">
        <v>0</v>
      </c>
      <c r="Z97" s="492">
        <v>0</v>
      </c>
      <c r="AA97" s="492">
        <v>0</v>
      </c>
      <c r="AB97" s="492">
        <v>0</v>
      </c>
      <c r="AC97" s="493">
        <v>0</v>
      </c>
      <c r="AD97" s="492">
        <v>0</v>
      </c>
      <c r="AE97" s="493">
        <v>0</v>
      </c>
      <c r="AF97" s="492">
        <v>0</v>
      </c>
      <c r="AG97" s="492">
        <v>0</v>
      </c>
      <c r="AH97" s="492">
        <v>0</v>
      </c>
      <c r="AI97" s="493">
        <v>0</v>
      </c>
      <c r="AJ97" s="492">
        <v>0</v>
      </c>
      <c r="AK97" s="493">
        <v>0</v>
      </c>
      <c r="AL97" s="492">
        <v>0</v>
      </c>
      <c r="AM97" s="492">
        <v>0</v>
      </c>
      <c r="AN97" s="493">
        <v>0</v>
      </c>
      <c r="AO97" s="492">
        <v>0</v>
      </c>
      <c r="AP97" s="492">
        <v>0</v>
      </c>
      <c r="AQ97" s="492">
        <v>0</v>
      </c>
      <c r="AR97" s="493">
        <v>0</v>
      </c>
      <c r="AS97" s="492">
        <v>0</v>
      </c>
      <c r="AT97" s="493">
        <v>0</v>
      </c>
    </row>
    <row r="98" spans="1:46" ht="19.5" x14ac:dyDescent="0.3">
      <c r="A98" s="257"/>
      <c r="B98" s="258" t="s">
        <v>126</v>
      </c>
      <c r="C98" s="472">
        <f t="shared" ca="1" si="84"/>
        <v>28900</v>
      </c>
      <c r="D98" s="473">
        <f t="shared" ca="1" si="85"/>
        <v>28900</v>
      </c>
      <c r="E98" s="151">
        <v>0</v>
      </c>
      <c r="F98" s="151">
        <f ca="1">IFERROR(__xludf.DUMMYFUNCTION("IMPORTRANGE(""https://docs.google.com/spreadsheets/d/1-uDff_7J0KD5mKrp0Vvzr7lt3OU09vwQwhkpOPPYv2Y/edit?usp=sharing"",""งบพรบ!HC98"")"),28900)</f>
        <v>28900</v>
      </c>
      <c r="G98" s="151">
        <v>0</v>
      </c>
      <c r="H98" s="151">
        <f ca="1">IFERROR(__xludf.DUMMYFUNCTION("IMPORTRANGE(""https://docs.google.com/spreadsheets/d/1-uDff_7J0KD5mKrp0Vvzr7lt3OU09vwQwhkpOPPYv2Y/edit?usp=sharing"",""งบพรบ!HF98"")"),28900)</f>
        <v>28900</v>
      </c>
      <c r="I98" s="151">
        <v>0</v>
      </c>
      <c r="J98" s="262">
        <f t="shared" ca="1" si="86"/>
        <v>28778.720000000001</v>
      </c>
      <c r="K98" s="476">
        <f t="shared" ca="1" si="87"/>
        <v>99.58034602076124</v>
      </c>
      <c r="L98" s="151">
        <f ca="1">IFERROR(__xludf.DUMMYFUNCTION("IMPORTRANGE(""https://docs.google.com/spreadsheets/d/1-uDff_7J0KD5mKrp0Vvzr7lt3OU09vwQwhkpOPPYv2Y/edit?usp=sharing"",""งบพรบ!HH98"")"),28778.72)</f>
        <v>28778.720000000001</v>
      </c>
      <c r="M98" s="260">
        <f t="shared" ca="1" si="88"/>
        <v>99.58034602076124</v>
      </c>
      <c r="N98" s="260">
        <f t="shared" ca="1" si="89"/>
        <v>99.58034602076124</v>
      </c>
      <c r="O98" s="151">
        <v>0</v>
      </c>
      <c r="P98" s="475">
        <f t="shared" si="90"/>
        <v>0</v>
      </c>
      <c r="Q98" s="260">
        <f t="shared" si="91"/>
        <v>0</v>
      </c>
      <c r="R98" s="67">
        <f ca="1">IFERROR(__xludf.DUMMYFUNCTION("IMPORTRANGE(""https://docs.google.com/spreadsheets/d/1ItG2mGa2ceCfYo0BwxsXqNm01IGEUdYcSSLTEv9YCik/edit?usp=sharing"",""เบิกจ่ายกองทุน!CL94"")"),2200990)</f>
        <v>2200990</v>
      </c>
      <c r="S98" s="67">
        <f ca="1">IFERROR(__xludf.DUMMYFUNCTION("IMPORTRANGE(""https://docs.google.com/spreadsheets/d/1ItG2mGa2ceCfYo0BwxsXqNm01IGEUdYcSSLTEv9YCik/edit?usp=sharing"",""เบิกจ่ายกองทุน!CM94"")"),2200990)</f>
        <v>2200990</v>
      </c>
      <c r="T98" s="67">
        <f ca="1">IFERROR(__xludf.DUMMYFUNCTION("IMPORTRANGE(""https://docs.google.com/spreadsheets/d/1ItG2mGa2ceCfYo0BwxsXqNm01IGEUdYcSSLTEv9YCik/edit?usp=sharing"",""เบิกจ่ายกองทุน!CN94"")"),1374149)</f>
        <v>1374149</v>
      </c>
      <c r="U98" s="260">
        <f t="shared" ca="1" si="82"/>
        <v>62.433223231364067</v>
      </c>
      <c r="V98" s="260">
        <f t="shared" ca="1" si="83"/>
        <v>62.433223231364067</v>
      </c>
      <c r="W98" s="492">
        <v>0</v>
      </c>
      <c r="X98" s="492">
        <v>0</v>
      </c>
      <c r="Y98" s="493">
        <v>0</v>
      </c>
      <c r="Z98" s="492">
        <v>0</v>
      </c>
      <c r="AA98" s="492">
        <v>0</v>
      </c>
      <c r="AB98" s="492">
        <v>0</v>
      </c>
      <c r="AC98" s="493">
        <v>0</v>
      </c>
      <c r="AD98" s="492">
        <v>0</v>
      </c>
      <c r="AE98" s="493">
        <v>0</v>
      </c>
      <c r="AF98" s="492">
        <v>0</v>
      </c>
      <c r="AG98" s="492">
        <v>0</v>
      </c>
      <c r="AH98" s="492">
        <v>0</v>
      </c>
      <c r="AI98" s="493">
        <v>0</v>
      </c>
      <c r="AJ98" s="492">
        <v>0</v>
      </c>
      <c r="AK98" s="493">
        <v>0</v>
      </c>
      <c r="AL98" s="492">
        <v>0</v>
      </c>
      <c r="AM98" s="492">
        <v>0</v>
      </c>
      <c r="AN98" s="493">
        <v>0</v>
      </c>
      <c r="AO98" s="492">
        <v>0</v>
      </c>
      <c r="AP98" s="492">
        <v>0</v>
      </c>
      <c r="AQ98" s="492">
        <v>0</v>
      </c>
      <c r="AR98" s="493">
        <v>0</v>
      </c>
      <c r="AS98" s="492">
        <v>0</v>
      </c>
      <c r="AT98" s="493">
        <v>0</v>
      </c>
    </row>
    <row r="99" spans="1:46" ht="19.5" x14ac:dyDescent="0.3">
      <c r="A99" s="257"/>
      <c r="B99" s="258" t="s">
        <v>127</v>
      </c>
      <c r="C99" s="472">
        <f t="shared" si="84"/>
        <v>0</v>
      </c>
      <c r="D99" s="473">
        <f t="shared" si="85"/>
        <v>0</v>
      </c>
      <c r="E99" s="151">
        <v>0</v>
      </c>
      <c r="F99" s="151">
        <v>0</v>
      </c>
      <c r="G99" s="151">
        <v>0</v>
      </c>
      <c r="H99" s="151">
        <v>0</v>
      </c>
      <c r="I99" s="151">
        <v>0</v>
      </c>
      <c r="J99" s="262">
        <f t="shared" si="86"/>
        <v>0</v>
      </c>
      <c r="K99" s="476">
        <f t="shared" si="87"/>
        <v>0</v>
      </c>
      <c r="L99" s="151">
        <v>0</v>
      </c>
      <c r="M99" s="260">
        <f t="shared" si="88"/>
        <v>0</v>
      </c>
      <c r="N99" s="260">
        <f t="shared" si="89"/>
        <v>0</v>
      </c>
      <c r="O99" s="151">
        <v>0</v>
      </c>
      <c r="P99" s="475">
        <f t="shared" si="90"/>
        <v>0</v>
      </c>
      <c r="Q99" s="260">
        <f t="shared" si="91"/>
        <v>0</v>
      </c>
      <c r="R99" s="67">
        <v>0</v>
      </c>
      <c r="S99" s="67">
        <v>0</v>
      </c>
      <c r="T99" s="67">
        <v>0</v>
      </c>
      <c r="U99" s="260">
        <f t="shared" si="82"/>
        <v>0</v>
      </c>
      <c r="V99" s="260">
        <f t="shared" si="83"/>
        <v>0</v>
      </c>
      <c r="W99" s="492">
        <v>0</v>
      </c>
      <c r="X99" s="492">
        <v>0</v>
      </c>
      <c r="Y99" s="493">
        <v>0</v>
      </c>
      <c r="Z99" s="492">
        <v>0</v>
      </c>
      <c r="AA99" s="492">
        <v>0</v>
      </c>
      <c r="AB99" s="492">
        <v>0</v>
      </c>
      <c r="AC99" s="493">
        <v>0</v>
      </c>
      <c r="AD99" s="492">
        <v>0</v>
      </c>
      <c r="AE99" s="493">
        <v>0</v>
      </c>
      <c r="AF99" s="492">
        <v>0</v>
      </c>
      <c r="AG99" s="492">
        <v>0</v>
      </c>
      <c r="AH99" s="492">
        <v>0</v>
      </c>
      <c r="AI99" s="493">
        <v>0</v>
      </c>
      <c r="AJ99" s="492">
        <v>0</v>
      </c>
      <c r="AK99" s="493">
        <v>0</v>
      </c>
      <c r="AL99" s="492">
        <v>0</v>
      </c>
      <c r="AM99" s="492">
        <v>0</v>
      </c>
      <c r="AN99" s="493">
        <v>0</v>
      </c>
      <c r="AO99" s="492">
        <v>0</v>
      </c>
      <c r="AP99" s="492">
        <v>0</v>
      </c>
      <c r="AQ99" s="492">
        <v>0</v>
      </c>
      <c r="AR99" s="493">
        <v>0</v>
      </c>
      <c r="AS99" s="492">
        <v>0</v>
      </c>
      <c r="AT99" s="493">
        <v>0</v>
      </c>
    </row>
    <row r="100" spans="1:46" ht="19.5" x14ac:dyDescent="0.3">
      <c r="A100" s="257"/>
      <c r="B100" s="258" t="s">
        <v>128</v>
      </c>
      <c r="C100" s="472">
        <f t="shared" si="84"/>
        <v>0</v>
      </c>
      <c r="D100" s="473">
        <f t="shared" si="85"/>
        <v>0</v>
      </c>
      <c r="E100" s="151">
        <v>0</v>
      </c>
      <c r="F100" s="151">
        <v>0</v>
      </c>
      <c r="G100" s="151">
        <v>0</v>
      </c>
      <c r="H100" s="151">
        <v>0</v>
      </c>
      <c r="I100" s="151">
        <v>0</v>
      </c>
      <c r="J100" s="262">
        <f t="shared" si="86"/>
        <v>0</v>
      </c>
      <c r="K100" s="476">
        <f t="shared" si="87"/>
        <v>0</v>
      </c>
      <c r="L100" s="151">
        <v>0</v>
      </c>
      <c r="M100" s="260">
        <f t="shared" si="88"/>
        <v>0</v>
      </c>
      <c r="N100" s="260">
        <f t="shared" si="89"/>
        <v>0</v>
      </c>
      <c r="O100" s="151">
        <v>0</v>
      </c>
      <c r="P100" s="475">
        <f t="shared" si="90"/>
        <v>0</v>
      </c>
      <c r="Q100" s="260">
        <f t="shared" si="91"/>
        <v>0</v>
      </c>
      <c r="R100" s="67">
        <v>0</v>
      </c>
      <c r="S100" s="67">
        <v>0</v>
      </c>
      <c r="T100" s="67">
        <v>0</v>
      </c>
      <c r="U100" s="260">
        <f t="shared" si="82"/>
        <v>0</v>
      </c>
      <c r="V100" s="260">
        <f t="shared" si="83"/>
        <v>0</v>
      </c>
      <c r="W100" s="492">
        <v>0</v>
      </c>
      <c r="X100" s="492">
        <v>0</v>
      </c>
      <c r="Y100" s="493">
        <v>0</v>
      </c>
      <c r="Z100" s="492">
        <v>0</v>
      </c>
      <c r="AA100" s="492">
        <v>0</v>
      </c>
      <c r="AB100" s="492">
        <v>0</v>
      </c>
      <c r="AC100" s="493">
        <v>0</v>
      </c>
      <c r="AD100" s="492">
        <v>0</v>
      </c>
      <c r="AE100" s="493">
        <v>0</v>
      </c>
      <c r="AF100" s="492">
        <v>0</v>
      </c>
      <c r="AG100" s="492">
        <v>0</v>
      </c>
      <c r="AH100" s="492">
        <v>0</v>
      </c>
      <c r="AI100" s="493">
        <v>0</v>
      </c>
      <c r="AJ100" s="492">
        <v>0</v>
      </c>
      <c r="AK100" s="493">
        <v>0</v>
      </c>
      <c r="AL100" s="492">
        <v>0</v>
      </c>
      <c r="AM100" s="492">
        <v>0</v>
      </c>
      <c r="AN100" s="493">
        <v>0</v>
      </c>
      <c r="AO100" s="492">
        <v>0</v>
      </c>
      <c r="AP100" s="492">
        <v>0</v>
      </c>
      <c r="AQ100" s="492">
        <v>0</v>
      </c>
      <c r="AR100" s="493">
        <v>0</v>
      </c>
      <c r="AS100" s="492">
        <v>0</v>
      </c>
      <c r="AT100" s="493">
        <v>0</v>
      </c>
    </row>
    <row r="101" spans="1:46" ht="19.5" x14ac:dyDescent="0.3">
      <c r="A101" s="257"/>
      <c r="B101" s="258" t="s">
        <v>129</v>
      </c>
      <c r="C101" s="472">
        <f t="shared" si="84"/>
        <v>0</v>
      </c>
      <c r="D101" s="473">
        <f t="shared" si="85"/>
        <v>0</v>
      </c>
      <c r="E101" s="151">
        <v>0</v>
      </c>
      <c r="F101" s="151">
        <v>0</v>
      </c>
      <c r="G101" s="151">
        <v>0</v>
      </c>
      <c r="H101" s="151">
        <v>0</v>
      </c>
      <c r="I101" s="151">
        <v>0</v>
      </c>
      <c r="J101" s="262">
        <f t="shared" si="86"/>
        <v>0</v>
      </c>
      <c r="K101" s="476">
        <f t="shared" si="87"/>
        <v>0</v>
      </c>
      <c r="L101" s="151">
        <v>0</v>
      </c>
      <c r="M101" s="260">
        <f t="shared" si="88"/>
        <v>0</v>
      </c>
      <c r="N101" s="260">
        <f t="shared" si="89"/>
        <v>0</v>
      </c>
      <c r="O101" s="151">
        <v>0</v>
      </c>
      <c r="P101" s="475">
        <f t="shared" si="90"/>
        <v>0</v>
      </c>
      <c r="Q101" s="260">
        <f t="shared" si="91"/>
        <v>0</v>
      </c>
      <c r="R101" s="67">
        <v>0</v>
      </c>
      <c r="S101" s="67">
        <v>0</v>
      </c>
      <c r="T101" s="67">
        <v>0</v>
      </c>
      <c r="U101" s="260">
        <f t="shared" si="82"/>
        <v>0</v>
      </c>
      <c r="V101" s="260">
        <f t="shared" si="83"/>
        <v>0</v>
      </c>
      <c r="W101" s="492">
        <v>0</v>
      </c>
      <c r="X101" s="492">
        <v>0</v>
      </c>
      <c r="Y101" s="493">
        <v>0</v>
      </c>
      <c r="Z101" s="492">
        <v>0</v>
      </c>
      <c r="AA101" s="492">
        <v>0</v>
      </c>
      <c r="AB101" s="492">
        <v>0</v>
      </c>
      <c r="AC101" s="493">
        <v>0</v>
      </c>
      <c r="AD101" s="492">
        <v>0</v>
      </c>
      <c r="AE101" s="493">
        <v>0</v>
      </c>
      <c r="AF101" s="492">
        <v>0</v>
      </c>
      <c r="AG101" s="492">
        <v>0</v>
      </c>
      <c r="AH101" s="492">
        <v>0</v>
      </c>
      <c r="AI101" s="493">
        <v>0</v>
      </c>
      <c r="AJ101" s="492">
        <v>0</v>
      </c>
      <c r="AK101" s="493">
        <v>0</v>
      </c>
      <c r="AL101" s="492">
        <v>0</v>
      </c>
      <c r="AM101" s="492">
        <v>0</v>
      </c>
      <c r="AN101" s="493">
        <v>0</v>
      </c>
      <c r="AO101" s="492">
        <v>0</v>
      </c>
      <c r="AP101" s="492">
        <v>0</v>
      </c>
      <c r="AQ101" s="492">
        <v>0</v>
      </c>
      <c r="AR101" s="493">
        <v>0</v>
      </c>
      <c r="AS101" s="492">
        <v>0</v>
      </c>
      <c r="AT101" s="493">
        <v>0</v>
      </c>
    </row>
    <row r="102" spans="1:46" ht="19.5" x14ac:dyDescent="0.3">
      <c r="A102" s="257"/>
      <c r="B102" s="258" t="s">
        <v>130</v>
      </c>
      <c r="C102" s="472">
        <f t="shared" si="84"/>
        <v>0</v>
      </c>
      <c r="D102" s="473">
        <f t="shared" si="85"/>
        <v>0</v>
      </c>
      <c r="E102" s="151">
        <v>0</v>
      </c>
      <c r="F102" s="151">
        <v>0</v>
      </c>
      <c r="G102" s="151">
        <v>0</v>
      </c>
      <c r="H102" s="151">
        <v>0</v>
      </c>
      <c r="I102" s="151">
        <v>0</v>
      </c>
      <c r="J102" s="262">
        <f t="shared" si="86"/>
        <v>0</v>
      </c>
      <c r="K102" s="476">
        <f t="shared" si="87"/>
        <v>0</v>
      </c>
      <c r="L102" s="151">
        <v>0</v>
      </c>
      <c r="M102" s="260">
        <f t="shared" si="88"/>
        <v>0</v>
      </c>
      <c r="N102" s="260">
        <f t="shared" si="89"/>
        <v>0</v>
      </c>
      <c r="O102" s="151">
        <v>0</v>
      </c>
      <c r="P102" s="475">
        <f t="shared" si="90"/>
        <v>0</v>
      </c>
      <c r="Q102" s="260">
        <f t="shared" si="91"/>
        <v>0</v>
      </c>
      <c r="R102" s="67">
        <v>0</v>
      </c>
      <c r="S102" s="67">
        <v>0</v>
      </c>
      <c r="T102" s="67">
        <v>0</v>
      </c>
      <c r="U102" s="260">
        <f t="shared" si="82"/>
        <v>0</v>
      </c>
      <c r="V102" s="260">
        <f t="shared" si="83"/>
        <v>0</v>
      </c>
      <c r="W102" s="492">
        <v>0</v>
      </c>
      <c r="X102" s="492">
        <v>0</v>
      </c>
      <c r="Y102" s="493">
        <v>0</v>
      </c>
      <c r="Z102" s="492">
        <v>0</v>
      </c>
      <c r="AA102" s="492">
        <v>0</v>
      </c>
      <c r="AB102" s="492">
        <v>0</v>
      </c>
      <c r="AC102" s="493">
        <v>0</v>
      </c>
      <c r="AD102" s="492">
        <v>0</v>
      </c>
      <c r="AE102" s="493">
        <v>0</v>
      </c>
      <c r="AF102" s="492">
        <v>0</v>
      </c>
      <c r="AG102" s="492">
        <v>0</v>
      </c>
      <c r="AH102" s="492">
        <v>0</v>
      </c>
      <c r="AI102" s="493">
        <v>0</v>
      </c>
      <c r="AJ102" s="492">
        <v>0</v>
      </c>
      <c r="AK102" s="493">
        <v>0</v>
      </c>
      <c r="AL102" s="492">
        <v>0</v>
      </c>
      <c r="AM102" s="492">
        <v>0</v>
      </c>
      <c r="AN102" s="493">
        <v>0</v>
      </c>
      <c r="AO102" s="492">
        <v>0</v>
      </c>
      <c r="AP102" s="492">
        <v>0</v>
      </c>
      <c r="AQ102" s="492">
        <v>0</v>
      </c>
      <c r="AR102" s="493">
        <v>0</v>
      </c>
      <c r="AS102" s="492">
        <v>0</v>
      </c>
      <c r="AT102" s="493">
        <v>0</v>
      </c>
    </row>
    <row r="103" spans="1:46" ht="19.5" x14ac:dyDescent="0.3">
      <c r="A103" s="257"/>
      <c r="B103" s="258" t="s">
        <v>131</v>
      </c>
      <c r="C103" s="472">
        <f t="shared" si="84"/>
        <v>0</v>
      </c>
      <c r="D103" s="473">
        <f t="shared" si="85"/>
        <v>0</v>
      </c>
      <c r="E103" s="151">
        <v>0</v>
      </c>
      <c r="F103" s="151">
        <v>0</v>
      </c>
      <c r="G103" s="151">
        <v>0</v>
      </c>
      <c r="H103" s="151">
        <v>0</v>
      </c>
      <c r="I103" s="151">
        <v>0</v>
      </c>
      <c r="J103" s="262">
        <f t="shared" si="86"/>
        <v>0</v>
      </c>
      <c r="K103" s="476">
        <f t="shared" si="87"/>
        <v>0</v>
      </c>
      <c r="L103" s="151">
        <v>0</v>
      </c>
      <c r="M103" s="260">
        <f t="shared" si="88"/>
        <v>0</v>
      </c>
      <c r="N103" s="260">
        <f t="shared" si="89"/>
        <v>0</v>
      </c>
      <c r="O103" s="151">
        <v>0</v>
      </c>
      <c r="P103" s="475">
        <f t="shared" si="90"/>
        <v>0</v>
      </c>
      <c r="Q103" s="260">
        <f t="shared" si="91"/>
        <v>0</v>
      </c>
      <c r="R103" s="67">
        <v>0</v>
      </c>
      <c r="S103" s="67">
        <v>0</v>
      </c>
      <c r="T103" s="67">
        <v>0</v>
      </c>
      <c r="U103" s="260">
        <f t="shared" si="82"/>
        <v>0</v>
      </c>
      <c r="V103" s="260">
        <f t="shared" si="83"/>
        <v>0</v>
      </c>
      <c r="W103" s="492">
        <v>0</v>
      </c>
      <c r="X103" s="492">
        <v>0</v>
      </c>
      <c r="Y103" s="493">
        <v>0</v>
      </c>
      <c r="Z103" s="492">
        <v>0</v>
      </c>
      <c r="AA103" s="492">
        <v>0</v>
      </c>
      <c r="AB103" s="492">
        <v>0</v>
      </c>
      <c r="AC103" s="493">
        <v>0</v>
      </c>
      <c r="AD103" s="492">
        <v>0</v>
      </c>
      <c r="AE103" s="493">
        <v>0</v>
      </c>
      <c r="AF103" s="492">
        <v>0</v>
      </c>
      <c r="AG103" s="492">
        <v>0</v>
      </c>
      <c r="AH103" s="492">
        <v>0</v>
      </c>
      <c r="AI103" s="493">
        <v>0</v>
      </c>
      <c r="AJ103" s="492">
        <v>0</v>
      </c>
      <c r="AK103" s="493">
        <v>0</v>
      </c>
      <c r="AL103" s="492">
        <v>0</v>
      </c>
      <c r="AM103" s="492">
        <v>0</v>
      </c>
      <c r="AN103" s="493">
        <v>0</v>
      </c>
      <c r="AO103" s="492">
        <v>0</v>
      </c>
      <c r="AP103" s="492">
        <v>0</v>
      </c>
      <c r="AQ103" s="492">
        <v>0</v>
      </c>
      <c r="AR103" s="493">
        <v>0</v>
      </c>
      <c r="AS103" s="492">
        <v>0</v>
      </c>
      <c r="AT103" s="493">
        <v>0</v>
      </c>
    </row>
    <row r="104" spans="1:46" ht="19.5" x14ac:dyDescent="0.3">
      <c r="A104" s="257"/>
      <c r="B104" s="258" t="s">
        <v>132</v>
      </c>
      <c r="C104" s="472">
        <f t="shared" si="84"/>
        <v>0</v>
      </c>
      <c r="D104" s="473">
        <f t="shared" si="85"/>
        <v>0</v>
      </c>
      <c r="E104" s="151">
        <v>0</v>
      </c>
      <c r="F104" s="151">
        <v>0</v>
      </c>
      <c r="G104" s="151">
        <v>0</v>
      </c>
      <c r="H104" s="151">
        <v>0</v>
      </c>
      <c r="I104" s="151">
        <v>0</v>
      </c>
      <c r="J104" s="262">
        <f t="shared" si="86"/>
        <v>0</v>
      </c>
      <c r="K104" s="476">
        <f t="shared" si="87"/>
        <v>0</v>
      </c>
      <c r="L104" s="151">
        <v>0</v>
      </c>
      <c r="M104" s="260">
        <f t="shared" si="88"/>
        <v>0</v>
      </c>
      <c r="N104" s="260">
        <f t="shared" si="89"/>
        <v>0</v>
      </c>
      <c r="O104" s="151">
        <v>0</v>
      </c>
      <c r="P104" s="475">
        <f t="shared" si="90"/>
        <v>0</v>
      </c>
      <c r="Q104" s="260">
        <f t="shared" si="91"/>
        <v>0</v>
      </c>
      <c r="R104" s="67">
        <v>0</v>
      </c>
      <c r="S104" s="67">
        <v>0</v>
      </c>
      <c r="T104" s="67">
        <v>0</v>
      </c>
      <c r="U104" s="260">
        <f t="shared" si="82"/>
        <v>0</v>
      </c>
      <c r="V104" s="260">
        <f t="shared" si="83"/>
        <v>0</v>
      </c>
      <c r="W104" s="215">
        <v>0</v>
      </c>
      <c r="X104" s="215">
        <v>0</v>
      </c>
      <c r="Y104" s="494">
        <v>0</v>
      </c>
      <c r="Z104" s="215">
        <v>0</v>
      </c>
      <c r="AA104" s="215">
        <v>0</v>
      </c>
      <c r="AB104" s="215">
        <v>0</v>
      </c>
      <c r="AC104" s="494">
        <v>0</v>
      </c>
      <c r="AD104" s="215">
        <v>0</v>
      </c>
      <c r="AE104" s="494">
        <v>0</v>
      </c>
      <c r="AF104" s="215">
        <v>0</v>
      </c>
      <c r="AG104" s="215">
        <v>0</v>
      </c>
      <c r="AH104" s="215">
        <v>0</v>
      </c>
      <c r="AI104" s="494">
        <v>0</v>
      </c>
      <c r="AJ104" s="215">
        <v>0</v>
      </c>
      <c r="AK104" s="494">
        <v>0</v>
      </c>
      <c r="AL104" s="215">
        <v>0</v>
      </c>
      <c r="AM104" s="215">
        <v>0</v>
      </c>
      <c r="AN104" s="494">
        <v>0</v>
      </c>
      <c r="AO104" s="215">
        <v>0</v>
      </c>
      <c r="AP104" s="215">
        <v>0</v>
      </c>
      <c r="AQ104" s="215">
        <v>0</v>
      </c>
      <c r="AR104" s="494">
        <v>0</v>
      </c>
      <c r="AS104" s="215">
        <v>0</v>
      </c>
      <c r="AT104" s="494">
        <v>0</v>
      </c>
    </row>
    <row r="105" spans="1:46" ht="19.5" x14ac:dyDescent="0.3">
      <c r="A105" s="257"/>
      <c r="B105" s="261" t="s">
        <v>133</v>
      </c>
      <c r="C105" s="472">
        <f t="shared" si="84"/>
        <v>0</v>
      </c>
      <c r="D105" s="473">
        <f t="shared" si="85"/>
        <v>0</v>
      </c>
      <c r="E105" s="151">
        <v>0</v>
      </c>
      <c r="F105" s="151">
        <v>0</v>
      </c>
      <c r="G105" s="151">
        <v>0</v>
      </c>
      <c r="H105" s="151">
        <v>0</v>
      </c>
      <c r="I105" s="151">
        <v>0</v>
      </c>
      <c r="J105" s="262">
        <f t="shared" si="86"/>
        <v>0</v>
      </c>
      <c r="K105" s="476">
        <f t="shared" si="87"/>
        <v>0</v>
      </c>
      <c r="L105" s="151">
        <v>0</v>
      </c>
      <c r="M105" s="260">
        <f t="shared" si="88"/>
        <v>0</v>
      </c>
      <c r="N105" s="260">
        <f t="shared" si="89"/>
        <v>0</v>
      </c>
      <c r="O105" s="151">
        <v>0</v>
      </c>
      <c r="P105" s="475">
        <f t="shared" si="90"/>
        <v>0</v>
      </c>
      <c r="Q105" s="260">
        <f t="shared" si="91"/>
        <v>0</v>
      </c>
      <c r="R105" s="67">
        <v>0</v>
      </c>
      <c r="S105" s="67">
        <v>0</v>
      </c>
      <c r="T105" s="67">
        <v>0</v>
      </c>
      <c r="U105" s="260">
        <f t="shared" si="82"/>
        <v>0</v>
      </c>
      <c r="V105" s="260">
        <f t="shared" si="83"/>
        <v>0</v>
      </c>
      <c r="W105" s="492">
        <v>0</v>
      </c>
      <c r="X105" s="492">
        <v>0</v>
      </c>
      <c r="Y105" s="493">
        <v>0</v>
      </c>
      <c r="Z105" s="492">
        <v>0</v>
      </c>
      <c r="AA105" s="492">
        <v>0</v>
      </c>
      <c r="AB105" s="492">
        <v>0</v>
      </c>
      <c r="AC105" s="493">
        <v>0</v>
      </c>
      <c r="AD105" s="492">
        <v>0</v>
      </c>
      <c r="AE105" s="493">
        <v>0</v>
      </c>
      <c r="AF105" s="492">
        <v>0</v>
      </c>
      <c r="AG105" s="492">
        <v>0</v>
      </c>
      <c r="AH105" s="492">
        <v>0</v>
      </c>
      <c r="AI105" s="493">
        <v>0</v>
      </c>
      <c r="AJ105" s="492">
        <v>0</v>
      </c>
      <c r="AK105" s="493">
        <v>0</v>
      </c>
      <c r="AL105" s="492">
        <v>0</v>
      </c>
      <c r="AM105" s="492">
        <v>0</v>
      </c>
      <c r="AN105" s="493">
        <v>0</v>
      </c>
      <c r="AO105" s="492">
        <v>0</v>
      </c>
      <c r="AP105" s="492">
        <v>0</v>
      </c>
      <c r="AQ105" s="492">
        <v>0</v>
      </c>
      <c r="AR105" s="493">
        <v>0</v>
      </c>
      <c r="AS105" s="492">
        <v>0</v>
      </c>
      <c r="AT105" s="493">
        <v>0</v>
      </c>
    </row>
    <row r="106" spans="1:46" ht="19.5" x14ac:dyDescent="0.3">
      <c r="A106" s="257"/>
      <c r="B106" s="261" t="s">
        <v>134</v>
      </c>
      <c r="C106" s="472">
        <f t="shared" si="84"/>
        <v>0</v>
      </c>
      <c r="D106" s="473">
        <f t="shared" si="85"/>
        <v>0</v>
      </c>
      <c r="E106" s="151">
        <v>0</v>
      </c>
      <c r="F106" s="151">
        <v>0</v>
      </c>
      <c r="G106" s="151">
        <v>0</v>
      </c>
      <c r="H106" s="151">
        <v>0</v>
      </c>
      <c r="I106" s="151">
        <v>0</v>
      </c>
      <c r="J106" s="262">
        <f t="shared" si="86"/>
        <v>0</v>
      </c>
      <c r="K106" s="476">
        <f t="shared" si="87"/>
        <v>0</v>
      </c>
      <c r="L106" s="151">
        <v>0</v>
      </c>
      <c r="M106" s="260">
        <f t="shared" si="88"/>
        <v>0</v>
      </c>
      <c r="N106" s="260">
        <f t="shared" si="89"/>
        <v>0</v>
      </c>
      <c r="O106" s="151">
        <v>0</v>
      </c>
      <c r="P106" s="475">
        <f t="shared" si="90"/>
        <v>0</v>
      </c>
      <c r="Q106" s="260">
        <f t="shared" si="91"/>
        <v>0</v>
      </c>
      <c r="R106" s="67">
        <v>0</v>
      </c>
      <c r="S106" s="67">
        <v>0</v>
      </c>
      <c r="T106" s="67">
        <v>0</v>
      </c>
      <c r="U106" s="260">
        <f t="shared" si="82"/>
        <v>0</v>
      </c>
      <c r="V106" s="260">
        <f t="shared" si="83"/>
        <v>0</v>
      </c>
      <c r="W106" s="492">
        <v>0</v>
      </c>
      <c r="X106" s="492">
        <v>0</v>
      </c>
      <c r="Y106" s="493">
        <v>0</v>
      </c>
      <c r="Z106" s="492">
        <v>0</v>
      </c>
      <c r="AA106" s="492">
        <v>0</v>
      </c>
      <c r="AB106" s="492">
        <v>0</v>
      </c>
      <c r="AC106" s="493">
        <v>0</v>
      </c>
      <c r="AD106" s="492">
        <v>0</v>
      </c>
      <c r="AE106" s="493">
        <v>0</v>
      </c>
      <c r="AF106" s="492">
        <v>0</v>
      </c>
      <c r="AG106" s="492">
        <v>0</v>
      </c>
      <c r="AH106" s="492">
        <v>0</v>
      </c>
      <c r="AI106" s="493">
        <v>0</v>
      </c>
      <c r="AJ106" s="492">
        <v>0</v>
      </c>
      <c r="AK106" s="493">
        <v>0</v>
      </c>
      <c r="AL106" s="492">
        <v>0</v>
      </c>
      <c r="AM106" s="492">
        <v>0</v>
      </c>
      <c r="AN106" s="493">
        <v>0</v>
      </c>
      <c r="AO106" s="492">
        <v>0</v>
      </c>
      <c r="AP106" s="492">
        <v>0</v>
      </c>
      <c r="AQ106" s="492">
        <v>0</v>
      </c>
      <c r="AR106" s="493">
        <v>0</v>
      </c>
      <c r="AS106" s="492">
        <v>0</v>
      </c>
      <c r="AT106" s="493">
        <v>0</v>
      </c>
    </row>
    <row r="107" spans="1:46" ht="19.5" x14ac:dyDescent="0.3">
      <c r="A107" s="263"/>
      <c r="B107" s="264" t="s">
        <v>26</v>
      </c>
      <c r="C107" s="495">
        <f t="shared" si="84"/>
        <v>0</v>
      </c>
      <c r="D107" s="496">
        <f t="shared" si="85"/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7">
        <f t="shared" si="86"/>
        <v>0</v>
      </c>
      <c r="K107" s="497">
        <f t="shared" si="87"/>
        <v>0</v>
      </c>
      <c r="L107" s="265">
        <v>0</v>
      </c>
      <c r="M107" s="498">
        <f t="shared" si="88"/>
        <v>0</v>
      </c>
      <c r="N107" s="498">
        <f t="shared" si="89"/>
        <v>0</v>
      </c>
      <c r="O107" s="265">
        <v>0</v>
      </c>
      <c r="P107" s="499">
        <f t="shared" si="90"/>
        <v>0</v>
      </c>
      <c r="Q107" s="498">
        <f t="shared" si="91"/>
        <v>0</v>
      </c>
      <c r="R107" s="205">
        <v>0</v>
      </c>
      <c r="S107" s="205">
        <v>0</v>
      </c>
      <c r="T107" s="205">
        <v>0</v>
      </c>
      <c r="U107" s="498">
        <f t="shared" si="82"/>
        <v>0</v>
      </c>
      <c r="V107" s="498">
        <f t="shared" si="83"/>
        <v>0</v>
      </c>
      <c r="W107" s="500"/>
      <c r="X107" s="500"/>
      <c r="Y107" s="501"/>
      <c r="Z107" s="500"/>
      <c r="AA107" s="500"/>
      <c r="AB107" s="500"/>
      <c r="AC107" s="501"/>
      <c r="AD107" s="500"/>
      <c r="AE107" s="501"/>
      <c r="AF107" s="500"/>
      <c r="AG107" s="500"/>
      <c r="AH107" s="500"/>
      <c r="AI107" s="501"/>
      <c r="AJ107" s="500"/>
      <c r="AK107" s="501"/>
      <c r="AL107" s="500"/>
      <c r="AM107" s="500"/>
      <c r="AN107" s="501"/>
      <c r="AO107" s="500"/>
      <c r="AP107" s="500"/>
      <c r="AQ107" s="500"/>
      <c r="AR107" s="501"/>
      <c r="AS107" s="500"/>
      <c r="AT107" s="501"/>
    </row>
    <row r="108" spans="1:46" ht="19.5" x14ac:dyDescent="0.3">
      <c r="A108" s="268"/>
      <c r="B108" s="269" t="s">
        <v>135</v>
      </c>
      <c r="C108" s="502">
        <f t="shared" si="84"/>
        <v>0</v>
      </c>
      <c r="D108" s="503">
        <f t="shared" si="85"/>
        <v>0</v>
      </c>
      <c r="E108" s="270">
        <v>0</v>
      </c>
      <c r="F108" s="270">
        <v>0</v>
      </c>
      <c r="G108" s="270">
        <v>0</v>
      </c>
      <c r="H108" s="270">
        <v>0</v>
      </c>
      <c r="I108" s="270">
        <v>0</v>
      </c>
      <c r="J108" s="272">
        <f t="shared" si="86"/>
        <v>0</v>
      </c>
      <c r="K108" s="504">
        <f t="shared" si="87"/>
        <v>0</v>
      </c>
      <c r="L108" s="270">
        <v>0</v>
      </c>
      <c r="M108" s="505">
        <f t="shared" si="88"/>
        <v>0</v>
      </c>
      <c r="N108" s="505">
        <f t="shared" si="89"/>
        <v>0</v>
      </c>
      <c r="O108" s="270">
        <v>0</v>
      </c>
      <c r="P108" s="506">
        <f t="shared" si="90"/>
        <v>0</v>
      </c>
      <c r="Q108" s="505">
        <f t="shared" si="91"/>
        <v>0</v>
      </c>
      <c r="R108" s="208">
        <v>0</v>
      </c>
      <c r="S108" s="208">
        <v>0</v>
      </c>
      <c r="T108" s="208">
        <v>0</v>
      </c>
      <c r="U108" s="505">
        <f t="shared" si="82"/>
        <v>0</v>
      </c>
      <c r="V108" s="505">
        <f t="shared" si="83"/>
        <v>0</v>
      </c>
      <c r="W108" s="507"/>
      <c r="X108" s="507"/>
      <c r="Y108" s="508"/>
      <c r="Z108" s="507"/>
      <c r="AA108" s="507"/>
      <c r="AB108" s="507"/>
      <c r="AC108" s="508"/>
      <c r="AD108" s="507"/>
      <c r="AE108" s="508"/>
      <c r="AF108" s="507"/>
      <c r="AG108" s="507"/>
      <c r="AH108" s="507"/>
      <c r="AI108" s="508"/>
      <c r="AJ108" s="507"/>
      <c r="AK108" s="508"/>
      <c r="AL108" s="507"/>
      <c r="AM108" s="507"/>
      <c r="AN108" s="508"/>
      <c r="AO108" s="507"/>
      <c r="AP108" s="507"/>
      <c r="AQ108" s="507"/>
      <c r="AR108" s="508"/>
      <c r="AS108" s="507"/>
      <c r="AT108" s="508"/>
    </row>
  </sheetData>
  <mergeCells count="42">
    <mergeCell ref="A31:B31"/>
    <mergeCell ref="A52:B52"/>
    <mergeCell ref="A74:B74"/>
    <mergeCell ref="A89:B89"/>
    <mergeCell ref="D5:D6"/>
    <mergeCell ref="U4:U6"/>
    <mergeCell ref="A2:B6"/>
    <mergeCell ref="C5:C6"/>
    <mergeCell ref="A7:B7"/>
    <mergeCell ref="A13:B13"/>
    <mergeCell ref="E5:E6"/>
    <mergeCell ref="F5:F6"/>
    <mergeCell ref="G5:G6"/>
    <mergeCell ref="H5:H6"/>
    <mergeCell ref="I5:I6"/>
    <mergeCell ref="AH5:AK5"/>
    <mergeCell ref="AM5:AN5"/>
    <mergeCell ref="AO5:AP5"/>
    <mergeCell ref="C2:V2"/>
    <mergeCell ref="W2:AT2"/>
    <mergeCell ref="R3:V3"/>
    <mergeCell ref="Z3:AE4"/>
    <mergeCell ref="AO3:AT4"/>
    <mergeCell ref="V4:V6"/>
    <mergeCell ref="O5:Q5"/>
    <mergeCell ref="AQ5:AT5"/>
    <mergeCell ref="AF3:AK4"/>
    <mergeCell ref="AL3:AN4"/>
    <mergeCell ref="R4:R6"/>
    <mergeCell ref="S4:S6"/>
    <mergeCell ref="T4:T6"/>
    <mergeCell ref="W3:Y4"/>
    <mergeCell ref="X5:Y5"/>
    <mergeCell ref="Z5:AA5"/>
    <mergeCell ref="AB5:AE5"/>
    <mergeCell ref="AF5:AG5"/>
    <mergeCell ref="C3:Q3"/>
    <mergeCell ref="C4:G4"/>
    <mergeCell ref="H4:I4"/>
    <mergeCell ref="J4:Q4"/>
    <mergeCell ref="J5:K5"/>
    <mergeCell ref="L5:N5"/>
  </mergeCells>
  <conditionalFormatting sqref="K89:K108 K9">
    <cfRule type="colorScale" priority="2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AC9 Y9 AE9 AI9 AK9 AN9 AR9 AT9">
    <cfRule type="colorScale" priority="1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  <outlinePr summaryBelow="0" summaryRight="0"/>
  </sheetPr>
  <dimension ref="A1:DF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8" max="8" width="15.140625" customWidth="1"/>
    <col min="10" max="10" width="27.42578125" customWidth="1"/>
    <col min="12" max="12" width="16.42578125" customWidth="1"/>
    <col min="18" max="20" width="15.140625" customWidth="1"/>
    <col min="89" max="89" width="14.140625" customWidth="1"/>
  </cols>
  <sheetData>
    <row r="1" spans="1:110" ht="19.5" x14ac:dyDescent="0.3">
      <c r="A1" s="234" t="s">
        <v>0</v>
      </c>
      <c r="B1" s="114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10"/>
      <c r="N1" s="510"/>
      <c r="O1" s="511"/>
      <c r="P1" s="511"/>
      <c r="Q1" s="511"/>
      <c r="R1" s="511"/>
      <c r="S1" s="511"/>
      <c r="T1" s="511"/>
      <c r="U1" s="511"/>
      <c r="V1" s="511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512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</row>
    <row r="2" spans="1:110" ht="19.5" x14ac:dyDescent="0.2">
      <c r="A2" s="692" t="s">
        <v>1</v>
      </c>
      <c r="B2" s="658"/>
      <c r="C2" s="816" t="s">
        <v>256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817" t="s">
        <v>249</v>
      </c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X2" s="646"/>
      <c r="AY2" s="646"/>
      <c r="AZ2" s="646"/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L2" s="646"/>
      <c r="BM2" s="646"/>
      <c r="BN2" s="646"/>
      <c r="BO2" s="646"/>
      <c r="BP2" s="646"/>
      <c r="BQ2" s="646"/>
      <c r="BR2" s="646"/>
      <c r="BS2" s="646"/>
      <c r="BT2" s="646"/>
      <c r="BU2" s="646"/>
      <c r="BV2" s="646"/>
      <c r="BW2" s="646"/>
      <c r="BX2" s="646"/>
      <c r="BY2" s="646"/>
      <c r="BZ2" s="646"/>
      <c r="CA2" s="646"/>
      <c r="CB2" s="646"/>
      <c r="CC2" s="646"/>
      <c r="CD2" s="646"/>
      <c r="CE2" s="646"/>
      <c r="CF2" s="646"/>
      <c r="CG2" s="646"/>
      <c r="CH2" s="646"/>
      <c r="CI2" s="646"/>
      <c r="CJ2" s="646"/>
      <c r="CK2" s="646"/>
      <c r="CL2" s="646"/>
      <c r="CM2" s="646"/>
      <c r="CN2" s="646"/>
      <c r="CO2" s="646"/>
      <c r="CP2" s="646"/>
      <c r="CQ2" s="646"/>
      <c r="CR2" s="646"/>
      <c r="CS2" s="646"/>
      <c r="CT2" s="646"/>
      <c r="CU2" s="646"/>
      <c r="CV2" s="646"/>
      <c r="CW2" s="646"/>
      <c r="CX2" s="646"/>
      <c r="CY2" s="646"/>
      <c r="CZ2" s="646"/>
      <c r="DA2" s="646"/>
      <c r="DB2" s="646"/>
      <c r="DC2" s="646"/>
      <c r="DD2" s="646"/>
      <c r="DE2" s="646"/>
      <c r="DF2" s="647"/>
    </row>
    <row r="3" spans="1:110" ht="19.5" x14ac:dyDescent="0.2">
      <c r="A3" s="659"/>
      <c r="B3" s="660"/>
      <c r="C3" s="792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818" t="s">
        <v>5</v>
      </c>
      <c r="S3" s="646"/>
      <c r="T3" s="646"/>
      <c r="U3" s="646"/>
      <c r="V3" s="647"/>
      <c r="W3" s="802" t="s">
        <v>257</v>
      </c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7"/>
      <c r="AI3" s="802" t="s">
        <v>257</v>
      </c>
      <c r="AJ3" s="646"/>
      <c r="AK3" s="646"/>
      <c r="AL3" s="646"/>
      <c r="AM3" s="646"/>
      <c r="AN3" s="646"/>
      <c r="AO3" s="646"/>
      <c r="AP3" s="646"/>
      <c r="AQ3" s="646"/>
      <c r="AR3" s="646"/>
      <c r="AS3" s="646"/>
      <c r="AT3" s="647"/>
      <c r="AU3" s="802" t="s">
        <v>257</v>
      </c>
      <c r="AV3" s="646"/>
      <c r="AW3" s="646"/>
      <c r="AX3" s="646"/>
      <c r="AY3" s="646"/>
      <c r="AZ3" s="646"/>
      <c r="BA3" s="646"/>
      <c r="BB3" s="646"/>
      <c r="BC3" s="646"/>
      <c r="BD3" s="646"/>
      <c r="BE3" s="646"/>
      <c r="BF3" s="646"/>
      <c r="BG3" s="646"/>
      <c r="BH3" s="646"/>
      <c r="BI3" s="646"/>
      <c r="BJ3" s="646"/>
      <c r="BK3" s="646"/>
      <c r="BL3" s="646"/>
      <c r="BM3" s="646"/>
      <c r="BN3" s="647"/>
      <c r="BO3" s="815" t="s">
        <v>258</v>
      </c>
      <c r="BP3" s="646"/>
      <c r="BQ3" s="646"/>
      <c r="BR3" s="646"/>
      <c r="BS3" s="646"/>
      <c r="BT3" s="646"/>
      <c r="BU3" s="646"/>
      <c r="BV3" s="646"/>
      <c r="BW3" s="646"/>
      <c r="BX3" s="646"/>
      <c r="BY3" s="646"/>
      <c r="BZ3" s="646"/>
      <c r="CA3" s="646"/>
      <c r="CB3" s="646"/>
      <c r="CC3" s="646"/>
      <c r="CD3" s="646"/>
      <c r="CE3" s="646"/>
      <c r="CF3" s="646"/>
      <c r="CG3" s="646"/>
      <c r="CH3" s="646"/>
      <c r="CI3" s="646"/>
      <c r="CJ3" s="647"/>
      <c r="CK3" s="819" t="s">
        <v>259</v>
      </c>
      <c r="CL3" s="646"/>
      <c r="CM3" s="646"/>
      <c r="CN3" s="646"/>
      <c r="CO3" s="646"/>
      <c r="CP3" s="646"/>
      <c r="CQ3" s="646"/>
      <c r="CR3" s="646"/>
      <c r="CS3" s="646"/>
      <c r="CT3" s="646"/>
      <c r="CU3" s="646"/>
      <c r="CV3" s="646"/>
      <c r="CW3" s="646"/>
      <c r="CX3" s="646"/>
      <c r="CY3" s="646"/>
      <c r="CZ3" s="646"/>
      <c r="DA3" s="646"/>
      <c r="DB3" s="646"/>
      <c r="DC3" s="646"/>
      <c r="DD3" s="646"/>
      <c r="DE3" s="646"/>
      <c r="DF3" s="647"/>
    </row>
    <row r="4" spans="1:110" ht="19.5" x14ac:dyDescent="0.2">
      <c r="A4" s="659"/>
      <c r="B4" s="660"/>
      <c r="C4" s="793" t="s">
        <v>8</v>
      </c>
      <c r="D4" s="646"/>
      <c r="E4" s="646"/>
      <c r="F4" s="646"/>
      <c r="G4" s="647"/>
      <c r="H4" s="794" t="s">
        <v>9</v>
      </c>
      <c r="I4" s="647"/>
      <c r="J4" s="795" t="s">
        <v>10</v>
      </c>
      <c r="K4" s="646"/>
      <c r="L4" s="646"/>
      <c r="M4" s="646"/>
      <c r="N4" s="646"/>
      <c r="O4" s="646"/>
      <c r="P4" s="646"/>
      <c r="Q4" s="647"/>
      <c r="R4" s="799" t="s">
        <v>11</v>
      </c>
      <c r="S4" s="791" t="s">
        <v>12</v>
      </c>
      <c r="T4" s="800" t="s">
        <v>13</v>
      </c>
      <c r="U4" s="801" t="s">
        <v>14</v>
      </c>
      <c r="V4" s="801" t="s">
        <v>15</v>
      </c>
      <c r="W4" s="779" t="s">
        <v>260</v>
      </c>
      <c r="X4" s="646"/>
      <c r="Y4" s="646"/>
      <c r="Z4" s="646"/>
      <c r="AA4" s="646"/>
      <c r="AB4" s="647"/>
      <c r="AC4" s="739" t="s">
        <v>261</v>
      </c>
      <c r="AD4" s="647"/>
      <c r="AE4" s="739" t="s">
        <v>262</v>
      </c>
      <c r="AF4" s="647"/>
      <c r="AG4" s="739" t="s">
        <v>263</v>
      </c>
      <c r="AH4" s="647"/>
      <c r="AI4" s="804" t="s">
        <v>264</v>
      </c>
      <c r="AJ4" s="646"/>
      <c r="AK4" s="646"/>
      <c r="AL4" s="646"/>
      <c r="AM4" s="646"/>
      <c r="AN4" s="647"/>
      <c r="AO4" s="714" t="s">
        <v>265</v>
      </c>
      <c r="AP4" s="647"/>
      <c r="AQ4" s="714" t="s">
        <v>266</v>
      </c>
      <c r="AR4" s="647"/>
      <c r="AS4" s="714" t="s">
        <v>267</v>
      </c>
      <c r="AT4" s="647"/>
      <c r="AU4" s="806" t="s">
        <v>268</v>
      </c>
      <c r="AV4" s="646"/>
      <c r="AW4" s="646"/>
      <c r="AX4" s="646"/>
      <c r="AY4" s="646"/>
      <c r="AZ4" s="647"/>
      <c r="BA4" s="786" t="s">
        <v>269</v>
      </c>
      <c r="BB4" s="647"/>
      <c r="BC4" s="786" t="s">
        <v>270</v>
      </c>
      <c r="BD4" s="647"/>
      <c r="BE4" s="786" t="s">
        <v>271</v>
      </c>
      <c r="BF4" s="647"/>
      <c r="BG4" s="787" t="s">
        <v>272</v>
      </c>
      <c r="BH4" s="647"/>
      <c r="BI4" s="787" t="s">
        <v>273</v>
      </c>
      <c r="BJ4" s="647"/>
      <c r="BK4" s="786" t="s">
        <v>274</v>
      </c>
      <c r="BL4" s="647"/>
      <c r="BM4" s="786" t="s">
        <v>275</v>
      </c>
      <c r="BN4" s="647"/>
      <c r="BO4" s="788" t="s">
        <v>276</v>
      </c>
      <c r="BP4" s="646"/>
      <c r="BQ4" s="646"/>
      <c r="BR4" s="646"/>
      <c r="BS4" s="646"/>
      <c r="BT4" s="647"/>
      <c r="BU4" s="789" t="s">
        <v>277</v>
      </c>
      <c r="BV4" s="647"/>
      <c r="BW4" s="790" t="s">
        <v>278</v>
      </c>
      <c r="BX4" s="647"/>
      <c r="BY4" s="790" t="s">
        <v>279</v>
      </c>
      <c r="BZ4" s="647"/>
      <c r="CA4" s="790" t="s">
        <v>280</v>
      </c>
      <c r="CB4" s="647"/>
      <c r="CC4" s="789" t="s">
        <v>281</v>
      </c>
      <c r="CD4" s="647"/>
      <c r="CE4" s="790" t="s">
        <v>282</v>
      </c>
      <c r="CF4" s="647"/>
      <c r="CG4" s="790" t="s">
        <v>283</v>
      </c>
      <c r="CH4" s="647"/>
      <c r="CI4" s="809" t="s">
        <v>284</v>
      </c>
      <c r="CJ4" s="647"/>
      <c r="CK4" s="810" t="s">
        <v>285</v>
      </c>
      <c r="CL4" s="646"/>
      <c r="CM4" s="646"/>
      <c r="CN4" s="646"/>
      <c r="CO4" s="646"/>
      <c r="CP4" s="647"/>
      <c r="CQ4" s="812" t="s">
        <v>286</v>
      </c>
      <c r="CR4" s="647"/>
      <c r="CS4" s="812" t="s">
        <v>287</v>
      </c>
      <c r="CT4" s="647"/>
      <c r="CU4" s="810" t="s">
        <v>288</v>
      </c>
      <c r="CV4" s="646"/>
      <c r="CW4" s="646"/>
      <c r="CX4" s="646"/>
      <c r="CY4" s="646"/>
      <c r="CZ4" s="647"/>
      <c r="DA4" s="812" t="s">
        <v>289</v>
      </c>
      <c r="DB4" s="647"/>
      <c r="DC4" s="812" t="s">
        <v>290</v>
      </c>
      <c r="DD4" s="647"/>
      <c r="DE4" s="812" t="s">
        <v>291</v>
      </c>
      <c r="DF4" s="647"/>
    </row>
    <row r="5" spans="1:110" ht="19.5" x14ac:dyDescent="0.2">
      <c r="A5" s="659"/>
      <c r="B5" s="660"/>
      <c r="C5" s="796" t="s">
        <v>20</v>
      </c>
      <c r="D5" s="797" t="s">
        <v>21</v>
      </c>
      <c r="E5" s="798" t="s">
        <v>22</v>
      </c>
      <c r="F5" s="807" t="s">
        <v>23</v>
      </c>
      <c r="G5" s="808" t="s">
        <v>24</v>
      </c>
      <c r="H5" s="791" t="s">
        <v>25</v>
      </c>
      <c r="I5" s="791" t="s">
        <v>26</v>
      </c>
      <c r="J5" s="813" t="s">
        <v>27</v>
      </c>
      <c r="K5" s="647"/>
      <c r="L5" s="813" t="s">
        <v>25</v>
      </c>
      <c r="M5" s="646"/>
      <c r="N5" s="647"/>
      <c r="O5" s="820" t="s">
        <v>26</v>
      </c>
      <c r="P5" s="646"/>
      <c r="Q5" s="647"/>
      <c r="R5" s="649"/>
      <c r="S5" s="649"/>
      <c r="T5" s="649"/>
      <c r="U5" s="649"/>
      <c r="V5" s="649"/>
      <c r="W5" s="814" t="s">
        <v>28</v>
      </c>
      <c r="X5" s="647"/>
      <c r="Y5" s="713" t="s">
        <v>29</v>
      </c>
      <c r="Z5" s="646"/>
      <c r="AA5" s="646"/>
      <c r="AB5" s="647"/>
      <c r="AC5" s="713" t="s">
        <v>29</v>
      </c>
      <c r="AD5" s="647"/>
      <c r="AE5" s="713" t="s">
        <v>29</v>
      </c>
      <c r="AF5" s="647"/>
      <c r="AG5" s="713" t="s">
        <v>29</v>
      </c>
      <c r="AH5" s="647"/>
      <c r="AI5" s="803" t="s">
        <v>28</v>
      </c>
      <c r="AJ5" s="647"/>
      <c r="AK5" s="713" t="s">
        <v>29</v>
      </c>
      <c r="AL5" s="646"/>
      <c r="AM5" s="646"/>
      <c r="AN5" s="647"/>
      <c r="AO5" s="713" t="s">
        <v>29</v>
      </c>
      <c r="AP5" s="647"/>
      <c r="AQ5" s="713" t="s">
        <v>29</v>
      </c>
      <c r="AR5" s="647"/>
      <c r="AS5" s="713" t="s">
        <v>29</v>
      </c>
      <c r="AT5" s="647"/>
      <c r="AU5" s="805" t="s">
        <v>28</v>
      </c>
      <c r="AV5" s="647"/>
      <c r="AW5" s="713" t="s">
        <v>29</v>
      </c>
      <c r="AX5" s="646"/>
      <c r="AY5" s="646"/>
      <c r="AZ5" s="647"/>
      <c r="BA5" s="713" t="s">
        <v>29</v>
      </c>
      <c r="BB5" s="647"/>
      <c r="BC5" s="713" t="s">
        <v>29</v>
      </c>
      <c r="BD5" s="647"/>
      <c r="BE5" s="713" t="s">
        <v>29</v>
      </c>
      <c r="BF5" s="647"/>
      <c r="BG5" s="713" t="s">
        <v>29</v>
      </c>
      <c r="BH5" s="647"/>
      <c r="BI5" s="713" t="s">
        <v>29</v>
      </c>
      <c r="BJ5" s="647"/>
      <c r="BK5" s="713" t="s">
        <v>29</v>
      </c>
      <c r="BL5" s="647"/>
      <c r="BM5" s="713" t="s">
        <v>29</v>
      </c>
      <c r="BN5" s="647"/>
      <c r="BO5" s="821" t="s">
        <v>28</v>
      </c>
      <c r="BP5" s="647"/>
      <c r="BQ5" s="822" t="s">
        <v>29</v>
      </c>
      <c r="BR5" s="646"/>
      <c r="BS5" s="646"/>
      <c r="BT5" s="647"/>
      <c r="BU5" s="713" t="s">
        <v>29</v>
      </c>
      <c r="BV5" s="647"/>
      <c r="BW5" s="713" t="s">
        <v>29</v>
      </c>
      <c r="BX5" s="647"/>
      <c r="BY5" s="713" t="s">
        <v>29</v>
      </c>
      <c r="BZ5" s="647"/>
      <c r="CA5" s="713" t="s">
        <v>29</v>
      </c>
      <c r="CB5" s="647"/>
      <c r="CC5" s="713" t="s">
        <v>29</v>
      </c>
      <c r="CD5" s="647"/>
      <c r="CE5" s="713" t="s">
        <v>29</v>
      </c>
      <c r="CF5" s="647"/>
      <c r="CG5" s="713" t="s">
        <v>29</v>
      </c>
      <c r="CH5" s="647"/>
      <c r="CI5" s="713" t="s">
        <v>29</v>
      </c>
      <c r="CJ5" s="647"/>
      <c r="CK5" s="811" t="s">
        <v>28</v>
      </c>
      <c r="CL5" s="647"/>
      <c r="CM5" s="713" t="s">
        <v>29</v>
      </c>
      <c r="CN5" s="646"/>
      <c r="CO5" s="646"/>
      <c r="CP5" s="647"/>
      <c r="CQ5" s="713" t="s">
        <v>29</v>
      </c>
      <c r="CR5" s="647"/>
      <c r="CS5" s="713" t="s">
        <v>29</v>
      </c>
      <c r="CT5" s="647"/>
      <c r="CU5" s="811" t="s">
        <v>28</v>
      </c>
      <c r="CV5" s="647"/>
      <c r="CW5" s="713" t="s">
        <v>29</v>
      </c>
      <c r="CX5" s="646"/>
      <c r="CY5" s="646"/>
      <c r="CZ5" s="647"/>
      <c r="DA5" s="713" t="s">
        <v>29</v>
      </c>
      <c r="DB5" s="647"/>
      <c r="DC5" s="713" t="s">
        <v>29</v>
      </c>
      <c r="DD5" s="647"/>
      <c r="DE5" s="713" t="s">
        <v>29</v>
      </c>
      <c r="DF5" s="647"/>
    </row>
    <row r="6" spans="1:110" ht="19.5" x14ac:dyDescent="0.2">
      <c r="A6" s="661"/>
      <c r="B6" s="662"/>
      <c r="C6" s="650"/>
      <c r="D6" s="650"/>
      <c r="E6" s="650"/>
      <c r="F6" s="650"/>
      <c r="G6" s="650"/>
      <c r="H6" s="650"/>
      <c r="I6" s="650"/>
      <c r="J6" s="513" t="s">
        <v>30</v>
      </c>
      <c r="K6" s="514" t="s">
        <v>31</v>
      </c>
      <c r="L6" s="513" t="s">
        <v>30</v>
      </c>
      <c r="M6" s="515" t="s">
        <v>32</v>
      </c>
      <c r="N6" s="515" t="s">
        <v>33</v>
      </c>
      <c r="O6" s="516" t="s">
        <v>30</v>
      </c>
      <c r="P6" s="515" t="s">
        <v>32</v>
      </c>
      <c r="Q6" s="515" t="s">
        <v>33</v>
      </c>
      <c r="R6" s="650"/>
      <c r="S6" s="650"/>
      <c r="T6" s="650"/>
      <c r="U6" s="650"/>
      <c r="V6" s="650"/>
      <c r="W6" s="428" t="s">
        <v>140</v>
      </c>
      <c r="X6" s="428" t="s">
        <v>34</v>
      </c>
      <c r="Y6" s="180" t="s">
        <v>140</v>
      </c>
      <c r="Z6" s="210" t="s">
        <v>31</v>
      </c>
      <c r="AA6" s="210" t="s">
        <v>34</v>
      </c>
      <c r="AB6" s="210" t="s">
        <v>31</v>
      </c>
      <c r="AC6" s="180" t="s">
        <v>140</v>
      </c>
      <c r="AD6" s="210" t="s">
        <v>34</v>
      </c>
      <c r="AE6" s="180" t="s">
        <v>140</v>
      </c>
      <c r="AF6" s="210" t="s">
        <v>34</v>
      </c>
      <c r="AG6" s="180" t="s">
        <v>140</v>
      </c>
      <c r="AH6" s="210" t="s">
        <v>34</v>
      </c>
      <c r="AI6" s="517" t="s">
        <v>140</v>
      </c>
      <c r="AJ6" s="517" t="s">
        <v>34</v>
      </c>
      <c r="AK6" s="180" t="s">
        <v>140</v>
      </c>
      <c r="AL6" s="210" t="s">
        <v>31</v>
      </c>
      <c r="AM6" s="210" t="s">
        <v>34</v>
      </c>
      <c r="AN6" s="210" t="s">
        <v>31</v>
      </c>
      <c r="AO6" s="180" t="s">
        <v>140</v>
      </c>
      <c r="AP6" s="210" t="s">
        <v>34</v>
      </c>
      <c r="AQ6" s="180" t="s">
        <v>140</v>
      </c>
      <c r="AR6" s="210" t="s">
        <v>34</v>
      </c>
      <c r="AS6" s="180" t="s">
        <v>140</v>
      </c>
      <c r="AT6" s="210" t="s">
        <v>34</v>
      </c>
      <c r="AU6" s="518" t="s">
        <v>140</v>
      </c>
      <c r="AV6" s="518" t="s">
        <v>34</v>
      </c>
      <c r="AW6" s="180" t="s">
        <v>140</v>
      </c>
      <c r="AX6" s="210" t="s">
        <v>31</v>
      </c>
      <c r="AY6" s="210" t="s">
        <v>34</v>
      </c>
      <c r="AZ6" s="210" t="s">
        <v>31</v>
      </c>
      <c r="BA6" s="180" t="s">
        <v>140</v>
      </c>
      <c r="BB6" s="210" t="s">
        <v>34</v>
      </c>
      <c r="BC6" s="180" t="s">
        <v>140</v>
      </c>
      <c r="BD6" s="210" t="s">
        <v>34</v>
      </c>
      <c r="BE6" s="180" t="s">
        <v>140</v>
      </c>
      <c r="BF6" s="210" t="s">
        <v>34</v>
      </c>
      <c r="BG6" s="180" t="s">
        <v>140</v>
      </c>
      <c r="BH6" s="210" t="s">
        <v>34</v>
      </c>
      <c r="BI6" s="180" t="s">
        <v>140</v>
      </c>
      <c r="BJ6" s="210" t="s">
        <v>34</v>
      </c>
      <c r="BK6" s="180" t="s">
        <v>140</v>
      </c>
      <c r="BL6" s="210" t="s">
        <v>34</v>
      </c>
      <c r="BM6" s="180" t="s">
        <v>140</v>
      </c>
      <c r="BN6" s="210" t="s">
        <v>34</v>
      </c>
      <c r="BO6" s="519" t="s">
        <v>140</v>
      </c>
      <c r="BP6" s="519" t="s">
        <v>34</v>
      </c>
      <c r="BQ6" s="520" t="s">
        <v>140</v>
      </c>
      <c r="BR6" s="210" t="s">
        <v>31</v>
      </c>
      <c r="BS6" s="210" t="s">
        <v>34</v>
      </c>
      <c r="BT6" s="210" t="s">
        <v>31</v>
      </c>
      <c r="BU6" s="180" t="s">
        <v>140</v>
      </c>
      <c r="BV6" s="210" t="s">
        <v>34</v>
      </c>
      <c r="BW6" s="180" t="s">
        <v>140</v>
      </c>
      <c r="BX6" s="210" t="s">
        <v>34</v>
      </c>
      <c r="BY6" s="180" t="s">
        <v>140</v>
      </c>
      <c r="BZ6" s="210" t="s">
        <v>34</v>
      </c>
      <c r="CA6" s="180" t="s">
        <v>140</v>
      </c>
      <c r="CB6" s="210" t="s">
        <v>34</v>
      </c>
      <c r="CC6" s="180" t="s">
        <v>140</v>
      </c>
      <c r="CD6" s="210" t="s">
        <v>34</v>
      </c>
      <c r="CE6" s="180" t="s">
        <v>140</v>
      </c>
      <c r="CF6" s="210" t="s">
        <v>34</v>
      </c>
      <c r="CG6" s="180" t="s">
        <v>140</v>
      </c>
      <c r="CH6" s="210" t="s">
        <v>34</v>
      </c>
      <c r="CI6" s="180" t="s">
        <v>140</v>
      </c>
      <c r="CJ6" s="210" t="s">
        <v>34</v>
      </c>
      <c r="CK6" s="521" t="s">
        <v>140</v>
      </c>
      <c r="CL6" s="522" t="s">
        <v>34</v>
      </c>
      <c r="CM6" s="180" t="s">
        <v>140</v>
      </c>
      <c r="CN6" s="180" t="s">
        <v>31</v>
      </c>
      <c r="CO6" s="210" t="s">
        <v>34</v>
      </c>
      <c r="CP6" s="210" t="s">
        <v>31</v>
      </c>
      <c r="CQ6" s="180" t="s">
        <v>140</v>
      </c>
      <c r="CR6" s="210" t="s">
        <v>34</v>
      </c>
      <c r="CS6" s="180" t="s">
        <v>140</v>
      </c>
      <c r="CT6" s="210" t="s">
        <v>34</v>
      </c>
      <c r="CU6" s="521" t="s">
        <v>140</v>
      </c>
      <c r="CV6" s="522" t="s">
        <v>34</v>
      </c>
      <c r="CW6" s="523" t="s">
        <v>140</v>
      </c>
      <c r="CX6" s="523" t="s">
        <v>31</v>
      </c>
      <c r="CY6" s="210" t="s">
        <v>34</v>
      </c>
      <c r="CZ6" s="210" t="s">
        <v>31</v>
      </c>
      <c r="DA6" s="180" t="s">
        <v>140</v>
      </c>
      <c r="DB6" s="210" t="s">
        <v>34</v>
      </c>
      <c r="DC6" s="180" t="s">
        <v>140</v>
      </c>
      <c r="DD6" s="210" t="s">
        <v>34</v>
      </c>
      <c r="DE6" s="180" t="s">
        <v>140</v>
      </c>
      <c r="DF6" s="210" t="s">
        <v>34</v>
      </c>
    </row>
    <row r="7" spans="1:110" ht="19.5" x14ac:dyDescent="0.3">
      <c r="A7" s="694" t="s">
        <v>38</v>
      </c>
      <c r="B7" s="647"/>
      <c r="C7" s="524">
        <f t="shared" ref="C7:C9" ca="1" si="0">D7+G7</f>
        <v>32898100</v>
      </c>
      <c r="D7" s="525">
        <f t="shared" ref="D7:E7" ca="1" si="1">D8+D9+D12</f>
        <v>32898100</v>
      </c>
      <c r="E7" s="526">
        <f t="shared" ca="1" si="1"/>
        <v>14804100</v>
      </c>
      <c r="F7" s="527">
        <f ca="1">F8+F9</f>
        <v>18094000</v>
      </c>
      <c r="G7" s="528">
        <f t="shared" ref="G7:I7" ca="1" si="2">G8+G9+G12</f>
        <v>0</v>
      </c>
      <c r="H7" s="529">
        <f t="shared" ca="1" si="2"/>
        <v>32898100</v>
      </c>
      <c r="I7" s="529">
        <f t="shared" ca="1" si="2"/>
        <v>0</v>
      </c>
      <c r="J7" s="530">
        <f t="shared" ref="J7:J9" ca="1" si="3">L7+O7</f>
        <v>14852878.169999998</v>
      </c>
      <c r="K7" s="531">
        <f t="shared" ref="K7:K9" ca="1" si="4">IF(C7&gt;0,J7*100/C7,0)</f>
        <v>45.148133691611363</v>
      </c>
      <c r="L7" s="530">
        <f ca="1">L8+L9+L12</f>
        <v>14852878.169999998</v>
      </c>
      <c r="M7" s="532">
        <f t="shared" ref="M7:M9" ca="1" si="5">IF(D7&gt;0,L7*100/D7,0)</f>
        <v>45.148133691611363</v>
      </c>
      <c r="N7" s="532">
        <f t="shared" ref="N7:N9" ca="1" si="6">IF(H7&gt;0,L7*100/H7,0)</f>
        <v>45.148133691611363</v>
      </c>
      <c r="O7" s="533">
        <f ca="1">O8+O9+O12</f>
        <v>0</v>
      </c>
      <c r="P7" s="533">
        <f t="shared" ref="P7:P9" ca="1" si="7">IF(G7&gt;0,O7*100/G7,0)</f>
        <v>0</v>
      </c>
      <c r="Q7" s="532">
        <f t="shared" ref="Q7:Q9" ca="1" si="8">IF(I7&gt;0,O7*100/I7,0)</f>
        <v>0</v>
      </c>
      <c r="R7" s="534">
        <f t="shared" ref="R7:T7" ca="1" si="9">R8+R9</f>
        <v>5838100</v>
      </c>
      <c r="S7" s="534">
        <f t="shared" ca="1" si="9"/>
        <v>5838100</v>
      </c>
      <c r="T7" s="534">
        <f t="shared" ca="1" si="9"/>
        <v>891405</v>
      </c>
      <c r="U7" s="535">
        <f t="shared" ref="U7:U9" ca="1" si="10">IF(R7&gt;0,T7*100/R7,0)</f>
        <v>15.26875181994142</v>
      </c>
      <c r="V7" s="535">
        <f t="shared" ref="V7:V9" ca="1" si="11">IF(S7&gt;0,T7*100/S7,0)</f>
        <v>15.26875181994142</v>
      </c>
      <c r="W7" s="437">
        <f t="shared" ref="W7:Y7" ca="1" si="12">W8</f>
        <v>2512907</v>
      </c>
      <c r="X7" s="437">
        <f t="shared" ca="1" si="12"/>
        <v>273026</v>
      </c>
      <c r="Y7" s="212">
        <f t="shared" ca="1" si="12"/>
        <v>1047041.6979999999</v>
      </c>
      <c r="Z7" s="213">
        <f t="shared" ref="Z7:Z8" ca="1" si="13">IF(W7&gt;0,Y7*100/W7,0)</f>
        <v>41.666551846128797</v>
      </c>
      <c r="AA7" s="212">
        <f ca="1">AA8</f>
        <v>124832</v>
      </c>
      <c r="AB7" s="213">
        <f t="shared" ref="AB7:AB8" ca="1" si="14">IF(X7&gt;0,AA7*100/X7,0)</f>
        <v>45.721652882875624</v>
      </c>
      <c r="AC7" s="212">
        <f t="shared" ref="AC7:AK7" ca="1" si="15">AC8</f>
        <v>785909.46749999991</v>
      </c>
      <c r="AD7" s="212">
        <f t="shared" ca="1" si="15"/>
        <v>99394</v>
      </c>
      <c r="AE7" s="212">
        <f t="shared" ca="1" si="15"/>
        <v>206626.23550000001</v>
      </c>
      <c r="AF7" s="212">
        <f t="shared" ca="1" si="15"/>
        <v>19402</v>
      </c>
      <c r="AG7" s="212">
        <f t="shared" ca="1" si="15"/>
        <v>54505.995000000003</v>
      </c>
      <c r="AH7" s="212">
        <f t="shared" ca="1" si="15"/>
        <v>6036</v>
      </c>
      <c r="AI7" s="536">
        <f t="shared" ca="1" si="15"/>
        <v>2512907</v>
      </c>
      <c r="AJ7" s="536">
        <f t="shared" ca="1" si="15"/>
        <v>273026</v>
      </c>
      <c r="AK7" s="213">
        <f t="shared" ca="1" si="15"/>
        <v>150533.15299999982</v>
      </c>
      <c r="AL7" s="213">
        <f t="shared" ref="AL7:AL8" ca="1" si="16">IF(AI7&gt;0,AK7*100/AI7,0)</f>
        <v>5.990398888617837</v>
      </c>
      <c r="AM7" s="212">
        <f ca="1">AM8</f>
        <v>16946</v>
      </c>
      <c r="AN7" s="213">
        <f t="shared" ref="AN7:AN8" ca="1" si="17">IF(AJ7&gt;0,AM7*100/AJ7,0)</f>
        <v>6.2067348897174632</v>
      </c>
      <c r="AO7" s="212">
        <f t="shared" ref="AO7:AW7" ca="1" si="18">AO8</f>
        <v>122281.77799999999</v>
      </c>
      <c r="AP7" s="212">
        <f t="shared" ca="1" si="18"/>
        <v>14444</v>
      </c>
      <c r="AQ7" s="212">
        <f t="shared" ca="1" si="18"/>
        <v>20066.689999999999</v>
      </c>
      <c r="AR7" s="212">
        <f t="shared" ca="1" si="18"/>
        <v>1707</v>
      </c>
      <c r="AS7" s="212">
        <f t="shared" ca="1" si="18"/>
        <v>8184.6849999999995</v>
      </c>
      <c r="AT7" s="212">
        <f t="shared" ca="1" si="18"/>
        <v>795</v>
      </c>
      <c r="AU7" s="537">
        <f t="shared" ca="1" si="18"/>
        <v>2512907</v>
      </c>
      <c r="AV7" s="537">
        <f t="shared" ca="1" si="18"/>
        <v>273026</v>
      </c>
      <c r="AW7" s="538">
        <f t="shared" ca="1" si="18"/>
        <v>51965.097999999998</v>
      </c>
      <c r="AX7" s="213">
        <f t="shared" ref="AX7:AX8" ca="1" si="19">IF(AU7&gt;0,AW7*100/AU7,0)</f>
        <v>2.0679276232665993</v>
      </c>
      <c r="AY7" s="538">
        <f ca="1">AY8</f>
        <v>8764</v>
      </c>
      <c r="AZ7" s="213">
        <f t="shared" ref="AZ7:AZ8" ca="1" si="20">IF(AV7&gt;0,AY7*100/AV7,0)</f>
        <v>3.2099507006658707</v>
      </c>
      <c r="BA7" s="212">
        <f t="shared" ref="BA7:BQ7" ca="1" si="21">BA8</f>
        <v>49334.228000000003</v>
      </c>
      <c r="BB7" s="212">
        <f t="shared" ca="1" si="21"/>
        <v>8336</v>
      </c>
      <c r="BC7" s="212">
        <f t="shared" ca="1" si="21"/>
        <v>1175.47</v>
      </c>
      <c r="BD7" s="212">
        <f t="shared" ca="1" si="21"/>
        <v>206</v>
      </c>
      <c r="BE7" s="212">
        <f t="shared" ca="1" si="21"/>
        <v>1455.4</v>
      </c>
      <c r="BF7" s="212">
        <f t="shared" ca="1" si="21"/>
        <v>222</v>
      </c>
      <c r="BG7" s="212">
        <f t="shared" ca="1" si="21"/>
        <v>1437.3</v>
      </c>
      <c r="BH7" s="212">
        <f t="shared" ca="1" si="21"/>
        <v>220</v>
      </c>
      <c r="BI7" s="212">
        <f t="shared" ca="1" si="21"/>
        <v>18.100000000000001</v>
      </c>
      <c r="BJ7" s="212">
        <f t="shared" ca="1" si="21"/>
        <v>2</v>
      </c>
      <c r="BK7" s="212">
        <f t="shared" ca="1" si="21"/>
        <v>0</v>
      </c>
      <c r="BL7" s="212">
        <f t="shared" ca="1" si="21"/>
        <v>0</v>
      </c>
      <c r="BM7" s="212">
        <f t="shared" ca="1" si="21"/>
        <v>0</v>
      </c>
      <c r="BN7" s="212">
        <f t="shared" ca="1" si="21"/>
        <v>0</v>
      </c>
      <c r="BO7" s="539">
        <f t="shared" ca="1" si="21"/>
        <v>204244.08000000002</v>
      </c>
      <c r="BP7" s="539">
        <f t="shared" ca="1" si="21"/>
        <v>15990</v>
      </c>
      <c r="BQ7" s="212">
        <f t="shared" ca="1" si="21"/>
        <v>35635.039999999994</v>
      </c>
      <c r="BR7" s="213">
        <f t="shared" ref="BR7:BR8" ca="1" si="22">IF(BO7&gt;0,BQ7*100/BO7,0)</f>
        <v>17.447281703342391</v>
      </c>
      <c r="BS7" s="212">
        <f ca="1">BS8</f>
        <v>2487</v>
      </c>
      <c r="BT7" s="213">
        <f t="shared" ref="BT7:BT8" ca="1" si="23">IF(BP7&gt;0,BS7*100/BP7,0)</f>
        <v>15.553470919324578</v>
      </c>
      <c r="BU7" s="212">
        <f t="shared" ref="BU7:CJ7" ca="1" si="24">BU8</f>
        <v>33203.79</v>
      </c>
      <c r="BV7" s="212">
        <f t="shared" ca="1" si="24"/>
        <v>2346</v>
      </c>
      <c r="BW7" s="212">
        <f t="shared" ca="1" si="24"/>
        <v>21375</v>
      </c>
      <c r="BX7" s="212">
        <f t="shared" ca="1" si="24"/>
        <v>1651</v>
      </c>
      <c r="BY7" s="212">
        <f t="shared" ca="1" si="24"/>
        <v>11828.79</v>
      </c>
      <c r="BZ7" s="212">
        <f t="shared" ca="1" si="24"/>
        <v>695</v>
      </c>
      <c r="CA7" s="212">
        <f t="shared" ca="1" si="24"/>
        <v>3126</v>
      </c>
      <c r="CB7" s="212">
        <f t="shared" ca="1" si="24"/>
        <v>73</v>
      </c>
      <c r="CC7" s="212">
        <f t="shared" ca="1" si="24"/>
        <v>2189.25</v>
      </c>
      <c r="CD7" s="212">
        <f t="shared" ca="1" si="24"/>
        <v>121</v>
      </c>
      <c r="CE7" s="212">
        <f t="shared" ca="1" si="24"/>
        <v>1122.4100000000001</v>
      </c>
      <c r="CF7" s="212">
        <f t="shared" ca="1" si="24"/>
        <v>77</v>
      </c>
      <c r="CG7" s="212">
        <f t="shared" ca="1" si="24"/>
        <v>1066.8400000000001</v>
      </c>
      <c r="CH7" s="212">
        <f t="shared" ca="1" si="24"/>
        <v>44</v>
      </c>
      <c r="CI7" s="212">
        <f t="shared" ca="1" si="24"/>
        <v>242</v>
      </c>
      <c r="CJ7" s="212">
        <f t="shared" ca="1" si="24"/>
        <v>20</v>
      </c>
      <c r="CK7" s="540">
        <f t="shared" ref="CK7:CM7" ca="1" si="25">CK9</f>
        <v>2500000</v>
      </c>
      <c r="CL7" s="540">
        <f t="shared" ca="1" si="25"/>
        <v>0</v>
      </c>
      <c r="CM7" s="212">
        <f t="shared" ca="1" si="25"/>
        <v>2085952</v>
      </c>
      <c r="CN7" s="213">
        <f t="shared" ref="CN7:CN9" ca="1" si="26">IF(CK7&gt;0,CM7*100/CK7,0)</f>
        <v>83.438079999999999</v>
      </c>
      <c r="CO7" s="212">
        <f ca="1">CO9</f>
        <v>235956</v>
      </c>
      <c r="CP7" s="213">
        <f t="shared" ref="CP7:CP9" ca="1" si="27">IF(CL7&gt;0,CO7*100/CL7,0)</f>
        <v>0</v>
      </c>
      <c r="CQ7" s="212">
        <f t="shared" ref="CQ7:CT7" ca="1" si="28">CQ9</f>
        <v>2079252</v>
      </c>
      <c r="CR7" s="212">
        <f t="shared" ca="1" si="28"/>
        <v>235455</v>
      </c>
      <c r="CS7" s="212">
        <f t="shared" ca="1" si="28"/>
        <v>6700</v>
      </c>
      <c r="CT7" s="212">
        <f t="shared" ca="1" si="28"/>
        <v>501</v>
      </c>
      <c r="CU7" s="540">
        <f t="shared" ref="CU7:CW7" ca="1" si="29">CU8</f>
        <v>6700</v>
      </c>
      <c r="CV7" s="540">
        <f t="shared" ca="1" si="29"/>
        <v>501</v>
      </c>
      <c r="CW7" s="212">
        <f t="shared" ca="1" si="29"/>
        <v>322.87</v>
      </c>
      <c r="CX7" s="213">
        <f t="shared" ref="CX7:CX8" ca="1" si="30">IF(CU7&gt;0,CW7*100/CU7,0)</f>
        <v>4.8189552238805966</v>
      </c>
      <c r="CY7" s="212">
        <f ca="1">CY8</f>
        <v>36</v>
      </c>
      <c r="CZ7" s="213">
        <f t="shared" ref="CZ7:CZ8" ca="1" si="31">IF(CV7&gt;0,CY7*100/CV7,0)</f>
        <v>7.1856287425149699</v>
      </c>
      <c r="DA7" s="212">
        <f t="shared" ref="DA7:DF7" ca="1" si="32">DA8</f>
        <v>26.87</v>
      </c>
      <c r="DB7" s="212">
        <f t="shared" ca="1" si="32"/>
        <v>6</v>
      </c>
      <c r="DC7" s="212">
        <f t="shared" ca="1" si="32"/>
        <v>126</v>
      </c>
      <c r="DD7" s="212">
        <f t="shared" ca="1" si="32"/>
        <v>25</v>
      </c>
      <c r="DE7" s="212">
        <f t="shared" ca="1" si="32"/>
        <v>170</v>
      </c>
      <c r="DF7" s="212">
        <f t="shared" ca="1" si="32"/>
        <v>5</v>
      </c>
    </row>
    <row r="8" spans="1:110" ht="19.5" x14ac:dyDescent="0.3">
      <c r="A8" s="134" t="s">
        <v>39</v>
      </c>
      <c r="B8" s="135"/>
      <c r="C8" s="303">
        <f t="shared" ca="1" si="0"/>
        <v>20482630</v>
      </c>
      <c r="D8" s="303">
        <f t="shared" ref="D8:I8" ca="1" si="33">+D13+D31+D52+D74</f>
        <v>20482630</v>
      </c>
      <c r="E8" s="303">
        <f t="shared" ca="1" si="33"/>
        <v>6738000</v>
      </c>
      <c r="F8" s="303">
        <f t="shared" ca="1" si="33"/>
        <v>13744630</v>
      </c>
      <c r="G8" s="303">
        <f t="shared" ca="1" si="33"/>
        <v>0</v>
      </c>
      <c r="H8" s="303">
        <f t="shared" ca="1" si="33"/>
        <v>22136623</v>
      </c>
      <c r="I8" s="303">
        <f t="shared" ca="1" si="33"/>
        <v>0</v>
      </c>
      <c r="J8" s="303">
        <f t="shared" ca="1" si="3"/>
        <v>10749131.139999999</v>
      </c>
      <c r="K8" s="541">
        <f t="shared" ca="1" si="4"/>
        <v>52.479252615508834</v>
      </c>
      <c r="L8" s="303">
        <f ca="1">+L13+L31+L52+L74</f>
        <v>10749131.139999999</v>
      </c>
      <c r="M8" s="304">
        <f t="shared" ca="1" si="5"/>
        <v>52.479252615508834</v>
      </c>
      <c r="N8" s="304">
        <f t="shared" ca="1" si="6"/>
        <v>48.558134364035553</v>
      </c>
      <c r="O8" s="542">
        <f ca="1">+O13+O31+O52+O74</f>
        <v>0</v>
      </c>
      <c r="P8" s="542">
        <f t="shared" ca="1" si="7"/>
        <v>0</v>
      </c>
      <c r="Q8" s="304">
        <f t="shared" ca="1" si="8"/>
        <v>0</v>
      </c>
      <c r="R8" s="543">
        <f t="shared" ref="R8:T8" ca="1" si="34">+R13+R31+R52+R74</f>
        <v>3587440</v>
      </c>
      <c r="S8" s="543">
        <f t="shared" ca="1" si="34"/>
        <v>3587440</v>
      </c>
      <c r="T8" s="543">
        <f t="shared" ca="1" si="34"/>
        <v>710794</v>
      </c>
      <c r="U8" s="544">
        <f t="shared" ca="1" si="10"/>
        <v>19.813404544744998</v>
      </c>
      <c r="V8" s="544">
        <f t="shared" ca="1" si="11"/>
        <v>19.813404544744998</v>
      </c>
      <c r="W8" s="276">
        <f t="shared" ref="W8:Y8" ca="1" si="35">+W13+W31+W52+W74</f>
        <v>2512907</v>
      </c>
      <c r="X8" s="276">
        <f t="shared" ca="1" si="35"/>
        <v>273026</v>
      </c>
      <c r="Y8" s="276">
        <f t="shared" ca="1" si="35"/>
        <v>1047041.6979999999</v>
      </c>
      <c r="Z8" s="37">
        <f t="shared" ca="1" si="13"/>
        <v>41.666551846128797</v>
      </c>
      <c r="AA8" s="276">
        <f ca="1">+AA13+AA31+AA52+AA74</f>
        <v>124832</v>
      </c>
      <c r="AB8" s="37">
        <f t="shared" ca="1" si="14"/>
        <v>45.721652882875624</v>
      </c>
      <c r="AC8" s="276">
        <f t="shared" ref="AC8:AK8" ca="1" si="36">+AC13+AC31+AC52+AC74</f>
        <v>785909.46749999991</v>
      </c>
      <c r="AD8" s="276">
        <f t="shared" ca="1" si="36"/>
        <v>99394</v>
      </c>
      <c r="AE8" s="276">
        <f t="shared" ca="1" si="36"/>
        <v>206626.23550000001</v>
      </c>
      <c r="AF8" s="276">
        <f t="shared" ca="1" si="36"/>
        <v>19402</v>
      </c>
      <c r="AG8" s="276">
        <f t="shared" ca="1" si="36"/>
        <v>54505.995000000003</v>
      </c>
      <c r="AH8" s="276">
        <f t="shared" ca="1" si="36"/>
        <v>6036</v>
      </c>
      <c r="AI8" s="136">
        <f t="shared" ca="1" si="36"/>
        <v>2512907</v>
      </c>
      <c r="AJ8" s="136">
        <f t="shared" ca="1" si="36"/>
        <v>273026</v>
      </c>
      <c r="AK8" s="37">
        <f t="shared" ca="1" si="36"/>
        <v>150533.15299999982</v>
      </c>
      <c r="AL8" s="37">
        <f t="shared" ca="1" si="16"/>
        <v>5.990398888617837</v>
      </c>
      <c r="AM8" s="136">
        <f ca="1">+AM13+AM31+AM52+AM74</f>
        <v>16946</v>
      </c>
      <c r="AN8" s="37">
        <f t="shared" ca="1" si="17"/>
        <v>6.2067348897174632</v>
      </c>
      <c r="AO8" s="136">
        <f t="shared" ref="AO8:AW8" ca="1" si="37">+AO13+AO31+AO52+AO74</f>
        <v>122281.77799999999</v>
      </c>
      <c r="AP8" s="136">
        <f t="shared" ca="1" si="37"/>
        <v>14444</v>
      </c>
      <c r="AQ8" s="136">
        <f t="shared" ca="1" si="37"/>
        <v>20066.689999999999</v>
      </c>
      <c r="AR8" s="136">
        <f t="shared" ca="1" si="37"/>
        <v>1707</v>
      </c>
      <c r="AS8" s="136">
        <f t="shared" ca="1" si="37"/>
        <v>8184.6849999999995</v>
      </c>
      <c r="AT8" s="136">
        <f t="shared" ca="1" si="37"/>
        <v>795</v>
      </c>
      <c r="AU8" s="136">
        <f t="shared" ca="1" si="37"/>
        <v>2512907</v>
      </c>
      <c r="AV8" s="136">
        <f t="shared" ca="1" si="37"/>
        <v>273026</v>
      </c>
      <c r="AW8" s="136">
        <f t="shared" ca="1" si="37"/>
        <v>51965.097999999998</v>
      </c>
      <c r="AX8" s="37">
        <f t="shared" ca="1" si="19"/>
        <v>2.0679276232665993</v>
      </c>
      <c r="AY8" s="136">
        <f ca="1">+AY13+AY31+AY52+AY74</f>
        <v>8764</v>
      </c>
      <c r="AZ8" s="37">
        <f t="shared" ca="1" si="20"/>
        <v>3.2099507006658707</v>
      </c>
      <c r="BA8" s="136">
        <f t="shared" ref="BA8:BQ8" ca="1" si="38">+BA13+BA31+BA52+BA74</f>
        <v>49334.228000000003</v>
      </c>
      <c r="BB8" s="136">
        <f t="shared" ca="1" si="38"/>
        <v>8336</v>
      </c>
      <c r="BC8" s="136">
        <f t="shared" ca="1" si="38"/>
        <v>1175.47</v>
      </c>
      <c r="BD8" s="136">
        <f t="shared" ca="1" si="38"/>
        <v>206</v>
      </c>
      <c r="BE8" s="136">
        <f t="shared" ca="1" si="38"/>
        <v>1455.4</v>
      </c>
      <c r="BF8" s="136">
        <f t="shared" ca="1" si="38"/>
        <v>222</v>
      </c>
      <c r="BG8" s="136">
        <f t="shared" ca="1" si="38"/>
        <v>1437.3</v>
      </c>
      <c r="BH8" s="136">
        <f t="shared" ca="1" si="38"/>
        <v>220</v>
      </c>
      <c r="BI8" s="136">
        <f t="shared" ca="1" si="38"/>
        <v>18.100000000000001</v>
      </c>
      <c r="BJ8" s="136">
        <f t="shared" ca="1" si="38"/>
        <v>2</v>
      </c>
      <c r="BK8" s="136">
        <f t="shared" ca="1" si="38"/>
        <v>0</v>
      </c>
      <c r="BL8" s="136">
        <f t="shared" ca="1" si="38"/>
        <v>0</v>
      </c>
      <c r="BM8" s="136">
        <f t="shared" ca="1" si="38"/>
        <v>0</v>
      </c>
      <c r="BN8" s="136">
        <f t="shared" ca="1" si="38"/>
        <v>0</v>
      </c>
      <c r="BO8" s="136">
        <f t="shared" ca="1" si="38"/>
        <v>204244.08000000002</v>
      </c>
      <c r="BP8" s="136">
        <f t="shared" ca="1" si="38"/>
        <v>15990</v>
      </c>
      <c r="BQ8" s="136">
        <f t="shared" ca="1" si="38"/>
        <v>35635.039999999994</v>
      </c>
      <c r="BR8" s="37">
        <f t="shared" ca="1" si="22"/>
        <v>17.447281703342391</v>
      </c>
      <c r="BS8" s="136">
        <f ca="1">+BS13+BS31+BS52+BS74</f>
        <v>2487</v>
      </c>
      <c r="BT8" s="37">
        <f t="shared" ca="1" si="23"/>
        <v>15.553470919324578</v>
      </c>
      <c r="BU8" s="136">
        <f t="shared" ref="BU8:CM8" ca="1" si="39">+BU13+BU31+BU52+BU74</f>
        <v>33203.79</v>
      </c>
      <c r="BV8" s="136">
        <f t="shared" ca="1" si="39"/>
        <v>2346</v>
      </c>
      <c r="BW8" s="136">
        <f t="shared" ca="1" si="39"/>
        <v>21375</v>
      </c>
      <c r="BX8" s="136">
        <f t="shared" ca="1" si="39"/>
        <v>1651</v>
      </c>
      <c r="BY8" s="136">
        <f t="shared" ca="1" si="39"/>
        <v>11828.79</v>
      </c>
      <c r="BZ8" s="136">
        <f t="shared" ca="1" si="39"/>
        <v>695</v>
      </c>
      <c r="CA8" s="136">
        <f t="shared" ca="1" si="39"/>
        <v>3126</v>
      </c>
      <c r="CB8" s="136">
        <f t="shared" ca="1" si="39"/>
        <v>73</v>
      </c>
      <c r="CC8" s="136">
        <f t="shared" ca="1" si="39"/>
        <v>2189.25</v>
      </c>
      <c r="CD8" s="136">
        <f t="shared" ca="1" si="39"/>
        <v>121</v>
      </c>
      <c r="CE8" s="136">
        <f t="shared" ca="1" si="39"/>
        <v>1122.4100000000001</v>
      </c>
      <c r="CF8" s="136">
        <f t="shared" ca="1" si="39"/>
        <v>77</v>
      </c>
      <c r="CG8" s="136">
        <f t="shared" ca="1" si="39"/>
        <v>1066.8400000000001</v>
      </c>
      <c r="CH8" s="136">
        <f t="shared" ca="1" si="39"/>
        <v>44</v>
      </c>
      <c r="CI8" s="136">
        <f t="shared" ca="1" si="39"/>
        <v>242</v>
      </c>
      <c r="CJ8" s="136">
        <f t="shared" ca="1" si="39"/>
        <v>20</v>
      </c>
      <c r="CK8" s="136">
        <f t="shared" ca="1" si="39"/>
        <v>0</v>
      </c>
      <c r="CL8" s="136">
        <f t="shared" ca="1" si="39"/>
        <v>0</v>
      </c>
      <c r="CM8" s="136">
        <f t="shared" ca="1" si="39"/>
        <v>0</v>
      </c>
      <c r="CN8" s="37">
        <f t="shared" ca="1" si="26"/>
        <v>0</v>
      </c>
      <c r="CO8" s="136">
        <f ca="1">+CO13+CO31+CO52+CO74</f>
        <v>0</v>
      </c>
      <c r="CP8" s="37">
        <f t="shared" ca="1" si="27"/>
        <v>0</v>
      </c>
      <c r="CQ8" s="136">
        <f t="shared" ref="CQ8:CW8" ca="1" si="40">+CQ13+CQ31+CQ52+CQ74</f>
        <v>0</v>
      </c>
      <c r="CR8" s="136">
        <f t="shared" ca="1" si="40"/>
        <v>0</v>
      </c>
      <c r="CS8" s="136">
        <f t="shared" ca="1" si="40"/>
        <v>0</v>
      </c>
      <c r="CT8" s="136">
        <f t="shared" ca="1" si="40"/>
        <v>0</v>
      </c>
      <c r="CU8" s="136">
        <f t="shared" ca="1" si="40"/>
        <v>6700</v>
      </c>
      <c r="CV8" s="136">
        <f t="shared" ca="1" si="40"/>
        <v>501</v>
      </c>
      <c r="CW8" s="136">
        <f t="shared" ca="1" si="40"/>
        <v>322.87</v>
      </c>
      <c r="CX8" s="37">
        <f t="shared" ca="1" si="30"/>
        <v>4.8189552238805966</v>
      </c>
      <c r="CY8" s="136">
        <f ca="1">+CY13+CY31+CY52+CY74</f>
        <v>36</v>
      </c>
      <c r="CZ8" s="37">
        <f t="shared" ca="1" si="31"/>
        <v>7.1856287425149699</v>
      </c>
      <c r="DA8" s="136">
        <f t="shared" ref="DA8:DF8" ca="1" si="41">+DA13+DA31+DA52+DA74</f>
        <v>26.87</v>
      </c>
      <c r="DB8" s="136">
        <f t="shared" ca="1" si="41"/>
        <v>6</v>
      </c>
      <c r="DC8" s="136">
        <f t="shared" ca="1" si="41"/>
        <v>126</v>
      </c>
      <c r="DD8" s="136">
        <f t="shared" ca="1" si="41"/>
        <v>25</v>
      </c>
      <c r="DE8" s="136">
        <f t="shared" ca="1" si="41"/>
        <v>170</v>
      </c>
      <c r="DF8" s="136">
        <f t="shared" ca="1" si="41"/>
        <v>5</v>
      </c>
    </row>
    <row r="9" spans="1:110" ht="19.5" x14ac:dyDescent="0.3">
      <c r="A9" s="245" t="s">
        <v>40</v>
      </c>
      <c r="B9" s="138"/>
      <c r="C9" s="305">
        <f t="shared" ca="1" si="0"/>
        <v>12415470</v>
      </c>
      <c r="D9" s="305">
        <f t="shared" ref="D9:I9" ca="1" si="42">+D89</f>
        <v>12415470</v>
      </c>
      <c r="E9" s="305">
        <f t="shared" ca="1" si="42"/>
        <v>8066100</v>
      </c>
      <c r="F9" s="305">
        <f t="shared" ca="1" si="42"/>
        <v>4349370</v>
      </c>
      <c r="G9" s="305">
        <f t="shared" ca="1" si="42"/>
        <v>0</v>
      </c>
      <c r="H9" s="305">
        <f t="shared" ca="1" si="42"/>
        <v>10761477</v>
      </c>
      <c r="I9" s="305">
        <f t="shared" ca="1" si="42"/>
        <v>0</v>
      </c>
      <c r="J9" s="305">
        <f t="shared" ca="1" si="3"/>
        <v>4103747.0300000003</v>
      </c>
      <c r="K9" s="545">
        <f t="shared" ca="1" si="4"/>
        <v>33.053497209529723</v>
      </c>
      <c r="L9" s="305">
        <f ca="1">+L89</f>
        <v>4103747.0300000003</v>
      </c>
      <c r="M9" s="306">
        <f t="shared" ca="1" si="5"/>
        <v>33.053497209529723</v>
      </c>
      <c r="N9" s="306">
        <f t="shared" ca="1" si="6"/>
        <v>38.133678397491352</v>
      </c>
      <c r="O9" s="546">
        <f ca="1">+O89</f>
        <v>0</v>
      </c>
      <c r="P9" s="546">
        <f t="shared" ca="1" si="7"/>
        <v>0</v>
      </c>
      <c r="Q9" s="306">
        <f t="shared" ca="1" si="8"/>
        <v>0</v>
      </c>
      <c r="R9" s="547">
        <f t="shared" ref="R9:T9" ca="1" si="43">+R89</f>
        <v>2250660</v>
      </c>
      <c r="S9" s="547">
        <f t="shared" ca="1" si="43"/>
        <v>2250660</v>
      </c>
      <c r="T9" s="547">
        <f t="shared" ca="1" si="43"/>
        <v>180611</v>
      </c>
      <c r="U9" s="548">
        <f t="shared" ca="1" si="10"/>
        <v>8.0248016137488563</v>
      </c>
      <c r="V9" s="548">
        <f t="shared" ca="1" si="11"/>
        <v>8.0248016137488563</v>
      </c>
      <c r="W9" s="549"/>
      <c r="X9" s="549"/>
      <c r="Y9" s="549"/>
      <c r="Z9" s="550"/>
      <c r="AA9" s="549"/>
      <c r="AB9" s="44"/>
      <c r="AC9" s="549"/>
      <c r="AD9" s="549"/>
      <c r="AE9" s="549"/>
      <c r="AF9" s="549"/>
      <c r="AG9" s="549"/>
      <c r="AH9" s="549"/>
      <c r="AI9" s="246"/>
      <c r="AJ9" s="246"/>
      <c r="AK9" s="247"/>
      <c r="AL9" s="247"/>
      <c r="AM9" s="246"/>
      <c r="AN9" s="44"/>
      <c r="AO9" s="246"/>
      <c r="AP9" s="246"/>
      <c r="AQ9" s="246"/>
      <c r="AR9" s="246"/>
      <c r="AS9" s="246"/>
      <c r="AT9" s="246"/>
      <c r="AU9" s="246"/>
      <c r="AV9" s="246"/>
      <c r="AW9" s="246"/>
      <c r="AX9" s="247"/>
      <c r="AY9" s="246"/>
      <c r="AZ9" s="44"/>
      <c r="BA9" s="246"/>
      <c r="BB9" s="246"/>
      <c r="BC9" s="246"/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7"/>
      <c r="BS9" s="246"/>
      <c r="BT9" s="44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6"/>
      <c r="CI9" s="246"/>
      <c r="CJ9" s="246"/>
      <c r="CK9" s="248">
        <f ca="1">IFERROR(__xludf.DUMMYFUNCTION("IMPORTRANGE(""https://docs.google.com/spreadsheets/d/1W-HhGofCdyidljablT5AVQ143BAUWsE-bKbHVeok6Og/edit?usp=sharing"",""ทั้งประเทศ!I476"")"),2500000)</f>
        <v>2500000</v>
      </c>
      <c r="CL9" s="248">
        <f ca="1">IFERROR(__xludf.DUMMYFUNCTION("IMPORTRANGE(""https://docs.google.com/spreadsheets/d/1W-HhGofCdyidljablT5AVQ143BAUWsE-bKbHVeok6Og/edit?usp=sharing"",""ทั้งประเทศ!I477"")"),0)</f>
        <v>0</v>
      </c>
      <c r="CM9" s="248">
        <f ca="1">IFERROR(__xludf.DUMMYFUNCTION("IMPORTRANGE(""https://docs.google.com/spreadsheets/d/1W-HhGofCdyidljablT5AVQ143BAUWsE-bKbHVeok6Og/edit?usp=sharing"",""ทั้งประเทศ!J476"")"),2085952)</f>
        <v>2085952</v>
      </c>
      <c r="CN9" s="470">
        <f t="shared" ca="1" si="26"/>
        <v>83.438079999999999</v>
      </c>
      <c r="CO9" s="248">
        <f ca="1">IFERROR(__xludf.DUMMYFUNCTION("IMPORTRANGE(""https://docs.google.com/spreadsheets/d/1W-HhGofCdyidljablT5AVQ143BAUWsE-bKbHVeok6Og/edit?usp=sharing"",""ทั้งประเทศ!J477"")"),235956)</f>
        <v>235956</v>
      </c>
      <c r="CP9" s="44">
        <f t="shared" ca="1" si="27"/>
        <v>0</v>
      </c>
      <c r="CQ9" s="248">
        <f ca="1">IFERROR(__xludf.DUMMYFUNCTION("IMPORTRANGE(""https://docs.google.com/spreadsheets/d/1W-HhGofCdyidljablT5AVQ143BAUWsE-bKbHVeok6Og/edit?usp=sharing"",""ทั้งประเทศ!J478"")"),2079252)</f>
        <v>2079252</v>
      </c>
      <c r="CR9" s="248">
        <f ca="1">IFERROR(__xludf.DUMMYFUNCTION("IMPORTRANGE(""https://docs.google.com/spreadsheets/d/1W-HhGofCdyidljablT5AVQ143BAUWsE-bKbHVeok6Og/edit?usp=sharing"",""ทั้งประเทศ!J479"")"),235455)</f>
        <v>235455</v>
      </c>
      <c r="CS9" s="248">
        <f ca="1">IFERROR(__xludf.DUMMYFUNCTION("IMPORTRANGE(""https://docs.google.com/spreadsheets/d/1W-HhGofCdyidljablT5AVQ143BAUWsE-bKbHVeok6Og/edit?usp=sharing"",""ทั้งประเทศ!J480"")"),6700)</f>
        <v>6700</v>
      </c>
      <c r="CT9" s="248">
        <f ca="1">IFERROR(__xludf.DUMMYFUNCTION("IMPORTRANGE(""https://docs.google.com/spreadsheets/d/1W-HhGofCdyidljablT5AVQ143BAUWsE-bKbHVeok6Og/edit?usp=sharing"",""ทั้งประเทศ!J481"")"),501)</f>
        <v>501</v>
      </c>
      <c r="CU9" s="246"/>
      <c r="CV9" s="246"/>
      <c r="CW9" s="246"/>
      <c r="CX9" s="247"/>
      <c r="CY9" s="246"/>
      <c r="CZ9" s="551"/>
      <c r="DA9" s="246"/>
      <c r="DB9" s="246"/>
      <c r="DC9" s="246"/>
      <c r="DD9" s="246"/>
      <c r="DE9" s="246"/>
      <c r="DF9" s="246"/>
    </row>
    <row r="10" spans="1:110" ht="19.5" hidden="1" x14ac:dyDescent="0.3">
      <c r="A10" s="142"/>
      <c r="B10" s="142"/>
      <c r="C10" s="307"/>
      <c r="D10" s="307"/>
      <c r="E10" s="307"/>
      <c r="F10" s="307"/>
      <c r="G10" s="307"/>
      <c r="H10" s="307"/>
      <c r="I10" s="307"/>
      <c r="J10" s="307"/>
      <c r="K10" s="552"/>
      <c r="L10" s="307"/>
      <c r="M10" s="308"/>
      <c r="N10" s="308"/>
      <c r="O10" s="553"/>
      <c r="P10" s="553"/>
      <c r="Q10" s="308"/>
      <c r="R10" s="554"/>
      <c r="S10" s="554"/>
      <c r="T10" s="554"/>
      <c r="U10" s="555"/>
      <c r="V10" s="555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</row>
    <row r="11" spans="1:110" ht="19.5" hidden="1" x14ac:dyDescent="0.3">
      <c r="A11" s="142"/>
      <c r="B11" s="142"/>
      <c r="C11" s="307"/>
      <c r="D11" s="307"/>
      <c r="E11" s="307"/>
      <c r="F11" s="307"/>
      <c r="G11" s="307"/>
      <c r="H11" s="307"/>
      <c r="I11" s="307"/>
      <c r="J11" s="307"/>
      <c r="K11" s="552"/>
      <c r="L11" s="307"/>
      <c r="M11" s="308"/>
      <c r="N11" s="308"/>
      <c r="O11" s="553"/>
      <c r="P11" s="553"/>
      <c r="Q11" s="308"/>
      <c r="R11" s="554"/>
      <c r="S11" s="554"/>
      <c r="T11" s="554"/>
      <c r="U11" s="555"/>
      <c r="V11" s="555"/>
      <c r="W11" s="214"/>
      <c r="X11" s="214"/>
      <c r="Y11" s="214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</row>
    <row r="12" spans="1:110" ht="19.5" hidden="1" x14ac:dyDescent="0.3">
      <c r="A12" s="142"/>
      <c r="B12" s="142"/>
      <c r="C12" s="307"/>
      <c r="D12" s="307"/>
      <c r="E12" s="307"/>
      <c r="F12" s="307"/>
      <c r="G12" s="307"/>
      <c r="H12" s="307"/>
      <c r="I12" s="307"/>
      <c r="J12" s="307"/>
      <c r="K12" s="552"/>
      <c r="L12" s="307"/>
      <c r="M12" s="308"/>
      <c r="N12" s="308"/>
      <c r="O12" s="553"/>
      <c r="P12" s="553"/>
      <c r="Q12" s="308"/>
      <c r="R12" s="554"/>
      <c r="S12" s="554"/>
      <c r="T12" s="554"/>
      <c r="U12" s="555"/>
      <c r="V12" s="555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214"/>
      <c r="CL12" s="214"/>
      <c r="CM12" s="214"/>
      <c r="CN12" s="143"/>
      <c r="CO12" s="214"/>
      <c r="CP12" s="143"/>
      <c r="CQ12" s="214"/>
      <c r="CR12" s="214"/>
      <c r="CS12" s="214"/>
      <c r="CT12" s="214"/>
      <c r="CU12" s="214"/>
      <c r="CV12" s="214"/>
      <c r="CW12" s="214"/>
      <c r="CX12" s="143"/>
      <c r="CY12" s="214"/>
      <c r="CZ12" s="143"/>
      <c r="DA12" s="214"/>
      <c r="DB12" s="214"/>
      <c r="DC12" s="214"/>
      <c r="DD12" s="214"/>
      <c r="DE12" s="214"/>
      <c r="DF12" s="214"/>
    </row>
    <row r="13" spans="1:110" ht="19.5" x14ac:dyDescent="0.3">
      <c r="A13" s="695" t="s">
        <v>41</v>
      </c>
      <c r="B13" s="647"/>
      <c r="C13" s="309">
        <f t="shared" ref="C13:C88" ca="1" si="44">D13+G13</f>
        <v>6553650</v>
      </c>
      <c r="D13" s="309">
        <f t="shared" ref="D13:I13" ca="1" si="45">SUM(D14:D30)</f>
        <v>6553650</v>
      </c>
      <c r="E13" s="309">
        <f t="shared" ca="1" si="45"/>
        <v>2576500</v>
      </c>
      <c r="F13" s="309">
        <f t="shared" ca="1" si="45"/>
        <v>3977150</v>
      </c>
      <c r="G13" s="309">
        <f t="shared" ca="1" si="45"/>
        <v>0</v>
      </c>
      <c r="H13" s="309">
        <f t="shared" ca="1" si="45"/>
        <v>6640350</v>
      </c>
      <c r="I13" s="309">
        <f t="shared" ca="1" si="45"/>
        <v>0</v>
      </c>
      <c r="J13" s="309">
        <f t="shared" ref="J13:J88" ca="1" si="46">L13+O13</f>
        <v>2635099.2100000004</v>
      </c>
      <c r="K13" s="556">
        <f t="shared" ref="K13:K88" ca="1" si="47">IF(C13&gt;0,J13*100/C13,0)</f>
        <v>40.208116240568238</v>
      </c>
      <c r="L13" s="309">
        <f ca="1">SUM(L14:L30)</f>
        <v>2635099.2100000004</v>
      </c>
      <c r="M13" s="310">
        <f t="shared" ref="M13:M88" ca="1" si="48">IF(D13&gt;0,L13*100/D13,0)</f>
        <v>40.208116240568238</v>
      </c>
      <c r="N13" s="310">
        <f t="shared" ref="N13:N88" ca="1" si="49">IF(H13&gt;0,L13*100/H13,0)</f>
        <v>39.683137334628448</v>
      </c>
      <c r="O13" s="557">
        <f ca="1">SUM(O14:O30)</f>
        <v>0</v>
      </c>
      <c r="P13" s="557">
        <f t="shared" ref="P13:P88" ca="1" si="50">IF(G13&gt;0,O13*100/G13,0)</f>
        <v>0</v>
      </c>
      <c r="Q13" s="310">
        <f t="shared" ref="Q13:Q88" ca="1" si="51">IF(I13&gt;0,O13*100/I13,0)</f>
        <v>0</v>
      </c>
      <c r="R13" s="558">
        <f t="shared" ref="R13:T13" ca="1" si="52">SUM(R14:R30)</f>
        <v>1058490</v>
      </c>
      <c r="S13" s="558">
        <f t="shared" ca="1" si="52"/>
        <v>1058490</v>
      </c>
      <c r="T13" s="558">
        <f t="shared" ca="1" si="52"/>
        <v>369712</v>
      </c>
      <c r="U13" s="559">
        <f t="shared" ref="U13:U108" ca="1" si="53">IF(R13&gt;0,T13*100/R13,0)</f>
        <v>34.928246842199741</v>
      </c>
      <c r="V13" s="559">
        <f t="shared" ref="V13:V108" ca="1" si="54">IF(S13&gt;0,T13*100/S13,0)</f>
        <v>34.928246842199741</v>
      </c>
      <c r="W13" s="277">
        <f t="shared" ref="W13:Y13" ca="1" si="55">SUM(W14:W30)</f>
        <v>751126</v>
      </c>
      <c r="X13" s="277">
        <f t="shared" ca="1" si="55"/>
        <v>78655</v>
      </c>
      <c r="Y13" s="277">
        <f t="shared" ca="1" si="55"/>
        <v>319917.03799999983</v>
      </c>
      <c r="Z13" s="57">
        <f t="shared" ref="Z13:Z88" ca="1" si="56">IF(W13&gt;0,Y13*100/W13,0)</f>
        <v>42.591660786605686</v>
      </c>
      <c r="AA13" s="277">
        <f ca="1">SUM(AA14:AA30)</f>
        <v>44042</v>
      </c>
      <c r="AB13" s="57">
        <f t="shared" ref="AB13:AB88" ca="1" si="57">IF(X13&gt;0,AA13*100/X13,0)</f>
        <v>55.993897400038144</v>
      </c>
      <c r="AC13" s="277">
        <f t="shared" ref="AC13:AK13" ca="1" si="58">SUM(AC14:AC30)</f>
        <v>225928.41749999998</v>
      </c>
      <c r="AD13" s="277">
        <f t="shared" ca="1" si="58"/>
        <v>34424</v>
      </c>
      <c r="AE13" s="277">
        <f t="shared" ca="1" si="58"/>
        <v>77207.635500000004</v>
      </c>
      <c r="AF13" s="277">
        <f t="shared" ca="1" si="58"/>
        <v>7430</v>
      </c>
      <c r="AG13" s="277">
        <f t="shared" ca="1" si="58"/>
        <v>16780.985000000001</v>
      </c>
      <c r="AH13" s="277">
        <f t="shared" ca="1" si="58"/>
        <v>2188</v>
      </c>
      <c r="AI13" s="145">
        <f t="shared" ca="1" si="58"/>
        <v>751126</v>
      </c>
      <c r="AJ13" s="145">
        <f t="shared" ca="1" si="58"/>
        <v>78655</v>
      </c>
      <c r="AK13" s="57">
        <f t="shared" ca="1" si="58"/>
        <v>36069.152999999802</v>
      </c>
      <c r="AL13" s="57">
        <f t="shared" ref="AL13:AL88" ca="1" si="59">IF(AI13&gt;0,AK13*100/AI13,0)</f>
        <v>4.8020109808473945</v>
      </c>
      <c r="AM13" s="145">
        <f ca="1">SUM(AM14:AM30)</f>
        <v>6937</v>
      </c>
      <c r="AN13" s="57">
        <f t="shared" ref="AN13:AN88" ca="1" si="60">IF(AJ13&gt;0,AM13*100/AJ13,0)</f>
        <v>8.8195283198779482</v>
      </c>
      <c r="AO13" s="145">
        <f t="shared" ref="AO13:AW13" ca="1" si="61">SUM(AO14:AO30)</f>
        <v>32717.777999999998</v>
      </c>
      <c r="AP13" s="145">
        <f t="shared" ca="1" si="61"/>
        <v>6371</v>
      </c>
      <c r="AQ13" s="145">
        <f t="shared" ca="1" si="61"/>
        <v>1886.69</v>
      </c>
      <c r="AR13" s="145">
        <f t="shared" ca="1" si="61"/>
        <v>326</v>
      </c>
      <c r="AS13" s="145">
        <f t="shared" ca="1" si="61"/>
        <v>1464.6849999999999</v>
      </c>
      <c r="AT13" s="145">
        <f t="shared" ca="1" si="61"/>
        <v>240</v>
      </c>
      <c r="AU13" s="145">
        <f t="shared" ca="1" si="61"/>
        <v>751126</v>
      </c>
      <c r="AV13" s="145">
        <f t="shared" ca="1" si="61"/>
        <v>78655</v>
      </c>
      <c r="AW13" s="145">
        <f t="shared" ca="1" si="61"/>
        <v>33773.097999999998</v>
      </c>
      <c r="AX13" s="57">
        <f t="shared" ref="AX13:AX88" ca="1" si="62">IF(AU13&gt;0,AW13*100/AU13,0)</f>
        <v>4.4963292443611325</v>
      </c>
      <c r="AY13" s="145">
        <f ca="1">SUM(AY14:AY30)</f>
        <v>6487</v>
      </c>
      <c r="AZ13" s="57">
        <f t="shared" ref="AZ13:AZ88" ca="1" si="63">IF(AV13&gt;0,AY13*100/AV13,0)</f>
        <v>8.247409573453691</v>
      </c>
      <c r="BA13" s="145">
        <f t="shared" ref="BA13:BQ13" ca="1" si="64">SUM(BA14:BA30)</f>
        <v>32197.227999999999</v>
      </c>
      <c r="BB13" s="145">
        <f t="shared" ca="1" si="64"/>
        <v>6319</v>
      </c>
      <c r="BC13" s="145">
        <f t="shared" ca="1" si="64"/>
        <v>709.47</v>
      </c>
      <c r="BD13" s="145">
        <f t="shared" ca="1" si="64"/>
        <v>84</v>
      </c>
      <c r="BE13" s="145">
        <f t="shared" ca="1" si="64"/>
        <v>866.4</v>
      </c>
      <c r="BF13" s="145">
        <f t="shared" ca="1" si="64"/>
        <v>84</v>
      </c>
      <c r="BG13" s="145">
        <f t="shared" ca="1" si="64"/>
        <v>848.3</v>
      </c>
      <c r="BH13" s="145">
        <f t="shared" ca="1" si="64"/>
        <v>82</v>
      </c>
      <c r="BI13" s="145">
        <f t="shared" ca="1" si="64"/>
        <v>18.100000000000001</v>
      </c>
      <c r="BJ13" s="145">
        <f t="shared" ca="1" si="64"/>
        <v>2</v>
      </c>
      <c r="BK13" s="145">
        <f t="shared" ca="1" si="64"/>
        <v>0</v>
      </c>
      <c r="BL13" s="145">
        <f t="shared" ca="1" si="64"/>
        <v>0</v>
      </c>
      <c r="BM13" s="145">
        <f t="shared" ca="1" si="64"/>
        <v>0</v>
      </c>
      <c r="BN13" s="145">
        <f t="shared" ca="1" si="64"/>
        <v>0</v>
      </c>
      <c r="BO13" s="145">
        <f t="shared" ca="1" si="64"/>
        <v>42172.25</v>
      </c>
      <c r="BP13" s="145">
        <f t="shared" ca="1" si="64"/>
        <v>3912</v>
      </c>
      <c r="BQ13" s="145">
        <f t="shared" ca="1" si="64"/>
        <v>5788</v>
      </c>
      <c r="BR13" s="57">
        <f t="shared" ref="BR13:BR88" ca="1" si="65">IF(BO13&gt;0,BQ13*100/BO13,0)</f>
        <v>13.724664915910344</v>
      </c>
      <c r="BS13" s="145">
        <f ca="1">SUM(BS14:BS30)</f>
        <v>506</v>
      </c>
      <c r="BT13" s="57">
        <f t="shared" ref="BT13:BT88" ca="1" si="66">IF(BP13&gt;0,BS13*100/BP13,0)</f>
        <v>12.934560327198364</v>
      </c>
      <c r="BU13" s="145">
        <f t="shared" ref="BU13:CM13" ca="1" si="67">SUM(BU14:BU30)</f>
        <v>5460</v>
      </c>
      <c r="BV13" s="145">
        <f t="shared" ca="1" si="67"/>
        <v>485</v>
      </c>
      <c r="BW13" s="145">
        <f t="shared" ca="1" si="67"/>
        <v>4336</v>
      </c>
      <c r="BX13" s="145">
        <f t="shared" ca="1" si="67"/>
        <v>391</v>
      </c>
      <c r="BY13" s="145">
        <f t="shared" ca="1" si="67"/>
        <v>1124</v>
      </c>
      <c r="BZ13" s="145">
        <f t="shared" ca="1" si="67"/>
        <v>94</v>
      </c>
      <c r="CA13" s="145">
        <f t="shared" ca="1" si="67"/>
        <v>0</v>
      </c>
      <c r="CB13" s="145">
        <f t="shared" ca="1" si="67"/>
        <v>0</v>
      </c>
      <c r="CC13" s="145">
        <f t="shared" ca="1" si="67"/>
        <v>152</v>
      </c>
      <c r="CD13" s="145">
        <f t="shared" ca="1" si="67"/>
        <v>6</v>
      </c>
      <c r="CE13" s="145">
        <f t="shared" ca="1" si="67"/>
        <v>152</v>
      </c>
      <c r="CF13" s="145">
        <f t="shared" ca="1" si="67"/>
        <v>6</v>
      </c>
      <c r="CG13" s="145">
        <f t="shared" ca="1" si="67"/>
        <v>0</v>
      </c>
      <c r="CH13" s="145">
        <f t="shared" ca="1" si="67"/>
        <v>0</v>
      </c>
      <c r="CI13" s="145">
        <f t="shared" ca="1" si="67"/>
        <v>176</v>
      </c>
      <c r="CJ13" s="145">
        <f t="shared" ca="1" si="67"/>
        <v>15</v>
      </c>
      <c r="CK13" s="145">
        <f t="shared" ca="1" si="67"/>
        <v>0</v>
      </c>
      <c r="CL13" s="145">
        <f t="shared" ca="1" si="67"/>
        <v>0</v>
      </c>
      <c r="CM13" s="145">
        <f t="shared" ca="1" si="67"/>
        <v>0</v>
      </c>
      <c r="CN13" s="57">
        <f t="shared" ref="CN13:CN88" ca="1" si="68">IF(CK13&gt;0,CM13*100/CK13,0)</f>
        <v>0</v>
      </c>
      <c r="CO13" s="145">
        <f ca="1">SUM(CO14:CO30)</f>
        <v>0</v>
      </c>
      <c r="CP13" s="57">
        <f t="shared" ref="CP13:CP88" ca="1" si="69">IF(CL13&gt;0,CO13*100/CL13,0)</f>
        <v>0</v>
      </c>
      <c r="CQ13" s="145">
        <f t="shared" ref="CQ13:CW13" ca="1" si="70">SUM(CQ14:CQ30)</f>
        <v>0</v>
      </c>
      <c r="CR13" s="145">
        <f t="shared" ca="1" si="70"/>
        <v>0</v>
      </c>
      <c r="CS13" s="145">
        <f t="shared" ca="1" si="70"/>
        <v>0</v>
      </c>
      <c r="CT13" s="145">
        <f t="shared" ca="1" si="70"/>
        <v>0</v>
      </c>
      <c r="CU13" s="145">
        <f t="shared" ca="1" si="70"/>
        <v>773</v>
      </c>
      <c r="CV13" s="145">
        <f t="shared" ca="1" si="70"/>
        <v>87</v>
      </c>
      <c r="CW13" s="145">
        <f t="shared" ca="1" si="70"/>
        <v>172</v>
      </c>
      <c r="CX13" s="57">
        <f t="shared" ref="CX13:CX88" ca="1" si="71">IF(CU13&gt;0,CW13*100/CU13,0)</f>
        <v>22.250970245795603</v>
      </c>
      <c r="CY13" s="145">
        <f ca="1">SUM(CY14:CY30)</f>
        <v>6</v>
      </c>
      <c r="CZ13" s="57">
        <f t="shared" ref="CZ13:CZ88" ca="1" si="72">IF(CV13&gt;0,CY13*100/CV13,0)</f>
        <v>6.8965517241379306</v>
      </c>
      <c r="DA13" s="145">
        <f t="shared" ref="DA13:DF13" ca="1" si="73">SUM(DA14:DA30)</f>
        <v>2</v>
      </c>
      <c r="DB13" s="145">
        <f t="shared" ca="1" si="73"/>
        <v>1</v>
      </c>
      <c r="DC13" s="145">
        <f t="shared" ca="1" si="73"/>
        <v>0</v>
      </c>
      <c r="DD13" s="145">
        <f t="shared" ca="1" si="73"/>
        <v>0</v>
      </c>
      <c r="DE13" s="145">
        <f t="shared" ca="1" si="73"/>
        <v>170</v>
      </c>
      <c r="DF13" s="145">
        <f t="shared" ca="1" si="73"/>
        <v>5</v>
      </c>
    </row>
    <row r="14" spans="1:110" ht="19.5" x14ac:dyDescent="0.3">
      <c r="A14" s="147">
        <v>1</v>
      </c>
      <c r="B14" s="148" t="s">
        <v>42</v>
      </c>
      <c r="C14" s="560">
        <f t="shared" ca="1" si="44"/>
        <v>716050</v>
      </c>
      <c r="D14" s="561">
        <f t="shared" ref="D14:D30" ca="1" si="74">+E14+F14</f>
        <v>716050</v>
      </c>
      <c r="E14" s="325">
        <f ca="1">IFERROR(__xludf.DUMMYFUNCTION("IMPORTRANGE(""https://docs.google.com/spreadsheets/d/1-uDff_7J0KD5mKrp0Vvzr7lt3OU09vwQwhkpOPPYv2Y/edit?usp=sharing"",""งบพรบ!IP14"")"),276400)</f>
        <v>276400</v>
      </c>
      <c r="F14" s="325">
        <f ca="1">IFERROR(__xludf.DUMMYFUNCTION("IMPORTRANGE(""https://docs.google.com/spreadsheets/d/1-uDff_7J0KD5mKrp0Vvzr7lt3OU09vwQwhkpOPPYv2Y/edit?usp=sharing"",""งบพรบ!IQ14"")"),439650)</f>
        <v>439650</v>
      </c>
      <c r="G14" s="311">
        <f ca="1">IFERROR(__xludf.DUMMYFUNCTION("IMPORTRANGE(""https://docs.google.com/spreadsheets/d/1-uDff_7J0KD5mKrp0Vvzr7lt3OU09vwQwhkpOPPYv2Y/edit?usp=sharing"",""งบพรบ!IR14"")"),0)</f>
        <v>0</v>
      </c>
      <c r="H14" s="311">
        <f ca="1">IFERROR(__xludf.DUMMYFUNCTION("IMPORTRANGE(""https://docs.google.com/spreadsheets/d/1-uDff_7J0KD5mKrp0Vvzr7lt3OU09vwQwhkpOPPYv2Y/edit?usp=sharing"",""งบพรบ!IT14"")"),716050)</f>
        <v>716050</v>
      </c>
      <c r="I14" s="311">
        <f ca="1">IFERROR(__xludf.DUMMYFUNCTION("IMPORTRANGE(""https://docs.google.com/spreadsheets/d/1-uDff_7J0KD5mKrp0Vvzr7lt3OU09vwQwhkpOPPYv2Y/edit?usp=sharing"",""งบพรบ!IU14"")"),0)</f>
        <v>0</v>
      </c>
      <c r="J14" s="311">
        <f t="shared" ca="1" si="46"/>
        <v>271360</v>
      </c>
      <c r="K14" s="562">
        <f t="shared" ca="1" si="47"/>
        <v>37.896794916556104</v>
      </c>
      <c r="L14" s="311">
        <f ca="1">IFERROR(__xludf.DUMMYFUNCTION("IMPORTRANGE(""https://docs.google.com/spreadsheets/d/1-uDff_7J0KD5mKrp0Vvzr7lt3OU09vwQwhkpOPPYv2Y/edit?usp=sharing"",""งบพรบ!IV14"")"),271360)</f>
        <v>271360</v>
      </c>
      <c r="M14" s="326">
        <f t="shared" ca="1" si="48"/>
        <v>37.896794916556104</v>
      </c>
      <c r="N14" s="326">
        <f t="shared" ca="1" si="49"/>
        <v>37.896794916556104</v>
      </c>
      <c r="O14" s="563">
        <f ca="1">IFERROR(__xludf.DUMMYFUNCTION("IMPORTRANGE(""https://docs.google.com/spreadsheets/d/1-uDff_7J0KD5mKrp0Vvzr7lt3OU09vwQwhkpOPPYv2Y/edit?usp=sharing"",""งบพรบ!IW14"")"),0)</f>
        <v>0</v>
      </c>
      <c r="P14" s="563">
        <f t="shared" ca="1" si="50"/>
        <v>0</v>
      </c>
      <c r="Q14" s="326">
        <f t="shared" ca="1" si="51"/>
        <v>0</v>
      </c>
      <c r="R14" s="564">
        <f ca="1">IFERROR(__xludf.DUMMYFUNCTION("IMPORTRANGE(""https://docs.google.com/spreadsheets/d/1jTcq05yEiRwXcBMLjiodW9e4biSGYWAHcDj22rKWQ3s/edit?usp=sharing"",""กำแพงเพชร!Q413"")"),92610)</f>
        <v>92610</v>
      </c>
      <c r="S14" s="564">
        <f ca="1">IFERROR(__xludf.DUMMYFUNCTION("IMPORTRANGE(""https://docs.google.com/spreadsheets/d/1jTcq05yEiRwXcBMLjiodW9e4biSGYWAHcDj22rKWQ3s/edit?usp=sharing"",""กำแพงเพชร!R413"")"),92610)</f>
        <v>92610</v>
      </c>
      <c r="T14" s="564">
        <f ca="1">IFERROR(__xludf.DUMMYFUNCTION("IMPORTRANGE(""https://docs.google.com/spreadsheets/d/1jTcq05yEiRwXcBMLjiodW9e4biSGYWAHcDj22rKWQ3s/edit?usp=sharing"",""กำแพงเพชร!S413"")"),13500)</f>
        <v>13500</v>
      </c>
      <c r="U14" s="565">
        <f t="shared" ca="1" si="53"/>
        <v>14.577259475218659</v>
      </c>
      <c r="V14" s="565">
        <f t="shared" ca="1" si="54"/>
        <v>14.577259475218659</v>
      </c>
      <c r="W14" s="397">
        <f ca="1">IFERROR(__xludf.DUMMYFUNCTION("IMPORTRANGE(""https://docs.google.com/spreadsheets/d/1jTcq05yEiRwXcBMLjiodW9e4biSGYWAHcDj22rKWQ3s/edit?usp=sharing"",""กำแพงเพชร!I424"")"),145464)</f>
        <v>145464</v>
      </c>
      <c r="X14" s="397">
        <f ca="1">IFERROR(__xludf.DUMMYFUNCTION("IMPORTRANGE(""https://docs.google.com/spreadsheets/d/1jTcq05yEiRwXcBMLjiodW9e4biSGYWAHcDj22rKWQ3s/edit?usp=sharing"",""กำแพงเพชร!I425"")"),13261)</f>
        <v>13261</v>
      </c>
      <c r="Y14" s="397">
        <f ca="1">IFERROR(__xludf.DUMMYFUNCTION("IMPORTRANGE(""https://docs.google.com/spreadsheets/d/1jTcq05yEiRwXcBMLjiodW9e4biSGYWAHcDj22rKWQ3s/edit?usp=sharing"",""กำแพงเพชร!J424"")"),0)</f>
        <v>0</v>
      </c>
      <c r="Z14" s="216">
        <f t="shared" ca="1" si="56"/>
        <v>0</v>
      </c>
      <c r="AA14" s="397">
        <f ca="1">IFERROR(__xludf.DUMMYFUNCTION("IMPORTRANGE(""https://docs.google.com/spreadsheets/d/1jTcq05yEiRwXcBMLjiodW9e4biSGYWAHcDj22rKWQ3s/edit?usp=sharing"",""กำแพงเพชร!J425"")"),0)</f>
        <v>0</v>
      </c>
      <c r="AB14" s="216">
        <f t="shared" ca="1" si="57"/>
        <v>0</v>
      </c>
      <c r="AC14" s="397">
        <f ca="1">IFERROR(__xludf.DUMMYFUNCTION("IMPORTRANGE(""https://docs.google.com/spreadsheets/d/1jTcq05yEiRwXcBMLjiodW9e4biSGYWAHcDj22rKWQ3s/edit?usp=sharing"",""กำแพงเพชร!J426"")"),0)</f>
        <v>0</v>
      </c>
      <c r="AD14" s="397">
        <f ca="1">IFERROR(__xludf.DUMMYFUNCTION("IMPORTRANGE(""https://docs.google.com/spreadsheets/d/1jTcq05yEiRwXcBMLjiodW9e4biSGYWAHcDj22rKWQ3s/edit?usp=sharing"",""กำแพงเพชร!J427"")"),0)</f>
        <v>0</v>
      </c>
      <c r="AE14" s="397">
        <f ca="1">IFERROR(__xludf.DUMMYFUNCTION("IMPORTRANGE(""https://docs.google.com/spreadsheets/d/1jTcq05yEiRwXcBMLjiodW9e4biSGYWAHcDj22rKWQ3s/edit?usp=sharing"",""กำแพงเพชร!J428"")"),0)</f>
        <v>0</v>
      </c>
      <c r="AF14" s="397">
        <f ca="1">IFERROR(__xludf.DUMMYFUNCTION("IMPORTRANGE(""https://docs.google.com/spreadsheets/d/1jTcq05yEiRwXcBMLjiodW9e4biSGYWAHcDj22rKWQ3s/edit?usp=sharing"",""กำแพงเพชร!J429"")"),0)</f>
        <v>0</v>
      </c>
      <c r="AG14" s="397">
        <f ca="1">IFERROR(__xludf.DUMMYFUNCTION("IMPORTRANGE(""https://docs.google.com/spreadsheets/d/1jTcq05yEiRwXcBMLjiodW9e4biSGYWAHcDj22rKWQ3s/edit?usp=sharing"",""กำแพงเพชร!J430"")"),0)</f>
        <v>0</v>
      </c>
      <c r="AH14" s="397">
        <f ca="1">IFERROR(__xludf.DUMMYFUNCTION("IMPORTRANGE(""https://docs.google.com/spreadsheets/d/1jTcq05yEiRwXcBMLjiodW9e4biSGYWAHcDj22rKWQ3s/edit?usp=sharing"",""กำแพงเพชร!J431"")"),0)</f>
        <v>0</v>
      </c>
      <c r="AI14" s="152">
        <f ca="1">IFERROR(__xludf.DUMMYFUNCTION("IMPORTRANGE(""https://docs.google.com/spreadsheets/d/1jTcq05yEiRwXcBMLjiodW9e4biSGYWAHcDj22rKWQ3s/edit?usp=sharing"",""กำแพงเพชร!I432"")"),145464)</f>
        <v>145464</v>
      </c>
      <c r="AJ14" s="152">
        <f ca="1">IFERROR(__xludf.DUMMYFUNCTION("IMPORTRANGE(""https://docs.google.com/spreadsheets/d/1jTcq05yEiRwXcBMLjiodW9e4biSGYWAHcDj22rKWQ3s/edit?usp=sharing"",""กำแพงเพชร!I433"")"),13261)</f>
        <v>13261</v>
      </c>
      <c r="AK14" s="216">
        <f ca="1">IFERROR(__xludf.DUMMYFUNCTION("IMPORTRANGE(""https://docs.google.com/spreadsheets/d/1jTcq05yEiRwXcBMLjiodW9e4biSGYWAHcDj22rKWQ3s/edit?usp=sharing"",""กำแพงเพชร!J432"")"),0)</f>
        <v>0</v>
      </c>
      <c r="AL14" s="216">
        <f t="shared" ca="1" si="59"/>
        <v>0</v>
      </c>
      <c r="AM14" s="152">
        <f ca="1">IFERROR(__xludf.DUMMYFUNCTION("IMPORTRANGE(""https://docs.google.com/spreadsheets/d/1jTcq05yEiRwXcBMLjiodW9e4biSGYWAHcDj22rKWQ3s/edit?usp=sharing"",""กำแพงเพชร!J433"")"),0)</f>
        <v>0</v>
      </c>
      <c r="AN14" s="216">
        <f t="shared" ca="1" si="60"/>
        <v>0</v>
      </c>
      <c r="AO14" s="152">
        <f ca="1">IFERROR(__xludf.DUMMYFUNCTION("IMPORTRANGE(""https://docs.google.com/spreadsheets/d/1jTcq05yEiRwXcBMLjiodW9e4biSGYWAHcDj22rKWQ3s/edit?usp=sharing"",""กำแพงเพชร!J434"")"),0)</f>
        <v>0</v>
      </c>
      <c r="AP14" s="152">
        <f ca="1">IFERROR(__xludf.DUMMYFUNCTION("IMPORTRANGE(""https://docs.google.com/spreadsheets/d/1jTcq05yEiRwXcBMLjiodW9e4biSGYWAHcDj22rKWQ3s/edit?usp=sharing"",""กำแพงเพชร!J435"")"),0)</f>
        <v>0</v>
      </c>
      <c r="AQ14" s="152">
        <f ca="1">IFERROR(__xludf.DUMMYFUNCTION("IMPORTRANGE(""https://docs.google.com/spreadsheets/d/1jTcq05yEiRwXcBMLjiodW9e4biSGYWAHcDj22rKWQ3s/edit?usp=sharing"",""กำแพงเพชร!J436"")"),0)</f>
        <v>0</v>
      </c>
      <c r="AR14" s="152">
        <f ca="1">IFERROR(__xludf.DUMMYFUNCTION("IMPORTRANGE(""https://docs.google.com/spreadsheets/d/1jTcq05yEiRwXcBMLjiodW9e4biSGYWAHcDj22rKWQ3s/edit?usp=sharing"",""กำแพงเพชร!J437"")"),0)</f>
        <v>0</v>
      </c>
      <c r="AS14" s="152">
        <f ca="1">IFERROR(__xludf.DUMMYFUNCTION("IMPORTRANGE(""https://docs.google.com/spreadsheets/d/1jTcq05yEiRwXcBMLjiodW9e4biSGYWAHcDj22rKWQ3s/edit?usp=sharing"",""กำแพงเพชร!J438"")"),0)</f>
        <v>0</v>
      </c>
      <c r="AT14" s="152">
        <f ca="1">IFERROR(__xludf.DUMMYFUNCTION("IMPORTRANGE(""https://docs.google.com/spreadsheets/d/1jTcq05yEiRwXcBMLjiodW9e4biSGYWAHcDj22rKWQ3s/edit?usp=sharing"",""กำแพงเพชร!J439"")"),0)</f>
        <v>0</v>
      </c>
      <c r="AU14" s="152">
        <f ca="1">IFERROR(__xludf.DUMMYFUNCTION("IMPORTRANGE(""https://docs.google.com/spreadsheets/d/1jTcq05yEiRwXcBMLjiodW9e4biSGYWAHcDj22rKWQ3s/edit?usp=sharing"",""กำแพงเพชร!I440"")"),145464)</f>
        <v>145464</v>
      </c>
      <c r="AV14" s="152">
        <f ca="1">IFERROR(__xludf.DUMMYFUNCTION("IMPORTRANGE(""https://docs.google.com/spreadsheets/d/1jTcq05yEiRwXcBMLjiodW9e4biSGYWAHcDj22rKWQ3s/edit?usp=sharing"",""กำแพงเพชร!I441"")"),13261)</f>
        <v>13261</v>
      </c>
      <c r="AW14" s="152">
        <f ca="1">IFERROR(__xludf.DUMMYFUNCTION("IMPORTRANGE(""https://docs.google.com/spreadsheets/d/1jTcq05yEiRwXcBMLjiodW9e4biSGYWAHcDj22rKWQ3s/edit?usp=sharing"",""กำแพงเพชร!J440"")"),0)</f>
        <v>0</v>
      </c>
      <c r="AX14" s="216">
        <f t="shared" ca="1" si="62"/>
        <v>0</v>
      </c>
      <c r="AY14" s="152">
        <f ca="1">IFERROR(__xludf.DUMMYFUNCTION("IMPORTRANGE(""https://docs.google.com/spreadsheets/d/1jTcq05yEiRwXcBMLjiodW9e4biSGYWAHcDj22rKWQ3s/edit?usp=sharing"",""กำแพงเพชร!J441"")"),0)</f>
        <v>0</v>
      </c>
      <c r="AZ14" s="216">
        <f t="shared" ca="1" si="63"/>
        <v>0</v>
      </c>
      <c r="BA14" s="152">
        <f ca="1">IFERROR(__xludf.DUMMYFUNCTION("IMPORTRANGE(""https://docs.google.com/spreadsheets/d/1jTcq05yEiRwXcBMLjiodW9e4biSGYWAHcDj22rKWQ3s/edit?usp=sharing"",""กำแพงเพชร!J442"")"),0)</f>
        <v>0</v>
      </c>
      <c r="BB14" s="152">
        <f ca="1">IFERROR(__xludf.DUMMYFUNCTION("IMPORTRANGE(""https://docs.google.com/spreadsheets/d/1jTcq05yEiRwXcBMLjiodW9e4biSGYWAHcDj22rKWQ3s/edit?usp=sharing"",""กำแพงเพชร!J443"")"),0)</f>
        <v>0</v>
      </c>
      <c r="BC14" s="152">
        <f ca="1">IFERROR(__xludf.DUMMYFUNCTION("IMPORTRANGE(""https://docs.google.com/spreadsheets/d/1jTcq05yEiRwXcBMLjiodW9e4biSGYWAHcDj22rKWQ3s/edit?usp=sharing"",""กำแพงเพชร!J444"")"),0)</f>
        <v>0</v>
      </c>
      <c r="BD14" s="152">
        <f ca="1">IFERROR(__xludf.DUMMYFUNCTION("IMPORTRANGE(""https://docs.google.com/spreadsheets/d/1jTcq05yEiRwXcBMLjiodW9e4biSGYWAHcDj22rKWQ3s/edit?usp=sharing"",""กำแพงเพชร!J445"")"),0)</f>
        <v>0</v>
      </c>
      <c r="BE14" s="152">
        <f ca="1">IFERROR(__xludf.DUMMYFUNCTION("IMPORTRANGE(""https://docs.google.com/spreadsheets/d/1jTcq05yEiRwXcBMLjiodW9e4biSGYWAHcDj22rKWQ3s/edit?usp=sharing"",""กำแพงเพชร!J446"")"),0)</f>
        <v>0</v>
      </c>
      <c r="BF14" s="152">
        <f ca="1">IFERROR(__xludf.DUMMYFUNCTION("IMPORTRANGE(""https://docs.google.com/spreadsheets/d/1jTcq05yEiRwXcBMLjiodW9e4biSGYWAHcDj22rKWQ3s/edit?usp=sharing"",""กำแพงเพชร!J447"")"),0)</f>
        <v>0</v>
      </c>
      <c r="BG14" s="152">
        <f ca="1">IFERROR(__xludf.DUMMYFUNCTION("IMPORTRANGE(""https://docs.google.com/spreadsheets/d/1jTcq05yEiRwXcBMLjiodW9e4biSGYWAHcDj22rKWQ3s/edit?usp=sharing"",""กำแพงเพชร!J448"")"),0)</f>
        <v>0</v>
      </c>
      <c r="BH14" s="152">
        <f ca="1">IFERROR(__xludf.DUMMYFUNCTION("IMPORTRANGE(""https://docs.google.com/spreadsheets/d/1jTcq05yEiRwXcBMLjiodW9e4biSGYWAHcDj22rKWQ3s/edit?usp=sharing"",""กำแพงเพชร!J449"")"),0)</f>
        <v>0</v>
      </c>
      <c r="BI14" s="152">
        <f ca="1">IFERROR(__xludf.DUMMYFUNCTION("IMPORTRANGE(""https://docs.google.com/spreadsheets/d/1jTcq05yEiRwXcBMLjiodW9e4biSGYWAHcDj22rKWQ3s/edit?usp=sharing"",""กำแพงเพชร!J450"")"),0)</f>
        <v>0</v>
      </c>
      <c r="BJ14" s="152">
        <f ca="1">IFERROR(__xludf.DUMMYFUNCTION("IMPORTRANGE(""https://docs.google.com/spreadsheets/d/1jTcq05yEiRwXcBMLjiodW9e4biSGYWAHcDj22rKWQ3s/edit?usp=sharing"",""กำแพงเพชร!J451"")"),0)</f>
        <v>0</v>
      </c>
      <c r="BK14" s="152">
        <f ca="1">IFERROR(__xludf.DUMMYFUNCTION("IMPORTRANGE(""https://docs.google.com/spreadsheets/d/1jTcq05yEiRwXcBMLjiodW9e4biSGYWAHcDj22rKWQ3s/edit?usp=sharing"",""กำแพงเพชร!J452"")"),0)</f>
        <v>0</v>
      </c>
      <c r="BL14" s="152">
        <f ca="1">IFERROR(__xludf.DUMMYFUNCTION("IMPORTRANGE(""https://docs.google.com/spreadsheets/d/1jTcq05yEiRwXcBMLjiodW9e4biSGYWAHcDj22rKWQ3s/edit?usp=sharing"",""กำแพงเพชร!J453"")"),0)</f>
        <v>0</v>
      </c>
      <c r="BM14" s="152">
        <f ca="1">IFERROR(__xludf.DUMMYFUNCTION("IMPORTRANGE(""https://docs.google.com/spreadsheets/d/1jTcq05yEiRwXcBMLjiodW9e4biSGYWAHcDj22rKWQ3s/edit?usp=sharing"",""กำแพงเพชร!J454"")"),0)</f>
        <v>0</v>
      </c>
      <c r="BN14" s="152">
        <f ca="1">IFERROR(__xludf.DUMMYFUNCTION("IMPORTRANGE(""https://docs.google.com/spreadsheets/d/1jTcq05yEiRwXcBMLjiodW9e4biSGYWAHcDj22rKWQ3s/edit?usp=sharing"",""กำแพงเพชร!J455"")"),0)</f>
        <v>0</v>
      </c>
      <c r="BO14" s="152">
        <f ca="1">IFERROR(__xludf.DUMMYFUNCTION("IMPORTRANGE(""https://docs.google.com/spreadsheets/d/1jTcq05yEiRwXcBMLjiodW9e4biSGYWAHcDj22rKWQ3s/edit?usp=sharing"",""กำแพงเพชร!I457"")"),837.44)</f>
        <v>837.44</v>
      </c>
      <c r="BP14" s="152">
        <f ca="1">IFERROR(__xludf.DUMMYFUNCTION("IMPORTRANGE(""https://docs.google.com/spreadsheets/d/1jTcq05yEiRwXcBMLjiodW9e4biSGYWAHcDj22rKWQ3s/edit?usp=sharing"",""กำแพงเพชร!I458"")"),57)</f>
        <v>57</v>
      </c>
      <c r="BQ14" s="152">
        <f ca="1">IFERROR(__xludf.DUMMYFUNCTION("IMPORTRANGE(""https://docs.google.com/spreadsheets/d/1jTcq05yEiRwXcBMLjiodW9e4biSGYWAHcDj22rKWQ3s/edit?usp=sharing"",""กำแพงเพชร!J457"")"),0)</f>
        <v>0</v>
      </c>
      <c r="BR14" s="216">
        <f t="shared" ca="1" si="65"/>
        <v>0</v>
      </c>
      <c r="BS14" s="152">
        <f ca="1">IFERROR(__xludf.DUMMYFUNCTION("IMPORTRANGE(""https://docs.google.com/spreadsheets/d/1jTcq05yEiRwXcBMLjiodW9e4biSGYWAHcDj22rKWQ3s/edit?usp=sharing"",""กำแพงเพชร!J458"")"),0)</f>
        <v>0</v>
      </c>
      <c r="BT14" s="216">
        <f t="shared" ca="1" si="66"/>
        <v>0</v>
      </c>
      <c r="BU14" s="152">
        <f ca="1">IFERROR(__xludf.DUMMYFUNCTION("IMPORTRANGE(""https://docs.google.com/spreadsheets/d/1jTcq05yEiRwXcBMLjiodW9e4biSGYWAHcDj22rKWQ3s/edit?usp=sharing"",""กำแพงเพชร!J459"")"),0)</f>
        <v>0</v>
      </c>
      <c r="BV14" s="152">
        <f ca="1">IFERROR(__xludf.DUMMYFUNCTION("IMPORTRANGE(""https://docs.google.com/spreadsheets/d/1jTcq05yEiRwXcBMLjiodW9e4biSGYWAHcDj22rKWQ3s/edit?usp=sharing"",""กำแพงเพชร!J460"")"),0)</f>
        <v>0</v>
      </c>
      <c r="BW14" s="152">
        <f ca="1">IFERROR(__xludf.DUMMYFUNCTION("IMPORTRANGE(""https://docs.google.com/spreadsheets/d/1jTcq05yEiRwXcBMLjiodW9e4biSGYWAHcDj22rKWQ3s/edit?usp=sharing"",""กำแพงเพชร!J461"")"),0)</f>
        <v>0</v>
      </c>
      <c r="BX14" s="152">
        <f ca="1">IFERROR(__xludf.DUMMYFUNCTION("IMPORTRANGE(""https://docs.google.com/spreadsheets/d/1jTcq05yEiRwXcBMLjiodW9e4biSGYWAHcDj22rKWQ3s/edit?usp=sharing"",""กำแพงเพชร!J462"")"),0)</f>
        <v>0</v>
      </c>
      <c r="BY14" s="152">
        <f ca="1">IFERROR(__xludf.DUMMYFUNCTION("IMPORTRANGE(""https://docs.google.com/spreadsheets/d/1jTcq05yEiRwXcBMLjiodW9e4biSGYWAHcDj22rKWQ3s/edit?usp=sharing"",""กำแพงเพชร!J463"")"),0)</f>
        <v>0</v>
      </c>
      <c r="BZ14" s="152">
        <f ca="1">IFERROR(__xludf.DUMMYFUNCTION("IMPORTRANGE(""https://docs.google.com/spreadsheets/d/1jTcq05yEiRwXcBMLjiodW9e4biSGYWAHcDj22rKWQ3s/edit?usp=sharing"",""กำแพงเพชร!J464"")"),0)</f>
        <v>0</v>
      </c>
      <c r="CA14" s="152">
        <f ca="1">IFERROR(__xludf.DUMMYFUNCTION("IMPORTRANGE(""https://docs.google.com/spreadsheets/d/1jTcq05yEiRwXcBMLjiodW9e4biSGYWAHcDj22rKWQ3s/edit?usp=sharing"",""กำแพงเพชร!J465"")"),0)</f>
        <v>0</v>
      </c>
      <c r="CB14" s="152">
        <f ca="1">IFERROR(__xludf.DUMMYFUNCTION("IMPORTRANGE(""https://docs.google.com/spreadsheets/d/1jTcq05yEiRwXcBMLjiodW9e4biSGYWAHcDj22rKWQ3s/edit?usp=sharing"",""กำแพงเพชร!J466"")"),0)</f>
        <v>0</v>
      </c>
      <c r="CC14" s="152">
        <f ca="1">IFERROR(__xludf.DUMMYFUNCTION("IMPORTRANGE(""https://docs.google.com/spreadsheets/d/1jTcq05yEiRwXcBMLjiodW9e4biSGYWAHcDj22rKWQ3s/edit?usp=sharing"",""กำแพงเพชร!J467"")"),0)</f>
        <v>0</v>
      </c>
      <c r="CD14" s="152">
        <f ca="1">IFERROR(__xludf.DUMMYFUNCTION("IMPORTRANGE(""https://docs.google.com/spreadsheets/d/1jTcq05yEiRwXcBMLjiodW9e4biSGYWAHcDj22rKWQ3s/edit?usp=sharing"",""กำแพงเพชร!J468"")"),0)</f>
        <v>0</v>
      </c>
      <c r="CE14" s="152">
        <f ca="1">IFERROR(__xludf.DUMMYFUNCTION("IMPORTRANGE(""https://docs.google.com/spreadsheets/d/1jTcq05yEiRwXcBMLjiodW9e4biSGYWAHcDj22rKWQ3s/edit?usp=sharing"",""กำแพงเพชร!J469"")"),0)</f>
        <v>0</v>
      </c>
      <c r="CF14" s="152">
        <f ca="1">IFERROR(__xludf.DUMMYFUNCTION("IMPORTRANGE(""https://docs.google.com/spreadsheets/d/1jTcq05yEiRwXcBMLjiodW9e4biSGYWAHcDj22rKWQ3s/edit?usp=sharing"",""กำแพงเพชร!J470"")"),0)</f>
        <v>0</v>
      </c>
      <c r="CG14" s="152">
        <f ca="1">IFERROR(__xludf.DUMMYFUNCTION("IMPORTRANGE(""https://docs.google.com/spreadsheets/d/1jTcq05yEiRwXcBMLjiodW9e4biSGYWAHcDj22rKWQ3s/edit?usp=sharing"",""กำแพงเพชร!J471"")"),0)</f>
        <v>0</v>
      </c>
      <c r="CH14" s="152">
        <f ca="1">IFERROR(__xludf.DUMMYFUNCTION("IMPORTRANGE(""https://docs.google.com/spreadsheets/d/1jTcq05yEiRwXcBMLjiodW9e4biSGYWAHcDj22rKWQ3s/edit?usp=sharing"",""กำแพงเพชร!J472"")"),0)</f>
        <v>0</v>
      </c>
      <c r="CI14" s="152">
        <f ca="1">IFERROR(__xludf.DUMMYFUNCTION("IMPORTRANGE(""https://docs.google.com/spreadsheets/d/1jTcq05yEiRwXcBMLjiodW9e4biSGYWAHcDj22rKWQ3s/edit?usp=sharing"",""กำแพงเพชร!J473"")"),0)</f>
        <v>0</v>
      </c>
      <c r="CJ14" s="152">
        <f ca="1">IFERROR(__xludf.DUMMYFUNCTION("IMPORTRANGE(""https://docs.google.com/spreadsheets/d/1jTcq05yEiRwXcBMLjiodW9e4biSGYWAHcDj22rKWQ3s/edit?usp=sharing"",""กำแพงเพชร!J474"")"),0)</f>
        <v>0</v>
      </c>
      <c r="CK14" s="278">
        <f ca="1">IFERROR(__xludf.DUMMYFUNCTION("IMPORTRANGE(""https://docs.google.com/spreadsheets/d/1jTcq05yEiRwXcBMLjiodW9e4biSGYWAHcDj22rKWQ3s/edit?usp=sharing"",""กำแพงเพชร!I476"")"),0)</f>
        <v>0</v>
      </c>
      <c r="CL14" s="278">
        <f ca="1">IFERROR(__xludf.DUMMYFUNCTION("IMPORTRANGE(""https://docs.google.com/spreadsheets/d/1jTcq05yEiRwXcBMLjiodW9e4biSGYWAHcDj22rKWQ3s/edit?usp=sharing"",""กำแพงเพชร!I477"")"),0)</f>
        <v>0</v>
      </c>
      <c r="CM14" s="278">
        <f ca="1">IFERROR(__xludf.DUMMYFUNCTION("IMPORTRANGE(""https://docs.google.com/spreadsheets/d/1jTcq05yEiRwXcBMLjiodW9e4biSGYWAHcDj22rKWQ3s/edit?usp=sharing"",""กำแพงเพชร!J476"")"),0)</f>
        <v>0</v>
      </c>
      <c r="CN14" s="216">
        <f t="shared" ca="1" si="68"/>
        <v>0</v>
      </c>
      <c r="CO14" s="278">
        <f ca="1">IFERROR(__xludf.DUMMYFUNCTION("IMPORTRANGE(""https://docs.google.com/spreadsheets/d/1jTcq05yEiRwXcBMLjiodW9e4biSGYWAHcDj22rKWQ3s/edit?usp=sharing"",""กำแพงเพชร!J477"")"),0)</f>
        <v>0</v>
      </c>
      <c r="CP14" s="216">
        <f t="shared" ca="1" si="69"/>
        <v>0</v>
      </c>
      <c r="CQ14" s="278">
        <f ca="1">IFERROR(__xludf.DUMMYFUNCTION("IMPORTRANGE(""https://docs.google.com/spreadsheets/d/1jTcq05yEiRwXcBMLjiodW9e4biSGYWAHcDj22rKWQ3s/edit?usp=sharing"",""กำแพงเพชร!J478"")"),0)</f>
        <v>0</v>
      </c>
      <c r="CR14" s="278">
        <f ca="1">IFERROR(__xludf.DUMMYFUNCTION("IMPORTRANGE(""https://docs.google.com/spreadsheets/d/1jTcq05yEiRwXcBMLjiodW9e4biSGYWAHcDj22rKWQ3s/edit?usp=sharing"",""กำแพงเพชร!J479"")"),0)</f>
        <v>0</v>
      </c>
      <c r="CS14" s="278">
        <f ca="1">IFERROR(__xludf.DUMMYFUNCTION("IMPORTRANGE(""https://docs.google.com/spreadsheets/d/1jTcq05yEiRwXcBMLjiodW9e4biSGYWAHcDj22rKWQ3s/edit?usp=sharing"",""กำแพงเพชร!J480"")"),0)</f>
        <v>0</v>
      </c>
      <c r="CT14" s="278">
        <f ca="1">IFERROR(__xludf.DUMMYFUNCTION("IMPORTRANGE(""https://docs.google.com/spreadsheets/d/1jTcq05yEiRwXcBMLjiodW9e4biSGYWAHcDj22rKWQ3s/edit?usp=sharing"",""กำแพงเพชร!J481"")"),0)</f>
        <v>0</v>
      </c>
      <c r="CU14" s="278">
        <f ca="1">IFERROR(__xludf.DUMMYFUNCTION("IMPORTRANGE(""https://docs.google.com/spreadsheets/d/1jTcq05yEiRwXcBMLjiodW9e4biSGYWAHcDj22rKWQ3s/edit?usp=sharing"",""กำแพงเพชร!I484"")"),0)</f>
        <v>0</v>
      </c>
      <c r="CV14" s="278">
        <f ca="1">IFERROR(__xludf.DUMMYFUNCTION("IMPORTRANGE(""https://docs.google.com/spreadsheets/d/1jTcq05yEiRwXcBMLjiodW9e4biSGYWAHcDj22rKWQ3s/edit?usp=sharing"",""กำแพงเพชร!I485"")"),0)</f>
        <v>0</v>
      </c>
      <c r="CW14" s="278">
        <f ca="1">IFERROR(__xludf.DUMMYFUNCTION("IMPORTRANGE(""https://docs.google.com/spreadsheets/d/1jTcq05yEiRwXcBMLjiodW9e4biSGYWAHcDj22rKWQ3s/edit?usp=sharing"",""กำแพงเพชร!J484"")"),0)</f>
        <v>0</v>
      </c>
      <c r="CX14" s="216">
        <f t="shared" ca="1" si="71"/>
        <v>0</v>
      </c>
      <c r="CY14" s="278">
        <f ca="1">IFERROR(__xludf.DUMMYFUNCTION("IMPORTRANGE(""https://docs.google.com/spreadsheets/d/1jTcq05yEiRwXcBMLjiodW9e4biSGYWAHcDj22rKWQ3s/edit?usp=sharing"",""กำแพงเพชร!J485"")"),0)</f>
        <v>0</v>
      </c>
      <c r="CZ14" s="216">
        <f t="shared" ca="1" si="72"/>
        <v>0</v>
      </c>
      <c r="DA14" s="278">
        <f ca="1">IFERROR(__xludf.DUMMYFUNCTION("IMPORTRANGE(""https://docs.google.com/spreadsheets/d/1jTcq05yEiRwXcBMLjiodW9e4biSGYWAHcDj22rKWQ3s/edit?usp=sharing"",""กำแพงเพชร!J486"")"),0)</f>
        <v>0</v>
      </c>
      <c r="DB14" s="278">
        <f ca="1">IFERROR(__xludf.DUMMYFUNCTION("IMPORTRANGE(""https://docs.google.com/spreadsheets/d/1jTcq05yEiRwXcBMLjiodW9e4biSGYWAHcDj22rKWQ3s/edit?usp=sharing"",""กำแพงเพชร!J487"")"),0)</f>
        <v>0</v>
      </c>
      <c r="DC14" s="278">
        <f ca="1">IFERROR(__xludf.DUMMYFUNCTION("IMPORTRANGE(""https://docs.google.com/spreadsheets/d/1jTcq05yEiRwXcBMLjiodW9e4biSGYWAHcDj22rKWQ3s/edit?usp=sharing"",""กำแพงเพชร!J488"")"),0)</f>
        <v>0</v>
      </c>
      <c r="DD14" s="278">
        <f ca="1">IFERROR(__xludf.DUMMYFUNCTION("IMPORTRANGE(""https://docs.google.com/spreadsheets/d/1jTcq05yEiRwXcBMLjiodW9e4biSGYWAHcDj22rKWQ3s/edit?usp=sharing"",""กำแพงเพชร!J489"")"),0)</f>
        <v>0</v>
      </c>
      <c r="DE14" s="278">
        <f ca="1">IFERROR(__xludf.DUMMYFUNCTION("IMPORTRANGE(""https://docs.google.com/spreadsheets/d/1jTcq05yEiRwXcBMLjiodW9e4biSGYWAHcDj22rKWQ3s/edit?usp=sharing"",""กำแพงเพชร!J490"")"),0)</f>
        <v>0</v>
      </c>
      <c r="DF14" s="278">
        <f ca="1">IFERROR(__xludf.DUMMYFUNCTION("IMPORTRANGE(""https://docs.google.com/spreadsheets/d/1jTcq05yEiRwXcBMLjiodW9e4biSGYWAHcDj22rKWQ3s/edit?usp=sharing"",""กำแพงเพชร!J491"")"),0)</f>
        <v>0</v>
      </c>
    </row>
    <row r="15" spans="1:110" ht="19.5" x14ac:dyDescent="0.3">
      <c r="A15" s="147">
        <v>2</v>
      </c>
      <c r="B15" s="148" t="s">
        <v>43</v>
      </c>
      <c r="C15" s="566">
        <f t="shared" ca="1" si="44"/>
        <v>896950</v>
      </c>
      <c r="D15" s="567">
        <f t="shared" ca="1" si="74"/>
        <v>896950</v>
      </c>
      <c r="E15" s="329">
        <f ca="1">IFERROR(__xludf.DUMMYFUNCTION("IMPORTRANGE(""https://docs.google.com/spreadsheets/d/1-uDff_7J0KD5mKrp0Vvzr7lt3OU09vwQwhkpOPPYv2Y/edit?usp=sharing"",""งบพรบ!IP15"")"),441600)</f>
        <v>441600</v>
      </c>
      <c r="F15" s="329">
        <f ca="1">IFERROR(__xludf.DUMMYFUNCTION("IMPORTRANGE(""https://docs.google.com/spreadsheets/d/1-uDff_7J0KD5mKrp0Vvzr7lt3OU09vwQwhkpOPPYv2Y/edit?usp=sharing"",""งบพรบ!IQ15"")"),455350)</f>
        <v>455350</v>
      </c>
      <c r="G15" s="329">
        <f ca="1">IFERROR(__xludf.DUMMYFUNCTION("IMPORTRANGE(""https://docs.google.com/spreadsheets/d/1-uDff_7J0KD5mKrp0Vvzr7lt3OU09vwQwhkpOPPYv2Y/edit?usp=sharing"",""งบพรบ!IR15"")"),0)</f>
        <v>0</v>
      </c>
      <c r="H15" s="329">
        <f ca="1">IFERROR(__xludf.DUMMYFUNCTION("IMPORTRANGE(""https://docs.google.com/spreadsheets/d/1-uDff_7J0KD5mKrp0Vvzr7lt3OU09vwQwhkpOPPYv2Y/edit?usp=sharing"",""งบพรบ!IT15"")"),900650)</f>
        <v>900650</v>
      </c>
      <c r="I15" s="329">
        <f ca="1">IFERROR(__xludf.DUMMYFUNCTION("IMPORTRANGE(""https://docs.google.com/spreadsheets/d/1-uDff_7J0KD5mKrp0Vvzr7lt3OU09vwQwhkpOPPYv2Y/edit?usp=sharing"",""งบพรบ!IU15"")"),0)</f>
        <v>0</v>
      </c>
      <c r="J15" s="329">
        <f t="shared" ca="1" si="46"/>
        <v>352618.35</v>
      </c>
      <c r="K15" s="568">
        <f t="shared" ca="1" si="47"/>
        <v>39.313044205362615</v>
      </c>
      <c r="L15" s="329">
        <f ca="1">IFERROR(__xludf.DUMMYFUNCTION("IMPORTRANGE(""https://docs.google.com/spreadsheets/d/1-uDff_7J0KD5mKrp0Vvzr7lt3OU09vwQwhkpOPPYv2Y/edit?usp=sharing"",""งบพรบ!IV15"")"),352618.35)</f>
        <v>352618.35</v>
      </c>
      <c r="M15" s="330">
        <f t="shared" ca="1" si="48"/>
        <v>39.313044205362615</v>
      </c>
      <c r="N15" s="330">
        <f t="shared" ca="1" si="49"/>
        <v>39.151540554044303</v>
      </c>
      <c r="O15" s="569">
        <f ca="1">IFERROR(__xludf.DUMMYFUNCTION("IMPORTRANGE(""https://docs.google.com/spreadsheets/d/1-uDff_7J0KD5mKrp0Vvzr7lt3OU09vwQwhkpOPPYv2Y/edit?usp=sharing"",""งบพรบ!IW15"")"),0)</f>
        <v>0</v>
      </c>
      <c r="P15" s="569">
        <f t="shared" ca="1" si="50"/>
        <v>0</v>
      </c>
      <c r="Q15" s="330">
        <f t="shared" ca="1" si="51"/>
        <v>0</v>
      </c>
      <c r="R15" s="564">
        <f ca="1">IFERROR(__xludf.DUMMYFUNCTION("IMPORTRANGE(""https://docs.google.com/spreadsheets/d/1KS0zmDSZPk8KnTAbGN-Xk6MtX1YRZD0ldgdt20K4CRk/edit?usp=sharing"",""เชียงราย!Q413"")"),95270)</f>
        <v>95270</v>
      </c>
      <c r="S15" s="564">
        <f ca="1">IFERROR(__xludf.DUMMYFUNCTION("IMPORTRANGE(""https://docs.google.com/spreadsheets/d/1KS0zmDSZPk8KnTAbGN-Xk6MtX1YRZD0ldgdt20K4CRk/edit?usp=sharing"",""เชียงราย!R413"")"),95270)</f>
        <v>95270</v>
      </c>
      <c r="T15" s="564">
        <f ca="1">IFERROR(__xludf.DUMMYFUNCTION("IMPORTRANGE(""https://docs.google.com/spreadsheets/d/1KS0zmDSZPk8KnTAbGN-Xk6MtX1YRZD0ldgdt20K4CRk/edit?usp=sharing"",""เชียงราย!S413"")"),41088)</f>
        <v>41088</v>
      </c>
      <c r="U15" s="565">
        <f t="shared" ca="1" si="53"/>
        <v>43.12795213603443</v>
      </c>
      <c r="V15" s="565">
        <f t="shared" ca="1" si="54"/>
        <v>43.12795213603443</v>
      </c>
      <c r="W15" s="152">
        <f ca="1">IFERROR(__xludf.DUMMYFUNCTION("IMPORTRANGE(""https://docs.google.com/spreadsheets/d/1KS0zmDSZPk8KnTAbGN-Xk6MtX1YRZD0ldgdt20K4CRk/edit?usp=sharing"",""เชียงราย!I424"")"),95804)</f>
        <v>95804</v>
      </c>
      <c r="X15" s="152">
        <f ca="1">IFERROR(__xludf.DUMMYFUNCTION("IMPORTRANGE(""https://docs.google.com/spreadsheets/d/1KS0zmDSZPk8KnTAbGN-Xk6MtX1YRZD0ldgdt20K4CRk/edit?usp=sharing"",""เชียงราย!I425"")"),15699)</f>
        <v>15699</v>
      </c>
      <c r="Y15" s="152">
        <f ca="1">IFERROR(__xludf.DUMMYFUNCTION("IMPORTRANGE(""https://docs.google.com/spreadsheets/d/1KS0zmDSZPk8KnTAbGN-Xk6MtX1YRZD0ldgdt20K4CRk/edit?usp=sharing"",""เชียงราย!J424"")"),85660.3199999999)</f>
        <v>85660.319999999905</v>
      </c>
      <c r="Z15" s="216">
        <f t="shared" ca="1" si="56"/>
        <v>89.41204960126916</v>
      </c>
      <c r="AA15" s="152">
        <f ca="1">IFERROR(__xludf.DUMMYFUNCTION("IMPORTRANGE(""https://docs.google.com/spreadsheets/d/1KS0zmDSZPk8KnTAbGN-Xk6MtX1YRZD0ldgdt20K4CRk/edit?usp=sharing"",""เชียงราย!J425"")"),14298)</f>
        <v>14298</v>
      </c>
      <c r="AB15" s="216">
        <f t="shared" ca="1" si="57"/>
        <v>91.07586470475826</v>
      </c>
      <c r="AC15" s="152">
        <f ca="1">IFERROR(__xludf.DUMMYFUNCTION("IMPORTRANGE(""https://docs.google.com/spreadsheets/d/1KS0zmDSZPk8KnTAbGN-Xk6MtX1YRZD0ldgdt20K4CRk/edit?usp=sharing"",""เชียงราย!J426"")"),62347.53)</f>
        <v>62347.53</v>
      </c>
      <c r="AD15" s="152">
        <f ca="1">IFERROR(__xludf.DUMMYFUNCTION("IMPORTRANGE(""https://docs.google.com/spreadsheets/d/1KS0zmDSZPk8KnTAbGN-Xk6MtX1YRZD0ldgdt20K4CRk/edit?usp=sharing"",""เชียงราย!J427"")"),11465)</f>
        <v>11465</v>
      </c>
      <c r="AE15" s="152">
        <f ca="1">IFERROR(__xludf.DUMMYFUNCTION("IMPORTRANGE(""https://docs.google.com/spreadsheets/d/1KS0zmDSZPk8KnTAbGN-Xk6MtX1YRZD0ldgdt20K4CRk/edit?usp=sharing"",""เชียงราย!J428"")"),19295.9)</f>
        <v>19295.900000000001</v>
      </c>
      <c r="AF15" s="152">
        <f ca="1">IFERROR(__xludf.DUMMYFUNCTION("IMPORTRANGE(""https://docs.google.com/spreadsheets/d/1KS0zmDSZPk8KnTAbGN-Xk6MtX1YRZD0ldgdt20K4CRk/edit?usp=sharing"",""เชียงราย!J429"")"),2194)</f>
        <v>2194</v>
      </c>
      <c r="AG15" s="152">
        <f ca="1">IFERROR(__xludf.DUMMYFUNCTION("IMPORTRANGE(""https://docs.google.com/spreadsheets/d/1KS0zmDSZPk8KnTAbGN-Xk6MtX1YRZD0ldgdt20K4CRk/edit?usp=sharing"",""เชียงราย!J430"")"),4016.89)</f>
        <v>4016.89</v>
      </c>
      <c r="AH15" s="152">
        <f ca="1">IFERROR(__xludf.DUMMYFUNCTION("IMPORTRANGE(""https://docs.google.com/spreadsheets/d/1KS0zmDSZPk8KnTAbGN-Xk6MtX1YRZD0ldgdt20K4CRk/edit?usp=sharing"",""เชียงราย!J431"")"),639)</f>
        <v>639</v>
      </c>
      <c r="AI15" s="152">
        <f ca="1">IFERROR(__xludf.DUMMYFUNCTION("IMPORTRANGE(""https://docs.google.com/spreadsheets/d/1KS0zmDSZPk8KnTAbGN-Xk6MtX1YRZD0ldgdt20K4CRk/edit?usp=sharing"",""เชียงราย!I432"")"),95804)</f>
        <v>95804</v>
      </c>
      <c r="AJ15" s="152">
        <f ca="1">IFERROR(__xludf.DUMMYFUNCTION("IMPORTRANGE(""https://docs.google.com/spreadsheets/d/1KS0zmDSZPk8KnTAbGN-Xk6MtX1YRZD0ldgdt20K4CRk/edit?usp=sharing"",""เชียงราย!I433"")"),15699)</f>
        <v>15699</v>
      </c>
      <c r="AK15" s="216">
        <f ca="1">IFERROR(__xludf.DUMMYFUNCTION("IMPORTRANGE(""https://docs.google.com/spreadsheets/d/1KS0zmDSZPk8KnTAbGN-Xk6MtX1YRZD0ldgdt20K4CRk/edit?usp=sharing"",""เชียงราย!J432"")"),22332.2029999999)</f>
        <v>22332.202999999899</v>
      </c>
      <c r="AL15" s="216">
        <f t="shared" ca="1" si="59"/>
        <v>23.310303327627135</v>
      </c>
      <c r="AM15" s="152">
        <f ca="1">IFERROR(__xludf.DUMMYFUNCTION("IMPORTRANGE(""https://docs.google.com/spreadsheets/d/1KS0zmDSZPk8KnTAbGN-Xk6MtX1YRZD0ldgdt20K4CRk/edit?usp=sharing"",""เชียงราย!J433"")"),5123)</f>
        <v>5123</v>
      </c>
      <c r="AN15" s="216">
        <f t="shared" ca="1" si="60"/>
        <v>32.632651761258678</v>
      </c>
      <c r="AO15" s="152">
        <f ca="1">IFERROR(__xludf.DUMMYFUNCTION("IMPORTRANGE(""https://docs.google.com/spreadsheets/d/1KS0zmDSZPk8KnTAbGN-Xk6MtX1YRZD0ldgdt20K4CRk/edit?usp=sharing"",""เชียงราย!J434"")"),19968.028)</f>
        <v>19968.027999999998</v>
      </c>
      <c r="AP15" s="152">
        <f ca="1">IFERROR(__xludf.DUMMYFUNCTION("IMPORTRANGE(""https://docs.google.com/spreadsheets/d/1KS0zmDSZPk8KnTAbGN-Xk6MtX1YRZD0ldgdt20K4CRk/edit?usp=sharing"",""เชียงราย!J435"")"),4670)</f>
        <v>4670</v>
      </c>
      <c r="AQ15" s="152">
        <f ca="1">IFERROR(__xludf.DUMMYFUNCTION("IMPORTRANGE(""https://docs.google.com/spreadsheets/d/1KS0zmDSZPk8KnTAbGN-Xk6MtX1YRZD0ldgdt20K4CRk/edit?usp=sharing"",""เชียงราย!J436"")"),1765.89)</f>
        <v>1765.89</v>
      </c>
      <c r="AR15" s="152">
        <f ca="1">IFERROR(__xludf.DUMMYFUNCTION("IMPORTRANGE(""https://docs.google.com/spreadsheets/d/1KS0zmDSZPk8KnTAbGN-Xk6MtX1YRZD0ldgdt20K4CRk/edit?usp=sharing"",""เชียงราย!J437"")"),307)</f>
        <v>307</v>
      </c>
      <c r="AS15" s="152">
        <f ca="1">IFERROR(__xludf.DUMMYFUNCTION("IMPORTRANGE(""https://docs.google.com/spreadsheets/d/1KS0zmDSZPk8KnTAbGN-Xk6MtX1YRZD0ldgdt20K4CRk/edit?usp=sharing"",""เชียงราย!J438"")"),598.285)</f>
        <v>598.28499999999997</v>
      </c>
      <c r="AT15" s="152">
        <f ca="1">IFERROR(__xludf.DUMMYFUNCTION("IMPORTRANGE(""https://docs.google.com/spreadsheets/d/1KS0zmDSZPk8KnTAbGN-Xk6MtX1YRZD0ldgdt20K4CRk/edit?usp=sharing"",""เชียงราย!J439"")"),146)</f>
        <v>146</v>
      </c>
      <c r="AU15" s="152">
        <f ca="1">IFERROR(__xludf.DUMMYFUNCTION("IMPORTRANGE(""https://docs.google.com/spreadsheets/d/1KS0zmDSZPk8KnTAbGN-Xk6MtX1YRZD0ldgdt20K4CRk/edit?usp=sharing"",""เชียงราย!I440"")"),95804)</f>
        <v>95804</v>
      </c>
      <c r="AV15" s="152">
        <f ca="1">IFERROR(__xludf.DUMMYFUNCTION("IMPORTRANGE(""https://docs.google.com/spreadsheets/d/1KS0zmDSZPk8KnTAbGN-Xk6MtX1YRZD0ldgdt20K4CRk/edit?usp=sharing"",""เชียงราย!I441"")"),15699)</f>
        <v>15699</v>
      </c>
      <c r="AW15" s="152">
        <f ca="1">IFERROR(__xludf.DUMMYFUNCTION("IMPORTRANGE(""https://docs.google.com/spreadsheets/d/1KS0zmDSZPk8KnTAbGN-Xk6MtX1YRZD0ldgdt20K4CRk/edit?usp=sharing"",""เชียงราย!J440"")"),19968.028)</f>
        <v>19968.027999999998</v>
      </c>
      <c r="AX15" s="216">
        <f t="shared" ca="1" si="62"/>
        <v>20.842582773161869</v>
      </c>
      <c r="AY15" s="152">
        <f ca="1">IFERROR(__xludf.DUMMYFUNCTION("IMPORTRANGE(""https://docs.google.com/spreadsheets/d/1KS0zmDSZPk8KnTAbGN-Xk6MtX1YRZD0ldgdt20K4CRk/edit?usp=sharing"",""เชียงราย!J441"")"),4670)</f>
        <v>4670</v>
      </c>
      <c r="AZ15" s="216">
        <f t="shared" ca="1" si="63"/>
        <v>29.747117650805784</v>
      </c>
      <c r="BA15" s="152">
        <f ca="1">IFERROR(__xludf.DUMMYFUNCTION("IMPORTRANGE(""https://docs.google.com/spreadsheets/d/1KS0zmDSZPk8KnTAbGN-Xk6MtX1YRZD0ldgdt20K4CRk/edit?usp=sharing"",""เชียงราย!J442"")"),19968.028)</f>
        <v>19968.027999999998</v>
      </c>
      <c r="BB15" s="152">
        <f ca="1">IFERROR(__xludf.DUMMYFUNCTION("IMPORTRANGE(""https://docs.google.com/spreadsheets/d/1KS0zmDSZPk8KnTAbGN-Xk6MtX1YRZD0ldgdt20K4CRk/edit?usp=sharing"",""เชียงราย!J443"")"),4670)</f>
        <v>4670</v>
      </c>
      <c r="BC15" s="152">
        <f ca="1">IFERROR(__xludf.DUMMYFUNCTION("IMPORTRANGE(""https://docs.google.com/spreadsheets/d/1KS0zmDSZPk8KnTAbGN-Xk6MtX1YRZD0ldgdt20K4CRk/edit?usp=sharing"",""เชียงราย!J444"")"),0)</f>
        <v>0</v>
      </c>
      <c r="BD15" s="152">
        <f ca="1">IFERROR(__xludf.DUMMYFUNCTION("IMPORTRANGE(""https://docs.google.com/spreadsheets/d/1KS0zmDSZPk8KnTAbGN-Xk6MtX1YRZD0ldgdt20K4CRk/edit?usp=sharing"",""เชียงราย!J445"")"),0)</f>
        <v>0</v>
      </c>
      <c r="BE15" s="152">
        <f ca="1">IFERROR(__xludf.DUMMYFUNCTION("IMPORTRANGE(""https://docs.google.com/spreadsheets/d/1KS0zmDSZPk8KnTAbGN-Xk6MtX1YRZD0ldgdt20K4CRk/edit?usp=sharing"",""เชียงราย!J446"")"),0)</f>
        <v>0</v>
      </c>
      <c r="BF15" s="152">
        <f ca="1">IFERROR(__xludf.DUMMYFUNCTION("IMPORTRANGE(""https://docs.google.com/spreadsheets/d/1KS0zmDSZPk8KnTAbGN-Xk6MtX1YRZD0ldgdt20K4CRk/edit?usp=sharing"",""เชียงราย!J447"")"),0)</f>
        <v>0</v>
      </c>
      <c r="BG15" s="152">
        <f ca="1">IFERROR(__xludf.DUMMYFUNCTION("IMPORTRANGE(""https://docs.google.com/spreadsheets/d/1KS0zmDSZPk8KnTAbGN-Xk6MtX1YRZD0ldgdt20K4CRk/edit?usp=sharing"",""เชียงราย!J448"")"),0)</f>
        <v>0</v>
      </c>
      <c r="BH15" s="152">
        <f ca="1">IFERROR(__xludf.DUMMYFUNCTION("IMPORTRANGE(""https://docs.google.com/spreadsheets/d/1KS0zmDSZPk8KnTAbGN-Xk6MtX1YRZD0ldgdt20K4CRk/edit?usp=sharing"",""เชียงราย!J449"")"),0)</f>
        <v>0</v>
      </c>
      <c r="BI15" s="152">
        <f ca="1">IFERROR(__xludf.DUMMYFUNCTION("IMPORTRANGE(""https://docs.google.com/spreadsheets/d/1KS0zmDSZPk8KnTAbGN-Xk6MtX1YRZD0ldgdt20K4CRk/edit?usp=sharing"",""เชียงราย!J450"")"),0)</f>
        <v>0</v>
      </c>
      <c r="BJ15" s="152">
        <f ca="1">IFERROR(__xludf.DUMMYFUNCTION("IMPORTRANGE(""https://docs.google.com/spreadsheets/d/1KS0zmDSZPk8KnTAbGN-Xk6MtX1YRZD0ldgdt20K4CRk/edit?usp=sharing"",""เชียงราย!J451"")"),0)</f>
        <v>0</v>
      </c>
      <c r="BK15" s="152">
        <f ca="1">IFERROR(__xludf.DUMMYFUNCTION("IMPORTRANGE(""https://docs.google.com/spreadsheets/d/1KS0zmDSZPk8KnTAbGN-Xk6MtX1YRZD0ldgdt20K4CRk/edit?usp=sharing"",""เชียงราย!J452"")"),0)</f>
        <v>0</v>
      </c>
      <c r="BL15" s="152">
        <f ca="1">IFERROR(__xludf.DUMMYFUNCTION("IMPORTRANGE(""https://docs.google.com/spreadsheets/d/1KS0zmDSZPk8KnTAbGN-Xk6MtX1YRZD0ldgdt20K4CRk/edit?usp=sharing"",""เชียงราย!J453"")"),0)</f>
        <v>0</v>
      </c>
      <c r="BM15" s="152">
        <f ca="1">IFERROR(__xludf.DUMMYFUNCTION("IMPORTRANGE(""https://docs.google.com/spreadsheets/d/1KS0zmDSZPk8KnTAbGN-Xk6MtX1YRZD0ldgdt20K4CRk/edit?usp=sharing"",""เชียงราย!J454"")"),0)</f>
        <v>0</v>
      </c>
      <c r="BN15" s="152">
        <f ca="1">IFERROR(__xludf.DUMMYFUNCTION("IMPORTRANGE(""https://docs.google.com/spreadsheets/d/1KS0zmDSZPk8KnTAbGN-Xk6MtX1YRZD0ldgdt20K4CRk/edit?usp=sharing"",""เชียงราย!J455"")"),0)</f>
        <v>0</v>
      </c>
      <c r="BO15" s="152">
        <f ca="1">IFERROR(__xludf.DUMMYFUNCTION("IMPORTRANGE(""https://docs.google.com/spreadsheets/d/1KS0zmDSZPk8KnTAbGN-Xk6MtX1YRZD0ldgdt20K4CRk/edit?usp=sharing"",""เชียงราย!I457"")"),2013.51)</f>
        <v>2013.51</v>
      </c>
      <c r="BP15" s="152">
        <f ca="1">IFERROR(__xludf.DUMMYFUNCTION("IMPORTRANGE(""https://docs.google.com/spreadsheets/d/1KS0zmDSZPk8KnTAbGN-Xk6MtX1YRZD0ldgdt20K4CRk/edit?usp=sharing"",""เชียงราย!I458"")"),371)</f>
        <v>371</v>
      </c>
      <c r="BQ15" s="152">
        <f ca="1">IFERROR(__xludf.DUMMYFUNCTION("IMPORTRANGE(""https://docs.google.com/spreadsheets/d/1KS0zmDSZPk8KnTAbGN-Xk6MtX1YRZD0ldgdt20K4CRk/edit?usp=sharing"",""เชียงราย!J457"")"),416)</f>
        <v>416</v>
      </c>
      <c r="BR15" s="216">
        <f t="shared" ca="1" si="65"/>
        <v>20.660438736336051</v>
      </c>
      <c r="BS15" s="152">
        <f ca="1">IFERROR(__xludf.DUMMYFUNCTION("IMPORTRANGE(""https://docs.google.com/spreadsheets/d/1KS0zmDSZPk8KnTAbGN-Xk6MtX1YRZD0ldgdt20K4CRk/edit?usp=sharing"",""เชียงราย!J458"")"),94)</f>
        <v>94</v>
      </c>
      <c r="BT15" s="216">
        <f t="shared" ca="1" si="66"/>
        <v>25.336927223719677</v>
      </c>
      <c r="BU15" s="152">
        <f ca="1">IFERROR(__xludf.DUMMYFUNCTION("IMPORTRANGE(""https://docs.google.com/spreadsheets/d/1KS0zmDSZPk8KnTAbGN-Xk6MtX1YRZD0ldgdt20K4CRk/edit?usp=sharing"",""เชียงราย!J459"")"),416)</f>
        <v>416</v>
      </c>
      <c r="BV15" s="152">
        <f ca="1">IFERROR(__xludf.DUMMYFUNCTION("IMPORTRANGE(""https://docs.google.com/spreadsheets/d/1KS0zmDSZPk8KnTAbGN-Xk6MtX1YRZD0ldgdt20K4CRk/edit?usp=sharing"",""เชียงราย!J460"")"),94)</f>
        <v>94</v>
      </c>
      <c r="BW15" s="152">
        <f ca="1">IFERROR(__xludf.DUMMYFUNCTION("IMPORTRANGE(""https://docs.google.com/spreadsheets/d/1KS0zmDSZPk8KnTAbGN-Xk6MtX1YRZD0ldgdt20K4CRk/edit?usp=sharing"",""เชียงราย!J461"")"),416)</f>
        <v>416</v>
      </c>
      <c r="BX15" s="152">
        <f ca="1">IFERROR(__xludf.DUMMYFUNCTION("IMPORTRANGE(""https://docs.google.com/spreadsheets/d/1KS0zmDSZPk8KnTAbGN-Xk6MtX1YRZD0ldgdt20K4CRk/edit?usp=sharing"",""เชียงราย!J462"")"),94)</f>
        <v>94</v>
      </c>
      <c r="BY15" s="152">
        <f ca="1">IFERROR(__xludf.DUMMYFUNCTION("IMPORTRANGE(""https://docs.google.com/spreadsheets/d/1KS0zmDSZPk8KnTAbGN-Xk6MtX1YRZD0ldgdt20K4CRk/edit?usp=sharing"",""เชียงราย!J463"")"),0)</f>
        <v>0</v>
      </c>
      <c r="BZ15" s="152">
        <f ca="1">IFERROR(__xludf.DUMMYFUNCTION("IMPORTRANGE(""https://docs.google.com/spreadsheets/d/1KS0zmDSZPk8KnTAbGN-Xk6MtX1YRZD0ldgdt20K4CRk/edit?usp=sharing"",""เชียงราย!J464"")"),0)</f>
        <v>0</v>
      </c>
      <c r="CA15" s="152">
        <f ca="1">IFERROR(__xludf.DUMMYFUNCTION("IMPORTRANGE(""https://docs.google.com/spreadsheets/d/1KS0zmDSZPk8KnTAbGN-Xk6MtX1YRZD0ldgdt20K4CRk/edit?usp=sharing"",""เชียงราย!J465"")"),0)</f>
        <v>0</v>
      </c>
      <c r="CB15" s="152">
        <f ca="1">IFERROR(__xludf.DUMMYFUNCTION("IMPORTRANGE(""https://docs.google.com/spreadsheets/d/1KS0zmDSZPk8KnTAbGN-Xk6MtX1YRZD0ldgdt20K4CRk/edit?usp=sharing"",""เชียงราย!J466"")"),0)</f>
        <v>0</v>
      </c>
      <c r="CC15" s="152">
        <f ca="1">IFERROR(__xludf.DUMMYFUNCTION("IMPORTRANGE(""https://docs.google.com/spreadsheets/d/1KS0zmDSZPk8KnTAbGN-Xk6MtX1YRZD0ldgdt20K4CRk/edit?usp=sharing"",""เชียงราย!J467"")"),0)</f>
        <v>0</v>
      </c>
      <c r="CD15" s="152">
        <f ca="1">IFERROR(__xludf.DUMMYFUNCTION("IMPORTRANGE(""https://docs.google.com/spreadsheets/d/1KS0zmDSZPk8KnTAbGN-Xk6MtX1YRZD0ldgdt20K4CRk/edit?usp=sharing"",""เชียงราย!J468"")"),0)</f>
        <v>0</v>
      </c>
      <c r="CE15" s="152">
        <f ca="1">IFERROR(__xludf.DUMMYFUNCTION("IMPORTRANGE(""https://docs.google.com/spreadsheets/d/1KS0zmDSZPk8KnTAbGN-Xk6MtX1YRZD0ldgdt20K4CRk/edit?usp=sharing"",""เชียงราย!J469"")"),0)</f>
        <v>0</v>
      </c>
      <c r="CF15" s="152">
        <f ca="1">IFERROR(__xludf.DUMMYFUNCTION("IMPORTRANGE(""https://docs.google.com/spreadsheets/d/1KS0zmDSZPk8KnTAbGN-Xk6MtX1YRZD0ldgdt20K4CRk/edit?usp=sharing"",""เชียงราย!J470"")"),0)</f>
        <v>0</v>
      </c>
      <c r="CG15" s="152">
        <f ca="1">IFERROR(__xludf.DUMMYFUNCTION("IMPORTRANGE(""https://docs.google.com/spreadsheets/d/1KS0zmDSZPk8KnTAbGN-Xk6MtX1YRZD0ldgdt20K4CRk/edit?usp=sharing"",""เชียงราย!J471"")"),0)</f>
        <v>0</v>
      </c>
      <c r="CH15" s="152">
        <f ca="1">IFERROR(__xludf.DUMMYFUNCTION("IMPORTRANGE(""https://docs.google.com/spreadsheets/d/1KS0zmDSZPk8KnTAbGN-Xk6MtX1YRZD0ldgdt20K4CRk/edit?usp=sharing"",""เชียงราย!J472"")"),0)</f>
        <v>0</v>
      </c>
      <c r="CI15" s="152">
        <f ca="1">IFERROR(__xludf.DUMMYFUNCTION("IMPORTRANGE(""https://docs.google.com/spreadsheets/d/1KS0zmDSZPk8KnTAbGN-Xk6MtX1YRZD0ldgdt20K4CRk/edit?usp=sharing"",""เชียงราย!J473"")"),0)</f>
        <v>0</v>
      </c>
      <c r="CJ15" s="152">
        <f ca="1">IFERROR(__xludf.DUMMYFUNCTION("IMPORTRANGE(""https://docs.google.com/spreadsheets/d/1KS0zmDSZPk8KnTAbGN-Xk6MtX1YRZD0ldgdt20K4CRk/edit?usp=sharing"",""เชียงราย!J474"")"),0)</f>
        <v>0</v>
      </c>
      <c r="CK15" s="278">
        <f ca="1">IFERROR(__xludf.DUMMYFUNCTION("IMPORTRANGE(""https://docs.google.com/spreadsheets/d/1KS0zmDSZPk8KnTAbGN-Xk6MtX1YRZD0ldgdt20K4CRk/edit?usp=sharing"",""เชียงราย!I476"")"),0)</f>
        <v>0</v>
      </c>
      <c r="CL15" s="278">
        <f ca="1">IFERROR(__xludf.DUMMYFUNCTION("IMPORTRANGE(""https://docs.google.com/spreadsheets/d/1KS0zmDSZPk8KnTAbGN-Xk6MtX1YRZD0ldgdt20K4CRk/edit?usp=sharing"",""เชียงราย!I477"")"),0)</f>
        <v>0</v>
      </c>
      <c r="CM15" s="278">
        <f ca="1">IFERROR(__xludf.DUMMYFUNCTION("IMPORTRANGE(""https://docs.google.com/spreadsheets/d/1KS0zmDSZPk8KnTAbGN-Xk6MtX1YRZD0ldgdt20K4CRk/edit?usp=sharing"",""เชียงราย!J476"")"),0)</f>
        <v>0</v>
      </c>
      <c r="CN15" s="216">
        <f t="shared" ca="1" si="68"/>
        <v>0</v>
      </c>
      <c r="CO15" s="278">
        <f ca="1">IFERROR(__xludf.DUMMYFUNCTION("IMPORTRANGE(""https://docs.google.com/spreadsheets/d/1KS0zmDSZPk8KnTAbGN-Xk6MtX1YRZD0ldgdt20K4CRk/edit?usp=sharing"",""เชียงราย!J477"")"),0)</f>
        <v>0</v>
      </c>
      <c r="CP15" s="216">
        <f t="shared" ca="1" si="69"/>
        <v>0</v>
      </c>
      <c r="CQ15" s="278">
        <f ca="1">IFERROR(__xludf.DUMMYFUNCTION("IMPORTRANGE(""https://docs.google.com/spreadsheets/d/1KS0zmDSZPk8KnTAbGN-Xk6MtX1YRZD0ldgdt20K4CRk/edit?usp=sharing"",""เชียงราย!J478"")"),0)</f>
        <v>0</v>
      </c>
      <c r="CR15" s="278">
        <f ca="1">IFERROR(__xludf.DUMMYFUNCTION("IMPORTRANGE(""https://docs.google.com/spreadsheets/d/1KS0zmDSZPk8KnTAbGN-Xk6MtX1YRZD0ldgdt20K4CRk/edit?usp=sharing"",""เชียงราย!J479"")"),0)</f>
        <v>0</v>
      </c>
      <c r="CS15" s="278">
        <f ca="1">IFERROR(__xludf.DUMMYFUNCTION("IMPORTRANGE(""https://docs.google.com/spreadsheets/d/1KS0zmDSZPk8KnTAbGN-Xk6MtX1YRZD0ldgdt20K4CRk/edit?usp=sharing"",""เชียงราย!J480"")"),0)</f>
        <v>0</v>
      </c>
      <c r="CT15" s="278">
        <f ca="1">IFERROR(__xludf.DUMMYFUNCTION("IMPORTRANGE(""https://docs.google.com/spreadsheets/d/1KS0zmDSZPk8KnTAbGN-Xk6MtX1YRZD0ldgdt20K4CRk/edit?usp=sharing"",""เชียงราย!J481"")"),0)</f>
        <v>0</v>
      </c>
      <c r="CU15" s="278">
        <f ca="1">IFERROR(__xludf.DUMMYFUNCTION("IMPORTRANGE(""https://docs.google.com/spreadsheets/d/1KS0zmDSZPk8KnTAbGN-Xk6MtX1YRZD0ldgdt20K4CRk/edit?usp=sharing"",""เชียงราย!I484"")"),359)</f>
        <v>359</v>
      </c>
      <c r="CV15" s="278">
        <f ca="1">IFERROR(__xludf.DUMMYFUNCTION("IMPORTRANGE(""https://docs.google.com/spreadsheets/d/1KS0zmDSZPk8KnTAbGN-Xk6MtX1YRZD0ldgdt20K4CRk/edit?usp=sharing"",""เชียงราย!I485"")"),49)</f>
        <v>49</v>
      </c>
      <c r="CW15" s="278">
        <f ca="1">IFERROR(__xludf.DUMMYFUNCTION("IMPORTRANGE(""https://docs.google.com/spreadsheets/d/1KS0zmDSZPk8KnTAbGN-Xk6MtX1YRZD0ldgdt20K4CRk/edit?usp=sharing"",""เชียงราย!J484"")"),0)</f>
        <v>0</v>
      </c>
      <c r="CX15" s="216">
        <f t="shared" ca="1" si="71"/>
        <v>0</v>
      </c>
      <c r="CY15" s="278">
        <f ca="1">IFERROR(__xludf.DUMMYFUNCTION("IMPORTRANGE(""https://docs.google.com/spreadsheets/d/1KS0zmDSZPk8KnTAbGN-Xk6MtX1YRZD0ldgdt20K4CRk/edit?usp=sharing"",""เชียงราย!J485"")"),0)</f>
        <v>0</v>
      </c>
      <c r="CZ15" s="216">
        <f t="shared" ca="1" si="72"/>
        <v>0</v>
      </c>
      <c r="DA15" s="278">
        <f ca="1">IFERROR(__xludf.DUMMYFUNCTION("IMPORTRANGE(""https://docs.google.com/spreadsheets/d/1KS0zmDSZPk8KnTAbGN-Xk6MtX1YRZD0ldgdt20K4CRk/edit?usp=sharing"",""เชียงราย!J486"")"),0)</f>
        <v>0</v>
      </c>
      <c r="DB15" s="278">
        <f ca="1">IFERROR(__xludf.DUMMYFUNCTION("IMPORTRANGE(""https://docs.google.com/spreadsheets/d/1KS0zmDSZPk8KnTAbGN-Xk6MtX1YRZD0ldgdt20K4CRk/edit?usp=sharing"",""เชียงราย!J487"")"),0)</f>
        <v>0</v>
      </c>
      <c r="DC15" s="278">
        <f ca="1">IFERROR(__xludf.DUMMYFUNCTION("IMPORTRANGE(""https://docs.google.com/spreadsheets/d/1KS0zmDSZPk8KnTAbGN-Xk6MtX1YRZD0ldgdt20K4CRk/edit?usp=sharing"",""เชียงราย!J488"")"),0)</f>
        <v>0</v>
      </c>
      <c r="DD15" s="278">
        <f ca="1">IFERROR(__xludf.DUMMYFUNCTION("IMPORTRANGE(""https://docs.google.com/spreadsheets/d/1KS0zmDSZPk8KnTAbGN-Xk6MtX1YRZD0ldgdt20K4CRk/edit?usp=sharing"",""เชียงราย!J489"")"),0)</f>
        <v>0</v>
      </c>
      <c r="DE15" s="278">
        <f ca="1">IFERROR(__xludf.DUMMYFUNCTION("IMPORTRANGE(""https://docs.google.com/spreadsheets/d/1KS0zmDSZPk8KnTAbGN-Xk6MtX1YRZD0ldgdt20K4CRk/edit?usp=sharing"",""เชียงราย!J490"")"),0)</f>
        <v>0</v>
      </c>
      <c r="DF15" s="278">
        <f ca="1">IFERROR(__xludf.DUMMYFUNCTION("IMPORTRANGE(""https://docs.google.com/spreadsheets/d/1KS0zmDSZPk8KnTAbGN-Xk6MtX1YRZD0ldgdt20K4CRk/edit?usp=sharing"",""เชียงราย!J491"")"),0)</f>
        <v>0</v>
      </c>
    </row>
    <row r="16" spans="1:110" ht="19.5" x14ac:dyDescent="0.3">
      <c r="A16" s="147">
        <v>3</v>
      </c>
      <c r="B16" s="148" t="s">
        <v>44</v>
      </c>
      <c r="C16" s="566">
        <f t="shared" ca="1" si="44"/>
        <v>41290</v>
      </c>
      <c r="D16" s="567">
        <f t="shared" ca="1" si="74"/>
        <v>41290</v>
      </c>
      <c r="E16" s="329">
        <f ca="1">IFERROR(__xludf.DUMMYFUNCTION("IMPORTRANGE(""https://docs.google.com/spreadsheets/d/1-uDff_7J0KD5mKrp0Vvzr7lt3OU09vwQwhkpOPPYv2Y/edit?usp=sharing"",""งบพรบ!IP16"")"),0)</f>
        <v>0</v>
      </c>
      <c r="F16" s="329">
        <f ca="1">IFERROR(__xludf.DUMMYFUNCTION("IMPORTRANGE(""https://docs.google.com/spreadsheets/d/1-uDff_7J0KD5mKrp0Vvzr7lt3OU09vwQwhkpOPPYv2Y/edit?usp=sharing"",""งบพรบ!IQ16"")"),41290)</f>
        <v>41290</v>
      </c>
      <c r="G16" s="329">
        <f ca="1">IFERROR(__xludf.DUMMYFUNCTION("IMPORTRANGE(""https://docs.google.com/spreadsheets/d/1-uDff_7J0KD5mKrp0Vvzr7lt3OU09vwQwhkpOPPYv2Y/edit?usp=sharing"",""งบพรบ!IR16"")"),0)</f>
        <v>0</v>
      </c>
      <c r="H16" s="329">
        <f ca="1">IFERROR(__xludf.DUMMYFUNCTION("IMPORTRANGE(""https://docs.google.com/spreadsheets/d/1-uDff_7J0KD5mKrp0Vvzr7lt3OU09vwQwhkpOPPYv2Y/edit?usp=sharing"",""งบพรบ!IT16"")"),41290)</f>
        <v>41290</v>
      </c>
      <c r="I16" s="329">
        <f ca="1">IFERROR(__xludf.DUMMYFUNCTION("IMPORTRANGE(""https://docs.google.com/spreadsheets/d/1-uDff_7J0KD5mKrp0Vvzr7lt3OU09vwQwhkpOPPYv2Y/edit?usp=sharing"",""งบพรบ!IU16"")"),0)</f>
        <v>0</v>
      </c>
      <c r="J16" s="329">
        <f t="shared" ca="1" si="46"/>
        <v>36640</v>
      </c>
      <c r="K16" s="568">
        <f t="shared" ca="1" si="47"/>
        <v>88.738193267134903</v>
      </c>
      <c r="L16" s="329">
        <f ca="1">IFERROR(__xludf.DUMMYFUNCTION("IMPORTRANGE(""https://docs.google.com/spreadsheets/d/1-uDff_7J0KD5mKrp0Vvzr7lt3OU09vwQwhkpOPPYv2Y/edit?usp=sharing"",""งบพรบ!IV16"")"),36640)</f>
        <v>36640</v>
      </c>
      <c r="M16" s="330">
        <f t="shared" ca="1" si="48"/>
        <v>88.738193267134903</v>
      </c>
      <c r="N16" s="330">
        <f t="shared" ca="1" si="49"/>
        <v>88.738193267134903</v>
      </c>
      <c r="O16" s="569">
        <f ca="1">IFERROR(__xludf.DUMMYFUNCTION("IMPORTRANGE(""https://docs.google.com/spreadsheets/d/1-uDff_7J0KD5mKrp0Vvzr7lt3OU09vwQwhkpOPPYv2Y/edit?usp=sharing"",""งบพรบ!IW16"")"),0)</f>
        <v>0</v>
      </c>
      <c r="P16" s="569">
        <f t="shared" ca="1" si="50"/>
        <v>0</v>
      </c>
      <c r="Q16" s="330">
        <f t="shared" ca="1" si="51"/>
        <v>0</v>
      </c>
      <c r="R16" s="564">
        <f ca="1">IFERROR(__xludf.DUMMYFUNCTION("IMPORTRANGE(""https://docs.google.com/spreadsheets/d/1rEDxBtusbi64tE0zunoIbsTVV16HeL0oJ6trHQeQ7K8/edit?usp=sharing"",""เชียงใหม่!Q413"")"),32570)</f>
        <v>32570</v>
      </c>
      <c r="S16" s="564">
        <f ca="1">IFERROR(__xludf.DUMMYFUNCTION("IMPORTRANGE(""https://docs.google.com/spreadsheets/d/1rEDxBtusbi64tE0zunoIbsTVV16HeL0oJ6trHQeQ7K8/edit?usp=sharing"",""เชียงใหม่!R413"")"),32570)</f>
        <v>32570</v>
      </c>
      <c r="T16" s="564">
        <f ca="1">IFERROR(__xludf.DUMMYFUNCTION("IMPORTRANGE(""https://docs.google.com/spreadsheets/d/1rEDxBtusbi64tE0zunoIbsTVV16HeL0oJ6trHQeQ7K8/edit?usp=sharing"",""เชียงใหม่!S413"")"),12485)</f>
        <v>12485</v>
      </c>
      <c r="U16" s="565">
        <f t="shared" ca="1" si="53"/>
        <v>38.332821614983111</v>
      </c>
      <c r="V16" s="565">
        <f t="shared" ca="1" si="54"/>
        <v>38.332821614983111</v>
      </c>
      <c r="W16" s="397">
        <f ca="1">IFERROR(__xludf.DUMMYFUNCTION("IMPORTRANGE(""https://docs.google.com/spreadsheets/d/1rEDxBtusbi64tE0zunoIbsTVV16HeL0oJ6trHQeQ7K8/edit?usp=sharing"",""เชียงใหม่!I424"")"),0)</f>
        <v>0</v>
      </c>
      <c r="X16" s="397">
        <f ca="1">IFERROR(__xludf.DUMMYFUNCTION("IMPORTRANGE(""https://docs.google.com/spreadsheets/d/1rEDxBtusbi64tE0zunoIbsTVV16HeL0oJ6trHQeQ7K8/edit?usp=sharing"",""เชียงใหม่!I425"")"),0)</f>
        <v>0</v>
      </c>
      <c r="Y16" s="397">
        <f ca="1">IFERROR(__xludf.DUMMYFUNCTION("IMPORTRANGE(""https://docs.google.com/spreadsheets/d/1rEDxBtusbi64tE0zunoIbsTVV16HeL0oJ6trHQeQ7K8/edit?usp=sharing"",""เชียงใหม่!J424"")"),0)</f>
        <v>0</v>
      </c>
      <c r="Z16" s="216">
        <f t="shared" ca="1" si="56"/>
        <v>0</v>
      </c>
      <c r="AA16" s="397">
        <f ca="1">IFERROR(__xludf.DUMMYFUNCTION("IMPORTRANGE(""https://docs.google.com/spreadsheets/d/1rEDxBtusbi64tE0zunoIbsTVV16HeL0oJ6trHQeQ7K8/edit?usp=sharing"",""เชียงใหม่!J425"")"),0)</f>
        <v>0</v>
      </c>
      <c r="AB16" s="216">
        <f t="shared" ca="1" si="57"/>
        <v>0</v>
      </c>
      <c r="AC16" s="397">
        <f ca="1">IFERROR(__xludf.DUMMYFUNCTION("IMPORTRANGE(""https://docs.google.com/spreadsheets/d/1rEDxBtusbi64tE0zunoIbsTVV16HeL0oJ6trHQeQ7K8/edit?usp=sharing"",""เชียงใหม่!J426"")"),0)</f>
        <v>0</v>
      </c>
      <c r="AD16" s="397">
        <f ca="1">IFERROR(__xludf.DUMMYFUNCTION("IMPORTRANGE(""https://docs.google.com/spreadsheets/d/1rEDxBtusbi64tE0zunoIbsTVV16HeL0oJ6trHQeQ7K8/edit?usp=sharing"",""เชียงใหม่!J427"")"),0)</f>
        <v>0</v>
      </c>
      <c r="AE16" s="397">
        <f ca="1">IFERROR(__xludf.DUMMYFUNCTION("IMPORTRANGE(""https://docs.google.com/spreadsheets/d/1rEDxBtusbi64tE0zunoIbsTVV16HeL0oJ6trHQeQ7K8/edit?usp=sharing"",""เชียงใหม่!J428"")"),0)</f>
        <v>0</v>
      </c>
      <c r="AF16" s="397">
        <f ca="1">IFERROR(__xludf.DUMMYFUNCTION("IMPORTRANGE(""https://docs.google.com/spreadsheets/d/1rEDxBtusbi64tE0zunoIbsTVV16HeL0oJ6trHQeQ7K8/edit?usp=sharing"",""เชียงใหม่!J429"")"),0)</f>
        <v>0</v>
      </c>
      <c r="AG16" s="397">
        <f ca="1">IFERROR(__xludf.DUMMYFUNCTION("IMPORTRANGE(""https://docs.google.com/spreadsheets/d/1rEDxBtusbi64tE0zunoIbsTVV16HeL0oJ6trHQeQ7K8/edit?usp=sharing"",""เชียงใหม่!J430"")"),0)</f>
        <v>0</v>
      </c>
      <c r="AH16" s="397">
        <f ca="1">IFERROR(__xludf.DUMMYFUNCTION("IMPORTRANGE(""https://docs.google.com/spreadsheets/d/1rEDxBtusbi64tE0zunoIbsTVV16HeL0oJ6trHQeQ7K8/edit?usp=sharing"",""เชียงใหม่!J431"")"),0)</f>
        <v>0</v>
      </c>
      <c r="AI16" s="152">
        <f ca="1">IFERROR(__xludf.DUMMYFUNCTION("IMPORTRANGE(""https://docs.google.com/spreadsheets/d/1rEDxBtusbi64tE0zunoIbsTVV16HeL0oJ6trHQeQ7K8/edit?usp=sharing"",""เชียงใหม่!I432"")"),0)</f>
        <v>0</v>
      </c>
      <c r="AJ16" s="152">
        <f ca="1">IFERROR(__xludf.DUMMYFUNCTION("IMPORTRANGE(""https://docs.google.com/spreadsheets/d/1rEDxBtusbi64tE0zunoIbsTVV16HeL0oJ6trHQeQ7K8/edit?usp=sharing"",""เชียงใหม่!I433"")"),0)</f>
        <v>0</v>
      </c>
      <c r="AK16" s="216">
        <f ca="1">IFERROR(__xludf.DUMMYFUNCTION("IMPORTRANGE(""https://docs.google.com/spreadsheets/d/1rEDxBtusbi64tE0zunoIbsTVV16HeL0oJ6trHQeQ7K8/edit?usp=sharing"",""เชียงใหม่!J432"")"),0)</f>
        <v>0</v>
      </c>
      <c r="AL16" s="216">
        <f t="shared" ca="1" si="59"/>
        <v>0</v>
      </c>
      <c r="AM16" s="152">
        <f ca="1">IFERROR(__xludf.DUMMYFUNCTION("IMPORTRANGE(""https://docs.google.com/spreadsheets/d/1rEDxBtusbi64tE0zunoIbsTVV16HeL0oJ6trHQeQ7K8/edit?usp=sharing"",""เชียงใหม่!J433"")"),0)</f>
        <v>0</v>
      </c>
      <c r="AN16" s="216">
        <f t="shared" ca="1" si="60"/>
        <v>0</v>
      </c>
      <c r="AO16" s="152">
        <f ca="1">IFERROR(__xludf.DUMMYFUNCTION("IMPORTRANGE(""https://docs.google.com/spreadsheets/d/1rEDxBtusbi64tE0zunoIbsTVV16HeL0oJ6trHQeQ7K8/edit?usp=sharing"",""เชียงใหม่!J434"")"),0)</f>
        <v>0</v>
      </c>
      <c r="AP16" s="152">
        <f ca="1">IFERROR(__xludf.DUMMYFUNCTION("IMPORTRANGE(""https://docs.google.com/spreadsheets/d/1rEDxBtusbi64tE0zunoIbsTVV16HeL0oJ6trHQeQ7K8/edit?usp=sharing"",""เชียงใหม่!J435"")"),0)</f>
        <v>0</v>
      </c>
      <c r="AQ16" s="152">
        <f ca="1">IFERROR(__xludf.DUMMYFUNCTION("IMPORTRANGE(""https://docs.google.com/spreadsheets/d/1rEDxBtusbi64tE0zunoIbsTVV16HeL0oJ6trHQeQ7K8/edit?usp=sharing"",""เชียงใหม่!J436"")"),0)</f>
        <v>0</v>
      </c>
      <c r="AR16" s="152">
        <f ca="1">IFERROR(__xludf.DUMMYFUNCTION("IMPORTRANGE(""https://docs.google.com/spreadsheets/d/1rEDxBtusbi64tE0zunoIbsTVV16HeL0oJ6trHQeQ7K8/edit?usp=sharing"",""เชียงใหม่!J437"")"),0)</f>
        <v>0</v>
      </c>
      <c r="AS16" s="152">
        <f ca="1">IFERROR(__xludf.DUMMYFUNCTION("IMPORTRANGE(""https://docs.google.com/spreadsheets/d/1rEDxBtusbi64tE0zunoIbsTVV16HeL0oJ6trHQeQ7K8/edit?usp=sharing"",""เชียงใหม่!J438"")"),0)</f>
        <v>0</v>
      </c>
      <c r="AT16" s="152">
        <f ca="1">IFERROR(__xludf.DUMMYFUNCTION("IMPORTRANGE(""https://docs.google.com/spreadsheets/d/1rEDxBtusbi64tE0zunoIbsTVV16HeL0oJ6trHQeQ7K8/edit?usp=sharing"",""เชียงใหม่!J439"")"),0)</f>
        <v>0</v>
      </c>
      <c r="AU16" s="152">
        <f ca="1">IFERROR(__xludf.DUMMYFUNCTION("IMPORTRANGE(""https://docs.google.com/spreadsheets/d/1rEDxBtusbi64tE0zunoIbsTVV16HeL0oJ6trHQeQ7K8/edit?usp=sharing"",""เชียงใหม่!I440"")"),0)</f>
        <v>0</v>
      </c>
      <c r="AV16" s="152">
        <f ca="1">IFERROR(__xludf.DUMMYFUNCTION("IMPORTRANGE(""https://docs.google.com/spreadsheets/d/1rEDxBtusbi64tE0zunoIbsTVV16HeL0oJ6trHQeQ7K8/edit?usp=sharing"",""เชียงใหม่!I441"")"),0)</f>
        <v>0</v>
      </c>
      <c r="AW16" s="152">
        <f ca="1">IFERROR(__xludf.DUMMYFUNCTION("IMPORTRANGE(""https://docs.google.com/spreadsheets/d/1rEDxBtusbi64tE0zunoIbsTVV16HeL0oJ6trHQeQ7K8/edit?usp=sharing"",""เชียงใหม่!J440"")"),0)</f>
        <v>0</v>
      </c>
      <c r="AX16" s="216">
        <f t="shared" ca="1" si="62"/>
        <v>0</v>
      </c>
      <c r="AY16" s="152">
        <f ca="1">IFERROR(__xludf.DUMMYFUNCTION("IMPORTRANGE(""https://docs.google.com/spreadsheets/d/1rEDxBtusbi64tE0zunoIbsTVV16HeL0oJ6trHQeQ7K8/edit?usp=sharing"",""เชียงใหม่!J441"")"),0)</f>
        <v>0</v>
      </c>
      <c r="AZ16" s="216">
        <f t="shared" ca="1" si="63"/>
        <v>0</v>
      </c>
      <c r="BA16" s="152">
        <f ca="1">IFERROR(__xludf.DUMMYFUNCTION("IMPORTRANGE(""https://docs.google.com/spreadsheets/d/1rEDxBtusbi64tE0zunoIbsTVV16HeL0oJ6trHQeQ7K8/edit?usp=sharing"",""เชียงใหม่!J442"")"),0)</f>
        <v>0</v>
      </c>
      <c r="BB16" s="152">
        <f ca="1">IFERROR(__xludf.DUMMYFUNCTION("IMPORTRANGE(""https://docs.google.com/spreadsheets/d/1rEDxBtusbi64tE0zunoIbsTVV16HeL0oJ6trHQeQ7K8/edit?usp=sharing"",""เชียงใหม่!J443"")"),0)</f>
        <v>0</v>
      </c>
      <c r="BC16" s="152">
        <f ca="1">IFERROR(__xludf.DUMMYFUNCTION("IMPORTRANGE(""https://docs.google.com/spreadsheets/d/1rEDxBtusbi64tE0zunoIbsTVV16HeL0oJ6trHQeQ7K8/edit?usp=sharing"",""เชียงใหม่!J444"")"),0)</f>
        <v>0</v>
      </c>
      <c r="BD16" s="152">
        <f ca="1">IFERROR(__xludf.DUMMYFUNCTION("IMPORTRANGE(""https://docs.google.com/spreadsheets/d/1rEDxBtusbi64tE0zunoIbsTVV16HeL0oJ6trHQeQ7K8/edit?usp=sharing"",""เชียงใหม่!J445"")"),0)</f>
        <v>0</v>
      </c>
      <c r="BE16" s="152">
        <f ca="1">IFERROR(__xludf.DUMMYFUNCTION("IMPORTRANGE(""https://docs.google.com/spreadsheets/d/1rEDxBtusbi64tE0zunoIbsTVV16HeL0oJ6trHQeQ7K8/edit?usp=sharing"",""เชียงใหม่!J446"")"),0)</f>
        <v>0</v>
      </c>
      <c r="BF16" s="152">
        <f ca="1">IFERROR(__xludf.DUMMYFUNCTION("IMPORTRANGE(""https://docs.google.com/spreadsheets/d/1rEDxBtusbi64tE0zunoIbsTVV16HeL0oJ6trHQeQ7K8/edit?usp=sharing"",""เชียงใหม่!J447"")"),0)</f>
        <v>0</v>
      </c>
      <c r="BG16" s="152">
        <f ca="1">IFERROR(__xludf.DUMMYFUNCTION("IMPORTRANGE(""https://docs.google.com/spreadsheets/d/1rEDxBtusbi64tE0zunoIbsTVV16HeL0oJ6trHQeQ7K8/edit?usp=sharing"",""เชียงใหม่!J448"")"),0)</f>
        <v>0</v>
      </c>
      <c r="BH16" s="152">
        <f ca="1">IFERROR(__xludf.DUMMYFUNCTION("IMPORTRANGE(""https://docs.google.com/spreadsheets/d/1rEDxBtusbi64tE0zunoIbsTVV16HeL0oJ6trHQeQ7K8/edit?usp=sharing"",""เชียงใหม่!J449"")"),0)</f>
        <v>0</v>
      </c>
      <c r="BI16" s="152">
        <f ca="1">IFERROR(__xludf.DUMMYFUNCTION("IMPORTRANGE(""https://docs.google.com/spreadsheets/d/1rEDxBtusbi64tE0zunoIbsTVV16HeL0oJ6trHQeQ7K8/edit?usp=sharing"",""เชียงใหม่!J450"")"),0)</f>
        <v>0</v>
      </c>
      <c r="BJ16" s="152">
        <f ca="1">IFERROR(__xludf.DUMMYFUNCTION("IMPORTRANGE(""https://docs.google.com/spreadsheets/d/1rEDxBtusbi64tE0zunoIbsTVV16HeL0oJ6trHQeQ7K8/edit?usp=sharing"",""เชียงใหม่!J451"")"),0)</f>
        <v>0</v>
      </c>
      <c r="BK16" s="152">
        <f ca="1">IFERROR(__xludf.DUMMYFUNCTION("IMPORTRANGE(""https://docs.google.com/spreadsheets/d/1rEDxBtusbi64tE0zunoIbsTVV16HeL0oJ6trHQeQ7K8/edit?usp=sharing"",""เชียงใหม่!J452"")"),0)</f>
        <v>0</v>
      </c>
      <c r="BL16" s="152">
        <f ca="1">IFERROR(__xludf.DUMMYFUNCTION("IMPORTRANGE(""https://docs.google.com/spreadsheets/d/1rEDxBtusbi64tE0zunoIbsTVV16HeL0oJ6trHQeQ7K8/edit?usp=sharing"",""เชียงใหม่!J453"")"),0)</f>
        <v>0</v>
      </c>
      <c r="BM16" s="152">
        <f ca="1">IFERROR(__xludf.DUMMYFUNCTION("IMPORTRANGE(""https://docs.google.com/spreadsheets/d/1rEDxBtusbi64tE0zunoIbsTVV16HeL0oJ6trHQeQ7K8/edit?usp=sharing"",""เชียงใหม่!J454"")"),0)</f>
        <v>0</v>
      </c>
      <c r="BN16" s="152">
        <f ca="1">IFERROR(__xludf.DUMMYFUNCTION("IMPORTRANGE(""https://docs.google.com/spreadsheets/d/1rEDxBtusbi64tE0zunoIbsTVV16HeL0oJ6trHQeQ7K8/edit?usp=sharing"",""เชียงใหม่!J455"")"),0)</f>
        <v>0</v>
      </c>
      <c r="BO16" s="152">
        <f ca="1">IFERROR(__xludf.DUMMYFUNCTION("IMPORTRANGE(""https://docs.google.com/spreadsheets/d/1rEDxBtusbi64tE0zunoIbsTVV16HeL0oJ6trHQeQ7K8/edit?usp=sharing"",""เชียงใหม่!I457"")"),486.83)</f>
        <v>486.83</v>
      </c>
      <c r="BP16" s="152">
        <f ca="1">IFERROR(__xludf.DUMMYFUNCTION("IMPORTRANGE(""https://docs.google.com/spreadsheets/d/1rEDxBtusbi64tE0zunoIbsTVV16HeL0oJ6trHQeQ7K8/edit?usp=sharing"",""เชียงใหม่!I458"")"),119)</f>
        <v>119</v>
      </c>
      <c r="BQ16" s="152">
        <f ca="1">IFERROR(__xludf.DUMMYFUNCTION("IMPORTRANGE(""https://docs.google.com/spreadsheets/d/1rEDxBtusbi64tE0zunoIbsTVV16HeL0oJ6trHQeQ7K8/edit?usp=sharing"",""เชียงใหม่!J457"")"),345)</f>
        <v>345</v>
      </c>
      <c r="BR16" s="216">
        <f t="shared" ca="1" si="65"/>
        <v>70.866626953967511</v>
      </c>
      <c r="BS16" s="152">
        <f ca="1">IFERROR(__xludf.DUMMYFUNCTION("IMPORTRANGE(""https://docs.google.com/spreadsheets/d/1rEDxBtusbi64tE0zunoIbsTVV16HeL0oJ6trHQeQ7K8/edit?usp=sharing"",""เชียงใหม่!J458"")"),68)</f>
        <v>68</v>
      </c>
      <c r="BT16" s="216">
        <f t="shared" ca="1" si="66"/>
        <v>57.142857142857146</v>
      </c>
      <c r="BU16" s="152">
        <f ca="1">IFERROR(__xludf.DUMMYFUNCTION("IMPORTRANGE(""https://docs.google.com/spreadsheets/d/1rEDxBtusbi64tE0zunoIbsTVV16HeL0oJ6trHQeQ7K8/edit?usp=sharing"",""เชียงใหม่!J459"")"),303)</f>
        <v>303</v>
      </c>
      <c r="BV16" s="152">
        <f ca="1">IFERROR(__xludf.DUMMYFUNCTION("IMPORTRANGE(""https://docs.google.com/spreadsheets/d/1rEDxBtusbi64tE0zunoIbsTVV16HeL0oJ6trHQeQ7K8/edit?usp=sharing"",""เชียงใหม่!J460"")"),62)</f>
        <v>62</v>
      </c>
      <c r="BW16" s="152">
        <f ca="1">IFERROR(__xludf.DUMMYFUNCTION("IMPORTRANGE(""https://docs.google.com/spreadsheets/d/1rEDxBtusbi64tE0zunoIbsTVV16HeL0oJ6trHQeQ7K8/edit?usp=sharing"",""เชียงใหม่!J461"")"),108)</f>
        <v>108</v>
      </c>
      <c r="BX16" s="152">
        <f ca="1">IFERROR(__xludf.DUMMYFUNCTION("IMPORTRANGE(""https://docs.google.com/spreadsheets/d/1rEDxBtusbi64tE0zunoIbsTVV16HeL0oJ6trHQeQ7K8/edit?usp=sharing"",""เชียงใหม่!J462"")"),21)</f>
        <v>21</v>
      </c>
      <c r="BY16" s="152">
        <f ca="1">IFERROR(__xludf.DUMMYFUNCTION("IMPORTRANGE(""https://docs.google.com/spreadsheets/d/1rEDxBtusbi64tE0zunoIbsTVV16HeL0oJ6trHQeQ7K8/edit?usp=sharing"",""เชียงใหม่!J463"")"),195)</f>
        <v>195</v>
      </c>
      <c r="BZ16" s="152">
        <f ca="1">IFERROR(__xludf.DUMMYFUNCTION("IMPORTRANGE(""https://docs.google.com/spreadsheets/d/1rEDxBtusbi64tE0zunoIbsTVV16HeL0oJ6trHQeQ7K8/edit?usp=sharing"",""เชียงใหม่!J464"")"),41)</f>
        <v>41</v>
      </c>
      <c r="CA16" s="152">
        <f ca="1">IFERROR(__xludf.DUMMYFUNCTION("IMPORTRANGE(""https://docs.google.com/spreadsheets/d/1rEDxBtusbi64tE0zunoIbsTVV16HeL0oJ6trHQeQ7K8/edit?usp=sharing"",""เชียงใหม่!J465"")"),0)</f>
        <v>0</v>
      </c>
      <c r="CB16" s="152">
        <f ca="1">IFERROR(__xludf.DUMMYFUNCTION("IMPORTRANGE(""https://docs.google.com/spreadsheets/d/1rEDxBtusbi64tE0zunoIbsTVV16HeL0oJ6trHQeQ7K8/edit?usp=sharing"",""เชียงใหม่!J466"")"),0)</f>
        <v>0</v>
      </c>
      <c r="CC16" s="152">
        <f ca="1">IFERROR(__xludf.DUMMYFUNCTION("IMPORTRANGE(""https://docs.google.com/spreadsheets/d/1rEDxBtusbi64tE0zunoIbsTVV16HeL0oJ6trHQeQ7K8/edit?usp=sharing"",""เชียงใหม่!J467"")"),0)</f>
        <v>0</v>
      </c>
      <c r="CD16" s="152">
        <f ca="1">IFERROR(__xludf.DUMMYFUNCTION("IMPORTRANGE(""https://docs.google.com/spreadsheets/d/1rEDxBtusbi64tE0zunoIbsTVV16HeL0oJ6trHQeQ7K8/edit?usp=sharing"",""เชียงใหม่!J468"")"),0)</f>
        <v>0</v>
      </c>
      <c r="CE16" s="152">
        <f ca="1">IFERROR(__xludf.DUMMYFUNCTION("IMPORTRANGE(""https://docs.google.com/spreadsheets/d/1rEDxBtusbi64tE0zunoIbsTVV16HeL0oJ6trHQeQ7K8/edit?usp=sharing"",""เชียงใหม่!J469"")"),0)</f>
        <v>0</v>
      </c>
      <c r="CF16" s="152">
        <f ca="1">IFERROR(__xludf.DUMMYFUNCTION("IMPORTRANGE(""https://docs.google.com/spreadsheets/d/1rEDxBtusbi64tE0zunoIbsTVV16HeL0oJ6trHQeQ7K8/edit?usp=sharing"",""เชียงใหม่!J470"")"),0)</f>
        <v>0</v>
      </c>
      <c r="CG16" s="152">
        <f ca="1">IFERROR(__xludf.DUMMYFUNCTION("IMPORTRANGE(""https://docs.google.com/spreadsheets/d/1rEDxBtusbi64tE0zunoIbsTVV16HeL0oJ6trHQeQ7K8/edit?usp=sharing"",""เชียงใหม่!J471"")"),0)</f>
        <v>0</v>
      </c>
      <c r="CH16" s="152">
        <f ca="1">IFERROR(__xludf.DUMMYFUNCTION("IMPORTRANGE(""https://docs.google.com/spreadsheets/d/1rEDxBtusbi64tE0zunoIbsTVV16HeL0oJ6trHQeQ7K8/edit?usp=sharing"",""เชียงใหม่!J472"")"),0)</f>
        <v>0</v>
      </c>
      <c r="CI16" s="152">
        <f ca="1">IFERROR(__xludf.DUMMYFUNCTION("IMPORTRANGE(""https://docs.google.com/spreadsheets/d/1rEDxBtusbi64tE0zunoIbsTVV16HeL0oJ6trHQeQ7K8/edit?usp=sharing"",""เชียงใหม่!J473"")"),42)</f>
        <v>42</v>
      </c>
      <c r="CJ16" s="152">
        <f ca="1">IFERROR(__xludf.DUMMYFUNCTION("IMPORTRANGE(""https://docs.google.com/spreadsheets/d/1rEDxBtusbi64tE0zunoIbsTVV16HeL0oJ6trHQeQ7K8/edit?usp=sharing"",""เชียงใหม่!J474"")"),6)</f>
        <v>6</v>
      </c>
      <c r="CK16" s="278">
        <f ca="1">IFERROR(__xludf.DUMMYFUNCTION("IMPORTRANGE(""https://docs.google.com/spreadsheets/d/1rEDxBtusbi64tE0zunoIbsTVV16HeL0oJ6trHQeQ7K8/edit?usp=sharing"",""เชียงใหม่!I476"")"),0)</f>
        <v>0</v>
      </c>
      <c r="CL16" s="278">
        <f ca="1">IFERROR(__xludf.DUMMYFUNCTION("IMPORTRANGE(""https://docs.google.com/spreadsheets/d/1rEDxBtusbi64tE0zunoIbsTVV16HeL0oJ6trHQeQ7K8/edit?usp=sharing"",""เชียงใหม่!I477"")"),0)</f>
        <v>0</v>
      </c>
      <c r="CM16" s="278">
        <f ca="1">IFERROR(__xludf.DUMMYFUNCTION("IMPORTRANGE(""https://docs.google.com/spreadsheets/d/1rEDxBtusbi64tE0zunoIbsTVV16HeL0oJ6trHQeQ7K8/edit?usp=sharing"",""เชียงใหม่!J476"")"),0)</f>
        <v>0</v>
      </c>
      <c r="CN16" s="216">
        <f t="shared" ca="1" si="68"/>
        <v>0</v>
      </c>
      <c r="CO16" s="278">
        <f ca="1">IFERROR(__xludf.DUMMYFUNCTION("IMPORTRANGE(""https://docs.google.com/spreadsheets/d/1rEDxBtusbi64tE0zunoIbsTVV16HeL0oJ6trHQeQ7K8/edit?usp=sharing"",""เชียงใหม่!J477"")"),0)</f>
        <v>0</v>
      </c>
      <c r="CP16" s="216">
        <f t="shared" ca="1" si="69"/>
        <v>0</v>
      </c>
      <c r="CQ16" s="278">
        <f ca="1">IFERROR(__xludf.DUMMYFUNCTION("IMPORTRANGE(""https://docs.google.com/spreadsheets/d/1rEDxBtusbi64tE0zunoIbsTVV16HeL0oJ6trHQeQ7K8/edit?usp=sharing"",""เชียงใหม่!J478"")"),0)</f>
        <v>0</v>
      </c>
      <c r="CR16" s="278">
        <f ca="1">IFERROR(__xludf.DUMMYFUNCTION("IMPORTRANGE(""https://docs.google.com/spreadsheets/d/1rEDxBtusbi64tE0zunoIbsTVV16HeL0oJ6trHQeQ7K8/edit?usp=sharing"",""เชียงใหม่!J479"")"),0)</f>
        <v>0</v>
      </c>
      <c r="CS16" s="278">
        <f ca="1">IFERROR(__xludf.DUMMYFUNCTION("IMPORTRANGE(""https://docs.google.com/spreadsheets/d/1rEDxBtusbi64tE0zunoIbsTVV16HeL0oJ6trHQeQ7K8/edit?usp=sharing"",""เชียงใหม่!J480"")"),0)</f>
        <v>0</v>
      </c>
      <c r="CT16" s="278">
        <f ca="1">IFERROR(__xludf.DUMMYFUNCTION("IMPORTRANGE(""https://docs.google.com/spreadsheets/d/1rEDxBtusbi64tE0zunoIbsTVV16HeL0oJ6trHQeQ7K8/edit?usp=sharing"",""เชียงใหม่!J481"")"),0)</f>
        <v>0</v>
      </c>
      <c r="CU16" s="278">
        <f ca="1">IFERROR(__xludf.DUMMYFUNCTION("IMPORTRANGE(""https://docs.google.com/spreadsheets/d/1rEDxBtusbi64tE0zunoIbsTVV16HeL0oJ6trHQeQ7K8/edit?usp=sharing"",""เชียงใหม่!I484"")"),0)</f>
        <v>0</v>
      </c>
      <c r="CV16" s="278">
        <f ca="1">IFERROR(__xludf.DUMMYFUNCTION("IMPORTRANGE(""https://docs.google.com/spreadsheets/d/1rEDxBtusbi64tE0zunoIbsTVV16HeL0oJ6trHQeQ7K8/edit?usp=sharing"",""เชียงใหม่!I485"")"),0)</f>
        <v>0</v>
      </c>
      <c r="CW16" s="278">
        <f ca="1">IFERROR(__xludf.DUMMYFUNCTION("IMPORTRANGE(""https://docs.google.com/spreadsheets/d/1rEDxBtusbi64tE0zunoIbsTVV16HeL0oJ6trHQeQ7K8/edit?usp=sharing"",""เชียงใหม่!J484"")"),0)</f>
        <v>0</v>
      </c>
      <c r="CX16" s="216">
        <f t="shared" ca="1" si="71"/>
        <v>0</v>
      </c>
      <c r="CY16" s="278">
        <f ca="1">IFERROR(__xludf.DUMMYFUNCTION("IMPORTRANGE(""https://docs.google.com/spreadsheets/d/1rEDxBtusbi64tE0zunoIbsTVV16HeL0oJ6trHQeQ7K8/edit?usp=sharing"",""เชียงใหม่!J485"")"),0)</f>
        <v>0</v>
      </c>
      <c r="CZ16" s="216">
        <f t="shared" ca="1" si="72"/>
        <v>0</v>
      </c>
      <c r="DA16" s="278">
        <f ca="1">IFERROR(__xludf.DUMMYFUNCTION("IMPORTRANGE(""https://docs.google.com/spreadsheets/d/1rEDxBtusbi64tE0zunoIbsTVV16HeL0oJ6trHQeQ7K8/edit?usp=sharing"",""เชียงใหม่!J486"")"),0)</f>
        <v>0</v>
      </c>
      <c r="DB16" s="278">
        <f ca="1">IFERROR(__xludf.DUMMYFUNCTION("IMPORTRANGE(""https://docs.google.com/spreadsheets/d/1rEDxBtusbi64tE0zunoIbsTVV16HeL0oJ6trHQeQ7K8/edit?usp=sharing"",""เชียงใหม่!J487"")"),0)</f>
        <v>0</v>
      </c>
      <c r="DC16" s="278">
        <f ca="1">IFERROR(__xludf.DUMMYFUNCTION("IMPORTRANGE(""https://docs.google.com/spreadsheets/d/1rEDxBtusbi64tE0zunoIbsTVV16HeL0oJ6trHQeQ7K8/edit?usp=sharing"",""เชียงใหม่!J488"")"),0)</f>
        <v>0</v>
      </c>
      <c r="DD16" s="278">
        <f ca="1">IFERROR(__xludf.DUMMYFUNCTION("IMPORTRANGE(""https://docs.google.com/spreadsheets/d/1rEDxBtusbi64tE0zunoIbsTVV16HeL0oJ6trHQeQ7K8/edit?usp=sharing"",""เชียงใหม่!J489"")"),0)</f>
        <v>0</v>
      </c>
      <c r="DE16" s="278">
        <f ca="1">IFERROR(__xludf.DUMMYFUNCTION("IMPORTRANGE(""https://docs.google.com/spreadsheets/d/1rEDxBtusbi64tE0zunoIbsTVV16HeL0oJ6trHQeQ7K8/edit?usp=sharing"",""เชียงใหม่!J490"")"),0)</f>
        <v>0</v>
      </c>
      <c r="DF16" s="278">
        <f ca="1">IFERROR(__xludf.DUMMYFUNCTION("IMPORTRANGE(""https://docs.google.com/spreadsheets/d/1rEDxBtusbi64tE0zunoIbsTVV16HeL0oJ6trHQeQ7K8/edit?usp=sharing"",""เชียงใหม่!J491"")"),0)</f>
        <v>0</v>
      </c>
    </row>
    <row r="17" spans="1:110" ht="19.5" x14ac:dyDescent="0.3">
      <c r="A17" s="147">
        <v>4</v>
      </c>
      <c r="B17" s="148" t="s">
        <v>45</v>
      </c>
      <c r="C17" s="566">
        <f t="shared" ca="1" si="44"/>
        <v>390430</v>
      </c>
      <c r="D17" s="567">
        <f t="shared" ca="1" si="74"/>
        <v>390430</v>
      </c>
      <c r="E17" s="329">
        <f ca="1">IFERROR(__xludf.DUMMYFUNCTION("IMPORTRANGE(""https://docs.google.com/spreadsheets/d/1-uDff_7J0KD5mKrp0Vvzr7lt3OU09vwQwhkpOPPYv2Y/edit?usp=sharing"",""งบพรบ!IP17"")"),255500)</f>
        <v>255500</v>
      </c>
      <c r="F17" s="329">
        <f ca="1">IFERROR(__xludf.DUMMYFUNCTION("IMPORTRANGE(""https://docs.google.com/spreadsheets/d/1-uDff_7J0KD5mKrp0Vvzr7lt3OU09vwQwhkpOPPYv2Y/edit?usp=sharing"",""งบพรบ!IQ17"")"),134930)</f>
        <v>134930</v>
      </c>
      <c r="G17" s="329">
        <f ca="1">IFERROR(__xludf.DUMMYFUNCTION("IMPORTRANGE(""https://docs.google.com/spreadsheets/d/1-uDff_7J0KD5mKrp0Vvzr7lt3OU09vwQwhkpOPPYv2Y/edit?usp=sharing"",""งบพรบ!IR17"")"),0)</f>
        <v>0</v>
      </c>
      <c r="H17" s="329">
        <f ca="1">IFERROR(__xludf.DUMMYFUNCTION("IMPORTRANGE(""https://docs.google.com/spreadsheets/d/1-uDff_7J0KD5mKrp0Vvzr7lt3OU09vwQwhkpOPPYv2Y/edit?usp=sharing"",""งบพรบ!IT17"")"),390430)</f>
        <v>390430</v>
      </c>
      <c r="I17" s="329">
        <f ca="1">IFERROR(__xludf.DUMMYFUNCTION("IMPORTRANGE(""https://docs.google.com/spreadsheets/d/1-uDff_7J0KD5mKrp0Vvzr7lt3OU09vwQwhkpOPPYv2Y/edit?usp=sharing"",""งบพรบ!IU17"")"),0)</f>
        <v>0</v>
      </c>
      <c r="J17" s="329">
        <f t="shared" ca="1" si="46"/>
        <v>180919</v>
      </c>
      <c r="K17" s="568">
        <f t="shared" ca="1" si="47"/>
        <v>46.338396127346769</v>
      </c>
      <c r="L17" s="329">
        <f ca="1">IFERROR(__xludf.DUMMYFUNCTION("IMPORTRANGE(""https://docs.google.com/spreadsheets/d/1-uDff_7J0KD5mKrp0Vvzr7lt3OU09vwQwhkpOPPYv2Y/edit?usp=sharing"",""งบพรบ!IV17"")"),180919)</f>
        <v>180919</v>
      </c>
      <c r="M17" s="330">
        <f t="shared" ca="1" si="48"/>
        <v>46.338396127346769</v>
      </c>
      <c r="N17" s="330">
        <f t="shared" ca="1" si="49"/>
        <v>46.338396127346769</v>
      </c>
      <c r="O17" s="569">
        <f ca="1">IFERROR(__xludf.DUMMYFUNCTION("IMPORTRANGE(""https://docs.google.com/spreadsheets/d/1-uDff_7J0KD5mKrp0Vvzr7lt3OU09vwQwhkpOPPYv2Y/edit?usp=sharing"",""งบพรบ!IW17"")"),0)</f>
        <v>0</v>
      </c>
      <c r="P17" s="569">
        <f t="shared" ca="1" si="50"/>
        <v>0</v>
      </c>
      <c r="Q17" s="330">
        <f t="shared" ca="1" si="51"/>
        <v>0</v>
      </c>
      <c r="R17" s="564">
        <f ca="1">IFERROR(__xludf.DUMMYFUNCTION("IMPORTRANGE(""https://docs.google.com/spreadsheets/d/1W6MnUbDkMi6xHnHko_XkFDO9kkuL6Wqyc-6OCDFjW9I/edit?usp=sharing"",""ตาก!Q413"")"),53910)</f>
        <v>53910</v>
      </c>
      <c r="S17" s="564">
        <f ca="1">IFERROR(__xludf.DUMMYFUNCTION("IMPORTRANGE(""https://docs.google.com/spreadsheets/d/1W6MnUbDkMi6xHnHko_XkFDO9kkuL6Wqyc-6OCDFjW9I/edit?usp=sharing"",""ตาก!R413"")"),53910)</f>
        <v>53910</v>
      </c>
      <c r="T17" s="564">
        <f ca="1">IFERROR(__xludf.DUMMYFUNCTION("IMPORTRANGE(""https://docs.google.com/spreadsheets/d/1W6MnUbDkMi6xHnHko_XkFDO9kkuL6Wqyc-6OCDFjW9I/edit?usp=sharing"",""ตาก!S413"")"),0)</f>
        <v>0</v>
      </c>
      <c r="U17" s="565">
        <f t="shared" ca="1" si="53"/>
        <v>0</v>
      </c>
      <c r="V17" s="565">
        <f t="shared" ca="1" si="54"/>
        <v>0</v>
      </c>
      <c r="W17" s="152">
        <f ca="1">IFERROR(__xludf.DUMMYFUNCTION("IMPORTRANGE(""https://docs.google.com/spreadsheets/d/1W6MnUbDkMi6xHnHko_XkFDO9kkuL6Wqyc-6OCDFjW9I/edit?usp=sharing"",""ตาก!I424"")"),14465)</f>
        <v>14465</v>
      </c>
      <c r="X17" s="152">
        <f ca="1">IFERROR(__xludf.DUMMYFUNCTION("IMPORTRANGE(""https://docs.google.com/spreadsheets/d/1W6MnUbDkMi6xHnHko_XkFDO9kkuL6Wqyc-6OCDFjW9I/edit?usp=sharing"",""ตาก!I425"")"),1899)</f>
        <v>1899</v>
      </c>
      <c r="Y17" s="152">
        <f ca="1">IFERROR(__xludf.DUMMYFUNCTION("IMPORTRANGE(""https://docs.google.com/spreadsheets/d/1W6MnUbDkMi6xHnHko_XkFDO9kkuL6Wqyc-6OCDFjW9I/edit?usp=sharing"",""ตาก!J424"")"),13804.1099999999)</f>
        <v>13804.109999999901</v>
      </c>
      <c r="Z17" s="216">
        <f t="shared" ca="1" si="56"/>
        <v>95.431109574835119</v>
      </c>
      <c r="AA17" s="152">
        <f ca="1">IFERROR(__xludf.DUMMYFUNCTION("IMPORTRANGE(""https://docs.google.com/spreadsheets/d/1W6MnUbDkMi6xHnHko_XkFDO9kkuL6Wqyc-6OCDFjW9I/edit?usp=sharing"",""ตาก!J425"")"),1827)</f>
        <v>1827</v>
      </c>
      <c r="AB17" s="216">
        <f t="shared" ca="1" si="57"/>
        <v>96.208530805687204</v>
      </c>
      <c r="AC17" s="152">
        <f ca="1">IFERROR(__xludf.DUMMYFUNCTION("IMPORTRANGE(""https://docs.google.com/spreadsheets/d/1W6MnUbDkMi6xHnHko_XkFDO9kkuL6Wqyc-6OCDFjW9I/edit?usp=sharing"",""ตาก!J426"")"),12137.81)</f>
        <v>12137.81</v>
      </c>
      <c r="AD17" s="152">
        <f ca="1">IFERROR(__xludf.DUMMYFUNCTION("IMPORTRANGE(""https://docs.google.com/spreadsheets/d/1W6MnUbDkMi6xHnHko_XkFDO9kkuL6Wqyc-6OCDFjW9I/edit?usp=sharing"",""ตาก!J427"")"),1636)</f>
        <v>1636</v>
      </c>
      <c r="AE17" s="152">
        <f ca="1">IFERROR(__xludf.DUMMYFUNCTION("IMPORTRANGE(""https://docs.google.com/spreadsheets/d/1W6MnUbDkMi6xHnHko_XkFDO9kkuL6Wqyc-6OCDFjW9I/edit?usp=sharing"",""ตาก!J428"")"),834.3)</f>
        <v>834.3</v>
      </c>
      <c r="AF17" s="152">
        <f ca="1">IFERROR(__xludf.DUMMYFUNCTION("IMPORTRANGE(""https://docs.google.com/spreadsheets/d/1W6MnUbDkMi6xHnHko_XkFDO9kkuL6Wqyc-6OCDFjW9I/edit?usp=sharing"",""ตาก!J429"")"),100)</f>
        <v>100</v>
      </c>
      <c r="AG17" s="152">
        <f ca="1">IFERROR(__xludf.DUMMYFUNCTION("IMPORTRANGE(""https://docs.google.com/spreadsheets/d/1W6MnUbDkMi6xHnHko_XkFDO9kkuL6Wqyc-6OCDFjW9I/edit?usp=sharing"",""ตาก!J430"")"),832)</f>
        <v>832</v>
      </c>
      <c r="AH17" s="152">
        <f ca="1">IFERROR(__xludf.DUMMYFUNCTION("IMPORTRANGE(""https://docs.google.com/spreadsheets/d/1W6MnUbDkMi6xHnHko_XkFDO9kkuL6Wqyc-6OCDFjW9I/edit?usp=sharing"",""ตาก!J431"")"),91)</f>
        <v>91</v>
      </c>
      <c r="AI17" s="152">
        <f ca="1">IFERROR(__xludf.DUMMYFUNCTION("IMPORTRANGE(""https://docs.google.com/spreadsheets/d/1W6MnUbDkMi6xHnHko_XkFDO9kkuL6Wqyc-6OCDFjW9I/edit?usp=sharing"",""ตาก!I432"")"),14465)</f>
        <v>14465</v>
      </c>
      <c r="AJ17" s="152">
        <f ca="1">IFERROR(__xludf.DUMMYFUNCTION("IMPORTRANGE(""https://docs.google.com/spreadsheets/d/1W6MnUbDkMi6xHnHko_XkFDO9kkuL6Wqyc-6OCDFjW9I/edit?usp=sharing"",""ตาก!I433"")"),1899)</f>
        <v>1899</v>
      </c>
      <c r="AK17" s="216">
        <f ca="1">IFERROR(__xludf.DUMMYFUNCTION("IMPORTRANGE(""https://docs.google.com/spreadsheets/d/1W6MnUbDkMi6xHnHko_XkFDO9kkuL6Wqyc-6OCDFjW9I/edit?usp=sharing"",""ตาก!J432"")"),13736.9499999999)</f>
        <v>13736.949999999901</v>
      </c>
      <c r="AL17" s="216">
        <f t="shared" ca="1" si="59"/>
        <v>94.966816453507775</v>
      </c>
      <c r="AM17" s="152">
        <f ca="1">IFERROR(__xludf.DUMMYFUNCTION("IMPORTRANGE(""https://docs.google.com/spreadsheets/d/1W6MnUbDkMi6xHnHko_XkFDO9kkuL6Wqyc-6OCDFjW9I/edit?usp=sharing"",""ตาก!J433"")"),1814)</f>
        <v>1814</v>
      </c>
      <c r="AN17" s="216">
        <f t="shared" ca="1" si="60"/>
        <v>95.523959978936276</v>
      </c>
      <c r="AO17" s="152">
        <f ca="1">IFERROR(__xludf.DUMMYFUNCTION("IMPORTRANGE(""https://docs.google.com/spreadsheets/d/1W6MnUbDkMi6xHnHko_XkFDO9kkuL6Wqyc-6OCDFjW9I/edit?usp=sharing"",""ตาก!J434"")"),12749.75)</f>
        <v>12749.75</v>
      </c>
      <c r="AP17" s="152">
        <f ca="1">IFERROR(__xludf.DUMMYFUNCTION("IMPORTRANGE(""https://docs.google.com/spreadsheets/d/1W6MnUbDkMi6xHnHko_XkFDO9kkuL6Wqyc-6OCDFjW9I/edit?usp=sharing"",""ตาก!J435"")"),1701)</f>
        <v>1701</v>
      </c>
      <c r="AQ17" s="152">
        <f ca="1">IFERROR(__xludf.DUMMYFUNCTION("IMPORTRANGE(""https://docs.google.com/spreadsheets/d/1W6MnUbDkMi6xHnHko_XkFDO9kkuL6Wqyc-6OCDFjW9I/edit?usp=sharing"",""ตาก!J436"")"),120.8)</f>
        <v>120.8</v>
      </c>
      <c r="AR17" s="152">
        <f ca="1">IFERROR(__xludf.DUMMYFUNCTION("IMPORTRANGE(""https://docs.google.com/spreadsheets/d/1W6MnUbDkMi6xHnHko_XkFDO9kkuL6Wqyc-6OCDFjW9I/edit?usp=sharing"",""ตาก!J437"")"),19)</f>
        <v>19</v>
      </c>
      <c r="AS17" s="152">
        <f ca="1">IFERROR(__xludf.DUMMYFUNCTION("IMPORTRANGE(""https://docs.google.com/spreadsheets/d/1W6MnUbDkMi6xHnHko_XkFDO9kkuL6Wqyc-6OCDFjW9I/edit?usp=sharing"",""ตาก!J438"")"),866.4)</f>
        <v>866.4</v>
      </c>
      <c r="AT17" s="152">
        <f ca="1">IFERROR(__xludf.DUMMYFUNCTION("IMPORTRANGE(""https://docs.google.com/spreadsheets/d/1W6MnUbDkMi6xHnHko_XkFDO9kkuL6Wqyc-6OCDFjW9I/edit?usp=sharing"",""ตาก!J439"")"),94)</f>
        <v>94</v>
      </c>
      <c r="AU17" s="152">
        <f ca="1">IFERROR(__xludf.DUMMYFUNCTION("IMPORTRANGE(""https://docs.google.com/spreadsheets/d/1W6MnUbDkMi6xHnHko_XkFDO9kkuL6Wqyc-6OCDFjW9I/edit?usp=sharing"",""ตาก!I440"")"),14465)</f>
        <v>14465</v>
      </c>
      <c r="AV17" s="152">
        <f ca="1">IFERROR(__xludf.DUMMYFUNCTION("IMPORTRANGE(""https://docs.google.com/spreadsheets/d/1W6MnUbDkMi6xHnHko_XkFDO9kkuL6Wqyc-6OCDFjW9I/edit?usp=sharing"",""ตาก!I441"")"),1899)</f>
        <v>1899</v>
      </c>
      <c r="AW17" s="152">
        <f ca="1">IFERROR(__xludf.DUMMYFUNCTION("IMPORTRANGE(""https://docs.google.com/spreadsheets/d/1W6MnUbDkMi6xHnHko_XkFDO9kkuL6Wqyc-6OCDFjW9I/edit?usp=sharing"",""ตาก!J440"")"),13805.07)</f>
        <v>13805.07</v>
      </c>
      <c r="AX17" s="216">
        <f t="shared" ca="1" si="62"/>
        <v>95.437746284134121</v>
      </c>
      <c r="AY17" s="152">
        <f ca="1">IFERROR(__xludf.DUMMYFUNCTION("IMPORTRANGE(""https://docs.google.com/spreadsheets/d/1W6MnUbDkMi6xHnHko_XkFDO9kkuL6Wqyc-6OCDFjW9I/edit?usp=sharing"",""ตาก!J441"")"),1817)</f>
        <v>1817</v>
      </c>
      <c r="AZ17" s="216">
        <f t="shared" ca="1" si="63"/>
        <v>95.681937862032655</v>
      </c>
      <c r="BA17" s="152">
        <f ca="1">IFERROR(__xludf.DUMMYFUNCTION("IMPORTRANGE(""https://docs.google.com/spreadsheets/d/1W6MnUbDkMi6xHnHko_XkFDO9kkuL6Wqyc-6OCDFjW9I/edit?usp=sharing"",""ตาก!J442"")"),12229.2)</f>
        <v>12229.2</v>
      </c>
      <c r="BB17" s="152">
        <f ca="1">IFERROR(__xludf.DUMMYFUNCTION("IMPORTRANGE(""https://docs.google.com/spreadsheets/d/1W6MnUbDkMi6xHnHko_XkFDO9kkuL6Wqyc-6OCDFjW9I/edit?usp=sharing"",""ตาก!J443"")"),1649)</f>
        <v>1649</v>
      </c>
      <c r="BC17" s="152">
        <f ca="1">IFERROR(__xludf.DUMMYFUNCTION("IMPORTRANGE(""https://docs.google.com/spreadsheets/d/1W6MnUbDkMi6xHnHko_XkFDO9kkuL6Wqyc-6OCDFjW9I/edit?usp=sharing"",""ตาก!J444"")"),709.47)</f>
        <v>709.47</v>
      </c>
      <c r="BD17" s="152">
        <f ca="1">IFERROR(__xludf.DUMMYFUNCTION("IMPORTRANGE(""https://docs.google.com/spreadsheets/d/1W6MnUbDkMi6xHnHko_XkFDO9kkuL6Wqyc-6OCDFjW9I/edit?usp=sharing"",""ตาก!J445"")"),84)</f>
        <v>84</v>
      </c>
      <c r="BE17" s="152">
        <f ca="1">IFERROR(__xludf.DUMMYFUNCTION("IMPORTRANGE(""https://docs.google.com/spreadsheets/d/1W6MnUbDkMi6xHnHko_XkFDO9kkuL6Wqyc-6OCDFjW9I/edit?usp=sharing"",""ตาก!J446"")"),866.4)</f>
        <v>866.4</v>
      </c>
      <c r="BF17" s="152">
        <f ca="1">IFERROR(__xludf.DUMMYFUNCTION("IMPORTRANGE(""https://docs.google.com/spreadsheets/d/1W6MnUbDkMi6xHnHko_XkFDO9kkuL6Wqyc-6OCDFjW9I/edit?usp=sharing"",""ตาก!J447"")"),84)</f>
        <v>84</v>
      </c>
      <c r="BG17" s="152">
        <f ca="1">IFERROR(__xludf.DUMMYFUNCTION("IMPORTRANGE(""https://docs.google.com/spreadsheets/d/1W6MnUbDkMi6xHnHko_XkFDO9kkuL6Wqyc-6OCDFjW9I/edit?usp=sharing"",""ตาก!J448"")"),848.3)</f>
        <v>848.3</v>
      </c>
      <c r="BH17" s="152">
        <f ca="1">IFERROR(__xludf.DUMMYFUNCTION("IMPORTRANGE(""https://docs.google.com/spreadsheets/d/1W6MnUbDkMi6xHnHko_XkFDO9kkuL6Wqyc-6OCDFjW9I/edit?usp=sharing"",""ตาก!J449"")"),82)</f>
        <v>82</v>
      </c>
      <c r="BI17" s="152">
        <f ca="1">IFERROR(__xludf.DUMMYFUNCTION("IMPORTRANGE(""https://docs.google.com/spreadsheets/d/1W6MnUbDkMi6xHnHko_XkFDO9kkuL6Wqyc-6OCDFjW9I/edit?usp=sharing"",""ตาก!J450"")"),18.1)</f>
        <v>18.100000000000001</v>
      </c>
      <c r="BJ17" s="152">
        <f ca="1">IFERROR(__xludf.DUMMYFUNCTION("IMPORTRANGE(""https://docs.google.com/spreadsheets/d/1W6MnUbDkMi6xHnHko_XkFDO9kkuL6Wqyc-6OCDFjW9I/edit?usp=sharing"",""ตาก!J451"")"),2)</f>
        <v>2</v>
      </c>
      <c r="BK17" s="152">
        <f ca="1">IFERROR(__xludf.DUMMYFUNCTION("IMPORTRANGE(""https://docs.google.com/spreadsheets/d/1W6MnUbDkMi6xHnHko_XkFDO9kkuL6Wqyc-6OCDFjW9I/edit?usp=sharing"",""ตาก!J452"")"),0)</f>
        <v>0</v>
      </c>
      <c r="BL17" s="152">
        <f ca="1">IFERROR(__xludf.DUMMYFUNCTION("IMPORTRANGE(""https://docs.google.com/spreadsheets/d/1W6MnUbDkMi6xHnHko_XkFDO9kkuL6Wqyc-6OCDFjW9I/edit?usp=sharing"",""ตาก!J453"")"),0)</f>
        <v>0</v>
      </c>
      <c r="BM17" s="152">
        <f ca="1">IFERROR(__xludf.DUMMYFUNCTION("IMPORTRANGE(""https://docs.google.com/spreadsheets/d/1W6MnUbDkMi6xHnHko_XkFDO9kkuL6Wqyc-6OCDFjW9I/edit?usp=sharing"",""ตาก!J454"")"),0)</f>
        <v>0</v>
      </c>
      <c r="BN17" s="152">
        <f ca="1">IFERROR(__xludf.DUMMYFUNCTION("IMPORTRANGE(""https://docs.google.com/spreadsheets/d/1W6MnUbDkMi6xHnHko_XkFDO9kkuL6Wqyc-6OCDFjW9I/edit?usp=sharing"",""ตาก!J455"")"),0)</f>
        <v>0</v>
      </c>
      <c r="BO17" s="152">
        <f ca="1">IFERROR(__xludf.DUMMYFUNCTION("IMPORTRANGE(""https://docs.google.com/spreadsheets/d/1W6MnUbDkMi6xHnHko_XkFDO9kkuL6Wqyc-6OCDFjW9I/edit?usp=sharing"",""ตาก!I457"")"),975.85)</f>
        <v>975.85</v>
      </c>
      <c r="BP17" s="152">
        <f ca="1">IFERROR(__xludf.DUMMYFUNCTION("IMPORTRANGE(""https://docs.google.com/spreadsheets/d/1W6MnUbDkMi6xHnHko_XkFDO9kkuL6Wqyc-6OCDFjW9I/edit?usp=sharing"",""ตาก!I458"")"),80)</f>
        <v>80</v>
      </c>
      <c r="BQ17" s="152">
        <f ca="1">IFERROR(__xludf.DUMMYFUNCTION("IMPORTRANGE(""https://docs.google.com/spreadsheets/d/1W6MnUbDkMi6xHnHko_XkFDO9kkuL6Wqyc-6OCDFjW9I/edit?usp=sharing"",""ตาก!J457"")"),0)</f>
        <v>0</v>
      </c>
      <c r="BR17" s="216">
        <f t="shared" ca="1" si="65"/>
        <v>0</v>
      </c>
      <c r="BS17" s="152">
        <f ca="1">IFERROR(__xludf.DUMMYFUNCTION("IMPORTRANGE(""https://docs.google.com/spreadsheets/d/1W6MnUbDkMi6xHnHko_XkFDO9kkuL6Wqyc-6OCDFjW9I/edit?usp=sharing"",""ตาก!J458"")"),0)</f>
        <v>0</v>
      </c>
      <c r="BT17" s="216">
        <f t="shared" ca="1" si="66"/>
        <v>0</v>
      </c>
      <c r="BU17" s="152">
        <f ca="1">IFERROR(__xludf.DUMMYFUNCTION("IMPORTRANGE(""https://docs.google.com/spreadsheets/d/1W6MnUbDkMi6xHnHko_XkFDO9kkuL6Wqyc-6OCDFjW9I/edit?usp=sharing"",""ตาก!J459"")"),0)</f>
        <v>0</v>
      </c>
      <c r="BV17" s="152">
        <f ca="1">IFERROR(__xludf.DUMMYFUNCTION("IMPORTRANGE(""https://docs.google.com/spreadsheets/d/1W6MnUbDkMi6xHnHko_XkFDO9kkuL6Wqyc-6OCDFjW9I/edit?usp=sharing"",""ตาก!J460"")"),0)</f>
        <v>0</v>
      </c>
      <c r="BW17" s="152">
        <f ca="1">IFERROR(__xludf.DUMMYFUNCTION("IMPORTRANGE(""https://docs.google.com/spreadsheets/d/1W6MnUbDkMi6xHnHko_XkFDO9kkuL6Wqyc-6OCDFjW9I/edit?usp=sharing"",""ตาก!J461"")"),0)</f>
        <v>0</v>
      </c>
      <c r="BX17" s="152">
        <f ca="1">IFERROR(__xludf.DUMMYFUNCTION("IMPORTRANGE(""https://docs.google.com/spreadsheets/d/1W6MnUbDkMi6xHnHko_XkFDO9kkuL6Wqyc-6OCDFjW9I/edit?usp=sharing"",""ตาก!J462"")"),0)</f>
        <v>0</v>
      </c>
      <c r="BY17" s="152">
        <f ca="1">IFERROR(__xludf.DUMMYFUNCTION("IMPORTRANGE(""https://docs.google.com/spreadsheets/d/1W6MnUbDkMi6xHnHko_XkFDO9kkuL6Wqyc-6OCDFjW9I/edit?usp=sharing"",""ตาก!J463"")"),0)</f>
        <v>0</v>
      </c>
      <c r="BZ17" s="152">
        <f ca="1">IFERROR(__xludf.DUMMYFUNCTION("IMPORTRANGE(""https://docs.google.com/spreadsheets/d/1W6MnUbDkMi6xHnHko_XkFDO9kkuL6Wqyc-6OCDFjW9I/edit?usp=sharing"",""ตาก!J464"")"),0)</f>
        <v>0</v>
      </c>
      <c r="CA17" s="152">
        <f ca="1">IFERROR(__xludf.DUMMYFUNCTION("IMPORTRANGE(""https://docs.google.com/spreadsheets/d/1W6MnUbDkMi6xHnHko_XkFDO9kkuL6Wqyc-6OCDFjW9I/edit?usp=sharing"",""ตาก!J465"")"),0)</f>
        <v>0</v>
      </c>
      <c r="CB17" s="152">
        <f ca="1">IFERROR(__xludf.DUMMYFUNCTION("IMPORTRANGE(""https://docs.google.com/spreadsheets/d/1W6MnUbDkMi6xHnHko_XkFDO9kkuL6Wqyc-6OCDFjW9I/edit?usp=sharing"",""ตาก!J466"")"),0)</f>
        <v>0</v>
      </c>
      <c r="CC17" s="152">
        <f ca="1">IFERROR(__xludf.DUMMYFUNCTION("IMPORTRANGE(""https://docs.google.com/spreadsheets/d/1W6MnUbDkMi6xHnHko_XkFDO9kkuL6Wqyc-6OCDFjW9I/edit?usp=sharing"",""ตาก!J467"")"),0)</f>
        <v>0</v>
      </c>
      <c r="CD17" s="152">
        <f ca="1">IFERROR(__xludf.DUMMYFUNCTION("IMPORTRANGE(""https://docs.google.com/spreadsheets/d/1W6MnUbDkMi6xHnHko_XkFDO9kkuL6Wqyc-6OCDFjW9I/edit?usp=sharing"",""ตาก!J468"")"),0)</f>
        <v>0</v>
      </c>
      <c r="CE17" s="152">
        <f ca="1">IFERROR(__xludf.DUMMYFUNCTION("IMPORTRANGE(""https://docs.google.com/spreadsheets/d/1W6MnUbDkMi6xHnHko_XkFDO9kkuL6Wqyc-6OCDFjW9I/edit?usp=sharing"",""ตาก!J469"")"),0)</f>
        <v>0</v>
      </c>
      <c r="CF17" s="152">
        <f ca="1">IFERROR(__xludf.DUMMYFUNCTION("IMPORTRANGE(""https://docs.google.com/spreadsheets/d/1W6MnUbDkMi6xHnHko_XkFDO9kkuL6Wqyc-6OCDFjW9I/edit?usp=sharing"",""ตาก!J470"")"),0)</f>
        <v>0</v>
      </c>
      <c r="CG17" s="152">
        <f ca="1">IFERROR(__xludf.DUMMYFUNCTION("IMPORTRANGE(""https://docs.google.com/spreadsheets/d/1W6MnUbDkMi6xHnHko_XkFDO9kkuL6Wqyc-6OCDFjW9I/edit?usp=sharing"",""ตาก!J471"")"),0)</f>
        <v>0</v>
      </c>
      <c r="CH17" s="152">
        <f ca="1">IFERROR(__xludf.DUMMYFUNCTION("IMPORTRANGE(""https://docs.google.com/spreadsheets/d/1W6MnUbDkMi6xHnHko_XkFDO9kkuL6Wqyc-6OCDFjW9I/edit?usp=sharing"",""ตาก!J472"")"),0)</f>
        <v>0</v>
      </c>
      <c r="CI17" s="152">
        <f ca="1">IFERROR(__xludf.DUMMYFUNCTION("IMPORTRANGE(""https://docs.google.com/spreadsheets/d/1W6MnUbDkMi6xHnHko_XkFDO9kkuL6Wqyc-6OCDFjW9I/edit?usp=sharing"",""ตาก!J473"")"),0)</f>
        <v>0</v>
      </c>
      <c r="CJ17" s="152">
        <f ca="1">IFERROR(__xludf.DUMMYFUNCTION("IMPORTRANGE(""https://docs.google.com/spreadsheets/d/1W6MnUbDkMi6xHnHko_XkFDO9kkuL6Wqyc-6OCDFjW9I/edit?usp=sharing"",""ตาก!J474"")"),0)</f>
        <v>0</v>
      </c>
      <c r="CK17" s="278">
        <f ca="1">IFERROR(__xludf.DUMMYFUNCTION("IMPORTRANGE(""https://docs.google.com/spreadsheets/d/1W6MnUbDkMi6xHnHko_XkFDO9kkuL6Wqyc-6OCDFjW9I/edit?usp=sharing"",""ตาก!I476"")"),0)</f>
        <v>0</v>
      </c>
      <c r="CL17" s="278">
        <f ca="1">IFERROR(__xludf.DUMMYFUNCTION("IMPORTRANGE(""https://docs.google.com/spreadsheets/d/1W6MnUbDkMi6xHnHko_XkFDO9kkuL6Wqyc-6OCDFjW9I/edit?usp=sharing"",""ตาก!I477"")"),0)</f>
        <v>0</v>
      </c>
      <c r="CM17" s="278">
        <f ca="1">IFERROR(__xludf.DUMMYFUNCTION("IMPORTRANGE(""https://docs.google.com/spreadsheets/d/1W6MnUbDkMi6xHnHko_XkFDO9kkuL6Wqyc-6OCDFjW9I/edit?usp=sharing"",""ตาก!J476"")"),0)</f>
        <v>0</v>
      </c>
      <c r="CN17" s="216">
        <f t="shared" ca="1" si="68"/>
        <v>0</v>
      </c>
      <c r="CO17" s="278">
        <f ca="1">IFERROR(__xludf.DUMMYFUNCTION("IMPORTRANGE(""https://docs.google.com/spreadsheets/d/1W6MnUbDkMi6xHnHko_XkFDO9kkuL6Wqyc-6OCDFjW9I/edit?usp=sharing"",""ตาก!J477"")"),0)</f>
        <v>0</v>
      </c>
      <c r="CP17" s="216">
        <f t="shared" ca="1" si="69"/>
        <v>0</v>
      </c>
      <c r="CQ17" s="278">
        <f ca="1">IFERROR(__xludf.DUMMYFUNCTION("IMPORTRANGE(""https://docs.google.com/spreadsheets/d/1W6MnUbDkMi6xHnHko_XkFDO9kkuL6Wqyc-6OCDFjW9I/edit?usp=sharing"",""ตาก!J478"")"),0)</f>
        <v>0</v>
      </c>
      <c r="CR17" s="278">
        <f ca="1">IFERROR(__xludf.DUMMYFUNCTION("IMPORTRANGE(""https://docs.google.com/spreadsheets/d/1W6MnUbDkMi6xHnHko_XkFDO9kkuL6Wqyc-6OCDFjW9I/edit?usp=sharing"",""ตาก!J479"")"),0)</f>
        <v>0</v>
      </c>
      <c r="CS17" s="278">
        <f ca="1">IFERROR(__xludf.DUMMYFUNCTION("IMPORTRANGE(""https://docs.google.com/spreadsheets/d/1W6MnUbDkMi6xHnHko_XkFDO9kkuL6Wqyc-6OCDFjW9I/edit?usp=sharing"",""ตาก!J480"")"),0)</f>
        <v>0</v>
      </c>
      <c r="CT17" s="278">
        <f ca="1">IFERROR(__xludf.DUMMYFUNCTION("IMPORTRANGE(""https://docs.google.com/spreadsheets/d/1W6MnUbDkMi6xHnHko_XkFDO9kkuL6Wqyc-6OCDFjW9I/edit?usp=sharing"",""ตาก!J481"")"),0)</f>
        <v>0</v>
      </c>
      <c r="CU17" s="278">
        <f ca="1">IFERROR(__xludf.DUMMYFUNCTION("IMPORTRANGE(""https://docs.google.com/spreadsheets/d/1W6MnUbDkMi6xHnHko_XkFDO9kkuL6Wqyc-6OCDFjW9I/edit?usp=sharing"",""ตาก!I484"")"),0)</f>
        <v>0</v>
      </c>
      <c r="CV17" s="278">
        <f ca="1">IFERROR(__xludf.DUMMYFUNCTION("IMPORTRANGE(""https://docs.google.com/spreadsheets/d/1W6MnUbDkMi6xHnHko_XkFDO9kkuL6Wqyc-6OCDFjW9I/edit?usp=sharing"",""ตาก!I485"")"),0)</f>
        <v>0</v>
      </c>
      <c r="CW17" s="278">
        <f ca="1">IFERROR(__xludf.DUMMYFUNCTION("IMPORTRANGE(""https://docs.google.com/spreadsheets/d/1W6MnUbDkMi6xHnHko_XkFDO9kkuL6Wqyc-6OCDFjW9I/edit?usp=sharing"",""ตาก!J484"")"),0)</f>
        <v>0</v>
      </c>
      <c r="CX17" s="216">
        <f t="shared" ca="1" si="71"/>
        <v>0</v>
      </c>
      <c r="CY17" s="278">
        <f ca="1">IFERROR(__xludf.DUMMYFUNCTION("IMPORTRANGE(""https://docs.google.com/spreadsheets/d/1W6MnUbDkMi6xHnHko_XkFDO9kkuL6Wqyc-6OCDFjW9I/edit?usp=sharing"",""ตาก!J485"")"),0)</f>
        <v>0</v>
      </c>
      <c r="CZ17" s="216">
        <f t="shared" ca="1" si="72"/>
        <v>0</v>
      </c>
      <c r="DA17" s="278">
        <f ca="1">IFERROR(__xludf.DUMMYFUNCTION("IMPORTRANGE(""https://docs.google.com/spreadsheets/d/1W6MnUbDkMi6xHnHko_XkFDO9kkuL6Wqyc-6OCDFjW9I/edit?usp=sharing"",""ตาก!J486"")"),0)</f>
        <v>0</v>
      </c>
      <c r="DB17" s="278">
        <f ca="1">IFERROR(__xludf.DUMMYFUNCTION("IMPORTRANGE(""https://docs.google.com/spreadsheets/d/1W6MnUbDkMi6xHnHko_XkFDO9kkuL6Wqyc-6OCDFjW9I/edit?usp=sharing"",""ตาก!J487"")"),0)</f>
        <v>0</v>
      </c>
      <c r="DC17" s="278">
        <f ca="1">IFERROR(__xludf.DUMMYFUNCTION("IMPORTRANGE(""https://docs.google.com/spreadsheets/d/1W6MnUbDkMi6xHnHko_XkFDO9kkuL6Wqyc-6OCDFjW9I/edit?usp=sharing"",""ตาก!J488"")"),0)</f>
        <v>0</v>
      </c>
      <c r="DD17" s="278">
        <f ca="1">IFERROR(__xludf.DUMMYFUNCTION("IMPORTRANGE(""https://docs.google.com/spreadsheets/d/1W6MnUbDkMi6xHnHko_XkFDO9kkuL6Wqyc-6OCDFjW9I/edit?usp=sharing"",""ตาก!J489"")"),0)</f>
        <v>0</v>
      </c>
      <c r="DE17" s="278">
        <f ca="1">IFERROR(__xludf.DUMMYFUNCTION("IMPORTRANGE(""https://docs.google.com/spreadsheets/d/1W6MnUbDkMi6xHnHko_XkFDO9kkuL6Wqyc-6OCDFjW9I/edit?usp=sharing"",""ตาก!J490"")"),0)</f>
        <v>0</v>
      </c>
      <c r="DF17" s="278">
        <f ca="1">IFERROR(__xludf.DUMMYFUNCTION("IMPORTRANGE(""https://docs.google.com/spreadsheets/d/1W6MnUbDkMi6xHnHko_XkFDO9kkuL6Wqyc-6OCDFjW9I/edit?usp=sharing"",""ตาก!J491"")"),0)</f>
        <v>0</v>
      </c>
    </row>
    <row r="18" spans="1:110" ht="19.5" x14ac:dyDescent="0.3">
      <c r="A18" s="147">
        <v>5</v>
      </c>
      <c r="B18" s="148" t="s">
        <v>46</v>
      </c>
      <c r="C18" s="566">
        <f t="shared" ca="1" si="44"/>
        <v>562280</v>
      </c>
      <c r="D18" s="567">
        <f t="shared" ca="1" si="74"/>
        <v>562280</v>
      </c>
      <c r="E18" s="329">
        <f ca="1">IFERROR(__xludf.DUMMYFUNCTION("IMPORTRANGE(""https://docs.google.com/spreadsheets/d/1-uDff_7J0KD5mKrp0Vvzr7lt3OU09vwQwhkpOPPYv2Y/edit?usp=sharing"",""งบพรบ!IP18"")"),233200)</f>
        <v>233200</v>
      </c>
      <c r="F18" s="329">
        <f ca="1">IFERROR(__xludf.DUMMYFUNCTION("IMPORTRANGE(""https://docs.google.com/spreadsheets/d/1-uDff_7J0KD5mKrp0Vvzr7lt3OU09vwQwhkpOPPYv2Y/edit?usp=sharing"",""งบพรบ!IQ18"")"),329080)</f>
        <v>329080</v>
      </c>
      <c r="G18" s="329">
        <f ca="1">IFERROR(__xludf.DUMMYFUNCTION("IMPORTRANGE(""https://docs.google.com/spreadsheets/d/1-uDff_7J0KD5mKrp0Vvzr7lt3OU09vwQwhkpOPPYv2Y/edit?usp=sharing"",""งบพรบ!IR18"")"),0)</f>
        <v>0</v>
      </c>
      <c r="H18" s="329">
        <f ca="1">IFERROR(__xludf.DUMMYFUNCTION("IMPORTRANGE(""https://docs.google.com/spreadsheets/d/1-uDff_7J0KD5mKrp0Vvzr7lt3OU09vwQwhkpOPPYv2Y/edit?usp=sharing"",""งบพรบ!IT18"")"),562280)</f>
        <v>562280</v>
      </c>
      <c r="I18" s="329">
        <f ca="1">IFERROR(__xludf.DUMMYFUNCTION("IMPORTRANGE(""https://docs.google.com/spreadsheets/d/1-uDff_7J0KD5mKrp0Vvzr7lt3OU09vwQwhkpOPPYv2Y/edit?usp=sharing"",""งบพรบ!IU18"")"),0)</f>
        <v>0</v>
      </c>
      <c r="J18" s="329">
        <f t="shared" ca="1" si="46"/>
        <v>205801.91</v>
      </c>
      <c r="K18" s="568">
        <f t="shared" ca="1" si="47"/>
        <v>36.601321405705342</v>
      </c>
      <c r="L18" s="329">
        <f ca="1">IFERROR(__xludf.DUMMYFUNCTION("IMPORTRANGE(""https://docs.google.com/spreadsheets/d/1-uDff_7J0KD5mKrp0Vvzr7lt3OU09vwQwhkpOPPYv2Y/edit?usp=sharing"",""งบพรบ!IV18"")"),205801.91)</f>
        <v>205801.91</v>
      </c>
      <c r="M18" s="330">
        <f t="shared" ca="1" si="48"/>
        <v>36.601321405705342</v>
      </c>
      <c r="N18" s="330">
        <f t="shared" ca="1" si="49"/>
        <v>36.601321405705342</v>
      </c>
      <c r="O18" s="569">
        <f ca="1">IFERROR(__xludf.DUMMYFUNCTION("IMPORTRANGE(""https://docs.google.com/spreadsheets/d/1-uDff_7J0KD5mKrp0Vvzr7lt3OU09vwQwhkpOPPYv2Y/edit?usp=sharing"",""งบพรบ!IW18"")"),0)</f>
        <v>0</v>
      </c>
      <c r="P18" s="569">
        <f t="shared" ca="1" si="50"/>
        <v>0</v>
      </c>
      <c r="Q18" s="330">
        <f t="shared" ca="1" si="51"/>
        <v>0</v>
      </c>
      <c r="R18" s="564">
        <f ca="1">IFERROR(__xludf.DUMMYFUNCTION("IMPORTRANGE(""https://docs.google.com/spreadsheets/d/1IQAWArduLkta9LpYo4a_ULsyqdta6-6aDDiwpUnQT6c/edit?usp=sharing"",""นครสวรรค์!Q413"")"),130430)</f>
        <v>130430</v>
      </c>
      <c r="S18" s="564">
        <f ca="1">IFERROR(__xludf.DUMMYFUNCTION("IMPORTRANGE(""https://docs.google.com/spreadsheets/d/1IQAWArduLkta9LpYo4a_ULsyqdta6-6aDDiwpUnQT6c/edit?usp=sharing"",""นครสวรรค์!R413"")"),130430)</f>
        <v>130430</v>
      </c>
      <c r="T18" s="564">
        <f ca="1">IFERROR(__xludf.DUMMYFUNCTION("IMPORTRANGE(""https://docs.google.com/spreadsheets/d/1IQAWArduLkta9LpYo4a_ULsyqdta6-6aDDiwpUnQT6c/edit?usp=sharing"",""นครสวรรค์!S413"")"),127790)</f>
        <v>127790</v>
      </c>
      <c r="U18" s="565">
        <f t="shared" ca="1" si="53"/>
        <v>97.975925783945414</v>
      </c>
      <c r="V18" s="565">
        <f t="shared" ca="1" si="54"/>
        <v>97.975925783945414</v>
      </c>
      <c r="W18" s="152">
        <f ca="1">IFERROR(__xludf.DUMMYFUNCTION("IMPORTRANGE(""https://docs.google.com/spreadsheets/d/1IQAWArduLkta9LpYo4a_ULsyqdta6-6aDDiwpUnQT6c/edit?usp=sharing"",""นครสวรรค์!I424"")"),70983)</f>
        <v>70983</v>
      </c>
      <c r="X18" s="152">
        <f ca="1">IFERROR(__xludf.DUMMYFUNCTION("IMPORTRANGE(""https://docs.google.com/spreadsheets/d/1IQAWArduLkta9LpYo4a_ULsyqdta6-6aDDiwpUnQT6c/edit?usp=sharing"",""นครสวรรค์!I425"")"),4843)</f>
        <v>4843</v>
      </c>
      <c r="Y18" s="152">
        <f ca="1">IFERROR(__xludf.DUMMYFUNCTION("IMPORTRANGE(""https://docs.google.com/spreadsheets/d/1IQAWArduLkta9LpYo4a_ULsyqdta6-6aDDiwpUnQT6c/edit?usp=sharing"",""นครสวรรค์!J424"")"),4119)</f>
        <v>4119</v>
      </c>
      <c r="Z18" s="216">
        <f t="shared" ca="1" si="56"/>
        <v>5.8027978530070579</v>
      </c>
      <c r="AA18" s="152">
        <f ca="1">IFERROR(__xludf.DUMMYFUNCTION("IMPORTRANGE(""https://docs.google.com/spreadsheets/d/1IQAWArduLkta9LpYo4a_ULsyqdta6-6aDDiwpUnQT6c/edit?usp=sharing"",""นครสวรรค์!J425"")"),4983)</f>
        <v>4983</v>
      </c>
      <c r="AB18" s="216">
        <f t="shared" ca="1" si="57"/>
        <v>102.89077018377039</v>
      </c>
      <c r="AC18" s="152">
        <f ca="1">IFERROR(__xludf.DUMMYFUNCTION("IMPORTRANGE(""https://docs.google.com/spreadsheets/d/1IQAWArduLkta9LpYo4a_ULsyqdta6-6aDDiwpUnQT6c/edit?usp=sharing"",""นครสวรรค์!J426"")"),3463)</f>
        <v>3463</v>
      </c>
      <c r="AD18" s="152">
        <f ca="1">IFERROR(__xludf.DUMMYFUNCTION("IMPORTRANGE(""https://docs.google.com/spreadsheets/d/1IQAWArduLkta9LpYo4a_ULsyqdta6-6aDDiwpUnQT6c/edit?usp=sharing"",""นครสวรรค์!J427"")"),4241)</f>
        <v>4241</v>
      </c>
      <c r="AE18" s="152">
        <f ca="1">IFERROR(__xludf.DUMMYFUNCTION("IMPORTRANGE(""https://docs.google.com/spreadsheets/d/1IQAWArduLkta9LpYo4a_ULsyqdta6-6aDDiwpUnQT6c/edit?usp=sharing"",""นครสวรรค์!J428"")"),473)</f>
        <v>473</v>
      </c>
      <c r="AF18" s="152">
        <f ca="1">IFERROR(__xludf.DUMMYFUNCTION("IMPORTRANGE(""https://docs.google.com/spreadsheets/d/1IQAWArduLkta9LpYo4a_ULsyqdta6-6aDDiwpUnQT6c/edit?usp=sharing"",""นครสวรรค์!J429"")"),530)</f>
        <v>530</v>
      </c>
      <c r="AG18" s="152">
        <f ca="1">IFERROR(__xludf.DUMMYFUNCTION("IMPORTRANGE(""https://docs.google.com/spreadsheets/d/1IQAWArduLkta9LpYo4a_ULsyqdta6-6aDDiwpUnQT6c/edit?usp=sharing"",""นครสวรรค์!J430"")"),183)</f>
        <v>183</v>
      </c>
      <c r="AH18" s="152">
        <f ca="1">IFERROR(__xludf.DUMMYFUNCTION("IMPORTRANGE(""https://docs.google.com/spreadsheets/d/1IQAWArduLkta9LpYo4a_ULsyqdta6-6aDDiwpUnQT6c/edit?usp=sharing"",""นครสวรรค์!J431"")"),212)</f>
        <v>212</v>
      </c>
      <c r="AI18" s="152">
        <f ca="1">IFERROR(__xludf.DUMMYFUNCTION("IMPORTRANGE(""https://docs.google.com/spreadsheets/d/1IQAWArduLkta9LpYo4a_ULsyqdta6-6aDDiwpUnQT6c/edit?usp=sharing"",""นครสวรรค์!I432"")"),70983)</f>
        <v>70983</v>
      </c>
      <c r="AJ18" s="152">
        <f ca="1">IFERROR(__xludf.DUMMYFUNCTION("IMPORTRANGE(""https://docs.google.com/spreadsheets/d/1IQAWArduLkta9LpYo4a_ULsyqdta6-6aDDiwpUnQT6c/edit?usp=sharing"",""นครสวรรค์!I433"")"),4843)</f>
        <v>4843</v>
      </c>
      <c r="AK18" s="216">
        <f ca="1">IFERROR(__xludf.DUMMYFUNCTION("IMPORTRANGE(""https://docs.google.com/spreadsheets/d/1IQAWArduLkta9LpYo4a_ULsyqdta6-6aDDiwpUnQT6c/edit?usp=sharing"",""นครสวรรค์!J432"")"),0)</f>
        <v>0</v>
      </c>
      <c r="AL18" s="216">
        <f t="shared" ca="1" si="59"/>
        <v>0</v>
      </c>
      <c r="AM18" s="152">
        <f ca="1">IFERROR(__xludf.DUMMYFUNCTION("IMPORTRANGE(""https://docs.google.com/spreadsheets/d/1IQAWArduLkta9LpYo4a_ULsyqdta6-6aDDiwpUnQT6c/edit?usp=sharing"",""นครสวรรค์!J433"")"),0)</f>
        <v>0</v>
      </c>
      <c r="AN18" s="216">
        <f t="shared" ca="1" si="60"/>
        <v>0</v>
      </c>
      <c r="AO18" s="152">
        <f ca="1">IFERROR(__xludf.DUMMYFUNCTION("IMPORTRANGE(""https://docs.google.com/spreadsheets/d/1IQAWArduLkta9LpYo4a_ULsyqdta6-6aDDiwpUnQT6c/edit?usp=sharing"",""นครสวรรค์!J434"")"),0)</f>
        <v>0</v>
      </c>
      <c r="AP18" s="152">
        <f ca="1">IFERROR(__xludf.DUMMYFUNCTION("IMPORTRANGE(""https://docs.google.com/spreadsheets/d/1IQAWArduLkta9LpYo4a_ULsyqdta6-6aDDiwpUnQT6c/edit?usp=sharing"",""นครสวรรค์!J435"")"),0)</f>
        <v>0</v>
      </c>
      <c r="AQ18" s="152">
        <f ca="1">IFERROR(__xludf.DUMMYFUNCTION("IMPORTRANGE(""https://docs.google.com/spreadsheets/d/1IQAWArduLkta9LpYo4a_ULsyqdta6-6aDDiwpUnQT6c/edit?usp=sharing"",""นครสวรรค์!J436"")"),0)</f>
        <v>0</v>
      </c>
      <c r="AR18" s="152">
        <f ca="1">IFERROR(__xludf.DUMMYFUNCTION("IMPORTRANGE(""https://docs.google.com/spreadsheets/d/1IQAWArduLkta9LpYo4a_ULsyqdta6-6aDDiwpUnQT6c/edit?usp=sharing"",""นครสวรรค์!J437"")"),0)</f>
        <v>0</v>
      </c>
      <c r="AS18" s="152">
        <f ca="1">IFERROR(__xludf.DUMMYFUNCTION("IMPORTRANGE(""https://docs.google.com/spreadsheets/d/1IQAWArduLkta9LpYo4a_ULsyqdta6-6aDDiwpUnQT6c/edit?usp=sharing"",""นครสวรรค์!J438"")"),0)</f>
        <v>0</v>
      </c>
      <c r="AT18" s="152">
        <f ca="1">IFERROR(__xludf.DUMMYFUNCTION("IMPORTRANGE(""https://docs.google.com/spreadsheets/d/1IQAWArduLkta9LpYo4a_ULsyqdta6-6aDDiwpUnQT6c/edit?usp=sharing"",""นครสวรรค์!J439"")"),0)</f>
        <v>0</v>
      </c>
      <c r="AU18" s="152">
        <f ca="1">IFERROR(__xludf.DUMMYFUNCTION("IMPORTRANGE(""https://docs.google.com/spreadsheets/d/1IQAWArduLkta9LpYo4a_ULsyqdta6-6aDDiwpUnQT6c/edit?usp=sharing"",""นครสวรรค์!I440"")"),70983)</f>
        <v>70983</v>
      </c>
      <c r="AV18" s="152">
        <f ca="1">IFERROR(__xludf.DUMMYFUNCTION("IMPORTRANGE(""https://docs.google.com/spreadsheets/d/1IQAWArduLkta9LpYo4a_ULsyqdta6-6aDDiwpUnQT6c/edit?usp=sharing"",""นครสวรรค์!I441"")"),4843)</f>
        <v>4843</v>
      </c>
      <c r="AW18" s="152">
        <f ca="1">IFERROR(__xludf.DUMMYFUNCTION("IMPORTRANGE(""https://docs.google.com/spreadsheets/d/1IQAWArduLkta9LpYo4a_ULsyqdta6-6aDDiwpUnQT6c/edit?usp=sharing"",""นครสวรรค์!J440"")"),0)</f>
        <v>0</v>
      </c>
      <c r="AX18" s="216">
        <f t="shared" ca="1" si="62"/>
        <v>0</v>
      </c>
      <c r="AY18" s="152">
        <f ca="1">IFERROR(__xludf.DUMMYFUNCTION("IMPORTRANGE(""https://docs.google.com/spreadsheets/d/1IQAWArduLkta9LpYo4a_ULsyqdta6-6aDDiwpUnQT6c/edit?usp=sharing"",""นครสวรรค์!J441"")"),0)</f>
        <v>0</v>
      </c>
      <c r="AZ18" s="216">
        <f t="shared" ca="1" si="63"/>
        <v>0</v>
      </c>
      <c r="BA18" s="152">
        <f ca="1">IFERROR(__xludf.DUMMYFUNCTION("IMPORTRANGE(""https://docs.google.com/spreadsheets/d/1IQAWArduLkta9LpYo4a_ULsyqdta6-6aDDiwpUnQT6c/edit?usp=sharing"",""นครสวรรค์!J442"")"),0)</f>
        <v>0</v>
      </c>
      <c r="BB18" s="152">
        <f ca="1">IFERROR(__xludf.DUMMYFUNCTION("IMPORTRANGE(""https://docs.google.com/spreadsheets/d/1IQAWArduLkta9LpYo4a_ULsyqdta6-6aDDiwpUnQT6c/edit?usp=sharing"",""นครสวรรค์!J443"")"),0)</f>
        <v>0</v>
      </c>
      <c r="BC18" s="152">
        <f ca="1">IFERROR(__xludf.DUMMYFUNCTION("IMPORTRANGE(""https://docs.google.com/spreadsheets/d/1IQAWArduLkta9LpYo4a_ULsyqdta6-6aDDiwpUnQT6c/edit?usp=sharing"",""นครสวรรค์!J444"")"),0)</f>
        <v>0</v>
      </c>
      <c r="BD18" s="152">
        <f ca="1">IFERROR(__xludf.DUMMYFUNCTION("IMPORTRANGE(""https://docs.google.com/spreadsheets/d/1IQAWArduLkta9LpYo4a_ULsyqdta6-6aDDiwpUnQT6c/edit?usp=sharing"",""นครสวรรค์!J445"")"),0)</f>
        <v>0</v>
      </c>
      <c r="BE18" s="152">
        <f ca="1">IFERROR(__xludf.DUMMYFUNCTION("IMPORTRANGE(""https://docs.google.com/spreadsheets/d/1IQAWArduLkta9LpYo4a_ULsyqdta6-6aDDiwpUnQT6c/edit?usp=sharing"",""นครสวรรค์!J446"")"),0)</f>
        <v>0</v>
      </c>
      <c r="BF18" s="152">
        <f ca="1">IFERROR(__xludf.DUMMYFUNCTION("IMPORTRANGE(""https://docs.google.com/spreadsheets/d/1IQAWArduLkta9LpYo4a_ULsyqdta6-6aDDiwpUnQT6c/edit?usp=sharing"",""นครสวรรค์!J447"")"),0)</f>
        <v>0</v>
      </c>
      <c r="BG18" s="152">
        <f ca="1">IFERROR(__xludf.DUMMYFUNCTION("IMPORTRANGE(""https://docs.google.com/spreadsheets/d/1IQAWArduLkta9LpYo4a_ULsyqdta6-6aDDiwpUnQT6c/edit?usp=sharing"",""นครสวรรค์!J448"")"),0)</f>
        <v>0</v>
      </c>
      <c r="BH18" s="152">
        <f ca="1">IFERROR(__xludf.DUMMYFUNCTION("IMPORTRANGE(""https://docs.google.com/spreadsheets/d/1IQAWArduLkta9LpYo4a_ULsyqdta6-6aDDiwpUnQT6c/edit?usp=sharing"",""นครสวรรค์!J449"")"),0)</f>
        <v>0</v>
      </c>
      <c r="BI18" s="152">
        <f ca="1">IFERROR(__xludf.DUMMYFUNCTION("IMPORTRANGE(""https://docs.google.com/spreadsheets/d/1IQAWArduLkta9LpYo4a_ULsyqdta6-6aDDiwpUnQT6c/edit?usp=sharing"",""นครสวรรค์!J450"")"),0)</f>
        <v>0</v>
      </c>
      <c r="BJ18" s="152">
        <f ca="1">IFERROR(__xludf.DUMMYFUNCTION("IMPORTRANGE(""https://docs.google.com/spreadsheets/d/1IQAWArduLkta9LpYo4a_ULsyqdta6-6aDDiwpUnQT6c/edit?usp=sharing"",""นครสวรรค์!J451"")"),0)</f>
        <v>0</v>
      </c>
      <c r="BK18" s="152">
        <f ca="1">IFERROR(__xludf.DUMMYFUNCTION("IMPORTRANGE(""https://docs.google.com/spreadsheets/d/1IQAWArduLkta9LpYo4a_ULsyqdta6-6aDDiwpUnQT6c/edit?usp=sharing"",""นครสวรรค์!J452"")"),0)</f>
        <v>0</v>
      </c>
      <c r="BL18" s="152">
        <f ca="1">IFERROR(__xludf.DUMMYFUNCTION("IMPORTRANGE(""https://docs.google.com/spreadsheets/d/1IQAWArduLkta9LpYo4a_ULsyqdta6-6aDDiwpUnQT6c/edit?usp=sharing"",""นครสวรรค์!J453"")"),0)</f>
        <v>0</v>
      </c>
      <c r="BM18" s="152">
        <f ca="1">IFERROR(__xludf.DUMMYFUNCTION("IMPORTRANGE(""https://docs.google.com/spreadsheets/d/1IQAWArduLkta9LpYo4a_ULsyqdta6-6aDDiwpUnQT6c/edit?usp=sharing"",""นครสวรรค์!J454"")"),0)</f>
        <v>0</v>
      </c>
      <c r="BN18" s="152">
        <f ca="1">IFERROR(__xludf.DUMMYFUNCTION("IMPORTRANGE(""https://docs.google.com/spreadsheets/d/1IQAWArduLkta9LpYo4a_ULsyqdta6-6aDDiwpUnQT6c/edit?usp=sharing"",""นครสวรรค์!J455"")"),0)</f>
        <v>0</v>
      </c>
      <c r="BO18" s="152">
        <f ca="1">IFERROR(__xludf.DUMMYFUNCTION("IMPORTRANGE(""https://docs.google.com/spreadsheets/d/1IQAWArduLkta9LpYo4a_ULsyqdta6-6aDDiwpUnQT6c/edit?usp=sharing"",""นครสวรรค์!I457"")"),5029.77)</f>
        <v>5029.7700000000004</v>
      </c>
      <c r="BP18" s="152">
        <f ca="1">IFERROR(__xludf.DUMMYFUNCTION("IMPORTRANGE(""https://docs.google.com/spreadsheets/d/1IQAWArduLkta9LpYo4a_ULsyqdta6-6aDDiwpUnQT6c/edit?usp=sharing"",""นครสวรรค์!I458"")"),338)</f>
        <v>338</v>
      </c>
      <c r="BQ18" s="152">
        <f ca="1">IFERROR(__xludf.DUMMYFUNCTION("IMPORTRANGE(""https://docs.google.com/spreadsheets/d/1IQAWArduLkta9LpYo4a_ULsyqdta6-6aDDiwpUnQT6c/edit?usp=sharing"",""นครสวรรค์!J457"")"),0)</f>
        <v>0</v>
      </c>
      <c r="BR18" s="216">
        <f t="shared" ca="1" si="65"/>
        <v>0</v>
      </c>
      <c r="BS18" s="152">
        <f ca="1">IFERROR(__xludf.DUMMYFUNCTION("IMPORTRANGE(""https://docs.google.com/spreadsheets/d/1IQAWArduLkta9LpYo4a_ULsyqdta6-6aDDiwpUnQT6c/edit?usp=sharing"",""นครสวรรค์!J458"")"),0)</f>
        <v>0</v>
      </c>
      <c r="BT18" s="216">
        <f t="shared" ca="1" si="66"/>
        <v>0</v>
      </c>
      <c r="BU18" s="152">
        <f ca="1">IFERROR(__xludf.DUMMYFUNCTION("IMPORTRANGE(""https://docs.google.com/spreadsheets/d/1IQAWArduLkta9LpYo4a_ULsyqdta6-6aDDiwpUnQT6c/edit?usp=sharing"",""นครสวรรค์!J459"")"),0)</f>
        <v>0</v>
      </c>
      <c r="BV18" s="152">
        <f ca="1">IFERROR(__xludf.DUMMYFUNCTION("IMPORTRANGE(""https://docs.google.com/spreadsheets/d/1IQAWArduLkta9LpYo4a_ULsyqdta6-6aDDiwpUnQT6c/edit?usp=sharing"",""นครสวรรค์!J460"")"),0)</f>
        <v>0</v>
      </c>
      <c r="BW18" s="152">
        <f ca="1">IFERROR(__xludf.DUMMYFUNCTION("IMPORTRANGE(""https://docs.google.com/spreadsheets/d/1IQAWArduLkta9LpYo4a_ULsyqdta6-6aDDiwpUnQT6c/edit?usp=sharing"",""นครสวรรค์!J461"")"),0)</f>
        <v>0</v>
      </c>
      <c r="BX18" s="152">
        <f ca="1">IFERROR(__xludf.DUMMYFUNCTION("IMPORTRANGE(""https://docs.google.com/spreadsheets/d/1IQAWArduLkta9LpYo4a_ULsyqdta6-6aDDiwpUnQT6c/edit?usp=sharing"",""นครสวรรค์!J462"")"),0)</f>
        <v>0</v>
      </c>
      <c r="BY18" s="152">
        <f ca="1">IFERROR(__xludf.DUMMYFUNCTION("IMPORTRANGE(""https://docs.google.com/spreadsheets/d/1IQAWArduLkta9LpYo4a_ULsyqdta6-6aDDiwpUnQT6c/edit?usp=sharing"",""นครสวรรค์!J463"")"),0)</f>
        <v>0</v>
      </c>
      <c r="BZ18" s="152">
        <f ca="1">IFERROR(__xludf.DUMMYFUNCTION("IMPORTRANGE(""https://docs.google.com/spreadsheets/d/1IQAWArduLkta9LpYo4a_ULsyqdta6-6aDDiwpUnQT6c/edit?usp=sharing"",""นครสวรรค์!J464"")"),0)</f>
        <v>0</v>
      </c>
      <c r="CA18" s="152">
        <f ca="1">IFERROR(__xludf.DUMMYFUNCTION("IMPORTRANGE(""https://docs.google.com/spreadsheets/d/1IQAWArduLkta9LpYo4a_ULsyqdta6-6aDDiwpUnQT6c/edit?usp=sharing"",""นครสวรรค์!J465"")"),0)</f>
        <v>0</v>
      </c>
      <c r="CB18" s="152">
        <f ca="1">IFERROR(__xludf.DUMMYFUNCTION("IMPORTRANGE(""https://docs.google.com/spreadsheets/d/1IQAWArduLkta9LpYo4a_ULsyqdta6-6aDDiwpUnQT6c/edit?usp=sharing"",""นครสวรรค์!J466"")"),0)</f>
        <v>0</v>
      </c>
      <c r="CC18" s="152">
        <f ca="1">IFERROR(__xludf.DUMMYFUNCTION("IMPORTRANGE(""https://docs.google.com/spreadsheets/d/1IQAWArduLkta9LpYo4a_ULsyqdta6-6aDDiwpUnQT6c/edit?usp=sharing"",""นครสวรรค์!J467"")"),0)</f>
        <v>0</v>
      </c>
      <c r="CD18" s="152">
        <f ca="1">IFERROR(__xludf.DUMMYFUNCTION("IMPORTRANGE(""https://docs.google.com/spreadsheets/d/1IQAWArduLkta9LpYo4a_ULsyqdta6-6aDDiwpUnQT6c/edit?usp=sharing"",""นครสวรรค์!J468"")"),0)</f>
        <v>0</v>
      </c>
      <c r="CE18" s="152">
        <f ca="1">IFERROR(__xludf.DUMMYFUNCTION("IMPORTRANGE(""https://docs.google.com/spreadsheets/d/1IQAWArduLkta9LpYo4a_ULsyqdta6-6aDDiwpUnQT6c/edit?usp=sharing"",""นครสวรรค์!J469"")"),0)</f>
        <v>0</v>
      </c>
      <c r="CF18" s="152">
        <f ca="1">IFERROR(__xludf.DUMMYFUNCTION("IMPORTRANGE(""https://docs.google.com/spreadsheets/d/1IQAWArduLkta9LpYo4a_ULsyqdta6-6aDDiwpUnQT6c/edit?usp=sharing"",""นครสวรรค์!J470"")"),0)</f>
        <v>0</v>
      </c>
      <c r="CG18" s="152">
        <f ca="1">IFERROR(__xludf.DUMMYFUNCTION("IMPORTRANGE(""https://docs.google.com/spreadsheets/d/1IQAWArduLkta9LpYo4a_ULsyqdta6-6aDDiwpUnQT6c/edit?usp=sharing"",""นครสวรรค์!J471"")"),0)</f>
        <v>0</v>
      </c>
      <c r="CH18" s="152">
        <f ca="1">IFERROR(__xludf.DUMMYFUNCTION("IMPORTRANGE(""https://docs.google.com/spreadsheets/d/1IQAWArduLkta9LpYo4a_ULsyqdta6-6aDDiwpUnQT6c/edit?usp=sharing"",""นครสวรรค์!J472"")"),0)</f>
        <v>0</v>
      </c>
      <c r="CI18" s="152">
        <f ca="1">IFERROR(__xludf.DUMMYFUNCTION("IMPORTRANGE(""https://docs.google.com/spreadsheets/d/1IQAWArduLkta9LpYo4a_ULsyqdta6-6aDDiwpUnQT6c/edit?usp=sharing"",""นครสวรรค์!J473"")"),0)</f>
        <v>0</v>
      </c>
      <c r="CJ18" s="152">
        <f ca="1">IFERROR(__xludf.DUMMYFUNCTION("IMPORTRANGE(""https://docs.google.com/spreadsheets/d/1IQAWArduLkta9LpYo4a_ULsyqdta6-6aDDiwpUnQT6c/edit?usp=sharing"",""นครสวรรค์!J474"")"),0)</f>
        <v>0</v>
      </c>
      <c r="CK18" s="278">
        <f ca="1">IFERROR(__xludf.DUMMYFUNCTION("IMPORTRANGE(""https://docs.google.com/spreadsheets/d/1IQAWArduLkta9LpYo4a_ULsyqdta6-6aDDiwpUnQT6c/edit?usp=sharing"",""นครสวรรค์!I476"")"),0)</f>
        <v>0</v>
      </c>
      <c r="CL18" s="278">
        <f ca="1">IFERROR(__xludf.DUMMYFUNCTION("IMPORTRANGE(""https://docs.google.com/spreadsheets/d/1IQAWArduLkta9LpYo4a_ULsyqdta6-6aDDiwpUnQT6c/edit?usp=sharing"",""นครสวรรค์!I477"")"),0)</f>
        <v>0</v>
      </c>
      <c r="CM18" s="278">
        <f ca="1">IFERROR(__xludf.DUMMYFUNCTION("IMPORTRANGE(""https://docs.google.com/spreadsheets/d/1IQAWArduLkta9LpYo4a_ULsyqdta6-6aDDiwpUnQT6c/edit?usp=sharing"",""นครสวรรค์!J476"")"),0)</f>
        <v>0</v>
      </c>
      <c r="CN18" s="216">
        <f t="shared" ca="1" si="68"/>
        <v>0</v>
      </c>
      <c r="CO18" s="278">
        <f ca="1">IFERROR(__xludf.DUMMYFUNCTION("IMPORTRANGE(""https://docs.google.com/spreadsheets/d/1IQAWArduLkta9LpYo4a_ULsyqdta6-6aDDiwpUnQT6c/edit?usp=sharing"",""นครสวรรค์!J477"")"),0)</f>
        <v>0</v>
      </c>
      <c r="CP18" s="216">
        <f t="shared" ca="1" si="69"/>
        <v>0</v>
      </c>
      <c r="CQ18" s="278">
        <f ca="1">IFERROR(__xludf.DUMMYFUNCTION("IMPORTRANGE(""https://docs.google.com/spreadsheets/d/1IQAWArduLkta9LpYo4a_ULsyqdta6-6aDDiwpUnQT6c/edit?usp=sharing"",""นครสวรรค์!J478"")"),0)</f>
        <v>0</v>
      </c>
      <c r="CR18" s="278">
        <f ca="1">IFERROR(__xludf.DUMMYFUNCTION("IMPORTRANGE(""https://docs.google.com/spreadsheets/d/1IQAWArduLkta9LpYo4a_ULsyqdta6-6aDDiwpUnQT6c/edit?usp=sharing"",""นครสวรรค์!J479"")"),0)</f>
        <v>0</v>
      </c>
      <c r="CS18" s="278">
        <f ca="1">IFERROR(__xludf.DUMMYFUNCTION("IMPORTRANGE(""https://docs.google.com/spreadsheets/d/1IQAWArduLkta9LpYo4a_ULsyqdta6-6aDDiwpUnQT6c/edit?usp=sharing"",""นครสวรรค์!J480"")"),0)</f>
        <v>0</v>
      </c>
      <c r="CT18" s="278">
        <f ca="1">IFERROR(__xludf.DUMMYFUNCTION("IMPORTRANGE(""https://docs.google.com/spreadsheets/d/1IQAWArduLkta9LpYo4a_ULsyqdta6-6aDDiwpUnQT6c/edit?usp=sharing"",""นครสวรรค์!J481"")"),0)</f>
        <v>0</v>
      </c>
      <c r="CU18" s="278">
        <f ca="1">IFERROR(__xludf.DUMMYFUNCTION("IMPORTRANGE(""https://docs.google.com/spreadsheets/d/1IQAWArduLkta9LpYo4a_ULsyqdta6-6aDDiwpUnQT6c/edit?usp=sharing"",""นครสวรรค์!I484"")"),104)</f>
        <v>104</v>
      </c>
      <c r="CV18" s="278">
        <f ca="1">IFERROR(__xludf.DUMMYFUNCTION("IMPORTRANGE(""https://docs.google.com/spreadsheets/d/1IQAWArduLkta9LpYo4a_ULsyqdta6-6aDDiwpUnQT6c/edit?usp=sharing"",""นครสวรรค์!I485"")"),9)</f>
        <v>9</v>
      </c>
      <c r="CW18" s="278">
        <f ca="1">IFERROR(__xludf.DUMMYFUNCTION("IMPORTRANGE(""https://docs.google.com/spreadsheets/d/1IQAWArduLkta9LpYo4a_ULsyqdta6-6aDDiwpUnQT6c/edit?usp=sharing"",""นครสวรรค์!J484"")"),0)</f>
        <v>0</v>
      </c>
      <c r="CX18" s="216">
        <f t="shared" ca="1" si="71"/>
        <v>0</v>
      </c>
      <c r="CY18" s="278">
        <f ca="1">IFERROR(__xludf.DUMMYFUNCTION("IMPORTRANGE(""https://docs.google.com/spreadsheets/d/1IQAWArduLkta9LpYo4a_ULsyqdta6-6aDDiwpUnQT6c/edit?usp=sharing"",""นครสวรรค์!J485"")"),0)</f>
        <v>0</v>
      </c>
      <c r="CZ18" s="216">
        <f t="shared" ca="1" si="72"/>
        <v>0</v>
      </c>
      <c r="DA18" s="278">
        <f ca="1">IFERROR(__xludf.DUMMYFUNCTION("IMPORTRANGE(""https://docs.google.com/spreadsheets/d/1IQAWArduLkta9LpYo4a_ULsyqdta6-6aDDiwpUnQT6c/edit?usp=sharing"",""นครสวรรค์!J486"")"),0)</f>
        <v>0</v>
      </c>
      <c r="DB18" s="278">
        <f ca="1">IFERROR(__xludf.DUMMYFUNCTION("IMPORTRANGE(""https://docs.google.com/spreadsheets/d/1IQAWArduLkta9LpYo4a_ULsyqdta6-6aDDiwpUnQT6c/edit?usp=sharing"",""นครสวรรค์!J487"")"),0)</f>
        <v>0</v>
      </c>
      <c r="DC18" s="278">
        <f ca="1">IFERROR(__xludf.DUMMYFUNCTION("IMPORTRANGE(""https://docs.google.com/spreadsheets/d/1IQAWArduLkta9LpYo4a_ULsyqdta6-6aDDiwpUnQT6c/edit?usp=sharing"",""นครสวรรค์!J488"")"),0)</f>
        <v>0</v>
      </c>
      <c r="DD18" s="278">
        <f ca="1">IFERROR(__xludf.DUMMYFUNCTION("IMPORTRANGE(""https://docs.google.com/spreadsheets/d/1IQAWArduLkta9LpYo4a_ULsyqdta6-6aDDiwpUnQT6c/edit?usp=sharing"",""นครสวรรค์!J489"")"),0)</f>
        <v>0</v>
      </c>
      <c r="DE18" s="278">
        <f ca="1">IFERROR(__xludf.DUMMYFUNCTION("IMPORTRANGE(""https://docs.google.com/spreadsheets/d/1IQAWArduLkta9LpYo4a_ULsyqdta6-6aDDiwpUnQT6c/edit?usp=sharing"",""นครสวรรค์!J490"")"),0)</f>
        <v>0</v>
      </c>
      <c r="DF18" s="278">
        <f ca="1">IFERROR(__xludf.DUMMYFUNCTION("IMPORTRANGE(""https://docs.google.com/spreadsheets/d/1IQAWArduLkta9LpYo4a_ULsyqdta6-6aDDiwpUnQT6c/edit?usp=sharing"",""นครสวรรค์!J491"")"),0)</f>
        <v>0</v>
      </c>
    </row>
    <row r="19" spans="1:110" ht="19.5" x14ac:dyDescent="0.3">
      <c r="A19" s="147">
        <v>6</v>
      </c>
      <c r="B19" s="148" t="s">
        <v>47</v>
      </c>
      <c r="C19" s="566">
        <f t="shared" ca="1" si="44"/>
        <v>211550</v>
      </c>
      <c r="D19" s="567">
        <f t="shared" ca="1" si="74"/>
        <v>211550</v>
      </c>
      <c r="E19" s="329">
        <f ca="1">IFERROR(__xludf.DUMMYFUNCTION("IMPORTRANGE(""https://docs.google.com/spreadsheets/d/1-uDff_7J0KD5mKrp0Vvzr7lt3OU09vwQwhkpOPPYv2Y/edit?usp=sharing"",""งบพรบ!IP19"")"),0)</f>
        <v>0</v>
      </c>
      <c r="F19" s="329">
        <f ca="1">IFERROR(__xludf.DUMMYFUNCTION("IMPORTRANGE(""https://docs.google.com/spreadsheets/d/1-uDff_7J0KD5mKrp0Vvzr7lt3OU09vwQwhkpOPPYv2Y/edit?usp=sharing"",""งบพรบ!IQ19"")"),211550)</f>
        <v>211550</v>
      </c>
      <c r="G19" s="329">
        <f ca="1">IFERROR(__xludf.DUMMYFUNCTION("IMPORTRANGE(""https://docs.google.com/spreadsheets/d/1-uDff_7J0KD5mKrp0Vvzr7lt3OU09vwQwhkpOPPYv2Y/edit?usp=sharing"",""งบพรบ!IR19"")"),0)</f>
        <v>0</v>
      </c>
      <c r="H19" s="329">
        <f ca="1">IFERROR(__xludf.DUMMYFUNCTION("IMPORTRANGE(""https://docs.google.com/spreadsheets/d/1-uDff_7J0KD5mKrp0Vvzr7lt3OU09vwQwhkpOPPYv2Y/edit?usp=sharing"",""งบพรบ!IT19"")"),211550)</f>
        <v>211550</v>
      </c>
      <c r="I19" s="329">
        <f ca="1">IFERROR(__xludf.DUMMYFUNCTION("IMPORTRANGE(""https://docs.google.com/spreadsheets/d/1-uDff_7J0KD5mKrp0Vvzr7lt3OU09vwQwhkpOPPYv2Y/edit?usp=sharing"",""งบพรบ!IU19"")"),0)</f>
        <v>0</v>
      </c>
      <c r="J19" s="329">
        <f t="shared" ca="1" si="46"/>
        <v>24691</v>
      </c>
      <c r="K19" s="568">
        <f t="shared" ca="1" si="47"/>
        <v>11.671472465138265</v>
      </c>
      <c r="L19" s="329">
        <f ca="1">IFERROR(__xludf.DUMMYFUNCTION("IMPORTRANGE(""https://docs.google.com/spreadsheets/d/1-uDff_7J0KD5mKrp0Vvzr7lt3OU09vwQwhkpOPPYv2Y/edit?usp=sharing"",""งบพรบ!IV19"")"),24691)</f>
        <v>24691</v>
      </c>
      <c r="M19" s="330">
        <f t="shared" ca="1" si="48"/>
        <v>11.671472465138265</v>
      </c>
      <c r="N19" s="330">
        <f t="shared" ca="1" si="49"/>
        <v>11.671472465138265</v>
      </c>
      <c r="O19" s="569">
        <f ca="1">IFERROR(__xludf.DUMMYFUNCTION("IMPORTRANGE(""https://docs.google.com/spreadsheets/d/1-uDff_7J0KD5mKrp0Vvzr7lt3OU09vwQwhkpOPPYv2Y/edit?usp=sharing"",""งบพรบ!IW19"")"),0)</f>
        <v>0</v>
      </c>
      <c r="P19" s="569">
        <f t="shared" ca="1" si="50"/>
        <v>0</v>
      </c>
      <c r="Q19" s="330">
        <f t="shared" ca="1" si="51"/>
        <v>0</v>
      </c>
      <c r="R19" s="564">
        <f ca="1">IFERROR(__xludf.DUMMYFUNCTION("IMPORTRANGE(""https://docs.google.com/spreadsheets/d/10s13Sk5xrltsiR-Zkbmk5DwIaDIKO8XlbJAfqyT7Gvg/edit?usp=sharing"",""น่าน!Q413"")"),29160)</f>
        <v>29160</v>
      </c>
      <c r="S19" s="564">
        <f ca="1">IFERROR(__xludf.DUMMYFUNCTION("IMPORTRANGE(""https://docs.google.com/spreadsheets/d/10s13Sk5xrltsiR-Zkbmk5DwIaDIKO8XlbJAfqyT7Gvg/edit?usp=sharing"",""น่าน!R413"")"),29160)</f>
        <v>29160</v>
      </c>
      <c r="T19" s="564">
        <f ca="1">IFERROR(__xludf.DUMMYFUNCTION("IMPORTRANGE(""https://docs.google.com/spreadsheets/d/10s13Sk5xrltsiR-Zkbmk5DwIaDIKO8XlbJAfqyT7Gvg/edit?usp=sharing"",""น่าน!S413"")"),0)</f>
        <v>0</v>
      </c>
      <c r="U19" s="565">
        <f t="shared" ca="1" si="53"/>
        <v>0</v>
      </c>
      <c r="V19" s="565">
        <f t="shared" ca="1" si="54"/>
        <v>0</v>
      </c>
      <c r="W19" s="152">
        <f ca="1">IFERROR(__xludf.DUMMYFUNCTION("IMPORTRANGE(""https://docs.google.com/spreadsheets/d/10s13Sk5xrltsiR-Zkbmk5DwIaDIKO8XlbJAfqyT7Gvg/edit?usp=sharing"",""น่าน!I424"")"),0)</f>
        <v>0</v>
      </c>
      <c r="X19" s="152">
        <f ca="1">IFERROR(__xludf.DUMMYFUNCTION("IMPORTRANGE(""https://docs.google.com/spreadsheets/d/10s13Sk5xrltsiR-Zkbmk5DwIaDIKO8XlbJAfqyT7Gvg/edit?usp=sharing"",""น่าน!I425"")"),0)</f>
        <v>0</v>
      </c>
      <c r="Y19" s="152">
        <f ca="1">IFERROR(__xludf.DUMMYFUNCTION("IMPORTRANGE(""https://docs.google.com/spreadsheets/d/10s13Sk5xrltsiR-Zkbmk5DwIaDIKO8XlbJAfqyT7Gvg/edit?usp=sharing"",""น่าน!J424"")"),0)</f>
        <v>0</v>
      </c>
      <c r="Z19" s="216">
        <f t="shared" ca="1" si="56"/>
        <v>0</v>
      </c>
      <c r="AA19" s="152">
        <f ca="1">IFERROR(__xludf.DUMMYFUNCTION("IMPORTRANGE(""https://docs.google.com/spreadsheets/d/10s13Sk5xrltsiR-Zkbmk5DwIaDIKO8XlbJAfqyT7Gvg/edit?usp=sharing"",""น่าน!J425"")"),0)</f>
        <v>0</v>
      </c>
      <c r="AB19" s="216">
        <f t="shared" ca="1" si="57"/>
        <v>0</v>
      </c>
      <c r="AC19" s="152">
        <f ca="1">IFERROR(__xludf.DUMMYFUNCTION("IMPORTRANGE(""https://docs.google.com/spreadsheets/d/10s13Sk5xrltsiR-Zkbmk5DwIaDIKO8XlbJAfqyT7Gvg/edit?usp=sharing"",""น่าน!J426"")"),0)</f>
        <v>0</v>
      </c>
      <c r="AD19" s="152">
        <f ca="1">IFERROR(__xludf.DUMMYFUNCTION("IMPORTRANGE(""https://docs.google.com/spreadsheets/d/10s13Sk5xrltsiR-Zkbmk5DwIaDIKO8XlbJAfqyT7Gvg/edit?usp=sharing"",""น่าน!J427"")"),0)</f>
        <v>0</v>
      </c>
      <c r="AE19" s="152">
        <f ca="1">IFERROR(__xludf.DUMMYFUNCTION("IMPORTRANGE(""https://docs.google.com/spreadsheets/d/10s13Sk5xrltsiR-Zkbmk5DwIaDIKO8XlbJAfqyT7Gvg/edit?usp=sharing"",""น่าน!J428"")"),0)</f>
        <v>0</v>
      </c>
      <c r="AF19" s="152">
        <f ca="1">IFERROR(__xludf.DUMMYFUNCTION("IMPORTRANGE(""https://docs.google.com/spreadsheets/d/10s13Sk5xrltsiR-Zkbmk5DwIaDIKO8XlbJAfqyT7Gvg/edit?usp=sharing"",""น่าน!J429"")"),0)</f>
        <v>0</v>
      </c>
      <c r="AG19" s="152">
        <f ca="1">IFERROR(__xludf.DUMMYFUNCTION("IMPORTRANGE(""https://docs.google.com/spreadsheets/d/10s13Sk5xrltsiR-Zkbmk5DwIaDIKO8XlbJAfqyT7Gvg/edit?usp=sharing"",""น่าน!J430"")"),0)</f>
        <v>0</v>
      </c>
      <c r="AH19" s="152">
        <f ca="1">IFERROR(__xludf.DUMMYFUNCTION("IMPORTRANGE(""https://docs.google.com/spreadsheets/d/10s13Sk5xrltsiR-Zkbmk5DwIaDIKO8XlbJAfqyT7Gvg/edit?usp=sharing"",""น่าน!J431"")"),0)</f>
        <v>0</v>
      </c>
      <c r="AI19" s="152">
        <f ca="1">IFERROR(__xludf.DUMMYFUNCTION("IMPORTRANGE(""https://docs.google.com/spreadsheets/d/10s13Sk5xrltsiR-Zkbmk5DwIaDIKO8XlbJAfqyT7Gvg/edit?usp=sharing"",""น่าน!I432"")"),0)</f>
        <v>0</v>
      </c>
      <c r="AJ19" s="152">
        <f ca="1">IFERROR(__xludf.DUMMYFUNCTION("IMPORTRANGE(""https://docs.google.com/spreadsheets/d/10s13Sk5xrltsiR-Zkbmk5DwIaDIKO8XlbJAfqyT7Gvg/edit?usp=sharing"",""น่าน!I433"")"),0)</f>
        <v>0</v>
      </c>
      <c r="AK19" s="216">
        <f ca="1">IFERROR(__xludf.DUMMYFUNCTION("IMPORTRANGE(""https://docs.google.com/spreadsheets/d/10s13Sk5xrltsiR-Zkbmk5DwIaDIKO8XlbJAfqyT7Gvg/edit?usp=sharing"",""น่าน!J432"")"),0)</f>
        <v>0</v>
      </c>
      <c r="AL19" s="216">
        <f t="shared" ca="1" si="59"/>
        <v>0</v>
      </c>
      <c r="AM19" s="152">
        <f ca="1">IFERROR(__xludf.DUMMYFUNCTION("IMPORTRANGE(""https://docs.google.com/spreadsheets/d/10s13Sk5xrltsiR-Zkbmk5DwIaDIKO8XlbJAfqyT7Gvg/edit?usp=sharing"",""น่าน!J433"")"),0)</f>
        <v>0</v>
      </c>
      <c r="AN19" s="216">
        <f t="shared" ca="1" si="60"/>
        <v>0</v>
      </c>
      <c r="AO19" s="152">
        <f ca="1">IFERROR(__xludf.DUMMYFUNCTION("IMPORTRANGE(""https://docs.google.com/spreadsheets/d/10s13Sk5xrltsiR-Zkbmk5DwIaDIKO8XlbJAfqyT7Gvg/edit?usp=sharing"",""น่าน!J434"")"),0)</f>
        <v>0</v>
      </c>
      <c r="AP19" s="152">
        <f ca="1">IFERROR(__xludf.DUMMYFUNCTION("IMPORTRANGE(""https://docs.google.com/spreadsheets/d/10s13Sk5xrltsiR-Zkbmk5DwIaDIKO8XlbJAfqyT7Gvg/edit?usp=sharing"",""น่าน!J435"")"),0)</f>
        <v>0</v>
      </c>
      <c r="AQ19" s="152">
        <f ca="1">IFERROR(__xludf.DUMMYFUNCTION("IMPORTRANGE(""https://docs.google.com/spreadsheets/d/10s13Sk5xrltsiR-Zkbmk5DwIaDIKO8XlbJAfqyT7Gvg/edit?usp=sharing"",""น่าน!J436"")"),0)</f>
        <v>0</v>
      </c>
      <c r="AR19" s="152">
        <f ca="1">IFERROR(__xludf.DUMMYFUNCTION("IMPORTRANGE(""https://docs.google.com/spreadsheets/d/10s13Sk5xrltsiR-Zkbmk5DwIaDIKO8XlbJAfqyT7Gvg/edit?usp=sharing"",""น่าน!J437"")"),0)</f>
        <v>0</v>
      </c>
      <c r="AS19" s="152">
        <f ca="1">IFERROR(__xludf.DUMMYFUNCTION("IMPORTRANGE(""https://docs.google.com/spreadsheets/d/10s13Sk5xrltsiR-Zkbmk5DwIaDIKO8XlbJAfqyT7Gvg/edit?usp=sharing"",""น่าน!J438"")"),0)</f>
        <v>0</v>
      </c>
      <c r="AT19" s="152">
        <f ca="1">IFERROR(__xludf.DUMMYFUNCTION("IMPORTRANGE(""https://docs.google.com/spreadsheets/d/10s13Sk5xrltsiR-Zkbmk5DwIaDIKO8XlbJAfqyT7Gvg/edit?usp=sharing"",""น่าน!J439"")"),0)</f>
        <v>0</v>
      </c>
      <c r="AU19" s="152">
        <f ca="1">IFERROR(__xludf.DUMMYFUNCTION("IMPORTRANGE(""https://docs.google.com/spreadsheets/d/10s13Sk5xrltsiR-Zkbmk5DwIaDIKO8XlbJAfqyT7Gvg/edit?usp=sharing"",""น่าน!I440"")"),0)</f>
        <v>0</v>
      </c>
      <c r="AV19" s="152">
        <f ca="1">IFERROR(__xludf.DUMMYFUNCTION("IMPORTRANGE(""https://docs.google.com/spreadsheets/d/10s13Sk5xrltsiR-Zkbmk5DwIaDIKO8XlbJAfqyT7Gvg/edit?usp=sharing"",""น่าน!I441"")"),0)</f>
        <v>0</v>
      </c>
      <c r="AW19" s="152">
        <f ca="1">IFERROR(__xludf.DUMMYFUNCTION("IMPORTRANGE(""https://docs.google.com/spreadsheets/d/10s13Sk5xrltsiR-Zkbmk5DwIaDIKO8XlbJAfqyT7Gvg/edit?usp=sharing"",""น่าน!J440"")"),0)</f>
        <v>0</v>
      </c>
      <c r="AX19" s="216">
        <f t="shared" ca="1" si="62"/>
        <v>0</v>
      </c>
      <c r="AY19" s="152">
        <f ca="1">IFERROR(__xludf.DUMMYFUNCTION("IMPORTRANGE(""https://docs.google.com/spreadsheets/d/10s13Sk5xrltsiR-Zkbmk5DwIaDIKO8XlbJAfqyT7Gvg/edit?usp=sharing"",""น่าน!J441"")"),0)</f>
        <v>0</v>
      </c>
      <c r="AZ19" s="216">
        <f t="shared" ca="1" si="63"/>
        <v>0</v>
      </c>
      <c r="BA19" s="152">
        <f ca="1">IFERROR(__xludf.DUMMYFUNCTION("IMPORTRANGE(""https://docs.google.com/spreadsheets/d/10s13Sk5xrltsiR-Zkbmk5DwIaDIKO8XlbJAfqyT7Gvg/edit?usp=sharing"",""น่าน!J442"")"),0)</f>
        <v>0</v>
      </c>
      <c r="BB19" s="152">
        <f ca="1">IFERROR(__xludf.DUMMYFUNCTION("IMPORTRANGE(""https://docs.google.com/spreadsheets/d/10s13Sk5xrltsiR-Zkbmk5DwIaDIKO8XlbJAfqyT7Gvg/edit?usp=sharing"",""น่าน!J443"")"),0)</f>
        <v>0</v>
      </c>
      <c r="BC19" s="152">
        <f ca="1">IFERROR(__xludf.DUMMYFUNCTION("IMPORTRANGE(""https://docs.google.com/spreadsheets/d/10s13Sk5xrltsiR-Zkbmk5DwIaDIKO8XlbJAfqyT7Gvg/edit?usp=sharing"",""น่าน!J444"")"),0)</f>
        <v>0</v>
      </c>
      <c r="BD19" s="152">
        <f ca="1">IFERROR(__xludf.DUMMYFUNCTION("IMPORTRANGE(""https://docs.google.com/spreadsheets/d/10s13Sk5xrltsiR-Zkbmk5DwIaDIKO8XlbJAfqyT7Gvg/edit?usp=sharing"",""น่าน!J445"")"),0)</f>
        <v>0</v>
      </c>
      <c r="BE19" s="152">
        <f ca="1">IFERROR(__xludf.DUMMYFUNCTION("IMPORTRANGE(""https://docs.google.com/spreadsheets/d/10s13Sk5xrltsiR-Zkbmk5DwIaDIKO8XlbJAfqyT7Gvg/edit?usp=sharing"",""น่าน!J446"")"),0)</f>
        <v>0</v>
      </c>
      <c r="BF19" s="152">
        <f ca="1">IFERROR(__xludf.DUMMYFUNCTION("IMPORTRANGE(""https://docs.google.com/spreadsheets/d/10s13Sk5xrltsiR-Zkbmk5DwIaDIKO8XlbJAfqyT7Gvg/edit?usp=sharing"",""น่าน!J447"")"),0)</f>
        <v>0</v>
      </c>
      <c r="BG19" s="152">
        <f ca="1">IFERROR(__xludf.DUMMYFUNCTION("IMPORTRANGE(""https://docs.google.com/spreadsheets/d/10s13Sk5xrltsiR-Zkbmk5DwIaDIKO8XlbJAfqyT7Gvg/edit?usp=sharing"",""น่าน!J448"")"),0)</f>
        <v>0</v>
      </c>
      <c r="BH19" s="152">
        <f ca="1">IFERROR(__xludf.DUMMYFUNCTION("IMPORTRANGE(""https://docs.google.com/spreadsheets/d/10s13Sk5xrltsiR-Zkbmk5DwIaDIKO8XlbJAfqyT7Gvg/edit?usp=sharing"",""น่าน!J449"")"),0)</f>
        <v>0</v>
      </c>
      <c r="BI19" s="152">
        <f ca="1">IFERROR(__xludf.DUMMYFUNCTION("IMPORTRANGE(""https://docs.google.com/spreadsheets/d/10s13Sk5xrltsiR-Zkbmk5DwIaDIKO8XlbJAfqyT7Gvg/edit?usp=sharing"",""น่าน!J450"")"),0)</f>
        <v>0</v>
      </c>
      <c r="BJ19" s="152">
        <f ca="1">IFERROR(__xludf.DUMMYFUNCTION("IMPORTRANGE(""https://docs.google.com/spreadsheets/d/10s13Sk5xrltsiR-Zkbmk5DwIaDIKO8XlbJAfqyT7Gvg/edit?usp=sharing"",""น่าน!J451"")"),0)</f>
        <v>0</v>
      </c>
      <c r="BK19" s="152">
        <f ca="1">IFERROR(__xludf.DUMMYFUNCTION("IMPORTRANGE(""https://docs.google.com/spreadsheets/d/10s13Sk5xrltsiR-Zkbmk5DwIaDIKO8XlbJAfqyT7Gvg/edit?usp=sharing"",""น่าน!J452"")"),0)</f>
        <v>0</v>
      </c>
      <c r="BL19" s="152">
        <f ca="1">IFERROR(__xludf.DUMMYFUNCTION("IMPORTRANGE(""https://docs.google.com/spreadsheets/d/10s13Sk5xrltsiR-Zkbmk5DwIaDIKO8XlbJAfqyT7Gvg/edit?usp=sharing"",""น่าน!J453"")"),0)</f>
        <v>0</v>
      </c>
      <c r="BM19" s="152">
        <f ca="1">IFERROR(__xludf.DUMMYFUNCTION("IMPORTRANGE(""https://docs.google.com/spreadsheets/d/10s13Sk5xrltsiR-Zkbmk5DwIaDIKO8XlbJAfqyT7Gvg/edit?usp=sharing"",""น่าน!J454"")"),0)</f>
        <v>0</v>
      </c>
      <c r="BN19" s="152">
        <f ca="1">IFERROR(__xludf.DUMMYFUNCTION("IMPORTRANGE(""https://docs.google.com/spreadsheets/d/10s13Sk5xrltsiR-Zkbmk5DwIaDIKO8XlbJAfqyT7Gvg/edit?usp=sharing"",""น่าน!J455"")"),0)</f>
        <v>0</v>
      </c>
      <c r="BO19" s="152">
        <f ca="1">IFERROR(__xludf.DUMMYFUNCTION("IMPORTRANGE(""https://docs.google.com/spreadsheets/d/10s13Sk5xrltsiR-Zkbmk5DwIaDIKO8XlbJAfqyT7Gvg/edit?usp=sharing"",""น่าน!I457"")"),2722.88)</f>
        <v>2722.88</v>
      </c>
      <c r="BP19" s="152">
        <f ca="1">IFERROR(__xludf.DUMMYFUNCTION("IMPORTRANGE(""https://docs.google.com/spreadsheets/d/10s13Sk5xrltsiR-Zkbmk5DwIaDIKO8XlbJAfqyT7Gvg/edit?usp=sharing"",""น่าน!I458"")"),575)</f>
        <v>575</v>
      </c>
      <c r="BQ19" s="152">
        <f ca="1">IFERROR(__xludf.DUMMYFUNCTION("IMPORTRANGE(""https://docs.google.com/spreadsheets/d/10s13Sk5xrltsiR-Zkbmk5DwIaDIKO8XlbJAfqyT7Gvg/edit?usp=sharing"",""น่าน!J457"")"),0)</f>
        <v>0</v>
      </c>
      <c r="BR19" s="216">
        <f t="shared" ca="1" si="65"/>
        <v>0</v>
      </c>
      <c r="BS19" s="152">
        <f ca="1">IFERROR(__xludf.DUMMYFUNCTION("IMPORTRANGE(""https://docs.google.com/spreadsheets/d/10s13Sk5xrltsiR-Zkbmk5DwIaDIKO8XlbJAfqyT7Gvg/edit?usp=sharing"",""น่าน!J458"")"),0)</f>
        <v>0</v>
      </c>
      <c r="BT19" s="216">
        <f t="shared" ca="1" si="66"/>
        <v>0</v>
      </c>
      <c r="BU19" s="152">
        <f ca="1">IFERROR(__xludf.DUMMYFUNCTION("IMPORTRANGE(""https://docs.google.com/spreadsheets/d/10s13Sk5xrltsiR-Zkbmk5DwIaDIKO8XlbJAfqyT7Gvg/edit?usp=sharing"",""น่าน!J459"")"),0)</f>
        <v>0</v>
      </c>
      <c r="BV19" s="152">
        <f ca="1">IFERROR(__xludf.DUMMYFUNCTION("IMPORTRANGE(""https://docs.google.com/spreadsheets/d/10s13Sk5xrltsiR-Zkbmk5DwIaDIKO8XlbJAfqyT7Gvg/edit?usp=sharing"",""น่าน!J460"")"),0)</f>
        <v>0</v>
      </c>
      <c r="BW19" s="152">
        <f ca="1">IFERROR(__xludf.DUMMYFUNCTION("IMPORTRANGE(""https://docs.google.com/spreadsheets/d/10s13Sk5xrltsiR-Zkbmk5DwIaDIKO8XlbJAfqyT7Gvg/edit?usp=sharing"",""น่าน!J461"")"),0)</f>
        <v>0</v>
      </c>
      <c r="BX19" s="152">
        <f ca="1">IFERROR(__xludf.DUMMYFUNCTION("IMPORTRANGE(""https://docs.google.com/spreadsheets/d/10s13Sk5xrltsiR-Zkbmk5DwIaDIKO8XlbJAfqyT7Gvg/edit?usp=sharing"",""น่าน!J462"")"),0)</f>
        <v>0</v>
      </c>
      <c r="BY19" s="152">
        <f ca="1">IFERROR(__xludf.DUMMYFUNCTION("IMPORTRANGE(""https://docs.google.com/spreadsheets/d/10s13Sk5xrltsiR-Zkbmk5DwIaDIKO8XlbJAfqyT7Gvg/edit?usp=sharing"",""น่าน!J463"")"),0)</f>
        <v>0</v>
      </c>
      <c r="BZ19" s="152">
        <f ca="1">IFERROR(__xludf.DUMMYFUNCTION("IMPORTRANGE(""https://docs.google.com/spreadsheets/d/10s13Sk5xrltsiR-Zkbmk5DwIaDIKO8XlbJAfqyT7Gvg/edit?usp=sharing"",""น่าน!J464"")"),0)</f>
        <v>0</v>
      </c>
      <c r="CA19" s="152">
        <f ca="1">IFERROR(__xludf.DUMMYFUNCTION("IMPORTRANGE(""https://docs.google.com/spreadsheets/d/10s13Sk5xrltsiR-Zkbmk5DwIaDIKO8XlbJAfqyT7Gvg/edit?usp=sharing"",""น่าน!J465"")"),0)</f>
        <v>0</v>
      </c>
      <c r="CB19" s="152">
        <f ca="1">IFERROR(__xludf.DUMMYFUNCTION("IMPORTRANGE(""https://docs.google.com/spreadsheets/d/10s13Sk5xrltsiR-Zkbmk5DwIaDIKO8XlbJAfqyT7Gvg/edit?usp=sharing"",""น่าน!J466"")"),0)</f>
        <v>0</v>
      </c>
      <c r="CC19" s="152">
        <f ca="1">IFERROR(__xludf.DUMMYFUNCTION("IMPORTRANGE(""https://docs.google.com/spreadsheets/d/10s13Sk5xrltsiR-Zkbmk5DwIaDIKO8XlbJAfqyT7Gvg/edit?usp=sharing"",""น่าน!J467"")"),0)</f>
        <v>0</v>
      </c>
      <c r="CD19" s="152">
        <f ca="1">IFERROR(__xludf.DUMMYFUNCTION("IMPORTRANGE(""https://docs.google.com/spreadsheets/d/10s13Sk5xrltsiR-Zkbmk5DwIaDIKO8XlbJAfqyT7Gvg/edit?usp=sharing"",""น่าน!J468"")"),0)</f>
        <v>0</v>
      </c>
      <c r="CE19" s="152">
        <f ca="1">IFERROR(__xludf.DUMMYFUNCTION("IMPORTRANGE(""https://docs.google.com/spreadsheets/d/10s13Sk5xrltsiR-Zkbmk5DwIaDIKO8XlbJAfqyT7Gvg/edit?usp=sharing"",""น่าน!J469"")"),0)</f>
        <v>0</v>
      </c>
      <c r="CF19" s="152">
        <f ca="1">IFERROR(__xludf.DUMMYFUNCTION("IMPORTRANGE(""https://docs.google.com/spreadsheets/d/10s13Sk5xrltsiR-Zkbmk5DwIaDIKO8XlbJAfqyT7Gvg/edit?usp=sharing"",""น่าน!J470"")"),0)</f>
        <v>0</v>
      </c>
      <c r="CG19" s="152">
        <f ca="1">IFERROR(__xludf.DUMMYFUNCTION("IMPORTRANGE(""https://docs.google.com/spreadsheets/d/10s13Sk5xrltsiR-Zkbmk5DwIaDIKO8XlbJAfqyT7Gvg/edit?usp=sharing"",""น่าน!J471"")"),0)</f>
        <v>0</v>
      </c>
      <c r="CH19" s="152">
        <f ca="1">IFERROR(__xludf.DUMMYFUNCTION("IMPORTRANGE(""https://docs.google.com/spreadsheets/d/10s13Sk5xrltsiR-Zkbmk5DwIaDIKO8XlbJAfqyT7Gvg/edit?usp=sharing"",""น่าน!J472"")"),0)</f>
        <v>0</v>
      </c>
      <c r="CI19" s="152">
        <f ca="1">IFERROR(__xludf.DUMMYFUNCTION("IMPORTRANGE(""https://docs.google.com/spreadsheets/d/10s13Sk5xrltsiR-Zkbmk5DwIaDIKO8XlbJAfqyT7Gvg/edit?usp=sharing"",""น่าน!J473"")"),0)</f>
        <v>0</v>
      </c>
      <c r="CJ19" s="152">
        <f ca="1">IFERROR(__xludf.DUMMYFUNCTION("IMPORTRANGE(""https://docs.google.com/spreadsheets/d/10s13Sk5xrltsiR-Zkbmk5DwIaDIKO8XlbJAfqyT7Gvg/edit?usp=sharing"",""น่าน!J474"")"),0)</f>
        <v>0</v>
      </c>
      <c r="CK19" s="278">
        <f ca="1">IFERROR(__xludf.DUMMYFUNCTION("IMPORTRANGE(""https://docs.google.com/spreadsheets/d/10s13Sk5xrltsiR-Zkbmk5DwIaDIKO8XlbJAfqyT7Gvg/edit?usp=sharing"",""น่าน!I476"")"),0)</f>
        <v>0</v>
      </c>
      <c r="CL19" s="278">
        <f ca="1">IFERROR(__xludf.DUMMYFUNCTION("IMPORTRANGE(""https://docs.google.com/spreadsheets/d/10s13Sk5xrltsiR-Zkbmk5DwIaDIKO8XlbJAfqyT7Gvg/edit?usp=sharing"",""น่าน!I477"")"),0)</f>
        <v>0</v>
      </c>
      <c r="CM19" s="278">
        <f ca="1">IFERROR(__xludf.DUMMYFUNCTION("IMPORTRANGE(""https://docs.google.com/spreadsheets/d/10s13Sk5xrltsiR-Zkbmk5DwIaDIKO8XlbJAfqyT7Gvg/edit?usp=sharing"",""น่าน!J476"")"),0)</f>
        <v>0</v>
      </c>
      <c r="CN19" s="216">
        <f t="shared" ca="1" si="68"/>
        <v>0</v>
      </c>
      <c r="CO19" s="278">
        <f ca="1">IFERROR(__xludf.DUMMYFUNCTION("IMPORTRANGE(""https://docs.google.com/spreadsheets/d/10s13Sk5xrltsiR-Zkbmk5DwIaDIKO8XlbJAfqyT7Gvg/edit?usp=sharing"",""น่าน!J477"")"),0)</f>
        <v>0</v>
      </c>
      <c r="CP19" s="216">
        <f t="shared" ca="1" si="69"/>
        <v>0</v>
      </c>
      <c r="CQ19" s="278">
        <f ca="1">IFERROR(__xludf.DUMMYFUNCTION("IMPORTRANGE(""https://docs.google.com/spreadsheets/d/10s13Sk5xrltsiR-Zkbmk5DwIaDIKO8XlbJAfqyT7Gvg/edit?usp=sharing"",""น่าน!J478"")"),0)</f>
        <v>0</v>
      </c>
      <c r="CR19" s="278">
        <f ca="1">IFERROR(__xludf.DUMMYFUNCTION("IMPORTRANGE(""https://docs.google.com/spreadsheets/d/10s13Sk5xrltsiR-Zkbmk5DwIaDIKO8XlbJAfqyT7Gvg/edit?usp=sharing"",""น่าน!J479"")"),0)</f>
        <v>0</v>
      </c>
      <c r="CS19" s="278">
        <f ca="1">IFERROR(__xludf.DUMMYFUNCTION("IMPORTRANGE(""https://docs.google.com/spreadsheets/d/10s13Sk5xrltsiR-Zkbmk5DwIaDIKO8XlbJAfqyT7Gvg/edit?usp=sharing"",""น่าน!J480"")"),0)</f>
        <v>0</v>
      </c>
      <c r="CT19" s="278">
        <f ca="1">IFERROR(__xludf.DUMMYFUNCTION("IMPORTRANGE(""https://docs.google.com/spreadsheets/d/10s13Sk5xrltsiR-Zkbmk5DwIaDIKO8XlbJAfqyT7Gvg/edit?usp=sharing"",""น่าน!J481"")"),0)</f>
        <v>0</v>
      </c>
      <c r="CU19" s="278">
        <f ca="1">IFERROR(__xludf.DUMMYFUNCTION("IMPORTRANGE(""https://docs.google.com/spreadsheets/d/10s13Sk5xrltsiR-Zkbmk5DwIaDIKO8XlbJAfqyT7Gvg/edit?usp=sharing"",""น่าน!I484"")"),0)</f>
        <v>0</v>
      </c>
      <c r="CV19" s="278">
        <f ca="1">IFERROR(__xludf.DUMMYFUNCTION("IMPORTRANGE(""https://docs.google.com/spreadsheets/d/10s13Sk5xrltsiR-Zkbmk5DwIaDIKO8XlbJAfqyT7Gvg/edit?usp=sharing"",""น่าน!I485"")"),0)</f>
        <v>0</v>
      </c>
      <c r="CW19" s="278">
        <f ca="1">IFERROR(__xludf.DUMMYFUNCTION("IMPORTRANGE(""https://docs.google.com/spreadsheets/d/10s13Sk5xrltsiR-Zkbmk5DwIaDIKO8XlbJAfqyT7Gvg/edit?usp=sharing"",""น่าน!J484"")"),0)</f>
        <v>0</v>
      </c>
      <c r="CX19" s="216">
        <f t="shared" ca="1" si="71"/>
        <v>0</v>
      </c>
      <c r="CY19" s="278">
        <f ca="1">IFERROR(__xludf.DUMMYFUNCTION("IMPORTRANGE(""https://docs.google.com/spreadsheets/d/10s13Sk5xrltsiR-Zkbmk5DwIaDIKO8XlbJAfqyT7Gvg/edit?usp=sharing"",""น่าน!J485"")"),0)</f>
        <v>0</v>
      </c>
      <c r="CZ19" s="216">
        <f t="shared" ca="1" si="72"/>
        <v>0</v>
      </c>
      <c r="DA19" s="278">
        <f ca="1">IFERROR(__xludf.DUMMYFUNCTION("IMPORTRANGE(""https://docs.google.com/spreadsheets/d/10s13Sk5xrltsiR-Zkbmk5DwIaDIKO8XlbJAfqyT7Gvg/edit?usp=sharing"",""น่าน!J486"")"),0)</f>
        <v>0</v>
      </c>
      <c r="DB19" s="278">
        <f ca="1">IFERROR(__xludf.DUMMYFUNCTION("IMPORTRANGE(""https://docs.google.com/spreadsheets/d/10s13Sk5xrltsiR-Zkbmk5DwIaDIKO8XlbJAfqyT7Gvg/edit?usp=sharing"",""น่าน!J487"")"),0)</f>
        <v>0</v>
      </c>
      <c r="DC19" s="278">
        <f ca="1">IFERROR(__xludf.DUMMYFUNCTION("IMPORTRANGE(""https://docs.google.com/spreadsheets/d/10s13Sk5xrltsiR-Zkbmk5DwIaDIKO8XlbJAfqyT7Gvg/edit?usp=sharing"",""น่าน!J488"")"),0)</f>
        <v>0</v>
      </c>
      <c r="DD19" s="278">
        <f ca="1">IFERROR(__xludf.DUMMYFUNCTION("IMPORTRANGE(""https://docs.google.com/spreadsheets/d/10s13Sk5xrltsiR-Zkbmk5DwIaDIKO8XlbJAfqyT7Gvg/edit?usp=sharing"",""น่าน!J489"")"),0)</f>
        <v>0</v>
      </c>
      <c r="DE19" s="278">
        <f ca="1">IFERROR(__xludf.DUMMYFUNCTION("IMPORTRANGE(""https://docs.google.com/spreadsheets/d/10s13Sk5xrltsiR-Zkbmk5DwIaDIKO8XlbJAfqyT7Gvg/edit?usp=sharing"",""น่าน!J490"")"),0)</f>
        <v>0</v>
      </c>
      <c r="DF19" s="278">
        <f ca="1">IFERROR(__xludf.DUMMYFUNCTION("IMPORTRANGE(""https://docs.google.com/spreadsheets/d/10s13Sk5xrltsiR-Zkbmk5DwIaDIKO8XlbJAfqyT7Gvg/edit?usp=sharing"",""น่าน!J491"")"),0)</f>
        <v>0</v>
      </c>
    </row>
    <row r="20" spans="1:110" ht="19.5" x14ac:dyDescent="0.3">
      <c r="A20" s="147">
        <v>7</v>
      </c>
      <c r="B20" s="148" t="s">
        <v>48</v>
      </c>
      <c r="C20" s="566">
        <f t="shared" ca="1" si="44"/>
        <v>488640</v>
      </c>
      <c r="D20" s="567">
        <f t="shared" ca="1" si="74"/>
        <v>488640</v>
      </c>
      <c r="E20" s="329">
        <f ca="1">IFERROR(__xludf.DUMMYFUNCTION("IMPORTRANGE(""https://docs.google.com/spreadsheets/d/1-uDff_7J0KD5mKrp0Vvzr7lt3OU09vwQwhkpOPPYv2Y/edit?usp=sharing"",""งบพรบ!IP20"")"),228100)</f>
        <v>228100</v>
      </c>
      <c r="F20" s="329">
        <f ca="1">IFERROR(__xludf.DUMMYFUNCTION("IMPORTRANGE(""https://docs.google.com/spreadsheets/d/1-uDff_7J0KD5mKrp0Vvzr7lt3OU09vwQwhkpOPPYv2Y/edit?usp=sharing"",""งบพรบ!IQ20"")"),260540)</f>
        <v>260540</v>
      </c>
      <c r="G20" s="329">
        <f ca="1">IFERROR(__xludf.DUMMYFUNCTION("IMPORTRANGE(""https://docs.google.com/spreadsheets/d/1-uDff_7J0KD5mKrp0Vvzr7lt3OU09vwQwhkpOPPYv2Y/edit?usp=sharing"",""งบพรบ!IR20"")"),0)</f>
        <v>0</v>
      </c>
      <c r="H20" s="329">
        <f ca="1">IFERROR(__xludf.DUMMYFUNCTION("IMPORTRANGE(""https://docs.google.com/spreadsheets/d/1-uDff_7J0KD5mKrp0Vvzr7lt3OU09vwQwhkpOPPYv2Y/edit?usp=sharing"",""งบพรบ!IT20"")"),488640)</f>
        <v>488640</v>
      </c>
      <c r="I20" s="329">
        <f ca="1">IFERROR(__xludf.DUMMYFUNCTION("IMPORTRANGE(""https://docs.google.com/spreadsheets/d/1-uDff_7J0KD5mKrp0Vvzr7lt3OU09vwQwhkpOPPYv2Y/edit?usp=sharing"",""งบพรบ!IU20"")"),0)</f>
        <v>0</v>
      </c>
      <c r="J20" s="329">
        <f t="shared" ca="1" si="46"/>
        <v>216173.08</v>
      </c>
      <c r="K20" s="568">
        <f t="shared" ca="1" si="47"/>
        <v>44.239742960052389</v>
      </c>
      <c r="L20" s="329">
        <f ca="1">IFERROR(__xludf.DUMMYFUNCTION("IMPORTRANGE(""https://docs.google.com/spreadsheets/d/1-uDff_7J0KD5mKrp0Vvzr7lt3OU09vwQwhkpOPPYv2Y/edit?usp=sharing"",""งบพรบ!IV20"")"),216173.08)</f>
        <v>216173.08</v>
      </c>
      <c r="M20" s="330">
        <f t="shared" ca="1" si="48"/>
        <v>44.239742960052389</v>
      </c>
      <c r="N20" s="330">
        <f t="shared" ca="1" si="49"/>
        <v>44.239742960052389</v>
      </c>
      <c r="O20" s="569">
        <f ca="1">IFERROR(__xludf.DUMMYFUNCTION("IMPORTRANGE(""https://docs.google.com/spreadsheets/d/1-uDff_7J0KD5mKrp0Vvzr7lt3OU09vwQwhkpOPPYv2Y/edit?usp=sharing"",""งบพรบ!IW20"")"),0)</f>
        <v>0</v>
      </c>
      <c r="P20" s="569">
        <f t="shared" ca="1" si="50"/>
        <v>0</v>
      </c>
      <c r="Q20" s="330">
        <f t="shared" ca="1" si="51"/>
        <v>0</v>
      </c>
      <c r="R20" s="564">
        <f ca="1">IFERROR(__xludf.DUMMYFUNCTION("IMPORTRANGE(""https://docs.google.com/spreadsheets/d/1uu4nAn4Dbi1XREnLKKotUANlKXa7yCgRcgq8HEzQYW8/edit?usp=sharing"",""พะเยา!Q413"")"),75340)</f>
        <v>75340</v>
      </c>
      <c r="S20" s="564">
        <f ca="1">IFERROR(__xludf.DUMMYFUNCTION("IMPORTRANGE(""https://docs.google.com/spreadsheets/d/1uu4nAn4Dbi1XREnLKKotUANlKXa7yCgRcgq8HEzQYW8/edit?usp=sharing"",""พะเยา!R413"")"),75340)</f>
        <v>75340</v>
      </c>
      <c r="T20" s="564">
        <f ca="1">IFERROR(__xludf.DUMMYFUNCTION("IMPORTRANGE(""https://docs.google.com/spreadsheets/d/1uu4nAn4Dbi1XREnLKKotUANlKXa7yCgRcgq8HEzQYW8/edit?usp=sharing"",""พะเยา!S413"")"),4599)</f>
        <v>4599</v>
      </c>
      <c r="U20" s="565">
        <f t="shared" ca="1" si="53"/>
        <v>6.1043270507034775</v>
      </c>
      <c r="V20" s="565">
        <f t="shared" ca="1" si="54"/>
        <v>6.1043270507034775</v>
      </c>
      <c r="W20" s="152">
        <f ca="1">IFERROR(__xludf.DUMMYFUNCTION("IMPORTRANGE(""https://docs.google.com/spreadsheets/d/1uu4nAn4Dbi1XREnLKKotUANlKXa7yCgRcgq8HEzQYW8/edit?usp=sharing"",""พะเยา!I424"")"),31466)</f>
        <v>31466</v>
      </c>
      <c r="X20" s="152">
        <f ca="1">IFERROR(__xludf.DUMMYFUNCTION("IMPORTRANGE(""https://docs.google.com/spreadsheets/d/1uu4nAn4Dbi1XREnLKKotUANlKXa7yCgRcgq8HEzQYW8/edit?usp=sharing"",""พะเยา!I425"")"),6900)</f>
        <v>6900</v>
      </c>
      <c r="Y20" s="152">
        <f ca="1">IFERROR(__xludf.DUMMYFUNCTION("IMPORTRANGE(""https://docs.google.com/spreadsheets/d/1uu4nAn4Dbi1XREnLKKotUANlKXa7yCgRcgq8HEzQYW8/edit?usp=sharing"",""พะเยา!J424"")"),0)</f>
        <v>0</v>
      </c>
      <c r="Z20" s="216">
        <f t="shared" ca="1" si="56"/>
        <v>0</v>
      </c>
      <c r="AA20" s="152">
        <f ca="1">IFERROR(__xludf.DUMMYFUNCTION("IMPORTRANGE(""https://docs.google.com/spreadsheets/d/1uu4nAn4Dbi1XREnLKKotUANlKXa7yCgRcgq8HEzQYW8/edit?usp=sharing"",""พะเยา!J425"")"),0)</f>
        <v>0</v>
      </c>
      <c r="AB20" s="216">
        <f t="shared" ca="1" si="57"/>
        <v>0</v>
      </c>
      <c r="AC20" s="152">
        <f ca="1">IFERROR(__xludf.DUMMYFUNCTION("IMPORTRANGE(""https://docs.google.com/spreadsheets/d/1uu4nAn4Dbi1XREnLKKotUANlKXa7yCgRcgq8HEzQYW8/edit?usp=sharing"",""พะเยา!J426"")"),0)</f>
        <v>0</v>
      </c>
      <c r="AD20" s="152">
        <f ca="1">IFERROR(__xludf.DUMMYFUNCTION("IMPORTRANGE(""https://docs.google.com/spreadsheets/d/1uu4nAn4Dbi1XREnLKKotUANlKXa7yCgRcgq8HEzQYW8/edit?usp=sharing"",""พะเยา!J427"")"),0)</f>
        <v>0</v>
      </c>
      <c r="AE20" s="152">
        <f ca="1">IFERROR(__xludf.DUMMYFUNCTION("IMPORTRANGE(""https://docs.google.com/spreadsheets/d/1uu4nAn4Dbi1XREnLKKotUANlKXa7yCgRcgq8HEzQYW8/edit?usp=sharing"",""พะเยา!J428"")"),0)</f>
        <v>0</v>
      </c>
      <c r="AF20" s="152">
        <f ca="1">IFERROR(__xludf.DUMMYFUNCTION("IMPORTRANGE(""https://docs.google.com/spreadsheets/d/1uu4nAn4Dbi1XREnLKKotUANlKXa7yCgRcgq8HEzQYW8/edit?usp=sharing"",""พะเยา!J429"")"),0)</f>
        <v>0</v>
      </c>
      <c r="AG20" s="152">
        <f ca="1">IFERROR(__xludf.DUMMYFUNCTION("IMPORTRANGE(""https://docs.google.com/spreadsheets/d/1uu4nAn4Dbi1XREnLKKotUANlKXa7yCgRcgq8HEzQYW8/edit?usp=sharing"",""พะเยา!J430"")"),0)</f>
        <v>0</v>
      </c>
      <c r="AH20" s="152">
        <f ca="1">IFERROR(__xludf.DUMMYFUNCTION("IMPORTRANGE(""https://docs.google.com/spreadsheets/d/1uu4nAn4Dbi1XREnLKKotUANlKXa7yCgRcgq8HEzQYW8/edit?usp=sharing"",""พะเยา!J431"")"),0)</f>
        <v>0</v>
      </c>
      <c r="AI20" s="152">
        <f ca="1">IFERROR(__xludf.DUMMYFUNCTION("IMPORTRANGE(""https://docs.google.com/spreadsheets/d/1uu4nAn4Dbi1XREnLKKotUANlKXa7yCgRcgq8HEzQYW8/edit?usp=sharing"",""พะเยา!I432"")"),31466)</f>
        <v>31466</v>
      </c>
      <c r="AJ20" s="152">
        <f ca="1">IFERROR(__xludf.DUMMYFUNCTION("IMPORTRANGE(""https://docs.google.com/spreadsheets/d/1uu4nAn4Dbi1XREnLKKotUANlKXa7yCgRcgq8HEzQYW8/edit?usp=sharing"",""พะเยา!I433"")"),6900)</f>
        <v>6900</v>
      </c>
      <c r="AK20" s="216">
        <f ca="1">IFERROR(__xludf.DUMMYFUNCTION("IMPORTRANGE(""https://docs.google.com/spreadsheets/d/1uu4nAn4Dbi1XREnLKKotUANlKXa7yCgRcgq8HEzQYW8/edit?usp=sharing"",""พะเยา!J432"")"),0)</f>
        <v>0</v>
      </c>
      <c r="AL20" s="216">
        <f t="shared" ca="1" si="59"/>
        <v>0</v>
      </c>
      <c r="AM20" s="152">
        <f ca="1">IFERROR(__xludf.DUMMYFUNCTION("IMPORTRANGE(""https://docs.google.com/spreadsheets/d/1uu4nAn4Dbi1XREnLKKotUANlKXa7yCgRcgq8HEzQYW8/edit?usp=sharing"",""พะเยา!J433"")"),0)</f>
        <v>0</v>
      </c>
      <c r="AN20" s="216">
        <f t="shared" ca="1" si="60"/>
        <v>0</v>
      </c>
      <c r="AO20" s="152">
        <f ca="1">IFERROR(__xludf.DUMMYFUNCTION("IMPORTRANGE(""https://docs.google.com/spreadsheets/d/1uu4nAn4Dbi1XREnLKKotUANlKXa7yCgRcgq8HEzQYW8/edit?usp=sharing"",""พะเยา!J434"")"),0)</f>
        <v>0</v>
      </c>
      <c r="AP20" s="152">
        <f ca="1">IFERROR(__xludf.DUMMYFUNCTION("IMPORTRANGE(""https://docs.google.com/spreadsheets/d/1uu4nAn4Dbi1XREnLKKotUANlKXa7yCgRcgq8HEzQYW8/edit?usp=sharing"",""พะเยา!J435"")"),0)</f>
        <v>0</v>
      </c>
      <c r="AQ20" s="152">
        <f ca="1">IFERROR(__xludf.DUMMYFUNCTION("IMPORTRANGE(""https://docs.google.com/spreadsheets/d/1uu4nAn4Dbi1XREnLKKotUANlKXa7yCgRcgq8HEzQYW8/edit?usp=sharing"",""พะเยา!J436"")"),0)</f>
        <v>0</v>
      </c>
      <c r="AR20" s="152">
        <f ca="1">IFERROR(__xludf.DUMMYFUNCTION("IMPORTRANGE(""https://docs.google.com/spreadsheets/d/1uu4nAn4Dbi1XREnLKKotUANlKXa7yCgRcgq8HEzQYW8/edit?usp=sharing"",""พะเยา!J437"")"),0)</f>
        <v>0</v>
      </c>
      <c r="AS20" s="152">
        <f ca="1">IFERROR(__xludf.DUMMYFUNCTION("IMPORTRANGE(""https://docs.google.com/spreadsheets/d/1uu4nAn4Dbi1XREnLKKotUANlKXa7yCgRcgq8HEzQYW8/edit?usp=sharing"",""พะเยา!J438"")"),0)</f>
        <v>0</v>
      </c>
      <c r="AT20" s="152">
        <f ca="1">IFERROR(__xludf.DUMMYFUNCTION("IMPORTRANGE(""https://docs.google.com/spreadsheets/d/1uu4nAn4Dbi1XREnLKKotUANlKXa7yCgRcgq8HEzQYW8/edit?usp=sharing"",""พะเยา!J439"")"),0)</f>
        <v>0</v>
      </c>
      <c r="AU20" s="152">
        <f ca="1">IFERROR(__xludf.DUMMYFUNCTION("IMPORTRANGE(""https://docs.google.com/spreadsheets/d/1uu4nAn4Dbi1XREnLKKotUANlKXa7yCgRcgq8HEzQYW8/edit?usp=sharing"",""พะเยา!I440"")"),31466)</f>
        <v>31466</v>
      </c>
      <c r="AV20" s="152">
        <f ca="1">IFERROR(__xludf.DUMMYFUNCTION("IMPORTRANGE(""https://docs.google.com/spreadsheets/d/1uu4nAn4Dbi1XREnLKKotUANlKXa7yCgRcgq8HEzQYW8/edit?usp=sharing"",""พะเยา!I441"")"),6900)</f>
        <v>6900</v>
      </c>
      <c r="AW20" s="152">
        <f ca="1">IFERROR(__xludf.DUMMYFUNCTION("IMPORTRANGE(""https://docs.google.com/spreadsheets/d/1uu4nAn4Dbi1XREnLKKotUANlKXa7yCgRcgq8HEzQYW8/edit?usp=sharing"",""พะเยา!J440"")"),0)</f>
        <v>0</v>
      </c>
      <c r="AX20" s="216">
        <f t="shared" ca="1" si="62"/>
        <v>0</v>
      </c>
      <c r="AY20" s="152">
        <f ca="1">IFERROR(__xludf.DUMMYFUNCTION("IMPORTRANGE(""https://docs.google.com/spreadsheets/d/1uu4nAn4Dbi1XREnLKKotUANlKXa7yCgRcgq8HEzQYW8/edit?usp=sharing"",""พะเยา!J441"")"),0)</f>
        <v>0</v>
      </c>
      <c r="AZ20" s="216">
        <f t="shared" ca="1" si="63"/>
        <v>0</v>
      </c>
      <c r="BA20" s="152">
        <f ca="1">IFERROR(__xludf.DUMMYFUNCTION("IMPORTRANGE(""https://docs.google.com/spreadsheets/d/1uu4nAn4Dbi1XREnLKKotUANlKXa7yCgRcgq8HEzQYW8/edit?usp=sharing"",""พะเยา!J442"")"),0)</f>
        <v>0</v>
      </c>
      <c r="BB20" s="152">
        <f ca="1">IFERROR(__xludf.DUMMYFUNCTION("IMPORTRANGE(""https://docs.google.com/spreadsheets/d/1uu4nAn4Dbi1XREnLKKotUANlKXa7yCgRcgq8HEzQYW8/edit?usp=sharing"",""พะเยา!J443"")"),0)</f>
        <v>0</v>
      </c>
      <c r="BC20" s="152">
        <f ca="1">IFERROR(__xludf.DUMMYFUNCTION("IMPORTRANGE(""https://docs.google.com/spreadsheets/d/1uu4nAn4Dbi1XREnLKKotUANlKXa7yCgRcgq8HEzQYW8/edit?usp=sharing"",""พะเยา!J444"")"),0)</f>
        <v>0</v>
      </c>
      <c r="BD20" s="152">
        <f ca="1">IFERROR(__xludf.DUMMYFUNCTION("IMPORTRANGE(""https://docs.google.com/spreadsheets/d/1uu4nAn4Dbi1XREnLKKotUANlKXa7yCgRcgq8HEzQYW8/edit?usp=sharing"",""พะเยา!J445"")"),0)</f>
        <v>0</v>
      </c>
      <c r="BE20" s="152">
        <f ca="1">IFERROR(__xludf.DUMMYFUNCTION("IMPORTRANGE(""https://docs.google.com/spreadsheets/d/1uu4nAn4Dbi1XREnLKKotUANlKXa7yCgRcgq8HEzQYW8/edit?usp=sharing"",""พะเยา!J446"")"),0)</f>
        <v>0</v>
      </c>
      <c r="BF20" s="152">
        <f ca="1">IFERROR(__xludf.DUMMYFUNCTION("IMPORTRANGE(""https://docs.google.com/spreadsheets/d/1uu4nAn4Dbi1XREnLKKotUANlKXa7yCgRcgq8HEzQYW8/edit?usp=sharing"",""พะเยา!J447"")"),0)</f>
        <v>0</v>
      </c>
      <c r="BG20" s="152">
        <f ca="1">IFERROR(__xludf.DUMMYFUNCTION("IMPORTRANGE(""https://docs.google.com/spreadsheets/d/1uu4nAn4Dbi1XREnLKKotUANlKXa7yCgRcgq8HEzQYW8/edit?usp=sharing"",""พะเยา!J448"")"),0)</f>
        <v>0</v>
      </c>
      <c r="BH20" s="152">
        <f ca="1">IFERROR(__xludf.DUMMYFUNCTION("IMPORTRANGE(""https://docs.google.com/spreadsheets/d/1uu4nAn4Dbi1XREnLKKotUANlKXa7yCgRcgq8HEzQYW8/edit?usp=sharing"",""พะเยา!J449"")"),0)</f>
        <v>0</v>
      </c>
      <c r="BI20" s="152">
        <f ca="1">IFERROR(__xludf.DUMMYFUNCTION("IMPORTRANGE(""https://docs.google.com/spreadsheets/d/1uu4nAn4Dbi1XREnLKKotUANlKXa7yCgRcgq8HEzQYW8/edit?usp=sharing"",""พะเยา!J450"")"),0)</f>
        <v>0</v>
      </c>
      <c r="BJ20" s="152">
        <f ca="1">IFERROR(__xludf.DUMMYFUNCTION("IMPORTRANGE(""https://docs.google.com/spreadsheets/d/1uu4nAn4Dbi1XREnLKKotUANlKXa7yCgRcgq8HEzQYW8/edit?usp=sharing"",""พะเยา!J451"")"),0)</f>
        <v>0</v>
      </c>
      <c r="BK20" s="152">
        <f ca="1">IFERROR(__xludf.DUMMYFUNCTION("IMPORTRANGE(""https://docs.google.com/spreadsheets/d/1uu4nAn4Dbi1XREnLKKotUANlKXa7yCgRcgq8HEzQYW8/edit?usp=sharing"",""พะเยา!J452"")"),0)</f>
        <v>0</v>
      </c>
      <c r="BL20" s="152">
        <f ca="1">IFERROR(__xludf.DUMMYFUNCTION("IMPORTRANGE(""https://docs.google.com/spreadsheets/d/1uu4nAn4Dbi1XREnLKKotUANlKXa7yCgRcgq8HEzQYW8/edit?usp=sharing"",""พะเยา!J453"")"),0)</f>
        <v>0</v>
      </c>
      <c r="BM20" s="152">
        <f ca="1">IFERROR(__xludf.DUMMYFUNCTION("IMPORTRANGE(""https://docs.google.com/spreadsheets/d/1uu4nAn4Dbi1XREnLKKotUANlKXa7yCgRcgq8HEzQYW8/edit?usp=sharing"",""พะเยา!J454"")"),0)</f>
        <v>0</v>
      </c>
      <c r="BN20" s="152">
        <f ca="1">IFERROR(__xludf.DUMMYFUNCTION("IMPORTRANGE(""https://docs.google.com/spreadsheets/d/1uu4nAn4Dbi1XREnLKKotUANlKXa7yCgRcgq8HEzQYW8/edit?usp=sharing"",""พะเยา!J455"")"),0)</f>
        <v>0</v>
      </c>
      <c r="BO20" s="152">
        <f ca="1">IFERROR(__xludf.DUMMYFUNCTION("IMPORTRANGE(""https://docs.google.com/spreadsheets/d/1uu4nAn4Dbi1XREnLKKotUANlKXa7yCgRcgq8HEzQYW8/edit?usp=sharing"",""พะเยา!I457"")"),1256.31)</f>
        <v>1256.31</v>
      </c>
      <c r="BP20" s="152">
        <f ca="1">IFERROR(__xludf.DUMMYFUNCTION("IMPORTRANGE(""https://docs.google.com/spreadsheets/d/1uu4nAn4Dbi1XREnLKKotUANlKXa7yCgRcgq8HEzQYW8/edit?usp=sharing"",""พะเยา!I458"")"),201)</f>
        <v>201</v>
      </c>
      <c r="BQ20" s="152">
        <f ca="1">IFERROR(__xludf.DUMMYFUNCTION("IMPORTRANGE(""https://docs.google.com/spreadsheets/d/1uu4nAn4Dbi1XREnLKKotUANlKXa7yCgRcgq8HEzQYW8/edit?usp=sharing"",""พะเยา!J457"")"),0)</f>
        <v>0</v>
      </c>
      <c r="BR20" s="216">
        <f t="shared" ca="1" si="65"/>
        <v>0</v>
      </c>
      <c r="BS20" s="152">
        <f ca="1">IFERROR(__xludf.DUMMYFUNCTION("IMPORTRANGE(""https://docs.google.com/spreadsheets/d/1uu4nAn4Dbi1XREnLKKotUANlKXa7yCgRcgq8HEzQYW8/edit?usp=sharing"",""พะเยา!J458"")"),0)</f>
        <v>0</v>
      </c>
      <c r="BT20" s="216">
        <f t="shared" ca="1" si="66"/>
        <v>0</v>
      </c>
      <c r="BU20" s="152">
        <f ca="1">IFERROR(__xludf.DUMMYFUNCTION("IMPORTRANGE(""https://docs.google.com/spreadsheets/d/1uu4nAn4Dbi1XREnLKKotUANlKXa7yCgRcgq8HEzQYW8/edit?usp=sharing"",""พะเยา!J459"")"),0)</f>
        <v>0</v>
      </c>
      <c r="BV20" s="152">
        <f ca="1">IFERROR(__xludf.DUMMYFUNCTION("IMPORTRANGE(""https://docs.google.com/spreadsheets/d/1uu4nAn4Dbi1XREnLKKotUANlKXa7yCgRcgq8HEzQYW8/edit?usp=sharing"",""พะเยา!J460"")"),0)</f>
        <v>0</v>
      </c>
      <c r="BW20" s="152">
        <f ca="1">IFERROR(__xludf.DUMMYFUNCTION("IMPORTRANGE(""https://docs.google.com/spreadsheets/d/1uu4nAn4Dbi1XREnLKKotUANlKXa7yCgRcgq8HEzQYW8/edit?usp=sharing"",""พะเยา!J461"")"),0)</f>
        <v>0</v>
      </c>
      <c r="BX20" s="152">
        <f ca="1">IFERROR(__xludf.DUMMYFUNCTION("IMPORTRANGE(""https://docs.google.com/spreadsheets/d/1uu4nAn4Dbi1XREnLKKotUANlKXa7yCgRcgq8HEzQYW8/edit?usp=sharing"",""พะเยา!J462"")"),0)</f>
        <v>0</v>
      </c>
      <c r="BY20" s="152">
        <f ca="1">IFERROR(__xludf.DUMMYFUNCTION("IMPORTRANGE(""https://docs.google.com/spreadsheets/d/1uu4nAn4Dbi1XREnLKKotUANlKXa7yCgRcgq8HEzQYW8/edit?usp=sharing"",""พะเยา!J463"")"),0)</f>
        <v>0</v>
      </c>
      <c r="BZ20" s="152">
        <f ca="1">IFERROR(__xludf.DUMMYFUNCTION("IMPORTRANGE(""https://docs.google.com/spreadsheets/d/1uu4nAn4Dbi1XREnLKKotUANlKXa7yCgRcgq8HEzQYW8/edit?usp=sharing"",""พะเยา!J464"")"),0)</f>
        <v>0</v>
      </c>
      <c r="CA20" s="152">
        <f ca="1">IFERROR(__xludf.DUMMYFUNCTION("IMPORTRANGE(""https://docs.google.com/spreadsheets/d/1uu4nAn4Dbi1XREnLKKotUANlKXa7yCgRcgq8HEzQYW8/edit?usp=sharing"",""พะเยา!J465"")"),0)</f>
        <v>0</v>
      </c>
      <c r="CB20" s="152">
        <f ca="1">IFERROR(__xludf.DUMMYFUNCTION("IMPORTRANGE(""https://docs.google.com/spreadsheets/d/1uu4nAn4Dbi1XREnLKKotUANlKXa7yCgRcgq8HEzQYW8/edit?usp=sharing"",""พะเยา!J466"")"),0)</f>
        <v>0</v>
      </c>
      <c r="CC20" s="152">
        <f ca="1">IFERROR(__xludf.DUMMYFUNCTION("IMPORTRANGE(""https://docs.google.com/spreadsheets/d/1uu4nAn4Dbi1XREnLKKotUANlKXa7yCgRcgq8HEzQYW8/edit?usp=sharing"",""พะเยา!J467"")"),0)</f>
        <v>0</v>
      </c>
      <c r="CD20" s="152">
        <f ca="1">IFERROR(__xludf.DUMMYFUNCTION("IMPORTRANGE(""https://docs.google.com/spreadsheets/d/1uu4nAn4Dbi1XREnLKKotUANlKXa7yCgRcgq8HEzQYW8/edit?usp=sharing"",""พะเยา!J468"")"),0)</f>
        <v>0</v>
      </c>
      <c r="CE20" s="152">
        <f ca="1">IFERROR(__xludf.DUMMYFUNCTION("IMPORTRANGE(""https://docs.google.com/spreadsheets/d/1uu4nAn4Dbi1XREnLKKotUANlKXa7yCgRcgq8HEzQYW8/edit?usp=sharing"",""พะเยา!J469"")"),0)</f>
        <v>0</v>
      </c>
      <c r="CF20" s="152">
        <f ca="1">IFERROR(__xludf.DUMMYFUNCTION("IMPORTRANGE(""https://docs.google.com/spreadsheets/d/1uu4nAn4Dbi1XREnLKKotUANlKXa7yCgRcgq8HEzQYW8/edit?usp=sharing"",""พะเยา!J470"")"),0)</f>
        <v>0</v>
      </c>
      <c r="CG20" s="152">
        <f ca="1">IFERROR(__xludf.DUMMYFUNCTION("IMPORTRANGE(""https://docs.google.com/spreadsheets/d/1uu4nAn4Dbi1XREnLKKotUANlKXa7yCgRcgq8HEzQYW8/edit?usp=sharing"",""พะเยา!J471"")"),0)</f>
        <v>0</v>
      </c>
      <c r="CH20" s="152">
        <f ca="1">IFERROR(__xludf.DUMMYFUNCTION("IMPORTRANGE(""https://docs.google.com/spreadsheets/d/1uu4nAn4Dbi1XREnLKKotUANlKXa7yCgRcgq8HEzQYW8/edit?usp=sharing"",""พะเยา!J472"")"),0)</f>
        <v>0</v>
      </c>
      <c r="CI20" s="152">
        <f ca="1">IFERROR(__xludf.DUMMYFUNCTION("IMPORTRANGE(""https://docs.google.com/spreadsheets/d/1uu4nAn4Dbi1XREnLKKotUANlKXa7yCgRcgq8HEzQYW8/edit?usp=sharing"",""พะเยา!J473"")"),0)</f>
        <v>0</v>
      </c>
      <c r="CJ20" s="152">
        <f ca="1">IFERROR(__xludf.DUMMYFUNCTION("IMPORTRANGE(""https://docs.google.com/spreadsheets/d/1uu4nAn4Dbi1XREnLKKotUANlKXa7yCgRcgq8HEzQYW8/edit?usp=sharing"",""พะเยา!J474"")"),0)</f>
        <v>0</v>
      </c>
      <c r="CK20" s="278">
        <f ca="1">IFERROR(__xludf.DUMMYFUNCTION("IMPORTRANGE(""https://docs.google.com/spreadsheets/d/1uu4nAn4Dbi1XREnLKKotUANlKXa7yCgRcgq8HEzQYW8/edit?usp=sharing"",""พะเยา!I476"")"),0)</f>
        <v>0</v>
      </c>
      <c r="CL20" s="278">
        <f ca="1">IFERROR(__xludf.DUMMYFUNCTION("IMPORTRANGE(""https://docs.google.com/spreadsheets/d/1uu4nAn4Dbi1XREnLKKotUANlKXa7yCgRcgq8HEzQYW8/edit?usp=sharing"",""พะเยา!I477"")"),0)</f>
        <v>0</v>
      </c>
      <c r="CM20" s="278">
        <f ca="1">IFERROR(__xludf.DUMMYFUNCTION("IMPORTRANGE(""https://docs.google.com/spreadsheets/d/1uu4nAn4Dbi1XREnLKKotUANlKXa7yCgRcgq8HEzQYW8/edit?usp=sharing"",""พะเยา!J476"")"),0)</f>
        <v>0</v>
      </c>
      <c r="CN20" s="216">
        <f t="shared" ca="1" si="68"/>
        <v>0</v>
      </c>
      <c r="CO20" s="278">
        <f ca="1">IFERROR(__xludf.DUMMYFUNCTION("IMPORTRANGE(""https://docs.google.com/spreadsheets/d/1uu4nAn4Dbi1XREnLKKotUANlKXa7yCgRcgq8HEzQYW8/edit?usp=sharing"",""พะเยา!J477"")"),0)</f>
        <v>0</v>
      </c>
      <c r="CP20" s="216">
        <f t="shared" ca="1" si="69"/>
        <v>0</v>
      </c>
      <c r="CQ20" s="278">
        <f ca="1">IFERROR(__xludf.DUMMYFUNCTION("IMPORTRANGE(""https://docs.google.com/spreadsheets/d/1uu4nAn4Dbi1XREnLKKotUANlKXa7yCgRcgq8HEzQYW8/edit?usp=sharing"",""พะเยา!J478"")"),0)</f>
        <v>0</v>
      </c>
      <c r="CR20" s="278">
        <f ca="1">IFERROR(__xludf.DUMMYFUNCTION("IMPORTRANGE(""https://docs.google.com/spreadsheets/d/1uu4nAn4Dbi1XREnLKKotUANlKXa7yCgRcgq8HEzQYW8/edit?usp=sharing"",""พะเยา!J479"")"),0)</f>
        <v>0</v>
      </c>
      <c r="CS20" s="278">
        <f ca="1">IFERROR(__xludf.DUMMYFUNCTION("IMPORTRANGE(""https://docs.google.com/spreadsheets/d/1uu4nAn4Dbi1XREnLKKotUANlKXa7yCgRcgq8HEzQYW8/edit?usp=sharing"",""พะเยา!J480"")"),0)</f>
        <v>0</v>
      </c>
      <c r="CT20" s="278">
        <f ca="1">IFERROR(__xludf.DUMMYFUNCTION("IMPORTRANGE(""https://docs.google.com/spreadsheets/d/1uu4nAn4Dbi1XREnLKKotUANlKXa7yCgRcgq8HEzQYW8/edit?usp=sharing"",""พะเยา!J481"")"),0)</f>
        <v>0</v>
      </c>
      <c r="CU20" s="278">
        <f ca="1">IFERROR(__xludf.DUMMYFUNCTION("IMPORTRANGE(""https://docs.google.com/spreadsheets/d/1uu4nAn4Dbi1XREnLKKotUANlKXa7yCgRcgq8HEzQYW8/edit?usp=sharing"",""พะเยา!I484"")"),0)</f>
        <v>0</v>
      </c>
      <c r="CV20" s="278">
        <f ca="1">IFERROR(__xludf.DUMMYFUNCTION("IMPORTRANGE(""https://docs.google.com/spreadsheets/d/1uu4nAn4Dbi1XREnLKKotUANlKXa7yCgRcgq8HEzQYW8/edit?usp=sharing"",""พะเยา!I485"")"),0)</f>
        <v>0</v>
      </c>
      <c r="CW20" s="278">
        <f ca="1">IFERROR(__xludf.DUMMYFUNCTION("IMPORTRANGE(""https://docs.google.com/spreadsheets/d/1uu4nAn4Dbi1XREnLKKotUANlKXa7yCgRcgq8HEzQYW8/edit?usp=sharing"",""พะเยา!J484"")"),0)</f>
        <v>0</v>
      </c>
      <c r="CX20" s="216">
        <f t="shared" ca="1" si="71"/>
        <v>0</v>
      </c>
      <c r="CY20" s="278">
        <f ca="1">IFERROR(__xludf.DUMMYFUNCTION("IMPORTRANGE(""https://docs.google.com/spreadsheets/d/1uu4nAn4Dbi1XREnLKKotUANlKXa7yCgRcgq8HEzQYW8/edit?usp=sharing"",""พะเยา!J485"")"),0)</f>
        <v>0</v>
      </c>
      <c r="CZ20" s="216">
        <f t="shared" ca="1" si="72"/>
        <v>0</v>
      </c>
      <c r="DA20" s="278">
        <f ca="1">IFERROR(__xludf.DUMMYFUNCTION("IMPORTRANGE(""https://docs.google.com/spreadsheets/d/1uu4nAn4Dbi1XREnLKKotUANlKXa7yCgRcgq8HEzQYW8/edit?usp=sharing"",""พะเยา!J486"")"),0)</f>
        <v>0</v>
      </c>
      <c r="DB20" s="278">
        <f ca="1">IFERROR(__xludf.DUMMYFUNCTION("IMPORTRANGE(""https://docs.google.com/spreadsheets/d/1uu4nAn4Dbi1XREnLKKotUANlKXa7yCgRcgq8HEzQYW8/edit?usp=sharing"",""พะเยา!J487"")"),0)</f>
        <v>0</v>
      </c>
      <c r="DC20" s="278">
        <f ca="1">IFERROR(__xludf.DUMMYFUNCTION("IMPORTRANGE(""https://docs.google.com/spreadsheets/d/1uu4nAn4Dbi1XREnLKKotUANlKXa7yCgRcgq8HEzQYW8/edit?usp=sharing"",""พะเยา!J488"")"),0)</f>
        <v>0</v>
      </c>
      <c r="DD20" s="278">
        <f ca="1">IFERROR(__xludf.DUMMYFUNCTION("IMPORTRANGE(""https://docs.google.com/spreadsheets/d/1uu4nAn4Dbi1XREnLKKotUANlKXa7yCgRcgq8HEzQYW8/edit?usp=sharing"",""พะเยา!J489"")"),0)</f>
        <v>0</v>
      </c>
      <c r="DE20" s="278">
        <f ca="1">IFERROR(__xludf.DUMMYFUNCTION("IMPORTRANGE(""https://docs.google.com/spreadsheets/d/1uu4nAn4Dbi1XREnLKKotUANlKXa7yCgRcgq8HEzQYW8/edit?usp=sharing"",""พะเยา!J490"")"),0)</f>
        <v>0</v>
      </c>
      <c r="DF20" s="278">
        <f ca="1">IFERROR(__xludf.DUMMYFUNCTION("IMPORTRANGE(""https://docs.google.com/spreadsheets/d/1uu4nAn4Dbi1XREnLKKotUANlKXa7yCgRcgq8HEzQYW8/edit?usp=sharing"",""พะเยา!J491"")"),0)</f>
        <v>0</v>
      </c>
    </row>
    <row r="21" spans="1:110" ht="19.5" x14ac:dyDescent="0.3">
      <c r="A21" s="147">
        <v>8</v>
      </c>
      <c r="B21" s="148" t="s">
        <v>49</v>
      </c>
      <c r="C21" s="566">
        <f t="shared" ca="1" si="44"/>
        <v>131490</v>
      </c>
      <c r="D21" s="567">
        <f t="shared" ca="1" si="74"/>
        <v>131490</v>
      </c>
      <c r="E21" s="329">
        <f ca="1">IFERROR(__xludf.DUMMYFUNCTION("IMPORTRANGE(""https://docs.google.com/spreadsheets/d/1-uDff_7J0KD5mKrp0Vvzr7lt3OU09vwQwhkpOPPYv2Y/edit?usp=sharing"",""งบพรบ!IP21"")"),0)</f>
        <v>0</v>
      </c>
      <c r="F21" s="329">
        <f ca="1">IFERROR(__xludf.DUMMYFUNCTION("IMPORTRANGE(""https://docs.google.com/spreadsheets/d/1-uDff_7J0KD5mKrp0Vvzr7lt3OU09vwQwhkpOPPYv2Y/edit?usp=sharing"",""งบพรบ!IQ21"")"),131490)</f>
        <v>131490</v>
      </c>
      <c r="G21" s="329">
        <f ca="1">IFERROR(__xludf.DUMMYFUNCTION("IMPORTRANGE(""https://docs.google.com/spreadsheets/d/1-uDff_7J0KD5mKrp0Vvzr7lt3OU09vwQwhkpOPPYv2Y/edit?usp=sharing"",""งบพรบ!IR21"")"),0)</f>
        <v>0</v>
      </c>
      <c r="H21" s="329">
        <f ca="1">IFERROR(__xludf.DUMMYFUNCTION("IMPORTRANGE(""https://docs.google.com/spreadsheets/d/1-uDff_7J0KD5mKrp0Vvzr7lt3OU09vwQwhkpOPPYv2Y/edit?usp=sharing"",""งบพรบ!IT21"")"),131490)</f>
        <v>131490</v>
      </c>
      <c r="I21" s="329">
        <f ca="1">IFERROR(__xludf.DUMMYFUNCTION("IMPORTRANGE(""https://docs.google.com/spreadsheets/d/1-uDff_7J0KD5mKrp0Vvzr7lt3OU09vwQwhkpOPPYv2Y/edit?usp=sharing"",""งบพรบ!IU21"")"),0)</f>
        <v>0</v>
      </c>
      <c r="J21" s="329">
        <f t="shared" ca="1" si="46"/>
        <v>64404.91</v>
      </c>
      <c r="K21" s="568">
        <f t="shared" ca="1" si="47"/>
        <v>48.98084264963115</v>
      </c>
      <c r="L21" s="329">
        <f ca="1">IFERROR(__xludf.DUMMYFUNCTION("IMPORTRANGE(""https://docs.google.com/spreadsheets/d/1-uDff_7J0KD5mKrp0Vvzr7lt3OU09vwQwhkpOPPYv2Y/edit?usp=sharing"",""งบพรบ!IV21"")"),64404.91)</f>
        <v>64404.91</v>
      </c>
      <c r="M21" s="330">
        <f t="shared" ca="1" si="48"/>
        <v>48.98084264963115</v>
      </c>
      <c r="N21" s="330">
        <f t="shared" ca="1" si="49"/>
        <v>48.98084264963115</v>
      </c>
      <c r="O21" s="569">
        <f ca="1">IFERROR(__xludf.DUMMYFUNCTION("IMPORTRANGE(""https://docs.google.com/spreadsheets/d/1-uDff_7J0KD5mKrp0Vvzr7lt3OU09vwQwhkpOPPYv2Y/edit?usp=sharing"",""งบพรบ!IW21"")"),0)</f>
        <v>0</v>
      </c>
      <c r="P21" s="569">
        <f t="shared" ca="1" si="50"/>
        <v>0</v>
      </c>
      <c r="Q21" s="330">
        <f t="shared" ca="1" si="51"/>
        <v>0</v>
      </c>
      <c r="R21" s="564">
        <f ca="1">IFERROR(__xludf.DUMMYFUNCTION("IMPORTRANGE(""https://docs.google.com/spreadsheets/d/1xfJKIQxVOaPDIICqsflNlLu3JacTDk1FP9RH4phX7mI/edit?usp=sharing"",""พิจิตร!Q413"")"),26730)</f>
        <v>26730</v>
      </c>
      <c r="S21" s="564">
        <f ca="1">IFERROR(__xludf.DUMMYFUNCTION("IMPORTRANGE(""https://docs.google.com/spreadsheets/d/1xfJKIQxVOaPDIICqsflNlLu3JacTDk1FP9RH4phX7mI/edit?usp=sharing"",""พิจิตร!R413"")"),26730)</f>
        <v>26730</v>
      </c>
      <c r="T21" s="564">
        <f ca="1">IFERROR(__xludf.DUMMYFUNCTION("IMPORTRANGE(""https://docs.google.com/spreadsheets/d/1xfJKIQxVOaPDIICqsflNlLu3JacTDk1FP9RH4phX7mI/edit?usp=sharing"",""พิจิตร!S413"")"),17500)</f>
        <v>17500</v>
      </c>
      <c r="U21" s="565">
        <f t="shared" ca="1" si="53"/>
        <v>65.469509913954354</v>
      </c>
      <c r="V21" s="565">
        <f t="shared" ca="1" si="54"/>
        <v>65.469509913954354</v>
      </c>
      <c r="W21" s="152">
        <f ca="1">IFERROR(__xludf.DUMMYFUNCTION("IMPORTRANGE(""https://docs.google.com/spreadsheets/d/1xfJKIQxVOaPDIICqsflNlLu3JacTDk1FP9RH4phX7mI/edit?usp=sharing"",""พิจิตร!I424"")"),0)</f>
        <v>0</v>
      </c>
      <c r="X21" s="152">
        <f ca="1">IFERROR(__xludf.DUMMYFUNCTION("IMPORTRANGE(""https://docs.google.com/spreadsheets/d/1xfJKIQxVOaPDIICqsflNlLu3JacTDk1FP9RH4phX7mI/edit?usp=sharing"",""พิจิตร!I425"")"),0)</f>
        <v>0</v>
      </c>
      <c r="Y21" s="152">
        <f ca="1">IFERROR(__xludf.DUMMYFUNCTION("IMPORTRANGE(""https://docs.google.com/spreadsheets/d/1xfJKIQxVOaPDIICqsflNlLu3JacTDk1FP9RH4phX7mI/edit?usp=sharing"",""พิจิตร!J424"")"),0)</f>
        <v>0</v>
      </c>
      <c r="Z21" s="216">
        <f t="shared" ca="1" si="56"/>
        <v>0</v>
      </c>
      <c r="AA21" s="152">
        <f ca="1">IFERROR(__xludf.DUMMYFUNCTION("IMPORTRANGE(""https://docs.google.com/spreadsheets/d/1xfJKIQxVOaPDIICqsflNlLu3JacTDk1FP9RH4phX7mI/edit?usp=sharing"",""พิจิตร!J425"")"),0)</f>
        <v>0</v>
      </c>
      <c r="AB21" s="216">
        <f t="shared" ca="1" si="57"/>
        <v>0</v>
      </c>
      <c r="AC21" s="152">
        <f ca="1">IFERROR(__xludf.DUMMYFUNCTION("IMPORTRANGE(""https://docs.google.com/spreadsheets/d/1xfJKIQxVOaPDIICqsflNlLu3JacTDk1FP9RH4phX7mI/edit?usp=sharing"",""พิจิตร!J426"")"),0)</f>
        <v>0</v>
      </c>
      <c r="AD21" s="152">
        <f ca="1">IFERROR(__xludf.DUMMYFUNCTION("IMPORTRANGE(""https://docs.google.com/spreadsheets/d/1xfJKIQxVOaPDIICqsflNlLu3JacTDk1FP9RH4phX7mI/edit?usp=sharing"",""พิจิตร!J427"")"),0)</f>
        <v>0</v>
      </c>
      <c r="AE21" s="152">
        <f ca="1">IFERROR(__xludf.DUMMYFUNCTION("IMPORTRANGE(""https://docs.google.com/spreadsheets/d/1xfJKIQxVOaPDIICqsflNlLu3JacTDk1FP9RH4phX7mI/edit?usp=sharing"",""พิจิตร!J428"")"),0)</f>
        <v>0</v>
      </c>
      <c r="AF21" s="152">
        <f ca="1">IFERROR(__xludf.DUMMYFUNCTION("IMPORTRANGE(""https://docs.google.com/spreadsheets/d/1xfJKIQxVOaPDIICqsflNlLu3JacTDk1FP9RH4phX7mI/edit?usp=sharing"",""พิจิตร!J429"")"),0)</f>
        <v>0</v>
      </c>
      <c r="AG21" s="152">
        <f ca="1">IFERROR(__xludf.DUMMYFUNCTION("IMPORTRANGE(""https://docs.google.com/spreadsheets/d/1xfJKIQxVOaPDIICqsflNlLu3JacTDk1FP9RH4phX7mI/edit?usp=sharing"",""พิจิตร!J430"")"),0)</f>
        <v>0</v>
      </c>
      <c r="AH21" s="152">
        <f ca="1">IFERROR(__xludf.DUMMYFUNCTION("IMPORTRANGE(""https://docs.google.com/spreadsheets/d/1xfJKIQxVOaPDIICqsflNlLu3JacTDk1FP9RH4phX7mI/edit?usp=sharing"",""พิจิตร!J431"")"),0)</f>
        <v>0</v>
      </c>
      <c r="AI21" s="152">
        <f ca="1">IFERROR(__xludf.DUMMYFUNCTION("IMPORTRANGE(""https://docs.google.com/spreadsheets/d/1xfJKIQxVOaPDIICqsflNlLu3JacTDk1FP9RH4phX7mI/edit?usp=sharing"",""พิจิตร!I432"")"),0)</f>
        <v>0</v>
      </c>
      <c r="AJ21" s="152">
        <f ca="1">IFERROR(__xludf.DUMMYFUNCTION("IMPORTRANGE(""https://docs.google.com/spreadsheets/d/1xfJKIQxVOaPDIICqsflNlLu3JacTDk1FP9RH4phX7mI/edit?usp=sharing"",""พิจิตร!I433"")"),0)</f>
        <v>0</v>
      </c>
      <c r="AK21" s="216">
        <f ca="1">IFERROR(__xludf.DUMMYFUNCTION("IMPORTRANGE(""https://docs.google.com/spreadsheets/d/1xfJKIQxVOaPDIICqsflNlLu3JacTDk1FP9RH4phX7mI/edit?usp=sharing"",""พิจิตร!J432"")"),0)</f>
        <v>0</v>
      </c>
      <c r="AL21" s="216">
        <f t="shared" ca="1" si="59"/>
        <v>0</v>
      </c>
      <c r="AM21" s="152">
        <f ca="1">IFERROR(__xludf.DUMMYFUNCTION("IMPORTRANGE(""https://docs.google.com/spreadsheets/d/1xfJKIQxVOaPDIICqsflNlLu3JacTDk1FP9RH4phX7mI/edit?usp=sharing"",""พิจิตร!J433"")"),0)</f>
        <v>0</v>
      </c>
      <c r="AN21" s="216">
        <f t="shared" ca="1" si="60"/>
        <v>0</v>
      </c>
      <c r="AO21" s="152">
        <f ca="1">IFERROR(__xludf.DUMMYFUNCTION("IMPORTRANGE(""https://docs.google.com/spreadsheets/d/1xfJKIQxVOaPDIICqsflNlLu3JacTDk1FP9RH4phX7mI/edit?usp=sharing"",""พิจิตร!J434"")"),0)</f>
        <v>0</v>
      </c>
      <c r="AP21" s="152">
        <f ca="1">IFERROR(__xludf.DUMMYFUNCTION("IMPORTRANGE(""https://docs.google.com/spreadsheets/d/1xfJKIQxVOaPDIICqsflNlLu3JacTDk1FP9RH4phX7mI/edit?usp=sharing"",""พิจิตร!J435"")"),0)</f>
        <v>0</v>
      </c>
      <c r="AQ21" s="152">
        <f ca="1">IFERROR(__xludf.DUMMYFUNCTION("IMPORTRANGE(""https://docs.google.com/spreadsheets/d/1xfJKIQxVOaPDIICqsflNlLu3JacTDk1FP9RH4phX7mI/edit?usp=sharing"",""พิจิตร!J436"")"),0)</f>
        <v>0</v>
      </c>
      <c r="AR21" s="152">
        <f ca="1">IFERROR(__xludf.DUMMYFUNCTION("IMPORTRANGE(""https://docs.google.com/spreadsheets/d/1xfJKIQxVOaPDIICqsflNlLu3JacTDk1FP9RH4phX7mI/edit?usp=sharing"",""พิจิตร!J437"")"),0)</f>
        <v>0</v>
      </c>
      <c r="AS21" s="152">
        <f ca="1">IFERROR(__xludf.DUMMYFUNCTION("IMPORTRANGE(""https://docs.google.com/spreadsheets/d/1xfJKIQxVOaPDIICqsflNlLu3JacTDk1FP9RH4phX7mI/edit?usp=sharing"",""พิจิตร!J438"")"),0)</f>
        <v>0</v>
      </c>
      <c r="AT21" s="152">
        <f ca="1">IFERROR(__xludf.DUMMYFUNCTION("IMPORTRANGE(""https://docs.google.com/spreadsheets/d/1xfJKIQxVOaPDIICqsflNlLu3JacTDk1FP9RH4phX7mI/edit?usp=sharing"",""พิจิตร!J439"")"),0)</f>
        <v>0</v>
      </c>
      <c r="AU21" s="152">
        <f ca="1">IFERROR(__xludf.DUMMYFUNCTION("IMPORTRANGE(""https://docs.google.com/spreadsheets/d/1xfJKIQxVOaPDIICqsflNlLu3JacTDk1FP9RH4phX7mI/edit?usp=sharing"",""พิจิตร!I440"")"),0)</f>
        <v>0</v>
      </c>
      <c r="AV21" s="152">
        <f ca="1">IFERROR(__xludf.DUMMYFUNCTION("IMPORTRANGE(""https://docs.google.com/spreadsheets/d/1xfJKIQxVOaPDIICqsflNlLu3JacTDk1FP9RH4phX7mI/edit?usp=sharing"",""พิจิตร!I441"")"),0)</f>
        <v>0</v>
      </c>
      <c r="AW21" s="152">
        <f ca="1">IFERROR(__xludf.DUMMYFUNCTION("IMPORTRANGE(""https://docs.google.com/spreadsheets/d/1xfJKIQxVOaPDIICqsflNlLu3JacTDk1FP9RH4phX7mI/edit?usp=sharing"",""พิจิตร!J440"")"),0)</f>
        <v>0</v>
      </c>
      <c r="AX21" s="216">
        <f t="shared" ca="1" si="62"/>
        <v>0</v>
      </c>
      <c r="AY21" s="152">
        <f ca="1">IFERROR(__xludf.DUMMYFUNCTION("IMPORTRANGE(""https://docs.google.com/spreadsheets/d/1xfJKIQxVOaPDIICqsflNlLu3JacTDk1FP9RH4phX7mI/edit?usp=sharing"",""พิจิตร!J441"")"),0)</f>
        <v>0</v>
      </c>
      <c r="AZ21" s="216">
        <f t="shared" ca="1" si="63"/>
        <v>0</v>
      </c>
      <c r="BA21" s="152">
        <f ca="1">IFERROR(__xludf.DUMMYFUNCTION("IMPORTRANGE(""https://docs.google.com/spreadsheets/d/1xfJKIQxVOaPDIICqsflNlLu3JacTDk1FP9RH4phX7mI/edit?usp=sharing"",""พิจิตร!J442"")"),0)</f>
        <v>0</v>
      </c>
      <c r="BB21" s="152">
        <f ca="1">IFERROR(__xludf.DUMMYFUNCTION("IMPORTRANGE(""https://docs.google.com/spreadsheets/d/1xfJKIQxVOaPDIICqsflNlLu3JacTDk1FP9RH4phX7mI/edit?usp=sharing"",""พิจิตร!J443"")"),0)</f>
        <v>0</v>
      </c>
      <c r="BC21" s="152">
        <f ca="1">IFERROR(__xludf.DUMMYFUNCTION("IMPORTRANGE(""https://docs.google.com/spreadsheets/d/1xfJKIQxVOaPDIICqsflNlLu3JacTDk1FP9RH4phX7mI/edit?usp=sharing"",""พิจิตร!J444"")"),0)</f>
        <v>0</v>
      </c>
      <c r="BD21" s="152">
        <f ca="1">IFERROR(__xludf.DUMMYFUNCTION("IMPORTRANGE(""https://docs.google.com/spreadsheets/d/1xfJKIQxVOaPDIICqsflNlLu3JacTDk1FP9RH4phX7mI/edit?usp=sharing"",""พิจิตร!J445"")"),0)</f>
        <v>0</v>
      </c>
      <c r="BE21" s="152">
        <f ca="1">IFERROR(__xludf.DUMMYFUNCTION("IMPORTRANGE(""https://docs.google.com/spreadsheets/d/1xfJKIQxVOaPDIICqsflNlLu3JacTDk1FP9RH4phX7mI/edit?usp=sharing"",""พิจิตร!J446"")"),0)</f>
        <v>0</v>
      </c>
      <c r="BF21" s="152">
        <f ca="1">IFERROR(__xludf.DUMMYFUNCTION("IMPORTRANGE(""https://docs.google.com/spreadsheets/d/1xfJKIQxVOaPDIICqsflNlLu3JacTDk1FP9RH4phX7mI/edit?usp=sharing"",""พิจิตร!J447"")"),0)</f>
        <v>0</v>
      </c>
      <c r="BG21" s="152">
        <f ca="1">IFERROR(__xludf.DUMMYFUNCTION("IMPORTRANGE(""https://docs.google.com/spreadsheets/d/1xfJKIQxVOaPDIICqsflNlLu3JacTDk1FP9RH4phX7mI/edit?usp=sharing"",""พิจิตร!J448"")"),0)</f>
        <v>0</v>
      </c>
      <c r="BH21" s="152">
        <f ca="1">IFERROR(__xludf.DUMMYFUNCTION("IMPORTRANGE(""https://docs.google.com/spreadsheets/d/1xfJKIQxVOaPDIICqsflNlLu3JacTDk1FP9RH4phX7mI/edit?usp=sharing"",""พิจิตร!J449"")"),0)</f>
        <v>0</v>
      </c>
      <c r="BI21" s="152">
        <f ca="1">IFERROR(__xludf.DUMMYFUNCTION("IMPORTRANGE(""https://docs.google.com/spreadsheets/d/1xfJKIQxVOaPDIICqsflNlLu3JacTDk1FP9RH4phX7mI/edit?usp=sharing"",""พิจิตร!J450"")"),0)</f>
        <v>0</v>
      </c>
      <c r="BJ21" s="152">
        <f ca="1">IFERROR(__xludf.DUMMYFUNCTION("IMPORTRANGE(""https://docs.google.com/spreadsheets/d/1xfJKIQxVOaPDIICqsflNlLu3JacTDk1FP9RH4phX7mI/edit?usp=sharing"",""พิจิตร!J451"")"),0)</f>
        <v>0</v>
      </c>
      <c r="BK21" s="152">
        <f ca="1">IFERROR(__xludf.DUMMYFUNCTION("IMPORTRANGE(""https://docs.google.com/spreadsheets/d/1xfJKIQxVOaPDIICqsflNlLu3JacTDk1FP9RH4phX7mI/edit?usp=sharing"",""พิจิตร!J452"")"),0)</f>
        <v>0</v>
      </c>
      <c r="BL21" s="152">
        <f ca="1">IFERROR(__xludf.DUMMYFUNCTION("IMPORTRANGE(""https://docs.google.com/spreadsheets/d/1xfJKIQxVOaPDIICqsflNlLu3JacTDk1FP9RH4phX7mI/edit?usp=sharing"",""พิจิตร!J453"")"),0)</f>
        <v>0</v>
      </c>
      <c r="BM21" s="152">
        <f ca="1">IFERROR(__xludf.DUMMYFUNCTION("IMPORTRANGE(""https://docs.google.com/spreadsheets/d/1xfJKIQxVOaPDIICqsflNlLu3JacTDk1FP9RH4phX7mI/edit?usp=sharing"",""พิจิตร!J454"")"),0)</f>
        <v>0</v>
      </c>
      <c r="BN21" s="152">
        <f ca="1">IFERROR(__xludf.DUMMYFUNCTION("IMPORTRANGE(""https://docs.google.com/spreadsheets/d/1xfJKIQxVOaPDIICqsflNlLu3JacTDk1FP9RH4phX7mI/edit?usp=sharing"",""พิจิตร!J455"")"),0)</f>
        <v>0</v>
      </c>
      <c r="BO21" s="152">
        <f ca="1">IFERROR(__xludf.DUMMYFUNCTION("IMPORTRANGE(""https://docs.google.com/spreadsheets/d/1xfJKIQxVOaPDIICqsflNlLu3JacTDk1FP9RH4phX7mI/edit?usp=sharing"",""พิจิตร!I457"")"),3802.87)</f>
        <v>3802.87</v>
      </c>
      <c r="BP21" s="152">
        <f ca="1">IFERROR(__xludf.DUMMYFUNCTION("IMPORTRANGE(""https://docs.google.com/spreadsheets/d/1xfJKIQxVOaPDIICqsflNlLu3JacTDk1FP9RH4phX7mI/edit?usp=sharing"",""พิจิตร!I458"")"),239)</f>
        <v>239</v>
      </c>
      <c r="BQ21" s="152">
        <f ca="1">IFERROR(__xludf.DUMMYFUNCTION("IMPORTRANGE(""https://docs.google.com/spreadsheets/d/1xfJKIQxVOaPDIICqsflNlLu3JacTDk1FP9RH4phX7mI/edit?usp=sharing"",""พิจิตร!J457"")"),2048)</f>
        <v>2048</v>
      </c>
      <c r="BR21" s="216">
        <f t="shared" ca="1" si="65"/>
        <v>53.8540628525298</v>
      </c>
      <c r="BS21" s="152">
        <f ca="1">IFERROR(__xludf.DUMMYFUNCTION("IMPORTRANGE(""https://docs.google.com/spreadsheets/d/1xfJKIQxVOaPDIICqsflNlLu3JacTDk1FP9RH4phX7mI/edit?usp=sharing"",""พิจิตร!J458"")"),129)</f>
        <v>129</v>
      </c>
      <c r="BT21" s="216">
        <f t="shared" ca="1" si="66"/>
        <v>53.97489539748954</v>
      </c>
      <c r="BU21" s="152">
        <f ca="1">IFERROR(__xludf.DUMMYFUNCTION("IMPORTRANGE(""https://docs.google.com/spreadsheets/d/1xfJKIQxVOaPDIICqsflNlLu3JacTDk1FP9RH4phX7mI/edit?usp=sharing"",""พิจิตร!J459"")"),1902)</f>
        <v>1902</v>
      </c>
      <c r="BV21" s="152">
        <f ca="1">IFERROR(__xludf.DUMMYFUNCTION("IMPORTRANGE(""https://docs.google.com/spreadsheets/d/1xfJKIQxVOaPDIICqsflNlLu3JacTDk1FP9RH4phX7mI/edit?usp=sharing"",""พิจิตร!J460"")"),121)</f>
        <v>121</v>
      </c>
      <c r="BW21" s="152">
        <f ca="1">IFERROR(__xludf.DUMMYFUNCTION("IMPORTRANGE(""https://docs.google.com/spreadsheets/d/1xfJKIQxVOaPDIICqsflNlLu3JacTDk1FP9RH4phX7mI/edit?usp=sharing"",""พิจิตร!J461"")"),1902)</f>
        <v>1902</v>
      </c>
      <c r="BX21" s="152">
        <f ca="1">IFERROR(__xludf.DUMMYFUNCTION("IMPORTRANGE(""https://docs.google.com/spreadsheets/d/1xfJKIQxVOaPDIICqsflNlLu3JacTDk1FP9RH4phX7mI/edit?usp=sharing"",""พิจิตร!J462"")"),121)</f>
        <v>121</v>
      </c>
      <c r="BY21" s="152">
        <f ca="1">IFERROR(__xludf.DUMMYFUNCTION("IMPORTRANGE(""https://docs.google.com/spreadsheets/d/1xfJKIQxVOaPDIICqsflNlLu3JacTDk1FP9RH4phX7mI/edit?usp=sharing"",""พิจิตร!J463"")"),0)</f>
        <v>0</v>
      </c>
      <c r="BZ21" s="152">
        <f ca="1">IFERROR(__xludf.DUMMYFUNCTION("IMPORTRANGE(""https://docs.google.com/spreadsheets/d/1xfJKIQxVOaPDIICqsflNlLu3JacTDk1FP9RH4phX7mI/edit?usp=sharing"",""พิจิตร!J464"")"),0)</f>
        <v>0</v>
      </c>
      <c r="CA21" s="152">
        <f ca="1">IFERROR(__xludf.DUMMYFUNCTION("IMPORTRANGE(""https://docs.google.com/spreadsheets/d/1xfJKIQxVOaPDIICqsflNlLu3JacTDk1FP9RH4phX7mI/edit?usp=sharing"",""พิจิตร!J465"")"),0)</f>
        <v>0</v>
      </c>
      <c r="CB21" s="152">
        <f ca="1">IFERROR(__xludf.DUMMYFUNCTION("IMPORTRANGE(""https://docs.google.com/spreadsheets/d/1xfJKIQxVOaPDIICqsflNlLu3JacTDk1FP9RH4phX7mI/edit?usp=sharing"",""พิจิตร!J466"")"),0)</f>
        <v>0</v>
      </c>
      <c r="CC21" s="152">
        <f ca="1">IFERROR(__xludf.DUMMYFUNCTION("IMPORTRANGE(""https://docs.google.com/spreadsheets/d/1xfJKIQxVOaPDIICqsflNlLu3JacTDk1FP9RH4phX7mI/edit?usp=sharing"",""พิจิตร!J467"")"),125)</f>
        <v>125</v>
      </c>
      <c r="CD21" s="152">
        <f ca="1">IFERROR(__xludf.DUMMYFUNCTION("IMPORTRANGE(""https://docs.google.com/spreadsheets/d/1xfJKIQxVOaPDIICqsflNlLu3JacTDk1FP9RH4phX7mI/edit?usp=sharing"",""พิจิตร!J468"")"),5)</f>
        <v>5</v>
      </c>
      <c r="CE21" s="152">
        <f ca="1">IFERROR(__xludf.DUMMYFUNCTION("IMPORTRANGE(""https://docs.google.com/spreadsheets/d/1xfJKIQxVOaPDIICqsflNlLu3JacTDk1FP9RH4phX7mI/edit?usp=sharing"",""พิจิตร!J469"")"),125)</f>
        <v>125</v>
      </c>
      <c r="CF21" s="152">
        <f ca="1">IFERROR(__xludf.DUMMYFUNCTION("IMPORTRANGE(""https://docs.google.com/spreadsheets/d/1xfJKIQxVOaPDIICqsflNlLu3JacTDk1FP9RH4phX7mI/edit?usp=sharing"",""พิจิตร!J470"")"),5)</f>
        <v>5</v>
      </c>
      <c r="CG21" s="152">
        <f ca="1">IFERROR(__xludf.DUMMYFUNCTION("IMPORTRANGE(""https://docs.google.com/spreadsheets/d/1xfJKIQxVOaPDIICqsflNlLu3JacTDk1FP9RH4phX7mI/edit?usp=sharing"",""พิจิตร!J471"")"),0)</f>
        <v>0</v>
      </c>
      <c r="CH21" s="152">
        <f ca="1">IFERROR(__xludf.DUMMYFUNCTION("IMPORTRANGE(""https://docs.google.com/spreadsheets/d/1xfJKIQxVOaPDIICqsflNlLu3JacTDk1FP9RH4phX7mI/edit?usp=sharing"",""พิจิตร!J472"")"),0)</f>
        <v>0</v>
      </c>
      <c r="CI21" s="152">
        <f ca="1">IFERROR(__xludf.DUMMYFUNCTION("IMPORTRANGE(""https://docs.google.com/spreadsheets/d/1xfJKIQxVOaPDIICqsflNlLu3JacTDk1FP9RH4phX7mI/edit?usp=sharing"",""พิจิตร!J473"")"),21)</f>
        <v>21</v>
      </c>
      <c r="CJ21" s="152">
        <f ca="1">IFERROR(__xludf.DUMMYFUNCTION("IMPORTRANGE(""https://docs.google.com/spreadsheets/d/1xfJKIQxVOaPDIICqsflNlLu3JacTDk1FP9RH4phX7mI/edit?usp=sharing"",""พิจิตร!J474"")"),3)</f>
        <v>3</v>
      </c>
      <c r="CK21" s="278">
        <f ca="1">IFERROR(__xludf.DUMMYFUNCTION("IMPORTRANGE(""https://docs.google.com/spreadsheets/d/1xfJKIQxVOaPDIICqsflNlLu3JacTDk1FP9RH4phX7mI/edit?usp=sharing"",""พิจิตร!I476"")"),0)</f>
        <v>0</v>
      </c>
      <c r="CL21" s="278">
        <f ca="1">IFERROR(__xludf.DUMMYFUNCTION("IMPORTRANGE(""https://docs.google.com/spreadsheets/d/1xfJKIQxVOaPDIICqsflNlLu3JacTDk1FP9RH4phX7mI/edit?usp=sharing"",""พิจิตร!I477"")"),0)</f>
        <v>0</v>
      </c>
      <c r="CM21" s="278">
        <f ca="1">IFERROR(__xludf.DUMMYFUNCTION("IMPORTRANGE(""https://docs.google.com/spreadsheets/d/1xfJKIQxVOaPDIICqsflNlLu3JacTDk1FP9RH4phX7mI/edit?usp=sharing"",""พิจิตร!J476"")"),0)</f>
        <v>0</v>
      </c>
      <c r="CN21" s="216">
        <f t="shared" ca="1" si="68"/>
        <v>0</v>
      </c>
      <c r="CO21" s="278">
        <f ca="1">IFERROR(__xludf.DUMMYFUNCTION("IMPORTRANGE(""https://docs.google.com/spreadsheets/d/1xfJKIQxVOaPDIICqsflNlLu3JacTDk1FP9RH4phX7mI/edit?usp=sharing"",""พิจิตร!J477"")"),0)</f>
        <v>0</v>
      </c>
      <c r="CP21" s="216">
        <f t="shared" ca="1" si="69"/>
        <v>0</v>
      </c>
      <c r="CQ21" s="278">
        <f ca="1">IFERROR(__xludf.DUMMYFUNCTION("IMPORTRANGE(""https://docs.google.com/spreadsheets/d/1xfJKIQxVOaPDIICqsflNlLu3JacTDk1FP9RH4phX7mI/edit?usp=sharing"",""พิจิตร!J478"")"),0)</f>
        <v>0</v>
      </c>
      <c r="CR21" s="278">
        <f ca="1">IFERROR(__xludf.DUMMYFUNCTION("IMPORTRANGE(""https://docs.google.com/spreadsheets/d/1xfJKIQxVOaPDIICqsflNlLu3JacTDk1FP9RH4phX7mI/edit?usp=sharing"",""พิจิตร!J479"")"),0)</f>
        <v>0</v>
      </c>
      <c r="CS21" s="278">
        <f ca="1">IFERROR(__xludf.DUMMYFUNCTION("IMPORTRANGE(""https://docs.google.com/spreadsheets/d/1xfJKIQxVOaPDIICqsflNlLu3JacTDk1FP9RH4phX7mI/edit?usp=sharing"",""พิจิตร!J480"")"),0)</f>
        <v>0</v>
      </c>
      <c r="CT21" s="278">
        <f ca="1">IFERROR(__xludf.DUMMYFUNCTION("IMPORTRANGE(""https://docs.google.com/spreadsheets/d/1xfJKIQxVOaPDIICqsflNlLu3JacTDk1FP9RH4phX7mI/edit?usp=sharing"",""พิจิตร!J481"")"),0)</f>
        <v>0</v>
      </c>
      <c r="CU21" s="278">
        <f ca="1">IFERROR(__xludf.DUMMYFUNCTION("IMPORTRANGE(""https://docs.google.com/spreadsheets/d/1xfJKIQxVOaPDIICqsflNlLu3JacTDk1FP9RH4phX7mI/edit?usp=sharing"",""พิจิตร!I484"")"),0)</f>
        <v>0</v>
      </c>
      <c r="CV21" s="278">
        <f ca="1">IFERROR(__xludf.DUMMYFUNCTION("IMPORTRANGE(""https://docs.google.com/spreadsheets/d/1xfJKIQxVOaPDIICqsflNlLu3JacTDk1FP9RH4phX7mI/edit?usp=sharing"",""พิจิตร!I485"")"),0)</f>
        <v>0</v>
      </c>
      <c r="CW21" s="278">
        <f ca="1">IFERROR(__xludf.DUMMYFUNCTION("IMPORTRANGE(""https://docs.google.com/spreadsheets/d/1xfJKIQxVOaPDIICqsflNlLu3JacTDk1FP9RH4phX7mI/edit?usp=sharing"",""พิจิตร!J484"")"),0)</f>
        <v>0</v>
      </c>
      <c r="CX21" s="216">
        <f t="shared" ca="1" si="71"/>
        <v>0</v>
      </c>
      <c r="CY21" s="278">
        <f ca="1">IFERROR(__xludf.DUMMYFUNCTION("IMPORTRANGE(""https://docs.google.com/spreadsheets/d/1xfJKIQxVOaPDIICqsflNlLu3JacTDk1FP9RH4phX7mI/edit?usp=sharing"",""พิจิตร!J485"")"),0)</f>
        <v>0</v>
      </c>
      <c r="CZ21" s="216">
        <f t="shared" ca="1" si="72"/>
        <v>0</v>
      </c>
      <c r="DA21" s="278">
        <f ca="1">IFERROR(__xludf.DUMMYFUNCTION("IMPORTRANGE(""https://docs.google.com/spreadsheets/d/1xfJKIQxVOaPDIICqsflNlLu3JacTDk1FP9RH4phX7mI/edit?usp=sharing"",""พิจิตร!J486"")"),0)</f>
        <v>0</v>
      </c>
      <c r="DB21" s="278">
        <f ca="1">IFERROR(__xludf.DUMMYFUNCTION("IMPORTRANGE(""https://docs.google.com/spreadsheets/d/1xfJKIQxVOaPDIICqsflNlLu3JacTDk1FP9RH4phX7mI/edit?usp=sharing"",""พิจิตร!J487"")"),0)</f>
        <v>0</v>
      </c>
      <c r="DC21" s="278">
        <f ca="1">IFERROR(__xludf.DUMMYFUNCTION("IMPORTRANGE(""https://docs.google.com/spreadsheets/d/1xfJKIQxVOaPDIICqsflNlLu3JacTDk1FP9RH4phX7mI/edit?usp=sharing"",""พิจิตร!J488"")"),0)</f>
        <v>0</v>
      </c>
      <c r="DD21" s="278">
        <f ca="1">IFERROR(__xludf.DUMMYFUNCTION("IMPORTRANGE(""https://docs.google.com/spreadsheets/d/1xfJKIQxVOaPDIICqsflNlLu3JacTDk1FP9RH4phX7mI/edit?usp=sharing"",""พิจิตร!J489"")"),0)</f>
        <v>0</v>
      </c>
      <c r="DE21" s="278">
        <f ca="1">IFERROR(__xludf.DUMMYFUNCTION("IMPORTRANGE(""https://docs.google.com/spreadsheets/d/1xfJKIQxVOaPDIICqsflNlLu3JacTDk1FP9RH4phX7mI/edit?usp=sharing"",""พิจิตร!J490"")"),0)</f>
        <v>0</v>
      </c>
      <c r="DF21" s="278">
        <f ca="1">IFERROR(__xludf.DUMMYFUNCTION("IMPORTRANGE(""https://docs.google.com/spreadsheets/d/1xfJKIQxVOaPDIICqsflNlLu3JacTDk1FP9RH4phX7mI/edit?usp=sharing"",""พิจิตร!J491"")"),0)</f>
        <v>0</v>
      </c>
    </row>
    <row r="22" spans="1:110" ht="19.5" x14ac:dyDescent="0.3">
      <c r="A22" s="147">
        <v>9</v>
      </c>
      <c r="B22" s="148" t="s">
        <v>50</v>
      </c>
      <c r="C22" s="566">
        <f t="shared" ca="1" si="44"/>
        <v>299610</v>
      </c>
      <c r="D22" s="567">
        <f t="shared" ca="1" si="74"/>
        <v>299610</v>
      </c>
      <c r="E22" s="329">
        <f ca="1">IFERROR(__xludf.DUMMYFUNCTION("IMPORTRANGE(""https://docs.google.com/spreadsheets/d/1-uDff_7J0KD5mKrp0Vvzr7lt3OU09vwQwhkpOPPYv2Y/edit?usp=sharing"",""งบพรบ!IP22"")"),180000)</f>
        <v>180000</v>
      </c>
      <c r="F22" s="329">
        <f ca="1">IFERROR(__xludf.DUMMYFUNCTION("IMPORTRANGE(""https://docs.google.com/spreadsheets/d/1-uDff_7J0KD5mKrp0Vvzr7lt3OU09vwQwhkpOPPYv2Y/edit?usp=sharing"",""งบพรบ!IQ22"")"),119610)</f>
        <v>119610</v>
      </c>
      <c r="G22" s="329">
        <f ca="1">IFERROR(__xludf.DUMMYFUNCTION("IMPORTRANGE(""https://docs.google.com/spreadsheets/d/1-uDff_7J0KD5mKrp0Vvzr7lt3OU09vwQwhkpOPPYv2Y/edit?usp=sharing"",""งบพรบ!IR22"")"),0)</f>
        <v>0</v>
      </c>
      <c r="H22" s="329">
        <f ca="1">IFERROR(__xludf.DUMMYFUNCTION("IMPORTRANGE(""https://docs.google.com/spreadsheets/d/1-uDff_7J0KD5mKrp0Vvzr7lt3OU09vwQwhkpOPPYv2Y/edit?usp=sharing"",""งบพรบ!IT22"")"),379610)</f>
        <v>379610</v>
      </c>
      <c r="I22" s="329">
        <f ca="1">IFERROR(__xludf.DUMMYFUNCTION("IMPORTRANGE(""https://docs.google.com/spreadsheets/d/1-uDff_7J0KD5mKrp0Vvzr7lt3OU09vwQwhkpOPPYv2Y/edit?usp=sharing"",""งบพรบ!IU22"")"),0)</f>
        <v>0</v>
      </c>
      <c r="J22" s="329">
        <f t="shared" ca="1" si="46"/>
        <v>194240.56</v>
      </c>
      <c r="K22" s="568">
        <f t="shared" ca="1" si="47"/>
        <v>64.831133807282797</v>
      </c>
      <c r="L22" s="329">
        <f ca="1">IFERROR(__xludf.DUMMYFUNCTION("IMPORTRANGE(""https://docs.google.com/spreadsheets/d/1-uDff_7J0KD5mKrp0Vvzr7lt3OU09vwQwhkpOPPYv2Y/edit?usp=sharing"",""งบพรบ!IV22"")"),194240.56)</f>
        <v>194240.56</v>
      </c>
      <c r="M22" s="330">
        <f t="shared" ca="1" si="48"/>
        <v>64.831133807282797</v>
      </c>
      <c r="N22" s="330">
        <f t="shared" ca="1" si="49"/>
        <v>51.168451832143518</v>
      </c>
      <c r="O22" s="569">
        <f ca="1">IFERROR(__xludf.DUMMYFUNCTION("IMPORTRANGE(""https://docs.google.com/spreadsheets/d/1-uDff_7J0KD5mKrp0Vvzr7lt3OU09vwQwhkpOPPYv2Y/edit?usp=sharing"",""งบพรบ!IW22"")"),0)</f>
        <v>0</v>
      </c>
      <c r="P22" s="569">
        <f t="shared" ca="1" si="50"/>
        <v>0</v>
      </c>
      <c r="Q22" s="330">
        <f t="shared" ca="1" si="51"/>
        <v>0</v>
      </c>
      <c r="R22" s="564">
        <f ca="1">IFERROR(__xludf.DUMMYFUNCTION("IMPORTRANGE(""https://docs.google.com/spreadsheets/d/1JtRfZkJMHtEhI5RdRHxYUG4FIZHqKDpNyIuN7A1Q0_k/edit?usp=sharing"",""พิษณุโลก!Q413"")"),34470)</f>
        <v>34470</v>
      </c>
      <c r="S22" s="564">
        <f ca="1">IFERROR(__xludf.DUMMYFUNCTION("IMPORTRANGE(""https://docs.google.com/spreadsheets/d/1JtRfZkJMHtEhI5RdRHxYUG4FIZHqKDpNyIuN7A1Q0_k/edit?usp=sharing"",""พิษณุโลก!R413"")"),34470)</f>
        <v>34470</v>
      </c>
      <c r="T22" s="564">
        <f ca="1">IFERROR(__xludf.DUMMYFUNCTION("IMPORTRANGE(""https://docs.google.com/spreadsheets/d/1JtRfZkJMHtEhI5RdRHxYUG4FIZHqKDpNyIuN7A1Q0_k/edit?usp=sharing"",""พิษณุโลก!S413"")"),24180)</f>
        <v>24180</v>
      </c>
      <c r="U22" s="565">
        <f t="shared" ca="1" si="53"/>
        <v>70.147954743254999</v>
      </c>
      <c r="V22" s="565">
        <f t="shared" ca="1" si="54"/>
        <v>70.147954743254999</v>
      </c>
      <c r="W22" s="152">
        <f ca="1">IFERROR(__xludf.DUMMYFUNCTION("IMPORTRANGE(""https://docs.google.com/spreadsheets/d/1JtRfZkJMHtEhI5RdRHxYUG4FIZHqKDpNyIuN7A1Q0_k/edit?usp=sharing"",""พิษณุโลก!I424"")"),11325)</f>
        <v>11325</v>
      </c>
      <c r="X22" s="152">
        <f ca="1">IFERROR(__xludf.DUMMYFUNCTION("IMPORTRANGE(""https://docs.google.com/spreadsheets/d/1JtRfZkJMHtEhI5RdRHxYUG4FIZHqKDpNyIuN7A1Q0_k/edit?usp=sharing"",""พิษณุโลก!I425"")"),1138)</f>
        <v>1138</v>
      </c>
      <c r="Y22" s="152">
        <f ca="1">IFERROR(__xludf.DUMMYFUNCTION("IMPORTRANGE(""https://docs.google.com/spreadsheets/d/1JtRfZkJMHtEhI5RdRHxYUG4FIZHqKDpNyIuN7A1Q0_k/edit?usp=sharing"",""พิษณุโลก!J424"")"),11332)</f>
        <v>11332</v>
      </c>
      <c r="Z22" s="216">
        <f t="shared" ca="1" si="56"/>
        <v>100.06181015452539</v>
      </c>
      <c r="AA22" s="152">
        <f ca="1">IFERROR(__xludf.DUMMYFUNCTION("IMPORTRANGE(""https://docs.google.com/spreadsheets/d/1JtRfZkJMHtEhI5RdRHxYUG4FIZHqKDpNyIuN7A1Q0_k/edit?usp=sharing"",""พิษณุโลก!J425"")"),1138)</f>
        <v>1138</v>
      </c>
      <c r="AB22" s="216">
        <f t="shared" ca="1" si="57"/>
        <v>100</v>
      </c>
      <c r="AC22" s="152">
        <f ca="1">IFERROR(__xludf.DUMMYFUNCTION("IMPORTRANGE(""https://docs.google.com/spreadsheets/d/1JtRfZkJMHtEhI5RdRHxYUG4FIZHqKDpNyIuN7A1Q0_k/edit?usp=sharing"",""พิษณุโลก!J426"")"),8555)</f>
        <v>8555</v>
      </c>
      <c r="AD22" s="152">
        <f ca="1">IFERROR(__xludf.DUMMYFUNCTION("IMPORTRANGE(""https://docs.google.com/spreadsheets/d/1JtRfZkJMHtEhI5RdRHxYUG4FIZHqKDpNyIuN7A1Q0_k/edit?usp=sharing"",""พิษณุโลก!J427"")"),852)</f>
        <v>852</v>
      </c>
      <c r="AE22" s="152">
        <f ca="1">IFERROR(__xludf.DUMMYFUNCTION("IMPORTRANGE(""https://docs.google.com/spreadsheets/d/1JtRfZkJMHtEhI5RdRHxYUG4FIZHqKDpNyIuN7A1Q0_k/edit?usp=sharing"",""พิษณุโลก!J428"")"),2402)</f>
        <v>2402</v>
      </c>
      <c r="AF22" s="152">
        <f ca="1">IFERROR(__xludf.DUMMYFUNCTION("IMPORTRANGE(""https://docs.google.com/spreadsheets/d/1JtRfZkJMHtEhI5RdRHxYUG4FIZHqKDpNyIuN7A1Q0_k/edit?usp=sharing"",""พิษณุโลก!J429"")"),250)</f>
        <v>250</v>
      </c>
      <c r="AG22" s="152">
        <f ca="1">IFERROR(__xludf.DUMMYFUNCTION("IMPORTRANGE(""https://docs.google.com/spreadsheets/d/1JtRfZkJMHtEhI5RdRHxYUG4FIZHqKDpNyIuN7A1Q0_k/edit?usp=sharing"",""พิษณุโลก!J430"")"),375)</f>
        <v>375</v>
      </c>
      <c r="AH22" s="152">
        <f ca="1">IFERROR(__xludf.DUMMYFUNCTION("IMPORTRANGE(""https://docs.google.com/spreadsheets/d/1JtRfZkJMHtEhI5RdRHxYUG4FIZHqKDpNyIuN7A1Q0_k/edit?usp=sharing"",""พิษณุโลก!J431"")"),36)</f>
        <v>36</v>
      </c>
      <c r="AI22" s="152">
        <f ca="1">IFERROR(__xludf.DUMMYFUNCTION("IMPORTRANGE(""https://docs.google.com/spreadsheets/d/1JtRfZkJMHtEhI5RdRHxYUG4FIZHqKDpNyIuN7A1Q0_k/edit?usp=sharing"",""พิษณุโลก!I432"")"),11325)</f>
        <v>11325</v>
      </c>
      <c r="AJ22" s="152">
        <f ca="1">IFERROR(__xludf.DUMMYFUNCTION("IMPORTRANGE(""https://docs.google.com/spreadsheets/d/1JtRfZkJMHtEhI5RdRHxYUG4FIZHqKDpNyIuN7A1Q0_k/edit?usp=sharing"",""พิษณุโลก!I433"")"),1138)</f>
        <v>1138</v>
      </c>
      <c r="AK22" s="216">
        <f ca="1">IFERROR(__xludf.DUMMYFUNCTION("IMPORTRANGE(""https://docs.google.com/spreadsheets/d/1JtRfZkJMHtEhI5RdRHxYUG4FIZHqKDpNyIuN7A1Q0_k/edit?usp=sharing"",""พิษณุโลก!J432"")"),0)</f>
        <v>0</v>
      </c>
      <c r="AL22" s="216">
        <f t="shared" ca="1" si="59"/>
        <v>0</v>
      </c>
      <c r="AM22" s="152">
        <f ca="1">IFERROR(__xludf.DUMMYFUNCTION("IMPORTRANGE(""https://docs.google.com/spreadsheets/d/1JtRfZkJMHtEhI5RdRHxYUG4FIZHqKDpNyIuN7A1Q0_k/edit?usp=sharing"",""พิษณุโลก!J433"")"),0)</f>
        <v>0</v>
      </c>
      <c r="AN22" s="216">
        <f t="shared" ca="1" si="60"/>
        <v>0</v>
      </c>
      <c r="AO22" s="152">
        <f ca="1">IFERROR(__xludf.DUMMYFUNCTION("IMPORTRANGE(""https://docs.google.com/spreadsheets/d/1JtRfZkJMHtEhI5RdRHxYUG4FIZHqKDpNyIuN7A1Q0_k/edit?usp=sharing"",""พิษณุโลก!J434"")"),0)</f>
        <v>0</v>
      </c>
      <c r="AP22" s="152">
        <f ca="1">IFERROR(__xludf.DUMMYFUNCTION("IMPORTRANGE(""https://docs.google.com/spreadsheets/d/1JtRfZkJMHtEhI5RdRHxYUG4FIZHqKDpNyIuN7A1Q0_k/edit?usp=sharing"",""พิษณุโลก!J435"")"),0)</f>
        <v>0</v>
      </c>
      <c r="AQ22" s="152">
        <f ca="1">IFERROR(__xludf.DUMMYFUNCTION("IMPORTRANGE(""https://docs.google.com/spreadsheets/d/1JtRfZkJMHtEhI5RdRHxYUG4FIZHqKDpNyIuN7A1Q0_k/edit?usp=sharing"",""พิษณุโลก!J436"")"),0)</f>
        <v>0</v>
      </c>
      <c r="AR22" s="152">
        <f ca="1">IFERROR(__xludf.DUMMYFUNCTION("IMPORTRANGE(""https://docs.google.com/spreadsheets/d/1JtRfZkJMHtEhI5RdRHxYUG4FIZHqKDpNyIuN7A1Q0_k/edit?usp=sharing"",""พิษณุโลก!J437"")"),0)</f>
        <v>0</v>
      </c>
      <c r="AS22" s="152">
        <f ca="1">IFERROR(__xludf.DUMMYFUNCTION("IMPORTRANGE(""https://docs.google.com/spreadsheets/d/1JtRfZkJMHtEhI5RdRHxYUG4FIZHqKDpNyIuN7A1Q0_k/edit?usp=sharing"",""พิษณุโลก!J438"")"),0)</f>
        <v>0</v>
      </c>
      <c r="AT22" s="152">
        <f ca="1">IFERROR(__xludf.DUMMYFUNCTION("IMPORTRANGE(""https://docs.google.com/spreadsheets/d/1JtRfZkJMHtEhI5RdRHxYUG4FIZHqKDpNyIuN7A1Q0_k/edit?usp=sharing"",""พิษณุโลก!J439"")"),0)</f>
        <v>0</v>
      </c>
      <c r="AU22" s="152">
        <f ca="1">IFERROR(__xludf.DUMMYFUNCTION("IMPORTRANGE(""https://docs.google.com/spreadsheets/d/1JtRfZkJMHtEhI5RdRHxYUG4FIZHqKDpNyIuN7A1Q0_k/edit?usp=sharing"",""พิษณุโลก!I440"")"),11325)</f>
        <v>11325</v>
      </c>
      <c r="AV22" s="152">
        <f ca="1">IFERROR(__xludf.DUMMYFUNCTION("IMPORTRANGE(""https://docs.google.com/spreadsheets/d/1JtRfZkJMHtEhI5RdRHxYUG4FIZHqKDpNyIuN7A1Q0_k/edit?usp=sharing"",""พิษณุโลก!I441"")"),1138)</f>
        <v>1138</v>
      </c>
      <c r="AW22" s="152">
        <f ca="1">IFERROR(__xludf.DUMMYFUNCTION("IMPORTRANGE(""https://docs.google.com/spreadsheets/d/1JtRfZkJMHtEhI5RdRHxYUG4FIZHqKDpNyIuN7A1Q0_k/edit?usp=sharing"",""พิษณุโลก!J440"")"),0)</f>
        <v>0</v>
      </c>
      <c r="AX22" s="216">
        <f t="shared" ca="1" si="62"/>
        <v>0</v>
      </c>
      <c r="AY22" s="152">
        <f ca="1">IFERROR(__xludf.DUMMYFUNCTION("IMPORTRANGE(""https://docs.google.com/spreadsheets/d/1JtRfZkJMHtEhI5RdRHxYUG4FIZHqKDpNyIuN7A1Q0_k/edit?usp=sharing"",""พิษณุโลก!J441"")"),0)</f>
        <v>0</v>
      </c>
      <c r="AZ22" s="216">
        <f t="shared" ca="1" si="63"/>
        <v>0</v>
      </c>
      <c r="BA22" s="152" t="str">
        <f ca="1">IFERROR(__xludf.DUMMYFUNCTION("IMPORTRANGE(""https://docs.google.com/spreadsheets/d/1JtRfZkJMHtEhI5RdRHxYUG4FIZHqKDpNyIuN7A1Q0_k/edit?usp=sharing"",""พิษณุโลก!J442"")"),"")</f>
        <v/>
      </c>
      <c r="BB22" s="152">
        <f ca="1">IFERROR(__xludf.DUMMYFUNCTION("IMPORTRANGE(""https://docs.google.com/spreadsheets/d/1JtRfZkJMHtEhI5RdRHxYUG4FIZHqKDpNyIuN7A1Q0_k/edit?usp=sharing"",""พิษณุโลก!J443"")"),0)</f>
        <v>0</v>
      </c>
      <c r="BC22" s="152" t="str">
        <f ca="1">IFERROR(__xludf.DUMMYFUNCTION("IMPORTRANGE(""https://docs.google.com/spreadsheets/d/1JtRfZkJMHtEhI5RdRHxYUG4FIZHqKDpNyIuN7A1Q0_k/edit?usp=sharing"",""พิษณุโลก!J444"")"),"")</f>
        <v/>
      </c>
      <c r="BD22" s="152">
        <f ca="1">IFERROR(__xludf.DUMMYFUNCTION("IMPORTRANGE(""https://docs.google.com/spreadsheets/d/1JtRfZkJMHtEhI5RdRHxYUG4FIZHqKDpNyIuN7A1Q0_k/edit?usp=sharing"",""พิษณุโลก!J445"")"),0)</f>
        <v>0</v>
      </c>
      <c r="BE22" s="152">
        <f ca="1">IFERROR(__xludf.DUMMYFUNCTION("IMPORTRANGE(""https://docs.google.com/spreadsheets/d/1JtRfZkJMHtEhI5RdRHxYUG4FIZHqKDpNyIuN7A1Q0_k/edit?usp=sharing"",""พิษณุโลก!J446"")"),0)</f>
        <v>0</v>
      </c>
      <c r="BF22" s="152">
        <f ca="1">IFERROR(__xludf.DUMMYFUNCTION("IMPORTRANGE(""https://docs.google.com/spreadsheets/d/1JtRfZkJMHtEhI5RdRHxYUG4FIZHqKDpNyIuN7A1Q0_k/edit?usp=sharing"",""พิษณุโลก!J447"")"),0)</f>
        <v>0</v>
      </c>
      <c r="BG22" s="152" t="str">
        <f ca="1">IFERROR(__xludf.DUMMYFUNCTION("IMPORTRANGE(""https://docs.google.com/spreadsheets/d/1JtRfZkJMHtEhI5RdRHxYUG4FIZHqKDpNyIuN7A1Q0_k/edit?usp=sharing"",""พิษณุโลก!J448"")"),"")</f>
        <v/>
      </c>
      <c r="BH22" s="152">
        <f ca="1">IFERROR(__xludf.DUMMYFUNCTION("IMPORTRANGE(""https://docs.google.com/spreadsheets/d/1JtRfZkJMHtEhI5RdRHxYUG4FIZHqKDpNyIuN7A1Q0_k/edit?usp=sharing"",""พิษณุโลก!J449"")"),0)</f>
        <v>0</v>
      </c>
      <c r="BI22" s="152">
        <f ca="1">IFERROR(__xludf.DUMMYFUNCTION("IMPORTRANGE(""https://docs.google.com/spreadsheets/d/1JtRfZkJMHtEhI5RdRHxYUG4FIZHqKDpNyIuN7A1Q0_k/edit?usp=sharing"",""พิษณุโลก!J450"")"),0)</f>
        <v>0</v>
      </c>
      <c r="BJ22" s="152">
        <f ca="1">IFERROR(__xludf.DUMMYFUNCTION("IMPORTRANGE(""https://docs.google.com/spreadsheets/d/1JtRfZkJMHtEhI5RdRHxYUG4FIZHqKDpNyIuN7A1Q0_k/edit?usp=sharing"",""พิษณุโลก!J451"")"),0)</f>
        <v>0</v>
      </c>
      <c r="BK22" s="152">
        <f ca="1">IFERROR(__xludf.DUMMYFUNCTION("IMPORTRANGE(""https://docs.google.com/spreadsheets/d/1JtRfZkJMHtEhI5RdRHxYUG4FIZHqKDpNyIuN7A1Q0_k/edit?usp=sharing"",""พิษณุโลก!J452"")"),0)</f>
        <v>0</v>
      </c>
      <c r="BL22" s="152">
        <f ca="1">IFERROR(__xludf.DUMMYFUNCTION("IMPORTRANGE(""https://docs.google.com/spreadsheets/d/1JtRfZkJMHtEhI5RdRHxYUG4FIZHqKDpNyIuN7A1Q0_k/edit?usp=sharing"",""พิษณุโลก!J453"")"),0)</f>
        <v>0</v>
      </c>
      <c r="BM22" s="152">
        <f ca="1">IFERROR(__xludf.DUMMYFUNCTION("IMPORTRANGE(""https://docs.google.com/spreadsheets/d/1JtRfZkJMHtEhI5RdRHxYUG4FIZHqKDpNyIuN7A1Q0_k/edit?usp=sharing"",""พิษณุโลก!J454"")"),0)</f>
        <v>0</v>
      </c>
      <c r="BN22" s="152">
        <f ca="1">IFERROR(__xludf.DUMMYFUNCTION("IMPORTRANGE(""https://docs.google.com/spreadsheets/d/1JtRfZkJMHtEhI5RdRHxYUG4FIZHqKDpNyIuN7A1Q0_k/edit?usp=sharing"",""พิษณุโลก!J455"")"),0)</f>
        <v>0</v>
      </c>
      <c r="BO22" s="152">
        <f ca="1">IFERROR(__xludf.DUMMYFUNCTION("IMPORTRANGE(""https://docs.google.com/spreadsheets/d/1JtRfZkJMHtEhI5RdRHxYUG4FIZHqKDpNyIuN7A1Q0_k/edit?usp=sharing"",""พิษณุโลก!I457"")"),555.56)</f>
        <v>555.55999999999995</v>
      </c>
      <c r="BP22" s="152">
        <f ca="1">IFERROR(__xludf.DUMMYFUNCTION("IMPORTRANGE(""https://docs.google.com/spreadsheets/d/1JtRfZkJMHtEhI5RdRHxYUG4FIZHqKDpNyIuN7A1Q0_k/edit?usp=sharing"",""พิษณุโลก!I458"")"),30)</f>
        <v>30</v>
      </c>
      <c r="BQ22" s="152">
        <f ca="1">IFERROR(__xludf.DUMMYFUNCTION("IMPORTRANGE(""https://docs.google.com/spreadsheets/d/1JtRfZkJMHtEhI5RdRHxYUG4FIZHqKDpNyIuN7A1Q0_k/edit?usp=sharing"",""พิษณุโลก!J457"")"),200)</f>
        <v>200</v>
      </c>
      <c r="BR22" s="216">
        <f t="shared" ca="1" si="65"/>
        <v>35.999712002303987</v>
      </c>
      <c r="BS22" s="152">
        <f ca="1">IFERROR(__xludf.DUMMYFUNCTION("IMPORTRANGE(""https://docs.google.com/spreadsheets/d/1JtRfZkJMHtEhI5RdRHxYUG4FIZHqKDpNyIuN7A1Q0_k/edit?usp=sharing"",""พิษณุโลก!J458"")"),11)</f>
        <v>11</v>
      </c>
      <c r="BT22" s="216">
        <f t="shared" ca="1" si="66"/>
        <v>36.666666666666664</v>
      </c>
      <c r="BU22" s="152">
        <f ca="1">IFERROR(__xludf.DUMMYFUNCTION("IMPORTRANGE(""https://docs.google.com/spreadsheets/d/1JtRfZkJMHtEhI5RdRHxYUG4FIZHqKDpNyIuN7A1Q0_k/edit?usp=sharing"",""พิษณุโลก!J459"")"),119)</f>
        <v>119</v>
      </c>
      <c r="BV22" s="152">
        <f ca="1">IFERROR(__xludf.DUMMYFUNCTION("IMPORTRANGE(""https://docs.google.com/spreadsheets/d/1JtRfZkJMHtEhI5RdRHxYUG4FIZHqKDpNyIuN7A1Q0_k/edit?usp=sharing"",""พิษณุโลก!J460"")"),8)</f>
        <v>8</v>
      </c>
      <c r="BW22" s="152">
        <f ca="1">IFERROR(__xludf.DUMMYFUNCTION("IMPORTRANGE(""https://docs.google.com/spreadsheets/d/1JtRfZkJMHtEhI5RdRHxYUG4FIZHqKDpNyIuN7A1Q0_k/edit?usp=sharing"",""พิษณุโลก!J461"")"),119)</f>
        <v>119</v>
      </c>
      <c r="BX22" s="152">
        <f ca="1">IFERROR(__xludf.DUMMYFUNCTION("IMPORTRANGE(""https://docs.google.com/spreadsheets/d/1JtRfZkJMHtEhI5RdRHxYUG4FIZHqKDpNyIuN7A1Q0_k/edit?usp=sharing"",""พิษณุโลก!J462"")"),8)</f>
        <v>8</v>
      </c>
      <c r="BY22" s="152">
        <f ca="1">IFERROR(__xludf.DUMMYFUNCTION("IMPORTRANGE(""https://docs.google.com/spreadsheets/d/1JtRfZkJMHtEhI5RdRHxYUG4FIZHqKDpNyIuN7A1Q0_k/edit?usp=sharing"",""พิษณุโลก!J463"")"),0)</f>
        <v>0</v>
      </c>
      <c r="BZ22" s="152">
        <f ca="1">IFERROR(__xludf.DUMMYFUNCTION("IMPORTRANGE(""https://docs.google.com/spreadsheets/d/1JtRfZkJMHtEhI5RdRHxYUG4FIZHqKDpNyIuN7A1Q0_k/edit?usp=sharing"",""พิษณุโลก!J464"")"),0)</f>
        <v>0</v>
      </c>
      <c r="CA22" s="152">
        <f ca="1">IFERROR(__xludf.DUMMYFUNCTION("IMPORTRANGE(""https://docs.google.com/spreadsheets/d/1JtRfZkJMHtEhI5RdRHxYUG4FIZHqKDpNyIuN7A1Q0_k/edit?usp=sharing"",""พิษณุโลก!J465"")"),0)</f>
        <v>0</v>
      </c>
      <c r="CB22" s="152">
        <f ca="1">IFERROR(__xludf.DUMMYFUNCTION("IMPORTRANGE(""https://docs.google.com/spreadsheets/d/1JtRfZkJMHtEhI5RdRHxYUG4FIZHqKDpNyIuN7A1Q0_k/edit?usp=sharing"",""พิษณุโลก!J466"")"),0)</f>
        <v>0</v>
      </c>
      <c r="CC22" s="152">
        <f ca="1">IFERROR(__xludf.DUMMYFUNCTION("IMPORTRANGE(""https://docs.google.com/spreadsheets/d/1JtRfZkJMHtEhI5RdRHxYUG4FIZHqKDpNyIuN7A1Q0_k/edit?usp=sharing"",""พิษณุโลก!J467"")"),27)</f>
        <v>27</v>
      </c>
      <c r="CD22" s="152">
        <f ca="1">IFERROR(__xludf.DUMMYFUNCTION("IMPORTRANGE(""https://docs.google.com/spreadsheets/d/1JtRfZkJMHtEhI5RdRHxYUG4FIZHqKDpNyIuN7A1Q0_k/edit?usp=sharing"",""พิษณุโลก!J468"")"),1)</f>
        <v>1</v>
      </c>
      <c r="CE22" s="152">
        <f ca="1">IFERROR(__xludf.DUMMYFUNCTION("IMPORTRANGE(""https://docs.google.com/spreadsheets/d/1JtRfZkJMHtEhI5RdRHxYUG4FIZHqKDpNyIuN7A1Q0_k/edit?usp=sharing"",""พิษณุโลก!J469"")"),27)</f>
        <v>27</v>
      </c>
      <c r="CF22" s="152">
        <f ca="1">IFERROR(__xludf.DUMMYFUNCTION("IMPORTRANGE(""https://docs.google.com/spreadsheets/d/1JtRfZkJMHtEhI5RdRHxYUG4FIZHqKDpNyIuN7A1Q0_k/edit?usp=sharing"",""พิษณุโลก!J470"")"),1)</f>
        <v>1</v>
      </c>
      <c r="CG22" s="152">
        <f ca="1">IFERROR(__xludf.DUMMYFUNCTION("IMPORTRANGE(""https://docs.google.com/spreadsheets/d/1JtRfZkJMHtEhI5RdRHxYUG4FIZHqKDpNyIuN7A1Q0_k/edit?usp=sharing"",""พิษณุโลก!J471"")"),0)</f>
        <v>0</v>
      </c>
      <c r="CH22" s="152">
        <f ca="1">IFERROR(__xludf.DUMMYFUNCTION("IMPORTRANGE(""https://docs.google.com/spreadsheets/d/1JtRfZkJMHtEhI5RdRHxYUG4FIZHqKDpNyIuN7A1Q0_k/edit?usp=sharing"",""พิษณุโลก!J472"")"),0)</f>
        <v>0</v>
      </c>
      <c r="CI22" s="152">
        <f ca="1">IFERROR(__xludf.DUMMYFUNCTION("IMPORTRANGE(""https://docs.google.com/spreadsheets/d/1JtRfZkJMHtEhI5RdRHxYUG4FIZHqKDpNyIuN7A1Q0_k/edit?usp=sharing"",""พิษณุโลก!J473"")"),54)</f>
        <v>54</v>
      </c>
      <c r="CJ22" s="152">
        <f ca="1">IFERROR(__xludf.DUMMYFUNCTION("IMPORTRANGE(""https://docs.google.com/spreadsheets/d/1JtRfZkJMHtEhI5RdRHxYUG4FIZHqKDpNyIuN7A1Q0_k/edit?usp=sharing"",""พิษณุโลก!J474"")"),2)</f>
        <v>2</v>
      </c>
      <c r="CK22" s="278">
        <f ca="1">IFERROR(__xludf.DUMMYFUNCTION("IMPORTRANGE(""https://docs.google.com/spreadsheets/d/1JtRfZkJMHtEhI5RdRHxYUG4FIZHqKDpNyIuN7A1Q0_k/edit?usp=sharing"",""พิษณุโลก!I476"")"),0)</f>
        <v>0</v>
      </c>
      <c r="CL22" s="278">
        <f ca="1">IFERROR(__xludf.DUMMYFUNCTION("IMPORTRANGE(""https://docs.google.com/spreadsheets/d/1JtRfZkJMHtEhI5RdRHxYUG4FIZHqKDpNyIuN7A1Q0_k/edit?usp=sharing"",""พิษณุโลก!I477"")"),0)</f>
        <v>0</v>
      </c>
      <c r="CM22" s="278">
        <f ca="1">IFERROR(__xludf.DUMMYFUNCTION("IMPORTRANGE(""https://docs.google.com/spreadsheets/d/1JtRfZkJMHtEhI5RdRHxYUG4FIZHqKDpNyIuN7A1Q0_k/edit?usp=sharing"",""พิษณุโลก!J476"")"),0)</f>
        <v>0</v>
      </c>
      <c r="CN22" s="216">
        <f t="shared" ca="1" si="68"/>
        <v>0</v>
      </c>
      <c r="CO22" s="278">
        <f ca="1">IFERROR(__xludf.DUMMYFUNCTION("IMPORTRANGE(""https://docs.google.com/spreadsheets/d/1JtRfZkJMHtEhI5RdRHxYUG4FIZHqKDpNyIuN7A1Q0_k/edit?usp=sharing"",""พิษณุโลก!J477"")"),0)</f>
        <v>0</v>
      </c>
      <c r="CP22" s="216">
        <f t="shared" ca="1" si="69"/>
        <v>0</v>
      </c>
      <c r="CQ22" s="278">
        <f ca="1">IFERROR(__xludf.DUMMYFUNCTION("IMPORTRANGE(""https://docs.google.com/spreadsheets/d/1JtRfZkJMHtEhI5RdRHxYUG4FIZHqKDpNyIuN7A1Q0_k/edit?usp=sharing"",""พิษณุโลก!J478"")"),0)</f>
        <v>0</v>
      </c>
      <c r="CR22" s="278">
        <f ca="1">IFERROR(__xludf.DUMMYFUNCTION("IMPORTRANGE(""https://docs.google.com/spreadsheets/d/1JtRfZkJMHtEhI5RdRHxYUG4FIZHqKDpNyIuN7A1Q0_k/edit?usp=sharing"",""พิษณุโลก!J479"")"),0)</f>
        <v>0</v>
      </c>
      <c r="CS22" s="278">
        <f ca="1">IFERROR(__xludf.DUMMYFUNCTION("IMPORTRANGE(""https://docs.google.com/spreadsheets/d/1JtRfZkJMHtEhI5RdRHxYUG4FIZHqKDpNyIuN7A1Q0_k/edit?usp=sharing"",""พิษณุโลก!J480"")"),0)</f>
        <v>0</v>
      </c>
      <c r="CT22" s="278">
        <f ca="1">IFERROR(__xludf.DUMMYFUNCTION("IMPORTRANGE(""https://docs.google.com/spreadsheets/d/1JtRfZkJMHtEhI5RdRHxYUG4FIZHqKDpNyIuN7A1Q0_k/edit?usp=sharing"",""พิษณุโลก!J481"")"),0)</f>
        <v>0</v>
      </c>
      <c r="CU22" s="278">
        <f ca="1">IFERROR(__xludf.DUMMYFUNCTION("IMPORTRANGE(""https://docs.google.com/spreadsheets/d/1JtRfZkJMHtEhI5RdRHxYUG4FIZHqKDpNyIuN7A1Q0_k/edit?usp=sharing"",""พิษณุโลก!I484"")"),0)</f>
        <v>0</v>
      </c>
      <c r="CV22" s="278">
        <f ca="1">IFERROR(__xludf.DUMMYFUNCTION("IMPORTRANGE(""https://docs.google.com/spreadsheets/d/1JtRfZkJMHtEhI5RdRHxYUG4FIZHqKDpNyIuN7A1Q0_k/edit?usp=sharing"",""พิษณุโลก!I485"")"),0)</f>
        <v>0</v>
      </c>
      <c r="CW22" s="278">
        <f ca="1">IFERROR(__xludf.DUMMYFUNCTION("IMPORTRANGE(""https://docs.google.com/spreadsheets/d/1JtRfZkJMHtEhI5RdRHxYUG4FIZHqKDpNyIuN7A1Q0_k/edit?usp=sharing"",""พิษณุโลก!J484"")"),0)</f>
        <v>0</v>
      </c>
      <c r="CX22" s="216">
        <f t="shared" ca="1" si="71"/>
        <v>0</v>
      </c>
      <c r="CY22" s="278">
        <f ca="1">IFERROR(__xludf.DUMMYFUNCTION("IMPORTRANGE(""https://docs.google.com/spreadsheets/d/1JtRfZkJMHtEhI5RdRHxYUG4FIZHqKDpNyIuN7A1Q0_k/edit?usp=sharing"",""พิษณุโลก!J485"")"),0)</f>
        <v>0</v>
      </c>
      <c r="CZ22" s="216">
        <f t="shared" ca="1" si="72"/>
        <v>0</v>
      </c>
      <c r="DA22" s="278">
        <f ca="1">IFERROR(__xludf.DUMMYFUNCTION("IMPORTRANGE(""https://docs.google.com/spreadsheets/d/1JtRfZkJMHtEhI5RdRHxYUG4FIZHqKDpNyIuN7A1Q0_k/edit?usp=sharing"",""พิษณุโลก!J486"")"),0)</f>
        <v>0</v>
      </c>
      <c r="DB22" s="278">
        <f ca="1">IFERROR(__xludf.DUMMYFUNCTION("IMPORTRANGE(""https://docs.google.com/spreadsheets/d/1JtRfZkJMHtEhI5RdRHxYUG4FIZHqKDpNyIuN7A1Q0_k/edit?usp=sharing"",""พิษณุโลก!J487"")"),0)</f>
        <v>0</v>
      </c>
      <c r="DC22" s="278">
        <f ca="1">IFERROR(__xludf.DUMMYFUNCTION("IMPORTRANGE(""https://docs.google.com/spreadsheets/d/1JtRfZkJMHtEhI5RdRHxYUG4FIZHqKDpNyIuN7A1Q0_k/edit?usp=sharing"",""พิษณุโลก!J488"")"),0)</f>
        <v>0</v>
      </c>
      <c r="DD22" s="278">
        <f ca="1">IFERROR(__xludf.DUMMYFUNCTION("IMPORTRANGE(""https://docs.google.com/spreadsheets/d/1JtRfZkJMHtEhI5RdRHxYUG4FIZHqKDpNyIuN7A1Q0_k/edit?usp=sharing"",""พิษณุโลก!J489"")"),0)</f>
        <v>0</v>
      </c>
      <c r="DE22" s="278">
        <f ca="1">IFERROR(__xludf.DUMMYFUNCTION("IMPORTRANGE(""https://docs.google.com/spreadsheets/d/1JtRfZkJMHtEhI5RdRHxYUG4FIZHqKDpNyIuN7A1Q0_k/edit?usp=sharing"",""พิษณุโลก!J490"")"),0)</f>
        <v>0</v>
      </c>
      <c r="DF22" s="278">
        <f ca="1">IFERROR(__xludf.DUMMYFUNCTION("IMPORTRANGE(""https://docs.google.com/spreadsheets/d/1JtRfZkJMHtEhI5RdRHxYUG4FIZHqKDpNyIuN7A1Q0_k/edit?usp=sharing"",""พิษณุโลก!J491"")"),0)</f>
        <v>0</v>
      </c>
    </row>
    <row r="23" spans="1:110" ht="19.5" x14ac:dyDescent="0.3">
      <c r="A23" s="147">
        <v>10</v>
      </c>
      <c r="B23" s="148" t="s">
        <v>51</v>
      </c>
      <c r="C23" s="566">
        <f t="shared" ca="1" si="44"/>
        <v>617840</v>
      </c>
      <c r="D23" s="567">
        <f t="shared" ca="1" si="74"/>
        <v>617840</v>
      </c>
      <c r="E23" s="329">
        <f ca="1">IFERROR(__xludf.DUMMYFUNCTION("IMPORTRANGE(""https://docs.google.com/spreadsheets/d/1-uDff_7J0KD5mKrp0Vvzr7lt3OU09vwQwhkpOPPYv2Y/edit?usp=sharing"",""งบพรบ!IP23"")"),128000)</f>
        <v>128000</v>
      </c>
      <c r="F23" s="329">
        <f ca="1">IFERROR(__xludf.DUMMYFUNCTION("IMPORTRANGE(""https://docs.google.com/spreadsheets/d/1-uDff_7J0KD5mKrp0Vvzr7lt3OU09vwQwhkpOPPYv2Y/edit?usp=sharing"",""งบพรบ!IQ23"")"),489840)</f>
        <v>489840</v>
      </c>
      <c r="G23" s="329">
        <f ca="1">IFERROR(__xludf.DUMMYFUNCTION("IMPORTRANGE(""https://docs.google.com/spreadsheets/d/1-uDff_7J0KD5mKrp0Vvzr7lt3OU09vwQwhkpOPPYv2Y/edit?usp=sharing"",""งบพรบ!IR23"")"),0)</f>
        <v>0</v>
      </c>
      <c r="H23" s="329">
        <f ca="1">IFERROR(__xludf.DUMMYFUNCTION("IMPORTRANGE(""https://docs.google.com/spreadsheets/d/1-uDff_7J0KD5mKrp0Vvzr7lt3OU09vwQwhkpOPPYv2Y/edit?usp=sharing"",""งบพรบ!IT23"")"),617840)</f>
        <v>617840</v>
      </c>
      <c r="I23" s="329">
        <f ca="1">IFERROR(__xludf.DUMMYFUNCTION("IMPORTRANGE(""https://docs.google.com/spreadsheets/d/1-uDff_7J0KD5mKrp0Vvzr7lt3OU09vwQwhkpOPPYv2Y/edit?usp=sharing"",""งบพรบ!IU23"")"),0)</f>
        <v>0</v>
      </c>
      <c r="J23" s="329">
        <f t="shared" ca="1" si="46"/>
        <v>254567</v>
      </c>
      <c r="K23" s="568">
        <f t="shared" ca="1" si="47"/>
        <v>41.202738573093356</v>
      </c>
      <c r="L23" s="329">
        <f ca="1">IFERROR(__xludf.DUMMYFUNCTION("IMPORTRANGE(""https://docs.google.com/spreadsheets/d/1-uDff_7J0KD5mKrp0Vvzr7lt3OU09vwQwhkpOPPYv2Y/edit?usp=sharing"",""งบพรบ!IV23"")"),254567)</f>
        <v>254567</v>
      </c>
      <c r="M23" s="330">
        <f t="shared" ca="1" si="48"/>
        <v>41.202738573093356</v>
      </c>
      <c r="N23" s="330">
        <f t="shared" ca="1" si="49"/>
        <v>41.202738573093356</v>
      </c>
      <c r="O23" s="569">
        <f ca="1">IFERROR(__xludf.DUMMYFUNCTION("IMPORTRANGE(""https://docs.google.com/spreadsheets/d/1-uDff_7J0KD5mKrp0Vvzr7lt3OU09vwQwhkpOPPYv2Y/edit?usp=sharing"",""งบพรบ!IW23"")"),0)</f>
        <v>0</v>
      </c>
      <c r="P23" s="569">
        <f t="shared" ca="1" si="50"/>
        <v>0</v>
      </c>
      <c r="Q23" s="330">
        <f t="shared" ca="1" si="51"/>
        <v>0</v>
      </c>
      <c r="R23" s="564">
        <f ca="1">IFERROR(__xludf.DUMMYFUNCTION("IMPORTRANGE(""https://docs.google.com/spreadsheets/d/1xlcVZWUNn6SuWm0c307h32SiGkd9BaeQWlAktfD3KO8/edit?usp=sharing"",""เพชรบูรณ์!Q413"")"),122430)</f>
        <v>122430</v>
      </c>
      <c r="S23" s="564">
        <f ca="1">IFERROR(__xludf.DUMMYFUNCTION("IMPORTRANGE(""https://docs.google.com/spreadsheets/d/1xlcVZWUNn6SuWm0c307h32SiGkd9BaeQWlAktfD3KO8/edit?usp=sharing"",""เพชรบูรณ์!R413"")"),122430)</f>
        <v>122430</v>
      </c>
      <c r="T23" s="564">
        <f ca="1">IFERROR(__xludf.DUMMYFUNCTION("IMPORTRANGE(""https://docs.google.com/spreadsheets/d/1xlcVZWUNn6SuWm0c307h32SiGkd9BaeQWlAktfD3KO8/edit?usp=sharing"",""เพชรบูรณ์!S413"")"),20860)</f>
        <v>20860</v>
      </c>
      <c r="U23" s="565">
        <f t="shared" ca="1" si="53"/>
        <v>17.038307604345341</v>
      </c>
      <c r="V23" s="565">
        <f t="shared" ca="1" si="54"/>
        <v>17.038307604345341</v>
      </c>
      <c r="W23" s="397">
        <f ca="1">IFERROR(__xludf.DUMMYFUNCTION("IMPORTRANGE(""https://docs.google.com/spreadsheets/d/1xlcVZWUNn6SuWm0c307h32SiGkd9BaeQWlAktfD3KO8/edit?usp=sharing"",""เพชรบูรณ์!I424"")"),158541)</f>
        <v>158541</v>
      </c>
      <c r="X23" s="397">
        <f ca="1">IFERROR(__xludf.DUMMYFUNCTION("IMPORTRANGE(""https://docs.google.com/spreadsheets/d/1xlcVZWUNn6SuWm0c307h32SiGkd9BaeQWlAktfD3KO8/edit?usp=sharing"",""เพชรบูรณ์!I425"")"),11799)</f>
        <v>11799</v>
      </c>
      <c r="Y23" s="397">
        <f ca="1">IFERROR(__xludf.DUMMYFUNCTION("IMPORTRANGE(""https://docs.google.com/spreadsheets/d/1xlcVZWUNn6SuWm0c307h32SiGkd9BaeQWlAktfD3KO8/edit?usp=sharing"",""เพชรบูรณ์!J424"")"),85540.195)</f>
        <v>85540.195000000007</v>
      </c>
      <c r="Z23" s="216">
        <f t="shared" ca="1" si="56"/>
        <v>53.954620571334857</v>
      </c>
      <c r="AA23" s="397">
        <f ca="1">IFERROR(__xludf.DUMMYFUNCTION("IMPORTRANGE(""https://docs.google.com/spreadsheets/d/1xlcVZWUNn6SuWm0c307h32SiGkd9BaeQWlAktfD3KO8/edit?usp=sharing"",""เพชรบูรณ์!J425"")"),6909)</f>
        <v>6909</v>
      </c>
      <c r="AB23" s="216">
        <f t="shared" ca="1" si="57"/>
        <v>58.555809814391047</v>
      </c>
      <c r="AC23" s="397">
        <f ca="1">IFERROR(__xludf.DUMMYFUNCTION("IMPORTRANGE(""https://docs.google.com/spreadsheets/d/1xlcVZWUNn6SuWm0c307h32SiGkd9BaeQWlAktfD3KO8/edit?usp=sharing"",""เพชรบูรณ์!J426"")"),45422.0775)</f>
        <v>45422.077499999999</v>
      </c>
      <c r="AD23" s="397">
        <f ca="1">IFERROR(__xludf.DUMMYFUNCTION("IMPORTRANGE(""https://docs.google.com/spreadsheets/d/1xlcVZWUNn6SuWm0c307h32SiGkd9BaeQWlAktfD3KO8/edit?usp=sharing"",""เพชรบูรณ์!J427"")"),4193)</f>
        <v>4193</v>
      </c>
      <c r="AE23" s="397">
        <f ca="1">IFERROR(__xludf.DUMMYFUNCTION("IMPORTRANGE(""https://docs.google.com/spreadsheets/d/1xlcVZWUNn6SuWm0c307h32SiGkd9BaeQWlAktfD3KO8/edit?usp=sharing"",""เพชรบูรณ์!J428"")"),34911.0225)</f>
        <v>34911.022499999999</v>
      </c>
      <c r="AF23" s="397">
        <f ca="1">IFERROR(__xludf.DUMMYFUNCTION("IMPORTRANGE(""https://docs.google.com/spreadsheets/d/1xlcVZWUNn6SuWm0c307h32SiGkd9BaeQWlAktfD3KO8/edit?usp=sharing"",""เพชรบูรณ์!J429"")"),2273)</f>
        <v>2273</v>
      </c>
      <c r="AG23" s="397">
        <f ca="1">IFERROR(__xludf.DUMMYFUNCTION("IMPORTRANGE(""https://docs.google.com/spreadsheets/d/1xlcVZWUNn6SuWm0c307h32SiGkd9BaeQWlAktfD3KO8/edit?usp=sharing"",""เพชรบูรณ์!J430"")"),5207.095)</f>
        <v>5207.0950000000003</v>
      </c>
      <c r="AH23" s="397">
        <f ca="1">IFERROR(__xludf.DUMMYFUNCTION("IMPORTRANGE(""https://docs.google.com/spreadsheets/d/1xlcVZWUNn6SuWm0c307h32SiGkd9BaeQWlAktfD3KO8/edit?usp=sharing"",""เพชรบูรณ์!J431"")"),443)</f>
        <v>443</v>
      </c>
      <c r="AI23" s="152">
        <f ca="1">IFERROR(__xludf.DUMMYFUNCTION("IMPORTRANGE(""https://docs.google.com/spreadsheets/d/1xlcVZWUNn6SuWm0c307h32SiGkd9BaeQWlAktfD3KO8/edit?usp=sharing"",""เพชรบูรณ์!I432"")"),158541)</f>
        <v>158541</v>
      </c>
      <c r="AJ23" s="152">
        <f ca="1">IFERROR(__xludf.DUMMYFUNCTION("IMPORTRANGE(""https://docs.google.com/spreadsheets/d/1xlcVZWUNn6SuWm0c307h32SiGkd9BaeQWlAktfD3KO8/edit?usp=sharing"",""เพชรบูรณ์!I433"")"),11799)</f>
        <v>11799</v>
      </c>
      <c r="AK23" s="216">
        <f ca="1">IFERROR(__xludf.DUMMYFUNCTION("IMPORTRANGE(""https://docs.google.com/spreadsheets/d/1xlcVZWUNn6SuWm0c307h32SiGkd9BaeQWlAktfD3KO8/edit?usp=sharing"",""เพชรบูรณ์!J432"")"),0)</f>
        <v>0</v>
      </c>
      <c r="AL23" s="216">
        <f t="shared" ca="1" si="59"/>
        <v>0</v>
      </c>
      <c r="AM23" s="152">
        <f ca="1">IFERROR(__xludf.DUMMYFUNCTION("IMPORTRANGE(""https://docs.google.com/spreadsheets/d/1xlcVZWUNn6SuWm0c307h32SiGkd9BaeQWlAktfD3KO8/edit?usp=sharing"",""เพชรบูรณ์!J433"")"),0)</f>
        <v>0</v>
      </c>
      <c r="AN23" s="216">
        <f t="shared" ca="1" si="60"/>
        <v>0</v>
      </c>
      <c r="AO23" s="152">
        <f ca="1">IFERROR(__xludf.DUMMYFUNCTION("IMPORTRANGE(""https://docs.google.com/spreadsheets/d/1xlcVZWUNn6SuWm0c307h32SiGkd9BaeQWlAktfD3KO8/edit?usp=sharing"",""เพชรบูรณ์!J434"")"),0)</f>
        <v>0</v>
      </c>
      <c r="AP23" s="152">
        <f ca="1">IFERROR(__xludf.DUMMYFUNCTION("IMPORTRANGE(""https://docs.google.com/spreadsheets/d/1xlcVZWUNn6SuWm0c307h32SiGkd9BaeQWlAktfD3KO8/edit?usp=sharing"",""เพชรบูรณ์!J435"")"),0)</f>
        <v>0</v>
      </c>
      <c r="AQ23" s="152">
        <f ca="1">IFERROR(__xludf.DUMMYFUNCTION("IMPORTRANGE(""https://docs.google.com/spreadsheets/d/1xlcVZWUNn6SuWm0c307h32SiGkd9BaeQWlAktfD3KO8/edit?usp=sharing"",""เพชรบูรณ์!J436"")"),0)</f>
        <v>0</v>
      </c>
      <c r="AR23" s="152">
        <f ca="1">IFERROR(__xludf.DUMMYFUNCTION("IMPORTRANGE(""https://docs.google.com/spreadsheets/d/1xlcVZWUNn6SuWm0c307h32SiGkd9BaeQWlAktfD3KO8/edit?usp=sharing"",""เพชรบูรณ์!J437"")"),0)</f>
        <v>0</v>
      </c>
      <c r="AS23" s="152">
        <f ca="1">IFERROR(__xludf.DUMMYFUNCTION("IMPORTRANGE(""https://docs.google.com/spreadsheets/d/1xlcVZWUNn6SuWm0c307h32SiGkd9BaeQWlAktfD3KO8/edit?usp=sharing"",""เพชรบูรณ์!J438"")"),0)</f>
        <v>0</v>
      </c>
      <c r="AT23" s="152">
        <f ca="1">IFERROR(__xludf.DUMMYFUNCTION("IMPORTRANGE(""https://docs.google.com/spreadsheets/d/1xlcVZWUNn6SuWm0c307h32SiGkd9BaeQWlAktfD3KO8/edit?usp=sharing"",""เพชรบูรณ์!J439"")"),0)</f>
        <v>0</v>
      </c>
      <c r="AU23" s="152">
        <f ca="1">IFERROR(__xludf.DUMMYFUNCTION("IMPORTRANGE(""https://docs.google.com/spreadsheets/d/1xlcVZWUNn6SuWm0c307h32SiGkd9BaeQWlAktfD3KO8/edit?usp=sharing"",""เพชรบูรณ์!I440"")"),158541)</f>
        <v>158541</v>
      </c>
      <c r="AV23" s="152">
        <f ca="1">IFERROR(__xludf.DUMMYFUNCTION("IMPORTRANGE(""https://docs.google.com/spreadsheets/d/1xlcVZWUNn6SuWm0c307h32SiGkd9BaeQWlAktfD3KO8/edit?usp=sharing"",""เพชรบูรณ์!I441"")"),11799)</f>
        <v>11799</v>
      </c>
      <c r="AW23" s="152">
        <f ca="1">IFERROR(__xludf.DUMMYFUNCTION("IMPORTRANGE(""https://docs.google.com/spreadsheets/d/1xlcVZWUNn6SuWm0c307h32SiGkd9BaeQWlAktfD3KO8/edit?usp=sharing"",""เพชรบูรณ์!J440"")"),0)</f>
        <v>0</v>
      </c>
      <c r="AX23" s="216">
        <f t="shared" ca="1" si="62"/>
        <v>0</v>
      </c>
      <c r="AY23" s="152">
        <f ca="1">IFERROR(__xludf.DUMMYFUNCTION("IMPORTRANGE(""https://docs.google.com/spreadsheets/d/1xlcVZWUNn6SuWm0c307h32SiGkd9BaeQWlAktfD3KO8/edit?usp=sharing"",""เพชรบูรณ์!J441"")"),0)</f>
        <v>0</v>
      </c>
      <c r="AZ23" s="216">
        <f t="shared" ca="1" si="63"/>
        <v>0</v>
      </c>
      <c r="BA23" s="152">
        <f ca="1">IFERROR(__xludf.DUMMYFUNCTION("IMPORTRANGE(""https://docs.google.com/spreadsheets/d/1xlcVZWUNn6SuWm0c307h32SiGkd9BaeQWlAktfD3KO8/edit?usp=sharing"",""เพชรบูรณ์!J442"")"),0)</f>
        <v>0</v>
      </c>
      <c r="BB23" s="152">
        <f ca="1">IFERROR(__xludf.DUMMYFUNCTION("IMPORTRANGE(""https://docs.google.com/spreadsheets/d/1xlcVZWUNn6SuWm0c307h32SiGkd9BaeQWlAktfD3KO8/edit?usp=sharing"",""เพชรบูรณ์!J443"")"),0)</f>
        <v>0</v>
      </c>
      <c r="BC23" s="152">
        <f ca="1">IFERROR(__xludf.DUMMYFUNCTION("IMPORTRANGE(""https://docs.google.com/spreadsheets/d/1xlcVZWUNn6SuWm0c307h32SiGkd9BaeQWlAktfD3KO8/edit?usp=sharing"",""เพชรบูรณ์!J444"")"),0)</f>
        <v>0</v>
      </c>
      <c r="BD23" s="152">
        <f ca="1">IFERROR(__xludf.DUMMYFUNCTION("IMPORTRANGE(""https://docs.google.com/spreadsheets/d/1xlcVZWUNn6SuWm0c307h32SiGkd9BaeQWlAktfD3KO8/edit?usp=sharing"",""เพชรบูรณ์!J445"")"),0)</f>
        <v>0</v>
      </c>
      <c r="BE23" s="152">
        <f ca="1">IFERROR(__xludf.DUMMYFUNCTION("IMPORTRANGE(""https://docs.google.com/spreadsheets/d/1xlcVZWUNn6SuWm0c307h32SiGkd9BaeQWlAktfD3KO8/edit?usp=sharing"",""เพชรบูรณ์!J446"")"),0)</f>
        <v>0</v>
      </c>
      <c r="BF23" s="152">
        <f ca="1">IFERROR(__xludf.DUMMYFUNCTION("IMPORTRANGE(""https://docs.google.com/spreadsheets/d/1xlcVZWUNn6SuWm0c307h32SiGkd9BaeQWlAktfD3KO8/edit?usp=sharing"",""เพชรบูรณ์!J447"")"),0)</f>
        <v>0</v>
      </c>
      <c r="BG23" s="152">
        <f ca="1">IFERROR(__xludf.DUMMYFUNCTION("IMPORTRANGE(""https://docs.google.com/spreadsheets/d/1xlcVZWUNn6SuWm0c307h32SiGkd9BaeQWlAktfD3KO8/edit?usp=sharing"",""เพชรบูรณ์!J448"")"),0)</f>
        <v>0</v>
      </c>
      <c r="BH23" s="152">
        <f ca="1">IFERROR(__xludf.DUMMYFUNCTION("IMPORTRANGE(""https://docs.google.com/spreadsheets/d/1xlcVZWUNn6SuWm0c307h32SiGkd9BaeQWlAktfD3KO8/edit?usp=sharing"",""เพชรบูรณ์!J449"")"),0)</f>
        <v>0</v>
      </c>
      <c r="BI23" s="152">
        <f ca="1">IFERROR(__xludf.DUMMYFUNCTION("IMPORTRANGE(""https://docs.google.com/spreadsheets/d/1xlcVZWUNn6SuWm0c307h32SiGkd9BaeQWlAktfD3KO8/edit?usp=sharing"",""เพชรบูรณ์!J450"")"),0)</f>
        <v>0</v>
      </c>
      <c r="BJ23" s="152">
        <f ca="1">IFERROR(__xludf.DUMMYFUNCTION("IMPORTRANGE(""https://docs.google.com/spreadsheets/d/1xlcVZWUNn6SuWm0c307h32SiGkd9BaeQWlAktfD3KO8/edit?usp=sharing"",""เพชรบูรณ์!J451"")"),0)</f>
        <v>0</v>
      </c>
      <c r="BK23" s="152">
        <f ca="1">IFERROR(__xludf.DUMMYFUNCTION("IMPORTRANGE(""https://docs.google.com/spreadsheets/d/1xlcVZWUNn6SuWm0c307h32SiGkd9BaeQWlAktfD3KO8/edit?usp=sharing"",""เพชรบูรณ์!J452"")"),0)</f>
        <v>0</v>
      </c>
      <c r="BL23" s="152">
        <f ca="1">IFERROR(__xludf.DUMMYFUNCTION("IMPORTRANGE(""https://docs.google.com/spreadsheets/d/1xlcVZWUNn6SuWm0c307h32SiGkd9BaeQWlAktfD3KO8/edit?usp=sharing"",""เพชรบูรณ์!J453"")"),0)</f>
        <v>0</v>
      </c>
      <c r="BM23" s="152">
        <f ca="1">IFERROR(__xludf.DUMMYFUNCTION("IMPORTRANGE(""https://docs.google.com/spreadsheets/d/1xlcVZWUNn6SuWm0c307h32SiGkd9BaeQWlAktfD3KO8/edit?usp=sharing"",""เพชรบูรณ์!J454"")"),0)</f>
        <v>0</v>
      </c>
      <c r="BN23" s="152">
        <f ca="1">IFERROR(__xludf.DUMMYFUNCTION("IMPORTRANGE(""https://docs.google.com/spreadsheets/d/1xlcVZWUNn6SuWm0c307h32SiGkd9BaeQWlAktfD3KO8/edit?usp=sharing"",""เพชรบูรณ์!J455"")"),0)</f>
        <v>0</v>
      </c>
      <c r="BO23" s="152">
        <f ca="1">IFERROR(__xludf.DUMMYFUNCTION("IMPORTRANGE(""https://docs.google.com/spreadsheets/d/1xlcVZWUNn6SuWm0c307h32SiGkd9BaeQWlAktfD3KO8/edit?usp=sharing"",""เพชรบูรณ์!I457"")"),5304.29)</f>
        <v>5304.29</v>
      </c>
      <c r="BP23" s="152">
        <f ca="1">IFERROR(__xludf.DUMMYFUNCTION("IMPORTRANGE(""https://docs.google.com/spreadsheets/d/1xlcVZWUNn6SuWm0c307h32SiGkd9BaeQWlAktfD3KO8/edit?usp=sharing"",""เพชรบูรณ์!I458"")"),240)</f>
        <v>240</v>
      </c>
      <c r="BQ23" s="152">
        <f ca="1">IFERROR(__xludf.DUMMYFUNCTION("IMPORTRANGE(""https://docs.google.com/spreadsheets/d/1xlcVZWUNn6SuWm0c307h32SiGkd9BaeQWlAktfD3KO8/edit?usp=sharing"",""เพชรบูรณ์!J457"")"),0)</f>
        <v>0</v>
      </c>
      <c r="BR23" s="216">
        <f t="shared" ca="1" si="65"/>
        <v>0</v>
      </c>
      <c r="BS23" s="152">
        <f ca="1">IFERROR(__xludf.DUMMYFUNCTION("IMPORTRANGE(""https://docs.google.com/spreadsheets/d/1xlcVZWUNn6SuWm0c307h32SiGkd9BaeQWlAktfD3KO8/edit?usp=sharing"",""เพชรบูรณ์!J458"")"),0)</f>
        <v>0</v>
      </c>
      <c r="BT23" s="216">
        <f t="shared" ca="1" si="66"/>
        <v>0</v>
      </c>
      <c r="BU23" s="152">
        <f ca="1">IFERROR(__xludf.DUMMYFUNCTION("IMPORTRANGE(""https://docs.google.com/spreadsheets/d/1xlcVZWUNn6SuWm0c307h32SiGkd9BaeQWlAktfD3KO8/edit?usp=sharing"",""เพชรบูรณ์!J459"")"),0)</f>
        <v>0</v>
      </c>
      <c r="BV23" s="152">
        <f ca="1">IFERROR(__xludf.DUMMYFUNCTION("IMPORTRANGE(""https://docs.google.com/spreadsheets/d/1xlcVZWUNn6SuWm0c307h32SiGkd9BaeQWlAktfD3KO8/edit?usp=sharing"",""เพชรบูรณ์!J460"")"),0)</f>
        <v>0</v>
      </c>
      <c r="BW23" s="152">
        <f ca="1">IFERROR(__xludf.DUMMYFUNCTION("IMPORTRANGE(""https://docs.google.com/spreadsheets/d/1xlcVZWUNn6SuWm0c307h32SiGkd9BaeQWlAktfD3KO8/edit?usp=sharing"",""เพชรบูรณ์!J461"")"),0)</f>
        <v>0</v>
      </c>
      <c r="BX23" s="152">
        <f ca="1">IFERROR(__xludf.DUMMYFUNCTION("IMPORTRANGE(""https://docs.google.com/spreadsheets/d/1xlcVZWUNn6SuWm0c307h32SiGkd9BaeQWlAktfD3KO8/edit?usp=sharing"",""เพชรบูรณ์!J462"")"),0)</f>
        <v>0</v>
      </c>
      <c r="BY23" s="152">
        <f ca="1">IFERROR(__xludf.DUMMYFUNCTION("IMPORTRANGE(""https://docs.google.com/spreadsheets/d/1xlcVZWUNn6SuWm0c307h32SiGkd9BaeQWlAktfD3KO8/edit?usp=sharing"",""เพชรบูรณ์!J463"")"),0)</f>
        <v>0</v>
      </c>
      <c r="BZ23" s="152">
        <f ca="1">IFERROR(__xludf.DUMMYFUNCTION("IMPORTRANGE(""https://docs.google.com/spreadsheets/d/1xlcVZWUNn6SuWm0c307h32SiGkd9BaeQWlAktfD3KO8/edit?usp=sharing"",""เพชรบูรณ์!J464"")"),0)</f>
        <v>0</v>
      </c>
      <c r="CA23" s="152">
        <f ca="1">IFERROR(__xludf.DUMMYFUNCTION("IMPORTRANGE(""https://docs.google.com/spreadsheets/d/1xlcVZWUNn6SuWm0c307h32SiGkd9BaeQWlAktfD3KO8/edit?usp=sharing"",""เพชรบูรณ์!J465"")"),0)</f>
        <v>0</v>
      </c>
      <c r="CB23" s="152">
        <f ca="1">IFERROR(__xludf.DUMMYFUNCTION("IMPORTRANGE(""https://docs.google.com/spreadsheets/d/1xlcVZWUNn6SuWm0c307h32SiGkd9BaeQWlAktfD3KO8/edit?usp=sharing"",""เพชรบูรณ์!J466"")"),0)</f>
        <v>0</v>
      </c>
      <c r="CC23" s="152">
        <f ca="1">IFERROR(__xludf.DUMMYFUNCTION("IMPORTRANGE(""https://docs.google.com/spreadsheets/d/1xlcVZWUNn6SuWm0c307h32SiGkd9BaeQWlAktfD3KO8/edit?usp=sharing"",""เพชรบูรณ์!J467"")"),0)</f>
        <v>0</v>
      </c>
      <c r="CD23" s="152">
        <f ca="1">IFERROR(__xludf.DUMMYFUNCTION("IMPORTRANGE(""https://docs.google.com/spreadsheets/d/1xlcVZWUNn6SuWm0c307h32SiGkd9BaeQWlAktfD3KO8/edit?usp=sharing"",""เพชรบูรณ์!J468"")"),0)</f>
        <v>0</v>
      </c>
      <c r="CE23" s="152">
        <f ca="1">IFERROR(__xludf.DUMMYFUNCTION("IMPORTRANGE(""https://docs.google.com/spreadsheets/d/1xlcVZWUNn6SuWm0c307h32SiGkd9BaeQWlAktfD3KO8/edit?usp=sharing"",""เพชรบูรณ์!J469"")"),0)</f>
        <v>0</v>
      </c>
      <c r="CF23" s="152">
        <f ca="1">IFERROR(__xludf.DUMMYFUNCTION("IMPORTRANGE(""https://docs.google.com/spreadsheets/d/1xlcVZWUNn6SuWm0c307h32SiGkd9BaeQWlAktfD3KO8/edit?usp=sharing"",""เพชรบูรณ์!J470"")"),0)</f>
        <v>0</v>
      </c>
      <c r="CG23" s="152">
        <f ca="1">IFERROR(__xludf.DUMMYFUNCTION("IMPORTRANGE(""https://docs.google.com/spreadsheets/d/1xlcVZWUNn6SuWm0c307h32SiGkd9BaeQWlAktfD3KO8/edit?usp=sharing"",""เพชรบูรณ์!J471"")"),0)</f>
        <v>0</v>
      </c>
      <c r="CH23" s="152">
        <f ca="1">IFERROR(__xludf.DUMMYFUNCTION("IMPORTRANGE(""https://docs.google.com/spreadsheets/d/1xlcVZWUNn6SuWm0c307h32SiGkd9BaeQWlAktfD3KO8/edit?usp=sharing"",""เพชรบูรณ์!J472"")"),0)</f>
        <v>0</v>
      </c>
      <c r="CI23" s="152">
        <f ca="1">IFERROR(__xludf.DUMMYFUNCTION("IMPORTRANGE(""https://docs.google.com/spreadsheets/d/1xlcVZWUNn6SuWm0c307h32SiGkd9BaeQWlAktfD3KO8/edit?usp=sharing"",""เพชรบูรณ์!J473"")"),0)</f>
        <v>0</v>
      </c>
      <c r="CJ23" s="152">
        <f ca="1">IFERROR(__xludf.DUMMYFUNCTION("IMPORTRANGE(""https://docs.google.com/spreadsheets/d/1xlcVZWUNn6SuWm0c307h32SiGkd9BaeQWlAktfD3KO8/edit?usp=sharing"",""เพชรบูรณ์!J474"")"),0)</f>
        <v>0</v>
      </c>
      <c r="CK23" s="278">
        <f ca="1">IFERROR(__xludf.DUMMYFUNCTION("IMPORTRANGE(""https://docs.google.com/spreadsheets/d/1xlcVZWUNn6SuWm0c307h32SiGkd9BaeQWlAktfD3KO8/edit?usp=sharing"",""เพชรบูรณ์!I476"")"),0)</f>
        <v>0</v>
      </c>
      <c r="CL23" s="278">
        <f ca="1">IFERROR(__xludf.DUMMYFUNCTION("IMPORTRANGE(""https://docs.google.com/spreadsheets/d/1xlcVZWUNn6SuWm0c307h32SiGkd9BaeQWlAktfD3KO8/edit?usp=sharing"",""เพชรบูรณ์!I477"")"),0)</f>
        <v>0</v>
      </c>
      <c r="CM23" s="278">
        <f ca="1">IFERROR(__xludf.DUMMYFUNCTION("IMPORTRANGE(""https://docs.google.com/spreadsheets/d/1xlcVZWUNn6SuWm0c307h32SiGkd9BaeQWlAktfD3KO8/edit?usp=sharing"",""เพชรบูรณ์!J476"")"),0)</f>
        <v>0</v>
      </c>
      <c r="CN23" s="216">
        <f t="shared" ca="1" si="68"/>
        <v>0</v>
      </c>
      <c r="CO23" s="278">
        <f ca="1">IFERROR(__xludf.DUMMYFUNCTION("IMPORTRANGE(""https://docs.google.com/spreadsheets/d/1xlcVZWUNn6SuWm0c307h32SiGkd9BaeQWlAktfD3KO8/edit?usp=sharing"",""เพชรบูรณ์!J477"")"),0)</f>
        <v>0</v>
      </c>
      <c r="CP23" s="216">
        <f t="shared" ca="1" si="69"/>
        <v>0</v>
      </c>
      <c r="CQ23" s="278">
        <f ca="1">IFERROR(__xludf.DUMMYFUNCTION("IMPORTRANGE(""https://docs.google.com/spreadsheets/d/1xlcVZWUNn6SuWm0c307h32SiGkd9BaeQWlAktfD3KO8/edit?usp=sharing"",""เพชรบูรณ์!J478"")"),0)</f>
        <v>0</v>
      </c>
      <c r="CR23" s="278">
        <f ca="1">IFERROR(__xludf.DUMMYFUNCTION("IMPORTRANGE(""https://docs.google.com/spreadsheets/d/1xlcVZWUNn6SuWm0c307h32SiGkd9BaeQWlAktfD3KO8/edit?usp=sharing"",""เพชรบูรณ์!J479"")"),0)</f>
        <v>0</v>
      </c>
      <c r="CS23" s="278">
        <f ca="1">IFERROR(__xludf.DUMMYFUNCTION("IMPORTRANGE(""https://docs.google.com/spreadsheets/d/1xlcVZWUNn6SuWm0c307h32SiGkd9BaeQWlAktfD3KO8/edit?usp=sharing"",""เพชรบูรณ์!J480"")"),0)</f>
        <v>0</v>
      </c>
      <c r="CT23" s="278">
        <f ca="1">IFERROR(__xludf.DUMMYFUNCTION("IMPORTRANGE(""https://docs.google.com/spreadsheets/d/1xlcVZWUNn6SuWm0c307h32SiGkd9BaeQWlAktfD3KO8/edit?usp=sharing"",""เพชรบูรณ์!J481"")"),0)</f>
        <v>0</v>
      </c>
      <c r="CU23" s="278">
        <f ca="1">IFERROR(__xludf.DUMMYFUNCTION("IMPORTRANGE(""https://docs.google.com/spreadsheets/d/1xlcVZWUNn6SuWm0c307h32SiGkd9BaeQWlAktfD3KO8/edit?usp=sharing"",""เพชรบูรณ์!I484"")"),0)</f>
        <v>0</v>
      </c>
      <c r="CV23" s="278">
        <f ca="1">IFERROR(__xludf.DUMMYFUNCTION("IMPORTRANGE(""https://docs.google.com/spreadsheets/d/1xlcVZWUNn6SuWm0c307h32SiGkd9BaeQWlAktfD3KO8/edit?usp=sharing"",""เพชรบูรณ์!I485"")"),0)</f>
        <v>0</v>
      </c>
      <c r="CW23" s="278">
        <f ca="1">IFERROR(__xludf.DUMMYFUNCTION("IMPORTRANGE(""https://docs.google.com/spreadsheets/d/1xlcVZWUNn6SuWm0c307h32SiGkd9BaeQWlAktfD3KO8/edit?usp=sharing"",""เพชรบูรณ์!J484"")"),0)</f>
        <v>0</v>
      </c>
      <c r="CX23" s="216">
        <f t="shared" ca="1" si="71"/>
        <v>0</v>
      </c>
      <c r="CY23" s="278">
        <f ca="1">IFERROR(__xludf.DUMMYFUNCTION("IMPORTRANGE(""https://docs.google.com/spreadsheets/d/1xlcVZWUNn6SuWm0c307h32SiGkd9BaeQWlAktfD3KO8/edit?usp=sharing"",""เพชรบูรณ์!J485"")"),0)</f>
        <v>0</v>
      </c>
      <c r="CZ23" s="216">
        <f t="shared" ca="1" si="72"/>
        <v>0</v>
      </c>
      <c r="DA23" s="278">
        <f ca="1">IFERROR(__xludf.DUMMYFUNCTION("IMPORTRANGE(""https://docs.google.com/spreadsheets/d/1xlcVZWUNn6SuWm0c307h32SiGkd9BaeQWlAktfD3KO8/edit?usp=sharing"",""เพชรบูรณ์!J486"")"),0)</f>
        <v>0</v>
      </c>
      <c r="DB23" s="278">
        <f ca="1">IFERROR(__xludf.DUMMYFUNCTION("IMPORTRANGE(""https://docs.google.com/spreadsheets/d/1xlcVZWUNn6SuWm0c307h32SiGkd9BaeQWlAktfD3KO8/edit?usp=sharing"",""เพชรบูรณ์!J487"")"),0)</f>
        <v>0</v>
      </c>
      <c r="DC23" s="278">
        <f ca="1">IFERROR(__xludf.DUMMYFUNCTION("IMPORTRANGE(""https://docs.google.com/spreadsheets/d/1xlcVZWUNn6SuWm0c307h32SiGkd9BaeQWlAktfD3KO8/edit?usp=sharing"",""เพชรบูรณ์!J488"")"),0)</f>
        <v>0</v>
      </c>
      <c r="DD23" s="278">
        <f ca="1">IFERROR(__xludf.DUMMYFUNCTION("IMPORTRANGE(""https://docs.google.com/spreadsheets/d/1xlcVZWUNn6SuWm0c307h32SiGkd9BaeQWlAktfD3KO8/edit?usp=sharing"",""เพชรบูรณ์!J489"")"),0)</f>
        <v>0</v>
      </c>
      <c r="DE23" s="278">
        <f ca="1">IFERROR(__xludf.DUMMYFUNCTION("IMPORTRANGE(""https://docs.google.com/spreadsheets/d/1xlcVZWUNn6SuWm0c307h32SiGkd9BaeQWlAktfD3KO8/edit?usp=sharing"",""เพชรบูรณ์!J490"")"),0)</f>
        <v>0</v>
      </c>
      <c r="DF23" s="278">
        <f ca="1">IFERROR(__xludf.DUMMYFUNCTION("IMPORTRANGE(""https://docs.google.com/spreadsheets/d/1xlcVZWUNn6SuWm0c307h32SiGkd9BaeQWlAktfD3KO8/edit?usp=sharing"",""เพชรบูรณ์!J491"")"),0)</f>
        <v>0</v>
      </c>
    </row>
    <row r="24" spans="1:110" ht="19.5" x14ac:dyDescent="0.3">
      <c r="A24" s="147">
        <v>11</v>
      </c>
      <c r="B24" s="148" t="s">
        <v>52</v>
      </c>
      <c r="C24" s="566">
        <f t="shared" ca="1" si="44"/>
        <v>200530</v>
      </c>
      <c r="D24" s="567">
        <f t="shared" ca="1" si="74"/>
        <v>200530</v>
      </c>
      <c r="E24" s="329">
        <f ca="1">IFERROR(__xludf.DUMMYFUNCTION("IMPORTRANGE(""https://docs.google.com/spreadsheets/d/1-uDff_7J0KD5mKrp0Vvzr7lt3OU09vwQwhkpOPPYv2Y/edit?usp=sharing"",""งบพรบ!IP24"")"),44900)</f>
        <v>44900</v>
      </c>
      <c r="F24" s="329">
        <f ca="1">IFERROR(__xludf.DUMMYFUNCTION("IMPORTRANGE(""https://docs.google.com/spreadsheets/d/1-uDff_7J0KD5mKrp0Vvzr7lt3OU09vwQwhkpOPPYv2Y/edit?usp=sharing"",""งบพรบ!IQ24"")"),155630)</f>
        <v>155630</v>
      </c>
      <c r="G24" s="329">
        <f ca="1">IFERROR(__xludf.DUMMYFUNCTION("IMPORTRANGE(""https://docs.google.com/spreadsheets/d/1-uDff_7J0KD5mKrp0Vvzr7lt3OU09vwQwhkpOPPYv2Y/edit?usp=sharing"",""งบพรบ!IR24"")"),0)</f>
        <v>0</v>
      </c>
      <c r="H24" s="329">
        <f ca="1">IFERROR(__xludf.DUMMYFUNCTION("IMPORTRANGE(""https://docs.google.com/spreadsheets/d/1-uDff_7J0KD5mKrp0Vvzr7lt3OU09vwQwhkpOPPYv2Y/edit?usp=sharing"",""งบพรบ!IT24"")"),200530)</f>
        <v>200530</v>
      </c>
      <c r="I24" s="329">
        <f ca="1">IFERROR(__xludf.DUMMYFUNCTION("IMPORTRANGE(""https://docs.google.com/spreadsheets/d/1-uDff_7J0KD5mKrp0Vvzr7lt3OU09vwQwhkpOPPYv2Y/edit?usp=sharing"",""งบพรบ!IU24"")"),0)</f>
        <v>0</v>
      </c>
      <c r="J24" s="329">
        <f t="shared" ca="1" si="46"/>
        <v>33174</v>
      </c>
      <c r="K24" s="568">
        <f t="shared" ca="1" si="47"/>
        <v>16.543160624345486</v>
      </c>
      <c r="L24" s="329">
        <f ca="1">IFERROR(__xludf.DUMMYFUNCTION("IMPORTRANGE(""https://docs.google.com/spreadsheets/d/1-uDff_7J0KD5mKrp0Vvzr7lt3OU09vwQwhkpOPPYv2Y/edit?usp=sharing"",""งบพรบ!IV24"")"),33174)</f>
        <v>33174</v>
      </c>
      <c r="M24" s="330">
        <f t="shared" ca="1" si="48"/>
        <v>16.543160624345486</v>
      </c>
      <c r="N24" s="330">
        <f t="shared" ca="1" si="49"/>
        <v>16.543160624345486</v>
      </c>
      <c r="O24" s="569">
        <f ca="1">IFERROR(__xludf.DUMMYFUNCTION("IMPORTRANGE(""https://docs.google.com/spreadsheets/d/1-uDff_7J0KD5mKrp0Vvzr7lt3OU09vwQwhkpOPPYv2Y/edit?usp=sharing"",""งบพรบ!IW24"")"),0)</f>
        <v>0</v>
      </c>
      <c r="P24" s="569">
        <f t="shared" ca="1" si="50"/>
        <v>0</v>
      </c>
      <c r="Q24" s="330">
        <f t="shared" ca="1" si="51"/>
        <v>0</v>
      </c>
      <c r="R24" s="564">
        <f ca="1">IFERROR(__xludf.DUMMYFUNCTION("IMPORTRANGE(""https://docs.google.com/spreadsheets/d/1lOVebEIsI9qjGXl6EX66luk7wiuP2tBaryw-wKvv4e0/edit?usp=sharing"",""แพร่!Q413"")"),80710)</f>
        <v>80710</v>
      </c>
      <c r="S24" s="564">
        <f ca="1">IFERROR(__xludf.DUMMYFUNCTION("IMPORTRANGE(""https://docs.google.com/spreadsheets/d/1lOVebEIsI9qjGXl6EX66luk7wiuP2tBaryw-wKvv4e0/edit?usp=sharing"",""แพร่!R413"")"),80710)</f>
        <v>80710</v>
      </c>
      <c r="T24" s="564">
        <f ca="1">IFERROR(__xludf.DUMMYFUNCTION("IMPORTRANGE(""https://docs.google.com/spreadsheets/d/1lOVebEIsI9qjGXl6EX66luk7wiuP2tBaryw-wKvv4e0/edit?usp=sharing"",""แพร่!S413"")"),0)</f>
        <v>0</v>
      </c>
      <c r="U24" s="565">
        <f t="shared" ca="1" si="53"/>
        <v>0</v>
      </c>
      <c r="V24" s="565">
        <f t="shared" ca="1" si="54"/>
        <v>0</v>
      </c>
      <c r="W24" s="152">
        <f ca="1">IFERROR(__xludf.DUMMYFUNCTION("IMPORTRANGE(""https://docs.google.com/spreadsheets/d/1lOVebEIsI9qjGXl6EX66luk7wiuP2tBaryw-wKvv4e0/edit?usp=sharing"",""แพร่!I424"")"),6600)</f>
        <v>6600</v>
      </c>
      <c r="X24" s="152">
        <f ca="1">IFERROR(__xludf.DUMMYFUNCTION("IMPORTRANGE(""https://docs.google.com/spreadsheets/d/1lOVebEIsI9qjGXl6EX66luk7wiuP2tBaryw-wKvv4e0/edit?usp=sharing"",""แพร่!I425"")"),1404)</f>
        <v>1404</v>
      </c>
      <c r="Y24" s="152">
        <f ca="1">IFERROR(__xludf.DUMMYFUNCTION("IMPORTRANGE(""https://docs.google.com/spreadsheets/d/1lOVebEIsI9qjGXl6EX66luk7wiuP2tBaryw-wKvv4e0/edit?usp=sharing"",""แพร่!J424"")"),0)</f>
        <v>0</v>
      </c>
      <c r="Z24" s="216">
        <f t="shared" ca="1" si="56"/>
        <v>0</v>
      </c>
      <c r="AA24" s="152">
        <f ca="1">IFERROR(__xludf.DUMMYFUNCTION("IMPORTRANGE(""https://docs.google.com/spreadsheets/d/1lOVebEIsI9qjGXl6EX66luk7wiuP2tBaryw-wKvv4e0/edit?usp=sharing"",""แพร่!J425"")"),0)</f>
        <v>0</v>
      </c>
      <c r="AB24" s="216">
        <f t="shared" ca="1" si="57"/>
        <v>0</v>
      </c>
      <c r="AC24" s="152">
        <f ca="1">IFERROR(__xludf.DUMMYFUNCTION("IMPORTRANGE(""https://docs.google.com/spreadsheets/d/1lOVebEIsI9qjGXl6EX66luk7wiuP2tBaryw-wKvv4e0/edit?usp=sharing"",""แพร่!J426"")"),0)</f>
        <v>0</v>
      </c>
      <c r="AD24" s="152">
        <f ca="1">IFERROR(__xludf.DUMMYFUNCTION("IMPORTRANGE(""https://docs.google.com/spreadsheets/d/1lOVebEIsI9qjGXl6EX66luk7wiuP2tBaryw-wKvv4e0/edit?usp=sharing"",""แพร่!J427"")"),0)</f>
        <v>0</v>
      </c>
      <c r="AE24" s="152">
        <f ca="1">IFERROR(__xludf.DUMMYFUNCTION("IMPORTRANGE(""https://docs.google.com/spreadsheets/d/1lOVebEIsI9qjGXl6EX66luk7wiuP2tBaryw-wKvv4e0/edit?usp=sharing"",""แพร่!J428"")"),0)</f>
        <v>0</v>
      </c>
      <c r="AF24" s="152">
        <f ca="1">IFERROR(__xludf.DUMMYFUNCTION("IMPORTRANGE(""https://docs.google.com/spreadsheets/d/1lOVebEIsI9qjGXl6EX66luk7wiuP2tBaryw-wKvv4e0/edit?usp=sharing"",""แพร่!J429"")"),0)</f>
        <v>0</v>
      </c>
      <c r="AG24" s="152">
        <f ca="1">IFERROR(__xludf.DUMMYFUNCTION("IMPORTRANGE(""https://docs.google.com/spreadsheets/d/1lOVebEIsI9qjGXl6EX66luk7wiuP2tBaryw-wKvv4e0/edit?usp=sharing"",""แพร่!J430"")"),0)</f>
        <v>0</v>
      </c>
      <c r="AH24" s="152">
        <f ca="1">IFERROR(__xludf.DUMMYFUNCTION("IMPORTRANGE(""https://docs.google.com/spreadsheets/d/1lOVebEIsI9qjGXl6EX66luk7wiuP2tBaryw-wKvv4e0/edit?usp=sharing"",""แพร่!J431"")"),0)</f>
        <v>0</v>
      </c>
      <c r="AI24" s="152">
        <f ca="1">IFERROR(__xludf.DUMMYFUNCTION("IMPORTRANGE(""https://docs.google.com/spreadsheets/d/1lOVebEIsI9qjGXl6EX66luk7wiuP2tBaryw-wKvv4e0/edit?usp=sharing"",""แพร่!I432"")"),6600)</f>
        <v>6600</v>
      </c>
      <c r="AJ24" s="152">
        <f ca="1">IFERROR(__xludf.DUMMYFUNCTION("IMPORTRANGE(""https://docs.google.com/spreadsheets/d/1lOVebEIsI9qjGXl6EX66luk7wiuP2tBaryw-wKvv4e0/edit?usp=sharing"",""แพร่!I433"")"),1404)</f>
        <v>1404</v>
      </c>
      <c r="AK24" s="216">
        <f ca="1">IFERROR(__xludf.DUMMYFUNCTION("IMPORTRANGE(""https://docs.google.com/spreadsheets/d/1lOVebEIsI9qjGXl6EX66luk7wiuP2tBaryw-wKvv4e0/edit?usp=sharing"",""แพร่!J432"")"),0)</f>
        <v>0</v>
      </c>
      <c r="AL24" s="216">
        <f t="shared" ca="1" si="59"/>
        <v>0</v>
      </c>
      <c r="AM24" s="152">
        <f ca="1">IFERROR(__xludf.DUMMYFUNCTION("IMPORTRANGE(""https://docs.google.com/spreadsheets/d/1lOVebEIsI9qjGXl6EX66luk7wiuP2tBaryw-wKvv4e0/edit?usp=sharing"",""แพร่!J433"")"),0)</f>
        <v>0</v>
      </c>
      <c r="AN24" s="216">
        <f t="shared" ca="1" si="60"/>
        <v>0</v>
      </c>
      <c r="AO24" s="152">
        <f ca="1">IFERROR(__xludf.DUMMYFUNCTION("IMPORTRANGE(""https://docs.google.com/spreadsheets/d/1lOVebEIsI9qjGXl6EX66luk7wiuP2tBaryw-wKvv4e0/edit?usp=sharing"",""แพร่!J434"")"),0)</f>
        <v>0</v>
      </c>
      <c r="AP24" s="152">
        <f ca="1">IFERROR(__xludf.DUMMYFUNCTION("IMPORTRANGE(""https://docs.google.com/spreadsheets/d/1lOVebEIsI9qjGXl6EX66luk7wiuP2tBaryw-wKvv4e0/edit?usp=sharing"",""แพร่!J435"")"),0)</f>
        <v>0</v>
      </c>
      <c r="AQ24" s="152">
        <f ca="1">IFERROR(__xludf.DUMMYFUNCTION("IMPORTRANGE(""https://docs.google.com/spreadsheets/d/1lOVebEIsI9qjGXl6EX66luk7wiuP2tBaryw-wKvv4e0/edit?usp=sharing"",""แพร่!J436"")"),0)</f>
        <v>0</v>
      </c>
      <c r="AR24" s="152">
        <f ca="1">IFERROR(__xludf.DUMMYFUNCTION("IMPORTRANGE(""https://docs.google.com/spreadsheets/d/1lOVebEIsI9qjGXl6EX66luk7wiuP2tBaryw-wKvv4e0/edit?usp=sharing"",""แพร่!J437"")"),0)</f>
        <v>0</v>
      </c>
      <c r="AS24" s="152">
        <f ca="1">IFERROR(__xludf.DUMMYFUNCTION("IMPORTRANGE(""https://docs.google.com/spreadsheets/d/1lOVebEIsI9qjGXl6EX66luk7wiuP2tBaryw-wKvv4e0/edit?usp=sharing"",""แพร่!J438"")"),0)</f>
        <v>0</v>
      </c>
      <c r="AT24" s="152">
        <f ca="1">IFERROR(__xludf.DUMMYFUNCTION("IMPORTRANGE(""https://docs.google.com/spreadsheets/d/1lOVebEIsI9qjGXl6EX66luk7wiuP2tBaryw-wKvv4e0/edit?usp=sharing"",""แพร่!J439"")"),0)</f>
        <v>0</v>
      </c>
      <c r="AU24" s="152">
        <f ca="1">IFERROR(__xludf.DUMMYFUNCTION("IMPORTRANGE(""https://docs.google.com/spreadsheets/d/1lOVebEIsI9qjGXl6EX66luk7wiuP2tBaryw-wKvv4e0/edit?usp=sharing"",""แพร่!I440"")"),6600)</f>
        <v>6600</v>
      </c>
      <c r="AV24" s="152">
        <f ca="1">IFERROR(__xludf.DUMMYFUNCTION("IMPORTRANGE(""https://docs.google.com/spreadsheets/d/1lOVebEIsI9qjGXl6EX66luk7wiuP2tBaryw-wKvv4e0/edit?usp=sharing"",""แพร่!I441"")"),1404)</f>
        <v>1404</v>
      </c>
      <c r="AW24" s="152">
        <f ca="1">IFERROR(__xludf.DUMMYFUNCTION("IMPORTRANGE(""https://docs.google.com/spreadsheets/d/1lOVebEIsI9qjGXl6EX66luk7wiuP2tBaryw-wKvv4e0/edit?usp=sharing"",""แพร่!J440"")"),0)</f>
        <v>0</v>
      </c>
      <c r="AX24" s="216">
        <f t="shared" ca="1" si="62"/>
        <v>0</v>
      </c>
      <c r="AY24" s="152">
        <f ca="1">IFERROR(__xludf.DUMMYFUNCTION("IMPORTRANGE(""https://docs.google.com/spreadsheets/d/1lOVebEIsI9qjGXl6EX66luk7wiuP2tBaryw-wKvv4e0/edit?usp=sharing"",""แพร่!J441"")"),0)</f>
        <v>0</v>
      </c>
      <c r="AZ24" s="216">
        <f t="shared" ca="1" si="63"/>
        <v>0</v>
      </c>
      <c r="BA24" s="152">
        <f ca="1">IFERROR(__xludf.DUMMYFUNCTION("IMPORTRANGE(""https://docs.google.com/spreadsheets/d/1lOVebEIsI9qjGXl6EX66luk7wiuP2tBaryw-wKvv4e0/edit?usp=sharing"",""แพร่!J442"")"),0)</f>
        <v>0</v>
      </c>
      <c r="BB24" s="152">
        <f ca="1">IFERROR(__xludf.DUMMYFUNCTION("IMPORTRANGE(""https://docs.google.com/spreadsheets/d/1lOVebEIsI9qjGXl6EX66luk7wiuP2tBaryw-wKvv4e0/edit?usp=sharing"",""แพร่!J443"")"),0)</f>
        <v>0</v>
      </c>
      <c r="BC24" s="152">
        <f ca="1">IFERROR(__xludf.DUMMYFUNCTION("IMPORTRANGE(""https://docs.google.com/spreadsheets/d/1lOVebEIsI9qjGXl6EX66luk7wiuP2tBaryw-wKvv4e0/edit?usp=sharing"",""แพร่!J444"")"),0)</f>
        <v>0</v>
      </c>
      <c r="BD24" s="152">
        <f ca="1">IFERROR(__xludf.DUMMYFUNCTION("IMPORTRANGE(""https://docs.google.com/spreadsheets/d/1lOVebEIsI9qjGXl6EX66luk7wiuP2tBaryw-wKvv4e0/edit?usp=sharing"",""แพร่!J445"")"),0)</f>
        <v>0</v>
      </c>
      <c r="BE24" s="152">
        <f ca="1">IFERROR(__xludf.DUMMYFUNCTION("IMPORTRANGE(""https://docs.google.com/spreadsheets/d/1lOVebEIsI9qjGXl6EX66luk7wiuP2tBaryw-wKvv4e0/edit?usp=sharing"",""แพร่!J446"")"),0)</f>
        <v>0</v>
      </c>
      <c r="BF24" s="152">
        <f ca="1">IFERROR(__xludf.DUMMYFUNCTION("IMPORTRANGE(""https://docs.google.com/spreadsheets/d/1lOVebEIsI9qjGXl6EX66luk7wiuP2tBaryw-wKvv4e0/edit?usp=sharing"",""แพร่!J447"")"),0)</f>
        <v>0</v>
      </c>
      <c r="BG24" s="152">
        <f ca="1">IFERROR(__xludf.DUMMYFUNCTION("IMPORTRANGE(""https://docs.google.com/spreadsheets/d/1lOVebEIsI9qjGXl6EX66luk7wiuP2tBaryw-wKvv4e0/edit?usp=sharing"",""แพร่!J448"")"),0)</f>
        <v>0</v>
      </c>
      <c r="BH24" s="152">
        <f ca="1">IFERROR(__xludf.DUMMYFUNCTION("IMPORTRANGE(""https://docs.google.com/spreadsheets/d/1lOVebEIsI9qjGXl6EX66luk7wiuP2tBaryw-wKvv4e0/edit?usp=sharing"",""แพร่!J449"")"),0)</f>
        <v>0</v>
      </c>
      <c r="BI24" s="152">
        <f ca="1">IFERROR(__xludf.DUMMYFUNCTION("IMPORTRANGE(""https://docs.google.com/spreadsheets/d/1lOVebEIsI9qjGXl6EX66luk7wiuP2tBaryw-wKvv4e0/edit?usp=sharing"",""แพร่!J450"")"),0)</f>
        <v>0</v>
      </c>
      <c r="BJ24" s="152">
        <f ca="1">IFERROR(__xludf.DUMMYFUNCTION("IMPORTRANGE(""https://docs.google.com/spreadsheets/d/1lOVebEIsI9qjGXl6EX66luk7wiuP2tBaryw-wKvv4e0/edit?usp=sharing"",""แพร่!J451"")"),0)</f>
        <v>0</v>
      </c>
      <c r="BK24" s="152">
        <f ca="1">IFERROR(__xludf.DUMMYFUNCTION("IMPORTRANGE(""https://docs.google.com/spreadsheets/d/1lOVebEIsI9qjGXl6EX66luk7wiuP2tBaryw-wKvv4e0/edit?usp=sharing"",""แพร่!J452"")"),0)</f>
        <v>0</v>
      </c>
      <c r="BL24" s="152">
        <f ca="1">IFERROR(__xludf.DUMMYFUNCTION("IMPORTRANGE(""https://docs.google.com/spreadsheets/d/1lOVebEIsI9qjGXl6EX66luk7wiuP2tBaryw-wKvv4e0/edit?usp=sharing"",""แพร่!J453"")"),0)</f>
        <v>0</v>
      </c>
      <c r="BM24" s="152">
        <f ca="1">IFERROR(__xludf.DUMMYFUNCTION("IMPORTRANGE(""https://docs.google.com/spreadsheets/d/1lOVebEIsI9qjGXl6EX66luk7wiuP2tBaryw-wKvv4e0/edit?usp=sharing"",""แพร่!J454"")"),0)</f>
        <v>0</v>
      </c>
      <c r="BN24" s="152">
        <f ca="1">IFERROR(__xludf.DUMMYFUNCTION("IMPORTRANGE(""https://docs.google.com/spreadsheets/d/1lOVebEIsI9qjGXl6EX66luk7wiuP2tBaryw-wKvv4e0/edit?usp=sharing"",""แพร่!J455"")"),0)</f>
        <v>0</v>
      </c>
      <c r="BO24" s="152">
        <f ca="1">IFERROR(__xludf.DUMMYFUNCTION("IMPORTRANGE(""https://docs.google.com/spreadsheets/d/1lOVebEIsI9qjGXl6EX66luk7wiuP2tBaryw-wKvv4e0/edit?usp=sharing"",""แพร่!I457"")"),2353.7)</f>
        <v>2353.6999999999998</v>
      </c>
      <c r="BP24" s="152">
        <f ca="1">IFERROR(__xludf.DUMMYFUNCTION("IMPORTRANGE(""https://docs.google.com/spreadsheets/d/1lOVebEIsI9qjGXl6EX66luk7wiuP2tBaryw-wKvv4e0/edit?usp=sharing"",""แพร่!I458"")"),224)</f>
        <v>224</v>
      </c>
      <c r="BQ24" s="152">
        <f ca="1">IFERROR(__xludf.DUMMYFUNCTION("IMPORTRANGE(""https://docs.google.com/spreadsheets/d/1lOVebEIsI9qjGXl6EX66luk7wiuP2tBaryw-wKvv4e0/edit?usp=sharing"",""แพร่!J457"")"),0)</f>
        <v>0</v>
      </c>
      <c r="BR24" s="216">
        <f t="shared" ca="1" si="65"/>
        <v>0</v>
      </c>
      <c r="BS24" s="152">
        <f ca="1">IFERROR(__xludf.DUMMYFUNCTION("IMPORTRANGE(""https://docs.google.com/spreadsheets/d/1lOVebEIsI9qjGXl6EX66luk7wiuP2tBaryw-wKvv4e0/edit?usp=sharing"",""แพร่!J458"")"),0)</f>
        <v>0</v>
      </c>
      <c r="BT24" s="216">
        <f t="shared" ca="1" si="66"/>
        <v>0</v>
      </c>
      <c r="BU24" s="152">
        <f ca="1">IFERROR(__xludf.DUMMYFUNCTION("IMPORTRANGE(""https://docs.google.com/spreadsheets/d/1lOVebEIsI9qjGXl6EX66luk7wiuP2tBaryw-wKvv4e0/edit?usp=sharing"",""แพร่!J459"")"),0)</f>
        <v>0</v>
      </c>
      <c r="BV24" s="152">
        <f ca="1">IFERROR(__xludf.DUMMYFUNCTION("IMPORTRANGE(""https://docs.google.com/spreadsheets/d/1lOVebEIsI9qjGXl6EX66luk7wiuP2tBaryw-wKvv4e0/edit?usp=sharing"",""แพร่!J460"")"),0)</f>
        <v>0</v>
      </c>
      <c r="BW24" s="152">
        <f ca="1">IFERROR(__xludf.DUMMYFUNCTION("IMPORTRANGE(""https://docs.google.com/spreadsheets/d/1lOVebEIsI9qjGXl6EX66luk7wiuP2tBaryw-wKvv4e0/edit?usp=sharing"",""แพร่!J461"")"),0)</f>
        <v>0</v>
      </c>
      <c r="BX24" s="152">
        <f ca="1">IFERROR(__xludf.DUMMYFUNCTION("IMPORTRANGE(""https://docs.google.com/spreadsheets/d/1lOVebEIsI9qjGXl6EX66luk7wiuP2tBaryw-wKvv4e0/edit?usp=sharing"",""แพร่!J462"")"),0)</f>
        <v>0</v>
      </c>
      <c r="BY24" s="152">
        <f ca="1">IFERROR(__xludf.DUMMYFUNCTION("IMPORTRANGE(""https://docs.google.com/spreadsheets/d/1lOVebEIsI9qjGXl6EX66luk7wiuP2tBaryw-wKvv4e0/edit?usp=sharing"",""แพร่!J463"")"),0)</f>
        <v>0</v>
      </c>
      <c r="BZ24" s="152">
        <f ca="1">IFERROR(__xludf.DUMMYFUNCTION("IMPORTRANGE(""https://docs.google.com/spreadsheets/d/1lOVebEIsI9qjGXl6EX66luk7wiuP2tBaryw-wKvv4e0/edit?usp=sharing"",""แพร่!J464"")"),0)</f>
        <v>0</v>
      </c>
      <c r="CA24" s="152">
        <f ca="1">IFERROR(__xludf.DUMMYFUNCTION("IMPORTRANGE(""https://docs.google.com/spreadsheets/d/1lOVebEIsI9qjGXl6EX66luk7wiuP2tBaryw-wKvv4e0/edit?usp=sharing"",""แพร่!J465"")"),0)</f>
        <v>0</v>
      </c>
      <c r="CB24" s="152">
        <f ca="1">IFERROR(__xludf.DUMMYFUNCTION("IMPORTRANGE(""https://docs.google.com/spreadsheets/d/1lOVebEIsI9qjGXl6EX66luk7wiuP2tBaryw-wKvv4e0/edit?usp=sharing"",""แพร่!J466"")"),0)</f>
        <v>0</v>
      </c>
      <c r="CC24" s="152">
        <f ca="1">IFERROR(__xludf.DUMMYFUNCTION("IMPORTRANGE(""https://docs.google.com/spreadsheets/d/1lOVebEIsI9qjGXl6EX66luk7wiuP2tBaryw-wKvv4e0/edit?usp=sharing"",""แพร่!J467"")"),0)</f>
        <v>0</v>
      </c>
      <c r="CD24" s="152">
        <f ca="1">IFERROR(__xludf.DUMMYFUNCTION("IMPORTRANGE(""https://docs.google.com/spreadsheets/d/1lOVebEIsI9qjGXl6EX66luk7wiuP2tBaryw-wKvv4e0/edit?usp=sharing"",""แพร่!J468"")"),0)</f>
        <v>0</v>
      </c>
      <c r="CE24" s="152">
        <f ca="1">IFERROR(__xludf.DUMMYFUNCTION("IMPORTRANGE(""https://docs.google.com/spreadsheets/d/1lOVebEIsI9qjGXl6EX66luk7wiuP2tBaryw-wKvv4e0/edit?usp=sharing"",""แพร่!J469"")"),0)</f>
        <v>0</v>
      </c>
      <c r="CF24" s="152">
        <f ca="1">IFERROR(__xludf.DUMMYFUNCTION("IMPORTRANGE(""https://docs.google.com/spreadsheets/d/1lOVebEIsI9qjGXl6EX66luk7wiuP2tBaryw-wKvv4e0/edit?usp=sharing"",""แพร่!J470"")"),0)</f>
        <v>0</v>
      </c>
      <c r="CG24" s="152">
        <f ca="1">IFERROR(__xludf.DUMMYFUNCTION("IMPORTRANGE(""https://docs.google.com/spreadsheets/d/1lOVebEIsI9qjGXl6EX66luk7wiuP2tBaryw-wKvv4e0/edit?usp=sharing"",""แพร่!J471"")"),0)</f>
        <v>0</v>
      </c>
      <c r="CH24" s="152">
        <f ca="1">IFERROR(__xludf.DUMMYFUNCTION("IMPORTRANGE(""https://docs.google.com/spreadsheets/d/1lOVebEIsI9qjGXl6EX66luk7wiuP2tBaryw-wKvv4e0/edit?usp=sharing"",""แพร่!J472"")"),0)</f>
        <v>0</v>
      </c>
      <c r="CI24" s="152">
        <f ca="1">IFERROR(__xludf.DUMMYFUNCTION("IMPORTRANGE(""https://docs.google.com/spreadsheets/d/1lOVebEIsI9qjGXl6EX66luk7wiuP2tBaryw-wKvv4e0/edit?usp=sharing"",""แพร่!J473"")"),0)</f>
        <v>0</v>
      </c>
      <c r="CJ24" s="152">
        <f ca="1">IFERROR(__xludf.DUMMYFUNCTION("IMPORTRANGE(""https://docs.google.com/spreadsheets/d/1lOVebEIsI9qjGXl6EX66luk7wiuP2tBaryw-wKvv4e0/edit?usp=sharing"",""แพร่!J474"")"),0)</f>
        <v>0</v>
      </c>
      <c r="CK24" s="278">
        <f ca="1">IFERROR(__xludf.DUMMYFUNCTION("IMPORTRANGE(""https://docs.google.com/spreadsheets/d/1lOVebEIsI9qjGXl6EX66luk7wiuP2tBaryw-wKvv4e0/edit?usp=sharing"",""แพร่!I476"")"),0)</f>
        <v>0</v>
      </c>
      <c r="CL24" s="278">
        <f ca="1">IFERROR(__xludf.DUMMYFUNCTION("IMPORTRANGE(""https://docs.google.com/spreadsheets/d/1lOVebEIsI9qjGXl6EX66luk7wiuP2tBaryw-wKvv4e0/edit?usp=sharing"",""แพร่!I477"")"),0)</f>
        <v>0</v>
      </c>
      <c r="CM24" s="278">
        <f ca="1">IFERROR(__xludf.DUMMYFUNCTION("IMPORTRANGE(""https://docs.google.com/spreadsheets/d/1lOVebEIsI9qjGXl6EX66luk7wiuP2tBaryw-wKvv4e0/edit?usp=sharing"",""แพร่!J476"")"),0)</f>
        <v>0</v>
      </c>
      <c r="CN24" s="216">
        <f t="shared" ca="1" si="68"/>
        <v>0</v>
      </c>
      <c r="CO24" s="278">
        <f ca="1">IFERROR(__xludf.DUMMYFUNCTION("IMPORTRANGE(""https://docs.google.com/spreadsheets/d/1lOVebEIsI9qjGXl6EX66luk7wiuP2tBaryw-wKvv4e0/edit?usp=sharing"",""แพร่!J477"")"),0)</f>
        <v>0</v>
      </c>
      <c r="CP24" s="216">
        <f t="shared" ca="1" si="69"/>
        <v>0</v>
      </c>
      <c r="CQ24" s="278">
        <f ca="1">IFERROR(__xludf.DUMMYFUNCTION("IMPORTRANGE(""https://docs.google.com/spreadsheets/d/1lOVebEIsI9qjGXl6EX66luk7wiuP2tBaryw-wKvv4e0/edit?usp=sharing"",""แพร่!J478"")"),0)</f>
        <v>0</v>
      </c>
      <c r="CR24" s="278">
        <f ca="1">IFERROR(__xludf.DUMMYFUNCTION("IMPORTRANGE(""https://docs.google.com/spreadsheets/d/1lOVebEIsI9qjGXl6EX66luk7wiuP2tBaryw-wKvv4e0/edit?usp=sharing"",""แพร่!J479"")"),0)</f>
        <v>0</v>
      </c>
      <c r="CS24" s="278">
        <f ca="1">IFERROR(__xludf.DUMMYFUNCTION("IMPORTRANGE(""https://docs.google.com/spreadsheets/d/1lOVebEIsI9qjGXl6EX66luk7wiuP2tBaryw-wKvv4e0/edit?usp=sharing"",""แพร่!J480"")"),0)</f>
        <v>0</v>
      </c>
      <c r="CT24" s="278">
        <f ca="1">IFERROR(__xludf.DUMMYFUNCTION("IMPORTRANGE(""https://docs.google.com/spreadsheets/d/1lOVebEIsI9qjGXl6EX66luk7wiuP2tBaryw-wKvv4e0/edit?usp=sharing"",""แพร่!J481"")"),0)</f>
        <v>0</v>
      </c>
      <c r="CU24" s="278">
        <f ca="1">IFERROR(__xludf.DUMMYFUNCTION("IMPORTRANGE(""https://docs.google.com/spreadsheets/d/1lOVebEIsI9qjGXl6EX66luk7wiuP2tBaryw-wKvv4e0/edit?usp=sharing"",""แพร่!I484"")"),104)</f>
        <v>104</v>
      </c>
      <c r="CV24" s="278">
        <f ca="1">IFERROR(__xludf.DUMMYFUNCTION("IMPORTRANGE(""https://docs.google.com/spreadsheets/d/1lOVebEIsI9qjGXl6EX66luk7wiuP2tBaryw-wKvv4e0/edit?usp=sharing"",""แพร่!I485"")"),13)</f>
        <v>13</v>
      </c>
      <c r="CW24" s="278">
        <f ca="1">IFERROR(__xludf.DUMMYFUNCTION("IMPORTRANGE(""https://docs.google.com/spreadsheets/d/1lOVebEIsI9qjGXl6EX66luk7wiuP2tBaryw-wKvv4e0/edit?usp=sharing"",""แพร่!J484"")"),0)</f>
        <v>0</v>
      </c>
      <c r="CX24" s="216">
        <f t="shared" ca="1" si="71"/>
        <v>0</v>
      </c>
      <c r="CY24" s="278">
        <f ca="1">IFERROR(__xludf.DUMMYFUNCTION("IMPORTRANGE(""https://docs.google.com/spreadsheets/d/1lOVebEIsI9qjGXl6EX66luk7wiuP2tBaryw-wKvv4e0/edit?usp=sharing"",""แพร่!J485"")"),0)</f>
        <v>0</v>
      </c>
      <c r="CZ24" s="216">
        <f t="shared" ca="1" si="72"/>
        <v>0</v>
      </c>
      <c r="DA24" s="278">
        <f ca="1">IFERROR(__xludf.DUMMYFUNCTION("IMPORTRANGE(""https://docs.google.com/spreadsheets/d/1lOVebEIsI9qjGXl6EX66luk7wiuP2tBaryw-wKvv4e0/edit?usp=sharing"",""แพร่!J486"")"),0)</f>
        <v>0</v>
      </c>
      <c r="DB24" s="278">
        <f ca="1">IFERROR(__xludf.DUMMYFUNCTION("IMPORTRANGE(""https://docs.google.com/spreadsheets/d/1lOVebEIsI9qjGXl6EX66luk7wiuP2tBaryw-wKvv4e0/edit?usp=sharing"",""แพร่!J487"")"),0)</f>
        <v>0</v>
      </c>
      <c r="DC24" s="278">
        <f ca="1">IFERROR(__xludf.DUMMYFUNCTION("IMPORTRANGE(""https://docs.google.com/spreadsheets/d/1lOVebEIsI9qjGXl6EX66luk7wiuP2tBaryw-wKvv4e0/edit?usp=sharing"",""แพร่!J488"")"),0)</f>
        <v>0</v>
      </c>
      <c r="DD24" s="278">
        <f ca="1">IFERROR(__xludf.DUMMYFUNCTION("IMPORTRANGE(""https://docs.google.com/spreadsheets/d/1lOVebEIsI9qjGXl6EX66luk7wiuP2tBaryw-wKvv4e0/edit?usp=sharing"",""แพร่!J489"")"),0)</f>
        <v>0</v>
      </c>
      <c r="DE24" s="278">
        <f ca="1">IFERROR(__xludf.DUMMYFUNCTION("IMPORTRANGE(""https://docs.google.com/spreadsheets/d/1lOVebEIsI9qjGXl6EX66luk7wiuP2tBaryw-wKvv4e0/edit?usp=sharing"",""แพร่!J490"")"),0)</f>
        <v>0</v>
      </c>
      <c r="DF24" s="278">
        <f ca="1">IFERROR(__xludf.DUMMYFUNCTION("IMPORTRANGE(""https://docs.google.com/spreadsheets/d/1lOVebEIsI9qjGXl6EX66luk7wiuP2tBaryw-wKvv4e0/edit?usp=sharing"",""แพร่!J491"")"),0)</f>
        <v>0</v>
      </c>
    </row>
    <row r="25" spans="1:110" ht="19.5" x14ac:dyDescent="0.3">
      <c r="A25" s="147">
        <v>12</v>
      </c>
      <c r="B25" s="148" t="s">
        <v>53</v>
      </c>
      <c r="C25" s="566">
        <f t="shared" ca="1" si="44"/>
        <v>0</v>
      </c>
      <c r="D25" s="567">
        <f t="shared" ca="1" si="74"/>
        <v>0</v>
      </c>
      <c r="E25" s="329">
        <f ca="1">IFERROR(__xludf.DUMMYFUNCTION("IMPORTRANGE(""https://docs.google.com/spreadsheets/d/1-uDff_7J0KD5mKrp0Vvzr7lt3OU09vwQwhkpOPPYv2Y/edit?usp=sharing"",""งบพรบ!IP25"")"),0)</f>
        <v>0</v>
      </c>
      <c r="F25" s="329">
        <f ca="1">IFERROR(__xludf.DUMMYFUNCTION("IMPORTRANGE(""https://docs.google.com/spreadsheets/d/1-uDff_7J0KD5mKrp0Vvzr7lt3OU09vwQwhkpOPPYv2Y/edit?usp=sharing"",""งบพรบ!IQ25"")"),0)</f>
        <v>0</v>
      </c>
      <c r="G25" s="329">
        <f ca="1">IFERROR(__xludf.DUMMYFUNCTION("IMPORTRANGE(""https://docs.google.com/spreadsheets/d/1-uDff_7J0KD5mKrp0Vvzr7lt3OU09vwQwhkpOPPYv2Y/edit?usp=sharing"",""งบพรบ!IR25"")"),0)</f>
        <v>0</v>
      </c>
      <c r="H25" s="329">
        <f ca="1">IFERROR(__xludf.DUMMYFUNCTION("IMPORTRANGE(""https://docs.google.com/spreadsheets/d/1-uDff_7J0KD5mKrp0Vvzr7lt3OU09vwQwhkpOPPYv2Y/edit?usp=sharing"",""งบพรบ!IT25"")"),0)</f>
        <v>0</v>
      </c>
      <c r="I25" s="329">
        <f ca="1">IFERROR(__xludf.DUMMYFUNCTION("IMPORTRANGE(""https://docs.google.com/spreadsheets/d/1-uDff_7J0KD5mKrp0Vvzr7lt3OU09vwQwhkpOPPYv2Y/edit?usp=sharing"",""งบพรบ!IU25"")"),0)</f>
        <v>0</v>
      </c>
      <c r="J25" s="329">
        <f t="shared" ca="1" si="46"/>
        <v>0</v>
      </c>
      <c r="K25" s="568">
        <f t="shared" ca="1" si="47"/>
        <v>0</v>
      </c>
      <c r="L25" s="329">
        <f ca="1">IFERROR(__xludf.DUMMYFUNCTION("IMPORTRANGE(""https://docs.google.com/spreadsheets/d/1-uDff_7J0KD5mKrp0Vvzr7lt3OU09vwQwhkpOPPYv2Y/edit?usp=sharing"",""งบพรบ!IV25"")"),0)</f>
        <v>0</v>
      </c>
      <c r="M25" s="330">
        <f t="shared" ca="1" si="48"/>
        <v>0</v>
      </c>
      <c r="N25" s="330">
        <f t="shared" ca="1" si="49"/>
        <v>0</v>
      </c>
      <c r="O25" s="569">
        <f ca="1">IFERROR(__xludf.DUMMYFUNCTION("IMPORTRANGE(""https://docs.google.com/spreadsheets/d/1-uDff_7J0KD5mKrp0Vvzr7lt3OU09vwQwhkpOPPYv2Y/edit?usp=sharing"",""งบพรบ!IW25"")"),0)</f>
        <v>0</v>
      </c>
      <c r="P25" s="569">
        <f t="shared" ca="1" si="50"/>
        <v>0</v>
      </c>
      <c r="Q25" s="330">
        <f t="shared" ca="1" si="51"/>
        <v>0</v>
      </c>
      <c r="R25" s="564">
        <f ca="1">IFERROR(__xludf.DUMMYFUNCTION("IMPORTRANGE(""https://docs.google.com/spreadsheets/d/1dQrvX0vEcN7Gu0fnZ0B5S90AeR19zth4XlExFBeExMY/edit?usp=sharing"",""แม่ฮ่องสอน!Q413"")"),0)</f>
        <v>0</v>
      </c>
      <c r="S25" s="564">
        <f ca="1">IFERROR(__xludf.DUMMYFUNCTION("IMPORTRANGE(""https://docs.google.com/spreadsheets/d/1dQrvX0vEcN7Gu0fnZ0B5S90AeR19zth4XlExFBeExMY/edit?usp=sharing"",""แม่ฮ่องสอน!R413"")"),0)</f>
        <v>0</v>
      </c>
      <c r="T25" s="564">
        <f ca="1">IFERROR(__xludf.DUMMYFUNCTION("IMPORTRANGE(""https://docs.google.com/spreadsheets/d/1dQrvX0vEcN7Gu0fnZ0B5S90AeR19zth4XlExFBeExMY/edit?usp=sharing"",""แม่ฮ่องสอน!S413"")"),0)</f>
        <v>0</v>
      </c>
      <c r="U25" s="565">
        <f t="shared" ca="1" si="53"/>
        <v>0</v>
      </c>
      <c r="V25" s="565">
        <f t="shared" ca="1" si="54"/>
        <v>0</v>
      </c>
      <c r="W25" s="152">
        <f ca="1">IFERROR(__xludf.DUMMYFUNCTION("IMPORTRANGE(""https://docs.google.com/spreadsheets/d/1dQrvX0vEcN7Gu0fnZ0B5S90AeR19zth4XlExFBeExMY/edit?usp=sharing"",""แม่ฮ่องสอน!I424"")"),0)</f>
        <v>0</v>
      </c>
      <c r="X25" s="152">
        <f ca="1">IFERROR(__xludf.DUMMYFUNCTION("IMPORTRANGE(""https://docs.google.com/spreadsheets/d/1dQrvX0vEcN7Gu0fnZ0B5S90AeR19zth4XlExFBeExMY/edit?usp=sharing"",""แม่ฮ่องสอน!I425"")"),0)</f>
        <v>0</v>
      </c>
      <c r="Y25" s="152">
        <f ca="1">IFERROR(__xludf.DUMMYFUNCTION("IMPORTRANGE(""https://docs.google.com/spreadsheets/d/1dQrvX0vEcN7Gu0fnZ0B5S90AeR19zth4XlExFBeExMY/edit?usp=sharing"",""แม่ฮ่องสอน!J424"")"),0)</f>
        <v>0</v>
      </c>
      <c r="Z25" s="216">
        <f t="shared" ca="1" si="56"/>
        <v>0</v>
      </c>
      <c r="AA25" s="152">
        <f ca="1">IFERROR(__xludf.DUMMYFUNCTION("IMPORTRANGE(""https://docs.google.com/spreadsheets/d/1dQrvX0vEcN7Gu0fnZ0B5S90AeR19zth4XlExFBeExMY/edit?usp=sharing"",""แม่ฮ่องสอน!J425"")"),0)</f>
        <v>0</v>
      </c>
      <c r="AB25" s="216">
        <f t="shared" ca="1" si="57"/>
        <v>0</v>
      </c>
      <c r="AC25" s="152">
        <f ca="1">IFERROR(__xludf.DUMMYFUNCTION("IMPORTRANGE(""https://docs.google.com/spreadsheets/d/1dQrvX0vEcN7Gu0fnZ0B5S90AeR19zth4XlExFBeExMY/edit?usp=sharing"",""แม่ฮ่องสอน!J426"")"),0)</f>
        <v>0</v>
      </c>
      <c r="AD25" s="152">
        <f ca="1">IFERROR(__xludf.DUMMYFUNCTION("IMPORTRANGE(""https://docs.google.com/spreadsheets/d/1dQrvX0vEcN7Gu0fnZ0B5S90AeR19zth4XlExFBeExMY/edit?usp=sharing"",""แม่ฮ่องสอน!J427"")"),0)</f>
        <v>0</v>
      </c>
      <c r="AE25" s="152">
        <f ca="1">IFERROR(__xludf.DUMMYFUNCTION("IMPORTRANGE(""https://docs.google.com/spreadsheets/d/1dQrvX0vEcN7Gu0fnZ0B5S90AeR19zth4XlExFBeExMY/edit?usp=sharing"",""แม่ฮ่องสอน!J428"")"),0)</f>
        <v>0</v>
      </c>
      <c r="AF25" s="152">
        <f ca="1">IFERROR(__xludf.DUMMYFUNCTION("IMPORTRANGE(""https://docs.google.com/spreadsheets/d/1dQrvX0vEcN7Gu0fnZ0B5S90AeR19zth4XlExFBeExMY/edit?usp=sharing"",""แม่ฮ่องสอน!J429"")"),0)</f>
        <v>0</v>
      </c>
      <c r="AG25" s="152">
        <f ca="1">IFERROR(__xludf.DUMMYFUNCTION("IMPORTRANGE(""https://docs.google.com/spreadsheets/d/1dQrvX0vEcN7Gu0fnZ0B5S90AeR19zth4XlExFBeExMY/edit?usp=sharing"",""แม่ฮ่องสอน!J430"")"),0)</f>
        <v>0</v>
      </c>
      <c r="AH25" s="152">
        <f ca="1">IFERROR(__xludf.DUMMYFUNCTION("IMPORTRANGE(""https://docs.google.com/spreadsheets/d/1dQrvX0vEcN7Gu0fnZ0B5S90AeR19zth4XlExFBeExMY/edit?usp=sharing"",""แม่ฮ่องสอน!J431"")"),0)</f>
        <v>0</v>
      </c>
      <c r="AI25" s="152">
        <f ca="1">IFERROR(__xludf.DUMMYFUNCTION("IMPORTRANGE(""https://docs.google.com/spreadsheets/d/1dQrvX0vEcN7Gu0fnZ0B5S90AeR19zth4XlExFBeExMY/edit?usp=sharing"",""แม่ฮ่องสอน!I432"")"),0)</f>
        <v>0</v>
      </c>
      <c r="AJ25" s="152">
        <f ca="1">IFERROR(__xludf.DUMMYFUNCTION("IMPORTRANGE(""https://docs.google.com/spreadsheets/d/1dQrvX0vEcN7Gu0fnZ0B5S90AeR19zth4XlExFBeExMY/edit?usp=sharing"",""แม่ฮ่องสอน!I433"")"),0)</f>
        <v>0</v>
      </c>
      <c r="AK25" s="216">
        <f ca="1">IFERROR(__xludf.DUMMYFUNCTION("IMPORTRANGE(""https://docs.google.com/spreadsheets/d/1dQrvX0vEcN7Gu0fnZ0B5S90AeR19zth4XlExFBeExMY/edit?usp=sharing"",""แม่ฮ่องสอน!J432"")"),0)</f>
        <v>0</v>
      </c>
      <c r="AL25" s="216">
        <f t="shared" ca="1" si="59"/>
        <v>0</v>
      </c>
      <c r="AM25" s="152">
        <f ca="1">IFERROR(__xludf.DUMMYFUNCTION("IMPORTRANGE(""https://docs.google.com/spreadsheets/d/1dQrvX0vEcN7Gu0fnZ0B5S90AeR19zth4XlExFBeExMY/edit?usp=sharing"",""แม่ฮ่องสอน!J433"")"),0)</f>
        <v>0</v>
      </c>
      <c r="AN25" s="216">
        <f t="shared" ca="1" si="60"/>
        <v>0</v>
      </c>
      <c r="AO25" s="152">
        <f ca="1">IFERROR(__xludf.DUMMYFUNCTION("IMPORTRANGE(""https://docs.google.com/spreadsheets/d/1dQrvX0vEcN7Gu0fnZ0B5S90AeR19zth4XlExFBeExMY/edit?usp=sharing"",""แม่ฮ่องสอน!J434"")"),0)</f>
        <v>0</v>
      </c>
      <c r="AP25" s="152">
        <f ca="1">IFERROR(__xludf.DUMMYFUNCTION("IMPORTRANGE(""https://docs.google.com/spreadsheets/d/1dQrvX0vEcN7Gu0fnZ0B5S90AeR19zth4XlExFBeExMY/edit?usp=sharing"",""แม่ฮ่องสอน!J435"")"),0)</f>
        <v>0</v>
      </c>
      <c r="AQ25" s="152">
        <f ca="1">IFERROR(__xludf.DUMMYFUNCTION("IMPORTRANGE(""https://docs.google.com/spreadsheets/d/1dQrvX0vEcN7Gu0fnZ0B5S90AeR19zth4XlExFBeExMY/edit?usp=sharing"",""แม่ฮ่องสอน!J436"")"),0)</f>
        <v>0</v>
      </c>
      <c r="AR25" s="152">
        <f ca="1">IFERROR(__xludf.DUMMYFUNCTION("IMPORTRANGE(""https://docs.google.com/spreadsheets/d/1dQrvX0vEcN7Gu0fnZ0B5S90AeR19zth4XlExFBeExMY/edit?usp=sharing"",""แม่ฮ่องสอน!J437"")"),0)</f>
        <v>0</v>
      </c>
      <c r="AS25" s="152">
        <f ca="1">IFERROR(__xludf.DUMMYFUNCTION("IMPORTRANGE(""https://docs.google.com/spreadsheets/d/1dQrvX0vEcN7Gu0fnZ0B5S90AeR19zth4XlExFBeExMY/edit?usp=sharing"",""แม่ฮ่องสอน!J438"")"),0)</f>
        <v>0</v>
      </c>
      <c r="AT25" s="152">
        <f ca="1">IFERROR(__xludf.DUMMYFUNCTION("IMPORTRANGE(""https://docs.google.com/spreadsheets/d/1dQrvX0vEcN7Gu0fnZ0B5S90AeR19zth4XlExFBeExMY/edit?usp=sharing"",""แม่ฮ่องสอน!J439"")"),0)</f>
        <v>0</v>
      </c>
      <c r="AU25" s="152">
        <f ca="1">IFERROR(__xludf.DUMMYFUNCTION("IMPORTRANGE(""https://docs.google.com/spreadsheets/d/1dQrvX0vEcN7Gu0fnZ0B5S90AeR19zth4XlExFBeExMY/edit?usp=sharing"",""แม่ฮ่องสอน!I440"")"),0)</f>
        <v>0</v>
      </c>
      <c r="AV25" s="152">
        <f ca="1">IFERROR(__xludf.DUMMYFUNCTION("IMPORTRANGE(""https://docs.google.com/spreadsheets/d/1dQrvX0vEcN7Gu0fnZ0B5S90AeR19zth4XlExFBeExMY/edit?usp=sharing"",""แม่ฮ่องสอน!I441"")"),0)</f>
        <v>0</v>
      </c>
      <c r="AW25" s="152">
        <f ca="1">IFERROR(__xludf.DUMMYFUNCTION("IMPORTRANGE(""https://docs.google.com/spreadsheets/d/1dQrvX0vEcN7Gu0fnZ0B5S90AeR19zth4XlExFBeExMY/edit?usp=sharing"",""แม่ฮ่องสอน!J440"")"),0)</f>
        <v>0</v>
      </c>
      <c r="AX25" s="216">
        <f t="shared" ca="1" si="62"/>
        <v>0</v>
      </c>
      <c r="AY25" s="152">
        <f ca="1">IFERROR(__xludf.DUMMYFUNCTION("IMPORTRANGE(""https://docs.google.com/spreadsheets/d/1dQrvX0vEcN7Gu0fnZ0B5S90AeR19zth4XlExFBeExMY/edit?usp=sharing"",""แม่ฮ่องสอน!J441"")"),0)</f>
        <v>0</v>
      </c>
      <c r="AZ25" s="216">
        <f t="shared" ca="1" si="63"/>
        <v>0</v>
      </c>
      <c r="BA25" s="152">
        <f ca="1">IFERROR(__xludf.DUMMYFUNCTION("IMPORTRANGE(""https://docs.google.com/spreadsheets/d/1dQrvX0vEcN7Gu0fnZ0B5S90AeR19zth4XlExFBeExMY/edit?usp=sharing"",""แม่ฮ่องสอน!J442"")"),0)</f>
        <v>0</v>
      </c>
      <c r="BB25" s="152">
        <f ca="1">IFERROR(__xludf.DUMMYFUNCTION("IMPORTRANGE(""https://docs.google.com/spreadsheets/d/1dQrvX0vEcN7Gu0fnZ0B5S90AeR19zth4XlExFBeExMY/edit?usp=sharing"",""แม่ฮ่องสอน!J443"")"),0)</f>
        <v>0</v>
      </c>
      <c r="BC25" s="152">
        <f ca="1">IFERROR(__xludf.DUMMYFUNCTION("IMPORTRANGE(""https://docs.google.com/spreadsheets/d/1dQrvX0vEcN7Gu0fnZ0B5S90AeR19zth4XlExFBeExMY/edit?usp=sharing"",""แม่ฮ่องสอน!J444"")"),0)</f>
        <v>0</v>
      </c>
      <c r="BD25" s="152">
        <f ca="1">IFERROR(__xludf.DUMMYFUNCTION("IMPORTRANGE(""https://docs.google.com/spreadsheets/d/1dQrvX0vEcN7Gu0fnZ0B5S90AeR19zth4XlExFBeExMY/edit?usp=sharing"",""แม่ฮ่องสอน!J445"")"),0)</f>
        <v>0</v>
      </c>
      <c r="BE25" s="152">
        <f ca="1">IFERROR(__xludf.DUMMYFUNCTION("IMPORTRANGE(""https://docs.google.com/spreadsheets/d/1dQrvX0vEcN7Gu0fnZ0B5S90AeR19zth4XlExFBeExMY/edit?usp=sharing"",""แม่ฮ่องสอน!J446"")"),0)</f>
        <v>0</v>
      </c>
      <c r="BF25" s="152">
        <f ca="1">IFERROR(__xludf.DUMMYFUNCTION("IMPORTRANGE(""https://docs.google.com/spreadsheets/d/1dQrvX0vEcN7Gu0fnZ0B5S90AeR19zth4XlExFBeExMY/edit?usp=sharing"",""แม่ฮ่องสอน!J447"")"),0)</f>
        <v>0</v>
      </c>
      <c r="BG25" s="152">
        <f ca="1">IFERROR(__xludf.DUMMYFUNCTION("IMPORTRANGE(""https://docs.google.com/spreadsheets/d/1dQrvX0vEcN7Gu0fnZ0B5S90AeR19zth4XlExFBeExMY/edit?usp=sharing"",""แม่ฮ่องสอน!J448"")"),0)</f>
        <v>0</v>
      </c>
      <c r="BH25" s="152">
        <f ca="1">IFERROR(__xludf.DUMMYFUNCTION("IMPORTRANGE(""https://docs.google.com/spreadsheets/d/1dQrvX0vEcN7Gu0fnZ0B5S90AeR19zth4XlExFBeExMY/edit?usp=sharing"",""แม่ฮ่องสอน!J449"")"),0)</f>
        <v>0</v>
      </c>
      <c r="BI25" s="152">
        <f ca="1">IFERROR(__xludf.DUMMYFUNCTION("IMPORTRANGE(""https://docs.google.com/spreadsheets/d/1dQrvX0vEcN7Gu0fnZ0B5S90AeR19zth4XlExFBeExMY/edit?usp=sharing"",""แม่ฮ่องสอน!J450"")"),0)</f>
        <v>0</v>
      </c>
      <c r="BJ25" s="152">
        <f ca="1">IFERROR(__xludf.DUMMYFUNCTION("IMPORTRANGE(""https://docs.google.com/spreadsheets/d/1dQrvX0vEcN7Gu0fnZ0B5S90AeR19zth4XlExFBeExMY/edit?usp=sharing"",""แม่ฮ่องสอน!J451"")"),0)</f>
        <v>0</v>
      </c>
      <c r="BK25" s="152">
        <f ca="1">IFERROR(__xludf.DUMMYFUNCTION("IMPORTRANGE(""https://docs.google.com/spreadsheets/d/1dQrvX0vEcN7Gu0fnZ0B5S90AeR19zth4XlExFBeExMY/edit?usp=sharing"",""แม่ฮ่องสอน!J452"")"),0)</f>
        <v>0</v>
      </c>
      <c r="BL25" s="152">
        <f ca="1">IFERROR(__xludf.DUMMYFUNCTION("IMPORTRANGE(""https://docs.google.com/spreadsheets/d/1dQrvX0vEcN7Gu0fnZ0B5S90AeR19zth4XlExFBeExMY/edit?usp=sharing"",""แม่ฮ่องสอน!J453"")"),0)</f>
        <v>0</v>
      </c>
      <c r="BM25" s="152">
        <f ca="1">IFERROR(__xludf.DUMMYFUNCTION("IMPORTRANGE(""https://docs.google.com/spreadsheets/d/1dQrvX0vEcN7Gu0fnZ0B5S90AeR19zth4XlExFBeExMY/edit?usp=sharing"",""แม่ฮ่องสอน!J454"")"),0)</f>
        <v>0</v>
      </c>
      <c r="BN25" s="152">
        <f ca="1">IFERROR(__xludf.DUMMYFUNCTION("IMPORTRANGE(""https://docs.google.com/spreadsheets/d/1dQrvX0vEcN7Gu0fnZ0B5S90AeR19zth4XlExFBeExMY/edit?usp=sharing"",""แม่ฮ่องสอน!J455"")"),0)</f>
        <v>0</v>
      </c>
      <c r="BO25" s="152">
        <f ca="1">IFERROR(__xludf.DUMMYFUNCTION("IMPORTRANGE(""https://docs.google.com/spreadsheets/d/1dQrvX0vEcN7Gu0fnZ0B5S90AeR19zth4XlExFBeExMY/edit?usp=sharing"",""แม่ฮ่องสอน!I457"")"),0)</f>
        <v>0</v>
      </c>
      <c r="BP25" s="152">
        <f ca="1">IFERROR(__xludf.DUMMYFUNCTION("IMPORTRANGE(""https://docs.google.com/spreadsheets/d/1dQrvX0vEcN7Gu0fnZ0B5S90AeR19zth4XlExFBeExMY/edit?usp=sharing"",""แม่ฮ่องสอน!I458"")"),0)</f>
        <v>0</v>
      </c>
      <c r="BQ25" s="152">
        <f ca="1">IFERROR(__xludf.DUMMYFUNCTION("IMPORTRANGE(""https://docs.google.com/spreadsheets/d/1dQrvX0vEcN7Gu0fnZ0B5S90AeR19zth4XlExFBeExMY/edit?usp=sharing"",""แม่ฮ่องสอน!J457"")"),0)</f>
        <v>0</v>
      </c>
      <c r="BR25" s="216">
        <f t="shared" ca="1" si="65"/>
        <v>0</v>
      </c>
      <c r="BS25" s="152">
        <f ca="1">IFERROR(__xludf.DUMMYFUNCTION("IMPORTRANGE(""https://docs.google.com/spreadsheets/d/1dQrvX0vEcN7Gu0fnZ0B5S90AeR19zth4XlExFBeExMY/edit?usp=sharing"",""แม่ฮ่องสอน!J458"")"),0)</f>
        <v>0</v>
      </c>
      <c r="BT25" s="216">
        <f t="shared" ca="1" si="66"/>
        <v>0</v>
      </c>
      <c r="BU25" s="152">
        <f ca="1">IFERROR(__xludf.DUMMYFUNCTION("IMPORTRANGE(""https://docs.google.com/spreadsheets/d/1dQrvX0vEcN7Gu0fnZ0B5S90AeR19zth4XlExFBeExMY/edit?usp=sharing"",""แม่ฮ่องสอน!J459"")"),0)</f>
        <v>0</v>
      </c>
      <c r="BV25" s="152">
        <f ca="1">IFERROR(__xludf.DUMMYFUNCTION("IMPORTRANGE(""https://docs.google.com/spreadsheets/d/1dQrvX0vEcN7Gu0fnZ0B5S90AeR19zth4XlExFBeExMY/edit?usp=sharing"",""แม่ฮ่องสอน!J460"")"),0)</f>
        <v>0</v>
      </c>
      <c r="BW25" s="152">
        <f ca="1">IFERROR(__xludf.DUMMYFUNCTION("IMPORTRANGE(""https://docs.google.com/spreadsheets/d/1dQrvX0vEcN7Gu0fnZ0B5S90AeR19zth4XlExFBeExMY/edit?usp=sharing"",""แม่ฮ่องสอน!J461"")"),0)</f>
        <v>0</v>
      </c>
      <c r="BX25" s="152">
        <f ca="1">IFERROR(__xludf.DUMMYFUNCTION("IMPORTRANGE(""https://docs.google.com/spreadsheets/d/1dQrvX0vEcN7Gu0fnZ0B5S90AeR19zth4XlExFBeExMY/edit?usp=sharing"",""แม่ฮ่องสอน!J462"")"),0)</f>
        <v>0</v>
      </c>
      <c r="BY25" s="152">
        <f ca="1">IFERROR(__xludf.DUMMYFUNCTION("IMPORTRANGE(""https://docs.google.com/spreadsheets/d/1dQrvX0vEcN7Gu0fnZ0B5S90AeR19zth4XlExFBeExMY/edit?usp=sharing"",""แม่ฮ่องสอน!J463"")"),0)</f>
        <v>0</v>
      </c>
      <c r="BZ25" s="152">
        <f ca="1">IFERROR(__xludf.DUMMYFUNCTION("IMPORTRANGE(""https://docs.google.com/spreadsheets/d/1dQrvX0vEcN7Gu0fnZ0B5S90AeR19zth4XlExFBeExMY/edit?usp=sharing"",""แม่ฮ่องสอน!J464"")"),0)</f>
        <v>0</v>
      </c>
      <c r="CA25" s="152">
        <f ca="1">IFERROR(__xludf.DUMMYFUNCTION("IMPORTRANGE(""https://docs.google.com/spreadsheets/d/1dQrvX0vEcN7Gu0fnZ0B5S90AeR19zth4XlExFBeExMY/edit?usp=sharing"",""แม่ฮ่องสอน!J465"")"),0)</f>
        <v>0</v>
      </c>
      <c r="CB25" s="152">
        <f ca="1">IFERROR(__xludf.DUMMYFUNCTION("IMPORTRANGE(""https://docs.google.com/spreadsheets/d/1dQrvX0vEcN7Gu0fnZ0B5S90AeR19zth4XlExFBeExMY/edit?usp=sharing"",""แม่ฮ่องสอน!J466"")"),0)</f>
        <v>0</v>
      </c>
      <c r="CC25" s="152">
        <f ca="1">IFERROR(__xludf.DUMMYFUNCTION("IMPORTRANGE(""https://docs.google.com/spreadsheets/d/1dQrvX0vEcN7Gu0fnZ0B5S90AeR19zth4XlExFBeExMY/edit?usp=sharing"",""แม่ฮ่องสอน!J467"")"),0)</f>
        <v>0</v>
      </c>
      <c r="CD25" s="152">
        <f ca="1">IFERROR(__xludf.DUMMYFUNCTION("IMPORTRANGE(""https://docs.google.com/spreadsheets/d/1dQrvX0vEcN7Gu0fnZ0B5S90AeR19zth4XlExFBeExMY/edit?usp=sharing"",""แม่ฮ่องสอน!J468"")"),0)</f>
        <v>0</v>
      </c>
      <c r="CE25" s="152">
        <f ca="1">IFERROR(__xludf.DUMMYFUNCTION("IMPORTRANGE(""https://docs.google.com/spreadsheets/d/1dQrvX0vEcN7Gu0fnZ0B5S90AeR19zth4XlExFBeExMY/edit?usp=sharing"",""แม่ฮ่องสอน!J469"")"),0)</f>
        <v>0</v>
      </c>
      <c r="CF25" s="152">
        <f ca="1">IFERROR(__xludf.DUMMYFUNCTION("IMPORTRANGE(""https://docs.google.com/spreadsheets/d/1dQrvX0vEcN7Gu0fnZ0B5S90AeR19zth4XlExFBeExMY/edit?usp=sharing"",""แม่ฮ่องสอน!J470"")"),0)</f>
        <v>0</v>
      </c>
      <c r="CG25" s="152">
        <f ca="1">IFERROR(__xludf.DUMMYFUNCTION("IMPORTRANGE(""https://docs.google.com/spreadsheets/d/1dQrvX0vEcN7Gu0fnZ0B5S90AeR19zth4XlExFBeExMY/edit?usp=sharing"",""แม่ฮ่องสอน!J471"")"),0)</f>
        <v>0</v>
      </c>
      <c r="CH25" s="152">
        <f ca="1">IFERROR(__xludf.DUMMYFUNCTION("IMPORTRANGE(""https://docs.google.com/spreadsheets/d/1dQrvX0vEcN7Gu0fnZ0B5S90AeR19zth4XlExFBeExMY/edit?usp=sharing"",""แม่ฮ่องสอน!J472"")"),0)</f>
        <v>0</v>
      </c>
      <c r="CI25" s="152">
        <f ca="1">IFERROR(__xludf.DUMMYFUNCTION("IMPORTRANGE(""https://docs.google.com/spreadsheets/d/1dQrvX0vEcN7Gu0fnZ0B5S90AeR19zth4XlExFBeExMY/edit?usp=sharing"",""แม่ฮ่องสอน!J473"")"),0)</f>
        <v>0</v>
      </c>
      <c r="CJ25" s="152">
        <f ca="1">IFERROR(__xludf.DUMMYFUNCTION("IMPORTRANGE(""https://docs.google.com/spreadsheets/d/1dQrvX0vEcN7Gu0fnZ0B5S90AeR19zth4XlExFBeExMY/edit?usp=sharing"",""แม่ฮ่องสอน!J474"")"),0)</f>
        <v>0</v>
      </c>
      <c r="CK25" s="278">
        <f ca="1">IFERROR(__xludf.DUMMYFUNCTION("IMPORTRANGE(""https://docs.google.com/spreadsheets/d/1dQrvX0vEcN7Gu0fnZ0B5S90AeR19zth4XlExFBeExMY/edit?usp=sharing"",""แม่ฮ่องสอน!I476"")"),0)</f>
        <v>0</v>
      </c>
      <c r="CL25" s="278">
        <f ca="1">IFERROR(__xludf.DUMMYFUNCTION("IMPORTRANGE(""https://docs.google.com/spreadsheets/d/1dQrvX0vEcN7Gu0fnZ0B5S90AeR19zth4XlExFBeExMY/edit?usp=sharing"",""แม่ฮ่องสอน!I477"")"),0)</f>
        <v>0</v>
      </c>
      <c r="CM25" s="278">
        <f ca="1">IFERROR(__xludf.DUMMYFUNCTION("IMPORTRANGE(""https://docs.google.com/spreadsheets/d/1dQrvX0vEcN7Gu0fnZ0B5S90AeR19zth4XlExFBeExMY/edit?usp=sharing"",""แม่ฮ่องสอน!J476"")"),0)</f>
        <v>0</v>
      </c>
      <c r="CN25" s="216">
        <f t="shared" ca="1" si="68"/>
        <v>0</v>
      </c>
      <c r="CO25" s="278">
        <f ca="1">IFERROR(__xludf.DUMMYFUNCTION("IMPORTRANGE(""https://docs.google.com/spreadsheets/d/1dQrvX0vEcN7Gu0fnZ0B5S90AeR19zth4XlExFBeExMY/edit?usp=sharing"",""แม่ฮ่องสอน!J477"")"),0)</f>
        <v>0</v>
      </c>
      <c r="CP25" s="216">
        <f t="shared" ca="1" si="69"/>
        <v>0</v>
      </c>
      <c r="CQ25" s="278">
        <f ca="1">IFERROR(__xludf.DUMMYFUNCTION("IMPORTRANGE(""https://docs.google.com/spreadsheets/d/1dQrvX0vEcN7Gu0fnZ0B5S90AeR19zth4XlExFBeExMY/edit?usp=sharing"",""แม่ฮ่องสอน!J478"")"),0)</f>
        <v>0</v>
      </c>
      <c r="CR25" s="278">
        <f ca="1">IFERROR(__xludf.DUMMYFUNCTION("IMPORTRANGE(""https://docs.google.com/spreadsheets/d/1dQrvX0vEcN7Gu0fnZ0B5S90AeR19zth4XlExFBeExMY/edit?usp=sharing"",""แม่ฮ่องสอน!J479"")"),0)</f>
        <v>0</v>
      </c>
      <c r="CS25" s="278">
        <f ca="1">IFERROR(__xludf.DUMMYFUNCTION("IMPORTRANGE(""https://docs.google.com/spreadsheets/d/1dQrvX0vEcN7Gu0fnZ0B5S90AeR19zth4XlExFBeExMY/edit?usp=sharing"",""แม่ฮ่องสอน!J480"")"),0)</f>
        <v>0</v>
      </c>
      <c r="CT25" s="278">
        <f ca="1">IFERROR(__xludf.DUMMYFUNCTION("IMPORTRANGE(""https://docs.google.com/spreadsheets/d/1dQrvX0vEcN7Gu0fnZ0B5S90AeR19zth4XlExFBeExMY/edit?usp=sharing"",""แม่ฮ่องสอน!J481"")"),0)</f>
        <v>0</v>
      </c>
      <c r="CU25" s="278">
        <f ca="1">IFERROR(__xludf.DUMMYFUNCTION("IMPORTRANGE(""https://docs.google.com/spreadsheets/d/1dQrvX0vEcN7Gu0fnZ0B5S90AeR19zth4XlExFBeExMY/edit?usp=sharing"",""แม่ฮ่องสอน!I484"")"),0)</f>
        <v>0</v>
      </c>
      <c r="CV25" s="278">
        <f ca="1">IFERROR(__xludf.DUMMYFUNCTION("IMPORTRANGE(""https://docs.google.com/spreadsheets/d/1dQrvX0vEcN7Gu0fnZ0B5S90AeR19zth4XlExFBeExMY/edit?usp=sharing"",""แม่ฮ่องสอน!I485"")"),0)</f>
        <v>0</v>
      </c>
      <c r="CW25" s="278">
        <f ca="1">IFERROR(__xludf.DUMMYFUNCTION("IMPORTRANGE(""https://docs.google.com/spreadsheets/d/1dQrvX0vEcN7Gu0fnZ0B5S90AeR19zth4XlExFBeExMY/edit?usp=sharing"",""แม่ฮ่องสอน!J484"")"),0)</f>
        <v>0</v>
      </c>
      <c r="CX25" s="216">
        <f t="shared" ca="1" si="71"/>
        <v>0</v>
      </c>
      <c r="CY25" s="278">
        <f ca="1">IFERROR(__xludf.DUMMYFUNCTION("IMPORTRANGE(""https://docs.google.com/spreadsheets/d/1dQrvX0vEcN7Gu0fnZ0B5S90AeR19zth4XlExFBeExMY/edit?usp=sharing"",""แม่ฮ่องสอน!J485"")"),0)</f>
        <v>0</v>
      </c>
      <c r="CZ25" s="216">
        <f t="shared" ca="1" si="72"/>
        <v>0</v>
      </c>
      <c r="DA25" s="278">
        <f ca="1">IFERROR(__xludf.DUMMYFUNCTION("IMPORTRANGE(""https://docs.google.com/spreadsheets/d/1dQrvX0vEcN7Gu0fnZ0B5S90AeR19zth4XlExFBeExMY/edit?usp=sharing"",""แม่ฮ่องสอน!J486"")"),0)</f>
        <v>0</v>
      </c>
      <c r="DB25" s="278">
        <f ca="1">IFERROR(__xludf.DUMMYFUNCTION("IMPORTRANGE(""https://docs.google.com/spreadsheets/d/1dQrvX0vEcN7Gu0fnZ0B5S90AeR19zth4XlExFBeExMY/edit?usp=sharing"",""แม่ฮ่องสอน!J487"")"),0)</f>
        <v>0</v>
      </c>
      <c r="DC25" s="278">
        <f ca="1">IFERROR(__xludf.DUMMYFUNCTION("IMPORTRANGE(""https://docs.google.com/spreadsheets/d/1dQrvX0vEcN7Gu0fnZ0B5S90AeR19zth4XlExFBeExMY/edit?usp=sharing"",""แม่ฮ่องสอน!J488"")"),0)</f>
        <v>0</v>
      </c>
      <c r="DD25" s="278">
        <f ca="1">IFERROR(__xludf.DUMMYFUNCTION("IMPORTRANGE(""https://docs.google.com/spreadsheets/d/1dQrvX0vEcN7Gu0fnZ0B5S90AeR19zth4XlExFBeExMY/edit?usp=sharing"",""แม่ฮ่องสอน!J489"")"),0)</f>
        <v>0</v>
      </c>
      <c r="DE25" s="278">
        <f ca="1">IFERROR(__xludf.DUMMYFUNCTION("IMPORTRANGE(""https://docs.google.com/spreadsheets/d/1dQrvX0vEcN7Gu0fnZ0B5S90AeR19zth4XlExFBeExMY/edit?usp=sharing"",""แม่ฮ่องสอน!J490"")"),0)</f>
        <v>0</v>
      </c>
      <c r="DF25" s="278">
        <f ca="1">IFERROR(__xludf.DUMMYFUNCTION("IMPORTRANGE(""https://docs.google.com/spreadsheets/d/1dQrvX0vEcN7Gu0fnZ0B5S90AeR19zth4XlExFBeExMY/edit?usp=sharing"",""แม่ฮ่องสอน!J491"")"),0)</f>
        <v>0</v>
      </c>
    </row>
    <row r="26" spans="1:110" ht="19.5" x14ac:dyDescent="0.3">
      <c r="A26" s="147">
        <v>13</v>
      </c>
      <c r="B26" s="148" t="s">
        <v>54</v>
      </c>
      <c r="C26" s="566">
        <f t="shared" ca="1" si="44"/>
        <v>287060</v>
      </c>
      <c r="D26" s="567">
        <f t="shared" ca="1" si="74"/>
        <v>287060</v>
      </c>
      <c r="E26" s="329">
        <f ca="1">IFERROR(__xludf.DUMMYFUNCTION("IMPORTRANGE(""https://docs.google.com/spreadsheets/d/1-uDff_7J0KD5mKrp0Vvzr7lt3OU09vwQwhkpOPPYv2Y/edit?usp=sharing"",""งบพรบ!IP26"")"),52000)</f>
        <v>52000</v>
      </c>
      <c r="F26" s="329">
        <f ca="1">IFERROR(__xludf.DUMMYFUNCTION("IMPORTRANGE(""https://docs.google.com/spreadsheets/d/1-uDff_7J0KD5mKrp0Vvzr7lt3OU09vwQwhkpOPPYv2Y/edit?usp=sharing"",""งบพรบ!IQ26"")"),235060)</f>
        <v>235060</v>
      </c>
      <c r="G26" s="329">
        <f ca="1">IFERROR(__xludf.DUMMYFUNCTION("IMPORTRANGE(""https://docs.google.com/spreadsheets/d/1-uDff_7J0KD5mKrp0Vvzr7lt3OU09vwQwhkpOPPYv2Y/edit?usp=sharing"",""งบพรบ!IR26"")"),0)</f>
        <v>0</v>
      </c>
      <c r="H26" s="329">
        <f ca="1">IFERROR(__xludf.DUMMYFUNCTION("IMPORTRANGE(""https://docs.google.com/spreadsheets/d/1-uDff_7J0KD5mKrp0Vvzr7lt3OU09vwQwhkpOPPYv2Y/edit?usp=sharing"",""งบพรบ!IT26"")"),287060)</f>
        <v>287060</v>
      </c>
      <c r="I26" s="329">
        <f ca="1">IFERROR(__xludf.DUMMYFUNCTION("IMPORTRANGE(""https://docs.google.com/spreadsheets/d/1-uDff_7J0KD5mKrp0Vvzr7lt3OU09vwQwhkpOPPYv2Y/edit?usp=sharing"",""งบพรบ!IU26"")"),0)</f>
        <v>0</v>
      </c>
      <c r="J26" s="329">
        <f t="shared" ca="1" si="46"/>
        <v>160026.03</v>
      </c>
      <c r="K26" s="568">
        <f t="shared" ca="1" si="47"/>
        <v>55.746544276457882</v>
      </c>
      <c r="L26" s="329">
        <f ca="1">IFERROR(__xludf.DUMMYFUNCTION("IMPORTRANGE(""https://docs.google.com/spreadsheets/d/1-uDff_7J0KD5mKrp0Vvzr7lt3OU09vwQwhkpOPPYv2Y/edit?usp=sharing"",""งบพรบ!IV26"")"),160026.03)</f>
        <v>160026.03</v>
      </c>
      <c r="M26" s="330">
        <f t="shared" ca="1" si="48"/>
        <v>55.746544276457882</v>
      </c>
      <c r="N26" s="330">
        <f t="shared" ca="1" si="49"/>
        <v>55.746544276457882</v>
      </c>
      <c r="O26" s="569">
        <f ca="1">IFERROR(__xludf.DUMMYFUNCTION("IMPORTRANGE(""https://docs.google.com/spreadsheets/d/1-uDff_7J0KD5mKrp0Vvzr7lt3OU09vwQwhkpOPPYv2Y/edit?usp=sharing"",""งบพรบ!IW26"")"),0)</f>
        <v>0</v>
      </c>
      <c r="P26" s="569">
        <f t="shared" ca="1" si="50"/>
        <v>0</v>
      </c>
      <c r="Q26" s="330">
        <f t="shared" ca="1" si="51"/>
        <v>0</v>
      </c>
      <c r="R26" s="564">
        <f ca="1">IFERROR(__xludf.DUMMYFUNCTION("IMPORTRANGE(""https://docs.google.com/spreadsheets/d/1DY4XTNNwjluuxqdfdn6qvOSlMRrZqUtmYcZR0ttFiG4/edit?usp=sharing"",""ลำปาง!Q413"")"),71960)</f>
        <v>71960</v>
      </c>
      <c r="S26" s="564">
        <f ca="1">IFERROR(__xludf.DUMMYFUNCTION("IMPORTRANGE(""https://docs.google.com/spreadsheets/d/1DY4XTNNwjluuxqdfdn6qvOSlMRrZqUtmYcZR0ttFiG4/edit?usp=sharing"",""ลำปาง!R413"")"),71960)</f>
        <v>71960</v>
      </c>
      <c r="T26" s="564">
        <f ca="1">IFERROR(__xludf.DUMMYFUNCTION("IMPORTRANGE(""https://docs.google.com/spreadsheets/d/1DY4XTNNwjluuxqdfdn6qvOSlMRrZqUtmYcZR0ttFiG4/edit?usp=sharing"",""ลำปาง!S413"")"),65072)</f>
        <v>65072</v>
      </c>
      <c r="U26" s="565">
        <f t="shared" ca="1" si="53"/>
        <v>90.42801556420234</v>
      </c>
      <c r="V26" s="565">
        <f t="shared" ca="1" si="54"/>
        <v>90.42801556420234</v>
      </c>
      <c r="W26" s="397">
        <f ca="1">IFERROR(__xludf.DUMMYFUNCTION("IMPORTRANGE(""https://docs.google.com/spreadsheets/d/1DY4XTNNwjluuxqdfdn6qvOSlMRrZqUtmYcZR0ttFiG4/edit?usp=sharing"",""ลำปาง!I424"")"),21235)</f>
        <v>21235</v>
      </c>
      <c r="X26" s="397">
        <f ca="1">IFERROR(__xludf.DUMMYFUNCTION("IMPORTRANGE(""https://docs.google.com/spreadsheets/d/1DY4XTNNwjluuxqdfdn6qvOSlMRrZqUtmYcZR0ttFiG4/edit?usp=sharing"",""ลำปาง!I425"")"),5413)</f>
        <v>5413</v>
      </c>
      <c r="Y26" s="397">
        <f ca="1">IFERROR(__xludf.DUMMYFUNCTION("IMPORTRANGE(""https://docs.google.com/spreadsheets/d/1DY4XTNNwjluuxqdfdn6qvOSlMRrZqUtmYcZR0ttFiG4/edit?usp=sharing"",""ลำปาง!J424"")"),21235.413)</f>
        <v>21235.413</v>
      </c>
      <c r="Z26" s="216">
        <f t="shared" ca="1" si="56"/>
        <v>100.00194490228395</v>
      </c>
      <c r="AA26" s="397">
        <f ca="1">IFERROR(__xludf.DUMMYFUNCTION("IMPORTRANGE(""https://docs.google.com/spreadsheets/d/1DY4XTNNwjluuxqdfdn6qvOSlMRrZqUtmYcZR0ttFiG4/edit?usp=sharing"",""ลำปาง!J425"")"),5413)</f>
        <v>5413</v>
      </c>
      <c r="AB26" s="216">
        <f t="shared" ca="1" si="57"/>
        <v>100</v>
      </c>
      <c r="AC26" s="397">
        <f ca="1">IFERROR(__xludf.DUMMYFUNCTION("IMPORTRANGE(""https://docs.google.com/spreadsheets/d/1DY4XTNNwjluuxqdfdn6qvOSlMRrZqUtmYcZR0ttFiG4/edit?usp=sharing"",""ลำปาง!J426"")"),17512)</f>
        <v>17512</v>
      </c>
      <c r="AD26" s="397">
        <f ca="1">IFERROR(__xludf.DUMMYFUNCTION("IMPORTRANGE(""https://docs.google.com/spreadsheets/d/1DY4XTNNwjluuxqdfdn6qvOSlMRrZqUtmYcZR0ttFiG4/edit?usp=sharing"",""ลำปาง!J427"")"),4336)</f>
        <v>4336</v>
      </c>
      <c r="AE26" s="397">
        <f ca="1">IFERROR(__xludf.DUMMYFUNCTION("IMPORTRANGE(""https://docs.google.com/spreadsheets/d/1DY4XTNNwjluuxqdfdn6qvOSlMRrZqUtmYcZR0ttFiG4/edit?usp=sharing"",""ลำปาง!J428"")"),2387.413)</f>
        <v>2387.413</v>
      </c>
      <c r="AF26" s="397">
        <f ca="1">IFERROR(__xludf.DUMMYFUNCTION("IMPORTRANGE(""https://docs.google.com/spreadsheets/d/1DY4XTNNwjluuxqdfdn6qvOSlMRrZqUtmYcZR0ttFiG4/edit?usp=sharing"",""ลำปาง!J429"")"),767)</f>
        <v>767</v>
      </c>
      <c r="AG26" s="397">
        <f ca="1">IFERROR(__xludf.DUMMYFUNCTION("IMPORTRANGE(""https://docs.google.com/spreadsheets/d/1DY4XTNNwjluuxqdfdn6qvOSlMRrZqUtmYcZR0ttFiG4/edit?usp=sharing"",""ลำปาง!J430"")"),1336)</f>
        <v>1336</v>
      </c>
      <c r="AH26" s="397">
        <f ca="1">IFERROR(__xludf.DUMMYFUNCTION("IMPORTRANGE(""https://docs.google.com/spreadsheets/d/1DY4XTNNwjluuxqdfdn6qvOSlMRrZqUtmYcZR0ttFiG4/edit?usp=sharing"",""ลำปาง!J431"")"),310)</f>
        <v>310</v>
      </c>
      <c r="AI26" s="152">
        <f ca="1">IFERROR(__xludf.DUMMYFUNCTION("IMPORTRANGE(""https://docs.google.com/spreadsheets/d/1DY4XTNNwjluuxqdfdn6qvOSlMRrZqUtmYcZR0ttFiG4/edit?usp=sharing"",""ลำปาง!I432"")"),21235)</f>
        <v>21235</v>
      </c>
      <c r="AJ26" s="152">
        <f ca="1">IFERROR(__xludf.DUMMYFUNCTION("IMPORTRANGE(""https://docs.google.com/spreadsheets/d/1DY4XTNNwjluuxqdfdn6qvOSlMRrZqUtmYcZR0ttFiG4/edit?usp=sharing"",""ลำปาง!I433"")"),5413)</f>
        <v>5413</v>
      </c>
      <c r="AK26" s="216">
        <f ca="1">IFERROR(__xludf.DUMMYFUNCTION("IMPORTRANGE(""https://docs.google.com/spreadsheets/d/1DY4XTNNwjluuxqdfdn6qvOSlMRrZqUtmYcZR0ttFiG4/edit?usp=sharing"",""ลำปาง!J432"")"),0)</f>
        <v>0</v>
      </c>
      <c r="AL26" s="216">
        <f t="shared" ca="1" si="59"/>
        <v>0</v>
      </c>
      <c r="AM26" s="152">
        <f ca="1">IFERROR(__xludf.DUMMYFUNCTION("IMPORTRANGE(""https://docs.google.com/spreadsheets/d/1DY4XTNNwjluuxqdfdn6qvOSlMRrZqUtmYcZR0ttFiG4/edit?usp=sharing"",""ลำปาง!J433"")"),0)</f>
        <v>0</v>
      </c>
      <c r="AN26" s="216">
        <f t="shared" ca="1" si="60"/>
        <v>0</v>
      </c>
      <c r="AO26" s="152">
        <f ca="1">IFERROR(__xludf.DUMMYFUNCTION("IMPORTRANGE(""https://docs.google.com/spreadsheets/d/1DY4XTNNwjluuxqdfdn6qvOSlMRrZqUtmYcZR0ttFiG4/edit?usp=sharing"",""ลำปาง!J434"")"),0)</f>
        <v>0</v>
      </c>
      <c r="AP26" s="152">
        <f ca="1">IFERROR(__xludf.DUMMYFUNCTION("IMPORTRANGE(""https://docs.google.com/spreadsheets/d/1DY4XTNNwjluuxqdfdn6qvOSlMRrZqUtmYcZR0ttFiG4/edit?usp=sharing"",""ลำปาง!J435"")"),0)</f>
        <v>0</v>
      </c>
      <c r="AQ26" s="152">
        <f ca="1">IFERROR(__xludf.DUMMYFUNCTION("IMPORTRANGE(""https://docs.google.com/spreadsheets/d/1DY4XTNNwjluuxqdfdn6qvOSlMRrZqUtmYcZR0ttFiG4/edit?usp=sharing"",""ลำปาง!J436"")"),0)</f>
        <v>0</v>
      </c>
      <c r="AR26" s="152">
        <f ca="1">IFERROR(__xludf.DUMMYFUNCTION("IMPORTRANGE(""https://docs.google.com/spreadsheets/d/1DY4XTNNwjluuxqdfdn6qvOSlMRrZqUtmYcZR0ttFiG4/edit?usp=sharing"",""ลำปาง!J437"")"),0)</f>
        <v>0</v>
      </c>
      <c r="AS26" s="152">
        <f ca="1">IFERROR(__xludf.DUMMYFUNCTION("IMPORTRANGE(""https://docs.google.com/spreadsheets/d/1DY4XTNNwjluuxqdfdn6qvOSlMRrZqUtmYcZR0ttFiG4/edit?usp=sharing"",""ลำปาง!J438"")"),0)</f>
        <v>0</v>
      </c>
      <c r="AT26" s="152">
        <f ca="1">IFERROR(__xludf.DUMMYFUNCTION("IMPORTRANGE(""https://docs.google.com/spreadsheets/d/1DY4XTNNwjluuxqdfdn6qvOSlMRrZqUtmYcZR0ttFiG4/edit?usp=sharing"",""ลำปาง!J439"")"),0)</f>
        <v>0</v>
      </c>
      <c r="AU26" s="152">
        <f ca="1">IFERROR(__xludf.DUMMYFUNCTION("IMPORTRANGE(""https://docs.google.com/spreadsheets/d/1DY4XTNNwjluuxqdfdn6qvOSlMRrZqUtmYcZR0ttFiG4/edit?usp=sharing"",""ลำปาง!I440"")"),21235)</f>
        <v>21235</v>
      </c>
      <c r="AV26" s="152">
        <f ca="1">IFERROR(__xludf.DUMMYFUNCTION("IMPORTRANGE(""https://docs.google.com/spreadsheets/d/1DY4XTNNwjluuxqdfdn6qvOSlMRrZqUtmYcZR0ttFiG4/edit?usp=sharing"",""ลำปาง!I441"")"),5413)</f>
        <v>5413</v>
      </c>
      <c r="AW26" s="152">
        <f ca="1">IFERROR(__xludf.DUMMYFUNCTION("IMPORTRANGE(""https://docs.google.com/spreadsheets/d/1DY4XTNNwjluuxqdfdn6qvOSlMRrZqUtmYcZR0ttFiG4/edit?usp=sharing"",""ลำปาง!J440"")"),0)</f>
        <v>0</v>
      </c>
      <c r="AX26" s="216">
        <f t="shared" ca="1" si="62"/>
        <v>0</v>
      </c>
      <c r="AY26" s="152">
        <f ca="1">IFERROR(__xludf.DUMMYFUNCTION("IMPORTRANGE(""https://docs.google.com/spreadsheets/d/1DY4XTNNwjluuxqdfdn6qvOSlMRrZqUtmYcZR0ttFiG4/edit?usp=sharing"",""ลำปาง!J441"")"),0)</f>
        <v>0</v>
      </c>
      <c r="AZ26" s="216">
        <f t="shared" ca="1" si="63"/>
        <v>0</v>
      </c>
      <c r="BA26" s="152">
        <f ca="1">IFERROR(__xludf.DUMMYFUNCTION("IMPORTRANGE(""https://docs.google.com/spreadsheets/d/1DY4XTNNwjluuxqdfdn6qvOSlMRrZqUtmYcZR0ttFiG4/edit?usp=sharing"",""ลำปาง!J442"")"),0)</f>
        <v>0</v>
      </c>
      <c r="BB26" s="152">
        <f ca="1">IFERROR(__xludf.DUMMYFUNCTION("IMPORTRANGE(""https://docs.google.com/spreadsheets/d/1DY4XTNNwjluuxqdfdn6qvOSlMRrZqUtmYcZR0ttFiG4/edit?usp=sharing"",""ลำปาง!J443"")"),0)</f>
        <v>0</v>
      </c>
      <c r="BC26" s="152">
        <f ca="1">IFERROR(__xludf.DUMMYFUNCTION("IMPORTRANGE(""https://docs.google.com/spreadsheets/d/1DY4XTNNwjluuxqdfdn6qvOSlMRrZqUtmYcZR0ttFiG4/edit?usp=sharing"",""ลำปาง!J444"")"),0)</f>
        <v>0</v>
      </c>
      <c r="BD26" s="152">
        <f ca="1">IFERROR(__xludf.DUMMYFUNCTION("IMPORTRANGE(""https://docs.google.com/spreadsheets/d/1DY4XTNNwjluuxqdfdn6qvOSlMRrZqUtmYcZR0ttFiG4/edit?usp=sharing"",""ลำปาง!J445"")"),0)</f>
        <v>0</v>
      </c>
      <c r="BE26" s="152">
        <f ca="1">IFERROR(__xludf.DUMMYFUNCTION("IMPORTRANGE(""https://docs.google.com/spreadsheets/d/1DY4XTNNwjluuxqdfdn6qvOSlMRrZqUtmYcZR0ttFiG4/edit?usp=sharing"",""ลำปาง!J446"")"),0)</f>
        <v>0</v>
      </c>
      <c r="BF26" s="152">
        <f ca="1">IFERROR(__xludf.DUMMYFUNCTION("IMPORTRANGE(""https://docs.google.com/spreadsheets/d/1DY4XTNNwjluuxqdfdn6qvOSlMRrZqUtmYcZR0ttFiG4/edit?usp=sharing"",""ลำปาง!J447"")"),0)</f>
        <v>0</v>
      </c>
      <c r="BG26" s="152">
        <f ca="1">IFERROR(__xludf.DUMMYFUNCTION("IMPORTRANGE(""https://docs.google.com/spreadsheets/d/1DY4XTNNwjluuxqdfdn6qvOSlMRrZqUtmYcZR0ttFiG4/edit?usp=sharing"",""ลำปาง!J448"")"),0)</f>
        <v>0</v>
      </c>
      <c r="BH26" s="152">
        <f ca="1">IFERROR(__xludf.DUMMYFUNCTION("IMPORTRANGE(""https://docs.google.com/spreadsheets/d/1DY4XTNNwjluuxqdfdn6qvOSlMRrZqUtmYcZR0ttFiG4/edit?usp=sharing"",""ลำปาง!J449"")"),0)</f>
        <v>0</v>
      </c>
      <c r="BI26" s="152">
        <f ca="1">IFERROR(__xludf.DUMMYFUNCTION("IMPORTRANGE(""https://docs.google.com/spreadsheets/d/1DY4XTNNwjluuxqdfdn6qvOSlMRrZqUtmYcZR0ttFiG4/edit?usp=sharing"",""ลำปาง!J450"")"),0)</f>
        <v>0</v>
      </c>
      <c r="BJ26" s="152">
        <f ca="1">IFERROR(__xludf.DUMMYFUNCTION("IMPORTRANGE(""https://docs.google.com/spreadsheets/d/1DY4XTNNwjluuxqdfdn6qvOSlMRrZqUtmYcZR0ttFiG4/edit?usp=sharing"",""ลำปาง!J451"")"),0)</f>
        <v>0</v>
      </c>
      <c r="BK26" s="152">
        <f ca="1">IFERROR(__xludf.DUMMYFUNCTION("IMPORTRANGE(""https://docs.google.com/spreadsheets/d/1DY4XTNNwjluuxqdfdn6qvOSlMRrZqUtmYcZR0ttFiG4/edit?usp=sharing"",""ลำปาง!J452"")"),0)</f>
        <v>0</v>
      </c>
      <c r="BL26" s="152">
        <f ca="1">IFERROR(__xludf.DUMMYFUNCTION("IMPORTRANGE(""https://docs.google.com/spreadsheets/d/1DY4XTNNwjluuxqdfdn6qvOSlMRrZqUtmYcZR0ttFiG4/edit?usp=sharing"",""ลำปาง!J453"")"),0)</f>
        <v>0</v>
      </c>
      <c r="BM26" s="152">
        <f ca="1">IFERROR(__xludf.DUMMYFUNCTION("IMPORTRANGE(""https://docs.google.com/spreadsheets/d/1DY4XTNNwjluuxqdfdn6qvOSlMRrZqUtmYcZR0ttFiG4/edit?usp=sharing"",""ลำปาง!J454"")"),0)</f>
        <v>0</v>
      </c>
      <c r="BN26" s="152">
        <f ca="1">IFERROR(__xludf.DUMMYFUNCTION("IMPORTRANGE(""https://docs.google.com/spreadsheets/d/1DY4XTNNwjluuxqdfdn6qvOSlMRrZqUtmYcZR0ttFiG4/edit?usp=sharing"",""ลำปาง!J455"")"),0)</f>
        <v>0</v>
      </c>
      <c r="BO26" s="152">
        <f ca="1">IFERROR(__xludf.DUMMYFUNCTION("IMPORTRANGE(""https://docs.google.com/spreadsheets/d/1DY4XTNNwjluuxqdfdn6qvOSlMRrZqUtmYcZR0ttFiG4/edit?usp=sharing"",""ลำปาง!I457"")"),964.48)</f>
        <v>964.48</v>
      </c>
      <c r="BP26" s="152">
        <f ca="1">IFERROR(__xludf.DUMMYFUNCTION("IMPORTRANGE(""https://docs.google.com/spreadsheets/d/1DY4XTNNwjluuxqdfdn6qvOSlMRrZqUtmYcZR0ttFiG4/edit?usp=sharing"",""ลำปาง!I458"")"),146)</f>
        <v>146</v>
      </c>
      <c r="BQ26" s="152">
        <f ca="1">IFERROR(__xludf.DUMMYFUNCTION("IMPORTRANGE(""https://docs.google.com/spreadsheets/d/1DY4XTNNwjluuxqdfdn6qvOSlMRrZqUtmYcZR0ttFiG4/edit?usp=sharing"",""ลำปาง!J457"")"),0)</f>
        <v>0</v>
      </c>
      <c r="BR26" s="216">
        <f t="shared" ca="1" si="65"/>
        <v>0</v>
      </c>
      <c r="BS26" s="152">
        <f ca="1">IFERROR(__xludf.DUMMYFUNCTION("IMPORTRANGE(""https://docs.google.com/spreadsheets/d/1DY4XTNNwjluuxqdfdn6qvOSlMRrZqUtmYcZR0ttFiG4/edit?usp=sharing"",""ลำปาง!J458"")"),0)</f>
        <v>0</v>
      </c>
      <c r="BT26" s="216">
        <f t="shared" ca="1" si="66"/>
        <v>0</v>
      </c>
      <c r="BU26" s="152">
        <f ca="1">IFERROR(__xludf.DUMMYFUNCTION("IMPORTRANGE(""https://docs.google.com/spreadsheets/d/1DY4XTNNwjluuxqdfdn6qvOSlMRrZqUtmYcZR0ttFiG4/edit?usp=sharing"",""ลำปาง!J459"")"),0)</f>
        <v>0</v>
      </c>
      <c r="BV26" s="152">
        <f ca="1">IFERROR(__xludf.DUMMYFUNCTION("IMPORTRANGE(""https://docs.google.com/spreadsheets/d/1DY4XTNNwjluuxqdfdn6qvOSlMRrZqUtmYcZR0ttFiG4/edit?usp=sharing"",""ลำปาง!J460"")"),0)</f>
        <v>0</v>
      </c>
      <c r="BW26" s="152">
        <f ca="1">IFERROR(__xludf.DUMMYFUNCTION("IMPORTRANGE(""https://docs.google.com/spreadsheets/d/1DY4XTNNwjluuxqdfdn6qvOSlMRrZqUtmYcZR0ttFiG4/edit?usp=sharing"",""ลำปาง!J461"")"),0)</f>
        <v>0</v>
      </c>
      <c r="BX26" s="152">
        <f ca="1">IFERROR(__xludf.DUMMYFUNCTION("IMPORTRANGE(""https://docs.google.com/spreadsheets/d/1DY4XTNNwjluuxqdfdn6qvOSlMRrZqUtmYcZR0ttFiG4/edit?usp=sharing"",""ลำปาง!J462"")"),0)</f>
        <v>0</v>
      </c>
      <c r="BY26" s="152">
        <f ca="1">IFERROR(__xludf.DUMMYFUNCTION("IMPORTRANGE(""https://docs.google.com/spreadsheets/d/1DY4XTNNwjluuxqdfdn6qvOSlMRrZqUtmYcZR0ttFiG4/edit?usp=sharing"",""ลำปาง!J463"")"),0)</f>
        <v>0</v>
      </c>
      <c r="BZ26" s="152">
        <f ca="1">IFERROR(__xludf.DUMMYFUNCTION("IMPORTRANGE(""https://docs.google.com/spreadsheets/d/1DY4XTNNwjluuxqdfdn6qvOSlMRrZqUtmYcZR0ttFiG4/edit?usp=sharing"",""ลำปาง!J464"")"),0)</f>
        <v>0</v>
      </c>
      <c r="CA26" s="152">
        <f ca="1">IFERROR(__xludf.DUMMYFUNCTION("IMPORTRANGE(""https://docs.google.com/spreadsheets/d/1DY4XTNNwjluuxqdfdn6qvOSlMRrZqUtmYcZR0ttFiG4/edit?usp=sharing"",""ลำปาง!J465"")"),0)</f>
        <v>0</v>
      </c>
      <c r="CB26" s="152">
        <f ca="1">IFERROR(__xludf.DUMMYFUNCTION("IMPORTRANGE(""https://docs.google.com/spreadsheets/d/1DY4XTNNwjluuxqdfdn6qvOSlMRrZqUtmYcZR0ttFiG4/edit?usp=sharing"",""ลำปาง!J466"")"),0)</f>
        <v>0</v>
      </c>
      <c r="CC26" s="152">
        <f ca="1">IFERROR(__xludf.DUMMYFUNCTION("IMPORTRANGE(""https://docs.google.com/spreadsheets/d/1DY4XTNNwjluuxqdfdn6qvOSlMRrZqUtmYcZR0ttFiG4/edit?usp=sharing"",""ลำปาง!J467"")"),0)</f>
        <v>0</v>
      </c>
      <c r="CD26" s="152">
        <f ca="1">IFERROR(__xludf.DUMMYFUNCTION("IMPORTRANGE(""https://docs.google.com/spreadsheets/d/1DY4XTNNwjluuxqdfdn6qvOSlMRrZqUtmYcZR0ttFiG4/edit?usp=sharing"",""ลำปาง!J468"")"),0)</f>
        <v>0</v>
      </c>
      <c r="CE26" s="152">
        <f ca="1">IFERROR(__xludf.DUMMYFUNCTION("IMPORTRANGE(""https://docs.google.com/spreadsheets/d/1DY4XTNNwjluuxqdfdn6qvOSlMRrZqUtmYcZR0ttFiG4/edit?usp=sharing"",""ลำปาง!J469"")"),0)</f>
        <v>0</v>
      </c>
      <c r="CF26" s="152">
        <f ca="1">IFERROR(__xludf.DUMMYFUNCTION("IMPORTRANGE(""https://docs.google.com/spreadsheets/d/1DY4XTNNwjluuxqdfdn6qvOSlMRrZqUtmYcZR0ttFiG4/edit?usp=sharing"",""ลำปาง!J470"")"),0)</f>
        <v>0</v>
      </c>
      <c r="CG26" s="152">
        <f ca="1">IFERROR(__xludf.DUMMYFUNCTION("IMPORTRANGE(""https://docs.google.com/spreadsheets/d/1DY4XTNNwjluuxqdfdn6qvOSlMRrZqUtmYcZR0ttFiG4/edit?usp=sharing"",""ลำปาง!J471"")"),0)</f>
        <v>0</v>
      </c>
      <c r="CH26" s="152">
        <f ca="1">IFERROR(__xludf.DUMMYFUNCTION("IMPORTRANGE(""https://docs.google.com/spreadsheets/d/1DY4XTNNwjluuxqdfdn6qvOSlMRrZqUtmYcZR0ttFiG4/edit?usp=sharing"",""ลำปาง!J472"")"),0)</f>
        <v>0</v>
      </c>
      <c r="CI26" s="152">
        <f ca="1">IFERROR(__xludf.DUMMYFUNCTION("IMPORTRANGE(""https://docs.google.com/spreadsheets/d/1DY4XTNNwjluuxqdfdn6qvOSlMRrZqUtmYcZR0ttFiG4/edit?usp=sharing"",""ลำปาง!J473"")"),0)</f>
        <v>0</v>
      </c>
      <c r="CJ26" s="152">
        <f ca="1">IFERROR(__xludf.DUMMYFUNCTION("IMPORTRANGE(""https://docs.google.com/spreadsheets/d/1DY4XTNNwjluuxqdfdn6qvOSlMRrZqUtmYcZR0ttFiG4/edit?usp=sharing"",""ลำปาง!J474"")"),0)</f>
        <v>0</v>
      </c>
      <c r="CK26" s="278">
        <f ca="1">IFERROR(__xludf.DUMMYFUNCTION("IMPORTRANGE(""https://docs.google.com/spreadsheets/d/1DY4XTNNwjluuxqdfdn6qvOSlMRrZqUtmYcZR0ttFiG4/edit?usp=sharing"",""ลำปาง!I476"")"),0)</f>
        <v>0</v>
      </c>
      <c r="CL26" s="278">
        <f ca="1">IFERROR(__xludf.DUMMYFUNCTION("IMPORTRANGE(""https://docs.google.com/spreadsheets/d/1DY4XTNNwjluuxqdfdn6qvOSlMRrZqUtmYcZR0ttFiG4/edit?usp=sharing"",""ลำปาง!I477"")"),0)</f>
        <v>0</v>
      </c>
      <c r="CM26" s="278">
        <f ca="1">IFERROR(__xludf.DUMMYFUNCTION("IMPORTRANGE(""https://docs.google.com/spreadsheets/d/1DY4XTNNwjluuxqdfdn6qvOSlMRrZqUtmYcZR0ttFiG4/edit?usp=sharing"",""ลำปาง!J476"")"),0)</f>
        <v>0</v>
      </c>
      <c r="CN26" s="216">
        <f t="shared" ca="1" si="68"/>
        <v>0</v>
      </c>
      <c r="CO26" s="278">
        <f ca="1">IFERROR(__xludf.DUMMYFUNCTION("IMPORTRANGE(""https://docs.google.com/spreadsheets/d/1DY4XTNNwjluuxqdfdn6qvOSlMRrZqUtmYcZR0ttFiG4/edit?usp=sharing"",""ลำปาง!J477"")"),0)</f>
        <v>0</v>
      </c>
      <c r="CP26" s="216">
        <f t="shared" ca="1" si="69"/>
        <v>0</v>
      </c>
      <c r="CQ26" s="278">
        <f ca="1">IFERROR(__xludf.DUMMYFUNCTION("IMPORTRANGE(""https://docs.google.com/spreadsheets/d/1DY4XTNNwjluuxqdfdn6qvOSlMRrZqUtmYcZR0ttFiG4/edit?usp=sharing"",""ลำปาง!J478"")"),0)</f>
        <v>0</v>
      </c>
      <c r="CR26" s="278">
        <f ca="1">IFERROR(__xludf.DUMMYFUNCTION("IMPORTRANGE(""https://docs.google.com/spreadsheets/d/1DY4XTNNwjluuxqdfdn6qvOSlMRrZqUtmYcZR0ttFiG4/edit?usp=sharing"",""ลำปาง!J479"")"),0)</f>
        <v>0</v>
      </c>
      <c r="CS26" s="278">
        <f ca="1">IFERROR(__xludf.DUMMYFUNCTION("IMPORTRANGE(""https://docs.google.com/spreadsheets/d/1DY4XTNNwjluuxqdfdn6qvOSlMRrZqUtmYcZR0ttFiG4/edit?usp=sharing"",""ลำปาง!J480"")"),0)</f>
        <v>0</v>
      </c>
      <c r="CT26" s="278">
        <f ca="1">IFERROR(__xludf.DUMMYFUNCTION("IMPORTRANGE(""https://docs.google.com/spreadsheets/d/1DY4XTNNwjluuxqdfdn6qvOSlMRrZqUtmYcZR0ttFiG4/edit?usp=sharing"",""ลำปาง!J481"")"),0)</f>
        <v>0</v>
      </c>
      <c r="CU26" s="278">
        <f ca="1">IFERROR(__xludf.DUMMYFUNCTION("IMPORTRANGE(""https://docs.google.com/spreadsheets/d/1DY4XTNNwjluuxqdfdn6qvOSlMRrZqUtmYcZR0ttFiG4/edit?usp=sharing"",""ลำปาง!I484"")"),0)</f>
        <v>0</v>
      </c>
      <c r="CV26" s="278">
        <f ca="1">IFERROR(__xludf.DUMMYFUNCTION("IMPORTRANGE(""https://docs.google.com/spreadsheets/d/1DY4XTNNwjluuxqdfdn6qvOSlMRrZqUtmYcZR0ttFiG4/edit?usp=sharing"",""ลำปาง!I485"")"),0)</f>
        <v>0</v>
      </c>
      <c r="CW26" s="278">
        <f ca="1">IFERROR(__xludf.DUMMYFUNCTION("IMPORTRANGE(""https://docs.google.com/spreadsheets/d/1DY4XTNNwjluuxqdfdn6qvOSlMRrZqUtmYcZR0ttFiG4/edit?usp=sharing"",""ลำปาง!J484"")"),0)</f>
        <v>0</v>
      </c>
      <c r="CX26" s="216">
        <f t="shared" ca="1" si="71"/>
        <v>0</v>
      </c>
      <c r="CY26" s="278">
        <f ca="1">IFERROR(__xludf.DUMMYFUNCTION("IMPORTRANGE(""https://docs.google.com/spreadsheets/d/1DY4XTNNwjluuxqdfdn6qvOSlMRrZqUtmYcZR0ttFiG4/edit?usp=sharing"",""ลำปาง!J485"")"),0)</f>
        <v>0</v>
      </c>
      <c r="CZ26" s="216">
        <f t="shared" ca="1" si="72"/>
        <v>0</v>
      </c>
      <c r="DA26" s="278">
        <f ca="1">IFERROR(__xludf.DUMMYFUNCTION("IMPORTRANGE(""https://docs.google.com/spreadsheets/d/1DY4XTNNwjluuxqdfdn6qvOSlMRrZqUtmYcZR0ttFiG4/edit?usp=sharing"",""ลำปาง!J486"")"),0)</f>
        <v>0</v>
      </c>
      <c r="DB26" s="278">
        <f ca="1">IFERROR(__xludf.DUMMYFUNCTION("IMPORTRANGE(""https://docs.google.com/spreadsheets/d/1DY4XTNNwjluuxqdfdn6qvOSlMRrZqUtmYcZR0ttFiG4/edit?usp=sharing"",""ลำปาง!J487"")"),0)</f>
        <v>0</v>
      </c>
      <c r="DC26" s="278">
        <f ca="1">IFERROR(__xludf.DUMMYFUNCTION("IMPORTRANGE(""https://docs.google.com/spreadsheets/d/1DY4XTNNwjluuxqdfdn6qvOSlMRrZqUtmYcZR0ttFiG4/edit?usp=sharing"",""ลำปาง!J488"")"),0)</f>
        <v>0</v>
      </c>
      <c r="DD26" s="278">
        <f ca="1">IFERROR(__xludf.DUMMYFUNCTION("IMPORTRANGE(""https://docs.google.com/spreadsheets/d/1DY4XTNNwjluuxqdfdn6qvOSlMRrZqUtmYcZR0ttFiG4/edit?usp=sharing"",""ลำปาง!J489"")"),0)</f>
        <v>0</v>
      </c>
      <c r="DE26" s="278">
        <f ca="1">IFERROR(__xludf.DUMMYFUNCTION("IMPORTRANGE(""https://docs.google.com/spreadsheets/d/1DY4XTNNwjluuxqdfdn6qvOSlMRrZqUtmYcZR0ttFiG4/edit?usp=sharing"",""ลำปาง!J490"")"),0)</f>
        <v>0</v>
      </c>
      <c r="DF26" s="278">
        <f ca="1">IFERROR(__xludf.DUMMYFUNCTION("IMPORTRANGE(""https://docs.google.com/spreadsheets/d/1DY4XTNNwjluuxqdfdn6qvOSlMRrZqUtmYcZR0ttFiG4/edit?usp=sharing"",""ลำปาง!J491"")"),0)</f>
        <v>0</v>
      </c>
    </row>
    <row r="27" spans="1:110" ht="19.5" x14ac:dyDescent="0.3">
      <c r="A27" s="147">
        <v>14</v>
      </c>
      <c r="B27" s="148" t="s">
        <v>55</v>
      </c>
      <c r="C27" s="566">
        <f t="shared" ca="1" si="44"/>
        <v>456160</v>
      </c>
      <c r="D27" s="567">
        <f t="shared" ca="1" si="74"/>
        <v>456160</v>
      </c>
      <c r="E27" s="329">
        <f ca="1">IFERROR(__xludf.DUMMYFUNCTION("IMPORTRANGE(""https://docs.google.com/spreadsheets/d/1-uDff_7J0KD5mKrp0Vvzr7lt3OU09vwQwhkpOPPYv2Y/edit?usp=sharing"",""งบพรบ!IP27"")"),294100)</f>
        <v>294100</v>
      </c>
      <c r="F27" s="329">
        <f ca="1">IFERROR(__xludf.DUMMYFUNCTION("IMPORTRANGE(""https://docs.google.com/spreadsheets/d/1-uDff_7J0KD5mKrp0Vvzr7lt3OU09vwQwhkpOPPYv2Y/edit?usp=sharing"",""งบพรบ!IQ27"")"),162060)</f>
        <v>162060</v>
      </c>
      <c r="G27" s="329">
        <f ca="1">IFERROR(__xludf.DUMMYFUNCTION("IMPORTRANGE(""https://docs.google.com/spreadsheets/d/1-uDff_7J0KD5mKrp0Vvzr7lt3OU09vwQwhkpOPPYv2Y/edit?usp=sharing"",""งบพรบ!IR27"")"),0)</f>
        <v>0</v>
      </c>
      <c r="H27" s="329">
        <f ca="1">IFERROR(__xludf.DUMMYFUNCTION("IMPORTRANGE(""https://docs.google.com/spreadsheets/d/1-uDff_7J0KD5mKrp0Vvzr7lt3OU09vwQwhkpOPPYv2Y/edit?usp=sharing"",""งบพรบ!IT27"")"),456160)</f>
        <v>456160</v>
      </c>
      <c r="I27" s="329">
        <f ca="1">IFERROR(__xludf.DUMMYFUNCTION("IMPORTRANGE(""https://docs.google.com/spreadsheets/d/1-uDff_7J0KD5mKrp0Vvzr7lt3OU09vwQwhkpOPPYv2Y/edit?usp=sharing"",""งบพรบ!IU27"")"),0)</f>
        <v>0</v>
      </c>
      <c r="J27" s="329">
        <f t="shared" ca="1" si="46"/>
        <v>74347.33</v>
      </c>
      <c r="K27" s="568">
        <f t="shared" ca="1" si="47"/>
        <v>16.298520256050509</v>
      </c>
      <c r="L27" s="329">
        <f ca="1">IFERROR(__xludf.DUMMYFUNCTION("IMPORTRANGE(""https://docs.google.com/spreadsheets/d/1-uDff_7J0KD5mKrp0Vvzr7lt3OU09vwQwhkpOPPYv2Y/edit?usp=sharing"",""งบพรบ!IV27"")"),74347.33)</f>
        <v>74347.33</v>
      </c>
      <c r="M27" s="330">
        <f t="shared" ca="1" si="48"/>
        <v>16.298520256050509</v>
      </c>
      <c r="N27" s="330">
        <f t="shared" ca="1" si="49"/>
        <v>16.298520256050509</v>
      </c>
      <c r="O27" s="569">
        <f ca="1">IFERROR(__xludf.DUMMYFUNCTION("IMPORTRANGE(""https://docs.google.com/spreadsheets/d/1-uDff_7J0KD5mKrp0Vvzr7lt3OU09vwQwhkpOPPYv2Y/edit?usp=sharing"",""งบพรบ!IW27"")"),0)</f>
        <v>0</v>
      </c>
      <c r="P27" s="569">
        <f t="shared" ca="1" si="50"/>
        <v>0</v>
      </c>
      <c r="Q27" s="330">
        <f t="shared" ca="1" si="51"/>
        <v>0</v>
      </c>
      <c r="R27" s="564">
        <f ca="1">IFERROR(__xludf.DUMMYFUNCTION("IMPORTRANGE(""https://docs.google.com/spreadsheets/d/1ICwG78r0OFT8biBlxnBF8r7she7gNSzOvJ958PWT09c/edit?usp=sharing"",""ลำพูน!Q413"")"),53750)</f>
        <v>53750</v>
      </c>
      <c r="S27" s="564">
        <f ca="1">IFERROR(__xludf.DUMMYFUNCTION("IMPORTRANGE(""https://docs.google.com/spreadsheets/d/1ICwG78r0OFT8biBlxnBF8r7she7gNSzOvJ958PWT09c/edit?usp=sharing"",""ลำพูน!R413"")"),53750)</f>
        <v>53750</v>
      </c>
      <c r="T27" s="564">
        <f ca="1">IFERROR(__xludf.DUMMYFUNCTION("IMPORTRANGE(""https://docs.google.com/spreadsheets/d/1ICwG78r0OFT8biBlxnBF8r7she7gNSzOvJ958PWT09c/edit?usp=sharing"",""ลำพูน!S413"")"),11000)</f>
        <v>11000</v>
      </c>
      <c r="U27" s="565">
        <f t="shared" ca="1" si="53"/>
        <v>20.465116279069768</v>
      </c>
      <c r="V27" s="565">
        <f t="shared" ca="1" si="54"/>
        <v>20.465116279069768</v>
      </c>
      <c r="W27" s="152">
        <f ca="1">IFERROR(__xludf.DUMMYFUNCTION("IMPORTRANGE(""https://docs.google.com/spreadsheets/d/1ICwG78r0OFT8biBlxnBF8r7she7gNSzOvJ958PWT09c/edit?usp=sharing"",""ลำพูน!I424"")"),6309)</f>
        <v>6309</v>
      </c>
      <c r="X27" s="152">
        <f ca="1">IFERROR(__xludf.DUMMYFUNCTION("IMPORTRANGE(""https://docs.google.com/spreadsheets/d/1ICwG78r0OFT8biBlxnBF8r7she7gNSzOvJ958PWT09c/edit?usp=sharing"",""ลำพูน!I425"")"),1306)</f>
        <v>1306</v>
      </c>
      <c r="Y27" s="152">
        <f ca="1">IFERROR(__xludf.DUMMYFUNCTION("IMPORTRANGE(""https://docs.google.com/spreadsheets/d/1ICwG78r0OFT8biBlxnBF8r7she7gNSzOvJ958PWT09c/edit?usp=sharing"",""ลำพูน!J424"")"),6309)</f>
        <v>6309</v>
      </c>
      <c r="Z27" s="216">
        <f t="shared" ca="1" si="56"/>
        <v>100</v>
      </c>
      <c r="AA27" s="152">
        <f ca="1">IFERROR(__xludf.DUMMYFUNCTION("IMPORTRANGE(""https://docs.google.com/spreadsheets/d/1ICwG78r0OFT8biBlxnBF8r7she7gNSzOvJ958PWT09c/edit?usp=sharing"",""ลำพูน!J425"")"),1306)</f>
        <v>1306</v>
      </c>
      <c r="AB27" s="216">
        <f t="shared" ca="1" si="57"/>
        <v>100</v>
      </c>
      <c r="AC27" s="152">
        <f ca="1">IFERROR(__xludf.DUMMYFUNCTION("IMPORTRANGE(""https://docs.google.com/spreadsheets/d/1ICwG78r0OFT8biBlxnBF8r7she7gNSzOvJ958PWT09c/edit?usp=sharing"",""ลำพูน!J426"")"),5171)</f>
        <v>5171</v>
      </c>
      <c r="AD27" s="152">
        <f ca="1">IFERROR(__xludf.DUMMYFUNCTION("IMPORTRANGE(""https://docs.google.com/spreadsheets/d/1ICwG78r0OFT8biBlxnBF8r7she7gNSzOvJ958PWT09c/edit?usp=sharing"",""ลำพูน!J427"")"),1105)</f>
        <v>1105</v>
      </c>
      <c r="AE27" s="152">
        <f ca="1">IFERROR(__xludf.DUMMYFUNCTION("IMPORTRANGE(""https://docs.google.com/spreadsheets/d/1ICwG78r0OFT8biBlxnBF8r7she7gNSzOvJ958PWT09c/edit?usp=sharing"",""ลำพูน!J428"")"),789)</f>
        <v>789</v>
      </c>
      <c r="AF27" s="152">
        <f ca="1">IFERROR(__xludf.DUMMYFUNCTION("IMPORTRANGE(""https://docs.google.com/spreadsheets/d/1ICwG78r0OFT8biBlxnBF8r7she7gNSzOvJ958PWT09c/edit?usp=sharing"",""ลำพูน!J429"")"),126)</f>
        <v>126</v>
      </c>
      <c r="AG27" s="152">
        <f ca="1">IFERROR(__xludf.DUMMYFUNCTION("IMPORTRANGE(""https://docs.google.com/spreadsheets/d/1ICwG78r0OFT8biBlxnBF8r7she7gNSzOvJ958PWT09c/edit?usp=sharing"",""ลำพูน!J430"")"),349)</f>
        <v>349</v>
      </c>
      <c r="AH27" s="152">
        <f ca="1">IFERROR(__xludf.DUMMYFUNCTION("IMPORTRANGE(""https://docs.google.com/spreadsheets/d/1ICwG78r0OFT8biBlxnBF8r7she7gNSzOvJ958PWT09c/edit?usp=sharing"",""ลำพูน!J431"")"),75)</f>
        <v>75</v>
      </c>
      <c r="AI27" s="152">
        <f ca="1">IFERROR(__xludf.DUMMYFUNCTION("IMPORTRANGE(""https://docs.google.com/spreadsheets/d/1ICwG78r0OFT8biBlxnBF8r7she7gNSzOvJ958PWT09c/edit?usp=sharing"",""ลำพูน!I432"")"),6309)</f>
        <v>6309</v>
      </c>
      <c r="AJ27" s="152">
        <f ca="1">IFERROR(__xludf.DUMMYFUNCTION("IMPORTRANGE(""https://docs.google.com/spreadsheets/d/1ICwG78r0OFT8biBlxnBF8r7she7gNSzOvJ958PWT09c/edit?usp=sharing"",""ลำพูน!I433"")"),1306)</f>
        <v>1306</v>
      </c>
      <c r="AK27" s="216">
        <f ca="1">IFERROR(__xludf.DUMMYFUNCTION("IMPORTRANGE(""https://docs.google.com/spreadsheets/d/1ICwG78r0OFT8biBlxnBF8r7she7gNSzOvJ958PWT09c/edit?usp=sharing"",""ลำพูน!J432"")"),0)</f>
        <v>0</v>
      </c>
      <c r="AL27" s="216">
        <f t="shared" ca="1" si="59"/>
        <v>0</v>
      </c>
      <c r="AM27" s="152">
        <f ca="1">IFERROR(__xludf.DUMMYFUNCTION("IMPORTRANGE(""https://docs.google.com/spreadsheets/d/1ICwG78r0OFT8biBlxnBF8r7she7gNSzOvJ958PWT09c/edit?usp=sharing"",""ลำพูน!J433"")"),0)</f>
        <v>0</v>
      </c>
      <c r="AN27" s="216">
        <f t="shared" ca="1" si="60"/>
        <v>0</v>
      </c>
      <c r="AO27" s="152">
        <f ca="1">IFERROR(__xludf.DUMMYFUNCTION("IMPORTRANGE(""https://docs.google.com/spreadsheets/d/1ICwG78r0OFT8biBlxnBF8r7she7gNSzOvJ958PWT09c/edit?usp=sharing"",""ลำพูน!J434"")"),0)</f>
        <v>0</v>
      </c>
      <c r="AP27" s="152">
        <f ca="1">IFERROR(__xludf.DUMMYFUNCTION("IMPORTRANGE(""https://docs.google.com/spreadsheets/d/1ICwG78r0OFT8biBlxnBF8r7she7gNSzOvJ958PWT09c/edit?usp=sharing"",""ลำพูน!J435"")"),0)</f>
        <v>0</v>
      </c>
      <c r="AQ27" s="152">
        <f ca="1">IFERROR(__xludf.DUMMYFUNCTION("IMPORTRANGE(""https://docs.google.com/spreadsheets/d/1ICwG78r0OFT8biBlxnBF8r7she7gNSzOvJ958PWT09c/edit?usp=sharing"",""ลำพูน!J436"")"),0)</f>
        <v>0</v>
      </c>
      <c r="AR27" s="152">
        <f ca="1">IFERROR(__xludf.DUMMYFUNCTION("IMPORTRANGE(""https://docs.google.com/spreadsheets/d/1ICwG78r0OFT8biBlxnBF8r7she7gNSzOvJ958PWT09c/edit?usp=sharing"",""ลำพูน!J437"")"),0)</f>
        <v>0</v>
      </c>
      <c r="AS27" s="152">
        <f ca="1">IFERROR(__xludf.DUMMYFUNCTION("IMPORTRANGE(""https://docs.google.com/spreadsheets/d/1ICwG78r0OFT8biBlxnBF8r7she7gNSzOvJ958PWT09c/edit?usp=sharing"",""ลำพูน!J438"")"),0)</f>
        <v>0</v>
      </c>
      <c r="AT27" s="152">
        <f ca="1">IFERROR(__xludf.DUMMYFUNCTION("IMPORTRANGE(""https://docs.google.com/spreadsheets/d/1ICwG78r0OFT8biBlxnBF8r7she7gNSzOvJ958PWT09c/edit?usp=sharing"",""ลำพูน!J439"")"),0)</f>
        <v>0</v>
      </c>
      <c r="AU27" s="152">
        <f ca="1">IFERROR(__xludf.DUMMYFUNCTION("IMPORTRANGE(""https://docs.google.com/spreadsheets/d/1ICwG78r0OFT8biBlxnBF8r7she7gNSzOvJ958PWT09c/edit?usp=sharing"",""ลำพูน!I440"")"),6309)</f>
        <v>6309</v>
      </c>
      <c r="AV27" s="152">
        <f ca="1">IFERROR(__xludf.DUMMYFUNCTION("IMPORTRANGE(""https://docs.google.com/spreadsheets/d/1ICwG78r0OFT8biBlxnBF8r7she7gNSzOvJ958PWT09c/edit?usp=sharing"",""ลำพูน!I441"")"),1306)</f>
        <v>1306</v>
      </c>
      <c r="AW27" s="152">
        <f ca="1">IFERROR(__xludf.DUMMYFUNCTION("IMPORTRANGE(""https://docs.google.com/spreadsheets/d/1ICwG78r0OFT8biBlxnBF8r7she7gNSzOvJ958PWT09c/edit?usp=sharing"",""ลำพูน!J440"")"),0)</f>
        <v>0</v>
      </c>
      <c r="AX27" s="216">
        <f t="shared" ca="1" si="62"/>
        <v>0</v>
      </c>
      <c r="AY27" s="152">
        <f ca="1">IFERROR(__xludf.DUMMYFUNCTION("IMPORTRANGE(""https://docs.google.com/spreadsheets/d/1ICwG78r0OFT8biBlxnBF8r7she7gNSzOvJ958PWT09c/edit?usp=sharing"",""ลำพูน!J441"")"),0)</f>
        <v>0</v>
      </c>
      <c r="AZ27" s="216">
        <f t="shared" ca="1" si="63"/>
        <v>0</v>
      </c>
      <c r="BA27" s="152">
        <f ca="1">IFERROR(__xludf.DUMMYFUNCTION("IMPORTRANGE(""https://docs.google.com/spreadsheets/d/1ICwG78r0OFT8biBlxnBF8r7she7gNSzOvJ958PWT09c/edit?usp=sharing"",""ลำพูน!J442"")"),0)</f>
        <v>0</v>
      </c>
      <c r="BB27" s="152">
        <f ca="1">IFERROR(__xludf.DUMMYFUNCTION("IMPORTRANGE(""https://docs.google.com/spreadsheets/d/1ICwG78r0OFT8biBlxnBF8r7she7gNSzOvJ958PWT09c/edit?usp=sharing"",""ลำพูน!J443"")"),0)</f>
        <v>0</v>
      </c>
      <c r="BC27" s="152">
        <f ca="1">IFERROR(__xludf.DUMMYFUNCTION("IMPORTRANGE(""https://docs.google.com/spreadsheets/d/1ICwG78r0OFT8biBlxnBF8r7she7gNSzOvJ958PWT09c/edit?usp=sharing"",""ลำพูน!J444"")"),0)</f>
        <v>0</v>
      </c>
      <c r="BD27" s="152">
        <f ca="1">IFERROR(__xludf.DUMMYFUNCTION("IMPORTRANGE(""https://docs.google.com/spreadsheets/d/1ICwG78r0OFT8biBlxnBF8r7she7gNSzOvJ958PWT09c/edit?usp=sharing"",""ลำพูน!J445"")"),0)</f>
        <v>0</v>
      </c>
      <c r="BE27" s="152">
        <f ca="1">IFERROR(__xludf.DUMMYFUNCTION("IMPORTRANGE(""https://docs.google.com/spreadsheets/d/1ICwG78r0OFT8biBlxnBF8r7she7gNSzOvJ958PWT09c/edit?usp=sharing"",""ลำพูน!J446"")"),0)</f>
        <v>0</v>
      </c>
      <c r="BF27" s="152">
        <f ca="1">IFERROR(__xludf.DUMMYFUNCTION("IMPORTRANGE(""https://docs.google.com/spreadsheets/d/1ICwG78r0OFT8biBlxnBF8r7she7gNSzOvJ958PWT09c/edit?usp=sharing"",""ลำพูน!J447"")"),0)</f>
        <v>0</v>
      </c>
      <c r="BG27" s="152">
        <f ca="1">IFERROR(__xludf.DUMMYFUNCTION("IMPORTRANGE(""https://docs.google.com/spreadsheets/d/1ICwG78r0OFT8biBlxnBF8r7she7gNSzOvJ958PWT09c/edit?usp=sharing"",""ลำพูน!J448"")"),0)</f>
        <v>0</v>
      </c>
      <c r="BH27" s="152">
        <f ca="1">IFERROR(__xludf.DUMMYFUNCTION("IMPORTRANGE(""https://docs.google.com/spreadsheets/d/1ICwG78r0OFT8biBlxnBF8r7she7gNSzOvJ958PWT09c/edit?usp=sharing"",""ลำพูน!J449"")"),0)</f>
        <v>0</v>
      </c>
      <c r="BI27" s="152">
        <f ca="1">IFERROR(__xludf.DUMMYFUNCTION("IMPORTRANGE(""https://docs.google.com/spreadsheets/d/1ICwG78r0OFT8biBlxnBF8r7she7gNSzOvJ958PWT09c/edit?usp=sharing"",""ลำพูน!J450"")"),0)</f>
        <v>0</v>
      </c>
      <c r="BJ27" s="152">
        <f ca="1">IFERROR(__xludf.DUMMYFUNCTION("IMPORTRANGE(""https://docs.google.com/spreadsheets/d/1ICwG78r0OFT8biBlxnBF8r7she7gNSzOvJ958PWT09c/edit?usp=sharing"",""ลำพูน!J451"")"),0)</f>
        <v>0</v>
      </c>
      <c r="BK27" s="152">
        <f ca="1">IFERROR(__xludf.DUMMYFUNCTION("IMPORTRANGE(""https://docs.google.com/spreadsheets/d/1ICwG78r0OFT8biBlxnBF8r7she7gNSzOvJ958PWT09c/edit?usp=sharing"",""ลำพูน!J452"")"),0)</f>
        <v>0</v>
      </c>
      <c r="BL27" s="152">
        <f ca="1">IFERROR(__xludf.DUMMYFUNCTION("IMPORTRANGE(""https://docs.google.com/spreadsheets/d/1ICwG78r0OFT8biBlxnBF8r7she7gNSzOvJ958PWT09c/edit?usp=sharing"",""ลำพูน!J453"")"),0)</f>
        <v>0</v>
      </c>
      <c r="BM27" s="152">
        <f ca="1">IFERROR(__xludf.DUMMYFUNCTION("IMPORTRANGE(""https://docs.google.com/spreadsheets/d/1ICwG78r0OFT8biBlxnBF8r7she7gNSzOvJ958PWT09c/edit?usp=sharing"",""ลำพูน!J454"")"),0)</f>
        <v>0</v>
      </c>
      <c r="BN27" s="152">
        <f ca="1">IFERROR(__xludf.DUMMYFUNCTION("IMPORTRANGE(""https://docs.google.com/spreadsheets/d/1ICwG78r0OFT8biBlxnBF8r7she7gNSzOvJ958PWT09c/edit?usp=sharing"",""ลำพูน!J455"")"),0)</f>
        <v>0</v>
      </c>
      <c r="BO27" s="152">
        <f ca="1">IFERROR(__xludf.DUMMYFUNCTION("IMPORTRANGE(""https://docs.google.com/spreadsheets/d/1ICwG78r0OFT8biBlxnBF8r7she7gNSzOvJ958PWT09c/edit?usp=sharing"",""ลำพูน!I457"")"),2559.24)</f>
        <v>2559.2399999999998</v>
      </c>
      <c r="BP27" s="152">
        <f ca="1">IFERROR(__xludf.DUMMYFUNCTION("IMPORTRANGE(""https://docs.google.com/spreadsheets/d/1ICwG78r0OFT8biBlxnBF8r7she7gNSzOvJ958PWT09c/edit?usp=sharing"",""ลำพูน!I458"")"),257)</f>
        <v>257</v>
      </c>
      <c r="BQ27" s="152">
        <f ca="1">IFERROR(__xludf.DUMMYFUNCTION("IMPORTRANGE(""https://docs.google.com/spreadsheets/d/1ICwG78r0OFT8biBlxnBF8r7she7gNSzOvJ958PWT09c/edit?usp=sharing"",""ลำพูน!J457"")"),0)</f>
        <v>0</v>
      </c>
      <c r="BR27" s="216">
        <f t="shared" ca="1" si="65"/>
        <v>0</v>
      </c>
      <c r="BS27" s="152">
        <f ca="1">IFERROR(__xludf.DUMMYFUNCTION("IMPORTRANGE(""https://docs.google.com/spreadsheets/d/1ICwG78r0OFT8biBlxnBF8r7she7gNSzOvJ958PWT09c/edit?usp=sharing"",""ลำพูน!J458"")"),0)</f>
        <v>0</v>
      </c>
      <c r="BT27" s="216">
        <f t="shared" ca="1" si="66"/>
        <v>0</v>
      </c>
      <c r="BU27" s="152">
        <f ca="1">IFERROR(__xludf.DUMMYFUNCTION("IMPORTRANGE(""https://docs.google.com/spreadsheets/d/1ICwG78r0OFT8biBlxnBF8r7she7gNSzOvJ958PWT09c/edit?usp=sharing"",""ลำพูน!J459"")"),0)</f>
        <v>0</v>
      </c>
      <c r="BV27" s="152">
        <f ca="1">IFERROR(__xludf.DUMMYFUNCTION("IMPORTRANGE(""https://docs.google.com/spreadsheets/d/1ICwG78r0OFT8biBlxnBF8r7she7gNSzOvJ958PWT09c/edit?usp=sharing"",""ลำพูน!J460"")"),0)</f>
        <v>0</v>
      </c>
      <c r="BW27" s="152">
        <f ca="1">IFERROR(__xludf.DUMMYFUNCTION("IMPORTRANGE(""https://docs.google.com/spreadsheets/d/1ICwG78r0OFT8biBlxnBF8r7she7gNSzOvJ958PWT09c/edit?usp=sharing"",""ลำพูน!J461"")"),0)</f>
        <v>0</v>
      </c>
      <c r="BX27" s="152">
        <f ca="1">IFERROR(__xludf.DUMMYFUNCTION("IMPORTRANGE(""https://docs.google.com/spreadsheets/d/1ICwG78r0OFT8biBlxnBF8r7she7gNSzOvJ958PWT09c/edit?usp=sharing"",""ลำพูน!J462"")"),0)</f>
        <v>0</v>
      </c>
      <c r="BY27" s="152">
        <f ca="1">IFERROR(__xludf.DUMMYFUNCTION("IMPORTRANGE(""https://docs.google.com/spreadsheets/d/1ICwG78r0OFT8biBlxnBF8r7she7gNSzOvJ958PWT09c/edit?usp=sharing"",""ลำพูน!J463"")"),0)</f>
        <v>0</v>
      </c>
      <c r="BZ27" s="152">
        <f ca="1">IFERROR(__xludf.DUMMYFUNCTION("IMPORTRANGE(""https://docs.google.com/spreadsheets/d/1ICwG78r0OFT8biBlxnBF8r7she7gNSzOvJ958PWT09c/edit?usp=sharing"",""ลำพูน!J464"")"),0)</f>
        <v>0</v>
      </c>
      <c r="CA27" s="152">
        <f ca="1">IFERROR(__xludf.DUMMYFUNCTION("IMPORTRANGE(""https://docs.google.com/spreadsheets/d/1ICwG78r0OFT8biBlxnBF8r7she7gNSzOvJ958PWT09c/edit?usp=sharing"",""ลำพูน!J465"")"),0)</f>
        <v>0</v>
      </c>
      <c r="CB27" s="152">
        <f ca="1">IFERROR(__xludf.DUMMYFUNCTION("IMPORTRANGE(""https://docs.google.com/spreadsheets/d/1ICwG78r0OFT8biBlxnBF8r7she7gNSzOvJ958PWT09c/edit?usp=sharing"",""ลำพูน!J466"")"),0)</f>
        <v>0</v>
      </c>
      <c r="CC27" s="152">
        <f ca="1">IFERROR(__xludf.DUMMYFUNCTION("IMPORTRANGE(""https://docs.google.com/spreadsheets/d/1ICwG78r0OFT8biBlxnBF8r7she7gNSzOvJ958PWT09c/edit?usp=sharing"",""ลำพูน!J467"")"),0)</f>
        <v>0</v>
      </c>
      <c r="CD27" s="152">
        <f ca="1">IFERROR(__xludf.DUMMYFUNCTION("IMPORTRANGE(""https://docs.google.com/spreadsheets/d/1ICwG78r0OFT8biBlxnBF8r7she7gNSzOvJ958PWT09c/edit?usp=sharing"",""ลำพูน!J468"")"),0)</f>
        <v>0</v>
      </c>
      <c r="CE27" s="152">
        <f ca="1">IFERROR(__xludf.DUMMYFUNCTION("IMPORTRANGE(""https://docs.google.com/spreadsheets/d/1ICwG78r0OFT8biBlxnBF8r7she7gNSzOvJ958PWT09c/edit?usp=sharing"",""ลำพูน!J469"")"),0)</f>
        <v>0</v>
      </c>
      <c r="CF27" s="152">
        <f ca="1">IFERROR(__xludf.DUMMYFUNCTION("IMPORTRANGE(""https://docs.google.com/spreadsheets/d/1ICwG78r0OFT8biBlxnBF8r7she7gNSzOvJ958PWT09c/edit?usp=sharing"",""ลำพูน!J470"")"),0)</f>
        <v>0</v>
      </c>
      <c r="CG27" s="152">
        <f ca="1">IFERROR(__xludf.DUMMYFUNCTION("IMPORTRANGE(""https://docs.google.com/spreadsheets/d/1ICwG78r0OFT8biBlxnBF8r7she7gNSzOvJ958PWT09c/edit?usp=sharing"",""ลำพูน!J471"")"),0)</f>
        <v>0</v>
      </c>
      <c r="CH27" s="152">
        <f ca="1">IFERROR(__xludf.DUMMYFUNCTION("IMPORTRANGE(""https://docs.google.com/spreadsheets/d/1ICwG78r0OFT8biBlxnBF8r7she7gNSzOvJ958PWT09c/edit?usp=sharing"",""ลำพูน!J472"")"),0)</f>
        <v>0</v>
      </c>
      <c r="CI27" s="152">
        <f ca="1">IFERROR(__xludf.DUMMYFUNCTION("IMPORTRANGE(""https://docs.google.com/spreadsheets/d/1ICwG78r0OFT8biBlxnBF8r7she7gNSzOvJ958PWT09c/edit?usp=sharing"",""ลำพูน!J473"")"),0)</f>
        <v>0</v>
      </c>
      <c r="CJ27" s="152">
        <f ca="1">IFERROR(__xludf.DUMMYFUNCTION("IMPORTRANGE(""https://docs.google.com/spreadsheets/d/1ICwG78r0OFT8biBlxnBF8r7she7gNSzOvJ958PWT09c/edit?usp=sharing"",""ลำพูน!J474"")"),0)</f>
        <v>0</v>
      </c>
      <c r="CK27" s="278">
        <f ca="1">IFERROR(__xludf.DUMMYFUNCTION("IMPORTRANGE(""https://docs.google.com/spreadsheets/d/1ICwG78r0OFT8biBlxnBF8r7she7gNSzOvJ958PWT09c/edit?usp=sharing"",""ลำพูน!I476"")"),0)</f>
        <v>0</v>
      </c>
      <c r="CL27" s="278">
        <f ca="1">IFERROR(__xludf.DUMMYFUNCTION("IMPORTRANGE(""https://docs.google.com/spreadsheets/d/1ICwG78r0OFT8biBlxnBF8r7she7gNSzOvJ958PWT09c/edit?usp=sharing"",""ลำพูน!I477"")"),0)</f>
        <v>0</v>
      </c>
      <c r="CM27" s="278">
        <f ca="1">IFERROR(__xludf.DUMMYFUNCTION("IMPORTRANGE(""https://docs.google.com/spreadsheets/d/1ICwG78r0OFT8biBlxnBF8r7she7gNSzOvJ958PWT09c/edit?usp=sharing"",""ลำพูน!J476"")"),0)</f>
        <v>0</v>
      </c>
      <c r="CN27" s="216">
        <f t="shared" ca="1" si="68"/>
        <v>0</v>
      </c>
      <c r="CO27" s="278">
        <f ca="1">IFERROR(__xludf.DUMMYFUNCTION("IMPORTRANGE(""https://docs.google.com/spreadsheets/d/1ICwG78r0OFT8biBlxnBF8r7she7gNSzOvJ958PWT09c/edit?usp=sharing"",""ลำพูน!J477"")"),0)</f>
        <v>0</v>
      </c>
      <c r="CP27" s="216">
        <f t="shared" ca="1" si="69"/>
        <v>0</v>
      </c>
      <c r="CQ27" s="278">
        <f ca="1">IFERROR(__xludf.DUMMYFUNCTION("IMPORTRANGE(""https://docs.google.com/spreadsheets/d/1ICwG78r0OFT8biBlxnBF8r7she7gNSzOvJ958PWT09c/edit?usp=sharing"",""ลำพูน!J478"")"),0)</f>
        <v>0</v>
      </c>
      <c r="CR27" s="278">
        <f ca="1">IFERROR(__xludf.DUMMYFUNCTION("IMPORTRANGE(""https://docs.google.com/spreadsheets/d/1ICwG78r0OFT8biBlxnBF8r7she7gNSzOvJ958PWT09c/edit?usp=sharing"",""ลำพูน!J479"")"),0)</f>
        <v>0</v>
      </c>
      <c r="CS27" s="278">
        <f ca="1">IFERROR(__xludf.DUMMYFUNCTION("IMPORTRANGE(""https://docs.google.com/spreadsheets/d/1ICwG78r0OFT8biBlxnBF8r7she7gNSzOvJ958PWT09c/edit?usp=sharing"",""ลำพูน!J480"")"),0)</f>
        <v>0</v>
      </c>
      <c r="CT27" s="278">
        <f ca="1">IFERROR(__xludf.DUMMYFUNCTION("IMPORTRANGE(""https://docs.google.com/spreadsheets/d/1ICwG78r0OFT8biBlxnBF8r7she7gNSzOvJ958PWT09c/edit?usp=sharing"",""ลำพูน!J481"")"),0)</f>
        <v>0</v>
      </c>
      <c r="CU27" s="278">
        <f ca="1">IFERROR(__xludf.DUMMYFUNCTION("IMPORTRANGE(""https://docs.google.com/spreadsheets/d/1ICwG78r0OFT8biBlxnBF8r7she7gNSzOvJ958PWT09c/edit?usp=sharing"",""ลำพูน!I484"")"),34)</f>
        <v>34</v>
      </c>
      <c r="CV27" s="278">
        <f ca="1">IFERROR(__xludf.DUMMYFUNCTION("IMPORTRANGE(""https://docs.google.com/spreadsheets/d/1ICwG78r0OFT8biBlxnBF8r7she7gNSzOvJ958PWT09c/edit?usp=sharing"",""ลำพูน!I485"")"),10)</f>
        <v>10</v>
      </c>
      <c r="CW27" s="278">
        <f ca="1">IFERROR(__xludf.DUMMYFUNCTION("IMPORTRANGE(""https://docs.google.com/spreadsheets/d/1ICwG78r0OFT8biBlxnBF8r7she7gNSzOvJ958PWT09c/edit?usp=sharing"",""ลำพูน!J484"")"),0)</f>
        <v>0</v>
      </c>
      <c r="CX27" s="216">
        <f t="shared" ca="1" si="71"/>
        <v>0</v>
      </c>
      <c r="CY27" s="278">
        <f ca="1">IFERROR(__xludf.DUMMYFUNCTION("IMPORTRANGE(""https://docs.google.com/spreadsheets/d/1ICwG78r0OFT8biBlxnBF8r7she7gNSzOvJ958PWT09c/edit?usp=sharing"",""ลำพูน!J485"")"),0)</f>
        <v>0</v>
      </c>
      <c r="CZ27" s="216">
        <f t="shared" ca="1" si="72"/>
        <v>0</v>
      </c>
      <c r="DA27" s="278">
        <f ca="1">IFERROR(__xludf.DUMMYFUNCTION("IMPORTRANGE(""https://docs.google.com/spreadsheets/d/1ICwG78r0OFT8biBlxnBF8r7she7gNSzOvJ958PWT09c/edit?usp=sharing"",""ลำพูน!J486"")"),0)</f>
        <v>0</v>
      </c>
      <c r="DB27" s="278">
        <f ca="1">IFERROR(__xludf.DUMMYFUNCTION("IMPORTRANGE(""https://docs.google.com/spreadsheets/d/1ICwG78r0OFT8biBlxnBF8r7she7gNSzOvJ958PWT09c/edit?usp=sharing"",""ลำพูน!J487"")"),0)</f>
        <v>0</v>
      </c>
      <c r="DC27" s="278">
        <f ca="1">IFERROR(__xludf.DUMMYFUNCTION("IMPORTRANGE(""https://docs.google.com/spreadsheets/d/1ICwG78r0OFT8biBlxnBF8r7she7gNSzOvJ958PWT09c/edit?usp=sharing"",""ลำพูน!J488"")"),0)</f>
        <v>0</v>
      </c>
      <c r="DD27" s="278">
        <f ca="1">IFERROR(__xludf.DUMMYFUNCTION("IMPORTRANGE(""https://docs.google.com/spreadsheets/d/1ICwG78r0OFT8biBlxnBF8r7she7gNSzOvJ958PWT09c/edit?usp=sharing"",""ลำพูน!J489"")"),0)</f>
        <v>0</v>
      </c>
      <c r="DE27" s="278">
        <f ca="1">IFERROR(__xludf.DUMMYFUNCTION("IMPORTRANGE(""https://docs.google.com/spreadsheets/d/1ICwG78r0OFT8biBlxnBF8r7she7gNSzOvJ958PWT09c/edit?usp=sharing"",""ลำพูน!J490"")"),0)</f>
        <v>0</v>
      </c>
      <c r="DF27" s="278">
        <f ca="1">IFERROR(__xludf.DUMMYFUNCTION("IMPORTRANGE(""https://docs.google.com/spreadsheets/d/1ICwG78r0OFT8biBlxnBF8r7she7gNSzOvJ958PWT09c/edit?usp=sharing"",""ลำพูน!J491"")"),0)</f>
        <v>0</v>
      </c>
    </row>
    <row r="28" spans="1:110" ht="19.5" x14ac:dyDescent="0.3">
      <c r="A28" s="147">
        <v>15</v>
      </c>
      <c r="B28" s="148" t="s">
        <v>56</v>
      </c>
      <c r="C28" s="566">
        <f t="shared" ca="1" si="44"/>
        <v>614810</v>
      </c>
      <c r="D28" s="567">
        <f t="shared" ca="1" si="74"/>
        <v>614810</v>
      </c>
      <c r="E28" s="329">
        <f ca="1">IFERROR(__xludf.DUMMYFUNCTION("IMPORTRANGE(""https://docs.google.com/spreadsheets/d/1-uDff_7J0KD5mKrp0Vvzr7lt3OU09vwQwhkpOPPYv2Y/edit?usp=sharing"",""งบพรบ!IP28"")"),233200)</f>
        <v>233200</v>
      </c>
      <c r="F28" s="329">
        <f ca="1">IFERROR(__xludf.DUMMYFUNCTION("IMPORTRANGE(""https://docs.google.com/spreadsheets/d/1-uDff_7J0KD5mKrp0Vvzr7lt3OU09vwQwhkpOPPYv2Y/edit?usp=sharing"",""งบพรบ!IQ28"")"),381610)</f>
        <v>381610</v>
      </c>
      <c r="G28" s="329">
        <f ca="1">IFERROR(__xludf.DUMMYFUNCTION("IMPORTRANGE(""https://docs.google.com/spreadsheets/d/1-uDff_7J0KD5mKrp0Vvzr7lt3OU09vwQwhkpOPPYv2Y/edit?usp=sharing"",""งบพรบ!IR28"")"),0)</f>
        <v>0</v>
      </c>
      <c r="H28" s="329">
        <f ca="1">IFERROR(__xludf.DUMMYFUNCTION("IMPORTRANGE(""https://docs.google.com/spreadsheets/d/1-uDff_7J0KD5mKrp0Vvzr7lt3OU09vwQwhkpOPPYv2Y/edit?usp=sharing"",""งบพรบ!IT28"")"),614810)</f>
        <v>614810</v>
      </c>
      <c r="I28" s="329">
        <f ca="1">IFERROR(__xludf.DUMMYFUNCTION("IMPORTRANGE(""https://docs.google.com/spreadsheets/d/1-uDff_7J0KD5mKrp0Vvzr7lt3OU09vwQwhkpOPPYv2Y/edit?usp=sharing"",""งบพรบ!IU28"")"),0)</f>
        <v>0</v>
      </c>
      <c r="J28" s="329">
        <f t="shared" ca="1" si="46"/>
        <v>272173.27</v>
      </c>
      <c r="K28" s="568">
        <f t="shared" ca="1" si="47"/>
        <v>44.269493014101919</v>
      </c>
      <c r="L28" s="329">
        <f ca="1">IFERROR(__xludf.DUMMYFUNCTION("IMPORTRANGE(""https://docs.google.com/spreadsheets/d/1-uDff_7J0KD5mKrp0Vvzr7lt3OU09vwQwhkpOPPYv2Y/edit?usp=sharing"",""งบพรบ!IV28"")"),272173.27)</f>
        <v>272173.27</v>
      </c>
      <c r="M28" s="330">
        <f t="shared" ca="1" si="48"/>
        <v>44.269493014101919</v>
      </c>
      <c r="N28" s="330">
        <f t="shared" ca="1" si="49"/>
        <v>44.269493014101919</v>
      </c>
      <c r="O28" s="569">
        <f ca="1">IFERROR(__xludf.DUMMYFUNCTION("IMPORTRANGE(""https://docs.google.com/spreadsheets/d/1-uDff_7J0KD5mKrp0Vvzr7lt3OU09vwQwhkpOPPYv2Y/edit?usp=sharing"",""งบพรบ!IW28"")"),0)</f>
        <v>0</v>
      </c>
      <c r="P28" s="569">
        <f t="shared" ca="1" si="50"/>
        <v>0</v>
      </c>
      <c r="Q28" s="330">
        <f t="shared" ca="1" si="51"/>
        <v>0</v>
      </c>
      <c r="R28" s="564">
        <f ca="1">IFERROR(__xludf.DUMMYFUNCTION("IMPORTRANGE(""https://docs.google.com/spreadsheets/d/1B0f2xJpZUC6Z0xXnqKlZtEPzsf6L84eP1r1Q15seqRM/edit?usp=sharing"",""สุโขทัย!Q413"")"),72740)</f>
        <v>72740</v>
      </c>
      <c r="S28" s="564">
        <f ca="1">IFERROR(__xludf.DUMMYFUNCTION("IMPORTRANGE(""https://docs.google.com/spreadsheets/d/1B0f2xJpZUC6Z0xXnqKlZtEPzsf6L84eP1r1Q15seqRM/edit?usp=sharing"",""สุโขทัย!R413"")"),72740)</f>
        <v>72740</v>
      </c>
      <c r="T28" s="564">
        <f ca="1">IFERROR(__xludf.DUMMYFUNCTION("IMPORTRANGE(""https://docs.google.com/spreadsheets/d/1B0f2xJpZUC6Z0xXnqKlZtEPzsf6L84eP1r1Q15seqRM/edit?usp=sharing"",""สุโขทัย!S413"")"),5204)</f>
        <v>5204</v>
      </c>
      <c r="U28" s="565">
        <f t="shared" ca="1" si="53"/>
        <v>7.154248006598845</v>
      </c>
      <c r="V28" s="565">
        <f t="shared" ca="1" si="54"/>
        <v>7.154248006598845</v>
      </c>
      <c r="W28" s="152">
        <f ca="1">IFERROR(__xludf.DUMMYFUNCTION("IMPORTRANGE(""https://docs.google.com/spreadsheets/d/1B0f2xJpZUC6Z0xXnqKlZtEPzsf6L84eP1r1Q15seqRM/edit?usp=sharing"",""สุโขทัย!I424"")"),91916)</f>
        <v>91916</v>
      </c>
      <c r="X28" s="152">
        <f ca="1">IFERROR(__xludf.DUMMYFUNCTION("IMPORTRANGE(""https://docs.google.com/spreadsheets/d/1B0f2xJpZUC6Z0xXnqKlZtEPzsf6L84eP1r1Q15seqRM/edit?usp=sharing"",""สุโขทัย!I425"")"),8168)</f>
        <v>8168</v>
      </c>
      <c r="Y28" s="152">
        <f ca="1">IFERROR(__xludf.DUMMYFUNCTION("IMPORTRANGE(""https://docs.google.com/spreadsheets/d/1B0f2xJpZUC6Z0xXnqKlZtEPzsf6L84eP1r1Q15seqRM/edit?usp=sharing"",""สุโขทัย!J424"")"),91917)</f>
        <v>91917</v>
      </c>
      <c r="Z28" s="216">
        <f t="shared" ca="1" si="56"/>
        <v>100.00108794986727</v>
      </c>
      <c r="AA28" s="152">
        <f ca="1">IFERROR(__xludf.DUMMYFUNCTION("IMPORTRANGE(""https://docs.google.com/spreadsheets/d/1B0f2xJpZUC6Z0xXnqKlZtEPzsf6L84eP1r1Q15seqRM/edit?usp=sharing"",""สุโขทัย!J425"")"),8168)</f>
        <v>8168</v>
      </c>
      <c r="AB28" s="216">
        <f t="shared" ca="1" si="57"/>
        <v>100</v>
      </c>
      <c r="AC28" s="152">
        <f ca="1">IFERROR(__xludf.DUMMYFUNCTION("IMPORTRANGE(""https://docs.google.com/spreadsheets/d/1B0f2xJpZUC6Z0xXnqKlZtEPzsf6L84eP1r1Q15seqRM/edit?usp=sharing"",""สุโขทัย!J426"")"),71320)</f>
        <v>71320</v>
      </c>
      <c r="AD28" s="152">
        <f ca="1">IFERROR(__xludf.DUMMYFUNCTION("IMPORTRANGE(""https://docs.google.com/spreadsheets/d/1B0f2xJpZUC6Z0xXnqKlZtEPzsf6L84eP1r1Q15seqRM/edit?usp=sharing"",""สุโขทัย!J427"")"),6596)</f>
        <v>6596</v>
      </c>
      <c r="AE28" s="152">
        <f ca="1">IFERROR(__xludf.DUMMYFUNCTION("IMPORTRANGE(""https://docs.google.com/spreadsheets/d/1B0f2xJpZUC6Z0xXnqKlZtEPzsf6L84eP1r1Q15seqRM/edit?usp=sharing"",""สุโขทัย!J428"")"),16115)</f>
        <v>16115</v>
      </c>
      <c r="AF28" s="152">
        <f ca="1">IFERROR(__xludf.DUMMYFUNCTION("IMPORTRANGE(""https://docs.google.com/spreadsheets/d/1B0f2xJpZUC6Z0xXnqKlZtEPzsf6L84eP1r1Q15seqRM/edit?usp=sharing"",""สุโขทัย!J429"")"),1190)</f>
        <v>1190</v>
      </c>
      <c r="AG28" s="152">
        <f ca="1">IFERROR(__xludf.DUMMYFUNCTION("IMPORTRANGE(""https://docs.google.com/spreadsheets/d/1B0f2xJpZUC6Z0xXnqKlZtEPzsf6L84eP1r1Q15seqRM/edit?usp=sharing"",""สุโขทัย!J430"")"),4482)</f>
        <v>4482</v>
      </c>
      <c r="AH28" s="152">
        <f ca="1">IFERROR(__xludf.DUMMYFUNCTION("IMPORTRANGE(""https://docs.google.com/spreadsheets/d/1B0f2xJpZUC6Z0xXnqKlZtEPzsf6L84eP1r1Q15seqRM/edit?usp=sharing"",""สุโขทัย!J431"")"),382)</f>
        <v>382</v>
      </c>
      <c r="AI28" s="152">
        <f ca="1">IFERROR(__xludf.DUMMYFUNCTION("IMPORTRANGE(""https://docs.google.com/spreadsheets/d/1B0f2xJpZUC6Z0xXnqKlZtEPzsf6L84eP1r1Q15seqRM/edit?usp=sharing"",""สุโขทัย!I432"")"),91916)</f>
        <v>91916</v>
      </c>
      <c r="AJ28" s="152">
        <f ca="1">IFERROR(__xludf.DUMMYFUNCTION("IMPORTRANGE(""https://docs.google.com/spreadsheets/d/1B0f2xJpZUC6Z0xXnqKlZtEPzsf6L84eP1r1Q15seqRM/edit?usp=sharing"",""สุโขทัย!I433"")"),8168)</f>
        <v>8168</v>
      </c>
      <c r="AK28" s="216">
        <f ca="1">IFERROR(__xludf.DUMMYFUNCTION("IMPORTRANGE(""https://docs.google.com/spreadsheets/d/1B0f2xJpZUC6Z0xXnqKlZtEPzsf6L84eP1r1Q15seqRM/edit?usp=sharing"",""สุโขทัย!J432"")"),0)</f>
        <v>0</v>
      </c>
      <c r="AL28" s="216">
        <f t="shared" ca="1" si="59"/>
        <v>0</v>
      </c>
      <c r="AM28" s="152">
        <f ca="1">IFERROR(__xludf.DUMMYFUNCTION("IMPORTRANGE(""https://docs.google.com/spreadsheets/d/1B0f2xJpZUC6Z0xXnqKlZtEPzsf6L84eP1r1Q15seqRM/edit?usp=sharing"",""สุโขทัย!J433"")"),0)</f>
        <v>0</v>
      </c>
      <c r="AN28" s="216">
        <f t="shared" ca="1" si="60"/>
        <v>0</v>
      </c>
      <c r="AO28" s="152">
        <f ca="1">IFERROR(__xludf.DUMMYFUNCTION("IMPORTRANGE(""https://docs.google.com/spreadsheets/d/1B0f2xJpZUC6Z0xXnqKlZtEPzsf6L84eP1r1Q15seqRM/edit?usp=sharing"",""สุโขทัย!J434"")"),0)</f>
        <v>0</v>
      </c>
      <c r="AP28" s="152">
        <f ca="1">IFERROR(__xludf.DUMMYFUNCTION("IMPORTRANGE(""https://docs.google.com/spreadsheets/d/1B0f2xJpZUC6Z0xXnqKlZtEPzsf6L84eP1r1Q15seqRM/edit?usp=sharing"",""สุโขทัย!J435"")"),0)</f>
        <v>0</v>
      </c>
      <c r="AQ28" s="152">
        <f ca="1">IFERROR(__xludf.DUMMYFUNCTION("IMPORTRANGE(""https://docs.google.com/spreadsheets/d/1B0f2xJpZUC6Z0xXnqKlZtEPzsf6L84eP1r1Q15seqRM/edit?usp=sharing"",""สุโขทัย!J436"")"),0)</f>
        <v>0</v>
      </c>
      <c r="AR28" s="152">
        <f ca="1">IFERROR(__xludf.DUMMYFUNCTION("IMPORTRANGE(""https://docs.google.com/spreadsheets/d/1B0f2xJpZUC6Z0xXnqKlZtEPzsf6L84eP1r1Q15seqRM/edit?usp=sharing"",""สุโขทัย!J437"")"),0)</f>
        <v>0</v>
      </c>
      <c r="AS28" s="152">
        <f ca="1">IFERROR(__xludf.DUMMYFUNCTION("IMPORTRANGE(""https://docs.google.com/spreadsheets/d/1B0f2xJpZUC6Z0xXnqKlZtEPzsf6L84eP1r1Q15seqRM/edit?usp=sharing"",""สุโขทัย!J438"")"),0)</f>
        <v>0</v>
      </c>
      <c r="AT28" s="152">
        <f ca="1">IFERROR(__xludf.DUMMYFUNCTION("IMPORTRANGE(""https://docs.google.com/spreadsheets/d/1B0f2xJpZUC6Z0xXnqKlZtEPzsf6L84eP1r1Q15seqRM/edit?usp=sharing"",""สุโขทัย!J439"")"),0)</f>
        <v>0</v>
      </c>
      <c r="AU28" s="152">
        <f ca="1">IFERROR(__xludf.DUMMYFUNCTION("IMPORTRANGE(""https://docs.google.com/spreadsheets/d/1B0f2xJpZUC6Z0xXnqKlZtEPzsf6L84eP1r1Q15seqRM/edit?usp=sharing"",""สุโขทัย!I440"")"),91916)</f>
        <v>91916</v>
      </c>
      <c r="AV28" s="152">
        <f ca="1">IFERROR(__xludf.DUMMYFUNCTION("IMPORTRANGE(""https://docs.google.com/spreadsheets/d/1B0f2xJpZUC6Z0xXnqKlZtEPzsf6L84eP1r1Q15seqRM/edit?usp=sharing"",""สุโขทัย!I441"")"),8168)</f>
        <v>8168</v>
      </c>
      <c r="AW28" s="152">
        <f ca="1">IFERROR(__xludf.DUMMYFUNCTION("IMPORTRANGE(""https://docs.google.com/spreadsheets/d/1B0f2xJpZUC6Z0xXnqKlZtEPzsf6L84eP1r1Q15seqRM/edit?usp=sharing"",""สุโขทัย!J440"")"),0)</f>
        <v>0</v>
      </c>
      <c r="AX28" s="216">
        <f t="shared" ca="1" si="62"/>
        <v>0</v>
      </c>
      <c r="AY28" s="152">
        <f ca="1">IFERROR(__xludf.DUMMYFUNCTION("IMPORTRANGE(""https://docs.google.com/spreadsheets/d/1B0f2xJpZUC6Z0xXnqKlZtEPzsf6L84eP1r1Q15seqRM/edit?usp=sharing"",""สุโขทัย!J441"")"),0)</f>
        <v>0</v>
      </c>
      <c r="AZ28" s="216">
        <f t="shared" ca="1" si="63"/>
        <v>0</v>
      </c>
      <c r="BA28" s="152">
        <f ca="1">IFERROR(__xludf.DUMMYFUNCTION("IMPORTRANGE(""https://docs.google.com/spreadsheets/d/1B0f2xJpZUC6Z0xXnqKlZtEPzsf6L84eP1r1Q15seqRM/edit?usp=sharing"",""สุโขทัย!J442"")"),0)</f>
        <v>0</v>
      </c>
      <c r="BB28" s="152">
        <f ca="1">IFERROR(__xludf.DUMMYFUNCTION("IMPORTRANGE(""https://docs.google.com/spreadsheets/d/1B0f2xJpZUC6Z0xXnqKlZtEPzsf6L84eP1r1Q15seqRM/edit?usp=sharing"",""สุโขทัย!J443"")"),0)</f>
        <v>0</v>
      </c>
      <c r="BC28" s="152">
        <f ca="1">IFERROR(__xludf.DUMMYFUNCTION("IMPORTRANGE(""https://docs.google.com/spreadsheets/d/1B0f2xJpZUC6Z0xXnqKlZtEPzsf6L84eP1r1Q15seqRM/edit?usp=sharing"",""สุโขทัย!J444"")"),0)</f>
        <v>0</v>
      </c>
      <c r="BD28" s="152">
        <f ca="1">IFERROR(__xludf.DUMMYFUNCTION("IMPORTRANGE(""https://docs.google.com/spreadsheets/d/1B0f2xJpZUC6Z0xXnqKlZtEPzsf6L84eP1r1Q15seqRM/edit?usp=sharing"",""สุโขทัย!J445"")"),0)</f>
        <v>0</v>
      </c>
      <c r="BE28" s="152">
        <f ca="1">IFERROR(__xludf.DUMMYFUNCTION("IMPORTRANGE(""https://docs.google.com/spreadsheets/d/1B0f2xJpZUC6Z0xXnqKlZtEPzsf6L84eP1r1Q15seqRM/edit?usp=sharing"",""สุโขทัย!J446"")"),0)</f>
        <v>0</v>
      </c>
      <c r="BF28" s="152">
        <f ca="1">IFERROR(__xludf.DUMMYFUNCTION("IMPORTRANGE(""https://docs.google.com/spreadsheets/d/1B0f2xJpZUC6Z0xXnqKlZtEPzsf6L84eP1r1Q15seqRM/edit?usp=sharing"",""สุโขทัย!J447"")"),0)</f>
        <v>0</v>
      </c>
      <c r="BG28" s="152">
        <f ca="1">IFERROR(__xludf.DUMMYFUNCTION("IMPORTRANGE(""https://docs.google.com/spreadsheets/d/1B0f2xJpZUC6Z0xXnqKlZtEPzsf6L84eP1r1Q15seqRM/edit?usp=sharing"",""สุโขทัย!J448"")"),0)</f>
        <v>0</v>
      </c>
      <c r="BH28" s="152">
        <f ca="1">IFERROR(__xludf.DUMMYFUNCTION("IMPORTRANGE(""https://docs.google.com/spreadsheets/d/1B0f2xJpZUC6Z0xXnqKlZtEPzsf6L84eP1r1Q15seqRM/edit?usp=sharing"",""สุโขทัย!J449"")"),0)</f>
        <v>0</v>
      </c>
      <c r="BI28" s="152">
        <f ca="1">IFERROR(__xludf.DUMMYFUNCTION("IMPORTRANGE(""https://docs.google.com/spreadsheets/d/1B0f2xJpZUC6Z0xXnqKlZtEPzsf6L84eP1r1Q15seqRM/edit?usp=sharing"",""สุโขทัย!J450"")"),0)</f>
        <v>0</v>
      </c>
      <c r="BJ28" s="152">
        <f ca="1">IFERROR(__xludf.DUMMYFUNCTION("IMPORTRANGE(""https://docs.google.com/spreadsheets/d/1B0f2xJpZUC6Z0xXnqKlZtEPzsf6L84eP1r1Q15seqRM/edit?usp=sharing"",""สุโขทัย!J451"")"),0)</f>
        <v>0</v>
      </c>
      <c r="BK28" s="152">
        <f ca="1">IFERROR(__xludf.DUMMYFUNCTION("IMPORTRANGE(""https://docs.google.com/spreadsheets/d/1B0f2xJpZUC6Z0xXnqKlZtEPzsf6L84eP1r1Q15seqRM/edit?usp=sharing"",""สุโขทัย!J452"")"),0)</f>
        <v>0</v>
      </c>
      <c r="BL28" s="152">
        <f ca="1">IFERROR(__xludf.DUMMYFUNCTION("IMPORTRANGE(""https://docs.google.com/spreadsheets/d/1B0f2xJpZUC6Z0xXnqKlZtEPzsf6L84eP1r1Q15seqRM/edit?usp=sharing"",""สุโขทัย!J453"")"),0)</f>
        <v>0</v>
      </c>
      <c r="BM28" s="152">
        <f ca="1">IFERROR(__xludf.DUMMYFUNCTION("IMPORTRANGE(""https://docs.google.com/spreadsheets/d/1B0f2xJpZUC6Z0xXnqKlZtEPzsf6L84eP1r1Q15seqRM/edit?usp=sharing"",""สุโขทัย!J454"")"),0)</f>
        <v>0</v>
      </c>
      <c r="BN28" s="152">
        <f ca="1">IFERROR(__xludf.DUMMYFUNCTION("IMPORTRANGE(""https://docs.google.com/spreadsheets/d/1B0f2xJpZUC6Z0xXnqKlZtEPzsf6L84eP1r1Q15seqRM/edit?usp=sharing"",""สุโขทัย!J455"")"),0)</f>
        <v>0</v>
      </c>
      <c r="BO28" s="152">
        <f ca="1">IFERROR(__xludf.DUMMYFUNCTION("IMPORTRANGE(""https://docs.google.com/spreadsheets/d/1B0f2xJpZUC6Z0xXnqKlZtEPzsf6L84eP1r1Q15seqRM/edit?usp=sharing"",""สุโขทัย!I457"")"),4429.28)</f>
        <v>4429.28</v>
      </c>
      <c r="BP28" s="152">
        <f ca="1">IFERROR(__xludf.DUMMYFUNCTION("IMPORTRANGE(""https://docs.google.com/spreadsheets/d/1B0f2xJpZUC6Z0xXnqKlZtEPzsf6L84eP1r1Q15seqRM/edit?usp=sharing"",""สุโขทัย!I458"")"),450)</f>
        <v>450</v>
      </c>
      <c r="BQ28" s="152">
        <f ca="1">IFERROR(__xludf.DUMMYFUNCTION("IMPORTRANGE(""https://docs.google.com/spreadsheets/d/1B0f2xJpZUC6Z0xXnqKlZtEPzsf6L84eP1r1Q15seqRM/edit?usp=sharing"",""สุโขทัย!J457"")"),1130)</f>
        <v>1130</v>
      </c>
      <c r="BR28" s="216">
        <f t="shared" ca="1" si="65"/>
        <v>25.512047104721312</v>
      </c>
      <c r="BS28" s="152">
        <f ca="1">IFERROR(__xludf.DUMMYFUNCTION("IMPORTRANGE(""https://docs.google.com/spreadsheets/d/1B0f2xJpZUC6Z0xXnqKlZtEPzsf6L84eP1r1Q15seqRM/edit?usp=sharing"",""สุโขทัย!J458"")"),91)</f>
        <v>91</v>
      </c>
      <c r="BT28" s="216">
        <f t="shared" ca="1" si="66"/>
        <v>20.222222222222221</v>
      </c>
      <c r="BU28" s="152">
        <f ca="1">IFERROR(__xludf.DUMMYFUNCTION("IMPORTRANGE(""https://docs.google.com/spreadsheets/d/1B0f2xJpZUC6Z0xXnqKlZtEPzsf6L84eP1r1Q15seqRM/edit?usp=sharing"",""สุโขทัย!J459"")"),1130)</f>
        <v>1130</v>
      </c>
      <c r="BV28" s="152">
        <f ca="1">IFERROR(__xludf.DUMMYFUNCTION("IMPORTRANGE(""https://docs.google.com/spreadsheets/d/1B0f2xJpZUC6Z0xXnqKlZtEPzsf6L84eP1r1Q15seqRM/edit?usp=sharing"",""สุโขทัย!J460"")"),91)</f>
        <v>91</v>
      </c>
      <c r="BW28" s="152">
        <f ca="1">IFERROR(__xludf.DUMMYFUNCTION("IMPORTRANGE(""https://docs.google.com/spreadsheets/d/1B0f2xJpZUC6Z0xXnqKlZtEPzsf6L84eP1r1Q15seqRM/edit?usp=sharing"",""สุโขทัย!J461"")"),1130)</f>
        <v>1130</v>
      </c>
      <c r="BX28" s="152">
        <f ca="1">IFERROR(__xludf.DUMMYFUNCTION("IMPORTRANGE(""https://docs.google.com/spreadsheets/d/1B0f2xJpZUC6Z0xXnqKlZtEPzsf6L84eP1r1Q15seqRM/edit?usp=sharing"",""สุโขทัย!J462"")"),91)</f>
        <v>91</v>
      </c>
      <c r="BY28" s="152">
        <f ca="1">IFERROR(__xludf.DUMMYFUNCTION("IMPORTRANGE(""https://docs.google.com/spreadsheets/d/1B0f2xJpZUC6Z0xXnqKlZtEPzsf6L84eP1r1Q15seqRM/edit?usp=sharing"",""สุโขทัย!J463"")"),0)</f>
        <v>0</v>
      </c>
      <c r="BZ28" s="152">
        <f ca="1">IFERROR(__xludf.DUMMYFUNCTION("IMPORTRANGE(""https://docs.google.com/spreadsheets/d/1B0f2xJpZUC6Z0xXnqKlZtEPzsf6L84eP1r1Q15seqRM/edit?usp=sharing"",""สุโขทัย!J464"")"),0)</f>
        <v>0</v>
      </c>
      <c r="CA28" s="152">
        <f ca="1">IFERROR(__xludf.DUMMYFUNCTION("IMPORTRANGE(""https://docs.google.com/spreadsheets/d/1B0f2xJpZUC6Z0xXnqKlZtEPzsf6L84eP1r1Q15seqRM/edit?usp=sharing"",""สุโขทัย!J465"")"),0)</f>
        <v>0</v>
      </c>
      <c r="CB28" s="152">
        <f ca="1">IFERROR(__xludf.DUMMYFUNCTION("IMPORTRANGE(""https://docs.google.com/spreadsheets/d/1B0f2xJpZUC6Z0xXnqKlZtEPzsf6L84eP1r1Q15seqRM/edit?usp=sharing"",""สุโขทัย!J466"")"),0)</f>
        <v>0</v>
      </c>
      <c r="CC28" s="152">
        <f ca="1">IFERROR(__xludf.DUMMYFUNCTION("IMPORTRANGE(""https://docs.google.com/spreadsheets/d/1B0f2xJpZUC6Z0xXnqKlZtEPzsf6L84eP1r1Q15seqRM/edit?usp=sharing"",""สุโขทัย!J467"")"),0)</f>
        <v>0</v>
      </c>
      <c r="CD28" s="152">
        <f ca="1">IFERROR(__xludf.DUMMYFUNCTION("IMPORTRANGE(""https://docs.google.com/spreadsheets/d/1B0f2xJpZUC6Z0xXnqKlZtEPzsf6L84eP1r1Q15seqRM/edit?usp=sharing"",""สุโขทัย!J468"")"),0)</f>
        <v>0</v>
      </c>
      <c r="CE28" s="152">
        <f ca="1">IFERROR(__xludf.DUMMYFUNCTION("IMPORTRANGE(""https://docs.google.com/spreadsheets/d/1B0f2xJpZUC6Z0xXnqKlZtEPzsf6L84eP1r1Q15seqRM/edit?usp=sharing"",""สุโขทัย!J469"")"),0)</f>
        <v>0</v>
      </c>
      <c r="CF28" s="152">
        <f ca="1">IFERROR(__xludf.DUMMYFUNCTION("IMPORTRANGE(""https://docs.google.com/spreadsheets/d/1B0f2xJpZUC6Z0xXnqKlZtEPzsf6L84eP1r1Q15seqRM/edit?usp=sharing"",""สุโขทัย!J470"")"),0)</f>
        <v>0</v>
      </c>
      <c r="CG28" s="152">
        <f ca="1">IFERROR(__xludf.DUMMYFUNCTION("IMPORTRANGE(""https://docs.google.com/spreadsheets/d/1B0f2xJpZUC6Z0xXnqKlZtEPzsf6L84eP1r1Q15seqRM/edit?usp=sharing"",""สุโขทัย!J471"")"),0)</f>
        <v>0</v>
      </c>
      <c r="CH28" s="152">
        <f ca="1">IFERROR(__xludf.DUMMYFUNCTION("IMPORTRANGE(""https://docs.google.com/spreadsheets/d/1B0f2xJpZUC6Z0xXnqKlZtEPzsf6L84eP1r1Q15seqRM/edit?usp=sharing"",""สุโขทัย!J472"")"),0)</f>
        <v>0</v>
      </c>
      <c r="CI28" s="152">
        <f ca="1">IFERROR(__xludf.DUMMYFUNCTION("IMPORTRANGE(""https://docs.google.com/spreadsheets/d/1B0f2xJpZUC6Z0xXnqKlZtEPzsf6L84eP1r1Q15seqRM/edit?usp=sharing"",""สุโขทัย!J473"")"),0)</f>
        <v>0</v>
      </c>
      <c r="CJ28" s="152">
        <f ca="1">IFERROR(__xludf.DUMMYFUNCTION("IMPORTRANGE(""https://docs.google.com/spreadsheets/d/1B0f2xJpZUC6Z0xXnqKlZtEPzsf6L84eP1r1Q15seqRM/edit?usp=sharing"",""สุโขทัย!J474"")"),0)</f>
        <v>0</v>
      </c>
      <c r="CK28" s="278">
        <f ca="1">IFERROR(__xludf.DUMMYFUNCTION("IMPORTRANGE(""https://docs.google.com/spreadsheets/d/1B0f2xJpZUC6Z0xXnqKlZtEPzsf6L84eP1r1Q15seqRM/edit?usp=sharing"",""สุโขทัย!I476"")"),0)</f>
        <v>0</v>
      </c>
      <c r="CL28" s="278">
        <f ca="1">IFERROR(__xludf.DUMMYFUNCTION("IMPORTRANGE(""https://docs.google.com/spreadsheets/d/1B0f2xJpZUC6Z0xXnqKlZtEPzsf6L84eP1r1Q15seqRM/edit?usp=sharing"",""สุโขทัย!I477"")"),0)</f>
        <v>0</v>
      </c>
      <c r="CM28" s="278">
        <f ca="1">IFERROR(__xludf.DUMMYFUNCTION("IMPORTRANGE(""https://docs.google.com/spreadsheets/d/1B0f2xJpZUC6Z0xXnqKlZtEPzsf6L84eP1r1Q15seqRM/edit?usp=sharing"",""สุโขทัย!J476"")"),0)</f>
        <v>0</v>
      </c>
      <c r="CN28" s="216">
        <f t="shared" ca="1" si="68"/>
        <v>0</v>
      </c>
      <c r="CO28" s="278">
        <f ca="1">IFERROR(__xludf.DUMMYFUNCTION("IMPORTRANGE(""https://docs.google.com/spreadsheets/d/1B0f2xJpZUC6Z0xXnqKlZtEPzsf6L84eP1r1Q15seqRM/edit?usp=sharing"",""สุโขทัย!J477"")"),0)</f>
        <v>0</v>
      </c>
      <c r="CP28" s="216">
        <f t="shared" ca="1" si="69"/>
        <v>0</v>
      </c>
      <c r="CQ28" s="278">
        <f ca="1">IFERROR(__xludf.DUMMYFUNCTION("IMPORTRANGE(""https://docs.google.com/spreadsheets/d/1B0f2xJpZUC6Z0xXnqKlZtEPzsf6L84eP1r1Q15seqRM/edit?usp=sharing"",""สุโขทัย!J478"")"),0)</f>
        <v>0</v>
      </c>
      <c r="CR28" s="278">
        <f ca="1">IFERROR(__xludf.DUMMYFUNCTION("IMPORTRANGE(""https://docs.google.com/spreadsheets/d/1B0f2xJpZUC6Z0xXnqKlZtEPzsf6L84eP1r1Q15seqRM/edit?usp=sharing"",""สุโขทัย!J479"")"),0)</f>
        <v>0</v>
      </c>
      <c r="CS28" s="278">
        <f ca="1">IFERROR(__xludf.DUMMYFUNCTION("IMPORTRANGE(""https://docs.google.com/spreadsheets/d/1B0f2xJpZUC6Z0xXnqKlZtEPzsf6L84eP1r1Q15seqRM/edit?usp=sharing"",""สุโขทัย!J480"")"),0)</f>
        <v>0</v>
      </c>
      <c r="CT28" s="278">
        <f ca="1">IFERROR(__xludf.DUMMYFUNCTION("IMPORTRANGE(""https://docs.google.com/spreadsheets/d/1B0f2xJpZUC6Z0xXnqKlZtEPzsf6L84eP1r1Q15seqRM/edit?usp=sharing"",""สุโขทัย!J481"")"),0)</f>
        <v>0</v>
      </c>
      <c r="CU28" s="278">
        <f ca="1">IFERROR(__xludf.DUMMYFUNCTION("IMPORTRANGE(""https://docs.google.com/spreadsheets/d/1B0f2xJpZUC6Z0xXnqKlZtEPzsf6L84eP1r1Q15seqRM/edit?usp=sharing"",""สุโขทัย!I484"")"),172)</f>
        <v>172</v>
      </c>
      <c r="CV28" s="278">
        <f ca="1">IFERROR(__xludf.DUMMYFUNCTION("IMPORTRANGE(""https://docs.google.com/spreadsheets/d/1B0f2xJpZUC6Z0xXnqKlZtEPzsf6L84eP1r1Q15seqRM/edit?usp=sharing"",""สุโขทัย!I485"")"),6)</f>
        <v>6</v>
      </c>
      <c r="CW28" s="278">
        <f ca="1">IFERROR(__xludf.DUMMYFUNCTION("IMPORTRANGE(""https://docs.google.com/spreadsheets/d/1B0f2xJpZUC6Z0xXnqKlZtEPzsf6L84eP1r1Q15seqRM/edit?usp=sharing"",""สุโขทัย!J484"")"),172)</f>
        <v>172</v>
      </c>
      <c r="CX28" s="216">
        <f t="shared" ca="1" si="71"/>
        <v>100</v>
      </c>
      <c r="CY28" s="278">
        <f ca="1">IFERROR(__xludf.DUMMYFUNCTION("IMPORTRANGE(""https://docs.google.com/spreadsheets/d/1B0f2xJpZUC6Z0xXnqKlZtEPzsf6L84eP1r1Q15seqRM/edit?usp=sharing"",""สุโขทัย!J485"")"),6)</f>
        <v>6</v>
      </c>
      <c r="CZ28" s="216">
        <f t="shared" ca="1" si="72"/>
        <v>100</v>
      </c>
      <c r="DA28" s="278">
        <f ca="1">IFERROR(__xludf.DUMMYFUNCTION("IMPORTRANGE(""https://docs.google.com/spreadsheets/d/1B0f2xJpZUC6Z0xXnqKlZtEPzsf6L84eP1r1Q15seqRM/edit?usp=sharing"",""สุโขทัย!J486"")"),2)</f>
        <v>2</v>
      </c>
      <c r="DB28" s="278">
        <f ca="1">IFERROR(__xludf.DUMMYFUNCTION("IMPORTRANGE(""https://docs.google.com/spreadsheets/d/1B0f2xJpZUC6Z0xXnqKlZtEPzsf6L84eP1r1Q15seqRM/edit?usp=sharing"",""สุโขทัย!J487"")"),1)</f>
        <v>1</v>
      </c>
      <c r="DC28" s="278">
        <f ca="1">IFERROR(__xludf.DUMMYFUNCTION("IMPORTRANGE(""https://docs.google.com/spreadsheets/d/1B0f2xJpZUC6Z0xXnqKlZtEPzsf6L84eP1r1Q15seqRM/edit?usp=sharing"",""สุโขทัย!J488"")"),0)</f>
        <v>0</v>
      </c>
      <c r="DD28" s="278">
        <f ca="1">IFERROR(__xludf.DUMMYFUNCTION("IMPORTRANGE(""https://docs.google.com/spreadsheets/d/1B0f2xJpZUC6Z0xXnqKlZtEPzsf6L84eP1r1Q15seqRM/edit?usp=sharing"",""สุโขทัย!J489"")"),0)</f>
        <v>0</v>
      </c>
      <c r="DE28" s="278">
        <f ca="1">IFERROR(__xludf.DUMMYFUNCTION("IMPORTRANGE(""https://docs.google.com/spreadsheets/d/1B0f2xJpZUC6Z0xXnqKlZtEPzsf6L84eP1r1Q15seqRM/edit?usp=sharing"",""สุโขทัย!J490"")"),170)</f>
        <v>170</v>
      </c>
      <c r="DF28" s="278">
        <f ca="1">IFERROR(__xludf.DUMMYFUNCTION("IMPORTRANGE(""https://docs.google.com/spreadsheets/d/1B0f2xJpZUC6Z0xXnqKlZtEPzsf6L84eP1r1Q15seqRM/edit?usp=sharing"",""สุโขทัย!J491"")"),5)</f>
        <v>5</v>
      </c>
    </row>
    <row r="29" spans="1:110" ht="19.5" x14ac:dyDescent="0.3">
      <c r="A29" s="147">
        <v>16</v>
      </c>
      <c r="B29" s="148" t="s">
        <v>57</v>
      </c>
      <c r="C29" s="566">
        <f t="shared" ca="1" si="44"/>
        <v>20710</v>
      </c>
      <c r="D29" s="567">
        <f t="shared" ca="1" si="74"/>
        <v>20710</v>
      </c>
      <c r="E29" s="329">
        <f ca="1">IFERROR(__xludf.DUMMYFUNCTION("IMPORTRANGE(""https://docs.google.com/spreadsheets/d/1-uDff_7J0KD5mKrp0Vvzr7lt3OU09vwQwhkpOPPYv2Y/edit?usp=sharing"",""งบพรบ!IP29"")"),0)</f>
        <v>0</v>
      </c>
      <c r="F29" s="329">
        <f ca="1">IFERROR(__xludf.DUMMYFUNCTION("IMPORTRANGE(""https://docs.google.com/spreadsheets/d/1-uDff_7J0KD5mKrp0Vvzr7lt3OU09vwQwhkpOPPYv2Y/edit?usp=sharing"",""งบพรบ!IQ29"")"),20710)</f>
        <v>20710</v>
      </c>
      <c r="G29" s="329">
        <f ca="1">IFERROR(__xludf.DUMMYFUNCTION("IMPORTRANGE(""https://docs.google.com/spreadsheets/d/1-uDff_7J0KD5mKrp0Vvzr7lt3OU09vwQwhkpOPPYv2Y/edit?usp=sharing"",""งบพรบ!IR29"")"),0)</f>
        <v>0</v>
      </c>
      <c r="H29" s="329">
        <f ca="1">IFERROR(__xludf.DUMMYFUNCTION("IMPORTRANGE(""https://docs.google.com/spreadsheets/d/1-uDff_7J0KD5mKrp0Vvzr7lt3OU09vwQwhkpOPPYv2Y/edit?usp=sharing"",""งบพรบ!IT29"")"),20710)</f>
        <v>20710</v>
      </c>
      <c r="I29" s="329">
        <f ca="1">IFERROR(__xludf.DUMMYFUNCTION("IMPORTRANGE(""https://docs.google.com/spreadsheets/d/1-uDff_7J0KD5mKrp0Vvzr7lt3OU09vwQwhkpOPPYv2Y/edit?usp=sharing"",""งบพรบ!IU29"")"),0)</f>
        <v>0</v>
      </c>
      <c r="J29" s="329">
        <f t="shared" ca="1" si="46"/>
        <v>10240</v>
      </c>
      <c r="K29" s="568">
        <f t="shared" ca="1" si="47"/>
        <v>49.444712699179142</v>
      </c>
      <c r="L29" s="329">
        <f ca="1">IFERROR(__xludf.DUMMYFUNCTION("IMPORTRANGE(""https://docs.google.com/spreadsheets/d/1-uDff_7J0KD5mKrp0Vvzr7lt3OU09vwQwhkpOPPYv2Y/edit?usp=sharing"",""งบพรบ!IV29"")"),10240)</f>
        <v>10240</v>
      </c>
      <c r="M29" s="330">
        <f t="shared" ca="1" si="48"/>
        <v>49.444712699179142</v>
      </c>
      <c r="N29" s="330">
        <f t="shared" ca="1" si="49"/>
        <v>49.444712699179142</v>
      </c>
      <c r="O29" s="569">
        <f ca="1">IFERROR(__xludf.DUMMYFUNCTION("IMPORTRANGE(""https://docs.google.com/spreadsheets/d/1-uDff_7J0KD5mKrp0Vvzr7lt3OU09vwQwhkpOPPYv2Y/edit?usp=sharing"",""งบพรบ!IW29"")"),0)</f>
        <v>0</v>
      </c>
      <c r="P29" s="569">
        <f t="shared" ca="1" si="50"/>
        <v>0</v>
      </c>
      <c r="Q29" s="330">
        <f t="shared" ca="1" si="51"/>
        <v>0</v>
      </c>
      <c r="R29" s="564">
        <f ca="1">IFERROR(__xludf.DUMMYFUNCTION("IMPORTRANGE(""https://docs.google.com/spreadsheets/d/1v0b9pFQCsKUVExMei7AgY2yQkdeNQvtOssygGsXbiKo/edit?usp=sharing"",""อุตรดิตถ์!Q413"")"),19350)</f>
        <v>19350</v>
      </c>
      <c r="S29" s="564">
        <f ca="1">IFERROR(__xludf.DUMMYFUNCTION("IMPORTRANGE(""https://docs.google.com/spreadsheets/d/1v0b9pFQCsKUVExMei7AgY2yQkdeNQvtOssygGsXbiKo/edit?usp=sharing"",""อุตรดิตถ์!R413"")"),19350)</f>
        <v>19350</v>
      </c>
      <c r="T29" s="564">
        <f ca="1">IFERROR(__xludf.DUMMYFUNCTION("IMPORTRANGE(""https://docs.google.com/spreadsheets/d/1v0b9pFQCsKUVExMei7AgY2yQkdeNQvtOssygGsXbiKo/edit?usp=sharing"",""อุตรดิตถ์!S413"")"),6890)</f>
        <v>6890</v>
      </c>
      <c r="U29" s="565">
        <f t="shared" ca="1" si="53"/>
        <v>35.60723514211886</v>
      </c>
      <c r="V29" s="565">
        <f t="shared" ca="1" si="54"/>
        <v>35.60723514211886</v>
      </c>
      <c r="W29" s="152">
        <f ca="1">IFERROR(__xludf.DUMMYFUNCTION("IMPORTRANGE(""https://docs.google.com/spreadsheets/d/1v0b9pFQCsKUVExMei7AgY2yQkdeNQvtOssygGsXbiKo/edit?usp=sharing"",""อุตรดิตถ์!I424"")"),0)</f>
        <v>0</v>
      </c>
      <c r="X29" s="152">
        <f ca="1">IFERROR(__xludf.DUMMYFUNCTION("IMPORTRANGE(""https://docs.google.com/spreadsheets/d/1v0b9pFQCsKUVExMei7AgY2yQkdeNQvtOssygGsXbiKo/edit?usp=sharing"",""อุตรดิตถ์!I425"")"),0)</f>
        <v>0</v>
      </c>
      <c r="Y29" s="152">
        <f ca="1">IFERROR(__xludf.DUMMYFUNCTION("IMPORTRANGE(""https://docs.google.com/spreadsheets/d/1v0b9pFQCsKUVExMei7AgY2yQkdeNQvtOssygGsXbiKo/edit?usp=sharing"",""อุตรดิตถ์!J424"")"),0)</f>
        <v>0</v>
      </c>
      <c r="Z29" s="216">
        <f t="shared" ca="1" si="56"/>
        <v>0</v>
      </c>
      <c r="AA29" s="152">
        <f ca="1">IFERROR(__xludf.DUMMYFUNCTION("IMPORTRANGE(""https://docs.google.com/spreadsheets/d/1v0b9pFQCsKUVExMei7AgY2yQkdeNQvtOssygGsXbiKo/edit?usp=sharing"",""อุตรดิตถ์!J425"")"),0)</f>
        <v>0</v>
      </c>
      <c r="AB29" s="216">
        <f t="shared" ca="1" si="57"/>
        <v>0</v>
      </c>
      <c r="AC29" s="152">
        <f ca="1">IFERROR(__xludf.DUMMYFUNCTION("IMPORTRANGE(""https://docs.google.com/spreadsheets/d/1v0b9pFQCsKUVExMei7AgY2yQkdeNQvtOssygGsXbiKo/edit?usp=sharing"",""อุตรดิตถ์!J426"")"),0)</f>
        <v>0</v>
      </c>
      <c r="AD29" s="152">
        <f ca="1">IFERROR(__xludf.DUMMYFUNCTION("IMPORTRANGE(""https://docs.google.com/spreadsheets/d/1v0b9pFQCsKUVExMei7AgY2yQkdeNQvtOssygGsXbiKo/edit?usp=sharing"",""อุตรดิตถ์!J427"")"),0)</f>
        <v>0</v>
      </c>
      <c r="AE29" s="152">
        <f ca="1">IFERROR(__xludf.DUMMYFUNCTION("IMPORTRANGE(""https://docs.google.com/spreadsheets/d/1v0b9pFQCsKUVExMei7AgY2yQkdeNQvtOssygGsXbiKo/edit?usp=sharing"",""อุตรดิตถ์!J428"")"),0)</f>
        <v>0</v>
      </c>
      <c r="AF29" s="152">
        <f ca="1">IFERROR(__xludf.DUMMYFUNCTION("IMPORTRANGE(""https://docs.google.com/spreadsheets/d/1v0b9pFQCsKUVExMei7AgY2yQkdeNQvtOssygGsXbiKo/edit?usp=sharing"",""อุตรดิตถ์!J429"")"),0)</f>
        <v>0</v>
      </c>
      <c r="AG29" s="152">
        <f ca="1">IFERROR(__xludf.DUMMYFUNCTION("IMPORTRANGE(""https://docs.google.com/spreadsheets/d/1v0b9pFQCsKUVExMei7AgY2yQkdeNQvtOssygGsXbiKo/edit?usp=sharing"",""อุตรดิตถ์!J430"")"),0)</f>
        <v>0</v>
      </c>
      <c r="AH29" s="152">
        <f ca="1">IFERROR(__xludf.DUMMYFUNCTION("IMPORTRANGE(""https://docs.google.com/spreadsheets/d/1v0b9pFQCsKUVExMei7AgY2yQkdeNQvtOssygGsXbiKo/edit?usp=sharing"",""อุตรดิตถ์!J431"")"),0)</f>
        <v>0</v>
      </c>
      <c r="AI29" s="152">
        <f ca="1">IFERROR(__xludf.DUMMYFUNCTION("IMPORTRANGE(""https://docs.google.com/spreadsheets/d/1v0b9pFQCsKUVExMei7AgY2yQkdeNQvtOssygGsXbiKo/edit?usp=sharing"",""อุตรดิตถ์!I432"")"),0)</f>
        <v>0</v>
      </c>
      <c r="AJ29" s="152">
        <f ca="1">IFERROR(__xludf.DUMMYFUNCTION("IMPORTRANGE(""https://docs.google.com/spreadsheets/d/1v0b9pFQCsKUVExMei7AgY2yQkdeNQvtOssygGsXbiKo/edit?usp=sharing"",""อุตรดิตถ์!I433"")"),0)</f>
        <v>0</v>
      </c>
      <c r="AK29" s="216">
        <f ca="1">IFERROR(__xludf.DUMMYFUNCTION("IMPORTRANGE(""https://docs.google.com/spreadsheets/d/1v0b9pFQCsKUVExMei7AgY2yQkdeNQvtOssygGsXbiKo/edit?usp=sharing"",""อุตรดิตถ์!J432"")"),0)</f>
        <v>0</v>
      </c>
      <c r="AL29" s="216">
        <f t="shared" ca="1" si="59"/>
        <v>0</v>
      </c>
      <c r="AM29" s="152">
        <f ca="1">IFERROR(__xludf.DUMMYFUNCTION("IMPORTRANGE(""https://docs.google.com/spreadsheets/d/1v0b9pFQCsKUVExMei7AgY2yQkdeNQvtOssygGsXbiKo/edit?usp=sharing"",""อุตรดิตถ์!J433"")"),0)</f>
        <v>0</v>
      </c>
      <c r="AN29" s="216">
        <f t="shared" ca="1" si="60"/>
        <v>0</v>
      </c>
      <c r="AO29" s="152">
        <f ca="1">IFERROR(__xludf.DUMMYFUNCTION("IMPORTRANGE(""https://docs.google.com/spreadsheets/d/1v0b9pFQCsKUVExMei7AgY2yQkdeNQvtOssygGsXbiKo/edit?usp=sharing"",""อุตรดิตถ์!J434"")"),0)</f>
        <v>0</v>
      </c>
      <c r="AP29" s="152">
        <f ca="1">IFERROR(__xludf.DUMMYFUNCTION("IMPORTRANGE(""https://docs.google.com/spreadsheets/d/1v0b9pFQCsKUVExMei7AgY2yQkdeNQvtOssygGsXbiKo/edit?usp=sharing"",""อุตรดิตถ์!J435"")"),0)</f>
        <v>0</v>
      </c>
      <c r="AQ29" s="152">
        <f ca="1">IFERROR(__xludf.DUMMYFUNCTION("IMPORTRANGE(""https://docs.google.com/spreadsheets/d/1v0b9pFQCsKUVExMei7AgY2yQkdeNQvtOssygGsXbiKo/edit?usp=sharing"",""อุตรดิตถ์!J436"")"),0)</f>
        <v>0</v>
      </c>
      <c r="AR29" s="152">
        <f ca="1">IFERROR(__xludf.DUMMYFUNCTION("IMPORTRANGE(""https://docs.google.com/spreadsheets/d/1v0b9pFQCsKUVExMei7AgY2yQkdeNQvtOssygGsXbiKo/edit?usp=sharing"",""อุตรดิตถ์!J437"")"),0)</f>
        <v>0</v>
      </c>
      <c r="AS29" s="152">
        <f ca="1">IFERROR(__xludf.DUMMYFUNCTION("IMPORTRANGE(""https://docs.google.com/spreadsheets/d/1v0b9pFQCsKUVExMei7AgY2yQkdeNQvtOssygGsXbiKo/edit?usp=sharing"",""อุตรดิตถ์!J438"")"),0)</f>
        <v>0</v>
      </c>
      <c r="AT29" s="152">
        <f ca="1">IFERROR(__xludf.DUMMYFUNCTION("IMPORTRANGE(""https://docs.google.com/spreadsheets/d/1v0b9pFQCsKUVExMei7AgY2yQkdeNQvtOssygGsXbiKo/edit?usp=sharing"",""อุตรดิตถ์!J439"")"),0)</f>
        <v>0</v>
      </c>
      <c r="AU29" s="152">
        <f ca="1">IFERROR(__xludf.DUMMYFUNCTION("IMPORTRANGE(""https://docs.google.com/spreadsheets/d/1v0b9pFQCsKUVExMei7AgY2yQkdeNQvtOssygGsXbiKo/edit?usp=sharing"",""อุตรดิตถ์!I440"")"),0)</f>
        <v>0</v>
      </c>
      <c r="AV29" s="152">
        <f ca="1">IFERROR(__xludf.DUMMYFUNCTION("IMPORTRANGE(""https://docs.google.com/spreadsheets/d/1v0b9pFQCsKUVExMei7AgY2yQkdeNQvtOssygGsXbiKo/edit?usp=sharing"",""อุตรดิตถ์!I441"")"),0)</f>
        <v>0</v>
      </c>
      <c r="AW29" s="152">
        <f ca="1">IFERROR(__xludf.DUMMYFUNCTION("IMPORTRANGE(""https://docs.google.com/spreadsheets/d/1v0b9pFQCsKUVExMei7AgY2yQkdeNQvtOssygGsXbiKo/edit?usp=sharing"",""อุตรดิตถ์!J440"")"),0)</f>
        <v>0</v>
      </c>
      <c r="AX29" s="216">
        <f t="shared" ca="1" si="62"/>
        <v>0</v>
      </c>
      <c r="AY29" s="152">
        <f ca="1">IFERROR(__xludf.DUMMYFUNCTION("IMPORTRANGE(""https://docs.google.com/spreadsheets/d/1v0b9pFQCsKUVExMei7AgY2yQkdeNQvtOssygGsXbiKo/edit?usp=sharing"",""อุตรดิตถ์!J441"")"),0)</f>
        <v>0</v>
      </c>
      <c r="AZ29" s="216">
        <f t="shared" ca="1" si="63"/>
        <v>0</v>
      </c>
      <c r="BA29" s="152">
        <f ca="1">IFERROR(__xludf.DUMMYFUNCTION("IMPORTRANGE(""https://docs.google.com/spreadsheets/d/1v0b9pFQCsKUVExMei7AgY2yQkdeNQvtOssygGsXbiKo/edit?usp=sharing"",""อุตรดิตถ์!J442"")"),0)</f>
        <v>0</v>
      </c>
      <c r="BB29" s="152">
        <f ca="1">IFERROR(__xludf.DUMMYFUNCTION("IMPORTRANGE(""https://docs.google.com/spreadsheets/d/1v0b9pFQCsKUVExMei7AgY2yQkdeNQvtOssygGsXbiKo/edit?usp=sharing"",""อุตรดิตถ์!J443"")"),0)</f>
        <v>0</v>
      </c>
      <c r="BC29" s="152">
        <f ca="1">IFERROR(__xludf.DUMMYFUNCTION("IMPORTRANGE(""https://docs.google.com/spreadsheets/d/1v0b9pFQCsKUVExMei7AgY2yQkdeNQvtOssygGsXbiKo/edit?usp=sharing"",""อุตรดิตถ์!J444"")"),0)</f>
        <v>0</v>
      </c>
      <c r="BD29" s="152">
        <f ca="1">IFERROR(__xludf.DUMMYFUNCTION("IMPORTRANGE(""https://docs.google.com/spreadsheets/d/1v0b9pFQCsKUVExMei7AgY2yQkdeNQvtOssygGsXbiKo/edit?usp=sharing"",""อุตรดิตถ์!J445"")"),0)</f>
        <v>0</v>
      </c>
      <c r="BE29" s="152">
        <f ca="1">IFERROR(__xludf.DUMMYFUNCTION("IMPORTRANGE(""https://docs.google.com/spreadsheets/d/1v0b9pFQCsKUVExMei7AgY2yQkdeNQvtOssygGsXbiKo/edit?usp=sharing"",""อุตรดิตถ์!J446"")"),0)</f>
        <v>0</v>
      </c>
      <c r="BF29" s="152">
        <f ca="1">IFERROR(__xludf.DUMMYFUNCTION("IMPORTRANGE(""https://docs.google.com/spreadsheets/d/1v0b9pFQCsKUVExMei7AgY2yQkdeNQvtOssygGsXbiKo/edit?usp=sharing"",""อุตรดิตถ์!J447"")"),0)</f>
        <v>0</v>
      </c>
      <c r="BG29" s="152">
        <f ca="1">IFERROR(__xludf.DUMMYFUNCTION("IMPORTRANGE(""https://docs.google.com/spreadsheets/d/1v0b9pFQCsKUVExMei7AgY2yQkdeNQvtOssygGsXbiKo/edit?usp=sharing"",""อุตรดิตถ์!J448"")"),0)</f>
        <v>0</v>
      </c>
      <c r="BH29" s="152">
        <f ca="1">IFERROR(__xludf.DUMMYFUNCTION("IMPORTRANGE(""https://docs.google.com/spreadsheets/d/1v0b9pFQCsKUVExMei7AgY2yQkdeNQvtOssygGsXbiKo/edit?usp=sharing"",""อุตรดิตถ์!J449"")"),0)</f>
        <v>0</v>
      </c>
      <c r="BI29" s="152">
        <f ca="1">IFERROR(__xludf.DUMMYFUNCTION("IMPORTRANGE(""https://docs.google.com/spreadsheets/d/1v0b9pFQCsKUVExMei7AgY2yQkdeNQvtOssygGsXbiKo/edit?usp=sharing"",""อุตรดิตถ์!J450"")"),0)</f>
        <v>0</v>
      </c>
      <c r="BJ29" s="152">
        <f ca="1">IFERROR(__xludf.DUMMYFUNCTION("IMPORTRANGE(""https://docs.google.com/spreadsheets/d/1v0b9pFQCsKUVExMei7AgY2yQkdeNQvtOssygGsXbiKo/edit?usp=sharing"",""อุตรดิตถ์!J451"")"),0)</f>
        <v>0</v>
      </c>
      <c r="BK29" s="152">
        <f ca="1">IFERROR(__xludf.DUMMYFUNCTION("IMPORTRANGE(""https://docs.google.com/spreadsheets/d/1v0b9pFQCsKUVExMei7AgY2yQkdeNQvtOssygGsXbiKo/edit?usp=sharing"",""อุตรดิตถ์!J452"")"),0)</f>
        <v>0</v>
      </c>
      <c r="BL29" s="152">
        <f ca="1">IFERROR(__xludf.DUMMYFUNCTION("IMPORTRANGE(""https://docs.google.com/spreadsheets/d/1v0b9pFQCsKUVExMei7AgY2yQkdeNQvtOssygGsXbiKo/edit?usp=sharing"",""อุตรดิตถ์!J453"")"),0)</f>
        <v>0</v>
      </c>
      <c r="BM29" s="152">
        <f ca="1">IFERROR(__xludf.DUMMYFUNCTION("IMPORTRANGE(""https://docs.google.com/spreadsheets/d/1v0b9pFQCsKUVExMei7AgY2yQkdeNQvtOssygGsXbiKo/edit?usp=sharing"",""อุตรดิตถ์!J454"")"),0)</f>
        <v>0</v>
      </c>
      <c r="BN29" s="152">
        <f ca="1">IFERROR(__xludf.DUMMYFUNCTION("IMPORTRANGE(""https://docs.google.com/spreadsheets/d/1v0b9pFQCsKUVExMei7AgY2yQkdeNQvtOssygGsXbiKo/edit?usp=sharing"",""อุตรดิตถ์!J455"")"),0)</f>
        <v>0</v>
      </c>
      <c r="BO29" s="152">
        <f ca="1">IFERROR(__xludf.DUMMYFUNCTION("IMPORTRANGE(""https://docs.google.com/spreadsheets/d/1v0b9pFQCsKUVExMei7AgY2yQkdeNQvtOssygGsXbiKo/edit?usp=sharing"",""อุตรดิตถ์!I457"")"),113.86)</f>
        <v>113.86</v>
      </c>
      <c r="BP29" s="152">
        <f ca="1">IFERROR(__xludf.DUMMYFUNCTION("IMPORTRANGE(""https://docs.google.com/spreadsheets/d/1v0b9pFQCsKUVExMei7AgY2yQkdeNQvtOssygGsXbiKo/edit?usp=sharing"",""อุตรดิตถ์!I458"")"),21)</f>
        <v>21</v>
      </c>
      <c r="BQ29" s="152">
        <f ca="1">IFERROR(__xludf.DUMMYFUNCTION("IMPORTRANGE(""https://docs.google.com/spreadsheets/d/1v0b9pFQCsKUVExMei7AgY2yQkdeNQvtOssygGsXbiKo/edit?usp=sharing"",""อุตรดิตถ์!J457"")"),0)</f>
        <v>0</v>
      </c>
      <c r="BR29" s="216">
        <f t="shared" ca="1" si="65"/>
        <v>0</v>
      </c>
      <c r="BS29" s="152">
        <f ca="1">IFERROR(__xludf.DUMMYFUNCTION("IMPORTRANGE(""https://docs.google.com/spreadsheets/d/1v0b9pFQCsKUVExMei7AgY2yQkdeNQvtOssygGsXbiKo/edit?usp=sharing"",""อุตรดิตถ์!J458"")"),0)</f>
        <v>0</v>
      </c>
      <c r="BT29" s="216">
        <f t="shared" ca="1" si="66"/>
        <v>0</v>
      </c>
      <c r="BU29" s="152">
        <f ca="1">IFERROR(__xludf.DUMMYFUNCTION("IMPORTRANGE(""https://docs.google.com/spreadsheets/d/1v0b9pFQCsKUVExMei7AgY2yQkdeNQvtOssygGsXbiKo/edit?usp=sharing"",""อุตรดิตถ์!J459"")"),0)</f>
        <v>0</v>
      </c>
      <c r="BV29" s="152">
        <f ca="1">IFERROR(__xludf.DUMMYFUNCTION("IMPORTRANGE(""https://docs.google.com/spreadsheets/d/1v0b9pFQCsKUVExMei7AgY2yQkdeNQvtOssygGsXbiKo/edit?usp=sharing"",""อุตรดิตถ์!J460"")"),0)</f>
        <v>0</v>
      </c>
      <c r="BW29" s="152">
        <f ca="1">IFERROR(__xludf.DUMMYFUNCTION("IMPORTRANGE(""https://docs.google.com/spreadsheets/d/1v0b9pFQCsKUVExMei7AgY2yQkdeNQvtOssygGsXbiKo/edit?usp=sharing"",""อุตรดิตถ์!J461"")"),0)</f>
        <v>0</v>
      </c>
      <c r="BX29" s="152">
        <f ca="1">IFERROR(__xludf.DUMMYFUNCTION("IMPORTRANGE(""https://docs.google.com/spreadsheets/d/1v0b9pFQCsKUVExMei7AgY2yQkdeNQvtOssygGsXbiKo/edit?usp=sharing"",""อุตรดิตถ์!J462"")"),0)</f>
        <v>0</v>
      </c>
      <c r="BY29" s="152">
        <f ca="1">IFERROR(__xludf.DUMMYFUNCTION("IMPORTRANGE(""https://docs.google.com/spreadsheets/d/1v0b9pFQCsKUVExMei7AgY2yQkdeNQvtOssygGsXbiKo/edit?usp=sharing"",""อุตรดิตถ์!J463"")"),0)</f>
        <v>0</v>
      </c>
      <c r="BZ29" s="152">
        <f ca="1">IFERROR(__xludf.DUMMYFUNCTION("IMPORTRANGE(""https://docs.google.com/spreadsheets/d/1v0b9pFQCsKUVExMei7AgY2yQkdeNQvtOssygGsXbiKo/edit?usp=sharing"",""อุตรดิตถ์!J464"")"),0)</f>
        <v>0</v>
      </c>
      <c r="CA29" s="152">
        <f ca="1">IFERROR(__xludf.DUMMYFUNCTION("IMPORTRANGE(""https://docs.google.com/spreadsheets/d/1v0b9pFQCsKUVExMei7AgY2yQkdeNQvtOssygGsXbiKo/edit?usp=sharing"",""อุตรดิตถ์!J465"")"),0)</f>
        <v>0</v>
      </c>
      <c r="CB29" s="152">
        <f ca="1">IFERROR(__xludf.DUMMYFUNCTION("IMPORTRANGE(""https://docs.google.com/spreadsheets/d/1v0b9pFQCsKUVExMei7AgY2yQkdeNQvtOssygGsXbiKo/edit?usp=sharing"",""อุตรดิตถ์!J466"")"),0)</f>
        <v>0</v>
      </c>
      <c r="CC29" s="152">
        <f ca="1">IFERROR(__xludf.DUMMYFUNCTION("IMPORTRANGE(""https://docs.google.com/spreadsheets/d/1v0b9pFQCsKUVExMei7AgY2yQkdeNQvtOssygGsXbiKo/edit?usp=sharing"",""อุตรดิตถ์!J467"")"),0)</f>
        <v>0</v>
      </c>
      <c r="CD29" s="152">
        <f ca="1">IFERROR(__xludf.DUMMYFUNCTION("IMPORTRANGE(""https://docs.google.com/spreadsheets/d/1v0b9pFQCsKUVExMei7AgY2yQkdeNQvtOssygGsXbiKo/edit?usp=sharing"",""อุตรดิตถ์!J468"")"),0)</f>
        <v>0</v>
      </c>
      <c r="CE29" s="152">
        <f ca="1">IFERROR(__xludf.DUMMYFUNCTION("IMPORTRANGE(""https://docs.google.com/spreadsheets/d/1v0b9pFQCsKUVExMei7AgY2yQkdeNQvtOssygGsXbiKo/edit?usp=sharing"",""อุตรดิตถ์!J469"")"),0)</f>
        <v>0</v>
      </c>
      <c r="CF29" s="152">
        <f ca="1">IFERROR(__xludf.DUMMYFUNCTION("IMPORTRANGE(""https://docs.google.com/spreadsheets/d/1v0b9pFQCsKUVExMei7AgY2yQkdeNQvtOssygGsXbiKo/edit?usp=sharing"",""อุตรดิตถ์!J470"")"),0)</f>
        <v>0</v>
      </c>
      <c r="CG29" s="152">
        <f ca="1">IFERROR(__xludf.DUMMYFUNCTION("IMPORTRANGE(""https://docs.google.com/spreadsheets/d/1v0b9pFQCsKUVExMei7AgY2yQkdeNQvtOssygGsXbiKo/edit?usp=sharing"",""อุตรดิตถ์!J471"")"),0)</f>
        <v>0</v>
      </c>
      <c r="CH29" s="152">
        <f ca="1">IFERROR(__xludf.DUMMYFUNCTION("IMPORTRANGE(""https://docs.google.com/spreadsheets/d/1v0b9pFQCsKUVExMei7AgY2yQkdeNQvtOssygGsXbiKo/edit?usp=sharing"",""อุตรดิตถ์!J472"")"),0)</f>
        <v>0</v>
      </c>
      <c r="CI29" s="152">
        <f ca="1">IFERROR(__xludf.DUMMYFUNCTION("IMPORTRANGE(""https://docs.google.com/spreadsheets/d/1v0b9pFQCsKUVExMei7AgY2yQkdeNQvtOssygGsXbiKo/edit?usp=sharing"",""อุตรดิตถ์!J473"")"),0)</f>
        <v>0</v>
      </c>
      <c r="CJ29" s="152">
        <f ca="1">IFERROR(__xludf.DUMMYFUNCTION("IMPORTRANGE(""https://docs.google.com/spreadsheets/d/1v0b9pFQCsKUVExMei7AgY2yQkdeNQvtOssygGsXbiKo/edit?usp=sharing"",""อุตรดิตถ์!J474"")"),0)</f>
        <v>0</v>
      </c>
      <c r="CK29" s="278">
        <f ca="1">IFERROR(__xludf.DUMMYFUNCTION("IMPORTRANGE(""https://docs.google.com/spreadsheets/d/1v0b9pFQCsKUVExMei7AgY2yQkdeNQvtOssygGsXbiKo/edit?usp=sharing"",""อุตรดิตถ์!I476"")"),0)</f>
        <v>0</v>
      </c>
      <c r="CL29" s="278">
        <f ca="1">IFERROR(__xludf.DUMMYFUNCTION("IMPORTRANGE(""https://docs.google.com/spreadsheets/d/1v0b9pFQCsKUVExMei7AgY2yQkdeNQvtOssygGsXbiKo/edit?usp=sharing"",""อุตรดิตถ์!I477"")"),0)</f>
        <v>0</v>
      </c>
      <c r="CM29" s="278">
        <f ca="1">IFERROR(__xludf.DUMMYFUNCTION("IMPORTRANGE(""https://docs.google.com/spreadsheets/d/1v0b9pFQCsKUVExMei7AgY2yQkdeNQvtOssygGsXbiKo/edit?usp=sharing"",""อุตรดิตถ์!J476"")"),0)</f>
        <v>0</v>
      </c>
      <c r="CN29" s="216">
        <f t="shared" ca="1" si="68"/>
        <v>0</v>
      </c>
      <c r="CO29" s="278">
        <f ca="1">IFERROR(__xludf.DUMMYFUNCTION("IMPORTRANGE(""https://docs.google.com/spreadsheets/d/1v0b9pFQCsKUVExMei7AgY2yQkdeNQvtOssygGsXbiKo/edit?usp=sharing"",""อุตรดิตถ์!J477"")"),0)</f>
        <v>0</v>
      </c>
      <c r="CP29" s="216">
        <f t="shared" ca="1" si="69"/>
        <v>0</v>
      </c>
      <c r="CQ29" s="278">
        <f ca="1">IFERROR(__xludf.DUMMYFUNCTION("IMPORTRANGE(""https://docs.google.com/spreadsheets/d/1v0b9pFQCsKUVExMei7AgY2yQkdeNQvtOssygGsXbiKo/edit?usp=sharing"",""อุตรดิตถ์!J478"")"),0)</f>
        <v>0</v>
      </c>
      <c r="CR29" s="278">
        <f ca="1">IFERROR(__xludf.DUMMYFUNCTION("IMPORTRANGE(""https://docs.google.com/spreadsheets/d/1v0b9pFQCsKUVExMei7AgY2yQkdeNQvtOssygGsXbiKo/edit?usp=sharing"",""อุตรดิตถ์!J479"")"),0)</f>
        <v>0</v>
      </c>
      <c r="CS29" s="278">
        <f ca="1">IFERROR(__xludf.DUMMYFUNCTION("IMPORTRANGE(""https://docs.google.com/spreadsheets/d/1v0b9pFQCsKUVExMei7AgY2yQkdeNQvtOssygGsXbiKo/edit?usp=sharing"",""อุตรดิตถ์!J480"")"),0)</f>
        <v>0</v>
      </c>
      <c r="CT29" s="278">
        <f ca="1">IFERROR(__xludf.DUMMYFUNCTION("IMPORTRANGE(""https://docs.google.com/spreadsheets/d/1v0b9pFQCsKUVExMei7AgY2yQkdeNQvtOssygGsXbiKo/edit?usp=sharing"",""อุตรดิตถ์!J481"")"),0)</f>
        <v>0</v>
      </c>
      <c r="CU29" s="278">
        <f ca="1">IFERROR(__xludf.DUMMYFUNCTION("IMPORTRANGE(""https://docs.google.com/spreadsheets/d/1v0b9pFQCsKUVExMei7AgY2yQkdeNQvtOssygGsXbiKo/edit?usp=sharing"",""อุตรดิตถ์!I484"")"),0)</f>
        <v>0</v>
      </c>
      <c r="CV29" s="278">
        <f ca="1">IFERROR(__xludf.DUMMYFUNCTION("IMPORTRANGE(""https://docs.google.com/spreadsheets/d/1v0b9pFQCsKUVExMei7AgY2yQkdeNQvtOssygGsXbiKo/edit?usp=sharing"",""อุตรดิตถ์!I485"")"),0)</f>
        <v>0</v>
      </c>
      <c r="CW29" s="278">
        <f ca="1">IFERROR(__xludf.DUMMYFUNCTION("IMPORTRANGE(""https://docs.google.com/spreadsheets/d/1v0b9pFQCsKUVExMei7AgY2yQkdeNQvtOssygGsXbiKo/edit?usp=sharing"",""อุตรดิตถ์!J484"")"),0)</f>
        <v>0</v>
      </c>
      <c r="CX29" s="216">
        <f t="shared" ca="1" si="71"/>
        <v>0</v>
      </c>
      <c r="CY29" s="278">
        <f ca="1">IFERROR(__xludf.DUMMYFUNCTION("IMPORTRANGE(""https://docs.google.com/spreadsheets/d/1v0b9pFQCsKUVExMei7AgY2yQkdeNQvtOssygGsXbiKo/edit?usp=sharing"",""อุตรดิตถ์!J485"")"),0)</f>
        <v>0</v>
      </c>
      <c r="CZ29" s="216">
        <f t="shared" ca="1" si="72"/>
        <v>0</v>
      </c>
      <c r="DA29" s="278">
        <f ca="1">IFERROR(__xludf.DUMMYFUNCTION("IMPORTRANGE(""https://docs.google.com/spreadsheets/d/1v0b9pFQCsKUVExMei7AgY2yQkdeNQvtOssygGsXbiKo/edit?usp=sharing"",""อุตรดิตถ์!J486"")"),0)</f>
        <v>0</v>
      </c>
      <c r="DB29" s="278">
        <f ca="1">IFERROR(__xludf.DUMMYFUNCTION("IMPORTRANGE(""https://docs.google.com/spreadsheets/d/1v0b9pFQCsKUVExMei7AgY2yQkdeNQvtOssygGsXbiKo/edit?usp=sharing"",""อุตรดิตถ์!J487"")"),0)</f>
        <v>0</v>
      </c>
      <c r="DC29" s="278">
        <f ca="1">IFERROR(__xludf.DUMMYFUNCTION("IMPORTRANGE(""https://docs.google.com/spreadsheets/d/1v0b9pFQCsKUVExMei7AgY2yQkdeNQvtOssygGsXbiKo/edit?usp=sharing"",""อุตรดิตถ์!J488"")"),0)</f>
        <v>0</v>
      </c>
      <c r="DD29" s="278">
        <f ca="1">IFERROR(__xludf.DUMMYFUNCTION("IMPORTRANGE(""https://docs.google.com/spreadsheets/d/1v0b9pFQCsKUVExMei7AgY2yQkdeNQvtOssygGsXbiKo/edit?usp=sharing"",""อุตรดิตถ์!J489"")"),0)</f>
        <v>0</v>
      </c>
      <c r="DE29" s="278">
        <f ca="1">IFERROR(__xludf.DUMMYFUNCTION("IMPORTRANGE(""https://docs.google.com/spreadsheets/d/1v0b9pFQCsKUVExMei7AgY2yQkdeNQvtOssygGsXbiKo/edit?usp=sharing"",""อุตรดิตถ์!J490"")"),0)</f>
        <v>0</v>
      </c>
      <c r="DF29" s="278">
        <f ca="1">IFERROR(__xludf.DUMMYFUNCTION("IMPORTRANGE(""https://docs.google.com/spreadsheets/d/1v0b9pFQCsKUVExMei7AgY2yQkdeNQvtOssygGsXbiKo/edit?usp=sharing"",""อุตรดิตถ์!J491"")"),0)</f>
        <v>0</v>
      </c>
    </row>
    <row r="30" spans="1:110" ht="19.5" x14ac:dyDescent="0.3">
      <c r="A30" s="155">
        <v>17</v>
      </c>
      <c r="B30" s="156" t="s">
        <v>58</v>
      </c>
      <c r="C30" s="570">
        <f t="shared" ca="1" si="44"/>
        <v>618250</v>
      </c>
      <c r="D30" s="571">
        <f t="shared" ca="1" si="74"/>
        <v>618250</v>
      </c>
      <c r="E30" s="337">
        <f ca="1">IFERROR(__xludf.DUMMYFUNCTION("IMPORTRANGE(""https://docs.google.com/spreadsheets/d/1-uDff_7J0KD5mKrp0Vvzr7lt3OU09vwQwhkpOPPYv2Y/edit?usp=sharing"",""งบพรบ!IP30"")"),209500)</f>
        <v>209500</v>
      </c>
      <c r="F30" s="337">
        <f ca="1">IFERROR(__xludf.DUMMYFUNCTION("IMPORTRANGE(""https://docs.google.com/spreadsheets/d/1-uDff_7J0KD5mKrp0Vvzr7lt3OU09vwQwhkpOPPYv2Y/edit?usp=sharing"",""งบพรบ!IQ30"")"),408750)</f>
        <v>408750</v>
      </c>
      <c r="G30" s="337">
        <f ca="1">IFERROR(__xludf.DUMMYFUNCTION("IMPORTRANGE(""https://docs.google.com/spreadsheets/d/1-uDff_7J0KD5mKrp0Vvzr7lt3OU09vwQwhkpOPPYv2Y/edit?usp=sharing"",""งบพรบ!IR30"")"),0)</f>
        <v>0</v>
      </c>
      <c r="H30" s="337">
        <f ca="1">IFERROR(__xludf.DUMMYFUNCTION("IMPORTRANGE(""https://docs.google.com/spreadsheets/d/1-uDff_7J0KD5mKrp0Vvzr7lt3OU09vwQwhkpOPPYv2Y/edit?usp=sharing"",""งบพรบ!IT30"")"),621250)</f>
        <v>621250</v>
      </c>
      <c r="I30" s="337">
        <f ca="1">IFERROR(__xludf.DUMMYFUNCTION("IMPORTRANGE(""https://docs.google.com/spreadsheets/d/1-uDff_7J0KD5mKrp0Vvzr7lt3OU09vwQwhkpOPPYv2Y/edit?usp=sharing"",""งบพรบ!IU30"")"),0)</f>
        <v>0</v>
      </c>
      <c r="J30" s="337">
        <f t="shared" ca="1" si="46"/>
        <v>283722.77</v>
      </c>
      <c r="K30" s="572">
        <f t="shared" ca="1" si="47"/>
        <v>45.891268904164981</v>
      </c>
      <c r="L30" s="337">
        <f ca="1">IFERROR(__xludf.DUMMYFUNCTION("IMPORTRANGE(""https://docs.google.com/spreadsheets/d/1-uDff_7J0KD5mKrp0Vvzr7lt3OU09vwQwhkpOPPYv2Y/edit?usp=sharing"",""งบพรบ!IV30"")"),283722.77)</f>
        <v>283722.77</v>
      </c>
      <c r="M30" s="573">
        <f t="shared" ca="1" si="48"/>
        <v>45.891268904164981</v>
      </c>
      <c r="N30" s="573">
        <f t="shared" ca="1" si="49"/>
        <v>45.669661167002012</v>
      </c>
      <c r="O30" s="574">
        <f ca="1">IFERROR(__xludf.DUMMYFUNCTION("IMPORTRANGE(""https://docs.google.com/spreadsheets/d/1-uDff_7J0KD5mKrp0Vvzr7lt3OU09vwQwhkpOPPYv2Y/edit?usp=sharing"",""งบพรบ!IW30"")"),0)</f>
        <v>0</v>
      </c>
      <c r="P30" s="574">
        <f t="shared" ca="1" si="50"/>
        <v>0</v>
      </c>
      <c r="Q30" s="573">
        <f t="shared" ca="1" si="51"/>
        <v>0</v>
      </c>
      <c r="R30" s="575">
        <f ca="1">IFERROR(__xludf.DUMMYFUNCTION("IMPORTRANGE(""https://docs.google.com/spreadsheets/d/1UsNK1e-WWiCo2PvGqdNfdme4m17_Ezd3J69EeeiQPD0/edit?usp=sharing"",""อุทัยธานี!Q413"")"),67060)</f>
        <v>67060</v>
      </c>
      <c r="S30" s="575">
        <f ca="1">IFERROR(__xludf.DUMMYFUNCTION("IMPORTRANGE(""https://docs.google.com/spreadsheets/d/1UsNK1e-WWiCo2PvGqdNfdme4m17_Ezd3J69EeeiQPD0/edit?usp=sharing"",""อุทัยธานี!R413"")"),67060)</f>
        <v>67060</v>
      </c>
      <c r="T30" s="575">
        <f ca="1">IFERROR(__xludf.DUMMYFUNCTION("IMPORTRANGE(""https://docs.google.com/spreadsheets/d/1UsNK1e-WWiCo2PvGqdNfdme4m17_Ezd3J69EeeiQPD0/edit?usp=sharing"",""อุทัยธานี!S413"")"),19544)</f>
        <v>19544</v>
      </c>
      <c r="U30" s="576">
        <f t="shared" ca="1" si="53"/>
        <v>29.144050104384135</v>
      </c>
      <c r="V30" s="576">
        <f t="shared" ca="1" si="54"/>
        <v>29.144050104384135</v>
      </c>
      <c r="W30" s="191">
        <f ca="1">IFERROR(__xludf.DUMMYFUNCTION("IMPORTRANGE(""https://docs.google.com/spreadsheets/d/1UsNK1e-WWiCo2PvGqdNfdme4m17_Ezd3J69EeeiQPD0/edit?usp=sharing"",""อุทัยธานี!I424"")"),97018)</f>
        <v>97018</v>
      </c>
      <c r="X30" s="191">
        <f ca="1">IFERROR(__xludf.DUMMYFUNCTION("IMPORTRANGE(""https://docs.google.com/spreadsheets/d/1UsNK1e-WWiCo2PvGqdNfdme4m17_Ezd3J69EeeiQPD0/edit?usp=sharing"",""อุทัยธานี!I425"")"),6825)</f>
        <v>6825</v>
      </c>
      <c r="Y30" s="191">
        <f ca="1">IFERROR(__xludf.DUMMYFUNCTION("IMPORTRANGE(""https://docs.google.com/spreadsheets/d/1UsNK1e-WWiCo2PvGqdNfdme4m17_Ezd3J69EeeiQPD0/edit?usp=sharing"",""อุทัยธานี!J424"")"),0)</f>
        <v>0</v>
      </c>
      <c r="Z30" s="218">
        <f t="shared" ca="1" si="56"/>
        <v>0</v>
      </c>
      <c r="AA30" s="191">
        <f ca="1">IFERROR(__xludf.DUMMYFUNCTION("IMPORTRANGE(""https://docs.google.com/spreadsheets/d/1UsNK1e-WWiCo2PvGqdNfdme4m17_Ezd3J69EeeiQPD0/edit?usp=sharing"",""อุทัยธานี!J425"")"),0)</f>
        <v>0</v>
      </c>
      <c r="AB30" s="218">
        <f t="shared" ca="1" si="57"/>
        <v>0</v>
      </c>
      <c r="AC30" s="191">
        <f ca="1">IFERROR(__xludf.DUMMYFUNCTION("IMPORTRANGE(""https://docs.google.com/spreadsheets/d/1UsNK1e-WWiCo2PvGqdNfdme4m17_Ezd3J69EeeiQPD0/edit?usp=sharing"",""อุทัยธานี!J426"")"),0)</f>
        <v>0</v>
      </c>
      <c r="AD30" s="191">
        <f ca="1">IFERROR(__xludf.DUMMYFUNCTION("IMPORTRANGE(""https://docs.google.com/spreadsheets/d/1UsNK1e-WWiCo2PvGqdNfdme4m17_Ezd3J69EeeiQPD0/edit?usp=sharing"",""อุทัยธานี!J427"")"),0)</f>
        <v>0</v>
      </c>
      <c r="AE30" s="191">
        <f ca="1">IFERROR(__xludf.DUMMYFUNCTION("IMPORTRANGE(""https://docs.google.com/spreadsheets/d/1UsNK1e-WWiCo2PvGqdNfdme4m17_Ezd3J69EeeiQPD0/edit?usp=sharing"",""อุทัยธานี!J428"")"),0)</f>
        <v>0</v>
      </c>
      <c r="AF30" s="191">
        <f ca="1">IFERROR(__xludf.DUMMYFUNCTION("IMPORTRANGE(""https://docs.google.com/spreadsheets/d/1UsNK1e-WWiCo2PvGqdNfdme4m17_Ezd3J69EeeiQPD0/edit?usp=sharing"",""อุทัยธานี!J429"")"),0)</f>
        <v>0</v>
      </c>
      <c r="AG30" s="191">
        <f ca="1">IFERROR(__xludf.DUMMYFUNCTION("IMPORTRANGE(""https://docs.google.com/spreadsheets/d/1UsNK1e-WWiCo2PvGqdNfdme4m17_Ezd3J69EeeiQPD0/edit?usp=sharing"",""อุทัยธานี!J430"")"),0)</f>
        <v>0</v>
      </c>
      <c r="AH30" s="191">
        <f ca="1">IFERROR(__xludf.DUMMYFUNCTION("IMPORTRANGE(""https://docs.google.com/spreadsheets/d/1UsNK1e-WWiCo2PvGqdNfdme4m17_Ezd3J69EeeiQPD0/edit?usp=sharing"",""อุทัยธานี!J431"")"),0)</f>
        <v>0</v>
      </c>
      <c r="AI30" s="191">
        <f ca="1">IFERROR(__xludf.DUMMYFUNCTION("IMPORTRANGE(""https://docs.google.com/spreadsheets/d/1UsNK1e-WWiCo2PvGqdNfdme4m17_Ezd3J69EeeiQPD0/edit?usp=sharing"",""อุทัยธานี!I432"")"),97018)</f>
        <v>97018</v>
      </c>
      <c r="AJ30" s="191">
        <f ca="1">IFERROR(__xludf.DUMMYFUNCTION("IMPORTRANGE(""https://docs.google.com/spreadsheets/d/1UsNK1e-WWiCo2PvGqdNfdme4m17_Ezd3J69EeeiQPD0/edit?usp=sharing"",""อุทัยธานี!I433"")"),6825)</f>
        <v>6825</v>
      </c>
      <c r="AK30" s="218">
        <f ca="1">IFERROR(__xludf.DUMMYFUNCTION("IMPORTRANGE(""https://docs.google.com/spreadsheets/d/1UsNK1e-WWiCo2PvGqdNfdme4m17_Ezd3J69EeeiQPD0/edit?usp=sharing"",""อุทัยธานี!J432"")"),0)</f>
        <v>0</v>
      </c>
      <c r="AL30" s="218">
        <f t="shared" ca="1" si="59"/>
        <v>0</v>
      </c>
      <c r="AM30" s="191">
        <f ca="1">IFERROR(__xludf.DUMMYFUNCTION("IMPORTRANGE(""https://docs.google.com/spreadsheets/d/1UsNK1e-WWiCo2PvGqdNfdme4m17_Ezd3J69EeeiQPD0/edit?usp=sharing"",""อุทัยธานี!J433"")"),0)</f>
        <v>0</v>
      </c>
      <c r="AN30" s="218">
        <f t="shared" ca="1" si="60"/>
        <v>0</v>
      </c>
      <c r="AO30" s="191">
        <f ca="1">IFERROR(__xludf.DUMMYFUNCTION("IMPORTRANGE(""https://docs.google.com/spreadsheets/d/1UsNK1e-WWiCo2PvGqdNfdme4m17_Ezd3J69EeeiQPD0/edit?usp=sharing"",""อุทัยธานี!J434"")"),0)</f>
        <v>0</v>
      </c>
      <c r="AP30" s="191">
        <f ca="1">IFERROR(__xludf.DUMMYFUNCTION("IMPORTRANGE(""https://docs.google.com/spreadsheets/d/1UsNK1e-WWiCo2PvGqdNfdme4m17_Ezd3J69EeeiQPD0/edit?usp=sharing"",""อุทัยธานี!J435"")"),0)</f>
        <v>0</v>
      </c>
      <c r="AQ30" s="191">
        <f ca="1">IFERROR(__xludf.DUMMYFUNCTION("IMPORTRANGE(""https://docs.google.com/spreadsheets/d/1UsNK1e-WWiCo2PvGqdNfdme4m17_Ezd3J69EeeiQPD0/edit?usp=sharing"",""อุทัยธานี!J436"")"),0)</f>
        <v>0</v>
      </c>
      <c r="AR30" s="191">
        <f ca="1">IFERROR(__xludf.DUMMYFUNCTION("IMPORTRANGE(""https://docs.google.com/spreadsheets/d/1UsNK1e-WWiCo2PvGqdNfdme4m17_Ezd3J69EeeiQPD0/edit?usp=sharing"",""อุทัยธานี!J437"")"),0)</f>
        <v>0</v>
      </c>
      <c r="AS30" s="191">
        <f ca="1">IFERROR(__xludf.DUMMYFUNCTION("IMPORTRANGE(""https://docs.google.com/spreadsheets/d/1UsNK1e-WWiCo2PvGqdNfdme4m17_Ezd3J69EeeiQPD0/edit?usp=sharing"",""อุทัยธานี!J438"")"),0)</f>
        <v>0</v>
      </c>
      <c r="AT30" s="191">
        <f ca="1">IFERROR(__xludf.DUMMYFUNCTION("IMPORTRANGE(""https://docs.google.com/spreadsheets/d/1UsNK1e-WWiCo2PvGqdNfdme4m17_Ezd3J69EeeiQPD0/edit?usp=sharing"",""อุทัยธานี!J439"")"),0)</f>
        <v>0</v>
      </c>
      <c r="AU30" s="191">
        <f ca="1">IFERROR(__xludf.DUMMYFUNCTION("IMPORTRANGE(""https://docs.google.com/spreadsheets/d/1UsNK1e-WWiCo2PvGqdNfdme4m17_Ezd3J69EeeiQPD0/edit?usp=sharing"",""อุทัยธานี!I440"")"),97018)</f>
        <v>97018</v>
      </c>
      <c r="AV30" s="191">
        <f ca="1">IFERROR(__xludf.DUMMYFUNCTION("IMPORTRANGE(""https://docs.google.com/spreadsheets/d/1UsNK1e-WWiCo2PvGqdNfdme4m17_Ezd3J69EeeiQPD0/edit?usp=sharing"",""อุทัยธานี!I441"")"),6825)</f>
        <v>6825</v>
      </c>
      <c r="AW30" s="191">
        <f ca="1">IFERROR(__xludf.DUMMYFUNCTION("IMPORTRANGE(""https://docs.google.com/spreadsheets/d/1UsNK1e-WWiCo2PvGqdNfdme4m17_Ezd3J69EeeiQPD0/edit?usp=sharing"",""อุทัยธานี!J440"")"),0)</f>
        <v>0</v>
      </c>
      <c r="AX30" s="218">
        <f t="shared" ca="1" si="62"/>
        <v>0</v>
      </c>
      <c r="AY30" s="191">
        <f ca="1">IFERROR(__xludf.DUMMYFUNCTION("IMPORTRANGE(""https://docs.google.com/spreadsheets/d/1UsNK1e-WWiCo2PvGqdNfdme4m17_Ezd3J69EeeiQPD0/edit?usp=sharing"",""อุทัยธานี!J441"")"),0)</f>
        <v>0</v>
      </c>
      <c r="AZ30" s="218">
        <f t="shared" ca="1" si="63"/>
        <v>0</v>
      </c>
      <c r="BA30" s="191">
        <f ca="1">IFERROR(__xludf.DUMMYFUNCTION("IMPORTRANGE(""https://docs.google.com/spreadsheets/d/1UsNK1e-WWiCo2PvGqdNfdme4m17_Ezd3J69EeeiQPD0/edit?usp=sharing"",""อุทัยธานี!J442"")"),0)</f>
        <v>0</v>
      </c>
      <c r="BB30" s="191">
        <f ca="1">IFERROR(__xludf.DUMMYFUNCTION("IMPORTRANGE(""https://docs.google.com/spreadsheets/d/1UsNK1e-WWiCo2PvGqdNfdme4m17_Ezd3J69EeeiQPD0/edit?usp=sharing"",""อุทัยธานี!J443"")"),0)</f>
        <v>0</v>
      </c>
      <c r="BC30" s="191">
        <f ca="1">IFERROR(__xludf.DUMMYFUNCTION("IMPORTRANGE(""https://docs.google.com/spreadsheets/d/1UsNK1e-WWiCo2PvGqdNfdme4m17_Ezd3J69EeeiQPD0/edit?usp=sharing"",""อุทัยธานี!J444"")"),0)</f>
        <v>0</v>
      </c>
      <c r="BD30" s="191">
        <f ca="1">IFERROR(__xludf.DUMMYFUNCTION("IMPORTRANGE(""https://docs.google.com/spreadsheets/d/1UsNK1e-WWiCo2PvGqdNfdme4m17_Ezd3J69EeeiQPD0/edit?usp=sharing"",""อุทัยธานี!J445"")"),0)</f>
        <v>0</v>
      </c>
      <c r="BE30" s="191">
        <f ca="1">IFERROR(__xludf.DUMMYFUNCTION("IMPORTRANGE(""https://docs.google.com/spreadsheets/d/1UsNK1e-WWiCo2PvGqdNfdme4m17_Ezd3J69EeeiQPD0/edit?usp=sharing"",""อุทัยธานี!J446"")"),0)</f>
        <v>0</v>
      </c>
      <c r="BF30" s="191">
        <f ca="1">IFERROR(__xludf.DUMMYFUNCTION("IMPORTRANGE(""https://docs.google.com/spreadsheets/d/1UsNK1e-WWiCo2PvGqdNfdme4m17_Ezd3J69EeeiQPD0/edit?usp=sharing"",""อุทัยธานี!J447"")"),0)</f>
        <v>0</v>
      </c>
      <c r="BG30" s="191">
        <f ca="1">IFERROR(__xludf.DUMMYFUNCTION("IMPORTRANGE(""https://docs.google.com/spreadsheets/d/1UsNK1e-WWiCo2PvGqdNfdme4m17_Ezd3J69EeeiQPD0/edit?usp=sharing"",""อุทัยธานี!J448"")"),0)</f>
        <v>0</v>
      </c>
      <c r="BH30" s="191">
        <f ca="1">IFERROR(__xludf.DUMMYFUNCTION("IMPORTRANGE(""https://docs.google.com/spreadsheets/d/1UsNK1e-WWiCo2PvGqdNfdme4m17_Ezd3J69EeeiQPD0/edit?usp=sharing"",""อุทัยธานี!J449"")"),0)</f>
        <v>0</v>
      </c>
      <c r="BI30" s="191">
        <f ca="1">IFERROR(__xludf.DUMMYFUNCTION("IMPORTRANGE(""https://docs.google.com/spreadsheets/d/1UsNK1e-WWiCo2PvGqdNfdme4m17_Ezd3J69EeeiQPD0/edit?usp=sharing"",""อุทัยธานี!J450"")"),0)</f>
        <v>0</v>
      </c>
      <c r="BJ30" s="191">
        <f ca="1">IFERROR(__xludf.DUMMYFUNCTION("IMPORTRANGE(""https://docs.google.com/spreadsheets/d/1UsNK1e-WWiCo2PvGqdNfdme4m17_Ezd3J69EeeiQPD0/edit?usp=sharing"",""อุทัยธานี!J451"")"),0)</f>
        <v>0</v>
      </c>
      <c r="BK30" s="191">
        <f ca="1">IFERROR(__xludf.DUMMYFUNCTION("IMPORTRANGE(""https://docs.google.com/spreadsheets/d/1UsNK1e-WWiCo2PvGqdNfdme4m17_Ezd3J69EeeiQPD0/edit?usp=sharing"",""อุทัยธานี!J452"")"),0)</f>
        <v>0</v>
      </c>
      <c r="BL30" s="191">
        <f ca="1">IFERROR(__xludf.DUMMYFUNCTION("IMPORTRANGE(""https://docs.google.com/spreadsheets/d/1UsNK1e-WWiCo2PvGqdNfdme4m17_Ezd3J69EeeiQPD0/edit?usp=sharing"",""อุทัยธานี!J453"")"),0)</f>
        <v>0</v>
      </c>
      <c r="BM30" s="191">
        <f ca="1">IFERROR(__xludf.DUMMYFUNCTION("IMPORTRANGE(""https://docs.google.com/spreadsheets/d/1UsNK1e-WWiCo2PvGqdNfdme4m17_Ezd3J69EeeiQPD0/edit?usp=sharing"",""อุทัยธานี!J454"")"),0)</f>
        <v>0</v>
      </c>
      <c r="BN30" s="191">
        <f ca="1">IFERROR(__xludf.DUMMYFUNCTION("IMPORTRANGE(""https://docs.google.com/spreadsheets/d/1UsNK1e-WWiCo2PvGqdNfdme4m17_Ezd3J69EeeiQPD0/edit?usp=sharing"",""อุทัยธานี!J455"")"),0)</f>
        <v>0</v>
      </c>
      <c r="BO30" s="191">
        <f ca="1">IFERROR(__xludf.DUMMYFUNCTION("IMPORTRANGE(""https://docs.google.com/spreadsheets/d/1UsNK1e-WWiCo2PvGqdNfdme4m17_Ezd3J69EeeiQPD0/edit?usp=sharing"",""อุทัยธานี!I457"")"),8766.38)</f>
        <v>8766.3799999999992</v>
      </c>
      <c r="BP30" s="191">
        <f ca="1">IFERROR(__xludf.DUMMYFUNCTION("IMPORTRANGE(""https://docs.google.com/spreadsheets/d/1UsNK1e-WWiCo2PvGqdNfdme4m17_Ezd3J69EeeiQPD0/edit?usp=sharing"",""อุทัยธานี!I458"")"),564)</f>
        <v>564</v>
      </c>
      <c r="BQ30" s="191">
        <f ca="1">IFERROR(__xludf.DUMMYFUNCTION("IMPORTRANGE(""https://docs.google.com/spreadsheets/d/1UsNK1e-WWiCo2PvGqdNfdme4m17_Ezd3J69EeeiQPD0/edit?usp=sharing"",""อุทัยธานี!J457"")"),1649)</f>
        <v>1649</v>
      </c>
      <c r="BR30" s="218">
        <f t="shared" ca="1" si="65"/>
        <v>18.810501027790263</v>
      </c>
      <c r="BS30" s="191">
        <f ca="1">IFERROR(__xludf.DUMMYFUNCTION("IMPORTRANGE(""https://docs.google.com/spreadsheets/d/1UsNK1e-WWiCo2PvGqdNfdme4m17_Ezd3J69EeeiQPD0/edit?usp=sharing"",""อุทัยธานี!J458"")"),113)</f>
        <v>113</v>
      </c>
      <c r="BT30" s="218">
        <f t="shared" ca="1" si="66"/>
        <v>20.035460992907801</v>
      </c>
      <c r="BU30" s="191">
        <f ca="1">IFERROR(__xludf.DUMMYFUNCTION("IMPORTRANGE(""https://docs.google.com/spreadsheets/d/1UsNK1e-WWiCo2PvGqdNfdme4m17_Ezd3J69EeeiQPD0/edit?usp=sharing"",""อุทัยธานี!J459"")"),1590)</f>
        <v>1590</v>
      </c>
      <c r="BV30" s="191">
        <f ca="1">IFERROR(__xludf.DUMMYFUNCTION("IMPORTRANGE(""https://docs.google.com/spreadsheets/d/1UsNK1e-WWiCo2PvGqdNfdme4m17_Ezd3J69EeeiQPD0/edit?usp=sharing"",""อุทัยธานี!J460"")"),109)</f>
        <v>109</v>
      </c>
      <c r="BW30" s="191">
        <f ca="1">IFERROR(__xludf.DUMMYFUNCTION("IMPORTRANGE(""https://docs.google.com/spreadsheets/d/1UsNK1e-WWiCo2PvGqdNfdme4m17_Ezd3J69EeeiQPD0/edit?usp=sharing"",""อุทัยธานี!J461"")"),661)</f>
        <v>661</v>
      </c>
      <c r="BX30" s="191">
        <f ca="1">IFERROR(__xludf.DUMMYFUNCTION("IMPORTRANGE(""https://docs.google.com/spreadsheets/d/1UsNK1e-WWiCo2PvGqdNfdme4m17_Ezd3J69EeeiQPD0/edit?usp=sharing"",""อุทัยธานี!J462"")"),56)</f>
        <v>56</v>
      </c>
      <c r="BY30" s="191">
        <f ca="1">IFERROR(__xludf.DUMMYFUNCTION("IMPORTRANGE(""https://docs.google.com/spreadsheets/d/1UsNK1e-WWiCo2PvGqdNfdme4m17_Ezd3J69EeeiQPD0/edit?usp=sharing"",""อุทัยธานี!J463"")"),929)</f>
        <v>929</v>
      </c>
      <c r="BZ30" s="191">
        <f ca="1">IFERROR(__xludf.DUMMYFUNCTION("IMPORTRANGE(""https://docs.google.com/spreadsheets/d/1UsNK1e-WWiCo2PvGqdNfdme4m17_Ezd3J69EeeiQPD0/edit?usp=sharing"",""อุทัยธานี!J464"")"),53)</f>
        <v>53</v>
      </c>
      <c r="CA30" s="191">
        <f ca="1">IFERROR(__xludf.DUMMYFUNCTION("IMPORTRANGE(""https://docs.google.com/spreadsheets/d/1UsNK1e-WWiCo2PvGqdNfdme4m17_Ezd3J69EeeiQPD0/edit?usp=sharing"",""อุทัยธานี!J465"")"),0)</f>
        <v>0</v>
      </c>
      <c r="CB30" s="191">
        <f ca="1">IFERROR(__xludf.DUMMYFUNCTION("IMPORTRANGE(""https://docs.google.com/spreadsheets/d/1UsNK1e-WWiCo2PvGqdNfdme4m17_Ezd3J69EeeiQPD0/edit?usp=sharing"",""อุทัยธานี!J466"")"),0)</f>
        <v>0</v>
      </c>
      <c r="CC30" s="191">
        <f ca="1">IFERROR(__xludf.DUMMYFUNCTION("IMPORTRANGE(""https://docs.google.com/spreadsheets/d/1UsNK1e-WWiCo2PvGqdNfdme4m17_Ezd3J69EeeiQPD0/edit?usp=sharing"",""อุทัยธานี!J467"")"),0)</f>
        <v>0</v>
      </c>
      <c r="CD30" s="191">
        <f ca="1">IFERROR(__xludf.DUMMYFUNCTION("IMPORTRANGE(""https://docs.google.com/spreadsheets/d/1UsNK1e-WWiCo2PvGqdNfdme4m17_Ezd3J69EeeiQPD0/edit?usp=sharing"",""อุทัยธานี!J468"")"),0)</f>
        <v>0</v>
      </c>
      <c r="CE30" s="191">
        <f ca="1">IFERROR(__xludf.DUMMYFUNCTION("IMPORTRANGE(""https://docs.google.com/spreadsheets/d/1UsNK1e-WWiCo2PvGqdNfdme4m17_Ezd3J69EeeiQPD0/edit?usp=sharing"",""อุทัยธานี!J469"")"),0)</f>
        <v>0</v>
      </c>
      <c r="CF30" s="191">
        <f ca="1">IFERROR(__xludf.DUMMYFUNCTION("IMPORTRANGE(""https://docs.google.com/spreadsheets/d/1UsNK1e-WWiCo2PvGqdNfdme4m17_Ezd3J69EeeiQPD0/edit?usp=sharing"",""อุทัยธานี!J470"")"),0)</f>
        <v>0</v>
      </c>
      <c r="CG30" s="191">
        <f ca="1">IFERROR(__xludf.DUMMYFUNCTION("IMPORTRANGE(""https://docs.google.com/spreadsheets/d/1UsNK1e-WWiCo2PvGqdNfdme4m17_Ezd3J69EeeiQPD0/edit?usp=sharing"",""อุทัยธานี!J471"")"),0)</f>
        <v>0</v>
      </c>
      <c r="CH30" s="191">
        <f ca="1">IFERROR(__xludf.DUMMYFUNCTION("IMPORTRANGE(""https://docs.google.com/spreadsheets/d/1UsNK1e-WWiCo2PvGqdNfdme4m17_Ezd3J69EeeiQPD0/edit?usp=sharing"",""อุทัยธานี!J472"")"),0)</f>
        <v>0</v>
      </c>
      <c r="CI30" s="191">
        <f ca="1">IFERROR(__xludf.DUMMYFUNCTION("IMPORTRANGE(""https://docs.google.com/spreadsheets/d/1UsNK1e-WWiCo2PvGqdNfdme4m17_Ezd3J69EeeiQPD0/edit?usp=sharing"",""อุทัยธานี!J473"")"),59)</f>
        <v>59</v>
      </c>
      <c r="CJ30" s="191">
        <f ca="1">IFERROR(__xludf.DUMMYFUNCTION("IMPORTRANGE(""https://docs.google.com/spreadsheets/d/1UsNK1e-WWiCo2PvGqdNfdme4m17_Ezd3J69EeeiQPD0/edit?usp=sharing"",""อุทัยธานี!J474"")"),4)</f>
        <v>4</v>
      </c>
      <c r="CK30" s="280">
        <f ca="1">IFERROR(__xludf.DUMMYFUNCTION("IMPORTRANGE(""https://docs.google.com/spreadsheets/d/1UsNK1e-WWiCo2PvGqdNfdme4m17_Ezd3J69EeeiQPD0/edit?usp=sharing"",""อุทัยธานี!I476"")"),0)</f>
        <v>0</v>
      </c>
      <c r="CL30" s="280">
        <f ca="1">IFERROR(__xludf.DUMMYFUNCTION("IMPORTRANGE(""https://docs.google.com/spreadsheets/d/1UsNK1e-WWiCo2PvGqdNfdme4m17_Ezd3J69EeeiQPD0/edit?usp=sharing"",""อุทัยธานี!I477"")"),0)</f>
        <v>0</v>
      </c>
      <c r="CM30" s="280">
        <f ca="1">IFERROR(__xludf.DUMMYFUNCTION("IMPORTRANGE(""https://docs.google.com/spreadsheets/d/1UsNK1e-WWiCo2PvGqdNfdme4m17_Ezd3J69EeeiQPD0/edit?usp=sharing"",""อุทัยธานี!J476"")"),0)</f>
        <v>0</v>
      </c>
      <c r="CN30" s="218">
        <f t="shared" ca="1" si="68"/>
        <v>0</v>
      </c>
      <c r="CO30" s="280">
        <f ca="1">IFERROR(__xludf.DUMMYFUNCTION("IMPORTRANGE(""https://docs.google.com/spreadsheets/d/1UsNK1e-WWiCo2PvGqdNfdme4m17_Ezd3J69EeeiQPD0/edit?usp=sharing"",""อุทัยธานี!J477"")"),0)</f>
        <v>0</v>
      </c>
      <c r="CP30" s="218">
        <f t="shared" ca="1" si="69"/>
        <v>0</v>
      </c>
      <c r="CQ30" s="280">
        <f ca="1">IFERROR(__xludf.DUMMYFUNCTION("IMPORTRANGE(""https://docs.google.com/spreadsheets/d/1UsNK1e-WWiCo2PvGqdNfdme4m17_Ezd3J69EeeiQPD0/edit?usp=sharing"",""อุทัยธานี!J478"")"),0)</f>
        <v>0</v>
      </c>
      <c r="CR30" s="280">
        <f ca="1">IFERROR(__xludf.DUMMYFUNCTION("IMPORTRANGE(""https://docs.google.com/spreadsheets/d/1UsNK1e-WWiCo2PvGqdNfdme4m17_Ezd3J69EeeiQPD0/edit?usp=sharing"",""อุทัยธานี!J479"")"),0)</f>
        <v>0</v>
      </c>
      <c r="CS30" s="280">
        <f ca="1">IFERROR(__xludf.DUMMYFUNCTION("IMPORTRANGE(""https://docs.google.com/spreadsheets/d/1UsNK1e-WWiCo2PvGqdNfdme4m17_Ezd3J69EeeiQPD0/edit?usp=sharing"",""อุทัยธานี!J480"")"),0)</f>
        <v>0</v>
      </c>
      <c r="CT30" s="280">
        <f ca="1">IFERROR(__xludf.DUMMYFUNCTION("IMPORTRANGE(""https://docs.google.com/spreadsheets/d/1UsNK1e-WWiCo2PvGqdNfdme4m17_Ezd3J69EeeiQPD0/edit?usp=sharing"",""อุทัยธานี!J481"")"),0)</f>
        <v>0</v>
      </c>
      <c r="CU30" s="280">
        <f ca="1">IFERROR(__xludf.DUMMYFUNCTION("IMPORTRANGE(""https://docs.google.com/spreadsheets/d/1UsNK1e-WWiCo2PvGqdNfdme4m17_Ezd3J69EeeiQPD0/edit?usp=sharing"",""อุทัยธานี!I484"")"),0)</f>
        <v>0</v>
      </c>
      <c r="CV30" s="280">
        <f ca="1">IFERROR(__xludf.DUMMYFUNCTION("IMPORTRANGE(""https://docs.google.com/spreadsheets/d/1UsNK1e-WWiCo2PvGqdNfdme4m17_Ezd3J69EeeiQPD0/edit?usp=sharing"",""อุทัยธานี!I485"")"),0)</f>
        <v>0</v>
      </c>
      <c r="CW30" s="280">
        <f ca="1">IFERROR(__xludf.DUMMYFUNCTION("IMPORTRANGE(""https://docs.google.com/spreadsheets/d/1UsNK1e-WWiCo2PvGqdNfdme4m17_Ezd3J69EeeiQPD0/edit?usp=sharing"",""อุทัยธานี!J484"")"),0)</f>
        <v>0</v>
      </c>
      <c r="CX30" s="218">
        <f t="shared" ca="1" si="71"/>
        <v>0</v>
      </c>
      <c r="CY30" s="280">
        <f ca="1">IFERROR(__xludf.DUMMYFUNCTION("IMPORTRANGE(""https://docs.google.com/spreadsheets/d/1UsNK1e-WWiCo2PvGqdNfdme4m17_Ezd3J69EeeiQPD0/edit?usp=sharing"",""อุทัยธานี!J485"")"),0)</f>
        <v>0</v>
      </c>
      <c r="CZ30" s="218">
        <f t="shared" ca="1" si="72"/>
        <v>0</v>
      </c>
      <c r="DA30" s="280">
        <f ca="1">IFERROR(__xludf.DUMMYFUNCTION("IMPORTRANGE(""https://docs.google.com/spreadsheets/d/1UsNK1e-WWiCo2PvGqdNfdme4m17_Ezd3J69EeeiQPD0/edit?usp=sharing"",""อุทัยธานี!J486"")"),0)</f>
        <v>0</v>
      </c>
      <c r="DB30" s="280">
        <f ca="1">IFERROR(__xludf.DUMMYFUNCTION("IMPORTRANGE(""https://docs.google.com/spreadsheets/d/1UsNK1e-WWiCo2PvGqdNfdme4m17_Ezd3J69EeeiQPD0/edit?usp=sharing"",""อุทัยธานี!J487"")"),0)</f>
        <v>0</v>
      </c>
      <c r="DC30" s="280">
        <f ca="1">IFERROR(__xludf.DUMMYFUNCTION("IMPORTRANGE(""https://docs.google.com/spreadsheets/d/1UsNK1e-WWiCo2PvGqdNfdme4m17_Ezd3J69EeeiQPD0/edit?usp=sharing"",""อุทัยธานี!J488"")"),0)</f>
        <v>0</v>
      </c>
      <c r="DD30" s="280">
        <f ca="1">IFERROR(__xludf.DUMMYFUNCTION("IMPORTRANGE(""https://docs.google.com/spreadsheets/d/1UsNK1e-WWiCo2PvGqdNfdme4m17_Ezd3J69EeeiQPD0/edit?usp=sharing"",""อุทัยธานี!J489"")"),0)</f>
        <v>0</v>
      </c>
      <c r="DE30" s="280">
        <f ca="1">IFERROR(__xludf.DUMMYFUNCTION("IMPORTRANGE(""https://docs.google.com/spreadsheets/d/1UsNK1e-WWiCo2PvGqdNfdme4m17_Ezd3J69EeeiQPD0/edit?usp=sharing"",""อุทัยธานี!J490"")"),0)</f>
        <v>0</v>
      </c>
      <c r="DF30" s="280">
        <f ca="1">IFERROR(__xludf.DUMMYFUNCTION("IMPORTRANGE(""https://docs.google.com/spreadsheets/d/1UsNK1e-WWiCo2PvGqdNfdme4m17_Ezd3J69EeeiQPD0/edit?usp=sharing"",""อุทัยธานี!J491"")"),0)</f>
        <v>0</v>
      </c>
    </row>
    <row r="31" spans="1:110" ht="19.5" x14ac:dyDescent="0.3">
      <c r="A31" s="696" t="s">
        <v>59</v>
      </c>
      <c r="B31" s="662"/>
      <c r="C31" s="577">
        <f t="shared" ca="1" si="44"/>
        <v>9778510</v>
      </c>
      <c r="D31" s="309">
        <f t="shared" ref="D31:I31" ca="1" si="75">SUM(D32:D51)</f>
        <v>9778510</v>
      </c>
      <c r="E31" s="309">
        <f t="shared" ca="1" si="75"/>
        <v>2911000</v>
      </c>
      <c r="F31" s="309">
        <f t="shared" ca="1" si="75"/>
        <v>6867510</v>
      </c>
      <c r="G31" s="309">
        <f t="shared" ca="1" si="75"/>
        <v>0</v>
      </c>
      <c r="H31" s="309">
        <f t="shared" ca="1" si="75"/>
        <v>9901510</v>
      </c>
      <c r="I31" s="309">
        <f t="shared" ca="1" si="75"/>
        <v>0</v>
      </c>
      <c r="J31" s="309">
        <f t="shared" ca="1" si="46"/>
        <v>4732924.3099999996</v>
      </c>
      <c r="K31" s="556">
        <f t="shared" ca="1" si="47"/>
        <v>48.40128311982091</v>
      </c>
      <c r="L31" s="309">
        <f ca="1">SUM(L32:L51)</f>
        <v>4732924.3099999996</v>
      </c>
      <c r="M31" s="310">
        <f t="shared" ca="1" si="48"/>
        <v>48.40128311982091</v>
      </c>
      <c r="N31" s="310">
        <f t="shared" ca="1" si="49"/>
        <v>47.80002555165828</v>
      </c>
      <c r="O31" s="557">
        <f ca="1">SUM(O32:O51)</f>
        <v>0</v>
      </c>
      <c r="P31" s="557">
        <f t="shared" ca="1" si="50"/>
        <v>0</v>
      </c>
      <c r="Q31" s="310">
        <f t="shared" ca="1" si="51"/>
        <v>0</v>
      </c>
      <c r="R31" s="578">
        <f t="shared" ref="R31:T31" ca="1" si="76">SUM(R32:R51)</f>
        <v>1894020</v>
      </c>
      <c r="S31" s="578">
        <f t="shared" ca="1" si="76"/>
        <v>1894020</v>
      </c>
      <c r="T31" s="578">
        <f t="shared" ca="1" si="76"/>
        <v>222612</v>
      </c>
      <c r="U31" s="579">
        <f t="shared" ca="1" si="53"/>
        <v>11.753413374726772</v>
      </c>
      <c r="V31" s="579">
        <f t="shared" ca="1" si="54"/>
        <v>11.753413374726772</v>
      </c>
      <c r="W31" s="369">
        <f t="shared" ref="W31:Y31" ca="1" si="77">SUM(W32:W51)</f>
        <v>1445055</v>
      </c>
      <c r="X31" s="369">
        <f t="shared" ca="1" si="77"/>
        <v>167297</v>
      </c>
      <c r="Y31" s="369">
        <f t="shared" ca="1" si="77"/>
        <v>615920.45000000007</v>
      </c>
      <c r="Z31" s="94">
        <f t="shared" ca="1" si="56"/>
        <v>42.622630280508361</v>
      </c>
      <c r="AA31" s="369">
        <f ca="1">SUM(AA32:AA51)</f>
        <v>70999</v>
      </c>
      <c r="AB31" s="94">
        <f t="shared" ca="1" si="57"/>
        <v>42.438896094968825</v>
      </c>
      <c r="AC31" s="369">
        <f t="shared" ref="AC31:AK31" ca="1" si="78">SUM(AC32:AC51)</f>
        <v>473555.83999999997</v>
      </c>
      <c r="AD31" s="369">
        <f t="shared" ca="1" si="78"/>
        <v>57206</v>
      </c>
      <c r="AE31" s="369">
        <f t="shared" ca="1" si="78"/>
        <v>106487.59999999999</v>
      </c>
      <c r="AF31" s="369">
        <f t="shared" ca="1" si="78"/>
        <v>10153</v>
      </c>
      <c r="AG31" s="369">
        <f t="shared" ca="1" si="78"/>
        <v>35877.01</v>
      </c>
      <c r="AH31" s="369">
        <f t="shared" ca="1" si="78"/>
        <v>3640</v>
      </c>
      <c r="AI31" s="161">
        <f t="shared" ca="1" si="78"/>
        <v>1445055</v>
      </c>
      <c r="AJ31" s="161">
        <f t="shared" ca="1" si="78"/>
        <v>167297</v>
      </c>
      <c r="AK31" s="94">
        <f t="shared" ca="1" si="78"/>
        <v>114464</v>
      </c>
      <c r="AL31" s="94">
        <f t="shared" ca="1" si="59"/>
        <v>7.9210825885519931</v>
      </c>
      <c r="AM31" s="161">
        <f ca="1">SUM(AM32:AM51)</f>
        <v>10009</v>
      </c>
      <c r="AN31" s="94">
        <f t="shared" ca="1" si="60"/>
        <v>5.982773151939365</v>
      </c>
      <c r="AO31" s="161">
        <f t="shared" ref="AO31:AW31" ca="1" si="79">SUM(AO32:AO51)</f>
        <v>89564</v>
      </c>
      <c r="AP31" s="161">
        <f t="shared" ca="1" si="79"/>
        <v>8073</v>
      </c>
      <c r="AQ31" s="161">
        <f t="shared" ca="1" si="79"/>
        <v>18180</v>
      </c>
      <c r="AR31" s="161">
        <f t="shared" ca="1" si="79"/>
        <v>1381</v>
      </c>
      <c r="AS31" s="161">
        <f t="shared" ca="1" si="79"/>
        <v>6720</v>
      </c>
      <c r="AT31" s="161">
        <f t="shared" ca="1" si="79"/>
        <v>555</v>
      </c>
      <c r="AU31" s="161">
        <f t="shared" ca="1" si="79"/>
        <v>1445055</v>
      </c>
      <c r="AV31" s="161">
        <f t="shared" ca="1" si="79"/>
        <v>167297</v>
      </c>
      <c r="AW31" s="161">
        <f t="shared" ca="1" si="79"/>
        <v>18192</v>
      </c>
      <c r="AX31" s="94">
        <f t="shared" ca="1" si="62"/>
        <v>1.2589140205736113</v>
      </c>
      <c r="AY31" s="161">
        <f ca="1">SUM(AY32:AY51)</f>
        <v>2277</v>
      </c>
      <c r="AZ31" s="94">
        <f t="shared" ca="1" si="63"/>
        <v>1.3610524994470912</v>
      </c>
      <c r="BA31" s="161">
        <f t="shared" ref="BA31:BQ31" ca="1" si="80">SUM(BA32:BA51)</f>
        <v>17137</v>
      </c>
      <c r="BB31" s="161">
        <f t="shared" ca="1" si="80"/>
        <v>2017</v>
      </c>
      <c r="BC31" s="161">
        <f t="shared" ca="1" si="80"/>
        <v>466</v>
      </c>
      <c r="BD31" s="161">
        <f t="shared" ca="1" si="80"/>
        <v>122</v>
      </c>
      <c r="BE31" s="161">
        <f t="shared" ca="1" si="80"/>
        <v>589</v>
      </c>
      <c r="BF31" s="161">
        <f t="shared" ca="1" si="80"/>
        <v>138</v>
      </c>
      <c r="BG31" s="161">
        <f t="shared" ca="1" si="80"/>
        <v>589</v>
      </c>
      <c r="BH31" s="161">
        <f t="shared" ca="1" si="80"/>
        <v>138</v>
      </c>
      <c r="BI31" s="161">
        <f t="shared" ca="1" si="80"/>
        <v>0</v>
      </c>
      <c r="BJ31" s="161">
        <f t="shared" ca="1" si="80"/>
        <v>0</v>
      </c>
      <c r="BK31" s="161">
        <f t="shared" ca="1" si="80"/>
        <v>0</v>
      </c>
      <c r="BL31" s="161">
        <f t="shared" ca="1" si="80"/>
        <v>0</v>
      </c>
      <c r="BM31" s="161">
        <f t="shared" ca="1" si="80"/>
        <v>0</v>
      </c>
      <c r="BN31" s="161">
        <f t="shared" ca="1" si="80"/>
        <v>0</v>
      </c>
      <c r="BO31" s="161">
        <f t="shared" ca="1" si="80"/>
        <v>91345.35</v>
      </c>
      <c r="BP31" s="161">
        <f t="shared" ca="1" si="80"/>
        <v>7135</v>
      </c>
      <c r="BQ31" s="161">
        <f t="shared" ca="1" si="80"/>
        <v>16398.46</v>
      </c>
      <c r="BR31" s="94">
        <f t="shared" ca="1" si="65"/>
        <v>17.952156294764865</v>
      </c>
      <c r="BS31" s="161">
        <f ca="1">SUM(BS32:BS51)</f>
        <v>1150</v>
      </c>
      <c r="BT31" s="94">
        <f t="shared" ca="1" si="66"/>
        <v>16.117729502452697</v>
      </c>
      <c r="BU31" s="161">
        <f t="shared" ref="BU31:CM31" ca="1" si="81">SUM(BU32:BU51)</f>
        <v>15332</v>
      </c>
      <c r="BV31" s="161">
        <f t="shared" ca="1" si="81"/>
        <v>1074</v>
      </c>
      <c r="BW31" s="161">
        <f t="shared" ca="1" si="81"/>
        <v>10241</v>
      </c>
      <c r="BX31" s="161">
        <f t="shared" ca="1" si="81"/>
        <v>767</v>
      </c>
      <c r="BY31" s="161">
        <f t="shared" ca="1" si="81"/>
        <v>5091</v>
      </c>
      <c r="BZ31" s="161">
        <f t="shared" ca="1" si="81"/>
        <v>307</v>
      </c>
      <c r="CA31" s="161">
        <f t="shared" ca="1" si="81"/>
        <v>0</v>
      </c>
      <c r="CB31" s="161">
        <f t="shared" ca="1" si="81"/>
        <v>0</v>
      </c>
      <c r="CC31" s="161">
        <f t="shared" ca="1" si="81"/>
        <v>1038.46</v>
      </c>
      <c r="CD31" s="161">
        <f t="shared" ca="1" si="81"/>
        <v>71</v>
      </c>
      <c r="CE31" s="161">
        <f t="shared" ca="1" si="81"/>
        <v>696.46</v>
      </c>
      <c r="CF31" s="161">
        <f t="shared" ca="1" si="81"/>
        <v>53</v>
      </c>
      <c r="CG31" s="161">
        <f t="shared" ca="1" si="81"/>
        <v>342</v>
      </c>
      <c r="CH31" s="161">
        <f t="shared" ca="1" si="81"/>
        <v>18</v>
      </c>
      <c r="CI31" s="161">
        <f t="shared" ca="1" si="81"/>
        <v>28</v>
      </c>
      <c r="CJ31" s="161">
        <f t="shared" ca="1" si="81"/>
        <v>5</v>
      </c>
      <c r="CK31" s="281">
        <f t="shared" ca="1" si="81"/>
        <v>0</v>
      </c>
      <c r="CL31" s="281">
        <f t="shared" ca="1" si="81"/>
        <v>0</v>
      </c>
      <c r="CM31" s="281">
        <f t="shared" ca="1" si="81"/>
        <v>0</v>
      </c>
      <c r="CN31" s="94">
        <f t="shared" ca="1" si="68"/>
        <v>0</v>
      </c>
      <c r="CO31" s="281">
        <f ca="1">SUM(CO32:CO51)</f>
        <v>0</v>
      </c>
      <c r="CP31" s="94">
        <f t="shared" ca="1" si="69"/>
        <v>0</v>
      </c>
      <c r="CQ31" s="281">
        <f t="shared" ref="CQ31:CW31" ca="1" si="82">SUM(CQ32:CQ51)</f>
        <v>0</v>
      </c>
      <c r="CR31" s="281">
        <f t="shared" ca="1" si="82"/>
        <v>0</v>
      </c>
      <c r="CS31" s="281">
        <f t="shared" ca="1" si="82"/>
        <v>0</v>
      </c>
      <c r="CT31" s="281">
        <f t="shared" ca="1" si="82"/>
        <v>0</v>
      </c>
      <c r="CU31" s="281">
        <f t="shared" ca="1" si="82"/>
        <v>3329</v>
      </c>
      <c r="CV31" s="281">
        <f t="shared" ca="1" si="82"/>
        <v>285</v>
      </c>
      <c r="CW31" s="281">
        <f t="shared" ca="1" si="82"/>
        <v>150.87</v>
      </c>
      <c r="CX31" s="94">
        <f t="shared" ca="1" si="71"/>
        <v>4.5319915890657851</v>
      </c>
      <c r="CY31" s="281">
        <f ca="1">SUM(CY32:CY51)</f>
        <v>30</v>
      </c>
      <c r="CZ31" s="94">
        <f t="shared" ca="1" si="72"/>
        <v>10.526315789473685</v>
      </c>
      <c r="DA31" s="281">
        <f t="shared" ref="DA31:DF31" ca="1" si="83">SUM(DA32:DA51)</f>
        <v>24.87</v>
      </c>
      <c r="DB31" s="281">
        <f t="shared" ca="1" si="83"/>
        <v>5</v>
      </c>
      <c r="DC31" s="281">
        <f t="shared" ca="1" si="83"/>
        <v>126</v>
      </c>
      <c r="DD31" s="281">
        <f t="shared" ca="1" si="83"/>
        <v>25</v>
      </c>
      <c r="DE31" s="281">
        <f t="shared" ca="1" si="83"/>
        <v>0</v>
      </c>
      <c r="DF31" s="281">
        <f t="shared" ca="1" si="83"/>
        <v>0</v>
      </c>
    </row>
    <row r="32" spans="1:110" ht="19.5" x14ac:dyDescent="0.3">
      <c r="A32" s="147">
        <v>1</v>
      </c>
      <c r="B32" s="148" t="s">
        <v>60</v>
      </c>
      <c r="C32" s="580">
        <f t="shared" ca="1" si="44"/>
        <v>621790</v>
      </c>
      <c r="D32" s="561">
        <f t="shared" ref="D32:D51" ca="1" si="84">+E32+F32</f>
        <v>621790</v>
      </c>
      <c r="E32" s="325">
        <f ca="1">IFERROR(__xludf.DUMMYFUNCTION("IMPORTRANGE(""https://docs.google.com/spreadsheets/d/1-uDff_7J0KD5mKrp0Vvzr7lt3OU09vwQwhkpOPPYv2Y/edit?usp=sharing"",""งบพรบ!IP32"")"),247200)</f>
        <v>247200</v>
      </c>
      <c r="F32" s="325">
        <f ca="1">IFERROR(__xludf.DUMMYFUNCTION("IMPORTRANGE(""https://docs.google.com/spreadsheets/d/1-uDff_7J0KD5mKrp0Vvzr7lt3OU09vwQwhkpOPPYv2Y/edit?usp=sharing"",""งบพรบ!IQ32"")"),374590)</f>
        <v>374590</v>
      </c>
      <c r="G32" s="311">
        <f ca="1">IFERROR(__xludf.DUMMYFUNCTION("IMPORTRANGE(""https://docs.google.com/spreadsheets/d/1-uDff_7J0KD5mKrp0Vvzr7lt3OU09vwQwhkpOPPYv2Y/edit?usp=sharing"",""งบพรบ!IR32"")"),0)</f>
        <v>0</v>
      </c>
      <c r="H32" s="311">
        <f ca="1">IFERROR(__xludf.DUMMYFUNCTION("IMPORTRANGE(""https://docs.google.com/spreadsheets/d/1-uDff_7J0KD5mKrp0Vvzr7lt3OU09vwQwhkpOPPYv2Y/edit?usp=sharing"",""งบพรบ!IT32"")"),621790)</f>
        <v>621790</v>
      </c>
      <c r="I32" s="311">
        <f ca="1">IFERROR(__xludf.DUMMYFUNCTION("IMPORTRANGE(""https://docs.google.com/spreadsheets/d/1-uDff_7J0KD5mKrp0Vvzr7lt3OU09vwQwhkpOPPYv2Y/edit?usp=sharing"",""งบพรบ!IU32"")"),0)</f>
        <v>0</v>
      </c>
      <c r="J32" s="311">
        <f t="shared" ca="1" si="46"/>
        <v>349010.85</v>
      </c>
      <c r="K32" s="562">
        <f t="shared" ca="1" si="47"/>
        <v>56.130019781598286</v>
      </c>
      <c r="L32" s="311">
        <f ca="1">IFERROR(__xludf.DUMMYFUNCTION("IMPORTRANGE(""https://docs.google.com/spreadsheets/d/1-uDff_7J0KD5mKrp0Vvzr7lt3OU09vwQwhkpOPPYv2Y/edit?usp=sharing"",""งบพรบ!IV32"")"),349010.85)</f>
        <v>349010.85</v>
      </c>
      <c r="M32" s="326">
        <f t="shared" ca="1" si="48"/>
        <v>56.130019781598286</v>
      </c>
      <c r="N32" s="326">
        <f t="shared" ca="1" si="49"/>
        <v>56.130019781598286</v>
      </c>
      <c r="O32" s="563">
        <f ca="1">IFERROR(__xludf.DUMMYFUNCTION("IMPORTRANGE(""https://docs.google.com/spreadsheets/d/1-uDff_7J0KD5mKrp0Vvzr7lt3OU09vwQwhkpOPPYv2Y/edit?usp=sharing"",""งบพรบ!IW32"")"),0)</f>
        <v>0</v>
      </c>
      <c r="P32" s="563">
        <f t="shared" ca="1" si="50"/>
        <v>0</v>
      </c>
      <c r="Q32" s="326">
        <f t="shared" ca="1" si="51"/>
        <v>0</v>
      </c>
      <c r="R32" s="564">
        <f ca="1">IFERROR(__xludf.DUMMYFUNCTION("IMPORTRANGE(""https://docs.google.com/spreadsheets/d/1yhBcrRPreicbMKl9Bu_Snb2-OcQAF62RKfhTLhJ2eAA/edit?usp=sharing"",""กาฬสินธุ์!Q413"")"),168560)</f>
        <v>168560</v>
      </c>
      <c r="S32" s="564">
        <f ca="1">IFERROR(__xludf.DUMMYFUNCTION("IMPORTRANGE(""https://docs.google.com/spreadsheets/d/1yhBcrRPreicbMKl9Bu_Snb2-OcQAF62RKfhTLhJ2eAA/edit?usp=sharing"",""กาฬสินธุ์!R413"")"),168560)</f>
        <v>168560</v>
      </c>
      <c r="T32" s="564">
        <f ca="1">IFERROR(__xludf.DUMMYFUNCTION("IMPORTRANGE(""https://docs.google.com/spreadsheets/d/1yhBcrRPreicbMKl9Bu_Snb2-OcQAF62RKfhTLhJ2eAA/edit?usp=sharing"",""กาฬสินธุ์!S413"")"),6350)</f>
        <v>6350</v>
      </c>
      <c r="U32" s="565">
        <f t="shared" ca="1" si="53"/>
        <v>3.7672045562411012</v>
      </c>
      <c r="V32" s="565">
        <f t="shared" ca="1" si="54"/>
        <v>3.7672045562411012</v>
      </c>
      <c r="W32" s="152">
        <f ca="1">IFERROR(__xludf.DUMMYFUNCTION("IMPORTRANGE(""https://docs.google.com/spreadsheets/d/1yhBcrRPreicbMKl9Bu_Snb2-OcQAF62RKfhTLhJ2eAA/edit?usp=sharing"",""กาฬสินธุ์!I424"")"),79242)</f>
        <v>79242</v>
      </c>
      <c r="X32" s="152">
        <f ca="1">IFERROR(__xludf.DUMMYFUNCTION("IMPORTRANGE(""https://docs.google.com/spreadsheets/d/1yhBcrRPreicbMKl9Bu_Snb2-OcQAF62RKfhTLhJ2eAA/edit?usp=sharing"",""กาฬสินธุ์!I425"")"),8397)</f>
        <v>8397</v>
      </c>
      <c r="Y32" s="152">
        <f ca="1">IFERROR(__xludf.DUMMYFUNCTION("IMPORTRANGE(""https://docs.google.com/spreadsheets/d/1yhBcrRPreicbMKl9Bu_Snb2-OcQAF62RKfhTLhJ2eAA/edit?usp=sharing"",""กาฬสินธุ์!J424"")"),0)</f>
        <v>0</v>
      </c>
      <c r="Z32" s="216">
        <f t="shared" ca="1" si="56"/>
        <v>0</v>
      </c>
      <c r="AA32" s="152">
        <f ca="1">IFERROR(__xludf.DUMMYFUNCTION("IMPORTRANGE(""https://docs.google.com/spreadsheets/d/1yhBcrRPreicbMKl9Bu_Snb2-OcQAF62RKfhTLhJ2eAA/edit?usp=sharing"",""กาฬสินธุ์!J425"")"),0)</f>
        <v>0</v>
      </c>
      <c r="AB32" s="216">
        <f t="shared" ca="1" si="57"/>
        <v>0</v>
      </c>
      <c r="AC32" s="152">
        <f ca="1">IFERROR(__xludf.DUMMYFUNCTION("IMPORTRANGE(""https://docs.google.com/spreadsheets/d/1yhBcrRPreicbMKl9Bu_Snb2-OcQAF62RKfhTLhJ2eAA/edit?usp=sharing"",""กาฬสินธุ์!J426"")"),0)</f>
        <v>0</v>
      </c>
      <c r="AD32" s="152">
        <f ca="1">IFERROR(__xludf.DUMMYFUNCTION("IMPORTRANGE(""https://docs.google.com/spreadsheets/d/1yhBcrRPreicbMKl9Bu_Snb2-OcQAF62RKfhTLhJ2eAA/edit?usp=sharing"",""กาฬสินธุ์!J427"")"),0)</f>
        <v>0</v>
      </c>
      <c r="AE32" s="152">
        <f ca="1">IFERROR(__xludf.DUMMYFUNCTION("IMPORTRANGE(""https://docs.google.com/spreadsheets/d/1yhBcrRPreicbMKl9Bu_Snb2-OcQAF62RKfhTLhJ2eAA/edit?usp=sharing"",""กาฬสินธุ์!J428"")"),0)</f>
        <v>0</v>
      </c>
      <c r="AF32" s="152">
        <f ca="1">IFERROR(__xludf.DUMMYFUNCTION("IMPORTRANGE(""https://docs.google.com/spreadsheets/d/1yhBcrRPreicbMKl9Bu_Snb2-OcQAF62RKfhTLhJ2eAA/edit?usp=sharing"",""กาฬสินธุ์!J429"")"),0)</f>
        <v>0</v>
      </c>
      <c r="AG32" s="152">
        <f ca="1">IFERROR(__xludf.DUMMYFUNCTION("IMPORTRANGE(""https://docs.google.com/spreadsheets/d/1yhBcrRPreicbMKl9Bu_Snb2-OcQAF62RKfhTLhJ2eAA/edit?usp=sharing"",""กาฬสินธุ์!J430"")"),0)</f>
        <v>0</v>
      </c>
      <c r="AH32" s="152">
        <f ca="1">IFERROR(__xludf.DUMMYFUNCTION("IMPORTRANGE(""https://docs.google.com/spreadsheets/d/1yhBcrRPreicbMKl9Bu_Snb2-OcQAF62RKfhTLhJ2eAA/edit?usp=sharing"",""กาฬสินธุ์!J431"")"),0)</f>
        <v>0</v>
      </c>
      <c r="AI32" s="152">
        <f ca="1">IFERROR(__xludf.DUMMYFUNCTION("IMPORTRANGE(""https://docs.google.com/spreadsheets/d/1yhBcrRPreicbMKl9Bu_Snb2-OcQAF62RKfhTLhJ2eAA/edit?usp=sharing"",""กาฬสินธุ์!I432"")"),79242)</f>
        <v>79242</v>
      </c>
      <c r="AJ32" s="152">
        <f ca="1">IFERROR(__xludf.DUMMYFUNCTION("IMPORTRANGE(""https://docs.google.com/spreadsheets/d/1yhBcrRPreicbMKl9Bu_Snb2-OcQAF62RKfhTLhJ2eAA/edit?usp=sharing"",""กาฬสินธุ์!I433"")"),8397)</f>
        <v>8397</v>
      </c>
      <c r="AK32" s="216">
        <f ca="1">IFERROR(__xludf.DUMMYFUNCTION("IMPORTRANGE(""https://docs.google.com/spreadsheets/d/1yhBcrRPreicbMKl9Bu_Snb2-OcQAF62RKfhTLhJ2eAA/edit?usp=sharing"",""กาฬสินธุ์!J432"")"),0)</f>
        <v>0</v>
      </c>
      <c r="AL32" s="216">
        <f t="shared" ca="1" si="59"/>
        <v>0</v>
      </c>
      <c r="AM32" s="152">
        <f ca="1">IFERROR(__xludf.DUMMYFUNCTION("IMPORTRANGE(""https://docs.google.com/spreadsheets/d/1yhBcrRPreicbMKl9Bu_Snb2-OcQAF62RKfhTLhJ2eAA/edit?usp=sharing"",""กาฬสินธุ์!J433"")"),0)</f>
        <v>0</v>
      </c>
      <c r="AN32" s="216">
        <f t="shared" ca="1" si="60"/>
        <v>0</v>
      </c>
      <c r="AO32" s="152">
        <f ca="1">IFERROR(__xludf.DUMMYFUNCTION("IMPORTRANGE(""https://docs.google.com/spreadsheets/d/1yhBcrRPreicbMKl9Bu_Snb2-OcQAF62RKfhTLhJ2eAA/edit?usp=sharing"",""กาฬสินธุ์!J434"")"),0)</f>
        <v>0</v>
      </c>
      <c r="AP32" s="152">
        <f ca="1">IFERROR(__xludf.DUMMYFUNCTION("IMPORTRANGE(""https://docs.google.com/spreadsheets/d/1yhBcrRPreicbMKl9Bu_Snb2-OcQAF62RKfhTLhJ2eAA/edit?usp=sharing"",""กาฬสินธุ์!J435"")"),0)</f>
        <v>0</v>
      </c>
      <c r="AQ32" s="152">
        <f ca="1">IFERROR(__xludf.DUMMYFUNCTION("IMPORTRANGE(""https://docs.google.com/spreadsheets/d/1yhBcrRPreicbMKl9Bu_Snb2-OcQAF62RKfhTLhJ2eAA/edit?usp=sharing"",""กาฬสินธุ์!J436"")"),0)</f>
        <v>0</v>
      </c>
      <c r="AR32" s="152">
        <f ca="1">IFERROR(__xludf.DUMMYFUNCTION("IMPORTRANGE(""https://docs.google.com/spreadsheets/d/1yhBcrRPreicbMKl9Bu_Snb2-OcQAF62RKfhTLhJ2eAA/edit?usp=sharing"",""กาฬสินธุ์!J437"")"),0)</f>
        <v>0</v>
      </c>
      <c r="AS32" s="152">
        <f ca="1">IFERROR(__xludf.DUMMYFUNCTION("IMPORTRANGE(""https://docs.google.com/spreadsheets/d/1yhBcrRPreicbMKl9Bu_Snb2-OcQAF62RKfhTLhJ2eAA/edit?usp=sharing"",""กาฬสินธุ์!J438"")"),0)</f>
        <v>0</v>
      </c>
      <c r="AT32" s="152">
        <f ca="1">IFERROR(__xludf.DUMMYFUNCTION("IMPORTRANGE(""https://docs.google.com/spreadsheets/d/1yhBcrRPreicbMKl9Bu_Snb2-OcQAF62RKfhTLhJ2eAA/edit?usp=sharing"",""กาฬสินธุ์!J439"")"),0)</f>
        <v>0</v>
      </c>
      <c r="AU32" s="152">
        <f ca="1">IFERROR(__xludf.DUMMYFUNCTION("IMPORTRANGE(""https://docs.google.com/spreadsheets/d/1yhBcrRPreicbMKl9Bu_Snb2-OcQAF62RKfhTLhJ2eAA/edit?usp=sharing"",""กาฬสินธุ์!I440"")"),79242)</f>
        <v>79242</v>
      </c>
      <c r="AV32" s="152">
        <f ca="1">IFERROR(__xludf.DUMMYFUNCTION("IMPORTRANGE(""https://docs.google.com/spreadsheets/d/1yhBcrRPreicbMKl9Bu_Snb2-OcQAF62RKfhTLhJ2eAA/edit?usp=sharing"",""กาฬสินธุ์!I441"")"),8397)</f>
        <v>8397</v>
      </c>
      <c r="AW32" s="152">
        <f ca="1">IFERROR(__xludf.DUMMYFUNCTION("IMPORTRANGE(""https://docs.google.com/spreadsheets/d/1yhBcrRPreicbMKl9Bu_Snb2-OcQAF62RKfhTLhJ2eAA/edit?usp=sharing"",""กาฬสินธุ์!J440"")"),0)</f>
        <v>0</v>
      </c>
      <c r="AX32" s="216">
        <f t="shared" ca="1" si="62"/>
        <v>0</v>
      </c>
      <c r="AY32" s="152">
        <f ca="1">IFERROR(__xludf.DUMMYFUNCTION("IMPORTRANGE(""https://docs.google.com/spreadsheets/d/1yhBcrRPreicbMKl9Bu_Snb2-OcQAF62RKfhTLhJ2eAA/edit?usp=sharing"",""กาฬสินธุ์!J441"")"),0)</f>
        <v>0</v>
      </c>
      <c r="AZ32" s="216">
        <f t="shared" ca="1" si="63"/>
        <v>0</v>
      </c>
      <c r="BA32" s="152">
        <f ca="1">IFERROR(__xludf.DUMMYFUNCTION("IMPORTRANGE(""https://docs.google.com/spreadsheets/d/1yhBcrRPreicbMKl9Bu_Snb2-OcQAF62RKfhTLhJ2eAA/edit?usp=sharing"",""กาฬสินธุ์!J442"")"),0)</f>
        <v>0</v>
      </c>
      <c r="BB32" s="152">
        <f ca="1">IFERROR(__xludf.DUMMYFUNCTION("IMPORTRANGE(""https://docs.google.com/spreadsheets/d/1yhBcrRPreicbMKl9Bu_Snb2-OcQAF62RKfhTLhJ2eAA/edit?usp=sharing"",""กาฬสินธุ์!J443"")"),0)</f>
        <v>0</v>
      </c>
      <c r="BC32" s="152">
        <f ca="1">IFERROR(__xludf.DUMMYFUNCTION("IMPORTRANGE(""https://docs.google.com/spreadsheets/d/1yhBcrRPreicbMKl9Bu_Snb2-OcQAF62RKfhTLhJ2eAA/edit?usp=sharing"",""กาฬสินธุ์!J444"")"),0)</f>
        <v>0</v>
      </c>
      <c r="BD32" s="152">
        <f ca="1">IFERROR(__xludf.DUMMYFUNCTION("IMPORTRANGE(""https://docs.google.com/spreadsheets/d/1yhBcrRPreicbMKl9Bu_Snb2-OcQAF62RKfhTLhJ2eAA/edit?usp=sharing"",""กาฬสินธุ์!J445"")"),0)</f>
        <v>0</v>
      </c>
      <c r="BE32" s="152">
        <f ca="1">IFERROR(__xludf.DUMMYFUNCTION("IMPORTRANGE(""https://docs.google.com/spreadsheets/d/1yhBcrRPreicbMKl9Bu_Snb2-OcQAF62RKfhTLhJ2eAA/edit?usp=sharing"",""กาฬสินธุ์!J446"")"),0)</f>
        <v>0</v>
      </c>
      <c r="BF32" s="152">
        <f ca="1">IFERROR(__xludf.DUMMYFUNCTION("IMPORTRANGE(""https://docs.google.com/spreadsheets/d/1yhBcrRPreicbMKl9Bu_Snb2-OcQAF62RKfhTLhJ2eAA/edit?usp=sharing"",""กาฬสินธุ์!J447"")"),0)</f>
        <v>0</v>
      </c>
      <c r="BG32" s="152">
        <f ca="1">IFERROR(__xludf.DUMMYFUNCTION("IMPORTRANGE(""https://docs.google.com/spreadsheets/d/1yhBcrRPreicbMKl9Bu_Snb2-OcQAF62RKfhTLhJ2eAA/edit?usp=sharing"",""กาฬสินธุ์!J448"")"),0)</f>
        <v>0</v>
      </c>
      <c r="BH32" s="152">
        <f ca="1">IFERROR(__xludf.DUMMYFUNCTION("IMPORTRANGE(""https://docs.google.com/spreadsheets/d/1yhBcrRPreicbMKl9Bu_Snb2-OcQAF62RKfhTLhJ2eAA/edit?usp=sharing"",""กาฬสินธุ์!J449"")"),0)</f>
        <v>0</v>
      </c>
      <c r="BI32" s="152">
        <f ca="1">IFERROR(__xludf.DUMMYFUNCTION("IMPORTRANGE(""https://docs.google.com/spreadsheets/d/1yhBcrRPreicbMKl9Bu_Snb2-OcQAF62RKfhTLhJ2eAA/edit?usp=sharing"",""กาฬสินธุ์!J450"")"),0)</f>
        <v>0</v>
      </c>
      <c r="BJ32" s="152">
        <f ca="1">IFERROR(__xludf.DUMMYFUNCTION("IMPORTRANGE(""https://docs.google.com/spreadsheets/d/1yhBcrRPreicbMKl9Bu_Snb2-OcQAF62RKfhTLhJ2eAA/edit?usp=sharing"",""กาฬสินธุ์!J451"")"),0)</f>
        <v>0</v>
      </c>
      <c r="BK32" s="152">
        <f ca="1">IFERROR(__xludf.DUMMYFUNCTION("IMPORTRANGE(""https://docs.google.com/spreadsheets/d/1yhBcrRPreicbMKl9Bu_Snb2-OcQAF62RKfhTLhJ2eAA/edit?usp=sharing"",""กาฬสินธุ์!J452"")"),0)</f>
        <v>0</v>
      </c>
      <c r="BL32" s="152">
        <f ca="1">IFERROR(__xludf.DUMMYFUNCTION("IMPORTRANGE(""https://docs.google.com/spreadsheets/d/1yhBcrRPreicbMKl9Bu_Snb2-OcQAF62RKfhTLhJ2eAA/edit?usp=sharing"",""กาฬสินธุ์!J453"")"),0)</f>
        <v>0</v>
      </c>
      <c r="BM32" s="152">
        <f ca="1">IFERROR(__xludf.DUMMYFUNCTION("IMPORTRANGE(""https://docs.google.com/spreadsheets/d/1yhBcrRPreicbMKl9Bu_Snb2-OcQAF62RKfhTLhJ2eAA/edit?usp=sharing"",""กาฬสินธุ์!J454"")"),0)</f>
        <v>0</v>
      </c>
      <c r="BN32" s="152">
        <f ca="1">IFERROR(__xludf.DUMMYFUNCTION("IMPORTRANGE(""https://docs.google.com/spreadsheets/d/1yhBcrRPreicbMKl9Bu_Snb2-OcQAF62RKfhTLhJ2eAA/edit?usp=sharing"",""กาฬสินธุ์!J455"")"),0)</f>
        <v>0</v>
      </c>
      <c r="BO32" s="152">
        <f ca="1">IFERROR(__xludf.DUMMYFUNCTION("IMPORTRANGE(""https://docs.google.com/spreadsheets/d/1yhBcrRPreicbMKl9Bu_Snb2-OcQAF62RKfhTLhJ2eAA/edit?usp=sharing"",""กาฬสินธุ์!I457"")"),5492.92)</f>
        <v>5492.92</v>
      </c>
      <c r="BP32" s="152">
        <f ca="1">IFERROR(__xludf.DUMMYFUNCTION("IMPORTRANGE(""https://docs.google.com/spreadsheets/d/1yhBcrRPreicbMKl9Bu_Snb2-OcQAF62RKfhTLhJ2eAA/edit?usp=sharing"",""กาฬสินธุ์!I458"")"),481)</f>
        <v>481</v>
      </c>
      <c r="BQ32" s="152">
        <f ca="1">IFERROR(__xludf.DUMMYFUNCTION("IMPORTRANGE(""https://docs.google.com/spreadsheets/d/1yhBcrRPreicbMKl9Bu_Snb2-OcQAF62RKfhTLhJ2eAA/edit?usp=sharing"",""กาฬสินธุ์!J457"")"),0)</f>
        <v>0</v>
      </c>
      <c r="BR32" s="216">
        <f t="shared" ca="1" si="65"/>
        <v>0</v>
      </c>
      <c r="BS32" s="152">
        <f ca="1">IFERROR(__xludf.DUMMYFUNCTION("IMPORTRANGE(""https://docs.google.com/spreadsheets/d/1yhBcrRPreicbMKl9Bu_Snb2-OcQAF62RKfhTLhJ2eAA/edit?usp=sharing"",""กาฬสินธุ์!J458"")"),0)</f>
        <v>0</v>
      </c>
      <c r="BT32" s="216">
        <f t="shared" ca="1" si="66"/>
        <v>0</v>
      </c>
      <c r="BU32" s="152">
        <f ca="1">IFERROR(__xludf.DUMMYFUNCTION("IMPORTRANGE(""https://docs.google.com/spreadsheets/d/1yhBcrRPreicbMKl9Bu_Snb2-OcQAF62RKfhTLhJ2eAA/edit?usp=sharing"",""กาฬสินธุ์!J459"")"),0)</f>
        <v>0</v>
      </c>
      <c r="BV32" s="152">
        <f ca="1">IFERROR(__xludf.DUMMYFUNCTION("IMPORTRANGE(""https://docs.google.com/spreadsheets/d/1yhBcrRPreicbMKl9Bu_Snb2-OcQAF62RKfhTLhJ2eAA/edit?usp=sharing"",""กาฬสินธุ์!J460"")"),0)</f>
        <v>0</v>
      </c>
      <c r="BW32" s="152">
        <f ca="1">IFERROR(__xludf.DUMMYFUNCTION("IMPORTRANGE(""https://docs.google.com/spreadsheets/d/1yhBcrRPreicbMKl9Bu_Snb2-OcQAF62RKfhTLhJ2eAA/edit?usp=sharing"",""กาฬสินธุ์!J461"")"),0)</f>
        <v>0</v>
      </c>
      <c r="BX32" s="152">
        <f ca="1">IFERROR(__xludf.DUMMYFUNCTION("IMPORTRANGE(""https://docs.google.com/spreadsheets/d/1yhBcrRPreicbMKl9Bu_Snb2-OcQAF62RKfhTLhJ2eAA/edit?usp=sharing"",""กาฬสินธุ์!J462"")"),0)</f>
        <v>0</v>
      </c>
      <c r="BY32" s="152">
        <f ca="1">IFERROR(__xludf.DUMMYFUNCTION("IMPORTRANGE(""https://docs.google.com/spreadsheets/d/1yhBcrRPreicbMKl9Bu_Snb2-OcQAF62RKfhTLhJ2eAA/edit?usp=sharing"",""กาฬสินธุ์!J463"")"),0)</f>
        <v>0</v>
      </c>
      <c r="BZ32" s="152">
        <f ca="1">IFERROR(__xludf.DUMMYFUNCTION("IMPORTRANGE(""https://docs.google.com/spreadsheets/d/1yhBcrRPreicbMKl9Bu_Snb2-OcQAF62RKfhTLhJ2eAA/edit?usp=sharing"",""กาฬสินธุ์!J464"")"),0)</f>
        <v>0</v>
      </c>
      <c r="CA32" s="152">
        <f ca="1">IFERROR(__xludf.DUMMYFUNCTION("IMPORTRANGE(""https://docs.google.com/spreadsheets/d/1yhBcrRPreicbMKl9Bu_Snb2-OcQAF62RKfhTLhJ2eAA/edit?usp=sharing"",""กาฬสินธุ์!J465"")"),0)</f>
        <v>0</v>
      </c>
      <c r="CB32" s="152">
        <f ca="1">IFERROR(__xludf.DUMMYFUNCTION("IMPORTRANGE(""https://docs.google.com/spreadsheets/d/1yhBcrRPreicbMKl9Bu_Snb2-OcQAF62RKfhTLhJ2eAA/edit?usp=sharing"",""กาฬสินธุ์!J466"")"),0)</f>
        <v>0</v>
      </c>
      <c r="CC32" s="152">
        <f ca="1">IFERROR(__xludf.DUMMYFUNCTION("IMPORTRANGE(""https://docs.google.com/spreadsheets/d/1yhBcrRPreicbMKl9Bu_Snb2-OcQAF62RKfhTLhJ2eAA/edit?usp=sharing"",""กาฬสินธุ์!J467"")"),0)</f>
        <v>0</v>
      </c>
      <c r="CD32" s="152">
        <f ca="1">IFERROR(__xludf.DUMMYFUNCTION("IMPORTRANGE(""https://docs.google.com/spreadsheets/d/1yhBcrRPreicbMKl9Bu_Snb2-OcQAF62RKfhTLhJ2eAA/edit?usp=sharing"",""กาฬสินธุ์!J468"")"),0)</f>
        <v>0</v>
      </c>
      <c r="CE32" s="152">
        <f ca="1">IFERROR(__xludf.DUMMYFUNCTION("IMPORTRANGE(""https://docs.google.com/spreadsheets/d/1yhBcrRPreicbMKl9Bu_Snb2-OcQAF62RKfhTLhJ2eAA/edit?usp=sharing"",""กาฬสินธุ์!J469"")"),0)</f>
        <v>0</v>
      </c>
      <c r="CF32" s="152">
        <f ca="1">IFERROR(__xludf.DUMMYFUNCTION("IMPORTRANGE(""https://docs.google.com/spreadsheets/d/1yhBcrRPreicbMKl9Bu_Snb2-OcQAF62RKfhTLhJ2eAA/edit?usp=sharing"",""กาฬสินธุ์!J470"")"),0)</f>
        <v>0</v>
      </c>
      <c r="CG32" s="152">
        <f ca="1">IFERROR(__xludf.DUMMYFUNCTION("IMPORTRANGE(""https://docs.google.com/spreadsheets/d/1yhBcrRPreicbMKl9Bu_Snb2-OcQAF62RKfhTLhJ2eAA/edit?usp=sharing"",""กาฬสินธุ์!J471"")"),0)</f>
        <v>0</v>
      </c>
      <c r="CH32" s="152">
        <f ca="1">IFERROR(__xludf.DUMMYFUNCTION("IMPORTRANGE(""https://docs.google.com/spreadsheets/d/1yhBcrRPreicbMKl9Bu_Snb2-OcQAF62RKfhTLhJ2eAA/edit?usp=sharing"",""กาฬสินธุ์!J472"")"),0)</f>
        <v>0</v>
      </c>
      <c r="CI32" s="152">
        <f ca="1">IFERROR(__xludf.DUMMYFUNCTION("IMPORTRANGE(""https://docs.google.com/spreadsheets/d/1yhBcrRPreicbMKl9Bu_Snb2-OcQAF62RKfhTLhJ2eAA/edit?usp=sharing"",""กาฬสินธุ์!J473"")"),0)</f>
        <v>0</v>
      </c>
      <c r="CJ32" s="152">
        <f ca="1">IFERROR(__xludf.DUMMYFUNCTION("IMPORTRANGE(""https://docs.google.com/spreadsheets/d/1yhBcrRPreicbMKl9Bu_Snb2-OcQAF62RKfhTLhJ2eAA/edit?usp=sharing"",""กาฬสินธุ์!J474"")"),0)</f>
        <v>0</v>
      </c>
      <c r="CK32" s="278">
        <f ca="1">IFERROR(__xludf.DUMMYFUNCTION("IMPORTRANGE(""https://docs.google.com/spreadsheets/d/1yhBcrRPreicbMKl9Bu_Snb2-OcQAF62RKfhTLhJ2eAA/edit?usp=sharing"",""กาฬสินธุ์!I476"")"),0)</f>
        <v>0</v>
      </c>
      <c r="CL32" s="278">
        <f ca="1">IFERROR(__xludf.DUMMYFUNCTION("IMPORTRANGE(""https://docs.google.com/spreadsheets/d/1yhBcrRPreicbMKl9Bu_Snb2-OcQAF62RKfhTLhJ2eAA/edit?usp=sharing"",""กาฬสินธุ์!I477"")"),0)</f>
        <v>0</v>
      </c>
      <c r="CM32" s="278">
        <f ca="1">IFERROR(__xludf.DUMMYFUNCTION("IMPORTRANGE(""https://docs.google.com/spreadsheets/d/1yhBcrRPreicbMKl9Bu_Snb2-OcQAF62RKfhTLhJ2eAA/edit?usp=sharing"",""กาฬสินธุ์!J476"")"),0)</f>
        <v>0</v>
      </c>
      <c r="CN32" s="216">
        <f t="shared" ca="1" si="68"/>
        <v>0</v>
      </c>
      <c r="CO32" s="278">
        <f ca="1">IFERROR(__xludf.DUMMYFUNCTION("IMPORTRANGE(""https://docs.google.com/spreadsheets/d/1yhBcrRPreicbMKl9Bu_Snb2-OcQAF62RKfhTLhJ2eAA/edit?usp=sharing"",""กาฬสินธุ์!J477"")"),0)</f>
        <v>0</v>
      </c>
      <c r="CP32" s="216">
        <f t="shared" ca="1" si="69"/>
        <v>0</v>
      </c>
      <c r="CQ32" s="278">
        <f ca="1">IFERROR(__xludf.DUMMYFUNCTION("IMPORTRANGE(""https://docs.google.com/spreadsheets/d/1yhBcrRPreicbMKl9Bu_Snb2-OcQAF62RKfhTLhJ2eAA/edit?usp=sharing"",""กาฬสินธุ์!J478"")"),0)</f>
        <v>0</v>
      </c>
      <c r="CR32" s="278">
        <f ca="1">IFERROR(__xludf.DUMMYFUNCTION("IMPORTRANGE(""https://docs.google.com/spreadsheets/d/1yhBcrRPreicbMKl9Bu_Snb2-OcQAF62RKfhTLhJ2eAA/edit?usp=sharing"",""กาฬสินธุ์!J479"")"),0)</f>
        <v>0</v>
      </c>
      <c r="CS32" s="278">
        <f ca="1">IFERROR(__xludf.DUMMYFUNCTION("IMPORTRANGE(""https://docs.google.com/spreadsheets/d/1yhBcrRPreicbMKl9Bu_Snb2-OcQAF62RKfhTLhJ2eAA/edit?usp=sharing"",""กาฬสินธุ์!J480"")"),0)</f>
        <v>0</v>
      </c>
      <c r="CT32" s="278">
        <f ca="1">IFERROR(__xludf.DUMMYFUNCTION("IMPORTRANGE(""https://docs.google.com/spreadsheets/d/1yhBcrRPreicbMKl9Bu_Snb2-OcQAF62RKfhTLhJ2eAA/edit?usp=sharing"",""กาฬสินธุ์!J481"")"),0)</f>
        <v>0</v>
      </c>
      <c r="CU32" s="278">
        <f ca="1">IFERROR(__xludf.DUMMYFUNCTION("IMPORTRANGE(""https://docs.google.com/spreadsheets/d/1yhBcrRPreicbMKl9Bu_Snb2-OcQAF62RKfhTLhJ2eAA/edit?usp=sharing"",""กาฬสินธุ์!I484"")"),0)</f>
        <v>0</v>
      </c>
      <c r="CV32" s="278">
        <f ca="1">IFERROR(__xludf.DUMMYFUNCTION("IMPORTRANGE(""https://docs.google.com/spreadsheets/d/1yhBcrRPreicbMKl9Bu_Snb2-OcQAF62RKfhTLhJ2eAA/edit?usp=sharing"",""กาฬสินธุ์!I485"")"),0)</f>
        <v>0</v>
      </c>
      <c r="CW32" s="278">
        <f ca="1">IFERROR(__xludf.DUMMYFUNCTION("IMPORTRANGE(""https://docs.google.com/spreadsheets/d/1yhBcrRPreicbMKl9Bu_Snb2-OcQAF62RKfhTLhJ2eAA/edit?usp=sharing"",""กาฬสินธุ์!J484"")"),0)</f>
        <v>0</v>
      </c>
      <c r="CX32" s="216">
        <f t="shared" ca="1" si="71"/>
        <v>0</v>
      </c>
      <c r="CY32" s="278">
        <f ca="1">IFERROR(__xludf.DUMMYFUNCTION("IMPORTRANGE(""https://docs.google.com/spreadsheets/d/1yhBcrRPreicbMKl9Bu_Snb2-OcQAF62RKfhTLhJ2eAA/edit?usp=sharing"",""กาฬสินธุ์!J485"")"),0)</f>
        <v>0</v>
      </c>
      <c r="CZ32" s="216">
        <f t="shared" ca="1" si="72"/>
        <v>0</v>
      </c>
      <c r="DA32" s="278">
        <f ca="1">IFERROR(__xludf.DUMMYFUNCTION("IMPORTRANGE(""https://docs.google.com/spreadsheets/d/1yhBcrRPreicbMKl9Bu_Snb2-OcQAF62RKfhTLhJ2eAA/edit?usp=sharing"",""กาฬสินธุ์!J486"")"),0)</f>
        <v>0</v>
      </c>
      <c r="DB32" s="278">
        <f ca="1">IFERROR(__xludf.DUMMYFUNCTION("IMPORTRANGE(""https://docs.google.com/spreadsheets/d/1yhBcrRPreicbMKl9Bu_Snb2-OcQAF62RKfhTLhJ2eAA/edit?usp=sharing"",""กาฬสินธุ์!J487"")"),0)</f>
        <v>0</v>
      </c>
      <c r="DC32" s="278">
        <f ca="1">IFERROR(__xludf.DUMMYFUNCTION("IMPORTRANGE(""https://docs.google.com/spreadsheets/d/1yhBcrRPreicbMKl9Bu_Snb2-OcQAF62RKfhTLhJ2eAA/edit?usp=sharing"",""กาฬสินธุ์!J488"")"),0)</f>
        <v>0</v>
      </c>
      <c r="DD32" s="278">
        <f ca="1">IFERROR(__xludf.DUMMYFUNCTION("IMPORTRANGE(""https://docs.google.com/spreadsheets/d/1yhBcrRPreicbMKl9Bu_Snb2-OcQAF62RKfhTLhJ2eAA/edit?usp=sharing"",""กาฬสินธุ์!J489"")"),0)</f>
        <v>0</v>
      </c>
      <c r="DE32" s="278">
        <f ca="1">IFERROR(__xludf.DUMMYFUNCTION("IMPORTRANGE(""https://docs.google.com/spreadsheets/d/1yhBcrRPreicbMKl9Bu_Snb2-OcQAF62RKfhTLhJ2eAA/edit?usp=sharing"",""กาฬสินธุ์!J490"")"),0)</f>
        <v>0</v>
      </c>
      <c r="DF32" s="278">
        <f ca="1">IFERROR(__xludf.DUMMYFUNCTION("IMPORTRANGE(""https://docs.google.com/spreadsheets/d/1yhBcrRPreicbMKl9Bu_Snb2-OcQAF62RKfhTLhJ2eAA/edit?usp=sharing"",""กาฬสินธุ์!J491"")"),0)</f>
        <v>0</v>
      </c>
    </row>
    <row r="33" spans="1:110" ht="19.5" x14ac:dyDescent="0.3">
      <c r="A33" s="147">
        <v>2</v>
      </c>
      <c r="B33" s="148" t="s">
        <v>61</v>
      </c>
      <c r="C33" s="566">
        <f t="shared" ca="1" si="44"/>
        <v>604010</v>
      </c>
      <c r="D33" s="567">
        <f t="shared" ca="1" si="84"/>
        <v>604010</v>
      </c>
      <c r="E33" s="329">
        <f ca="1">IFERROR(__xludf.DUMMYFUNCTION("IMPORTRANGE(""https://docs.google.com/spreadsheets/d/1-uDff_7J0KD5mKrp0Vvzr7lt3OU09vwQwhkpOPPYv2Y/edit?usp=sharing"",""งบพรบ!IP33"")"),326400)</f>
        <v>326400</v>
      </c>
      <c r="F33" s="329">
        <f ca="1">IFERROR(__xludf.DUMMYFUNCTION("IMPORTRANGE(""https://docs.google.com/spreadsheets/d/1-uDff_7J0KD5mKrp0Vvzr7lt3OU09vwQwhkpOPPYv2Y/edit?usp=sharing"",""งบพรบ!IQ33"")"),277610)</f>
        <v>277610</v>
      </c>
      <c r="G33" s="329">
        <f ca="1">IFERROR(__xludf.DUMMYFUNCTION("IMPORTRANGE(""https://docs.google.com/spreadsheets/d/1-uDff_7J0KD5mKrp0Vvzr7lt3OU09vwQwhkpOPPYv2Y/edit?usp=sharing"",""งบพรบ!IR33"")"),0)</f>
        <v>0</v>
      </c>
      <c r="H33" s="329">
        <f ca="1">IFERROR(__xludf.DUMMYFUNCTION("IMPORTRANGE(""https://docs.google.com/spreadsheets/d/1-uDff_7J0KD5mKrp0Vvzr7lt3OU09vwQwhkpOPPYv2Y/edit?usp=sharing"",""งบพรบ!IT33"")"),694010)</f>
        <v>694010</v>
      </c>
      <c r="I33" s="329">
        <f ca="1">IFERROR(__xludf.DUMMYFUNCTION("IMPORTRANGE(""https://docs.google.com/spreadsheets/d/1-uDff_7J0KD5mKrp0Vvzr7lt3OU09vwQwhkpOPPYv2Y/edit?usp=sharing"",""งบพรบ!IU33"")"),0)</f>
        <v>0</v>
      </c>
      <c r="J33" s="329">
        <f t="shared" ca="1" si="46"/>
        <v>507659.41</v>
      </c>
      <c r="K33" s="568">
        <f t="shared" ca="1" si="47"/>
        <v>84.048179665899568</v>
      </c>
      <c r="L33" s="329">
        <f ca="1">IFERROR(__xludf.DUMMYFUNCTION("IMPORTRANGE(""https://docs.google.com/spreadsheets/d/1-uDff_7J0KD5mKrp0Vvzr7lt3OU09vwQwhkpOPPYv2Y/edit?usp=sharing"",""งบพรบ!IV33"")"),507659.41)</f>
        <v>507659.41</v>
      </c>
      <c r="M33" s="330">
        <f t="shared" ca="1" si="48"/>
        <v>84.048179665899568</v>
      </c>
      <c r="N33" s="330">
        <f t="shared" ca="1" si="49"/>
        <v>73.148716877278432</v>
      </c>
      <c r="O33" s="569">
        <f ca="1">IFERROR(__xludf.DUMMYFUNCTION("IMPORTRANGE(""https://docs.google.com/spreadsheets/d/1-uDff_7J0KD5mKrp0Vvzr7lt3OU09vwQwhkpOPPYv2Y/edit?usp=sharing"",""งบพรบ!IW33"")"),0)</f>
        <v>0</v>
      </c>
      <c r="P33" s="569">
        <f t="shared" ca="1" si="50"/>
        <v>0</v>
      </c>
      <c r="Q33" s="330">
        <f t="shared" ca="1" si="51"/>
        <v>0</v>
      </c>
      <c r="R33" s="564">
        <f ca="1">IFERROR(__xludf.DUMMYFUNCTION("IMPORTRANGE(""https://docs.google.com/spreadsheets/d/1aHkj4IaQMThhwWwevcOymEh837vdxeC_PycurhTbGFA/edit?usp=sharing"",""ขอนแก่น!Q413"")"),117380)</f>
        <v>117380</v>
      </c>
      <c r="S33" s="564">
        <f ca="1">IFERROR(__xludf.DUMMYFUNCTION("IMPORTRANGE(""https://docs.google.com/spreadsheets/d/1aHkj4IaQMThhwWwevcOymEh837vdxeC_PycurhTbGFA/edit?usp=sharing"",""ขอนแก่น!R413"")"),117380)</f>
        <v>117380</v>
      </c>
      <c r="T33" s="564">
        <f ca="1">IFERROR(__xludf.DUMMYFUNCTION("IMPORTRANGE(""https://docs.google.com/spreadsheets/d/1aHkj4IaQMThhwWwevcOymEh837vdxeC_PycurhTbGFA/edit?usp=sharing"",""ขอนแก่น!S413"")"),12980)</f>
        <v>12980</v>
      </c>
      <c r="U33" s="565">
        <f t="shared" ca="1" si="53"/>
        <v>11.058101891293235</v>
      </c>
      <c r="V33" s="565">
        <f t="shared" ca="1" si="54"/>
        <v>11.058101891293235</v>
      </c>
      <c r="W33" s="152">
        <f ca="1">IFERROR(__xludf.DUMMYFUNCTION("IMPORTRANGE(""https://docs.google.com/spreadsheets/d/1aHkj4IaQMThhwWwevcOymEh837vdxeC_PycurhTbGFA/edit?usp=sharing"",""ขอนแก่น!I424"")"),67712)</f>
        <v>67712</v>
      </c>
      <c r="X33" s="152">
        <f ca="1">IFERROR(__xludf.DUMMYFUNCTION("IMPORTRANGE(""https://docs.google.com/spreadsheets/d/1aHkj4IaQMThhwWwevcOymEh837vdxeC_PycurhTbGFA/edit?usp=sharing"",""ขอนแก่น!I425"")"),6951)</f>
        <v>6951</v>
      </c>
      <c r="Y33" s="152">
        <f ca="1">IFERROR(__xludf.DUMMYFUNCTION("IMPORTRANGE(""https://docs.google.com/spreadsheets/d/1aHkj4IaQMThhwWwevcOymEh837vdxeC_PycurhTbGFA/edit?usp=sharing"",""ขอนแก่น!J424"")"),67712)</f>
        <v>67712</v>
      </c>
      <c r="Z33" s="216">
        <f t="shared" ca="1" si="56"/>
        <v>100</v>
      </c>
      <c r="AA33" s="152">
        <f ca="1">IFERROR(__xludf.DUMMYFUNCTION("IMPORTRANGE(""https://docs.google.com/spreadsheets/d/1aHkj4IaQMThhwWwevcOymEh837vdxeC_PycurhTbGFA/edit?usp=sharing"",""ขอนแก่น!J425"")"),6951)</f>
        <v>6951</v>
      </c>
      <c r="AB33" s="216">
        <f t="shared" ca="1" si="57"/>
        <v>100</v>
      </c>
      <c r="AC33" s="152">
        <f ca="1">IFERROR(__xludf.DUMMYFUNCTION("IMPORTRANGE(""https://docs.google.com/spreadsheets/d/1aHkj4IaQMThhwWwevcOymEh837vdxeC_PycurhTbGFA/edit?usp=sharing"",""ขอนแก่น!J426"")"),52410)</f>
        <v>52410</v>
      </c>
      <c r="AD33" s="152">
        <f ca="1">IFERROR(__xludf.DUMMYFUNCTION("IMPORTRANGE(""https://docs.google.com/spreadsheets/d/1aHkj4IaQMThhwWwevcOymEh837vdxeC_PycurhTbGFA/edit?usp=sharing"",""ขอนแก่น!J427"")"),5447)</f>
        <v>5447</v>
      </c>
      <c r="AE33" s="152">
        <f ca="1">IFERROR(__xludf.DUMMYFUNCTION("IMPORTRANGE(""https://docs.google.com/spreadsheets/d/1aHkj4IaQMThhwWwevcOymEh837vdxeC_PycurhTbGFA/edit?usp=sharing"",""ขอนแก่น!J428"")"),9172)</f>
        <v>9172</v>
      </c>
      <c r="AF33" s="152">
        <f ca="1">IFERROR(__xludf.DUMMYFUNCTION("IMPORTRANGE(""https://docs.google.com/spreadsheets/d/1aHkj4IaQMThhwWwevcOymEh837vdxeC_PycurhTbGFA/edit?usp=sharing"",""ขอนแก่น!J429"")"),907)</f>
        <v>907</v>
      </c>
      <c r="AG33" s="152">
        <f ca="1">IFERROR(__xludf.DUMMYFUNCTION("IMPORTRANGE(""https://docs.google.com/spreadsheets/d/1aHkj4IaQMThhwWwevcOymEh837vdxeC_PycurhTbGFA/edit?usp=sharing"",""ขอนแก่น!J430"")"),6130)</f>
        <v>6130</v>
      </c>
      <c r="AH33" s="152">
        <f ca="1">IFERROR(__xludf.DUMMYFUNCTION("IMPORTRANGE(""https://docs.google.com/spreadsheets/d/1aHkj4IaQMThhwWwevcOymEh837vdxeC_PycurhTbGFA/edit?usp=sharing"",""ขอนแก่น!J431"")"),597)</f>
        <v>597</v>
      </c>
      <c r="AI33" s="152">
        <f ca="1">IFERROR(__xludf.DUMMYFUNCTION("IMPORTRANGE(""https://docs.google.com/spreadsheets/d/1aHkj4IaQMThhwWwevcOymEh837vdxeC_PycurhTbGFA/edit?usp=sharing"",""ขอนแก่น!I432"")"),67712)</f>
        <v>67712</v>
      </c>
      <c r="AJ33" s="152">
        <f ca="1">IFERROR(__xludf.DUMMYFUNCTION("IMPORTRANGE(""https://docs.google.com/spreadsheets/d/1aHkj4IaQMThhwWwevcOymEh837vdxeC_PycurhTbGFA/edit?usp=sharing"",""ขอนแก่น!I433"")"),6951)</f>
        <v>6951</v>
      </c>
      <c r="AK33" s="216">
        <f ca="1">IFERROR(__xludf.DUMMYFUNCTION("IMPORTRANGE(""https://docs.google.com/spreadsheets/d/1aHkj4IaQMThhwWwevcOymEh837vdxeC_PycurhTbGFA/edit?usp=sharing"",""ขอนแก่น!J432"")"),0)</f>
        <v>0</v>
      </c>
      <c r="AL33" s="216">
        <f t="shared" ca="1" si="59"/>
        <v>0</v>
      </c>
      <c r="AM33" s="152">
        <f ca="1">IFERROR(__xludf.DUMMYFUNCTION("IMPORTRANGE(""https://docs.google.com/spreadsheets/d/1aHkj4IaQMThhwWwevcOymEh837vdxeC_PycurhTbGFA/edit?usp=sharing"",""ขอนแก่น!J433"")"),0)</f>
        <v>0</v>
      </c>
      <c r="AN33" s="216">
        <f t="shared" ca="1" si="60"/>
        <v>0</v>
      </c>
      <c r="AO33" s="152">
        <f ca="1">IFERROR(__xludf.DUMMYFUNCTION("IMPORTRANGE(""https://docs.google.com/spreadsheets/d/1aHkj4IaQMThhwWwevcOymEh837vdxeC_PycurhTbGFA/edit?usp=sharing"",""ขอนแก่น!J434"")"),0)</f>
        <v>0</v>
      </c>
      <c r="AP33" s="152">
        <f ca="1">IFERROR(__xludf.DUMMYFUNCTION("IMPORTRANGE(""https://docs.google.com/spreadsheets/d/1aHkj4IaQMThhwWwevcOymEh837vdxeC_PycurhTbGFA/edit?usp=sharing"",""ขอนแก่น!J435"")"),0)</f>
        <v>0</v>
      </c>
      <c r="AQ33" s="152">
        <f ca="1">IFERROR(__xludf.DUMMYFUNCTION("IMPORTRANGE(""https://docs.google.com/spreadsheets/d/1aHkj4IaQMThhwWwevcOymEh837vdxeC_PycurhTbGFA/edit?usp=sharing"",""ขอนแก่น!J436"")"),0)</f>
        <v>0</v>
      </c>
      <c r="AR33" s="152">
        <f ca="1">IFERROR(__xludf.DUMMYFUNCTION("IMPORTRANGE(""https://docs.google.com/spreadsheets/d/1aHkj4IaQMThhwWwevcOymEh837vdxeC_PycurhTbGFA/edit?usp=sharing"",""ขอนแก่น!J437"")"),0)</f>
        <v>0</v>
      </c>
      <c r="AS33" s="152">
        <f ca="1">IFERROR(__xludf.DUMMYFUNCTION("IMPORTRANGE(""https://docs.google.com/spreadsheets/d/1aHkj4IaQMThhwWwevcOymEh837vdxeC_PycurhTbGFA/edit?usp=sharing"",""ขอนแก่น!J438"")"),0)</f>
        <v>0</v>
      </c>
      <c r="AT33" s="152">
        <f ca="1">IFERROR(__xludf.DUMMYFUNCTION("IMPORTRANGE(""https://docs.google.com/spreadsheets/d/1aHkj4IaQMThhwWwevcOymEh837vdxeC_PycurhTbGFA/edit?usp=sharing"",""ขอนแก่น!J439"")"),0)</f>
        <v>0</v>
      </c>
      <c r="AU33" s="152">
        <f ca="1">IFERROR(__xludf.DUMMYFUNCTION("IMPORTRANGE(""https://docs.google.com/spreadsheets/d/1aHkj4IaQMThhwWwevcOymEh837vdxeC_PycurhTbGFA/edit?usp=sharing"",""ขอนแก่น!I440"")"),67712)</f>
        <v>67712</v>
      </c>
      <c r="AV33" s="152">
        <f ca="1">IFERROR(__xludf.DUMMYFUNCTION("IMPORTRANGE(""https://docs.google.com/spreadsheets/d/1aHkj4IaQMThhwWwevcOymEh837vdxeC_PycurhTbGFA/edit?usp=sharing"",""ขอนแก่น!I441"")"),6951)</f>
        <v>6951</v>
      </c>
      <c r="AW33" s="152">
        <f ca="1">IFERROR(__xludf.DUMMYFUNCTION("IMPORTRANGE(""https://docs.google.com/spreadsheets/d/1aHkj4IaQMThhwWwevcOymEh837vdxeC_PycurhTbGFA/edit?usp=sharing"",""ขอนแก่น!J440"")"),0)</f>
        <v>0</v>
      </c>
      <c r="AX33" s="216">
        <f t="shared" ca="1" si="62"/>
        <v>0</v>
      </c>
      <c r="AY33" s="152">
        <f ca="1">IFERROR(__xludf.DUMMYFUNCTION("IMPORTRANGE(""https://docs.google.com/spreadsheets/d/1aHkj4IaQMThhwWwevcOymEh837vdxeC_PycurhTbGFA/edit?usp=sharing"",""ขอนแก่น!J441"")"),0)</f>
        <v>0</v>
      </c>
      <c r="AZ33" s="216">
        <f t="shared" ca="1" si="63"/>
        <v>0</v>
      </c>
      <c r="BA33" s="152">
        <f ca="1">IFERROR(__xludf.DUMMYFUNCTION("IMPORTRANGE(""https://docs.google.com/spreadsheets/d/1aHkj4IaQMThhwWwevcOymEh837vdxeC_PycurhTbGFA/edit?usp=sharing"",""ขอนแก่น!J442"")"),0)</f>
        <v>0</v>
      </c>
      <c r="BB33" s="152">
        <f ca="1">IFERROR(__xludf.DUMMYFUNCTION("IMPORTRANGE(""https://docs.google.com/spreadsheets/d/1aHkj4IaQMThhwWwevcOymEh837vdxeC_PycurhTbGFA/edit?usp=sharing"",""ขอนแก่น!J443"")"),0)</f>
        <v>0</v>
      </c>
      <c r="BC33" s="152">
        <f ca="1">IFERROR(__xludf.DUMMYFUNCTION("IMPORTRANGE(""https://docs.google.com/spreadsheets/d/1aHkj4IaQMThhwWwevcOymEh837vdxeC_PycurhTbGFA/edit?usp=sharing"",""ขอนแก่น!J444"")"),0)</f>
        <v>0</v>
      </c>
      <c r="BD33" s="152">
        <f ca="1">IFERROR(__xludf.DUMMYFUNCTION("IMPORTRANGE(""https://docs.google.com/spreadsheets/d/1aHkj4IaQMThhwWwevcOymEh837vdxeC_PycurhTbGFA/edit?usp=sharing"",""ขอนแก่น!J445"")"),0)</f>
        <v>0</v>
      </c>
      <c r="BE33" s="152">
        <f ca="1">IFERROR(__xludf.DUMMYFUNCTION("IMPORTRANGE(""https://docs.google.com/spreadsheets/d/1aHkj4IaQMThhwWwevcOymEh837vdxeC_PycurhTbGFA/edit?usp=sharing"",""ขอนแก่น!J446"")"),0)</f>
        <v>0</v>
      </c>
      <c r="BF33" s="152">
        <f ca="1">IFERROR(__xludf.DUMMYFUNCTION("IMPORTRANGE(""https://docs.google.com/spreadsheets/d/1aHkj4IaQMThhwWwevcOymEh837vdxeC_PycurhTbGFA/edit?usp=sharing"",""ขอนแก่น!J447"")"),0)</f>
        <v>0</v>
      </c>
      <c r="BG33" s="152">
        <f ca="1">IFERROR(__xludf.DUMMYFUNCTION("IMPORTRANGE(""https://docs.google.com/spreadsheets/d/1aHkj4IaQMThhwWwevcOymEh837vdxeC_PycurhTbGFA/edit?usp=sharing"",""ขอนแก่น!J448"")"),0)</f>
        <v>0</v>
      </c>
      <c r="BH33" s="152">
        <f ca="1">IFERROR(__xludf.DUMMYFUNCTION("IMPORTRANGE(""https://docs.google.com/spreadsheets/d/1aHkj4IaQMThhwWwevcOymEh837vdxeC_PycurhTbGFA/edit?usp=sharing"",""ขอนแก่น!J449"")"),0)</f>
        <v>0</v>
      </c>
      <c r="BI33" s="152">
        <f ca="1">IFERROR(__xludf.DUMMYFUNCTION("IMPORTRANGE(""https://docs.google.com/spreadsheets/d/1aHkj4IaQMThhwWwevcOymEh837vdxeC_PycurhTbGFA/edit?usp=sharing"",""ขอนแก่น!J450"")"),0)</f>
        <v>0</v>
      </c>
      <c r="BJ33" s="152">
        <f ca="1">IFERROR(__xludf.DUMMYFUNCTION("IMPORTRANGE(""https://docs.google.com/spreadsheets/d/1aHkj4IaQMThhwWwevcOymEh837vdxeC_PycurhTbGFA/edit?usp=sharing"",""ขอนแก่น!J451"")"),0)</f>
        <v>0</v>
      </c>
      <c r="BK33" s="152">
        <f ca="1">IFERROR(__xludf.DUMMYFUNCTION("IMPORTRANGE(""https://docs.google.com/spreadsheets/d/1aHkj4IaQMThhwWwevcOymEh837vdxeC_PycurhTbGFA/edit?usp=sharing"",""ขอนแก่น!J452"")"),0)</f>
        <v>0</v>
      </c>
      <c r="BL33" s="152">
        <f ca="1">IFERROR(__xludf.DUMMYFUNCTION("IMPORTRANGE(""https://docs.google.com/spreadsheets/d/1aHkj4IaQMThhwWwevcOymEh837vdxeC_PycurhTbGFA/edit?usp=sharing"",""ขอนแก่น!J453"")"),0)</f>
        <v>0</v>
      </c>
      <c r="BM33" s="152">
        <f ca="1">IFERROR(__xludf.DUMMYFUNCTION("IMPORTRANGE(""https://docs.google.com/spreadsheets/d/1aHkj4IaQMThhwWwevcOymEh837vdxeC_PycurhTbGFA/edit?usp=sharing"",""ขอนแก่น!J454"")"),0)</f>
        <v>0</v>
      </c>
      <c r="BN33" s="152">
        <f ca="1">IFERROR(__xludf.DUMMYFUNCTION("IMPORTRANGE(""https://docs.google.com/spreadsheets/d/1aHkj4IaQMThhwWwevcOymEh837vdxeC_PycurhTbGFA/edit?usp=sharing"",""ขอนแก่น!J455"")"),0)</f>
        <v>0</v>
      </c>
      <c r="BO33" s="152">
        <f ca="1">IFERROR(__xludf.DUMMYFUNCTION("IMPORTRANGE(""https://docs.google.com/spreadsheets/d/1aHkj4IaQMThhwWwevcOymEh837vdxeC_PycurhTbGFA/edit?usp=sharing"",""ขอนแก่น!I457"")"),1036.98)</f>
        <v>1036.98</v>
      </c>
      <c r="BP33" s="152">
        <f ca="1">IFERROR(__xludf.DUMMYFUNCTION("IMPORTRANGE(""https://docs.google.com/spreadsheets/d/1aHkj4IaQMThhwWwevcOymEh837vdxeC_PycurhTbGFA/edit?usp=sharing"",""ขอนแก่น!I458"")"),92)</f>
        <v>92</v>
      </c>
      <c r="BQ33" s="152">
        <f ca="1">IFERROR(__xludf.DUMMYFUNCTION("IMPORTRANGE(""https://docs.google.com/spreadsheets/d/1aHkj4IaQMThhwWwevcOymEh837vdxeC_PycurhTbGFA/edit?usp=sharing"",""ขอนแก่น!J457"")"),0)</f>
        <v>0</v>
      </c>
      <c r="BR33" s="216">
        <f t="shared" ca="1" si="65"/>
        <v>0</v>
      </c>
      <c r="BS33" s="152">
        <f ca="1">IFERROR(__xludf.DUMMYFUNCTION("IMPORTRANGE(""https://docs.google.com/spreadsheets/d/1aHkj4IaQMThhwWwevcOymEh837vdxeC_PycurhTbGFA/edit?usp=sharing"",""ขอนแก่น!J458"")"),0)</f>
        <v>0</v>
      </c>
      <c r="BT33" s="216">
        <f t="shared" ca="1" si="66"/>
        <v>0</v>
      </c>
      <c r="BU33" s="152">
        <f ca="1">IFERROR(__xludf.DUMMYFUNCTION("IMPORTRANGE(""https://docs.google.com/spreadsheets/d/1aHkj4IaQMThhwWwevcOymEh837vdxeC_PycurhTbGFA/edit?usp=sharing"",""ขอนแก่น!J459"")"),0)</f>
        <v>0</v>
      </c>
      <c r="BV33" s="152">
        <f ca="1">IFERROR(__xludf.DUMMYFUNCTION("IMPORTRANGE(""https://docs.google.com/spreadsheets/d/1aHkj4IaQMThhwWwevcOymEh837vdxeC_PycurhTbGFA/edit?usp=sharing"",""ขอนแก่น!J460"")"),0)</f>
        <v>0</v>
      </c>
      <c r="BW33" s="152">
        <f ca="1">IFERROR(__xludf.DUMMYFUNCTION("IMPORTRANGE(""https://docs.google.com/spreadsheets/d/1aHkj4IaQMThhwWwevcOymEh837vdxeC_PycurhTbGFA/edit?usp=sharing"",""ขอนแก่น!J461"")"),0)</f>
        <v>0</v>
      </c>
      <c r="BX33" s="152">
        <f ca="1">IFERROR(__xludf.DUMMYFUNCTION("IMPORTRANGE(""https://docs.google.com/spreadsheets/d/1aHkj4IaQMThhwWwevcOymEh837vdxeC_PycurhTbGFA/edit?usp=sharing"",""ขอนแก่น!J462"")"),0)</f>
        <v>0</v>
      </c>
      <c r="BY33" s="152">
        <f ca="1">IFERROR(__xludf.DUMMYFUNCTION("IMPORTRANGE(""https://docs.google.com/spreadsheets/d/1aHkj4IaQMThhwWwevcOymEh837vdxeC_PycurhTbGFA/edit?usp=sharing"",""ขอนแก่น!J463"")"),0)</f>
        <v>0</v>
      </c>
      <c r="BZ33" s="152">
        <f ca="1">IFERROR(__xludf.DUMMYFUNCTION("IMPORTRANGE(""https://docs.google.com/spreadsheets/d/1aHkj4IaQMThhwWwevcOymEh837vdxeC_PycurhTbGFA/edit?usp=sharing"",""ขอนแก่น!J464"")"),0)</f>
        <v>0</v>
      </c>
      <c r="CA33" s="152">
        <f ca="1">IFERROR(__xludf.DUMMYFUNCTION("IMPORTRANGE(""https://docs.google.com/spreadsheets/d/1aHkj4IaQMThhwWwevcOymEh837vdxeC_PycurhTbGFA/edit?usp=sharing"",""ขอนแก่น!J465"")"),0)</f>
        <v>0</v>
      </c>
      <c r="CB33" s="152">
        <f ca="1">IFERROR(__xludf.DUMMYFUNCTION("IMPORTRANGE(""https://docs.google.com/spreadsheets/d/1aHkj4IaQMThhwWwevcOymEh837vdxeC_PycurhTbGFA/edit?usp=sharing"",""ขอนแก่น!J466"")"),0)</f>
        <v>0</v>
      </c>
      <c r="CC33" s="152">
        <f ca="1">IFERROR(__xludf.DUMMYFUNCTION("IMPORTRANGE(""https://docs.google.com/spreadsheets/d/1aHkj4IaQMThhwWwevcOymEh837vdxeC_PycurhTbGFA/edit?usp=sharing"",""ขอนแก่น!J467"")"),0)</f>
        <v>0</v>
      </c>
      <c r="CD33" s="152">
        <f ca="1">IFERROR(__xludf.DUMMYFUNCTION("IMPORTRANGE(""https://docs.google.com/spreadsheets/d/1aHkj4IaQMThhwWwevcOymEh837vdxeC_PycurhTbGFA/edit?usp=sharing"",""ขอนแก่น!J468"")"),0)</f>
        <v>0</v>
      </c>
      <c r="CE33" s="152">
        <f ca="1">IFERROR(__xludf.DUMMYFUNCTION("IMPORTRANGE(""https://docs.google.com/spreadsheets/d/1aHkj4IaQMThhwWwevcOymEh837vdxeC_PycurhTbGFA/edit?usp=sharing"",""ขอนแก่น!J469"")"),0)</f>
        <v>0</v>
      </c>
      <c r="CF33" s="152">
        <f ca="1">IFERROR(__xludf.DUMMYFUNCTION("IMPORTRANGE(""https://docs.google.com/spreadsheets/d/1aHkj4IaQMThhwWwevcOymEh837vdxeC_PycurhTbGFA/edit?usp=sharing"",""ขอนแก่น!J470"")"),0)</f>
        <v>0</v>
      </c>
      <c r="CG33" s="152">
        <f ca="1">IFERROR(__xludf.DUMMYFUNCTION("IMPORTRANGE(""https://docs.google.com/spreadsheets/d/1aHkj4IaQMThhwWwevcOymEh837vdxeC_PycurhTbGFA/edit?usp=sharing"",""ขอนแก่น!J471"")"),0)</f>
        <v>0</v>
      </c>
      <c r="CH33" s="152">
        <f ca="1">IFERROR(__xludf.DUMMYFUNCTION("IMPORTRANGE(""https://docs.google.com/spreadsheets/d/1aHkj4IaQMThhwWwevcOymEh837vdxeC_PycurhTbGFA/edit?usp=sharing"",""ขอนแก่น!J472"")"),0)</f>
        <v>0</v>
      </c>
      <c r="CI33" s="152">
        <f ca="1">IFERROR(__xludf.DUMMYFUNCTION("IMPORTRANGE(""https://docs.google.com/spreadsheets/d/1aHkj4IaQMThhwWwevcOymEh837vdxeC_PycurhTbGFA/edit?usp=sharing"",""ขอนแก่น!J473"")"),0)</f>
        <v>0</v>
      </c>
      <c r="CJ33" s="152">
        <f ca="1">IFERROR(__xludf.DUMMYFUNCTION("IMPORTRANGE(""https://docs.google.com/spreadsheets/d/1aHkj4IaQMThhwWwevcOymEh837vdxeC_PycurhTbGFA/edit?usp=sharing"",""ขอนแก่น!J474"")"),0)</f>
        <v>0</v>
      </c>
      <c r="CK33" s="278">
        <f ca="1">IFERROR(__xludf.DUMMYFUNCTION("IMPORTRANGE(""https://docs.google.com/spreadsheets/d/1aHkj4IaQMThhwWwevcOymEh837vdxeC_PycurhTbGFA/edit?usp=sharing"",""ขอนแก่น!I476"")"),0)</f>
        <v>0</v>
      </c>
      <c r="CL33" s="278">
        <f ca="1">IFERROR(__xludf.DUMMYFUNCTION("IMPORTRANGE(""https://docs.google.com/spreadsheets/d/1aHkj4IaQMThhwWwevcOymEh837vdxeC_PycurhTbGFA/edit?usp=sharing"",""ขอนแก่น!I477"")"),0)</f>
        <v>0</v>
      </c>
      <c r="CM33" s="278">
        <f ca="1">IFERROR(__xludf.DUMMYFUNCTION("IMPORTRANGE(""https://docs.google.com/spreadsheets/d/1aHkj4IaQMThhwWwevcOymEh837vdxeC_PycurhTbGFA/edit?usp=sharing"",""ขอนแก่น!J476"")"),0)</f>
        <v>0</v>
      </c>
      <c r="CN33" s="216">
        <f t="shared" ca="1" si="68"/>
        <v>0</v>
      </c>
      <c r="CO33" s="278">
        <f ca="1">IFERROR(__xludf.DUMMYFUNCTION("IMPORTRANGE(""https://docs.google.com/spreadsheets/d/1aHkj4IaQMThhwWwevcOymEh837vdxeC_PycurhTbGFA/edit?usp=sharing"",""ขอนแก่น!J477"")"),0)</f>
        <v>0</v>
      </c>
      <c r="CP33" s="216">
        <f t="shared" ca="1" si="69"/>
        <v>0</v>
      </c>
      <c r="CQ33" s="278">
        <f ca="1">IFERROR(__xludf.DUMMYFUNCTION("IMPORTRANGE(""https://docs.google.com/spreadsheets/d/1aHkj4IaQMThhwWwevcOymEh837vdxeC_PycurhTbGFA/edit?usp=sharing"",""ขอนแก่น!J478"")"),0)</f>
        <v>0</v>
      </c>
      <c r="CR33" s="278">
        <f ca="1">IFERROR(__xludf.DUMMYFUNCTION("IMPORTRANGE(""https://docs.google.com/spreadsheets/d/1aHkj4IaQMThhwWwevcOymEh837vdxeC_PycurhTbGFA/edit?usp=sharing"",""ขอนแก่น!J479"")"),0)</f>
        <v>0</v>
      </c>
      <c r="CS33" s="278">
        <f ca="1">IFERROR(__xludf.DUMMYFUNCTION("IMPORTRANGE(""https://docs.google.com/spreadsheets/d/1aHkj4IaQMThhwWwevcOymEh837vdxeC_PycurhTbGFA/edit?usp=sharing"",""ขอนแก่น!J480"")"),0)</f>
        <v>0</v>
      </c>
      <c r="CT33" s="278">
        <f ca="1">IFERROR(__xludf.DUMMYFUNCTION("IMPORTRANGE(""https://docs.google.com/spreadsheets/d/1aHkj4IaQMThhwWwevcOymEh837vdxeC_PycurhTbGFA/edit?usp=sharing"",""ขอนแก่น!J481"")"),0)</f>
        <v>0</v>
      </c>
      <c r="CU33" s="278">
        <f ca="1">IFERROR(__xludf.DUMMYFUNCTION("IMPORTRANGE(""https://docs.google.com/spreadsheets/d/1aHkj4IaQMThhwWwevcOymEh837vdxeC_PycurhTbGFA/edit?usp=sharing"",""ขอนแก่น!I484"")"),416)</f>
        <v>416</v>
      </c>
      <c r="CV33" s="278">
        <f ca="1">IFERROR(__xludf.DUMMYFUNCTION("IMPORTRANGE(""https://docs.google.com/spreadsheets/d/1aHkj4IaQMThhwWwevcOymEh837vdxeC_PycurhTbGFA/edit?usp=sharing"",""ขอนแก่น!I485"")"),46)</f>
        <v>46</v>
      </c>
      <c r="CW33" s="278">
        <f ca="1">IFERROR(__xludf.DUMMYFUNCTION("IMPORTRANGE(""https://docs.google.com/spreadsheets/d/1aHkj4IaQMThhwWwevcOymEh837vdxeC_PycurhTbGFA/edit?usp=sharing"",""ขอนแก่น!J484"")"),0)</f>
        <v>0</v>
      </c>
      <c r="CX33" s="216">
        <f t="shared" ca="1" si="71"/>
        <v>0</v>
      </c>
      <c r="CY33" s="278">
        <f ca="1">IFERROR(__xludf.DUMMYFUNCTION("IMPORTRANGE(""https://docs.google.com/spreadsheets/d/1aHkj4IaQMThhwWwevcOymEh837vdxeC_PycurhTbGFA/edit?usp=sharing"",""ขอนแก่น!J485"")"),0)</f>
        <v>0</v>
      </c>
      <c r="CZ33" s="216">
        <f t="shared" ca="1" si="72"/>
        <v>0</v>
      </c>
      <c r="DA33" s="278">
        <f ca="1">IFERROR(__xludf.DUMMYFUNCTION("IMPORTRANGE(""https://docs.google.com/spreadsheets/d/1aHkj4IaQMThhwWwevcOymEh837vdxeC_PycurhTbGFA/edit?usp=sharing"",""ขอนแก่น!J486"")"),0)</f>
        <v>0</v>
      </c>
      <c r="DB33" s="278">
        <f ca="1">IFERROR(__xludf.DUMMYFUNCTION("IMPORTRANGE(""https://docs.google.com/spreadsheets/d/1aHkj4IaQMThhwWwevcOymEh837vdxeC_PycurhTbGFA/edit?usp=sharing"",""ขอนแก่น!J487"")"),0)</f>
        <v>0</v>
      </c>
      <c r="DC33" s="278">
        <f ca="1">IFERROR(__xludf.DUMMYFUNCTION("IMPORTRANGE(""https://docs.google.com/spreadsheets/d/1aHkj4IaQMThhwWwevcOymEh837vdxeC_PycurhTbGFA/edit?usp=sharing"",""ขอนแก่น!J488"")"),0)</f>
        <v>0</v>
      </c>
      <c r="DD33" s="278">
        <f ca="1">IFERROR(__xludf.DUMMYFUNCTION("IMPORTRANGE(""https://docs.google.com/spreadsheets/d/1aHkj4IaQMThhwWwevcOymEh837vdxeC_PycurhTbGFA/edit?usp=sharing"",""ขอนแก่น!J489"")"),0)</f>
        <v>0</v>
      </c>
      <c r="DE33" s="278">
        <f ca="1">IFERROR(__xludf.DUMMYFUNCTION("IMPORTRANGE(""https://docs.google.com/spreadsheets/d/1aHkj4IaQMThhwWwevcOymEh837vdxeC_PycurhTbGFA/edit?usp=sharing"",""ขอนแก่น!J490"")"),0)</f>
        <v>0</v>
      </c>
      <c r="DF33" s="278">
        <f ca="1">IFERROR(__xludf.DUMMYFUNCTION("IMPORTRANGE(""https://docs.google.com/spreadsheets/d/1aHkj4IaQMThhwWwevcOymEh837vdxeC_PycurhTbGFA/edit?usp=sharing"",""ขอนแก่น!J491"")"),0)</f>
        <v>0</v>
      </c>
    </row>
    <row r="34" spans="1:110" ht="19.5" x14ac:dyDescent="0.3">
      <c r="A34" s="147">
        <v>3</v>
      </c>
      <c r="B34" s="148" t="s">
        <v>62</v>
      </c>
      <c r="C34" s="566">
        <f t="shared" ca="1" si="44"/>
        <v>785760</v>
      </c>
      <c r="D34" s="567">
        <f t="shared" ca="1" si="84"/>
        <v>785760</v>
      </c>
      <c r="E34" s="329">
        <f ca="1">IFERROR(__xludf.DUMMYFUNCTION("IMPORTRANGE(""https://docs.google.com/spreadsheets/d/1-uDff_7J0KD5mKrp0Vvzr7lt3OU09vwQwhkpOPPYv2Y/edit?usp=sharing"",""งบพรบ!IP34"")"),323200)</f>
        <v>323200</v>
      </c>
      <c r="F34" s="329">
        <f ca="1">IFERROR(__xludf.DUMMYFUNCTION("IMPORTRANGE(""https://docs.google.com/spreadsheets/d/1-uDff_7J0KD5mKrp0Vvzr7lt3OU09vwQwhkpOPPYv2Y/edit?usp=sharing"",""งบพรบ!IQ34"")"),462560)</f>
        <v>462560</v>
      </c>
      <c r="G34" s="329">
        <f ca="1">IFERROR(__xludf.DUMMYFUNCTION("IMPORTRANGE(""https://docs.google.com/spreadsheets/d/1-uDff_7J0KD5mKrp0Vvzr7lt3OU09vwQwhkpOPPYv2Y/edit?usp=sharing"",""งบพรบ!IR34"")"),0)</f>
        <v>0</v>
      </c>
      <c r="H34" s="329">
        <f ca="1">IFERROR(__xludf.DUMMYFUNCTION("IMPORTRANGE(""https://docs.google.com/spreadsheets/d/1-uDff_7J0KD5mKrp0Vvzr7lt3OU09vwQwhkpOPPYv2Y/edit?usp=sharing"",""งบพรบ!IT34"")"),785760)</f>
        <v>785760</v>
      </c>
      <c r="I34" s="329">
        <f ca="1">IFERROR(__xludf.DUMMYFUNCTION("IMPORTRANGE(""https://docs.google.com/spreadsheets/d/1-uDff_7J0KD5mKrp0Vvzr7lt3OU09vwQwhkpOPPYv2Y/edit?usp=sharing"",""งบพรบ!IU34"")"),0)</f>
        <v>0</v>
      </c>
      <c r="J34" s="329">
        <f t="shared" ca="1" si="46"/>
        <v>407023</v>
      </c>
      <c r="K34" s="568">
        <f t="shared" ca="1" si="47"/>
        <v>51.79991345958053</v>
      </c>
      <c r="L34" s="329">
        <f ca="1">IFERROR(__xludf.DUMMYFUNCTION("IMPORTRANGE(""https://docs.google.com/spreadsheets/d/1-uDff_7J0KD5mKrp0Vvzr7lt3OU09vwQwhkpOPPYv2Y/edit?usp=sharing"",""งบพรบ!IV34"")"),407023)</f>
        <v>407023</v>
      </c>
      <c r="M34" s="330">
        <f t="shared" ca="1" si="48"/>
        <v>51.79991345958053</v>
      </c>
      <c r="N34" s="330">
        <f t="shared" ca="1" si="49"/>
        <v>51.79991345958053</v>
      </c>
      <c r="O34" s="569">
        <f ca="1">IFERROR(__xludf.DUMMYFUNCTION("IMPORTRANGE(""https://docs.google.com/spreadsheets/d/1-uDff_7J0KD5mKrp0Vvzr7lt3OU09vwQwhkpOPPYv2Y/edit?usp=sharing"",""งบพรบ!IW34"")"),0)</f>
        <v>0</v>
      </c>
      <c r="P34" s="569">
        <f t="shared" ca="1" si="50"/>
        <v>0</v>
      </c>
      <c r="Q34" s="330">
        <f t="shared" ca="1" si="51"/>
        <v>0</v>
      </c>
      <c r="R34" s="564">
        <f ca="1">IFERROR(__xludf.DUMMYFUNCTION("IMPORTRANGE(""https://docs.google.com/spreadsheets/d/1FvTu2DsIWUjP6WCWra38Bkj_oOl_sOMf14r5Fg5srxU/edit?usp=sharing"",""ชัยภูมิ!Q413"")"),133760)</f>
        <v>133760</v>
      </c>
      <c r="S34" s="564">
        <f ca="1">IFERROR(__xludf.DUMMYFUNCTION("IMPORTRANGE(""https://docs.google.com/spreadsheets/d/1FvTu2DsIWUjP6WCWra38Bkj_oOl_sOMf14r5Fg5srxU/edit?usp=sharing"",""ชัยภูมิ!R413"")"),133760)</f>
        <v>133760</v>
      </c>
      <c r="T34" s="564">
        <f ca="1">IFERROR(__xludf.DUMMYFUNCTION("IMPORTRANGE(""https://docs.google.com/spreadsheets/d/1FvTu2DsIWUjP6WCWra38Bkj_oOl_sOMf14r5Fg5srxU/edit?usp=sharing"",""ชัยภูมิ!S413"")"),0)</f>
        <v>0</v>
      </c>
      <c r="U34" s="565">
        <f t="shared" ca="1" si="53"/>
        <v>0</v>
      </c>
      <c r="V34" s="565">
        <f t="shared" ca="1" si="54"/>
        <v>0</v>
      </c>
      <c r="W34" s="152">
        <f ca="1">IFERROR(__xludf.DUMMYFUNCTION("IMPORTRANGE(""https://docs.google.com/spreadsheets/d/1FvTu2DsIWUjP6WCWra38Bkj_oOl_sOMf14r5Fg5srxU/edit?usp=sharing"",""ชัยภูมิ!I424"")"),91021)</f>
        <v>91021</v>
      </c>
      <c r="X34" s="152">
        <f ca="1">IFERROR(__xludf.DUMMYFUNCTION("IMPORTRANGE(""https://docs.google.com/spreadsheets/d/1FvTu2DsIWUjP6WCWra38Bkj_oOl_sOMf14r5Fg5srxU/edit?usp=sharing"",""ชัยภูมิ!I425"")"),10843)</f>
        <v>10843</v>
      </c>
      <c r="Y34" s="152">
        <f ca="1">IFERROR(__xludf.DUMMYFUNCTION("IMPORTRANGE(""https://docs.google.com/spreadsheets/d/1FvTu2DsIWUjP6WCWra38Bkj_oOl_sOMf14r5Fg5srxU/edit?usp=sharing"",""ชัยภูมิ!J424"")"),51714.04)</f>
        <v>51714.04</v>
      </c>
      <c r="Z34" s="216">
        <f t="shared" ca="1" si="56"/>
        <v>56.815504114435129</v>
      </c>
      <c r="AA34" s="152">
        <f ca="1">IFERROR(__xludf.DUMMYFUNCTION("IMPORTRANGE(""https://docs.google.com/spreadsheets/d/1FvTu2DsIWUjP6WCWra38Bkj_oOl_sOMf14r5Fg5srxU/edit?usp=sharing"",""ชัยภูมิ!J425"")"),5736)</f>
        <v>5736</v>
      </c>
      <c r="AB34" s="216">
        <f t="shared" ca="1" si="57"/>
        <v>52.900488794614034</v>
      </c>
      <c r="AC34" s="152">
        <f ca="1">IFERROR(__xludf.DUMMYFUNCTION("IMPORTRANGE(""https://docs.google.com/spreadsheets/d/1FvTu2DsIWUjP6WCWra38Bkj_oOl_sOMf14r5Fg5srxU/edit?usp=sharing"",""ชัยภูมิ!J426"")"),35486.74)</f>
        <v>35486.74</v>
      </c>
      <c r="AD34" s="152">
        <f ca="1">IFERROR(__xludf.DUMMYFUNCTION("IMPORTRANGE(""https://docs.google.com/spreadsheets/d/1FvTu2DsIWUjP6WCWra38Bkj_oOl_sOMf14r5Fg5srxU/edit?usp=sharing"",""ชัยภูมิ!J427"")"),4517)</f>
        <v>4517</v>
      </c>
      <c r="AE34" s="152">
        <f ca="1">IFERROR(__xludf.DUMMYFUNCTION("IMPORTRANGE(""https://docs.google.com/spreadsheets/d/1FvTu2DsIWUjP6WCWra38Bkj_oOl_sOMf14r5Fg5srxU/edit?usp=sharing"",""ชัยภูมิ!J428"")"),12010)</f>
        <v>12010</v>
      </c>
      <c r="AF34" s="152">
        <f ca="1">IFERROR(__xludf.DUMMYFUNCTION("IMPORTRANGE(""https://docs.google.com/spreadsheets/d/1FvTu2DsIWUjP6WCWra38Bkj_oOl_sOMf14r5Fg5srxU/edit?usp=sharing"",""ชัยภูมิ!J429"")"),868)</f>
        <v>868</v>
      </c>
      <c r="AG34" s="152">
        <f ca="1">IFERROR(__xludf.DUMMYFUNCTION("IMPORTRANGE(""https://docs.google.com/spreadsheets/d/1FvTu2DsIWUjP6WCWra38Bkj_oOl_sOMf14r5Fg5srxU/edit?usp=sharing"",""ชัยภูมิ!J430"")"),4217.3)</f>
        <v>4217.3</v>
      </c>
      <c r="AH34" s="152">
        <f ca="1">IFERROR(__xludf.DUMMYFUNCTION("IMPORTRANGE(""https://docs.google.com/spreadsheets/d/1FvTu2DsIWUjP6WCWra38Bkj_oOl_sOMf14r5Fg5srxU/edit?usp=sharing"",""ชัยภูมิ!J431"")"),351)</f>
        <v>351</v>
      </c>
      <c r="AI34" s="152">
        <f ca="1">IFERROR(__xludf.DUMMYFUNCTION("IMPORTRANGE(""https://docs.google.com/spreadsheets/d/1FvTu2DsIWUjP6WCWra38Bkj_oOl_sOMf14r5Fg5srxU/edit?usp=sharing"",""ชัยภูมิ!I432"")"),91021)</f>
        <v>91021</v>
      </c>
      <c r="AJ34" s="152">
        <f ca="1">IFERROR(__xludf.DUMMYFUNCTION("IMPORTRANGE(""https://docs.google.com/spreadsheets/d/1FvTu2DsIWUjP6WCWra38Bkj_oOl_sOMf14r5Fg5srxU/edit?usp=sharing"",""ชัยภูมิ!I433"")"),10843)</f>
        <v>10843</v>
      </c>
      <c r="AK34" s="216">
        <f ca="1">IFERROR(__xludf.DUMMYFUNCTION("IMPORTRANGE(""https://docs.google.com/spreadsheets/d/1FvTu2DsIWUjP6WCWra38Bkj_oOl_sOMf14r5Fg5srxU/edit?usp=sharing"",""ชัยภูมิ!J432"")"),0)</f>
        <v>0</v>
      </c>
      <c r="AL34" s="216">
        <f t="shared" ca="1" si="59"/>
        <v>0</v>
      </c>
      <c r="AM34" s="152">
        <f ca="1">IFERROR(__xludf.DUMMYFUNCTION("IMPORTRANGE(""https://docs.google.com/spreadsheets/d/1FvTu2DsIWUjP6WCWra38Bkj_oOl_sOMf14r5Fg5srxU/edit?usp=sharing"",""ชัยภูมิ!J433"")"),0)</f>
        <v>0</v>
      </c>
      <c r="AN34" s="216">
        <f t="shared" ca="1" si="60"/>
        <v>0</v>
      </c>
      <c r="AO34" s="152">
        <f ca="1">IFERROR(__xludf.DUMMYFUNCTION("IMPORTRANGE(""https://docs.google.com/spreadsheets/d/1FvTu2DsIWUjP6WCWra38Bkj_oOl_sOMf14r5Fg5srxU/edit?usp=sharing"",""ชัยภูมิ!J434"")"),0)</f>
        <v>0</v>
      </c>
      <c r="AP34" s="152">
        <f ca="1">IFERROR(__xludf.DUMMYFUNCTION("IMPORTRANGE(""https://docs.google.com/spreadsheets/d/1FvTu2DsIWUjP6WCWra38Bkj_oOl_sOMf14r5Fg5srxU/edit?usp=sharing"",""ชัยภูมิ!J435"")"),0)</f>
        <v>0</v>
      </c>
      <c r="AQ34" s="152">
        <f ca="1">IFERROR(__xludf.DUMMYFUNCTION("IMPORTRANGE(""https://docs.google.com/spreadsheets/d/1FvTu2DsIWUjP6WCWra38Bkj_oOl_sOMf14r5Fg5srxU/edit?usp=sharing"",""ชัยภูมิ!J436"")"),0)</f>
        <v>0</v>
      </c>
      <c r="AR34" s="152">
        <f ca="1">IFERROR(__xludf.DUMMYFUNCTION("IMPORTRANGE(""https://docs.google.com/spreadsheets/d/1FvTu2DsIWUjP6WCWra38Bkj_oOl_sOMf14r5Fg5srxU/edit?usp=sharing"",""ชัยภูมิ!J437"")"),0)</f>
        <v>0</v>
      </c>
      <c r="AS34" s="152">
        <f ca="1">IFERROR(__xludf.DUMMYFUNCTION("IMPORTRANGE(""https://docs.google.com/spreadsheets/d/1FvTu2DsIWUjP6WCWra38Bkj_oOl_sOMf14r5Fg5srxU/edit?usp=sharing"",""ชัยภูมิ!J438"")"),0)</f>
        <v>0</v>
      </c>
      <c r="AT34" s="152">
        <f ca="1">IFERROR(__xludf.DUMMYFUNCTION("IMPORTRANGE(""https://docs.google.com/spreadsheets/d/1FvTu2DsIWUjP6WCWra38Bkj_oOl_sOMf14r5Fg5srxU/edit?usp=sharing"",""ชัยภูมิ!J439"")"),0)</f>
        <v>0</v>
      </c>
      <c r="AU34" s="152">
        <f ca="1">IFERROR(__xludf.DUMMYFUNCTION("IMPORTRANGE(""https://docs.google.com/spreadsheets/d/1FvTu2DsIWUjP6WCWra38Bkj_oOl_sOMf14r5Fg5srxU/edit?usp=sharing"",""ชัยภูมิ!I440"")"),91021)</f>
        <v>91021</v>
      </c>
      <c r="AV34" s="152">
        <f ca="1">IFERROR(__xludf.DUMMYFUNCTION("IMPORTRANGE(""https://docs.google.com/spreadsheets/d/1FvTu2DsIWUjP6WCWra38Bkj_oOl_sOMf14r5Fg5srxU/edit?usp=sharing"",""ชัยภูมิ!I441"")"),10843)</f>
        <v>10843</v>
      </c>
      <c r="AW34" s="152">
        <f ca="1">IFERROR(__xludf.DUMMYFUNCTION("IMPORTRANGE(""https://docs.google.com/spreadsheets/d/1FvTu2DsIWUjP6WCWra38Bkj_oOl_sOMf14r5Fg5srxU/edit?usp=sharing"",""ชัยภูมิ!J440"")"),0)</f>
        <v>0</v>
      </c>
      <c r="AX34" s="216">
        <f t="shared" ca="1" si="62"/>
        <v>0</v>
      </c>
      <c r="AY34" s="152">
        <f ca="1">IFERROR(__xludf.DUMMYFUNCTION("IMPORTRANGE(""https://docs.google.com/spreadsheets/d/1FvTu2DsIWUjP6WCWra38Bkj_oOl_sOMf14r5Fg5srxU/edit?usp=sharing"",""ชัยภูมิ!J441"")"),0)</f>
        <v>0</v>
      </c>
      <c r="AZ34" s="216">
        <f t="shared" ca="1" si="63"/>
        <v>0</v>
      </c>
      <c r="BA34" s="152">
        <f ca="1">IFERROR(__xludf.DUMMYFUNCTION("IMPORTRANGE(""https://docs.google.com/spreadsheets/d/1FvTu2DsIWUjP6WCWra38Bkj_oOl_sOMf14r5Fg5srxU/edit?usp=sharing"",""ชัยภูมิ!J442"")"),0)</f>
        <v>0</v>
      </c>
      <c r="BB34" s="152">
        <f ca="1">IFERROR(__xludf.DUMMYFUNCTION("IMPORTRANGE(""https://docs.google.com/spreadsheets/d/1FvTu2DsIWUjP6WCWra38Bkj_oOl_sOMf14r5Fg5srxU/edit?usp=sharing"",""ชัยภูมิ!J443"")"),0)</f>
        <v>0</v>
      </c>
      <c r="BC34" s="152">
        <f ca="1">IFERROR(__xludf.DUMMYFUNCTION("IMPORTRANGE(""https://docs.google.com/spreadsheets/d/1FvTu2DsIWUjP6WCWra38Bkj_oOl_sOMf14r5Fg5srxU/edit?usp=sharing"",""ชัยภูมิ!J444"")"),0)</f>
        <v>0</v>
      </c>
      <c r="BD34" s="152">
        <f ca="1">IFERROR(__xludf.DUMMYFUNCTION("IMPORTRANGE(""https://docs.google.com/spreadsheets/d/1FvTu2DsIWUjP6WCWra38Bkj_oOl_sOMf14r5Fg5srxU/edit?usp=sharing"",""ชัยภูมิ!J445"")"),0)</f>
        <v>0</v>
      </c>
      <c r="BE34" s="152">
        <f ca="1">IFERROR(__xludf.DUMMYFUNCTION("IMPORTRANGE(""https://docs.google.com/spreadsheets/d/1FvTu2DsIWUjP6WCWra38Bkj_oOl_sOMf14r5Fg5srxU/edit?usp=sharing"",""ชัยภูมิ!J446"")"),0)</f>
        <v>0</v>
      </c>
      <c r="BF34" s="152">
        <f ca="1">IFERROR(__xludf.DUMMYFUNCTION("IMPORTRANGE(""https://docs.google.com/spreadsheets/d/1FvTu2DsIWUjP6WCWra38Bkj_oOl_sOMf14r5Fg5srxU/edit?usp=sharing"",""ชัยภูมิ!J447"")"),0)</f>
        <v>0</v>
      </c>
      <c r="BG34" s="152">
        <f ca="1">IFERROR(__xludf.DUMMYFUNCTION("IMPORTRANGE(""https://docs.google.com/spreadsheets/d/1FvTu2DsIWUjP6WCWra38Bkj_oOl_sOMf14r5Fg5srxU/edit?usp=sharing"",""ชัยภูมิ!J448"")"),0)</f>
        <v>0</v>
      </c>
      <c r="BH34" s="152">
        <f ca="1">IFERROR(__xludf.DUMMYFUNCTION("IMPORTRANGE(""https://docs.google.com/spreadsheets/d/1FvTu2DsIWUjP6WCWra38Bkj_oOl_sOMf14r5Fg5srxU/edit?usp=sharing"",""ชัยภูมิ!J449"")"),0)</f>
        <v>0</v>
      </c>
      <c r="BI34" s="152">
        <f ca="1">IFERROR(__xludf.DUMMYFUNCTION("IMPORTRANGE(""https://docs.google.com/spreadsheets/d/1FvTu2DsIWUjP6WCWra38Bkj_oOl_sOMf14r5Fg5srxU/edit?usp=sharing"",""ชัยภูมิ!J450"")"),0)</f>
        <v>0</v>
      </c>
      <c r="BJ34" s="152">
        <f ca="1">IFERROR(__xludf.DUMMYFUNCTION("IMPORTRANGE(""https://docs.google.com/spreadsheets/d/1FvTu2DsIWUjP6WCWra38Bkj_oOl_sOMf14r5Fg5srxU/edit?usp=sharing"",""ชัยภูมิ!J451"")"),0)</f>
        <v>0</v>
      </c>
      <c r="BK34" s="152">
        <f ca="1">IFERROR(__xludf.DUMMYFUNCTION("IMPORTRANGE(""https://docs.google.com/spreadsheets/d/1FvTu2DsIWUjP6WCWra38Bkj_oOl_sOMf14r5Fg5srxU/edit?usp=sharing"",""ชัยภูมิ!J452"")"),0)</f>
        <v>0</v>
      </c>
      <c r="BL34" s="152">
        <f ca="1">IFERROR(__xludf.DUMMYFUNCTION("IMPORTRANGE(""https://docs.google.com/spreadsheets/d/1FvTu2DsIWUjP6WCWra38Bkj_oOl_sOMf14r5Fg5srxU/edit?usp=sharing"",""ชัยภูมิ!J453"")"),0)</f>
        <v>0</v>
      </c>
      <c r="BM34" s="152">
        <f ca="1">IFERROR(__xludf.DUMMYFUNCTION("IMPORTRANGE(""https://docs.google.com/spreadsheets/d/1FvTu2DsIWUjP6WCWra38Bkj_oOl_sOMf14r5Fg5srxU/edit?usp=sharing"",""ชัยภูมิ!J454"")"),0)</f>
        <v>0</v>
      </c>
      <c r="BN34" s="152">
        <f ca="1">IFERROR(__xludf.DUMMYFUNCTION("IMPORTRANGE(""https://docs.google.com/spreadsheets/d/1FvTu2DsIWUjP6WCWra38Bkj_oOl_sOMf14r5Fg5srxU/edit?usp=sharing"",""ชัยภูมิ!J455"")"),0)</f>
        <v>0</v>
      </c>
      <c r="BO34" s="152">
        <f ca="1">IFERROR(__xludf.DUMMYFUNCTION("IMPORTRANGE(""https://docs.google.com/spreadsheets/d/1FvTu2DsIWUjP6WCWra38Bkj_oOl_sOMf14r5Fg5srxU/edit?usp=sharing"",""ชัยภูมิ!I457"")"),7097.44)</f>
        <v>7097.44</v>
      </c>
      <c r="BP34" s="152">
        <f ca="1">IFERROR(__xludf.DUMMYFUNCTION("IMPORTRANGE(""https://docs.google.com/spreadsheets/d/1FvTu2DsIWUjP6WCWra38Bkj_oOl_sOMf14r5Fg5srxU/edit?usp=sharing"",""ชัยภูมิ!I458"")"),472)</f>
        <v>472</v>
      </c>
      <c r="BQ34" s="152">
        <f ca="1">IFERROR(__xludf.DUMMYFUNCTION("IMPORTRANGE(""https://docs.google.com/spreadsheets/d/1FvTu2DsIWUjP6WCWra38Bkj_oOl_sOMf14r5Fg5srxU/edit?usp=sharing"",""ชัยภูมิ!J457"")"),0)</f>
        <v>0</v>
      </c>
      <c r="BR34" s="216">
        <f t="shared" ca="1" si="65"/>
        <v>0</v>
      </c>
      <c r="BS34" s="152">
        <f ca="1">IFERROR(__xludf.DUMMYFUNCTION("IMPORTRANGE(""https://docs.google.com/spreadsheets/d/1FvTu2DsIWUjP6WCWra38Bkj_oOl_sOMf14r5Fg5srxU/edit?usp=sharing"",""ชัยภูมิ!J458"")"),0)</f>
        <v>0</v>
      </c>
      <c r="BT34" s="216">
        <f t="shared" ca="1" si="66"/>
        <v>0</v>
      </c>
      <c r="BU34" s="152">
        <f ca="1">IFERROR(__xludf.DUMMYFUNCTION("IMPORTRANGE(""https://docs.google.com/spreadsheets/d/1FvTu2DsIWUjP6WCWra38Bkj_oOl_sOMf14r5Fg5srxU/edit?usp=sharing"",""ชัยภูมิ!J459"")"),0)</f>
        <v>0</v>
      </c>
      <c r="BV34" s="152">
        <f ca="1">IFERROR(__xludf.DUMMYFUNCTION("IMPORTRANGE(""https://docs.google.com/spreadsheets/d/1FvTu2DsIWUjP6WCWra38Bkj_oOl_sOMf14r5Fg5srxU/edit?usp=sharing"",""ชัยภูมิ!J460"")"),0)</f>
        <v>0</v>
      </c>
      <c r="BW34" s="152">
        <f ca="1">IFERROR(__xludf.DUMMYFUNCTION("IMPORTRANGE(""https://docs.google.com/spreadsheets/d/1FvTu2DsIWUjP6WCWra38Bkj_oOl_sOMf14r5Fg5srxU/edit?usp=sharing"",""ชัยภูมิ!J461"")"),0)</f>
        <v>0</v>
      </c>
      <c r="BX34" s="152">
        <f ca="1">IFERROR(__xludf.DUMMYFUNCTION("IMPORTRANGE(""https://docs.google.com/spreadsheets/d/1FvTu2DsIWUjP6WCWra38Bkj_oOl_sOMf14r5Fg5srxU/edit?usp=sharing"",""ชัยภูมิ!J462"")"),0)</f>
        <v>0</v>
      </c>
      <c r="BY34" s="152">
        <f ca="1">IFERROR(__xludf.DUMMYFUNCTION("IMPORTRANGE(""https://docs.google.com/spreadsheets/d/1FvTu2DsIWUjP6WCWra38Bkj_oOl_sOMf14r5Fg5srxU/edit?usp=sharing"",""ชัยภูมิ!J463"")"),0)</f>
        <v>0</v>
      </c>
      <c r="BZ34" s="152">
        <f ca="1">IFERROR(__xludf.DUMMYFUNCTION("IMPORTRANGE(""https://docs.google.com/spreadsheets/d/1FvTu2DsIWUjP6WCWra38Bkj_oOl_sOMf14r5Fg5srxU/edit?usp=sharing"",""ชัยภูมิ!J464"")"),0)</f>
        <v>0</v>
      </c>
      <c r="CA34" s="152">
        <f ca="1">IFERROR(__xludf.DUMMYFUNCTION("IMPORTRANGE(""https://docs.google.com/spreadsheets/d/1FvTu2DsIWUjP6WCWra38Bkj_oOl_sOMf14r5Fg5srxU/edit?usp=sharing"",""ชัยภูมิ!J465"")"),0)</f>
        <v>0</v>
      </c>
      <c r="CB34" s="152">
        <f ca="1">IFERROR(__xludf.DUMMYFUNCTION("IMPORTRANGE(""https://docs.google.com/spreadsheets/d/1FvTu2DsIWUjP6WCWra38Bkj_oOl_sOMf14r5Fg5srxU/edit?usp=sharing"",""ชัยภูมิ!J466"")"),0)</f>
        <v>0</v>
      </c>
      <c r="CC34" s="152">
        <f ca="1">IFERROR(__xludf.DUMMYFUNCTION("IMPORTRANGE(""https://docs.google.com/spreadsheets/d/1FvTu2DsIWUjP6WCWra38Bkj_oOl_sOMf14r5Fg5srxU/edit?usp=sharing"",""ชัยภูมิ!J467"")"),0)</f>
        <v>0</v>
      </c>
      <c r="CD34" s="152">
        <f ca="1">IFERROR(__xludf.DUMMYFUNCTION("IMPORTRANGE(""https://docs.google.com/spreadsheets/d/1FvTu2DsIWUjP6WCWra38Bkj_oOl_sOMf14r5Fg5srxU/edit?usp=sharing"",""ชัยภูมิ!J468"")"),0)</f>
        <v>0</v>
      </c>
      <c r="CE34" s="152">
        <f ca="1">IFERROR(__xludf.DUMMYFUNCTION("IMPORTRANGE(""https://docs.google.com/spreadsheets/d/1FvTu2DsIWUjP6WCWra38Bkj_oOl_sOMf14r5Fg5srxU/edit?usp=sharing"",""ชัยภูมิ!J469"")"),0)</f>
        <v>0</v>
      </c>
      <c r="CF34" s="152">
        <f ca="1">IFERROR(__xludf.DUMMYFUNCTION("IMPORTRANGE(""https://docs.google.com/spreadsheets/d/1FvTu2DsIWUjP6WCWra38Bkj_oOl_sOMf14r5Fg5srxU/edit?usp=sharing"",""ชัยภูมิ!J470"")"),0)</f>
        <v>0</v>
      </c>
      <c r="CG34" s="152">
        <f ca="1">IFERROR(__xludf.DUMMYFUNCTION("IMPORTRANGE(""https://docs.google.com/spreadsheets/d/1FvTu2DsIWUjP6WCWra38Bkj_oOl_sOMf14r5Fg5srxU/edit?usp=sharing"",""ชัยภูมิ!J471"")"),0)</f>
        <v>0</v>
      </c>
      <c r="CH34" s="152">
        <f ca="1">IFERROR(__xludf.DUMMYFUNCTION("IMPORTRANGE(""https://docs.google.com/spreadsheets/d/1FvTu2DsIWUjP6WCWra38Bkj_oOl_sOMf14r5Fg5srxU/edit?usp=sharing"",""ชัยภูมิ!J472"")"),0)</f>
        <v>0</v>
      </c>
      <c r="CI34" s="152">
        <f ca="1">IFERROR(__xludf.DUMMYFUNCTION("IMPORTRANGE(""https://docs.google.com/spreadsheets/d/1FvTu2DsIWUjP6WCWra38Bkj_oOl_sOMf14r5Fg5srxU/edit?usp=sharing"",""ชัยภูมิ!J473"")"),0)</f>
        <v>0</v>
      </c>
      <c r="CJ34" s="152">
        <f ca="1">IFERROR(__xludf.DUMMYFUNCTION("IMPORTRANGE(""https://docs.google.com/spreadsheets/d/1FvTu2DsIWUjP6WCWra38Bkj_oOl_sOMf14r5Fg5srxU/edit?usp=sharing"",""ชัยภูมิ!J474"")"),0)</f>
        <v>0</v>
      </c>
      <c r="CK34" s="278">
        <f ca="1">IFERROR(__xludf.DUMMYFUNCTION("IMPORTRANGE(""https://docs.google.com/spreadsheets/d/1FvTu2DsIWUjP6WCWra38Bkj_oOl_sOMf14r5Fg5srxU/edit?usp=sharing"",""ชัยภูมิ!I476"")"),0)</f>
        <v>0</v>
      </c>
      <c r="CL34" s="278">
        <f ca="1">IFERROR(__xludf.DUMMYFUNCTION("IMPORTRANGE(""https://docs.google.com/spreadsheets/d/1FvTu2DsIWUjP6WCWra38Bkj_oOl_sOMf14r5Fg5srxU/edit?usp=sharing"",""ชัยภูมิ!I477"")"),0)</f>
        <v>0</v>
      </c>
      <c r="CM34" s="278">
        <f ca="1">IFERROR(__xludf.DUMMYFUNCTION("IMPORTRANGE(""https://docs.google.com/spreadsheets/d/1FvTu2DsIWUjP6WCWra38Bkj_oOl_sOMf14r5Fg5srxU/edit?usp=sharing"",""ชัยภูมิ!J476"")"),0)</f>
        <v>0</v>
      </c>
      <c r="CN34" s="216">
        <f t="shared" ca="1" si="68"/>
        <v>0</v>
      </c>
      <c r="CO34" s="278">
        <f ca="1">IFERROR(__xludf.DUMMYFUNCTION("IMPORTRANGE(""https://docs.google.com/spreadsheets/d/1FvTu2DsIWUjP6WCWra38Bkj_oOl_sOMf14r5Fg5srxU/edit?usp=sharing"",""ชัยภูมิ!J477"")"),0)</f>
        <v>0</v>
      </c>
      <c r="CP34" s="216">
        <f t="shared" ca="1" si="69"/>
        <v>0</v>
      </c>
      <c r="CQ34" s="278">
        <f ca="1">IFERROR(__xludf.DUMMYFUNCTION("IMPORTRANGE(""https://docs.google.com/spreadsheets/d/1FvTu2DsIWUjP6WCWra38Bkj_oOl_sOMf14r5Fg5srxU/edit?usp=sharing"",""ชัยภูมิ!J478"")"),0)</f>
        <v>0</v>
      </c>
      <c r="CR34" s="278">
        <f ca="1">IFERROR(__xludf.DUMMYFUNCTION("IMPORTRANGE(""https://docs.google.com/spreadsheets/d/1FvTu2DsIWUjP6WCWra38Bkj_oOl_sOMf14r5Fg5srxU/edit?usp=sharing"",""ชัยภูมิ!J479"")"),0)</f>
        <v>0</v>
      </c>
      <c r="CS34" s="278">
        <f ca="1">IFERROR(__xludf.DUMMYFUNCTION("IMPORTRANGE(""https://docs.google.com/spreadsheets/d/1FvTu2DsIWUjP6WCWra38Bkj_oOl_sOMf14r5Fg5srxU/edit?usp=sharing"",""ชัยภูมิ!J480"")"),0)</f>
        <v>0</v>
      </c>
      <c r="CT34" s="278">
        <f ca="1">IFERROR(__xludf.DUMMYFUNCTION("IMPORTRANGE(""https://docs.google.com/spreadsheets/d/1FvTu2DsIWUjP6WCWra38Bkj_oOl_sOMf14r5Fg5srxU/edit?usp=sharing"",""ชัยภูมิ!J481"")"),0)</f>
        <v>0</v>
      </c>
      <c r="CU34" s="278">
        <f ca="1">IFERROR(__xludf.DUMMYFUNCTION("IMPORTRANGE(""https://docs.google.com/spreadsheets/d/1FvTu2DsIWUjP6WCWra38Bkj_oOl_sOMf14r5Fg5srxU/edit?usp=sharing"",""ชัยภูมิ!I484"")"),90)</f>
        <v>90</v>
      </c>
      <c r="CV34" s="278">
        <f ca="1">IFERROR(__xludf.DUMMYFUNCTION("IMPORTRANGE(""https://docs.google.com/spreadsheets/d/1FvTu2DsIWUjP6WCWra38Bkj_oOl_sOMf14r5Fg5srxU/edit?usp=sharing"",""ชัยภูมิ!I485"")"),5)</f>
        <v>5</v>
      </c>
      <c r="CW34" s="278">
        <f ca="1">IFERROR(__xludf.DUMMYFUNCTION("IMPORTRANGE(""https://docs.google.com/spreadsheets/d/1FvTu2DsIWUjP6WCWra38Bkj_oOl_sOMf14r5Fg5srxU/edit?usp=sharing"",""ชัยภูมิ!J484"")"),0)</f>
        <v>0</v>
      </c>
      <c r="CX34" s="216">
        <f t="shared" ca="1" si="71"/>
        <v>0</v>
      </c>
      <c r="CY34" s="278">
        <f ca="1">IFERROR(__xludf.DUMMYFUNCTION("IMPORTRANGE(""https://docs.google.com/spreadsheets/d/1FvTu2DsIWUjP6WCWra38Bkj_oOl_sOMf14r5Fg5srxU/edit?usp=sharing"",""ชัยภูมิ!J485"")"),0)</f>
        <v>0</v>
      </c>
      <c r="CZ34" s="216">
        <f t="shared" ca="1" si="72"/>
        <v>0</v>
      </c>
      <c r="DA34" s="278">
        <f ca="1">IFERROR(__xludf.DUMMYFUNCTION("IMPORTRANGE(""https://docs.google.com/spreadsheets/d/1FvTu2DsIWUjP6WCWra38Bkj_oOl_sOMf14r5Fg5srxU/edit?usp=sharing"",""ชัยภูมิ!J486"")"),0)</f>
        <v>0</v>
      </c>
      <c r="DB34" s="278">
        <f ca="1">IFERROR(__xludf.DUMMYFUNCTION("IMPORTRANGE(""https://docs.google.com/spreadsheets/d/1FvTu2DsIWUjP6WCWra38Bkj_oOl_sOMf14r5Fg5srxU/edit?usp=sharing"",""ชัยภูมิ!J487"")"),0)</f>
        <v>0</v>
      </c>
      <c r="DC34" s="278">
        <f ca="1">IFERROR(__xludf.DUMMYFUNCTION("IMPORTRANGE(""https://docs.google.com/spreadsheets/d/1FvTu2DsIWUjP6WCWra38Bkj_oOl_sOMf14r5Fg5srxU/edit?usp=sharing"",""ชัยภูมิ!J488"")"),0)</f>
        <v>0</v>
      </c>
      <c r="DD34" s="278">
        <f ca="1">IFERROR(__xludf.DUMMYFUNCTION("IMPORTRANGE(""https://docs.google.com/spreadsheets/d/1FvTu2DsIWUjP6WCWra38Bkj_oOl_sOMf14r5Fg5srxU/edit?usp=sharing"",""ชัยภูมิ!J489"")"),0)</f>
        <v>0</v>
      </c>
      <c r="DE34" s="278">
        <f ca="1">IFERROR(__xludf.DUMMYFUNCTION("IMPORTRANGE(""https://docs.google.com/spreadsheets/d/1FvTu2DsIWUjP6WCWra38Bkj_oOl_sOMf14r5Fg5srxU/edit?usp=sharing"",""ชัยภูมิ!J490"")"),0)</f>
        <v>0</v>
      </c>
      <c r="DF34" s="278">
        <f ca="1">IFERROR(__xludf.DUMMYFUNCTION("IMPORTRANGE(""https://docs.google.com/spreadsheets/d/1FvTu2DsIWUjP6WCWra38Bkj_oOl_sOMf14r5Fg5srxU/edit?usp=sharing"",""ชัยภูมิ!J491"")"),0)</f>
        <v>0</v>
      </c>
    </row>
    <row r="35" spans="1:110" ht="19.5" x14ac:dyDescent="0.3">
      <c r="A35" s="147">
        <v>4</v>
      </c>
      <c r="B35" s="148" t="s">
        <v>63</v>
      </c>
      <c r="C35" s="566">
        <f t="shared" ca="1" si="44"/>
        <v>353960</v>
      </c>
      <c r="D35" s="567">
        <f t="shared" ca="1" si="84"/>
        <v>353960</v>
      </c>
      <c r="E35" s="329">
        <f ca="1">IFERROR(__xludf.DUMMYFUNCTION("IMPORTRANGE(""https://docs.google.com/spreadsheets/d/1-uDff_7J0KD5mKrp0Vvzr7lt3OU09vwQwhkpOPPYv2Y/edit?usp=sharing"",""งบพรบ!IP35"")"),45600)</f>
        <v>45600</v>
      </c>
      <c r="F35" s="329">
        <f ca="1">IFERROR(__xludf.DUMMYFUNCTION("IMPORTRANGE(""https://docs.google.com/spreadsheets/d/1-uDff_7J0KD5mKrp0Vvzr7lt3OU09vwQwhkpOPPYv2Y/edit?usp=sharing"",""งบพรบ!IQ35"")"),308360)</f>
        <v>308360</v>
      </c>
      <c r="G35" s="329">
        <f ca="1">IFERROR(__xludf.DUMMYFUNCTION("IMPORTRANGE(""https://docs.google.com/spreadsheets/d/1-uDff_7J0KD5mKrp0Vvzr7lt3OU09vwQwhkpOPPYv2Y/edit?usp=sharing"",""งบพรบ!IR35"")"),0)</f>
        <v>0</v>
      </c>
      <c r="H35" s="329">
        <f ca="1">IFERROR(__xludf.DUMMYFUNCTION("IMPORTRANGE(""https://docs.google.com/spreadsheets/d/1-uDff_7J0KD5mKrp0Vvzr7lt3OU09vwQwhkpOPPYv2Y/edit?usp=sharing"",""งบพรบ!IT35"")"),353960)</f>
        <v>353960</v>
      </c>
      <c r="I35" s="329">
        <f ca="1">IFERROR(__xludf.DUMMYFUNCTION("IMPORTRANGE(""https://docs.google.com/spreadsheets/d/1-uDff_7J0KD5mKrp0Vvzr7lt3OU09vwQwhkpOPPYv2Y/edit?usp=sharing"",""งบพรบ!IU35"")"),0)</f>
        <v>0</v>
      </c>
      <c r="J35" s="329">
        <f t="shared" ca="1" si="46"/>
        <v>181999.91</v>
      </c>
      <c r="K35" s="568">
        <f t="shared" ca="1" si="47"/>
        <v>51.418213922477115</v>
      </c>
      <c r="L35" s="329">
        <f ca="1">IFERROR(__xludf.DUMMYFUNCTION("IMPORTRANGE(""https://docs.google.com/spreadsheets/d/1-uDff_7J0KD5mKrp0Vvzr7lt3OU09vwQwhkpOPPYv2Y/edit?usp=sharing"",""งบพรบ!IV35"")"),181999.91)</f>
        <v>181999.91</v>
      </c>
      <c r="M35" s="330">
        <f t="shared" ca="1" si="48"/>
        <v>51.418213922477115</v>
      </c>
      <c r="N35" s="330">
        <f t="shared" ca="1" si="49"/>
        <v>51.418213922477115</v>
      </c>
      <c r="O35" s="569">
        <f ca="1">IFERROR(__xludf.DUMMYFUNCTION("IMPORTRANGE(""https://docs.google.com/spreadsheets/d/1-uDff_7J0KD5mKrp0Vvzr7lt3OU09vwQwhkpOPPYv2Y/edit?usp=sharing"",""งบพรบ!IW35"")"),0)</f>
        <v>0</v>
      </c>
      <c r="P35" s="569">
        <f t="shared" ca="1" si="50"/>
        <v>0</v>
      </c>
      <c r="Q35" s="330">
        <f t="shared" ca="1" si="51"/>
        <v>0</v>
      </c>
      <c r="R35" s="564">
        <f ca="1">IFERROR(__xludf.DUMMYFUNCTION("IMPORTRANGE(""https://docs.google.com/spreadsheets/d/1XVB7oCJ3pr-vBUdflwPQ8Z2LlzhnCvZaaYjAfP-647E/edit?usp=sharing"",""นครพนม!Q413"")"),69420)</f>
        <v>69420</v>
      </c>
      <c r="S35" s="564">
        <f ca="1">IFERROR(__xludf.DUMMYFUNCTION("IMPORTRANGE(""https://docs.google.com/spreadsheets/d/1XVB7oCJ3pr-vBUdflwPQ8Z2LlzhnCvZaaYjAfP-647E/edit?usp=sharing"",""นครพนม!R413"")"),69420)</f>
        <v>69420</v>
      </c>
      <c r="T35" s="564">
        <f ca="1">IFERROR(__xludf.DUMMYFUNCTION("IMPORTRANGE(""https://docs.google.com/spreadsheets/d/1XVB7oCJ3pr-vBUdflwPQ8Z2LlzhnCvZaaYjAfP-647E/edit?usp=sharing"",""นครพนม!S413"")"),9178)</f>
        <v>9178</v>
      </c>
      <c r="U35" s="565">
        <f t="shared" ca="1" si="53"/>
        <v>13.220973782771535</v>
      </c>
      <c r="V35" s="565">
        <f t="shared" ca="1" si="54"/>
        <v>13.220973782771535</v>
      </c>
      <c r="W35" s="152">
        <f ca="1">IFERROR(__xludf.DUMMYFUNCTION("IMPORTRANGE(""https://docs.google.com/spreadsheets/d/1XVB7oCJ3pr-vBUdflwPQ8Z2LlzhnCvZaaYjAfP-647E/edit?usp=sharing"",""นครพนม!I424"")"),20420)</f>
        <v>20420</v>
      </c>
      <c r="X35" s="152">
        <f ca="1">IFERROR(__xludf.DUMMYFUNCTION("IMPORTRANGE(""https://docs.google.com/spreadsheets/d/1XVB7oCJ3pr-vBUdflwPQ8Z2LlzhnCvZaaYjAfP-647E/edit?usp=sharing"",""นครพนม!I425"")"),1512)</f>
        <v>1512</v>
      </c>
      <c r="Y35" s="152">
        <f ca="1">IFERROR(__xludf.DUMMYFUNCTION("IMPORTRANGE(""https://docs.google.com/spreadsheets/d/1XVB7oCJ3pr-vBUdflwPQ8Z2LlzhnCvZaaYjAfP-647E/edit?usp=sharing"",""นครพนม!J424"")"),20420)</f>
        <v>20420</v>
      </c>
      <c r="Z35" s="216">
        <f t="shared" ca="1" si="56"/>
        <v>100</v>
      </c>
      <c r="AA35" s="152">
        <f ca="1">IFERROR(__xludf.DUMMYFUNCTION("IMPORTRANGE(""https://docs.google.com/spreadsheets/d/1XVB7oCJ3pr-vBUdflwPQ8Z2LlzhnCvZaaYjAfP-647E/edit?usp=sharing"",""นครพนม!J425"")"),1512)</f>
        <v>1512</v>
      </c>
      <c r="AB35" s="216">
        <f t="shared" ca="1" si="57"/>
        <v>100</v>
      </c>
      <c r="AC35" s="152">
        <f ca="1">IFERROR(__xludf.DUMMYFUNCTION("IMPORTRANGE(""https://docs.google.com/spreadsheets/d/1XVB7oCJ3pr-vBUdflwPQ8Z2LlzhnCvZaaYjAfP-647E/edit?usp=sharing"",""นครพนม!J426"")"),13077)</f>
        <v>13077</v>
      </c>
      <c r="AD35" s="152">
        <f ca="1">IFERROR(__xludf.DUMMYFUNCTION("IMPORTRANGE(""https://docs.google.com/spreadsheets/d/1XVB7oCJ3pr-vBUdflwPQ8Z2LlzhnCvZaaYjAfP-647E/edit?usp=sharing"",""นครพนม!J427"")"),1062)</f>
        <v>1062</v>
      </c>
      <c r="AE35" s="152">
        <f ca="1">IFERROR(__xludf.DUMMYFUNCTION("IMPORTRANGE(""https://docs.google.com/spreadsheets/d/1XVB7oCJ3pr-vBUdflwPQ8Z2LlzhnCvZaaYjAfP-647E/edit?usp=sharing"",""นครพนม!J428"")"),6474)</f>
        <v>6474</v>
      </c>
      <c r="AF35" s="152">
        <f ca="1">IFERROR(__xludf.DUMMYFUNCTION("IMPORTRANGE(""https://docs.google.com/spreadsheets/d/1XVB7oCJ3pr-vBUdflwPQ8Z2LlzhnCvZaaYjAfP-647E/edit?usp=sharing"",""นครพนม!J429"")"),391)</f>
        <v>391</v>
      </c>
      <c r="AG35" s="152">
        <f ca="1">IFERROR(__xludf.DUMMYFUNCTION("IMPORTRANGE(""https://docs.google.com/spreadsheets/d/1XVB7oCJ3pr-vBUdflwPQ8Z2LlzhnCvZaaYjAfP-647E/edit?usp=sharing"",""นครพนม!J430"")"),869)</f>
        <v>869</v>
      </c>
      <c r="AH35" s="152">
        <f ca="1">IFERROR(__xludf.DUMMYFUNCTION("IMPORTRANGE(""https://docs.google.com/spreadsheets/d/1XVB7oCJ3pr-vBUdflwPQ8Z2LlzhnCvZaaYjAfP-647E/edit?usp=sharing"",""นครพนม!J431"")"),59)</f>
        <v>59</v>
      </c>
      <c r="AI35" s="152">
        <f ca="1">IFERROR(__xludf.DUMMYFUNCTION("IMPORTRANGE(""https://docs.google.com/spreadsheets/d/1XVB7oCJ3pr-vBUdflwPQ8Z2LlzhnCvZaaYjAfP-647E/edit?usp=sharing"",""นครพนม!I432"")"),20420)</f>
        <v>20420</v>
      </c>
      <c r="AJ35" s="152">
        <f ca="1">IFERROR(__xludf.DUMMYFUNCTION("IMPORTRANGE(""https://docs.google.com/spreadsheets/d/1XVB7oCJ3pr-vBUdflwPQ8Z2LlzhnCvZaaYjAfP-647E/edit?usp=sharing"",""นครพนม!I433"")"),1512)</f>
        <v>1512</v>
      </c>
      <c r="AK35" s="216">
        <f ca="1">IFERROR(__xludf.DUMMYFUNCTION("IMPORTRANGE(""https://docs.google.com/spreadsheets/d/1XVB7oCJ3pr-vBUdflwPQ8Z2LlzhnCvZaaYjAfP-647E/edit?usp=sharing"",""นครพนม!J432"")"),20419)</f>
        <v>20419</v>
      </c>
      <c r="AL35" s="216">
        <f t="shared" ca="1" si="59"/>
        <v>99.995102840352601</v>
      </c>
      <c r="AM35" s="152">
        <f ca="1">IFERROR(__xludf.DUMMYFUNCTION("IMPORTRANGE(""https://docs.google.com/spreadsheets/d/1XVB7oCJ3pr-vBUdflwPQ8Z2LlzhnCvZaaYjAfP-647E/edit?usp=sharing"",""นครพนม!J433"")"),1512)</f>
        <v>1512</v>
      </c>
      <c r="AN35" s="216">
        <f t="shared" ca="1" si="60"/>
        <v>100</v>
      </c>
      <c r="AO35" s="152">
        <f ca="1">IFERROR(__xludf.DUMMYFUNCTION("IMPORTRANGE(""https://docs.google.com/spreadsheets/d/1XVB7oCJ3pr-vBUdflwPQ8Z2LlzhnCvZaaYjAfP-647E/edit?usp=sharing"",""นครพนม!J434"")"),12833)</f>
        <v>12833</v>
      </c>
      <c r="AP35" s="152">
        <f ca="1">IFERROR(__xludf.DUMMYFUNCTION("IMPORTRANGE(""https://docs.google.com/spreadsheets/d/1XVB7oCJ3pr-vBUdflwPQ8Z2LlzhnCvZaaYjAfP-647E/edit?usp=sharing"",""นครพนม!J435"")"),1052)</f>
        <v>1052</v>
      </c>
      <c r="AQ35" s="152">
        <f ca="1">IFERROR(__xludf.DUMMYFUNCTION("IMPORTRANGE(""https://docs.google.com/spreadsheets/d/1XVB7oCJ3pr-vBUdflwPQ8Z2LlzhnCvZaaYjAfP-647E/edit?usp=sharing"",""นครพนม!J436"")"),6717)</f>
        <v>6717</v>
      </c>
      <c r="AR35" s="152">
        <f ca="1">IFERROR(__xludf.DUMMYFUNCTION("IMPORTRANGE(""https://docs.google.com/spreadsheets/d/1XVB7oCJ3pr-vBUdflwPQ8Z2LlzhnCvZaaYjAfP-647E/edit?usp=sharing"",""นครพนม!J437"")"),401)</f>
        <v>401</v>
      </c>
      <c r="AS35" s="152">
        <f ca="1">IFERROR(__xludf.DUMMYFUNCTION("IMPORTRANGE(""https://docs.google.com/spreadsheets/d/1XVB7oCJ3pr-vBUdflwPQ8Z2LlzhnCvZaaYjAfP-647E/edit?usp=sharing"",""นครพนม!J438"")"),869)</f>
        <v>869</v>
      </c>
      <c r="AT35" s="152">
        <f ca="1">IFERROR(__xludf.DUMMYFUNCTION("IMPORTRANGE(""https://docs.google.com/spreadsheets/d/1XVB7oCJ3pr-vBUdflwPQ8Z2LlzhnCvZaaYjAfP-647E/edit?usp=sharing"",""นครพนม!J439"")"),59)</f>
        <v>59</v>
      </c>
      <c r="AU35" s="152">
        <f ca="1">IFERROR(__xludf.DUMMYFUNCTION("IMPORTRANGE(""https://docs.google.com/spreadsheets/d/1XVB7oCJ3pr-vBUdflwPQ8Z2LlzhnCvZaaYjAfP-647E/edit?usp=sharing"",""นครพนม!I440"")"),20420)</f>
        <v>20420</v>
      </c>
      <c r="AV35" s="152">
        <f ca="1">IFERROR(__xludf.DUMMYFUNCTION("IMPORTRANGE(""https://docs.google.com/spreadsheets/d/1XVB7oCJ3pr-vBUdflwPQ8Z2LlzhnCvZaaYjAfP-647E/edit?usp=sharing"",""นครพนม!I441"")"),1512)</f>
        <v>1512</v>
      </c>
      <c r="AW35" s="152">
        <f ca="1">IFERROR(__xludf.DUMMYFUNCTION("IMPORTRANGE(""https://docs.google.com/spreadsheets/d/1XVB7oCJ3pr-vBUdflwPQ8Z2LlzhnCvZaaYjAfP-647E/edit?usp=sharing"",""นครพนม!J440"")"),12833)</f>
        <v>12833</v>
      </c>
      <c r="AX35" s="216">
        <f t="shared" ca="1" si="62"/>
        <v>62.845249755142021</v>
      </c>
      <c r="AY35" s="152">
        <f ca="1">IFERROR(__xludf.DUMMYFUNCTION("IMPORTRANGE(""https://docs.google.com/spreadsheets/d/1XVB7oCJ3pr-vBUdflwPQ8Z2LlzhnCvZaaYjAfP-647E/edit?usp=sharing"",""นครพนม!J441"")"),1052)</f>
        <v>1052</v>
      </c>
      <c r="AZ35" s="216">
        <f t="shared" ca="1" si="63"/>
        <v>69.576719576719583</v>
      </c>
      <c r="BA35" s="152">
        <f ca="1">IFERROR(__xludf.DUMMYFUNCTION("IMPORTRANGE(""https://docs.google.com/spreadsheets/d/1XVB7oCJ3pr-vBUdflwPQ8Z2LlzhnCvZaaYjAfP-647E/edit?usp=sharing"",""นครพนม!J442"")"),12833)</f>
        <v>12833</v>
      </c>
      <c r="BB35" s="152">
        <f ca="1">IFERROR(__xludf.DUMMYFUNCTION("IMPORTRANGE(""https://docs.google.com/spreadsheets/d/1XVB7oCJ3pr-vBUdflwPQ8Z2LlzhnCvZaaYjAfP-647E/edit?usp=sharing"",""นครพนม!J443"")"),1052)</f>
        <v>1052</v>
      </c>
      <c r="BC35" s="152">
        <f ca="1">IFERROR(__xludf.DUMMYFUNCTION("IMPORTRANGE(""https://docs.google.com/spreadsheets/d/1XVB7oCJ3pr-vBUdflwPQ8Z2LlzhnCvZaaYjAfP-647E/edit?usp=sharing"",""นครพนม!J444"")"),0)</f>
        <v>0</v>
      </c>
      <c r="BD35" s="152">
        <f ca="1">IFERROR(__xludf.DUMMYFUNCTION("IMPORTRANGE(""https://docs.google.com/spreadsheets/d/1XVB7oCJ3pr-vBUdflwPQ8Z2LlzhnCvZaaYjAfP-647E/edit?usp=sharing"",""นครพนม!J445"")"),0)</f>
        <v>0</v>
      </c>
      <c r="BE35" s="152">
        <f ca="1">IFERROR(__xludf.DUMMYFUNCTION("IMPORTRANGE(""https://docs.google.com/spreadsheets/d/1XVB7oCJ3pr-vBUdflwPQ8Z2LlzhnCvZaaYjAfP-647E/edit?usp=sharing"",""นครพนม!J446"")"),0)</f>
        <v>0</v>
      </c>
      <c r="BF35" s="152">
        <f ca="1">IFERROR(__xludf.DUMMYFUNCTION("IMPORTRANGE(""https://docs.google.com/spreadsheets/d/1XVB7oCJ3pr-vBUdflwPQ8Z2LlzhnCvZaaYjAfP-647E/edit?usp=sharing"",""นครพนม!J447"")"),0)</f>
        <v>0</v>
      </c>
      <c r="BG35" s="152">
        <f ca="1">IFERROR(__xludf.DUMMYFUNCTION("IMPORTRANGE(""https://docs.google.com/spreadsheets/d/1XVB7oCJ3pr-vBUdflwPQ8Z2LlzhnCvZaaYjAfP-647E/edit?usp=sharing"",""นครพนม!J448"")"),0)</f>
        <v>0</v>
      </c>
      <c r="BH35" s="152">
        <f ca="1">IFERROR(__xludf.DUMMYFUNCTION("IMPORTRANGE(""https://docs.google.com/spreadsheets/d/1XVB7oCJ3pr-vBUdflwPQ8Z2LlzhnCvZaaYjAfP-647E/edit?usp=sharing"",""นครพนม!J449"")"),0)</f>
        <v>0</v>
      </c>
      <c r="BI35" s="152">
        <f ca="1">IFERROR(__xludf.DUMMYFUNCTION("IMPORTRANGE(""https://docs.google.com/spreadsheets/d/1XVB7oCJ3pr-vBUdflwPQ8Z2LlzhnCvZaaYjAfP-647E/edit?usp=sharing"",""นครพนม!J450"")"),0)</f>
        <v>0</v>
      </c>
      <c r="BJ35" s="152">
        <f ca="1">IFERROR(__xludf.DUMMYFUNCTION("IMPORTRANGE(""https://docs.google.com/spreadsheets/d/1XVB7oCJ3pr-vBUdflwPQ8Z2LlzhnCvZaaYjAfP-647E/edit?usp=sharing"",""นครพนม!J451"")"),0)</f>
        <v>0</v>
      </c>
      <c r="BK35" s="152">
        <f ca="1">IFERROR(__xludf.DUMMYFUNCTION("IMPORTRANGE(""https://docs.google.com/spreadsheets/d/1XVB7oCJ3pr-vBUdflwPQ8Z2LlzhnCvZaaYjAfP-647E/edit?usp=sharing"",""นครพนม!J452"")"),0)</f>
        <v>0</v>
      </c>
      <c r="BL35" s="152">
        <f ca="1">IFERROR(__xludf.DUMMYFUNCTION("IMPORTRANGE(""https://docs.google.com/spreadsheets/d/1XVB7oCJ3pr-vBUdflwPQ8Z2LlzhnCvZaaYjAfP-647E/edit?usp=sharing"",""นครพนม!J453"")"),0)</f>
        <v>0</v>
      </c>
      <c r="BM35" s="152">
        <f ca="1">IFERROR(__xludf.DUMMYFUNCTION("IMPORTRANGE(""https://docs.google.com/spreadsheets/d/1XVB7oCJ3pr-vBUdflwPQ8Z2LlzhnCvZaaYjAfP-647E/edit?usp=sharing"",""นครพนม!J454"")"),0)</f>
        <v>0</v>
      </c>
      <c r="BN35" s="152">
        <f ca="1">IFERROR(__xludf.DUMMYFUNCTION("IMPORTRANGE(""https://docs.google.com/spreadsheets/d/1XVB7oCJ3pr-vBUdflwPQ8Z2LlzhnCvZaaYjAfP-647E/edit?usp=sharing"",""นครพนม!J455"")"),0)</f>
        <v>0</v>
      </c>
      <c r="BO35" s="152">
        <f ca="1">IFERROR(__xludf.DUMMYFUNCTION("IMPORTRANGE(""https://docs.google.com/spreadsheets/d/1XVB7oCJ3pr-vBUdflwPQ8Z2LlzhnCvZaaYjAfP-647E/edit?usp=sharing"",""นครพนม!I457"")"),14385.62)</f>
        <v>14385.62</v>
      </c>
      <c r="BP35" s="152">
        <f ca="1">IFERROR(__xludf.DUMMYFUNCTION("IMPORTRANGE(""https://docs.google.com/spreadsheets/d/1XVB7oCJ3pr-vBUdflwPQ8Z2LlzhnCvZaaYjAfP-647E/edit?usp=sharing"",""นครพนม!I458"")"),878)</f>
        <v>878</v>
      </c>
      <c r="BQ35" s="152">
        <f ca="1">IFERROR(__xludf.DUMMYFUNCTION("IMPORTRANGE(""https://docs.google.com/spreadsheets/d/1XVB7oCJ3pr-vBUdflwPQ8Z2LlzhnCvZaaYjAfP-647E/edit?usp=sharing"",""นครพนม!J457"")"),8129)</f>
        <v>8129</v>
      </c>
      <c r="BR35" s="216">
        <f t="shared" ca="1" si="65"/>
        <v>56.50781822403205</v>
      </c>
      <c r="BS35" s="152">
        <f ca="1">IFERROR(__xludf.DUMMYFUNCTION("IMPORTRANGE(""https://docs.google.com/spreadsheets/d/1XVB7oCJ3pr-vBUdflwPQ8Z2LlzhnCvZaaYjAfP-647E/edit?usp=sharing"",""นครพนม!J458"")"),461)</f>
        <v>461</v>
      </c>
      <c r="BT35" s="216">
        <f t="shared" ca="1" si="66"/>
        <v>52.505694760820049</v>
      </c>
      <c r="BU35" s="152">
        <f ca="1">IFERROR(__xludf.DUMMYFUNCTION("IMPORTRANGE(""https://docs.google.com/spreadsheets/d/1XVB7oCJ3pr-vBUdflwPQ8Z2LlzhnCvZaaYjAfP-647E/edit?usp=sharing"",""นครพนม!J459"")"),7385)</f>
        <v>7385</v>
      </c>
      <c r="BV35" s="152">
        <f ca="1">IFERROR(__xludf.DUMMYFUNCTION("IMPORTRANGE(""https://docs.google.com/spreadsheets/d/1XVB7oCJ3pr-vBUdflwPQ8Z2LlzhnCvZaaYjAfP-647E/edit?usp=sharing"",""นครพนม!J460"")"),419)</f>
        <v>419</v>
      </c>
      <c r="BW35" s="152">
        <f ca="1">IFERROR(__xludf.DUMMYFUNCTION("IMPORTRANGE(""https://docs.google.com/spreadsheets/d/1XVB7oCJ3pr-vBUdflwPQ8Z2LlzhnCvZaaYjAfP-647E/edit?usp=sharing"",""นครพนม!J461"")"),4404)</f>
        <v>4404</v>
      </c>
      <c r="BX35" s="152">
        <f ca="1">IFERROR(__xludf.DUMMYFUNCTION("IMPORTRANGE(""https://docs.google.com/spreadsheets/d/1XVB7oCJ3pr-vBUdflwPQ8Z2LlzhnCvZaaYjAfP-647E/edit?usp=sharing"",""นครพนม!J462"")"),281)</f>
        <v>281</v>
      </c>
      <c r="BY35" s="152">
        <f ca="1">IFERROR(__xludf.DUMMYFUNCTION("IMPORTRANGE(""https://docs.google.com/spreadsheets/d/1XVB7oCJ3pr-vBUdflwPQ8Z2LlzhnCvZaaYjAfP-647E/edit?usp=sharing"",""นครพนม!J463"")"),2981)</f>
        <v>2981</v>
      </c>
      <c r="BZ35" s="152">
        <f ca="1">IFERROR(__xludf.DUMMYFUNCTION("IMPORTRANGE(""https://docs.google.com/spreadsheets/d/1XVB7oCJ3pr-vBUdflwPQ8Z2LlzhnCvZaaYjAfP-647E/edit?usp=sharing"",""นครพนม!J464"")"),138)</f>
        <v>138</v>
      </c>
      <c r="CA35" s="152">
        <f ca="1">IFERROR(__xludf.DUMMYFUNCTION("IMPORTRANGE(""https://docs.google.com/spreadsheets/d/1XVB7oCJ3pr-vBUdflwPQ8Z2LlzhnCvZaaYjAfP-647E/edit?usp=sharing"",""นครพนม!J465"")"),0)</f>
        <v>0</v>
      </c>
      <c r="CB35" s="152">
        <f ca="1">IFERROR(__xludf.DUMMYFUNCTION("IMPORTRANGE(""https://docs.google.com/spreadsheets/d/1XVB7oCJ3pr-vBUdflwPQ8Z2LlzhnCvZaaYjAfP-647E/edit?usp=sharing"",""นครพนม!J466"")"),0)</f>
        <v>0</v>
      </c>
      <c r="CC35" s="152">
        <f ca="1">IFERROR(__xludf.DUMMYFUNCTION("IMPORTRANGE(""https://docs.google.com/spreadsheets/d/1XVB7oCJ3pr-vBUdflwPQ8Z2LlzhnCvZaaYjAfP-647E/edit?usp=sharing"",""นครพนม!J467"")"),744)</f>
        <v>744</v>
      </c>
      <c r="CD35" s="152">
        <f ca="1">IFERROR(__xludf.DUMMYFUNCTION("IMPORTRANGE(""https://docs.google.com/spreadsheets/d/1XVB7oCJ3pr-vBUdflwPQ8Z2LlzhnCvZaaYjAfP-647E/edit?usp=sharing"",""นครพนม!J468"")"),42)</f>
        <v>42</v>
      </c>
      <c r="CE35" s="152">
        <f ca="1">IFERROR(__xludf.DUMMYFUNCTION("IMPORTRANGE(""https://docs.google.com/spreadsheets/d/1XVB7oCJ3pr-vBUdflwPQ8Z2LlzhnCvZaaYjAfP-647E/edit?usp=sharing"",""นครพนม!J469"")"),461)</f>
        <v>461</v>
      </c>
      <c r="CF35" s="152">
        <f ca="1">IFERROR(__xludf.DUMMYFUNCTION("IMPORTRANGE(""https://docs.google.com/spreadsheets/d/1XVB7oCJ3pr-vBUdflwPQ8Z2LlzhnCvZaaYjAfP-647E/edit?usp=sharing"",""นครพนม!J470"")"),30)</f>
        <v>30</v>
      </c>
      <c r="CG35" s="152">
        <f ca="1">IFERROR(__xludf.DUMMYFUNCTION("IMPORTRANGE(""https://docs.google.com/spreadsheets/d/1XVB7oCJ3pr-vBUdflwPQ8Z2LlzhnCvZaaYjAfP-647E/edit?usp=sharing"",""นครพนม!J471"")"),283)</f>
        <v>283</v>
      </c>
      <c r="CH35" s="152">
        <f ca="1">IFERROR(__xludf.DUMMYFUNCTION("IMPORTRANGE(""https://docs.google.com/spreadsheets/d/1XVB7oCJ3pr-vBUdflwPQ8Z2LlzhnCvZaaYjAfP-647E/edit?usp=sharing"",""นครพนม!J472"")"),12)</f>
        <v>12</v>
      </c>
      <c r="CI35" s="152">
        <f ca="1">IFERROR(__xludf.DUMMYFUNCTION("IMPORTRANGE(""https://docs.google.com/spreadsheets/d/1XVB7oCJ3pr-vBUdflwPQ8Z2LlzhnCvZaaYjAfP-647E/edit?usp=sharing"",""นครพนม!J473"")"),0)</f>
        <v>0</v>
      </c>
      <c r="CJ35" s="152">
        <f ca="1">IFERROR(__xludf.DUMMYFUNCTION("IMPORTRANGE(""https://docs.google.com/spreadsheets/d/1XVB7oCJ3pr-vBUdflwPQ8Z2LlzhnCvZaaYjAfP-647E/edit?usp=sharing"",""นครพนม!J474"")"),0)</f>
        <v>0</v>
      </c>
      <c r="CK35" s="278">
        <f ca="1">IFERROR(__xludf.DUMMYFUNCTION("IMPORTRANGE(""https://docs.google.com/spreadsheets/d/1XVB7oCJ3pr-vBUdflwPQ8Z2LlzhnCvZaaYjAfP-647E/edit?usp=sharing"",""นครพนม!I476"")"),0)</f>
        <v>0</v>
      </c>
      <c r="CL35" s="278">
        <f ca="1">IFERROR(__xludf.DUMMYFUNCTION("IMPORTRANGE(""https://docs.google.com/spreadsheets/d/1XVB7oCJ3pr-vBUdflwPQ8Z2LlzhnCvZaaYjAfP-647E/edit?usp=sharing"",""นครพนม!I477"")"),0)</f>
        <v>0</v>
      </c>
      <c r="CM35" s="278">
        <f ca="1">IFERROR(__xludf.DUMMYFUNCTION("IMPORTRANGE(""https://docs.google.com/spreadsheets/d/1XVB7oCJ3pr-vBUdflwPQ8Z2LlzhnCvZaaYjAfP-647E/edit?usp=sharing"",""นครพนม!J476"")"),0)</f>
        <v>0</v>
      </c>
      <c r="CN35" s="216">
        <f t="shared" ca="1" si="68"/>
        <v>0</v>
      </c>
      <c r="CO35" s="278">
        <f ca="1">IFERROR(__xludf.DUMMYFUNCTION("IMPORTRANGE(""https://docs.google.com/spreadsheets/d/1XVB7oCJ3pr-vBUdflwPQ8Z2LlzhnCvZaaYjAfP-647E/edit?usp=sharing"",""นครพนม!J477"")"),0)</f>
        <v>0</v>
      </c>
      <c r="CP35" s="216">
        <f t="shared" ca="1" si="69"/>
        <v>0</v>
      </c>
      <c r="CQ35" s="278">
        <f ca="1">IFERROR(__xludf.DUMMYFUNCTION("IMPORTRANGE(""https://docs.google.com/spreadsheets/d/1XVB7oCJ3pr-vBUdflwPQ8Z2LlzhnCvZaaYjAfP-647E/edit?usp=sharing"",""นครพนม!J478"")"),0)</f>
        <v>0</v>
      </c>
      <c r="CR35" s="278">
        <f ca="1">IFERROR(__xludf.DUMMYFUNCTION("IMPORTRANGE(""https://docs.google.com/spreadsheets/d/1XVB7oCJ3pr-vBUdflwPQ8Z2LlzhnCvZaaYjAfP-647E/edit?usp=sharing"",""นครพนม!J479"")"),0)</f>
        <v>0</v>
      </c>
      <c r="CS35" s="278">
        <f ca="1">IFERROR(__xludf.DUMMYFUNCTION("IMPORTRANGE(""https://docs.google.com/spreadsheets/d/1XVB7oCJ3pr-vBUdflwPQ8Z2LlzhnCvZaaYjAfP-647E/edit?usp=sharing"",""นครพนม!J480"")"),0)</f>
        <v>0</v>
      </c>
      <c r="CT35" s="278">
        <f ca="1">IFERROR(__xludf.DUMMYFUNCTION("IMPORTRANGE(""https://docs.google.com/spreadsheets/d/1XVB7oCJ3pr-vBUdflwPQ8Z2LlzhnCvZaaYjAfP-647E/edit?usp=sharing"",""นครพนม!J481"")"),0)</f>
        <v>0</v>
      </c>
      <c r="CU35" s="278">
        <f ca="1">IFERROR(__xludf.DUMMYFUNCTION("IMPORTRANGE(""https://docs.google.com/spreadsheets/d/1XVB7oCJ3pr-vBUdflwPQ8Z2LlzhnCvZaaYjAfP-647E/edit?usp=sharing"",""นครพนม!I484"")"),0)</f>
        <v>0</v>
      </c>
      <c r="CV35" s="278">
        <f ca="1">IFERROR(__xludf.DUMMYFUNCTION("IMPORTRANGE(""https://docs.google.com/spreadsheets/d/1XVB7oCJ3pr-vBUdflwPQ8Z2LlzhnCvZaaYjAfP-647E/edit?usp=sharing"",""นครพนม!I485"")"),0)</f>
        <v>0</v>
      </c>
      <c r="CW35" s="278">
        <f ca="1">IFERROR(__xludf.DUMMYFUNCTION("IMPORTRANGE(""https://docs.google.com/spreadsheets/d/1XVB7oCJ3pr-vBUdflwPQ8Z2LlzhnCvZaaYjAfP-647E/edit?usp=sharing"",""นครพนม!J484"")"),0)</f>
        <v>0</v>
      </c>
      <c r="CX35" s="216">
        <f t="shared" ca="1" si="71"/>
        <v>0</v>
      </c>
      <c r="CY35" s="278">
        <f ca="1">IFERROR(__xludf.DUMMYFUNCTION("IMPORTRANGE(""https://docs.google.com/spreadsheets/d/1XVB7oCJ3pr-vBUdflwPQ8Z2LlzhnCvZaaYjAfP-647E/edit?usp=sharing"",""นครพนม!J485"")"),0)</f>
        <v>0</v>
      </c>
      <c r="CZ35" s="216">
        <f t="shared" ca="1" si="72"/>
        <v>0</v>
      </c>
      <c r="DA35" s="278">
        <f ca="1">IFERROR(__xludf.DUMMYFUNCTION("IMPORTRANGE(""https://docs.google.com/spreadsheets/d/1XVB7oCJ3pr-vBUdflwPQ8Z2LlzhnCvZaaYjAfP-647E/edit?usp=sharing"",""นครพนม!J486"")"),0)</f>
        <v>0</v>
      </c>
      <c r="DB35" s="278">
        <f ca="1">IFERROR(__xludf.DUMMYFUNCTION("IMPORTRANGE(""https://docs.google.com/spreadsheets/d/1XVB7oCJ3pr-vBUdflwPQ8Z2LlzhnCvZaaYjAfP-647E/edit?usp=sharing"",""นครพนม!J487"")"),0)</f>
        <v>0</v>
      </c>
      <c r="DC35" s="278">
        <f ca="1">IFERROR(__xludf.DUMMYFUNCTION("IMPORTRANGE(""https://docs.google.com/spreadsheets/d/1XVB7oCJ3pr-vBUdflwPQ8Z2LlzhnCvZaaYjAfP-647E/edit?usp=sharing"",""นครพนม!J488"")"),0)</f>
        <v>0</v>
      </c>
      <c r="DD35" s="278">
        <f ca="1">IFERROR(__xludf.DUMMYFUNCTION("IMPORTRANGE(""https://docs.google.com/spreadsheets/d/1XVB7oCJ3pr-vBUdflwPQ8Z2LlzhnCvZaaYjAfP-647E/edit?usp=sharing"",""นครพนม!J489"")"),0)</f>
        <v>0</v>
      </c>
      <c r="DE35" s="278">
        <f ca="1">IFERROR(__xludf.DUMMYFUNCTION("IMPORTRANGE(""https://docs.google.com/spreadsheets/d/1XVB7oCJ3pr-vBUdflwPQ8Z2LlzhnCvZaaYjAfP-647E/edit?usp=sharing"",""นครพนม!J490"")"),0)</f>
        <v>0</v>
      </c>
      <c r="DF35" s="278">
        <f ca="1">IFERROR(__xludf.DUMMYFUNCTION("IMPORTRANGE(""https://docs.google.com/spreadsheets/d/1XVB7oCJ3pr-vBUdflwPQ8Z2LlzhnCvZaaYjAfP-647E/edit?usp=sharing"",""นครพนม!J491"")"),0)</f>
        <v>0</v>
      </c>
    </row>
    <row r="36" spans="1:110" ht="19.5" x14ac:dyDescent="0.3">
      <c r="A36" s="147">
        <v>5</v>
      </c>
      <c r="B36" s="148" t="s">
        <v>64</v>
      </c>
      <c r="C36" s="566">
        <f t="shared" ca="1" si="44"/>
        <v>845250</v>
      </c>
      <c r="D36" s="567">
        <f t="shared" ca="1" si="84"/>
        <v>845250</v>
      </c>
      <c r="E36" s="329">
        <f ca="1">IFERROR(__xludf.DUMMYFUNCTION("IMPORTRANGE(""https://docs.google.com/spreadsheets/d/1-uDff_7J0KD5mKrp0Vvzr7lt3OU09vwQwhkpOPPYv2Y/edit?usp=sharing"",""งบพรบ!IP36"")"),334800)</f>
        <v>334800</v>
      </c>
      <c r="F36" s="329">
        <f ca="1">IFERROR(__xludf.DUMMYFUNCTION("IMPORTRANGE(""https://docs.google.com/spreadsheets/d/1-uDff_7J0KD5mKrp0Vvzr7lt3OU09vwQwhkpOPPYv2Y/edit?usp=sharing"",""งบพรบ!IQ36"")"),510450)</f>
        <v>510450</v>
      </c>
      <c r="G36" s="329">
        <f ca="1">IFERROR(__xludf.DUMMYFUNCTION("IMPORTRANGE(""https://docs.google.com/spreadsheets/d/1-uDff_7J0KD5mKrp0Vvzr7lt3OU09vwQwhkpOPPYv2Y/edit?usp=sharing"",""งบพรบ!IR36"")"),0)</f>
        <v>0</v>
      </c>
      <c r="H36" s="329">
        <f ca="1">IFERROR(__xludf.DUMMYFUNCTION("IMPORTRANGE(""https://docs.google.com/spreadsheets/d/1-uDff_7J0KD5mKrp0Vvzr7lt3OU09vwQwhkpOPPYv2Y/edit?usp=sharing"",""งบพรบ!IT36"")"),848250)</f>
        <v>848250</v>
      </c>
      <c r="I36" s="329">
        <f ca="1">IFERROR(__xludf.DUMMYFUNCTION("IMPORTRANGE(""https://docs.google.com/spreadsheets/d/1-uDff_7J0KD5mKrp0Vvzr7lt3OU09vwQwhkpOPPYv2Y/edit?usp=sharing"",""งบพรบ!IU36"")"),0)</f>
        <v>0</v>
      </c>
      <c r="J36" s="329">
        <f t="shared" ca="1" si="46"/>
        <v>217238.24</v>
      </c>
      <c r="K36" s="568">
        <f t="shared" ca="1" si="47"/>
        <v>25.701063590653654</v>
      </c>
      <c r="L36" s="329">
        <f ca="1">IFERROR(__xludf.DUMMYFUNCTION("IMPORTRANGE(""https://docs.google.com/spreadsheets/d/1-uDff_7J0KD5mKrp0Vvzr7lt3OU09vwQwhkpOPPYv2Y/edit?usp=sharing"",""งบพรบ!IV36"")"),217238.24)</f>
        <v>217238.24</v>
      </c>
      <c r="M36" s="330">
        <f t="shared" ca="1" si="48"/>
        <v>25.701063590653654</v>
      </c>
      <c r="N36" s="330">
        <f t="shared" ca="1" si="49"/>
        <v>25.610166814028883</v>
      </c>
      <c r="O36" s="569">
        <f ca="1">IFERROR(__xludf.DUMMYFUNCTION("IMPORTRANGE(""https://docs.google.com/spreadsheets/d/1-uDff_7J0KD5mKrp0Vvzr7lt3OU09vwQwhkpOPPYv2Y/edit?usp=sharing"",""งบพรบ!IW36"")"),0)</f>
        <v>0</v>
      </c>
      <c r="P36" s="569">
        <f t="shared" ca="1" si="50"/>
        <v>0</v>
      </c>
      <c r="Q36" s="330">
        <f t="shared" ca="1" si="51"/>
        <v>0</v>
      </c>
      <c r="R36" s="564">
        <f ca="1">IFERROR(__xludf.DUMMYFUNCTION("IMPORTRANGE(""https://docs.google.com/spreadsheets/d/1Mnpb-8PYAgn85W6KOTD40hc_Xc55CaLfHoGAbrZ8tls/edit?usp=sharing"",""นครราชสีมา!Q413"")"),84010)</f>
        <v>84010</v>
      </c>
      <c r="S36" s="564">
        <f ca="1">IFERROR(__xludf.DUMMYFUNCTION("IMPORTRANGE(""https://docs.google.com/spreadsheets/d/1Mnpb-8PYAgn85W6KOTD40hc_Xc55CaLfHoGAbrZ8tls/edit?usp=sharing"",""นครราชสีมา!R413"")"),84010)</f>
        <v>84010</v>
      </c>
      <c r="T36" s="564">
        <f ca="1">IFERROR(__xludf.DUMMYFUNCTION("IMPORTRANGE(""https://docs.google.com/spreadsheets/d/1Mnpb-8PYAgn85W6KOTD40hc_Xc55CaLfHoGAbrZ8tls/edit?usp=sharing"",""นครราชสีมา!S413"")"),450)</f>
        <v>450</v>
      </c>
      <c r="U36" s="565">
        <f t="shared" ca="1" si="53"/>
        <v>0.53565051779550055</v>
      </c>
      <c r="V36" s="565">
        <f t="shared" ca="1" si="54"/>
        <v>0.53565051779550055</v>
      </c>
      <c r="W36" s="397">
        <f ca="1">IFERROR(__xludf.DUMMYFUNCTION("IMPORTRANGE(""https://docs.google.com/spreadsheets/d/1Mnpb-8PYAgn85W6KOTD40hc_Xc55CaLfHoGAbrZ8tls/edit?usp=sharing"",""นครราชสีมา!I424"")"),100958)</f>
        <v>100958</v>
      </c>
      <c r="X36" s="397">
        <f ca="1">IFERROR(__xludf.DUMMYFUNCTION("IMPORTRANGE(""https://docs.google.com/spreadsheets/d/1Mnpb-8PYAgn85W6KOTD40hc_Xc55CaLfHoGAbrZ8tls/edit?usp=sharing"",""นครราชสีมา!I425"")"),10846)</f>
        <v>10846</v>
      </c>
      <c r="Y36" s="397">
        <f ca="1">IFERROR(__xludf.DUMMYFUNCTION("IMPORTRANGE(""https://docs.google.com/spreadsheets/d/1Mnpb-8PYAgn85W6KOTD40hc_Xc55CaLfHoGAbrZ8tls/edit?usp=sharing"",""นครราชสีมา!J424"")"),0)</f>
        <v>0</v>
      </c>
      <c r="Z36" s="216">
        <f t="shared" ca="1" si="56"/>
        <v>0</v>
      </c>
      <c r="AA36" s="397">
        <f ca="1">IFERROR(__xludf.DUMMYFUNCTION("IMPORTRANGE(""https://docs.google.com/spreadsheets/d/1Mnpb-8PYAgn85W6KOTD40hc_Xc55CaLfHoGAbrZ8tls/edit?usp=sharing"",""นครราชสีมา!J425"")"),0)</f>
        <v>0</v>
      </c>
      <c r="AB36" s="216">
        <f t="shared" ca="1" si="57"/>
        <v>0</v>
      </c>
      <c r="AC36" s="397">
        <f ca="1">IFERROR(__xludf.DUMMYFUNCTION("IMPORTRANGE(""https://docs.google.com/spreadsheets/d/1Mnpb-8PYAgn85W6KOTD40hc_Xc55CaLfHoGAbrZ8tls/edit?usp=sharing"",""นครราชสีมา!J426"")"),0)</f>
        <v>0</v>
      </c>
      <c r="AD36" s="397">
        <f ca="1">IFERROR(__xludf.DUMMYFUNCTION("IMPORTRANGE(""https://docs.google.com/spreadsheets/d/1Mnpb-8PYAgn85W6KOTD40hc_Xc55CaLfHoGAbrZ8tls/edit?usp=sharing"",""นครราชสีมา!J427"")"),0)</f>
        <v>0</v>
      </c>
      <c r="AE36" s="397">
        <f ca="1">IFERROR(__xludf.DUMMYFUNCTION("IMPORTRANGE(""https://docs.google.com/spreadsheets/d/1Mnpb-8PYAgn85W6KOTD40hc_Xc55CaLfHoGAbrZ8tls/edit?usp=sharing"",""นครราชสีมา!J428"")"),0)</f>
        <v>0</v>
      </c>
      <c r="AF36" s="397">
        <f ca="1">IFERROR(__xludf.DUMMYFUNCTION("IMPORTRANGE(""https://docs.google.com/spreadsheets/d/1Mnpb-8PYAgn85W6KOTD40hc_Xc55CaLfHoGAbrZ8tls/edit?usp=sharing"",""นครราชสีมา!J429"")"),0)</f>
        <v>0</v>
      </c>
      <c r="AG36" s="397">
        <f ca="1">IFERROR(__xludf.DUMMYFUNCTION("IMPORTRANGE(""https://docs.google.com/spreadsheets/d/1Mnpb-8PYAgn85W6KOTD40hc_Xc55CaLfHoGAbrZ8tls/edit?usp=sharing"",""นครราชสีมา!J430"")"),0)</f>
        <v>0</v>
      </c>
      <c r="AH36" s="397">
        <f ca="1">IFERROR(__xludf.DUMMYFUNCTION("IMPORTRANGE(""https://docs.google.com/spreadsheets/d/1Mnpb-8PYAgn85W6KOTD40hc_Xc55CaLfHoGAbrZ8tls/edit?usp=sharing"",""นครราชสีมา!J431"")"),0)</f>
        <v>0</v>
      </c>
      <c r="AI36" s="152">
        <f ca="1">IFERROR(__xludf.DUMMYFUNCTION("IMPORTRANGE(""https://docs.google.com/spreadsheets/d/1Mnpb-8PYAgn85W6KOTD40hc_Xc55CaLfHoGAbrZ8tls/edit?usp=sharing"",""นครราชสีมา!I432"")"),100958)</f>
        <v>100958</v>
      </c>
      <c r="AJ36" s="152">
        <f ca="1">IFERROR(__xludf.DUMMYFUNCTION("IMPORTRANGE(""https://docs.google.com/spreadsheets/d/1Mnpb-8PYAgn85W6KOTD40hc_Xc55CaLfHoGAbrZ8tls/edit?usp=sharing"",""นครราชสีมา!I433"")"),10846)</f>
        <v>10846</v>
      </c>
      <c r="AK36" s="216">
        <f ca="1">IFERROR(__xludf.DUMMYFUNCTION("IMPORTRANGE(""https://docs.google.com/spreadsheets/d/1Mnpb-8PYAgn85W6KOTD40hc_Xc55CaLfHoGAbrZ8tls/edit?usp=sharing"",""นครราชสีมา!J432"")"),0)</f>
        <v>0</v>
      </c>
      <c r="AL36" s="216">
        <f t="shared" ca="1" si="59"/>
        <v>0</v>
      </c>
      <c r="AM36" s="152">
        <f ca="1">IFERROR(__xludf.DUMMYFUNCTION("IMPORTRANGE(""https://docs.google.com/spreadsheets/d/1Mnpb-8PYAgn85W6KOTD40hc_Xc55CaLfHoGAbrZ8tls/edit?usp=sharing"",""นครราชสีมา!J433"")"),0)</f>
        <v>0</v>
      </c>
      <c r="AN36" s="216">
        <f t="shared" ca="1" si="60"/>
        <v>0</v>
      </c>
      <c r="AO36" s="152">
        <f ca="1">IFERROR(__xludf.DUMMYFUNCTION("IMPORTRANGE(""https://docs.google.com/spreadsheets/d/1Mnpb-8PYAgn85W6KOTD40hc_Xc55CaLfHoGAbrZ8tls/edit?usp=sharing"",""นครราชสีมา!J434"")"),0)</f>
        <v>0</v>
      </c>
      <c r="AP36" s="152">
        <f ca="1">IFERROR(__xludf.DUMMYFUNCTION("IMPORTRANGE(""https://docs.google.com/spreadsheets/d/1Mnpb-8PYAgn85W6KOTD40hc_Xc55CaLfHoGAbrZ8tls/edit?usp=sharing"",""นครราชสีมา!J435"")"),0)</f>
        <v>0</v>
      </c>
      <c r="AQ36" s="152">
        <f ca="1">IFERROR(__xludf.DUMMYFUNCTION("IMPORTRANGE(""https://docs.google.com/spreadsheets/d/1Mnpb-8PYAgn85W6KOTD40hc_Xc55CaLfHoGAbrZ8tls/edit?usp=sharing"",""นครราชสีมา!J436"")"),0)</f>
        <v>0</v>
      </c>
      <c r="AR36" s="152">
        <f ca="1">IFERROR(__xludf.DUMMYFUNCTION("IMPORTRANGE(""https://docs.google.com/spreadsheets/d/1Mnpb-8PYAgn85W6KOTD40hc_Xc55CaLfHoGAbrZ8tls/edit?usp=sharing"",""นครราชสีมา!J437"")"),0)</f>
        <v>0</v>
      </c>
      <c r="AS36" s="152">
        <f ca="1">IFERROR(__xludf.DUMMYFUNCTION("IMPORTRANGE(""https://docs.google.com/spreadsheets/d/1Mnpb-8PYAgn85W6KOTD40hc_Xc55CaLfHoGAbrZ8tls/edit?usp=sharing"",""นครราชสีมา!J438"")"),0)</f>
        <v>0</v>
      </c>
      <c r="AT36" s="152">
        <f ca="1">IFERROR(__xludf.DUMMYFUNCTION("IMPORTRANGE(""https://docs.google.com/spreadsheets/d/1Mnpb-8PYAgn85W6KOTD40hc_Xc55CaLfHoGAbrZ8tls/edit?usp=sharing"",""นครราชสีมา!J439"")"),0)</f>
        <v>0</v>
      </c>
      <c r="AU36" s="152">
        <f ca="1">IFERROR(__xludf.DUMMYFUNCTION("IMPORTRANGE(""https://docs.google.com/spreadsheets/d/1Mnpb-8PYAgn85W6KOTD40hc_Xc55CaLfHoGAbrZ8tls/edit?usp=sharing"",""นครราชสีมา!I440"")"),100958)</f>
        <v>100958</v>
      </c>
      <c r="AV36" s="152">
        <f ca="1">IFERROR(__xludf.DUMMYFUNCTION("IMPORTRANGE(""https://docs.google.com/spreadsheets/d/1Mnpb-8PYAgn85W6KOTD40hc_Xc55CaLfHoGAbrZ8tls/edit?usp=sharing"",""นครราชสีมา!I441"")"),10846)</f>
        <v>10846</v>
      </c>
      <c r="AW36" s="152">
        <f ca="1">IFERROR(__xludf.DUMMYFUNCTION("IMPORTRANGE(""https://docs.google.com/spreadsheets/d/1Mnpb-8PYAgn85W6KOTD40hc_Xc55CaLfHoGAbrZ8tls/edit?usp=sharing"",""นครราชสีมา!J440"")"),0)</f>
        <v>0</v>
      </c>
      <c r="AX36" s="216">
        <f t="shared" ca="1" si="62"/>
        <v>0</v>
      </c>
      <c r="AY36" s="152">
        <f ca="1">IFERROR(__xludf.DUMMYFUNCTION("IMPORTRANGE(""https://docs.google.com/spreadsheets/d/1Mnpb-8PYAgn85W6KOTD40hc_Xc55CaLfHoGAbrZ8tls/edit?usp=sharing"",""นครราชสีมา!J441"")"),0)</f>
        <v>0</v>
      </c>
      <c r="AZ36" s="216">
        <f t="shared" ca="1" si="63"/>
        <v>0</v>
      </c>
      <c r="BA36" s="152">
        <f ca="1">IFERROR(__xludf.DUMMYFUNCTION("IMPORTRANGE(""https://docs.google.com/spreadsheets/d/1Mnpb-8PYAgn85W6KOTD40hc_Xc55CaLfHoGAbrZ8tls/edit?usp=sharing"",""นครราชสีมา!J442"")"),0)</f>
        <v>0</v>
      </c>
      <c r="BB36" s="152">
        <f ca="1">IFERROR(__xludf.DUMMYFUNCTION("IMPORTRANGE(""https://docs.google.com/spreadsheets/d/1Mnpb-8PYAgn85W6KOTD40hc_Xc55CaLfHoGAbrZ8tls/edit?usp=sharing"",""นครราชสีมา!J443"")"),0)</f>
        <v>0</v>
      </c>
      <c r="BC36" s="152">
        <f ca="1">IFERROR(__xludf.DUMMYFUNCTION("IMPORTRANGE(""https://docs.google.com/spreadsheets/d/1Mnpb-8PYAgn85W6KOTD40hc_Xc55CaLfHoGAbrZ8tls/edit?usp=sharing"",""นครราชสีมา!J444"")"),0)</f>
        <v>0</v>
      </c>
      <c r="BD36" s="152">
        <f ca="1">IFERROR(__xludf.DUMMYFUNCTION("IMPORTRANGE(""https://docs.google.com/spreadsheets/d/1Mnpb-8PYAgn85W6KOTD40hc_Xc55CaLfHoGAbrZ8tls/edit?usp=sharing"",""นครราชสีมา!J445"")"),0)</f>
        <v>0</v>
      </c>
      <c r="BE36" s="152">
        <f ca="1">IFERROR(__xludf.DUMMYFUNCTION("IMPORTRANGE(""https://docs.google.com/spreadsheets/d/1Mnpb-8PYAgn85W6KOTD40hc_Xc55CaLfHoGAbrZ8tls/edit?usp=sharing"",""นครราชสีมา!J446"")"),0)</f>
        <v>0</v>
      </c>
      <c r="BF36" s="152">
        <f ca="1">IFERROR(__xludf.DUMMYFUNCTION("IMPORTRANGE(""https://docs.google.com/spreadsheets/d/1Mnpb-8PYAgn85W6KOTD40hc_Xc55CaLfHoGAbrZ8tls/edit?usp=sharing"",""นครราชสีมา!J447"")"),0)</f>
        <v>0</v>
      </c>
      <c r="BG36" s="152">
        <f ca="1">IFERROR(__xludf.DUMMYFUNCTION("IMPORTRANGE(""https://docs.google.com/spreadsheets/d/1Mnpb-8PYAgn85W6KOTD40hc_Xc55CaLfHoGAbrZ8tls/edit?usp=sharing"",""นครราชสีมา!J448"")"),0)</f>
        <v>0</v>
      </c>
      <c r="BH36" s="152">
        <f ca="1">IFERROR(__xludf.DUMMYFUNCTION("IMPORTRANGE(""https://docs.google.com/spreadsheets/d/1Mnpb-8PYAgn85W6KOTD40hc_Xc55CaLfHoGAbrZ8tls/edit?usp=sharing"",""นครราชสีมา!J449"")"),0)</f>
        <v>0</v>
      </c>
      <c r="BI36" s="152">
        <f ca="1">IFERROR(__xludf.DUMMYFUNCTION("IMPORTRANGE(""https://docs.google.com/spreadsheets/d/1Mnpb-8PYAgn85W6KOTD40hc_Xc55CaLfHoGAbrZ8tls/edit?usp=sharing"",""นครราชสีมา!J450"")"),0)</f>
        <v>0</v>
      </c>
      <c r="BJ36" s="152">
        <f ca="1">IFERROR(__xludf.DUMMYFUNCTION("IMPORTRANGE(""https://docs.google.com/spreadsheets/d/1Mnpb-8PYAgn85W6KOTD40hc_Xc55CaLfHoGAbrZ8tls/edit?usp=sharing"",""นครราชสีมา!J451"")"),0)</f>
        <v>0</v>
      </c>
      <c r="BK36" s="152">
        <f ca="1">IFERROR(__xludf.DUMMYFUNCTION("IMPORTRANGE(""https://docs.google.com/spreadsheets/d/1Mnpb-8PYAgn85W6KOTD40hc_Xc55CaLfHoGAbrZ8tls/edit?usp=sharing"",""นครราชสีมา!J452"")"),0)</f>
        <v>0</v>
      </c>
      <c r="BL36" s="152">
        <f ca="1">IFERROR(__xludf.DUMMYFUNCTION("IMPORTRANGE(""https://docs.google.com/spreadsheets/d/1Mnpb-8PYAgn85W6KOTD40hc_Xc55CaLfHoGAbrZ8tls/edit?usp=sharing"",""นครราชสีมา!J453"")"),0)</f>
        <v>0</v>
      </c>
      <c r="BM36" s="152">
        <f ca="1">IFERROR(__xludf.DUMMYFUNCTION("IMPORTRANGE(""https://docs.google.com/spreadsheets/d/1Mnpb-8PYAgn85W6KOTD40hc_Xc55CaLfHoGAbrZ8tls/edit?usp=sharing"",""นครราชสีมา!J454"")"),0)</f>
        <v>0</v>
      </c>
      <c r="BN36" s="152">
        <f ca="1">IFERROR(__xludf.DUMMYFUNCTION("IMPORTRANGE(""https://docs.google.com/spreadsheets/d/1Mnpb-8PYAgn85W6KOTD40hc_Xc55CaLfHoGAbrZ8tls/edit?usp=sharing"",""นครราชสีมา!J455"")"),0)</f>
        <v>0</v>
      </c>
      <c r="BO36" s="152">
        <f ca="1">IFERROR(__xludf.DUMMYFUNCTION("IMPORTRANGE(""https://docs.google.com/spreadsheets/d/1Mnpb-8PYAgn85W6KOTD40hc_Xc55CaLfHoGAbrZ8tls/edit?usp=sharing"",""นครราชสีมา!I457"")"),8156.3)</f>
        <v>8156.3</v>
      </c>
      <c r="BP36" s="152">
        <f ca="1">IFERROR(__xludf.DUMMYFUNCTION("IMPORTRANGE(""https://docs.google.com/spreadsheets/d/1Mnpb-8PYAgn85W6KOTD40hc_Xc55CaLfHoGAbrZ8tls/edit?usp=sharing"",""นครราชสีมา!I458"")"),648)</f>
        <v>648</v>
      </c>
      <c r="BQ36" s="152">
        <f ca="1">IFERROR(__xludf.DUMMYFUNCTION("IMPORTRANGE(""https://docs.google.com/spreadsheets/d/1Mnpb-8PYAgn85W6KOTD40hc_Xc55CaLfHoGAbrZ8tls/edit?usp=sharing"",""นครราชสีมา!J457"")"),0)</f>
        <v>0</v>
      </c>
      <c r="BR36" s="216">
        <f t="shared" ca="1" si="65"/>
        <v>0</v>
      </c>
      <c r="BS36" s="152">
        <f ca="1">IFERROR(__xludf.DUMMYFUNCTION("IMPORTRANGE(""https://docs.google.com/spreadsheets/d/1Mnpb-8PYAgn85W6KOTD40hc_Xc55CaLfHoGAbrZ8tls/edit?usp=sharing"",""นครราชสีมา!J458"")"),0)</f>
        <v>0</v>
      </c>
      <c r="BT36" s="216">
        <f t="shared" ca="1" si="66"/>
        <v>0</v>
      </c>
      <c r="BU36" s="152">
        <f ca="1">IFERROR(__xludf.DUMMYFUNCTION("IMPORTRANGE(""https://docs.google.com/spreadsheets/d/1Mnpb-8PYAgn85W6KOTD40hc_Xc55CaLfHoGAbrZ8tls/edit?usp=sharing"",""นครราชสีมา!J459"")"),0)</f>
        <v>0</v>
      </c>
      <c r="BV36" s="152">
        <f ca="1">IFERROR(__xludf.DUMMYFUNCTION("IMPORTRANGE(""https://docs.google.com/spreadsheets/d/1Mnpb-8PYAgn85W6KOTD40hc_Xc55CaLfHoGAbrZ8tls/edit?usp=sharing"",""นครราชสีมา!J460"")"),0)</f>
        <v>0</v>
      </c>
      <c r="BW36" s="152" t="str">
        <f ca="1">IFERROR(__xludf.DUMMYFUNCTION("IMPORTRANGE(""https://docs.google.com/spreadsheets/d/1Mnpb-8PYAgn85W6KOTD40hc_Xc55CaLfHoGAbrZ8tls/edit?usp=sharing"",""นครราชสีมา!J461"")"),"")</f>
        <v/>
      </c>
      <c r="BX36" s="152">
        <f ca="1">IFERROR(__xludf.DUMMYFUNCTION("IMPORTRANGE(""https://docs.google.com/spreadsheets/d/1Mnpb-8PYAgn85W6KOTD40hc_Xc55CaLfHoGAbrZ8tls/edit?usp=sharing"",""นครราชสีมา!J462"")"),0)</f>
        <v>0</v>
      </c>
      <c r="BY36" s="152">
        <f ca="1">IFERROR(__xludf.DUMMYFUNCTION("IMPORTRANGE(""https://docs.google.com/spreadsheets/d/1Mnpb-8PYAgn85W6KOTD40hc_Xc55CaLfHoGAbrZ8tls/edit?usp=sharing"",""นครราชสีมา!J463"")"),0)</f>
        <v>0</v>
      </c>
      <c r="BZ36" s="152">
        <f ca="1">IFERROR(__xludf.DUMMYFUNCTION("IMPORTRANGE(""https://docs.google.com/spreadsheets/d/1Mnpb-8PYAgn85W6KOTD40hc_Xc55CaLfHoGAbrZ8tls/edit?usp=sharing"",""นครราชสีมา!J464"")"),0)</f>
        <v>0</v>
      </c>
      <c r="CA36" s="152">
        <f ca="1">IFERROR(__xludf.DUMMYFUNCTION("IMPORTRANGE(""https://docs.google.com/spreadsheets/d/1Mnpb-8PYAgn85W6KOTD40hc_Xc55CaLfHoGAbrZ8tls/edit?usp=sharing"",""นครราชสีมา!J465"")"),0)</f>
        <v>0</v>
      </c>
      <c r="CB36" s="152">
        <f ca="1">IFERROR(__xludf.DUMMYFUNCTION("IMPORTRANGE(""https://docs.google.com/spreadsheets/d/1Mnpb-8PYAgn85W6KOTD40hc_Xc55CaLfHoGAbrZ8tls/edit?usp=sharing"",""นครราชสีมา!J466"")"),0)</f>
        <v>0</v>
      </c>
      <c r="CC36" s="152">
        <f ca="1">IFERROR(__xludf.DUMMYFUNCTION("IMPORTRANGE(""https://docs.google.com/spreadsheets/d/1Mnpb-8PYAgn85W6KOTD40hc_Xc55CaLfHoGAbrZ8tls/edit?usp=sharing"",""นครราชสีมา!J467"")"),0)</f>
        <v>0</v>
      </c>
      <c r="CD36" s="152">
        <f ca="1">IFERROR(__xludf.DUMMYFUNCTION("IMPORTRANGE(""https://docs.google.com/spreadsheets/d/1Mnpb-8PYAgn85W6KOTD40hc_Xc55CaLfHoGAbrZ8tls/edit?usp=sharing"",""นครราชสีมา!J468"")"),0)</f>
        <v>0</v>
      </c>
      <c r="CE36" s="152">
        <f ca="1">IFERROR(__xludf.DUMMYFUNCTION("IMPORTRANGE(""https://docs.google.com/spreadsheets/d/1Mnpb-8PYAgn85W6KOTD40hc_Xc55CaLfHoGAbrZ8tls/edit?usp=sharing"",""นครราชสีมา!J469"")"),0)</f>
        <v>0</v>
      </c>
      <c r="CF36" s="152">
        <f ca="1">IFERROR(__xludf.DUMMYFUNCTION("IMPORTRANGE(""https://docs.google.com/spreadsheets/d/1Mnpb-8PYAgn85W6KOTD40hc_Xc55CaLfHoGAbrZ8tls/edit?usp=sharing"",""นครราชสีมา!J470"")"),0)</f>
        <v>0</v>
      </c>
      <c r="CG36" s="152">
        <f ca="1">IFERROR(__xludf.DUMMYFUNCTION("IMPORTRANGE(""https://docs.google.com/spreadsheets/d/1Mnpb-8PYAgn85W6KOTD40hc_Xc55CaLfHoGAbrZ8tls/edit?usp=sharing"",""นครราชสีมา!J471"")"),0)</f>
        <v>0</v>
      </c>
      <c r="CH36" s="152">
        <f ca="1">IFERROR(__xludf.DUMMYFUNCTION("IMPORTRANGE(""https://docs.google.com/spreadsheets/d/1Mnpb-8PYAgn85W6KOTD40hc_Xc55CaLfHoGAbrZ8tls/edit?usp=sharing"",""นครราชสีมา!J472"")"),0)</f>
        <v>0</v>
      </c>
      <c r="CI36" s="152">
        <f ca="1">IFERROR(__xludf.DUMMYFUNCTION("IMPORTRANGE(""https://docs.google.com/spreadsheets/d/1Mnpb-8PYAgn85W6KOTD40hc_Xc55CaLfHoGAbrZ8tls/edit?usp=sharing"",""นครราชสีมา!J473"")"),0)</f>
        <v>0</v>
      </c>
      <c r="CJ36" s="152">
        <f ca="1">IFERROR(__xludf.DUMMYFUNCTION("IMPORTRANGE(""https://docs.google.com/spreadsheets/d/1Mnpb-8PYAgn85W6KOTD40hc_Xc55CaLfHoGAbrZ8tls/edit?usp=sharing"",""นครราชสีมา!J474"")"),0)</f>
        <v>0</v>
      </c>
      <c r="CK36" s="278">
        <f ca="1">IFERROR(__xludf.DUMMYFUNCTION("IMPORTRANGE(""https://docs.google.com/spreadsheets/d/1Mnpb-8PYAgn85W6KOTD40hc_Xc55CaLfHoGAbrZ8tls/edit?usp=sharing"",""นครราชสีมา!I476"")"),0)</f>
        <v>0</v>
      </c>
      <c r="CL36" s="278">
        <f ca="1">IFERROR(__xludf.DUMMYFUNCTION("IMPORTRANGE(""https://docs.google.com/spreadsheets/d/1Mnpb-8PYAgn85W6KOTD40hc_Xc55CaLfHoGAbrZ8tls/edit?usp=sharing"",""นครราชสีมา!I477"")"),0)</f>
        <v>0</v>
      </c>
      <c r="CM36" s="278">
        <f ca="1">IFERROR(__xludf.DUMMYFUNCTION("IMPORTRANGE(""https://docs.google.com/spreadsheets/d/1Mnpb-8PYAgn85W6KOTD40hc_Xc55CaLfHoGAbrZ8tls/edit?usp=sharing"",""นครราชสีมา!J476"")"),0)</f>
        <v>0</v>
      </c>
      <c r="CN36" s="216">
        <f t="shared" ca="1" si="68"/>
        <v>0</v>
      </c>
      <c r="CO36" s="278">
        <f ca="1">IFERROR(__xludf.DUMMYFUNCTION("IMPORTRANGE(""https://docs.google.com/spreadsheets/d/1Mnpb-8PYAgn85W6KOTD40hc_Xc55CaLfHoGAbrZ8tls/edit?usp=sharing"",""นครราชสีมา!J477"")"),0)</f>
        <v>0</v>
      </c>
      <c r="CP36" s="216">
        <f t="shared" ca="1" si="69"/>
        <v>0</v>
      </c>
      <c r="CQ36" s="278">
        <f ca="1">IFERROR(__xludf.DUMMYFUNCTION("IMPORTRANGE(""https://docs.google.com/spreadsheets/d/1Mnpb-8PYAgn85W6KOTD40hc_Xc55CaLfHoGAbrZ8tls/edit?usp=sharing"",""นครราชสีมา!J478"")"),0)</f>
        <v>0</v>
      </c>
      <c r="CR36" s="278">
        <f ca="1">IFERROR(__xludf.DUMMYFUNCTION("IMPORTRANGE(""https://docs.google.com/spreadsheets/d/1Mnpb-8PYAgn85W6KOTD40hc_Xc55CaLfHoGAbrZ8tls/edit?usp=sharing"",""นครราชสีมา!J479"")"),0)</f>
        <v>0</v>
      </c>
      <c r="CS36" s="278">
        <f ca="1">IFERROR(__xludf.DUMMYFUNCTION("IMPORTRANGE(""https://docs.google.com/spreadsheets/d/1Mnpb-8PYAgn85W6KOTD40hc_Xc55CaLfHoGAbrZ8tls/edit?usp=sharing"",""นครราชสีมา!J480"")"),0)</f>
        <v>0</v>
      </c>
      <c r="CT36" s="278">
        <f ca="1">IFERROR(__xludf.DUMMYFUNCTION("IMPORTRANGE(""https://docs.google.com/spreadsheets/d/1Mnpb-8PYAgn85W6KOTD40hc_Xc55CaLfHoGAbrZ8tls/edit?usp=sharing"",""นครราชสีมา!J481"")"),0)</f>
        <v>0</v>
      </c>
      <c r="CU36" s="278">
        <f ca="1">IFERROR(__xludf.DUMMYFUNCTION("IMPORTRANGE(""https://docs.google.com/spreadsheets/d/1Mnpb-8PYAgn85W6KOTD40hc_Xc55CaLfHoGAbrZ8tls/edit?usp=sharing"",""นครราชสีมา!I484"")"),0)</f>
        <v>0</v>
      </c>
      <c r="CV36" s="278">
        <f ca="1">IFERROR(__xludf.DUMMYFUNCTION("IMPORTRANGE(""https://docs.google.com/spreadsheets/d/1Mnpb-8PYAgn85W6KOTD40hc_Xc55CaLfHoGAbrZ8tls/edit?usp=sharing"",""นครราชสีมา!I485"")"),0)</f>
        <v>0</v>
      </c>
      <c r="CW36" s="278">
        <f ca="1">IFERROR(__xludf.DUMMYFUNCTION("IMPORTRANGE(""https://docs.google.com/spreadsheets/d/1Mnpb-8PYAgn85W6KOTD40hc_Xc55CaLfHoGAbrZ8tls/edit?usp=sharing"",""นครราชสีมา!J484"")"),0)</f>
        <v>0</v>
      </c>
      <c r="CX36" s="216">
        <f t="shared" ca="1" si="71"/>
        <v>0</v>
      </c>
      <c r="CY36" s="278">
        <f ca="1">IFERROR(__xludf.DUMMYFUNCTION("IMPORTRANGE(""https://docs.google.com/spreadsheets/d/1Mnpb-8PYAgn85W6KOTD40hc_Xc55CaLfHoGAbrZ8tls/edit?usp=sharing"",""นครราชสีมา!J485"")"),0)</f>
        <v>0</v>
      </c>
      <c r="CZ36" s="216">
        <f t="shared" ca="1" si="72"/>
        <v>0</v>
      </c>
      <c r="DA36" s="278">
        <f ca="1">IFERROR(__xludf.DUMMYFUNCTION("IMPORTRANGE(""https://docs.google.com/spreadsheets/d/1Mnpb-8PYAgn85W6KOTD40hc_Xc55CaLfHoGAbrZ8tls/edit?usp=sharing"",""นครราชสีมา!J486"")"),0)</f>
        <v>0</v>
      </c>
      <c r="DB36" s="278">
        <f ca="1">IFERROR(__xludf.DUMMYFUNCTION("IMPORTRANGE(""https://docs.google.com/spreadsheets/d/1Mnpb-8PYAgn85W6KOTD40hc_Xc55CaLfHoGAbrZ8tls/edit?usp=sharing"",""นครราชสีมา!J487"")"),0)</f>
        <v>0</v>
      </c>
      <c r="DC36" s="278">
        <f ca="1">IFERROR(__xludf.DUMMYFUNCTION("IMPORTRANGE(""https://docs.google.com/spreadsheets/d/1Mnpb-8PYAgn85W6KOTD40hc_Xc55CaLfHoGAbrZ8tls/edit?usp=sharing"",""นครราชสีมา!J488"")"),0)</f>
        <v>0</v>
      </c>
      <c r="DD36" s="278">
        <f ca="1">IFERROR(__xludf.DUMMYFUNCTION("IMPORTRANGE(""https://docs.google.com/spreadsheets/d/1Mnpb-8PYAgn85W6KOTD40hc_Xc55CaLfHoGAbrZ8tls/edit?usp=sharing"",""นครราชสีมา!J489"")"),0)</f>
        <v>0</v>
      </c>
      <c r="DE36" s="278">
        <f ca="1">IFERROR(__xludf.DUMMYFUNCTION("IMPORTRANGE(""https://docs.google.com/spreadsheets/d/1Mnpb-8PYAgn85W6KOTD40hc_Xc55CaLfHoGAbrZ8tls/edit?usp=sharing"",""นครราชสีมา!J490"")"),0)</f>
        <v>0</v>
      </c>
      <c r="DF36" s="278">
        <f ca="1">IFERROR(__xludf.DUMMYFUNCTION("IMPORTRANGE(""https://docs.google.com/spreadsheets/d/1Mnpb-8PYAgn85W6KOTD40hc_Xc55CaLfHoGAbrZ8tls/edit?usp=sharing"",""นครราชสีมา!J491"")"),0)</f>
        <v>0</v>
      </c>
    </row>
    <row r="37" spans="1:110" ht="19.5" x14ac:dyDescent="0.3">
      <c r="A37" s="147">
        <v>6</v>
      </c>
      <c r="B37" s="148" t="s">
        <v>65</v>
      </c>
      <c r="C37" s="566">
        <f t="shared" ca="1" si="44"/>
        <v>562610</v>
      </c>
      <c r="D37" s="567">
        <f t="shared" ca="1" si="84"/>
        <v>562610</v>
      </c>
      <c r="E37" s="329">
        <f ca="1">IFERROR(__xludf.DUMMYFUNCTION("IMPORTRANGE(""https://docs.google.com/spreadsheets/d/1-uDff_7J0KD5mKrp0Vvzr7lt3OU09vwQwhkpOPPYv2Y/edit?usp=sharing"",""งบพรบ!IP37"")"),163800)</f>
        <v>163800</v>
      </c>
      <c r="F37" s="329">
        <f ca="1">IFERROR(__xludf.DUMMYFUNCTION("IMPORTRANGE(""https://docs.google.com/spreadsheets/d/1-uDff_7J0KD5mKrp0Vvzr7lt3OU09vwQwhkpOPPYv2Y/edit?usp=sharing"",""งบพรบ!IQ37"")"),398810)</f>
        <v>398810</v>
      </c>
      <c r="G37" s="329">
        <f ca="1">IFERROR(__xludf.DUMMYFUNCTION("IMPORTRANGE(""https://docs.google.com/spreadsheets/d/1-uDff_7J0KD5mKrp0Vvzr7lt3OU09vwQwhkpOPPYv2Y/edit?usp=sharing"",""งบพรบ!IR37"")"),0)</f>
        <v>0</v>
      </c>
      <c r="H37" s="329">
        <f ca="1">IFERROR(__xludf.DUMMYFUNCTION("IMPORTRANGE(""https://docs.google.com/spreadsheets/d/1-uDff_7J0KD5mKrp0Vvzr7lt3OU09vwQwhkpOPPYv2Y/edit?usp=sharing"",""งบพรบ!IT37"")"),562610)</f>
        <v>562610</v>
      </c>
      <c r="I37" s="329">
        <f ca="1">IFERROR(__xludf.DUMMYFUNCTION("IMPORTRANGE(""https://docs.google.com/spreadsheets/d/1-uDff_7J0KD5mKrp0Vvzr7lt3OU09vwQwhkpOPPYv2Y/edit?usp=sharing"",""งบพรบ!IU37"")"),0)</f>
        <v>0</v>
      </c>
      <c r="J37" s="329">
        <f t="shared" ca="1" si="46"/>
        <v>261014.6</v>
      </c>
      <c r="K37" s="568">
        <f t="shared" ca="1" si="47"/>
        <v>46.393523044382434</v>
      </c>
      <c r="L37" s="329">
        <f ca="1">IFERROR(__xludf.DUMMYFUNCTION("IMPORTRANGE(""https://docs.google.com/spreadsheets/d/1-uDff_7J0KD5mKrp0Vvzr7lt3OU09vwQwhkpOPPYv2Y/edit?usp=sharing"",""งบพรบ!IV37"")"),261014.6)</f>
        <v>261014.6</v>
      </c>
      <c r="M37" s="330">
        <f t="shared" ca="1" si="48"/>
        <v>46.393523044382434</v>
      </c>
      <c r="N37" s="330">
        <f t="shared" ca="1" si="49"/>
        <v>46.393523044382434</v>
      </c>
      <c r="O37" s="569">
        <f ca="1">IFERROR(__xludf.DUMMYFUNCTION("IMPORTRANGE(""https://docs.google.com/spreadsheets/d/1-uDff_7J0KD5mKrp0Vvzr7lt3OU09vwQwhkpOPPYv2Y/edit?usp=sharing"",""งบพรบ!IW37"")"),0)</f>
        <v>0</v>
      </c>
      <c r="P37" s="569">
        <f t="shared" ca="1" si="50"/>
        <v>0</v>
      </c>
      <c r="Q37" s="330">
        <f t="shared" ca="1" si="51"/>
        <v>0</v>
      </c>
      <c r="R37" s="564">
        <f ca="1">IFERROR(__xludf.DUMMYFUNCTION("IMPORTRANGE(""https://docs.google.com/spreadsheets/d/1xoDLGBv9CYbyosIhki0kTq6IpYNj-gpjxfobnaDiut0/edit?usp=sharing"",""บึงกาฬ!Q413"")"),81700)</f>
        <v>81700</v>
      </c>
      <c r="S37" s="564">
        <f ca="1">IFERROR(__xludf.DUMMYFUNCTION("IMPORTRANGE(""https://docs.google.com/spreadsheets/d/1xoDLGBv9CYbyosIhki0kTq6IpYNj-gpjxfobnaDiut0/edit?usp=sharing"",""บึงกาฬ!R413"")"),81700)</f>
        <v>81700</v>
      </c>
      <c r="T37" s="564">
        <f ca="1">IFERROR(__xludf.DUMMYFUNCTION("IMPORTRANGE(""https://docs.google.com/spreadsheets/d/1xoDLGBv9CYbyosIhki0kTq6IpYNj-gpjxfobnaDiut0/edit?usp=sharing"",""บึงกาฬ!S413"")"),0)</f>
        <v>0</v>
      </c>
      <c r="U37" s="565">
        <f t="shared" ca="1" si="53"/>
        <v>0</v>
      </c>
      <c r="V37" s="565">
        <f t="shared" ca="1" si="54"/>
        <v>0</v>
      </c>
      <c r="W37" s="152">
        <f ca="1">IFERROR(__xludf.DUMMYFUNCTION("IMPORTRANGE(""https://docs.google.com/spreadsheets/d/1xoDLGBv9CYbyosIhki0kTq6IpYNj-gpjxfobnaDiut0/edit?usp=sharing"",""บึงกาฬ!I424"")"),98293)</f>
        <v>98293</v>
      </c>
      <c r="X37" s="152">
        <f ca="1">IFERROR(__xludf.DUMMYFUNCTION("IMPORTRANGE(""https://docs.google.com/spreadsheets/d/1xoDLGBv9CYbyosIhki0kTq6IpYNj-gpjxfobnaDiut0/edit?usp=sharing"",""บึงกาฬ!I425"")"),7996)</f>
        <v>7996</v>
      </c>
      <c r="Y37" s="152">
        <f ca="1">IFERROR(__xludf.DUMMYFUNCTION("IMPORTRANGE(""https://docs.google.com/spreadsheets/d/1xoDLGBv9CYbyosIhki0kTq6IpYNj-gpjxfobnaDiut0/edit?usp=sharing"",""บึงกาฬ!J424"")"),0)</f>
        <v>0</v>
      </c>
      <c r="Z37" s="216">
        <f t="shared" ca="1" si="56"/>
        <v>0</v>
      </c>
      <c r="AA37" s="152">
        <f ca="1">IFERROR(__xludf.DUMMYFUNCTION("IMPORTRANGE(""https://docs.google.com/spreadsheets/d/1xoDLGBv9CYbyosIhki0kTq6IpYNj-gpjxfobnaDiut0/edit?usp=sharing"",""บึงกาฬ!J425"")"),0)</f>
        <v>0</v>
      </c>
      <c r="AB37" s="216">
        <f t="shared" ca="1" si="57"/>
        <v>0</v>
      </c>
      <c r="AC37" s="152">
        <f ca="1">IFERROR(__xludf.DUMMYFUNCTION("IMPORTRANGE(""https://docs.google.com/spreadsheets/d/1xoDLGBv9CYbyosIhki0kTq6IpYNj-gpjxfobnaDiut0/edit?usp=sharing"",""บึงกาฬ!J426"")"),0)</f>
        <v>0</v>
      </c>
      <c r="AD37" s="152">
        <f ca="1">IFERROR(__xludf.DUMMYFUNCTION("IMPORTRANGE(""https://docs.google.com/spreadsheets/d/1xoDLGBv9CYbyosIhki0kTq6IpYNj-gpjxfobnaDiut0/edit?usp=sharing"",""บึงกาฬ!J427"")"),0)</f>
        <v>0</v>
      </c>
      <c r="AE37" s="152">
        <f ca="1">IFERROR(__xludf.DUMMYFUNCTION("IMPORTRANGE(""https://docs.google.com/spreadsheets/d/1xoDLGBv9CYbyosIhki0kTq6IpYNj-gpjxfobnaDiut0/edit?usp=sharing"",""บึงกาฬ!J428"")"),0)</f>
        <v>0</v>
      </c>
      <c r="AF37" s="152">
        <f ca="1">IFERROR(__xludf.DUMMYFUNCTION("IMPORTRANGE(""https://docs.google.com/spreadsheets/d/1xoDLGBv9CYbyosIhki0kTq6IpYNj-gpjxfobnaDiut0/edit?usp=sharing"",""บึงกาฬ!J429"")"),0)</f>
        <v>0</v>
      </c>
      <c r="AG37" s="152">
        <f ca="1">IFERROR(__xludf.DUMMYFUNCTION("IMPORTRANGE(""https://docs.google.com/spreadsheets/d/1xoDLGBv9CYbyosIhki0kTq6IpYNj-gpjxfobnaDiut0/edit?usp=sharing"",""บึงกาฬ!J430"")"),0)</f>
        <v>0</v>
      </c>
      <c r="AH37" s="152">
        <f ca="1">IFERROR(__xludf.DUMMYFUNCTION("IMPORTRANGE(""https://docs.google.com/spreadsheets/d/1xoDLGBv9CYbyosIhki0kTq6IpYNj-gpjxfobnaDiut0/edit?usp=sharing"",""บึงกาฬ!J431"")"),0)</f>
        <v>0</v>
      </c>
      <c r="AI37" s="152">
        <f ca="1">IFERROR(__xludf.DUMMYFUNCTION("IMPORTRANGE(""https://docs.google.com/spreadsheets/d/1xoDLGBv9CYbyosIhki0kTq6IpYNj-gpjxfobnaDiut0/edit?usp=sharing"",""บึงกาฬ!I432"")"),98293)</f>
        <v>98293</v>
      </c>
      <c r="AJ37" s="152">
        <f ca="1">IFERROR(__xludf.DUMMYFUNCTION("IMPORTRANGE(""https://docs.google.com/spreadsheets/d/1xoDLGBv9CYbyosIhki0kTq6IpYNj-gpjxfobnaDiut0/edit?usp=sharing"",""บึงกาฬ!I433"")"),7996)</f>
        <v>7996</v>
      </c>
      <c r="AK37" s="216">
        <f ca="1">IFERROR(__xludf.DUMMYFUNCTION("IMPORTRANGE(""https://docs.google.com/spreadsheets/d/1xoDLGBv9CYbyosIhki0kTq6IpYNj-gpjxfobnaDiut0/edit?usp=sharing"",""บึงกาฬ!J432"")"),0)</f>
        <v>0</v>
      </c>
      <c r="AL37" s="216">
        <f t="shared" ca="1" si="59"/>
        <v>0</v>
      </c>
      <c r="AM37" s="152">
        <f ca="1">IFERROR(__xludf.DUMMYFUNCTION("IMPORTRANGE(""https://docs.google.com/spreadsheets/d/1xoDLGBv9CYbyosIhki0kTq6IpYNj-gpjxfobnaDiut0/edit?usp=sharing"",""บึงกาฬ!J433"")"),0)</f>
        <v>0</v>
      </c>
      <c r="AN37" s="216">
        <f t="shared" ca="1" si="60"/>
        <v>0</v>
      </c>
      <c r="AO37" s="152">
        <f ca="1">IFERROR(__xludf.DUMMYFUNCTION("IMPORTRANGE(""https://docs.google.com/spreadsheets/d/1xoDLGBv9CYbyosIhki0kTq6IpYNj-gpjxfobnaDiut0/edit?usp=sharing"",""บึงกาฬ!J434"")"),0)</f>
        <v>0</v>
      </c>
      <c r="AP37" s="152">
        <f ca="1">IFERROR(__xludf.DUMMYFUNCTION("IMPORTRANGE(""https://docs.google.com/spreadsheets/d/1xoDLGBv9CYbyosIhki0kTq6IpYNj-gpjxfobnaDiut0/edit?usp=sharing"",""บึงกาฬ!J435"")"),0)</f>
        <v>0</v>
      </c>
      <c r="AQ37" s="152">
        <f ca="1">IFERROR(__xludf.DUMMYFUNCTION("IMPORTRANGE(""https://docs.google.com/spreadsheets/d/1xoDLGBv9CYbyosIhki0kTq6IpYNj-gpjxfobnaDiut0/edit?usp=sharing"",""บึงกาฬ!J436"")"),0)</f>
        <v>0</v>
      </c>
      <c r="AR37" s="152">
        <f ca="1">IFERROR(__xludf.DUMMYFUNCTION("IMPORTRANGE(""https://docs.google.com/spreadsheets/d/1xoDLGBv9CYbyosIhki0kTq6IpYNj-gpjxfobnaDiut0/edit?usp=sharing"",""บึงกาฬ!J437"")"),0)</f>
        <v>0</v>
      </c>
      <c r="AS37" s="152">
        <f ca="1">IFERROR(__xludf.DUMMYFUNCTION("IMPORTRANGE(""https://docs.google.com/spreadsheets/d/1xoDLGBv9CYbyosIhki0kTq6IpYNj-gpjxfobnaDiut0/edit?usp=sharing"",""บึงกาฬ!J438"")"),0)</f>
        <v>0</v>
      </c>
      <c r="AT37" s="152">
        <f ca="1">IFERROR(__xludf.DUMMYFUNCTION("IMPORTRANGE(""https://docs.google.com/spreadsheets/d/1xoDLGBv9CYbyosIhki0kTq6IpYNj-gpjxfobnaDiut0/edit?usp=sharing"",""บึงกาฬ!J439"")"),0)</f>
        <v>0</v>
      </c>
      <c r="AU37" s="152">
        <f ca="1">IFERROR(__xludf.DUMMYFUNCTION("IMPORTRANGE(""https://docs.google.com/spreadsheets/d/1xoDLGBv9CYbyosIhki0kTq6IpYNj-gpjxfobnaDiut0/edit?usp=sharing"",""บึงกาฬ!I440"")"),98293)</f>
        <v>98293</v>
      </c>
      <c r="AV37" s="152">
        <f ca="1">IFERROR(__xludf.DUMMYFUNCTION("IMPORTRANGE(""https://docs.google.com/spreadsheets/d/1xoDLGBv9CYbyosIhki0kTq6IpYNj-gpjxfobnaDiut0/edit?usp=sharing"",""บึงกาฬ!I441"")"),7996)</f>
        <v>7996</v>
      </c>
      <c r="AW37" s="152">
        <f ca="1">IFERROR(__xludf.DUMMYFUNCTION("IMPORTRANGE(""https://docs.google.com/spreadsheets/d/1xoDLGBv9CYbyosIhki0kTq6IpYNj-gpjxfobnaDiut0/edit?usp=sharing"",""บึงกาฬ!J440"")"),0)</f>
        <v>0</v>
      </c>
      <c r="AX37" s="216">
        <f t="shared" ca="1" si="62"/>
        <v>0</v>
      </c>
      <c r="AY37" s="152">
        <f ca="1">IFERROR(__xludf.DUMMYFUNCTION("IMPORTRANGE(""https://docs.google.com/spreadsheets/d/1xoDLGBv9CYbyosIhki0kTq6IpYNj-gpjxfobnaDiut0/edit?usp=sharing"",""บึงกาฬ!J441"")"),0)</f>
        <v>0</v>
      </c>
      <c r="AZ37" s="216">
        <f t="shared" ca="1" si="63"/>
        <v>0</v>
      </c>
      <c r="BA37" s="152">
        <f ca="1">IFERROR(__xludf.DUMMYFUNCTION("IMPORTRANGE(""https://docs.google.com/spreadsheets/d/1xoDLGBv9CYbyosIhki0kTq6IpYNj-gpjxfobnaDiut0/edit?usp=sharing"",""บึงกาฬ!J442"")"),0)</f>
        <v>0</v>
      </c>
      <c r="BB37" s="152">
        <f ca="1">IFERROR(__xludf.DUMMYFUNCTION("IMPORTRANGE(""https://docs.google.com/spreadsheets/d/1xoDLGBv9CYbyosIhki0kTq6IpYNj-gpjxfobnaDiut0/edit?usp=sharing"",""บึงกาฬ!J443"")"),0)</f>
        <v>0</v>
      </c>
      <c r="BC37" s="152">
        <f ca="1">IFERROR(__xludf.DUMMYFUNCTION("IMPORTRANGE(""https://docs.google.com/spreadsheets/d/1xoDLGBv9CYbyosIhki0kTq6IpYNj-gpjxfobnaDiut0/edit?usp=sharing"",""บึงกาฬ!J444"")"),0)</f>
        <v>0</v>
      </c>
      <c r="BD37" s="152">
        <f ca="1">IFERROR(__xludf.DUMMYFUNCTION("IMPORTRANGE(""https://docs.google.com/spreadsheets/d/1xoDLGBv9CYbyosIhki0kTq6IpYNj-gpjxfobnaDiut0/edit?usp=sharing"",""บึงกาฬ!J445"")"),0)</f>
        <v>0</v>
      </c>
      <c r="BE37" s="152">
        <f ca="1">IFERROR(__xludf.DUMMYFUNCTION("IMPORTRANGE(""https://docs.google.com/spreadsheets/d/1xoDLGBv9CYbyosIhki0kTq6IpYNj-gpjxfobnaDiut0/edit?usp=sharing"",""บึงกาฬ!J446"")"),0)</f>
        <v>0</v>
      </c>
      <c r="BF37" s="152">
        <f ca="1">IFERROR(__xludf.DUMMYFUNCTION("IMPORTRANGE(""https://docs.google.com/spreadsheets/d/1xoDLGBv9CYbyosIhki0kTq6IpYNj-gpjxfobnaDiut0/edit?usp=sharing"",""บึงกาฬ!J447"")"),0)</f>
        <v>0</v>
      </c>
      <c r="BG37" s="152">
        <f ca="1">IFERROR(__xludf.DUMMYFUNCTION("IMPORTRANGE(""https://docs.google.com/spreadsheets/d/1xoDLGBv9CYbyosIhki0kTq6IpYNj-gpjxfobnaDiut0/edit?usp=sharing"",""บึงกาฬ!J448"")"),0)</f>
        <v>0</v>
      </c>
      <c r="BH37" s="152">
        <f ca="1">IFERROR(__xludf.DUMMYFUNCTION("IMPORTRANGE(""https://docs.google.com/spreadsheets/d/1xoDLGBv9CYbyosIhki0kTq6IpYNj-gpjxfobnaDiut0/edit?usp=sharing"",""บึงกาฬ!J449"")"),0)</f>
        <v>0</v>
      </c>
      <c r="BI37" s="152">
        <f ca="1">IFERROR(__xludf.DUMMYFUNCTION("IMPORTRANGE(""https://docs.google.com/spreadsheets/d/1xoDLGBv9CYbyosIhki0kTq6IpYNj-gpjxfobnaDiut0/edit?usp=sharing"",""บึงกาฬ!J450"")"),0)</f>
        <v>0</v>
      </c>
      <c r="BJ37" s="152">
        <f ca="1">IFERROR(__xludf.DUMMYFUNCTION("IMPORTRANGE(""https://docs.google.com/spreadsheets/d/1xoDLGBv9CYbyosIhki0kTq6IpYNj-gpjxfobnaDiut0/edit?usp=sharing"",""บึงกาฬ!J451"")"),0)</f>
        <v>0</v>
      </c>
      <c r="BK37" s="152">
        <f ca="1">IFERROR(__xludf.DUMMYFUNCTION("IMPORTRANGE(""https://docs.google.com/spreadsheets/d/1xoDLGBv9CYbyosIhki0kTq6IpYNj-gpjxfobnaDiut0/edit?usp=sharing"",""บึงกาฬ!J452"")"),0)</f>
        <v>0</v>
      </c>
      <c r="BL37" s="152">
        <f ca="1">IFERROR(__xludf.DUMMYFUNCTION("IMPORTRANGE(""https://docs.google.com/spreadsheets/d/1xoDLGBv9CYbyosIhki0kTq6IpYNj-gpjxfobnaDiut0/edit?usp=sharing"",""บึงกาฬ!J453"")"),0)</f>
        <v>0</v>
      </c>
      <c r="BM37" s="152">
        <f ca="1">IFERROR(__xludf.DUMMYFUNCTION("IMPORTRANGE(""https://docs.google.com/spreadsheets/d/1xoDLGBv9CYbyosIhki0kTq6IpYNj-gpjxfobnaDiut0/edit?usp=sharing"",""บึงกาฬ!J454"")"),0)</f>
        <v>0</v>
      </c>
      <c r="BN37" s="152">
        <f ca="1">IFERROR(__xludf.DUMMYFUNCTION("IMPORTRANGE(""https://docs.google.com/spreadsheets/d/1xoDLGBv9CYbyosIhki0kTq6IpYNj-gpjxfobnaDiut0/edit?usp=sharing"",""บึงกาฬ!J455"")"),0)</f>
        <v>0</v>
      </c>
      <c r="BO37" s="152">
        <f ca="1">IFERROR(__xludf.DUMMYFUNCTION("IMPORTRANGE(""https://docs.google.com/spreadsheets/d/1xoDLGBv9CYbyosIhki0kTq6IpYNj-gpjxfobnaDiut0/edit?usp=sharing"",""บึงกาฬ!I457"")"),7850.47)</f>
        <v>7850.47</v>
      </c>
      <c r="BP37" s="152">
        <f ca="1">IFERROR(__xludf.DUMMYFUNCTION("IMPORTRANGE(""https://docs.google.com/spreadsheets/d/1xoDLGBv9CYbyosIhki0kTq6IpYNj-gpjxfobnaDiut0/edit?usp=sharing"",""บึงกาฬ!I458"")"),500)</f>
        <v>500</v>
      </c>
      <c r="BQ37" s="152">
        <f ca="1">IFERROR(__xludf.DUMMYFUNCTION("IMPORTRANGE(""https://docs.google.com/spreadsheets/d/1xoDLGBv9CYbyosIhki0kTq6IpYNj-gpjxfobnaDiut0/edit?usp=sharing"",""บึงกาฬ!J457"")"),0)</f>
        <v>0</v>
      </c>
      <c r="BR37" s="216">
        <f t="shared" ca="1" si="65"/>
        <v>0</v>
      </c>
      <c r="BS37" s="152">
        <f ca="1">IFERROR(__xludf.DUMMYFUNCTION("IMPORTRANGE(""https://docs.google.com/spreadsheets/d/1xoDLGBv9CYbyosIhki0kTq6IpYNj-gpjxfobnaDiut0/edit?usp=sharing"",""บึงกาฬ!J458"")"),0)</f>
        <v>0</v>
      </c>
      <c r="BT37" s="216">
        <f t="shared" ca="1" si="66"/>
        <v>0</v>
      </c>
      <c r="BU37" s="152">
        <f ca="1">IFERROR(__xludf.DUMMYFUNCTION("IMPORTRANGE(""https://docs.google.com/spreadsheets/d/1xoDLGBv9CYbyosIhki0kTq6IpYNj-gpjxfobnaDiut0/edit?usp=sharing"",""บึงกาฬ!J459"")"),0)</f>
        <v>0</v>
      </c>
      <c r="BV37" s="152">
        <f ca="1">IFERROR(__xludf.DUMMYFUNCTION("IMPORTRANGE(""https://docs.google.com/spreadsheets/d/1xoDLGBv9CYbyosIhki0kTq6IpYNj-gpjxfobnaDiut0/edit?usp=sharing"",""บึงกาฬ!J460"")"),0)</f>
        <v>0</v>
      </c>
      <c r="BW37" s="152">
        <f ca="1">IFERROR(__xludf.DUMMYFUNCTION("IMPORTRANGE(""https://docs.google.com/spreadsheets/d/1xoDLGBv9CYbyosIhki0kTq6IpYNj-gpjxfobnaDiut0/edit?usp=sharing"",""บึงกาฬ!J461"")"),0)</f>
        <v>0</v>
      </c>
      <c r="BX37" s="152">
        <f ca="1">IFERROR(__xludf.DUMMYFUNCTION("IMPORTRANGE(""https://docs.google.com/spreadsheets/d/1xoDLGBv9CYbyosIhki0kTq6IpYNj-gpjxfobnaDiut0/edit?usp=sharing"",""บึงกาฬ!J462"")"),0)</f>
        <v>0</v>
      </c>
      <c r="BY37" s="152">
        <f ca="1">IFERROR(__xludf.DUMMYFUNCTION("IMPORTRANGE(""https://docs.google.com/spreadsheets/d/1xoDLGBv9CYbyosIhki0kTq6IpYNj-gpjxfobnaDiut0/edit?usp=sharing"",""บึงกาฬ!J463"")"),0)</f>
        <v>0</v>
      </c>
      <c r="BZ37" s="152">
        <f ca="1">IFERROR(__xludf.DUMMYFUNCTION("IMPORTRANGE(""https://docs.google.com/spreadsheets/d/1xoDLGBv9CYbyosIhki0kTq6IpYNj-gpjxfobnaDiut0/edit?usp=sharing"",""บึงกาฬ!J464"")"),0)</f>
        <v>0</v>
      </c>
      <c r="CA37" s="152">
        <f ca="1">IFERROR(__xludf.DUMMYFUNCTION("IMPORTRANGE(""https://docs.google.com/spreadsheets/d/1xoDLGBv9CYbyosIhki0kTq6IpYNj-gpjxfobnaDiut0/edit?usp=sharing"",""บึงกาฬ!J465"")"),0)</f>
        <v>0</v>
      </c>
      <c r="CB37" s="152">
        <f ca="1">IFERROR(__xludf.DUMMYFUNCTION("IMPORTRANGE(""https://docs.google.com/spreadsheets/d/1xoDLGBv9CYbyosIhki0kTq6IpYNj-gpjxfobnaDiut0/edit?usp=sharing"",""บึงกาฬ!J466"")"),0)</f>
        <v>0</v>
      </c>
      <c r="CC37" s="152">
        <f ca="1">IFERROR(__xludf.DUMMYFUNCTION("IMPORTRANGE(""https://docs.google.com/spreadsheets/d/1xoDLGBv9CYbyosIhki0kTq6IpYNj-gpjxfobnaDiut0/edit?usp=sharing"",""บึงกาฬ!J467"")"),0)</f>
        <v>0</v>
      </c>
      <c r="CD37" s="152">
        <f ca="1">IFERROR(__xludf.DUMMYFUNCTION("IMPORTRANGE(""https://docs.google.com/spreadsheets/d/1xoDLGBv9CYbyosIhki0kTq6IpYNj-gpjxfobnaDiut0/edit?usp=sharing"",""บึงกาฬ!J468"")"),0)</f>
        <v>0</v>
      </c>
      <c r="CE37" s="152">
        <f ca="1">IFERROR(__xludf.DUMMYFUNCTION("IMPORTRANGE(""https://docs.google.com/spreadsheets/d/1xoDLGBv9CYbyosIhki0kTq6IpYNj-gpjxfobnaDiut0/edit?usp=sharing"",""บึงกาฬ!J469"")"),0)</f>
        <v>0</v>
      </c>
      <c r="CF37" s="152">
        <f ca="1">IFERROR(__xludf.DUMMYFUNCTION("IMPORTRANGE(""https://docs.google.com/spreadsheets/d/1xoDLGBv9CYbyosIhki0kTq6IpYNj-gpjxfobnaDiut0/edit?usp=sharing"",""บึงกาฬ!J470"")"),0)</f>
        <v>0</v>
      </c>
      <c r="CG37" s="152">
        <f ca="1">IFERROR(__xludf.DUMMYFUNCTION("IMPORTRANGE(""https://docs.google.com/spreadsheets/d/1xoDLGBv9CYbyosIhki0kTq6IpYNj-gpjxfobnaDiut0/edit?usp=sharing"",""บึงกาฬ!J471"")"),0)</f>
        <v>0</v>
      </c>
      <c r="CH37" s="152">
        <f ca="1">IFERROR(__xludf.DUMMYFUNCTION("IMPORTRANGE(""https://docs.google.com/spreadsheets/d/1xoDLGBv9CYbyosIhki0kTq6IpYNj-gpjxfobnaDiut0/edit?usp=sharing"",""บึงกาฬ!J472"")"),0)</f>
        <v>0</v>
      </c>
      <c r="CI37" s="152">
        <f ca="1">IFERROR(__xludf.DUMMYFUNCTION("IMPORTRANGE(""https://docs.google.com/spreadsheets/d/1xoDLGBv9CYbyosIhki0kTq6IpYNj-gpjxfobnaDiut0/edit?usp=sharing"",""บึงกาฬ!J473"")"),0)</f>
        <v>0</v>
      </c>
      <c r="CJ37" s="152">
        <f ca="1">IFERROR(__xludf.DUMMYFUNCTION("IMPORTRANGE(""https://docs.google.com/spreadsheets/d/1xoDLGBv9CYbyosIhki0kTq6IpYNj-gpjxfobnaDiut0/edit?usp=sharing"",""บึงกาฬ!J474"")"),0)</f>
        <v>0</v>
      </c>
      <c r="CK37" s="278">
        <f ca="1">IFERROR(__xludf.DUMMYFUNCTION("IMPORTRANGE(""https://docs.google.com/spreadsheets/d/1xoDLGBv9CYbyosIhki0kTq6IpYNj-gpjxfobnaDiut0/edit?usp=sharing"",""บึงกาฬ!I476"")"),0)</f>
        <v>0</v>
      </c>
      <c r="CL37" s="278">
        <f ca="1">IFERROR(__xludf.DUMMYFUNCTION("IMPORTRANGE(""https://docs.google.com/spreadsheets/d/1xoDLGBv9CYbyosIhki0kTq6IpYNj-gpjxfobnaDiut0/edit?usp=sharing"",""บึงกาฬ!I477"")"),0)</f>
        <v>0</v>
      </c>
      <c r="CM37" s="278">
        <f ca="1">IFERROR(__xludf.DUMMYFUNCTION("IMPORTRANGE(""https://docs.google.com/spreadsheets/d/1xoDLGBv9CYbyosIhki0kTq6IpYNj-gpjxfobnaDiut0/edit?usp=sharing"",""บึงกาฬ!J476"")"),0)</f>
        <v>0</v>
      </c>
      <c r="CN37" s="216">
        <f t="shared" ca="1" si="68"/>
        <v>0</v>
      </c>
      <c r="CO37" s="278">
        <f ca="1">IFERROR(__xludf.DUMMYFUNCTION("IMPORTRANGE(""https://docs.google.com/spreadsheets/d/1xoDLGBv9CYbyosIhki0kTq6IpYNj-gpjxfobnaDiut0/edit?usp=sharing"",""บึงกาฬ!J477"")"),0)</f>
        <v>0</v>
      </c>
      <c r="CP37" s="216">
        <f t="shared" ca="1" si="69"/>
        <v>0</v>
      </c>
      <c r="CQ37" s="278">
        <f ca="1">IFERROR(__xludf.DUMMYFUNCTION("IMPORTRANGE(""https://docs.google.com/spreadsheets/d/1xoDLGBv9CYbyosIhki0kTq6IpYNj-gpjxfobnaDiut0/edit?usp=sharing"",""บึงกาฬ!J478"")"),0)</f>
        <v>0</v>
      </c>
      <c r="CR37" s="278">
        <f ca="1">IFERROR(__xludf.DUMMYFUNCTION("IMPORTRANGE(""https://docs.google.com/spreadsheets/d/1xoDLGBv9CYbyosIhki0kTq6IpYNj-gpjxfobnaDiut0/edit?usp=sharing"",""บึงกาฬ!J479"")"),0)</f>
        <v>0</v>
      </c>
      <c r="CS37" s="278">
        <f ca="1">IFERROR(__xludf.DUMMYFUNCTION("IMPORTRANGE(""https://docs.google.com/spreadsheets/d/1xoDLGBv9CYbyosIhki0kTq6IpYNj-gpjxfobnaDiut0/edit?usp=sharing"",""บึงกาฬ!J480"")"),0)</f>
        <v>0</v>
      </c>
      <c r="CT37" s="278">
        <f ca="1">IFERROR(__xludf.DUMMYFUNCTION("IMPORTRANGE(""https://docs.google.com/spreadsheets/d/1xoDLGBv9CYbyosIhki0kTq6IpYNj-gpjxfobnaDiut0/edit?usp=sharing"",""บึงกาฬ!J481"")"),0)</f>
        <v>0</v>
      </c>
      <c r="CU37" s="278">
        <f ca="1">IFERROR(__xludf.DUMMYFUNCTION("IMPORTRANGE(""https://docs.google.com/spreadsheets/d/1xoDLGBv9CYbyosIhki0kTq6IpYNj-gpjxfobnaDiut0/edit?usp=sharing"",""บึงกาฬ!I484"")"),30)</f>
        <v>30</v>
      </c>
      <c r="CV37" s="278">
        <f ca="1">IFERROR(__xludf.DUMMYFUNCTION("IMPORTRANGE(""https://docs.google.com/spreadsheets/d/1xoDLGBv9CYbyosIhki0kTq6IpYNj-gpjxfobnaDiut0/edit?usp=sharing"",""บึงกาฬ!I485"")"),2)</f>
        <v>2</v>
      </c>
      <c r="CW37" s="278">
        <f ca="1">IFERROR(__xludf.DUMMYFUNCTION("IMPORTRANGE(""https://docs.google.com/spreadsheets/d/1xoDLGBv9CYbyosIhki0kTq6IpYNj-gpjxfobnaDiut0/edit?usp=sharing"",""บึงกาฬ!J484"")"),0)</f>
        <v>0</v>
      </c>
      <c r="CX37" s="216">
        <f t="shared" ca="1" si="71"/>
        <v>0</v>
      </c>
      <c r="CY37" s="278">
        <f ca="1">IFERROR(__xludf.DUMMYFUNCTION("IMPORTRANGE(""https://docs.google.com/spreadsheets/d/1xoDLGBv9CYbyosIhki0kTq6IpYNj-gpjxfobnaDiut0/edit?usp=sharing"",""บึงกาฬ!J485"")"),0)</f>
        <v>0</v>
      </c>
      <c r="CZ37" s="216">
        <f t="shared" ca="1" si="72"/>
        <v>0</v>
      </c>
      <c r="DA37" s="278">
        <f ca="1">IFERROR(__xludf.DUMMYFUNCTION("IMPORTRANGE(""https://docs.google.com/spreadsheets/d/1xoDLGBv9CYbyosIhki0kTq6IpYNj-gpjxfobnaDiut0/edit?usp=sharing"",""บึงกาฬ!J486"")"),0)</f>
        <v>0</v>
      </c>
      <c r="DB37" s="278">
        <f ca="1">IFERROR(__xludf.DUMMYFUNCTION("IMPORTRANGE(""https://docs.google.com/spreadsheets/d/1xoDLGBv9CYbyosIhki0kTq6IpYNj-gpjxfobnaDiut0/edit?usp=sharing"",""บึงกาฬ!J487"")"),0)</f>
        <v>0</v>
      </c>
      <c r="DC37" s="278">
        <f ca="1">IFERROR(__xludf.DUMMYFUNCTION("IMPORTRANGE(""https://docs.google.com/spreadsheets/d/1xoDLGBv9CYbyosIhki0kTq6IpYNj-gpjxfobnaDiut0/edit?usp=sharing"",""บึงกาฬ!J488"")"),0)</f>
        <v>0</v>
      </c>
      <c r="DD37" s="278">
        <f ca="1">IFERROR(__xludf.DUMMYFUNCTION("IMPORTRANGE(""https://docs.google.com/spreadsheets/d/1xoDLGBv9CYbyosIhki0kTq6IpYNj-gpjxfobnaDiut0/edit?usp=sharing"",""บึงกาฬ!J489"")"),0)</f>
        <v>0</v>
      </c>
      <c r="DE37" s="278">
        <f ca="1">IFERROR(__xludf.DUMMYFUNCTION("IMPORTRANGE(""https://docs.google.com/spreadsheets/d/1xoDLGBv9CYbyosIhki0kTq6IpYNj-gpjxfobnaDiut0/edit?usp=sharing"",""บึงกาฬ!J490"")"),0)</f>
        <v>0</v>
      </c>
      <c r="DF37" s="278">
        <f ca="1">IFERROR(__xludf.DUMMYFUNCTION("IMPORTRANGE(""https://docs.google.com/spreadsheets/d/1xoDLGBv9CYbyosIhki0kTq6IpYNj-gpjxfobnaDiut0/edit?usp=sharing"",""บึงกาฬ!J491"")"),0)</f>
        <v>0</v>
      </c>
    </row>
    <row r="38" spans="1:110" ht="19.5" x14ac:dyDescent="0.3">
      <c r="A38" s="147">
        <v>7</v>
      </c>
      <c r="B38" s="148" t="s">
        <v>66</v>
      </c>
      <c r="C38" s="566">
        <f t="shared" ca="1" si="44"/>
        <v>640100</v>
      </c>
      <c r="D38" s="567">
        <f t="shared" ca="1" si="84"/>
        <v>640100</v>
      </c>
      <c r="E38" s="329">
        <f ca="1">IFERROR(__xludf.DUMMYFUNCTION("IMPORTRANGE(""https://docs.google.com/spreadsheets/d/1-uDff_7J0KD5mKrp0Vvzr7lt3OU09vwQwhkpOPPYv2Y/edit?usp=sharing"",""งบพรบ!IP38"")"),266800)</f>
        <v>266800</v>
      </c>
      <c r="F38" s="329">
        <f ca="1">IFERROR(__xludf.DUMMYFUNCTION("IMPORTRANGE(""https://docs.google.com/spreadsheets/d/1-uDff_7J0KD5mKrp0Vvzr7lt3OU09vwQwhkpOPPYv2Y/edit?usp=sharing"",""งบพรบ!IQ38"")"),373300)</f>
        <v>373300</v>
      </c>
      <c r="G38" s="329">
        <f ca="1">IFERROR(__xludf.DUMMYFUNCTION("IMPORTRANGE(""https://docs.google.com/spreadsheets/d/1-uDff_7J0KD5mKrp0Vvzr7lt3OU09vwQwhkpOPPYv2Y/edit?usp=sharing"",""งบพรบ!IR38"")"),0)</f>
        <v>0</v>
      </c>
      <c r="H38" s="329">
        <f ca="1">IFERROR(__xludf.DUMMYFUNCTION("IMPORTRANGE(""https://docs.google.com/spreadsheets/d/1-uDff_7J0KD5mKrp0Vvzr7lt3OU09vwQwhkpOPPYv2Y/edit?usp=sharing"",""งบพรบ!IT38"")"),640100)</f>
        <v>640100</v>
      </c>
      <c r="I38" s="329">
        <f ca="1">IFERROR(__xludf.DUMMYFUNCTION("IMPORTRANGE(""https://docs.google.com/spreadsheets/d/1-uDff_7J0KD5mKrp0Vvzr7lt3OU09vwQwhkpOPPYv2Y/edit?usp=sharing"",""งบพรบ!IU38"")"),0)</f>
        <v>0</v>
      </c>
      <c r="J38" s="329">
        <f t="shared" ca="1" si="46"/>
        <v>239254.41</v>
      </c>
      <c r="K38" s="568">
        <f t="shared" ca="1" si="47"/>
        <v>37.377661302921418</v>
      </c>
      <c r="L38" s="329">
        <f ca="1">IFERROR(__xludf.DUMMYFUNCTION("IMPORTRANGE(""https://docs.google.com/spreadsheets/d/1-uDff_7J0KD5mKrp0Vvzr7lt3OU09vwQwhkpOPPYv2Y/edit?usp=sharing"",""งบพรบ!IV38"")"),239254.41)</f>
        <v>239254.41</v>
      </c>
      <c r="M38" s="330">
        <f t="shared" ca="1" si="48"/>
        <v>37.377661302921418</v>
      </c>
      <c r="N38" s="330">
        <f t="shared" ca="1" si="49"/>
        <v>37.377661302921418</v>
      </c>
      <c r="O38" s="569">
        <f ca="1">IFERROR(__xludf.DUMMYFUNCTION("IMPORTRANGE(""https://docs.google.com/spreadsheets/d/1-uDff_7J0KD5mKrp0Vvzr7lt3OU09vwQwhkpOPPYv2Y/edit?usp=sharing"",""งบพรบ!IW38"")"),0)</f>
        <v>0</v>
      </c>
      <c r="P38" s="569">
        <f t="shared" ca="1" si="50"/>
        <v>0</v>
      </c>
      <c r="Q38" s="330">
        <f t="shared" ca="1" si="51"/>
        <v>0</v>
      </c>
      <c r="R38" s="564">
        <f ca="1">IFERROR(__xludf.DUMMYFUNCTION("IMPORTRANGE(""https://docs.google.com/spreadsheets/d/1MMPq-JyI6DSgQETxuSiXkesP-P7JHuemnE6QJIa-Nlw/edit?usp=sharing"",""บุรีรัมย์!Q413"")"),87740)</f>
        <v>87740</v>
      </c>
      <c r="S38" s="564">
        <f ca="1">IFERROR(__xludf.DUMMYFUNCTION("IMPORTRANGE(""https://docs.google.com/spreadsheets/d/1MMPq-JyI6DSgQETxuSiXkesP-P7JHuemnE6QJIa-Nlw/edit?usp=sharing"",""บุรีรัมย์!R413"")"),87740)</f>
        <v>87740</v>
      </c>
      <c r="T38" s="564">
        <f ca="1">IFERROR(__xludf.DUMMYFUNCTION("IMPORTRANGE(""https://docs.google.com/spreadsheets/d/1MMPq-JyI6DSgQETxuSiXkesP-P7JHuemnE6QJIa-Nlw/edit?usp=sharing"",""บุรีรัมย์!S413"")"),15525)</f>
        <v>15525</v>
      </c>
      <c r="U38" s="565">
        <f t="shared" ca="1" si="53"/>
        <v>17.694324139503077</v>
      </c>
      <c r="V38" s="565">
        <f t="shared" ca="1" si="54"/>
        <v>17.694324139503077</v>
      </c>
      <c r="W38" s="397">
        <f ca="1">IFERROR(__xludf.DUMMYFUNCTION("IMPORTRANGE(""https://docs.google.com/spreadsheets/d/1MMPq-JyI6DSgQETxuSiXkesP-P7JHuemnE6QJIa-Nlw/edit?usp=sharing"",""บุรีรัมย์!I424"")"),54185)</f>
        <v>54185</v>
      </c>
      <c r="X38" s="397">
        <f ca="1">IFERROR(__xludf.DUMMYFUNCTION("IMPORTRANGE(""https://docs.google.com/spreadsheets/d/1MMPq-JyI6DSgQETxuSiXkesP-P7JHuemnE6QJIa-Nlw/edit?usp=sharing"",""บุรีรัมย์!I425"")"),5497)</f>
        <v>5497</v>
      </c>
      <c r="Y38" s="397">
        <f ca="1">IFERROR(__xludf.DUMMYFUNCTION("IMPORTRANGE(""https://docs.google.com/spreadsheets/d/1MMPq-JyI6DSgQETxuSiXkesP-P7JHuemnE6QJIa-Nlw/edit?usp=sharing"",""บุรีรัมย์!J424"")"),32841)</f>
        <v>32841</v>
      </c>
      <c r="Z38" s="216">
        <f t="shared" ca="1" si="56"/>
        <v>60.60902463781489</v>
      </c>
      <c r="AA38" s="397">
        <f ca="1">IFERROR(__xludf.DUMMYFUNCTION("IMPORTRANGE(""https://docs.google.com/spreadsheets/d/1MMPq-JyI6DSgQETxuSiXkesP-P7JHuemnE6QJIa-Nlw/edit?usp=sharing"",""บุรีรัมย์!J425"")"),2582)</f>
        <v>2582</v>
      </c>
      <c r="AB38" s="216">
        <f t="shared" ca="1" si="57"/>
        <v>46.971075131890125</v>
      </c>
      <c r="AC38" s="397">
        <f ca="1">IFERROR(__xludf.DUMMYFUNCTION("IMPORTRANGE(""https://docs.google.com/spreadsheets/d/1MMPq-JyI6DSgQETxuSiXkesP-P7JHuemnE6QJIa-Nlw/edit?usp=sharing"",""บุรีรัมย์!J426"")"),22135)</f>
        <v>22135</v>
      </c>
      <c r="AD38" s="397">
        <f ca="1">IFERROR(__xludf.DUMMYFUNCTION("IMPORTRANGE(""https://docs.google.com/spreadsheets/d/1MMPq-JyI6DSgQETxuSiXkesP-P7JHuemnE6QJIa-Nlw/edit?usp=sharing"",""บุรีรัมย์!J427"")"),1726)</f>
        <v>1726</v>
      </c>
      <c r="AE38" s="397">
        <f ca="1">IFERROR(__xludf.DUMMYFUNCTION("IMPORTRANGE(""https://docs.google.com/spreadsheets/d/1MMPq-JyI6DSgQETxuSiXkesP-P7JHuemnE6QJIa-Nlw/edit?usp=sharing"",""บุรีรัมย์!J428"")"),9400)</f>
        <v>9400</v>
      </c>
      <c r="AF38" s="397">
        <f ca="1">IFERROR(__xludf.DUMMYFUNCTION("IMPORTRANGE(""https://docs.google.com/spreadsheets/d/1MMPq-JyI6DSgQETxuSiXkesP-P7JHuemnE6QJIa-Nlw/edit?usp=sharing"",""บุรีรัมย์!J429"")"),754)</f>
        <v>754</v>
      </c>
      <c r="AG38" s="397">
        <f ca="1">IFERROR(__xludf.DUMMYFUNCTION("IMPORTRANGE(""https://docs.google.com/spreadsheets/d/1MMPq-JyI6DSgQETxuSiXkesP-P7JHuemnE6QJIa-Nlw/edit?usp=sharing"",""บุรีรัมย์!J430"")"),1306)</f>
        <v>1306</v>
      </c>
      <c r="AH38" s="397">
        <f ca="1">IFERROR(__xludf.DUMMYFUNCTION("IMPORTRANGE(""https://docs.google.com/spreadsheets/d/1MMPq-JyI6DSgQETxuSiXkesP-P7JHuemnE6QJIa-Nlw/edit?usp=sharing"",""บุรีรัมย์!J431"")"),102)</f>
        <v>102</v>
      </c>
      <c r="AI38" s="152">
        <f ca="1">IFERROR(__xludf.DUMMYFUNCTION("IMPORTRANGE(""https://docs.google.com/spreadsheets/d/1MMPq-JyI6DSgQETxuSiXkesP-P7JHuemnE6QJIa-Nlw/edit?usp=sharing"",""บุรีรัมย์!I432"")"),54185)</f>
        <v>54185</v>
      </c>
      <c r="AJ38" s="152">
        <f ca="1">IFERROR(__xludf.DUMMYFUNCTION("IMPORTRANGE(""https://docs.google.com/spreadsheets/d/1MMPq-JyI6DSgQETxuSiXkesP-P7JHuemnE6QJIa-Nlw/edit?usp=sharing"",""บุรีรัมย์!I433"")"),5497)</f>
        <v>5497</v>
      </c>
      <c r="AK38" s="216">
        <f ca="1">IFERROR(__xludf.DUMMYFUNCTION("IMPORTRANGE(""https://docs.google.com/spreadsheets/d/1MMPq-JyI6DSgQETxuSiXkesP-P7JHuemnE6QJIa-Nlw/edit?usp=sharing"",""บุรีรัมย์!J432"")"),0)</f>
        <v>0</v>
      </c>
      <c r="AL38" s="216">
        <f t="shared" ca="1" si="59"/>
        <v>0</v>
      </c>
      <c r="AM38" s="152">
        <f ca="1">IFERROR(__xludf.DUMMYFUNCTION("IMPORTRANGE(""https://docs.google.com/spreadsheets/d/1MMPq-JyI6DSgQETxuSiXkesP-P7JHuemnE6QJIa-Nlw/edit?usp=sharing"",""บุรีรัมย์!J433"")"),0)</f>
        <v>0</v>
      </c>
      <c r="AN38" s="216">
        <f t="shared" ca="1" si="60"/>
        <v>0</v>
      </c>
      <c r="AO38" s="152">
        <f ca="1">IFERROR(__xludf.DUMMYFUNCTION("IMPORTRANGE(""https://docs.google.com/spreadsheets/d/1MMPq-JyI6DSgQETxuSiXkesP-P7JHuemnE6QJIa-Nlw/edit?usp=sharing"",""บุรีรัมย์!J434"")"),0)</f>
        <v>0</v>
      </c>
      <c r="AP38" s="152">
        <f ca="1">IFERROR(__xludf.DUMMYFUNCTION("IMPORTRANGE(""https://docs.google.com/spreadsheets/d/1MMPq-JyI6DSgQETxuSiXkesP-P7JHuemnE6QJIa-Nlw/edit?usp=sharing"",""บุรีรัมย์!J435"")"),0)</f>
        <v>0</v>
      </c>
      <c r="AQ38" s="152">
        <f ca="1">IFERROR(__xludf.DUMMYFUNCTION("IMPORTRANGE(""https://docs.google.com/spreadsheets/d/1MMPq-JyI6DSgQETxuSiXkesP-P7JHuemnE6QJIa-Nlw/edit?usp=sharing"",""บุรีรัมย์!J436"")"),0)</f>
        <v>0</v>
      </c>
      <c r="AR38" s="152">
        <f ca="1">IFERROR(__xludf.DUMMYFUNCTION("IMPORTRANGE(""https://docs.google.com/spreadsheets/d/1MMPq-JyI6DSgQETxuSiXkesP-P7JHuemnE6QJIa-Nlw/edit?usp=sharing"",""บุรีรัมย์!J437"")"),0)</f>
        <v>0</v>
      </c>
      <c r="AS38" s="152">
        <f ca="1">IFERROR(__xludf.DUMMYFUNCTION("IMPORTRANGE(""https://docs.google.com/spreadsheets/d/1MMPq-JyI6DSgQETxuSiXkesP-P7JHuemnE6QJIa-Nlw/edit?usp=sharing"",""บุรีรัมย์!J438"")"),0)</f>
        <v>0</v>
      </c>
      <c r="AT38" s="152">
        <f ca="1">IFERROR(__xludf.DUMMYFUNCTION("IMPORTRANGE(""https://docs.google.com/spreadsheets/d/1MMPq-JyI6DSgQETxuSiXkesP-P7JHuemnE6QJIa-Nlw/edit?usp=sharing"",""บุรีรัมย์!J439"")"),0)</f>
        <v>0</v>
      </c>
      <c r="AU38" s="152">
        <f ca="1">IFERROR(__xludf.DUMMYFUNCTION("IMPORTRANGE(""https://docs.google.com/spreadsheets/d/1MMPq-JyI6DSgQETxuSiXkesP-P7JHuemnE6QJIa-Nlw/edit?usp=sharing"",""บุรีรัมย์!I440"")"),54185)</f>
        <v>54185</v>
      </c>
      <c r="AV38" s="152">
        <f ca="1">IFERROR(__xludf.DUMMYFUNCTION("IMPORTRANGE(""https://docs.google.com/spreadsheets/d/1MMPq-JyI6DSgQETxuSiXkesP-P7JHuemnE6QJIa-Nlw/edit?usp=sharing"",""บุรีรัมย์!I441"")"),5497)</f>
        <v>5497</v>
      </c>
      <c r="AW38" s="152">
        <f ca="1">IFERROR(__xludf.DUMMYFUNCTION("IMPORTRANGE(""https://docs.google.com/spreadsheets/d/1MMPq-JyI6DSgQETxuSiXkesP-P7JHuemnE6QJIa-Nlw/edit?usp=sharing"",""บุรีรัมย์!J440"")"),0)</f>
        <v>0</v>
      </c>
      <c r="AX38" s="216">
        <f t="shared" ca="1" si="62"/>
        <v>0</v>
      </c>
      <c r="AY38" s="152">
        <f ca="1">IFERROR(__xludf.DUMMYFUNCTION("IMPORTRANGE(""https://docs.google.com/spreadsheets/d/1MMPq-JyI6DSgQETxuSiXkesP-P7JHuemnE6QJIa-Nlw/edit?usp=sharing"",""บุรีรัมย์!J441"")"),0)</f>
        <v>0</v>
      </c>
      <c r="AZ38" s="216">
        <f t="shared" ca="1" si="63"/>
        <v>0</v>
      </c>
      <c r="BA38" s="152">
        <f ca="1">IFERROR(__xludf.DUMMYFUNCTION("IMPORTRANGE(""https://docs.google.com/spreadsheets/d/1MMPq-JyI6DSgQETxuSiXkesP-P7JHuemnE6QJIa-Nlw/edit?usp=sharing"",""บุรีรัมย์!J442"")"),0)</f>
        <v>0</v>
      </c>
      <c r="BB38" s="152">
        <f ca="1">IFERROR(__xludf.DUMMYFUNCTION("IMPORTRANGE(""https://docs.google.com/spreadsheets/d/1MMPq-JyI6DSgQETxuSiXkesP-P7JHuemnE6QJIa-Nlw/edit?usp=sharing"",""บุรีรัมย์!J443"")"),0)</f>
        <v>0</v>
      </c>
      <c r="BC38" s="152">
        <f ca="1">IFERROR(__xludf.DUMMYFUNCTION("IMPORTRANGE(""https://docs.google.com/spreadsheets/d/1MMPq-JyI6DSgQETxuSiXkesP-P7JHuemnE6QJIa-Nlw/edit?usp=sharing"",""บุรีรัมย์!J444"")"),0)</f>
        <v>0</v>
      </c>
      <c r="BD38" s="152">
        <f ca="1">IFERROR(__xludf.DUMMYFUNCTION("IMPORTRANGE(""https://docs.google.com/spreadsheets/d/1MMPq-JyI6DSgQETxuSiXkesP-P7JHuemnE6QJIa-Nlw/edit?usp=sharing"",""บุรีรัมย์!J445"")"),0)</f>
        <v>0</v>
      </c>
      <c r="BE38" s="152">
        <f ca="1">IFERROR(__xludf.DUMMYFUNCTION("IMPORTRANGE(""https://docs.google.com/spreadsheets/d/1MMPq-JyI6DSgQETxuSiXkesP-P7JHuemnE6QJIa-Nlw/edit?usp=sharing"",""บุรีรัมย์!J446"")"),0)</f>
        <v>0</v>
      </c>
      <c r="BF38" s="152">
        <f ca="1">IFERROR(__xludf.DUMMYFUNCTION("IMPORTRANGE(""https://docs.google.com/spreadsheets/d/1MMPq-JyI6DSgQETxuSiXkesP-P7JHuemnE6QJIa-Nlw/edit?usp=sharing"",""บุรีรัมย์!J447"")"),0)</f>
        <v>0</v>
      </c>
      <c r="BG38" s="152">
        <f ca="1">IFERROR(__xludf.DUMMYFUNCTION("IMPORTRANGE(""https://docs.google.com/spreadsheets/d/1MMPq-JyI6DSgQETxuSiXkesP-P7JHuemnE6QJIa-Nlw/edit?usp=sharing"",""บุรีรัมย์!J448"")"),0)</f>
        <v>0</v>
      </c>
      <c r="BH38" s="152">
        <f ca="1">IFERROR(__xludf.DUMMYFUNCTION("IMPORTRANGE(""https://docs.google.com/spreadsheets/d/1MMPq-JyI6DSgQETxuSiXkesP-P7JHuemnE6QJIa-Nlw/edit?usp=sharing"",""บุรีรัมย์!J449"")"),0)</f>
        <v>0</v>
      </c>
      <c r="BI38" s="152">
        <f ca="1">IFERROR(__xludf.DUMMYFUNCTION("IMPORTRANGE(""https://docs.google.com/spreadsheets/d/1MMPq-JyI6DSgQETxuSiXkesP-P7JHuemnE6QJIa-Nlw/edit?usp=sharing"",""บุรีรัมย์!J450"")"),0)</f>
        <v>0</v>
      </c>
      <c r="BJ38" s="152">
        <f ca="1">IFERROR(__xludf.DUMMYFUNCTION("IMPORTRANGE(""https://docs.google.com/spreadsheets/d/1MMPq-JyI6DSgQETxuSiXkesP-P7JHuemnE6QJIa-Nlw/edit?usp=sharing"",""บุรีรัมย์!J451"")"),0)</f>
        <v>0</v>
      </c>
      <c r="BK38" s="152">
        <f ca="1">IFERROR(__xludf.DUMMYFUNCTION("IMPORTRANGE(""https://docs.google.com/spreadsheets/d/1MMPq-JyI6DSgQETxuSiXkesP-P7JHuemnE6QJIa-Nlw/edit?usp=sharing"",""บุรีรัมย์!J452"")"),0)</f>
        <v>0</v>
      </c>
      <c r="BL38" s="152">
        <f ca="1">IFERROR(__xludf.DUMMYFUNCTION("IMPORTRANGE(""https://docs.google.com/spreadsheets/d/1MMPq-JyI6DSgQETxuSiXkesP-P7JHuemnE6QJIa-Nlw/edit?usp=sharing"",""บุรีรัมย์!J453"")"),0)</f>
        <v>0</v>
      </c>
      <c r="BM38" s="152">
        <f ca="1">IFERROR(__xludf.DUMMYFUNCTION("IMPORTRANGE(""https://docs.google.com/spreadsheets/d/1MMPq-JyI6DSgQETxuSiXkesP-P7JHuemnE6QJIa-Nlw/edit?usp=sharing"",""บุรีรัมย์!J454"")"),0)</f>
        <v>0</v>
      </c>
      <c r="BN38" s="152">
        <f ca="1">IFERROR(__xludf.DUMMYFUNCTION("IMPORTRANGE(""https://docs.google.com/spreadsheets/d/1MMPq-JyI6DSgQETxuSiXkesP-P7JHuemnE6QJIa-Nlw/edit?usp=sharing"",""บุรีรัมย์!J455"")"),0)</f>
        <v>0</v>
      </c>
      <c r="BO38" s="152">
        <f ca="1">IFERROR(__xludf.DUMMYFUNCTION("IMPORTRANGE(""https://docs.google.com/spreadsheets/d/1MMPq-JyI6DSgQETxuSiXkesP-P7JHuemnE6QJIa-Nlw/edit?usp=sharing"",""บุรีรัมย์!I457"")"),7137.89)</f>
        <v>7137.89</v>
      </c>
      <c r="BP38" s="152">
        <f ca="1">IFERROR(__xludf.DUMMYFUNCTION("IMPORTRANGE(""https://docs.google.com/spreadsheets/d/1MMPq-JyI6DSgQETxuSiXkesP-P7JHuemnE6QJIa-Nlw/edit?usp=sharing"",""บุรีรัมย์!I458"")"),631)</f>
        <v>631</v>
      </c>
      <c r="BQ38" s="152">
        <f ca="1">IFERROR(__xludf.DUMMYFUNCTION("IMPORTRANGE(""https://docs.google.com/spreadsheets/d/1MMPq-JyI6DSgQETxuSiXkesP-P7JHuemnE6QJIa-Nlw/edit?usp=sharing"",""บุรีรัมย์!J457"")"),0)</f>
        <v>0</v>
      </c>
      <c r="BR38" s="216">
        <f t="shared" ca="1" si="65"/>
        <v>0</v>
      </c>
      <c r="BS38" s="152">
        <f ca="1">IFERROR(__xludf.DUMMYFUNCTION("IMPORTRANGE(""https://docs.google.com/spreadsheets/d/1MMPq-JyI6DSgQETxuSiXkesP-P7JHuemnE6QJIa-Nlw/edit?usp=sharing"",""บุรีรัมย์!J458"")"),0)</f>
        <v>0</v>
      </c>
      <c r="BT38" s="216">
        <f t="shared" ca="1" si="66"/>
        <v>0</v>
      </c>
      <c r="BU38" s="152">
        <f ca="1">IFERROR(__xludf.DUMMYFUNCTION("IMPORTRANGE(""https://docs.google.com/spreadsheets/d/1MMPq-JyI6DSgQETxuSiXkesP-P7JHuemnE6QJIa-Nlw/edit?usp=sharing"",""บุรีรัมย์!J459"")"),0)</f>
        <v>0</v>
      </c>
      <c r="BV38" s="152">
        <f ca="1">IFERROR(__xludf.DUMMYFUNCTION("IMPORTRANGE(""https://docs.google.com/spreadsheets/d/1MMPq-JyI6DSgQETxuSiXkesP-P7JHuemnE6QJIa-Nlw/edit?usp=sharing"",""บุรีรัมย์!J460"")"),0)</f>
        <v>0</v>
      </c>
      <c r="BW38" s="152">
        <f ca="1">IFERROR(__xludf.DUMMYFUNCTION("IMPORTRANGE(""https://docs.google.com/spreadsheets/d/1MMPq-JyI6DSgQETxuSiXkesP-P7JHuemnE6QJIa-Nlw/edit?usp=sharing"",""บุรีรัมย์!J461"")"),0)</f>
        <v>0</v>
      </c>
      <c r="BX38" s="152">
        <f ca="1">IFERROR(__xludf.DUMMYFUNCTION("IMPORTRANGE(""https://docs.google.com/spreadsheets/d/1MMPq-JyI6DSgQETxuSiXkesP-P7JHuemnE6QJIa-Nlw/edit?usp=sharing"",""บุรีรัมย์!J462"")"),0)</f>
        <v>0</v>
      </c>
      <c r="BY38" s="152">
        <f ca="1">IFERROR(__xludf.DUMMYFUNCTION("IMPORTRANGE(""https://docs.google.com/spreadsheets/d/1MMPq-JyI6DSgQETxuSiXkesP-P7JHuemnE6QJIa-Nlw/edit?usp=sharing"",""บุรีรัมย์!J463"")"),0)</f>
        <v>0</v>
      </c>
      <c r="BZ38" s="152">
        <f ca="1">IFERROR(__xludf.DUMMYFUNCTION("IMPORTRANGE(""https://docs.google.com/spreadsheets/d/1MMPq-JyI6DSgQETxuSiXkesP-P7JHuemnE6QJIa-Nlw/edit?usp=sharing"",""บุรีรัมย์!J464"")"),0)</f>
        <v>0</v>
      </c>
      <c r="CA38" s="152">
        <f ca="1">IFERROR(__xludf.DUMMYFUNCTION("IMPORTRANGE(""https://docs.google.com/spreadsheets/d/1MMPq-JyI6DSgQETxuSiXkesP-P7JHuemnE6QJIa-Nlw/edit?usp=sharing"",""บุรีรัมย์!J465"")"),0)</f>
        <v>0</v>
      </c>
      <c r="CB38" s="152">
        <f ca="1">IFERROR(__xludf.DUMMYFUNCTION("IMPORTRANGE(""https://docs.google.com/spreadsheets/d/1MMPq-JyI6DSgQETxuSiXkesP-P7JHuemnE6QJIa-Nlw/edit?usp=sharing"",""บุรีรัมย์!J466"")"),0)</f>
        <v>0</v>
      </c>
      <c r="CC38" s="152">
        <f ca="1">IFERROR(__xludf.DUMMYFUNCTION("IMPORTRANGE(""https://docs.google.com/spreadsheets/d/1MMPq-JyI6DSgQETxuSiXkesP-P7JHuemnE6QJIa-Nlw/edit?usp=sharing"",""บุรีรัมย์!J467"")"),0)</f>
        <v>0</v>
      </c>
      <c r="CD38" s="152">
        <f ca="1">IFERROR(__xludf.DUMMYFUNCTION("IMPORTRANGE(""https://docs.google.com/spreadsheets/d/1MMPq-JyI6DSgQETxuSiXkesP-P7JHuemnE6QJIa-Nlw/edit?usp=sharing"",""บุรีรัมย์!J468"")"),0)</f>
        <v>0</v>
      </c>
      <c r="CE38" s="152">
        <f ca="1">IFERROR(__xludf.DUMMYFUNCTION("IMPORTRANGE(""https://docs.google.com/spreadsheets/d/1MMPq-JyI6DSgQETxuSiXkesP-P7JHuemnE6QJIa-Nlw/edit?usp=sharing"",""บุรีรัมย์!J469"")"),0)</f>
        <v>0</v>
      </c>
      <c r="CF38" s="152">
        <f ca="1">IFERROR(__xludf.DUMMYFUNCTION("IMPORTRANGE(""https://docs.google.com/spreadsheets/d/1MMPq-JyI6DSgQETxuSiXkesP-P7JHuemnE6QJIa-Nlw/edit?usp=sharing"",""บุรีรัมย์!J470"")"),0)</f>
        <v>0</v>
      </c>
      <c r="CG38" s="152">
        <f ca="1">IFERROR(__xludf.DUMMYFUNCTION("IMPORTRANGE(""https://docs.google.com/spreadsheets/d/1MMPq-JyI6DSgQETxuSiXkesP-P7JHuemnE6QJIa-Nlw/edit?usp=sharing"",""บุรีรัมย์!J471"")"),0)</f>
        <v>0</v>
      </c>
      <c r="CH38" s="152">
        <f ca="1">IFERROR(__xludf.DUMMYFUNCTION("IMPORTRANGE(""https://docs.google.com/spreadsheets/d/1MMPq-JyI6DSgQETxuSiXkesP-P7JHuemnE6QJIa-Nlw/edit?usp=sharing"",""บุรีรัมย์!J472"")"),0)</f>
        <v>0</v>
      </c>
      <c r="CI38" s="152">
        <f ca="1">IFERROR(__xludf.DUMMYFUNCTION("IMPORTRANGE(""https://docs.google.com/spreadsheets/d/1MMPq-JyI6DSgQETxuSiXkesP-P7JHuemnE6QJIa-Nlw/edit?usp=sharing"",""บุรีรัมย์!J473"")"),0)</f>
        <v>0</v>
      </c>
      <c r="CJ38" s="152">
        <f ca="1">IFERROR(__xludf.DUMMYFUNCTION("IMPORTRANGE(""https://docs.google.com/spreadsheets/d/1MMPq-JyI6DSgQETxuSiXkesP-P7JHuemnE6QJIa-Nlw/edit?usp=sharing"",""บุรีรัมย์!J474"")"),0)</f>
        <v>0</v>
      </c>
      <c r="CK38" s="278">
        <f ca="1">IFERROR(__xludf.DUMMYFUNCTION("IMPORTRANGE(""https://docs.google.com/spreadsheets/d/1MMPq-JyI6DSgQETxuSiXkesP-P7JHuemnE6QJIa-Nlw/edit?usp=sharing"",""บุรีรัมย์!I476"")"),0)</f>
        <v>0</v>
      </c>
      <c r="CL38" s="278">
        <f ca="1">IFERROR(__xludf.DUMMYFUNCTION("IMPORTRANGE(""https://docs.google.com/spreadsheets/d/1MMPq-JyI6DSgQETxuSiXkesP-P7JHuemnE6QJIa-Nlw/edit?usp=sharing"",""บุรีรัมย์!I477"")"),0)</f>
        <v>0</v>
      </c>
      <c r="CM38" s="278">
        <f ca="1">IFERROR(__xludf.DUMMYFUNCTION("IMPORTRANGE(""https://docs.google.com/spreadsheets/d/1MMPq-JyI6DSgQETxuSiXkesP-P7JHuemnE6QJIa-Nlw/edit?usp=sharing"",""บุรีรัมย์!J476"")"),0)</f>
        <v>0</v>
      </c>
      <c r="CN38" s="216">
        <f t="shared" ca="1" si="68"/>
        <v>0</v>
      </c>
      <c r="CO38" s="278">
        <f ca="1">IFERROR(__xludf.DUMMYFUNCTION("IMPORTRANGE(""https://docs.google.com/spreadsheets/d/1MMPq-JyI6DSgQETxuSiXkesP-P7JHuemnE6QJIa-Nlw/edit?usp=sharing"",""บุรีรัมย์!J477"")"),0)</f>
        <v>0</v>
      </c>
      <c r="CP38" s="216">
        <f t="shared" ca="1" si="69"/>
        <v>0</v>
      </c>
      <c r="CQ38" s="278">
        <f ca="1">IFERROR(__xludf.DUMMYFUNCTION("IMPORTRANGE(""https://docs.google.com/spreadsheets/d/1MMPq-JyI6DSgQETxuSiXkesP-P7JHuemnE6QJIa-Nlw/edit?usp=sharing"",""บุรีรัมย์!J478"")"),0)</f>
        <v>0</v>
      </c>
      <c r="CR38" s="278">
        <f ca="1">IFERROR(__xludf.DUMMYFUNCTION("IMPORTRANGE(""https://docs.google.com/spreadsheets/d/1MMPq-JyI6DSgQETxuSiXkesP-P7JHuemnE6QJIa-Nlw/edit?usp=sharing"",""บุรีรัมย์!J479"")"),0)</f>
        <v>0</v>
      </c>
      <c r="CS38" s="278">
        <f ca="1">IFERROR(__xludf.DUMMYFUNCTION("IMPORTRANGE(""https://docs.google.com/spreadsheets/d/1MMPq-JyI6DSgQETxuSiXkesP-P7JHuemnE6QJIa-Nlw/edit?usp=sharing"",""บุรีรัมย์!J480"")"),0)</f>
        <v>0</v>
      </c>
      <c r="CT38" s="278">
        <f ca="1">IFERROR(__xludf.DUMMYFUNCTION("IMPORTRANGE(""https://docs.google.com/spreadsheets/d/1MMPq-JyI6DSgQETxuSiXkesP-P7JHuemnE6QJIa-Nlw/edit?usp=sharing"",""บุรีรัมย์!J481"")"),0)</f>
        <v>0</v>
      </c>
      <c r="CU38" s="278">
        <f ca="1">IFERROR(__xludf.DUMMYFUNCTION("IMPORTRANGE(""https://docs.google.com/spreadsheets/d/1MMPq-JyI6DSgQETxuSiXkesP-P7JHuemnE6QJIa-Nlw/edit?usp=sharing"",""บุรีรัมย์!I484"")"),3)</f>
        <v>3</v>
      </c>
      <c r="CV38" s="278">
        <f ca="1">IFERROR(__xludf.DUMMYFUNCTION("IMPORTRANGE(""https://docs.google.com/spreadsheets/d/1MMPq-JyI6DSgQETxuSiXkesP-P7JHuemnE6QJIa-Nlw/edit?usp=sharing"",""บุรีรัมย์!I485"")"),1)</f>
        <v>1</v>
      </c>
      <c r="CW38" s="278">
        <f ca="1">IFERROR(__xludf.DUMMYFUNCTION("IMPORTRANGE(""https://docs.google.com/spreadsheets/d/1MMPq-JyI6DSgQETxuSiXkesP-P7JHuemnE6QJIa-Nlw/edit?usp=sharing"",""บุรีรัมย์!J484"")"),0)</f>
        <v>0</v>
      </c>
      <c r="CX38" s="216">
        <f t="shared" ca="1" si="71"/>
        <v>0</v>
      </c>
      <c r="CY38" s="278">
        <f ca="1">IFERROR(__xludf.DUMMYFUNCTION("IMPORTRANGE(""https://docs.google.com/spreadsheets/d/1MMPq-JyI6DSgQETxuSiXkesP-P7JHuemnE6QJIa-Nlw/edit?usp=sharing"",""บุรีรัมย์!J485"")"),0)</f>
        <v>0</v>
      </c>
      <c r="CZ38" s="216">
        <f t="shared" ca="1" si="72"/>
        <v>0</v>
      </c>
      <c r="DA38" s="278">
        <f ca="1">IFERROR(__xludf.DUMMYFUNCTION("IMPORTRANGE(""https://docs.google.com/spreadsheets/d/1MMPq-JyI6DSgQETxuSiXkesP-P7JHuemnE6QJIa-Nlw/edit?usp=sharing"",""บุรีรัมย์!J486"")"),0)</f>
        <v>0</v>
      </c>
      <c r="DB38" s="278">
        <f ca="1">IFERROR(__xludf.DUMMYFUNCTION("IMPORTRANGE(""https://docs.google.com/spreadsheets/d/1MMPq-JyI6DSgQETxuSiXkesP-P7JHuemnE6QJIa-Nlw/edit?usp=sharing"",""บุรีรัมย์!J487"")"),0)</f>
        <v>0</v>
      </c>
      <c r="DC38" s="278">
        <f ca="1">IFERROR(__xludf.DUMMYFUNCTION("IMPORTRANGE(""https://docs.google.com/spreadsheets/d/1MMPq-JyI6DSgQETxuSiXkesP-P7JHuemnE6QJIa-Nlw/edit?usp=sharing"",""บุรีรัมย์!J488"")"),0)</f>
        <v>0</v>
      </c>
      <c r="DD38" s="278">
        <f ca="1">IFERROR(__xludf.DUMMYFUNCTION("IMPORTRANGE(""https://docs.google.com/spreadsheets/d/1MMPq-JyI6DSgQETxuSiXkesP-P7JHuemnE6QJIa-Nlw/edit?usp=sharing"",""บุรีรัมย์!J489"")"),0)</f>
        <v>0</v>
      </c>
      <c r="DE38" s="278">
        <f ca="1">IFERROR(__xludf.DUMMYFUNCTION("IMPORTRANGE(""https://docs.google.com/spreadsheets/d/1MMPq-JyI6DSgQETxuSiXkesP-P7JHuemnE6QJIa-Nlw/edit?usp=sharing"",""บุรีรัมย์!J490"")"),0)</f>
        <v>0</v>
      </c>
      <c r="DF38" s="278">
        <f ca="1">IFERROR(__xludf.DUMMYFUNCTION("IMPORTRANGE(""https://docs.google.com/spreadsheets/d/1MMPq-JyI6DSgQETxuSiXkesP-P7JHuemnE6QJIa-Nlw/edit?usp=sharing"",""บุรีรัมย์!J491"")"),0)</f>
        <v>0</v>
      </c>
    </row>
    <row r="39" spans="1:110" ht="19.5" x14ac:dyDescent="0.3">
      <c r="A39" s="147">
        <v>8</v>
      </c>
      <c r="B39" s="148" t="s">
        <v>67</v>
      </c>
      <c r="C39" s="566">
        <f t="shared" ca="1" si="44"/>
        <v>260520</v>
      </c>
      <c r="D39" s="567">
        <f t="shared" ca="1" si="84"/>
        <v>260520</v>
      </c>
      <c r="E39" s="329">
        <f ca="1">IFERROR(__xludf.DUMMYFUNCTION("IMPORTRANGE(""https://docs.google.com/spreadsheets/d/1-uDff_7J0KD5mKrp0Vvzr7lt3OU09vwQwhkpOPPYv2Y/edit?usp=sharing"",""งบพรบ!IP39"")"),128000)</f>
        <v>128000</v>
      </c>
      <c r="F39" s="329">
        <f ca="1">IFERROR(__xludf.DUMMYFUNCTION("IMPORTRANGE(""https://docs.google.com/spreadsheets/d/1-uDff_7J0KD5mKrp0Vvzr7lt3OU09vwQwhkpOPPYv2Y/edit?usp=sharing"",""งบพรบ!IQ39"")"),132520)</f>
        <v>132520</v>
      </c>
      <c r="G39" s="329">
        <f ca="1">IFERROR(__xludf.DUMMYFUNCTION("IMPORTRANGE(""https://docs.google.com/spreadsheets/d/1-uDff_7J0KD5mKrp0Vvzr7lt3OU09vwQwhkpOPPYv2Y/edit?usp=sharing"",""งบพรบ!IR39"")"),0)</f>
        <v>0</v>
      </c>
      <c r="H39" s="329">
        <f ca="1">IFERROR(__xludf.DUMMYFUNCTION("IMPORTRANGE(""https://docs.google.com/spreadsheets/d/1-uDff_7J0KD5mKrp0Vvzr7lt3OU09vwQwhkpOPPYv2Y/edit?usp=sharing"",""งบพรบ!IT39"")"),260520)</f>
        <v>260520</v>
      </c>
      <c r="I39" s="329">
        <f ca="1">IFERROR(__xludf.DUMMYFUNCTION("IMPORTRANGE(""https://docs.google.com/spreadsheets/d/1-uDff_7J0KD5mKrp0Vvzr7lt3OU09vwQwhkpOPPYv2Y/edit?usp=sharing"",""งบพรบ!IU39"")"),0)</f>
        <v>0</v>
      </c>
      <c r="J39" s="329">
        <f t="shared" ca="1" si="46"/>
        <v>141067.67000000001</v>
      </c>
      <c r="K39" s="568">
        <f t="shared" ca="1" si="47"/>
        <v>54.148499155535092</v>
      </c>
      <c r="L39" s="329">
        <f ca="1">IFERROR(__xludf.DUMMYFUNCTION("IMPORTRANGE(""https://docs.google.com/spreadsheets/d/1-uDff_7J0KD5mKrp0Vvzr7lt3OU09vwQwhkpOPPYv2Y/edit?usp=sharing"",""งบพรบ!IV39"")"),141067.67)</f>
        <v>141067.67000000001</v>
      </c>
      <c r="M39" s="330">
        <f t="shared" ca="1" si="48"/>
        <v>54.148499155535092</v>
      </c>
      <c r="N39" s="330">
        <f t="shared" ca="1" si="49"/>
        <v>54.148499155535092</v>
      </c>
      <c r="O39" s="569">
        <f ca="1">IFERROR(__xludf.DUMMYFUNCTION("IMPORTRANGE(""https://docs.google.com/spreadsheets/d/1-uDff_7J0KD5mKrp0Vvzr7lt3OU09vwQwhkpOPPYv2Y/edit?usp=sharing"",""งบพรบ!IW39"")"),0)</f>
        <v>0</v>
      </c>
      <c r="P39" s="569">
        <f t="shared" ca="1" si="50"/>
        <v>0</v>
      </c>
      <c r="Q39" s="330">
        <f t="shared" ca="1" si="51"/>
        <v>0</v>
      </c>
      <c r="R39" s="564">
        <f ca="1">IFERROR(__xludf.DUMMYFUNCTION("IMPORTRANGE(""https://docs.google.com/spreadsheets/d/1l6IZ8xUPgMrESzcTYwhA1k_tPjeQjJPTqlm8Gd9eU5g/edit?usp=sharing"",""มหาสารคาม!Q413"")"),58390)</f>
        <v>58390</v>
      </c>
      <c r="S39" s="564">
        <f ca="1">IFERROR(__xludf.DUMMYFUNCTION("IMPORTRANGE(""https://docs.google.com/spreadsheets/d/1l6IZ8xUPgMrESzcTYwhA1k_tPjeQjJPTqlm8Gd9eU5g/edit?usp=sharing"",""มหาสารคาม!R413"")"),58390)</f>
        <v>58390</v>
      </c>
      <c r="T39" s="564">
        <f ca="1">IFERROR(__xludf.DUMMYFUNCTION("IMPORTRANGE(""https://docs.google.com/spreadsheets/d/1l6IZ8xUPgMrESzcTYwhA1k_tPjeQjJPTqlm8Gd9eU5g/edit?usp=sharing"",""มหาสารคาม!S413"")"),31505)</f>
        <v>31505</v>
      </c>
      <c r="U39" s="565">
        <f t="shared" ca="1" si="53"/>
        <v>53.956156876177431</v>
      </c>
      <c r="V39" s="565">
        <f t="shared" ca="1" si="54"/>
        <v>53.956156876177431</v>
      </c>
      <c r="W39" s="152">
        <f ca="1">IFERROR(__xludf.DUMMYFUNCTION("IMPORTRANGE(""https://docs.google.com/spreadsheets/d/1l6IZ8xUPgMrESzcTYwhA1k_tPjeQjJPTqlm8Gd9eU5g/edit?usp=sharing"",""มหาสารคาม!I424"")"),5359)</f>
        <v>5359</v>
      </c>
      <c r="X39" s="152">
        <f ca="1">IFERROR(__xludf.DUMMYFUNCTION("IMPORTRANGE(""https://docs.google.com/spreadsheets/d/1l6IZ8xUPgMrESzcTYwhA1k_tPjeQjJPTqlm8Gd9eU5g/edit?usp=sharing"",""มหาสารคาม!I425"")"),1225)</f>
        <v>1225</v>
      </c>
      <c r="Y39" s="152">
        <f ca="1">IFERROR(__xludf.DUMMYFUNCTION("IMPORTRANGE(""https://docs.google.com/spreadsheets/d/1l6IZ8xUPgMrESzcTYwhA1k_tPjeQjJPTqlm8Gd9eU5g/edit?usp=sharing"",""มหาสารคาม!J424"")"),5359)</f>
        <v>5359</v>
      </c>
      <c r="Z39" s="216">
        <f t="shared" ca="1" si="56"/>
        <v>100</v>
      </c>
      <c r="AA39" s="152">
        <f ca="1">IFERROR(__xludf.DUMMYFUNCTION("IMPORTRANGE(""https://docs.google.com/spreadsheets/d/1l6IZ8xUPgMrESzcTYwhA1k_tPjeQjJPTqlm8Gd9eU5g/edit?usp=sharing"",""มหาสารคาม!J425"")"),1225)</f>
        <v>1225</v>
      </c>
      <c r="AB39" s="216">
        <f t="shared" ca="1" si="57"/>
        <v>100</v>
      </c>
      <c r="AC39" s="152">
        <f ca="1">IFERROR(__xludf.DUMMYFUNCTION("IMPORTRANGE(""https://docs.google.com/spreadsheets/d/1l6IZ8xUPgMrESzcTYwhA1k_tPjeQjJPTqlm8Gd9eU5g/edit?usp=sharing"",""มหาสารคาม!J426"")"),4301.1)</f>
        <v>4301.1000000000004</v>
      </c>
      <c r="AD39" s="152">
        <f ca="1">IFERROR(__xludf.DUMMYFUNCTION("IMPORTRANGE(""https://docs.google.com/spreadsheets/d/1l6IZ8xUPgMrESzcTYwhA1k_tPjeQjJPTqlm8Gd9eU5g/edit?usp=sharing"",""มหาสารคาม!J427"")"),985)</f>
        <v>985</v>
      </c>
      <c r="AE39" s="152">
        <f ca="1">IFERROR(__xludf.DUMMYFUNCTION("IMPORTRANGE(""https://docs.google.com/spreadsheets/d/1l6IZ8xUPgMrESzcTYwhA1k_tPjeQjJPTqlm8Gd9eU5g/edit?usp=sharing"",""มหาสารคาม!J428"")"),402.9)</f>
        <v>402.9</v>
      </c>
      <c r="AF39" s="152">
        <f ca="1">IFERROR(__xludf.DUMMYFUNCTION("IMPORTRANGE(""https://docs.google.com/spreadsheets/d/1l6IZ8xUPgMrESzcTYwhA1k_tPjeQjJPTqlm8Gd9eU5g/edit?usp=sharing"",""มหาสารคาม!J429"")"),97)</f>
        <v>97</v>
      </c>
      <c r="AG39" s="152">
        <f ca="1">IFERROR(__xludf.DUMMYFUNCTION("IMPORTRANGE(""https://docs.google.com/spreadsheets/d/1l6IZ8xUPgMrESzcTYwhA1k_tPjeQjJPTqlm8Gd9eU5g/edit?usp=sharing"",""มหาสารคาม!J430"")"),655)</f>
        <v>655</v>
      </c>
      <c r="AH39" s="152">
        <f ca="1">IFERROR(__xludf.DUMMYFUNCTION("IMPORTRANGE(""https://docs.google.com/spreadsheets/d/1l6IZ8xUPgMrESzcTYwhA1k_tPjeQjJPTqlm8Gd9eU5g/edit?usp=sharing"",""มหาสารคาม!J431"")"),143)</f>
        <v>143</v>
      </c>
      <c r="AI39" s="152">
        <f ca="1">IFERROR(__xludf.DUMMYFUNCTION("IMPORTRANGE(""https://docs.google.com/spreadsheets/d/1l6IZ8xUPgMrESzcTYwhA1k_tPjeQjJPTqlm8Gd9eU5g/edit?usp=sharing"",""มหาสารคาม!I432"")"),5359)</f>
        <v>5359</v>
      </c>
      <c r="AJ39" s="152">
        <f ca="1">IFERROR(__xludf.DUMMYFUNCTION("IMPORTRANGE(""https://docs.google.com/spreadsheets/d/1l6IZ8xUPgMrESzcTYwhA1k_tPjeQjJPTqlm8Gd9eU5g/edit?usp=sharing"",""มหาสารคาม!I433"")"),1225)</f>
        <v>1225</v>
      </c>
      <c r="AK39" s="216">
        <f ca="1">IFERROR(__xludf.DUMMYFUNCTION("IMPORTRANGE(""https://docs.google.com/spreadsheets/d/1l6IZ8xUPgMrESzcTYwhA1k_tPjeQjJPTqlm8Gd9eU5g/edit?usp=sharing"",""มหาสารคาม!J432"")"),5359)</f>
        <v>5359</v>
      </c>
      <c r="AL39" s="216">
        <f t="shared" ca="1" si="59"/>
        <v>100</v>
      </c>
      <c r="AM39" s="152">
        <f ca="1">IFERROR(__xludf.DUMMYFUNCTION("IMPORTRANGE(""https://docs.google.com/spreadsheets/d/1l6IZ8xUPgMrESzcTYwhA1k_tPjeQjJPTqlm8Gd9eU5g/edit?usp=sharing"",""มหาสารคาม!J433"")"),1225)</f>
        <v>1225</v>
      </c>
      <c r="AN39" s="216">
        <f t="shared" ca="1" si="60"/>
        <v>100</v>
      </c>
      <c r="AO39" s="152">
        <f ca="1">IFERROR(__xludf.DUMMYFUNCTION("IMPORTRANGE(""https://docs.google.com/spreadsheets/d/1l6IZ8xUPgMrESzcTYwhA1k_tPjeQjJPTqlm8Gd9eU5g/edit?usp=sharing"",""มหาสารคาม!J434"")"),4304)</f>
        <v>4304</v>
      </c>
      <c r="AP39" s="152">
        <f ca="1">IFERROR(__xludf.DUMMYFUNCTION("IMPORTRANGE(""https://docs.google.com/spreadsheets/d/1l6IZ8xUPgMrESzcTYwhA1k_tPjeQjJPTqlm8Gd9eU5g/edit?usp=sharing"",""มหาสารคาม!J435"")"),965)</f>
        <v>965</v>
      </c>
      <c r="AQ39" s="152">
        <f ca="1">IFERROR(__xludf.DUMMYFUNCTION("IMPORTRANGE(""https://docs.google.com/spreadsheets/d/1l6IZ8xUPgMrESzcTYwhA1k_tPjeQjJPTqlm8Gd9eU5g/edit?usp=sharing"",""มหาสารคาม!J436"")"),466)</f>
        <v>466</v>
      </c>
      <c r="AR39" s="152">
        <f ca="1">IFERROR(__xludf.DUMMYFUNCTION("IMPORTRANGE(""https://docs.google.com/spreadsheets/d/1l6IZ8xUPgMrESzcTYwhA1k_tPjeQjJPTqlm8Gd9eU5g/edit?usp=sharing"",""มหาสารคาม!J437"")"),122)</f>
        <v>122</v>
      </c>
      <c r="AS39" s="152">
        <f ca="1">IFERROR(__xludf.DUMMYFUNCTION("IMPORTRANGE(""https://docs.google.com/spreadsheets/d/1l6IZ8xUPgMrESzcTYwhA1k_tPjeQjJPTqlm8Gd9eU5g/edit?usp=sharing"",""มหาสารคาม!J438"")"),589)</f>
        <v>589</v>
      </c>
      <c r="AT39" s="152">
        <f ca="1">IFERROR(__xludf.DUMMYFUNCTION("IMPORTRANGE(""https://docs.google.com/spreadsheets/d/1l6IZ8xUPgMrESzcTYwhA1k_tPjeQjJPTqlm8Gd9eU5g/edit?usp=sharing"",""มหาสารคาม!J439"")"),138)</f>
        <v>138</v>
      </c>
      <c r="AU39" s="152">
        <f ca="1">IFERROR(__xludf.DUMMYFUNCTION("IMPORTRANGE(""https://docs.google.com/spreadsheets/d/1l6IZ8xUPgMrESzcTYwhA1k_tPjeQjJPTqlm8Gd9eU5g/edit?usp=sharing"",""มหาสารคาม!I440"")"),5359)</f>
        <v>5359</v>
      </c>
      <c r="AV39" s="152">
        <f ca="1">IFERROR(__xludf.DUMMYFUNCTION("IMPORTRANGE(""https://docs.google.com/spreadsheets/d/1l6IZ8xUPgMrESzcTYwhA1k_tPjeQjJPTqlm8Gd9eU5g/edit?usp=sharing"",""มหาสารคาม!I441"")"),1225)</f>
        <v>1225</v>
      </c>
      <c r="AW39" s="152">
        <f ca="1">IFERROR(__xludf.DUMMYFUNCTION("IMPORTRANGE(""https://docs.google.com/spreadsheets/d/1l6IZ8xUPgMrESzcTYwhA1k_tPjeQjJPTqlm8Gd9eU5g/edit?usp=sharing"",""มหาสารคาม!J440"")"),5359)</f>
        <v>5359</v>
      </c>
      <c r="AX39" s="216">
        <f t="shared" ca="1" si="62"/>
        <v>100</v>
      </c>
      <c r="AY39" s="152">
        <f ca="1">IFERROR(__xludf.DUMMYFUNCTION("IMPORTRANGE(""https://docs.google.com/spreadsheets/d/1l6IZ8xUPgMrESzcTYwhA1k_tPjeQjJPTqlm8Gd9eU5g/edit?usp=sharing"",""มหาสารคาม!J441"")"),1225)</f>
        <v>1225</v>
      </c>
      <c r="AZ39" s="216">
        <f t="shared" ca="1" si="63"/>
        <v>100</v>
      </c>
      <c r="BA39" s="152">
        <f ca="1">IFERROR(__xludf.DUMMYFUNCTION("IMPORTRANGE(""https://docs.google.com/spreadsheets/d/1l6IZ8xUPgMrESzcTYwhA1k_tPjeQjJPTqlm8Gd9eU5g/edit?usp=sharing"",""มหาสารคาม!J442"")"),4304)</f>
        <v>4304</v>
      </c>
      <c r="BB39" s="152">
        <f ca="1">IFERROR(__xludf.DUMMYFUNCTION("IMPORTRANGE(""https://docs.google.com/spreadsheets/d/1l6IZ8xUPgMrESzcTYwhA1k_tPjeQjJPTqlm8Gd9eU5g/edit?usp=sharing"",""มหาสารคาม!J443"")"),965)</f>
        <v>965</v>
      </c>
      <c r="BC39" s="152">
        <f ca="1">IFERROR(__xludf.DUMMYFUNCTION("IMPORTRANGE(""https://docs.google.com/spreadsheets/d/1l6IZ8xUPgMrESzcTYwhA1k_tPjeQjJPTqlm8Gd9eU5g/edit?usp=sharing"",""มหาสารคาม!J444"")"),466)</f>
        <v>466</v>
      </c>
      <c r="BD39" s="152">
        <f ca="1">IFERROR(__xludf.DUMMYFUNCTION("IMPORTRANGE(""https://docs.google.com/spreadsheets/d/1l6IZ8xUPgMrESzcTYwhA1k_tPjeQjJPTqlm8Gd9eU5g/edit?usp=sharing"",""มหาสารคาม!J445"")"),122)</f>
        <v>122</v>
      </c>
      <c r="BE39" s="152">
        <f ca="1">IFERROR(__xludf.DUMMYFUNCTION("IMPORTRANGE(""https://docs.google.com/spreadsheets/d/1l6IZ8xUPgMrESzcTYwhA1k_tPjeQjJPTqlm8Gd9eU5g/edit?usp=sharing"",""มหาสารคาม!J446"")"),589)</f>
        <v>589</v>
      </c>
      <c r="BF39" s="152">
        <f ca="1">IFERROR(__xludf.DUMMYFUNCTION("IMPORTRANGE(""https://docs.google.com/spreadsheets/d/1l6IZ8xUPgMrESzcTYwhA1k_tPjeQjJPTqlm8Gd9eU5g/edit?usp=sharing"",""มหาสารคาม!J447"")"),138)</f>
        <v>138</v>
      </c>
      <c r="BG39" s="152">
        <f ca="1">IFERROR(__xludf.DUMMYFUNCTION("IMPORTRANGE(""https://docs.google.com/spreadsheets/d/1l6IZ8xUPgMrESzcTYwhA1k_tPjeQjJPTqlm8Gd9eU5g/edit?usp=sharing"",""มหาสารคาม!J448"")"),589)</f>
        <v>589</v>
      </c>
      <c r="BH39" s="152">
        <f ca="1">IFERROR(__xludf.DUMMYFUNCTION("IMPORTRANGE(""https://docs.google.com/spreadsheets/d/1l6IZ8xUPgMrESzcTYwhA1k_tPjeQjJPTqlm8Gd9eU5g/edit?usp=sharing"",""มหาสารคาม!J449"")"),138)</f>
        <v>138</v>
      </c>
      <c r="BI39" s="152">
        <f ca="1">IFERROR(__xludf.DUMMYFUNCTION("IMPORTRANGE(""https://docs.google.com/spreadsheets/d/1l6IZ8xUPgMrESzcTYwhA1k_tPjeQjJPTqlm8Gd9eU5g/edit?usp=sharing"",""มหาสารคาม!J450"")"),0)</f>
        <v>0</v>
      </c>
      <c r="BJ39" s="152">
        <f ca="1">IFERROR(__xludf.DUMMYFUNCTION("IMPORTRANGE(""https://docs.google.com/spreadsheets/d/1l6IZ8xUPgMrESzcTYwhA1k_tPjeQjJPTqlm8Gd9eU5g/edit?usp=sharing"",""มหาสารคาม!J451"")"),0)</f>
        <v>0</v>
      </c>
      <c r="BK39" s="152">
        <f ca="1">IFERROR(__xludf.DUMMYFUNCTION("IMPORTRANGE(""https://docs.google.com/spreadsheets/d/1l6IZ8xUPgMrESzcTYwhA1k_tPjeQjJPTqlm8Gd9eU5g/edit?usp=sharing"",""มหาสารคาม!J452"")"),0)</f>
        <v>0</v>
      </c>
      <c r="BL39" s="152">
        <f ca="1">IFERROR(__xludf.DUMMYFUNCTION("IMPORTRANGE(""https://docs.google.com/spreadsheets/d/1l6IZ8xUPgMrESzcTYwhA1k_tPjeQjJPTqlm8Gd9eU5g/edit?usp=sharing"",""มหาสารคาม!J453"")"),0)</f>
        <v>0</v>
      </c>
      <c r="BM39" s="152">
        <f ca="1">IFERROR(__xludf.DUMMYFUNCTION("IMPORTRANGE(""https://docs.google.com/spreadsheets/d/1l6IZ8xUPgMrESzcTYwhA1k_tPjeQjJPTqlm8Gd9eU5g/edit?usp=sharing"",""มหาสารคาม!J454"")"),0)</f>
        <v>0</v>
      </c>
      <c r="BN39" s="152">
        <f ca="1">IFERROR(__xludf.DUMMYFUNCTION("IMPORTRANGE(""https://docs.google.com/spreadsheets/d/1l6IZ8xUPgMrESzcTYwhA1k_tPjeQjJPTqlm8Gd9eU5g/edit?usp=sharing"",""มหาสารคาม!J455"")"),0)</f>
        <v>0</v>
      </c>
      <c r="BO39" s="152">
        <f ca="1">IFERROR(__xludf.DUMMYFUNCTION("IMPORTRANGE(""https://docs.google.com/spreadsheets/d/1l6IZ8xUPgMrESzcTYwhA1k_tPjeQjJPTqlm8Gd9eU5g/edit?usp=sharing"",""มหาสารคาม!I457"")"),1346.11)</f>
        <v>1346.11</v>
      </c>
      <c r="BP39" s="152">
        <f ca="1">IFERROR(__xludf.DUMMYFUNCTION("IMPORTRANGE(""https://docs.google.com/spreadsheets/d/1l6IZ8xUPgMrESzcTYwhA1k_tPjeQjJPTqlm8Gd9eU5g/edit?usp=sharing"",""มหาสารคาม!I458"")"),122)</f>
        <v>122</v>
      </c>
      <c r="BQ39" s="152">
        <f ca="1">IFERROR(__xludf.DUMMYFUNCTION("IMPORTRANGE(""https://docs.google.com/spreadsheets/d/1l6IZ8xUPgMrESzcTYwhA1k_tPjeQjJPTqlm8Gd9eU5g/edit?usp=sharing"",""มหาสารคาม!J457"")"),0)</f>
        <v>0</v>
      </c>
      <c r="BR39" s="216">
        <f t="shared" ca="1" si="65"/>
        <v>0</v>
      </c>
      <c r="BS39" s="152">
        <f ca="1">IFERROR(__xludf.DUMMYFUNCTION("IMPORTRANGE(""https://docs.google.com/spreadsheets/d/1l6IZ8xUPgMrESzcTYwhA1k_tPjeQjJPTqlm8Gd9eU5g/edit?usp=sharing"",""มหาสารคาม!J458"")"),0)</f>
        <v>0</v>
      </c>
      <c r="BT39" s="216">
        <f t="shared" ca="1" si="66"/>
        <v>0</v>
      </c>
      <c r="BU39" s="152">
        <f ca="1">IFERROR(__xludf.DUMMYFUNCTION("IMPORTRANGE(""https://docs.google.com/spreadsheets/d/1l6IZ8xUPgMrESzcTYwhA1k_tPjeQjJPTqlm8Gd9eU5g/edit?usp=sharing"",""มหาสารคาม!J459"")"),0)</f>
        <v>0</v>
      </c>
      <c r="BV39" s="152">
        <f ca="1">IFERROR(__xludf.DUMMYFUNCTION("IMPORTRANGE(""https://docs.google.com/spreadsheets/d/1l6IZ8xUPgMrESzcTYwhA1k_tPjeQjJPTqlm8Gd9eU5g/edit?usp=sharing"",""มหาสารคาม!J460"")"),0)</f>
        <v>0</v>
      </c>
      <c r="BW39" s="152">
        <f ca="1">IFERROR(__xludf.DUMMYFUNCTION("IMPORTRANGE(""https://docs.google.com/spreadsheets/d/1l6IZ8xUPgMrESzcTYwhA1k_tPjeQjJPTqlm8Gd9eU5g/edit?usp=sharing"",""มหาสารคาม!J461"")"),0)</f>
        <v>0</v>
      </c>
      <c r="BX39" s="152">
        <f ca="1">IFERROR(__xludf.DUMMYFUNCTION("IMPORTRANGE(""https://docs.google.com/spreadsheets/d/1l6IZ8xUPgMrESzcTYwhA1k_tPjeQjJPTqlm8Gd9eU5g/edit?usp=sharing"",""มหาสารคาม!J462"")"),0)</f>
        <v>0</v>
      </c>
      <c r="BY39" s="152">
        <f ca="1">IFERROR(__xludf.DUMMYFUNCTION("IMPORTRANGE(""https://docs.google.com/spreadsheets/d/1l6IZ8xUPgMrESzcTYwhA1k_tPjeQjJPTqlm8Gd9eU5g/edit?usp=sharing"",""มหาสารคาม!J463"")"),0)</f>
        <v>0</v>
      </c>
      <c r="BZ39" s="152">
        <f ca="1">IFERROR(__xludf.DUMMYFUNCTION("IMPORTRANGE(""https://docs.google.com/spreadsheets/d/1l6IZ8xUPgMrESzcTYwhA1k_tPjeQjJPTqlm8Gd9eU5g/edit?usp=sharing"",""มหาสารคาม!J464"")"),0)</f>
        <v>0</v>
      </c>
      <c r="CA39" s="152">
        <f ca="1">IFERROR(__xludf.DUMMYFUNCTION("IMPORTRANGE(""https://docs.google.com/spreadsheets/d/1l6IZ8xUPgMrESzcTYwhA1k_tPjeQjJPTqlm8Gd9eU5g/edit?usp=sharing"",""มหาสารคาม!J465"")"),0)</f>
        <v>0</v>
      </c>
      <c r="CB39" s="152">
        <f ca="1">IFERROR(__xludf.DUMMYFUNCTION("IMPORTRANGE(""https://docs.google.com/spreadsheets/d/1l6IZ8xUPgMrESzcTYwhA1k_tPjeQjJPTqlm8Gd9eU5g/edit?usp=sharing"",""มหาสารคาม!J466"")"),0)</f>
        <v>0</v>
      </c>
      <c r="CC39" s="152">
        <f ca="1">IFERROR(__xludf.DUMMYFUNCTION("IMPORTRANGE(""https://docs.google.com/spreadsheets/d/1l6IZ8xUPgMrESzcTYwhA1k_tPjeQjJPTqlm8Gd9eU5g/edit?usp=sharing"",""มหาสารคาม!J467"")"),0)</f>
        <v>0</v>
      </c>
      <c r="CD39" s="152">
        <f ca="1">IFERROR(__xludf.DUMMYFUNCTION("IMPORTRANGE(""https://docs.google.com/spreadsheets/d/1l6IZ8xUPgMrESzcTYwhA1k_tPjeQjJPTqlm8Gd9eU5g/edit?usp=sharing"",""มหาสารคาม!J468"")"),0)</f>
        <v>0</v>
      </c>
      <c r="CE39" s="152">
        <f ca="1">IFERROR(__xludf.DUMMYFUNCTION("IMPORTRANGE(""https://docs.google.com/spreadsheets/d/1l6IZ8xUPgMrESzcTYwhA1k_tPjeQjJPTqlm8Gd9eU5g/edit?usp=sharing"",""มหาสารคาม!J469"")"),0)</f>
        <v>0</v>
      </c>
      <c r="CF39" s="152">
        <f ca="1">IFERROR(__xludf.DUMMYFUNCTION("IMPORTRANGE(""https://docs.google.com/spreadsheets/d/1l6IZ8xUPgMrESzcTYwhA1k_tPjeQjJPTqlm8Gd9eU5g/edit?usp=sharing"",""มหาสารคาม!J470"")"),0)</f>
        <v>0</v>
      </c>
      <c r="CG39" s="152">
        <f ca="1">IFERROR(__xludf.DUMMYFUNCTION("IMPORTRANGE(""https://docs.google.com/spreadsheets/d/1l6IZ8xUPgMrESzcTYwhA1k_tPjeQjJPTqlm8Gd9eU5g/edit?usp=sharing"",""มหาสารคาม!J471"")"),0)</f>
        <v>0</v>
      </c>
      <c r="CH39" s="152">
        <f ca="1">IFERROR(__xludf.DUMMYFUNCTION("IMPORTRANGE(""https://docs.google.com/spreadsheets/d/1l6IZ8xUPgMrESzcTYwhA1k_tPjeQjJPTqlm8Gd9eU5g/edit?usp=sharing"",""มหาสารคาม!J472"")"),0)</f>
        <v>0</v>
      </c>
      <c r="CI39" s="152">
        <f ca="1">IFERROR(__xludf.DUMMYFUNCTION("IMPORTRANGE(""https://docs.google.com/spreadsheets/d/1l6IZ8xUPgMrESzcTYwhA1k_tPjeQjJPTqlm8Gd9eU5g/edit?usp=sharing"",""มหาสารคาม!J473"")"),0)</f>
        <v>0</v>
      </c>
      <c r="CJ39" s="152">
        <f ca="1">IFERROR(__xludf.DUMMYFUNCTION("IMPORTRANGE(""https://docs.google.com/spreadsheets/d/1l6IZ8xUPgMrESzcTYwhA1k_tPjeQjJPTqlm8Gd9eU5g/edit?usp=sharing"",""มหาสารคาม!J474"")"),0)</f>
        <v>0</v>
      </c>
      <c r="CK39" s="278">
        <f ca="1">IFERROR(__xludf.DUMMYFUNCTION("IMPORTRANGE(""https://docs.google.com/spreadsheets/d/1l6IZ8xUPgMrESzcTYwhA1k_tPjeQjJPTqlm8Gd9eU5g/edit?usp=sharing"",""มหาสารคาม!I476"")"),0)</f>
        <v>0</v>
      </c>
      <c r="CL39" s="278">
        <f ca="1">IFERROR(__xludf.DUMMYFUNCTION("IMPORTRANGE(""https://docs.google.com/spreadsheets/d/1l6IZ8xUPgMrESzcTYwhA1k_tPjeQjJPTqlm8Gd9eU5g/edit?usp=sharing"",""มหาสารคาม!I477"")"),0)</f>
        <v>0</v>
      </c>
      <c r="CM39" s="278">
        <f ca="1">IFERROR(__xludf.DUMMYFUNCTION("IMPORTRANGE(""https://docs.google.com/spreadsheets/d/1l6IZ8xUPgMrESzcTYwhA1k_tPjeQjJPTqlm8Gd9eU5g/edit?usp=sharing"",""มหาสารคาม!J476"")"),0)</f>
        <v>0</v>
      </c>
      <c r="CN39" s="216">
        <f t="shared" ca="1" si="68"/>
        <v>0</v>
      </c>
      <c r="CO39" s="278">
        <f ca="1">IFERROR(__xludf.DUMMYFUNCTION("IMPORTRANGE(""https://docs.google.com/spreadsheets/d/1l6IZ8xUPgMrESzcTYwhA1k_tPjeQjJPTqlm8Gd9eU5g/edit?usp=sharing"",""มหาสารคาม!J477"")"),0)</f>
        <v>0</v>
      </c>
      <c r="CP39" s="216">
        <f t="shared" ca="1" si="69"/>
        <v>0</v>
      </c>
      <c r="CQ39" s="278">
        <f ca="1">IFERROR(__xludf.DUMMYFUNCTION("IMPORTRANGE(""https://docs.google.com/spreadsheets/d/1l6IZ8xUPgMrESzcTYwhA1k_tPjeQjJPTqlm8Gd9eU5g/edit?usp=sharing"",""มหาสารคาม!J478"")"),0)</f>
        <v>0</v>
      </c>
      <c r="CR39" s="278">
        <f ca="1">IFERROR(__xludf.DUMMYFUNCTION("IMPORTRANGE(""https://docs.google.com/spreadsheets/d/1l6IZ8xUPgMrESzcTYwhA1k_tPjeQjJPTqlm8Gd9eU5g/edit?usp=sharing"",""มหาสารคาม!J479"")"),0)</f>
        <v>0</v>
      </c>
      <c r="CS39" s="278">
        <f ca="1">IFERROR(__xludf.DUMMYFUNCTION("IMPORTRANGE(""https://docs.google.com/spreadsheets/d/1l6IZ8xUPgMrESzcTYwhA1k_tPjeQjJPTqlm8Gd9eU5g/edit?usp=sharing"",""มหาสารคาม!J480"")"),0)</f>
        <v>0</v>
      </c>
      <c r="CT39" s="278">
        <f ca="1">IFERROR(__xludf.DUMMYFUNCTION("IMPORTRANGE(""https://docs.google.com/spreadsheets/d/1l6IZ8xUPgMrESzcTYwhA1k_tPjeQjJPTqlm8Gd9eU5g/edit?usp=sharing"",""มหาสารคาม!J481"")"),0)</f>
        <v>0</v>
      </c>
      <c r="CU39" s="278">
        <f ca="1">IFERROR(__xludf.DUMMYFUNCTION("IMPORTRANGE(""https://docs.google.com/spreadsheets/d/1l6IZ8xUPgMrESzcTYwhA1k_tPjeQjJPTqlm8Gd9eU5g/edit?usp=sharing"",""มหาสารคาม!I484"")"),69)</f>
        <v>69</v>
      </c>
      <c r="CV39" s="278">
        <f ca="1">IFERROR(__xludf.DUMMYFUNCTION("IMPORTRANGE(""https://docs.google.com/spreadsheets/d/1l6IZ8xUPgMrESzcTYwhA1k_tPjeQjJPTqlm8Gd9eU5g/edit?usp=sharing"",""มหาสารคาม!I485"")"),10)</f>
        <v>10</v>
      </c>
      <c r="CW39" s="278">
        <f ca="1">IFERROR(__xludf.DUMMYFUNCTION("IMPORTRANGE(""https://docs.google.com/spreadsheets/d/1l6IZ8xUPgMrESzcTYwhA1k_tPjeQjJPTqlm8Gd9eU5g/edit?usp=sharing"",""มหาสารคาม!J484"")"),16.87)</f>
        <v>16.87</v>
      </c>
      <c r="CX39" s="216">
        <f t="shared" ca="1" si="71"/>
        <v>24.44927536231884</v>
      </c>
      <c r="CY39" s="278">
        <f ca="1">IFERROR(__xludf.DUMMYFUNCTION("IMPORTRANGE(""https://docs.google.com/spreadsheets/d/1l6IZ8xUPgMrESzcTYwhA1k_tPjeQjJPTqlm8Gd9eU5g/edit?usp=sharing"",""มหาสารคาม!J485"")"),3)</f>
        <v>3</v>
      </c>
      <c r="CZ39" s="216">
        <f t="shared" ca="1" si="72"/>
        <v>30</v>
      </c>
      <c r="DA39" s="278">
        <f ca="1">IFERROR(__xludf.DUMMYFUNCTION("IMPORTRANGE(""https://docs.google.com/spreadsheets/d/1l6IZ8xUPgMrESzcTYwhA1k_tPjeQjJPTqlm8Gd9eU5g/edit?usp=sharing"",""มหาสารคาม!J486"")"),16.87)</f>
        <v>16.87</v>
      </c>
      <c r="DB39" s="278">
        <f ca="1">IFERROR(__xludf.DUMMYFUNCTION("IMPORTRANGE(""https://docs.google.com/spreadsheets/d/1l6IZ8xUPgMrESzcTYwhA1k_tPjeQjJPTqlm8Gd9eU5g/edit?usp=sharing"",""มหาสารคาม!J487"")"),3)</f>
        <v>3</v>
      </c>
      <c r="DC39" s="278">
        <f ca="1">IFERROR(__xludf.DUMMYFUNCTION("IMPORTRANGE(""https://docs.google.com/spreadsheets/d/1l6IZ8xUPgMrESzcTYwhA1k_tPjeQjJPTqlm8Gd9eU5g/edit?usp=sharing"",""มหาสารคาม!J488"")"),0)</f>
        <v>0</v>
      </c>
      <c r="DD39" s="278">
        <f ca="1">IFERROR(__xludf.DUMMYFUNCTION("IMPORTRANGE(""https://docs.google.com/spreadsheets/d/1l6IZ8xUPgMrESzcTYwhA1k_tPjeQjJPTqlm8Gd9eU5g/edit?usp=sharing"",""มหาสารคาม!J489"")"),0)</f>
        <v>0</v>
      </c>
      <c r="DE39" s="278">
        <f ca="1">IFERROR(__xludf.DUMMYFUNCTION("IMPORTRANGE(""https://docs.google.com/spreadsheets/d/1l6IZ8xUPgMrESzcTYwhA1k_tPjeQjJPTqlm8Gd9eU5g/edit?usp=sharing"",""มหาสารคาม!J490"")"),0)</f>
        <v>0</v>
      </c>
      <c r="DF39" s="278">
        <f ca="1">IFERROR(__xludf.DUMMYFUNCTION("IMPORTRANGE(""https://docs.google.com/spreadsheets/d/1l6IZ8xUPgMrESzcTYwhA1k_tPjeQjJPTqlm8Gd9eU5g/edit?usp=sharing"",""มหาสารคาม!J491"")"),0)</f>
        <v>0</v>
      </c>
    </row>
    <row r="40" spans="1:110" ht="19.5" x14ac:dyDescent="0.3">
      <c r="A40" s="147">
        <v>9</v>
      </c>
      <c r="B40" s="148" t="s">
        <v>68</v>
      </c>
      <c r="C40" s="566">
        <f t="shared" ca="1" si="44"/>
        <v>359580</v>
      </c>
      <c r="D40" s="567">
        <f t="shared" ca="1" si="84"/>
        <v>359580</v>
      </c>
      <c r="E40" s="329">
        <f ca="1">IFERROR(__xludf.DUMMYFUNCTION("IMPORTRANGE(""https://docs.google.com/spreadsheets/d/1-uDff_7J0KD5mKrp0Vvzr7lt3OU09vwQwhkpOPPYv2Y/edit?usp=sharing"",""งบพรบ!IP40"")"),99000)</f>
        <v>99000</v>
      </c>
      <c r="F40" s="329">
        <f ca="1">IFERROR(__xludf.DUMMYFUNCTION("IMPORTRANGE(""https://docs.google.com/spreadsheets/d/1-uDff_7J0KD5mKrp0Vvzr7lt3OU09vwQwhkpOPPYv2Y/edit?usp=sharing"",""งบพรบ!IQ40"")"),260580)</f>
        <v>260580</v>
      </c>
      <c r="G40" s="329">
        <f ca="1">IFERROR(__xludf.DUMMYFUNCTION("IMPORTRANGE(""https://docs.google.com/spreadsheets/d/1-uDff_7J0KD5mKrp0Vvzr7lt3OU09vwQwhkpOPPYv2Y/edit?usp=sharing"",""งบพรบ!IR40"")"),0)</f>
        <v>0</v>
      </c>
      <c r="H40" s="329">
        <f ca="1">IFERROR(__xludf.DUMMYFUNCTION("IMPORTRANGE(""https://docs.google.com/spreadsheets/d/1-uDff_7J0KD5mKrp0Vvzr7lt3OU09vwQwhkpOPPYv2Y/edit?usp=sharing"",""งบพรบ!IT40"")"),359580)</f>
        <v>359580</v>
      </c>
      <c r="I40" s="329">
        <f ca="1">IFERROR(__xludf.DUMMYFUNCTION("IMPORTRANGE(""https://docs.google.com/spreadsheets/d/1-uDff_7J0KD5mKrp0Vvzr7lt3OU09vwQwhkpOPPYv2Y/edit?usp=sharing"",""งบพรบ!IU40"")"),0)</f>
        <v>0</v>
      </c>
      <c r="J40" s="329">
        <f t="shared" ca="1" si="46"/>
        <v>159099.51999999999</v>
      </c>
      <c r="K40" s="568">
        <f t="shared" ca="1" si="47"/>
        <v>44.24593136436954</v>
      </c>
      <c r="L40" s="329">
        <f ca="1">IFERROR(__xludf.DUMMYFUNCTION("IMPORTRANGE(""https://docs.google.com/spreadsheets/d/1-uDff_7J0KD5mKrp0Vvzr7lt3OU09vwQwhkpOPPYv2Y/edit?usp=sharing"",""งบพรบ!IV40"")"),159099.52)</f>
        <v>159099.51999999999</v>
      </c>
      <c r="M40" s="330">
        <f t="shared" ca="1" si="48"/>
        <v>44.24593136436954</v>
      </c>
      <c r="N40" s="330">
        <f t="shared" ca="1" si="49"/>
        <v>44.24593136436954</v>
      </c>
      <c r="O40" s="569">
        <f ca="1">IFERROR(__xludf.DUMMYFUNCTION("IMPORTRANGE(""https://docs.google.com/spreadsheets/d/1-uDff_7J0KD5mKrp0Vvzr7lt3OU09vwQwhkpOPPYv2Y/edit?usp=sharing"",""งบพรบ!IW40"")"),0)</f>
        <v>0</v>
      </c>
      <c r="P40" s="569">
        <f t="shared" ca="1" si="50"/>
        <v>0</v>
      </c>
      <c r="Q40" s="330">
        <f t="shared" ca="1" si="51"/>
        <v>0</v>
      </c>
      <c r="R40" s="564">
        <f ca="1">IFERROR(__xludf.DUMMYFUNCTION("IMPORTRANGE(""https://docs.google.com/spreadsheets/d/1uB74YLqNjWX6FObjekfB2NtSYigTQyR2rq9u4Ub2Sq4/edit?usp=sharing"",""มุกดาหาร!Q413"")"),64360)</f>
        <v>64360</v>
      </c>
      <c r="S40" s="564">
        <f ca="1">IFERROR(__xludf.DUMMYFUNCTION("IMPORTRANGE(""https://docs.google.com/spreadsheets/d/1uB74YLqNjWX6FObjekfB2NtSYigTQyR2rq9u4Ub2Sq4/edit?usp=sharing"",""มุกดาหาร!R413"")"),64360)</f>
        <v>64360</v>
      </c>
      <c r="T40" s="564">
        <f ca="1">IFERROR(__xludf.DUMMYFUNCTION("IMPORTRANGE(""https://docs.google.com/spreadsheets/d/1uB74YLqNjWX6FObjekfB2NtSYigTQyR2rq9u4Ub2Sq4/edit?usp=sharing"",""มุกดาหาร!S413"")"),15000)</f>
        <v>15000</v>
      </c>
      <c r="U40" s="565">
        <f t="shared" ca="1" si="53"/>
        <v>23.306401491609694</v>
      </c>
      <c r="V40" s="565">
        <f t="shared" ca="1" si="54"/>
        <v>23.306401491609694</v>
      </c>
      <c r="W40" s="152">
        <f ca="1">IFERROR(__xludf.DUMMYFUNCTION("IMPORTRANGE(""https://docs.google.com/spreadsheets/d/1uB74YLqNjWX6FObjekfB2NtSYigTQyR2rq9u4Ub2Sq4/edit?usp=sharing"",""มุกดาหาร!I424"")"),46141)</f>
        <v>46141</v>
      </c>
      <c r="X40" s="152">
        <f ca="1">IFERROR(__xludf.DUMMYFUNCTION("IMPORTRANGE(""https://docs.google.com/spreadsheets/d/1uB74YLqNjWX6FObjekfB2NtSYigTQyR2rq9u4Ub2Sq4/edit?usp=sharing"",""มุกดาหาร!I425"")"),5186)</f>
        <v>5186</v>
      </c>
      <c r="Y40" s="152">
        <f ca="1">IFERROR(__xludf.DUMMYFUNCTION("IMPORTRANGE(""https://docs.google.com/spreadsheets/d/1uB74YLqNjWX6FObjekfB2NtSYigTQyR2rq9u4Ub2Sq4/edit?usp=sharing"",""มุกดาหาร!J424"")"),0)</f>
        <v>0</v>
      </c>
      <c r="Z40" s="216">
        <f t="shared" ca="1" si="56"/>
        <v>0</v>
      </c>
      <c r="AA40" s="152">
        <f ca="1">IFERROR(__xludf.DUMMYFUNCTION("IMPORTRANGE(""https://docs.google.com/spreadsheets/d/1uB74YLqNjWX6FObjekfB2NtSYigTQyR2rq9u4Ub2Sq4/edit?usp=sharing"",""มุกดาหาร!J425"")"),0)</f>
        <v>0</v>
      </c>
      <c r="AB40" s="216">
        <f t="shared" ca="1" si="57"/>
        <v>0</v>
      </c>
      <c r="AC40" s="152">
        <f ca="1">IFERROR(__xludf.DUMMYFUNCTION("IMPORTRANGE(""https://docs.google.com/spreadsheets/d/1uB74YLqNjWX6FObjekfB2NtSYigTQyR2rq9u4Ub2Sq4/edit?usp=sharing"",""มุกดาหาร!J426"")"),0)</f>
        <v>0</v>
      </c>
      <c r="AD40" s="152">
        <f ca="1">IFERROR(__xludf.DUMMYFUNCTION("IMPORTRANGE(""https://docs.google.com/spreadsheets/d/1uB74YLqNjWX6FObjekfB2NtSYigTQyR2rq9u4Ub2Sq4/edit?usp=sharing"",""มุกดาหาร!J427"")"),0)</f>
        <v>0</v>
      </c>
      <c r="AE40" s="152">
        <f ca="1">IFERROR(__xludf.DUMMYFUNCTION("IMPORTRANGE(""https://docs.google.com/spreadsheets/d/1uB74YLqNjWX6FObjekfB2NtSYigTQyR2rq9u4Ub2Sq4/edit?usp=sharing"",""มุกดาหาร!J428"")"),0)</f>
        <v>0</v>
      </c>
      <c r="AF40" s="152">
        <f ca="1">IFERROR(__xludf.DUMMYFUNCTION("IMPORTRANGE(""https://docs.google.com/spreadsheets/d/1uB74YLqNjWX6FObjekfB2NtSYigTQyR2rq9u4Ub2Sq4/edit?usp=sharing"",""มุกดาหาร!J429"")"),0)</f>
        <v>0</v>
      </c>
      <c r="AG40" s="152">
        <f ca="1">IFERROR(__xludf.DUMMYFUNCTION("IMPORTRANGE(""https://docs.google.com/spreadsheets/d/1uB74YLqNjWX6FObjekfB2NtSYigTQyR2rq9u4Ub2Sq4/edit?usp=sharing"",""มุกดาหาร!J430"")"),0)</f>
        <v>0</v>
      </c>
      <c r="AH40" s="152">
        <f ca="1">IFERROR(__xludf.DUMMYFUNCTION("IMPORTRANGE(""https://docs.google.com/spreadsheets/d/1uB74YLqNjWX6FObjekfB2NtSYigTQyR2rq9u4Ub2Sq4/edit?usp=sharing"",""มุกดาหาร!J431"")"),0)</f>
        <v>0</v>
      </c>
      <c r="AI40" s="152">
        <f ca="1">IFERROR(__xludf.DUMMYFUNCTION("IMPORTRANGE(""https://docs.google.com/spreadsheets/d/1uB74YLqNjWX6FObjekfB2NtSYigTQyR2rq9u4Ub2Sq4/edit?usp=sharing"",""มุกดาหาร!I432"")"),46141)</f>
        <v>46141</v>
      </c>
      <c r="AJ40" s="152">
        <f ca="1">IFERROR(__xludf.DUMMYFUNCTION("IMPORTRANGE(""https://docs.google.com/spreadsheets/d/1uB74YLqNjWX6FObjekfB2NtSYigTQyR2rq9u4Ub2Sq4/edit?usp=sharing"",""มุกดาหาร!I433"")"),5186)</f>
        <v>5186</v>
      </c>
      <c r="AK40" s="216">
        <f ca="1">IFERROR(__xludf.DUMMYFUNCTION("IMPORTRANGE(""https://docs.google.com/spreadsheets/d/1uB74YLqNjWX6FObjekfB2NtSYigTQyR2rq9u4Ub2Sq4/edit?usp=sharing"",""มุกดาหาร!J432"")"),0)</f>
        <v>0</v>
      </c>
      <c r="AL40" s="216">
        <f t="shared" ca="1" si="59"/>
        <v>0</v>
      </c>
      <c r="AM40" s="152">
        <f ca="1">IFERROR(__xludf.DUMMYFUNCTION("IMPORTRANGE(""https://docs.google.com/spreadsheets/d/1uB74YLqNjWX6FObjekfB2NtSYigTQyR2rq9u4Ub2Sq4/edit?usp=sharing"",""มุกดาหาร!J433"")"),0)</f>
        <v>0</v>
      </c>
      <c r="AN40" s="216">
        <f t="shared" ca="1" si="60"/>
        <v>0</v>
      </c>
      <c r="AO40" s="152">
        <f ca="1">IFERROR(__xludf.DUMMYFUNCTION("IMPORTRANGE(""https://docs.google.com/spreadsheets/d/1uB74YLqNjWX6FObjekfB2NtSYigTQyR2rq9u4Ub2Sq4/edit?usp=sharing"",""มุกดาหาร!J434"")"),0)</f>
        <v>0</v>
      </c>
      <c r="AP40" s="152">
        <f ca="1">IFERROR(__xludf.DUMMYFUNCTION("IMPORTRANGE(""https://docs.google.com/spreadsheets/d/1uB74YLqNjWX6FObjekfB2NtSYigTQyR2rq9u4Ub2Sq4/edit?usp=sharing"",""มุกดาหาร!J435"")"),0)</f>
        <v>0</v>
      </c>
      <c r="AQ40" s="152">
        <f ca="1">IFERROR(__xludf.DUMMYFUNCTION("IMPORTRANGE(""https://docs.google.com/spreadsheets/d/1uB74YLqNjWX6FObjekfB2NtSYigTQyR2rq9u4Ub2Sq4/edit?usp=sharing"",""มุกดาหาร!J436"")"),0)</f>
        <v>0</v>
      </c>
      <c r="AR40" s="152">
        <f ca="1">IFERROR(__xludf.DUMMYFUNCTION("IMPORTRANGE(""https://docs.google.com/spreadsheets/d/1uB74YLqNjWX6FObjekfB2NtSYigTQyR2rq9u4Ub2Sq4/edit?usp=sharing"",""มุกดาหาร!J437"")"),0)</f>
        <v>0</v>
      </c>
      <c r="AS40" s="152">
        <f ca="1">IFERROR(__xludf.DUMMYFUNCTION("IMPORTRANGE(""https://docs.google.com/spreadsheets/d/1uB74YLqNjWX6FObjekfB2NtSYigTQyR2rq9u4Ub2Sq4/edit?usp=sharing"",""มุกดาหาร!J438"")"),0)</f>
        <v>0</v>
      </c>
      <c r="AT40" s="152">
        <f ca="1">IFERROR(__xludf.DUMMYFUNCTION("IMPORTRANGE(""https://docs.google.com/spreadsheets/d/1uB74YLqNjWX6FObjekfB2NtSYigTQyR2rq9u4Ub2Sq4/edit?usp=sharing"",""มุกดาหาร!J439"")"),0)</f>
        <v>0</v>
      </c>
      <c r="AU40" s="152">
        <f ca="1">IFERROR(__xludf.DUMMYFUNCTION("IMPORTRANGE(""https://docs.google.com/spreadsheets/d/1uB74YLqNjWX6FObjekfB2NtSYigTQyR2rq9u4Ub2Sq4/edit?usp=sharing"",""มุกดาหาร!I440"")"),46141)</f>
        <v>46141</v>
      </c>
      <c r="AV40" s="152">
        <f ca="1">IFERROR(__xludf.DUMMYFUNCTION("IMPORTRANGE(""https://docs.google.com/spreadsheets/d/1uB74YLqNjWX6FObjekfB2NtSYigTQyR2rq9u4Ub2Sq4/edit?usp=sharing"",""มุกดาหาร!I441"")"),5186)</f>
        <v>5186</v>
      </c>
      <c r="AW40" s="152">
        <f ca="1">IFERROR(__xludf.DUMMYFUNCTION("IMPORTRANGE(""https://docs.google.com/spreadsheets/d/1uB74YLqNjWX6FObjekfB2NtSYigTQyR2rq9u4Ub2Sq4/edit?usp=sharing"",""มุกดาหาร!J440"")"),0)</f>
        <v>0</v>
      </c>
      <c r="AX40" s="216">
        <f t="shared" ca="1" si="62"/>
        <v>0</v>
      </c>
      <c r="AY40" s="152">
        <f ca="1">IFERROR(__xludf.DUMMYFUNCTION("IMPORTRANGE(""https://docs.google.com/spreadsheets/d/1uB74YLqNjWX6FObjekfB2NtSYigTQyR2rq9u4Ub2Sq4/edit?usp=sharing"",""มุกดาหาร!J441"")"),0)</f>
        <v>0</v>
      </c>
      <c r="AZ40" s="216">
        <f t="shared" ca="1" si="63"/>
        <v>0</v>
      </c>
      <c r="BA40" s="152">
        <f ca="1">IFERROR(__xludf.DUMMYFUNCTION("IMPORTRANGE(""https://docs.google.com/spreadsheets/d/1uB74YLqNjWX6FObjekfB2NtSYigTQyR2rq9u4Ub2Sq4/edit?usp=sharing"",""มุกดาหาร!J442"")"),0)</f>
        <v>0</v>
      </c>
      <c r="BB40" s="152">
        <f ca="1">IFERROR(__xludf.DUMMYFUNCTION("IMPORTRANGE(""https://docs.google.com/spreadsheets/d/1uB74YLqNjWX6FObjekfB2NtSYigTQyR2rq9u4Ub2Sq4/edit?usp=sharing"",""มุกดาหาร!J443"")"),0)</f>
        <v>0</v>
      </c>
      <c r="BC40" s="152">
        <f ca="1">IFERROR(__xludf.DUMMYFUNCTION("IMPORTRANGE(""https://docs.google.com/spreadsheets/d/1uB74YLqNjWX6FObjekfB2NtSYigTQyR2rq9u4Ub2Sq4/edit?usp=sharing"",""มุกดาหาร!J444"")"),0)</f>
        <v>0</v>
      </c>
      <c r="BD40" s="152">
        <f ca="1">IFERROR(__xludf.DUMMYFUNCTION("IMPORTRANGE(""https://docs.google.com/spreadsheets/d/1uB74YLqNjWX6FObjekfB2NtSYigTQyR2rq9u4Ub2Sq4/edit?usp=sharing"",""มุกดาหาร!J445"")"),0)</f>
        <v>0</v>
      </c>
      <c r="BE40" s="152">
        <f ca="1">IFERROR(__xludf.DUMMYFUNCTION("IMPORTRANGE(""https://docs.google.com/spreadsheets/d/1uB74YLqNjWX6FObjekfB2NtSYigTQyR2rq9u4Ub2Sq4/edit?usp=sharing"",""มุกดาหาร!J446"")"),0)</f>
        <v>0</v>
      </c>
      <c r="BF40" s="152">
        <f ca="1">IFERROR(__xludf.DUMMYFUNCTION("IMPORTRANGE(""https://docs.google.com/spreadsheets/d/1uB74YLqNjWX6FObjekfB2NtSYigTQyR2rq9u4Ub2Sq4/edit?usp=sharing"",""มุกดาหาร!J447"")"),0)</f>
        <v>0</v>
      </c>
      <c r="BG40" s="152">
        <f ca="1">IFERROR(__xludf.DUMMYFUNCTION("IMPORTRANGE(""https://docs.google.com/spreadsheets/d/1uB74YLqNjWX6FObjekfB2NtSYigTQyR2rq9u4Ub2Sq4/edit?usp=sharing"",""มุกดาหาร!J448"")"),0)</f>
        <v>0</v>
      </c>
      <c r="BH40" s="152">
        <f ca="1">IFERROR(__xludf.DUMMYFUNCTION("IMPORTRANGE(""https://docs.google.com/spreadsheets/d/1uB74YLqNjWX6FObjekfB2NtSYigTQyR2rq9u4Ub2Sq4/edit?usp=sharing"",""มุกดาหาร!J449"")"),0)</f>
        <v>0</v>
      </c>
      <c r="BI40" s="152">
        <f ca="1">IFERROR(__xludf.DUMMYFUNCTION("IMPORTRANGE(""https://docs.google.com/spreadsheets/d/1uB74YLqNjWX6FObjekfB2NtSYigTQyR2rq9u4Ub2Sq4/edit?usp=sharing"",""มุกดาหาร!J450"")"),0)</f>
        <v>0</v>
      </c>
      <c r="BJ40" s="152">
        <f ca="1">IFERROR(__xludf.DUMMYFUNCTION("IMPORTRANGE(""https://docs.google.com/spreadsheets/d/1uB74YLqNjWX6FObjekfB2NtSYigTQyR2rq9u4Ub2Sq4/edit?usp=sharing"",""มุกดาหาร!J451"")"),0)</f>
        <v>0</v>
      </c>
      <c r="BK40" s="152">
        <f ca="1">IFERROR(__xludf.DUMMYFUNCTION("IMPORTRANGE(""https://docs.google.com/spreadsheets/d/1uB74YLqNjWX6FObjekfB2NtSYigTQyR2rq9u4Ub2Sq4/edit?usp=sharing"",""มุกดาหาร!J452"")"),0)</f>
        <v>0</v>
      </c>
      <c r="BL40" s="152">
        <f ca="1">IFERROR(__xludf.DUMMYFUNCTION("IMPORTRANGE(""https://docs.google.com/spreadsheets/d/1uB74YLqNjWX6FObjekfB2NtSYigTQyR2rq9u4Ub2Sq4/edit?usp=sharing"",""มุกดาหาร!J453"")"),0)</f>
        <v>0</v>
      </c>
      <c r="BM40" s="152">
        <f ca="1">IFERROR(__xludf.DUMMYFUNCTION("IMPORTRANGE(""https://docs.google.com/spreadsheets/d/1uB74YLqNjWX6FObjekfB2NtSYigTQyR2rq9u4Ub2Sq4/edit?usp=sharing"",""มุกดาหาร!J454"")"),0)</f>
        <v>0</v>
      </c>
      <c r="BN40" s="152">
        <f ca="1">IFERROR(__xludf.DUMMYFUNCTION("IMPORTRANGE(""https://docs.google.com/spreadsheets/d/1uB74YLqNjWX6FObjekfB2NtSYigTQyR2rq9u4Ub2Sq4/edit?usp=sharing"",""มุกดาหาร!J455"")"),0)</f>
        <v>0</v>
      </c>
      <c r="BO40" s="152">
        <f ca="1">IFERROR(__xludf.DUMMYFUNCTION("IMPORTRANGE(""https://docs.google.com/spreadsheets/d/1uB74YLqNjWX6FObjekfB2NtSYigTQyR2rq9u4Ub2Sq4/edit?usp=sharing"",""มุกดาหาร!I457"")"),1236.87)</f>
        <v>1236.8699999999999</v>
      </c>
      <c r="BP40" s="152">
        <f ca="1">IFERROR(__xludf.DUMMYFUNCTION("IMPORTRANGE(""https://docs.google.com/spreadsheets/d/1uB74YLqNjWX6FObjekfB2NtSYigTQyR2rq9u4Ub2Sq4/edit?usp=sharing"",""มุกดาหาร!I458"")"),139)</f>
        <v>139</v>
      </c>
      <c r="BQ40" s="152">
        <f ca="1">IFERROR(__xludf.DUMMYFUNCTION("IMPORTRANGE(""https://docs.google.com/spreadsheets/d/1uB74YLqNjWX6FObjekfB2NtSYigTQyR2rq9u4Ub2Sq4/edit?usp=sharing"",""มุกดาหาร!J457"")"),0)</f>
        <v>0</v>
      </c>
      <c r="BR40" s="216">
        <f t="shared" ca="1" si="65"/>
        <v>0</v>
      </c>
      <c r="BS40" s="152">
        <f ca="1">IFERROR(__xludf.DUMMYFUNCTION("IMPORTRANGE(""https://docs.google.com/spreadsheets/d/1uB74YLqNjWX6FObjekfB2NtSYigTQyR2rq9u4Ub2Sq4/edit?usp=sharing"",""มุกดาหาร!J458"")"),0)</f>
        <v>0</v>
      </c>
      <c r="BT40" s="216">
        <f t="shared" ca="1" si="66"/>
        <v>0</v>
      </c>
      <c r="BU40" s="152">
        <f ca="1">IFERROR(__xludf.DUMMYFUNCTION("IMPORTRANGE(""https://docs.google.com/spreadsheets/d/1uB74YLqNjWX6FObjekfB2NtSYigTQyR2rq9u4Ub2Sq4/edit?usp=sharing"",""มุกดาหาร!J459"")"),0)</f>
        <v>0</v>
      </c>
      <c r="BV40" s="152">
        <f ca="1">IFERROR(__xludf.DUMMYFUNCTION("IMPORTRANGE(""https://docs.google.com/spreadsheets/d/1uB74YLqNjWX6FObjekfB2NtSYigTQyR2rq9u4Ub2Sq4/edit?usp=sharing"",""มุกดาหาร!J460"")"),0)</f>
        <v>0</v>
      </c>
      <c r="BW40" s="152">
        <f ca="1">IFERROR(__xludf.DUMMYFUNCTION("IMPORTRANGE(""https://docs.google.com/spreadsheets/d/1uB74YLqNjWX6FObjekfB2NtSYigTQyR2rq9u4Ub2Sq4/edit?usp=sharing"",""มุกดาหาร!J461"")"),0)</f>
        <v>0</v>
      </c>
      <c r="BX40" s="152">
        <f ca="1">IFERROR(__xludf.DUMMYFUNCTION("IMPORTRANGE(""https://docs.google.com/spreadsheets/d/1uB74YLqNjWX6FObjekfB2NtSYigTQyR2rq9u4Ub2Sq4/edit?usp=sharing"",""มุกดาหาร!J462"")"),0)</f>
        <v>0</v>
      </c>
      <c r="BY40" s="152">
        <f ca="1">IFERROR(__xludf.DUMMYFUNCTION("IMPORTRANGE(""https://docs.google.com/spreadsheets/d/1uB74YLqNjWX6FObjekfB2NtSYigTQyR2rq9u4Ub2Sq4/edit?usp=sharing"",""มุกดาหาร!J463"")"),0)</f>
        <v>0</v>
      </c>
      <c r="BZ40" s="152">
        <f ca="1">IFERROR(__xludf.DUMMYFUNCTION("IMPORTRANGE(""https://docs.google.com/spreadsheets/d/1uB74YLqNjWX6FObjekfB2NtSYigTQyR2rq9u4Ub2Sq4/edit?usp=sharing"",""มุกดาหาร!J464"")"),0)</f>
        <v>0</v>
      </c>
      <c r="CA40" s="152">
        <f ca="1">IFERROR(__xludf.DUMMYFUNCTION("IMPORTRANGE(""https://docs.google.com/spreadsheets/d/1uB74YLqNjWX6FObjekfB2NtSYigTQyR2rq9u4Ub2Sq4/edit?usp=sharing"",""มุกดาหาร!J465"")"),0)</f>
        <v>0</v>
      </c>
      <c r="CB40" s="152">
        <f ca="1">IFERROR(__xludf.DUMMYFUNCTION("IMPORTRANGE(""https://docs.google.com/spreadsheets/d/1uB74YLqNjWX6FObjekfB2NtSYigTQyR2rq9u4Ub2Sq4/edit?usp=sharing"",""มุกดาหาร!J466"")"),0)</f>
        <v>0</v>
      </c>
      <c r="CC40" s="152">
        <f ca="1">IFERROR(__xludf.DUMMYFUNCTION("IMPORTRANGE(""https://docs.google.com/spreadsheets/d/1uB74YLqNjWX6FObjekfB2NtSYigTQyR2rq9u4Ub2Sq4/edit?usp=sharing"",""มุกดาหาร!J467"")"),0)</f>
        <v>0</v>
      </c>
      <c r="CD40" s="152">
        <f ca="1">IFERROR(__xludf.DUMMYFUNCTION("IMPORTRANGE(""https://docs.google.com/spreadsheets/d/1uB74YLqNjWX6FObjekfB2NtSYigTQyR2rq9u4Ub2Sq4/edit?usp=sharing"",""มุกดาหาร!J468"")"),0)</f>
        <v>0</v>
      </c>
      <c r="CE40" s="152">
        <f ca="1">IFERROR(__xludf.DUMMYFUNCTION("IMPORTRANGE(""https://docs.google.com/spreadsheets/d/1uB74YLqNjWX6FObjekfB2NtSYigTQyR2rq9u4Ub2Sq4/edit?usp=sharing"",""มุกดาหาร!J469"")"),0)</f>
        <v>0</v>
      </c>
      <c r="CF40" s="152">
        <f ca="1">IFERROR(__xludf.DUMMYFUNCTION("IMPORTRANGE(""https://docs.google.com/spreadsheets/d/1uB74YLqNjWX6FObjekfB2NtSYigTQyR2rq9u4Ub2Sq4/edit?usp=sharing"",""มุกดาหาร!J470"")"),0)</f>
        <v>0</v>
      </c>
      <c r="CG40" s="152">
        <f ca="1">IFERROR(__xludf.DUMMYFUNCTION("IMPORTRANGE(""https://docs.google.com/spreadsheets/d/1uB74YLqNjWX6FObjekfB2NtSYigTQyR2rq9u4Ub2Sq4/edit?usp=sharing"",""มุกดาหาร!J471"")"),0)</f>
        <v>0</v>
      </c>
      <c r="CH40" s="152">
        <f ca="1">IFERROR(__xludf.DUMMYFUNCTION("IMPORTRANGE(""https://docs.google.com/spreadsheets/d/1uB74YLqNjWX6FObjekfB2NtSYigTQyR2rq9u4Ub2Sq4/edit?usp=sharing"",""มุกดาหาร!J472"")"),0)</f>
        <v>0</v>
      </c>
      <c r="CI40" s="152">
        <f ca="1">IFERROR(__xludf.DUMMYFUNCTION("IMPORTRANGE(""https://docs.google.com/spreadsheets/d/1uB74YLqNjWX6FObjekfB2NtSYigTQyR2rq9u4Ub2Sq4/edit?usp=sharing"",""มุกดาหาร!J473"")"),0)</f>
        <v>0</v>
      </c>
      <c r="CJ40" s="152">
        <f ca="1">IFERROR(__xludf.DUMMYFUNCTION("IMPORTRANGE(""https://docs.google.com/spreadsheets/d/1uB74YLqNjWX6FObjekfB2NtSYigTQyR2rq9u4Ub2Sq4/edit?usp=sharing"",""มุกดาหาร!J474"")"),0)</f>
        <v>0</v>
      </c>
      <c r="CK40" s="278">
        <f ca="1">IFERROR(__xludf.DUMMYFUNCTION("IMPORTRANGE(""https://docs.google.com/spreadsheets/d/1uB74YLqNjWX6FObjekfB2NtSYigTQyR2rq9u4Ub2Sq4/edit?usp=sharing"",""มุกดาหาร!I476"")"),0)</f>
        <v>0</v>
      </c>
      <c r="CL40" s="278">
        <f ca="1">IFERROR(__xludf.DUMMYFUNCTION("IMPORTRANGE(""https://docs.google.com/spreadsheets/d/1uB74YLqNjWX6FObjekfB2NtSYigTQyR2rq9u4Ub2Sq4/edit?usp=sharing"",""มุกดาหาร!I477"")"),0)</f>
        <v>0</v>
      </c>
      <c r="CM40" s="278">
        <f ca="1">IFERROR(__xludf.DUMMYFUNCTION("IMPORTRANGE(""https://docs.google.com/spreadsheets/d/1uB74YLqNjWX6FObjekfB2NtSYigTQyR2rq9u4Ub2Sq4/edit?usp=sharing"",""มุกดาหาร!J476"")"),0)</f>
        <v>0</v>
      </c>
      <c r="CN40" s="216">
        <f t="shared" ca="1" si="68"/>
        <v>0</v>
      </c>
      <c r="CO40" s="278">
        <f ca="1">IFERROR(__xludf.DUMMYFUNCTION("IMPORTRANGE(""https://docs.google.com/spreadsheets/d/1uB74YLqNjWX6FObjekfB2NtSYigTQyR2rq9u4Ub2Sq4/edit?usp=sharing"",""มุกดาหาร!J477"")"),0)</f>
        <v>0</v>
      </c>
      <c r="CP40" s="216">
        <f t="shared" ca="1" si="69"/>
        <v>0</v>
      </c>
      <c r="CQ40" s="278">
        <f ca="1">IFERROR(__xludf.DUMMYFUNCTION("IMPORTRANGE(""https://docs.google.com/spreadsheets/d/1uB74YLqNjWX6FObjekfB2NtSYigTQyR2rq9u4Ub2Sq4/edit?usp=sharing"",""มุกดาหาร!J478"")"),0)</f>
        <v>0</v>
      </c>
      <c r="CR40" s="278">
        <f ca="1">IFERROR(__xludf.DUMMYFUNCTION("IMPORTRANGE(""https://docs.google.com/spreadsheets/d/1uB74YLqNjWX6FObjekfB2NtSYigTQyR2rq9u4Ub2Sq4/edit?usp=sharing"",""มุกดาหาร!J479"")"),0)</f>
        <v>0</v>
      </c>
      <c r="CS40" s="278">
        <f ca="1">IFERROR(__xludf.DUMMYFUNCTION("IMPORTRANGE(""https://docs.google.com/spreadsheets/d/1uB74YLqNjWX6FObjekfB2NtSYigTQyR2rq9u4Ub2Sq4/edit?usp=sharing"",""มุกดาหาร!J480"")"),0)</f>
        <v>0</v>
      </c>
      <c r="CT40" s="278">
        <f ca="1">IFERROR(__xludf.DUMMYFUNCTION("IMPORTRANGE(""https://docs.google.com/spreadsheets/d/1uB74YLqNjWX6FObjekfB2NtSYigTQyR2rq9u4Ub2Sq4/edit?usp=sharing"",""มุกดาหาร!J481"")"),0)</f>
        <v>0</v>
      </c>
      <c r="CU40" s="278">
        <f ca="1">IFERROR(__xludf.DUMMYFUNCTION("IMPORTRANGE(""https://docs.google.com/spreadsheets/d/1uB74YLqNjWX6FObjekfB2NtSYigTQyR2rq9u4Ub2Sq4/edit?usp=sharing"",""มุกดาหาร!I484"")"),41)</f>
        <v>41</v>
      </c>
      <c r="CV40" s="278">
        <f ca="1">IFERROR(__xludf.DUMMYFUNCTION("IMPORTRANGE(""https://docs.google.com/spreadsheets/d/1uB74YLqNjWX6FObjekfB2NtSYigTQyR2rq9u4Ub2Sq4/edit?usp=sharing"",""มุกดาหาร!I485"")"),1)</f>
        <v>1</v>
      </c>
      <c r="CW40" s="278">
        <f ca="1">IFERROR(__xludf.DUMMYFUNCTION("IMPORTRANGE(""https://docs.google.com/spreadsheets/d/1uB74YLqNjWX6FObjekfB2NtSYigTQyR2rq9u4Ub2Sq4/edit?usp=sharing"",""มุกดาหาร!J484"")"),0)</f>
        <v>0</v>
      </c>
      <c r="CX40" s="216">
        <f t="shared" ca="1" si="71"/>
        <v>0</v>
      </c>
      <c r="CY40" s="278">
        <f ca="1">IFERROR(__xludf.DUMMYFUNCTION("IMPORTRANGE(""https://docs.google.com/spreadsheets/d/1uB74YLqNjWX6FObjekfB2NtSYigTQyR2rq9u4Ub2Sq4/edit?usp=sharing"",""มุกดาหาร!J485"")"),0)</f>
        <v>0</v>
      </c>
      <c r="CZ40" s="216">
        <f t="shared" ca="1" si="72"/>
        <v>0</v>
      </c>
      <c r="DA40" s="278">
        <f ca="1">IFERROR(__xludf.DUMMYFUNCTION("IMPORTRANGE(""https://docs.google.com/spreadsheets/d/1uB74YLqNjWX6FObjekfB2NtSYigTQyR2rq9u4Ub2Sq4/edit?usp=sharing"",""มุกดาหาร!J486"")"),0)</f>
        <v>0</v>
      </c>
      <c r="DB40" s="278">
        <f ca="1">IFERROR(__xludf.DUMMYFUNCTION("IMPORTRANGE(""https://docs.google.com/spreadsheets/d/1uB74YLqNjWX6FObjekfB2NtSYigTQyR2rq9u4Ub2Sq4/edit?usp=sharing"",""มุกดาหาร!J487"")"),0)</f>
        <v>0</v>
      </c>
      <c r="DC40" s="278">
        <f ca="1">IFERROR(__xludf.DUMMYFUNCTION("IMPORTRANGE(""https://docs.google.com/spreadsheets/d/1uB74YLqNjWX6FObjekfB2NtSYigTQyR2rq9u4Ub2Sq4/edit?usp=sharing"",""มุกดาหาร!J488"")"),0)</f>
        <v>0</v>
      </c>
      <c r="DD40" s="278">
        <f ca="1">IFERROR(__xludf.DUMMYFUNCTION("IMPORTRANGE(""https://docs.google.com/spreadsheets/d/1uB74YLqNjWX6FObjekfB2NtSYigTQyR2rq9u4Ub2Sq4/edit?usp=sharing"",""มุกดาหาร!J489"")"),0)</f>
        <v>0</v>
      </c>
      <c r="DE40" s="278">
        <f ca="1">IFERROR(__xludf.DUMMYFUNCTION("IMPORTRANGE(""https://docs.google.com/spreadsheets/d/1uB74YLqNjWX6FObjekfB2NtSYigTQyR2rq9u4Ub2Sq4/edit?usp=sharing"",""มุกดาหาร!J490"")"),0)</f>
        <v>0</v>
      </c>
      <c r="DF40" s="278">
        <f ca="1">IFERROR(__xludf.DUMMYFUNCTION("IMPORTRANGE(""https://docs.google.com/spreadsheets/d/1uB74YLqNjWX6FObjekfB2NtSYigTQyR2rq9u4Ub2Sq4/edit?usp=sharing"",""มุกดาหาร!J491"")"),0)</f>
        <v>0</v>
      </c>
    </row>
    <row r="41" spans="1:110" ht="19.5" x14ac:dyDescent="0.3">
      <c r="A41" s="147">
        <v>10</v>
      </c>
      <c r="B41" s="148" t="s">
        <v>69</v>
      </c>
      <c r="C41" s="566">
        <f t="shared" ca="1" si="44"/>
        <v>356320</v>
      </c>
      <c r="D41" s="567">
        <f t="shared" ca="1" si="84"/>
        <v>356320</v>
      </c>
      <c r="E41" s="329">
        <f ca="1">IFERROR(__xludf.DUMMYFUNCTION("IMPORTRANGE(""https://docs.google.com/spreadsheets/d/1-uDff_7J0KD5mKrp0Vvzr7lt3OU09vwQwhkpOPPYv2Y/edit?usp=sharing"",""งบพรบ!IP41"")"),90000)</f>
        <v>90000</v>
      </c>
      <c r="F41" s="329">
        <f ca="1">IFERROR(__xludf.DUMMYFUNCTION("IMPORTRANGE(""https://docs.google.com/spreadsheets/d/1-uDff_7J0KD5mKrp0Vvzr7lt3OU09vwQwhkpOPPYv2Y/edit?usp=sharing"",""งบพรบ!IQ41"")"),266320)</f>
        <v>266320</v>
      </c>
      <c r="G41" s="329">
        <f ca="1">IFERROR(__xludf.DUMMYFUNCTION("IMPORTRANGE(""https://docs.google.com/spreadsheets/d/1-uDff_7J0KD5mKrp0Vvzr7lt3OU09vwQwhkpOPPYv2Y/edit?usp=sharing"",""งบพรบ!IR41"")"),0)</f>
        <v>0</v>
      </c>
      <c r="H41" s="329">
        <f ca="1">IFERROR(__xludf.DUMMYFUNCTION("IMPORTRANGE(""https://docs.google.com/spreadsheets/d/1-uDff_7J0KD5mKrp0Vvzr7lt3OU09vwQwhkpOPPYv2Y/edit?usp=sharing"",""งบพรบ!IT41"")"),356320)</f>
        <v>356320</v>
      </c>
      <c r="I41" s="329">
        <f ca="1">IFERROR(__xludf.DUMMYFUNCTION("IMPORTRANGE(""https://docs.google.com/spreadsheets/d/1-uDff_7J0KD5mKrp0Vvzr7lt3OU09vwQwhkpOPPYv2Y/edit?usp=sharing"",""งบพรบ!IU41"")"),0)</f>
        <v>0</v>
      </c>
      <c r="J41" s="329">
        <f t="shared" ca="1" si="46"/>
        <v>207382</v>
      </c>
      <c r="K41" s="568">
        <f t="shared" ca="1" si="47"/>
        <v>58.201055231252809</v>
      </c>
      <c r="L41" s="329">
        <f ca="1">IFERROR(__xludf.DUMMYFUNCTION("IMPORTRANGE(""https://docs.google.com/spreadsheets/d/1-uDff_7J0KD5mKrp0Vvzr7lt3OU09vwQwhkpOPPYv2Y/edit?usp=sharing"",""งบพรบ!IV41"")"),207382)</f>
        <v>207382</v>
      </c>
      <c r="M41" s="330">
        <f t="shared" ca="1" si="48"/>
        <v>58.201055231252809</v>
      </c>
      <c r="N41" s="330">
        <f t="shared" ca="1" si="49"/>
        <v>58.201055231252809</v>
      </c>
      <c r="O41" s="569">
        <f ca="1">IFERROR(__xludf.DUMMYFUNCTION("IMPORTRANGE(""https://docs.google.com/spreadsheets/d/1-uDff_7J0KD5mKrp0Vvzr7lt3OU09vwQwhkpOPPYv2Y/edit?usp=sharing"",""งบพรบ!IW41"")"),0)</f>
        <v>0</v>
      </c>
      <c r="P41" s="569">
        <f t="shared" ca="1" si="50"/>
        <v>0</v>
      </c>
      <c r="Q41" s="330">
        <f t="shared" ca="1" si="51"/>
        <v>0</v>
      </c>
      <c r="R41" s="564">
        <f ca="1">IFERROR(__xludf.DUMMYFUNCTION("IMPORTRANGE(""https://docs.google.com/spreadsheets/d/1NexK3geCPxCTO1fzNF8dPec7yZyUx3OaWkFBC9HsQOo/edit?usp=sharing"",""ยโสธร!Q413"")"),122800)</f>
        <v>122800</v>
      </c>
      <c r="S41" s="564">
        <f ca="1">IFERROR(__xludf.DUMMYFUNCTION("IMPORTRANGE(""https://docs.google.com/spreadsheets/d/1NexK3geCPxCTO1fzNF8dPec7yZyUx3OaWkFBC9HsQOo/edit?usp=sharing"",""ยโสธร!R413"")"),122800)</f>
        <v>122800</v>
      </c>
      <c r="T41" s="564">
        <f ca="1">IFERROR(__xludf.DUMMYFUNCTION("IMPORTRANGE(""https://docs.google.com/spreadsheets/d/1NexK3geCPxCTO1fzNF8dPec7yZyUx3OaWkFBC9HsQOo/edit?usp=sharing"",""ยโสธร!S413"")"),15000)</f>
        <v>15000</v>
      </c>
      <c r="U41" s="565">
        <f t="shared" ca="1" si="53"/>
        <v>12.214983713355048</v>
      </c>
      <c r="V41" s="565">
        <f t="shared" ca="1" si="54"/>
        <v>12.214983713355048</v>
      </c>
      <c r="W41" s="397">
        <f ca="1">IFERROR(__xludf.DUMMYFUNCTION("IMPORTRANGE(""https://docs.google.com/spreadsheets/d/1NexK3geCPxCTO1fzNF8dPec7yZyUx3OaWkFBC9HsQOo/edit?usp=sharing"",""ยโสธร!I424"")"),55878)</f>
        <v>55878</v>
      </c>
      <c r="X41" s="397">
        <f ca="1">IFERROR(__xludf.DUMMYFUNCTION("IMPORTRANGE(""https://docs.google.com/spreadsheets/d/1NexK3geCPxCTO1fzNF8dPec7yZyUx3OaWkFBC9HsQOo/edit?usp=sharing"",""ยโสธร!I425"")"),6623)</f>
        <v>6623</v>
      </c>
      <c r="Y41" s="397">
        <f ca="1">IFERROR(__xludf.DUMMYFUNCTION("IMPORTRANGE(""https://docs.google.com/spreadsheets/d/1NexK3geCPxCTO1fzNF8dPec7yZyUx3OaWkFBC9HsQOo/edit?usp=sharing"",""ยโสธร!J424"")"),0)</f>
        <v>0</v>
      </c>
      <c r="Z41" s="216">
        <f t="shared" ca="1" si="56"/>
        <v>0</v>
      </c>
      <c r="AA41" s="397">
        <f ca="1">IFERROR(__xludf.DUMMYFUNCTION("IMPORTRANGE(""https://docs.google.com/spreadsheets/d/1NexK3geCPxCTO1fzNF8dPec7yZyUx3OaWkFBC9HsQOo/edit?usp=sharing"",""ยโสธร!J425"")"),0)</f>
        <v>0</v>
      </c>
      <c r="AB41" s="216">
        <f t="shared" ca="1" si="57"/>
        <v>0</v>
      </c>
      <c r="AC41" s="397" t="str">
        <f ca="1">IFERROR(__xludf.DUMMYFUNCTION("IMPORTRANGE(""https://docs.google.com/spreadsheets/d/1NexK3geCPxCTO1fzNF8dPec7yZyUx3OaWkFBC9HsQOo/edit?usp=sharing"",""ยโสธร!J426"")"),"")</f>
        <v/>
      </c>
      <c r="AD41" s="397">
        <f ca="1">IFERROR(__xludf.DUMMYFUNCTION("IMPORTRANGE(""https://docs.google.com/spreadsheets/d/1NexK3geCPxCTO1fzNF8dPec7yZyUx3OaWkFBC9HsQOo/edit?usp=sharing"",""ยโสธร!J427"")"),0)</f>
        <v>0</v>
      </c>
      <c r="AE41" s="397">
        <f ca="1">IFERROR(__xludf.DUMMYFUNCTION("IMPORTRANGE(""https://docs.google.com/spreadsheets/d/1NexK3geCPxCTO1fzNF8dPec7yZyUx3OaWkFBC9HsQOo/edit?usp=sharing"",""ยโสธร!J428"")"),0)</f>
        <v>0</v>
      </c>
      <c r="AF41" s="397">
        <f ca="1">IFERROR(__xludf.DUMMYFUNCTION("IMPORTRANGE(""https://docs.google.com/spreadsheets/d/1NexK3geCPxCTO1fzNF8dPec7yZyUx3OaWkFBC9HsQOo/edit?usp=sharing"",""ยโสธร!J429"")"),0)</f>
        <v>0</v>
      </c>
      <c r="AG41" s="397">
        <f ca="1">IFERROR(__xludf.DUMMYFUNCTION("IMPORTRANGE(""https://docs.google.com/spreadsheets/d/1NexK3geCPxCTO1fzNF8dPec7yZyUx3OaWkFBC9HsQOo/edit?usp=sharing"",""ยโสธร!J430"")"),0)</f>
        <v>0</v>
      </c>
      <c r="AH41" s="397">
        <f ca="1">IFERROR(__xludf.DUMMYFUNCTION("IMPORTRANGE(""https://docs.google.com/spreadsheets/d/1NexK3geCPxCTO1fzNF8dPec7yZyUx3OaWkFBC9HsQOo/edit?usp=sharing"",""ยโสธร!J431"")"),0)</f>
        <v>0</v>
      </c>
      <c r="AI41" s="152">
        <f ca="1">IFERROR(__xludf.DUMMYFUNCTION("IMPORTRANGE(""https://docs.google.com/spreadsheets/d/1NexK3geCPxCTO1fzNF8dPec7yZyUx3OaWkFBC9HsQOo/edit?usp=sharing"",""ยโสธร!I432"")"),55878)</f>
        <v>55878</v>
      </c>
      <c r="AJ41" s="152">
        <f ca="1">IFERROR(__xludf.DUMMYFUNCTION("IMPORTRANGE(""https://docs.google.com/spreadsheets/d/1NexK3geCPxCTO1fzNF8dPec7yZyUx3OaWkFBC9HsQOo/edit?usp=sharing"",""ยโสธร!I433"")"),6623)</f>
        <v>6623</v>
      </c>
      <c r="AK41" s="216">
        <f ca="1">IFERROR(__xludf.DUMMYFUNCTION("IMPORTRANGE(""https://docs.google.com/spreadsheets/d/1NexK3geCPxCTO1fzNF8dPec7yZyUx3OaWkFBC9HsQOo/edit?usp=sharing"",""ยโสธร!J432"")"),0)</f>
        <v>0</v>
      </c>
      <c r="AL41" s="216">
        <f t="shared" ca="1" si="59"/>
        <v>0</v>
      </c>
      <c r="AM41" s="152">
        <f ca="1">IFERROR(__xludf.DUMMYFUNCTION("IMPORTRANGE(""https://docs.google.com/spreadsheets/d/1NexK3geCPxCTO1fzNF8dPec7yZyUx3OaWkFBC9HsQOo/edit?usp=sharing"",""ยโสธร!J433"")"),0)</f>
        <v>0</v>
      </c>
      <c r="AN41" s="216">
        <f t="shared" ca="1" si="60"/>
        <v>0</v>
      </c>
      <c r="AO41" s="152">
        <f ca="1">IFERROR(__xludf.DUMMYFUNCTION("IMPORTRANGE(""https://docs.google.com/spreadsheets/d/1NexK3geCPxCTO1fzNF8dPec7yZyUx3OaWkFBC9HsQOo/edit?usp=sharing"",""ยโสธร!J434"")"),0)</f>
        <v>0</v>
      </c>
      <c r="AP41" s="152">
        <f ca="1">IFERROR(__xludf.DUMMYFUNCTION("IMPORTRANGE(""https://docs.google.com/spreadsheets/d/1NexK3geCPxCTO1fzNF8dPec7yZyUx3OaWkFBC9HsQOo/edit?usp=sharing"",""ยโสธร!J435"")"),0)</f>
        <v>0</v>
      </c>
      <c r="AQ41" s="152">
        <f ca="1">IFERROR(__xludf.DUMMYFUNCTION("IMPORTRANGE(""https://docs.google.com/spreadsheets/d/1NexK3geCPxCTO1fzNF8dPec7yZyUx3OaWkFBC9HsQOo/edit?usp=sharing"",""ยโสธร!J436"")"),0)</f>
        <v>0</v>
      </c>
      <c r="AR41" s="152">
        <f ca="1">IFERROR(__xludf.DUMMYFUNCTION("IMPORTRANGE(""https://docs.google.com/spreadsheets/d/1NexK3geCPxCTO1fzNF8dPec7yZyUx3OaWkFBC9HsQOo/edit?usp=sharing"",""ยโสธร!J437"")"),0)</f>
        <v>0</v>
      </c>
      <c r="AS41" s="152">
        <f ca="1">IFERROR(__xludf.DUMMYFUNCTION("IMPORTRANGE(""https://docs.google.com/spreadsheets/d/1NexK3geCPxCTO1fzNF8dPec7yZyUx3OaWkFBC9HsQOo/edit?usp=sharing"",""ยโสธร!J438"")"),0)</f>
        <v>0</v>
      </c>
      <c r="AT41" s="152">
        <f ca="1">IFERROR(__xludf.DUMMYFUNCTION("IMPORTRANGE(""https://docs.google.com/spreadsheets/d/1NexK3geCPxCTO1fzNF8dPec7yZyUx3OaWkFBC9HsQOo/edit?usp=sharing"",""ยโสธร!J439"")"),0)</f>
        <v>0</v>
      </c>
      <c r="AU41" s="152">
        <f ca="1">IFERROR(__xludf.DUMMYFUNCTION("IMPORTRANGE(""https://docs.google.com/spreadsheets/d/1NexK3geCPxCTO1fzNF8dPec7yZyUx3OaWkFBC9HsQOo/edit?usp=sharing"",""ยโสธร!I440"")"),55878)</f>
        <v>55878</v>
      </c>
      <c r="AV41" s="152">
        <f ca="1">IFERROR(__xludf.DUMMYFUNCTION("IMPORTRANGE(""https://docs.google.com/spreadsheets/d/1NexK3geCPxCTO1fzNF8dPec7yZyUx3OaWkFBC9HsQOo/edit?usp=sharing"",""ยโสธร!I441"")"),6623)</f>
        <v>6623</v>
      </c>
      <c r="AW41" s="152">
        <f ca="1">IFERROR(__xludf.DUMMYFUNCTION("IMPORTRANGE(""https://docs.google.com/spreadsheets/d/1NexK3geCPxCTO1fzNF8dPec7yZyUx3OaWkFBC9HsQOo/edit?usp=sharing"",""ยโสธร!J440"")"),0)</f>
        <v>0</v>
      </c>
      <c r="AX41" s="216">
        <f t="shared" ca="1" si="62"/>
        <v>0</v>
      </c>
      <c r="AY41" s="152">
        <f ca="1">IFERROR(__xludf.DUMMYFUNCTION("IMPORTRANGE(""https://docs.google.com/spreadsheets/d/1NexK3geCPxCTO1fzNF8dPec7yZyUx3OaWkFBC9HsQOo/edit?usp=sharing"",""ยโสธร!J441"")"),0)</f>
        <v>0</v>
      </c>
      <c r="AZ41" s="216">
        <f t="shared" ca="1" si="63"/>
        <v>0</v>
      </c>
      <c r="BA41" s="152">
        <f ca="1">IFERROR(__xludf.DUMMYFUNCTION("IMPORTRANGE(""https://docs.google.com/spreadsheets/d/1NexK3geCPxCTO1fzNF8dPec7yZyUx3OaWkFBC9HsQOo/edit?usp=sharing"",""ยโสธร!J442"")"),0)</f>
        <v>0</v>
      </c>
      <c r="BB41" s="152" t="str">
        <f ca="1">IFERROR(__xludf.DUMMYFUNCTION("IMPORTRANGE(""https://docs.google.com/spreadsheets/d/1NexK3geCPxCTO1fzNF8dPec7yZyUx3OaWkFBC9HsQOo/edit?usp=sharing"",""ยโสธร!J443"")"),"")</f>
        <v/>
      </c>
      <c r="BC41" s="152">
        <f ca="1">IFERROR(__xludf.DUMMYFUNCTION("IMPORTRANGE(""https://docs.google.com/spreadsheets/d/1NexK3geCPxCTO1fzNF8dPec7yZyUx3OaWkFBC9HsQOo/edit?usp=sharing"",""ยโสธร!J444"")"),0)</f>
        <v>0</v>
      </c>
      <c r="BD41" s="152">
        <f ca="1">IFERROR(__xludf.DUMMYFUNCTION("IMPORTRANGE(""https://docs.google.com/spreadsheets/d/1NexK3geCPxCTO1fzNF8dPec7yZyUx3OaWkFBC9HsQOo/edit?usp=sharing"",""ยโสธร!J445"")"),0)</f>
        <v>0</v>
      </c>
      <c r="BE41" s="152">
        <f ca="1">IFERROR(__xludf.DUMMYFUNCTION("IMPORTRANGE(""https://docs.google.com/spreadsheets/d/1NexK3geCPxCTO1fzNF8dPec7yZyUx3OaWkFBC9HsQOo/edit?usp=sharing"",""ยโสธร!J446"")"),0)</f>
        <v>0</v>
      </c>
      <c r="BF41" s="152">
        <f ca="1">IFERROR(__xludf.DUMMYFUNCTION("IMPORTRANGE(""https://docs.google.com/spreadsheets/d/1NexK3geCPxCTO1fzNF8dPec7yZyUx3OaWkFBC9HsQOo/edit?usp=sharing"",""ยโสธร!J447"")"),0)</f>
        <v>0</v>
      </c>
      <c r="BG41" s="152">
        <f ca="1">IFERROR(__xludf.DUMMYFUNCTION("IMPORTRANGE(""https://docs.google.com/spreadsheets/d/1NexK3geCPxCTO1fzNF8dPec7yZyUx3OaWkFBC9HsQOo/edit?usp=sharing"",""ยโสธร!J448"")"),0)</f>
        <v>0</v>
      </c>
      <c r="BH41" s="152">
        <f ca="1">IFERROR(__xludf.DUMMYFUNCTION("IMPORTRANGE(""https://docs.google.com/spreadsheets/d/1NexK3geCPxCTO1fzNF8dPec7yZyUx3OaWkFBC9HsQOo/edit?usp=sharing"",""ยโสธร!J449"")"),0)</f>
        <v>0</v>
      </c>
      <c r="BI41" s="152">
        <f ca="1">IFERROR(__xludf.DUMMYFUNCTION("IMPORTRANGE(""https://docs.google.com/spreadsheets/d/1NexK3geCPxCTO1fzNF8dPec7yZyUx3OaWkFBC9HsQOo/edit?usp=sharing"",""ยโสธร!J450"")"),0)</f>
        <v>0</v>
      </c>
      <c r="BJ41" s="152">
        <f ca="1">IFERROR(__xludf.DUMMYFUNCTION("IMPORTRANGE(""https://docs.google.com/spreadsheets/d/1NexK3geCPxCTO1fzNF8dPec7yZyUx3OaWkFBC9HsQOo/edit?usp=sharing"",""ยโสธร!J451"")"),0)</f>
        <v>0</v>
      </c>
      <c r="BK41" s="152">
        <f ca="1">IFERROR(__xludf.DUMMYFUNCTION("IMPORTRANGE(""https://docs.google.com/spreadsheets/d/1NexK3geCPxCTO1fzNF8dPec7yZyUx3OaWkFBC9HsQOo/edit?usp=sharing"",""ยโสธร!J452"")"),0)</f>
        <v>0</v>
      </c>
      <c r="BL41" s="152">
        <f ca="1">IFERROR(__xludf.DUMMYFUNCTION("IMPORTRANGE(""https://docs.google.com/spreadsheets/d/1NexK3geCPxCTO1fzNF8dPec7yZyUx3OaWkFBC9HsQOo/edit?usp=sharing"",""ยโสธร!J453"")"),0)</f>
        <v>0</v>
      </c>
      <c r="BM41" s="152">
        <f ca="1">IFERROR(__xludf.DUMMYFUNCTION("IMPORTRANGE(""https://docs.google.com/spreadsheets/d/1NexK3geCPxCTO1fzNF8dPec7yZyUx3OaWkFBC9HsQOo/edit?usp=sharing"",""ยโสธร!J454"")"),0)</f>
        <v>0</v>
      </c>
      <c r="BN41" s="152">
        <f ca="1">IFERROR(__xludf.DUMMYFUNCTION("IMPORTRANGE(""https://docs.google.com/spreadsheets/d/1NexK3geCPxCTO1fzNF8dPec7yZyUx3OaWkFBC9HsQOo/edit?usp=sharing"",""ยโสธร!J455"")"),0)</f>
        <v>0</v>
      </c>
      <c r="BO41" s="152">
        <f ca="1">IFERROR(__xludf.DUMMYFUNCTION("IMPORTRANGE(""https://docs.google.com/spreadsheets/d/1NexK3geCPxCTO1fzNF8dPec7yZyUx3OaWkFBC9HsQOo/edit?usp=sharing"",""ยโสธร!I457"")"),1238.32)</f>
        <v>1238.32</v>
      </c>
      <c r="BP41" s="152">
        <f ca="1">IFERROR(__xludf.DUMMYFUNCTION("IMPORTRANGE(""https://docs.google.com/spreadsheets/d/1NexK3geCPxCTO1fzNF8dPec7yZyUx3OaWkFBC9HsQOo/edit?usp=sharing"",""ยโสธร!I458"")"),103)</f>
        <v>103</v>
      </c>
      <c r="BQ41" s="152">
        <f ca="1">IFERROR(__xludf.DUMMYFUNCTION("IMPORTRANGE(""https://docs.google.com/spreadsheets/d/1NexK3geCPxCTO1fzNF8dPec7yZyUx3OaWkFBC9HsQOo/edit?usp=sharing"",""ยโสธร!J457"")"),0)</f>
        <v>0</v>
      </c>
      <c r="BR41" s="216">
        <f t="shared" ca="1" si="65"/>
        <v>0</v>
      </c>
      <c r="BS41" s="152">
        <f ca="1">IFERROR(__xludf.DUMMYFUNCTION("IMPORTRANGE(""https://docs.google.com/spreadsheets/d/1NexK3geCPxCTO1fzNF8dPec7yZyUx3OaWkFBC9HsQOo/edit?usp=sharing"",""ยโสธร!J458"")"),0)</f>
        <v>0</v>
      </c>
      <c r="BT41" s="216">
        <f t="shared" ca="1" si="66"/>
        <v>0</v>
      </c>
      <c r="BU41" s="152">
        <f ca="1">IFERROR(__xludf.DUMMYFUNCTION("IMPORTRANGE(""https://docs.google.com/spreadsheets/d/1NexK3geCPxCTO1fzNF8dPec7yZyUx3OaWkFBC9HsQOo/edit?usp=sharing"",""ยโสธร!J459"")"),0)</f>
        <v>0</v>
      </c>
      <c r="BV41" s="152">
        <f ca="1">IFERROR(__xludf.DUMMYFUNCTION("IMPORTRANGE(""https://docs.google.com/spreadsheets/d/1NexK3geCPxCTO1fzNF8dPec7yZyUx3OaWkFBC9HsQOo/edit?usp=sharing"",""ยโสธร!J460"")"),0)</f>
        <v>0</v>
      </c>
      <c r="BW41" s="152" t="str">
        <f ca="1">IFERROR(__xludf.DUMMYFUNCTION("IMPORTRANGE(""https://docs.google.com/spreadsheets/d/1NexK3geCPxCTO1fzNF8dPec7yZyUx3OaWkFBC9HsQOo/edit?usp=sharing"",""ยโสธร!J461"")"),"")</f>
        <v/>
      </c>
      <c r="BX41" s="152">
        <f ca="1">IFERROR(__xludf.DUMMYFUNCTION("IMPORTRANGE(""https://docs.google.com/spreadsheets/d/1NexK3geCPxCTO1fzNF8dPec7yZyUx3OaWkFBC9HsQOo/edit?usp=sharing"",""ยโสธร!J462"")"),0)</f>
        <v>0</v>
      </c>
      <c r="BY41" s="152">
        <f ca="1">IFERROR(__xludf.DUMMYFUNCTION("IMPORTRANGE(""https://docs.google.com/spreadsheets/d/1NexK3geCPxCTO1fzNF8dPec7yZyUx3OaWkFBC9HsQOo/edit?usp=sharing"",""ยโสธร!J463"")"),0)</f>
        <v>0</v>
      </c>
      <c r="BZ41" s="152">
        <f ca="1">IFERROR(__xludf.DUMMYFUNCTION("IMPORTRANGE(""https://docs.google.com/spreadsheets/d/1NexK3geCPxCTO1fzNF8dPec7yZyUx3OaWkFBC9HsQOo/edit?usp=sharing"",""ยโสธร!J464"")"),0)</f>
        <v>0</v>
      </c>
      <c r="CA41" s="152">
        <f ca="1">IFERROR(__xludf.DUMMYFUNCTION("IMPORTRANGE(""https://docs.google.com/spreadsheets/d/1NexK3geCPxCTO1fzNF8dPec7yZyUx3OaWkFBC9HsQOo/edit?usp=sharing"",""ยโสธร!J465"")"),0)</f>
        <v>0</v>
      </c>
      <c r="CB41" s="152">
        <f ca="1">IFERROR(__xludf.DUMMYFUNCTION("IMPORTRANGE(""https://docs.google.com/spreadsheets/d/1NexK3geCPxCTO1fzNF8dPec7yZyUx3OaWkFBC9HsQOo/edit?usp=sharing"",""ยโสธร!J466"")"),0)</f>
        <v>0</v>
      </c>
      <c r="CC41" s="152">
        <f ca="1">IFERROR(__xludf.DUMMYFUNCTION("IMPORTRANGE(""https://docs.google.com/spreadsheets/d/1NexK3geCPxCTO1fzNF8dPec7yZyUx3OaWkFBC9HsQOo/edit?usp=sharing"",""ยโสธร!J467"")"),0)</f>
        <v>0</v>
      </c>
      <c r="CD41" s="152">
        <f ca="1">IFERROR(__xludf.DUMMYFUNCTION("IMPORTRANGE(""https://docs.google.com/spreadsheets/d/1NexK3geCPxCTO1fzNF8dPec7yZyUx3OaWkFBC9HsQOo/edit?usp=sharing"",""ยโสธร!J468"")"),0)</f>
        <v>0</v>
      </c>
      <c r="CE41" s="152">
        <f ca="1">IFERROR(__xludf.DUMMYFUNCTION("IMPORTRANGE(""https://docs.google.com/spreadsheets/d/1NexK3geCPxCTO1fzNF8dPec7yZyUx3OaWkFBC9HsQOo/edit?usp=sharing"",""ยโสธร!J469"")"),0)</f>
        <v>0</v>
      </c>
      <c r="CF41" s="152">
        <f ca="1">IFERROR(__xludf.DUMMYFUNCTION("IMPORTRANGE(""https://docs.google.com/spreadsheets/d/1NexK3geCPxCTO1fzNF8dPec7yZyUx3OaWkFBC9HsQOo/edit?usp=sharing"",""ยโสธร!J470"")"),0)</f>
        <v>0</v>
      </c>
      <c r="CG41" s="152">
        <f ca="1">IFERROR(__xludf.DUMMYFUNCTION("IMPORTRANGE(""https://docs.google.com/spreadsheets/d/1NexK3geCPxCTO1fzNF8dPec7yZyUx3OaWkFBC9HsQOo/edit?usp=sharing"",""ยโสธร!J471"")"),0)</f>
        <v>0</v>
      </c>
      <c r="CH41" s="152">
        <f ca="1">IFERROR(__xludf.DUMMYFUNCTION("IMPORTRANGE(""https://docs.google.com/spreadsheets/d/1NexK3geCPxCTO1fzNF8dPec7yZyUx3OaWkFBC9HsQOo/edit?usp=sharing"",""ยโสธร!J472"")"),0)</f>
        <v>0</v>
      </c>
      <c r="CI41" s="152">
        <f ca="1">IFERROR(__xludf.DUMMYFUNCTION("IMPORTRANGE(""https://docs.google.com/spreadsheets/d/1NexK3geCPxCTO1fzNF8dPec7yZyUx3OaWkFBC9HsQOo/edit?usp=sharing"",""ยโสธร!J473"")"),0)</f>
        <v>0</v>
      </c>
      <c r="CJ41" s="152">
        <f ca="1">IFERROR(__xludf.DUMMYFUNCTION("IMPORTRANGE(""https://docs.google.com/spreadsheets/d/1NexK3geCPxCTO1fzNF8dPec7yZyUx3OaWkFBC9HsQOo/edit?usp=sharing"",""ยโสธร!J474"")"),0)</f>
        <v>0</v>
      </c>
      <c r="CK41" s="278">
        <f ca="1">IFERROR(__xludf.DUMMYFUNCTION("IMPORTRANGE(""https://docs.google.com/spreadsheets/d/1NexK3geCPxCTO1fzNF8dPec7yZyUx3OaWkFBC9HsQOo/edit?usp=sharing"",""ยโสธร!I476"")"),0)</f>
        <v>0</v>
      </c>
      <c r="CL41" s="278">
        <f ca="1">IFERROR(__xludf.DUMMYFUNCTION("IMPORTRANGE(""https://docs.google.com/spreadsheets/d/1NexK3geCPxCTO1fzNF8dPec7yZyUx3OaWkFBC9HsQOo/edit?usp=sharing"",""ยโสธร!I477"")"),0)</f>
        <v>0</v>
      </c>
      <c r="CM41" s="278">
        <f ca="1">IFERROR(__xludf.DUMMYFUNCTION("IMPORTRANGE(""https://docs.google.com/spreadsheets/d/1NexK3geCPxCTO1fzNF8dPec7yZyUx3OaWkFBC9HsQOo/edit?usp=sharing"",""ยโสธร!J476"")"),0)</f>
        <v>0</v>
      </c>
      <c r="CN41" s="216">
        <f t="shared" ca="1" si="68"/>
        <v>0</v>
      </c>
      <c r="CO41" s="278">
        <f ca="1">IFERROR(__xludf.DUMMYFUNCTION("IMPORTRANGE(""https://docs.google.com/spreadsheets/d/1NexK3geCPxCTO1fzNF8dPec7yZyUx3OaWkFBC9HsQOo/edit?usp=sharing"",""ยโสธร!J477"")"),0)</f>
        <v>0</v>
      </c>
      <c r="CP41" s="216">
        <f t="shared" ca="1" si="69"/>
        <v>0</v>
      </c>
      <c r="CQ41" s="278">
        <f ca="1">IFERROR(__xludf.DUMMYFUNCTION("IMPORTRANGE(""https://docs.google.com/spreadsheets/d/1NexK3geCPxCTO1fzNF8dPec7yZyUx3OaWkFBC9HsQOo/edit?usp=sharing"",""ยโสธร!J478"")"),0)</f>
        <v>0</v>
      </c>
      <c r="CR41" s="278">
        <f ca="1">IFERROR(__xludf.DUMMYFUNCTION("IMPORTRANGE(""https://docs.google.com/spreadsheets/d/1NexK3geCPxCTO1fzNF8dPec7yZyUx3OaWkFBC9HsQOo/edit?usp=sharing"",""ยโสธร!J479"")"),0)</f>
        <v>0</v>
      </c>
      <c r="CS41" s="278">
        <f ca="1">IFERROR(__xludf.DUMMYFUNCTION("IMPORTRANGE(""https://docs.google.com/spreadsheets/d/1NexK3geCPxCTO1fzNF8dPec7yZyUx3OaWkFBC9HsQOo/edit?usp=sharing"",""ยโสธร!J480"")"),0)</f>
        <v>0</v>
      </c>
      <c r="CT41" s="278">
        <f ca="1">IFERROR(__xludf.DUMMYFUNCTION("IMPORTRANGE(""https://docs.google.com/spreadsheets/d/1NexK3geCPxCTO1fzNF8dPec7yZyUx3OaWkFBC9HsQOo/edit?usp=sharing"",""ยโสธร!J481"")"),0)</f>
        <v>0</v>
      </c>
      <c r="CU41" s="278">
        <f ca="1">IFERROR(__xludf.DUMMYFUNCTION("IMPORTRANGE(""https://docs.google.com/spreadsheets/d/1NexK3geCPxCTO1fzNF8dPec7yZyUx3OaWkFBC9HsQOo/edit?usp=sharing"",""ยโสธร!I484"")"),29)</f>
        <v>29</v>
      </c>
      <c r="CV41" s="278">
        <f ca="1">IFERROR(__xludf.DUMMYFUNCTION("IMPORTRANGE(""https://docs.google.com/spreadsheets/d/1NexK3geCPxCTO1fzNF8dPec7yZyUx3OaWkFBC9HsQOo/edit?usp=sharing"",""ยโสธร!I485"")"),5)</f>
        <v>5</v>
      </c>
      <c r="CW41" s="278">
        <f ca="1">IFERROR(__xludf.DUMMYFUNCTION("IMPORTRANGE(""https://docs.google.com/spreadsheets/d/1NexK3geCPxCTO1fzNF8dPec7yZyUx3OaWkFBC9HsQOo/edit?usp=sharing"",""ยโสธร!J484"")"),0)</f>
        <v>0</v>
      </c>
      <c r="CX41" s="216">
        <f t="shared" ca="1" si="71"/>
        <v>0</v>
      </c>
      <c r="CY41" s="278">
        <f ca="1">IFERROR(__xludf.DUMMYFUNCTION("IMPORTRANGE(""https://docs.google.com/spreadsheets/d/1NexK3geCPxCTO1fzNF8dPec7yZyUx3OaWkFBC9HsQOo/edit?usp=sharing"",""ยโสธร!J485"")"),0)</f>
        <v>0</v>
      </c>
      <c r="CZ41" s="216">
        <f t="shared" ca="1" si="72"/>
        <v>0</v>
      </c>
      <c r="DA41" s="278">
        <f ca="1">IFERROR(__xludf.DUMMYFUNCTION("IMPORTRANGE(""https://docs.google.com/spreadsheets/d/1NexK3geCPxCTO1fzNF8dPec7yZyUx3OaWkFBC9HsQOo/edit?usp=sharing"",""ยโสธร!J486"")"),0)</f>
        <v>0</v>
      </c>
      <c r="DB41" s="278">
        <f ca="1">IFERROR(__xludf.DUMMYFUNCTION("IMPORTRANGE(""https://docs.google.com/spreadsheets/d/1NexK3geCPxCTO1fzNF8dPec7yZyUx3OaWkFBC9HsQOo/edit?usp=sharing"",""ยโสธร!J487"")"),0)</f>
        <v>0</v>
      </c>
      <c r="DC41" s="278">
        <f ca="1">IFERROR(__xludf.DUMMYFUNCTION("IMPORTRANGE(""https://docs.google.com/spreadsheets/d/1NexK3geCPxCTO1fzNF8dPec7yZyUx3OaWkFBC9HsQOo/edit?usp=sharing"",""ยโสธร!J488"")"),0)</f>
        <v>0</v>
      </c>
      <c r="DD41" s="278">
        <f ca="1">IFERROR(__xludf.DUMMYFUNCTION("IMPORTRANGE(""https://docs.google.com/spreadsheets/d/1NexK3geCPxCTO1fzNF8dPec7yZyUx3OaWkFBC9HsQOo/edit?usp=sharing"",""ยโสธร!J489"")"),0)</f>
        <v>0</v>
      </c>
      <c r="DE41" s="278">
        <f ca="1">IFERROR(__xludf.DUMMYFUNCTION("IMPORTRANGE(""https://docs.google.com/spreadsheets/d/1NexK3geCPxCTO1fzNF8dPec7yZyUx3OaWkFBC9HsQOo/edit?usp=sharing"",""ยโสธร!J490"")"),0)</f>
        <v>0</v>
      </c>
      <c r="DF41" s="278">
        <f ca="1">IFERROR(__xludf.DUMMYFUNCTION("IMPORTRANGE(""https://docs.google.com/spreadsheets/d/1NexK3geCPxCTO1fzNF8dPec7yZyUx3OaWkFBC9HsQOo/edit?usp=sharing"",""ยโสธร!J491"")"),0)</f>
        <v>0</v>
      </c>
    </row>
    <row r="42" spans="1:110" ht="19.5" x14ac:dyDescent="0.3">
      <c r="A42" s="147">
        <v>11</v>
      </c>
      <c r="B42" s="148" t="s">
        <v>70</v>
      </c>
      <c r="C42" s="566">
        <f t="shared" ca="1" si="44"/>
        <v>495610</v>
      </c>
      <c r="D42" s="567">
        <f t="shared" ca="1" si="84"/>
        <v>495610</v>
      </c>
      <c r="E42" s="329">
        <f ca="1">IFERROR(__xludf.DUMMYFUNCTION("IMPORTRANGE(""https://docs.google.com/spreadsheets/d/1-uDff_7J0KD5mKrp0Vvzr7lt3OU09vwQwhkpOPPYv2Y/edit?usp=sharing"",""งบพรบ!IP42"")"),104000)</f>
        <v>104000</v>
      </c>
      <c r="F42" s="329">
        <f ca="1">IFERROR(__xludf.DUMMYFUNCTION("IMPORTRANGE(""https://docs.google.com/spreadsheets/d/1-uDff_7J0KD5mKrp0Vvzr7lt3OU09vwQwhkpOPPYv2Y/edit?usp=sharing"",""งบพรบ!IQ42"")"),391610)</f>
        <v>391610</v>
      </c>
      <c r="G42" s="329">
        <f ca="1">IFERROR(__xludf.DUMMYFUNCTION("IMPORTRANGE(""https://docs.google.com/spreadsheets/d/1-uDff_7J0KD5mKrp0Vvzr7lt3OU09vwQwhkpOPPYv2Y/edit?usp=sharing"",""งบพรบ!IR42"")"),0)</f>
        <v>0</v>
      </c>
      <c r="H42" s="329">
        <f ca="1">IFERROR(__xludf.DUMMYFUNCTION("IMPORTRANGE(""https://docs.google.com/spreadsheets/d/1-uDff_7J0KD5mKrp0Vvzr7lt3OU09vwQwhkpOPPYv2Y/edit?usp=sharing"",""งบพรบ!IT42"")"),495610)</f>
        <v>495610</v>
      </c>
      <c r="I42" s="329">
        <f ca="1">IFERROR(__xludf.DUMMYFUNCTION("IMPORTRANGE(""https://docs.google.com/spreadsheets/d/1-uDff_7J0KD5mKrp0Vvzr7lt3OU09vwQwhkpOPPYv2Y/edit?usp=sharing"",""งบพรบ!IU42"")"),0)</f>
        <v>0</v>
      </c>
      <c r="J42" s="329">
        <f t="shared" ca="1" si="46"/>
        <v>176606.67</v>
      </c>
      <c r="K42" s="568">
        <f t="shared" ca="1" si="47"/>
        <v>35.634202296160289</v>
      </c>
      <c r="L42" s="329">
        <f ca="1">IFERROR(__xludf.DUMMYFUNCTION("IMPORTRANGE(""https://docs.google.com/spreadsheets/d/1-uDff_7J0KD5mKrp0Vvzr7lt3OU09vwQwhkpOPPYv2Y/edit?usp=sharing"",""งบพรบ!IV42"")"),176606.67)</f>
        <v>176606.67</v>
      </c>
      <c r="M42" s="330">
        <f t="shared" ca="1" si="48"/>
        <v>35.634202296160289</v>
      </c>
      <c r="N42" s="330">
        <f t="shared" ca="1" si="49"/>
        <v>35.634202296160289</v>
      </c>
      <c r="O42" s="569">
        <f ca="1">IFERROR(__xludf.DUMMYFUNCTION("IMPORTRANGE(""https://docs.google.com/spreadsheets/d/1-uDff_7J0KD5mKrp0Vvzr7lt3OU09vwQwhkpOPPYv2Y/edit?usp=sharing"",""งบพรบ!IW42"")"),0)</f>
        <v>0</v>
      </c>
      <c r="P42" s="569">
        <f t="shared" ca="1" si="50"/>
        <v>0</v>
      </c>
      <c r="Q42" s="330">
        <f t="shared" ca="1" si="51"/>
        <v>0</v>
      </c>
      <c r="R42" s="564">
        <f ca="1">IFERROR(__xludf.DUMMYFUNCTION("IMPORTRANGE(""https://docs.google.com/spreadsheets/d/1v_cJrbBlyqmnHPReHk44g9NrMRdENNlSy_E_c5M9fIg/edit?usp=sharing"",""ร้อยเอ็ด!Q413"")"),127500)</f>
        <v>127500</v>
      </c>
      <c r="S42" s="564">
        <f ca="1">IFERROR(__xludf.DUMMYFUNCTION("IMPORTRANGE(""https://docs.google.com/spreadsheets/d/1v_cJrbBlyqmnHPReHk44g9NrMRdENNlSy_E_c5M9fIg/edit?usp=sharing"",""ร้อยเอ็ด!R413"")"),127500)</f>
        <v>127500</v>
      </c>
      <c r="T42" s="564">
        <f ca="1">IFERROR(__xludf.DUMMYFUNCTION("IMPORTRANGE(""https://docs.google.com/spreadsheets/d/1v_cJrbBlyqmnHPReHk44g9NrMRdENNlSy_E_c5M9fIg/edit?usp=sharing"",""ร้อยเอ็ด!S413"")"),18700)</f>
        <v>18700</v>
      </c>
      <c r="U42" s="565">
        <f t="shared" ca="1" si="53"/>
        <v>14.666666666666666</v>
      </c>
      <c r="V42" s="565">
        <f t="shared" ca="1" si="54"/>
        <v>14.666666666666666</v>
      </c>
      <c r="W42" s="152">
        <f ca="1">IFERROR(__xludf.DUMMYFUNCTION("IMPORTRANGE(""https://docs.google.com/spreadsheets/d/1v_cJrbBlyqmnHPReHk44g9NrMRdENNlSy_E_c5M9fIg/edit?usp=sharing"",""ร้อยเอ็ด!I424"")"),79762)</f>
        <v>79762</v>
      </c>
      <c r="X42" s="152">
        <f ca="1">IFERROR(__xludf.DUMMYFUNCTION("IMPORTRANGE(""https://docs.google.com/spreadsheets/d/1v_cJrbBlyqmnHPReHk44g9NrMRdENNlSy_E_c5M9fIg/edit?usp=sharing"",""ร้อยเอ็ด!I425"")"),9516)</f>
        <v>9516</v>
      </c>
      <c r="Y42" s="152">
        <f ca="1">IFERROR(__xludf.DUMMYFUNCTION("IMPORTRANGE(""https://docs.google.com/spreadsheets/d/1v_cJrbBlyqmnHPReHk44g9NrMRdENNlSy_E_c5M9fIg/edit?usp=sharing"",""ร้อยเอ็ด!J424"")"),79762)</f>
        <v>79762</v>
      </c>
      <c r="Z42" s="216">
        <f t="shared" ca="1" si="56"/>
        <v>100</v>
      </c>
      <c r="AA42" s="152">
        <f ca="1">IFERROR(__xludf.DUMMYFUNCTION("IMPORTRANGE(""https://docs.google.com/spreadsheets/d/1v_cJrbBlyqmnHPReHk44g9NrMRdENNlSy_E_c5M9fIg/edit?usp=sharing"",""ร้อยเอ็ด!J425"")"),9516)</f>
        <v>9516</v>
      </c>
      <c r="AB42" s="216">
        <f t="shared" ca="1" si="57"/>
        <v>100</v>
      </c>
      <c r="AC42" s="152">
        <f ca="1">IFERROR(__xludf.DUMMYFUNCTION("IMPORTRANGE(""https://docs.google.com/spreadsheets/d/1v_cJrbBlyqmnHPReHk44g9NrMRdENNlSy_E_c5M9fIg/edit?usp=sharing"",""ร้อยเอ็ด!J426"")"),64192)</f>
        <v>64192</v>
      </c>
      <c r="AD42" s="152">
        <f ca="1">IFERROR(__xludf.DUMMYFUNCTION("IMPORTRANGE(""https://docs.google.com/spreadsheets/d/1v_cJrbBlyqmnHPReHk44g9NrMRdENNlSy_E_c5M9fIg/edit?usp=sharing"",""ร้อยเอ็ด!J427"")"),7826)</f>
        <v>7826</v>
      </c>
      <c r="AE42" s="152">
        <f ca="1">IFERROR(__xludf.DUMMYFUNCTION("IMPORTRANGE(""https://docs.google.com/spreadsheets/d/1v_cJrbBlyqmnHPReHk44g9NrMRdENNlSy_E_c5M9fIg/edit?usp=sharing"",""ร้อยเอ็ด!J428"")"),9560)</f>
        <v>9560</v>
      </c>
      <c r="AF42" s="152">
        <f ca="1">IFERROR(__xludf.DUMMYFUNCTION("IMPORTRANGE(""https://docs.google.com/spreadsheets/d/1v_cJrbBlyqmnHPReHk44g9NrMRdENNlSy_E_c5M9fIg/edit?usp=sharing"",""ร้อยเอ็ด!J429"")"),1104)</f>
        <v>1104</v>
      </c>
      <c r="AG42" s="152">
        <f ca="1">IFERROR(__xludf.DUMMYFUNCTION("IMPORTRANGE(""https://docs.google.com/spreadsheets/d/1v_cJrbBlyqmnHPReHk44g9NrMRdENNlSy_E_c5M9fIg/edit?usp=sharing"",""ร้อยเอ็ด!J430"")"),6010)</f>
        <v>6010</v>
      </c>
      <c r="AH42" s="152">
        <f ca="1">IFERROR(__xludf.DUMMYFUNCTION("IMPORTRANGE(""https://docs.google.com/spreadsheets/d/1v_cJrbBlyqmnHPReHk44g9NrMRdENNlSy_E_c5M9fIg/edit?usp=sharing"",""ร้อยเอ็ด!J431"")"),586)</f>
        <v>586</v>
      </c>
      <c r="AI42" s="152">
        <f ca="1">IFERROR(__xludf.DUMMYFUNCTION("IMPORTRANGE(""https://docs.google.com/spreadsheets/d/1v_cJrbBlyqmnHPReHk44g9NrMRdENNlSy_E_c5M9fIg/edit?usp=sharing"",""ร้อยเอ็ด!I432"")"),79762)</f>
        <v>79762</v>
      </c>
      <c r="AJ42" s="152">
        <f ca="1">IFERROR(__xludf.DUMMYFUNCTION("IMPORTRANGE(""https://docs.google.com/spreadsheets/d/1v_cJrbBlyqmnHPReHk44g9NrMRdENNlSy_E_c5M9fIg/edit?usp=sharing"",""ร้อยเอ็ด!I433"")"),9516)</f>
        <v>9516</v>
      </c>
      <c r="AK42" s="216">
        <f ca="1">IFERROR(__xludf.DUMMYFUNCTION("IMPORTRANGE(""https://docs.google.com/spreadsheets/d/1v_cJrbBlyqmnHPReHk44g9NrMRdENNlSy_E_c5M9fIg/edit?usp=sharing"",""ร้อยเอ็ด!J432"")"),0)</f>
        <v>0</v>
      </c>
      <c r="AL42" s="216">
        <f t="shared" ca="1" si="59"/>
        <v>0</v>
      </c>
      <c r="AM42" s="152">
        <f ca="1">IFERROR(__xludf.DUMMYFUNCTION("IMPORTRANGE(""https://docs.google.com/spreadsheets/d/1v_cJrbBlyqmnHPReHk44g9NrMRdENNlSy_E_c5M9fIg/edit?usp=sharing"",""ร้อยเอ็ด!J433"")"),0)</f>
        <v>0</v>
      </c>
      <c r="AN42" s="216">
        <f t="shared" ca="1" si="60"/>
        <v>0</v>
      </c>
      <c r="AO42" s="152">
        <f ca="1">IFERROR(__xludf.DUMMYFUNCTION("IMPORTRANGE(""https://docs.google.com/spreadsheets/d/1v_cJrbBlyqmnHPReHk44g9NrMRdENNlSy_E_c5M9fIg/edit?usp=sharing"",""ร้อยเอ็ด!J434"")"),0)</f>
        <v>0</v>
      </c>
      <c r="AP42" s="152">
        <f ca="1">IFERROR(__xludf.DUMMYFUNCTION("IMPORTRANGE(""https://docs.google.com/spreadsheets/d/1v_cJrbBlyqmnHPReHk44g9NrMRdENNlSy_E_c5M9fIg/edit?usp=sharing"",""ร้อยเอ็ด!J435"")"),0)</f>
        <v>0</v>
      </c>
      <c r="AQ42" s="152">
        <f ca="1">IFERROR(__xludf.DUMMYFUNCTION("IMPORTRANGE(""https://docs.google.com/spreadsheets/d/1v_cJrbBlyqmnHPReHk44g9NrMRdENNlSy_E_c5M9fIg/edit?usp=sharing"",""ร้อยเอ็ด!J436"")"),0)</f>
        <v>0</v>
      </c>
      <c r="AR42" s="152">
        <f ca="1">IFERROR(__xludf.DUMMYFUNCTION("IMPORTRANGE(""https://docs.google.com/spreadsheets/d/1v_cJrbBlyqmnHPReHk44g9NrMRdENNlSy_E_c5M9fIg/edit?usp=sharing"",""ร้อยเอ็ด!J437"")"),0)</f>
        <v>0</v>
      </c>
      <c r="AS42" s="152">
        <f ca="1">IFERROR(__xludf.DUMMYFUNCTION("IMPORTRANGE(""https://docs.google.com/spreadsheets/d/1v_cJrbBlyqmnHPReHk44g9NrMRdENNlSy_E_c5M9fIg/edit?usp=sharing"",""ร้อยเอ็ด!J438"")"),0)</f>
        <v>0</v>
      </c>
      <c r="AT42" s="152">
        <f ca="1">IFERROR(__xludf.DUMMYFUNCTION("IMPORTRANGE(""https://docs.google.com/spreadsheets/d/1v_cJrbBlyqmnHPReHk44g9NrMRdENNlSy_E_c5M9fIg/edit?usp=sharing"",""ร้อยเอ็ด!J439"")"),0)</f>
        <v>0</v>
      </c>
      <c r="AU42" s="152">
        <f ca="1">IFERROR(__xludf.DUMMYFUNCTION("IMPORTRANGE(""https://docs.google.com/spreadsheets/d/1v_cJrbBlyqmnHPReHk44g9NrMRdENNlSy_E_c5M9fIg/edit?usp=sharing"",""ร้อยเอ็ด!I440"")"),79762)</f>
        <v>79762</v>
      </c>
      <c r="AV42" s="152">
        <f ca="1">IFERROR(__xludf.DUMMYFUNCTION("IMPORTRANGE(""https://docs.google.com/spreadsheets/d/1v_cJrbBlyqmnHPReHk44g9NrMRdENNlSy_E_c5M9fIg/edit?usp=sharing"",""ร้อยเอ็ด!I441"")"),9516)</f>
        <v>9516</v>
      </c>
      <c r="AW42" s="152">
        <f ca="1">IFERROR(__xludf.DUMMYFUNCTION("IMPORTRANGE(""https://docs.google.com/spreadsheets/d/1v_cJrbBlyqmnHPReHk44g9NrMRdENNlSy_E_c5M9fIg/edit?usp=sharing"",""ร้อยเอ็ด!J440"")"),0)</f>
        <v>0</v>
      </c>
      <c r="AX42" s="216">
        <f t="shared" ca="1" si="62"/>
        <v>0</v>
      </c>
      <c r="AY42" s="152">
        <f ca="1">IFERROR(__xludf.DUMMYFUNCTION("IMPORTRANGE(""https://docs.google.com/spreadsheets/d/1v_cJrbBlyqmnHPReHk44g9NrMRdENNlSy_E_c5M9fIg/edit?usp=sharing"",""ร้อยเอ็ด!J441"")"),0)</f>
        <v>0</v>
      </c>
      <c r="AZ42" s="216">
        <f t="shared" ca="1" si="63"/>
        <v>0</v>
      </c>
      <c r="BA42" s="152">
        <f ca="1">IFERROR(__xludf.DUMMYFUNCTION("IMPORTRANGE(""https://docs.google.com/spreadsheets/d/1v_cJrbBlyqmnHPReHk44g9NrMRdENNlSy_E_c5M9fIg/edit?usp=sharing"",""ร้อยเอ็ด!J442"")"),0)</f>
        <v>0</v>
      </c>
      <c r="BB42" s="152">
        <f ca="1">IFERROR(__xludf.DUMMYFUNCTION("IMPORTRANGE(""https://docs.google.com/spreadsheets/d/1v_cJrbBlyqmnHPReHk44g9NrMRdENNlSy_E_c5M9fIg/edit?usp=sharing"",""ร้อยเอ็ด!J443"")"),0)</f>
        <v>0</v>
      </c>
      <c r="BC42" s="152">
        <f ca="1">IFERROR(__xludf.DUMMYFUNCTION("IMPORTRANGE(""https://docs.google.com/spreadsheets/d/1v_cJrbBlyqmnHPReHk44g9NrMRdENNlSy_E_c5M9fIg/edit?usp=sharing"",""ร้อยเอ็ด!J444"")"),0)</f>
        <v>0</v>
      </c>
      <c r="BD42" s="152">
        <f ca="1">IFERROR(__xludf.DUMMYFUNCTION("IMPORTRANGE(""https://docs.google.com/spreadsheets/d/1v_cJrbBlyqmnHPReHk44g9NrMRdENNlSy_E_c5M9fIg/edit?usp=sharing"",""ร้อยเอ็ด!J445"")"),0)</f>
        <v>0</v>
      </c>
      <c r="BE42" s="152">
        <f ca="1">IFERROR(__xludf.DUMMYFUNCTION("IMPORTRANGE(""https://docs.google.com/spreadsheets/d/1v_cJrbBlyqmnHPReHk44g9NrMRdENNlSy_E_c5M9fIg/edit?usp=sharing"",""ร้อยเอ็ด!J446"")"),0)</f>
        <v>0</v>
      </c>
      <c r="BF42" s="152">
        <f ca="1">IFERROR(__xludf.DUMMYFUNCTION("IMPORTRANGE(""https://docs.google.com/spreadsheets/d/1v_cJrbBlyqmnHPReHk44g9NrMRdENNlSy_E_c5M9fIg/edit?usp=sharing"",""ร้อยเอ็ด!J447"")"),0)</f>
        <v>0</v>
      </c>
      <c r="BG42" s="152">
        <f ca="1">IFERROR(__xludf.DUMMYFUNCTION("IMPORTRANGE(""https://docs.google.com/spreadsheets/d/1v_cJrbBlyqmnHPReHk44g9NrMRdENNlSy_E_c5M9fIg/edit?usp=sharing"",""ร้อยเอ็ด!J448"")"),0)</f>
        <v>0</v>
      </c>
      <c r="BH42" s="152">
        <f ca="1">IFERROR(__xludf.DUMMYFUNCTION("IMPORTRANGE(""https://docs.google.com/spreadsheets/d/1v_cJrbBlyqmnHPReHk44g9NrMRdENNlSy_E_c5M9fIg/edit?usp=sharing"",""ร้อยเอ็ด!J449"")"),0)</f>
        <v>0</v>
      </c>
      <c r="BI42" s="152">
        <f ca="1">IFERROR(__xludf.DUMMYFUNCTION("IMPORTRANGE(""https://docs.google.com/spreadsheets/d/1v_cJrbBlyqmnHPReHk44g9NrMRdENNlSy_E_c5M9fIg/edit?usp=sharing"",""ร้อยเอ็ด!J450"")"),0)</f>
        <v>0</v>
      </c>
      <c r="BJ42" s="152">
        <f ca="1">IFERROR(__xludf.DUMMYFUNCTION("IMPORTRANGE(""https://docs.google.com/spreadsheets/d/1v_cJrbBlyqmnHPReHk44g9NrMRdENNlSy_E_c5M9fIg/edit?usp=sharing"",""ร้อยเอ็ด!J451"")"),0)</f>
        <v>0</v>
      </c>
      <c r="BK42" s="152">
        <f ca="1">IFERROR(__xludf.DUMMYFUNCTION("IMPORTRANGE(""https://docs.google.com/spreadsheets/d/1v_cJrbBlyqmnHPReHk44g9NrMRdENNlSy_E_c5M9fIg/edit?usp=sharing"",""ร้อยเอ็ด!J452"")"),0)</f>
        <v>0</v>
      </c>
      <c r="BL42" s="152">
        <f ca="1">IFERROR(__xludf.DUMMYFUNCTION("IMPORTRANGE(""https://docs.google.com/spreadsheets/d/1v_cJrbBlyqmnHPReHk44g9NrMRdENNlSy_E_c5M9fIg/edit?usp=sharing"",""ร้อยเอ็ด!J453"")"),0)</f>
        <v>0</v>
      </c>
      <c r="BM42" s="152">
        <f ca="1">IFERROR(__xludf.DUMMYFUNCTION("IMPORTRANGE(""https://docs.google.com/spreadsheets/d/1v_cJrbBlyqmnHPReHk44g9NrMRdENNlSy_E_c5M9fIg/edit?usp=sharing"",""ร้อยเอ็ด!J454"")"),0)</f>
        <v>0</v>
      </c>
      <c r="BN42" s="152">
        <f ca="1">IFERROR(__xludf.DUMMYFUNCTION("IMPORTRANGE(""https://docs.google.com/spreadsheets/d/1v_cJrbBlyqmnHPReHk44g9NrMRdENNlSy_E_c5M9fIg/edit?usp=sharing"",""ร้อยเอ็ด!J455"")"),0)</f>
        <v>0</v>
      </c>
      <c r="BO42" s="152">
        <f ca="1">IFERROR(__xludf.DUMMYFUNCTION("IMPORTRANGE(""https://docs.google.com/spreadsheets/d/1v_cJrbBlyqmnHPReHk44g9NrMRdENNlSy_E_c5M9fIg/edit?usp=sharing"",""ร้อยเอ็ด!I457"")"),5875.18)</f>
        <v>5875.18</v>
      </c>
      <c r="BP42" s="152">
        <f ca="1">IFERROR(__xludf.DUMMYFUNCTION("IMPORTRANGE(""https://docs.google.com/spreadsheets/d/1v_cJrbBlyqmnHPReHk44g9NrMRdENNlSy_E_c5M9fIg/edit?usp=sharing"",""ร้อยเอ็ด!I458"")"),514)</f>
        <v>514</v>
      </c>
      <c r="BQ42" s="152">
        <f ca="1">IFERROR(__xludf.DUMMYFUNCTION("IMPORTRANGE(""https://docs.google.com/spreadsheets/d/1v_cJrbBlyqmnHPReHk44g9NrMRdENNlSy_E_c5M9fIg/edit?usp=sharing"",""ร้อยเอ็ด!J457"")"),0)</f>
        <v>0</v>
      </c>
      <c r="BR42" s="216">
        <f t="shared" ca="1" si="65"/>
        <v>0</v>
      </c>
      <c r="BS42" s="152">
        <f ca="1">IFERROR(__xludf.DUMMYFUNCTION("IMPORTRANGE(""https://docs.google.com/spreadsheets/d/1v_cJrbBlyqmnHPReHk44g9NrMRdENNlSy_E_c5M9fIg/edit?usp=sharing"",""ร้อยเอ็ด!J458"")"),0)</f>
        <v>0</v>
      </c>
      <c r="BT42" s="216">
        <f t="shared" ca="1" si="66"/>
        <v>0</v>
      </c>
      <c r="BU42" s="152">
        <f ca="1">IFERROR(__xludf.DUMMYFUNCTION("IMPORTRANGE(""https://docs.google.com/spreadsheets/d/1v_cJrbBlyqmnHPReHk44g9NrMRdENNlSy_E_c5M9fIg/edit?usp=sharing"",""ร้อยเอ็ด!J459"")"),0)</f>
        <v>0</v>
      </c>
      <c r="BV42" s="152">
        <f ca="1">IFERROR(__xludf.DUMMYFUNCTION("IMPORTRANGE(""https://docs.google.com/spreadsheets/d/1v_cJrbBlyqmnHPReHk44g9NrMRdENNlSy_E_c5M9fIg/edit?usp=sharing"",""ร้อยเอ็ด!J460"")"),0)</f>
        <v>0</v>
      </c>
      <c r="BW42" s="152">
        <f ca="1">IFERROR(__xludf.DUMMYFUNCTION("IMPORTRANGE(""https://docs.google.com/spreadsheets/d/1v_cJrbBlyqmnHPReHk44g9NrMRdENNlSy_E_c5M9fIg/edit?usp=sharing"",""ร้อยเอ็ด!J461"")"),0)</f>
        <v>0</v>
      </c>
      <c r="BX42" s="152">
        <f ca="1">IFERROR(__xludf.DUMMYFUNCTION("IMPORTRANGE(""https://docs.google.com/spreadsheets/d/1v_cJrbBlyqmnHPReHk44g9NrMRdENNlSy_E_c5M9fIg/edit?usp=sharing"",""ร้อยเอ็ด!J462"")"),0)</f>
        <v>0</v>
      </c>
      <c r="BY42" s="152">
        <f ca="1">IFERROR(__xludf.DUMMYFUNCTION("IMPORTRANGE(""https://docs.google.com/spreadsheets/d/1v_cJrbBlyqmnHPReHk44g9NrMRdENNlSy_E_c5M9fIg/edit?usp=sharing"",""ร้อยเอ็ด!J463"")"),0)</f>
        <v>0</v>
      </c>
      <c r="BZ42" s="152">
        <f ca="1">IFERROR(__xludf.DUMMYFUNCTION("IMPORTRANGE(""https://docs.google.com/spreadsheets/d/1v_cJrbBlyqmnHPReHk44g9NrMRdENNlSy_E_c5M9fIg/edit?usp=sharing"",""ร้อยเอ็ด!J464"")"),0)</f>
        <v>0</v>
      </c>
      <c r="CA42" s="152">
        <f ca="1">IFERROR(__xludf.DUMMYFUNCTION("IMPORTRANGE(""https://docs.google.com/spreadsheets/d/1v_cJrbBlyqmnHPReHk44g9NrMRdENNlSy_E_c5M9fIg/edit?usp=sharing"",""ร้อยเอ็ด!J465"")"),0)</f>
        <v>0</v>
      </c>
      <c r="CB42" s="152">
        <f ca="1">IFERROR(__xludf.DUMMYFUNCTION("IMPORTRANGE(""https://docs.google.com/spreadsheets/d/1v_cJrbBlyqmnHPReHk44g9NrMRdENNlSy_E_c5M9fIg/edit?usp=sharing"",""ร้อยเอ็ด!J466"")"),0)</f>
        <v>0</v>
      </c>
      <c r="CC42" s="152">
        <f ca="1">IFERROR(__xludf.DUMMYFUNCTION("IMPORTRANGE(""https://docs.google.com/spreadsheets/d/1v_cJrbBlyqmnHPReHk44g9NrMRdENNlSy_E_c5M9fIg/edit?usp=sharing"",""ร้อยเอ็ด!J467"")"),0)</f>
        <v>0</v>
      </c>
      <c r="CD42" s="152">
        <f ca="1">IFERROR(__xludf.DUMMYFUNCTION("IMPORTRANGE(""https://docs.google.com/spreadsheets/d/1v_cJrbBlyqmnHPReHk44g9NrMRdENNlSy_E_c5M9fIg/edit?usp=sharing"",""ร้อยเอ็ด!J468"")"),0)</f>
        <v>0</v>
      </c>
      <c r="CE42" s="152">
        <f ca="1">IFERROR(__xludf.DUMMYFUNCTION("IMPORTRANGE(""https://docs.google.com/spreadsheets/d/1v_cJrbBlyqmnHPReHk44g9NrMRdENNlSy_E_c5M9fIg/edit?usp=sharing"",""ร้อยเอ็ด!J469"")"),0)</f>
        <v>0</v>
      </c>
      <c r="CF42" s="152">
        <f ca="1">IFERROR(__xludf.DUMMYFUNCTION("IMPORTRANGE(""https://docs.google.com/spreadsheets/d/1v_cJrbBlyqmnHPReHk44g9NrMRdENNlSy_E_c5M9fIg/edit?usp=sharing"",""ร้อยเอ็ด!J470"")"),0)</f>
        <v>0</v>
      </c>
      <c r="CG42" s="152">
        <f ca="1">IFERROR(__xludf.DUMMYFUNCTION("IMPORTRANGE(""https://docs.google.com/spreadsheets/d/1v_cJrbBlyqmnHPReHk44g9NrMRdENNlSy_E_c5M9fIg/edit?usp=sharing"",""ร้อยเอ็ด!J471"")"),0)</f>
        <v>0</v>
      </c>
      <c r="CH42" s="152">
        <f ca="1">IFERROR(__xludf.DUMMYFUNCTION("IMPORTRANGE(""https://docs.google.com/spreadsheets/d/1v_cJrbBlyqmnHPReHk44g9NrMRdENNlSy_E_c5M9fIg/edit?usp=sharing"",""ร้อยเอ็ด!J472"")"),0)</f>
        <v>0</v>
      </c>
      <c r="CI42" s="152">
        <f ca="1">IFERROR(__xludf.DUMMYFUNCTION("IMPORTRANGE(""https://docs.google.com/spreadsheets/d/1v_cJrbBlyqmnHPReHk44g9NrMRdENNlSy_E_c5M9fIg/edit?usp=sharing"",""ร้อยเอ็ด!J473"")"),0)</f>
        <v>0</v>
      </c>
      <c r="CJ42" s="152">
        <f ca="1">IFERROR(__xludf.DUMMYFUNCTION("IMPORTRANGE(""https://docs.google.com/spreadsheets/d/1v_cJrbBlyqmnHPReHk44g9NrMRdENNlSy_E_c5M9fIg/edit?usp=sharing"",""ร้อยเอ็ด!J474"")"),0)</f>
        <v>0</v>
      </c>
      <c r="CK42" s="278">
        <f ca="1">IFERROR(__xludf.DUMMYFUNCTION("IMPORTRANGE(""https://docs.google.com/spreadsheets/d/1v_cJrbBlyqmnHPReHk44g9NrMRdENNlSy_E_c5M9fIg/edit?usp=sharing"",""ร้อยเอ็ด!I476"")"),0)</f>
        <v>0</v>
      </c>
      <c r="CL42" s="278">
        <f ca="1">IFERROR(__xludf.DUMMYFUNCTION("IMPORTRANGE(""https://docs.google.com/spreadsheets/d/1v_cJrbBlyqmnHPReHk44g9NrMRdENNlSy_E_c5M9fIg/edit?usp=sharing"",""ร้อยเอ็ด!I477"")"),0)</f>
        <v>0</v>
      </c>
      <c r="CM42" s="278">
        <f ca="1">IFERROR(__xludf.DUMMYFUNCTION("IMPORTRANGE(""https://docs.google.com/spreadsheets/d/1v_cJrbBlyqmnHPReHk44g9NrMRdENNlSy_E_c5M9fIg/edit?usp=sharing"",""ร้อยเอ็ด!J476"")"),0)</f>
        <v>0</v>
      </c>
      <c r="CN42" s="216">
        <f t="shared" ca="1" si="68"/>
        <v>0</v>
      </c>
      <c r="CO42" s="278">
        <f ca="1">IFERROR(__xludf.DUMMYFUNCTION("IMPORTRANGE(""https://docs.google.com/spreadsheets/d/1v_cJrbBlyqmnHPReHk44g9NrMRdENNlSy_E_c5M9fIg/edit?usp=sharing"",""ร้อยเอ็ด!J477"")"),0)</f>
        <v>0</v>
      </c>
      <c r="CP42" s="216">
        <f t="shared" ca="1" si="69"/>
        <v>0</v>
      </c>
      <c r="CQ42" s="278">
        <f ca="1">IFERROR(__xludf.DUMMYFUNCTION("IMPORTRANGE(""https://docs.google.com/spreadsheets/d/1v_cJrbBlyqmnHPReHk44g9NrMRdENNlSy_E_c5M9fIg/edit?usp=sharing"",""ร้อยเอ็ด!J478"")"),0)</f>
        <v>0</v>
      </c>
      <c r="CR42" s="278">
        <f ca="1">IFERROR(__xludf.DUMMYFUNCTION("IMPORTRANGE(""https://docs.google.com/spreadsheets/d/1v_cJrbBlyqmnHPReHk44g9NrMRdENNlSy_E_c5M9fIg/edit?usp=sharing"",""ร้อยเอ็ด!J479"")"),0)</f>
        <v>0</v>
      </c>
      <c r="CS42" s="278">
        <f ca="1">IFERROR(__xludf.DUMMYFUNCTION("IMPORTRANGE(""https://docs.google.com/spreadsheets/d/1v_cJrbBlyqmnHPReHk44g9NrMRdENNlSy_E_c5M9fIg/edit?usp=sharing"",""ร้อยเอ็ด!J480"")"),0)</f>
        <v>0</v>
      </c>
      <c r="CT42" s="278">
        <f ca="1">IFERROR(__xludf.DUMMYFUNCTION("IMPORTRANGE(""https://docs.google.com/spreadsheets/d/1v_cJrbBlyqmnHPReHk44g9NrMRdENNlSy_E_c5M9fIg/edit?usp=sharing"",""ร้อยเอ็ด!J481"")"),0)</f>
        <v>0</v>
      </c>
      <c r="CU42" s="278">
        <f ca="1">IFERROR(__xludf.DUMMYFUNCTION("IMPORTRANGE(""https://docs.google.com/spreadsheets/d/1v_cJrbBlyqmnHPReHk44g9NrMRdENNlSy_E_c5M9fIg/edit?usp=sharing"",""ร้อยเอ็ด!I484"")"),235)</f>
        <v>235</v>
      </c>
      <c r="CV42" s="278">
        <f ca="1">IFERROR(__xludf.DUMMYFUNCTION("IMPORTRANGE(""https://docs.google.com/spreadsheets/d/1v_cJrbBlyqmnHPReHk44g9NrMRdENNlSy_E_c5M9fIg/edit?usp=sharing"",""ร้อยเอ็ด!I485"")"),23)</f>
        <v>23</v>
      </c>
      <c r="CW42" s="278">
        <f ca="1">IFERROR(__xludf.DUMMYFUNCTION("IMPORTRANGE(""https://docs.google.com/spreadsheets/d/1v_cJrbBlyqmnHPReHk44g9NrMRdENNlSy_E_c5M9fIg/edit?usp=sharing"",""ร้อยเอ็ด!J484"")"),0)</f>
        <v>0</v>
      </c>
      <c r="CX42" s="216">
        <f t="shared" ca="1" si="71"/>
        <v>0</v>
      </c>
      <c r="CY42" s="278">
        <f ca="1">IFERROR(__xludf.DUMMYFUNCTION("IMPORTRANGE(""https://docs.google.com/spreadsheets/d/1v_cJrbBlyqmnHPReHk44g9NrMRdENNlSy_E_c5M9fIg/edit?usp=sharing"",""ร้อยเอ็ด!J485"")"),0)</f>
        <v>0</v>
      </c>
      <c r="CZ42" s="216">
        <f t="shared" ca="1" si="72"/>
        <v>0</v>
      </c>
      <c r="DA42" s="278">
        <f ca="1">IFERROR(__xludf.DUMMYFUNCTION("IMPORTRANGE(""https://docs.google.com/spreadsheets/d/1v_cJrbBlyqmnHPReHk44g9NrMRdENNlSy_E_c5M9fIg/edit?usp=sharing"",""ร้อยเอ็ด!J486"")"),0)</f>
        <v>0</v>
      </c>
      <c r="DB42" s="278">
        <f ca="1">IFERROR(__xludf.DUMMYFUNCTION("IMPORTRANGE(""https://docs.google.com/spreadsheets/d/1v_cJrbBlyqmnHPReHk44g9NrMRdENNlSy_E_c5M9fIg/edit?usp=sharing"",""ร้อยเอ็ด!J487"")"),0)</f>
        <v>0</v>
      </c>
      <c r="DC42" s="278">
        <f ca="1">IFERROR(__xludf.DUMMYFUNCTION("IMPORTRANGE(""https://docs.google.com/spreadsheets/d/1v_cJrbBlyqmnHPReHk44g9NrMRdENNlSy_E_c5M9fIg/edit?usp=sharing"",""ร้อยเอ็ด!J488"")"),0)</f>
        <v>0</v>
      </c>
      <c r="DD42" s="278">
        <f ca="1">IFERROR(__xludf.DUMMYFUNCTION("IMPORTRANGE(""https://docs.google.com/spreadsheets/d/1v_cJrbBlyqmnHPReHk44g9NrMRdENNlSy_E_c5M9fIg/edit?usp=sharing"",""ร้อยเอ็ด!J489"")"),0)</f>
        <v>0</v>
      </c>
      <c r="DE42" s="278">
        <f ca="1">IFERROR(__xludf.DUMMYFUNCTION("IMPORTRANGE(""https://docs.google.com/spreadsheets/d/1v_cJrbBlyqmnHPReHk44g9NrMRdENNlSy_E_c5M9fIg/edit?usp=sharing"",""ร้อยเอ็ด!J490"")"),0)</f>
        <v>0</v>
      </c>
      <c r="DF42" s="278">
        <f ca="1">IFERROR(__xludf.DUMMYFUNCTION("IMPORTRANGE(""https://docs.google.com/spreadsheets/d/1v_cJrbBlyqmnHPReHk44g9NrMRdENNlSy_E_c5M9fIg/edit?usp=sharing"",""ร้อยเอ็ด!J491"")"),0)</f>
        <v>0</v>
      </c>
    </row>
    <row r="43" spans="1:110" ht="19.5" x14ac:dyDescent="0.3">
      <c r="A43" s="147">
        <v>12</v>
      </c>
      <c r="B43" s="148" t="s">
        <v>71</v>
      </c>
      <c r="C43" s="566">
        <f t="shared" ca="1" si="44"/>
        <v>526880</v>
      </c>
      <c r="D43" s="567">
        <f t="shared" ca="1" si="84"/>
        <v>526880</v>
      </c>
      <c r="E43" s="329">
        <f ca="1">IFERROR(__xludf.DUMMYFUNCTION("IMPORTRANGE(""https://docs.google.com/spreadsheets/d/1-uDff_7J0KD5mKrp0Vvzr7lt3OU09vwQwhkpOPPYv2Y/edit?usp=sharing"",""งบพรบ!IP43"")"),151300)</f>
        <v>151300</v>
      </c>
      <c r="F43" s="329">
        <f ca="1">IFERROR(__xludf.DUMMYFUNCTION("IMPORTRANGE(""https://docs.google.com/spreadsheets/d/1-uDff_7J0KD5mKrp0Vvzr7lt3OU09vwQwhkpOPPYv2Y/edit?usp=sharing"",""งบพรบ!IQ43"")"),375580)</f>
        <v>375580</v>
      </c>
      <c r="G43" s="329">
        <f ca="1">IFERROR(__xludf.DUMMYFUNCTION("IMPORTRANGE(""https://docs.google.com/spreadsheets/d/1-uDff_7J0KD5mKrp0Vvzr7lt3OU09vwQwhkpOPPYv2Y/edit?usp=sharing"",""งบพรบ!IR43"")"),0)</f>
        <v>0</v>
      </c>
      <c r="H43" s="329">
        <f ca="1">IFERROR(__xludf.DUMMYFUNCTION("IMPORTRANGE(""https://docs.google.com/spreadsheets/d/1-uDff_7J0KD5mKrp0Vvzr7lt3OU09vwQwhkpOPPYv2Y/edit?usp=sharing"",""งบพรบ!IT43"")"),526880)</f>
        <v>526880</v>
      </c>
      <c r="I43" s="329">
        <f ca="1">IFERROR(__xludf.DUMMYFUNCTION("IMPORTRANGE(""https://docs.google.com/spreadsheets/d/1-uDff_7J0KD5mKrp0Vvzr7lt3OU09vwQwhkpOPPYv2Y/edit?usp=sharing"",""งบพรบ!IU43"")"),0)</f>
        <v>0</v>
      </c>
      <c r="J43" s="329">
        <f t="shared" ca="1" si="46"/>
        <v>194150.6</v>
      </c>
      <c r="K43" s="568">
        <f t="shared" ca="1" si="47"/>
        <v>36.849111752201637</v>
      </c>
      <c r="L43" s="329">
        <f ca="1">IFERROR(__xludf.DUMMYFUNCTION("IMPORTRANGE(""https://docs.google.com/spreadsheets/d/1-uDff_7J0KD5mKrp0Vvzr7lt3OU09vwQwhkpOPPYv2Y/edit?usp=sharing"",""งบพรบ!IV43"")"),194150.6)</f>
        <v>194150.6</v>
      </c>
      <c r="M43" s="330">
        <f t="shared" ca="1" si="48"/>
        <v>36.849111752201637</v>
      </c>
      <c r="N43" s="330">
        <f t="shared" ca="1" si="49"/>
        <v>36.849111752201637</v>
      </c>
      <c r="O43" s="569">
        <f ca="1">IFERROR(__xludf.DUMMYFUNCTION("IMPORTRANGE(""https://docs.google.com/spreadsheets/d/1-uDff_7J0KD5mKrp0Vvzr7lt3OU09vwQwhkpOPPYv2Y/edit?usp=sharing"",""งบพรบ!IW43"")"),0)</f>
        <v>0</v>
      </c>
      <c r="P43" s="569">
        <f t="shared" ca="1" si="50"/>
        <v>0</v>
      </c>
      <c r="Q43" s="330">
        <f t="shared" ca="1" si="51"/>
        <v>0</v>
      </c>
      <c r="R43" s="564">
        <f ca="1">IFERROR(__xludf.DUMMYFUNCTION("IMPORTRANGE(""https://docs.google.com/spreadsheets/d/1Ul4RCpCX66NxYADU1QpwAPjOmBzW64SsT11s1wzXw_c/edit?usp=sharing"",""เลย!Q413"")"),87520)</f>
        <v>87520</v>
      </c>
      <c r="S43" s="564">
        <f ca="1">IFERROR(__xludf.DUMMYFUNCTION("IMPORTRANGE(""https://docs.google.com/spreadsheets/d/1Ul4RCpCX66NxYADU1QpwAPjOmBzW64SsT11s1wzXw_c/edit?usp=sharing"",""เลย!R413"")"),87520)</f>
        <v>87520</v>
      </c>
      <c r="T43" s="564">
        <f ca="1">IFERROR(__xludf.DUMMYFUNCTION("IMPORTRANGE(""https://docs.google.com/spreadsheets/d/1Ul4RCpCX66NxYADU1QpwAPjOmBzW64SsT11s1wzXw_c/edit?usp=sharing"",""เลย!S413"")"),15000)</f>
        <v>15000</v>
      </c>
      <c r="U43" s="565">
        <f t="shared" ca="1" si="53"/>
        <v>17.138939670932359</v>
      </c>
      <c r="V43" s="565">
        <f t="shared" ca="1" si="54"/>
        <v>17.138939670932359</v>
      </c>
      <c r="W43" s="152">
        <f ca="1">IFERROR(__xludf.DUMMYFUNCTION("IMPORTRANGE(""https://docs.google.com/spreadsheets/d/1Ul4RCpCX66NxYADU1QpwAPjOmBzW64SsT11s1wzXw_c/edit?usp=sharing"",""เลย!I424"")"),73744)</f>
        <v>73744</v>
      </c>
      <c r="X43" s="152">
        <f ca="1">IFERROR(__xludf.DUMMYFUNCTION("IMPORTRANGE(""https://docs.google.com/spreadsheets/d/1Ul4RCpCX66NxYADU1QpwAPjOmBzW64SsT11s1wzXw_c/edit?usp=sharing"",""เลย!I425"")"),7522)</f>
        <v>7522</v>
      </c>
      <c r="Y43" s="152">
        <f ca="1">IFERROR(__xludf.DUMMYFUNCTION("IMPORTRANGE(""https://docs.google.com/spreadsheets/d/1Ul4RCpCX66NxYADU1QpwAPjOmBzW64SsT11s1wzXw_c/edit?usp=sharing"",""เลย!J424"")"),73744)</f>
        <v>73744</v>
      </c>
      <c r="Z43" s="216">
        <f t="shared" ca="1" si="56"/>
        <v>100</v>
      </c>
      <c r="AA43" s="152">
        <f ca="1">IFERROR(__xludf.DUMMYFUNCTION("IMPORTRANGE(""https://docs.google.com/spreadsheets/d/1Ul4RCpCX66NxYADU1QpwAPjOmBzW64SsT11s1wzXw_c/edit?usp=sharing"",""เลย!J425"")"),7522)</f>
        <v>7522</v>
      </c>
      <c r="AB43" s="216">
        <f t="shared" ca="1" si="57"/>
        <v>100</v>
      </c>
      <c r="AC43" s="152">
        <f ca="1">IFERROR(__xludf.DUMMYFUNCTION("IMPORTRANGE(""https://docs.google.com/spreadsheets/d/1Ul4RCpCX66NxYADU1QpwAPjOmBzW64SsT11s1wzXw_c/edit?usp=sharing"",""เลย!J426"")"),68030)</f>
        <v>68030</v>
      </c>
      <c r="AD43" s="152">
        <f ca="1">IFERROR(__xludf.DUMMYFUNCTION("IMPORTRANGE(""https://docs.google.com/spreadsheets/d/1Ul4RCpCX66NxYADU1QpwAPjOmBzW64SsT11s1wzXw_c/edit?usp=sharing"",""เลย!J427"")"),7031)</f>
        <v>7031</v>
      </c>
      <c r="AE43" s="152">
        <f ca="1">IFERROR(__xludf.DUMMYFUNCTION("IMPORTRANGE(""https://docs.google.com/spreadsheets/d/1Ul4RCpCX66NxYADU1QpwAPjOmBzW64SsT11s1wzXw_c/edit?usp=sharing"",""เลย!J428"")"),3569)</f>
        <v>3569</v>
      </c>
      <c r="AF43" s="152">
        <f ca="1">IFERROR(__xludf.DUMMYFUNCTION("IMPORTRANGE(""https://docs.google.com/spreadsheets/d/1Ul4RCpCX66NxYADU1QpwAPjOmBzW64SsT11s1wzXw_c/edit?usp=sharing"",""เลย!J429"")"),256)</f>
        <v>256</v>
      </c>
      <c r="AG43" s="152">
        <f ca="1">IFERROR(__xludf.DUMMYFUNCTION("IMPORTRANGE(""https://docs.google.com/spreadsheets/d/1Ul4RCpCX66NxYADU1QpwAPjOmBzW64SsT11s1wzXw_c/edit?usp=sharing"",""เลย!J430"")"),2145)</f>
        <v>2145</v>
      </c>
      <c r="AH43" s="152">
        <f ca="1">IFERROR(__xludf.DUMMYFUNCTION("IMPORTRANGE(""https://docs.google.com/spreadsheets/d/1Ul4RCpCX66NxYADU1QpwAPjOmBzW64SsT11s1wzXw_c/edit?usp=sharing"",""เลย!J431"")"),235)</f>
        <v>235</v>
      </c>
      <c r="AI43" s="152">
        <f ca="1">IFERROR(__xludf.DUMMYFUNCTION("IMPORTRANGE(""https://docs.google.com/spreadsheets/d/1Ul4RCpCX66NxYADU1QpwAPjOmBzW64SsT11s1wzXw_c/edit?usp=sharing"",""เลย!I432"")"),73744)</f>
        <v>73744</v>
      </c>
      <c r="AJ43" s="152">
        <f ca="1">IFERROR(__xludf.DUMMYFUNCTION("IMPORTRANGE(""https://docs.google.com/spreadsheets/d/1Ul4RCpCX66NxYADU1QpwAPjOmBzW64SsT11s1wzXw_c/edit?usp=sharing"",""เลย!I433"")"),7522)</f>
        <v>7522</v>
      </c>
      <c r="AK43" s="216">
        <f ca="1">IFERROR(__xludf.DUMMYFUNCTION("IMPORTRANGE(""https://docs.google.com/spreadsheets/d/1Ul4RCpCX66NxYADU1QpwAPjOmBzW64SsT11s1wzXw_c/edit?usp=sharing"",""เลย!J432"")"),0)</f>
        <v>0</v>
      </c>
      <c r="AL43" s="216">
        <f t="shared" ca="1" si="59"/>
        <v>0</v>
      </c>
      <c r="AM43" s="152">
        <f ca="1">IFERROR(__xludf.DUMMYFUNCTION("IMPORTRANGE(""https://docs.google.com/spreadsheets/d/1Ul4RCpCX66NxYADU1QpwAPjOmBzW64SsT11s1wzXw_c/edit?usp=sharing"",""เลย!J433"")"),0)</f>
        <v>0</v>
      </c>
      <c r="AN43" s="216">
        <f t="shared" ca="1" si="60"/>
        <v>0</v>
      </c>
      <c r="AO43" s="152">
        <f ca="1">IFERROR(__xludf.DUMMYFUNCTION("IMPORTRANGE(""https://docs.google.com/spreadsheets/d/1Ul4RCpCX66NxYADU1QpwAPjOmBzW64SsT11s1wzXw_c/edit?usp=sharing"",""เลย!J434"")"),0)</f>
        <v>0</v>
      </c>
      <c r="AP43" s="152">
        <f ca="1">IFERROR(__xludf.DUMMYFUNCTION("IMPORTRANGE(""https://docs.google.com/spreadsheets/d/1Ul4RCpCX66NxYADU1QpwAPjOmBzW64SsT11s1wzXw_c/edit?usp=sharing"",""เลย!J435"")"),0)</f>
        <v>0</v>
      </c>
      <c r="AQ43" s="152">
        <f ca="1">IFERROR(__xludf.DUMMYFUNCTION("IMPORTRANGE(""https://docs.google.com/spreadsheets/d/1Ul4RCpCX66NxYADU1QpwAPjOmBzW64SsT11s1wzXw_c/edit?usp=sharing"",""เลย!J436"")"),0)</f>
        <v>0</v>
      </c>
      <c r="AR43" s="152">
        <f ca="1">IFERROR(__xludf.DUMMYFUNCTION("IMPORTRANGE(""https://docs.google.com/spreadsheets/d/1Ul4RCpCX66NxYADU1QpwAPjOmBzW64SsT11s1wzXw_c/edit?usp=sharing"",""เลย!J437"")"),0)</f>
        <v>0</v>
      </c>
      <c r="AS43" s="152">
        <f ca="1">IFERROR(__xludf.DUMMYFUNCTION("IMPORTRANGE(""https://docs.google.com/spreadsheets/d/1Ul4RCpCX66NxYADU1QpwAPjOmBzW64SsT11s1wzXw_c/edit?usp=sharing"",""เลย!J438"")"),0)</f>
        <v>0</v>
      </c>
      <c r="AT43" s="152">
        <f ca="1">IFERROR(__xludf.DUMMYFUNCTION("IMPORTRANGE(""https://docs.google.com/spreadsheets/d/1Ul4RCpCX66NxYADU1QpwAPjOmBzW64SsT11s1wzXw_c/edit?usp=sharing"",""เลย!J439"")"),0)</f>
        <v>0</v>
      </c>
      <c r="AU43" s="152">
        <f ca="1">IFERROR(__xludf.DUMMYFUNCTION("IMPORTRANGE(""https://docs.google.com/spreadsheets/d/1Ul4RCpCX66NxYADU1QpwAPjOmBzW64SsT11s1wzXw_c/edit?usp=sharing"",""เลย!I440"")"),73744)</f>
        <v>73744</v>
      </c>
      <c r="AV43" s="152">
        <f ca="1">IFERROR(__xludf.DUMMYFUNCTION("IMPORTRANGE(""https://docs.google.com/spreadsheets/d/1Ul4RCpCX66NxYADU1QpwAPjOmBzW64SsT11s1wzXw_c/edit?usp=sharing"",""เลย!I441"")"),7522)</f>
        <v>7522</v>
      </c>
      <c r="AW43" s="152">
        <f ca="1">IFERROR(__xludf.DUMMYFUNCTION("IMPORTRANGE(""https://docs.google.com/spreadsheets/d/1Ul4RCpCX66NxYADU1QpwAPjOmBzW64SsT11s1wzXw_c/edit?usp=sharing"",""เลย!J440"")"),0)</f>
        <v>0</v>
      </c>
      <c r="AX43" s="216">
        <f t="shared" ca="1" si="62"/>
        <v>0</v>
      </c>
      <c r="AY43" s="152">
        <f ca="1">IFERROR(__xludf.DUMMYFUNCTION("IMPORTRANGE(""https://docs.google.com/spreadsheets/d/1Ul4RCpCX66NxYADU1QpwAPjOmBzW64SsT11s1wzXw_c/edit?usp=sharing"",""เลย!J441"")"),0)</f>
        <v>0</v>
      </c>
      <c r="AZ43" s="216">
        <f t="shared" ca="1" si="63"/>
        <v>0</v>
      </c>
      <c r="BA43" s="152">
        <f ca="1">IFERROR(__xludf.DUMMYFUNCTION("IMPORTRANGE(""https://docs.google.com/spreadsheets/d/1Ul4RCpCX66NxYADU1QpwAPjOmBzW64SsT11s1wzXw_c/edit?usp=sharing"",""เลย!J442"")"),0)</f>
        <v>0</v>
      </c>
      <c r="BB43" s="152">
        <f ca="1">IFERROR(__xludf.DUMMYFUNCTION("IMPORTRANGE(""https://docs.google.com/spreadsheets/d/1Ul4RCpCX66NxYADU1QpwAPjOmBzW64SsT11s1wzXw_c/edit?usp=sharing"",""เลย!J443"")"),0)</f>
        <v>0</v>
      </c>
      <c r="BC43" s="152">
        <f ca="1">IFERROR(__xludf.DUMMYFUNCTION("IMPORTRANGE(""https://docs.google.com/spreadsheets/d/1Ul4RCpCX66NxYADU1QpwAPjOmBzW64SsT11s1wzXw_c/edit?usp=sharing"",""เลย!J444"")"),0)</f>
        <v>0</v>
      </c>
      <c r="BD43" s="152">
        <f ca="1">IFERROR(__xludf.DUMMYFUNCTION("IMPORTRANGE(""https://docs.google.com/spreadsheets/d/1Ul4RCpCX66NxYADU1QpwAPjOmBzW64SsT11s1wzXw_c/edit?usp=sharing"",""เลย!J445"")"),0)</f>
        <v>0</v>
      </c>
      <c r="BE43" s="152">
        <f ca="1">IFERROR(__xludf.DUMMYFUNCTION("IMPORTRANGE(""https://docs.google.com/spreadsheets/d/1Ul4RCpCX66NxYADU1QpwAPjOmBzW64SsT11s1wzXw_c/edit?usp=sharing"",""เลย!J446"")"),0)</f>
        <v>0</v>
      </c>
      <c r="BF43" s="152">
        <f ca="1">IFERROR(__xludf.DUMMYFUNCTION("IMPORTRANGE(""https://docs.google.com/spreadsheets/d/1Ul4RCpCX66NxYADU1QpwAPjOmBzW64SsT11s1wzXw_c/edit?usp=sharing"",""เลย!J447"")"),0)</f>
        <v>0</v>
      </c>
      <c r="BG43" s="152">
        <f ca="1">IFERROR(__xludf.DUMMYFUNCTION("IMPORTRANGE(""https://docs.google.com/spreadsheets/d/1Ul4RCpCX66NxYADU1QpwAPjOmBzW64SsT11s1wzXw_c/edit?usp=sharing"",""เลย!J448"")"),0)</f>
        <v>0</v>
      </c>
      <c r="BH43" s="152">
        <f ca="1">IFERROR(__xludf.DUMMYFUNCTION("IMPORTRANGE(""https://docs.google.com/spreadsheets/d/1Ul4RCpCX66NxYADU1QpwAPjOmBzW64SsT11s1wzXw_c/edit?usp=sharing"",""เลย!J449"")"),0)</f>
        <v>0</v>
      </c>
      <c r="BI43" s="152">
        <f ca="1">IFERROR(__xludf.DUMMYFUNCTION("IMPORTRANGE(""https://docs.google.com/spreadsheets/d/1Ul4RCpCX66NxYADU1QpwAPjOmBzW64SsT11s1wzXw_c/edit?usp=sharing"",""เลย!J450"")"),0)</f>
        <v>0</v>
      </c>
      <c r="BJ43" s="152">
        <f ca="1">IFERROR(__xludf.DUMMYFUNCTION("IMPORTRANGE(""https://docs.google.com/spreadsheets/d/1Ul4RCpCX66NxYADU1QpwAPjOmBzW64SsT11s1wzXw_c/edit?usp=sharing"",""เลย!J451"")"),0)</f>
        <v>0</v>
      </c>
      <c r="BK43" s="152">
        <f ca="1">IFERROR(__xludf.DUMMYFUNCTION("IMPORTRANGE(""https://docs.google.com/spreadsheets/d/1Ul4RCpCX66NxYADU1QpwAPjOmBzW64SsT11s1wzXw_c/edit?usp=sharing"",""เลย!J452"")"),0)</f>
        <v>0</v>
      </c>
      <c r="BL43" s="152">
        <f ca="1">IFERROR(__xludf.DUMMYFUNCTION("IMPORTRANGE(""https://docs.google.com/spreadsheets/d/1Ul4RCpCX66NxYADU1QpwAPjOmBzW64SsT11s1wzXw_c/edit?usp=sharing"",""เลย!J453"")"),0)</f>
        <v>0</v>
      </c>
      <c r="BM43" s="152">
        <f ca="1">IFERROR(__xludf.DUMMYFUNCTION("IMPORTRANGE(""https://docs.google.com/spreadsheets/d/1Ul4RCpCX66NxYADU1QpwAPjOmBzW64SsT11s1wzXw_c/edit?usp=sharing"",""เลย!J454"")"),0)</f>
        <v>0</v>
      </c>
      <c r="BN43" s="152">
        <f ca="1">IFERROR(__xludf.DUMMYFUNCTION("IMPORTRANGE(""https://docs.google.com/spreadsheets/d/1Ul4RCpCX66NxYADU1QpwAPjOmBzW64SsT11s1wzXw_c/edit?usp=sharing"",""เลย!J455"")"),0)</f>
        <v>0</v>
      </c>
      <c r="BO43" s="152">
        <f ca="1">IFERROR(__xludf.DUMMYFUNCTION("IMPORTRANGE(""https://docs.google.com/spreadsheets/d/1Ul4RCpCX66NxYADU1QpwAPjOmBzW64SsT11s1wzXw_c/edit?usp=sharing"",""เลย!I457"")"),7265.18)</f>
        <v>7265.18</v>
      </c>
      <c r="BP43" s="152">
        <f ca="1">IFERROR(__xludf.DUMMYFUNCTION("IMPORTRANGE(""https://docs.google.com/spreadsheets/d/1Ul4RCpCX66NxYADU1QpwAPjOmBzW64SsT11s1wzXw_c/edit?usp=sharing"",""เลย!I458"")"),522)</f>
        <v>522</v>
      </c>
      <c r="BQ43" s="152">
        <f ca="1">IFERROR(__xludf.DUMMYFUNCTION("IMPORTRANGE(""https://docs.google.com/spreadsheets/d/1Ul4RCpCX66NxYADU1QpwAPjOmBzW64SsT11s1wzXw_c/edit?usp=sharing"",""เลย!J457"")"),3838.46)</f>
        <v>3838.46</v>
      </c>
      <c r="BR43" s="216">
        <f t="shared" ca="1" si="65"/>
        <v>52.83365312352894</v>
      </c>
      <c r="BS43" s="152">
        <f ca="1">IFERROR(__xludf.DUMMYFUNCTION("IMPORTRANGE(""https://docs.google.com/spreadsheets/d/1Ul4RCpCX66NxYADU1QpwAPjOmBzW64SsT11s1wzXw_c/edit?usp=sharing"",""เลย!J458"")"),304)</f>
        <v>304</v>
      </c>
      <c r="BT43" s="216">
        <f t="shared" ca="1" si="66"/>
        <v>58.237547892720308</v>
      </c>
      <c r="BU43" s="152">
        <f ca="1">IFERROR(__xludf.DUMMYFUNCTION("IMPORTRANGE(""https://docs.google.com/spreadsheets/d/1Ul4RCpCX66NxYADU1QpwAPjOmBzW64SsT11s1wzXw_c/edit?usp=sharing"",""เลย!J459"")"),3782)</f>
        <v>3782</v>
      </c>
      <c r="BV43" s="152">
        <f ca="1">IFERROR(__xludf.DUMMYFUNCTION("IMPORTRANGE(""https://docs.google.com/spreadsheets/d/1Ul4RCpCX66NxYADU1QpwAPjOmBzW64SsT11s1wzXw_c/edit?usp=sharing"",""เลย!J460"")"),301)</f>
        <v>301</v>
      </c>
      <c r="BW43" s="152">
        <f ca="1">IFERROR(__xludf.DUMMYFUNCTION("IMPORTRANGE(""https://docs.google.com/spreadsheets/d/1Ul4RCpCX66NxYADU1QpwAPjOmBzW64SsT11s1wzXw_c/edit?usp=sharing"",""เลย!J461"")"),3782)</f>
        <v>3782</v>
      </c>
      <c r="BX43" s="152">
        <f ca="1">IFERROR(__xludf.DUMMYFUNCTION("IMPORTRANGE(""https://docs.google.com/spreadsheets/d/1Ul4RCpCX66NxYADU1QpwAPjOmBzW64SsT11s1wzXw_c/edit?usp=sharing"",""เลย!J462"")"),301)</f>
        <v>301</v>
      </c>
      <c r="BY43" s="152">
        <f ca="1">IFERROR(__xludf.DUMMYFUNCTION("IMPORTRANGE(""https://docs.google.com/spreadsheets/d/1Ul4RCpCX66NxYADU1QpwAPjOmBzW64SsT11s1wzXw_c/edit?usp=sharing"",""เลย!J463"")"),0)</f>
        <v>0</v>
      </c>
      <c r="BZ43" s="152">
        <f ca="1">IFERROR(__xludf.DUMMYFUNCTION("IMPORTRANGE(""https://docs.google.com/spreadsheets/d/1Ul4RCpCX66NxYADU1QpwAPjOmBzW64SsT11s1wzXw_c/edit?usp=sharing"",""เลย!J464"")"),0)</f>
        <v>0</v>
      </c>
      <c r="CA43" s="152">
        <f ca="1">IFERROR(__xludf.DUMMYFUNCTION("IMPORTRANGE(""https://docs.google.com/spreadsheets/d/1Ul4RCpCX66NxYADU1QpwAPjOmBzW64SsT11s1wzXw_c/edit?usp=sharing"",""เลย!J465"")"),0)</f>
        <v>0</v>
      </c>
      <c r="CB43" s="152">
        <f ca="1">IFERROR(__xludf.DUMMYFUNCTION("IMPORTRANGE(""https://docs.google.com/spreadsheets/d/1Ul4RCpCX66NxYADU1QpwAPjOmBzW64SsT11s1wzXw_c/edit?usp=sharing"",""เลย!J466"")"),0)</f>
        <v>0</v>
      </c>
      <c r="CC43" s="152">
        <f ca="1">IFERROR(__xludf.DUMMYFUNCTION("IMPORTRANGE(""https://docs.google.com/spreadsheets/d/1Ul4RCpCX66NxYADU1QpwAPjOmBzW64SsT11s1wzXw_c/edit?usp=sharing"",""เลย!J467"")"),56.46)</f>
        <v>56.46</v>
      </c>
      <c r="CD43" s="152">
        <f ca="1">IFERROR(__xludf.DUMMYFUNCTION("IMPORTRANGE(""https://docs.google.com/spreadsheets/d/1Ul4RCpCX66NxYADU1QpwAPjOmBzW64SsT11s1wzXw_c/edit?usp=sharing"",""เลย!J468"")"),3)</f>
        <v>3</v>
      </c>
      <c r="CE43" s="152">
        <f ca="1">IFERROR(__xludf.DUMMYFUNCTION("IMPORTRANGE(""https://docs.google.com/spreadsheets/d/1Ul4RCpCX66NxYADU1QpwAPjOmBzW64SsT11s1wzXw_c/edit?usp=sharing"",""เลย!J469"")"),56.46)</f>
        <v>56.46</v>
      </c>
      <c r="CF43" s="152">
        <f ca="1">IFERROR(__xludf.DUMMYFUNCTION("IMPORTRANGE(""https://docs.google.com/spreadsheets/d/1Ul4RCpCX66NxYADU1QpwAPjOmBzW64SsT11s1wzXw_c/edit?usp=sharing"",""เลย!J470"")"),3)</f>
        <v>3</v>
      </c>
      <c r="CG43" s="152">
        <f ca="1">IFERROR(__xludf.DUMMYFUNCTION("IMPORTRANGE(""https://docs.google.com/spreadsheets/d/1Ul4RCpCX66NxYADU1QpwAPjOmBzW64SsT11s1wzXw_c/edit?usp=sharing"",""เลย!J471"")"),0)</f>
        <v>0</v>
      </c>
      <c r="CH43" s="152">
        <f ca="1">IFERROR(__xludf.DUMMYFUNCTION("IMPORTRANGE(""https://docs.google.com/spreadsheets/d/1Ul4RCpCX66NxYADU1QpwAPjOmBzW64SsT11s1wzXw_c/edit?usp=sharing"",""เลย!J472"")"),0)</f>
        <v>0</v>
      </c>
      <c r="CI43" s="152">
        <f ca="1">IFERROR(__xludf.DUMMYFUNCTION("IMPORTRANGE(""https://docs.google.com/spreadsheets/d/1Ul4RCpCX66NxYADU1QpwAPjOmBzW64SsT11s1wzXw_c/edit?usp=sharing"",""เลย!J473"")"),0)</f>
        <v>0</v>
      </c>
      <c r="CJ43" s="152">
        <f ca="1">IFERROR(__xludf.DUMMYFUNCTION("IMPORTRANGE(""https://docs.google.com/spreadsheets/d/1Ul4RCpCX66NxYADU1QpwAPjOmBzW64SsT11s1wzXw_c/edit?usp=sharing"",""เลย!J474"")"),0)</f>
        <v>0</v>
      </c>
      <c r="CK43" s="278">
        <f ca="1">IFERROR(__xludf.DUMMYFUNCTION("IMPORTRANGE(""https://docs.google.com/spreadsheets/d/1Ul4RCpCX66NxYADU1QpwAPjOmBzW64SsT11s1wzXw_c/edit?usp=sharing"",""เลย!I476"")"),0)</f>
        <v>0</v>
      </c>
      <c r="CL43" s="278">
        <f ca="1">IFERROR(__xludf.DUMMYFUNCTION("IMPORTRANGE(""https://docs.google.com/spreadsheets/d/1Ul4RCpCX66NxYADU1QpwAPjOmBzW64SsT11s1wzXw_c/edit?usp=sharing"",""เลย!I477"")"),0)</f>
        <v>0</v>
      </c>
      <c r="CM43" s="278">
        <f ca="1">IFERROR(__xludf.DUMMYFUNCTION("IMPORTRANGE(""https://docs.google.com/spreadsheets/d/1Ul4RCpCX66NxYADU1QpwAPjOmBzW64SsT11s1wzXw_c/edit?usp=sharing"",""เลย!J476"")"),0)</f>
        <v>0</v>
      </c>
      <c r="CN43" s="216">
        <f t="shared" ca="1" si="68"/>
        <v>0</v>
      </c>
      <c r="CO43" s="278">
        <f ca="1">IFERROR(__xludf.DUMMYFUNCTION("IMPORTRANGE(""https://docs.google.com/spreadsheets/d/1Ul4RCpCX66NxYADU1QpwAPjOmBzW64SsT11s1wzXw_c/edit?usp=sharing"",""เลย!J477"")"),0)</f>
        <v>0</v>
      </c>
      <c r="CP43" s="216">
        <f t="shared" ca="1" si="69"/>
        <v>0</v>
      </c>
      <c r="CQ43" s="278">
        <f ca="1">IFERROR(__xludf.DUMMYFUNCTION("IMPORTRANGE(""https://docs.google.com/spreadsheets/d/1Ul4RCpCX66NxYADU1QpwAPjOmBzW64SsT11s1wzXw_c/edit?usp=sharing"",""เลย!J478"")"),0)</f>
        <v>0</v>
      </c>
      <c r="CR43" s="278">
        <f ca="1">IFERROR(__xludf.DUMMYFUNCTION("IMPORTRANGE(""https://docs.google.com/spreadsheets/d/1Ul4RCpCX66NxYADU1QpwAPjOmBzW64SsT11s1wzXw_c/edit?usp=sharing"",""เลย!J479"")"),0)</f>
        <v>0</v>
      </c>
      <c r="CS43" s="278">
        <f ca="1">IFERROR(__xludf.DUMMYFUNCTION("IMPORTRANGE(""https://docs.google.com/spreadsheets/d/1Ul4RCpCX66NxYADU1QpwAPjOmBzW64SsT11s1wzXw_c/edit?usp=sharing"",""เลย!J480"")"),0)</f>
        <v>0</v>
      </c>
      <c r="CT43" s="278">
        <f ca="1">IFERROR(__xludf.DUMMYFUNCTION("IMPORTRANGE(""https://docs.google.com/spreadsheets/d/1Ul4RCpCX66NxYADU1QpwAPjOmBzW64SsT11s1wzXw_c/edit?usp=sharing"",""เลย!J481"")"),0)</f>
        <v>0</v>
      </c>
      <c r="CU43" s="278">
        <f ca="1">IFERROR(__xludf.DUMMYFUNCTION("IMPORTRANGE(""https://docs.google.com/spreadsheets/d/1Ul4RCpCX66NxYADU1QpwAPjOmBzW64SsT11s1wzXw_c/edit?usp=sharing"",""เลย!I484"")"),924)</f>
        <v>924</v>
      </c>
      <c r="CV43" s="278">
        <f ca="1">IFERROR(__xludf.DUMMYFUNCTION("IMPORTRANGE(""https://docs.google.com/spreadsheets/d/1Ul4RCpCX66NxYADU1QpwAPjOmBzW64SsT11s1wzXw_c/edit?usp=sharing"",""เลย!I485"")"),58)</f>
        <v>58</v>
      </c>
      <c r="CW43" s="278">
        <f ca="1">IFERROR(__xludf.DUMMYFUNCTION("IMPORTRANGE(""https://docs.google.com/spreadsheets/d/1Ul4RCpCX66NxYADU1QpwAPjOmBzW64SsT11s1wzXw_c/edit?usp=sharing"",""เลย!J484"")"),0)</f>
        <v>0</v>
      </c>
      <c r="CX43" s="216">
        <f t="shared" ca="1" si="71"/>
        <v>0</v>
      </c>
      <c r="CY43" s="278">
        <f ca="1">IFERROR(__xludf.DUMMYFUNCTION("IMPORTRANGE(""https://docs.google.com/spreadsheets/d/1Ul4RCpCX66NxYADU1QpwAPjOmBzW64SsT11s1wzXw_c/edit?usp=sharing"",""เลย!J485"")"),0)</f>
        <v>0</v>
      </c>
      <c r="CZ43" s="216">
        <f t="shared" ca="1" si="72"/>
        <v>0</v>
      </c>
      <c r="DA43" s="278">
        <f ca="1">IFERROR(__xludf.DUMMYFUNCTION("IMPORTRANGE(""https://docs.google.com/spreadsheets/d/1Ul4RCpCX66NxYADU1QpwAPjOmBzW64SsT11s1wzXw_c/edit?usp=sharing"",""เลย!J486"")"),0)</f>
        <v>0</v>
      </c>
      <c r="DB43" s="278">
        <f ca="1">IFERROR(__xludf.DUMMYFUNCTION("IMPORTRANGE(""https://docs.google.com/spreadsheets/d/1Ul4RCpCX66NxYADU1QpwAPjOmBzW64SsT11s1wzXw_c/edit?usp=sharing"",""เลย!J487"")"),0)</f>
        <v>0</v>
      </c>
      <c r="DC43" s="278">
        <f ca="1">IFERROR(__xludf.DUMMYFUNCTION("IMPORTRANGE(""https://docs.google.com/spreadsheets/d/1Ul4RCpCX66NxYADU1QpwAPjOmBzW64SsT11s1wzXw_c/edit?usp=sharing"",""เลย!J488"")"),0)</f>
        <v>0</v>
      </c>
      <c r="DD43" s="278">
        <f ca="1">IFERROR(__xludf.DUMMYFUNCTION("IMPORTRANGE(""https://docs.google.com/spreadsheets/d/1Ul4RCpCX66NxYADU1QpwAPjOmBzW64SsT11s1wzXw_c/edit?usp=sharing"",""เลย!J489"")"),0)</f>
        <v>0</v>
      </c>
      <c r="DE43" s="278">
        <f ca="1">IFERROR(__xludf.DUMMYFUNCTION("IMPORTRANGE(""https://docs.google.com/spreadsheets/d/1Ul4RCpCX66NxYADU1QpwAPjOmBzW64SsT11s1wzXw_c/edit?usp=sharing"",""เลย!J490"")"),0)</f>
        <v>0</v>
      </c>
      <c r="DF43" s="278">
        <f ca="1">IFERROR(__xludf.DUMMYFUNCTION("IMPORTRANGE(""https://docs.google.com/spreadsheets/d/1Ul4RCpCX66NxYADU1QpwAPjOmBzW64SsT11s1wzXw_c/edit?usp=sharing"",""เลย!J491"")"),0)</f>
        <v>0</v>
      </c>
    </row>
    <row r="44" spans="1:110" ht="19.5" x14ac:dyDescent="0.3">
      <c r="A44" s="147">
        <v>13</v>
      </c>
      <c r="B44" s="148" t="s">
        <v>72</v>
      </c>
      <c r="C44" s="566">
        <f t="shared" ca="1" si="44"/>
        <v>453590</v>
      </c>
      <c r="D44" s="567">
        <f t="shared" ca="1" si="84"/>
        <v>453590</v>
      </c>
      <c r="E44" s="329">
        <f ca="1">IFERROR(__xludf.DUMMYFUNCTION("IMPORTRANGE(""https://docs.google.com/spreadsheets/d/1-uDff_7J0KD5mKrp0Vvzr7lt3OU09vwQwhkpOPPYv2Y/edit?usp=sharing"",""งบพรบ!IP44"")"),48400)</f>
        <v>48400</v>
      </c>
      <c r="F44" s="329">
        <f ca="1">IFERROR(__xludf.DUMMYFUNCTION("IMPORTRANGE(""https://docs.google.com/spreadsheets/d/1-uDff_7J0KD5mKrp0Vvzr7lt3OU09vwQwhkpOPPYv2Y/edit?usp=sharing"",""งบพรบ!IQ44"")"),405190)</f>
        <v>405190</v>
      </c>
      <c r="G44" s="329">
        <f ca="1">IFERROR(__xludf.DUMMYFUNCTION("IMPORTRANGE(""https://docs.google.com/spreadsheets/d/1-uDff_7J0KD5mKrp0Vvzr7lt3OU09vwQwhkpOPPYv2Y/edit?usp=sharing"",""งบพรบ!IR44"")"),0)</f>
        <v>0</v>
      </c>
      <c r="H44" s="329">
        <f ca="1">IFERROR(__xludf.DUMMYFUNCTION("IMPORTRANGE(""https://docs.google.com/spreadsheets/d/1-uDff_7J0KD5mKrp0Vvzr7lt3OU09vwQwhkpOPPYv2Y/edit?usp=sharing"",""งบพรบ!IT44"")"),453590)</f>
        <v>453590</v>
      </c>
      <c r="I44" s="329">
        <f ca="1">IFERROR(__xludf.DUMMYFUNCTION("IMPORTRANGE(""https://docs.google.com/spreadsheets/d/1-uDff_7J0KD5mKrp0Vvzr7lt3OU09vwQwhkpOPPYv2Y/edit?usp=sharing"",""งบพรบ!IU44"")"),0)</f>
        <v>0</v>
      </c>
      <c r="J44" s="329">
        <f t="shared" ca="1" si="46"/>
        <v>217535.37</v>
      </c>
      <c r="K44" s="568">
        <f t="shared" ca="1" si="47"/>
        <v>47.958590356930266</v>
      </c>
      <c r="L44" s="329">
        <f ca="1">IFERROR(__xludf.DUMMYFUNCTION("IMPORTRANGE(""https://docs.google.com/spreadsheets/d/1-uDff_7J0KD5mKrp0Vvzr7lt3OU09vwQwhkpOPPYv2Y/edit?usp=sharing"",""งบพรบ!IV44"")"),217535.37)</f>
        <v>217535.37</v>
      </c>
      <c r="M44" s="330">
        <f t="shared" ca="1" si="48"/>
        <v>47.958590356930266</v>
      </c>
      <c r="N44" s="330">
        <f t="shared" ca="1" si="49"/>
        <v>47.958590356930266</v>
      </c>
      <c r="O44" s="569">
        <f ca="1">IFERROR(__xludf.DUMMYFUNCTION("IMPORTRANGE(""https://docs.google.com/spreadsheets/d/1-uDff_7J0KD5mKrp0Vvzr7lt3OU09vwQwhkpOPPYv2Y/edit?usp=sharing"",""งบพรบ!IW44"")"),0)</f>
        <v>0</v>
      </c>
      <c r="P44" s="569">
        <f t="shared" ca="1" si="50"/>
        <v>0</v>
      </c>
      <c r="Q44" s="330">
        <f t="shared" ca="1" si="51"/>
        <v>0</v>
      </c>
      <c r="R44" s="564">
        <f ca="1">IFERROR(__xludf.DUMMYFUNCTION("IMPORTRANGE(""https://docs.google.com/spreadsheets/d/1bRrNKwbHDVktQG10isr5vbWRtt5spIZPpkOSWgbT5ug/edit?usp=sharing"",""ศรีสะเกษ!Q413"")"),150480)</f>
        <v>150480</v>
      </c>
      <c r="S44" s="564">
        <f ca="1">IFERROR(__xludf.DUMMYFUNCTION("IMPORTRANGE(""https://docs.google.com/spreadsheets/d/1bRrNKwbHDVktQG10isr5vbWRtt5spIZPpkOSWgbT5ug/edit?usp=sharing"",""ศรีสะเกษ!R413"")"),150480)</f>
        <v>150480</v>
      </c>
      <c r="T44" s="564">
        <f ca="1">IFERROR(__xludf.DUMMYFUNCTION("IMPORTRANGE(""https://docs.google.com/spreadsheets/d/1bRrNKwbHDVktQG10isr5vbWRtt5spIZPpkOSWgbT5ug/edit?usp=sharing"",""ศรีสะเกษ!S413"")"),5880)</f>
        <v>5880</v>
      </c>
      <c r="U44" s="565">
        <f t="shared" ca="1" si="53"/>
        <v>3.9074960127591707</v>
      </c>
      <c r="V44" s="565">
        <f t="shared" ca="1" si="54"/>
        <v>3.9074960127591707</v>
      </c>
      <c r="W44" s="152">
        <f ca="1">IFERROR(__xludf.DUMMYFUNCTION("IMPORTRANGE(""https://docs.google.com/spreadsheets/d/1bRrNKwbHDVktQG10isr5vbWRtt5spIZPpkOSWgbT5ug/edit?usp=sharing"",""ศรีสะเกษ!I424"")"),100804)</f>
        <v>100804</v>
      </c>
      <c r="X44" s="152">
        <f ca="1">IFERROR(__xludf.DUMMYFUNCTION("IMPORTRANGE(""https://docs.google.com/spreadsheets/d/1bRrNKwbHDVktQG10isr5vbWRtt5spIZPpkOSWgbT5ug/edit?usp=sharing"",""ศรีสะเกษ!I425"")"),18496)</f>
        <v>18496</v>
      </c>
      <c r="Y44" s="152">
        <f ca="1">IFERROR(__xludf.DUMMYFUNCTION("IMPORTRANGE(""https://docs.google.com/spreadsheets/d/1bRrNKwbHDVktQG10isr5vbWRtt5spIZPpkOSWgbT5ug/edit?usp=sharing"",""ศรีสะเกษ!J424"")"),0)</f>
        <v>0</v>
      </c>
      <c r="Z44" s="216">
        <f t="shared" ca="1" si="56"/>
        <v>0</v>
      </c>
      <c r="AA44" s="152">
        <f ca="1">IFERROR(__xludf.DUMMYFUNCTION("IMPORTRANGE(""https://docs.google.com/spreadsheets/d/1bRrNKwbHDVktQG10isr5vbWRtt5spIZPpkOSWgbT5ug/edit?usp=sharing"",""ศรีสะเกษ!J425"")"),0)</f>
        <v>0</v>
      </c>
      <c r="AB44" s="216">
        <f t="shared" ca="1" si="57"/>
        <v>0</v>
      </c>
      <c r="AC44" s="152">
        <f ca="1">IFERROR(__xludf.DUMMYFUNCTION("IMPORTRANGE(""https://docs.google.com/spreadsheets/d/1bRrNKwbHDVktQG10isr5vbWRtt5spIZPpkOSWgbT5ug/edit?usp=sharing"",""ศรีสะเกษ!J426"")"),0)</f>
        <v>0</v>
      </c>
      <c r="AD44" s="152">
        <f ca="1">IFERROR(__xludf.DUMMYFUNCTION("IMPORTRANGE(""https://docs.google.com/spreadsheets/d/1bRrNKwbHDVktQG10isr5vbWRtt5spIZPpkOSWgbT5ug/edit?usp=sharing"",""ศรีสะเกษ!J427"")"),0)</f>
        <v>0</v>
      </c>
      <c r="AE44" s="152">
        <f ca="1">IFERROR(__xludf.DUMMYFUNCTION("IMPORTRANGE(""https://docs.google.com/spreadsheets/d/1bRrNKwbHDVktQG10isr5vbWRtt5spIZPpkOSWgbT5ug/edit?usp=sharing"",""ศรีสะเกษ!J428"")"),0)</f>
        <v>0</v>
      </c>
      <c r="AF44" s="152">
        <f ca="1">IFERROR(__xludf.DUMMYFUNCTION("IMPORTRANGE(""https://docs.google.com/spreadsheets/d/1bRrNKwbHDVktQG10isr5vbWRtt5spIZPpkOSWgbT5ug/edit?usp=sharing"",""ศรีสะเกษ!J429"")"),0)</f>
        <v>0</v>
      </c>
      <c r="AG44" s="152">
        <f ca="1">IFERROR(__xludf.DUMMYFUNCTION("IMPORTRANGE(""https://docs.google.com/spreadsheets/d/1bRrNKwbHDVktQG10isr5vbWRtt5spIZPpkOSWgbT5ug/edit?usp=sharing"",""ศรีสะเกษ!J430"")"),0)</f>
        <v>0</v>
      </c>
      <c r="AH44" s="152">
        <f ca="1">IFERROR(__xludf.DUMMYFUNCTION("IMPORTRANGE(""https://docs.google.com/spreadsheets/d/1bRrNKwbHDVktQG10isr5vbWRtt5spIZPpkOSWgbT5ug/edit?usp=sharing"",""ศรีสะเกษ!J431"")"),0)</f>
        <v>0</v>
      </c>
      <c r="AI44" s="152">
        <f ca="1">IFERROR(__xludf.DUMMYFUNCTION("IMPORTRANGE(""https://docs.google.com/spreadsheets/d/1bRrNKwbHDVktQG10isr5vbWRtt5spIZPpkOSWgbT5ug/edit?usp=sharing"",""ศรีสะเกษ!I432"")"),100804)</f>
        <v>100804</v>
      </c>
      <c r="AJ44" s="152">
        <f ca="1">IFERROR(__xludf.DUMMYFUNCTION("IMPORTRANGE(""https://docs.google.com/spreadsheets/d/1bRrNKwbHDVktQG10isr5vbWRtt5spIZPpkOSWgbT5ug/edit?usp=sharing"",""ศรีสะเกษ!I433"")"),18496)</f>
        <v>18496</v>
      </c>
      <c r="AK44" s="216">
        <f ca="1">IFERROR(__xludf.DUMMYFUNCTION("IMPORTRANGE(""https://docs.google.com/spreadsheets/d/1bRrNKwbHDVktQG10isr5vbWRtt5spIZPpkOSWgbT5ug/edit?usp=sharing"",""ศรีสะเกษ!J432"")"),0)</f>
        <v>0</v>
      </c>
      <c r="AL44" s="216">
        <f t="shared" ca="1" si="59"/>
        <v>0</v>
      </c>
      <c r="AM44" s="152">
        <f ca="1">IFERROR(__xludf.DUMMYFUNCTION("IMPORTRANGE(""https://docs.google.com/spreadsheets/d/1bRrNKwbHDVktQG10isr5vbWRtt5spIZPpkOSWgbT5ug/edit?usp=sharing"",""ศรีสะเกษ!J433"")"),0)</f>
        <v>0</v>
      </c>
      <c r="AN44" s="216">
        <f t="shared" ca="1" si="60"/>
        <v>0</v>
      </c>
      <c r="AO44" s="152">
        <f ca="1">IFERROR(__xludf.DUMMYFUNCTION("IMPORTRANGE(""https://docs.google.com/spreadsheets/d/1bRrNKwbHDVktQG10isr5vbWRtt5spIZPpkOSWgbT5ug/edit?usp=sharing"",""ศรีสะเกษ!J434"")"),0)</f>
        <v>0</v>
      </c>
      <c r="AP44" s="152">
        <f ca="1">IFERROR(__xludf.DUMMYFUNCTION("IMPORTRANGE(""https://docs.google.com/spreadsheets/d/1bRrNKwbHDVktQG10isr5vbWRtt5spIZPpkOSWgbT5ug/edit?usp=sharing"",""ศรีสะเกษ!J435"")"),0)</f>
        <v>0</v>
      </c>
      <c r="AQ44" s="152">
        <f ca="1">IFERROR(__xludf.DUMMYFUNCTION("IMPORTRANGE(""https://docs.google.com/spreadsheets/d/1bRrNKwbHDVktQG10isr5vbWRtt5spIZPpkOSWgbT5ug/edit?usp=sharing"",""ศรีสะเกษ!J436"")"),0)</f>
        <v>0</v>
      </c>
      <c r="AR44" s="152">
        <f ca="1">IFERROR(__xludf.DUMMYFUNCTION("IMPORTRANGE(""https://docs.google.com/spreadsheets/d/1bRrNKwbHDVktQG10isr5vbWRtt5spIZPpkOSWgbT5ug/edit?usp=sharing"",""ศรีสะเกษ!J437"")"),0)</f>
        <v>0</v>
      </c>
      <c r="AS44" s="152">
        <f ca="1">IFERROR(__xludf.DUMMYFUNCTION("IMPORTRANGE(""https://docs.google.com/spreadsheets/d/1bRrNKwbHDVktQG10isr5vbWRtt5spIZPpkOSWgbT5ug/edit?usp=sharing"",""ศรีสะเกษ!J438"")"),0)</f>
        <v>0</v>
      </c>
      <c r="AT44" s="152">
        <f ca="1">IFERROR(__xludf.DUMMYFUNCTION("IMPORTRANGE(""https://docs.google.com/spreadsheets/d/1bRrNKwbHDVktQG10isr5vbWRtt5spIZPpkOSWgbT5ug/edit?usp=sharing"",""ศรีสะเกษ!J439"")"),0)</f>
        <v>0</v>
      </c>
      <c r="AU44" s="152">
        <f ca="1">IFERROR(__xludf.DUMMYFUNCTION("IMPORTRANGE(""https://docs.google.com/spreadsheets/d/1bRrNKwbHDVktQG10isr5vbWRtt5spIZPpkOSWgbT5ug/edit?usp=sharing"",""ศรีสะเกษ!I440"")"),100804)</f>
        <v>100804</v>
      </c>
      <c r="AV44" s="152">
        <f ca="1">IFERROR(__xludf.DUMMYFUNCTION("IMPORTRANGE(""https://docs.google.com/spreadsheets/d/1bRrNKwbHDVktQG10isr5vbWRtt5spIZPpkOSWgbT5ug/edit?usp=sharing"",""ศรีสะเกษ!I441"")"),18496)</f>
        <v>18496</v>
      </c>
      <c r="AW44" s="152">
        <f ca="1">IFERROR(__xludf.DUMMYFUNCTION("IMPORTRANGE(""https://docs.google.com/spreadsheets/d/1bRrNKwbHDVktQG10isr5vbWRtt5spIZPpkOSWgbT5ug/edit?usp=sharing"",""ศรีสะเกษ!J440"")"),0)</f>
        <v>0</v>
      </c>
      <c r="AX44" s="216">
        <f t="shared" ca="1" si="62"/>
        <v>0</v>
      </c>
      <c r="AY44" s="152">
        <f ca="1">IFERROR(__xludf.DUMMYFUNCTION("IMPORTRANGE(""https://docs.google.com/spreadsheets/d/1bRrNKwbHDVktQG10isr5vbWRtt5spIZPpkOSWgbT5ug/edit?usp=sharing"",""ศรีสะเกษ!J441"")"),0)</f>
        <v>0</v>
      </c>
      <c r="AZ44" s="216">
        <f t="shared" ca="1" si="63"/>
        <v>0</v>
      </c>
      <c r="BA44" s="152">
        <f ca="1">IFERROR(__xludf.DUMMYFUNCTION("IMPORTRANGE(""https://docs.google.com/spreadsheets/d/1bRrNKwbHDVktQG10isr5vbWRtt5spIZPpkOSWgbT5ug/edit?usp=sharing"",""ศรีสะเกษ!J442"")"),0)</f>
        <v>0</v>
      </c>
      <c r="BB44" s="152">
        <f ca="1">IFERROR(__xludf.DUMMYFUNCTION("IMPORTRANGE(""https://docs.google.com/spreadsheets/d/1bRrNKwbHDVktQG10isr5vbWRtt5spIZPpkOSWgbT5ug/edit?usp=sharing"",""ศรีสะเกษ!J443"")"),0)</f>
        <v>0</v>
      </c>
      <c r="BC44" s="152">
        <f ca="1">IFERROR(__xludf.DUMMYFUNCTION("IMPORTRANGE(""https://docs.google.com/spreadsheets/d/1bRrNKwbHDVktQG10isr5vbWRtt5spIZPpkOSWgbT5ug/edit?usp=sharing"",""ศรีสะเกษ!J444"")"),0)</f>
        <v>0</v>
      </c>
      <c r="BD44" s="152">
        <f ca="1">IFERROR(__xludf.DUMMYFUNCTION("IMPORTRANGE(""https://docs.google.com/spreadsheets/d/1bRrNKwbHDVktQG10isr5vbWRtt5spIZPpkOSWgbT5ug/edit?usp=sharing"",""ศรีสะเกษ!J445"")"),0)</f>
        <v>0</v>
      </c>
      <c r="BE44" s="152">
        <f ca="1">IFERROR(__xludf.DUMMYFUNCTION("IMPORTRANGE(""https://docs.google.com/spreadsheets/d/1bRrNKwbHDVktQG10isr5vbWRtt5spIZPpkOSWgbT5ug/edit?usp=sharing"",""ศรีสะเกษ!J446"")"),0)</f>
        <v>0</v>
      </c>
      <c r="BF44" s="152">
        <f ca="1">IFERROR(__xludf.DUMMYFUNCTION("IMPORTRANGE(""https://docs.google.com/spreadsheets/d/1bRrNKwbHDVktQG10isr5vbWRtt5spIZPpkOSWgbT5ug/edit?usp=sharing"",""ศรีสะเกษ!J447"")"),0)</f>
        <v>0</v>
      </c>
      <c r="BG44" s="152">
        <f ca="1">IFERROR(__xludf.DUMMYFUNCTION("IMPORTRANGE(""https://docs.google.com/spreadsheets/d/1bRrNKwbHDVktQG10isr5vbWRtt5spIZPpkOSWgbT5ug/edit?usp=sharing"",""ศรีสะเกษ!J448"")"),0)</f>
        <v>0</v>
      </c>
      <c r="BH44" s="152">
        <f ca="1">IFERROR(__xludf.DUMMYFUNCTION("IMPORTRANGE(""https://docs.google.com/spreadsheets/d/1bRrNKwbHDVktQG10isr5vbWRtt5spIZPpkOSWgbT5ug/edit?usp=sharing"",""ศรีสะเกษ!J449"")"),0)</f>
        <v>0</v>
      </c>
      <c r="BI44" s="152">
        <f ca="1">IFERROR(__xludf.DUMMYFUNCTION("IMPORTRANGE(""https://docs.google.com/spreadsheets/d/1bRrNKwbHDVktQG10isr5vbWRtt5spIZPpkOSWgbT5ug/edit?usp=sharing"",""ศรีสะเกษ!J450"")"),0)</f>
        <v>0</v>
      </c>
      <c r="BJ44" s="152">
        <f ca="1">IFERROR(__xludf.DUMMYFUNCTION("IMPORTRANGE(""https://docs.google.com/spreadsheets/d/1bRrNKwbHDVktQG10isr5vbWRtt5spIZPpkOSWgbT5ug/edit?usp=sharing"",""ศรีสะเกษ!J451"")"),0)</f>
        <v>0</v>
      </c>
      <c r="BK44" s="152">
        <f ca="1">IFERROR(__xludf.DUMMYFUNCTION("IMPORTRANGE(""https://docs.google.com/spreadsheets/d/1bRrNKwbHDVktQG10isr5vbWRtt5spIZPpkOSWgbT5ug/edit?usp=sharing"",""ศรีสะเกษ!J452"")"),0)</f>
        <v>0</v>
      </c>
      <c r="BL44" s="152">
        <f ca="1">IFERROR(__xludf.DUMMYFUNCTION("IMPORTRANGE(""https://docs.google.com/spreadsheets/d/1bRrNKwbHDVktQG10isr5vbWRtt5spIZPpkOSWgbT5ug/edit?usp=sharing"",""ศรีสะเกษ!J453"")"),0)</f>
        <v>0</v>
      </c>
      <c r="BM44" s="152">
        <f ca="1">IFERROR(__xludf.DUMMYFUNCTION("IMPORTRANGE(""https://docs.google.com/spreadsheets/d/1bRrNKwbHDVktQG10isr5vbWRtt5spIZPpkOSWgbT5ug/edit?usp=sharing"",""ศรีสะเกษ!J454"")"),0)</f>
        <v>0</v>
      </c>
      <c r="BN44" s="152">
        <f ca="1">IFERROR(__xludf.DUMMYFUNCTION("IMPORTRANGE(""https://docs.google.com/spreadsheets/d/1bRrNKwbHDVktQG10isr5vbWRtt5spIZPpkOSWgbT5ug/edit?usp=sharing"",""ศรีสะเกษ!J455"")"),0)</f>
        <v>0</v>
      </c>
      <c r="BO44" s="152">
        <f ca="1">IFERROR(__xludf.DUMMYFUNCTION("IMPORTRANGE(""https://docs.google.com/spreadsheets/d/1bRrNKwbHDVktQG10isr5vbWRtt5spIZPpkOSWgbT5ug/edit?usp=sharing"",""ศรีสะเกษ!I457"")"),250.04)</f>
        <v>250.04</v>
      </c>
      <c r="BP44" s="152">
        <f ca="1">IFERROR(__xludf.DUMMYFUNCTION("IMPORTRANGE(""https://docs.google.com/spreadsheets/d/1bRrNKwbHDVktQG10isr5vbWRtt5spIZPpkOSWgbT5ug/edit?usp=sharing"",""ศรีสะเกษ!I458"")"),82)</f>
        <v>82</v>
      </c>
      <c r="BQ44" s="152">
        <f ca="1">IFERROR(__xludf.DUMMYFUNCTION("IMPORTRANGE(""https://docs.google.com/spreadsheets/d/1bRrNKwbHDVktQG10isr5vbWRtt5spIZPpkOSWgbT5ug/edit?usp=sharing"",""ศรีสะเกษ!J457"")"),0)</f>
        <v>0</v>
      </c>
      <c r="BR44" s="216">
        <f t="shared" ca="1" si="65"/>
        <v>0</v>
      </c>
      <c r="BS44" s="152">
        <f ca="1">IFERROR(__xludf.DUMMYFUNCTION("IMPORTRANGE(""https://docs.google.com/spreadsheets/d/1bRrNKwbHDVktQG10isr5vbWRtt5spIZPpkOSWgbT5ug/edit?usp=sharing"",""ศรีสะเกษ!J458"")"),0)</f>
        <v>0</v>
      </c>
      <c r="BT44" s="216">
        <f t="shared" ca="1" si="66"/>
        <v>0</v>
      </c>
      <c r="BU44" s="152">
        <f ca="1">IFERROR(__xludf.DUMMYFUNCTION("IMPORTRANGE(""https://docs.google.com/spreadsheets/d/1bRrNKwbHDVktQG10isr5vbWRtt5spIZPpkOSWgbT5ug/edit?usp=sharing"",""ศรีสะเกษ!J459"")"),0)</f>
        <v>0</v>
      </c>
      <c r="BV44" s="152">
        <f ca="1">IFERROR(__xludf.DUMMYFUNCTION("IMPORTRANGE(""https://docs.google.com/spreadsheets/d/1bRrNKwbHDVktQG10isr5vbWRtt5spIZPpkOSWgbT5ug/edit?usp=sharing"",""ศรีสะเกษ!J460"")"),0)</f>
        <v>0</v>
      </c>
      <c r="BW44" s="152">
        <f ca="1">IFERROR(__xludf.DUMMYFUNCTION("IMPORTRANGE(""https://docs.google.com/spreadsheets/d/1bRrNKwbHDVktQG10isr5vbWRtt5spIZPpkOSWgbT5ug/edit?usp=sharing"",""ศรีสะเกษ!J461"")"),0)</f>
        <v>0</v>
      </c>
      <c r="BX44" s="152">
        <f ca="1">IFERROR(__xludf.DUMMYFUNCTION("IMPORTRANGE(""https://docs.google.com/spreadsheets/d/1bRrNKwbHDVktQG10isr5vbWRtt5spIZPpkOSWgbT5ug/edit?usp=sharing"",""ศรีสะเกษ!J462"")"),0)</f>
        <v>0</v>
      </c>
      <c r="BY44" s="152">
        <f ca="1">IFERROR(__xludf.DUMMYFUNCTION("IMPORTRANGE(""https://docs.google.com/spreadsheets/d/1bRrNKwbHDVktQG10isr5vbWRtt5spIZPpkOSWgbT5ug/edit?usp=sharing"",""ศรีสะเกษ!J463"")"),0)</f>
        <v>0</v>
      </c>
      <c r="BZ44" s="152">
        <f ca="1">IFERROR(__xludf.DUMMYFUNCTION("IMPORTRANGE(""https://docs.google.com/spreadsheets/d/1bRrNKwbHDVktQG10isr5vbWRtt5spIZPpkOSWgbT5ug/edit?usp=sharing"",""ศรีสะเกษ!J464"")"),0)</f>
        <v>0</v>
      </c>
      <c r="CA44" s="152">
        <f ca="1">IFERROR(__xludf.DUMMYFUNCTION("IMPORTRANGE(""https://docs.google.com/spreadsheets/d/1bRrNKwbHDVktQG10isr5vbWRtt5spIZPpkOSWgbT5ug/edit?usp=sharing"",""ศรีสะเกษ!J465"")"),0)</f>
        <v>0</v>
      </c>
      <c r="CB44" s="152">
        <f ca="1">IFERROR(__xludf.DUMMYFUNCTION("IMPORTRANGE(""https://docs.google.com/spreadsheets/d/1bRrNKwbHDVktQG10isr5vbWRtt5spIZPpkOSWgbT5ug/edit?usp=sharing"",""ศรีสะเกษ!J466"")"),0)</f>
        <v>0</v>
      </c>
      <c r="CC44" s="152">
        <f ca="1">IFERROR(__xludf.DUMMYFUNCTION("IMPORTRANGE(""https://docs.google.com/spreadsheets/d/1bRrNKwbHDVktQG10isr5vbWRtt5spIZPpkOSWgbT5ug/edit?usp=sharing"",""ศรีสะเกษ!J467"")"),0)</f>
        <v>0</v>
      </c>
      <c r="CD44" s="152">
        <f ca="1">IFERROR(__xludf.DUMMYFUNCTION("IMPORTRANGE(""https://docs.google.com/spreadsheets/d/1bRrNKwbHDVktQG10isr5vbWRtt5spIZPpkOSWgbT5ug/edit?usp=sharing"",""ศรีสะเกษ!J468"")"),0)</f>
        <v>0</v>
      </c>
      <c r="CE44" s="152">
        <f ca="1">IFERROR(__xludf.DUMMYFUNCTION("IMPORTRANGE(""https://docs.google.com/spreadsheets/d/1bRrNKwbHDVktQG10isr5vbWRtt5spIZPpkOSWgbT5ug/edit?usp=sharing"",""ศรีสะเกษ!J469"")"),0)</f>
        <v>0</v>
      </c>
      <c r="CF44" s="152">
        <f ca="1">IFERROR(__xludf.DUMMYFUNCTION("IMPORTRANGE(""https://docs.google.com/spreadsheets/d/1bRrNKwbHDVktQG10isr5vbWRtt5spIZPpkOSWgbT5ug/edit?usp=sharing"",""ศรีสะเกษ!J470"")"),0)</f>
        <v>0</v>
      </c>
      <c r="CG44" s="152">
        <f ca="1">IFERROR(__xludf.DUMMYFUNCTION("IMPORTRANGE(""https://docs.google.com/spreadsheets/d/1bRrNKwbHDVktQG10isr5vbWRtt5spIZPpkOSWgbT5ug/edit?usp=sharing"",""ศรีสะเกษ!J471"")"),0)</f>
        <v>0</v>
      </c>
      <c r="CH44" s="152">
        <f ca="1">IFERROR(__xludf.DUMMYFUNCTION("IMPORTRANGE(""https://docs.google.com/spreadsheets/d/1bRrNKwbHDVktQG10isr5vbWRtt5spIZPpkOSWgbT5ug/edit?usp=sharing"",""ศรีสะเกษ!J472"")"),0)</f>
        <v>0</v>
      </c>
      <c r="CI44" s="152">
        <f ca="1">IFERROR(__xludf.DUMMYFUNCTION("IMPORTRANGE(""https://docs.google.com/spreadsheets/d/1bRrNKwbHDVktQG10isr5vbWRtt5spIZPpkOSWgbT5ug/edit?usp=sharing"",""ศรีสะเกษ!J473"")"),0)</f>
        <v>0</v>
      </c>
      <c r="CJ44" s="152">
        <f ca="1">IFERROR(__xludf.DUMMYFUNCTION("IMPORTRANGE(""https://docs.google.com/spreadsheets/d/1bRrNKwbHDVktQG10isr5vbWRtt5spIZPpkOSWgbT5ug/edit?usp=sharing"",""ศรีสะเกษ!J474"")"),0)</f>
        <v>0</v>
      </c>
      <c r="CK44" s="278">
        <f ca="1">IFERROR(__xludf.DUMMYFUNCTION("IMPORTRANGE(""https://docs.google.com/spreadsheets/d/1bRrNKwbHDVktQG10isr5vbWRtt5spIZPpkOSWgbT5ug/edit?usp=sharing"",""ศรีสะเกษ!I476"")"),0)</f>
        <v>0</v>
      </c>
      <c r="CL44" s="278">
        <f ca="1">IFERROR(__xludf.DUMMYFUNCTION("IMPORTRANGE(""https://docs.google.com/spreadsheets/d/1bRrNKwbHDVktQG10isr5vbWRtt5spIZPpkOSWgbT5ug/edit?usp=sharing"",""ศรีสะเกษ!I477"")"),0)</f>
        <v>0</v>
      </c>
      <c r="CM44" s="278">
        <f ca="1">IFERROR(__xludf.DUMMYFUNCTION("IMPORTRANGE(""https://docs.google.com/spreadsheets/d/1bRrNKwbHDVktQG10isr5vbWRtt5spIZPpkOSWgbT5ug/edit?usp=sharing"",""ศรีสะเกษ!J476"")"),0)</f>
        <v>0</v>
      </c>
      <c r="CN44" s="216">
        <f t="shared" ca="1" si="68"/>
        <v>0</v>
      </c>
      <c r="CO44" s="278">
        <f ca="1">IFERROR(__xludf.DUMMYFUNCTION("IMPORTRANGE(""https://docs.google.com/spreadsheets/d/1bRrNKwbHDVktQG10isr5vbWRtt5spIZPpkOSWgbT5ug/edit?usp=sharing"",""ศรีสะเกษ!J477"")"),0)</f>
        <v>0</v>
      </c>
      <c r="CP44" s="216">
        <f t="shared" ca="1" si="69"/>
        <v>0</v>
      </c>
      <c r="CQ44" s="278">
        <f ca="1">IFERROR(__xludf.DUMMYFUNCTION("IMPORTRANGE(""https://docs.google.com/spreadsheets/d/1bRrNKwbHDVktQG10isr5vbWRtt5spIZPpkOSWgbT5ug/edit?usp=sharing"",""ศรีสะเกษ!J478"")"),0)</f>
        <v>0</v>
      </c>
      <c r="CR44" s="278">
        <f ca="1">IFERROR(__xludf.DUMMYFUNCTION("IMPORTRANGE(""https://docs.google.com/spreadsheets/d/1bRrNKwbHDVktQG10isr5vbWRtt5spIZPpkOSWgbT5ug/edit?usp=sharing"",""ศรีสะเกษ!J479"")"),0)</f>
        <v>0</v>
      </c>
      <c r="CS44" s="278">
        <f ca="1">IFERROR(__xludf.DUMMYFUNCTION("IMPORTRANGE(""https://docs.google.com/spreadsheets/d/1bRrNKwbHDVktQG10isr5vbWRtt5spIZPpkOSWgbT5ug/edit?usp=sharing"",""ศรีสะเกษ!J480"")"),0)</f>
        <v>0</v>
      </c>
      <c r="CT44" s="278">
        <f ca="1">IFERROR(__xludf.DUMMYFUNCTION("IMPORTRANGE(""https://docs.google.com/spreadsheets/d/1bRrNKwbHDVktQG10isr5vbWRtt5spIZPpkOSWgbT5ug/edit?usp=sharing"",""ศรีสะเกษ!J481"")"),0)</f>
        <v>0</v>
      </c>
      <c r="CU44" s="278">
        <f ca="1">IFERROR(__xludf.DUMMYFUNCTION("IMPORTRANGE(""https://docs.google.com/spreadsheets/d/1bRrNKwbHDVktQG10isr5vbWRtt5spIZPpkOSWgbT5ug/edit?usp=sharing"",""ศรีสะเกษ!I484"")"),138)</f>
        <v>138</v>
      </c>
      <c r="CV44" s="278">
        <f ca="1">IFERROR(__xludf.DUMMYFUNCTION("IMPORTRANGE(""https://docs.google.com/spreadsheets/d/1bRrNKwbHDVktQG10isr5vbWRtt5spIZPpkOSWgbT5ug/edit?usp=sharing"",""ศรีสะเกษ!I485"")"),15)</f>
        <v>15</v>
      </c>
      <c r="CW44" s="278">
        <f ca="1">IFERROR(__xludf.DUMMYFUNCTION("IMPORTRANGE(""https://docs.google.com/spreadsheets/d/1bRrNKwbHDVktQG10isr5vbWRtt5spIZPpkOSWgbT5ug/edit?usp=sharing"",""ศรีสะเกษ!J484"")"),0)</f>
        <v>0</v>
      </c>
      <c r="CX44" s="216">
        <f t="shared" ca="1" si="71"/>
        <v>0</v>
      </c>
      <c r="CY44" s="278">
        <f ca="1">IFERROR(__xludf.DUMMYFUNCTION("IMPORTRANGE(""https://docs.google.com/spreadsheets/d/1bRrNKwbHDVktQG10isr5vbWRtt5spIZPpkOSWgbT5ug/edit?usp=sharing"",""ศรีสะเกษ!J485"")"),0)</f>
        <v>0</v>
      </c>
      <c r="CZ44" s="216">
        <f t="shared" ca="1" si="72"/>
        <v>0</v>
      </c>
      <c r="DA44" s="278">
        <f ca="1">IFERROR(__xludf.DUMMYFUNCTION("IMPORTRANGE(""https://docs.google.com/spreadsheets/d/1bRrNKwbHDVktQG10isr5vbWRtt5spIZPpkOSWgbT5ug/edit?usp=sharing"",""ศรีสะเกษ!J486"")"),0)</f>
        <v>0</v>
      </c>
      <c r="DB44" s="278">
        <f ca="1">IFERROR(__xludf.DUMMYFUNCTION("IMPORTRANGE(""https://docs.google.com/spreadsheets/d/1bRrNKwbHDVktQG10isr5vbWRtt5spIZPpkOSWgbT5ug/edit?usp=sharing"",""ศรีสะเกษ!J487"")"),0)</f>
        <v>0</v>
      </c>
      <c r="DC44" s="278">
        <f ca="1">IFERROR(__xludf.DUMMYFUNCTION("IMPORTRANGE(""https://docs.google.com/spreadsheets/d/1bRrNKwbHDVktQG10isr5vbWRtt5spIZPpkOSWgbT5ug/edit?usp=sharing"",""ศรีสะเกษ!J488"")"),0)</f>
        <v>0</v>
      </c>
      <c r="DD44" s="278">
        <f ca="1">IFERROR(__xludf.DUMMYFUNCTION("IMPORTRANGE(""https://docs.google.com/spreadsheets/d/1bRrNKwbHDVktQG10isr5vbWRtt5spIZPpkOSWgbT5ug/edit?usp=sharing"",""ศรีสะเกษ!J489"")"),0)</f>
        <v>0</v>
      </c>
      <c r="DE44" s="278">
        <f ca="1">IFERROR(__xludf.DUMMYFUNCTION("IMPORTRANGE(""https://docs.google.com/spreadsheets/d/1bRrNKwbHDVktQG10isr5vbWRtt5spIZPpkOSWgbT5ug/edit?usp=sharing"",""ศรีสะเกษ!J490"")"),0)</f>
        <v>0</v>
      </c>
      <c r="DF44" s="278">
        <f ca="1">IFERROR(__xludf.DUMMYFUNCTION("IMPORTRANGE(""https://docs.google.com/spreadsheets/d/1bRrNKwbHDVktQG10isr5vbWRtt5spIZPpkOSWgbT5ug/edit?usp=sharing"",""ศรีสะเกษ!J491"")"),0)</f>
        <v>0</v>
      </c>
    </row>
    <row r="45" spans="1:110" ht="19.5" x14ac:dyDescent="0.3">
      <c r="A45" s="147">
        <v>14</v>
      </c>
      <c r="B45" s="148" t="s">
        <v>73</v>
      </c>
      <c r="C45" s="566">
        <f t="shared" ca="1" si="44"/>
        <v>643700</v>
      </c>
      <c r="D45" s="567">
        <f t="shared" ca="1" si="84"/>
        <v>643700</v>
      </c>
      <c r="E45" s="329">
        <f ca="1">IFERROR(__xludf.DUMMYFUNCTION("IMPORTRANGE(""https://docs.google.com/spreadsheets/d/1-uDff_7J0KD5mKrp0Vvzr7lt3OU09vwQwhkpOPPYv2Y/edit?usp=sharing"",""งบพรบ!IP45"")"),133200)</f>
        <v>133200</v>
      </c>
      <c r="F45" s="329">
        <f ca="1">IFERROR(__xludf.DUMMYFUNCTION("IMPORTRANGE(""https://docs.google.com/spreadsheets/d/1-uDff_7J0KD5mKrp0Vvzr7lt3OU09vwQwhkpOPPYv2Y/edit?usp=sharing"",""งบพรบ!IQ45"")"),510500)</f>
        <v>510500</v>
      </c>
      <c r="G45" s="329">
        <f ca="1">IFERROR(__xludf.DUMMYFUNCTION("IMPORTRANGE(""https://docs.google.com/spreadsheets/d/1-uDff_7J0KD5mKrp0Vvzr7lt3OU09vwQwhkpOPPYv2Y/edit?usp=sharing"",""งบพรบ!IR45"")"),0)</f>
        <v>0</v>
      </c>
      <c r="H45" s="329">
        <f ca="1">IFERROR(__xludf.DUMMYFUNCTION("IMPORTRANGE(""https://docs.google.com/spreadsheets/d/1-uDff_7J0KD5mKrp0Vvzr7lt3OU09vwQwhkpOPPYv2Y/edit?usp=sharing"",""งบพรบ!IT45"")"),643700)</f>
        <v>643700</v>
      </c>
      <c r="I45" s="329">
        <f ca="1">IFERROR(__xludf.DUMMYFUNCTION("IMPORTRANGE(""https://docs.google.com/spreadsheets/d/1-uDff_7J0KD5mKrp0Vvzr7lt3OU09vwQwhkpOPPYv2Y/edit?usp=sharing"",""งบพรบ!IU45"")"),0)</f>
        <v>0</v>
      </c>
      <c r="J45" s="329">
        <f t="shared" ca="1" si="46"/>
        <v>326894.64</v>
      </c>
      <c r="K45" s="568">
        <f t="shared" ca="1" si="47"/>
        <v>50.783694267515926</v>
      </c>
      <c r="L45" s="329">
        <f ca="1">IFERROR(__xludf.DUMMYFUNCTION("IMPORTRANGE(""https://docs.google.com/spreadsheets/d/1-uDff_7J0KD5mKrp0Vvzr7lt3OU09vwQwhkpOPPYv2Y/edit?usp=sharing"",""งบพรบ!IV45"")"),326894.64)</f>
        <v>326894.64</v>
      </c>
      <c r="M45" s="330">
        <f t="shared" ca="1" si="48"/>
        <v>50.783694267515926</v>
      </c>
      <c r="N45" s="330">
        <f t="shared" ca="1" si="49"/>
        <v>50.783694267515926</v>
      </c>
      <c r="O45" s="569">
        <f ca="1">IFERROR(__xludf.DUMMYFUNCTION("IMPORTRANGE(""https://docs.google.com/spreadsheets/d/1-uDff_7J0KD5mKrp0Vvzr7lt3OU09vwQwhkpOPPYv2Y/edit?usp=sharing"",""งบพรบ!IW45"")"),0)</f>
        <v>0</v>
      </c>
      <c r="P45" s="569">
        <f t="shared" ca="1" si="50"/>
        <v>0</v>
      </c>
      <c r="Q45" s="330">
        <f t="shared" ca="1" si="51"/>
        <v>0</v>
      </c>
      <c r="R45" s="564">
        <f ca="1">IFERROR(__xludf.DUMMYFUNCTION("IMPORTRANGE(""https://docs.google.com/spreadsheets/d/17P34_Ow5kFBfdQD0qspb2UuPX5zpi6WMrQzslghyvrI/edit?usp=sharing"",""สกลนคร!Q413"")"),118060)</f>
        <v>118060</v>
      </c>
      <c r="S45" s="564">
        <f ca="1">IFERROR(__xludf.DUMMYFUNCTION("IMPORTRANGE(""https://docs.google.com/spreadsheets/d/17P34_Ow5kFBfdQD0qspb2UuPX5zpi6WMrQzslghyvrI/edit?usp=sharing"",""สกลนคร!R413"")"),118060)</f>
        <v>118060</v>
      </c>
      <c r="T45" s="564">
        <f ca="1">IFERROR(__xludf.DUMMYFUNCTION("IMPORTRANGE(""https://docs.google.com/spreadsheets/d/17P34_Ow5kFBfdQD0qspb2UuPX5zpi6WMrQzslghyvrI/edit?usp=sharing"",""สกลนคร!S413"")"),20660)</f>
        <v>20660</v>
      </c>
      <c r="U45" s="565">
        <f t="shared" ca="1" si="53"/>
        <v>17.499576486532273</v>
      </c>
      <c r="V45" s="565">
        <f t="shared" ca="1" si="54"/>
        <v>17.499576486532273</v>
      </c>
      <c r="W45" s="152">
        <f ca="1">IFERROR(__xludf.DUMMYFUNCTION("IMPORTRANGE(""https://docs.google.com/spreadsheets/d/17P34_Ow5kFBfdQD0qspb2UuPX5zpi6WMrQzslghyvrI/edit?usp=sharing"",""สกลนคร!I424"")"),152341)</f>
        <v>152341</v>
      </c>
      <c r="X45" s="152">
        <f ca="1">IFERROR(__xludf.DUMMYFUNCTION("IMPORTRANGE(""https://docs.google.com/spreadsheets/d/17P34_Ow5kFBfdQD0qspb2UuPX5zpi6WMrQzslghyvrI/edit?usp=sharing"",""สกลนคร!I425"")"),20186)</f>
        <v>20186</v>
      </c>
      <c r="Y45" s="152">
        <f ca="1">IFERROR(__xludf.DUMMYFUNCTION("IMPORTRANGE(""https://docs.google.com/spreadsheets/d/17P34_Ow5kFBfdQD0qspb2UuPX5zpi6WMrQzslghyvrI/edit?usp=sharing"",""สกลนคร!J424"")"),152340.61)</f>
        <v>152340.60999999999</v>
      </c>
      <c r="Z45" s="216">
        <f t="shared" ca="1" si="56"/>
        <v>99.999743995378779</v>
      </c>
      <c r="AA45" s="152">
        <f ca="1">IFERROR(__xludf.DUMMYFUNCTION("IMPORTRANGE(""https://docs.google.com/spreadsheets/d/17P34_Ow5kFBfdQD0qspb2UuPX5zpi6WMrQzslghyvrI/edit?usp=sharing"",""สกลนคร!J425"")"),20186)</f>
        <v>20186</v>
      </c>
      <c r="AB45" s="216">
        <f t="shared" ca="1" si="57"/>
        <v>100</v>
      </c>
      <c r="AC45" s="152">
        <f ca="1">IFERROR(__xludf.DUMMYFUNCTION("IMPORTRANGE(""https://docs.google.com/spreadsheets/d/17P34_Ow5kFBfdQD0qspb2UuPX5zpi6WMrQzslghyvrI/edit?usp=sharing"",""สกลนคร!J426"")"),110403)</f>
        <v>110403</v>
      </c>
      <c r="AD45" s="152">
        <f ca="1">IFERROR(__xludf.DUMMYFUNCTION("IMPORTRANGE(""https://docs.google.com/spreadsheets/d/17P34_Ow5kFBfdQD0qspb2UuPX5zpi6WMrQzslghyvrI/edit?usp=sharing"",""สกลนคร!J427"")"),15666)</f>
        <v>15666</v>
      </c>
      <c r="AE45" s="152">
        <f ca="1">IFERROR(__xludf.DUMMYFUNCTION("IMPORTRANGE(""https://docs.google.com/spreadsheets/d/17P34_Ow5kFBfdQD0qspb2UuPX5zpi6WMrQzslghyvrI/edit?usp=sharing"",""สกลนคร!J428"")"),35957)</f>
        <v>35957</v>
      </c>
      <c r="AF45" s="152">
        <f ca="1">IFERROR(__xludf.DUMMYFUNCTION("IMPORTRANGE(""https://docs.google.com/spreadsheets/d/17P34_Ow5kFBfdQD0qspb2UuPX5zpi6WMrQzslghyvrI/edit?usp=sharing"",""สกลนคร!J429"")"),3793)</f>
        <v>3793</v>
      </c>
      <c r="AG45" s="152">
        <f ca="1">IFERROR(__xludf.DUMMYFUNCTION("IMPORTRANGE(""https://docs.google.com/spreadsheets/d/17P34_Ow5kFBfdQD0qspb2UuPX5zpi6WMrQzslghyvrI/edit?usp=sharing"",""สกลนคร!J430"")"),5980.61)</f>
        <v>5980.61</v>
      </c>
      <c r="AH45" s="152">
        <f ca="1">IFERROR(__xludf.DUMMYFUNCTION("IMPORTRANGE(""https://docs.google.com/spreadsheets/d/17P34_Ow5kFBfdQD0qspb2UuPX5zpi6WMrQzslghyvrI/edit?usp=sharing"",""สกลนคร!J431"")"),727)</f>
        <v>727</v>
      </c>
      <c r="AI45" s="152">
        <f ca="1">IFERROR(__xludf.DUMMYFUNCTION("IMPORTRANGE(""https://docs.google.com/spreadsheets/d/17P34_Ow5kFBfdQD0qspb2UuPX5zpi6WMrQzslghyvrI/edit?usp=sharing"",""สกลนคร!I432"")"),152341)</f>
        <v>152341</v>
      </c>
      <c r="AJ45" s="152">
        <f ca="1">IFERROR(__xludf.DUMMYFUNCTION("IMPORTRANGE(""https://docs.google.com/spreadsheets/d/17P34_Ow5kFBfdQD0qspb2UuPX5zpi6WMrQzslghyvrI/edit?usp=sharing"",""สกลนคร!I433"")"),20186)</f>
        <v>20186</v>
      </c>
      <c r="AK45" s="216">
        <f ca="1">IFERROR(__xludf.DUMMYFUNCTION("IMPORTRANGE(""https://docs.google.com/spreadsheets/d/17P34_Ow5kFBfdQD0qspb2UuPX5zpi6WMrQzslghyvrI/edit?usp=sharing"",""สกลนคร!J432"")"),0)</f>
        <v>0</v>
      </c>
      <c r="AL45" s="216">
        <f t="shared" ca="1" si="59"/>
        <v>0</v>
      </c>
      <c r="AM45" s="152">
        <f ca="1">IFERROR(__xludf.DUMMYFUNCTION("IMPORTRANGE(""https://docs.google.com/spreadsheets/d/17P34_Ow5kFBfdQD0qspb2UuPX5zpi6WMrQzslghyvrI/edit?usp=sharing"",""สกลนคร!J433"")"),0)</f>
        <v>0</v>
      </c>
      <c r="AN45" s="216">
        <f t="shared" ca="1" si="60"/>
        <v>0</v>
      </c>
      <c r="AO45" s="152">
        <f ca="1">IFERROR(__xludf.DUMMYFUNCTION("IMPORTRANGE(""https://docs.google.com/spreadsheets/d/17P34_Ow5kFBfdQD0qspb2UuPX5zpi6WMrQzslghyvrI/edit?usp=sharing"",""สกลนคร!J434"")"),0)</f>
        <v>0</v>
      </c>
      <c r="AP45" s="152">
        <f ca="1">IFERROR(__xludf.DUMMYFUNCTION("IMPORTRANGE(""https://docs.google.com/spreadsheets/d/17P34_Ow5kFBfdQD0qspb2UuPX5zpi6WMrQzslghyvrI/edit?usp=sharing"",""สกลนคร!J435"")"),0)</f>
        <v>0</v>
      </c>
      <c r="AQ45" s="152">
        <f ca="1">IFERROR(__xludf.DUMMYFUNCTION("IMPORTRANGE(""https://docs.google.com/spreadsheets/d/17P34_Ow5kFBfdQD0qspb2UuPX5zpi6WMrQzslghyvrI/edit?usp=sharing"",""สกลนคร!J436"")"),0)</f>
        <v>0</v>
      </c>
      <c r="AR45" s="152">
        <f ca="1">IFERROR(__xludf.DUMMYFUNCTION("IMPORTRANGE(""https://docs.google.com/spreadsheets/d/17P34_Ow5kFBfdQD0qspb2UuPX5zpi6WMrQzslghyvrI/edit?usp=sharing"",""สกลนคร!J437"")"),0)</f>
        <v>0</v>
      </c>
      <c r="AS45" s="152">
        <f ca="1">IFERROR(__xludf.DUMMYFUNCTION("IMPORTRANGE(""https://docs.google.com/spreadsheets/d/17P34_Ow5kFBfdQD0qspb2UuPX5zpi6WMrQzslghyvrI/edit?usp=sharing"",""สกลนคร!J438"")"),0)</f>
        <v>0</v>
      </c>
      <c r="AT45" s="152">
        <f ca="1">IFERROR(__xludf.DUMMYFUNCTION("IMPORTRANGE(""https://docs.google.com/spreadsheets/d/17P34_Ow5kFBfdQD0qspb2UuPX5zpi6WMrQzslghyvrI/edit?usp=sharing"",""สกลนคร!J439"")"),0)</f>
        <v>0</v>
      </c>
      <c r="AU45" s="152">
        <f ca="1">IFERROR(__xludf.DUMMYFUNCTION("IMPORTRANGE(""https://docs.google.com/spreadsheets/d/17P34_Ow5kFBfdQD0qspb2UuPX5zpi6WMrQzslghyvrI/edit?usp=sharing"",""สกลนคร!I440"")"),152341)</f>
        <v>152341</v>
      </c>
      <c r="AV45" s="152">
        <f ca="1">IFERROR(__xludf.DUMMYFUNCTION("IMPORTRANGE(""https://docs.google.com/spreadsheets/d/17P34_Ow5kFBfdQD0qspb2UuPX5zpi6WMrQzslghyvrI/edit?usp=sharing"",""สกลนคร!I441"")"),20186)</f>
        <v>20186</v>
      </c>
      <c r="AW45" s="152">
        <f ca="1">IFERROR(__xludf.DUMMYFUNCTION("IMPORTRANGE(""https://docs.google.com/spreadsheets/d/17P34_Ow5kFBfdQD0qspb2UuPX5zpi6WMrQzslghyvrI/edit?usp=sharing"",""สกลนคร!J440"")"),0)</f>
        <v>0</v>
      </c>
      <c r="AX45" s="216">
        <f t="shared" ca="1" si="62"/>
        <v>0</v>
      </c>
      <c r="AY45" s="152">
        <f ca="1">IFERROR(__xludf.DUMMYFUNCTION("IMPORTRANGE(""https://docs.google.com/spreadsheets/d/17P34_Ow5kFBfdQD0qspb2UuPX5zpi6WMrQzslghyvrI/edit?usp=sharing"",""สกลนคร!J441"")"),0)</f>
        <v>0</v>
      </c>
      <c r="AZ45" s="216">
        <f t="shared" ca="1" si="63"/>
        <v>0</v>
      </c>
      <c r="BA45" s="152">
        <f ca="1">IFERROR(__xludf.DUMMYFUNCTION("IMPORTRANGE(""https://docs.google.com/spreadsheets/d/17P34_Ow5kFBfdQD0qspb2UuPX5zpi6WMrQzslghyvrI/edit?usp=sharing"",""สกลนคร!J442"")"),0)</f>
        <v>0</v>
      </c>
      <c r="BB45" s="152">
        <f ca="1">IFERROR(__xludf.DUMMYFUNCTION("IMPORTRANGE(""https://docs.google.com/spreadsheets/d/17P34_Ow5kFBfdQD0qspb2UuPX5zpi6WMrQzslghyvrI/edit?usp=sharing"",""สกลนคร!J443"")"),0)</f>
        <v>0</v>
      </c>
      <c r="BC45" s="152">
        <f ca="1">IFERROR(__xludf.DUMMYFUNCTION("IMPORTRANGE(""https://docs.google.com/spreadsheets/d/17P34_Ow5kFBfdQD0qspb2UuPX5zpi6WMrQzslghyvrI/edit?usp=sharing"",""สกลนคร!J444"")"),0)</f>
        <v>0</v>
      </c>
      <c r="BD45" s="152">
        <f ca="1">IFERROR(__xludf.DUMMYFUNCTION("IMPORTRANGE(""https://docs.google.com/spreadsheets/d/17P34_Ow5kFBfdQD0qspb2UuPX5zpi6WMrQzslghyvrI/edit?usp=sharing"",""สกลนคร!J445"")"),0)</f>
        <v>0</v>
      </c>
      <c r="BE45" s="152">
        <f ca="1">IFERROR(__xludf.DUMMYFUNCTION("IMPORTRANGE(""https://docs.google.com/spreadsheets/d/17P34_Ow5kFBfdQD0qspb2UuPX5zpi6WMrQzslghyvrI/edit?usp=sharing"",""สกลนคร!J446"")"),0)</f>
        <v>0</v>
      </c>
      <c r="BF45" s="152">
        <f ca="1">IFERROR(__xludf.DUMMYFUNCTION("IMPORTRANGE(""https://docs.google.com/spreadsheets/d/17P34_Ow5kFBfdQD0qspb2UuPX5zpi6WMrQzslghyvrI/edit?usp=sharing"",""สกลนคร!J447"")"),0)</f>
        <v>0</v>
      </c>
      <c r="BG45" s="152">
        <f ca="1">IFERROR(__xludf.DUMMYFUNCTION("IMPORTRANGE(""https://docs.google.com/spreadsheets/d/17P34_Ow5kFBfdQD0qspb2UuPX5zpi6WMrQzslghyvrI/edit?usp=sharing"",""สกลนคร!J448"")"),0)</f>
        <v>0</v>
      </c>
      <c r="BH45" s="152">
        <f ca="1">IFERROR(__xludf.DUMMYFUNCTION("IMPORTRANGE(""https://docs.google.com/spreadsheets/d/17P34_Ow5kFBfdQD0qspb2UuPX5zpi6WMrQzslghyvrI/edit?usp=sharing"",""สกลนคร!J449"")"),0)</f>
        <v>0</v>
      </c>
      <c r="BI45" s="152">
        <f ca="1">IFERROR(__xludf.DUMMYFUNCTION("IMPORTRANGE(""https://docs.google.com/spreadsheets/d/17P34_Ow5kFBfdQD0qspb2UuPX5zpi6WMrQzslghyvrI/edit?usp=sharing"",""สกลนคร!J450"")"),0)</f>
        <v>0</v>
      </c>
      <c r="BJ45" s="152">
        <f ca="1">IFERROR(__xludf.DUMMYFUNCTION("IMPORTRANGE(""https://docs.google.com/spreadsheets/d/17P34_Ow5kFBfdQD0qspb2UuPX5zpi6WMrQzslghyvrI/edit?usp=sharing"",""สกลนคร!J451"")"),0)</f>
        <v>0</v>
      </c>
      <c r="BK45" s="152">
        <f ca="1">IFERROR(__xludf.DUMMYFUNCTION("IMPORTRANGE(""https://docs.google.com/spreadsheets/d/17P34_Ow5kFBfdQD0qspb2UuPX5zpi6WMrQzslghyvrI/edit?usp=sharing"",""สกลนคร!J452"")"),0)</f>
        <v>0</v>
      </c>
      <c r="BL45" s="152">
        <f ca="1">IFERROR(__xludf.DUMMYFUNCTION("IMPORTRANGE(""https://docs.google.com/spreadsheets/d/17P34_Ow5kFBfdQD0qspb2UuPX5zpi6WMrQzslghyvrI/edit?usp=sharing"",""สกลนคร!J453"")"),0)</f>
        <v>0</v>
      </c>
      <c r="BM45" s="152">
        <f ca="1">IFERROR(__xludf.DUMMYFUNCTION("IMPORTRANGE(""https://docs.google.com/spreadsheets/d/17P34_Ow5kFBfdQD0qspb2UuPX5zpi6WMrQzslghyvrI/edit?usp=sharing"",""สกลนคร!J454"")"),0)</f>
        <v>0</v>
      </c>
      <c r="BN45" s="152">
        <f ca="1">IFERROR(__xludf.DUMMYFUNCTION("IMPORTRANGE(""https://docs.google.com/spreadsheets/d/17P34_Ow5kFBfdQD0qspb2UuPX5zpi6WMrQzslghyvrI/edit?usp=sharing"",""สกลนคร!J455"")"),0)</f>
        <v>0</v>
      </c>
      <c r="BO45" s="152">
        <f ca="1">IFERROR(__xludf.DUMMYFUNCTION("IMPORTRANGE(""https://docs.google.com/spreadsheets/d/17P34_Ow5kFBfdQD0qspb2UuPX5zpi6WMrQzslghyvrI/edit?usp=sharing"",""สกลนคร!I457"")"),3282.39)</f>
        <v>3282.39</v>
      </c>
      <c r="BP45" s="152">
        <f ca="1">IFERROR(__xludf.DUMMYFUNCTION("IMPORTRANGE(""https://docs.google.com/spreadsheets/d/17P34_Ow5kFBfdQD0qspb2UuPX5zpi6WMrQzslghyvrI/edit?usp=sharing"",""สกลนคร!I458"")"),299)</f>
        <v>299</v>
      </c>
      <c r="BQ45" s="152">
        <f ca="1">IFERROR(__xludf.DUMMYFUNCTION("IMPORTRANGE(""https://docs.google.com/spreadsheets/d/17P34_Ow5kFBfdQD0qspb2UuPX5zpi6WMrQzslghyvrI/edit?usp=sharing"",""สกลนคร!J457"")"),0)</f>
        <v>0</v>
      </c>
      <c r="BR45" s="216">
        <f t="shared" ca="1" si="65"/>
        <v>0</v>
      </c>
      <c r="BS45" s="152">
        <f ca="1">IFERROR(__xludf.DUMMYFUNCTION("IMPORTRANGE(""https://docs.google.com/spreadsheets/d/17P34_Ow5kFBfdQD0qspb2UuPX5zpi6WMrQzslghyvrI/edit?usp=sharing"",""สกลนคร!J458"")"),0)</f>
        <v>0</v>
      </c>
      <c r="BT45" s="216">
        <f t="shared" ca="1" si="66"/>
        <v>0</v>
      </c>
      <c r="BU45" s="152">
        <f ca="1">IFERROR(__xludf.DUMMYFUNCTION("IMPORTRANGE(""https://docs.google.com/spreadsheets/d/17P34_Ow5kFBfdQD0qspb2UuPX5zpi6WMrQzslghyvrI/edit?usp=sharing"",""สกลนคร!J459"")"),0)</f>
        <v>0</v>
      </c>
      <c r="BV45" s="152">
        <f ca="1">IFERROR(__xludf.DUMMYFUNCTION("IMPORTRANGE(""https://docs.google.com/spreadsheets/d/17P34_Ow5kFBfdQD0qspb2UuPX5zpi6WMrQzslghyvrI/edit?usp=sharing"",""สกลนคร!J460"")"),0)</f>
        <v>0</v>
      </c>
      <c r="BW45" s="152">
        <f ca="1">IFERROR(__xludf.DUMMYFUNCTION("IMPORTRANGE(""https://docs.google.com/spreadsheets/d/17P34_Ow5kFBfdQD0qspb2UuPX5zpi6WMrQzslghyvrI/edit?usp=sharing"",""สกลนคร!J461"")"),0)</f>
        <v>0</v>
      </c>
      <c r="BX45" s="152">
        <f ca="1">IFERROR(__xludf.DUMMYFUNCTION("IMPORTRANGE(""https://docs.google.com/spreadsheets/d/17P34_Ow5kFBfdQD0qspb2UuPX5zpi6WMrQzslghyvrI/edit?usp=sharing"",""สกลนคร!J462"")"),0)</f>
        <v>0</v>
      </c>
      <c r="BY45" s="152">
        <f ca="1">IFERROR(__xludf.DUMMYFUNCTION("IMPORTRANGE(""https://docs.google.com/spreadsheets/d/17P34_Ow5kFBfdQD0qspb2UuPX5zpi6WMrQzslghyvrI/edit?usp=sharing"",""สกลนคร!J463"")"),0)</f>
        <v>0</v>
      </c>
      <c r="BZ45" s="152">
        <f ca="1">IFERROR(__xludf.DUMMYFUNCTION("IMPORTRANGE(""https://docs.google.com/spreadsheets/d/17P34_Ow5kFBfdQD0qspb2UuPX5zpi6WMrQzslghyvrI/edit?usp=sharing"",""สกลนคร!J464"")"),0)</f>
        <v>0</v>
      </c>
      <c r="CA45" s="152">
        <f ca="1">IFERROR(__xludf.DUMMYFUNCTION("IMPORTRANGE(""https://docs.google.com/spreadsheets/d/17P34_Ow5kFBfdQD0qspb2UuPX5zpi6WMrQzslghyvrI/edit?usp=sharing"",""สกลนคร!J465"")"),0)</f>
        <v>0</v>
      </c>
      <c r="CB45" s="152">
        <f ca="1">IFERROR(__xludf.DUMMYFUNCTION("IMPORTRANGE(""https://docs.google.com/spreadsheets/d/17P34_Ow5kFBfdQD0qspb2UuPX5zpi6WMrQzslghyvrI/edit?usp=sharing"",""สกลนคร!J466"")"),0)</f>
        <v>0</v>
      </c>
      <c r="CC45" s="152">
        <f ca="1">IFERROR(__xludf.DUMMYFUNCTION("IMPORTRANGE(""https://docs.google.com/spreadsheets/d/17P34_Ow5kFBfdQD0qspb2UuPX5zpi6WMrQzslghyvrI/edit?usp=sharing"",""สกลนคร!J467"")"),0)</f>
        <v>0</v>
      </c>
      <c r="CD45" s="152">
        <f ca="1">IFERROR(__xludf.DUMMYFUNCTION("IMPORTRANGE(""https://docs.google.com/spreadsheets/d/17P34_Ow5kFBfdQD0qspb2UuPX5zpi6WMrQzslghyvrI/edit?usp=sharing"",""สกลนคร!J468"")"),0)</f>
        <v>0</v>
      </c>
      <c r="CE45" s="152">
        <f ca="1">IFERROR(__xludf.DUMMYFUNCTION("IMPORTRANGE(""https://docs.google.com/spreadsheets/d/17P34_Ow5kFBfdQD0qspb2UuPX5zpi6WMrQzslghyvrI/edit?usp=sharing"",""สกลนคร!J469"")"),0)</f>
        <v>0</v>
      </c>
      <c r="CF45" s="152">
        <f ca="1">IFERROR(__xludf.DUMMYFUNCTION("IMPORTRANGE(""https://docs.google.com/spreadsheets/d/17P34_Ow5kFBfdQD0qspb2UuPX5zpi6WMrQzslghyvrI/edit?usp=sharing"",""สกลนคร!J470"")"),0)</f>
        <v>0</v>
      </c>
      <c r="CG45" s="152">
        <f ca="1">IFERROR(__xludf.DUMMYFUNCTION("IMPORTRANGE(""https://docs.google.com/spreadsheets/d/17P34_Ow5kFBfdQD0qspb2UuPX5zpi6WMrQzslghyvrI/edit?usp=sharing"",""สกลนคร!J471"")"),0)</f>
        <v>0</v>
      </c>
      <c r="CH45" s="152">
        <f ca="1">IFERROR(__xludf.DUMMYFUNCTION("IMPORTRANGE(""https://docs.google.com/spreadsheets/d/17P34_Ow5kFBfdQD0qspb2UuPX5zpi6WMrQzslghyvrI/edit?usp=sharing"",""สกลนคร!J472"")"),0)</f>
        <v>0</v>
      </c>
      <c r="CI45" s="152">
        <f ca="1">IFERROR(__xludf.DUMMYFUNCTION("IMPORTRANGE(""https://docs.google.com/spreadsheets/d/17P34_Ow5kFBfdQD0qspb2UuPX5zpi6WMrQzslghyvrI/edit?usp=sharing"",""สกลนคร!J473"")"),0)</f>
        <v>0</v>
      </c>
      <c r="CJ45" s="152">
        <f ca="1">IFERROR(__xludf.DUMMYFUNCTION("IMPORTRANGE(""https://docs.google.com/spreadsheets/d/17P34_Ow5kFBfdQD0qspb2UuPX5zpi6WMrQzslghyvrI/edit?usp=sharing"",""สกลนคร!J474"")"),0)</f>
        <v>0</v>
      </c>
      <c r="CK45" s="278">
        <f ca="1">IFERROR(__xludf.DUMMYFUNCTION("IMPORTRANGE(""https://docs.google.com/spreadsheets/d/17P34_Ow5kFBfdQD0qspb2UuPX5zpi6WMrQzslghyvrI/edit?usp=sharing"",""สกลนคร!I476"")"),0)</f>
        <v>0</v>
      </c>
      <c r="CL45" s="278">
        <f ca="1">IFERROR(__xludf.DUMMYFUNCTION("IMPORTRANGE(""https://docs.google.com/spreadsheets/d/17P34_Ow5kFBfdQD0qspb2UuPX5zpi6WMrQzslghyvrI/edit?usp=sharing"",""สกลนคร!I477"")"),0)</f>
        <v>0</v>
      </c>
      <c r="CM45" s="278">
        <f ca="1">IFERROR(__xludf.DUMMYFUNCTION("IMPORTRANGE(""https://docs.google.com/spreadsheets/d/17P34_Ow5kFBfdQD0qspb2UuPX5zpi6WMrQzslghyvrI/edit?usp=sharing"",""สกลนคร!J476"")"),0)</f>
        <v>0</v>
      </c>
      <c r="CN45" s="216">
        <f t="shared" ca="1" si="68"/>
        <v>0</v>
      </c>
      <c r="CO45" s="278">
        <f ca="1">IFERROR(__xludf.DUMMYFUNCTION("IMPORTRANGE(""https://docs.google.com/spreadsheets/d/17P34_Ow5kFBfdQD0qspb2UuPX5zpi6WMrQzslghyvrI/edit?usp=sharing"",""สกลนคร!J477"")"),0)</f>
        <v>0</v>
      </c>
      <c r="CP45" s="216">
        <f t="shared" ca="1" si="69"/>
        <v>0</v>
      </c>
      <c r="CQ45" s="278">
        <f ca="1">IFERROR(__xludf.DUMMYFUNCTION("IMPORTRANGE(""https://docs.google.com/spreadsheets/d/17P34_Ow5kFBfdQD0qspb2UuPX5zpi6WMrQzslghyvrI/edit?usp=sharing"",""สกลนคร!J478"")"),0)</f>
        <v>0</v>
      </c>
      <c r="CR45" s="278">
        <f ca="1">IFERROR(__xludf.DUMMYFUNCTION("IMPORTRANGE(""https://docs.google.com/spreadsheets/d/17P34_Ow5kFBfdQD0qspb2UuPX5zpi6WMrQzslghyvrI/edit?usp=sharing"",""สกลนคร!J479"")"),0)</f>
        <v>0</v>
      </c>
      <c r="CS45" s="278">
        <f ca="1">IFERROR(__xludf.DUMMYFUNCTION("IMPORTRANGE(""https://docs.google.com/spreadsheets/d/17P34_Ow5kFBfdQD0qspb2UuPX5zpi6WMrQzslghyvrI/edit?usp=sharing"",""สกลนคร!J480"")"),0)</f>
        <v>0</v>
      </c>
      <c r="CT45" s="278">
        <f ca="1">IFERROR(__xludf.DUMMYFUNCTION("IMPORTRANGE(""https://docs.google.com/spreadsheets/d/17P34_Ow5kFBfdQD0qspb2UuPX5zpi6WMrQzslghyvrI/edit?usp=sharing"",""สกลนคร!J481"")"),0)</f>
        <v>0</v>
      </c>
      <c r="CU45" s="278">
        <f ca="1">IFERROR(__xludf.DUMMYFUNCTION("IMPORTRANGE(""https://docs.google.com/spreadsheets/d/17P34_Ow5kFBfdQD0qspb2UuPX5zpi6WMrQzslghyvrI/edit?usp=sharing"",""สกลนคร!I484"")"),705)</f>
        <v>705</v>
      </c>
      <c r="CV45" s="278">
        <f ca="1">IFERROR(__xludf.DUMMYFUNCTION("IMPORTRANGE(""https://docs.google.com/spreadsheets/d/17P34_Ow5kFBfdQD0qspb2UuPX5zpi6WMrQzslghyvrI/edit?usp=sharing"",""สกลนคร!I485"")"),59)</f>
        <v>59</v>
      </c>
      <c r="CW45" s="278">
        <f ca="1">IFERROR(__xludf.DUMMYFUNCTION("IMPORTRANGE(""https://docs.google.com/spreadsheets/d/17P34_Ow5kFBfdQD0qspb2UuPX5zpi6WMrQzslghyvrI/edit?usp=sharing"",""สกลนคร!J484"")"),0)</f>
        <v>0</v>
      </c>
      <c r="CX45" s="216">
        <f t="shared" ca="1" si="71"/>
        <v>0</v>
      </c>
      <c r="CY45" s="278">
        <f ca="1">IFERROR(__xludf.DUMMYFUNCTION("IMPORTRANGE(""https://docs.google.com/spreadsheets/d/17P34_Ow5kFBfdQD0qspb2UuPX5zpi6WMrQzslghyvrI/edit?usp=sharing"",""สกลนคร!J485"")"),0)</f>
        <v>0</v>
      </c>
      <c r="CZ45" s="216">
        <f t="shared" ca="1" si="72"/>
        <v>0</v>
      </c>
      <c r="DA45" s="278">
        <f ca="1">IFERROR(__xludf.DUMMYFUNCTION("IMPORTRANGE(""https://docs.google.com/spreadsheets/d/17P34_Ow5kFBfdQD0qspb2UuPX5zpi6WMrQzslghyvrI/edit?usp=sharing"",""สกลนคร!J486"")"),0)</f>
        <v>0</v>
      </c>
      <c r="DB45" s="278">
        <f ca="1">IFERROR(__xludf.DUMMYFUNCTION("IMPORTRANGE(""https://docs.google.com/spreadsheets/d/17P34_Ow5kFBfdQD0qspb2UuPX5zpi6WMrQzslghyvrI/edit?usp=sharing"",""สกลนคร!J487"")"),0)</f>
        <v>0</v>
      </c>
      <c r="DC45" s="278">
        <f ca="1">IFERROR(__xludf.DUMMYFUNCTION("IMPORTRANGE(""https://docs.google.com/spreadsheets/d/17P34_Ow5kFBfdQD0qspb2UuPX5zpi6WMrQzslghyvrI/edit?usp=sharing"",""สกลนคร!J488"")"),0)</f>
        <v>0</v>
      </c>
      <c r="DD45" s="278">
        <f ca="1">IFERROR(__xludf.DUMMYFUNCTION("IMPORTRANGE(""https://docs.google.com/spreadsheets/d/17P34_Ow5kFBfdQD0qspb2UuPX5zpi6WMrQzslghyvrI/edit?usp=sharing"",""สกลนคร!J489"")"),0)</f>
        <v>0</v>
      </c>
      <c r="DE45" s="278">
        <f ca="1">IFERROR(__xludf.DUMMYFUNCTION("IMPORTRANGE(""https://docs.google.com/spreadsheets/d/17P34_Ow5kFBfdQD0qspb2UuPX5zpi6WMrQzslghyvrI/edit?usp=sharing"",""สกลนคร!J490"")"),0)</f>
        <v>0</v>
      </c>
      <c r="DF45" s="278">
        <f ca="1">IFERROR(__xludf.DUMMYFUNCTION("IMPORTRANGE(""https://docs.google.com/spreadsheets/d/17P34_Ow5kFBfdQD0qspb2UuPX5zpi6WMrQzslghyvrI/edit?usp=sharing"",""สกลนคร!J491"")"),0)</f>
        <v>0</v>
      </c>
    </row>
    <row r="46" spans="1:110" ht="19.5" x14ac:dyDescent="0.3">
      <c r="A46" s="147">
        <v>15</v>
      </c>
      <c r="B46" s="148" t="s">
        <v>74</v>
      </c>
      <c r="C46" s="566">
        <f t="shared" ca="1" si="44"/>
        <v>578080</v>
      </c>
      <c r="D46" s="567">
        <f t="shared" ca="1" si="84"/>
        <v>578080</v>
      </c>
      <c r="E46" s="329">
        <f ca="1">IFERROR(__xludf.DUMMYFUNCTION("IMPORTRANGE(""https://docs.google.com/spreadsheets/d/1-uDff_7J0KD5mKrp0Vvzr7lt3OU09vwQwhkpOPPYv2Y/edit?usp=sharing"",""งบพรบ!IP46"")"),104000)</f>
        <v>104000</v>
      </c>
      <c r="F46" s="329">
        <f ca="1">IFERROR(__xludf.DUMMYFUNCTION("IMPORTRANGE(""https://docs.google.com/spreadsheets/d/1-uDff_7J0KD5mKrp0Vvzr7lt3OU09vwQwhkpOPPYv2Y/edit?usp=sharing"",""งบพรบ!IQ46"")"),474080)</f>
        <v>474080</v>
      </c>
      <c r="G46" s="329">
        <f ca="1">IFERROR(__xludf.DUMMYFUNCTION("IMPORTRANGE(""https://docs.google.com/spreadsheets/d/1-uDff_7J0KD5mKrp0Vvzr7lt3OU09vwQwhkpOPPYv2Y/edit?usp=sharing"",""งบพรบ!IR46"")"),0)</f>
        <v>0</v>
      </c>
      <c r="H46" s="329">
        <f ca="1">IFERROR(__xludf.DUMMYFUNCTION("IMPORTRANGE(""https://docs.google.com/spreadsheets/d/1-uDff_7J0KD5mKrp0Vvzr7lt3OU09vwQwhkpOPPYv2Y/edit?usp=sharing"",""งบพรบ!IT46"")"),578080)</f>
        <v>578080</v>
      </c>
      <c r="I46" s="329">
        <f ca="1">IFERROR(__xludf.DUMMYFUNCTION("IMPORTRANGE(""https://docs.google.com/spreadsheets/d/1-uDff_7J0KD5mKrp0Vvzr7lt3OU09vwQwhkpOPPYv2Y/edit?usp=sharing"",""งบพรบ!IU46"")"),0)</f>
        <v>0</v>
      </c>
      <c r="J46" s="329">
        <f t="shared" ca="1" si="46"/>
        <v>261823.73</v>
      </c>
      <c r="K46" s="568">
        <f t="shared" ca="1" si="47"/>
        <v>45.291954400774976</v>
      </c>
      <c r="L46" s="329">
        <f ca="1">IFERROR(__xludf.DUMMYFUNCTION("IMPORTRANGE(""https://docs.google.com/spreadsheets/d/1-uDff_7J0KD5mKrp0Vvzr7lt3OU09vwQwhkpOPPYv2Y/edit?usp=sharing"",""งบพรบ!IV46"")"),261823.73)</f>
        <v>261823.73</v>
      </c>
      <c r="M46" s="330">
        <f t="shared" ca="1" si="48"/>
        <v>45.291954400774976</v>
      </c>
      <c r="N46" s="330">
        <f t="shared" ca="1" si="49"/>
        <v>45.291954400774976</v>
      </c>
      <c r="O46" s="569">
        <f ca="1">IFERROR(__xludf.DUMMYFUNCTION("IMPORTRANGE(""https://docs.google.com/spreadsheets/d/1-uDff_7J0KD5mKrp0Vvzr7lt3OU09vwQwhkpOPPYv2Y/edit?usp=sharing"",""งบพรบ!IW46"")"),0)</f>
        <v>0</v>
      </c>
      <c r="P46" s="569">
        <f t="shared" ca="1" si="50"/>
        <v>0</v>
      </c>
      <c r="Q46" s="330">
        <f t="shared" ca="1" si="51"/>
        <v>0</v>
      </c>
      <c r="R46" s="564">
        <f ca="1">IFERROR(__xludf.DUMMYFUNCTION("IMPORTRANGE(""https://docs.google.com/spreadsheets/d/1yswqbM3-AEpThF3ZSUa1AcmHnmRTF1vlJ1CZGcJ8YuU/edit?usp=sharing"",""สุรินทร์!Q413"")"),119530)</f>
        <v>119530</v>
      </c>
      <c r="S46" s="564">
        <f ca="1">IFERROR(__xludf.DUMMYFUNCTION("IMPORTRANGE(""https://docs.google.com/spreadsheets/d/1yswqbM3-AEpThF3ZSUa1AcmHnmRTF1vlJ1CZGcJ8YuU/edit?usp=sharing"",""สุรินทร์!R413"")"),119530)</f>
        <v>119530</v>
      </c>
      <c r="T46" s="564">
        <f ca="1">IFERROR(__xludf.DUMMYFUNCTION("IMPORTRANGE(""https://docs.google.com/spreadsheets/d/1yswqbM3-AEpThF3ZSUa1AcmHnmRTF1vlJ1CZGcJ8YuU/edit?usp=sharing"",""สุรินทร์!S413"")"),9859)</f>
        <v>9859</v>
      </c>
      <c r="U46" s="565">
        <f t="shared" ca="1" si="53"/>
        <v>8.2481385426252825</v>
      </c>
      <c r="V46" s="565">
        <f t="shared" ca="1" si="54"/>
        <v>8.2481385426252825</v>
      </c>
      <c r="W46" s="152">
        <f ca="1">IFERROR(__xludf.DUMMYFUNCTION("IMPORTRANGE(""https://docs.google.com/spreadsheets/d/1yswqbM3-AEpThF3ZSUa1AcmHnmRTF1vlJ1CZGcJ8YuU/edit?usp=sharing"",""สุรินทร์!I424"")"),114876)</f>
        <v>114876</v>
      </c>
      <c r="X46" s="152">
        <f ca="1">IFERROR(__xludf.DUMMYFUNCTION("IMPORTRANGE(""https://docs.google.com/spreadsheets/d/1yswqbM3-AEpThF3ZSUa1AcmHnmRTF1vlJ1CZGcJ8YuU/edit?usp=sharing"",""สุรินทร์!I425"")"),19235)</f>
        <v>19235</v>
      </c>
      <c r="Y46" s="152">
        <f ca="1">IFERROR(__xludf.DUMMYFUNCTION("IMPORTRANGE(""https://docs.google.com/spreadsheets/d/1yswqbM3-AEpThF3ZSUa1AcmHnmRTF1vlJ1CZGcJ8YuU/edit?usp=sharing"",""สุรินทร์!J424"")"),43342)</f>
        <v>43342</v>
      </c>
      <c r="Z46" s="216">
        <f t="shared" ca="1" si="56"/>
        <v>37.729377763849719</v>
      </c>
      <c r="AA46" s="152">
        <f ca="1">IFERROR(__xludf.DUMMYFUNCTION("IMPORTRANGE(""https://docs.google.com/spreadsheets/d/1yswqbM3-AEpThF3ZSUa1AcmHnmRTF1vlJ1CZGcJ8YuU/edit?usp=sharing"",""สุรินทร์!J425"")"),8497)</f>
        <v>8497</v>
      </c>
      <c r="AB46" s="216">
        <f t="shared" ca="1" si="57"/>
        <v>44.174681570054588</v>
      </c>
      <c r="AC46" s="152">
        <f ca="1">IFERROR(__xludf.DUMMYFUNCTION("IMPORTRANGE(""https://docs.google.com/spreadsheets/d/1yswqbM3-AEpThF3ZSUa1AcmHnmRTF1vlJ1CZGcJ8YuU/edit?usp=sharing"",""สุรินทร์!J426"")"),31094)</f>
        <v>31094</v>
      </c>
      <c r="AD46" s="152">
        <f ca="1">IFERROR(__xludf.DUMMYFUNCTION("IMPORTRANGE(""https://docs.google.com/spreadsheets/d/1yswqbM3-AEpThF3ZSUa1AcmHnmRTF1vlJ1CZGcJ8YuU/edit?usp=sharing"",""สุรินทร์!J427"")"),6890)</f>
        <v>6890</v>
      </c>
      <c r="AE46" s="152">
        <f ca="1">IFERROR(__xludf.DUMMYFUNCTION("IMPORTRANGE(""https://docs.google.com/spreadsheets/d/1yswqbM3-AEpThF3ZSUa1AcmHnmRTF1vlJ1CZGcJ8YuU/edit?usp=sharing"",""สุรินทร์!J428"")"),8946)</f>
        <v>8946</v>
      </c>
      <c r="AF46" s="152">
        <f ca="1">IFERROR(__xludf.DUMMYFUNCTION("IMPORTRANGE(""https://docs.google.com/spreadsheets/d/1yswqbM3-AEpThF3ZSUa1AcmHnmRTF1vlJ1CZGcJ8YuU/edit?usp=sharing"",""สุรินทร์!J429"")"),1125)</f>
        <v>1125</v>
      </c>
      <c r="AG46" s="152">
        <f ca="1">IFERROR(__xludf.DUMMYFUNCTION("IMPORTRANGE(""https://docs.google.com/spreadsheets/d/1yswqbM3-AEpThF3ZSUa1AcmHnmRTF1vlJ1CZGcJ8YuU/edit?usp=sharing"",""สุรินทร์!J430"")"),3302)</f>
        <v>3302</v>
      </c>
      <c r="AH46" s="152">
        <f ca="1">IFERROR(__xludf.DUMMYFUNCTION("IMPORTRANGE(""https://docs.google.com/spreadsheets/d/1yswqbM3-AEpThF3ZSUa1AcmHnmRTF1vlJ1CZGcJ8YuU/edit?usp=sharing"",""สุรินทร์!J431"")"),482)</f>
        <v>482</v>
      </c>
      <c r="AI46" s="152">
        <f ca="1">IFERROR(__xludf.DUMMYFUNCTION("IMPORTRANGE(""https://docs.google.com/spreadsheets/d/1yswqbM3-AEpThF3ZSUa1AcmHnmRTF1vlJ1CZGcJ8YuU/edit?usp=sharing"",""สุรินทร์!I432"")"),114876)</f>
        <v>114876</v>
      </c>
      <c r="AJ46" s="152">
        <f ca="1">IFERROR(__xludf.DUMMYFUNCTION("IMPORTRANGE(""https://docs.google.com/spreadsheets/d/1yswqbM3-AEpThF3ZSUa1AcmHnmRTF1vlJ1CZGcJ8YuU/edit?usp=sharing"",""สุรินทร์!I433"")"),19235)</f>
        <v>19235</v>
      </c>
      <c r="AK46" s="216">
        <f ca="1">IFERROR(__xludf.DUMMYFUNCTION("IMPORTRANGE(""https://docs.google.com/spreadsheets/d/1yswqbM3-AEpThF3ZSUa1AcmHnmRTF1vlJ1CZGcJ8YuU/edit?usp=sharing"",""สุรินทร์!J432"")"),0)</f>
        <v>0</v>
      </c>
      <c r="AL46" s="216">
        <f t="shared" ca="1" si="59"/>
        <v>0</v>
      </c>
      <c r="AM46" s="152">
        <f ca="1">IFERROR(__xludf.DUMMYFUNCTION("IMPORTRANGE(""https://docs.google.com/spreadsheets/d/1yswqbM3-AEpThF3ZSUa1AcmHnmRTF1vlJ1CZGcJ8YuU/edit?usp=sharing"",""สุรินทร์!J433"")"),0)</f>
        <v>0</v>
      </c>
      <c r="AN46" s="216">
        <f t="shared" ca="1" si="60"/>
        <v>0</v>
      </c>
      <c r="AO46" s="152">
        <f ca="1">IFERROR(__xludf.DUMMYFUNCTION("IMPORTRANGE(""https://docs.google.com/spreadsheets/d/1yswqbM3-AEpThF3ZSUa1AcmHnmRTF1vlJ1CZGcJ8YuU/edit?usp=sharing"",""สุรินทร์!J434"")"),0)</f>
        <v>0</v>
      </c>
      <c r="AP46" s="152">
        <f ca="1">IFERROR(__xludf.DUMMYFUNCTION("IMPORTRANGE(""https://docs.google.com/spreadsheets/d/1yswqbM3-AEpThF3ZSUa1AcmHnmRTF1vlJ1CZGcJ8YuU/edit?usp=sharing"",""สุรินทร์!J435"")"),0)</f>
        <v>0</v>
      </c>
      <c r="AQ46" s="152">
        <f ca="1">IFERROR(__xludf.DUMMYFUNCTION("IMPORTRANGE(""https://docs.google.com/spreadsheets/d/1yswqbM3-AEpThF3ZSUa1AcmHnmRTF1vlJ1CZGcJ8YuU/edit?usp=sharing"",""สุรินทร์!J436"")"),0)</f>
        <v>0</v>
      </c>
      <c r="AR46" s="152">
        <f ca="1">IFERROR(__xludf.DUMMYFUNCTION("IMPORTRANGE(""https://docs.google.com/spreadsheets/d/1yswqbM3-AEpThF3ZSUa1AcmHnmRTF1vlJ1CZGcJ8YuU/edit?usp=sharing"",""สุรินทร์!J437"")"),0)</f>
        <v>0</v>
      </c>
      <c r="AS46" s="152">
        <f ca="1">IFERROR(__xludf.DUMMYFUNCTION("IMPORTRANGE(""https://docs.google.com/spreadsheets/d/1yswqbM3-AEpThF3ZSUa1AcmHnmRTF1vlJ1CZGcJ8YuU/edit?usp=sharing"",""สุรินทร์!J438"")"),0)</f>
        <v>0</v>
      </c>
      <c r="AT46" s="152">
        <f ca="1">IFERROR(__xludf.DUMMYFUNCTION("IMPORTRANGE(""https://docs.google.com/spreadsheets/d/1yswqbM3-AEpThF3ZSUa1AcmHnmRTF1vlJ1CZGcJ8YuU/edit?usp=sharing"",""สุรินทร์!J439"")"),0)</f>
        <v>0</v>
      </c>
      <c r="AU46" s="152">
        <f ca="1">IFERROR(__xludf.DUMMYFUNCTION("IMPORTRANGE(""https://docs.google.com/spreadsheets/d/1yswqbM3-AEpThF3ZSUa1AcmHnmRTF1vlJ1CZGcJ8YuU/edit?usp=sharing"",""สุรินทร์!I440"")"),114876)</f>
        <v>114876</v>
      </c>
      <c r="AV46" s="152">
        <f ca="1">IFERROR(__xludf.DUMMYFUNCTION("IMPORTRANGE(""https://docs.google.com/spreadsheets/d/1yswqbM3-AEpThF3ZSUa1AcmHnmRTF1vlJ1CZGcJ8YuU/edit?usp=sharing"",""สุรินทร์!I441"")"),19235)</f>
        <v>19235</v>
      </c>
      <c r="AW46" s="152">
        <f ca="1">IFERROR(__xludf.DUMMYFUNCTION("IMPORTRANGE(""https://docs.google.com/spreadsheets/d/1yswqbM3-AEpThF3ZSUa1AcmHnmRTF1vlJ1CZGcJ8YuU/edit?usp=sharing"",""สุรินทร์!J440"")"),0)</f>
        <v>0</v>
      </c>
      <c r="AX46" s="216">
        <f t="shared" ca="1" si="62"/>
        <v>0</v>
      </c>
      <c r="AY46" s="152">
        <f ca="1">IFERROR(__xludf.DUMMYFUNCTION("IMPORTRANGE(""https://docs.google.com/spreadsheets/d/1yswqbM3-AEpThF3ZSUa1AcmHnmRTF1vlJ1CZGcJ8YuU/edit?usp=sharing"",""สุรินทร์!J441"")"),0)</f>
        <v>0</v>
      </c>
      <c r="AZ46" s="216">
        <f t="shared" ca="1" si="63"/>
        <v>0</v>
      </c>
      <c r="BA46" s="152">
        <f ca="1">IFERROR(__xludf.DUMMYFUNCTION("IMPORTRANGE(""https://docs.google.com/spreadsheets/d/1yswqbM3-AEpThF3ZSUa1AcmHnmRTF1vlJ1CZGcJ8YuU/edit?usp=sharing"",""สุรินทร์!J442"")"),0)</f>
        <v>0</v>
      </c>
      <c r="BB46" s="152">
        <f ca="1">IFERROR(__xludf.DUMMYFUNCTION("IMPORTRANGE(""https://docs.google.com/spreadsheets/d/1yswqbM3-AEpThF3ZSUa1AcmHnmRTF1vlJ1CZGcJ8YuU/edit?usp=sharing"",""สุรินทร์!J443"")"),0)</f>
        <v>0</v>
      </c>
      <c r="BC46" s="152">
        <f ca="1">IFERROR(__xludf.DUMMYFUNCTION("IMPORTRANGE(""https://docs.google.com/spreadsheets/d/1yswqbM3-AEpThF3ZSUa1AcmHnmRTF1vlJ1CZGcJ8YuU/edit?usp=sharing"",""สุรินทร์!J444"")"),0)</f>
        <v>0</v>
      </c>
      <c r="BD46" s="152">
        <f ca="1">IFERROR(__xludf.DUMMYFUNCTION("IMPORTRANGE(""https://docs.google.com/spreadsheets/d/1yswqbM3-AEpThF3ZSUa1AcmHnmRTF1vlJ1CZGcJ8YuU/edit?usp=sharing"",""สุรินทร์!J445"")"),0)</f>
        <v>0</v>
      </c>
      <c r="BE46" s="152">
        <f ca="1">IFERROR(__xludf.DUMMYFUNCTION("IMPORTRANGE(""https://docs.google.com/spreadsheets/d/1yswqbM3-AEpThF3ZSUa1AcmHnmRTF1vlJ1CZGcJ8YuU/edit?usp=sharing"",""สุรินทร์!J446"")"),0)</f>
        <v>0</v>
      </c>
      <c r="BF46" s="152">
        <f ca="1">IFERROR(__xludf.DUMMYFUNCTION("IMPORTRANGE(""https://docs.google.com/spreadsheets/d/1yswqbM3-AEpThF3ZSUa1AcmHnmRTF1vlJ1CZGcJ8YuU/edit?usp=sharing"",""สุรินทร์!J447"")"),0)</f>
        <v>0</v>
      </c>
      <c r="BG46" s="152">
        <f ca="1">IFERROR(__xludf.DUMMYFUNCTION("IMPORTRANGE(""https://docs.google.com/spreadsheets/d/1yswqbM3-AEpThF3ZSUa1AcmHnmRTF1vlJ1CZGcJ8YuU/edit?usp=sharing"",""สุรินทร์!J448"")"),0)</f>
        <v>0</v>
      </c>
      <c r="BH46" s="152">
        <f ca="1">IFERROR(__xludf.DUMMYFUNCTION("IMPORTRANGE(""https://docs.google.com/spreadsheets/d/1yswqbM3-AEpThF3ZSUa1AcmHnmRTF1vlJ1CZGcJ8YuU/edit?usp=sharing"",""สุรินทร์!J449"")"),0)</f>
        <v>0</v>
      </c>
      <c r="BI46" s="152">
        <f ca="1">IFERROR(__xludf.DUMMYFUNCTION("IMPORTRANGE(""https://docs.google.com/spreadsheets/d/1yswqbM3-AEpThF3ZSUa1AcmHnmRTF1vlJ1CZGcJ8YuU/edit?usp=sharing"",""สุรินทร์!J450"")"),0)</f>
        <v>0</v>
      </c>
      <c r="BJ46" s="152">
        <f ca="1">IFERROR(__xludf.DUMMYFUNCTION("IMPORTRANGE(""https://docs.google.com/spreadsheets/d/1yswqbM3-AEpThF3ZSUa1AcmHnmRTF1vlJ1CZGcJ8YuU/edit?usp=sharing"",""สุรินทร์!J451"")"),0)</f>
        <v>0</v>
      </c>
      <c r="BK46" s="152">
        <f ca="1">IFERROR(__xludf.DUMMYFUNCTION("IMPORTRANGE(""https://docs.google.com/spreadsheets/d/1yswqbM3-AEpThF3ZSUa1AcmHnmRTF1vlJ1CZGcJ8YuU/edit?usp=sharing"",""สุรินทร์!J452"")"),0)</f>
        <v>0</v>
      </c>
      <c r="BL46" s="152">
        <f ca="1">IFERROR(__xludf.DUMMYFUNCTION("IMPORTRANGE(""https://docs.google.com/spreadsheets/d/1yswqbM3-AEpThF3ZSUa1AcmHnmRTF1vlJ1CZGcJ8YuU/edit?usp=sharing"",""สุรินทร์!J453"")"),0)</f>
        <v>0</v>
      </c>
      <c r="BM46" s="152">
        <f ca="1">IFERROR(__xludf.DUMMYFUNCTION("IMPORTRANGE(""https://docs.google.com/spreadsheets/d/1yswqbM3-AEpThF3ZSUa1AcmHnmRTF1vlJ1CZGcJ8YuU/edit?usp=sharing"",""สุรินทร์!J454"")"),0)</f>
        <v>0</v>
      </c>
      <c r="BN46" s="152">
        <f ca="1">IFERROR(__xludf.DUMMYFUNCTION("IMPORTRANGE(""https://docs.google.com/spreadsheets/d/1yswqbM3-AEpThF3ZSUa1AcmHnmRTF1vlJ1CZGcJ8YuU/edit?usp=sharing"",""สุรินทร์!J455"")"),0)</f>
        <v>0</v>
      </c>
      <c r="BO46" s="152">
        <f ca="1">IFERROR(__xludf.DUMMYFUNCTION("IMPORTRANGE(""https://docs.google.com/spreadsheets/d/1yswqbM3-AEpThF3ZSUa1AcmHnmRTF1vlJ1CZGcJ8YuU/edit?usp=sharing"",""สุรินทร์!I457"")"),3204.86)</f>
        <v>3204.86</v>
      </c>
      <c r="BP46" s="152">
        <f ca="1">IFERROR(__xludf.DUMMYFUNCTION("IMPORTRANGE(""https://docs.google.com/spreadsheets/d/1yswqbM3-AEpThF3ZSUa1AcmHnmRTF1vlJ1CZGcJ8YuU/edit?usp=sharing"",""สุรินทร์!I458"")"),330)</f>
        <v>330</v>
      </c>
      <c r="BQ46" s="152">
        <f ca="1">IFERROR(__xludf.DUMMYFUNCTION("IMPORTRANGE(""https://docs.google.com/spreadsheets/d/1yswqbM3-AEpThF3ZSUa1AcmHnmRTF1vlJ1CZGcJ8YuU/edit?usp=sharing"",""สุรินทร์!J457"")"),1470)</f>
        <v>1470</v>
      </c>
      <c r="BR46" s="216">
        <f t="shared" ca="1" si="65"/>
        <v>45.867838220702303</v>
      </c>
      <c r="BS46" s="152">
        <f ca="1">IFERROR(__xludf.DUMMYFUNCTION("IMPORTRANGE(""https://docs.google.com/spreadsheets/d/1yswqbM3-AEpThF3ZSUa1AcmHnmRTF1vlJ1CZGcJ8YuU/edit?usp=sharing"",""สุรินทร์!J458"")"),172)</f>
        <v>172</v>
      </c>
      <c r="BT46" s="216">
        <f t="shared" ca="1" si="66"/>
        <v>52.121212121212125</v>
      </c>
      <c r="BU46" s="152">
        <f ca="1">IFERROR(__xludf.DUMMYFUNCTION("IMPORTRANGE(""https://docs.google.com/spreadsheets/d/1yswqbM3-AEpThF3ZSUa1AcmHnmRTF1vlJ1CZGcJ8YuU/edit?usp=sharing"",""สุรินทร์!J459"")"),1215)</f>
        <v>1215</v>
      </c>
      <c r="BV46" s="152">
        <f ca="1">IFERROR(__xludf.DUMMYFUNCTION("IMPORTRANGE(""https://docs.google.com/spreadsheets/d/1yswqbM3-AEpThF3ZSUa1AcmHnmRTF1vlJ1CZGcJ8YuU/edit?usp=sharing"",""สุรินทร์!J460"")"),142)</f>
        <v>142</v>
      </c>
      <c r="BW46" s="152">
        <f ca="1">IFERROR(__xludf.DUMMYFUNCTION("IMPORTRANGE(""https://docs.google.com/spreadsheets/d/1yswqbM3-AEpThF3ZSUa1AcmHnmRTF1vlJ1CZGcJ8YuU/edit?usp=sharing"",""สุรินทร์!J461"")"),1059)</f>
        <v>1059</v>
      </c>
      <c r="BX46" s="152">
        <f ca="1">IFERROR(__xludf.DUMMYFUNCTION("IMPORTRANGE(""https://docs.google.com/spreadsheets/d/1yswqbM3-AEpThF3ZSUa1AcmHnmRTF1vlJ1CZGcJ8YuU/edit?usp=sharing"",""สุรินทร์!J462"")"),118)</f>
        <v>118</v>
      </c>
      <c r="BY46" s="152">
        <f ca="1">IFERROR(__xludf.DUMMYFUNCTION("IMPORTRANGE(""https://docs.google.com/spreadsheets/d/1yswqbM3-AEpThF3ZSUa1AcmHnmRTF1vlJ1CZGcJ8YuU/edit?usp=sharing"",""สุรินทร์!J463"")"),156)</f>
        <v>156</v>
      </c>
      <c r="BZ46" s="152">
        <f ca="1">IFERROR(__xludf.DUMMYFUNCTION("IMPORTRANGE(""https://docs.google.com/spreadsheets/d/1yswqbM3-AEpThF3ZSUa1AcmHnmRTF1vlJ1CZGcJ8YuU/edit?usp=sharing"",""สุรินทร์!J464"")"),24)</f>
        <v>24</v>
      </c>
      <c r="CA46" s="152">
        <f ca="1">IFERROR(__xludf.DUMMYFUNCTION("IMPORTRANGE(""https://docs.google.com/spreadsheets/d/1yswqbM3-AEpThF3ZSUa1AcmHnmRTF1vlJ1CZGcJ8YuU/edit?usp=sharing"",""สุรินทร์!J465"")"),0)</f>
        <v>0</v>
      </c>
      <c r="CB46" s="152">
        <f ca="1">IFERROR(__xludf.DUMMYFUNCTION("IMPORTRANGE(""https://docs.google.com/spreadsheets/d/1yswqbM3-AEpThF3ZSUa1AcmHnmRTF1vlJ1CZGcJ8YuU/edit?usp=sharing"",""สุรินทร์!J466"")"),0)</f>
        <v>0</v>
      </c>
      <c r="CC46" s="152">
        <f ca="1">IFERROR(__xludf.DUMMYFUNCTION("IMPORTRANGE(""https://docs.google.com/spreadsheets/d/1yswqbM3-AEpThF3ZSUa1AcmHnmRTF1vlJ1CZGcJ8YuU/edit?usp=sharing"",""สุรินทร์!J467"")"),238)</f>
        <v>238</v>
      </c>
      <c r="CD46" s="152">
        <f ca="1">IFERROR(__xludf.DUMMYFUNCTION("IMPORTRANGE(""https://docs.google.com/spreadsheets/d/1yswqbM3-AEpThF3ZSUa1AcmHnmRTF1vlJ1CZGcJ8YuU/edit?usp=sharing"",""สุรินทร์!J468"")"),26)</f>
        <v>26</v>
      </c>
      <c r="CE46" s="152">
        <f ca="1">IFERROR(__xludf.DUMMYFUNCTION("IMPORTRANGE(""https://docs.google.com/spreadsheets/d/1yswqbM3-AEpThF3ZSUa1AcmHnmRTF1vlJ1CZGcJ8YuU/edit?usp=sharing"",""สุรินทร์!J469"")"),179)</f>
        <v>179</v>
      </c>
      <c r="CF46" s="152">
        <f ca="1">IFERROR(__xludf.DUMMYFUNCTION("IMPORTRANGE(""https://docs.google.com/spreadsheets/d/1yswqbM3-AEpThF3ZSUa1AcmHnmRTF1vlJ1CZGcJ8YuU/edit?usp=sharing"",""สุรินทร์!J470"")"),20)</f>
        <v>20</v>
      </c>
      <c r="CG46" s="152">
        <f ca="1">IFERROR(__xludf.DUMMYFUNCTION("IMPORTRANGE(""https://docs.google.com/spreadsheets/d/1yswqbM3-AEpThF3ZSUa1AcmHnmRTF1vlJ1CZGcJ8YuU/edit?usp=sharing"",""สุรินทร์!J471"")"),59)</f>
        <v>59</v>
      </c>
      <c r="CH46" s="152">
        <f ca="1">IFERROR(__xludf.DUMMYFUNCTION("IMPORTRANGE(""https://docs.google.com/spreadsheets/d/1yswqbM3-AEpThF3ZSUa1AcmHnmRTF1vlJ1CZGcJ8YuU/edit?usp=sharing"",""สุรินทร์!J472"")"),6)</f>
        <v>6</v>
      </c>
      <c r="CI46" s="152">
        <f ca="1">IFERROR(__xludf.DUMMYFUNCTION("IMPORTRANGE(""https://docs.google.com/spreadsheets/d/1yswqbM3-AEpThF3ZSUa1AcmHnmRTF1vlJ1CZGcJ8YuU/edit?usp=sharing"",""สุรินทร์!J473"")"),17)</f>
        <v>17</v>
      </c>
      <c r="CJ46" s="152">
        <f ca="1">IFERROR(__xludf.DUMMYFUNCTION("IMPORTRANGE(""https://docs.google.com/spreadsheets/d/1yswqbM3-AEpThF3ZSUa1AcmHnmRTF1vlJ1CZGcJ8YuU/edit?usp=sharing"",""สุรินทร์!J474"")"),4)</f>
        <v>4</v>
      </c>
      <c r="CK46" s="278">
        <f ca="1">IFERROR(__xludf.DUMMYFUNCTION("IMPORTRANGE(""https://docs.google.com/spreadsheets/d/1yswqbM3-AEpThF3ZSUa1AcmHnmRTF1vlJ1CZGcJ8YuU/edit?usp=sharing"",""สุรินทร์!I476"")"),0)</f>
        <v>0</v>
      </c>
      <c r="CL46" s="278">
        <f ca="1">IFERROR(__xludf.DUMMYFUNCTION("IMPORTRANGE(""https://docs.google.com/spreadsheets/d/1yswqbM3-AEpThF3ZSUa1AcmHnmRTF1vlJ1CZGcJ8YuU/edit?usp=sharing"",""สุรินทร์!I477"")"),0)</f>
        <v>0</v>
      </c>
      <c r="CM46" s="278">
        <f ca="1">IFERROR(__xludf.DUMMYFUNCTION("IMPORTRANGE(""https://docs.google.com/spreadsheets/d/1yswqbM3-AEpThF3ZSUa1AcmHnmRTF1vlJ1CZGcJ8YuU/edit?usp=sharing"",""สุรินทร์!J476"")"),0)</f>
        <v>0</v>
      </c>
      <c r="CN46" s="216">
        <f t="shared" ca="1" si="68"/>
        <v>0</v>
      </c>
      <c r="CO46" s="278">
        <f ca="1">IFERROR(__xludf.DUMMYFUNCTION("IMPORTRANGE(""https://docs.google.com/spreadsheets/d/1yswqbM3-AEpThF3ZSUa1AcmHnmRTF1vlJ1CZGcJ8YuU/edit?usp=sharing"",""สุรินทร์!J477"")"),0)</f>
        <v>0</v>
      </c>
      <c r="CP46" s="216">
        <f t="shared" ca="1" si="69"/>
        <v>0</v>
      </c>
      <c r="CQ46" s="278">
        <f ca="1">IFERROR(__xludf.DUMMYFUNCTION("IMPORTRANGE(""https://docs.google.com/spreadsheets/d/1yswqbM3-AEpThF3ZSUa1AcmHnmRTF1vlJ1CZGcJ8YuU/edit?usp=sharing"",""สุรินทร์!J478"")"),0)</f>
        <v>0</v>
      </c>
      <c r="CR46" s="278">
        <f ca="1">IFERROR(__xludf.DUMMYFUNCTION("IMPORTRANGE(""https://docs.google.com/spreadsheets/d/1yswqbM3-AEpThF3ZSUa1AcmHnmRTF1vlJ1CZGcJ8YuU/edit?usp=sharing"",""สุรินทร์!J479"")"),0)</f>
        <v>0</v>
      </c>
      <c r="CS46" s="278">
        <f ca="1">IFERROR(__xludf.DUMMYFUNCTION("IMPORTRANGE(""https://docs.google.com/spreadsheets/d/1yswqbM3-AEpThF3ZSUa1AcmHnmRTF1vlJ1CZGcJ8YuU/edit?usp=sharing"",""สุรินทร์!J480"")"),0)</f>
        <v>0</v>
      </c>
      <c r="CT46" s="278">
        <f ca="1">IFERROR(__xludf.DUMMYFUNCTION("IMPORTRANGE(""https://docs.google.com/spreadsheets/d/1yswqbM3-AEpThF3ZSUa1AcmHnmRTF1vlJ1CZGcJ8YuU/edit?usp=sharing"",""สุรินทร์!J481"")"),0)</f>
        <v>0</v>
      </c>
      <c r="CU46" s="278">
        <f ca="1">IFERROR(__xludf.DUMMYFUNCTION("IMPORTRANGE(""https://docs.google.com/spreadsheets/d/1yswqbM3-AEpThF3ZSUa1AcmHnmRTF1vlJ1CZGcJ8YuU/edit?usp=sharing"",""สุรินทร์!I484"")"),134)</f>
        <v>134</v>
      </c>
      <c r="CV46" s="278">
        <f ca="1">IFERROR(__xludf.DUMMYFUNCTION("IMPORTRANGE(""https://docs.google.com/spreadsheets/d/1yswqbM3-AEpThF3ZSUa1AcmHnmRTF1vlJ1CZGcJ8YuU/edit?usp=sharing"",""สุรินทร์!I485"")"),27)</f>
        <v>27</v>
      </c>
      <c r="CW46" s="278">
        <f ca="1">IFERROR(__xludf.DUMMYFUNCTION("IMPORTRANGE(""https://docs.google.com/spreadsheets/d/1yswqbM3-AEpThF3ZSUa1AcmHnmRTF1vlJ1CZGcJ8YuU/edit?usp=sharing"",""สุรินทร์!J484"")"),134)</f>
        <v>134</v>
      </c>
      <c r="CX46" s="216">
        <f t="shared" ca="1" si="71"/>
        <v>100</v>
      </c>
      <c r="CY46" s="278">
        <f ca="1">IFERROR(__xludf.DUMMYFUNCTION("IMPORTRANGE(""https://docs.google.com/spreadsheets/d/1yswqbM3-AEpThF3ZSUa1AcmHnmRTF1vlJ1CZGcJ8YuU/edit?usp=sharing"",""สุรินทร์!J485"")"),27)</f>
        <v>27</v>
      </c>
      <c r="CZ46" s="216">
        <f t="shared" ca="1" si="72"/>
        <v>100</v>
      </c>
      <c r="DA46" s="278">
        <f ca="1">IFERROR(__xludf.DUMMYFUNCTION("IMPORTRANGE(""https://docs.google.com/spreadsheets/d/1yswqbM3-AEpThF3ZSUa1AcmHnmRTF1vlJ1CZGcJ8YuU/edit?usp=sharing"",""สุรินทร์!J486"")"),8)</f>
        <v>8</v>
      </c>
      <c r="DB46" s="278">
        <f ca="1">IFERROR(__xludf.DUMMYFUNCTION("IMPORTRANGE(""https://docs.google.com/spreadsheets/d/1yswqbM3-AEpThF3ZSUa1AcmHnmRTF1vlJ1CZGcJ8YuU/edit?usp=sharing"",""สุรินทร์!J487"")"),2)</f>
        <v>2</v>
      </c>
      <c r="DC46" s="278">
        <f ca="1">IFERROR(__xludf.DUMMYFUNCTION("IMPORTRANGE(""https://docs.google.com/spreadsheets/d/1yswqbM3-AEpThF3ZSUa1AcmHnmRTF1vlJ1CZGcJ8YuU/edit?usp=sharing"",""สุรินทร์!J488"")"),126)</f>
        <v>126</v>
      </c>
      <c r="DD46" s="278">
        <f ca="1">IFERROR(__xludf.DUMMYFUNCTION("IMPORTRANGE(""https://docs.google.com/spreadsheets/d/1yswqbM3-AEpThF3ZSUa1AcmHnmRTF1vlJ1CZGcJ8YuU/edit?usp=sharing"",""สุรินทร์!J489"")"),25)</f>
        <v>25</v>
      </c>
      <c r="DE46" s="278">
        <f ca="1">IFERROR(__xludf.DUMMYFUNCTION("IMPORTRANGE(""https://docs.google.com/spreadsheets/d/1yswqbM3-AEpThF3ZSUa1AcmHnmRTF1vlJ1CZGcJ8YuU/edit?usp=sharing"",""สุรินทร์!J490"")"),0)</f>
        <v>0</v>
      </c>
      <c r="DF46" s="278">
        <f ca="1">IFERROR(__xludf.DUMMYFUNCTION("IMPORTRANGE(""https://docs.google.com/spreadsheets/d/1yswqbM3-AEpThF3ZSUa1AcmHnmRTF1vlJ1CZGcJ8YuU/edit?usp=sharing"",""สุรินทร์!J491"")"),0)</f>
        <v>0</v>
      </c>
    </row>
    <row r="47" spans="1:110" ht="19.5" x14ac:dyDescent="0.3">
      <c r="A47" s="147">
        <v>16</v>
      </c>
      <c r="B47" s="148" t="s">
        <v>75</v>
      </c>
      <c r="C47" s="566">
        <f t="shared" ca="1" si="44"/>
        <v>151440</v>
      </c>
      <c r="D47" s="567">
        <f t="shared" ca="1" si="84"/>
        <v>151440</v>
      </c>
      <c r="E47" s="329">
        <f ca="1">IFERROR(__xludf.DUMMYFUNCTION("IMPORTRANGE(""https://docs.google.com/spreadsheets/d/1-uDff_7J0KD5mKrp0Vvzr7lt3OU09vwQwhkpOPPYv2Y/edit?usp=sharing"",""งบพรบ!IP47"")"),0)</f>
        <v>0</v>
      </c>
      <c r="F47" s="329">
        <f ca="1">IFERROR(__xludf.DUMMYFUNCTION("IMPORTRANGE(""https://docs.google.com/spreadsheets/d/1-uDff_7J0KD5mKrp0Vvzr7lt3OU09vwQwhkpOPPYv2Y/edit?usp=sharing"",""งบพรบ!IQ47"")"),151440)</f>
        <v>151440</v>
      </c>
      <c r="G47" s="329">
        <f ca="1">IFERROR(__xludf.DUMMYFUNCTION("IMPORTRANGE(""https://docs.google.com/spreadsheets/d/1-uDff_7J0KD5mKrp0Vvzr7lt3OU09vwQwhkpOPPYv2Y/edit?usp=sharing"",""งบพรบ!IR47"")"),0)</f>
        <v>0</v>
      </c>
      <c r="H47" s="329">
        <f ca="1">IFERROR(__xludf.DUMMYFUNCTION("IMPORTRANGE(""https://docs.google.com/spreadsheets/d/1-uDff_7J0KD5mKrp0Vvzr7lt3OU09vwQwhkpOPPYv2Y/edit?usp=sharing"",""งบพรบ!IT47"")"),151440)</f>
        <v>151440</v>
      </c>
      <c r="I47" s="329">
        <f ca="1">IFERROR(__xludf.DUMMYFUNCTION("IMPORTRANGE(""https://docs.google.com/spreadsheets/d/1-uDff_7J0KD5mKrp0Vvzr7lt3OU09vwQwhkpOPPYv2Y/edit?usp=sharing"",""งบพรบ!IU47"")"),0)</f>
        <v>0</v>
      </c>
      <c r="J47" s="329">
        <f t="shared" ca="1" si="46"/>
        <v>66351</v>
      </c>
      <c r="K47" s="568">
        <f t="shared" ca="1" si="47"/>
        <v>43.813391442155307</v>
      </c>
      <c r="L47" s="329">
        <f ca="1">IFERROR(__xludf.DUMMYFUNCTION("IMPORTRANGE(""https://docs.google.com/spreadsheets/d/1-uDff_7J0KD5mKrp0Vvzr7lt3OU09vwQwhkpOPPYv2Y/edit?usp=sharing"",""งบพรบ!IV47"")"),66351)</f>
        <v>66351</v>
      </c>
      <c r="M47" s="330">
        <f t="shared" ca="1" si="48"/>
        <v>43.813391442155307</v>
      </c>
      <c r="N47" s="330">
        <f t="shared" ca="1" si="49"/>
        <v>43.813391442155307</v>
      </c>
      <c r="O47" s="569">
        <f ca="1">IFERROR(__xludf.DUMMYFUNCTION("IMPORTRANGE(""https://docs.google.com/spreadsheets/d/1-uDff_7J0KD5mKrp0Vvzr7lt3OU09vwQwhkpOPPYv2Y/edit?usp=sharing"",""งบพรบ!IW47"")"),0)</f>
        <v>0</v>
      </c>
      <c r="P47" s="569">
        <f t="shared" ca="1" si="50"/>
        <v>0</v>
      </c>
      <c r="Q47" s="330">
        <f t="shared" ca="1" si="51"/>
        <v>0</v>
      </c>
      <c r="R47" s="564">
        <f ca="1">IFERROR(__xludf.DUMMYFUNCTION("IMPORTRANGE(""https://docs.google.com/spreadsheets/d/13JHU_EFbsQOUQ0JSQ3dWy1VTRosIWcDq6Nc99z2qzdc/edit?usp=sharing"",""หนองคาย!Q413"")"),17400)</f>
        <v>17400</v>
      </c>
      <c r="S47" s="564">
        <f ca="1">IFERROR(__xludf.DUMMYFUNCTION("IMPORTRANGE(""https://docs.google.com/spreadsheets/d/13JHU_EFbsQOUQ0JSQ3dWy1VTRosIWcDq6Nc99z2qzdc/edit?usp=sharing"",""หนองคาย!R413"")"),17400)</f>
        <v>17400</v>
      </c>
      <c r="T47" s="564">
        <f ca="1">IFERROR(__xludf.DUMMYFUNCTION("IMPORTRANGE(""https://docs.google.com/spreadsheets/d/13JHU_EFbsQOUQ0JSQ3dWy1VTRosIWcDq6Nc99z2qzdc/edit?usp=sharing"",""หนองคาย!S413"")"),0)</f>
        <v>0</v>
      </c>
      <c r="U47" s="565">
        <f t="shared" ca="1" si="53"/>
        <v>0</v>
      </c>
      <c r="V47" s="565">
        <f t="shared" ca="1" si="54"/>
        <v>0</v>
      </c>
      <c r="W47" s="397">
        <f ca="1">IFERROR(__xludf.DUMMYFUNCTION("IMPORTRANGE(""https://docs.google.com/spreadsheets/d/13JHU_EFbsQOUQ0JSQ3dWy1VTRosIWcDq6Nc99z2qzdc/edit?usp=sharing"",""หนองคาย!I424"")"),0)</f>
        <v>0</v>
      </c>
      <c r="X47" s="397">
        <f ca="1">IFERROR(__xludf.DUMMYFUNCTION("IMPORTRANGE(""https://docs.google.com/spreadsheets/d/13JHU_EFbsQOUQ0JSQ3dWy1VTRosIWcDq6Nc99z2qzdc/edit?usp=sharing"",""หนองคาย!I425"")"),0)</f>
        <v>0</v>
      </c>
      <c r="Y47" s="397">
        <f ca="1">IFERROR(__xludf.DUMMYFUNCTION("IMPORTRANGE(""https://docs.google.com/spreadsheets/d/13JHU_EFbsQOUQ0JSQ3dWy1VTRosIWcDq6Nc99z2qzdc/edit?usp=sharing"",""หนองคาย!J424"")"),0)</f>
        <v>0</v>
      </c>
      <c r="Z47" s="216">
        <f t="shared" ca="1" si="56"/>
        <v>0</v>
      </c>
      <c r="AA47" s="397">
        <f ca="1">IFERROR(__xludf.DUMMYFUNCTION("IMPORTRANGE(""https://docs.google.com/spreadsheets/d/13JHU_EFbsQOUQ0JSQ3dWy1VTRosIWcDq6Nc99z2qzdc/edit?usp=sharing"",""หนองคาย!J425"")"),0)</f>
        <v>0</v>
      </c>
      <c r="AB47" s="216">
        <f t="shared" ca="1" si="57"/>
        <v>0</v>
      </c>
      <c r="AC47" s="397">
        <f ca="1">IFERROR(__xludf.DUMMYFUNCTION("IMPORTRANGE(""https://docs.google.com/spreadsheets/d/13JHU_EFbsQOUQ0JSQ3dWy1VTRosIWcDq6Nc99z2qzdc/edit?usp=sharing"",""หนองคาย!J426"")"),0)</f>
        <v>0</v>
      </c>
      <c r="AD47" s="397">
        <f ca="1">IFERROR(__xludf.DUMMYFUNCTION("IMPORTRANGE(""https://docs.google.com/spreadsheets/d/13JHU_EFbsQOUQ0JSQ3dWy1VTRosIWcDq6Nc99z2qzdc/edit?usp=sharing"",""หนองคาย!J427"")"),0)</f>
        <v>0</v>
      </c>
      <c r="AE47" s="397">
        <f ca="1">IFERROR(__xludf.DUMMYFUNCTION("IMPORTRANGE(""https://docs.google.com/spreadsheets/d/13JHU_EFbsQOUQ0JSQ3dWy1VTRosIWcDq6Nc99z2qzdc/edit?usp=sharing"",""หนองคาย!J428"")"),0)</f>
        <v>0</v>
      </c>
      <c r="AF47" s="397">
        <f ca="1">IFERROR(__xludf.DUMMYFUNCTION("IMPORTRANGE(""https://docs.google.com/spreadsheets/d/13JHU_EFbsQOUQ0JSQ3dWy1VTRosIWcDq6Nc99z2qzdc/edit?usp=sharing"",""หนองคาย!J429"")"),0)</f>
        <v>0</v>
      </c>
      <c r="AG47" s="397">
        <f ca="1">IFERROR(__xludf.DUMMYFUNCTION("IMPORTRANGE(""https://docs.google.com/spreadsheets/d/13JHU_EFbsQOUQ0JSQ3dWy1VTRosIWcDq6Nc99z2qzdc/edit?usp=sharing"",""หนองคาย!J430"")"),0)</f>
        <v>0</v>
      </c>
      <c r="AH47" s="397">
        <f ca="1">IFERROR(__xludf.DUMMYFUNCTION("IMPORTRANGE(""https://docs.google.com/spreadsheets/d/13JHU_EFbsQOUQ0JSQ3dWy1VTRosIWcDq6Nc99z2qzdc/edit?usp=sharing"",""หนองคาย!J431"")"),0)</f>
        <v>0</v>
      </c>
      <c r="AI47" s="152">
        <f ca="1">IFERROR(__xludf.DUMMYFUNCTION("IMPORTRANGE(""https://docs.google.com/spreadsheets/d/13JHU_EFbsQOUQ0JSQ3dWy1VTRosIWcDq6Nc99z2qzdc/edit?usp=sharing"",""หนองคาย!I432"")"),0)</f>
        <v>0</v>
      </c>
      <c r="AJ47" s="152">
        <f ca="1">IFERROR(__xludf.DUMMYFUNCTION("IMPORTRANGE(""https://docs.google.com/spreadsheets/d/13JHU_EFbsQOUQ0JSQ3dWy1VTRosIWcDq6Nc99z2qzdc/edit?usp=sharing"",""หนองคาย!I433"")"),0)</f>
        <v>0</v>
      </c>
      <c r="AK47" s="216">
        <f ca="1">IFERROR(__xludf.DUMMYFUNCTION("IMPORTRANGE(""https://docs.google.com/spreadsheets/d/13JHU_EFbsQOUQ0JSQ3dWy1VTRosIWcDq6Nc99z2qzdc/edit?usp=sharing"",""หนองคาย!J432"")"),0)</f>
        <v>0</v>
      </c>
      <c r="AL47" s="216">
        <f t="shared" ca="1" si="59"/>
        <v>0</v>
      </c>
      <c r="AM47" s="152">
        <f ca="1">IFERROR(__xludf.DUMMYFUNCTION("IMPORTRANGE(""https://docs.google.com/spreadsheets/d/13JHU_EFbsQOUQ0JSQ3dWy1VTRosIWcDq6Nc99z2qzdc/edit?usp=sharing"",""หนองคาย!J433"")"),0)</f>
        <v>0</v>
      </c>
      <c r="AN47" s="216">
        <f t="shared" ca="1" si="60"/>
        <v>0</v>
      </c>
      <c r="AO47" s="152">
        <f ca="1">IFERROR(__xludf.DUMMYFUNCTION("IMPORTRANGE(""https://docs.google.com/spreadsheets/d/13JHU_EFbsQOUQ0JSQ3dWy1VTRosIWcDq6Nc99z2qzdc/edit?usp=sharing"",""หนองคาย!J434"")"),0)</f>
        <v>0</v>
      </c>
      <c r="AP47" s="152">
        <f ca="1">IFERROR(__xludf.DUMMYFUNCTION("IMPORTRANGE(""https://docs.google.com/spreadsheets/d/13JHU_EFbsQOUQ0JSQ3dWy1VTRosIWcDq6Nc99z2qzdc/edit?usp=sharing"",""หนองคาย!J435"")"),0)</f>
        <v>0</v>
      </c>
      <c r="AQ47" s="152">
        <f ca="1">IFERROR(__xludf.DUMMYFUNCTION("IMPORTRANGE(""https://docs.google.com/spreadsheets/d/13JHU_EFbsQOUQ0JSQ3dWy1VTRosIWcDq6Nc99z2qzdc/edit?usp=sharing"",""หนองคาย!J436"")"),0)</f>
        <v>0</v>
      </c>
      <c r="AR47" s="152">
        <f ca="1">IFERROR(__xludf.DUMMYFUNCTION("IMPORTRANGE(""https://docs.google.com/spreadsheets/d/13JHU_EFbsQOUQ0JSQ3dWy1VTRosIWcDq6Nc99z2qzdc/edit?usp=sharing"",""หนองคาย!J437"")"),0)</f>
        <v>0</v>
      </c>
      <c r="AS47" s="152">
        <f ca="1">IFERROR(__xludf.DUMMYFUNCTION("IMPORTRANGE(""https://docs.google.com/spreadsheets/d/13JHU_EFbsQOUQ0JSQ3dWy1VTRosIWcDq6Nc99z2qzdc/edit?usp=sharing"",""หนองคาย!J438"")"),0)</f>
        <v>0</v>
      </c>
      <c r="AT47" s="152">
        <f ca="1">IFERROR(__xludf.DUMMYFUNCTION("IMPORTRANGE(""https://docs.google.com/spreadsheets/d/13JHU_EFbsQOUQ0JSQ3dWy1VTRosIWcDq6Nc99z2qzdc/edit?usp=sharing"",""หนองคาย!J439"")"),0)</f>
        <v>0</v>
      </c>
      <c r="AU47" s="152">
        <f ca="1">IFERROR(__xludf.DUMMYFUNCTION("IMPORTRANGE(""https://docs.google.com/spreadsheets/d/13JHU_EFbsQOUQ0JSQ3dWy1VTRosIWcDq6Nc99z2qzdc/edit?usp=sharing"",""หนองคาย!I440"")"),0)</f>
        <v>0</v>
      </c>
      <c r="AV47" s="152">
        <f ca="1">IFERROR(__xludf.DUMMYFUNCTION("IMPORTRANGE(""https://docs.google.com/spreadsheets/d/13JHU_EFbsQOUQ0JSQ3dWy1VTRosIWcDq6Nc99z2qzdc/edit?usp=sharing"",""หนองคาย!I441"")"),0)</f>
        <v>0</v>
      </c>
      <c r="AW47" s="152">
        <f ca="1">IFERROR(__xludf.DUMMYFUNCTION("IMPORTRANGE(""https://docs.google.com/spreadsheets/d/13JHU_EFbsQOUQ0JSQ3dWy1VTRosIWcDq6Nc99z2qzdc/edit?usp=sharing"",""หนองคาย!J440"")"),0)</f>
        <v>0</v>
      </c>
      <c r="AX47" s="216">
        <f t="shared" ca="1" si="62"/>
        <v>0</v>
      </c>
      <c r="AY47" s="152">
        <f ca="1">IFERROR(__xludf.DUMMYFUNCTION("IMPORTRANGE(""https://docs.google.com/spreadsheets/d/13JHU_EFbsQOUQ0JSQ3dWy1VTRosIWcDq6Nc99z2qzdc/edit?usp=sharing"",""หนองคาย!J441"")"),0)</f>
        <v>0</v>
      </c>
      <c r="AZ47" s="216">
        <f t="shared" ca="1" si="63"/>
        <v>0</v>
      </c>
      <c r="BA47" s="152">
        <f ca="1">IFERROR(__xludf.DUMMYFUNCTION("IMPORTRANGE(""https://docs.google.com/spreadsheets/d/13JHU_EFbsQOUQ0JSQ3dWy1VTRosIWcDq6Nc99z2qzdc/edit?usp=sharing"",""หนองคาย!J442"")"),0)</f>
        <v>0</v>
      </c>
      <c r="BB47" s="152">
        <f ca="1">IFERROR(__xludf.DUMMYFUNCTION("IMPORTRANGE(""https://docs.google.com/spreadsheets/d/13JHU_EFbsQOUQ0JSQ3dWy1VTRosIWcDq6Nc99z2qzdc/edit?usp=sharing"",""หนองคาย!J443"")"),0)</f>
        <v>0</v>
      </c>
      <c r="BC47" s="152">
        <f ca="1">IFERROR(__xludf.DUMMYFUNCTION("IMPORTRANGE(""https://docs.google.com/spreadsheets/d/13JHU_EFbsQOUQ0JSQ3dWy1VTRosIWcDq6Nc99z2qzdc/edit?usp=sharing"",""หนองคาย!J444"")"),0)</f>
        <v>0</v>
      </c>
      <c r="BD47" s="152">
        <f ca="1">IFERROR(__xludf.DUMMYFUNCTION("IMPORTRANGE(""https://docs.google.com/spreadsheets/d/13JHU_EFbsQOUQ0JSQ3dWy1VTRosIWcDq6Nc99z2qzdc/edit?usp=sharing"",""หนองคาย!J445"")"),0)</f>
        <v>0</v>
      </c>
      <c r="BE47" s="152">
        <f ca="1">IFERROR(__xludf.DUMMYFUNCTION("IMPORTRANGE(""https://docs.google.com/spreadsheets/d/13JHU_EFbsQOUQ0JSQ3dWy1VTRosIWcDq6Nc99z2qzdc/edit?usp=sharing"",""หนองคาย!J446"")"),0)</f>
        <v>0</v>
      </c>
      <c r="BF47" s="152">
        <f ca="1">IFERROR(__xludf.DUMMYFUNCTION("IMPORTRANGE(""https://docs.google.com/spreadsheets/d/13JHU_EFbsQOUQ0JSQ3dWy1VTRosIWcDq6Nc99z2qzdc/edit?usp=sharing"",""หนองคาย!J447"")"),0)</f>
        <v>0</v>
      </c>
      <c r="BG47" s="152">
        <f ca="1">IFERROR(__xludf.DUMMYFUNCTION("IMPORTRANGE(""https://docs.google.com/spreadsheets/d/13JHU_EFbsQOUQ0JSQ3dWy1VTRosIWcDq6Nc99z2qzdc/edit?usp=sharing"",""หนองคาย!J448"")"),0)</f>
        <v>0</v>
      </c>
      <c r="BH47" s="152">
        <f ca="1">IFERROR(__xludf.DUMMYFUNCTION("IMPORTRANGE(""https://docs.google.com/spreadsheets/d/13JHU_EFbsQOUQ0JSQ3dWy1VTRosIWcDq6Nc99z2qzdc/edit?usp=sharing"",""หนองคาย!J449"")"),0)</f>
        <v>0</v>
      </c>
      <c r="BI47" s="152">
        <f ca="1">IFERROR(__xludf.DUMMYFUNCTION("IMPORTRANGE(""https://docs.google.com/spreadsheets/d/13JHU_EFbsQOUQ0JSQ3dWy1VTRosIWcDq6Nc99z2qzdc/edit?usp=sharing"",""หนองคาย!J450"")"),0)</f>
        <v>0</v>
      </c>
      <c r="BJ47" s="152">
        <f ca="1">IFERROR(__xludf.DUMMYFUNCTION("IMPORTRANGE(""https://docs.google.com/spreadsheets/d/13JHU_EFbsQOUQ0JSQ3dWy1VTRosIWcDq6Nc99z2qzdc/edit?usp=sharing"",""หนองคาย!J451"")"),0)</f>
        <v>0</v>
      </c>
      <c r="BK47" s="152">
        <f ca="1">IFERROR(__xludf.DUMMYFUNCTION("IMPORTRANGE(""https://docs.google.com/spreadsheets/d/13JHU_EFbsQOUQ0JSQ3dWy1VTRosIWcDq6Nc99z2qzdc/edit?usp=sharing"",""หนองคาย!J452"")"),0)</f>
        <v>0</v>
      </c>
      <c r="BL47" s="152">
        <f ca="1">IFERROR(__xludf.DUMMYFUNCTION("IMPORTRANGE(""https://docs.google.com/spreadsheets/d/13JHU_EFbsQOUQ0JSQ3dWy1VTRosIWcDq6Nc99z2qzdc/edit?usp=sharing"",""หนองคาย!J453"")"),0)</f>
        <v>0</v>
      </c>
      <c r="BM47" s="152">
        <f ca="1">IFERROR(__xludf.DUMMYFUNCTION("IMPORTRANGE(""https://docs.google.com/spreadsheets/d/13JHU_EFbsQOUQ0JSQ3dWy1VTRosIWcDq6Nc99z2qzdc/edit?usp=sharing"",""หนองคาย!J454"")"),0)</f>
        <v>0</v>
      </c>
      <c r="BN47" s="152">
        <f ca="1">IFERROR(__xludf.DUMMYFUNCTION("IMPORTRANGE(""https://docs.google.com/spreadsheets/d/13JHU_EFbsQOUQ0JSQ3dWy1VTRosIWcDq6Nc99z2qzdc/edit?usp=sharing"",""หนองคาย!J455"")"),0)</f>
        <v>0</v>
      </c>
      <c r="BO47" s="152">
        <f ca="1">IFERROR(__xludf.DUMMYFUNCTION("IMPORTRANGE(""https://docs.google.com/spreadsheets/d/13JHU_EFbsQOUQ0JSQ3dWy1VTRosIWcDq6Nc99z2qzdc/edit?usp=sharing"",""หนองคาย!I457"")"),3151.85)</f>
        <v>3151.85</v>
      </c>
      <c r="BP47" s="152">
        <f ca="1">IFERROR(__xludf.DUMMYFUNCTION("IMPORTRANGE(""https://docs.google.com/spreadsheets/d/13JHU_EFbsQOUQ0JSQ3dWy1VTRosIWcDq6Nc99z2qzdc/edit?usp=sharing"",""หนองคาย!I458"")"),334)</f>
        <v>334</v>
      </c>
      <c r="BQ47" s="152">
        <f ca="1">IFERROR(__xludf.DUMMYFUNCTION("IMPORTRANGE(""https://docs.google.com/spreadsheets/d/13JHU_EFbsQOUQ0JSQ3dWy1VTRosIWcDq6Nc99z2qzdc/edit?usp=sharing"",""หนองคาย!J457"")"),0)</f>
        <v>0</v>
      </c>
      <c r="BR47" s="216">
        <f t="shared" ca="1" si="65"/>
        <v>0</v>
      </c>
      <c r="BS47" s="152">
        <f ca="1">IFERROR(__xludf.DUMMYFUNCTION("IMPORTRANGE(""https://docs.google.com/spreadsheets/d/13JHU_EFbsQOUQ0JSQ3dWy1VTRosIWcDq6Nc99z2qzdc/edit?usp=sharing"",""หนองคาย!J458"")"),0)</f>
        <v>0</v>
      </c>
      <c r="BT47" s="216">
        <f t="shared" ca="1" si="66"/>
        <v>0</v>
      </c>
      <c r="BU47" s="152">
        <f ca="1">IFERROR(__xludf.DUMMYFUNCTION("IMPORTRANGE(""https://docs.google.com/spreadsheets/d/13JHU_EFbsQOUQ0JSQ3dWy1VTRosIWcDq6Nc99z2qzdc/edit?usp=sharing"",""หนองคาย!J459"")"),0)</f>
        <v>0</v>
      </c>
      <c r="BV47" s="152">
        <f ca="1">IFERROR(__xludf.DUMMYFUNCTION("IMPORTRANGE(""https://docs.google.com/spreadsheets/d/13JHU_EFbsQOUQ0JSQ3dWy1VTRosIWcDq6Nc99z2qzdc/edit?usp=sharing"",""หนองคาย!J460"")"),0)</f>
        <v>0</v>
      </c>
      <c r="BW47" s="152">
        <f ca="1">IFERROR(__xludf.DUMMYFUNCTION("IMPORTRANGE(""https://docs.google.com/spreadsheets/d/13JHU_EFbsQOUQ0JSQ3dWy1VTRosIWcDq6Nc99z2qzdc/edit?usp=sharing"",""หนองคาย!J461"")"),0)</f>
        <v>0</v>
      </c>
      <c r="BX47" s="152">
        <f ca="1">IFERROR(__xludf.DUMMYFUNCTION("IMPORTRANGE(""https://docs.google.com/spreadsheets/d/13JHU_EFbsQOUQ0JSQ3dWy1VTRosIWcDq6Nc99z2qzdc/edit?usp=sharing"",""หนองคาย!J462"")"),0)</f>
        <v>0</v>
      </c>
      <c r="BY47" s="152">
        <f ca="1">IFERROR(__xludf.DUMMYFUNCTION("IMPORTRANGE(""https://docs.google.com/spreadsheets/d/13JHU_EFbsQOUQ0JSQ3dWy1VTRosIWcDq6Nc99z2qzdc/edit?usp=sharing"",""หนองคาย!J463"")"),0)</f>
        <v>0</v>
      </c>
      <c r="BZ47" s="152">
        <f ca="1">IFERROR(__xludf.DUMMYFUNCTION("IMPORTRANGE(""https://docs.google.com/spreadsheets/d/13JHU_EFbsQOUQ0JSQ3dWy1VTRosIWcDq6Nc99z2qzdc/edit?usp=sharing"",""หนองคาย!J464"")"),0)</f>
        <v>0</v>
      </c>
      <c r="CA47" s="152">
        <f ca="1">IFERROR(__xludf.DUMMYFUNCTION("IMPORTRANGE(""https://docs.google.com/spreadsheets/d/13JHU_EFbsQOUQ0JSQ3dWy1VTRosIWcDq6Nc99z2qzdc/edit?usp=sharing"",""หนองคาย!J465"")"),0)</f>
        <v>0</v>
      </c>
      <c r="CB47" s="152">
        <f ca="1">IFERROR(__xludf.DUMMYFUNCTION("IMPORTRANGE(""https://docs.google.com/spreadsheets/d/13JHU_EFbsQOUQ0JSQ3dWy1VTRosIWcDq6Nc99z2qzdc/edit?usp=sharing"",""หนองคาย!J466"")"),0)</f>
        <v>0</v>
      </c>
      <c r="CC47" s="152">
        <f ca="1">IFERROR(__xludf.DUMMYFUNCTION("IMPORTRANGE(""https://docs.google.com/spreadsheets/d/13JHU_EFbsQOUQ0JSQ3dWy1VTRosIWcDq6Nc99z2qzdc/edit?usp=sharing"",""หนองคาย!J467"")"),0)</f>
        <v>0</v>
      </c>
      <c r="CD47" s="152">
        <f ca="1">IFERROR(__xludf.DUMMYFUNCTION("IMPORTRANGE(""https://docs.google.com/spreadsheets/d/13JHU_EFbsQOUQ0JSQ3dWy1VTRosIWcDq6Nc99z2qzdc/edit?usp=sharing"",""หนองคาย!J468"")"),0)</f>
        <v>0</v>
      </c>
      <c r="CE47" s="152">
        <f ca="1">IFERROR(__xludf.DUMMYFUNCTION("IMPORTRANGE(""https://docs.google.com/spreadsheets/d/13JHU_EFbsQOUQ0JSQ3dWy1VTRosIWcDq6Nc99z2qzdc/edit?usp=sharing"",""หนองคาย!J469"")"),0)</f>
        <v>0</v>
      </c>
      <c r="CF47" s="152">
        <f ca="1">IFERROR(__xludf.DUMMYFUNCTION("IMPORTRANGE(""https://docs.google.com/spreadsheets/d/13JHU_EFbsQOUQ0JSQ3dWy1VTRosIWcDq6Nc99z2qzdc/edit?usp=sharing"",""หนองคาย!J470"")"),0)</f>
        <v>0</v>
      </c>
      <c r="CG47" s="152">
        <f ca="1">IFERROR(__xludf.DUMMYFUNCTION("IMPORTRANGE(""https://docs.google.com/spreadsheets/d/13JHU_EFbsQOUQ0JSQ3dWy1VTRosIWcDq6Nc99z2qzdc/edit?usp=sharing"",""หนองคาย!J471"")"),0)</f>
        <v>0</v>
      </c>
      <c r="CH47" s="152">
        <f ca="1">IFERROR(__xludf.DUMMYFUNCTION("IMPORTRANGE(""https://docs.google.com/spreadsheets/d/13JHU_EFbsQOUQ0JSQ3dWy1VTRosIWcDq6Nc99z2qzdc/edit?usp=sharing"",""หนองคาย!J472"")"),0)</f>
        <v>0</v>
      </c>
      <c r="CI47" s="152">
        <f ca="1">IFERROR(__xludf.DUMMYFUNCTION("IMPORTRANGE(""https://docs.google.com/spreadsheets/d/13JHU_EFbsQOUQ0JSQ3dWy1VTRosIWcDq6Nc99z2qzdc/edit?usp=sharing"",""หนองคาย!J473"")"),0)</f>
        <v>0</v>
      </c>
      <c r="CJ47" s="152">
        <f ca="1">IFERROR(__xludf.DUMMYFUNCTION("IMPORTRANGE(""https://docs.google.com/spreadsheets/d/13JHU_EFbsQOUQ0JSQ3dWy1VTRosIWcDq6Nc99z2qzdc/edit?usp=sharing"",""หนองคาย!J474"")"),0)</f>
        <v>0</v>
      </c>
      <c r="CK47" s="278">
        <f ca="1">IFERROR(__xludf.DUMMYFUNCTION("IMPORTRANGE(""https://docs.google.com/spreadsheets/d/13JHU_EFbsQOUQ0JSQ3dWy1VTRosIWcDq6Nc99z2qzdc/edit?usp=sharing"",""หนองคาย!I476"")"),0)</f>
        <v>0</v>
      </c>
      <c r="CL47" s="278">
        <f ca="1">IFERROR(__xludf.DUMMYFUNCTION("IMPORTRANGE(""https://docs.google.com/spreadsheets/d/13JHU_EFbsQOUQ0JSQ3dWy1VTRosIWcDq6Nc99z2qzdc/edit?usp=sharing"",""หนองคาย!I477"")"),0)</f>
        <v>0</v>
      </c>
      <c r="CM47" s="278">
        <f ca="1">IFERROR(__xludf.DUMMYFUNCTION("IMPORTRANGE(""https://docs.google.com/spreadsheets/d/13JHU_EFbsQOUQ0JSQ3dWy1VTRosIWcDq6Nc99z2qzdc/edit?usp=sharing"",""หนองคาย!J476"")"),0)</f>
        <v>0</v>
      </c>
      <c r="CN47" s="216">
        <f t="shared" ca="1" si="68"/>
        <v>0</v>
      </c>
      <c r="CO47" s="278">
        <f ca="1">IFERROR(__xludf.DUMMYFUNCTION("IMPORTRANGE(""https://docs.google.com/spreadsheets/d/13JHU_EFbsQOUQ0JSQ3dWy1VTRosIWcDq6Nc99z2qzdc/edit?usp=sharing"",""หนองคาย!J477"")"),0)</f>
        <v>0</v>
      </c>
      <c r="CP47" s="216">
        <f t="shared" ca="1" si="69"/>
        <v>0</v>
      </c>
      <c r="CQ47" s="278">
        <f ca="1">IFERROR(__xludf.DUMMYFUNCTION("IMPORTRANGE(""https://docs.google.com/spreadsheets/d/13JHU_EFbsQOUQ0JSQ3dWy1VTRosIWcDq6Nc99z2qzdc/edit?usp=sharing"",""หนองคาย!J478"")"),0)</f>
        <v>0</v>
      </c>
      <c r="CR47" s="278">
        <f ca="1">IFERROR(__xludf.DUMMYFUNCTION("IMPORTRANGE(""https://docs.google.com/spreadsheets/d/13JHU_EFbsQOUQ0JSQ3dWy1VTRosIWcDq6Nc99z2qzdc/edit?usp=sharing"",""หนองคาย!J479"")"),0)</f>
        <v>0</v>
      </c>
      <c r="CS47" s="278">
        <f ca="1">IFERROR(__xludf.DUMMYFUNCTION("IMPORTRANGE(""https://docs.google.com/spreadsheets/d/13JHU_EFbsQOUQ0JSQ3dWy1VTRosIWcDq6Nc99z2qzdc/edit?usp=sharing"",""หนองคาย!J480"")"),0)</f>
        <v>0</v>
      </c>
      <c r="CT47" s="278">
        <f ca="1">IFERROR(__xludf.DUMMYFUNCTION("IMPORTRANGE(""https://docs.google.com/spreadsheets/d/13JHU_EFbsQOUQ0JSQ3dWy1VTRosIWcDq6Nc99z2qzdc/edit?usp=sharing"",""หนองคาย!J481"")"),0)</f>
        <v>0</v>
      </c>
      <c r="CU47" s="278">
        <f ca="1">IFERROR(__xludf.DUMMYFUNCTION("IMPORTRANGE(""https://docs.google.com/spreadsheets/d/13JHU_EFbsQOUQ0JSQ3dWy1VTRosIWcDq6Nc99z2qzdc/edit?usp=sharing"",""หนองคาย!I484"")"),0)</f>
        <v>0</v>
      </c>
      <c r="CV47" s="278">
        <f ca="1">IFERROR(__xludf.DUMMYFUNCTION("IMPORTRANGE(""https://docs.google.com/spreadsheets/d/13JHU_EFbsQOUQ0JSQ3dWy1VTRosIWcDq6Nc99z2qzdc/edit?usp=sharing"",""หนองคาย!I485"")"),0)</f>
        <v>0</v>
      </c>
      <c r="CW47" s="278">
        <f ca="1">IFERROR(__xludf.DUMMYFUNCTION("IMPORTRANGE(""https://docs.google.com/spreadsheets/d/13JHU_EFbsQOUQ0JSQ3dWy1VTRosIWcDq6Nc99z2qzdc/edit?usp=sharing"",""หนองคาย!J484"")"),0)</f>
        <v>0</v>
      </c>
      <c r="CX47" s="216">
        <f t="shared" ca="1" si="71"/>
        <v>0</v>
      </c>
      <c r="CY47" s="278">
        <f ca="1">IFERROR(__xludf.DUMMYFUNCTION("IMPORTRANGE(""https://docs.google.com/spreadsheets/d/13JHU_EFbsQOUQ0JSQ3dWy1VTRosIWcDq6Nc99z2qzdc/edit?usp=sharing"",""หนองคาย!J485"")"),0)</f>
        <v>0</v>
      </c>
      <c r="CZ47" s="216">
        <f t="shared" ca="1" si="72"/>
        <v>0</v>
      </c>
      <c r="DA47" s="278">
        <f ca="1">IFERROR(__xludf.DUMMYFUNCTION("IMPORTRANGE(""https://docs.google.com/spreadsheets/d/13JHU_EFbsQOUQ0JSQ3dWy1VTRosIWcDq6Nc99z2qzdc/edit?usp=sharing"",""หนองคาย!J486"")"),0)</f>
        <v>0</v>
      </c>
      <c r="DB47" s="278">
        <f ca="1">IFERROR(__xludf.DUMMYFUNCTION("IMPORTRANGE(""https://docs.google.com/spreadsheets/d/13JHU_EFbsQOUQ0JSQ3dWy1VTRosIWcDq6Nc99z2qzdc/edit?usp=sharing"",""หนองคาย!J487"")"),0)</f>
        <v>0</v>
      </c>
      <c r="DC47" s="278">
        <f ca="1">IFERROR(__xludf.DUMMYFUNCTION("IMPORTRANGE(""https://docs.google.com/spreadsheets/d/13JHU_EFbsQOUQ0JSQ3dWy1VTRosIWcDq6Nc99z2qzdc/edit?usp=sharing"",""หนองคาย!J488"")"),0)</f>
        <v>0</v>
      </c>
      <c r="DD47" s="278">
        <f ca="1">IFERROR(__xludf.DUMMYFUNCTION("IMPORTRANGE(""https://docs.google.com/spreadsheets/d/13JHU_EFbsQOUQ0JSQ3dWy1VTRosIWcDq6Nc99z2qzdc/edit?usp=sharing"",""หนองคาย!J489"")"),0)</f>
        <v>0</v>
      </c>
      <c r="DE47" s="278">
        <f ca="1">IFERROR(__xludf.DUMMYFUNCTION("IMPORTRANGE(""https://docs.google.com/spreadsheets/d/13JHU_EFbsQOUQ0JSQ3dWy1VTRosIWcDq6Nc99z2qzdc/edit?usp=sharing"",""หนองคาย!J490"")"),0)</f>
        <v>0</v>
      </c>
      <c r="DF47" s="278">
        <f ca="1">IFERROR(__xludf.DUMMYFUNCTION("IMPORTRANGE(""https://docs.google.com/spreadsheets/d/13JHU_EFbsQOUQ0JSQ3dWy1VTRosIWcDq6Nc99z2qzdc/edit?usp=sharing"",""หนองคาย!J491"")"),0)</f>
        <v>0</v>
      </c>
    </row>
    <row r="48" spans="1:110" ht="19.5" x14ac:dyDescent="0.3">
      <c r="A48" s="147">
        <v>17</v>
      </c>
      <c r="B48" s="148" t="s">
        <v>76</v>
      </c>
      <c r="C48" s="566">
        <f t="shared" ca="1" si="44"/>
        <v>275340</v>
      </c>
      <c r="D48" s="567">
        <f t="shared" ca="1" si="84"/>
        <v>275340</v>
      </c>
      <c r="E48" s="329">
        <f ca="1">IFERROR(__xludf.DUMMYFUNCTION("IMPORTRANGE(""https://docs.google.com/spreadsheets/d/1-uDff_7J0KD5mKrp0Vvzr7lt3OU09vwQwhkpOPPYv2Y/edit?usp=sharing"",""งบพรบ!IP48"")"),0)</f>
        <v>0</v>
      </c>
      <c r="F48" s="329">
        <f ca="1">IFERROR(__xludf.DUMMYFUNCTION("IMPORTRANGE(""https://docs.google.com/spreadsheets/d/1-uDff_7J0KD5mKrp0Vvzr7lt3OU09vwQwhkpOPPYv2Y/edit?usp=sharing"",""งบพรบ!IQ48"")"),275340)</f>
        <v>275340</v>
      </c>
      <c r="G48" s="329">
        <f ca="1">IFERROR(__xludf.DUMMYFUNCTION("IMPORTRANGE(""https://docs.google.com/spreadsheets/d/1-uDff_7J0KD5mKrp0Vvzr7lt3OU09vwQwhkpOPPYv2Y/edit?usp=sharing"",""งบพรบ!IR48"")"),0)</f>
        <v>0</v>
      </c>
      <c r="H48" s="329">
        <f ca="1">IFERROR(__xludf.DUMMYFUNCTION("IMPORTRANGE(""https://docs.google.com/spreadsheets/d/1-uDff_7J0KD5mKrp0Vvzr7lt3OU09vwQwhkpOPPYv2Y/edit?usp=sharing"",""งบพรบ!IT48"")"),275340)</f>
        <v>275340</v>
      </c>
      <c r="I48" s="329">
        <f ca="1">IFERROR(__xludf.DUMMYFUNCTION("IMPORTRANGE(""https://docs.google.com/spreadsheets/d/1-uDff_7J0KD5mKrp0Vvzr7lt3OU09vwQwhkpOPPYv2Y/edit?usp=sharing"",""งบพรบ!IU48"")"),0)</f>
        <v>0</v>
      </c>
      <c r="J48" s="329">
        <f t="shared" ca="1" si="46"/>
        <v>92020.02</v>
      </c>
      <c r="K48" s="568">
        <f t="shared" ca="1" si="47"/>
        <v>33.42050555676618</v>
      </c>
      <c r="L48" s="329">
        <f ca="1">IFERROR(__xludf.DUMMYFUNCTION("IMPORTRANGE(""https://docs.google.com/spreadsheets/d/1-uDff_7J0KD5mKrp0Vvzr7lt3OU09vwQwhkpOPPYv2Y/edit?usp=sharing"",""งบพรบ!IV48"")"),92020.02)</f>
        <v>92020.02</v>
      </c>
      <c r="M48" s="330">
        <f t="shared" ca="1" si="48"/>
        <v>33.42050555676618</v>
      </c>
      <c r="N48" s="330">
        <f t="shared" ca="1" si="49"/>
        <v>33.42050555676618</v>
      </c>
      <c r="O48" s="569">
        <f ca="1">IFERROR(__xludf.DUMMYFUNCTION("IMPORTRANGE(""https://docs.google.com/spreadsheets/d/1-uDff_7J0KD5mKrp0Vvzr7lt3OU09vwQwhkpOPPYv2Y/edit?usp=sharing"",""งบพรบ!IW48"")"),0)</f>
        <v>0</v>
      </c>
      <c r="P48" s="569">
        <f t="shared" ca="1" si="50"/>
        <v>0</v>
      </c>
      <c r="Q48" s="330">
        <f t="shared" ca="1" si="51"/>
        <v>0</v>
      </c>
      <c r="R48" s="564">
        <f ca="1">IFERROR(__xludf.DUMMYFUNCTION("IMPORTRANGE(""https://docs.google.com/spreadsheets/d/1Hx73zIEgVdDZZaYSTc46Dqv64atFhpr3GelxLbaIN8A/edit?usp=sharing"",""หนองบัวลำภู!Q413"")"),77100)</f>
        <v>77100</v>
      </c>
      <c r="S48" s="564">
        <f ca="1">IFERROR(__xludf.DUMMYFUNCTION("IMPORTRANGE(""https://docs.google.com/spreadsheets/d/1Hx73zIEgVdDZZaYSTc46Dqv64atFhpr3GelxLbaIN8A/edit?usp=sharing"",""หนองบัวลำภู!R413"")"),77100)</f>
        <v>77100</v>
      </c>
      <c r="T48" s="564">
        <f ca="1">IFERROR(__xludf.DUMMYFUNCTION("IMPORTRANGE(""https://docs.google.com/spreadsheets/d/1Hx73zIEgVdDZZaYSTc46Dqv64atFhpr3GelxLbaIN8A/edit?usp=sharing"",""หนองบัวลำภู!S413"")"),0)</f>
        <v>0</v>
      </c>
      <c r="U48" s="565">
        <f t="shared" ca="1" si="53"/>
        <v>0</v>
      </c>
      <c r="V48" s="565">
        <f t="shared" ca="1" si="54"/>
        <v>0</v>
      </c>
      <c r="W48" s="152">
        <f ca="1">IFERROR(__xludf.DUMMYFUNCTION("IMPORTRANGE(""https://docs.google.com/spreadsheets/d/1Hx73zIEgVdDZZaYSTc46Dqv64atFhpr3GelxLbaIN8A/edit?usp=sharing"",""หนองบัวลำภู!I424"")"),62414)</f>
        <v>62414</v>
      </c>
      <c r="X48" s="152">
        <f ca="1">IFERROR(__xludf.DUMMYFUNCTION("IMPORTRANGE(""https://docs.google.com/spreadsheets/d/1Hx73zIEgVdDZZaYSTc46Dqv64atFhpr3GelxLbaIN8A/edit?usp=sharing"",""หนองบัวลำภู!I425"")"),6705)</f>
        <v>6705</v>
      </c>
      <c r="Y48" s="152">
        <f ca="1">IFERROR(__xludf.DUMMYFUNCTION("IMPORTRANGE(""https://docs.google.com/spreadsheets/d/1Hx73zIEgVdDZZaYSTc46Dqv64atFhpr3GelxLbaIN8A/edit?usp=sharing"",""หนองบัวลำภู!J424"")"),0)</f>
        <v>0</v>
      </c>
      <c r="Z48" s="216">
        <f t="shared" ca="1" si="56"/>
        <v>0</v>
      </c>
      <c r="AA48" s="152">
        <f ca="1">IFERROR(__xludf.DUMMYFUNCTION("IMPORTRANGE(""https://docs.google.com/spreadsheets/d/1Hx73zIEgVdDZZaYSTc46Dqv64atFhpr3GelxLbaIN8A/edit?usp=sharing"",""หนองบัวลำภู!J425"")"),0)</f>
        <v>0</v>
      </c>
      <c r="AB48" s="216">
        <f t="shared" ca="1" si="57"/>
        <v>0</v>
      </c>
      <c r="AC48" s="152">
        <f ca="1">IFERROR(__xludf.DUMMYFUNCTION("IMPORTRANGE(""https://docs.google.com/spreadsheets/d/1Hx73zIEgVdDZZaYSTc46Dqv64atFhpr3GelxLbaIN8A/edit?usp=sharing"",""หนองบัวลำภู!J426"")"),0)</f>
        <v>0</v>
      </c>
      <c r="AD48" s="152">
        <f ca="1">IFERROR(__xludf.DUMMYFUNCTION("IMPORTRANGE(""https://docs.google.com/spreadsheets/d/1Hx73zIEgVdDZZaYSTc46Dqv64atFhpr3GelxLbaIN8A/edit?usp=sharing"",""หนองบัวลำภู!J427"")"),0)</f>
        <v>0</v>
      </c>
      <c r="AE48" s="152">
        <f ca="1">IFERROR(__xludf.DUMMYFUNCTION("IMPORTRANGE(""https://docs.google.com/spreadsheets/d/1Hx73zIEgVdDZZaYSTc46Dqv64atFhpr3GelxLbaIN8A/edit?usp=sharing"",""หนองบัวลำภู!J428"")"),0)</f>
        <v>0</v>
      </c>
      <c r="AF48" s="152">
        <f ca="1">IFERROR(__xludf.DUMMYFUNCTION("IMPORTRANGE(""https://docs.google.com/spreadsheets/d/1Hx73zIEgVdDZZaYSTc46Dqv64atFhpr3GelxLbaIN8A/edit?usp=sharing"",""หนองบัวลำภู!J429"")"),0)</f>
        <v>0</v>
      </c>
      <c r="AG48" s="152">
        <f ca="1">IFERROR(__xludf.DUMMYFUNCTION("IMPORTRANGE(""https://docs.google.com/spreadsheets/d/1Hx73zIEgVdDZZaYSTc46Dqv64atFhpr3GelxLbaIN8A/edit?usp=sharing"",""หนองบัวลำภู!J430"")"),0)</f>
        <v>0</v>
      </c>
      <c r="AH48" s="152">
        <f ca="1">IFERROR(__xludf.DUMMYFUNCTION("IMPORTRANGE(""https://docs.google.com/spreadsheets/d/1Hx73zIEgVdDZZaYSTc46Dqv64atFhpr3GelxLbaIN8A/edit?usp=sharing"",""หนองบัวลำภู!J431"")"),0)</f>
        <v>0</v>
      </c>
      <c r="AI48" s="152">
        <f ca="1">IFERROR(__xludf.DUMMYFUNCTION("IMPORTRANGE(""https://docs.google.com/spreadsheets/d/1Hx73zIEgVdDZZaYSTc46Dqv64atFhpr3GelxLbaIN8A/edit?usp=sharing"",""หนองบัวลำภู!I432"")"),62414)</f>
        <v>62414</v>
      </c>
      <c r="AJ48" s="152">
        <f ca="1">IFERROR(__xludf.DUMMYFUNCTION("IMPORTRANGE(""https://docs.google.com/spreadsheets/d/1Hx73zIEgVdDZZaYSTc46Dqv64atFhpr3GelxLbaIN8A/edit?usp=sharing"",""หนองบัวลำภู!I433"")"),6705)</f>
        <v>6705</v>
      </c>
      <c r="AK48" s="216">
        <f ca="1">IFERROR(__xludf.DUMMYFUNCTION("IMPORTRANGE(""https://docs.google.com/spreadsheets/d/1Hx73zIEgVdDZZaYSTc46Dqv64atFhpr3GelxLbaIN8A/edit?usp=sharing"",""หนองบัวลำภู!J432"")"),0)</f>
        <v>0</v>
      </c>
      <c r="AL48" s="216">
        <f t="shared" ca="1" si="59"/>
        <v>0</v>
      </c>
      <c r="AM48" s="152">
        <f ca="1">IFERROR(__xludf.DUMMYFUNCTION("IMPORTRANGE(""https://docs.google.com/spreadsheets/d/1Hx73zIEgVdDZZaYSTc46Dqv64atFhpr3GelxLbaIN8A/edit?usp=sharing"",""หนองบัวลำภู!J433"")"),0)</f>
        <v>0</v>
      </c>
      <c r="AN48" s="216">
        <f t="shared" ca="1" si="60"/>
        <v>0</v>
      </c>
      <c r="AO48" s="152">
        <f ca="1">IFERROR(__xludf.DUMMYFUNCTION("IMPORTRANGE(""https://docs.google.com/spreadsheets/d/1Hx73zIEgVdDZZaYSTc46Dqv64atFhpr3GelxLbaIN8A/edit?usp=sharing"",""หนองบัวลำภู!J434"")"),0)</f>
        <v>0</v>
      </c>
      <c r="AP48" s="152">
        <f ca="1">IFERROR(__xludf.DUMMYFUNCTION("IMPORTRANGE(""https://docs.google.com/spreadsheets/d/1Hx73zIEgVdDZZaYSTc46Dqv64atFhpr3GelxLbaIN8A/edit?usp=sharing"",""หนองบัวลำภู!J435"")"),0)</f>
        <v>0</v>
      </c>
      <c r="AQ48" s="152">
        <f ca="1">IFERROR(__xludf.DUMMYFUNCTION("IMPORTRANGE(""https://docs.google.com/spreadsheets/d/1Hx73zIEgVdDZZaYSTc46Dqv64atFhpr3GelxLbaIN8A/edit?usp=sharing"",""หนองบัวลำภู!J436"")"),0)</f>
        <v>0</v>
      </c>
      <c r="AR48" s="152">
        <f ca="1">IFERROR(__xludf.DUMMYFUNCTION("IMPORTRANGE(""https://docs.google.com/spreadsheets/d/1Hx73zIEgVdDZZaYSTc46Dqv64atFhpr3GelxLbaIN8A/edit?usp=sharing"",""หนองบัวลำภู!J437"")"),0)</f>
        <v>0</v>
      </c>
      <c r="AS48" s="152">
        <f ca="1">IFERROR(__xludf.DUMMYFUNCTION("IMPORTRANGE(""https://docs.google.com/spreadsheets/d/1Hx73zIEgVdDZZaYSTc46Dqv64atFhpr3GelxLbaIN8A/edit?usp=sharing"",""หนองบัวลำภู!J438"")"),0)</f>
        <v>0</v>
      </c>
      <c r="AT48" s="152">
        <f ca="1">IFERROR(__xludf.DUMMYFUNCTION("IMPORTRANGE(""https://docs.google.com/spreadsheets/d/1Hx73zIEgVdDZZaYSTc46Dqv64atFhpr3GelxLbaIN8A/edit?usp=sharing"",""หนองบัวลำภู!J439"")"),0)</f>
        <v>0</v>
      </c>
      <c r="AU48" s="152">
        <f ca="1">IFERROR(__xludf.DUMMYFUNCTION("IMPORTRANGE(""https://docs.google.com/spreadsheets/d/1Hx73zIEgVdDZZaYSTc46Dqv64atFhpr3GelxLbaIN8A/edit?usp=sharing"",""หนองบัวลำภู!I440"")"),62414)</f>
        <v>62414</v>
      </c>
      <c r="AV48" s="152">
        <f ca="1">IFERROR(__xludf.DUMMYFUNCTION("IMPORTRANGE(""https://docs.google.com/spreadsheets/d/1Hx73zIEgVdDZZaYSTc46Dqv64atFhpr3GelxLbaIN8A/edit?usp=sharing"",""หนองบัวลำภู!I441"")"),6705)</f>
        <v>6705</v>
      </c>
      <c r="AW48" s="152">
        <f ca="1">IFERROR(__xludf.DUMMYFUNCTION("IMPORTRANGE(""https://docs.google.com/spreadsheets/d/1Hx73zIEgVdDZZaYSTc46Dqv64atFhpr3GelxLbaIN8A/edit?usp=sharing"",""หนองบัวลำภู!J440"")"),0)</f>
        <v>0</v>
      </c>
      <c r="AX48" s="216">
        <f t="shared" ca="1" si="62"/>
        <v>0</v>
      </c>
      <c r="AY48" s="152">
        <f ca="1">IFERROR(__xludf.DUMMYFUNCTION("IMPORTRANGE(""https://docs.google.com/spreadsheets/d/1Hx73zIEgVdDZZaYSTc46Dqv64atFhpr3GelxLbaIN8A/edit?usp=sharing"",""หนองบัวลำภู!J441"")"),0)</f>
        <v>0</v>
      </c>
      <c r="AZ48" s="216">
        <f t="shared" ca="1" si="63"/>
        <v>0</v>
      </c>
      <c r="BA48" s="152">
        <f ca="1">IFERROR(__xludf.DUMMYFUNCTION("IMPORTRANGE(""https://docs.google.com/spreadsheets/d/1Hx73zIEgVdDZZaYSTc46Dqv64atFhpr3GelxLbaIN8A/edit?usp=sharing"",""หนองบัวลำภู!J442"")"),0)</f>
        <v>0</v>
      </c>
      <c r="BB48" s="152">
        <f ca="1">IFERROR(__xludf.DUMMYFUNCTION("IMPORTRANGE(""https://docs.google.com/spreadsheets/d/1Hx73zIEgVdDZZaYSTc46Dqv64atFhpr3GelxLbaIN8A/edit?usp=sharing"",""หนองบัวลำภู!J443"")"),0)</f>
        <v>0</v>
      </c>
      <c r="BC48" s="152">
        <f ca="1">IFERROR(__xludf.DUMMYFUNCTION("IMPORTRANGE(""https://docs.google.com/spreadsheets/d/1Hx73zIEgVdDZZaYSTc46Dqv64atFhpr3GelxLbaIN8A/edit?usp=sharing"",""หนองบัวลำภู!J444"")"),0)</f>
        <v>0</v>
      </c>
      <c r="BD48" s="152">
        <f ca="1">IFERROR(__xludf.DUMMYFUNCTION("IMPORTRANGE(""https://docs.google.com/spreadsheets/d/1Hx73zIEgVdDZZaYSTc46Dqv64atFhpr3GelxLbaIN8A/edit?usp=sharing"",""หนองบัวลำภู!J445"")"),0)</f>
        <v>0</v>
      </c>
      <c r="BE48" s="152">
        <f ca="1">IFERROR(__xludf.DUMMYFUNCTION("IMPORTRANGE(""https://docs.google.com/spreadsheets/d/1Hx73zIEgVdDZZaYSTc46Dqv64atFhpr3GelxLbaIN8A/edit?usp=sharing"",""หนองบัวลำภู!J446"")"),0)</f>
        <v>0</v>
      </c>
      <c r="BF48" s="152">
        <f ca="1">IFERROR(__xludf.DUMMYFUNCTION("IMPORTRANGE(""https://docs.google.com/spreadsheets/d/1Hx73zIEgVdDZZaYSTc46Dqv64atFhpr3GelxLbaIN8A/edit?usp=sharing"",""หนองบัวลำภู!J447"")"),0)</f>
        <v>0</v>
      </c>
      <c r="BG48" s="152">
        <f ca="1">IFERROR(__xludf.DUMMYFUNCTION("IMPORTRANGE(""https://docs.google.com/spreadsheets/d/1Hx73zIEgVdDZZaYSTc46Dqv64atFhpr3GelxLbaIN8A/edit?usp=sharing"",""หนองบัวลำภู!J448"")"),0)</f>
        <v>0</v>
      </c>
      <c r="BH48" s="152">
        <f ca="1">IFERROR(__xludf.DUMMYFUNCTION("IMPORTRANGE(""https://docs.google.com/spreadsheets/d/1Hx73zIEgVdDZZaYSTc46Dqv64atFhpr3GelxLbaIN8A/edit?usp=sharing"",""หนองบัวลำภู!J449"")"),0)</f>
        <v>0</v>
      </c>
      <c r="BI48" s="152">
        <f ca="1">IFERROR(__xludf.DUMMYFUNCTION("IMPORTRANGE(""https://docs.google.com/spreadsheets/d/1Hx73zIEgVdDZZaYSTc46Dqv64atFhpr3GelxLbaIN8A/edit?usp=sharing"",""หนองบัวลำภู!J450"")"),0)</f>
        <v>0</v>
      </c>
      <c r="BJ48" s="152">
        <f ca="1">IFERROR(__xludf.DUMMYFUNCTION("IMPORTRANGE(""https://docs.google.com/spreadsheets/d/1Hx73zIEgVdDZZaYSTc46Dqv64atFhpr3GelxLbaIN8A/edit?usp=sharing"",""หนองบัวลำภู!J451"")"),0)</f>
        <v>0</v>
      </c>
      <c r="BK48" s="152">
        <f ca="1">IFERROR(__xludf.DUMMYFUNCTION("IMPORTRANGE(""https://docs.google.com/spreadsheets/d/1Hx73zIEgVdDZZaYSTc46Dqv64atFhpr3GelxLbaIN8A/edit?usp=sharing"",""หนองบัวลำภู!J452"")"),0)</f>
        <v>0</v>
      </c>
      <c r="BL48" s="152">
        <f ca="1">IFERROR(__xludf.DUMMYFUNCTION("IMPORTRANGE(""https://docs.google.com/spreadsheets/d/1Hx73zIEgVdDZZaYSTc46Dqv64atFhpr3GelxLbaIN8A/edit?usp=sharing"",""หนองบัวลำภู!J453"")"),0)</f>
        <v>0</v>
      </c>
      <c r="BM48" s="152">
        <f ca="1">IFERROR(__xludf.DUMMYFUNCTION("IMPORTRANGE(""https://docs.google.com/spreadsheets/d/1Hx73zIEgVdDZZaYSTc46Dqv64atFhpr3GelxLbaIN8A/edit?usp=sharing"",""หนองบัวลำภู!J454"")"),0)</f>
        <v>0</v>
      </c>
      <c r="BN48" s="152">
        <f ca="1">IFERROR(__xludf.DUMMYFUNCTION("IMPORTRANGE(""https://docs.google.com/spreadsheets/d/1Hx73zIEgVdDZZaYSTc46Dqv64atFhpr3GelxLbaIN8A/edit?usp=sharing"",""หนองบัวลำภู!J455"")"),0)</f>
        <v>0</v>
      </c>
      <c r="BO48" s="152">
        <f ca="1">IFERROR(__xludf.DUMMYFUNCTION("IMPORTRANGE(""https://docs.google.com/spreadsheets/d/1Hx73zIEgVdDZZaYSTc46Dqv64atFhpr3GelxLbaIN8A/edit?usp=sharing"",""หนองบัวลำภู!I457"")"),1259.98)</f>
        <v>1259.98</v>
      </c>
      <c r="BP48" s="152">
        <f ca="1">IFERROR(__xludf.DUMMYFUNCTION("IMPORTRANGE(""https://docs.google.com/spreadsheets/d/1Hx73zIEgVdDZZaYSTc46Dqv64atFhpr3GelxLbaIN8A/edit?usp=sharing"",""หนองบัวลำภู!I458"")"),111)</f>
        <v>111</v>
      </c>
      <c r="BQ48" s="152">
        <f ca="1">IFERROR(__xludf.DUMMYFUNCTION("IMPORTRANGE(""https://docs.google.com/spreadsheets/d/1Hx73zIEgVdDZZaYSTc46Dqv64atFhpr3GelxLbaIN8A/edit?usp=sharing"",""หนองบัวลำภู!J457"")"),0)</f>
        <v>0</v>
      </c>
      <c r="BR48" s="216">
        <f t="shared" ca="1" si="65"/>
        <v>0</v>
      </c>
      <c r="BS48" s="152">
        <f ca="1">IFERROR(__xludf.DUMMYFUNCTION("IMPORTRANGE(""https://docs.google.com/spreadsheets/d/1Hx73zIEgVdDZZaYSTc46Dqv64atFhpr3GelxLbaIN8A/edit?usp=sharing"",""หนองบัวลำภู!J458"")"),0)</f>
        <v>0</v>
      </c>
      <c r="BT48" s="216">
        <f t="shared" ca="1" si="66"/>
        <v>0</v>
      </c>
      <c r="BU48" s="152">
        <f ca="1">IFERROR(__xludf.DUMMYFUNCTION("IMPORTRANGE(""https://docs.google.com/spreadsheets/d/1Hx73zIEgVdDZZaYSTc46Dqv64atFhpr3GelxLbaIN8A/edit?usp=sharing"",""หนองบัวลำภู!J459"")"),0)</f>
        <v>0</v>
      </c>
      <c r="BV48" s="152">
        <f ca="1">IFERROR(__xludf.DUMMYFUNCTION("IMPORTRANGE(""https://docs.google.com/spreadsheets/d/1Hx73zIEgVdDZZaYSTc46Dqv64atFhpr3GelxLbaIN8A/edit?usp=sharing"",""หนองบัวลำภู!J460"")"),0)</f>
        <v>0</v>
      </c>
      <c r="BW48" s="152">
        <f ca="1">IFERROR(__xludf.DUMMYFUNCTION("IMPORTRANGE(""https://docs.google.com/spreadsheets/d/1Hx73zIEgVdDZZaYSTc46Dqv64atFhpr3GelxLbaIN8A/edit?usp=sharing"",""หนองบัวลำภู!J461"")"),0)</f>
        <v>0</v>
      </c>
      <c r="BX48" s="152">
        <f ca="1">IFERROR(__xludf.DUMMYFUNCTION("IMPORTRANGE(""https://docs.google.com/spreadsheets/d/1Hx73zIEgVdDZZaYSTc46Dqv64atFhpr3GelxLbaIN8A/edit?usp=sharing"",""หนองบัวลำภู!J462"")"),0)</f>
        <v>0</v>
      </c>
      <c r="BY48" s="152">
        <f ca="1">IFERROR(__xludf.DUMMYFUNCTION("IMPORTRANGE(""https://docs.google.com/spreadsheets/d/1Hx73zIEgVdDZZaYSTc46Dqv64atFhpr3GelxLbaIN8A/edit?usp=sharing"",""หนองบัวลำภู!J463"")"),0)</f>
        <v>0</v>
      </c>
      <c r="BZ48" s="152">
        <f ca="1">IFERROR(__xludf.DUMMYFUNCTION("IMPORTRANGE(""https://docs.google.com/spreadsheets/d/1Hx73zIEgVdDZZaYSTc46Dqv64atFhpr3GelxLbaIN8A/edit?usp=sharing"",""หนองบัวลำภู!J464"")"),0)</f>
        <v>0</v>
      </c>
      <c r="CA48" s="152">
        <f ca="1">IFERROR(__xludf.DUMMYFUNCTION("IMPORTRANGE(""https://docs.google.com/spreadsheets/d/1Hx73zIEgVdDZZaYSTc46Dqv64atFhpr3GelxLbaIN8A/edit?usp=sharing"",""หนองบัวลำภู!J465"")"),0)</f>
        <v>0</v>
      </c>
      <c r="CB48" s="152">
        <f ca="1">IFERROR(__xludf.DUMMYFUNCTION("IMPORTRANGE(""https://docs.google.com/spreadsheets/d/1Hx73zIEgVdDZZaYSTc46Dqv64atFhpr3GelxLbaIN8A/edit?usp=sharing"",""หนองบัวลำภู!J466"")"),0)</f>
        <v>0</v>
      </c>
      <c r="CC48" s="152">
        <f ca="1">IFERROR(__xludf.DUMMYFUNCTION("IMPORTRANGE(""https://docs.google.com/spreadsheets/d/1Hx73zIEgVdDZZaYSTc46Dqv64atFhpr3GelxLbaIN8A/edit?usp=sharing"",""หนองบัวลำภู!J467"")"),0)</f>
        <v>0</v>
      </c>
      <c r="CD48" s="152">
        <f ca="1">IFERROR(__xludf.DUMMYFUNCTION("IMPORTRANGE(""https://docs.google.com/spreadsheets/d/1Hx73zIEgVdDZZaYSTc46Dqv64atFhpr3GelxLbaIN8A/edit?usp=sharing"",""หนองบัวลำภู!J468"")"),0)</f>
        <v>0</v>
      </c>
      <c r="CE48" s="152">
        <f ca="1">IFERROR(__xludf.DUMMYFUNCTION("IMPORTRANGE(""https://docs.google.com/spreadsheets/d/1Hx73zIEgVdDZZaYSTc46Dqv64atFhpr3GelxLbaIN8A/edit?usp=sharing"",""หนองบัวลำภู!J469"")"),0)</f>
        <v>0</v>
      </c>
      <c r="CF48" s="152">
        <f ca="1">IFERROR(__xludf.DUMMYFUNCTION("IMPORTRANGE(""https://docs.google.com/spreadsheets/d/1Hx73zIEgVdDZZaYSTc46Dqv64atFhpr3GelxLbaIN8A/edit?usp=sharing"",""หนองบัวลำภู!J470"")"),0)</f>
        <v>0</v>
      </c>
      <c r="CG48" s="152">
        <f ca="1">IFERROR(__xludf.DUMMYFUNCTION("IMPORTRANGE(""https://docs.google.com/spreadsheets/d/1Hx73zIEgVdDZZaYSTc46Dqv64atFhpr3GelxLbaIN8A/edit?usp=sharing"",""หนองบัวลำภู!J471"")"),0)</f>
        <v>0</v>
      </c>
      <c r="CH48" s="152">
        <f ca="1">IFERROR(__xludf.DUMMYFUNCTION("IMPORTRANGE(""https://docs.google.com/spreadsheets/d/1Hx73zIEgVdDZZaYSTc46Dqv64atFhpr3GelxLbaIN8A/edit?usp=sharing"",""หนองบัวลำภู!J472"")"),0)</f>
        <v>0</v>
      </c>
      <c r="CI48" s="152">
        <f ca="1">IFERROR(__xludf.DUMMYFUNCTION("IMPORTRANGE(""https://docs.google.com/spreadsheets/d/1Hx73zIEgVdDZZaYSTc46Dqv64atFhpr3GelxLbaIN8A/edit?usp=sharing"",""หนองบัวลำภู!J473"")"),0)</f>
        <v>0</v>
      </c>
      <c r="CJ48" s="152">
        <f ca="1">IFERROR(__xludf.DUMMYFUNCTION("IMPORTRANGE(""https://docs.google.com/spreadsheets/d/1Hx73zIEgVdDZZaYSTc46Dqv64atFhpr3GelxLbaIN8A/edit?usp=sharing"",""หนองบัวลำภู!J474"")"),0)</f>
        <v>0</v>
      </c>
      <c r="CK48" s="278">
        <f ca="1">IFERROR(__xludf.DUMMYFUNCTION("IMPORTRANGE(""https://docs.google.com/spreadsheets/d/1Hx73zIEgVdDZZaYSTc46Dqv64atFhpr3GelxLbaIN8A/edit?usp=sharing"",""หนองบัวลำภู!I476"")"),0)</f>
        <v>0</v>
      </c>
      <c r="CL48" s="278">
        <f ca="1">IFERROR(__xludf.DUMMYFUNCTION("IMPORTRANGE(""https://docs.google.com/spreadsheets/d/1Hx73zIEgVdDZZaYSTc46Dqv64atFhpr3GelxLbaIN8A/edit?usp=sharing"",""หนองบัวลำภู!I477"")"),0)</f>
        <v>0</v>
      </c>
      <c r="CM48" s="278">
        <f ca="1">IFERROR(__xludf.DUMMYFUNCTION("IMPORTRANGE(""https://docs.google.com/spreadsheets/d/1Hx73zIEgVdDZZaYSTc46Dqv64atFhpr3GelxLbaIN8A/edit?usp=sharing"",""หนองบัวลำภู!J476"")"),0)</f>
        <v>0</v>
      </c>
      <c r="CN48" s="216">
        <f t="shared" ca="1" si="68"/>
        <v>0</v>
      </c>
      <c r="CO48" s="278">
        <f ca="1">IFERROR(__xludf.DUMMYFUNCTION("IMPORTRANGE(""https://docs.google.com/spreadsheets/d/1Hx73zIEgVdDZZaYSTc46Dqv64atFhpr3GelxLbaIN8A/edit?usp=sharing"",""หนองบัวลำภู!J477"")"),0)</f>
        <v>0</v>
      </c>
      <c r="CP48" s="216">
        <f t="shared" ca="1" si="69"/>
        <v>0</v>
      </c>
      <c r="CQ48" s="278">
        <f ca="1">IFERROR(__xludf.DUMMYFUNCTION("IMPORTRANGE(""https://docs.google.com/spreadsheets/d/1Hx73zIEgVdDZZaYSTc46Dqv64atFhpr3GelxLbaIN8A/edit?usp=sharing"",""หนองบัวลำภู!J478"")"),0)</f>
        <v>0</v>
      </c>
      <c r="CR48" s="278">
        <f ca="1">IFERROR(__xludf.DUMMYFUNCTION("IMPORTRANGE(""https://docs.google.com/spreadsheets/d/1Hx73zIEgVdDZZaYSTc46Dqv64atFhpr3GelxLbaIN8A/edit?usp=sharing"",""หนองบัวลำภู!J479"")"),0)</f>
        <v>0</v>
      </c>
      <c r="CS48" s="278">
        <f ca="1">IFERROR(__xludf.DUMMYFUNCTION("IMPORTRANGE(""https://docs.google.com/spreadsheets/d/1Hx73zIEgVdDZZaYSTc46Dqv64atFhpr3GelxLbaIN8A/edit?usp=sharing"",""หนองบัวลำภู!J480"")"),0)</f>
        <v>0</v>
      </c>
      <c r="CT48" s="278">
        <f ca="1">IFERROR(__xludf.DUMMYFUNCTION("IMPORTRANGE(""https://docs.google.com/spreadsheets/d/1Hx73zIEgVdDZZaYSTc46Dqv64atFhpr3GelxLbaIN8A/edit?usp=sharing"",""หนองบัวลำภู!J481"")"),0)</f>
        <v>0</v>
      </c>
      <c r="CU48" s="278">
        <f ca="1">IFERROR(__xludf.DUMMYFUNCTION("IMPORTRANGE(""https://docs.google.com/spreadsheets/d/1Hx73zIEgVdDZZaYSTc46Dqv64atFhpr3GelxLbaIN8A/edit?usp=sharing"",""หนองบัวลำภู!I484"")"),69)</f>
        <v>69</v>
      </c>
      <c r="CV48" s="278">
        <f ca="1">IFERROR(__xludf.DUMMYFUNCTION("IMPORTRANGE(""https://docs.google.com/spreadsheets/d/1Hx73zIEgVdDZZaYSTc46Dqv64atFhpr3GelxLbaIN8A/edit?usp=sharing"",""หนองบัวลำภู!I485"")"),4)</f>
        <v>4</v>
      </c>
      <c r="CW48" s="278">
        <f ca="1">IFERROR(__xludf.DUMMYFUNCTION("IMPORTRANGE(""https://docs.google.com/spreadsheets/d/1Hx73zIEgVdDZZaYSTc46Dqv64atFhpr3GelxLbaIN8A/edit?usp=sharing"",""หนองบัวลำภู!J484"")"),0)</f>
        <v>0</v>
      </c>
      <c r="CX48" s="216">
        <f t="shared" ca="1" si="71"/>
        <v>0</v>
      </c>
      <c r="CY48" s="278">
        <f ca="1">IFERROR(__xludf.DUMMYFUNCTION("IMPORTRANGE(""https://docs.google.com/spreadsheets/d/1Hx73zIEgVdDZZaYSTc46Dqv64atFhpr3GelxLbaIN8A/edit?usp=sharing"",""หนองบัวลำภู!J485"")"),0)</f>
        <v>0</v>
      </c>
      <c r="CZ48" s="216">
        <f t="shared" ca="1" si="72"/>
        <v>0</v>
      </c>
      <c r="DA48" s="278">
        <f ca="1">IFERROR(__xludf.DUMMYFUNCTION("IMPORTRANGE(""https://docs.google.com/spreadsheets/d/1Hx73zIEgVdDZZaYSTc46Dqv64atFhpr3GelxLbaIN8A/edit?usp=sharing"",""หนองบัวลำภู!J486"")"),0)</f>
        <v>0</v>
      </c>
      <c r="DB48" s="278">
        <f ca="1">IFERROR(__xludf.DUMMYFUNCTION("IMPORTRANGE(""https://docs.google.com/spreadsheets/d/1Hx73zIEgVdDZZaYSTc46Dqv64atFhpr3GelxLbaIN8A/edit?usp=sharing"",""หนองบัวลำภู!J487"")"),0)</f>
        <v>0</v>
      </c>
      <c r="DC48" s="278">
        <f ca="1">IFERROR(__xludf.DUMMYFUNCTION("IMPORTRANGE(""https://docs.google.com/spreadsheets/d/1Hx73zIEgVdDZZaYSTc46Dqv64atFhpr3GelxLbaIN8A/edit?usp=sharing"",""หนองบัวลำภู!J488"")"),0)</f>
        <v>0</v>
      </c>
      <c r="DD48" s="278">
        <f ca="1">IFERROR(__xludf.DUMMYFUNCTION("IMPORTRANGE(""https://docs.google.com/spreadsheets/d/1Hx73zIEgVdDZZaYSTc46Dqv64atFhpr3GelxLbaIN8A/edit?usp=sharing"",""หนองบัวลำภู!J489"")"),0)</f>
        <v>0</v>
      </c>
      <c r="DE48" s="278">
        <f ca="1">IFERROR(__xludf.DUMMYFUNCTION("IMPORTRANGE(""https://docs.google.com/spreadsheets/d/1Hx73zIEgVdDZZaYSTc46Dqv64atFhpr3GelxLbaIN8A/edit?usp=sharing"",""หนองบัวลำภู!J490"")"),0)</f>
        <v>0</v>
      </c>
      <c r="DF48" s="278">
        <f ca="1">IFERROR(__xludf.DUMMYFUNCTION("IMPORTRANGE(""https://docs.google.com/spreadsheets/d/1Hx73zIEgVdDZZaYSTc46Dqv64atFhpr3GelxLbaIN8A/edit?usp=sharing"",""หนองบัวลำภู!J491"")"),0)</f>
        <v>0</v>
      </c>
    </row>
    <row r="49" spans="1:110" ht="19.5" x14ac:dyDescent="0.3">
      <c r="A49" s="147">
        <v>18</v>
      </c>
      <c r="B49" s="148" t="s">
        <v>77</v>
      </c>
      <c r="C49" s="566">
        <f t="shared" ca="1" si="44"/>
        <v>27430</v>
      </c>
      <c r="D49" s="567">
        <f t="shared" ca="1" si="84"/>
        <v>27430</v>
      </c>
      <c r="E49" s="329">
        <f ca="1">IFERROR(__xludf.DUMMYFUNCTION("IMPORTRANGE(""https://docs.google.com/spreadsheets/d/1-uDff_7J0KD5mKrp0Vvzr7lt3OU09vwQwhkpOPPYv2Y/edit?usp=sharing"",""งบพรบ!IP49"")"),0)</f>
        <v>0</v>
      </c>
      <c r="F49" s="329">
        <f ca="1">IFERROR(__xludf.DUMMYFUNCTION("IMPORTRANGE(""https://docs.google.com/spreadsheets/d/1-uDff_7J0KD5mKrp0Vvzr7lt3OU09vwQwhkpOPPYv2Y/edit?usp=sharing"",""งบพรบ!IQ49"")"),27430)</f>
        <v>27430</v>
      </c>
      <c r="G49" s="329">
        <f ca="1">IFERROR(__xludf.DUMMYFUNCTION("IMPORTRANGE(""https://docs.google.com/spreadsheets/d/1-uDff_7J0KD5mKrp0Vvzr7lt3OU09vwQwhkpOPPYv2Y/edit?usp=sharing"",""งบพรบ!IR49"")"),0)</f>
        <v>0</v>
      </c>
      <c r="H49" s="329">
        <f ca="1">IFERROR(__xludf.DUMMYFUNCTION("IMPORTRANGE(""https://docs.google.com/spreadsheets/d/1-uDff_7J0KD5mKrp0Vvzr7lt3OU09vwQwhkpOPPYv2Y/edit?usp=sharing"",""งบพรบ!IT49"")"),27430)</f>
        <v>27430</v>
      </c>
      <c r="I49" s="329">
        <f ca="1">IFERROR(__xludf.DUMMYFUNCTION("IMPORTRANGE(""https://docs.google.com/spreadsheets/d/1-uDff_7J0KD5mKrp0Vvzr7lt3OU09vwQwhkpOPPYv2Y/edit?usp=sharing"",""งบพรบ!IU49"")"),0)</f>
        <v>0</v>
      </c>
      <c r="J49" s="329">
        <f t="shared" ca="1" si="46"/>
        <v>15080</v>
      </c>
      <c r="K49" s="568">
        <f t="shared" ca="1" si="47"/>
        <v>54.976303317535546</v>
      </c>
      <c r="L49" s="329">
        <f ca="1">IFERROR(__xludf.DUMMYFUNCTION("IMPORTRANGE(""https://docs.google.com/spreadsheets/d/1-uDff_7J0KD5mKrp0Vvzr7lt3OU09vwQwhkpOPPYv2Y/edit?usp=sharing"",""งบพรบ!IV49"")"),15080)</f>
        <v>15080</v>
      </c>
      <c r="M49" s="330">
        <f t="shared" ca="1" si="48"/>
        <v>54.976303317535546</v>
      </c>
      <c r="N49" s="330">
        <f t="shared" ca="1" si="49"/>
        <v>54.976303317535546</v>
      </c>
      <c r="O49" s="569">
        <f ca="1">IFERROR(__xludf.DUMMYFUNCTION("IMPORTRANGE(""https://docs.google.com/spreadsheets/d/1-uDff_7J0KD5mKrp0Vvzr7lt3OU09vwQwhkpOPPYv2Y/edit?usp=sharing"",""งบพรบ!IW49"")"),0)</f>
        <v>0</v>
      </c>
      <c r="P49" s="569">
        <f t="shared" ca="1" si="50"/>
        <v>0</v>
      </c>
      <c r="Q49" s="330">
        <f t="shared" ca="1" si="51"/>
        <v>0</v>
      </c>
      <c r="R49" s="564">
        <f ca="1">IFERROR(__xludf.DUMMYFUNCTION("IMPORTRANGE(""https://docs.google.com/spreadsheets/d/1lFxr3ctmjFN90yc-xV6jrQ9Ty8BKYVBWnAZ15wcNIJc/edit?usp=sharing"",""อำนาจเจริญ!Q413"")"),15390)</f>
        <v>15390</v>
      </c>
      <c r="S49" s="564">
        <f ca="1">IFERROR(__xludf.DUMMYFUNCTION("IMPORTRANGE(""https://docs.google.com/spreadsheets/d/1lFxr3ctmjFN90yc-xV6jrQ9Ty8BKYVBWnAZ15wcNIJc/edit?usp=sharing"",""อำนาจเจริญ!R413"")"),15390)</f>
        <v>15390</v>
      </c>
      <c r="T49" s="564">
        <f ca="1">IFERROR(__xludf.DUMMYFUNCTION("IMPORTRANGE(""https://docs.google.com/spreadsheets/d/1lFxr3ctmjFN90yc-xV6jrQ9Ty8BKYVBWnAZ15wcNIJc/edit?usp=sharing"",""อำนาจเจริญ!S413"")"),15390)</f>
        <v>15390</v>
      </c>
      <c r="U49" s="565">
        <f t="shared" ca="1" si="53"/>
        <v>100</v>
      </c>
      <c r="V49" s="565">
        <f t="shared" ca="1" si="54"/>
        <v>100</v>
      </c>
      <c r="W49" s="152">
        <f ca="1">IFERROR(__xludf.DUMMYFUNCTION("IMPORTRANGE(""https://docs.google.com/spreadsheets/d/1lFxr3ctmjFN90yc-xV6jrQ9Ty8BKYVBWnAZ15wcNIJc/edit?usp=sharing"",""อำนาจเจริญ!I424"")"),0)</f>
        <v>0</v>
      </c>
      <c r="X49" s="152">
        <f ca="1">IFERROR(__xludf.DUMMYFUNCTION("IMPORTRANGE(""https://docs.google.com/spreadsheets/d/1lFxr3ctmjFN90yc-xV6jrQ9Ty8BKYVBWnAZ15wcNIJc/edit?usp=sharing"",""อำนาจเจริญ!I425"")"),0)</f>
        <v>0</v>
      </c>
      <c r="Y49" s="152">
        <f ca="1">IFERROR(__xludf.DUMMYFUNCTION("IMPORTRANGE(""https://docs.google.com/spreadsheets/d/1lFxr3ctmjFN90yc-xV6jrQ9Ty8BKYVBWnAZ15wcNIJc/edit?usp=sharing"",""อำนาจเจริญ!J424"")"),0)</f>
        <v>0</v>
      </c>
      <c r="Z49" s="216">
        <f t="shared" ca="1" si="56"/>
        <v>0</v>
      </c>
      <c r="AA49" s="152">
        <f ca="1">IFERROR(__xludf.DUMMYFUNCTION("IMPORTRANGE(""https://docs.google.com/spreadsheets/d/1lFxr3ctmjFN90yc-xV6jrQ9Ty8BKYVBWnAZ15wcNIJc/edit?usp=sharing"",""อำนาจเจริญ!J425"")"),0)</f>
        <v>0</v>
      </c>
      <c r="AB49" s="216">
        <f t="shared" ca="1" si="57"/>
        <v>0</v>
      </c>
      <c r="AC49" s="152">
        <f ca="1">IFERROR(__xludf.DUMMYFUNCTION("IMPORTRANGE(""https://docs.google.com/spreadsheets/d/1lFxr3ctmjFN90yc-xV6jrQ9Ty8BKYVBWnAZ15wcNIJc/edit?usp=sharing"",""อำนาจเจริญ!J426"")"),0)</f>
        <v>0</v>
      </c>
      <c r="AD49" s="152">
        <f ca="1">IFERROR(__xludf.DUMMYFUNCTION("IMPORTRANGE(""https://docs.google.com/spreadsheets/d/1lFxr3ctmjFN90yc-xV6jrQ9Ty8BKYVBWnAZ15wcNIJc/edit?usp=sharing"",""อำนาจเจริญ!J427"")"),0)</f>
        <v>0</v>
      </c>
      <c r="AE49" s="152">
        <f ca="1">IFERROR(__xludf.DUMMYFUNCTION("IMPORTRANGE(""https://docs.google.com/spreadsheets/d/1lFxr3ctmjFN90yc-xV6jrQ9Ty8BKYVBWnAZ15wcNIJc/edit?usp=sharing"",""อำนาจเจริญ!J428"")"),0)</f>
        <v>0</v>
      </c>
      <c r="AF49" s="152">
        <f ca="1">IFERROR(__xludf.DUMMYFUNCTION("IMPORTRANGE(""https://docs.google.com/spreadsheets/d/1lFxr3ctmjFN90yc-xV6jrQ9Ty8BKYVBWnAZ15wcNIJc/edit?usp=sharing"",""อำนาจเจริญ!J429"")"),0)</f>
        <v>0</v>
      </c>
      <c r="AG49" s="152">
        <f ca="1">IFERROR(__xludf.DUMMYFUNCTION("IMPORTRANGE(""https://docs.google.com/spreadsheets/d/1lFxr3ctmjFN90yc-xV6jrQ9Ty8BKYVBWnAZ15wcNIJc/edit?usp=sharing"",""อำนาจเจริญ!J430"")"),0)</f>
        <v>0</v>
      </c>
      <c r="AH49" s="152">
        <f ca="1">IFERROR(__xludf.DUMMYFUNCTION("IMPORTRANGE(""https://docs.google.com/spreadsheets/d/1lFxr3ctmjFN90yc-xV6jrQ9Ty8BKYVBWnAZ15wcNIJc/edit?usp=sharing"",""อำนาจเจริญ!J431"")"),0)</f>
        <v>0</v>
      </c>
      <c r="AI49" s="152">
        <f ca="1">IFERROR(__xludf.DUMMYFUNCTION("IMPORTRANGE(""https://docs.google.com/spreadsheets/d/1lFxr3ctmjFN90yc-xV6jrQ9Ty8BKYVBWnAZ15wcNIJc/edit?usp=sharing"",""อำนาจเจริญ!I432"")"),0)</f>
        <v>0</v>
      </c>
      <c r="AJ49" s="152">
        <f ca="1">IFERROR(__xludf.DUMMYFUNCTION("IMPORTRANGE(""https://docs.google.com/spreadsheets/d/1lFxr3ctmjFN90yc-xV6jrQ9Ty8BKYVBWnAZ15wcNIJc/edit?usp=sharing"",""อำนาจเจริญ!I433"")"),0)</f>
        <v>0</v>
      </c>
      <c r="AK49" s="216">
        <f ca="1">IFERROR(__xludf.DUMMYFUNCTION("IMPORTRANGE(""https://docs.google.com/spreadsheets/d/1lFxr3ctmjFN90yc-xV6jrQ9Ty8BKYVBWnAZ15wcNIJc/edit?usp=sharing"",""อำนาจเจริญ!J432"")"),0)</f>
        <v>0</v>
      </c>
      <c r="AL49" s="216">
        <f t="shared" ca="1" si="59"/>
        <v>0</v>
      </c>
      <c r="AM49" s="152">
        <f ca="1">IFERROR(__xludf.DUMMYFUNCTION("IMPORTRANGE(""https://docs.google.com/spreadsheets/d/1lFxr3ctmjFN90yc-xV6jrQ9Ty8BKYVBWnAZ15wcNIJc/edit?usp=sharing"",""อำนาจเจริญ!J433"")"),0)</f>
        <v>0</v>
      </c>
      <c r="AN49" s="216">
        <f t="shared" ca="1" si="60"/>
        <v>0</v>
      </c>
      <c r="AO49" s="152">
        <f ca="1">IFERROR(__xludf.DUMMYFUNCTION("IMPORTRANGE(""https://docs.google.com/spreadsheets/d/1lFxr3ctmjFN90yc-xV6jrQ9Ty8BKYVBWnAZ15wcNIJc/edit?usp=sharing"",""อำนาจเจริญ!J434"")"),0)</f>
        <v>0</v>
      </c>
      <c r="AP49" s="152">
        <f ca="1">IFERROR(__xludf.DUMMYFUNCTION("IMPORTRANGE(""https://docs.google.com/spreadsheets/d/1lFxr3ctmjFN90yc-xV6jrQ9Ty8BKYVBWnAZ15wcNIJc/edit?usp=sharing"",""อำนาจเจริญ!J435"")"),0)</f>
        <v>0</v>
      </c>
      <c r="AQ49" s="152">
        <f ca="1">IFERROR(__xludf.DUMMYFUNCTION("IMPORTRANGE(""https://docs.google.com/spreadsheets/d/1lFxr3ctmjFN90yc-xV6jrQ9Ty8BKYVBWnAZ15wcNIJc/edit?usp=sharing"",""อำนาจเจริญ!J436"")"),0)</f>
        <v>0</v>
      </c>
      <c r="AR49" s="152">
        <f ca="1">IFERROR(__xludf.DUMMYFUNCTION("IMPORTRANGE(""https://docs.google.com/spreadsheets/d/1lFxr3ctmjFN90yc-xV6jrQ9Ty8BKYVBWnAZ15wcNIJc/edit?usp=sharing"",""อำนาจเจริญ!J437"")"),0)</f>
        <v>0</v>
      </c>
      <c r="AS49" s="152">
        <f ca="1">IFERROR(__xludf.DUMMYFUNCTION("IMPORTRANGE(""https://docs.google.com/spreadsheets/d/1lFxr3ctmjFN90yc-xV6jrQ9Ty8BKYVBWnAZ15wcNIJc/edit?usp=sharing"",""อำนาจเจริญ!J438"")"),0)</f>
        <v>0</v>
      </c>
      <c r="AT49" s="152">
        <f ca="1">IFERROR(__xludf.DUMMYFUNCTION("IMPORTRANGE(""https://docs.google.com/spreadsheets/d/1lFxr3ctmjFN90yc-xV6jrQ9Ty8BKYVBWnAZ15wcNIJc/edit?usp=sharing"",""อำนาจเจริญ!J439"")"),0)</f>
        <v>0</v>
      </c>
      <c r="AU49" s="152">
        <f ca="1">IFERROR(__xludf.DUMMYFUNCTION("IMPORTRANGE(""https://docs.google.com/spreadsheets/d/1lFxr3ctmjFN90yc-xV6jrQ9Ty8BKYVBWnAZ15wcNIJc/edit?usp=sharing"",""อำนาจเจริญ!I440"")"),0)</f>
        <v>0</v>
      </c>
      <c r="AV49" s="152">
        <f ca="1">IFERROR(__xludf.DUMMYFUNCTION("IMPORTRANGE(""https://docs.google.com/spreadsheets/d/1lFxr3ctmjFN90yc-xV6jrQ9Ty8BKYVBWnAZ15wcNIJc/edit?usp=sharing"",""อำนาจเจริญ!I441"")"),0)</f>
        <v>0</v>
      </c>
      <c r="AW49" s="152">
        <f ca="1">IFERROR(__xludf.DUMMYFUNCTION("IMPORTRANGE(""https://docs.google.com/spreadsheets/d/1lFxr3ctmjFN90yc-xV6jrQ9Ty8BKYVBWnAZ15wcNIJc/edit?usp=sharing"",""อำนาจเจริญ!J440"")"),0)</f>
        <v>0</v>
      </c>
      <c r="AX49" s="216">
        <f t="shared" ca="1" si="62"/>
        <v>0</v>
      </c>
      <c r="AY49" s="152">
        <f ca="1">IFERROR(__xludf.DUMMYFUNCTION("IMPORTRANGE(""https://docs.google.com/spreadsheets/d/1lFxr3ctmjFN90yc-xV6jrQ9Ty8BKYVBWnAZ15wcNIJc/edit?usp=sharing"",""อำนาจเจริญ!J441"")"),0)</f>
        <v>0</v>
      </c>
      <c r="AZ49" s="216">
        <f t="shared" ca="1" si="63"/>
        <v>0</v>
      </c>
      <c r="BA49" s="152">
        <f ca="1">IFERROR(__xludf.DUMMYFUNCTION("IMPORTRANGE(""https://docs.google.com/spreadsheets/d/1lFxr3ctmjFN90yc-xV6jrQ9Ty8BKYVBWnAZ15wcNIJc/edit?usp=sharing"",""อำนาจเจริญ!J442"")"),0)</f>
        <v>0</v>
      </c>
      <c r="BB49" s="152">
        <f ca="1">IFERROR(__xludf.DUMMYFUNCTION("IMPORTRANGE(""https://docs.google.com/spreadsheets/d/1lFxr3ctmjFN90yc-xV6jrQ9Ty8BKYVBWnAZ15wcNIJc/edit?usp=sharing"",""อำนาจเจริญ!J443"")"),0)</f>
        <v>0</v>
      </c>
      <c r="BC49" s="152">
        <f ca="1">IFERROR(__xludf.DUMMYFUNCTION("IMPORTRANGE(""https://docs.google.com/spreadsheets/d/1lFxr3ctmjFN90yc-xV6jrQ9Ty8BKYVBWnAZ15wcNIJc/edit?usp=sharing"",""อำนาจเจริญ!J444"")"),0)</f>
        <v>0</v>
      </c>
      <c r="BD49" s="152">
        <f ca="1">IFERROR(__xludf.DUMMYFUNCTION("IMPORTRANGE(""https://docs.google.com/spreadsheets/d/1lFxr3ctmjFN90yc-xV6jrQ9Ty8BKYVBWnAZ15wcNIJc/edit?usp=sharing"",""อำนาจเจริญ!J445"")"),0)</f>
        <v>0</v>
      </c>
      <c r="BE49" s="152">
        <f ca="1">IFERROR(__xludf.DUMMYFUNCTION("IMPORTRANGE(""https://docs.google.com/spreadsheets/d/1lFxr3ctmjFN90yc-xV6jrQ9Ty8BKYVBWnAZ15wcNIJc/edit?usp=sharing"",""อำนาจเจริญ!J446"")"),0)</f>
        <v>0</v>
      </c>
      <c r="BF49" s="152">
        <f ca="1">IFERROR(__xludf.DUMMYFUNCTION("IMPORTRANGE(""https://docs.google.com/spreadsheets/d/1lFxr3ctmjFN90yc-xV6jrQ9Ty8BKYVBWnAZ15wcNIJc/edit?usp=sharing"",""อำนาจเจริญ!J447"")"),0)</f>
        <v>0</v>
      </c>
      <c r="BG49" s="152">
        <f ca="1">IFERROR(__xludf.DUMMYFUNCTION("IMPORTRANGE(""https://docs.google.com/spreadsheets/d/1lFxr3ctmjFN90yc-xV6jrQ9Ty8BKYVBWnAZ15wcNIJc/edit?usp=sharing"",""อำนาจเจริญ!J448"")"),0)</f>
        <v>0</v>
      </c>
      <c r="BH49" s="152">
        <f ca="1">IFERROR(__xludf.DUMMYFUNCTION("IMPORTRANGE(""https://docs.google.com/spreadsheets/d/1lFxr3ctmjFN90yc-xV6jrQ9Ty8BKYVBWnAZ15wcNIJc/edit?usp=sharing"",""อำนาจเจริญ!J449"")"),0)</f>
        <v>0</v>
      </c>
      <c r="BI49" s="152">
        <f ca="1">IFERROR(__xludf.DUMMYFUNCTION("IMPORTRANGE(""https://docs.google.com/spreadsheets/d/1lFxr3ctmjFN90yc-xV6jrQ9Ty8BKYVBWnAZ15wcNIJc/edit?usp=sharing"",""อำนาจเจริญ!J450"")"),0)</f>
        <v>0</v>
      </c>
      <c r="BJ49" s="152">
        <f ca="1">IFERROR(__xludf.DUMMYFUNCTION("IMPORTRANGE(""https://docs.google.com/spreadsheets/d/1lFxr3ctmjFN90yc-xV6jrQ9Ty8BKYVBWnAZ15wcNIJc/edit?usp=sharing"",""อำนาจเจริญ!J451"")"),0)</f>
        <v>0</v>
      </c>
      <c r="BK49" s="152">
        <f ca="1">IFERROR(__xludf.DUMMYFUNCTION("IMPORTRANGE(""https://docs.google.com/spreadsheets/d/1lFxr3ctmjFN90yc-xV6jrQ9Ty8BKYVBWnAZ15wcNIJc/edit?usp=sharing"",""อำนาจเจริญ!J452"")"),0)</f>
        <v>0</v>
      </c>
      <c r="BL49" s="152">
        <f ca="1">IFERROR(__xludf.DUMMYFUNCTION("IMPORTRANGE(""https://docs.google.com/spreadsheets/d/1lFxr3ctmjFN90yc-xV6jrQ9Ty8BKYVBWnAZ15wcNIJc/edit?usp=sharing"",""อำนาจเจริญ!J453"")"),0)</f>
        <v>0</v>
      </c>
      <c r="BM49" s="152">
        <f ca="1">IFERROR(__xludf.DUMMYFUNCTION("IMPORTRANGE(""https://docs.google.com/spreadsheets/d/1lFxr3ctmjFN90yc-xV6jrQ9Ty8BKYVBWnAZ15wcNIJc/edit?usp=sharing"",""อำนาจเจริญ!J454"")"),0)</f>
        <v>0</v>
      </c>
      <c r="BN49" s="152">
        <f ca="1">IFERROR(__xludf.DUMMYFUNCTION("IMPORTRANGE(""https://docs.google.com/spreadsheets/d/1lFxr3ctmjFN90yc-xV6jrQ9Ty8BKYVBWnAZ15wcNIJc/edit?usp=sharing"",""อำนาจเจริญ!J455"")"),0)</f>
        <v>0</v>
      </c>
      <c r="BO49" s="152">
        <f ca="1">IFERROR(__xludf.DUMMYFUNCTION("IMPORTRANGE(""https://docs.google.com/spreadsheets/d/1lFxr3ctmjFN90yc-xV6jrQ9Ty8BKYVBWnAZ15wcNIJc/edit?usp=sharing"",""อำนาจเจริญ!I457"")"),648.75)</f>
        <v>648.75</v>
      </c>
      <c r="BP49" s="152">
        <f ca="1">IFERROR(__xludf.DUMMYFUNCTION("IMPORTRANGE(""https://docs.google.com/spreadsheets/d/1lFxr3ctmjFN90yc-xV6jrQ9Ty8BKYVBWnAZ15wcNIJc/edit?usp=sharing"",""อำนาจเจริญ!I458"")"),53)</f>
        <v>53</v>
      </c>
      <c r="BQ49" s="152">
        <f ca="1">IFERROR(__xludf.DUMMYFUNCTION("IMPORTRANGE(""https://docs.google.com/spreadsheets/d/1lFxr3ctmjFN90yc-xV6jrQ9Ty8BKYVBWnAZ15wcNIJc/edit?usp=sharing"",""อำนาจเจริญ!J457"")"),0)</f>
        <v>0</v>
      </c>
      <c r="BR49" s="216">
        <f t="shared" ca="1" si="65"/>
        <v>0</v>
      </c>
      <c r="BS49" s="152">
        <f ca="1">IFERROR(__xludf.DUMMYFUNCTION("IMPORTRANGE(""https://docs.google.com/spreadsheets/d/1lFxr3ctmjFN90yc-xV6jrQ9Ty8BKYVBWnAZ15wcNIJc/edit?usp=sharing"",""อำนาจเจริญ!J458"")"),0)</f>
        <v>0</v>
      </c>
      <c r="BT49" s="216">
        <f t="shared" ca="1" si="66"/>
        <v>0</v>
      </c>
      <c r="BU49" s="152">
        <f ca="1">IFERROR(__xludf.DUMMYFUNCTION("IMPORTRANGE(""https://docs.google.com/spreadsheets/d/1lFxr3ctmjFN90yc-xV6jrQ9Ty8BKYVBWnAZ15wcNIJc/edit?usp=sharing"",""อำนาจเจริญ!J459"")"),0)</f>
        <v>0</v>
      </c>
      <c r="BV49" s="152">
        <f ca="1">IFERROR(__xludf.DUMMYFUNCTION("IMPORTRANGE(""https://docs.google.com/spreadsheets/d/1lFxr3ctmjFN90yc-xV6jrQ9Ty8BKYVBWnAZ15wcNIJc/edit?usp=sharing"",""อำนาจเจริญ!J460"")"),0)</f>
        <v>0</v>
      </c>
      <c r="BW49" s="152">
        <f ca="1">IFERROR(__xludf.DUMMYFUNCTION("IMPORTRANGE(""https://docs.google.com/spreadsheets/d/1lFxr3ctmjFN90yc-xV6jrQ9Ty8BKYVBWnAZ15wcNIJc/edit?usp=sharing"",""อำนาจเจริญ!J461"")"),0)</f>
        <v>0</v>
      </c>
      <c r="BX49" s="152">
        <f ca="1">IFERROR(__xludf.DUMMYFUNCTION("IMPORTRANGE(""https://docs.google.com/spreadsheets/d/1lFxr3ctmjFN90yc-xV6jrQ9Ty8BKYVBWnAZ15wcNIJc/edit?usp=sharing"",""อำนาจเจริญ!J462"")"),0)</f>
        <v>0</v>
      </c>
      <c r="BY49" s="152">
        <f ca="1">IFERROR(__xludf.DUMMYFUNCTION("IMPORTRANGE(""https://docs.google.com/spreadsheets/d/1lFxr3ctmjFN90yc-xV6jrQ9Ty8BKYVBWnAZ15wcNIJc/edit?usp=sharing"",""อำนาจเจริญ!J463"")"),0)</f>
        <v>0</v>
      </c>
      <c r="BZ49" s="152">
        <f ca="1">IFERROR(__xludf.DUMMYFUNCTION("IMPORTRANGE(""https://docs.google.com/spreadsheets/d/1lFxr3ctmjFN90yc-xV6jrQ9Ty8BKYVBWnAZ15wcNIJc/edit?usp=sharing"",""อำนาจเจริญ!J464"")"),0)</f>
        <v>0</v>
      </c>
      <c r="CA49" s="152">
        <f ca="1">IFERROR(__xludf.DUMMYFUNCTION("IMPORTRANGE(""https://docs.google.com/spreadsheets/d/1lFxr3ctmjFN90yc-xV6jrQ9Ty8BKYVBWnAZ15wcNIJc/edit?usp=sharing"",""อำนาจเจริญ!J465"")"),0)</f>
        <v>0</v>
      </c>
      <c r="CB49" s="152">
        <f ca="1">IFERROR(__xludf.DUMMYFUNCTION("IMPORTRANGE(""https://docs.google.com/spreadsheets/d/1lFxr3ctmjFN90yc-xV6jrQ9Ty8BKYVBWnAZ15wcNIJc/edit?usp=sharing"",""อำนาจเจริญ!J466"")"),0)</f>
        <v>0</v>
      </c>
      <c r="CC49" s="152">
        <f ca="1">IFERROR(__xludf.DUMMYFUNCTION("IMPORTRANGE(""https://docs.google.com/spreadsheets/d/1lFxr3ctmjFN90yc-xV6jrQ9Ty8BKYVBWnAZ15wcNIJc/edit?usp=sharing"",""อำนาจเจริญ!J467"")"),0)</f>
        <v>0</v>
      </c>
      <c r="CD49" s="152">
        <f ca="1">IFERROR(__xludf.DUMMYFUNCTION("IMPORTRANGE(""https://docs.google.com/spreadsheets/d/1lFxr3ctmjFN90yc-xV6jrQ9Ty8BKYVBWnAZ15wcNIJc/edit?usp=sharing"",""อำนาจเจริญ!J468"")"),0)</f>
        <v>0</v>
      </c>
      <c r="CE49" s="152">
        <f ca="1">IFERROR(__xludf.DUMMYFUNCTION("IMPORTRANGE(""https://docs.google.com/spreadsheets/d/1lFxr3ctmjFN90yc-xV6jrQ9Ty8BKYVBWnAZ15wcNIJc/edit?usp=sharing"",""อำนาจเจริญ!J469"")"),0)</f>
        <v>0</v>
      </c>
      <c r="CF49" s="152">
        <f ca="1">IFERROR(__xludf.DUMMYFUNCTION("IMPORTRANGE(""https://docs.google.com/spreadsheets/d/1lFxr3ctmjFN90yc-xV6jrQ9Ty8BKYVBWnAZ15wcNIJc/edit?usp=sharing"",""อำนาจเจริญ!J470"")"),0)</f>
        <v>0</v>
      </c>
      <c r="CG49" s="152">
        <f ca="1">IFERROR(__xludf.DUMMYFUNCTION("IMPORTRANGE(""https://docs.google.com/spreadsheets/d/1lFxr3ctmjFN90yc-xV6jrQ9Ty8BKYVBWnAZ15wcNIJc/edit?usp=sharing"",""อำนาจเจริญ!J471"")"),0)</f>
        <v>0</v>
      </c>
      <c r="CH49" s="152">
        <f ca="1">IFERROR(__xludf.DUMMYFUNCTION("IMPORTRANGE(""https://docs.google.com/spreadsheets/d/1lFxr3ctmjFN90yc-xV6jrQ9Ty8BKYVBWnAZ15wcNIJc/edit?usp=sharing"",""อำนาจเจริญ!J472"")"),0)</f>
        <v>0</v>
      </c>
      <c r="CI49" s="152">
        <f ca="1">IFERROR(__xludf.DUMMYFUNCTION("IMPORTRANGE(""https://docs.google.com/spreadsheets/d/1lFxr3ctmjFN90yc-xV6jrQ9Ty8BKYVBWnAZ15wcNIJc/edit?usp=sharing"",""อำนาจเจริญ!J473"")"),0)</f>
        <v>0</v>
      </c>
      <c r="CJ49" s="152">
        <f ca="1">IFERROR(__xludf.DUMMYFUNCTION("IMPORTRANGE(""https://docs.google.com/spreadsheets/d/1lFxr3ctmjFN90yc-xV6jrQ9Ty8BKYVBWnAZ15wcNIJc/edit?usp=sharing"",""อำนาจเจริญ!J474"")"),0)</f>
        <v>0</v>
      </c>
      <c r="CK49" s="278">
        <f ca="1">IFERROR(__xludf.DUMMYFUNCTION("IMPORTRANGE(""https://docs.google.com/spreadsheets/d/1lFxr3ctmjFN90yc-xV6jrQ9Ty8BKYVBWnAZ15wcNIJc/edit?usp=sharing"",""อำนาจเจริญ!I476"")"),0)</f>
        <v>0</v>
      </c>
      <c r="CL49" s="278">
        <f ca="1">IFERROR(__xludf.DUMMYFUNCTION("IMPORTRANGE(""https://docs.google.com/spreadsheets/d/1lFxr3ctmjFN90yc-xV6jrQ9Ty8BKYVBWnAZ15wcNIJc/edit?usp=sharing"",""อำนาจเจริญ!I477"")"),0)</f>
        <v>0</v>
      </c>
      <c r="CM49" s="278">
        <f ca="1">IFERROR(__xludf.DUMMYFUNCTION("IMPORTRANGE(""https://docs.google.com/spreadsheets/d/1lFxr3ctmjFN90yc-xV6jrQ9Ty8BKYVBWnAZ15wcNIJc/edit?usp=sharing"",""อำนาจเจริญ!J476"")"),0)</f>
        <v>0</v>
      </c>
      <c r="CN49" s="216">
        <f t="shared" ca="1" si="68"/>
        <v>0</v>
      </c>
      <c r="CO49" s="278">
        <f ca="1">IFERROR(__xludf.DUMMYFUNCTION("IMPORTRANGE(""https://docs.google.com/spreadsheets/d/1lFxr3ctmjFN90yc-xV6jrQ9Ty8BKYVBWnAZ15wcNIJc/edit?usp=sharing"",""อำนาจเจริญ!J477"")"),0)</f>
        <v>0</v>
      </c>
      <c r="CP49" s="216">
        <f t="shared" ca="1" si="69"/>
        <v>0</v>
      </c>
      <c r="CQ49" s="278">
        <f ca="1">IFERROR(__xludf.DUMMYFUNCTION("IMPORTRANGE(""https://docs.google.com/spreadsheets/d/1lFxr3ctmjFN90yc-xV6jrQ9Ty8BKYVBWnAZ15wcNIJc/edit?usp=sharing"",""อำนาจเจริญ!J478"")"),0)</f>
        <v>0</v>
      </c>
      <c r="CR49" s="278">
        <f ca="1">IFERROR(__xludf.DUMMYFUNCTION("IMPORTRANGE(""https://docs.google.com/spreadsheets/d/1lFxr3ctmjFN90yc-xV6jrQ9Ty8BKYVBWnAZ15wcNIJc/edit?usp=sharing"",""อำนาจเจริญ!J479"")"),0)</f>
        <v>0</v>
      </c>
      <c r="CS49" s="278">
        <f ca="1">IFERROR(__xludf.DUMMYFUNCTION("IMPORTRANGE(""https://docs.google.com/spreadsheets/d/1lFxr3ctmjFN90yc-xV6jrQ9Ty8BKYVBWnAZ15wcNIJc/edit?usp=sharing"",""อำนาจเจริญ!J480"")"),0)</f>
        <v>0</v>
      </c>
      <c r="CT49" s="278">
        <f ca="1">IFERROR(__xludf.DUMMYFUNCTION("IMPORTRANGE(""https://docs.google.com/spreadsheets/d/1lFxr3ctmjFN90yc-xV6jrQ9Ty8BKYVBWnAZ15wcNIJc/edit?usp=sharing"",""อำนาจเจริญ!J481"")"),0)</f>
        <v>0</v>
      </c>
      <c r="CU49" s="278">
        <f ca="1">IFERROR(__xludf.DUMMYFUNCTION("IMPORTRANGE(""https://docs.google.com/spreadsheets/d/1lFxr3ctmjFN90yc-xV6jrQ9Ty8BKYVBWnAZ15wcNIJc/edit?usp=sharing"",""อำนาจเจริญ!I484"")"),0)</f>
        <v>0</v>
      </c>
      <c r="CV49" s="278">
        <f ca="1">IFERROR(__xludf.DUMMYFUNCTION("IMPORTRANGE(""https://docs.google.com/spreadsheets/d/1lFxr3ctmjFN90yc-xV6jrQ9Ty8BKYVBWnAZ15wcNIJc/edit?usp=sharing"",""อำนาจเจริญ!I485"")"),0)</f>
        <v>0</v>
      </c>
      <c r="CW49" s="278">
        <f ca="1">IFERROR(__xludf.DUMMYFUNCTION("IMPORTRANGE(""https://docs.google.com/spreadsheets/d/1lFxr3ctmjFN90yc-xV6jrQ9Ty8BKYVBWnAZ15wcNIJc/edit?usp=sharing"",""อำนาจเจริญ!J484"")"),0)</f>
        <v>0</v>
      </c>
      <c r="CX49" s="216">
        <f t="shared" ca="1" si="71"/>
        <v>0</v>
      </c>
      <c r="CY49" s="278">
        <f ca="1">IFERROR(__xludf.DUMMYFUNCTION("IMPORTRANGE(""https://docs.google.com/spreadsheets/d/1lFxr3ctmjFN90yc-xV6jrQ9Ty8BKYVBWnAZ15wcNIJc/edit?usp=sharing"",""อำนาจเจริญ!J485"")"),0)</f>
        <v>0</v>
      </c>
      <c r="CZ49" s="216">
        <f t="shared" ca="1" si="72"/>
        <v>0</v>
      </c>
      <c r="DA49" s="278">
        <f ca="1">IFERROR(__xludf.DUMMYFUNCTION("IMPORTRANGE(""https://docs.google.com/spreadsheets/d/1lFxr3ctmjFN90yc-xV6jrQ9Ty8BKYVBWnAZ15wcNIJc/edit?usp=sharing"",""อำนาจเจริญ!J486"")"),0)</f>
        <v>0</v>
      </c>
      <c r="DB49" s="278">
        <f ca="1">IFERROR(__xludf.DUMMYFUNCTION("IMPORTRANGE(""https://docs.google.com/spreadsheets/d/1lFxr3ctmjFN90yc-xV6jrQ9Ty8BKYVBWnAZ15wcNIJc/edit?usp=sharing"",""อำนาจเจริญ!J487"")"),0)</f>
        <v>0</v>
      </c>
      <c r="DC49" s="278">
        <f ca="1">IFERROR(__xludf.DUMMYFUNCTION("IMPORTRANGE(""https://docs.google.com/spreadsheets/d/1lFxr3ctmjFN90yc-xV6jrQ9Ty8BKYVBWnAZ15wcNIJc/edit?usp=sharing"",""อำนาจเจริญ!J488"")"),0)</f>
        <v>0</v>
      </c>
      <c r="DD49" s="278">
        <f ca="1">IFERROR(__xludf.DUMMYFUNCTION("IMPORTRANGE(""https://docs.google.com/spreadsheets/d/1lFxr3ctmjFN90yc-xV6jrQ9Ty8BKYVBWnAZ15wcNIJc/edit?usp=sharing"",""อำนาจเจริญ!J489"")"),0)</f>
        <v>0</v>
      </c>
      <c r="DE49" s="278">
        <f ca="1">IFERROR(__xludf.DUMMYFUNCTION("IMPORTRANGE(""https://docs.google.com/spreadsheets/d/1lFxr3ctmjFN90yc-xV6jrQ9Ty8BKYVBWnAZ15wcNIJc/edit?usp=sharing"",""อำนาจเจริญ!J490"")"),0)</f>
        <v>0</v>
      </c>
      <c r="DF49" s="278">
        <f ca="1">IFERROR(__xludf.DUMMYFUNCTION("IMPORTRANGE(""https://docs.google.com/spreadsheets/d/1lFxr3ctmjFN90yc-xV6jrQ9Ty8BKYVBWnAZ15wcNIJc/edit?usp=sharing"",""อำนาจเจริญ!J491"")"),0)</f>
        <v>0</v>
      </c>
    </row>
    <row r="50" spans="1:110" ht="19.5" x14ac:dyDescent="0.3">
      <c r="A50" s="147">
        <v>19</v>
      </c>
      <c r="B50" s="148" t="s">
        <v>78</v>
      </c>
      <c r="C50" s="566">
        <f t="shared" ca="1" si="44"/>
        <v>525810</v>
      </c>
      <c r="D50" s="567">
        <f t="shared" ca="1" si="84"/>
        <v>525810</v>
      </c>
      <c r="E50" s="329">
        <f ca="1">IFERROR(__xludf.DUMMYFUNCTION("IMPORTRANGE(""https://docs.google.com/spreadsheets/d/1-uDff_7J0KD5mKrp0Vvzr7lt3OU09vwQwhkpOPPYv2Y/edit?usp=sharing"",""งบพรบ!IP50"")"),133200)</f>
        <v>133200</v>
      </c>
      <c r="F50" s="329">
        <f ca="1">IFERROR(__xludf.DUMMYFUNCTION("IMPORTRANGE(""https://docs.google.com/spreadsheets/d/1-uDff_7J0KD5mKrp0Vvzr7lt3OU09vwQwhkpOPPYv2Y/edit?usp=sharing"",""งบพรบ!IQ50"")"),392610)</f>
        <v>392610</v>
      </c>
      <c r="G50" s="329">
        <f ca="1">IFERROR(__xludf.DUMMYFUNCTION("IMPORTRANGE(""https://docs.google.com/spreadsheets/d/1-uDff_7J0KD5mKrp0Vvzr7lt3OU09vwQwhkpOPPYv2Y/edit?usp=sharing"",""งบพรบ!IR50"")"),0)</f>
        <v>0</v>
      </c>
      <c r="H50" s="329">
        <f ca="1">IFERROR(__xludf.DUMMYFUNCTION("IMPORTRANGE(""https://docs.google.com/spreadsheets/d/1-uDff_7J0KD5mKrp0Vvzr7lt3OU09vwQwhkpOPPYv2Y/edit?usp=sharing"",""งบพรบ!IT50"")"),555810)</f>
        <v>555810</v>
      </c>
      <c r="I50" s="329">
        <f ca="1">IFERROR(__xludf.DUMMYFUNCTION("IMPORTRANGE(""https://docs.google.com/spreadsheets/d/1-uDff_7J0KD5mKrp0Vvzr7lt3OU09vwQwhkpOPPYv2Y/edit?usp=sharing"",""งบพรบ!IU50"")"),0)</f>
        <v>0</v>
      </c>
      <c r="J50" s="329">
        <f t="shared" ca="1" si="46"/>
        <v>366611.57</v>
      </c>
      <c r="K50" s="568">
        <f t="shared" ca="1" si="47"/>
        <v>69.723202297407809</v>
      </c>
      <c r="L50" s="329">
        <f ca="1">IFERROR(__xludf.DUMMYFUNCTION("IMPORTRANGE(""https://docs.google.com/spreadsheets/d/1-uDff_7J0KD5mKrp0Vvzr7lt3OU09vwQwhkpOPPYv2Y/edit?usp=sharing"",""งบพรบ!IV50"")"),366611.57)</f>
        <v>366611.57</v>
      </c>
      <c r="M50" s="330">
        <f t="shared" ca="1" si="48"/>
        <v>69.723202297407809</v>
      </c>
      <c r="N50" s="330">
        <f t="shared" ca="1" si="49"/>
        <v>65.959872978175994</v>
      </c>
      <c r="O50" s="569">
        <f ca="1">IFERROR(__xludf.DUMMYFUNCTION("IMPORTRANGE(""https://docs.google.com/spreadsheets/d/1-uDff_7J0KD5mKrp0Vvzr7lt3OU09vwQwhkpOPPYv2Y/edit?usp=sharing"",""งบพรบ!IW50"")"),0)</f>
        <v>0</v>
      </c>
      <c r="P50" s="569">
        <f t="shared" ca="1" si="50"/>
        <v>0</v>
      </c>
      <c r="Q50" s="330">
        <f t="shared" ca="1" si="51"/>
        <v>0</v>
      </c>
      <c r="R50" s="564">
        <f ca="1">IFERROR(__xludf.DUMMYFUNCTION("IMPORTRANGE(""https://docs.google.com/spreadsheets/d/1gF7RJpRnL-1oyjyeWxs5SFWEH7y8ahOZsQlyp2A2e-A/edit?usp=sharing"",""อุดรธานี!Q413"")"),106780)</f>
        <v>106780</v>
      </c>
      <c r="S50" s="564">
        <f ca="1">IFERROR(__xludf.DUMMYFUNCTION("IMPORTRANGE(""https://docs.google.com/spreadsheets/d/1gF7RJpRnL-1oyjyeWxs5SFWEH7y8ahOZsQlyp2A2e-A/edit?usp=sharing"",""อุดรธานี!R413"")"),106780)</f>
        <v>106780</v>
      </c>
      <c r="T50" s="564">
        <f ca="1">IFERROR(__xludf.DUMMYFUNCTION("IMPORTRANGE(""https://docs.google.com/spreadsheets/d/1gF7RJpRnL-1oyjyeWxs5SFWEH7y8ahOZsQlyp2A2e-A/edit?usp=sharing"",""อุดรธานี!S413"")"),31135)</f>
        <v>31135</v>
      </c>
      <c r="U50" s="565">
        <f t="shared" ca="1" si="53"/>
        <v>29.158082037834802</v>
      </c>
      <c r="V50" s="565">
        <f t="shared" ca="1" si="54"/>
        <v>29.158082037834802</v>
      </c>
      <c r="W50" s="152">
        <f ca="1">IFERROR(__xludf.DUMMYFUNCTION("IMPORTRANGE(""https://docs.google.com/spreadsheets/d/1gF7RJpRnL-1oyjyeWxs5SFWEH7y8ahOZsQlyp2A2e-A/edit?usp=sharing"",""อุดรธานี!I424"")"),88685)</f>
        <v>88685</v>
      </c>
      <c r="X50" s="152">
        <f ca="1">IFERROR(__xludf.DUMMYFUNCTION("IMPORTRANGE(""https://docs.google.com/spreadsheets/d/1gF7RJpRnL-1oyjyeWxs5SFWEH7y8ahOZsQlyp2A2e-A/edit?usp=sharing"",""อุดรธานี!I425"")"),7272)</f>
        <v>7272</v>
      </c>
      <c r="Y50" s="152">
        <f ca="1">IFERROR(__xludf.DUMMYFUNCTION("IMPORTRANGE(""https://docs.google.com/spreadsheets/d/1gF7RJpRnL-1oyjyeWxs5SFWEH7y8ahOZsQlyp2A2e-A/edit?usp=sharing"",""อุดรธานี!J424"")"),88685.8)</f>
        <v>88685.8</v>
      </c>
      <c r="Z50" s="216">
        <f t="shared" ca="1" si="56"/>
        <v>100.00090206912104</v>
      </c>
      <c r="AA50" s="152">
        <f ca="1">IFERROR(__xludf.DUMMYFUNCTION("IMPORTRANGE(""https://docs.google.com/spreadsheets/d/1gF7RJpRnL-1oyjyeWxs5SFWEH7y8ahOZsQlyp2A2e-A/edit?usp=sharing"",""อุดรธานี!J425"")"),7272)</f>
        <v>7272</v>
      </c>
      <c r="AB50" s="216">
        <f t="shared" ca="1" si="57"/>
        <v>100</v>
      </c>
      <c r="AC50" s="152">
        <f ca="1">IFERROR(__xludf.DUMMYFUNCTION("IMPORTRANGE(""https://docs.google.com/spreadsheets/d/1gF7RJpRnL-1oyjyeWxs5SFWEH7y8ahOZsQlyp2A2e-A/edit?usp=sharing"",""อุดรธานี!J426"")"),72427)</f>
        <v>72427</v>
      </c>
      <c r="AD50" s="152">
        <f ca="1">IFERROR(__xludf.DUMMYFUNCTION("IMPORTRANGE(""https://docs.google.com/spreadsheets/d/1gF7RJpRnL-1oyjyeWxs5SFWEH7y8ahOZsQlyp2A2e-A/edit?usp=sharing"",""อุดรธานี!J427"")"),6056)</f>
        <v>6056</v>
      </c>
      <c r="AE50" s="152">
        <f ca="1">IFERROR(__xludf.DUMMYFUNCTION("IMPORTRANGE(""https://docs.google.com/spreadsheets/d/1gF7RJpRnL-1oyjyeWxs5SFWEH7y8ahOZsQlyp2A2e-A/edit?usp=sharing"",""อุดรธานี!J428"")"),10996.7)</f>
        <v>10996.7</v>
      </c>
      <c r="AF50" s="152">
        <f ca="1">IFERROR(__xludf.DUMMYFUNCTION("IMPORTRANGE(""https://docs.google.com/spreadsheets/d/1gF7RJpRnL-1oyjyeWxs5SFWEH7y8ahOZsQlyp2A2e-A/edit?usp=sharing"",""อุดรธานี!J429"")"),858)</f>
        <v>858</v>
      </c>
      <c r="AG50" s="152">
        <f ca="1">IFERROR(__xludf.DUMMYFUNCTION("IMPORTRANGE(""https://docs.google.com/spreadsheets/d/1gF7RJpRnL-1oyjyeWxs5SFWEH7y8ahOZsQlyp2A2e-A/edit?usp=sharing"",""อุดรธานี!J430"")"),5262.1)</f>
        <v>5262.1</v>
      </c>
      <c r="AH50" s="152">
        <f ca="1">IFERROR(__xludf.DUMMYFUNCTION("IMPORTRANGE(""https://docs.google.com/spreadsheets/d/1gF7RJpRnL-1oyjyeWxs5SFWEH7y8ahOZsQlyp2A2e-A/edit?usp=sharing"",""อุดรธานี!J431"")"),358)</f>
        <v>358</v>
      </c>
      <c r="AI50" s="152">
        <f ca="1">IFERROR(__xludf.DUMMYFUNCTION("IMPORTRANGE(""https://docs.google.com/spreadsheets/d/1gF7RJpRnL-1oyjyeWxs5SFWEH7y8ahOZsQlyp2A2e-A/edit?usp=sharing"",""อุดรธานี!I432"")"),88685)</f>
        <v>88685</v>
      </c>
      <c r="AJ50" s="152">
        <f ca="1">IFERROR(__xludf.DUMMYFUNCTION("IMPORTRANGE(""https://docs.google.com/spreadsheets/d/1gF7RJpRnL-1oyjyeWxs5SFWEH7y8ahOZsQlyp2A2e-A/edit?usp=sharing"",""อุดรธานี!I433"")"),7272)</f>
        <v>7272</v>
      </c>
      <c r="AK50" s="216">
        <f ca="1">IFERROR(__xludf.DUMMYFUNCTION("IMPORTRANGE(""https://docs.google.com/spreadsheets/d/1gF7RJpRnL-1oyjyeWxs5SFWEH7y8ahOZsQlyp2A2e-A/edit?usp=sharing"",""อุดรธานี!J432"")"),88686)</f>
        <v>88686</v>
      </c>
      <c r="AL50" s="216">
        <f t="shared" ca="1" si="59"/>
        <v>100.00112758640131</v>
      </c>
      <c r="AM50" s="152">
        <f ca="1">IFERROR(__xludf.DUMMYFUNCTION("IMPORTRANGE(""https://docs.google.com/spreadsheets/d/1gF7RJpRnL-1oyjyeWxs5SFWEH7y8ahOZsQlyp2A2e-A/edit?usp=sharing"",""อุดรธานี!J433"")"),7272)</f>
        <v>7272</v>
      </c>
      <c r="AN50" s="216">
        <f t="shared" ca="1" si="60"/>
        <v>100</v>
      </c>
      <c r="AO50" s="152">
        <f ca="1">IFERROR(__xludf.DUMMYFUNCTION("IMPORTRANGE(""https://docs.google.com/spreadsheets/d/1gF7RJpRnL-1oyjyeWxs5SFWEH7y8ahOZsQlyp2A2e-A/edit?usp=sharing"",""อุดรธานี!J434"")"),72427)</f>
        <v>72427</v>
      </c>
      <c r="AP50" s="152">
        <f ca="1">IFERROR(__xludf.DUMMYFUNCTION("IMPORTRANGE(""https://docs.google.com/spreadsheets/d/1gF7RJpRnL-1oyjyeWxs5SFWEH7y8ahOZsQlyp2A2e-A/edit?usp=sharing"",""อุดรธานี!J435"")"),6056)</f>
        <v>6056</v>
      </c>
      <c r="AQ50" s="152">
        <f ca="1">IFERROR(__xludf.DUMMYFUNCTION("IMPORTRANGE(""https://docs.google.com/spreadsheets/d/1gF7RJpRnL-1oyjyeWxs5SFWEH7y8ahOZsQlyp2A2e-A/edit?usp=sharing"",""อุดรธานี!J436"")"),10997)</f>
        <v>10997</v>
      </c>
      <c r="AR50" s="152">
        <f ca="1">IFERROR(__xludf.DUMMYFUNCTION("IMPORTRANGE(""https://docs.google.com/spreadsheets/d/1gF7RJpRnL-1oyjyeWxs5SFWEH7y8ahOZsQlyp2A2e-A/edit?usp=sharing"",""อุดรธานี!J437"")"),858)</f>
        <v>858</v>
      </c>
      <c r="AS50" s="152">
        <f ca="1">IFERROR(__xludf.DUMMYFUNCTION("IMPORTRANGE(""https://docs.google.com/spreadsheets/d/1gF7RJpRnL-1oyjyeWxs5SFWEH7y8ahOZsQlyp2A2e-A/edit?usp=sharing"",""อุดรธานี!J438"")"),5262)</f>
        <v>5262</v>
      </c>
      <c r="AT50" s="152">
        <f ca="1">IFERROR(__xludf.DUMMYFUNCTION("IMPORTRANGE(""https://docs.google.com/spreadsheets/d/1gF7RJpRnL-1oyjyeWxs5SFWEH7y8ahOZsQlyp2A2e-A/edit?usp=sharing"",""อุดรธานี!J439"")"),358)</f>
        <v>358</v>
      </c>
      <c r="AU50" s="152">
        <f ca="1">IFERROR(__xludf.DUMMYFUNCTION("IMPORTRANGE(""https://docs.google.com/spreadsheets/d/1gF7RJpRnL-1oyjyeWxs5SFWEH7y8ahOZsQlyp2A2e-A/edit?usp=sharing"",""อุดรธานี!I440"")"),88685)</f>
        <v>88685</v>
      </c>
      <c r="AV50" s="152">
        <f ca="1">IFERROR(__xludf.DUMMYFUNCTION("IMPORTRANGE(""https://docs.google.com/spreadsheets/d/1gF7RJpRnL-1oyjyeWxs5SFWEH7y8ahOZsQlyp2A2e-A/edit?usp=sharing"",""อุดรธานี!I441"")"),7272)</f>
        <v>7272</v>
      </c>
      <c r="AW50" s="152">
        <f ca="1">IFERROR(__xludf.DUMMYFUNCTION("IMPORTRANGE(""https://docs.google.com/spreadsheets/d/1gF7RJpRnL-1oyjyeWxs5SFWEH7y8ahOZsQlyp2A2e-A/edit?usp=sharing"",""อุดรธานี!J440"")"),0)</f>
        <v>0</v>
      </c>
      <c r="AX50" s="216">
        <f t="shared" ca="1" si="62"/>
        <v>0</v>
      </c>
      <c r="AY50" s="152">
        <f ca="1">IFERROR(__xludf.DUMMYFUNCTION("IMPORTRANGE(""https://docs.google.com/spreadsheets/d/1gF7RJpRnL-1oyjyeWxs5SFWEH7y8ahOZsQlyp2A2e-A/edit?usp=sharing"",""อุดรธานี!J441"")"),0)</f>
        <v>0</v>
      </c>
      <c r="AZ50" s="216">
        <f t="shared" ca="1" si="63"/>
        <v>0</v>
      </c>
      <c r="BA50" s="152">
        <f ca="1">IFERROR(__xludf.DUMMYFUNCTION("IMPORTRANGE(""https://docs.google.com/spreadsheets/d/1gF7RJpRnL-1oyjyeWxs5SFWEH7y8ahOZsQlyp2A2e-A/edit?usp=sharing"",""อุดรธานี!J442"")"),0)</f>
        <v>0</v>
      </c>
      <c r="BB50" s="152">
        <f ca="1">IFERROR(__xludf.DUMMYFUNCTION("IMPORTRANGE(""https://docs.google.com/spreadsheets/d/1gF7RJpRnL-1oyjyeWxs5SFWEH7y8ahOZsQlyp2A2e-A/edit?usp=sharing"",""อุดรธานี!J443"")"),0)</f>
        <v>0</v>
      </c>
      <c r="BC50" s="152">
        <f ca="1">IFERROR(__xludf.DUMMYFUNCTION("IMPORTRANGE(""https://docs.google.com/spreadsheets/d/1gF7RJpRnL-1oyjyeWxs5SFWEH7y8ahOZsQlyp2A2e-A/edit?usp=sharing"",""อุดรธานี!J444"")"),0)</f>
        <v>0</v>
      </c>
      <c r="BD50" s="152">
        <f ca="1">IFERROR(__xludf.DUMMYFUNCTION("IMPORTRANGE(""https://docs.google.com/spreadsheets/d/1gF7RJpRnL-1oyjyeWxs5SFWEH7y8ahOZsQlyp2A2e-A/edit?usp=sharing"",""อุดรธานี!J445"")"),0)</f>
        <v>0</v>
      </c>
      <c r="BE50" s="152">
        <f ca="1">IFERROR(__xludf.DUMMYFUNCTION("IMPORTRANGE(""https://docs.google.com/spreadsheets/d/1gF7RJpRnL-1oyjyeWxs5SFWEH7y8ahOZsQlyp2A2e-A/edit?usp=sharing"",""อุดรธานี!J446"")"),0)</f>
        <v>0</v>
      </c>
      <c r="BF50" s="152">
        <f ca="1">IFERROR(__xludf.DUMMYFUNCTION("IMPORTRANGE(""https://docs.google.com/spreadsheets/d/1gF7RJpRnL-1oyjyeWxs5SFWEH7y8ahOZsQlyp2A2e-A/edit?usp=sharing"",""อุดรธานี!J447"")"),0)</f>
        <v>0</v>
      </c>
      <c r="BG50" s="152">
        <f ca="1">IFERROR(__xludf.DUMMYFUNCTION("IMPORTRANGE(""https://docs.google.com/spreadsheets/d/1gF7RJpRnL-1oyjyeWxs5SFWEH7y8ahOZsQlyp2A2e-A/edit?usp=sharing"",""อุดรธานี!J448"")"),0)</f>
        <v>0</v>
      </c>
      <c r="BH50" s="152">
        <f ca="1">IFERROR(__xludf.DUMMYFUNCTION("IMPORTRANGE(""https://docs.google.com/spreadsheets/d/1gF7RJpRnL-1oyjyeWxs5SFWEH7y8ahOZsQlyp2A2e-A/edit?usp=sharing"",""อุดรธานี!J449"")"),0)</f>
        <v>0</v>
      </c>
      <c r="BI50" s="152">
        <f ca="1">IFERROR(__xludf.DUMMYFUNCTION("IMPORTRANGE(""https://docs.google.com/spreadsheets/d/1gF7RJpRnL-1oyjyeWxs5SFWEH7y8ahOZsQlyp2A2e-A/edit?usp=sharing"",""อุดรธานี!J450"")"),0)</f>
        <v>0</v>
      </c>
      <c r="BJ50" s="152">
        <f ca="1">IFERROR(__xludf.DUMMYFUNCTION("IMPORTRANGE(""https://docs.google.com/spreadsheets/d/1gF7RJpRnL-1oyjyeWxs5SFWEH7y8ahOZsQlyp2A2e-A/edit?usp=sharing"",""อุดรธานี!J451"")"),0)</f>
        <v>0</v>
      </c>
      <c r="BK50" s="152">
        <f ca="1">IFERROR(__xludf.DUMMYFUNCTION("IMPORTRANGE(""https://docs.google.com/spreadsheets/d/1gF7RJpRnL-1oyjyeWxs5SFWEH7y8ahOZsQlyp2A2e-A/edit?usp=sharing"",""อุดรธานี!J452"")"),0)</f>
        <v>0</v>
      </c>
      <c r="BL50" s="152">
        <f ca="1">IFERROR(__xludf.DUMMYFUNCTION("IMPORTRANGE(""https://docs.google.com/spreadsheets/d/1gF7RJpRnL-1oyjyeWxs5SFWEH7y8ahOZsQlyp2A2e-A/edit?usp=sharing"",""อุดรธานี!J453"")"),0)</f>
        <v>0</v>
      </c>
      <c r="BM50" s="152">
        <f ca="1">IFERROR(__xludf.DUMMYFUNCTION("IMPORTRANGE(""https://docs.google.com/spreadsheets/d/1gF7RJpRnL-1oyjyeWxs5SFWEH7y8ahOZsQlyp2A2e-A/edit?usp=sharing"",""อุดรธานี!J454"")"),0)</f>
        <v>0</v>
      </c>
      <c r="BN50" s="152">
        <f ca="1">IFERROR(__xludf.DUMMYFUNCTION("IMPORTRANGE(""https://docs.google.com/spreadsheets/d/1gF7RJpRnL-1oyjyeWxs5SFWEH7y8ahOZsQlyp2A2e-A/edit?usp=sharing"",""อุดรธานี!J455"")"),0)</f>
        <v>0</v>
      </c>
      <c r="BO50" s="152">
        <f ca="1">IFERROR(__xludf.DUMMYFUNCTION("IMPORTRANGE(""https://docs.google.com/spreadsheets/d/1gF7RJpRnL-1oyjyeWxs5SFWEH7y8ahOZsQlyp2A2e-A/edit?usp=sharing"",""อุดรธานี!I457"")"),7464.13)</f>
        <v>7464.13</v>
      </c>
      <c r="BP50" s="152">
        <f ca="1">IFERROR(__xludf.DUMMYFUNCTION("IMPORTRANGE(""https://docs.google.com/spreadsheets/d/1gF7RJpRnL-1oyjyeWxs5SFWEH7y8ahOZsQlyp2A2e-A/edit?usp=sharing"",""อุดรธานี!I458"")"),527)</f>
        <v>527</v>
      </c>
      <c r="BQ50" s="152">
        <f ca="1">IFERROR(__xludf.DUMMYFUNCTION("IMPORTRANGE(""https://docs.google.com/spreadsheets/d/1gF7RJpRnL-1oyjyeWxs5SFWEH7y8ahOZsQlyp2A2e-A/edit?usp=sharing"",""อุดรธานี!J457"")"),2961)</f>
        <v>2961</v>
      </c>
      <c r="BR50" s="216">
        <f t="shared" ca="1" si="65"/>
        <v>39.669727081387919</v>
      </c>
      <c r="BS50" s="152">
        <f ca="1">IFERROR(__xludf.DUMMYFUNCTION("IMPORTRANGE(""https://docs.google.com/spreadsheets/d/1gF7RJpRnL-1oyjyeWxs5SFWEH7y8ahOZsQlyp2A2e-A/edit?usp=sharing"",""อุดรธานี!J458"")"),213)</f>
        <v>213</v>
      </c>
      <c r="BT50" s="216">
        <f t="shared" ca="1" si="66"/>
        <v>40.417457305502843</v>
      </c>
      <c r="BU50" s="152">
        <f ca="1">IFERROR(__xludf.DUMMYFUNCTION("IMPORTRANGE(""https://docs.google.com/spreadsheets/d/1gF7RJpRnL-1oyjyeWxs5SFWEH7y8ahOZsQlyp2A2e-A/edit?usp=sharing"",""อุดรธานี!J459"")"),2950)</f>
        <v>2950</v>
      </c>
      <c r="BV50" s="152">
        <f ca="1">IFERROR(__xludf.DUMMYFUNCTION("IMPORTRANGE(""https://docs.google.com/spreadsheets/d/1gF7RJpRnL-1oyjyeWxs5SFWEH7y8ahOZsQlyp2A2e-A/edit?usp=sharing"",""อุดรธานี!J460"")"),212)</f>
        <v>212</v>
      </c>
      <c r="BW50" s="152">
        <f ca="1">IFERROR(__xludf.DUMMYFUNCTION("IMPORTRANGE(""https://docs.google.com/spreadsheets/d/1gF7RJpRnL-1oyjyeWxs5SFWEH7y8ahOZsQlyp2A2e-A/edit?usp=sharing"",""อุดรธานี!J461"")"),996)</f>
        <v>996</v>
      </c>
      <c r="BX50" s="152">
        <f ca="1">IFERROR(__xludf.DUMMYFUNCTION("IMPORTRANGE(""https://docs.google.com/spreadsheets/d/1gF7RJpRnL-1oyjyeWxs5SFWEH7y8ahOZsQlyp2A2e-A/edit?usp=sharing"",""อุดรธานี!J462"")"),67)</f>
        <v>67</v>
      </c>
      <c r="BY50" s="152">
        <f ca="1">IFERROR(__xludf.DUMMYFUNCTION("IMPORTRANGE(""https://docs.google.com/spreadsheets/d/1gF7RJpRnL-1oyjyeWxs5SFWEH7y8ahOZsQlyp2A2e-A/edit?usp=sharing"",""อุดรธานี!J463"")"),1954)</f>
        <v>1954</v>
      </c>
      <c r="BZ50" s="152">
        <f ca="1">IFERROR(__xludf.DUMMYFUNCTION("IMPORTRANGE(""https://docs.google.com/spreadsheets/d/1gF7RJpRnL-1oyjyeWxs5SFWEH7y8ahOZsQlyp2A2e-A/edit?usp=sharing"",""อุดรธานี!J464"")"),145)</f>
        <v>145</v>
      </c>
      <c r="CA50" s="152">
        <f ca="1">IFERROR(__xludf.DUMMYFUNCTION("IMPORTRANGE(""https://docs.google.com/spreadsheets/d/1gF7RJpRnL-1oyjyeWxs5SFWEH7y8ahOZsQlyp2A2e-A/edit?usp=sharing"",""อุดรธานี!J465"")"),0)</f>
        <v>0</v>
      </c>
      <c r="CB50" s="152">
        <f ca="1">IFERROR(__xludf.DUMMYFUNCTION("IMPORTRANGE(""https://docs.google.com/spreadsheets/d/1gF7RJpRnL-1oyjyeWxs5SFWEH7y8ahOZsQlyp2A2e-A/edit?usp=sharing"",""อุดรธานี!J466"")"),0)</f>
        <v>0</v>
      </c>
      <c r="CC50" s="152">
        <f ca="1">IFERROR(__xludf.DUMMYFUNCTION("IMPORTRANGE(""https://docs.google.com/spreadsheets/d/1gF7RJpRnL-1oyjyeWxs5SFWEH7y8ahOZsQlyp2A2e-A/edit?usp=sharing"",""อุดรธานี!J467"")"),0)</f>
        <v>0</v>
      </c>
      <c r="CD50" s="152">
        <f ca="1">IFERROR(__xludf.DUMMYFUNCTION("IMPORTRANGE(""https://docs.google.com/spreadsheets/d/1gF7RJpRnL-1oyjyeWxs5SFWEH7y8ahOZsQlyp2A2e-A/edit?usp=sharing"",""อุดรธานี!J468"")"),0)</f>
        <v>0</v>
      </c>
      <c r="CE50" s="152">
        <f ca="1">IFERROR(__xludf.DUMMYFUNCTION("IMPORTRANGE(""https://docs.google.com/spreadsheets/d/1gF7RJpRnL-1oyjyeWxs5SFWEH7y8ahOZsQlyp2A2e-A/edit?usp=sharing"",""อุดรธานี!J469"")"),0)</f>
        <v>0</v>
      </c>
      <c r="CF50" s="152">
        <f ca="1">IFERROR(__xludf.DUMMYFUNCTION("IMPORTRANGE(""https://docs.google.com/spreadsheets/d/1gF7RJpRnL-1oyjyeWxs5SFWEH7y8ahOZsQlyp2A2e-A/edit?usp=sharing"",""อุดรธานี!J470"")"),0)</f>
        <v>0</v>
      </c>
      <c r="CG50" s="152">
        <f ca="1">IFERROR(__xludf.DUMMYFUNCTION("IMPORTRANGE(""https://docs.google.com/spreadsheets/d/1gF7RJpRnL-1oyjyeWxs5SFWEH7y8ahOZsQlyp2A2e-A/edit?usp=sharing"",""อุดรธานี!J471"")"),0)</f>
        <v>0</v>
      </c>
      <c r="CH50" s="152">
        <f ca="1">IFERROR(__xludf.DUMMYFUNCTION("IMPORTRANGE(""https://docs.google.com/spreadsheets/d/1gF7RJpRnL-1oyjyeWxs5SFWEH7y8ahOZsQlyp2A2e-A/edit?usp=sharing"",""อุดรธานี!J472"")"),0)</f>
        <v>0</v>
      </c>
      <c r="CI50" s="152">
        <f ca="1">IFERROR(__xludf.DUMMYFUNCTION("IMPORTRANGE(""https://docs.google.com/spreadsheets/d/1gF7RJpRnL-1oyjyeWxs5SFWEH7y8ahOZsQlyp2A2e-A/edit?usp=sharing"",""อุดรธานี!J473"")"),11)</f>
        <v>11</v>
      </c>
      <c r="CJ50" s="152">
        <f ca="1">IFERROR(__xludf.DUMMYFUNCTION("IMPORTRANGE(""https://docs.google.com/spreadsheets/d/1gF7RJpRnL-1oyjyeWxs5SFWEH7y8ahOZsQlyp2A2e-A/edit?usp=sharing"",""อุดรธานี!J474"")"),1)</f>
        <v>1</v>
      </c>
      <c r="CK50" s="278">
        <f ca="1">IFERROR(__xludf.DUMMYFUNCTION("IMPORTRANGE(""https://docs.google.com/spreadsheets/d/1gF7RJpRnL-1oyjyeWxs5SFWEH7y8ahOZsQlyp2A2e-A/edit?usp=sharing"",""อุดรธานี!I476"")"),0)</f>
        <v>0</v>
      </c>
      <c r="CL50" s="278">
        <f ca="1">IFERROR(__xludf.DUMMYFUNCTION("IMPORTRANGE(""https://docs.google.com/spreadsheets/d/1gF7RJpRnL-1oyjyeWxs5SFWEH7y8ahOZsQlyp2A2e-A/edit?usp=sharing"",""อุดรธานี!I477"")"),0)</f>
        <v>0</v>
      </c>
      <c r="CM50" s="278">
        <f ca="1">IFERROR(__xludf.DUMMYFUNCTION("IMPORTRANGE(""https://docs.google.com/spreadsheets/d/1gF7RJpRnL-1oyjyeWxs5SFWEH7y8ahOZsQlyp2A2e-A/edit?usp=sharing"",""อุดรธานี!J476"")"),0)</f>
        <v>0</v>
      </c>
      <c r="CN50" s="216">
        <f t="shared" ca="1" si="68"/>
        <v>0</v>
      </c>
      <c r="CO50" s="278">
        <f ca="1">IFERROR(__xludf.DUMMYFUNCTION("IMPORTRANGE(""https://docs.google.com/spreadsheets/d/1gF7RJpRnL-1oyjyeWxs5SFWEH7y8ahOZsQlyp2A2e-A/edit?usp=sharing"",""อุดรธานี!J477"")"),0)</f>
        <v>0</v>
      </c>
      <c r="CP50" s="216">
        <f t="shared" ca="1" si="69"/>
        <v>0</v>
      </c>
      <c r="CQ50" s="278">
        <f ca="1">IFERROR(__xludf.DUMMYFUNCTION("IMPORTRANGE(""https://docs.google.com/spreadsheets/d/1gF7RJpRnL-1oyjyeWxs5SFWEH7y8ahOZsQlyp2A2e-A/edit?usp=sharing"",""อุดรธานี!J478"")"),0)</f>
        <v>0</v>
      </c>
      <c r="CR50" s="278">
        <f ca="1">IFERROR(__xludf.DUMMYFUNCTION("IMPORTRANGE(""https://docs.google.com/spreadsheets/d/1gF7RJpRnL-1oyjyeWxs5SFWEH7y8ahOZsQlyp2A2e-A/edit?usp=sharing"",""อุดรธานี!J479"")"),0)</f>
        <v>0</v>
      </c>
      <c r="CS50" s="278">
        <f ca="1">IFERROR(__xludf.DUMMYFUNCTION("IMPORTRANGE(""https://docs.google.com/spreadsheets/d/1gF7RJpRnL-1oyjyeWxs5SFWEH7y8ahOZsQlyp2A2e-A/edit?usp=sharing"",""อุดรธานี!J480"")"),0)</f>
        <v>0</v>
      </c>
      <c r="CT50" s="278">
        <f ca="1">IFERROR(__xludf.DUMMYFUNCTION("IMPORTRANGE(""https://docs.google.com/spreadsheets/d/1gF7RJpRnL-1oyjyeWxs5SFWEH7y8ahOZsQlyp2A2e-A/edit?usp=sharing"",""อุดรธานี!J481"")"),0)</f>
        <v>0</v>
      </c>
      <c r="CU50" s="278">
        <f ca="1">IFERROR(__xludf.DUMMYFUNCTION("IMPORTRANGE(""https://docs.google.com/spreadsheets/d/1gF7RJpRnL-1oyjyeWxs5SFWEH7y8ahOZsQlyp2A2e-A/edit?usp=sharing"",""อุดรธานี!I484"")"),0)</f>
        <v>0</v>
      </c>
      <c r="CV50" s="278">
        <f ca="1">IFERROR(__xludf.DUMMYFUNCTION("IMPORTRANGE(""https://docs.google.com/spreadsheets/d/1gF7RJpRnL-1oyjyeWxs5SFWEH7y8ahOZsQlyp2A2e-A/edit?usp=sharing"",""อุดรธานี!I485"")"),0)</f>
        <v>0</v>
      </c>
      <c r="CW50" s="278">
        <f ca="1">IFERROR(__xludf.DUMMYFUNCTION("IMPORTRANGE(""https://docs.google.com/spreadsheets/d/1gF7RJpRnL-1oyjyeWxs5SFWEH7y8ahOZsQlyp2A2e-A/edit?usp=sharing"",""อุดรธานี!J484"")"),0)</f>
        <v>0</v>
      </c>
      <c r="CX50" s="216">
        <f t="shared" ca="1" si="71"/>
        <v>0</v>
      </c>
      <c r="CY50" s="278">
        <f ca="1">IFERROR(__xludf.DUMMYFUNCTION("IMPORTRANGE(""https://docs.google.com/spreadsheets/d/1gF7RJpRnL-1oyjyeWxs5SFWEH7y8ahOZsQlyp2A2e-A/edit?usp=sharing"",""อุดรธานี!J485"")"),0)</f>
        <v>0</v>
      </c>
      <c r="CZ50" s="216">
        <f t="shared" ca="1" si="72"/>
        <v>0</v>
      </c>
      <c r="DA50" s="278">
        <f ca="1">IFERROR(__xludf.DUMMYFUNCTION("IMPORTRANGE(""https://docs.google.com/spreadsheets/d/1gF7RJpRnL-1oyjyeWxs5SFWEH7y8ahOZsQlyp2A2e-A/edit?usp=sharing"",""อุดรธานี!J486"")"),0)</f>
        <v>0</v>
      </c>
      <c r="DB50" s="278">
        <f ca="1">IFERROR(__xludf.DUMMYFUNCTION("IMPORTRANGE(""https://docs.google.com/spreadsheets/d/1gF7RJpRnL-1oyjyeWxs5SFWEH7y8ahOZsQlyp2A2e-A/edit?usp=sharing"",""อุดรธานี!J487"")"),0)</f>
        <v>0</v>
      </c>
      <c r="DC50" s="278">
        <f ca="1">IFERROR(__xludf.DUMMYFUNCTION("IMPORTRANGE(""https://docs.google.com/spreadsheets/d/1gF7RJpRnL-1oyjyeWxs5SFWEH7y8ahOZsQlyp2A2e-A/edit?usp=sharing"",""อุดรธานี!J488"")"),0)</f>
        <v>0</v>
      </c>
      <c r="DD50" s="278">
        <f ca="1">IFERROR(__xludf.DUMMYFUNCTION("IMPORTRANGE(""https://docs.google.com/spreadsheets/d/1gF7RJpRnL-1oyjyeWxs5SFWEH7y8ahOZsQlyp2A2e-A/edit?usp=sharing"",""อุดรธานี!J489"")"),0)</f>
        <v>0</v>
      </c>
      <c r="DE50" s="278">
        <f ca="1">IFERROR(__xludf.DUMMYFUNCTION("IMPORTRANGE(""https://docs.google.com/spreadsheets/d/1gF7RJpRnL-1oyjyeWxs5SFWEH7y8ahOZsQlyp2A2e-A/edit?usp=sharing"",""อุดรธานี!J490"")"),0)</f>
        <v>0</v>
      </c>
      <c r="DF50" s="278">
        <f ca="1">IFERROR(__xludf.DUMMYFUNCTION("IMPORTRANGE(""https://docs.google.com/spreadsheets/d/1gF7RJpRnL-1oyjyeWxs5SFWEH7y8ahOZsQlyp2A2e-A/edit?usp=sharing"",""อุดรธานี!J491"")"),0)</f>
        <v>0</v>
      </c>
    </row>
    <row r="51" spans="1:110" ht="19.5" x14ac:dyDescent="0.3">
      <c r="A51" s="155">
        <v>20</v>
      </c>
      <c r="B51" s="156" t="s">
        <v>79</v>
      </c>
      <c r="C51" s="570">
        <f t="shared" ca="1" si="44"/>
        <v>710730</v>
      </c>
      <c r="D51" s="571">
        <f t="shared" ca="1" si="84"/>
        <v>710730</v>
      </c>
      <c r="E51" s="337">
        <f ca="1">IFERROR(__xludf.DUMMYFUNCTION("IMPORTRANGE(""https://docs.google.com/spreadsheets/d/1-uDff_7J0KD5mKrp0Vvzr7lt3OU09vwQwhkpOPPYv2Y/edit?usp=sharing"",""งบพรบ!IP51"")"),212100)</f>
        <v>212100</v>
      </c>
      <c r="F51" s="337">
        <f ca="1">IFERROR(__xludf.DUMMYFUNCTION("IMPORTRANGE(""https://docs.google.com/spreadsheets/d/1-uDff_7J0KD5mKrp0Vvzr7lt3OU09vwQwhkpOPPYv2Y/edit?usp=sharing"",""งบพรบ!IQ51"")"),498630)</f>
        <v>498630</v>
      </c>
      <c r="G51" s="337">
        <f ca="1">IFERROR(__xludf.DUMMYFUNCTION("IMPORTRANGE(""https://docs.google.com/spreadsheets/d/1-uDff_7J0KD5mKrp0Vvzr7lt3OU09vwQwhkpOPPYv2Y/edit?usp=sharing"",""งบพรบ!IR51"")"),0)</f>
        <v>0</v>
      </c>
      <c r="H51" s="337">
        <f ca="1">IFERROR(__xludf.DUMMYFUNCTION("IMPORTRANGE(""https://docs.google.com/spreadsheets/d/1-uDff_7J0KD5mKrp0Vvzr7lt3OU09vwQwhkpOPPYv2Y/edit?usp=sharing"",""งบพรบ!IT51"")"),710730)</f>
        <v>710730</v>
      </c>
      <c r="I51" s="337">
        <f ca="1">IFERROR(__xludf.DUMMYFUNCTION("IMPORTRANGE(""https://docs.google.com/spreadsheets/d/1-uDff_7J0KD5mKrp0Vvzr7lt3OU09vwQwhkpOPPYv2Y/edit?usp=sharing"",""งบพรบ!IU51"")"),0)</f>
        <v>0</v>
      </c>
      <c r="J51" s="337">
        <f t="shared" ca="1" si="46"/>
        <v>345101.1</v>
      </c>
      <c r="K51" s="572">
        <f t="shared" ca="1" si="47"/>
        <v>48.555865096450127</v>
      </c>
      <c r="L51" s="337">
        <f ca="1">IFERROR(__xludf.DUMMYFUNCTION("IMPORTRANGE(""https://docs.google.com/spreadsheets/d/1-uDff_7J0KD5mKrp0Vvzr7lt3OU09vwQwhkpOPPYv2Y/edit?usp=sharing"",""งบพรบ!IV51"")"),345101.1)</f>
        <v>345101.1</v>
      </c>
      <c r="M51" s="573">
        <f t="shared" ca="1" si="48"/>
        <v>48.555865096450127</v>
      </c>
      <c r="N51" s="573">
        <f t="shared" ca="1" si="49"/>
        <v>48.555865096450127</v>
      </c>
      <c r="O51" s="574">
        <f ca="1">IFERROR(__xludf.DUMMYFUNCTION("IMPORTRANGE(""https://docs.google.com/spreadsheets/d/1-uDff_7J0KD5mKrp0Vvzr7lt3OU09vwQwhkpOPPYv2Y/edit?usp=sharing"",""งบพรบ!IW51"")"),0)</f>
        <v>0</v>
      </c>
      <c r="P51" s="574">
        <f t="shared" ca="1" si="50"/>
        <v>0</v>
      </c>
      <c r="Q51" s="573">
        <f t="shared" ca="1" si="51"/>
        <v>0</v>
      </c>
      <c r="R51" s="581">
        <f ca="1">IFERROR(__xludf.DUMMYFUNCTION("IMPORTRANGE(""https://docs.google.com/spreadsheets/d/1kfLP0j3INXRa8bTDpcEmoWewMBV61jlFlfzczfjWIgc/edit?usp=sharing"",""อุบลราชธานี!Q413"")"),86140)</f>
        <v>86140</v>
      </c>
      <c r="S51" s="581">
        <f ca="1">IFERROR(__xludf.DUMMYFUNCTION("IMPORTRANGE(""https://docs.google.com/spreadsheets/d/1kfLP0j3INXRa8bTDpcEmoWewMBV61jlFlfzczfjWIgc/edit?usp=sharing"",""อุบลราชธานี!R413"")"),86140)</f>
        <v>86140</v>
      </c>
      <c r="T51" s="581">
        <f ca="1">IFERROR(__xludf.DUMMYFUNCTION("IMPORTRANGE(""https://docs.google.com/spreadsheets/d/1kfLP0j3INXRa8bTDpcEmoWewMBV61jlFlfzczfjWIgc/edit?usp=sharing"",""อุบลราชธานี!S413"")"),0)</f>
        <v>0</v>
      </c>
      <c r="U51" s="582">
        <f t="shared" ca="1" si="53"/>
        <v>0</v>
      </c>
      <c r="V51" s="582">
        <f t="shared" ca="1" si="54"/>
        <v>0</v>
      </c>
      <c r="W51" s="191">
        <f ca="1">IFERROR(__xludf.DUMMYFUNCTION("IMPORTRANGE(""https://docs.google.com/spreadsheets/d/1kfLP0j3INXRa8bTDpcEmoWewMBV61jlFlfzczfjWIgc/edit?usp=sharing"",""อุบลราชธานี!I424"")"),153220)</f>
        <v>153220</v>
      </c>
      <c r="X51" s="191">
        <f ca="1">IFERROR(__xludf.DUMMYFUNCTION("IMPORTRANGE(""https://docs.google.com/spreadsheets/d/1kfLP0j3INXRa8bTDpcEmoWewMBV61jlFlfzczfjWIgc/edit?usp=sharing"",""อุบลราชธานี!I425"")"),13289)</f>
        <v>13289</v>
      </c>
      <c r="Y51" s="191">
        <f ca="1">IFERROR(__xludf.DUMMYFUNCTION("IMPORTRANGE(""https://docs.google.com/spreadsheets/d/1kfLP0j3INXRa8bTDpcEmoWewMBV61jlFlfzczfjWIgc/edit?usp=sharing"",""อุบลราชธานี!J424"")"),0)</f>
        <v>0</v>
      </c>
      <c r="Z51" s="218">
        <f t="shared" ca="1" si="56"/>
        <v>0</v>
      </c>
      <c r="AA51" s="191">
        <f ca="1">IFERROR(__xludf.DUMMYFUNCTION("IMPORTRANGE(""https://docs.google.com/spreadsheets/d/1kfLP0j3INXRa8bTDpcEmoWewMBV61jlFlfzczfjWIgc/edit?usp=sharing"",""อุบลราชธานี!J425"")"),0)</f>
        <v>0</v>
      </c>
      <c r="AB51" s="218">
        <f t="shared" ca="1" si="57"/>
        <v>0</v>
      </c>
      <c r="AC51" s="191">
        <f ca="1">IFERROR(__xludf.DUMMYFUNCTION("IMPORTRANGE(""https://docs.google.com/spreadsheets/d/1kfLP0j3INXRa8bTDpcEmoWewMBV61jlFlfzczfjWIgc/edit?usp=sharing"",""อุบลราชธานี!J426"")"),0)</f>
        <v>0</v>
      </c>
      <c r="AD51" s="191">
        <f ca="1">IFERROR(__xludf.DUMMYFUNCTION("IMPORTRANGE(""https://docs.google.com/spreadsheets/d/1kfLP0j3INXRa8bTDpcEmoWewMBV61jlFlfzczfjWIgc/edit?usp=sharing"",""อุบลราชธานี!J427"")"),0)</f>
        <v>0</v>
      </c>
      <c r="AE51" s="191">
        <f ca="1">IFERROR(__xludf.DUMMYFUNCTION("IMPORTRANGE(""https://docs.google.com/spreadsheets/d/1kfLP0j3INXRa8bTDpcEmoWewMBV61jlFlfzczfjWIgc/edit?usp=sharing"",""อุบลราชธานี!J428"")"),0)</f>
        <v>0</v>
      </c>
      <c r="AF51" s="191">
        <f ca="1">IFERROR(__xludf.DUMMYFUNCTION("IMPORTRANGE(""https://docs.google.com/spreadsheets/d/1kfLP0j3INXRa8bTDpcEmoWewMBV61jlFlfzczfjWIgc/edit?usp=sharing"",""อุบลราชธานี!J429"")"),0)</f>
        <v>0</v>
      </c>
      <c r="AG51" s="191">
        <f ca="1">IFERROR(__xludf.DUMMYFUNCTION("IMPORTRANGE(""https://docs.google.com/spreadsheets/d/1kfLP0j3INXRa8bTDpcEmoWewMBV61jlFlfzczfjWIgc/edit?usp=sharing"",""อุบลราชธานี!J430"")"),0)</f>
        <v>0</v>
      </c>
      <c r="AH51" s="191">
        <f ca="1">IFERROR(__xludf.DUMMYFUNCTION("IMPORTRANGE(""https://docs.google.com/spreadsheets/d/1kfLP0j3INXRa8bTDpcEmoWewMBV61jlFlfzczfjWIgc/edit?usp=sharing"",""อุบลราชธานี!J431"")"),0)</f>
        <v>0</v>
      </c>
      <c r="AI51" s="191">
        <f ca="1">IFERROR(__xludf.DUMMYFUNCTION("IMPORTRANGE(""https://docs.google.com/spreadsheets/d/1kfLP0j3INXRa8bTDpcEmoWewMBV61jlFlfzczfjWIgc/edit?usp=sharing"",""อุบลราชธานี!I432"")"),153220)</f>
        <v>153220</v>
      </c>
      <c r="AJ51" s="191">
        <f ca="1">IFERROR(__xludf.DUMMYFUNCTION("IMPORTRANGE(""https://docs.google.com/spreadsheets/d/1kfLP0j3INXRa8bTDpcEmoWewMBV61jlFlfzczfjWIgc/edit?usp=sharing"",""อุบลราชธานี!I433"")"),13289)</f>
        <v>13289</v>
      </c>
      <c r="AK51" s="218">
        <f ca="1">IFERROR(__xludf.DUMMYFUNCTION("IMPORTRANGE(""https://docs.google.com/spreadsheets/d/1kfLP0j3INXRa8bTDpcEmoWewMBV61jlFlfzczfjWIgc/edit?usp=sharing"",""อุบลราชธานี!J432"")"),0)</f>
        <v>0</v>
      </c>
      <c r="AL51" s="218">
        <f t="shared" ca="1" si="59"/>
        <v>0</v>
      </c>
      <c r="AM51" s="191">
        <f ca="1">IFERROR(__xludf.DUMMYFUNCTION("IMPORTRANGE(""https://docs.google.com/spreadsheets/d/1kfLP0j3INXRa8bTDpcEmoWewMBV61jlFlfzczfjWIgc/edit?usp=sharing"",""อุบลราชธานี!J433"")"),0)</f>
        <v>0</v>
      </c>
      <c r="AN51" s="218">
        <f t="shared" ca="1" si="60"/>
        <v>0</v>
      </c>
      <c r="AO51" s="191">
        <f ca="1">IFERROR(__xludf.DUMMYFUNCTION("IMPORTRANGE(""https://docs.google.com/spreadsheets/d/1kfLP0j3INXRa8bTDpcEmoWewMBV61jlFlfzczfjWIgc/edit?usp=sharing"",""อุบลราชธานี!J434"")"),0)</f>
        <v>0</v>
      </c>
      <c r="AP51" s="191">
        <f ca="1">IFERROR(__xludf.DUMMYFUNCTION("IMPORTRANGE(""https://docs.google.com/spreadsheets/d/1kfLP0j3INXRa8bTDpcEmoWewMBV61jlFlfzczfjWIgc/edit?usp=sharing"",""อุบลราชธานี!J435"")"),0)</f>
        <v>0</v>
      </c>
      <c r="AQ51" s="191">
        <f ca="1">IFERROR(__xludf.DUMMYFUNCTION("IMPORTRANGE(""https://docs.google.com/spreadsheets/d/1kfLP0j3INXRa8bTDpcEmoWewMBV61jlFlfzczfjWIgc/edit?usp=sharing"",""อุบลราชธานี!J436"")"),0)</f>
        <v>0</v>
      </c>
      <c r="AR51" s="191">
        <f ca="1">IFERROR(__xludf.DUMMYFUNCTION("IMPORTRANGE(""https://docs.google.com/spreadsheets/d/1kfLP0j3INXRa8bTDpcEmoWewMBV61jlFlfzczfjWIgc/edit?usp=sharing"",""อุบลราชธานี!J437"")"),0)</f>
        <v>0</v>
      </c>
      <c r="AS51" s="191">
        <f ca="1">IFERROR(__xludf.DUMMYFUNCTION("IMPORTRANGE(""https://docs.google.com/spreadsheets/d/1kfLP0j3INXRa8bTDpcEmoWewMBV61jlFlfzczfjWIgc/edit?usp=sharing"",""อุบลราชธานี!J438"")"),0)</f>
        <v>0</v>
      </c>
      <c r="AT51" s="191">
        <f ca="1">IFERROR(__xludf.DUMMYFUNCTION("IMPORTRANGE(""https://docs.google.com/spreadsheets/d/1kfLP0j3INXRa8bTDpcEmoWewMBV61jlFlfzczfjWIgc/edit?usp=sharing"",""อุบลราชธานี!J439"")"),0)</f>
        <v>0</v>
      </c>
      <c r="AU51" s="191">
        <f ca="1">IFERROR(__xludf.DUMMYFUNCTION("IMPORTRANGE(""https://docs.google.com/spreadsheets/d/1kfLP0j3INXRa8bTDpcEmoWewMBV61jlFlfzczfjWIgc/edit?usp=sharing"",""อุบลราชธานี!I440"")"),153220)</f>
        <v>153220</v>
      </c>
      <c r="AV51" s="191">
        <f ca="1">IFERROR(__xludf.DUMMYFUNCTION("IMPORTRANGE(""https://docs.google.com/spreadsheets/d/1kfLP0j3INXRa8bTDpcEmoWewMBV61jlFlfzczfjWIgc/edit?usp=sharing"",""อุบลราชธานี!I441"")"),13289)</f>
        <v>13289</v>
      </c>
      <c r="AW51" s="191">
        <f ca="1">IFERROR(__xludf.DUMMYFUNCTION("IMPORTRANGE(""https://docs.google.com/spreadsheets/d/1kfLP0j3INXRa8bTDpcEmoWewMBV61jlFlfzczfjWIgc/edit?usp=sharing"",""อุบลราชธานี!J440"")"),0)</f>
        <v>0</v>
      </c>
      <c r="AX51" s="218">
        <f t="shared" ca="1" si="62"/>
        <v>0</v>
      </c>
      <c r="AY51" s="191">
        <f ca="1">IFERROR(__xludf.DUMMYFUNCTION("IMPORTRANGE(""https://docs.google.com/spreadsheets/d/1kfLP0j3INXRa8bTDpcEmoWewMBV61jlFlfzczfjWIgc/edit?usp=sharing"",""อุบลราชธานี!J441"")"),0)</f>
        <v>0</v>
      </c>
      <c r="AZ51" s="218">
        <f t="shared" ca="1" si="63"/>
        <v>0</v>
      </c>
      <c r="BA51" s="191">
        <f ca="1">IFERROR(__xludf.DUMMYFUNCTION("IMPORTRANGE(""https://docs.google.com/spreadsheets/d/1kfLP0j3INXRa8bTDpcEmoWewMBV61jlFlfzczfjWIgc/edit?usp=sharing"",""อุบลราชธานี!J442"")"),0)</f>
        <v>0</v>
      </c>
      <c r="BB51" s="191">
        <f ca="1">IFERROR(__xludf.DUMMYFUNCTION("IMPORTRANGE(""https://docs.google.com/spreadsheets/d/1kfLP0j3INXRa8bTDpcEmoWewMBV61jlFlfzczfjWIgc/edit?usp=sharing"",""อุบลราชธานี!J443"")"),0)</f>
        <v>0</v>
      </c>
      <c r="BC51" s="191">
        <f ca="1">IFERROR(__xludf.DUMMYFUNCTION("IMPORTRANGE(""https://docs.google.com/spreadsheets/d/1kfLP0j3INXRa8bTDpcEmoWewMBV61jlFlfzczfjWIgc/edit?usp=sharing"",""อุบลราชธานี!J444"")"),0)</f>
        <v>0</v>
      </c>
      <c r="BD51" s="191">
        <f ca="1">IFERROR(__xludf.DUMMYFUNCTION("IMPORTRANGE(""https://docs.google.com/spreadsheets/d/1kfLP0j3INXRa8bTDpcEmoWewMBV61jlFlfzczfjWIgc/edit?usp=sharing"",""อุบลราชธานี!J445"")"),0)</f>
        <v>0</v>
      </c>
      <c r="BE51" s="191">
        <f ca="1">IFERROR(__xludf.DUMMYFUNCTION("IMPORTRANGE(""https://docs.google.com/spreadsheets/d/1kfLP0j3INXRa8bTDpcEmoWewMBV61jlFlfzczfjWIgc/edit?usp=sharing"",""อุบลราชธานี!J446"")"),0)</f>
        <v>0</v>
      </c>
      <c r="BF51" s="191">
        <f ca="1">IFERROR(__xludf.DUMMYFUNCTION("IMPORTRANGE(""https://docs.google.com/spreadsheets/d/1kfLP0j3INXRa8bTDpcEmoWewMBV61jlFlfzczfjWIgc/edit?usp=sharing"",""อุบลราชธานี!J447"")"),0)</f>
        <v>0</v>
      </c>
      <c r="BG51" s="191">
        <f ca="1">IFERROR(__xludf.DUMMYFUNCTION("IMPORTRANGE(""https://docs.google.com/spreadsheets/d/1kfLP0j3INXRa8bTDpcEmoWewMBV61jlFlfzczfjWIgc/edit?usp=sharing"",""อุบลราชธานี!J448"")"),0)</f>
        <v>0</v>
      </c>
      <c r="BH51" s="191">
        <f ca="1">IFERROR(__xludf.DUMMYFUNCTION("IMPORTRANGE(""https://docs.google.com/spreadsheets/d/1kfLP0j3INXRa8bTDpcEmoWewMBV61jlFlfzczfjWIgc/edit?usp=sharing"",""อุบลราชธานี!J449"")"),0)</f>
        <v>0</v>
      </c>
      <c r="BI51" s="191">
        <f ca="1">IFERROR(__xludf.DUMMYFUNCTION("IMPORTRANGE(""https://docs.google.com/spreadsheets/d/1kfLP0j3INXRa8bTDpcEmoWewMBV61jlFlfzczfjWIgc/edit?usp=sharing"",""อุบลราชธานี!J450"")"),0)</f>
        <v>0</v>
      </c>
      <c r="BJ51" s="191">
        <f ca="1">IFERROR(__xludf.DUMMYFUNCTION("IMPORTRANGE(""https://docs.google.com/spreadsheets/d/1kfLP0j3INXRa8bTDpcEmoWewMBV61jlFlfzczfjWIgc/edit?usp=sharing"",""อุบลราชธานี!J451"")"),0)</f>
        <v>0</v>
      </c>
      <c r="BK51" s="191">
        <f ca="1">IFERROR(__xludf.DUMMYFUNCTION("IMPORTRANGE(""https://docs.google.com/spreadsheets/d/1kfLP0j3INXRa8bTDpcEmoWewMBV61jlFlfzczfjWIgc/edit?usp=sharing"",""อุบลราชธานี!J452"")"),0)</f>
        <v>0</v>
      </c>
      <c r="BL51" s="191">
        <f ca="1">IFERROR(__xludf.DUMMYFUNCTION("IMPORTRANGE(""https://docs.google.com/spreadsheets/d/1kfLP0j3INXRa8bTDpcEmoWewMBV61jlFlfzczfjWIgc/edit?usp=sharing"",""อุบลราชธานี!J453"")"),0)</f>
        <v>0</v>
      </c>
      <c r="BM51" s="191">
        <f ca="1">IFERROR(__xludf.DUMMYFUNCTION("IMPORTRANGE(""https://docs.google.com/spreadsheets/d/1kfLP0j3INXRa8bTDpcEmoWewMBV61jlFlfzczfjWIgc/edit?usp=sharing"",""อุบลราชธานี!J454"")"),0)</f>
        <v>0</v>
      </c>
      <c r="BN51" s="191">
        <f ca="1">IFERROR(__xludf.DUMMYFUNCTION("IMPORTRANGE(""https://docs.google.com/spreadsheets/d/1kfLP0j3INXRa8bTDpcEmoWewMBV61jlFlfzczfjWIgc/edit?usp=sharing"",""อุบลราชธานี!J455"")"),0)</f>
        <v>0</v>
      </c>
      <c r="BO51" s="191">
        <f ca="1">IFERROR(__xludf.DUMMYFUNCTION("IMPORTRANGE(""https://docs.google.com/spreadsheets/d/1kfLP0j3INXRa8bTDpcEmoWewMBV61jlFlfzczfjWIgc/edit?usp=sharing"",""อุบลราชธานี!I457"")"),3964.07)</f>
        <v>3964.07</v>
      </c>
      <c r="BP51" s="191">
        <f ca="1">IFERROR(__xludf.DUMMYFUNCTION("IMPORTRANGE(""https://docs.google.com/spreadsheets/d/1kfLP0j3INXRa8bTDpcEmoWewMBV61jlFlfzczfjWIgc/edit?usp=sharing"",""อุบลราชธานี!I458"")"),297)</f>
        <v>297</v>
      </c>
      <c r="BQ51" s="191">
        <f ca="1">IFERROR(__xludf.DUMMYFUNCTION("IMPORTRANGE(""https://docs.google.com/spreadsheets/d/1kfLP0j3INXRa8bTDpcEmoWewMBV61jlFlfzczfjWIgc/edit?usp=sharing"",""อุบลราชธานี!J457"")"),0)</f>
        <v>0</v>
      </c>
      <c r="BR51" s="218">
        <f t="shared" ca="1" si="65"/>
        <v>0</v>
      </c>
      <c r="BS51" s="191">
        <f ca="1">IFERROR(__xludf.DUMMYFUNCTION("IMPORTRANGE(""https://docs.google.com/spreadsheets/d/1kfLP0j3INXRa8bTDpcEmoWewMBV61jlFlfzczfjWIgc/edit?usp=sharing"",""อุบลราชธานี!J458"")"),0)</f>
        <v>0</v>
      </c>
      <c r="BT51" s="218">
        <f t="shared" ca="1" si="66"/>
        <v>0</v>
      </c>
      <c r="BU51" s="191">
        <f ca="1">IFERROR(__xludf.DUMMYFUNCTION("IMPORTRANGE(""https://docs.google.com/spreadsheets/d/1kfLP0j3INXRa8bTDpcEmoWewMBV61jlFlfzczfjWIgc/edit?usp=sharing"",""อุบลราชธานี!J459"")"),0)</f>
        <v>0</v>
      </c>
      <c r="BV51" s="191">
        <f ca="1">IFERROR(__xludf.DUMMYFUNCTION("IMPORTRANGE(""https://docs.google.com/spreadsheets/d/1kfLP0j3INXRa8bTDpcEmoWewMBV61jlFlfzczfjWIgc/edit?usp=sharing"",""อุบลราชธานี!J460"")"),0)</f>
        <v>0</v>
      </c>
      <c r="BW51" s="191">
        <f ca="1">IFERROR(__xludf.DUMMYFUNCTION("IMPORTRANGE(""https://docs.google.com/spreadsheets/d/1kfLP0j3INXRa8bTDpcEmoWewMBV61jlFlfzczfjWIgc/edit?usp=sharing"",""อุบลราชธานี!J461"")"),0)</f>
        <v>0</v>
      </c>
      <c r="BX51" s="191">
        <f ca="1">IFERROR(__xludf.DUMMYFUNCTION("IMPORTRANGE(""https://docs.google.com/spreadsheets/d/1kfLP0j3INXRa8bTDpcEmoWewMBV61jlFlfzczfjWIgc/edit?usp=sharing"",""อุบลราชธานี!J462"")"),0)</f>
        <v>0</v>
      </c>
      <c r="BY51" s="191">
        <f ca="1">IFERROR(__xludf.DUMMYFUNCTION("IMPORTRANGE(""https://docs.google.com/spreadsheets/d/1kfLP0j3INXRa8bTDpcEmoWewMBV61jlFlfzczfjWIgc/edit?usp=sharing"",""อุบลราชธานี!J463"")"),0)</f>
        <v>0</v>
      </c>
      <c r="BZ51" s="191">
        <f ca="1">IFERROR(__xludf.DUMMYFUNCTION("IMPORTRANGE(""https://docs.google.com/spreadsheets/d/1kfLP0j3INXRa8bTDpcEmoWewMBV61jlFlfzczfjWIgc/edit?usp=sharing"",""อุบลราชธานี!J464"")"),0)</f>
        <v>0</v>
      </c>
      <c r="CA51" s="191">
        <f ca="1">IFERROR(__xludf.DUMMYFUNCTION("IMPORTRANGE(""https://docs.google.com/spreadsheets/d/1kfLP0j3INXRa8bTDpcEmoWewMBV61jlFlfzczfjWIgc/edit?usp=sharing"",""อุบลราชธานี!J465"")"),0)</f>
        <v>0</v>
      </c>
      <c r="CB51" s="191">
        <f ca="1">IFERROR(__xludf.DUMMYFUNCTION("IMPORTRANGE(""https://docs.google.com/spreadsheets/d/1kfLP0j3INXRa8bTDpcEmoWewMBV61jlFlfzczfjWIgc/edit?usp=sharing"",""อุบลราชธานี!J466"")"),0)</f>
        <v>0</v>
      </c>
      <c r="CC51" s="191">
        <f ca="1">IFERROR(__xludf.DUMMYFUNCTION("IMPORTRANGE(""https://docs.google.com/spreadsheets/d/1kfLP0j3INXRa8bTDpcEmoWewMBV61jlFlfzczfjWIgc/edit?usp=sharing"",""อุบลราชธานี!J467"")"),0)</f>
        <v>0</v>
      </c>
      <c r="CD51" s="191">
        <f ca="1">IFERROR(__xludf.DUMMYFUNCTION("IMPORTRANGE(""https://docs.google.com/spreadsheets/d/1kfLP0j3INXRa8bTDpcEmoWewMBV61jlFlfzczfjWIgc/edit?usp=sharing"",""อุบลราชธานี!J468"")"),0)</f>
        <v>0</v>
      </c>
      <c r="CE51" s="191">
        <f ca="1">IFERROR(__xludf.DUMMYFUNCTION("IMPORTRANGE(""https://docs.google.com/spreadsheets/d/1kfLP0j3INXRa8bTDpcEmoWewMBV61jlFlfzczfjWIgc/edit?usp=sharing"",""อุบลราชธานี!J469"")"),0)</f>
        <v>0</v>
      </c>
      <c r="CF51" s="191">
        <f ca="1">IFERROR(__xludf.DUMMYFUNCTION("IMPORTRANGE(""https://docs.google.com/spreadsheets/d/1kfLP0j3INXRa8bTDpcEmoWewMBV61jlFlfzczfjWIgc/edit?usp=sharing"",""อุบลราชธานี!J470"")"),0)</f>
        <v>0</v>
      </c>
      <c r="CG51" s="191">
        <f ca="1">IFERROR(__xludf.DUMMYFUNCTION("IMPORTRANGE(""https://docs.google.com/spreadsheets/d/1kfLP0j3INXRa8bTDpcEmoWewMBV61jlFlfzczfjWIgc/edit?usp=sharing"",""อุบลราชธานี!J471"")"),0)</f>
        <v>0</v>
      </c>
      <c r="CH51" s="191">
        <f ca="1">IFERROR(__xludf.DUMMYFUNCTION("IMPORTRANGE(""https://docs.google.com/spreadsheets/d/1kfLP0j3INXRa8bTDpcEmoWewMBV61jlFlfzczfjWIgc/edit?usp=sharing"",""อุบลราชธานี!J472"")"),0)</f>
        <v>0</v>
      </c>
      <c r="CI51" s="191">
        <f ca="1">IFERROR(__xludf.DUMMYFUNCTION("IMPORTRANGE(""https://docs.google.com/spreadsheets/d/1kfLP0j3INXRa8bTDpcEmoWewMBV61jlFlfzczfjWIgc/edit?usp=sharing"",""อุบลราชธานี!J473"")"),0)</f>
        <v>0</v>
      </c>
      <c r="CJ51" s="191">
        <f ca="1">IFERROR(__xludf.DUMMYFUNCTION("IMPORTRANGE(""https://docs.google.com/spreadsheets/d/1kfLP0j3INXRa8bTDpcEmoWewMBV61jlFlfzczfjWIgc/edit?usp=sharing"",""อุบลราชธานี!J474"")"),0)</f>
        <v>0</v>
      </c>
      <c r="CK51" s="280">
        <f ca="1">IFERROR(__xludf.DUMMYFUNCTION("IMPORTRANGE(""https://docs.google.com/spreadsheets/d/1kfLP0j3INXRa8bTDpcEmoWewMBV61jlFlfzczfjWIgc/edit?usp=sharing"",""อุบลราชธานี!I476"")"),0)</f>
        <v>0</v>
      </c>
      <c r="CL51" s="280">
        <f ca="1">IFERROR(__xludf.DUMMYFUNCTION("IMPORTRANGE(""https://docs.google.com/spreadsheets/d/1kfLP0j3INXRa8bTDpcEmoWewMBV61jlFlfzczfjWIgc/edit?usp=sharing"",""อุบลราชธานี!I477"")"),0)</f>
        <v>0</v>
      </c>
      <c r="CM51" s="280">
        <f ca="1">IFERROR(__xludf.DUMMYFUNCTION("IMPORTRANGE(""https://docs.google.com/spreadsheets/d/1kfLP0j3INXRa8bTDpcEmoWewMBV61jlFlfzczfjWIgc/edit?usp=sharing"",""อุบลราชธานี!J476"")"),0)</f>
        <v>0</v>
      </c>
      <c r="CN51" s="218">
        <f t="shared" ca="1" si="68"/>
        <v>0</v>
      </c>
      <c r="CO51" s="280">
        <f ca="1">IFERROR(__xludf.DUMMYFUNCTION("IMPORTRANGE(""https://docs.google.com/spreadsheets/d/1kfLP0j3INXRa8bTDpcEmoWewMBV61jlFlfzczfjWIgc/edit?usp=sharing"",""อุบลราชธานี!J477"")"),0)</f>
        <v>0</v>
      </c>
      <c r="CP51" s="218">
        <f t="shared" ca="1" si="69"/>
        <v>0</v>
      </c>
      <c r="CQ51" s="280">
        <f ca="1">IFERROR(__xludf.DUMMYFUNCTION("IMPORTRANGE(""https://docs.google.com/spreadsheets/d/1kfLP0j3INXRa8bTDpcEmoWewMBV61jlFlfzczfjWIgc/edit?usp=sharing"",""อุบลราชธานี!J478"")"),0)</f>
        <v>0</v>
      </c>
      <c r="CR51" s="280">
        <f ca="1">IFERROR(__xludf.DUMMYFUNCTION("IMPORTRANGE(""https://docs.google.com/spreadsheets/d/1kfLP0j3INXRa8bTDpcEmoWewMBV61jlFlfzczfjWIgc/edit?usp=sharing"",""อุบลราชธานี!J479"")"),0)</f>
        <v>0</v>
      </c>
      <c r="CS51" s="280">
        <f ca="1">IFERROR(__xludf.DUMMYFUNCTION("IMPORTRANGE(""https://docs.google.com/spreadsheets/d/1kfLP0j3INXRa8bTDpcEmoWewMBV61jlFlfzczfjWIgc/edit?usp=sharing"",""อุบลราชธานี!J480"")"),0)</f>
        <v>0</v>
      </c>
      <c r="CT51" s="280">
        <f ca="1">IFERROR(__xludf.DUMMYFUNCTION("IMPORTRANGE(""https://docs.google.com/spreadsheets/d/1kfLP0j3INXRa8bTDpcEmoWewMBV61jlFlfzczfjWIgc/edit?usp=sharing"",""อุบลราชธานี!J481"")"),0)</f>
        <v>0</v>
      </c>
      <c r="CU51" s="280">
        <f ca="1">IFERROR(__xludf.DUMMYFUNCTION("IMPORTRANGE(""https://docs.google.com/spreadsheets/d/1kfLP0j3INXRa8bTDpcEmoWewMBV61jlFlfzczfjWIgc/edit?usp=sharing"",""อุบลราชธานี!I484"")"),446)</f>
        <v>446</v>
      </c>
      <c r="CV51" s="280">
        <f ca="1">IFERROR(__xludf.DUMMYFUNCTION("IMPORTRANGE(""https://docs.google.com/spreadsheets/d/1kfLP0j3INXRa8bTDpcEmoWewMBV61jlFlfzczfjWIgc/edit?usp=sharing"",""อุบลราชธานี!I485"")"),29)</f>
        <v>29</v>
      </c>
      <c r="CW51" s="280">
        <f ca="1">IFERROR(__xludf.DUMMYFUNCTION("IMPORTRANGE(""https://docs.google.com/spreadsheets/d/1kfLP0j3INXRa8bTDpcEmoWewMBV61jlFlfzczfjWIgc/edit?usp=sharing"",""อุบลราชธานี!J484"")"),0)</f>
        <v>0</v>
      </c>
      <c r="CX51" s="218">
        <f t="shared" ca="1" si="71"/>
        <v>0</v>
      </c>
      <c r="CY51" s="280">
        <f ca="1">IFERROR(__xludf.DUMMYFUNCTION("IMPORTRANGE(""https://docs.google.com/spreadsheets/d/1kfLP0j3INXRa8bTDpcEmoWewMBV61jlFlfzczfjWIgc/edit?usp=sharing"",""อุบลราชธานี!J485"")"),0)</f>
        <v>0</v>
      </c>
      <c r="CZ51" s="218">
        <f t="shared" ca="1" si="72"/>
        <v>0</v>
      </c>
      <c r="DA51" s="280">
        <f ca="1">IFERROR(__xludf.DUMMYFUNCTION("IMPORTRANGE(""https://docs.google.com/spreadsheets/d/1kfLP0j3INXRa8bTDpcEmoWewMBV61jlFlfzczfjWIgc/edit?usp=sharing"",""อุบลราชธานี!J486"")"),0)</f>
        <v>0</v>
      </c>
      <c r="DB51" s="280">
        <f ca="1">IFERROR(__xludf.DUMMYFUNCTION("IMPORTRANGE(""https://docs.google.com/spreadsheets/d/1kfLP0j3INXRa8bTDpcEmoWewMBV61jlFlfzczfjWIgc/edit?usp=sharing"",""อุบลราชธานี!J487"")"),0)</f>
        <v>0</v>
      </c>
      <c r="DC51" s="280">
        <f ca="1">IFERROR(__xludf.DUMMYFUNCTION("IMPORTRANGE(""https://docs.google.com/spreadsheets/d/1kfLP0j3INXRa8bTDpcEmoWewMBV61jlFlfzczfjWIgc/edit?usp=sharing"",""อุบลราชธานี!J488"")"),0)</f>
        <v>0</v>
      </c>
      <c r="DD51" s="280">
        <f ca="1">IFERROR(__xludf.DUMMYFUNCTION("IMPORTRANGE(""https://docs.google.com/spreadsheets/d/1kfLP0j3INXRa8bTDpcEmoWewMBV61jlFlfzczfjWIgc/edit?usp=sharing"",""อุบลราชธานี!J489"")"),0)</f>
        <v>0</v>
      </c>
      <c r="DE51" s="280">
        <f ca="1">IFERROR(__xludf.DUMMYFUNCTION("IMPORTRANGE(""https://docs.google.com/spreadsheets/d/1kfLP0j3INXRa8bTDpcEmoWewMBV61jlFlfzczfjWIgc/edit?usp=sharing"",""อุบลราชธานี!J490"")"),0)</f>
        <v>0</v>
      </c>
      <c r="DF51" s="280">
        <f ca="1">IFERROR(__xludf.DUMMYFUNCTION("IMPORTRANGE(""https://docs.google.com/spreadsheets/d/1kfLP0j3INXRa8bTDpcEmoWewMBV61jlFlfzczfjWIgc/edit?usp=sharing"",""อุบลราชธานี!J491"")"),0)</f>
        <v>0</v>
      </c>
    </row>
    <row r="52" spans="1:110" ht="19.5" x14ac:dyDescent="0.3">
      <c r="A52" s="716" t="s">
        <v>80</v>
      </c>
      <c r="B52" s="662"/>
      <c r="C52" s="577">
        <f t="shared" ca="1" si="44"/>
        <v>2097160</v>
      </c>
      <c r="D52" s="309">
        <f t="shared" ref="D52:I52" ca="1" si="85">SUM(D53:D73)</f>
        <v>2097160</v>
      </c>
      <c r="E52" s="309">
        <f t="shared" ca="1" si="85"/>
        <v>563800</v>
      </c>
      <c r="F52" s="309">
        <f t="shared" ca="1" si="85"/>
        <v>1533360</v>
      </c>
      <c r="G52" s="309">
        <f t="shared" ca="1" si="85"/>
        <v>0</v>
      </c>
      <c r="H52" s="309">
        <f t="shared" ca="1" si="85"/>
        <v>2561760</v>
      </c>
      <c r="I52" s="309">
        <f t="shared" ca="1" si="85"/>
        <v>0</v>
      </c>
      <c r="J52" s="309">
        <f t="shared" ca="1" si="46"/>
        <v>1444364.67</v>
      </c>
      <c r="K52" s="556">
        <f t="shared" ca="1" si="47"/>
        <v>68.872411737778705</v>
      </c>
      <c r="L52" s="309">
        <f ca="1">SUM(L53:L73)</f>
        <v>1444364.67</v>
      </c>
      <c r="M52" s="310">
        <f t="shared" ca="1" si="48"/>
        <v>68.872411737778705</v>
      </c>
      <c r="N52" s="310">
        <f t="shared" ca="1" si="49"/>
        <v>56.381732480794454</v>
      </c>
      <c r="O52" s="557">
        <f ca="1">SUM(O53:O73)</f>
        <v>0</v>
      </c>
      <c r="P52" s="557">
        <f t="shared" ca="1" si="50"/>
        <v>0</v>
      </c>
      <c r="Q52" s="310">
        <f t="shared" ca="1" si="51"/>
        <v>0</v>
      </c>
      <c r="R52" s="558">
        <f t="shared" ref="R52:T52" ca="1" si="86">SUM(R53:R73)</f>
        <v>287810</v>
      </c>
      <c r="S52" s="558">
        <f t="shared" ca="1" si="86"/>
        <v>287810</v>
      </c>
      <c r="T52" s="558">
        <f t="shared" ca="1" si="86"/>
        <v>56820</v>
      </c>
      <c r="U52" s="559">
        <f t="shared" ca="1" si="53"/>
        <v>19.742191028803724</v>
      </c>
      <c r="V52" s="559">
        <f t="shared" ca="1" si="54"/>
        <v>19.742191028803724</v>
      </c>
      <c r="W52" s="369">
        <f t="shared" ref="W52:Y52" ca="1" si="87">SUM(W53:W73)</f>
        <v>100559</v>
      </c>
      <c r="X52" s="369">
        <f t="shared" ca="1" si="87"/>
        <v>6874</v>
      </c>
      <c r="Y52" s="369">
        <f t="shared" ca="1" si="87"/>
        <v>0</v>
      </c>
      <c r="Z52" s="94">
        <f t="shared" ca="1" si="56"/>
        <v>0</v>
      </c>
      <c r="AA52" s="369">
        <f ca="1">SUM(AA53:AA73)</f>
        <v>0</v>
      </c>
      <c r="AB52" s="94">
        <f t="shared" ca="1" si="57"/>
        <v>0</v>
      </c>
      <c r="AC52" s="369">
        <f t="shared" ref="AC52:AK52" ca="1" si="88">SUM(AC53:AC73)</f>
        <v>0</v>
      </c>
      <c r="AD52" s="369">
        <f t="shared" ca="1" si="88"/>
        <v>0</v>
      </c>
      <c r="AE52" s="369">
        <f t="shared" ca="1" si="88"/>
        <v>0</v>
      </c>
      <c r="AF52" s="369">
        <f t="shared" ca="1" si="88"/>
        <v>0</v>
      </c>
      <c r="AG52" s="369">
        <f t="shared" ca="1" si="88"/>
        <v>0</v>
      </c>
      <c r="AH52" s="369">
        <f t="shared" ca="1" si="88"/>
        <v>0</v>
      </c>
      <c r="AI52" s="161">
        <f t="shared" ca="1" si="88"/>
        <v>100559</v>
      </c>
      <c r="AJ52" s="161">
        <f t="shared" ca="1" si="88"/>
        <v>6874</v>
      </c>
      <c r="AK52" s="94">
        <f t="shared" ca="1" si="88"/>
        <v>0</v>
      </c>
      <c r="AL52" s="94">
        <f t="shared" ca="1" si="59"/>
        <v>0</v>
      </c>
      <c r="AM52" s="161">
        <f ca="1">SUM(AM53:AM73)</f>
        <v>0</v>
      </c>
      <c r="AN52" s="94">
        <f t="shared" ca="1" si="60"/>
        <v>0</v>
      </c>
      <c r="AO52" s="161">
        <f t="shared" ref="AO52:AW52" ca="1" si="89">SUM(AO53:AO73)</f>
        <v>0</v>
      </c>
      <c r="AP52" s="161">
        <f t="shared" ca="1" si="89"/>
        <v>0</v>
      </c>
      <c r="AQ52" s="161">
        <f t="shared" ca="1" si="89"/>
        <v>0</v>
      </c>
      <c r="AR52" s="161">
        <f t="shared" ca="1" si="89"/>
        <v>0</v>
      </c>
      <c r="AS52" s="161">
        <f t="shared" ca="1" si="89"/>
        <v>0</v>
      </c>
      <c r="AT52" s="161">
        <f t="shared" ca="1" si="89"/>
        <v>0</v>
      </c>
      <c r="AU52" s="161">
        <f t="shared" ca="1" si="89"/>
        <v>100559</v>
      </c>
      <c r="AV52" s="161">
        <f t="shared" ca="1" si="89"/>
        <v>6874</v>
      </c>
      <c r="AW52" s="161">
        <f t="shared" ca="1" si="89"/>
        <v>0</v>
      </c>
      <c r="AX52" s="94">
        <f t="shared" ca="1" si="62"/>
        <v>0</v>
      </c>
      <c r="AY52" s="161">
        <f ca="1">SUM(AY53:AY73)</f>
        <v>0</v>
      </c>
      <c r="AZ52" s="94">
        <f t="shared" ca="1" si="63"/>
        <v>0</v>
      </c>
      <c r="BA52" s="161">
        <f t="shared" ref="BA52:BQ52" ca="1" si="90">SUM(BA53:BA73)</f>
        <v>0</v>
      </c>
      <c r="BB52" s="161">
        <f t="shared" ca="1" si="90"/>
        <v>0</v>
      </c>
      <c r="BC52" s="161">
        <f t="shared" ca="1" si="90"/>
        <v>0</v>
      </c>
      <c r="BD52" s="161">
        <f t="shared" ca="1" si="90"/>
        <v>0</v>
      </c>
      <c r="BE52" s="161">
        <f t="shared" ca="1" si="90"/>
        <v>0</v>
      </c>
      <c r="BF52" s="161">
        <f t="shared" ca="1" si="90"/>
        <v>0</v>
      </c>
      <c r="BG52" s="161">
        <f t="shared" ca="1" si="90"/>
        <v>0</v>
      </c>
      <c r="BH52" s="161">
        <f t="shared" ca="1" si="90"/>
        <v>0</v>
      </c>
      <c r="BI52" s="161">
        <f t="shared" ca="1" si="90"/>
        <v>0</v>
      </c>
      <c r="BJ52" s="161">
        <f t="shared" ca="1" si="90"/>
        <v>0</v>
      </c>
      <c r="BK52" s="161">
        <f t="shared" ca="1" si="90"/>
        <v>0</v>
      </c>
      <c r="BL52" s="161">
        <f t="shared" ca="1" si="90"/>
        <v>0</v>
      </c>
      <c r="BM52" s="161">
        <f t="shared" ca="1" si="90"/>
        <v>0</v>
      </c>
      <c r="BN52" s="161">
        <f t="shared" ca="1" si="90"/>
        <v>0</v>
      </c>
      <c r="BO52" s="161">
        <f t="shared" ca="1" si="90"/>
        <v>51723.03</v>
      </c>
      <c r="BP52" s="161">
        <f t="shared" ca="1" si="90"/>
        <v>3128</v>
      </c>
      <c r="BQ52" s="161">
        <f t="shared" ca="1" si="90"/>
        <v>10648.579999999998</v>
      </c>
      <c r="BR52" s="94">
        <f t="shared" ca="1" si="65"/>
        <v>20.587695655107595</v>
      </c>
      <c r="BS52" s="161">
        <f ca="1">SUM(BS53:BS73)</f>
        <v>576</v>
      </c>
      <c r="BT52" s="94">
        <f t="shared" ca="1" si="66"/>
        <v>18.414322250639387</v>
      </c>
      <c r="BU52" s="161">
        <f t="shared" ref="BU52:CM52" ca="1" si="91">SUM(BU53:BU73)</f>
        <v>9685.7900000000009</v>
      </c>
      <c r="BV52" s="161">
        <f t="shared" ca="1" si="91"/>
        <v>541</v>
      </c>
      <c r="BW52" s="161">
        <f t="shared" ca="1" si="91"/>
        <v>4072</v>
      </c>
      <c r="BX52" s="161">
        <f t="shared" ca="1" si="91"/>
        <v>247</v>
      </c>
      <c r="BY52" s="161">
        <f t="shared" ca="1" si="91"/>
        <v>5613.79</v>
      </c>
      <c r="BZ52" s="161">
        <f t="shared" ca="1" si="91"/>
        <v>294</v>
      </c>
      <c r="CA52" s="161">
        <f t="shared" ca="1" si="91"/>
        <v>3126</v>
      </c>
      <c r="CB52" s="161">
        <f t="shared" ca="1" si="91"/>
        <v>73</v>
      </c>
      <c r="CC52" s="161">
        <f t="shared" ca="1" si="91"/>
        <v>924.79</v>
      </c>
      <c r="CD52" s="161">
        <f t="shared" ca="1" si="91"/>
        <v>35</v>
      </c>
      <c r="CE52" s="161">
        <f t="shared" ca="1" si="91"/>
        <v>222.95</v>
      </c>
      <c r="CF52" s="161">
        <f t="shared" ca="1" si="91"/>
        <v>14</v>
      </c>
      <c r="CG52" s="161">
        <f t="shared" ca="1" si="91"/>
        <v>701.84</v>
      </c>
      <c r="CH52" s="161">
        <f t="shared" ca="1" si="91"/>
        <v>21</v>
      </c>
      <c r="CI52" s="161">
        <f t="shared" ca="1" si="91"/>
        <v>38</v>
      </c>
      <c r="CJ52" s="161">
        <f t="shared" ca="1" si="91"/>
        <v>0</v>
      </c>
      <c r="CK52" s="281">
        <f t="shared" ca="1" si="91"/>
        <v>0</v>
      </c>
      <c r="CL52" s="281">
        <f t="shared" ca="1" si="91"/>
        <v>0</v>
      </c>
      <c r="CM52" s="281">
        <f t="shared" ca="1" si="91"/>
        <v>0</v>
      </c>
      <c r="CN52" s="94">
        <f t="shared" ca="1" si="68"/>
        <v>0</v>
      </c>
      <c r="CO52" s="281">
        <f ca="1">SUM(CO53:CO73)</f>
        <v>0</v>
      </c>
      <c r="CP52" s="94">
        <f t="shared" ca="1" si="69"/>
        <v>0</v>
      </c>
      <c r="CQ52" s="281">
        <f t="shared" ref="CQ52:CW52" ca="1" si="92">SUM(CQ53:CQ73)</f>
        <v>0</v>
      </c>
      <c r="CR52" s="281">
        <f t="shared" ca="1" si="92"/>
        <v>0</v>
      </c>
      <c r="CS52" s="281">
        <f t="shared" ca="1" si="92"/>
        <v>0</v>
      </c>
      <c r="CT52" s="281">
        <f t="shared" ca="1" si="92"/>
        <v>0</v>
      </c>
      <c r="CU52" s="281">
        <f t="shared" ca="1" si="92"/>
        <v>2409</v>
      </c>
      <c r="CV52" s="281">
        <f t="shared" ca="1" si="92"/>
        <v>100</v>
      </c>
      <c r="CW52" s="281">
        <f t="shared" ca="1" si="92"/>
        <v>0</v>
      </c>
      <c r="CX52" s="94">
        <f t="shared" ca="1" si="71"/>
        <v>0</v>
      </c>
      <c r="CY52" s="281">
        <f ca="1">SUM(CY53:CY73)</f>
        <v>0</v>
      </c>
      <c r="CZ52" s="94">
        <f t="shared" ca="1" si="72"/>
        <v>0</v>
      </c>
      <c r="DA52" s="281">
        <f t="shared" ref="DA52:DF52" ca="1" si="93">SUM(DA53:DA73)</f>
        <v>0</v>
      </c>
      <c r="DB52" s="281">
        <f t="shared" ca="1" si="93"/>
        <v>0</v>
      </c>
      <c r="DC52" s="281">
        <f t="shared" ca="1" si="93"/>
        <v>0</v>
      </c>
      <c r="DD52" s="281">
        <f t="shared" ca="1" si="93"/>
        <v>0</v>
      </c>
      <c r="DE52" s="281">
        <f t="shared" ca="1" si="93"/>
        <v>0</v>
      </c>
      <c r="DF52" s="281">
        <f t="shared" ca="1" si="93"/>
        <v>0</v>
      </c>
    </row>
    <row r="53" spans="1:110" ht="19.5" x14ac:dyDescent="0.3">
      <c r="A53" s="147">
        <v>1</v>
      </c>
      <c r="B53" s="148" t="s">
        <v>81</v>
      </c>
      <c r="C53" s="580">
        <f t="shared" ca="1" si="44"/>
        <v>494640</v>
      </c>
      <c r="D53" s="561">
        <f t="shared" ref="D53:D73" ca="1" si="94">+E53+F53</f>
        <v>494640</v>
      </c>
      <c r="E53" s="325">
        <f ca="1">IFERROR(__xludf.DUMMYFUNCTION("IMPORTRANGE(""https://docs.google.com/spreadsheets/d/1-uDff_7J0KD5mKrp0Vvzr7lt3OU09vwQwhkpOPPYv2Y/edit?usp=sharing"",""งบพรบ!IP53"")"),333900)</f>
        <v>333900</v>
      </c>
      <c r="F53" s="325">
        <f ca="1">IFERROR(__xludf.DUMMYFUNCTION("IMPORTRANGE(""https://docs.google.com/spreadsheets/d/1-uDff_7J0KD5mKrp0Vvzr7lt3OU09vwQwhkpOPPYv2Y/edit?usp=sharing"",""งบพรบ!IQ53"")"),160740)</f>
        <v>160740</v>
      </c>
      <c r="G53" s="311">
        <f ca="1">IFERROR(__xludf.DUMMYFUNCTION("IMPORTRANGE(""https://docs.google.com/spreadsheets/d/1-uDff_7J0KD5mKrp0Vvzr7lt3OU09vwQwhkpOPPYv2Y/edit?usp=sharing"",""งบพรบ!IR53"")"),0)</f>
        <v>0</v>
      </c>
      <c r="H53" s="311">
        <f ca="1">IFERROR(__xludf.DUMMYFUNCTION("IMPORTRANGE(""https://docs.google.com/spreadsheets/d/1-uDff_7J0KD5mKrp0Vvzr7lt3OU09vwQwhkpOPPYv2Y/edit?usp=sharing"",""งบพรบ!IT53"")"),494640)</f>
        <v>494640</v>
      </c>
      <c r="I53" s="311">
        <f ca="1">IFERROR(__xludf.DUMMYFUNCTION("IMPORTRANGE(""https://docs.google.com/spreadsheets/d/1-uDff_7J0KD5mKrp0Vvzr7lt3OU09vwQwhkpOPPYv2Y/edit?usp=sharing"",""งบพรบ!IU53"")"),0)</f>
        <v>0</v>
      </c>
      <c r="J53" s="311">
        <f t="shared" ca="1" si="46"/>
        <v>219640</v>
      </c>
      <c r="K53" s="562">
        <f t="shared" ca="1" si="47"/>
        <v>44.404010997897458</v>
      </c>
      <c r="L53" s="311">
        <f ca="1">IFERROR(__xludf.DUMMYFUNCTION("IMPORTRANGE(""https://docs.google.com/spreadsheets/d/1-uDff_7J0KD5mKrp0Vvzr7lt3OU09vwQwhkpOPPYv2Y/edit?usp=sharing"",""งบพรบ!IV53"")"),219640)</f>
        <v>219640</v>
      </c>
      <c r="M53" s="326">
        <f t="shared" ca="1" si="48"/>
        <v>44.404010997897458</v>
      </c>
      <c r="N53" s="326">
        <f t="shared" ca="1" si="49"/>
        <v>44.404010997897458</v>
      </c>
      <c r="O53" s="563">
        <f ca="1">IFERROR(__xludf.DUMMYFUNCTION("IMPORTRANGE(""https://docs.google.com/spreadsheets/d/1-uDff_7J0KD5mKrp0Vvzr7lt3OU09vwQwhkpOPPYv2Y/edit?usp=sharing"",""งบพรบ!IW53"")"),0)</f>
        <v>0</v>
      </c>
      <c r="P53" s="563">
        <f t="shared" ca="1" si="50"/>
        <v>0</v>
      </c>
      <c r="Q53" s="326">
        <f t="shared" ca="1" si="51"/>
        <v>0</v>
      </c>
      <c r="R53" s="564">
        <f ca="1">IFERROR(__xludf.DUMMYFUNCTION("IMPORTRANGE(""https://docs.google.com/spreadsheets/d/13wPX838HrBrQMCywv1BsuMkt4PEKTChp52zj44s2izQ/edit?usp=sharing"",""กาญจนบุรี!Q413"")"),33850)</f>
        <v>33850</v>
      </c>
      <c r="S53" s="564">
        <f ca="1">IFERROR(__xludf.DUMMYFUNCTION("IMPORTRANGE(""https://docs.google.com/spreadsheets/d/13wPX838HrBrQMCywv1BsuMkt4PEKTChp52zj44s2izQ/edit?usp=sharing"",""กาญจนบุรี!R413"")"),33850)</f>
        <v>33850</v>
      </c>
      <c r="T53" s="564">
        <f ca="1">IFERROR(__xludf.DUMMYFUNCTION("IMPORTRANGE(""https://docs.google.com/spreadsheets/d/13wPX838HrBrQMCywv1BsuMkt4PEKTChp52zj44s2izQ/edit?usp=sharing"",""กาญจนบุรี!S413"")"),0)</f>
        <v>0</v>
      </c>
      <c r="U53" s="565">
        <f t="shared" ca="1" si="53"/>
        <v>0</v>
      </c>
      <c r="V53" s="565">
        <f t="shared" ca="1" si="54"/>
        <v>0</v>
      </c>
      <c r="W53" s="152">
        <f ca="1">IFERROR(__xludf.DUMMYFUNCTION("IMPORTRANGE(""https://docs.google.com/spreadsheets/d/13wPX838HrBrQMCywv1BsuMkt4PEKTChp52zj44s2izQ/edit?usp=sharing"",""กาญจนบุรี!I424"")"),50467)</f>
        <v>50467</v>
      </c>
      <c r="X53" s="152">
        <f ca="1">IFERROR(__xludf.DUMMYFUNCTION("IMPORTRANGE(""https://docs.google.com/spreadsheets/d/13wPX838HrBrQMCywv1BsuMkt4PEKTChp52zj44s2izQ/edit?usp=sharing"",""กาญจนบุรี!I425"")"),3338)</f>
        <v>3338</v>
      </c>
      <c r="Y53" s="152">
        <f ca="1">IFERROR(__xludf.DUMMYFUNCTION("IMPORTRANGE(""https://docs.google.com/spreadsheets/d/13wPX838HrBrQMCywv1BsuMkt4PEKTChp52zj44s2izQ/edit?usp=sharing"",""กาญจนบุรี!J424"")"),0)</f>
        <v>0</v>
      </c>
      <c r="Z53" s="216">
        <f t="shared" ca="1" si="56"/>
        <v>0</v>
      </c>
      <c r="AA53" s="152">
        <f ca="1">IFERROR(__xludf.DUMMYFUNCTION("IMPORTRANGE(""https://docs.google.com/spreadsheets/d/13wPX838HrBrQMCywv1BsuMkt4PEKTChp52zj44s2izQ/edit?usp=sharing"",""กาญจนบุรี!J425"")"),0)</f>
        <v>0</v>
      </c>
      <c r="AB53" s="216">
        <f t="shared" ca="1" si="57"/>
        <v>0</v>
      </c>
      <c r="AC53" s="152">
        <f ca="1">IFERROR(__xludf.DUMMYFUNCTION("IMPORTRANGE(""https://docs.google.com/spreadsheets/d/13wPX838HrBrQMCywv1BsuMkt4PEKTChp52zj44s2izQ/edit?usp=sharing"",""กาญจนบุรี!J426"")"),0)</f>
        <v>0</v>
      </c>
      <c r="AD53" s="152">
        <f ca="1">IFERROR(__xludf.DUMMYFUNCTION("IMPORTRANGE(""https://docs.google.com/spreadsheets/d/13wPX838HrBrQMCywv1BsuMkt4PEKTChp52zj44s2izQ/edit?usp=sharing"",""กาญจนบุรี!J427"")"),0)</f>
        <v>0</v>
      </c>
      <c r="AE53" s="152">
        <f ca="1">IFERROR(__xludf.DUMMYFUNCTION("IMPORTRANGE(""https://docs.google.com/spreadsheets/d/13wPX838HrBrQMCywv1BsuMkt4PEKTChp52zj44s2izQ/edit?usp=sharing"",""กาญจนบุรี!J428"")"),0)</f>
        <v>0</v>
      </c>
      <c r="AF53" s="152">
        <f ca="1">IFERROR(__xludf.DUMMYFUNCTION("IMPORTRANGE(""https://docs.google.com/spreadsheets/d/13wPX838HrBrQMCywv1BsuMkt4PEKTChp52zj44s2izQ/edit?usp=sharing"",""กาญจนบุรี!J429"")"),0)</f>
        <v>0</v>
      </c>
      <c r="AG53" s="152">
        <f ca="1">IFERROR(__xludf.DUMMYFUNCTION("IMPORTRANGE(""https://docs.google.com/spreadsheets/d/13wPX838HrBrQMCywv1BsuMkt4PEKTChp52zj44s2izQ/edit?usp=sharing"",""กาญจนบุรี!J430"")"),0)</f>
        <v>0</v>
      </c>
      <c r="AH53" s="152">
        <f ca="1">IFERROR(__xludf.DUMMYFUNCTION("IMPORTRANGE(""https://docs.google.com/spreadsheets/d/13wPX838HrBrQMCywv1BsuMkt4PEKTChp52zj44s2izQ/edit?usp=sharing"",""กาญจนบุรี!J431"")"),0)</f>
        <v>0</v>
      </c>
      <c r="AI53" s="152">
        <f ca="1">IFERROR(__xludf.DUMMYFUNCTION("IMPORTRANGE(""https://docs.google.com/spreadsheets/d/13wPX838HrBrQMCywv1BsuMkt4PEKTChp52zj44s2izQ/edit?usp=sharing"",""กาญจนบุรี!I432"")"),50467)</f>
        <v>50467</v>
      </c>
      <c r="AJ53" s="152">
        <f ca="1">IFERROR(__xludf.DUMMYFUNCTION("IMPORTRANGE(""https://docs.google.com/spreadsheets/d/13wPX838HrBrQMCywv1BsuMkt4PEKTChp52zj44s2izQ/edit?usp=sharing"",""กาญจนบุรี!I433"")"),3338)</f>
        <v>3338</v>
      </c>
      <c r="AK53" s="216">
        <f ca="1">IFERROR(__xludf.DUMMYFUNCTION("IMPORTRANGE(""https://docs.google.com/spreadsheets/d/13wPX838HrBrQMCywv1BsuMkt4PEKTChp52zj44s2izQ/edit?usp=sharing"",""กาญจนบุรี!J432"")"),0)</f>
        <v>0</v>
      </c>
      <c r="AL53" s="216">
        <f t="shared" ca="1" si="59"/>
        <v>0</v>
      </c>
      <c r="AM53" s="152">
        <f ca="1">IFERROR(__xludf.DUMMYFUNCTION("IMPORTRANGE(""https://docs.google.com/spreadsheets/d/13wPX838HrBrQMCywv1BsuMkt4PEKTChp52zj44s2izQ/edit?usp=sharing"",""กาญจนบุรี!J433"")"),0)</f>
        <v>0</v>
      </c>
      <c r="AN53" s="216">
        <f t="shared" ca="1" si="60"/>
        <v>0</v>
      </c>
      <c r="AO53" s="152">
        <f ca="1">IFERROR(__xludf.DUMMYFUNCTION("IMPORTRANGE(""https://docs.google.com/spreadsheets/d/13wPX838HrBrQMCywv1BsuMkt4PEKTChp52zj44s2izQ/edit?usp=sharing"",""กาญจนบุรี!J434"")"),0)</f>
        <v>0</v>
      </c>
      <c r="AP53" s="152">
        <f ca="1">IFERROR(__xludf.DUMMYFUNCTION("IMPORTRANGE(""https://docs.google.com/spreadsheets/d/13wPX838HrBrQMCywv1BsuMkt4PEKTChp52zj44s2izQ/edit?usp=sharing"",""กาญจนบุรี!J435"")"),0)</f>
        <v>0</v>
      </c>
      <c r="AQ53" s="152">
        <f ca="1">IFERROR(__xludf.DUMMYFUNCTION("IMPORTRANGE(""https://docs.google.com/spreadsheets/d/13wPX838HrBrQMCywv1BsuMkt4PEKTChp52zj44s2izQ/edit?usp=sharing"",""กาญจนบุรี!J436"")"),0)</f>
        <v>0</v>
      </c>
      <c r="AR53" s="152">
        <f ca="1">IFERROR(__xludf.DUMMYFUNCTION("IMPORTRANGE(""https://docs.google.com/spreadsheets/d/13wPX838HrBrQMCywv1BsuMkt4PEKTChp52zj44s2izQ/edit?usp=sharing"",""กาญจนบุรี!J437"")"),0)</f>
        <v>0</v>
      </c>
      <c r="AS53" s="152">
        <f ca="1">IFERROR(__xludf.DUMMYFUNCTION("IMPORTRANGE(""https://docs.google.com/spreadsheets/d/13wPX838HrBrQMCywv1BsuMkt4PEKTChp52zj44s2izQ/edit?usp=sharing"",""กาญจนบุรี!J438"")"),0)</f>
        <v>0</v>
      </c>
      <c r="AT53" s="152">
        <f ca="1">IFERROR(__xludf.DUMMYFUNCTION("IMPORTRANGE(""https://docs.google.com/spreadsheets/d/13wPX838HrBrQMCywv1BsuMkt4PEKTChp52zj44s2izQ/edit?usp=sharing"",""กาญจนบุรี!J439"")"),0)</f>
        <v>0</v>
      </c>
      <c r="AU53" s="152">
        <f ca="1">IFERROR(__xludf.DUMMYFUNCTION("IMPORTRANGE(""https://docs.google.com/spreadsheets/d/13wPX838HrBrQMCywv1BsuMkt4PEKTChp52zj44s2izQ/edit?usp=sharing"",""กาญจนบุรี!I440"")"),50467)</f>
        <v>50467</v>
      </c>
      <c r="AV53" s="152">
        <f ca="1">IFERROR(__xludf.DUMMYFUNCTION("IMPORTRANGE(""https://docs.google.com/spreadsheets/d/13wPX838HrBrQMCywv1BsuMkt4PEKTChp52zj44s2izQ/edit?usp=sharing"",""กาญจนบุรี!I441"")"),3338)</f>
        <v>3338</v>
      </c>
      <c r="AW53" s="152">
        <f ca="1">IFERROR(__xludf.DUMMYFUNCTION("IMPORTRANGE(""https://docs.google.com/spreadsheets/d/13wPX838HrBrQMCywv1BsuMkt4PEKTChp52zj44s2izQ/edit?usp=sharing"",""กาญจนบุรี!J440"")"),0)</f>
        <v>0</v>
      </c>
      <c r="AX53" s="216">
        <f t="shared" ca="1" si="62"/>
        <v>0</v>
      </c>
      <c r="AY53" s="152">
        <f ca="1">IFERROR(__xludf.DUMMYFUNCTION("IMPORTRANGE(""https://docs.google.com/spreadsheets/d/13wPX838HrBrQMCywv1BsuMkt4PEKTChp52zj44s2izQ/edit?usp=sharing"",""กาญจนบุรี!J441"")"),0)</f>
        <v>0</v>
      </c>
      <c r="AZ53" s="216">
        <f t="shared" ca="1" si="63"/>
        <v>0</v>
      </c>
      <c r="BA53" s="152">
        <f ca="1">IFERROR(__xludf.DUMMYFUNCTION("IMPORTRANGE(""https://docs.google.com/spreadsheets/d/13wPX838HrBrQMCywv1BsuMkt4PEKTChp52zj44s2izQ/edit?usp=sharing"",""กาญจนบุรี!J442"")"),0)</f>
        <v>0</v>
      </c>
      <c r="BB53" s="152">
        <f ca="1">IFERROR(__xludf.DUMMYFUNCTION("IMPORTRANGE(""https://docs.google.com/spreadsheets/d/13wPX838HrBrQMCywv1BsuMkt4PEKTChp52zj44s2izQ/edit?usp=sharing"",""กาญจนบุรี!J443"")"),0)</f>
        <v>0</v>
      </c>
      <c r="BC53" s="152">
        <f ca="1">IFERROR(__xludf.DUMMYFUNCTION("IMPORTRANGE(""https://docs.google.com/spreadsheets/d/13wPX838HrBrQMCywv1BsuMkt4PEKTChp52zj44s2izQ/edit?usp=sharing"",""กาญจนบุรี!J444"")"),0)</f>
        <v>0</v>
      </c>
      <c r="BD53" s="152">
        <f ca="1">IFERROR(__xludf.DUMMYFUNCTION("IMPORTRANGE(""https://docs.google.com/spreadsheets/d/13wPX838HrBrQMCywv1BsuMkt4PEKTChp52zj44s2izQ/edit?usp=sharing"",""กาญจนบุรี!J445"")"),0)</f>
        <v>0</v>
      </c>
      <c r="BE53" s="152">
        <f ca="1">IFERROR(__xludf.DUMMYFUNCTION("IMPORTRANGE(""https://docs.google.com/spreadsheets/d/13wPX838HrBrQMCywv1BsuMkt4PEKTChp52zj44s2izQ/edit?usp=sharing"",""กาญจนบุรี!J446"")"),0)</f>
        <v>0</v>
      </c>
      <c r="BF53" s="152">
        <f ca="1">IFERROR(__xludf.DUMMYFUNCTION("IMPORTRANGE(""https://docs.google.com/spreadsheets/d/13wPX838HrBrQMCywv1BsuMkt4PEKTChp52zj44s2izQ/edit?usp=sharing"",""กาญจนบุรี!J447"")"),0)</f>
        <v>0</v>
      </c>
      <c r="BG53" s="152">
        <f ca="1">IFERROR(__xludf.DUMMYFUNCTION("IMPORTRANGE(""https://docs.google.com/spreadsheets/d/13wPX838HrBrQMCywv1BsuMkt4PEKTChp52zj44s2izQ/edit?usp=sharing"",""กาญจนบุรี!J448"")"),0)</f>
        <v>0</v>
      </c>
      <c r="BH53" s="152">
        <f ca="1">IFERROR(__xludf.DUMMYFUNCTION("IMPORTRANGE(""https://docs.google.com/spreadsheets/d/13wPX838HrBrQMCywv1BsuMkt4PEKTChp52zj44s2izQ/edit?usp=sharing"",""กาญจนบุรี!J449"")"),0)</f>
        <v>0</v>
      </c>
      <c r="BI53" s="152">
        <f ca="1">IFERROR(__xludf.DUMMYFUNCTION("IMPORTRANGE(""https://docs.google.com/spreadsheets/d/13wPX838HrBrQMCywv1BsuMkt4PEKTChp52zj44s2izQ/edit?usp=sharing"",""กาญจนบุรี!J450"")"),0)</f>
        <v>0</v>
      </c>
      <c r="BJ53" s="152">
        <f ca="1">IFERROR(__xludf.DUMMYFUNCTION("IMPORTRANGE(""https://docs.google.com/spreadsheets/d/13wPX838HrBrQMCywv1BsuMkt4PEKTChp52zj44s2izQ/edit?usp=sharing"",""กาญจนบุรี!J451"")"),0)</f>
        <v>0</v>
      </c>
      <c r="BK53" s="152">
        <f ca="1">IFERROR(__xludf.DUMMYFUNCTION("IMPORTRANGE(""https://docs.google.com/spreadsheets/d/13wPX838HrBrQMCywv1BsuMkt4PEKTChp52zj44s2izQ/edit?usp=sharing"",""กาญจนบุรี!J452"")"),0)</f>
        <v>0</v>
      </c>
      <c r="BL53" s="152">
        <f ca="1">IFERROR(__xludf.DUMMYFUNCTION("IMPORTRANGE(""https://docs.google.com/spreadsheets/d/13wPX838HrBrQMCywv1BsuMkt4PEKTChp52zj44s2izQ/edit?usp=sharing"",""กาญจนบุรี!J453"")"),0)</f>
        <v>0</v>
      </c>
      <c r="BM53" s="152">
        <f ca="1">IFERROR(__xludf.DUMMYFUNCTION("IMPORTRANGE(""https://docs.google.com/spreadsheets/d/13wPX838HrBrQMCywv1BsuMkt4PEKTChp52zj44s2izQ/edit?usp=sharing"",""กาญจนบุรี!J454"")"),0)</f>
        <v>0</v>
      </c>
      <c r="BN53" s="152">
        <f ca="1">IFERROR(__xludf.DUMMYFUNCTION("IMPORTRANGE(""https://docs.google.com/spreadsheets/d/13wPX838HrBrQMCywv1BsuMkt4PEKTChp52zj44s2izQ/edit?usp=sharing"",""กาญจนบุรี!J455"")"),0)</f>
        <v>0</v>
      </c>
      <c r="BO53" s="152">
        <f ca="1">IFERROR(__xludf.DUMMYFUNCTION("IMPORTRANGE(""https://docs.google.com/spreadsheets/d/13wPX838HrBrQMCywv1BsuMkt4PEKTChp52zj44s2izQ/edit?usp=sharing"",""กาญจนบุรี!I457"")"),11.07)</f>
        <v>11.07</v>
      </c>
      <c r="BP53" s="152">
        <f ca="1">IFERROR(__xludf.DUMMYFUNCTION("IMPORTRANGE(""https://docs.google.com/spreadsheets/d/13wPX838HrBrQMCywv1BsuMkt4PEKTChp52zj44s2izQ/edit?usp=sharing"",""กาญจนบุรี!I458"")"),2)</f>
        <v>2</v>
      </c>
      <c r="BQ53" s="152">
        <f ca="1">IFERROR(__xludf.DUMMYFUNCTION("IMPORTRANGE(""https://docs.google.com/spreadsheets/d/13wPX838HrBrQMCywv1BsuMkt4PEKTChp52zj44s2izQ/edit?usp=sharing"",""กาญจนบุรี!J457"")"),0)</f>
        <v>0</v>
      </c>
      <c r="BR53" s="216">
        <f t="shared" ca="1" si="65"/>
        <v>0</v>
      </c>
      <c r="BS53" s="152">
        <f ca="1">IFERROR(__xludf.DUMMYFUNCTION("IMPORTRANGE(""https://docs.google.com/spreadsheets/d/13wPX838HrBrQMCywv1BsuMkt4PEKTChp52zj44s2izQ/edit?usp=sharing"",""กาญจนบุรี!J458"")"),0)</f>
        <v>0</v>
      </c>
      <c r="BT53" s="216">
        <f t="shared" ca="1" si="66"/>
        <v>0</v>
      </c>
      <c r="BU53" s="152">
        <f ca="1">IFERROR(__xludf.DUMMYFUNCTION("IMPORTRANGE(""https://docs.google.com/spreadsheets/d/13wPX838HrBrQMCywv1BsuMkt4PEKTChp52zj44s2izQ/edit?usp=sharing"",""กาญจนบุรี!J459"")"),0)</f>
        <v>0</v>
      </c>
      <c r="BV53" s="152">
        <f ca="1">IFERROR(__xludf.DUMMYFUNCTION("IMPORTRANGE(""https://docs.google.com/spreadsheets/d/13wPX838HrBrQMCywv1BsuMkt4PEKTChp52zj44s2izQ/edit?usp=sharing"",""กาญจนบุรี!J460"")"),0)</f>
        <v>0</v>
      </c>
      <c r="BW53" s="152">
        <f ca="1">IFERROR(__xludf.DUMMYFUNCTION("IMPORTRANGE(""https://docs.google.com/spreadsheets/d/13wPX838HrBrQMCywv1BsuMkt4PEKTChp52zj44s2izQ/edit?usp=sharing"",""กาญจนบุรี!J461"")"),0)</f>
        <v>0</v>
      </c>
      <c r="BX53" s="152">
        <f ca="1">IFERROR(__xludf.DUMMYFUNCTION("IMPORTRANGE(""https://docs.google.com/spreadsheets/d/13wPX838HrBrQMCywv1BsuMkt4PEKTChp52zj44s2izQ/edit?usp=sharing"",""กาญจนบุรี!J462"")"),0)</f>
        <v>0</v>
      </c>
      <c r="BY53" s="152">
        <f ca="1">IFERROR(__xludf.DUMMYFUNCTION("IMPORTRANGE(""https://docs.google.com/spreadsheets/d/13wPX838HrBrQMCywv1BsuMkt4PEKTChp52zj44s2izQ/edit?usp=sharing"",""กาญจนบุรี!J463"")"),0)</f>
        <v>0</v>
      </c>
      <c r="BZ53" s="152">
        <f ca="1">IFERROR(__xludf.DUMMYFUNCTION("IMPORTRANGE(""https://docs.google.com/spreadsheets/d/13wPX838HrBrQMCywv1BsuMkt4PEKTChp52zj44s2izQ/edit?usp=sharing"",""กาญจนบุรี!J464"")"),0)</f>
        <v>0</v>
      </c>
      <c r="CA53" s="152">
        <f ca="1">IFERROR(__xludf.DUMMYFUNCTION("IMPORTRANGE(""https://docs.google.com/spreadsheets/d/13wPX838HrBrQMCywv1BsuMkt4PEKTChp52zj44s2izQ/edit?usp=sharing"",""กาญจนบุรี!J465"")"),0)</f>
        <v>0</v>
      </c>
      <c r="CB53" s="152">
        <f ca="1">IFERROR(__xludf.DUMMYFUNCTION("IMPORTRANGE(""https://docs.google.com/spreadsheets/d/13wPX838HrBrQMCywv1BsuMkt4PEKTChp52zj44s2izQ/edit?usp=sharing"",""กาญจนบุรี!J466"")"),0)</f>
        <v>0</v>
      </c>
      <c r="CC53" s="152">
        <f ca="1">IFERROR(__xludf.DUMMYFUNCTION("IMPORTRANGE(""https://docs.google.com/spreadsheets/d/13wPX838HrBrQMCywv1BsuMkt4PEKTChp52zj44s2izQ/edit?usp=sharing"",""กาญจนบุรี!J467"")"),0)</f>
        <v>0</v>
      </c>
      <c r="CD53" s="152">
        <f ca="1">IFERROR(__xludf.DUMMYFUNCTION("IMPORTRANGE(""https://docs.google.com/spreadsheets/d/13wPX838HrBrQMCywv1BsuMkt4PEKTChp52zj44s2izQ/edit?usp=sharing"",""กาญจนบุรี!J468"")"),0)</f>
        <v>0</v>
      </c>
      <c r="CE53" s="152">
        <f ca="1">IFERROR(__xludf.DUMMYFUNCTION("IMPORTRANGE(""https://docs.google.com/spreadsheets/d/13wPX838HrBrQMCywv1BsuMkt4PEKTChp52zj44s2izQ/edit?usp=sharing"",""กาญจนบุรี!J469"")"),0)</f>
        <v>0</v>
      </c>
      <c r="CF53" s="152">
        <f ca="1">IFERROR(__xludf.DUMMYFUNCTION("IMPORTRANGE(""https://docs.google.com/spreadsheets/d/13wPX838HrBrQMCywv1BsuMkt4PEKTChp52zj44s2izQ/edit?usp=sharing"",""กาญจนบุรี!J470"")"),0)</f>
        <v>0</v>
      </c>
      <c r="CG53" s="152">
        <f ca="1">IFERROR(__xludf.DUMMYFUNCTION("IMPORTRANGE(""https://docs.google.com/spreadsheets/d/13wPX838HrBrQMCywv1BsuMkt4PEKTChp52zj44s2izQ/edit?usp=sharing"",""กาญจนบุรี!J471"")"),0)</f>
        <v>0</v>
      </c>
      <c r="CH53" s="152">
        <f ca="1">IFERROR(__xludf.DUMMYFUNCTION("IMPORTRANGE(""https://docs.google.com/spreadsheets/d/13wPX838HrBrQMCywv1BsuMkt4PEKTChp52zj44s2izQ/edit?usp=sharing"",""กาญจนบุรี!J472"")"),0)</f>
        <v>0</v>
      </c>
      <c r="CI53" s="152">
        <f ca="1">IFERROR(__xludf.DUMMYFUNCTION("IMPORTRANGE(""https://docs.google.com/spreadsheets/d/13wPX838HrBrQMCywv1BsuMkt4PEKTChp52zj44s2izQ/edit?usp=sharing"",""กาญจนบุรี!J473"")"),0)</f>
        <v>0</v>
      </c>
      <c r="CJ53" s="152">
        <f ca="1">IFERROR(__xludf.DUMMYFUNCTION("IMPORTRANGE(""https://docs.google.com/spreadsheets/d/13wPX838HrBrQMCywv1BsuMkt4PEKTChp52zj44s2izQ/edit?usp=sharing"",""กาญจนบุรี!J474"")"),0)</f>
        <v>0</v>
      </c>
      <c r="CK53" s="278">
        <f ca="1">IFERROR(__xludf.DUMMYFUNCTION("IMPORTRANGE(""https://docs.google.com/spreadsheets/d/13wPX838HrBrQMCywv1BsuMkt4PEKTChp52zj44s2izQ/edit?usp=sharing"",""กาญจนบุรี!I476"")"),0)</f>
        <v>0</v>
      </c>
      <c r="CL53" s="278">
        <f ca="1">IFERROR(__xludf.DUMMYFUNCTION("IMPORTRANGE(""https://docs.google.com/spreadsheets/d/13wPX838HrBrQMCywv1BsuMkt4PEKTChp52zj44s2izQ/edit?usp=sharing"",""กาญจนบุรี!I477"")"),0)</f>
        <v>0</v>
      </c>
      <c r="CM53" s="278">
        <f ca="1">IFERROR(__xludf.DUMMYFUNCTION("IMPORTRANGE(""https://docs.google.com/spreadsheets/d/13wPX838HrBrQMCywv1BsuMkt4PEKTChp52zj44s2izQ/edit?usp=sharing"",""กาญจนบุรี!J476"")"),0)</f>
        <v>0</v>
      </c>
      <c r="CN53" s="216">
        <f t="shared" ca="1" si="68"/>
        <v>0</v>
      </c>
      <c r="CO53" s="278">
        <f ca="1">IFERROR(__xludf.DUMMYFUNCTION("IMPORTRANGE(""https://docs.google.com/spreadsheets/d/13wPX838HrBrQMCywv1BsuMkt4PEKTChp52zj44s2izQ/edit?usp=sharing"",""กาญจนบุรี!J477"")"),0)</f>
        <v>0</v>
      </c>
      <c r="CP53" s="216">
        <f t="shared" ca="1" si="69"/>
        <v>0</v>
      </c>
      <c r="CQ53" s="278">
        <f ca="1">IFERROR(__xludf.DUMMYFUNCTION("IMPORTRANGE(""https://docs.google.com/spreadsheets/d/13wPX838HrBrQMCywv1BsuMkt4PEKTChp52zj44s2izQ/edit?usp=sharing"",""กาญจนบุรี!J478"")"),0)</f>
        <v>0</v>
      </c>
      <c r="CR53" s="278">
        <f ca="1">IFERROR(__xludf.DUMMYFUNCTION("IMPORTRANGE(""https://docs.google.com/spreadsheets/d/13wPX838HrBrQMCywv1BsuMkt4PEKTChp52zj44s2izQ/edit?usp=sharing"",""กาญจนบุรี!J479"")"),0)</f>
        <v>0</v>
      </c>
      <c r="CS53" s="278">
        <f ca="1">IFERROR(__xludf.DUMMYFUNCTION("IMPORTRANGE(""https://docs.google.com/spreadsheets/d/13wPX838HrBrQMCywv1BsuMkt4PEKTChp52zj44s2izQ/edit?usp=sharing"",""กาญจนบุรี!J480"")"),0)</f>
        <v>0</v>
      </c>
      <c r="CT53" s="278">
        <f ca="1">IFERROR(__xludf.DUMMYFUNCTION("IMPORTRANGE(""https://docs.google.com/spreadsheets/d/13wPX838HrBrQMCywv1BsuMkt4PEKTChp52zj44s2izQ/edit?usp=sharing"",""กาญจนบุรี!J481"")"),0)</f>
        <v>0</v>
      </c>
      <c r="CU53" s="278">
        <f ca="1">IFERROR(__xludf.DUMMYFUNCTION("IMPORTRANGE(""https://docs.google.com/spreadsheets/d/13wPX838HrBrQMCywv1BsuMkt4PEKTChp52zj44s2izQ/edit?usp=sharing"",""กาญจนบุรี!I484"")"),2409)</f>
        <v>2409</v>
      </c>
      <c r="CV53" s="278">
        <f ca="1">IFERROR(__xludf.DUMMYFUNCTION("IMPORTRANGE(""https://docs.google.com/spreadsheets/d/13wPX838HrBrQMCywv1BsuMkt4PEKTChp52zj44s2izQ/edit?usp=sharing"",""กาญจนบุรี!I485"")"),100)</f>
        <v>100</v>
      </c>
      <c r="CW53" s="278">
        <f ca="1">IFERROR(__xludf.DUMMYFUNCTION("IMPORTRANGE(""https://docs.google.com/spreadsheets/d/13wPX838HrBrQMCywv1BsuMkt4PEKTChp52zj44s2izQ/edit?usp=sharing"",""กาญจนบุรี!J484"")"),0)</f>
        <v>0</v>
      </c>
      <c r="CX53" s="216">
        <f t="shared" ca="1" si="71"/>
        <v>0</v>
      </c>
      <c r="CY53" s="278">
        <f ca="1">IFERROR(__xludf.DUMMYFUNCTION("IMPORTRANGE(""https://docs.google.com/spreadsheets/d/13wPX838HrBrQMCywv1BsuMkt4PEKTChp52zj44s2izQ/edit?usp=sharing"",""กาญจนบุรี!J485"")"),0)</f>
        <v>0</v>
      </c>
      <c r="CZ53" s="216">
        <f t="shared" ca="1" si="72"/>
        <v>0</v>
      </c>
      <c r="DA53" s="278">
        <f ca="1">IFERROR(__xludf.DUMMYFUNCTION("IMPORTRANGE(""https://docs.google.com/spreadsheets/d/13wPX838HrBrQMCywv1BsuMkt4PEKTChp52zj44s2izQ/edit?usp=sharing"",""กาญจนบุรี!J486"")"),0)</f>
        <v>0</v>
      </c>
      <c r="DB53" s="278">
        <f ca="1">IFERROR(__xludf.DUMMYFUNCTION("IMPORTRANGE(""https://docs.google.com/spreadsheets/d/13wPX838HrBrQMCywv1BsuMkt4PEKTChp52zj44s2izQ/edit?usp=sharing"",""กาญจนบุรี!J487"")"),0)</f>
        <v>0</v>
      </c>
      <c r="DC53" s="278">
        <f ca="1">IFERROR(__xludf.DUMMYFUNCTION("IMPORTRANGE(""https://docs.google.com/spreadsheets/d/13wPX838HrBrQMCywv1BsuMkt4PEKTChp52zj44s2izQ/edit?usp=sharing"",""กาญจนบุรี!J488"")"),0)</f>
        <v>0</v>
      </c>
      <c r="DD53" s="278">
        <f ca="1">IFERROR(__xludf.DUMMYFUNCTION("IMPORTRANGE(""https://docs.google.com/spreadsheets/d/13wPX838HrBrQMCywv1BsuMkt4PEKTChp52zj44s2izQ/edit?usp=sharing"",""กาญจนบุรี!J489"")"),0)</f>
        <v>0</v>
      </c>
      <c r="DE53" s="278">
        <f ca="1">IFERROR(__xludf.DUMMYFUNCTION("IMPORTRANGE(""https://docs.google.com/spreadsheets/d/13wPX838HrBrQMCywv1BsuMkt4PEKTChp52zj44s2izQ/edit?usp=sharing"",""กาญจนบุรี!J490"")"),0)</f>
        <v>0</v>
      </c>
      <c r="DF53" s="278">
        <f ca="1">IFERROR(__xludf.DUMMYFUNCTION("IMPORTRANGE(""https://docs.google.com/spreadsheets/d/13wPX838HrBrQMCywv1BsuMkt4PEKTChp52zj44s2izQ/edit?usp=sharing"",""กาญจนบุรี!J491"")"),0)</f>
        <v>0</v>
      </c>
    </row>
    <row r="54" spans="1:110" ht="19.5" x14ac:dyDescent="0.3">
      <c r="A54" s="147">
        <v>2</v>
      </c>
      <c r="B54" s="148" t="s">
        <v>82</v>
      </c>
      <c r="C54" s="566">
        <f t="shared" ca="1" si="44"/>
        <v>21340</v>
      </c>
      <c r="D54" s="567">
        <f t="shared" ca="1" si="94"/>
        <v>21340</v>
      </c>
      <c r="E54" s="329">
        <f ca="1">IFERROR(__xludf.DUMMYFUNCTION("IMPORTRANGE(""https://docs.google.com/spreadsheets/d/1-uDff_7J0KD5mKrp0Vvzr7lt3OU09vwQwhkpOPPYv2Y/edit?usp=sharing"",""งบพรบ!IP54"")"),0)</f>
        <v>0</v>
      </c>
      <c r="F54" s="329">
        <f ca="1">IFERROR(__xludf.DUMMYFUNCTION("IMPORTRANGE(""https://docs.google.com/spreadsheets/d/1-uDff_7J0KD5mKrp0Vvzr7lt3OU09vwQwhkpOPPYv2Y/edit?usp=sharing"",""งบพรบ!IQ54"")"),21340)</f>
        <v>21340</v>
      </c>
      <c r="G54" s="329">
        <f ca="1">IFERROR(__xludf.DUMMYFUNCTION("IMPORTRANGE(""https://docs.google.com/spreadsheets/d/1-uDff_7J0KD5mKrp0Vvzr7lt3OU09vwQwhkpOPPYv2Y/edit?usp=sharing"",""งบพรบ!IR54"")"),0)</f>
        <v>0</v>
      </c>
      <c r="H54" s="329">
        <f ca="1">IFERROR(__xludf.DUMMYFUNCTION("IMPORTRANGE(""https://docs.google.com/spreadsheets/d/1-uDff_7J0KD5mKrp0Vvzr7lt3OU09vwQwhkpOPPYv2Y/edit?usp=sharing"",""งบพรบ!IT54"")"),21340)</f>
        <v>21340</v>
      </c>
      <c r="I54" s="329">
        <f ca="1">IFERROR(__xludf.DUMMYFUNCTION("IMPORTRANGE(""https://docs.google.com/spreadsheets/d/1-uDff_7J0KD5mKrp0Vvzr7lt3OU09vwQwhkpOPPYv2Y/edit?usp=sharing"",""งบพรบ!IU54"")"),0)</f>
        <v>0</v>
      </c>
      <c r="J54" s="329">
        <f t="shared" ca="1" si="46"/>
        <v>11740</v>
      </c>
      <c r="K54" s="568">
        <f t="shared" ca="1" si="47"/>
        <v>55.01405810684161</v>
      </c>
      <c r="L54" s="329">
        <f ca="1">IFERROR(__xludf.DUMMYFUNCTION("IMPORTRANGE(""https://docs.google.com/spreadsheets/d/1-uDff_7J0KD5mKrp0Vvzr7lt3OU09vwQwhkpOPPYv2Y/edit?usp=sharing"",""งบพรบ!IV54"")"),11740)</f>
        <v>11740</v>
      </c>
      <c r="M54" s="330">
        <f t="shared" ca="1" si="48"/>
        <v>55.01405810684161</v>
      </c>
      <c r="N54" s="330">
        <f t="shared" ca="1" si="49"/>
        <v>55.01405810684161</v>
      </c>
      <c r="O54" s="569">
        <f ca="1">IFERROR(__xludf.DUMMYFUNCTION("IMPORTRANGE(""https://docs.google.com/spreadsheets/d/1-uDff_7J0KD5mKrp0Vvzr7lt3OU09vwQwhkpOPPYv2Y/edit?usp=sharing"",""งบพรบ!IW54"")"),0)</f>
        <v>0</v>
      </c>
      <c r="P54" s="569">
        <f t="shared" ca="1" si="50"/>
        <v>0</v>
      </c>
      <c r="Q54" s="330">
        <f t="shared" ca="1" si="51"/>
        <v>0</v>
      </c>
      <c r="R54" s="564">
        <f ca="1">IFERROR(__xludf.DUMMYFUNCTION("IMPORTRANGE(""https://docs.google.com/spreadsheets/d/1ddFKvqj1W1NEiWytbGlB1zMx_ykJDVtmfEQ-6-lIUBA/edit?usp=sharing"",""จันทบุรี!Q413"")"),15170)</f>
        <v>15170</v>
      </c>
      <c r="S54" s="564">
        <f ca="1">IFERROR(__xludf.DUMMYFUNCTION("IMPORTRANGE(""https://docs.google.com/spreadsheets/d/1ddFKvqj1W1NEiWytbGlB1zMx_ykJDVtmfEQ-6-lIUBA/edit?usp=sharing"",""จันทบุรี!R413"")"),15170)</f>
        <v>15170</v>
      </c>
      <c r="T54" s="564">
        <f ca="1">IFERROR(__xludf.DUMMYFUNCTION("IMPORTRANGE(""https://docs.google.com/spreadsheets/d/1ddFKvqj1W1NEiWytbGlB1zMx_ykJDVtmfEQ-6-lIUBA/edit?usp=sharing"",""จันทบุรี!S413"")"),0)</f>
        <v>0</v>
      </c>
      <c r="U54" s="565">
        <f t="shared" ca="1" si="53"/>
        <v>0</v>
      </c>
      <c r="V54" s="565">
        <f t="shared" ca="1" si="54"/>
        <v>0</v>
      </c>
      <c r="W54" s="152">
        <f ca="1">IFERROR(__xludf.DUMMYFUNCTION("IMPORTRANGE(""https://docs.google.com/spreadsheets/d/1ddFKvqj1W1NEiWytbGlB1zMx_ykJDVtmfEQ-6-lIUBA/edit?usp=sharing"",""จันทบุรี!I424"")"),0)</f>
        <v>0</v>
      </c>
      <c r="X54" s="152">
        <f ca="1">IFERROR(__xludf.DUMMYFUNCTION("IMPORTRANGE(""https://docs.google.com/spreadsheets/d/1ddFKvqj1W1NEiWytbGlB1zMx_ykJDVtmfEQ-6-lIUBA/edit?usp=sharing"",""จันทบุรี!I425"")"),0)</f>
        <v>0</v>
      </c>
      <c r="Y54" s="152">
        <f ca="1">IFERROR(__xludf.DUMMYFUNCTION("IMPORTRANGE(""https://docs.google.com/spreadsheets/d/1ddFKvqj1W1NEiWytbGlB1zMx_ykJDVtmfEQ-6-lIUBA/edit?usp=sharing"",""จันทบุรี!J424"")"),0)</f>
        <v>0</v>
      </c>
      <c r="Z54" s="216">
        <f t="shared" ca="1" si="56"/>
        <v>0</v>
      </c>
      <c r="AA54" s="152">
        <f ca="1">IFERROR(__xludf.DUMMYFUNCTION("IMPORTRANGE(""https://docs.google.com/spreadsheets/d/1ddFKvqj1W1NEiWytbGlB1zMx_ykJDVtmfEQ-6-lIUBA/edit?usp=sharing"",""จันทบุรี!J425"")"),0)</f>
        <v>0</v>
      </c>
      <c r="AB54" s="216">
        <f t="shared" ca="1" si="57"/>
        <v>0</v>
      </c>
      <c r="AC54" s="152">
        <f ca="1">IFERROR(__xludf.DUMMYFUNCTION("IMPORTRANGE(""https://docs.google.com/spreadsheets/d/1ddFKvqj1W1NEiWytbGlB1zMx_ykJDVtmfEQ-6-lIUBA/edit?usp=sharing"",""จันทบุรี!J426"")"),0)</f>
        <v>0</v>
      </c>
      <c r="AD54" s="152">
        <f ca="1">IFERROR(__xludf.DUMMYFUNCTION("IMPORTRANGE(""https://docs.google.com/spreadsheets/d/1ddFKvqj1W1NEiWytbGlB1zMx_ykJDVtmfEQ-6-lIUBA/edit?usp=sharing"",""จันทบุรี!J427"")"),0)</f>
        <v>0</v>
      </c>
      <c r="AE54" s="152">
        <f ca="1">IFERROR(__xludf.DUMMYFUNCTION("IMPORTRANGE(""https://docs.google.com/spreadsheets/d/1ddFKvqj1W1NEiWytbGlB1zMx_ykJDVtmfEQ-6-lIUBA/edit?usp=sharing"",""จันทบุรี!J428"")"),0)</f>
        <v>0</v>
      </c>
      <c r="AF54" s="152">
        <f ca="1">IFERROR(__xludf.DUMMYFUNCTION("IMPORTRANGE(""https://docs.google.com/spreadsheets/d/1ddFKvqj1W1NEiWytbGlB1zMx_ykJDVtmfEQ-6-lIUBA/edit?usp=sharing"",""จันทบุรี!J429"")"),0)</f>
        <v>0</v>
      </c>
      <c r="AG54" s="152">
        <f ca="1">IFERROR(__xludf.DUMMYFUNCTION("IMPORTRANGE(""https://docs.google.com/spreadsheets/d/1ddFKvqj1W1NEiWytbGlB1zMx_ykJDVtmfEQ-6-lIUBA/edit?usp=sharing"",""จันทบุรี!J430"")"),0)</f>
        <v>0</v>
      </c>
      <c r="AH54" s="152">
        <f ca="1">IFERROR(__xludf.DUMMYFUNCTION("IMPORTRANGE(""https://docs.google.com/spreadsheets/d/1ddFKvqj1W1NEiWytbGlB1zMx_ykJDVtmfEQ-6-lIUBA/edit?usp=sharing"",""จันทบุรี!J431"")"),0)</f>
        <v>0</v>
      </c>
      <c r="AI54" s="152">
        <f ca="1">IFERROR(__xludf.DUMMYFUNCTION("IMPORTRANGE(""https://docs.google.com/spreadsheets/d/1ddFKvqj1W1NEiWytbGlB1zMx_ykJDVtmfEQ-6-lIUBA/edit?usp=sharing"",""จันทบุรี!I432"")"),0)</f>
        <v>0</v>
      </c>
      <c r="AJ54" s="152">
        <f ca="1">IFERROR(__xludf.DUMMYFUNCTION("IMPORTRANGE(""https://docs.google.com/spreadsheets/d/1ddFKvqj1W1NEiWytbGlB1zMx_ykJDVtmfEQ-6-lIUBA/edit?usp=sharing"",""จันทบุรี!I433"")"),0)</f>
        <v>0</v>
      </c>
      <c r="AK54" s="216">
        <f ca="1">IFERROR(__xludf.DUMMYFUNCTION("IMPORTRANGE(""https://docs.google.com/spreadsheets/d/1ddFKvqj1W1NEiWytbGlB1zMx_ykJDVtmfEQ-6-lIUBA/edit?usp=sharing"",""จันทบุรี!J432"")"),0)</f>
        <v>0</v>
      </c>
      <c r="AL54" s="216">
        <f t="shared" ca="1" si="59"/>
        <v>0</v>
      </c>
      <c r="AM54" s="152">
        <f ca="1">IFERROR(__xludf.DUMMYFUNCTION("IMPORTRANGE(""https://docs.google.com/spreadsheets/d/1ddFKvqj1W1NEiWytbGlB1zMx_ykJDVtmfEQ-6-lIUBA/edit?usp=sharing"",""จันทบุรี!J433"")"),0)</f>
        <v>0</v>
      </c>
      <c r="AN54" s="216">
        <f t="shared" ca="1" si="60"/>
        <v>0</v>
      </c>
      <c r="AO54" s="152">
        <f ca="1">IFERROR(__xludf.DUMMYFUNCTION("IMPORTRANGE(""https://docs.google.com/spreadsheets/d/1ddFKvqj1W1NEiWytbGlB1zMx_ykJDVtmfEQ-6-lIUBA/edit?usp=sharing"",""จันทบุรี!J434"")"),0)</f>
        <v>0</v>
      </c>
      <c r="AP54" s="152">
        <f ca="1">IFERROR(__xludf.DUMMYFUNCTION("IMPORTRANGE(""https://docs.google.com/spreadsheets/d/1ddFKvqj1W1NEiWytbGlB1zMx_ykJDVtmfEQ-6-lIUBA/edit?usp=sharing"",""จันทบุรี!J435"")"),0)</f>
        <v>0</v>
      </c>
      <c r="AQ54" s="152">
        <f ca="1">IFERROR(__xludf.DUMMYFUNCTION("IMPORTRANGE(""https://docs.google.com/spreadsheets/d/1ddFKvqj1W1NEiWytbGlB1zMx_ykJDVtmfEQ-6-lIUBA/edit?usp=sharing"",""จันทบุรี!J436"")"),0)</f>
        <v>0</v>
      </c>
      <c r="AR54" s="152">
        <f ca="1">IFERROR(__xludf.DUMMYFUNCTION("IMPORTRANGE(""https://docs.google.com/spreadsheets/d/1ddFKvqj1W1NEiWytbGlB1zMx_ykJDVtmfEQ-6-lIUBA/edit?usp=sharing"",""จันทบุรี!J437"")"),0)</f>
        <v>0</v>
      </c>
      <c r="AS54" s="152">
        <f ca="1">IFERROR(__xludf.DUMMYFUNCTION("IMPORTRANGE(""https://docs.google.com/spreadsheets/d/1ddFKvqj1W1NEiWytbGlB1zMx_ykJDVtmfEQ-6-lIUBA/edit?usp=sharing"",""จันทบุรี!J438"")"),0)</f>
        <v>0</v>
      </c>
      <c r="AT54" s="152">
        <f ca="1">IFERROR(__xludf.DUMMYFUNCTION("IMPORTRANGE(""https://docs.google.com/spreadsheets/d/1ddFKvqj1W1NEiWytbGlB1zMx_ykJDVtmfEQ-6-lIUBA/edit?usp=sharing"",""จันทบุรี!J439"")"),0)</f>
        <v>0</v>
      </c>
      <c r="AU54" s="152">
        <f ca="1">IFERROR(__xludf.DUMMYFUNCTION("IMPORTRANGE(""https://docs.google.com/spreadsheets/d/1ddFKvqj1W1NEiWytbGlB1zMx_ykJDVtmfEQ-6-lIUBA/edit?usp=sharing"",""จันทบุรี!I440"")"),0)</f>
        <v>0</v>
      </c>
      <c r="AV54" s="152">
        <f ca="1">IFERROR(__xludf.DUMMYFUNCTION("IMPORTRANGE(""https://docs.google.com/spreadsheets/d/1ddFKvqj1W1NEiWytbGlB1zMx_ykJDVtmfEQ-6-lIUBA/edit?usp=sharing"",""จันทบุรี!I441"")"),0)</f>
        <v>0</v>
      </c>
      <c r="AW54" s="152">
        <f ca="1">IFERROR(__xludf.DUMMYFUNCTION("IMPORTRANGE(""https://docs.google.com/spreadsheets/d/1ddFKvqj1W1NEiWytbGlB1zMx_ykJDVtmfEQ-6-lIUBA/edit?usp=sharing"",""จันทบุรี!J440"")"),0)</f>
        <v>0</v>
      </c>
      <c r="AX54" s="216">
        <f t="shared" ca="1" si="62"/>
        <v>0</v>
      </c>
      <c r="AY54" s="152">
        <f ca="1">IFERROR(__xludf.DUMMYFUNCTION("IMPORTRANGE(""https://docs.google.com/spreadsheets/d/1ddFKvqj1W1NEiWytbGlB1zMx_ykJDVtmfEQ-6-lIUBA/edit?usp=sharing"",""จันทบุรี!J441"")"),0)</f>
        <v>0</v>
      </c>
      <c r="AZ54" s="216">
        <f t="shared" ca="1" si="63"/>
        <v>0</v>
      </c>
      <c r="BA54" s="152">
        <f ca="1">IFERROR(__xludf.DUMMYFUNCTION("IMPORTRANGE(""https://docs.google.com/spreadsheets/d/1ddFKvqj1W1NEiWytbGlB1zMx_ykJDVtmfEQ-6-lIUBA/edit?usp=sharing"",""จันทบุรี!J442"")"),0)</f>
        <v>0</v>
      </c>
      <c r="BB54" s="152">
        <f ca="1">IFERROR(__xludf.DUMMYFUNCTION("IMPORTRANGE(""https://docs.google.com/spreadsheets/d/1ddFKvqj1W1NEiWytbGlB1zMx_ykJDVtmfEQ-6-lIUBA/edit?usp=sharing"",""จันทบุรี!J443"")"),0)</f>
        <v>0</v>
      </c>
      <c r="BC54" s="152">
        <f ca="1">IFERROR(__xludf.DUMMYFUNCTION("IMPORTRANGE(""https://docs.google.com/spreadsheets/d/1ddFKvqj1W1NEiWytbGlB1zMx_ykJDVtmfEQ-6-lIUBA/edit?usp=sharing"",""จันทบุรี!J444"")"),0)</f>
        <v>0</v>
      </c>
      <c r="BD54" s="152">
        <f ca="1">IFERROR(__xludf.DUMMYFUNCTION("IMPORTRANGE(""https://docs.google.com/spreadsheets/d/1ddFKvqj1W1NEiWytbGlB1zMx_ykJDVtmfEQ-6-lIUBA/edit?usp=sharing"",""จันทบุรี!J445"")"),0)</f>
        <v>0</v>
      </c>
      <c r="BE54" s="152">
        <f ca="1">IFERROR(__xludf.DUMMYFUNCTION("IMPORTRANGE(""https://docs.google.com/spreadsheets/d/1ddFKvqj1W1NEiWytbGlB1zMx_ykJDVtmfEQ-6-lIUBA/edit?usp=sharing"",""จันทบุรี!J446"")"),0)</f>
        <v>0</v>
      </c>
      <c r="BF54" s="152">
        <f ca="1">IFERROR(__xludf.DUMMYFUNCTION("IMPORTRANGE(""https://docs.google.com/spreadsheets/d/1ddFKvqj1W1NEiWytbGlB1zMx_ykJDVtmfEQ-6-lIUBA/edit?usp=sharing"",""จันทบุรี!J447"")"),0)</f>
        <v>0</v>
      </c>
      <c r="BG54" s="152">
        <f ca="1">IFERROR(__xludf.DUMMYFUNCTION("IMPORTRANGE(""https://docs.google.com/spreadsheets/d/1ddFKvqj1W1NEiWytbGlB1zMx_ykJDVtmfEQ-6-lIUBA/edit?usp=sharing"",""จันทบุรี!J448"")"),0)</f>
        <v>0</v>
      </c>
      <c r="BH54" s="152">
        <f ca="1">IFERROR(__xludf.DUMMYFUNCTION("IMPORTRANGE(""https://docs.google.com/spreadsheets/d/1ddFKvqj1W1NEiWytbGlB1zMx_ykJDVtmfEQ-6-lIUBA/edit?usp=sharing"",""จันทบุรี!J449"")"),0)</f>
        <v>0</v>
      </c>
      <c r="BI54" s="152">
        <f ca="1">IFERROR(__xludf.DUMMYFUNCTION("IMPORTRANGE(""https://docs.google.com/spreadsheets/d/1ddFKvqj1W1NEiWytbGlB1zMx_ykJDVtmfEQ-6-lIUBA/edit?usp=sharing"",""จันทบุรี!J450"")"),0)</f>
        <v>0</v>
      </c>
      <c r="BJ54" s="152">
        <f ca="1">IFERROR(__xludf.DUMMYFUNCTION("IMPORTRANGE(""https://docs.google.com/spreadsheets/d/1ddFKvqj1W1NEiWytbGlB1zMx_ykJDVtmfEQ-6-lIUBA/edit?usp=sharing"",""จันทบุรี!J451"")"),0)</f>
        <v>0</v>
      </c>
      <c r="BK54" s="152">
        <f ca="1">IFERROR(__xludf.DUMMYFUNCTION("IMPORTRANGE(""https://docs.google.com/spreadsheets/d/1ddFKvqj1W1NEiWytbGlB1zMx_ykJDVtmfEQ-6-lIUBA/edit?usp=sharing"",""จันทบุรี!J452"")"),0)</f>
        <v>0</v>
      </c>
      <c r="BL54" s="152">
        <f ca="1">IFERROR(__xludf.DUMMYFUNCTION("IMPORTRANGE(""https://docs.google.com/spreadsheets/d/1ddFKvqj1W1NEiWytbGlB1zMx_ykJDVtmfEQ-6-lIUBA/edit?usp=sharing"",""จันทบุรี!J453"")"),0)</f>
        <v>0</v>
      </c>
      <c r="BM54" s="152">
        <f ca="1">IFERROR(__xludf.DUMMYFUNCTION("IMPORTRANGE(""https://docs.google.com/spreadsheets/d/1ddFKvqj1W1NEiWytbGlB1zMx_ykJDVtmfEQ-6-lIUBA/edit?usp=sharing"",""จันทบุรี!J454"")"),0)</f>
        <v>0</v>
      </c>
      <c r="BN54" s="152">
        <f ca="1">IFERROR(__xludf.DUMMYFUNCTION("IMPORTRANGE(""https://docs.google.com/spreadsheets/d/1ddFKvqj1W1NEiWytbGlB1zMx_ykJDVtmfEQ-6-lIUBA/edit?usp=sharing"",""จันทบุรี!J455"")"),0)</f>
        <v>0</v>
      </c>
      <c r="BO54" s="152">
        <f ca="1">IFERROR(__xludf.DUMMYFUNCTION("IMPORTRANGE(""https://docs.google.com/spreadsheets/d/1ddFKvqj1W1NEiWytbGlB1zMx_ykJDVtmfEQ-6-lIUBA/edit?usp=sharing"",""จันทบุรี!I457"")"),367.68)</f>
        <v>367.68</v>
      </c>
      <c r="BP54" s="152">
        <f ca="1">IFERROR(__xludf.DUMMYFUNCTION("IMPORTRANGE(""https://docs.google.com/spreadsheets/d/1ddFKvqj1W1NEiWytbGlB1zMx_ykJDVtmfEQ-6-lIUBA/edit?usp=sharing"",""จันทบุรี!I458"")"),24)</f>
        <v>24</v>
      </c>
      <c r="BQ54" s="152">
        <f ca="1">IFERROR(__xludf.DUMMYFUNCTION("IMPORTRANGE(""https://docs.google.com/spreadsheets/d/1ddFKvqj1W1NEiWytbGlB1zMx_ykJDVtmfEQ-6-lIUBA/edit?usp=sharing"",""จันทบุรี!J457"")"),0)</f>
        <v>0</v>
      </c>
      <c r="BR54" s="216">
        <f t="shared" ca="1" si="65"/>
        <v>0</v>
      </c>
      <c r="BS54" s="152">
        <f ca="1">IFERROR(__xludf.DUMMYFUNCTION("IMPORTRANGE(""https://docs.google.com/spreadsheets/d/1ddFKvqj1W1NEiWytbGlB1zMx_ykJDVtmfEQ-6-lIUBA/edit?usp=sharing"",""จันทบุรี!J458"")"),0)</f>
        <v>0</v>
      </c>
      <c r="BT54" s="216">
        <f t="shared" ca="1" si="66"/>
        <v>0</v>
      </c>
      <c r="BU54" s="152">
        <f ca="1">IFERROR(__xludf.DUMMYFUNCTION("IMPORTRANGE(""https://docs.google.com/spreadsheets/d/1ddFKvqj1W1NEiWytbGlB1zMx_ykJDVtmfEQ-6-lIUBA/edit?usp=sharing"",""จันทบุรี!J459"")"),0)</f>
        <v>0</v>
      </c>
      <c r="BV54" s="152">
        <f ca="1">IFERROR(__xludf.DUMMYFUNCTION("IMPORTRANGE(""https://docs.google.com/spreadsheets/d/1ddFKvqj1W1NEiWytbGlB1zMx_ykJDVtmfEQ-6-lIUBA/edit?usp=sharing"",""จันทบุรี!J460"")"),0)</f>
        <v>0</v>
      </c>
      <c r="BW54" s="152">
        <f ca="1">IFERROR(__xludf.DUMMYFUNCTION("IMPORTRANGE(""https://docs.google.com/spreadsheets/d/1ddFKvqj1W1NEiWytbGlB1zMx_ykJDVtmfEQ-6-lIUBA/edit?usp=sharing"",""จันทบุรี!J461"")"),0)</f>
        <v>0</v>
      </c>
      <c r="BX54" s="152">
        <f ca="1">IFERROR(__xludf.DUMMYFUNCTION("IMPORTRANGE(""https://docs.google.com/spreadsheets/d/1ddFKvqj1W1NEiWytbGlB1zMx_ykJDVtmfEQ-6-lIUBA/edit?usp=sharing"",""จันทบุรี!J462"")"),0)</f>
        <v>0</v>
      </c>
      <c r="BY54" s="152">
        <f ca="1">IFERROR(__xludf.DUMMYFUNCTION("IMPORTRANGE(""https://docs.google.com/spreadsheets/d/1ddFKvqj1W1NEiWytbGlB1zMx_ykJDVtmfEQ-6-lIUBA/edit?usp=sharing"",""จันทบุรี!J463"")"),0)</f>
        <v>0</v>
      </c>
      <c r="BZ54" s="152">
        <f ca="1">IFERROR(__xludf.DUMMYFUNCTION("IMPORTRANGE(""https://docs.google.com/spreadsheets/d/1ddFKvqj1W1NEiWytbGlB1zMx_ykJDVtmfEQ-6-lIUBA/edit?usp=sharing"",""จันทบุรี!J464"")"),0)</f>
        <v>0</v>
      </c>
      <c r="CA54" s="152">
        <f ca="1">IFERROR(__xludf.DUMMYFUNCTION("IMPORTRANGE(""https://docs.google.com/spreadsheets/d/1ddFKvqj1W1NEiWytbGlB1zMx_ykJDVtmfEQ-6-lIUBA/edit?usp=sharing"",""จันทบุรี!J465"")"),0)</f>
        <v>0</v>
      </c>
      <c r="CB54" s="152">
        <f ca="1">IFERROR(__xludf.DUMMYFUNCTION("IMPORTRANGE(""https://docs.google.com/spreadsheets/d/1ddFKvqj1W1NEiWytbGlB1zMx_ykJDVtmfEQ-6-lIUBA/edit?usp=sharing"",""จันทบุรี!J466"")"),0)</f>
        <v>0</v>
      </c>
      <c r="CC54" s="152">
        <f ca="1">IFERROR(__xludf.DUMMYFUNCTION("IMPORTRANGE(""https://docs.google.com/spreadsheets/d/1ddFKvqj1W1NEiWytbGlB1zMx_ykJDVtmfEQ-6-lIUBA/edit?usp=sharing"",""จันทบุรี!J467"")"),0)</f>
        <v>0</v>
      </c>
      <c r="CD54" s="152">
        <f ca="1">IFERROR(__xludf.DUMMYFUNCTION("IMPORTRANGE(""https://docs.google.com/spreadsheets/d/1ddFKvqj1W1NEiWytbGlB1zMx_ykJDVtmfEQ-6-lIUBA/edit?usp=sharing"",""จันทบุรี!J468"")"),0)</f>
        <v>0</v>
      </c>
      <c r="CE54" s="152">
        <f ca="1">IFERROR(__xludf.DUMMYFUNCTION("IMPORTRANGE(""https://docs.google.com/spreadsheets/d/1ddFKvqj1W1NEiWytbGlB1zMx_ykJDVtmfEQ-6-lIUBA/edit?usp=sharing"",""จันทบุรี!J469"")"),0)</f>
        <v>0</v>
      </c>
      <c r="CF54" s="152">
        <f ca="1">IFERROR(__xludf.DUMMYFUNCTION("IMPORTRANGE(""https://docs.google.com/spreadsheets/d/1ddFKvqj1W1NEiWytbGlB1zMx_ykJDVtmfEQ-6-lIUBA/edit?usp=sharing"",""จันทบุรี!J470"")"),0)</f>
        <v>0</v>
      </c>
      <c r="CG54" s="152">
        <f ca="1">IFERROR(__xludf.DUMMYFUNCTION("IMPORTRANGE(""https://docs.google.com/spreadsheets/d/1ddFKvqj1W1NEiWytbGlB1zMx_ykJDVtmfEQ-6-lIUBA/edit?usp=sharing"",""จันทบุรี!J471"")"),0)</f>
        <v>0</v>
      </c>
      <c r="CH54" s="152">
        <f ca="1">IFERROR(__xludf.DUMMYFUNCTION("IMPORTRANGE(""https://docs.google.com/spreadsheets/d/1ddFKvqj1W1NEiWytbGlB1zMx_ykJDVtmfEQ-6-lIUBA/edit?usp=sharing"",""จันทบุรี!J472"")"),0)</f>
        <v>0</v>
      </c>
      <c r="CI54" s="152">
        <f ca="1">IFERROR(__xludf.DUMMYFUNCTION("IMPORTRANGE(""https://docs.google.com/spreadsheets/d/1ddFKvqj1W1NEiWytbGlB1zMx_ykJDVtmfEQ-6-lIUBA/edit?usp=sharing"",""จันทบุรี!J473"")"),0)</f>
        <v>0</v>
      </c>
      <c r="CJ54" s="152">
        <f ca="1">IFERROR(__xludf.DUMMYFUNCTION("IMPORTRANGE(""https://docs.google.com/spreadsheets/d/1ddFKvqj1W1NEiWytbGlB1zMx_ykJDVtmfEQ-6-lIUBA/edit?usp=sharing"",""จันทบุรี!J474"")"),0)</f>
        <v>0</v>
      </c>
      <c r="CK54" s="278">
        <f ca="1">IFERROR(__xludf.DUMMYFUNCTION("IMPORTRANGE(""https://docs.google.com/spreadsheets/d/1ddFKvqj1W1NEiWytbGlB1zMx_ykJDVtmfEQ-6-lIUBA/edit?usp=sharing"",""จันทบุรี!I476"")"),0)</f>
        <v>0</v>
      </c>
      <c r="CL54" s="278">
        <f ca="1">IFERROR(__xludf.DUMMYFUNCTION("IMPORTRANGE(""https://docs.google.com/spreadsheets/d/1ddFKvqj1W1NEiWytbGlB1zMx_ykJDVtmfEQ-6-lIUBA/edit?usp=sharing"",""จันทบุรี!I477"")"),0)</f>
        <v>0</v>
      </c>
      <c r="CM54" s="278">
        <f ca="1">IFERROR(__xludf.DUMMYFUNCTION("IMPORTRANGE(""https://docs.google.com/spreadsheets/d/1ddFKvqj1W1NEiWytbGlB1zMx_ykJDVtmfEQ-6-lIUBA/edit?usp=sharing"",""จันทบุรี!J476"")"),0)</f>
        <v>0</v>
      </c>
      <c r="CN54" s="216">
        <f t="shared" ca="1" si="68"/>
        <v>0</v>
      </c>
      <c r="CO54" s="278">
        <f ca="1">IFERROR(__xludf.DUMMYFUNCTION("IMPORTRANGE(""https://docs.google.com/spreadsheets/d/1ddFKvqj1W1NEiWytbGlB1zMx_ykJDVtmfEQ-6-lIUBA/edit?usp=sharing"",""จันทบุรี!J477"")"),0)</f>
        <v>0</v>
      </c>
      <c r="CP54" s="216">
        <f t="shared" ca="1" si="69"/>
        <v>0</v>
      </c>
      <c r="CQ54" s="278">
        <f ca="1">IFERROR(__xludf.DUMMYFUNCTION("IMPORTRANGE(""https://docs.google.com/spreadsheets/d/1ddFKvqj1W1NEiWytbGlB1zMx_ykJDVtmfEQ-6-lIUBA/edit?usp=sharing"",""จันทบุรี!J478"")"),0)</f>
        <v>0</v>
      </c>
      <c r="CR54" s="278">
        <f ca="1">IFERROR(__xludf.DUMMYFUNCTION("IMPORTRANGE(""https://docs.google.com/spreadsheets/d/1ddFKvqj1W1NEiWytbGlB1zMx_ykJDVtmfEQ-6-lIUBA/edit?usp=sharing"",""จันทบุรี!J479"")"),0)</f>
        <v>0</v>
      </c>
      <c r="CS54" s="278">
        <f ca="1">IFERROR(__xludf.DUMMYFUNCTION("IMPORTRANGE(""https://docs.google.com/spreadsheets/d/1ddFKvqj1W1NEiWytbGlB1zMx_ykJDVtmfEQ-6-lIUBA/edit?usp=sharing"",""จันทบุรี!J480"")"),0)</f>
        <v>0</v>
      </c>
      <c r="CT54" s="278">
        <f ca="1">IFERROR(__xludf.DUMMYFUNCTION("IMPORTRANGE(""https://docs.google.com/spreadsheets/d/1ddFKvqj1W1NEiWytbGlB1zMx_ykJDVtmfEQ-6-lIUBA/edit?usp=sharing"",""จันทบุรี!J481"")"),0)</f>
        <v>0</v>
      </c>
      <c r="CU54" s="278">
        <f ca="1">IFERROR(__xludf.DUMMYFUNCTION("IMPORTRANGE(""https://docs.google.com/spreadsheets/d/1ddFKvqj1W1NEiWytbGlB1zMx_ykJDVtmfEQ-6-lIUBA/edit?usp=sharing"",""จันทบุรี!I484"")"),0)</f>
        <v>0</v>
      </c>
      <c r="CV54" s="278">
        <f ca="1">IFERROR(__xludf.DUMMYFUNCTION("IMPORTRANGE(""https://docs.google.com/spreadsheets/d/1ddFKvqj1W1NEiWytbGlB1zMx_ykJDVtmfEQ-6-lIUBA/edit?usp=sharing"",""จันทบุรี!I485"")"),0)</f>
        <v>0</v>
      </c>
      <c r="CW54" s="278">
        <f ca="1">IFERROR(__xludf.DUMMYFUNCTION("IMPORTRANGE(""https://docs.google.com/spreadsheets/d/1ddFKvqj1W1NEiWytbGlB1zMx_ykJDVtmfEQ-6-lIUBA/edit?usp=sharing"",""จันทบุรี!J484"")"),0)</f>
        <v>0</v>
      </c>
      <c r="CX54" s="216">
        <f t="shared" ca="1" si="71"/>
        <v>0</v>
      </c>
      <c r="CY54" s="278">
        <f ca="1">IFERROR(__xludf.DUMMYFUNCTION("IMPORTRANGE(""https://docs.google.com/spreadsheets/d/1ddFKvqj1W1NEiWytbGlB1zMx_ykJDVtmfEQ-6-lIUBA/edit?usp=sharing"",""จันทบุรี!J485"")"),0)</f>
        <v>0</v>
      </c>
      <c r="CZ54" s="216">
        <f t="shared" ca="1" si="72"/>
        <v>0</v>
      </c>
      <c r="DA54" s="278">
        <f ca="1">IFERROR(__xludf.DUMMYFUNCTION("IMPORTRANGE(""https://docs.google.com/spreadsheets/d/1ddFKvqj1W1NEiWytbGlB1zMx_ykJDVtmfEQ-6-lIUBA/edit?usp=sharing"",""จันทบุรี!J486"")"),0)</f>
        <v>0</v>
      </c>
      <c r="DB54" s="278">
        <f ca="1">IFERROR(__xludf.DUMMYFUNCTION("IMPORTRANGE(""https://docs.google.com/spreadsheets/d/1ddFKvqj1W1NEiWytbGlB1zMx_ykJDVtmfEQ-6-lIUBA/edit?usp=sharing"",""จันทบุรี!J487"")"),0)</f>
        <v>0</v>
      </c>
      <c r="DC54" s="278">
        <f ca="1">IFERROR(__xludf.DUMMYFUNCTION("IMPORTRANGE(""https://docs.google.com/spreadsheets/d/1ddFKvqj1W1NEiWytbGlB1zMx_ykJDVtmfEQ-6-lIUBA/edit?usp=sharing"",""จันทบุรี!J488"")"),0)</f>
        <v>0</v>
      </c>
      <c r="DD54" s="278">
        <f ca="1">IFERROR(__xludf.DUMMYFUNCTION("IMPORTRANGE(""https://docs.google.com/spreadsheets/d/1ddFKvqj1W1NEiWytbGlB1zMx_ykJDVtmfEQ-6-lIUBA/edit?usp=sharing"",""จันทบุรี!J489"")"),0)</f>
        <v>0</v>
      </c>
      <c r="DE54" s="278">
        <f ca="1">IFERROR(__xludf.DUMMYFUNCTION("IMPORTRANGE(""https://docs.google.com/spreadsheets/d/1ddFKvqj1W1NEiWytbGlB1zMx_ykJDVtmfEQ-6-lIUBA/edit?usp=sharing"",""จันทบุรี!J490"")"),0)</f>
        <v>0</v>
      </c>
      <c r="DF54" s="278">
        <f ca="1">IFERROR(__xludf.DUMMYFUNCTION("IMPORTRANGE(""https://docs.google.com/spreadsheets/d/1ddFKvqj1W1NEiWytbGlB1zMx_ykJDVtmfEQ-6-lIUBA/edit?usp=sharing"",""จันทบุรี!J491"")"),0)</f>
        <v>0</v>
      </c>
    </row>
    <row r="55" spans="1:110" ht="19.5" x14ac:dyDescent="0.3">
      <c r="A55" s="147">
        <v>3</v>
      </c>
      <c r="B55" s="148" t="s">
        <v>83</v>
      </c>
      <c r="C55" s="566">
        <f t="shared" ca="1" si="44"/>
        <v>206720</v>
      </c>
      <c r="D55" s="567">
        <f t="shared" ca="1" si="94"/>
        <v>206720</v>
      </c>
      <c r="E55" s="329">
        <f ca="1">IFERROR(__xludf.DUMMYFUNCTION("IMPORTRANGE(""https://docs.google.com/spreadsheets/d/1-uDff_7J0KD5mKrp0Vvzr7lt3OU09vwQwhkpOPPYv2Y/edit?usp=sharing"",""งบพรบ!IP55"")"),0)</f>
        <v>0</v>
      </c>
      <c r="F55" s="329">
        <f ca="1">IFERROR(__xludf.DUMMYFUNCTION("IMPORTRANGE(""https://docs.google.com/spreadsheets/d/1-uDff_7J0KD5mKrp0Vvzr7lt3OU09vwQwhkpOPPYv2Y/edit?usp=sharing"",""งบพรบ!IQ55"")"),206720)</f>
        <v>206720</v>
      </c>
      <c r="G55" s="329">
        <f ca="1">IFERROR(__xludf.DUMMYFUNCTION("IMPORTRANGE(""https://docs.google.com/spreadsheets/d/1-uDff_7J0KD5mKrp0Vvzr7lt3OU09vwQwhkpOPPYv2Y/edit?usp=sharing"",""งบพรบ!IR55"")"),0)</f>
        <v>0</v>
      </c>
      <c r="H55" s="329">
        <f ca="1">IFERROR(__xludf.DUMMYFUNCTION("IMPORTRANGE(""https://docs.google.com/spreadsheets/d/1-uDff_7J0KD5mKrp0Vvzr7lt3OU09vwQwhkpOPPYv2Y/edit?usp=sharing"",""งบพรบ!IT55"")"),206720)</f>
        <v>206720</v>
      </c>
      <c r="I55" s="329">
        <f ca="1">IFERROR(__xludf.DUMMYFUNCTION("IMPORTRANGE(""https://docs.google.com/spreadsheets/d/1-uDff_7J0KD5mKrp0Vvzr7lt3OU09vwQwhkpOPPYv2Y/edit?usp=sharing"",""งบพรบ!IU55"")"),0)</f>
        <v>0</v>
      </c>
      <c r="J55" s="329">
        <f t="shared" ca="1" si="46"/>
        <v>71019.72</v>
      </c>
      <c r="K55" s="568">
        <f t="shared" ca="1" si="47"/>
        <v>34.355514705882356</v>
      </c>
      <c r="L55" s="329">
        <f ca="1">IFERROR(__xludf.DUMMYFUNCTION("IMPORTRANGE(""https://docs.google.com/spreadsheets/d/1-uDff_7J0KD5mKrp0Vvzr7lt3OU09vwQwhkpOPPYv2Y/edit?usp=sharing"",""งบพรบ!IV55"")"),71019.72)</f>
        <v>71019.72</v>
      </c>
      <c r="M55" s="330">
        <f t="shared" ca="1" si="48"/>
        <v>34.355514705882356</v>
      </c>
      <c r="N55" s="330">
        <f t="shared" ca="1" si="49"/>
        <v>34.355514705882356</v>
      </c>
      <c r="O55" s="569">
        <f ca="1">IFERROR(__xludf.DUMMYFUNCTION("IMPORTRANGE(""https://docs.google.com/spreadsheets/d/1-uDff_7J0KD5mKrp0Vvzr7lt3OU09vwQwhkpOPPYv2Y/edit?usp=sharing"",""งบพรบ!IW55"")"),0)</f>
        <v>0</v>
      </c>
      <c r="P55" s="569">
        <f t="shared" ca="1" si="50"/>
        <v>0</v>
      </c>
      <c r="Q55" s="330">
        <f t="shared" ca="1" si="51"/>
        <v>0</v>
      </c>
      <c r="R55" s="564">
        <f ca="1">IFERROR(__xludf.DUMMYFUNCTION("IMPORTRANGE(""https://docs.google.com/spreadsheets/d/1T1PQvRODqOBZk8BRht_U031fIS1beLA0Ub2CEytj2q0/edit?usp=sharing"",""ฉะเชิงเทรา!Q413"")"),18990)</f>
        <v>18990</v>
      </c>
      <c r="S55" s="564">
        <f ca="1">IFERROR(__xludf.DUMMYFUNCTION("IMPORTRANGE(""https://docs.google.com/spreadsheets/d/1T1PQvRODqOBZk8BRht_U031fIS1beLA0Ub2CEytj2q0/edit?usp=sharing"",""ฉะเชิงเทรา!R413"")"),18990)</f>
        <v>18990</v>
      </c>
      <c r="T55" s="564">
        <f ca="1">IFERROR(__xludf.DUMMYFUNCTION("IMPORTRANGE(""https://docs.google.com/spreadsheets/d/1T1PQvRODqOBZk8BRht_U031fIS1beLA0Ub2CEytj2q0/edit?usp=sharing"",""ฉะเชิงเทรา!S413"")"),0)</f>
        <v>0</v>
      </c>
      <c r="U55" s="565">
        <f t="shared" ca="1" si="53"/>
        <v>0</v>
      </c>
      <c r="V55" s="565">
        <f t="shared" ca="1" si="54"/>
        <v>0</v>
      </c>
      <c r="W55" s="152">
        <f ca="1">IFERROR(__xludf.DUMMYFUNCTION("IMPORTRANGE(""https://docs.google.com/spreadsheets/d/1T1PQvRODqOBZk8BRht_U031fIS1beLA0Ub2CEytj2q0/edit?usp=sharing"",""ฉะเชิงเทรา!I424"")"),0)</f>
        <v>0</v>
      </c>
      <c r="X55" s="152">
        <f ca="1">IFERROR(__xludf.DUMMYFUNCTION("IMPORTRANGE(""https://docs.google.com/spreadsheets/d/1T1PQvRODqOBZk8BRht_U031fIS1beLA0Ub2CEytj2q0/edit?usp=sharing"",""ฉะเชิงเทรา!I425"")"),0)</f>
        <v>0</v>
      </c>
      <c r="Y55" s="152">
        <f ca="1">IFERROR(__xludf.DUMMYFUNCTION("IMPORTRANGE(""https://docs.google.com/spreadsheets/d/1T1PQvRODqOBZk8BRht_U031fIS1beLA0Ub2CEytj2q0/edit?usp=sharing"",""ฉะเชิงเทรา!J424"")"),0)</f>
        <v>0</v>
      </c>
      <c r="Z55" s="216">
        <f t="shared" ca="1" si="56"/>
        <v>0</v>
      </c>
      <c r="AA55" s="152">
        <f ca="1">IFERROR(__xludf.DUMMYFUNCTION("IMPORTRANGE(""https://docs.google.com/spreadsheets/d/1T1PQvRODqOBZk8BRht_U031fIS1beLA0Ub2CEytj2q0/edit?usp=sharing"",""ฉะเชิงเทรา!J425"")"),0)</f>
        <v>0</v>
      </c>
      <c r="AB55" s="216">
        <f t="shared" ca="1" si="57"/>
        <v>0</v>
      </c>
      <c r="AC55" s="152">
        <f ca="1">IFERROR(__xludf.DUMMYFUNCTION("IMPORTRANGE(""https://docs.google.com/spreadsheets/d/1T1PQvRODqOBZk8BRht_U031fIS1beLA0Ub2CEytj2q0/edit?usp=sharing"",""ฉะเชิงเทรา!J426"")"),0)</f>
        <v>0</v>
      </c>
      <c r="AD55" s="152">
        <f ca="1">IFERROR(__xludf.DUMMYFUNCTION("IMPORTRANGE(""https://docs.google.com/spreadsheets/d/1T1PQvRODqOBZk8BRht_U031fIS1beLA0Ub2CEytj2q0/edit?usp=sharing"",""ฉะเชิงเทรา!J427"")"),0)</f>
        <v>0</v>
      </c>
      <c r="AE55" s="152">
        <f ca="1">IFERROR(__xludf.DUMMYFUNCTION("IMPORTRANGE(""https://docs.google.com/spreadsheets/d/1T1PQvRODqOBZk8BRht_U031fIS1beLA0Ub2CEytj2q0/edit?usp=sharing"",""ฉะเชิงเทรา!J428"")"),0)</f>
        <v>0</v>
      </c>
      <c r="AF55" s="152">
        <f ca="1">IFERROR(__xludf.DUMMYFUNCTION("IMPORTRANGE(""https://docs.google.com/spreadsheets/d/1T1PQvRODqOBZk8BRht_U031fIS1beLA0Ub2CEytj2q0/edit?usp=sharing"",""ฉะเชิงเทรา!J429"")"),0)</f>
        <v>0</v>
      </c>
      <c r="AG55" s="152">
        <f ca="1">IFERROR(__xludf.DUMMYFUNCTION("IMPORTRANGE(""https://docs.google.com/spreadsheets/d/1T1PQvRODqOBZk8BRht_U031fIS1beLA0Ub2CEytj2q0/edit?usp=sharing"",""ฉะเชิงเทรา!J430"")"),0)</f>
        <v>0</v>
      </c>
      <c r="AH55" s="152">
        <f ca="1">IFERROR(__xludf.DUMMYFUNCTION("IMPORTRANGE(""https://docs.google.com/spreadsheets/d/1T1PQvRODqOBZk8BRht_U031fIS1beLA0Ub2CEytj2q0/edit?usp=sharing"",""ฉะเชิงเทรา!J431"")"),0)</f>
        <v>0</v>
      </c>
      <c r="AI55" s="152">
        <f ca="1">IFERROR(__xludf.DUMMYFUNCTION("IMPORTRANGE(""https://docs.google.com/spreadsheets/d/1T1PQvRODqOBZk8BRht_U031fIS1beLA0Ub2CEytj2q0/edit?usp=sharing"",""ฉะเชิงเทรา!I432"")"),0)</f>
        <v>0</v>
      </c>
      <c r="AJ55" s="152">
        <f ca="1">IFERROR(__xludf.DUMMYFUNCTION("IMPORTRANGE(""https://docs.google.com/spreadsheets/d/1T1PQvRODqOBZk8BRht_U031fIS1beLA0Ub2CEytj2q0/edit?usp=sharing"",""ฉะเชิงเทรา!I433"")"),0)</f>
        <v>0</v>
      </c>
      <c r="AK55" s="216">
        <f ca="1">IFERROR(__xludf.DUMMYFUNCTION("IMPORTRANGE(""https://docs.google.com/spreadsheets/d/1T1PQvRODqOBZk8BRht_U031fIS1beLA0Ub2CEytj2q0/edit?usp=sharing"",""ฉะเชิงเทรา!J432"")"),0)</f>
        <v>0</v>
      </c>
      <c r="AL55" s="216">
        <f t="shared" ca="1" si="59"/>
        <v>0</v>
      </c>
      <c r="AM55" s="152">
        <f ca="1">IFERROR(__xludf.DUMMYFUNCTION("IMPORTRANGE(""https://docs.google.com/spreadsheets/d/1T1PQvRODqOBZk8BRht_U031fIS1beLA0Ub2CEytj2q0/edit?usp=sharing"",""ฉะเชิงเทรา!J433"")"),0)</f>
        <v>0</v>
      </c>
      <c r="AN55" s="216">
        <f t="shared" ca="1" si="60"/>
        <v>0</v>
      </c>
      <c r="AO55" s="152">
        <f ca="1">IFERROR(__xludf.DUMMYFUNCTION("IMPORTRANGE(""https://docs.google.com/spreadsheets/d/1T1PQvRODqOBZk8BRht_U031fIS1beLA0Ub2CEytj2q0/edit?usp=sharing"",""ฉะเชิงเทรา!J434"")"),0)</f>
        <v>0</v>
      </c>
      <c r="AP55" s="152">
        <f ca="1">IFERROR(__xludf.DUMMYFUNCTION("IMPORTRANGE(""https://docs.google.com/spreadsheets/d/1T1PQvRODqOBZk8BRht_U031fIS1beLA0Ub2CEytj2q0/edit?usp=sharing"",""ฉะเชิงเทรา!J435"")"),0)</f>
        <v>0</v>
      </c>
      <c r="AQ55" s="152">
        <f ca="1">IFERROR(__xludf.DUMMYFUNCTION("IMPORTRANGE(""https://docs.google.com/spreadsheets/d/1T1PQvRODqOBZk8BRht_U031fIS1beLA0Ub2CEytj2q0/edit?usp=sharing"",""ฉะเชิงเทรา!J436"")"),0)</f>
        <v>0</v>
      </c>
      <c r="AR55" s="152">
        <f ca="1">IFERROR(__xludf.DUMMYFUNCTION("IMPORTRANGE(""https://docs.google.com/spreadsheets/d/1T1PQvRODqOBZk8BRht_U031fIS1beLA0Ub2CEytj2q0/edit?usp=sharing"",""ฉะเชิงเทรา!J437"")"),0)</f>
        <v>0</v>
      </c>
      <c r="AS55" s="152">
        <f ca="1">IFERROR(__xludf.DUMMYFUNCTION("IMPORTRANGE(""https://docs.google.com/spreadsheets/d/1T1PQvRODqOBZk8BRht_U031fIS1beLA0Ub2CEytj2q0/edit?usp=sharing"",""ฉะเชิงเทรา!J438"")"),0)</f>
        <v>0</v>
      </c>
      <c r="AT55" s="152">
        <f ca="1">IFERROR(__xludf.DUMMYFUNCTION("IMPORTRANGE(""https://docs.google.com/spreadsheets/d/1T1PQvRODqOBZk8BRht_U031fIS1beLA0Ub2CEytj2q0/edit?usp=sharing"",""ฉะเชิงเทรา!J439"")"),0)</f>
        <v>0</v>
      </c>
      <c r="AU55" s="152">
        <f ca="1">IFERROR(__xludf.DUMMYFUNCTION("IMPORTRANGE(""https://docs.google.com/spreadsheets/d/1T1PQvRODqOBZk8BRht_U031fIS1beLA0Ub2CEytj2q0/edit?usp=sharing"",""ฉะเชิงเทรา!I440"")"),0)</f>
        <v>0</v>
      </c>
      <c r="AV55" s="152">
        <f ca="1">IFERROR(__xludf.DUMMYFUNCTION("IMPORTRANGE(""https://docs.google.com/spreadsheets/d/1T1PQvRODqOBZk8BRht_U031fIS1beLA0Ub2CEytj2q0/edit?usp=sharing"",""ฉะเชิงเทรา!I441"")"),0)</f>
        <v>0</v>
      </c>
      <c r="AW55" s="152">
        <f ca="1">IFERROR(__xludf.DUMMYFUNCTION("IMPORTRANGE(""https://docs.google.com/spreadsheets/d/1T1PQvRODqOBZk8BRht_U031fIS1beLA0Ub2CEytj2q0/edit?usp=sharing"",""ฉะเชิงเทรา!J440"")"),0)</f>
        <v>0</v>
      </c>
      <c r="AX55" s="216">
        <f t="shared" ca="1" si="62"/>
        <v>0</v>
      </c>
      <c r="AY55" s="152">
        <f ca="1">IFERROR(__xludf.DUMMYFUNCTION("IMPORTRANGE(""https://docs.google.com/spreadsheets/d/1T1PQvRODqOBZk8BRht_U031fIS1beLA0Ub2CEytj2q0/edit?usp=sharing"",""ฉะเชิงเทรา!J441"")"),0)</f>
        <v>0</v>
      </c>
      <c r="AZ55" s="216">
        <f t="shared" ca="1" si="63"/>
        <v>0</v>
      </c>
      <c r="BA55" s="152">
        <f ca="1">IFERROR(__xludf.DUMMYFUNCTION("IMPORTRANGE(""https://docs.google.com/spreadsheets/d/1T1PQvRODqOBZk8BRht_U031fIS1beLA0Ub2CEytj2q0/edit?usp=sharing"",""ฉะเชิงเทรา!J442"")"),0)</f>
        <v>0</v>
      </c>
      <c r="BB55" s="152">
        <f ca="1">IFERROR(__xludf.DUMMYFUNCTION("IMPORTRANGE(""https://docs.google.com/spreadsheets/d/1T1PQvRODqOBZk8BRht_U031fIS1beLA0Ub2CEytj2q0/edit?usp=sharing"",""ฉะเชิงเทรา!J443"")"),0)</f>
        <v>0</v>
      </c>
      <c r="BC55" s="152">
        <f ca="1">IFERROR(__xludf.DUMMYFUNCTION("IMPORTRANGE(""https://docs.google.com/spreadsheets/d/1T1PQvRODqOBZk8BRht_U031fIS1beLA0Ub2CEytj2q0/edit?usp=sharing"",""ฉะเชิงเทรา!J444"")"),0)</f>
        <v>0</v>
      </c>
      <c r="BD55" s="152">
        <f ca="1">IFERROR(__xludf.DUMMYFUNCTION("IMPORTRANGE(""https://docs.google.com/spreadsheets/d/1T1PQvRODqOBZk8BRht_U031fIS1beLA0Ub2CEytj2q0/edit?usp=sharing"",""ฉะเชิงเทรา!J445"")"),0)</f>
        <v>0</v>
      </c>
      <c r="BE55" s="152">
        <f ca="1">IFERROR(__xludf.DUMMYFUNCTION("IMPORTRANGE(""https://docs.google.com/spreadsheets/d/1T1PQvRODqOBZk8BRht_U031fIS1beLA0Ub2CEytj2q0/edit?usp=sharing"",""ฉะเชิงเทรา!J446"")"),0)</f>
        <v>0</v>
      </c>
      <c r="BF55" s="152">
        <f ca="1">IFERROR(__xludf.DUMMYFUNCTION("IMPORTRANGE(""https://docs.google.com/spreadsheets/d/1T1PQvRODqOBZk8BRht_U031fIS1beLA0Ub2CEytj2q0/edit?usp=sharing"",""ฉะเชิงเทรา!J447"")"),0)</f>
        <v>0</v>
      </c>
      <c r="BG55" s="152">
        <f ca="1">IFERROR(__xludf.DUMMYFUNCTION("IMPORTRANGE(""https://docs.google.com/spreadsheets/d/1T1PQvRODqOBZk8BRht_U031fIS1beLA0Ub2CEytj2q0/edit?usp=sharing"",""ฉะเชิงเทรา!J448"")"),0)</f>
        <v>0</v>
      </c>
      <c r="BH55" s="152">
        <f ca="1">IFERROR(__xludf.DUMMYFUNCTION("IMPORTRANGE(""https://docs.google.com/spreadsheets/d/1T1PQvRODqOBZk8BRht_U031fIS1beLA0Ub2CEytj2q0/edit?usp=sharing"",""ฉะเชิงเทรา!J449"")"),0)</f>
        <v>0</v>
      </c>
      <c r="BI55" s="152">
        <f ca="1">IFERROR(__xludf.DUMMYFUNCTION("IMPORTRANGE(""https://docs.google.com/spreadsheets/d/1T1PQvRODqOBZk8BRht_U031fIS1beLA0Ub2CEytj2q0/edit?usp=sharing"",""ฉะเชิงเทรา!J450"")"),0)</f>
        <v>0</v>
      </c>
      <c r="BJ55" s="152">
        <f ca="1">IFERROR(__xludf.DUMMYFUNCTION("IMPORTRANGE(""https://docs.google.com/spreadsheets/d/1T1PQvRODqOBZk8BRht_U031fIS1beLA0Ub2CEytj2q0/edit?usp=sharing"",""ฉะเชิงเทรา!J451"")"),0)</f>
        <v>0</v>
      </c>
      <c r="BK55" s="152">
        <f ca="1">IFERROR(__xludf.DUMMYFUNCTION("IMPORTRANGE(""https://docs.google.com/spreadsheets/d/1T1PQvRODqOBZk8BRht_U031fIS1beLA0Ub2CEytj2q0/edit?usp=sharing"",""ฉะเชิงเทรา!J452"")"),0)</f>
        <v>0</v>
      </c>
      <c r="BL55" s="152">
        <f ca="1">IFERROR(__xludf.DUMMYFUNCTION("IMPORTRANGE(""https://docs.google.com/spreadsheets/d/1T1PQvRODqOBZk8BRht_U031fIS1beLA0Ub2CEytj2q0/edit?usp=sharing"",""ฉะเชิงเทรา!J453"")"),0)</f>
        <v>0</v>
      </c>
      <c r="BM55" s="152">
        <f ca="1">IFERROR(__xludf.DUMMYFUNCTION("IMPORTRANGE(""https://docs.google.com/spreadsheets/d/1T1PQvRODqOBZk8BRht_U031fIS1beLA0Ub2CEytj2q0/edit?usp=sharing"",""ฉะเชิงเทรา!J454"")"),0)</f>
        <v>0</v>
      </c>
      <c r="BN55" s="152">
        <f ca="1">IFERROR(__xludf.DUMMYFUNCTION("IMPORTRANGE(""https://docs.google.com/spreadsheets/d/1T1PQvRODqOBZk8BRht_U031fIS1beLA0Ub2CEytj2q0/edit?usp=sharing"",""ฉะเชิงเทรา!J455"")"),0)</f>
        <v>0</v>
      </c>
      <c r="BO55" s="152">
        <f ca="1">IFERROR(__xludf.DUMMYFUNCTION("IMPORTRANGE(""https://docs.google.com/spreadsheets/d/1T1PQvRODqOBZk8BRht_U031fIS1beLA0Ub2CEytj2q0/edit?usp=sharing"",""ฉะเชิงเทรา!I457"")"),10697.63)</f>
        <v>10697.63</v>
      </c>
      <c r="BP55" s="152">
        <f ca="1">IFERROR(__xludf.DUMMYFUNCTION("IMPORTRANGE(""https://docs.google.com/spreadsheets/d/1T1PQvRODqOBZk8BRht_U031fIS1beLA0Ub2CEytj2q0/edit?usp=sharing"",""ฉะเชิงเทรา!I458"")"),552)</f>
        <v>552</v>
      </c>
      <c r="BQ55" s="152">
        <f ca="1">IFERROR(__xludf.DUMMYFUNCTION("IMPORTRANGE(""https://docs.google.com/spreadsheets/d/1T1PQvRODqOBZk8BRht_U031fIS1beLA0Ub2CEytj2q0/edit?usp=sharing"",""ฉะเชิงเทรา!J457"")"),5117)</f>
        <v>5117</v>
      </c>
      <c r="BR55" s="216">
        <f t="shared" ca="1" si="65"/>
        <v>47.833024697993856</v>
      </c>
      <c r="BS55" s="152">
        <f ca="1">IFERROR(__xludf.DUMMYFUNCTION("IMPORTRANGE(""https://docs.google.com/spreadsheets/d/1T1PQvRODqOBZk8BRht_U031fIS1beLA0Ub2CEytj2q0/edit?usp=sharing"",""ฉะเชิงเทรา!J458"")"),281)</f>
        <v>281</v>
      </c>
      <c r="BT55" s="216">
        <f t="shared" ca="1" si="66"/>
        <v>50.905797101449274</v>
      </c>
      <c r="BU55" s="152">
        <f ca="1">IFERROR(__xludf.DUMMYFUNCTION("IMPORTRANGE(""https://docs.google.com/spreadsheets/d/1T1PQvRODqOBZk8BRht_U031fIS1beLA0Ub2CEytj2q0/edit?usp=sharing"",""ฉะเชิงเทรา!J459"")"),4915)</f>
        <v>4915</v>
      </c>
      <c r="BV55" s="152">
        <f ca="1">IFERROR(__xludf.DUMMYFUNCTION("IMPORTRANGE(""https://docs.google.com/spreadsheets/d/1T1PQvRODqOBZk8BRht_U031fIS1beLA0Ub2CEytj2q0/edit?usp=sharing"",""ฉะเชิงเทรา!J460"")"),267)</f>
        <v>267</v>
      </c>
      <c r="BW55" s="152">
        <f ca="1">IFERROR(__xludf.DUMMYFUNCTION("IMPORTRANGE(""https://docs.google.com/spreadsheets/d/1T1PQvRODqOBZk8BRht_U031fIS1beLA0Ub2CEytj2q0/edit?usp=sharing"",""ฉะเชิงเทรา!J461"")"),0)</f>
        <v>0</v>
      </c>
      <c r="BX55" s="152">
        <f ca="1">IFERROR(__xludf.DUMMYFUNCTION("IMPORTRANGE(""https://docs.google.com/spreadsheets/d/1T1PQvRODqOBZk8BRht_U031fIS1beLA0Ub2CEytj2q0/edit?usp=sharing"",""ฉะเชิงเทรา!J462"")"),0)</f>
        <v>0</v>
      </c>
      <c r="BY55" s="152">
        <f ca="1">IFERROR(__xludf.DUMMYFUNCTION("IMPORTRANGE(""https://docs.google.com/spreadsheets/d/1T1PQvRODqOBZk8BRht_U031fIS1beLA0Ub2CEytj2q0/edit?usp=sharing"",""ฉะเชิงเทรา!J463"")"),4915)</f>
        <v>4915</v>
      </c>
      <c r="BZ55" s="152">
        <f ca="1">IFERROR(__xludf.DUMMYFUNCTION("IMPORTRANGE(""https://docs.google.com/spreadsheets/d/1T1PQvRODqOBZk8BRht_U031fIS1beLA0Ub2CEytj2q0/edit?usp=sharing"",""ฉะเชิงเทรา!J464"")"),267)</f>
        <v>267</v>
      </c>
      <c r="CA55" s="152">
        <f ca="1">IFERROR(__xludf.DUMMYFUNCTION("IMPORTRANGE(""https://docs.google.com/spreadsheets/d/1T1PQvRODqOBZk8BRht_U031fIS1beLA0Ub2CEytj2q0/edit?usp=sharing"",""ฉะเชิงเทรา!J465"")"),0)</f>
        <v>0</v>
      </c>
      <c r="CB55" s="152">
        <f ca="1">IFERROR(__xludf.DUMMYFUNCTION("IMPORTRANGE(""https://docs.google.com/spreadsheets/d/1T1PQvRODqOBZk8BRht_U031fIS1beLA0Ub2CEytj2q0/edit?usp=sharing"",""ฉะเชิงเทรา!J466"")"),0)</f>
        <v>0</v>
      </c>
      <c r="CC55" s="152">
        <f ca="1">IFERROR(__xludf.DUMMYFUNCTION("IMPORTRANGE(""https://docs.google.com/spreadsheets/d/1T1PQvRODqOBZk8BRht_U031fIS1beLA0Ub2CEytj2q0/edit?usp=sharing"",""ฉะเชิงเทรา!J467"")"),164)</f>
        <v>164</v>
      </c>
      <c r="CD55" s="152">
        <f ca="1">IFERROR(__xludf.DUMMYFUNCTION("IMPORTRANGE(""https://docs.google.com/spreadsheets/d/1T1PQvRODqOBZk8BRht_U031fIS1beLA0Ub2CEytj2q0/edit?usp=sharing"",""ฉะเชิงเทรา!J468"")"),14)</f>
        <v>14</v>
      </c>
      <c r="CE55" s="152">
        <f ca="1">IFERROR(__xludf.DUMMYFUNCTION("IMPORTRANGE(""https://docs.google.com/spreadsheets/d/1T1PQvRODqOBZk8BRht_U031fIS1beLA0Ub2CEytj2q0/edit?usp=sharing"",""ฉะเชิงเทรา!J469"")"),164)</f>
        <v>164</v>
      </c>
      <c r="CF55" s="152">
        <f ca="1">IFERROR(__xludf.DUMMYFUNCTION("IMPORTRANGE(""https://docs.google.com/spreadsheets/d/1T1PQvRODqOBZk8BRht_U031fIS1beLA0Ub2CEytj2q0/edit?usp=sharing"",""ฉะเชิงเทรา!J470"")"),11)</f>
        <v>11</v>
      </c>
      <c r="CG55" s="152">
        <f ca="1">IFERROR(__xludf.DUMMYFUNCTION("IMPORTRANGE(""https://docs.google.com/spreadsheets/d/1T1PQvRODqOBZk8BRht_U031fIS1beLA0Ub2CEytj2q0/edit?usp=sharing"",""ฉะเชิงเทรา!J471"")"),0)</f>
        <v>0</v>
      </c>
      <c r="CH55" s="152">
        <f ca="1">IFERROR(__xludf.DUMMYFUNCTION("IMPORTRANGE(""https://docs.google.com/spreadsheets/d/1T1PQvRODqOBZk8BRht_U031fIS1beLA0Ub2CEytj2q0/edit?usp=sharing"",""ฉะเชิงเทรา!J472"")"),3)</f>
        <v>3</v>
      </c>
      <c r="CI55" s="152">
        <f ca="1">IFERROR(__xludf.DUMMYFUNCTION("IMPORTRANGE(""https://docs.google.com/spreadsheets/d/1T1PQvRODqOBZk8BRht_U031fIS1beLA0Ub2CEytj2q0/edit?usp=sharing"",""ฉะเชิงเทรา!J473"")"),38)</f>
        <v>38</v>
      </c>
      <c r="CJ55" s="152">
        <f ca="1">IFERROR(__xludf.DUMMYFUNCTION("IMPORTRANGE(""https://docs.google.com/spreadsheets/d/1T1PQvRODqOBZk8BRht_U031fIS1beLA0Ub2CEytj2q0/edit?usp=sharing"",""ฉะเชิงเทรา!J474"")"),0)</f>
        <v>0</v>
      </c>
      <c r="CK55" s="278">
        <f ca="1">IFERROR(__xludf.DUMMYFUNCTION("IMPORTRANGE(""https://docs.google.com/spreadsheets/d/1T1PQvRODqOBZk8BRht_U031fIS1beLA0Ub2CEytj2q0/edit?usp=sharing"",""ฉะเชิงเทรา!I476"")"),0)</f>
        <v>0</v>
      </c>
      <c r="CL55" s="278">
        <f ca="1">IFERROR(__xludf.DUMMYFUNCTION("IMPORTRANGE(""https://docs.google.com/spreadsheets/d/1T1PQvRODqOBZk8BRht_U031fIS1beLA0Ub2CEytj2q0/edit?usp=sharing"",""ฉะเชิงเทรา!I477"")"),0)</f>
        <v>0</v>
      </c>
      <c r="CM55" s="278">
        <f ca="1">IFERROR(__xludf.DUMMYFUNCTION("IMPORTRANGE(""https://docs.google.com/spreadsheets/d/1T1PQvRODqOBZk8BRht_U031fIS1beLA0Ub2CEytj2q0/edit?usp=sharing"",""ฉะเชิงเทรา!J476"")"),0)</f>
        <v>0</v>
      </c>
      <c r="CN55" s="216">
        <f t="shared" ca="1" si="68"/>
        <v>0</v>
      </c>
      <c r="CO55" s="278">
        <f ca="1">IFERROR(__xludf.DUMMYFUNCTION("IMPORTRANGE(""https://docs.google.com/spreadsheets/d/1T1PQvRODqOBZk8BRht_U031fIS1beLA0Ub2CEytj2q0/edit?usp=sharing"",""ฉะเชิงเทรา!J477"")"),0)</f>
        <v>0</v>
      </c>
      <c r="CP55" s="216">
        <f t="shared" ca="1" si="69"/>
        <v>0</v>
      </c>
      <c r="CQ55" s="278">
        <f ca="1">IFERROR(__xludf.DUMMYFUNCTION("IMPORTRANGE(""https://docs.google.com/spreadsheets/d/1T1PQvRODqOBZk8BRht_U031fIS1beLA0Ub2CEytj2q0/edit?usp=sharing"",""ฉะเชิงเทรา!J478"")"),0)</f>
        <v>0</v>
      </c>
      <c r="CR55" s="278">
        <f ca="1">IFERROR(__xludf.DUMMYFUNCTION("IMPORTRANGE(""https://docs.google.com/spreadsheets/d/1T1PQvRODqOBZk8BRht_U031fIS1beLA0Ub2CEytj2q0/edit?usp=sharing"",""ฉะเชิงเทรา!J479"")"),0)</f>
        <v>0</v>
      </c>
      <c r="CS55" s="278">
        <f ca="1">IFERROR(__xludf.DUMMYFUNCTION("IMPORTRANGE(""https://docs.google.com/spreadsheets/d/1T1PQvRODqOBZk8BRht_U031fIS1beLA0Ub2CEytj2q0/edit?usp=sharing"",""ฉะเชิงเทรา!J480"")"),0)</f>
        <v>0</v>
      </c>
      <c r="CT55" s="278">
        <f ca="1">IFERROR(__xludf.DUMMYFUNCTION("IMPORTRANGE(""https://docs.google.com/spreadsheets/d/1T1PQvRODqOBZk8BRht_U031fIS1beLA0Ub2CEytj2q0/edit?usp=sharing"",""ฉะเชิงเทรา!J481"")"),0)</f>
        <v>0</v>
      </c>
      <c r="CU55" s="278">
        <f ca="1">IFERROR(__xludf.DUMMYFUNCTION("IMPORTRANGE(""https://docs.google.com/spreadsheets/d/1T1PQvRODqOBZk8BRht_U031fIS1beLA0Ub2CEytj2q0/edit?usp=sharing"",""ฉะเชิงเทรา!I484"")"),0)</f>
        <v>0</v>
      </c>
      <c r="CV55" s="278">
        <f ca="1">IFERROR(__xludf.DUMMYFUNCTION("IMPORTRANGE(""https://docs.google.com/spreadsheets/d/1T1PQvRODqOBZk8BRht_U031fIS1beLA0Ub2CEytj2q0/edit?usp=sharing"",""ฉะเชิงเทรา!I485"")"),0)</f>
        <v>0</v>
      </c>
      <c r="CW55" s="278">
        <f ca="1">IFERROR(__xludf.DUMMYFUNCTION("IMPORTRANGE(""https://docs.google.com/spreadsheets/d/1T1PQvRODqOBZk8BRht_U031fIS1beLA0Ub2CEytj2q0/edit?usp=sharing"",""ฉะเชิงเทรา!J484"")"),0)</f>
        <v>0</v>
      </c>
      <c r="CX55" s="216">
        <f t="shared" ca="1" si="71"/>
        <v>0</v>
      </c>
      <c r="CY55" s="278">
        <f ca="1">IFERROR(__xludf.DUMMYFUNCTION("IMPORTRANGE(""https://docs.google.com/spreadsheets/d/1T1PQvRODqOBZk8BRht_U031fIS1beLA0Ub2CEytj2q0/edit?usp=sharing"",""ฉะเชิงเทรา!J485"")"),0)</f>
        <v>0</v>
      </c>
      <c r="CZ55" s="216">
        <f t="shared" ca="1" si="72"/>
        <v>0</v>
      </c>
      <c r="DA55" s="278">
        <f ca="1">IFERROR(__xludf.DUMMYFUNCTION("IMPORTRANGE(""https://docs.google.com/spreadsheets/d/1T1PQvRODqOBZk8BRht_U031fIS1beLA0Ub2CEytj2q0/edit?usp=sharing"",""ฉะเชิงเทรา!J486"")"),0)</f>
        <v>0</v>
      </c>
      <c r="DB55" s="278">
        <f ca="1">IFERROR(__xludf.DUMMYFUNCTION("IMPORTRANGE(""https://docs.google.com/spreadsheets/d/1T1PQvRODqOBZk8BRht_U031fIS1beLA0Ub2CEytj2q0/edit?usp=sharing"",""ฉะเชิงเทรา!J487"")"),0)</f>
        <v>0</v>
      </c>
      <c r="DC55" s="278">
        <f ca="1">IFERROR(__xludf.DUMMYFUNCTION("IMPORTRANGE(""https://docs.google.com/spreadsheets/d/1T1PQvRODqOBZk8BRht_U031fIS1beLA0Ub2CEytj2q0/edit?usp=sharing"",""ฉะเชิงเทรา!J488"")"),0)</f>
        <v>0</v>
      </c>
      <c r="DD55" s="278">
        <f ca="1">IFERROR(__xludf.DUMMYFUNCTION("IMPORTRANGE(""https://docs.google.com/spreadsheets/d/1T1PQvRODqOBZk8BRht_U031fIS1beLA0Ub2CEytj2q0/edit?usp=sharing"",""ฉะเชิงเทรา!J489"")"),0)</f>
        <v>0</v>
      </c>
      <c r="DE55" s="278">
        <f ca="1">IFERROR(__xludf.DUMMYFUNCTION("IMPORTRANGE(""https://docs.google.com/spreadsheets/d/1T1PQvRODqOBZk8BRht_U031fIS1beLA0Ub2CEytj2q0/edit?usp=sharing"",""ฉะเชิงเทรา!J490"")"),0)</f>
        <v>0</v>
      </c>
      <c r="DF55" s="278">
        <f ca="1">IFERROR(__xludf.DUMMYFUNCTION("IMPORTRANGE(""https://docs.google.com/spreadsheets/d/1T1PQvRODqOBZk8BRht_U031fIS1beLA0Ub2CEytj2q0/edit?usp=sharing"",""ฉะเชิงเทรา!J491"")"),0)</f>
        <v>0</v>
      </c>
    </row>
    <row r="56" spans="1:110" ht="19.5" x14ac:dyDescent="0.3">
      <c r="A56" s="147">
        <v>4</v>
      </c>
      <c r="B56" s="148" t="s">
        <v>84</v>
      </c>
      <c r="C56" s="566">
        <f t="shared" ca="1" si="44"/>
        <v>19660</v>
      </c>
      <c r="D56" s="567">
        <f t="shared" ca="1" si="94"/>
        <v>19660</v>
      </c>
      <c r="E56" s="329">
        <f ca="1">IFERROR(__xludf.DUMMYFUNCTION("IMPORTRANGE(""https://docs.google.com/spreadsheets/d/1-uDff_7J0KD5mKrp0Vvzr7lt3OU09vwQwhkpOPPYv2Y/edit?usp=sharing"",""งบพรบ!IP56"")"),0)</f>
        <v>0</v>
      </c>
      <c r="F56" s="329">
        <f ca="1">IFERROR(__xludf.DUMMYFUNCTION("IMPORTRANGE(""https://docs.google.com/spreadsheets/d/1-uDff_7J0KD5mKrp0Vvzr7lt3OU09vwQwhkpOPPYv2Y/edit?usp=sharing"",""งบพรบ!IQ56"")"),19660)</f>
        <v>19660</v>
      </c>
      <c r="G56" s="329">
        <f ca="1">IFERROR(__xludf.DUMMYFUNCTION("IMPORTRANGE(""https://docs.google.com/spreadsheets/d/1-uDff_7J0KD5mKrp0Vvzr7lt3OU09vwQwhkpOPPYv2Y/edit?usp=sharing"",""งบพรบ!IR56"")"),0)</f>
        <v>0</v>
      </c>
      <c r="H56" s="329">
        <f ca="1">IFERROR(__xludf.DUMMYFUNCTION("IMPORTRANGE(""https://docs.google.com/spreadsheets/d/1-uDff_7J0KD5mKrp0Vvzr7lt3OU09vwQwhkpOPPYv2Y/edit?usp=sharing"",""งบพรบ!IT56"")"),19660)</f>
        <v>19660</v>
      </c>
      <c r="I56" s="329">
        <f ca="1">IFERROR(__xludf.DUMMYFUNCTION("IMPORTRANGE(""https://docs.google.com/spreadsheets/d/1-uDff_7J0KD5mKrp0Vvzr7lt3OU09vwQwhkpOPPYv2Y/edit?usp=sharing"",""งบพรบ!IU56"")"),0)</f>
        <v>0</v>
      </c>
      <c r="J56" s="329">
        <f t="shared" ca="1" si="46"/>
        <v>7776.65</v>
      </c>
      <c r="K56" s="568">
        <f t="shared" ca="1" si="47"/>
        <v>39.555696846388607</v>
      </c>
      <c r="L56" s="329">
        <f ca="1">IFERROR(__xludf.DUMMYFUNCTION("IMPORTRANGE(""https://docs.google.com/spreadsheets/d/1-uDff_7J0KD5mKrp0Vvzr7lt3OU09vwQwhkpOPPYv2Y/edit?usp=sharing"",""งบพรบ!IV56"")"),7776.65)</f>
        <v>7776.65</v>
      </c>
      <c r="M56" s="330">
        <f t="shared" ca="1" si="48"/>
        <v>39.555696846388607</v>
      </c>
      <c r="N56" s="330">
        <f t="shared" ca="1" si="49"/>
        <v>39.555696846388607</v>
      </c>
      <c r="O56" s="569">
        <f ca="1">IFERROR(__xludf.DUMMYFUNCTION("IMPORTRANGE(""https://docs.google.com/spreadsheets/d/1-uDff_7J0KD5mKrp0Vvzr7lt3OU09vwQwhkpOPPYv2Y/edit?usp=sharing"",""งบพรบ!IW56"")"),0)</f>
        <v>0</v>
      </c>
      <c r="P56" s="569">
        <f t="shared" ca="1" si="50"/>
        <v>0</v>
      </c>
      <c r="Q56" s="330">
        <f t="shared" ca="1" si="51"/>
        <v>0</v>
      </c>
      <c r="R56" s="564">
        <f ca="1">IFERROR(__xludf.DUMMYFUNCTION("IMPORTRANGE(""https://docs.google.com/spreadsheets/d/11tr1B-Bhyr79v2bkwVh5h_fR-PStkgjlZtkrZpYurG0/edit?usp=sharing"",""ชลบุรี!Q413"")"),16890)</f>
        <v>16890</v>
      </c>
      <c r="S56" s="564">
        <f ca="1">IFERROR(__xludf.DUMMYFUNCTION("IMPORTRANGE(""https://docs.google.com/spreadsheets/d/11tr1B-Bhyr79v2bkwVh5h_fR-PStkgjlZtkrZpYurG0/edit?usp=sharing"",""ชลบุรี!R413"")"),16890)</f>
        <v>16890</v>
      </c>
      <c r="T56" s="564">
        <f ca="1">IFERROR(__xludf.DUMMYFUNCTION("IMPORTRANGE(""https://docs.google.com/spreadsheets/d/11tr1B-Bhyr79v2bkwVh5h_fR-PStkgjlZtkrZpYurG0/edit?usp=sharing"",""ชลบุรี!S413"")"),0)</f>
        <v>0</v>
      </c>
      <c r="U56" s="565">
        <f t="shared" ca="1" si="53"/>
        <v>0</v>
      </c>
      <c r="V56" s="565">
        <f t="shared" ca="1" si="54"/>
        <v>0</v>
      </c>
      <c r="W56" s="152">
        <f ca="1">IFERROR(__xludf.DUMMYFUNCTION("IMPORTRANGE(""https://docs.google.com/spreadsheets/d/11tr1B-Bhyr79v2bkwVh5h_fR-PStkgjlZtkrZpYurG0/edit?usp=sharing"",""ชลบุรี!I424"")"),0)</f>
        <v>0</v>
      </c>
      <c r="X56" s="152">
        <f ca="1">IFERROR(__xludf.DUMMYFUNCTION("IMPORTRANGE(""https://docs.google.com/spreadsheets/d/11tr1B-Bhyr79v2bkwVh5h_fR-PStkgjlZtkrZpYurG0/edit?usp=sharing"",""ชลบุรี!I425"")"),0)</f>
        <v>0</v>
      </c>
      <c r="Y56" s="152">
        <f ca="1">IFERROR(__xludf.DUMMYFUNCTION("IMPORTRANGE(""https://docs.google.com/spreadsheets/d/11tr1B-Bhyr79v2bkwVh5h_fR-PStkgjlZtkrZpYurG0/edit?usp=sharing"",""ชลบุรี!J424"")"),0)</f>
        <v>0</v>
      </c>
      <c r="Z56" s="216">
        <f t="shared" ca="1" si="56"/>
        <v>0</v>
      </c>
      <c r="AA56" s="152">
        <f ca="1">IFERROR(__xludf.DUMMYFUNCTION("IMPORTRANGE(""https://docs.google.com/spreadsheets/d/11tr1B-Bhyr79v2bkwVh5h_fR-PStkgjlZtkrZpYurG0/edit?usp=sharing"",""ชลบุรี!J425"")"),0)</f>
        <v>0</v>
      </c>
      <c r="AB56" s="216">
        <f t="shared" ca="1" si="57"/>
        <v>0</v>
      </c>
      <c r="AC56" s="152">
        <f ca="1">IFERROR(__xludf.DUMMYFUNCTION("IMPORTRANGE(""https://docs.google.com/spreadsheets/d/11tr1B-Bhyr79v2bkwVh5h_fR-PStkgjlZtkrZpYurG0/edit?usp=sharing"",""ชลบุรี!J426"")"),0)</f>
        <v>0</v>
      </c>
      <c r="AD56" s="152">
        <f ca="1">IFERROR(__xludf.DUMMYFUNCTION("IMPORTRANGE(""https://docs.google.com/spreadsheets/d/11tr1B-Bhyr79v2bkwVh5h_fR-PStkgjlZtkrZpYurG0/edit?usp=sharing"",""ชลบุรี!J427"")"),0)</f>
        <v>0</v>
      </c>
      <c r="AE56" s="152">
        <f ca="1">IFERROR(__xludf.DUMMYFUNCTION("IMPORTRANGE(""https://docs.google.com/spreadsheets/d/11tr1B-Bhyr79v2bkwVh5h_fR-PStkgjlZtkrZpYurG0/edit?usp=sharing"",""ชลบุรี!J428"")"),0)</f>
        <v>0</v>
      </c>
      <c r="AF56" s="152">
        <f ca="1">IFERROR(__xludf.DUMMYFUNCTION("IMPORTRANGE(""https://docs.google.com/spreadsheets/d/11tr1B-Bhyr79v2bkwVh5h_fR-PStkgjlZtkrZpYurG0/edit?usp=sharing"",""ชลบุรี!J429"")"),0)</f>
        <v>0</v>
      </c>
      <c r="AG56" s="152">
        <f ca="1">IFERROR(__xludf.DUMMYFUNCTION("IMPORTRANGE(""https://docs.google.com/spreadsheets/d/11tr1B-Bhyr79v2bkwVh5h_fR-PStkgjlZtkrZpYurG0/edit?usp=sharing"",""ชลบุรี!J430"")"),0)</f>
        <v>0</v>
      </c>
      <c r="AH56" s="152">
        <f ca="1">IFERROR(__xludf.DUMMYFUNCTION("IMPORTRANGE(""https://docs.google.com/spreadsheets/d/11tr1B-Bhyr79v2bkwVh5h_fR-PStkgjlZtkrZpYurG0/edit?usp=sharing"",""ชลบุรี!J431"")"),0)</f>
        <v>0</v>
      </c>
      <c r="AI56" s="152">
        <f ca="1">IFERROR(__xludf.DUMMYFUNCTION("IMPORTRANGE(""https://docs.google.com/spreadsheets/d/11tr1B-Bhyr79v2bkwVh5h_fR-PStkgjlZtkrZpYurG0/edit?usp=sharing"",""ชลบุรี!I432"")"),0)</f>
        <v>0</v>
      </c>
      <c r="AJ56" s="152">
        <f ca="1">IFERROR(__xludf.DUMMYFUNCTION("IMPORTRANGE(""https://docs.google.com/spreadsheets/d/11tr1B-Bhyr79v2bkwVh5h_fR-PStkgjlZtkrZpYurG0/edit?usp=sharing"",""ชลบุรี!I433"")"),0)</f>
        <v>0</v>
      </c>
      <c r="AK56" s="216">
        <f ca="1">IFERROR(__xludf.DUMMYFUNCTION("IMPORTRANGE(""https://docs.google.com/spreadsheets/d/11tr1B-Bhyr79v2bkwVh5h_fR-PStkgjlZtkrZpYurG0/edit?usp=sharing"",""ชลบุรี!J432"")"),0)</f>
        <v>0</v>
      </c>
      <c r="AL56" s="216">
        <f t="shared" ca="1" si="59"/>
        <v>0</v>
      </c>
      <c r="AM56" s="152">
        <f ca="1">IFERROR(__xludf.DUMMYFUNCTION("IMPORTRANGE(""https://docs.google.com/spreadsheets/d/11tr1B-Bhyr79v2bkwVh5h_fR-PStkgjlZtkrZpYurG0/edit?usp=sharing"",""ชลบุรี!J433"")"),0)</f>
        <v>0</v>
      </c>
      <c r="AN56" s="216">
        <f t="shared" ca="1" si="60"/>
        <v>0</v>
      </c>
      <c r="AO56" s="152">
        <f ca="1">IFERROR(__xludf.DUMMYFUNCTION("IMPORTRANGE(""https://docs.google.com/spreadsheets/d/11tr1B-Bhyr79v2bkwVh5h_fR-PStkgjlZtkrZpYurG0/edit?usp=sharing"",""ชลบุรี!J434"")"),0)</f>
        <v>0</v>
      </c>
      <c r="AP56" s="152">
        <f ca="1">IFERROR(__xludf.DUMMYFUNCTION("IMPORTRANGE(""https://docs.google.com/spreadsheets/d/11tr1B-Bhyr79v2bkwVh5h_fR-PStkgjlZtkrZpYurG0/edit?usp=sharing"",""ชลบุรี!J435"")"),0)</f>
        <v>0</v>
      </c>
      <c r="AQ56" s="152">
        <f ca="1">IFERROR(__xludf.DUMMYFUNCTION("IMPORTRANGE(""https://docs.google.com/spreadsheets/d/11tr1B-Bhyr79v2bkwVh5h_fR-PStkgjlZtkrZpYurG0/edit?usp=sharing"",""ชลบุรี!J436"")"),0)</f>
        <v>0</v>
      </c>
      <c r="AR56" s="152">
        <f ca="1">IFERROR(__xludf.DUMMYFUNCTION("IMPORTRANGE(""https://docs.google.com/spreadsheets/d/11tr1B-Bhyr79v2bkwVh5h_fR-PStkgjlZtkrZpYurG0/edit?usp=sharing"",""ชลบุรี!J437"")"),0)</f>
        <v>0</v>
      </c>
      <c r="AS56" s="152">
        <f ca="1">IFERROR(__xludf.DUMMYFUNCTION("IMPORTRANGE(""https://docs.google.com/spreadsheets/d/11tr1B-Bhyr79v2bkwVh5h_fR-PStkgjlZtkrZpYurG0/edit?usp=sharing"",""ชลบุรี!J438"")"),0)</f>
        <v>0</v>
      </c>
      <c r="AT56" s="152">
        <f ca="1">IFERROR(__xludf.DUMMYFUNCTION("IMPORTRANGE(""https://docs.google.com/spreadsheets/d/11tr1B-Bhyr79v2bkwVh5h_fR-PStkgjlZtkrZpYurG0/edit?usp=sharing"",""ชลบุรี!J439"")"),0)</f>
        <v>0</v>
      </c>
      <c r="AU56" s="152">
        <f ca="1">IFERROR(__xludf.DUMMYFUNCTION("IMPORTRANGE(""https://docs.google.com/spreadsheets/d/11tr1B-Bhyr79v2bkwVh5h_fR-PStkgjlZtkrZpYurG0/edit?usp=sharing"",""ชลบุรี!I440"")"),0)</f>
        <v>0</v>
      </c>
      <c r="AV56" s="152">
        <f ca="1">IFERROR(__xludf.DUMMYFUNCTION("IMPORTRANGE(""https://docs.google.com/spreadsheets/d/11tr1B-Bhyr79v2bkwVh5h_fR-PStkgjlZtkrZpYurG0/edit?usp=sharing"",""ชลบุรี!I441"")"),0)</f>
        <v>0</v>
      </c>
      <c r="AW56" s="152">
        <f ca="1">IFERROR(__xludf.DUMMYFUNCTION("IMPORTRANGE(""https://docs.google.com/spreadsheets/d/11tr1B-Bhyr79v2bkwVh5h_fR-PStkgjlZtkrZpYurG0/edit?usp=sharing"",""ชลบุรี!J440"")"),0)</f>
        <v>0</v>
      </c>
      <c r="AX56" s="216">
        <f t="shared" ca="1" si="62"/>
        <v>0</v>
      </c>
      <c r="AY56" s="152">
        <f ca="1">IFERROR(__xludf.DUMMYFUNCTION("IMPORTRANGE(""https://docs.google.com/spreadsheets/d/11tr1B-Bhyr79v2bkwVh5h_fR-PStkgjlZtkrZpYurG0/edit?usp=sharing"",""ชลบุรี!J441"")"),0)</f>
        <v>0</v>
      </c>
      <c r="AZ56" s="216">
        <f t="shared" ca="1" si="63"/>
        <v>0</v>
      </c>
      <c r="BA56" s="152">
        <f ca="1">IFERROR(__xludf.DUMMYFUNCTION("IMPORTRANGE(""https://docs.google.com/spreadsheets/d/11tr1B-Bhyr79v2bkwVh5h_fR-PStkgjlZtkrZpYurG0/edit?usp=sharing"",""ชลบุรี!J442"")"),0)</f>
        <v>0</v>
      </c>
      <c r="BB56" s="152">
        <f ca="1">IFERROR(__xludf.DUMMYFUNCTION("IMPORTRANGE(""https://docs.google.com/spreadsheets/d/11tr1B-Bhyr79v2bkwVh5h_fR-PStkgjlZtkrZpYurG0/edit?usp=sharing"",""ชลบุรี!J443"")"),0)</f>
        <v>0</v>
      </c>
      <c r="BC56" s="152">
        <f ca="1">IFERROR(__xludf.DUMMYFUNCTION("IMPORTRANGE(""https://docs.google.com/spreadsheets/d/11tr1B-Bhyr79v2bkwVh5h_fR-PStkgjlZtkrZpYurG0/edit?usp=sharing"",""ชลบุรี!J444"")"),0)</f>
        <v>0</v>
      </c>
      <c r="BD56" s="152">
        <f ca="1">IFERROR(__xludf.DUMMYFUNCTION("IMPORTRANGE(""https://docs.google.com/spreadsheets/d/11tr1B-Bhyr79v2bkwVh5h_fR-PStkgjlZtkrZpYurG0/edit?usp=sharing"",""ชลบุรี!J445"")"),0)</f>
        <v>0</v>
      </c>
      <c r="BE56" s="152">
        <f ca="1">IFERROR(__xludf.DUMMYFUNCTION("IMPORTRANGE(""https://docs.google.com/spreadsheets/d/11tr1B-Bhyr79v2bkwVh5h_fR-PStkgjlZtkrZpYurG0/edit?usp=sharing"",""ชลบุรี!J446"")"),0)</f>
        <v>0</v>
      </c>
      <c r="BF56" s="152">
        <f ca="1">IFERROR(__xludf.DUMMYFUNCTION("IMPORTRANGE(""https://docs.google.com/spreadsheets/d/11tr1B-Bhyr79v2bkwVh5h_fR-PStkgjlZtkrZpYurG0/edit?usp=sharing"",""ชลบุรี!J447"")"),0)</f>
        <v>0</v>
      </c>
      <c r="BG56" s="152">
        <f ca="1">IFERROR(__xludf.DUMMYFUNCTION("IMPORTRANGE(""https://docs.google.com/spreadsheets/d/11tr1B-Bhyr79v2bkwVh5h_fR-PStkgjlZtkrZpYurG0/edit?usp=sharing"",""ชลบุรี!J448"")"),0)</f>
        <v>0</v>
      </c>
      <c r="BH56" s="152">
        <f ca="1">IFERROR(__xludf.DUMMYFUNCTION("IMPORTRANGE(""https://docs.google.com/spreadsheets/d/11tr1B-Bhyr79v2bkwVh5h_fR-PStkgjlZtkrZpYurG0/edit?usp=sharing"",""ชลบุรี!J449"")"),0)</f>
        <v>0</v>
      </c>
      <c r="BI56" s="152">
        <f ca="1">IFERROR(__xludf.DUMMYFUNCTION("IMPORTRANGE(""https://docs.google.com/spreadsheets/d/11tr1B-Bhyr79v2bkwVh5h_fR-PStkgjlZtkrZpYurG0/edit?usp=sharing"",""ชลบุรี!J450"")"),0)</f>
        <v>0</v>
      </c>
      <c r="BJ56" s="152">
        <f ca="1">IFERROR(__xludf.DUMMYFUNCTION("IMPORTRANGE(""https://docs.google.com/spreadsheets/d/11tr1B-Bhyr79v2bkwVh5h_fR-PStkgjlZtkrZpYurG0/edit?usp=sharing"",""ชลบุรี!J451"")"),0)</f>
        <v>0</v>
      </c>
      <c r="BK56" s="152">
        <f ca="1">IFERROR(__xludf.DUMMYFUNCTION("IMPORTRANGE(""https://docs.google.com/spreadsheets/d/11tr1B-Bhyr79v2bkwVh5h_fR-PStkgjlZtkrZpYurG0/edit?usp=sharing"",""ชลบุรี!J452"")"),0)</f>
        <v>0</v>
      </c>
      <c r="BL56" s="152">
        <f ca="1">IFERROR(__xludf.DUMMYFUNCTION("IMPORTRANGE(""https://docs.google.com/spreadsheets/d/11tr1B-Bhyr79v2bkwVh5h_fR-PStkgjlZtkrZpYurG0/edit?usp=sharing"",""ชลบุรี!J453"")"),0)</f>
        <v>0</v>
      </c>
      <c r="BM56" s="152">
        <f ca="1">IFERROR(__xludf.DUMMYFUNCTION("IMPORTRANGE(""https://docs.google.com/spreadsheets/d/11tr1B-Bhyr79v2bkwVh5h_fR-PStkgjlZtkrZpYurG0/edit?usp=sharing"",""ชลบุรี!J454"")"),0)</f>
        <v>0</v>
      </c>
      <c r="BN56" s="152">
        <f ca="1">IFERROR(__xludf.DUMMYFUNCTION("IMPORTRANGE(""https://docs.google.com/spreadsheets/d/11tr1B-Bhyr79v2bkwVh5h_fR-PStkgjlZtkrZpYurG0/edit?usp=sharing"",""ชลบุรี!J455"")"),0)</f>
        <v>0</v>
      </c>
      <c r="BO56" s="152">
        <f ca="1">IFERROR(__xludf.DUMMYFUNCTION("IMPORTRANGE(""https://docs.google.com/spreadsheets/d/11tr1B-Bhyr79v2bkwVh5h_fR-PStkgjlZtkrZpYurG0/edit?usp=sharing"",""ชลบุรี!I457"")"),187.82)</f>
        <v>187.82</v>
      </c>
      <c r="BP56" s="152">
        <f ca="1">IFERROR(__xludf.DUMMYFUNCTION("IMPORTRANGE(""https://docs.google.com/spreadsheets/d/11tr1B-Bhyr79v2bkwVh5h_fR-PStkgjlZtkrZpYurG0/edit?usp=sharing"",""ชลบุรี!I458"")"),16)</f>
        <v>16</v>
      </c>
      <c r="BQ56" s="152">
        <f ca="1">IFERROR(__xludf.DUMMYFUNCTION("IMPORTRANGE(""https://docs.google.com/spreadsheets/d/11tr1B-Bhyr79v2bkwVh5h_fR-PStkgjlZtkrZpYurG0/edit?usp=sharing"",""ชลบุรี!J457"")"),0)</f>
        <v>0</v>
      </c>
      <c r="BR56" s="216">
        <f t="shared" ca="1" si="65"/>
        <v>0</v>
      </c>
      <c r="BS56" s="152">
        <f ca="1">IFERROR(__xludf.DUMMYFUNCTION("IMPORTRANGE(""https://docs.google.com/spreadsheets/d/11tr1B-Bhyr79v2bkwVh5h_fR-PStkgjlZtkrZpYurG0/edit?usp=sharing"",""ชลบุรี!J458"")"),0)</f>
        <v>0</v>
      </c>
      <c r="BT56" s="216">
        <f t="shared" ca="1" si="66"/>
        <v>0</v>
      </c>
      <c r="BU56" s="152">
        <f ca="1">IFERROR(__xludf.DUMMYFUNCTION("IMPORTRANGE(""https://docs.google.com/spreadsheets/d/11tr1B-Bhyr79v2bkwVh5h_fR-PStkgjlZtkrZpYurG0/edit?usp=sharing"",""ชลบุรี!J459"")"),0)</f>
        <v>0</v>
      </c>
      <c r="BV56" s="152">
        <f ca="1">IFERROR(__xludf.DUMMYFUNCTION("IMPORTRANGE(""https://docs.google.com/spreadsheets/d/11tr1B-Bhyr79v2bkwVh5h_fR-PStkgjlZtkrZpYurG0/edit?usp=sharing"",""ชลบุรี!J460"")"),0)</f>
        <v>0</v>
      </c>
      <c r="BW56" s="152">
        <f ca="1">IFERROR(__xludf.DUMMYFUNCTION("IMPORTRANGE(""https://docs.google.com/spreadsheets/d/11tr1B-Bhyr79v2bkwVh5h_fR-PStkgjlZtkrZpYurG0/edit?usp=sharing"",""ชลบุรี!J461"")"),0)</f>
        <v>0</v>
      </c>
      <c r="BX56" s="152">
        <f ca="1">IFERROR(__xludf.DUMMYFUNCTION("IMPORTRANGE(""https://docs.google.com/spreadsheets/d/11tr1B-Bhyr79v2bkwVh5h_fR-PStkgjlZtkrZpYurG0/edit?usp=sharing"",""ชลบุรี!J462"")"),0)</f>
        <v>0</v>
      </c>
      <c r="BY56" s="152">
        <f ca="1">IFERROR(__xludf.DUMMYFUNCTION("IMPORTRANGE(""https://docs.google.com/spreadsheets/d/11tr1B-Bhyr79v2bkwVh5h_fR-PStkgjlZtkrZpYurG0/edit?usp=sharing"",""ชลบุรี!J463"")"),0)</f>
        <v>0</v>
      </c>
      <c r="BZ56" s="152">
        <f ca="1">IFERROR(__xludf.DUMMYFUNCTION("IMPORTRANGE(""https://docs.google.com/spreadsheets/d/11tr1B-Bhyr79v2bkwVh5h_fR-PStkgjlZtkrZpYurG0/edit?usp=sharing"",""ชลบุรี!J464"")"),0)</f>
        <v>0</v>
      </c>
      <c r="CA56" s="152">
        <f ca="1">IFERROR(__xludf.DUMMYFUNCTION("IMPORTRANGE(""https://docs.google.com/spreadsheets/d/11tr1B-Bhyr79v2bkwVh5h_fR-PStkgjlZtkrZpYurG0/edit?usp=sharing"",""ชลบุรี!J465"")"),0)</f>
        <v>0</v>
      </c>
      <c r="CB56" s="152">
        <f ca="1">IFERROR(__xludf.DUMMYFUNCTION("IMPORTRANGE(""https://docs.google.com/spreadsheets/d/11tr1B-Bhyr79v2bkwVh5h_fR-PStkgjlZtkrZpYurG0/edit?usp=sharing"",""ชลบุรี!J466"")"),0)</f>
        <v>0</v>
      </c>
      <c r="CC56" s="152">
        <f ca="1">IFERROR(__xludf.DUMMYFUNCTION("IMPORTRANGE(""https://docs.google.com/spreadsheets/d/11tr1B-Bhyr79v2bkwVh5h_fR-PStkgjlZtkrZpYurG0/edit?usp=sharing"",""ชลบุรี!J467"")"),0)</f>
        <v>0</v>
      </c>
      <c r="CD56" s="152">
        <f ca="1">IFERROR(__xludf.DUMMYFUNCTION("IMPORTRANGE(""https://docs.google.com/spreadsheets/d/11tr1B-Bhyr79v2bkwVh5h_fR-PStkgjlZtkrZpYurG0/edit?usp=sharing"",""ชลบุรี!J468"")"),0)</f>
        <v>0</v>
      </c>
      <c r="CE56" s="152">
        <f ca="1">IFERROR(__xludf.DUMMYFUNCTION("IMPORTRANGE(""https://docs.google.com/spreadsheets/d/11tr1B-Bhyr79v2bkwVh5h_fR-PStkgjlZtkrZpYurG0/edit?usp=sharing"",""ชลบุรี!J469"")"),0)</f>
        <v>0</v>
      </c>
      <c r="CF56" s="152">
        <f ca="1">IFERROR(__xludf.DUMMYFUNCTION("IMPORTRANGE(""https://docs.google.com/spreadsheets/d/11tr1B-Bhyr79v2bkwVh5h_fR-PStkgjlZtkrZpYurG0/edit?usp=sharing"",""ชลบุรี!J470"")"),0)</f>
        <v>0</v>
      </c>
      <c r="CG56" s="152">
        <f ca="1">IFERROR(__xludf.DUMMYFUNCTION("IMPORTRANGE(""https://docs.google.com/spreadsheets/d/11tr1B-Bhyr79v2bkwVh5h_fR-PStkgjlZtkrZpYurG0/edit?usp=sharing"",""ชลบุรี!J471"")"),0)</f>
        <v>0</v>
      </c>
      <c r="CH56" s="152">
        <f ca="1">IFERROR(__xludf.DUMMYFUNCTION("IMPORTRANGE(""https://docs.google.com/spreadsheets/d/11tr1B-Bhyr79v2bkwVh5h_fR-PStkgjlZtkrZpYurG0/edit?usp=sharing"",""ชลบุรี!J472"")"),0)</f>
        <v>0</v>
      </c>
      <c r="CI56" s="152">
        <f ca="1">IFERROR(__xludf.DUMMYFUNCTION("IMPORTRANGE(""https://docs.google.com/spreadsheets/d/11tr1B-Bhyr79v2bkwVh5h_fR-PStkgjlZtkrZpYurG0/edit?usp=sharing"",""ชลบุรี!J473"")"),0)</f>
        <v>0</v>
      </c>
      <c r="CJ56" s="152">
        <f ca="1">IFERROR(__xludf.DUMMYFUNCTION("IMPORTRANGE(""https://docs.google.com/spreadsheets/d/11tr1B-Bhyr79v2bkwVh5h_fR-PStkgjlZtkrZpYurG0/edit?usp=sharing"",""ชลบุรี!J474"")"),0)</f>
        <v>0</v>
      </c>
      <c r="CK56" s="278">
        <f ca="1">IFERROR(__xludf.DUMMYFUNCTION("IMPORTRANGE(""https://docs.google.com/spreadsheets/d/11tr1B-Bhyr79v2bkwVh5h_fR-PStkgjlZtkrZpYurG0/edit?usp=sharing"",""ชลบุรี!I476"")"),0)</f>
        <v>0</v>
      </c>
      <c r="CL56" s="278">
        <f ca="1">IFERROR(__xludf.DUMMYFUNCTION("IMPORTRANGE(""https://docs.google.com/spreadsheets/d/11tr1B-Bhyr79v2bkwVh5h_fR-PStkgjlZtkrZpYurG0/edit?usp=sharing"",""ชลบุรี!I477"")"),0)</f>
        <v>0</v>
      </c>
      <c r="CM56" s="278">
        <f ca="1">IFERROR(__xludf.DUMMYFUNCTION("IMPORTRANGE(""https://docs.google.com/spreadsheets/d/11tr1B-Bhyr79v2bkwVh5h_fR-PStkgjlZtkrZpYurG0/edit?usp=sharing"",""ชลบุรี!J476"")"),0)</f>
        <v>0</v>
      </c>
      <c r="CN56" s="216">
        <f t="shared" ca="1" si="68"/>
        <v>0</v>
      </c>
      <c r="CO56" s="278">
        <f ca="1">IFERROR(__xludf.DUMMYFUNCTION("IMPORTRANGE(""https://docs.google.com/spreadsheets/d/11tr1B-Bhyr79v2bkwVh5h_fR-PStkgjlZtkrZpYurG0/edit?usp=sharing"",""ชลบุรี!J477"")"),0)</f>
        <v>0</v>
      </c>
      <c r="CP56" s="216">
        <f t="shared" ca="1" si="69"/>
        <v>0</v>
      </c>
      <c r="CQ56" s="278">
        <f ca="1">IFERROR(__xludf.DUMMYFUNCTION("IMPORTRANGE(""https://docs.google.com/spreadsheets/d/11tr1B-Bhyr79v2bkwVh5h_fR-PStkgjlZtkrZpYurG0/edit?usp=sharing"",""ชลบุรี!J478"")"),0)</f>
        <v>0</v>
      </c>
      <c r="CR56" s="278">
        <f ca="1">IFERROR(__xludf.DUMMYFUNCTION("IMPORTRANGE(""https://docs.google.com/spreadsheets/d/11tr1B-Bhyr79v2bkwVh5h_fR-PStkgjlZtkrZpYurG0/edit?usp=sharing"",""ชลบุรี!J479"")"),0)</f>
        <v>0</v>
      </c>
      <c r="CS56" s="278">
        <f ca="1">IFERROR(__xludf.DUMMYFUNCTION("IMPORTRANGE(""https://docs.google.com/spreadsheets/d/11tr1B-Bhyr79v2bkwVh5h_fR-PStkgjlZtkrZpYurG0/edit?usp=sharing"",""ชลบุรี!J480"")"),0)</f>
        <v>0</v>
      </c>
      <c r="CT56" s="278">
        <f ca="1">IFERROR(__xludf.DUMMYFUNCTION("IMPORTRANGE(""https://docs.google.com/spreadsheets/d/11tr1B-Bhyr79v2bkwVh5h_fR-PStkgjlZtkrZpYurG0/edit?usp=sharing"",""ชลบุรี!J481"")"),0)</f>
        <v>0</v>
      </c>
      <c r="CU56" s="278">
        <f ca="1">IFERROR(__xludf.DUMMYFUNCTION("IMPORTRANGE(""https://docs.google.com/spreadsheets/d/11tr1B-Bhyr79v2bkwVh5h_fR-PStkgjlZtkrZpYurG0/edit?usp=sharing"",""ชลบุรี!I484"")"),0)</f>
        <v>0</v>
      </c>
      <c r="CV56" s="278">
        <f ca="1">IFERROR(__xludf.DUMMYFUNCTION("IMPORTRANGE(""https://docs.google.com/spreadsheets/d/11tr1B-Bhyr79v2bkwVh5h_fR-PStkgjlZtkrZpYurG0/edit?usp=sharing"",""ชลบุรี!I485"")"),0)</f>
        <v>0</v>
      </c>
      <c r="CW56" s="278">
        <f ca="1">IFERROR(__xludf.DUMMYFUNCTION("IMPORTRANGE(""https://docs.google.com/spreadsheets/d/11tr1B-Bhyr79v2bkwVh5h_fR-PStkgjlZtkrZpYurG0/edit?usp=sharing"",""ชลบุรี!J484"")"),0)</f>
        <v>0</v>
      </c>
      <c r="CX56" s="216">
        <f t="shared" ca="1" si="71"/>
        <v>0</v>
      </c>
      <c r="CY56" s="278">
        <f ca="1">IFERROR(__xludf.DUMMYFUNCTION("IMPORTRANGE(""https://docs.google.com/spreadsheets/d/11tr1B-Bhyr79v2bkwVh5h_fR-PStkgjlZtkrZpYurG0/edit?usp=sharing"",""ชลบุรี!J485"")"),0)</f>
        <v>0</v>
      </c>
      <c r="CZ56" s="216">
        <f t="shared" ca="1" si="72"/>
        <v>0</v>
      </c>
      <c r="DA56" s="278">
        <f ca="1">IFERROR(__xludf.DUMMYFUNCTION("IMPORTRANGE(""https://docs.google.com/spreadsheets/d/11tr1B-Bhyr79v2bkwVh5h_fR-PStkgjlZtkrZpYurG0/edit?usp=sharing"",""ชลบุรี!J486"")"),0)</f>
        <v>0</v>
      </c>
      <c r="DB56" s="278">
        <f ca="1">IFERROR(__xludf.DUMMYFUNCTION("IMPORTRANGE(""https://docs.google.com/spreadsheets/d/11tr1B-Bhyr79v2bkwVh5h_fR-PStkgjlZtkrZpYurG0/edit?usp=sharing"",""ชลบุรี!J487"")"),0)</f>
        <v>0</v>
      </c>
      <c r="DC56" s="278">
        <f ca="1">IFERROR(__xludf.DUMMYFUNCTION("IMPORTRANGE(""https://docs.google.com/spreadsheets/d/11tr1B-Bhyr79v2bkwVh5h_fR-PStkgjlZtkrZpYurG0/edit?usp=sharing"",""ชลบุรี!J488"")"),0)</f>
        <v>0</v>
      </c>
      <c r="DD56" s="278">
        <f ca="1">IFERROR(__xludf.DUMMYFUNCTION("IMPORTRANGE(""https://docs.google.com/spreadsheets/d/11tr1B-Bhyr79v2bkwVh5h_fR-PStkgjlZtkrZpYurG0/edit?usp=sharing"",""ชลบุรี!J489"")"),0)</f>
        <v>0</v>
      </c>
      <c r="DE56" s="278">
        <f ca="1">IFERROR(__xludf.DUMMYFUNCTION("IMPORTRANGE(""https://docs.google.com/spreadsheets/d/11tr1B-Bhyr79v2bkwVh5h_fR-PStkgjlZtkrZpYurG0/edit?usp=sharing"",""ชลบุรี!J490"")"),0)</f>
        <v>0</v>
      </c>
      <c r="DF56" s="278">
        <f ca="1">IFERROR(__xludf.DUMMYFUNCTION("IMPORTRANGE(""https://docs.google.com/spreadsheets/d/11tr1B-Bhyr79v2bkwVh5h_fR-PStkgjlZtkrZpYurG0/edit?usp=sharing"",""ชลบุรี!J491"")"),0)</f>
        <v>0</v>
      </c>
    </row>
    <row r="57" spans="1:110" ht="19.5" x14ac:dyDescent="0.3">
      <c r="A57" s="147">
        <v>5</v>
      </c>
      <c r="B57" s="148" t="s">
        <v>85</v>
      </c>
      <c r="C57" s="566">
        <f t="shared" ca="1" si="44"/>
        <v>128340</v>
      </c>
      <c r="D57" s="567">
        <f t="shared" ca="1" si="94"/>
        <v>128340</v>
      </c>
      <c r="E57" s="329">
        <f ca="1">IFERROR(__xludf.DUMMYFUNCTION("IMPORTRANGE(""https://docs.google.com/spreadsheets/d/1-uDff_7J0KD5mKrp0Vvzr7lt3OU09vwQwhkpOPPYv2Y/edit?usp=sharing"",""งบพรบ!IP57"")"),0)</f>
        <v>0</v>
      </c>
      <c r="F57" s="329">
        <f ca="1">IFERROR(__xludf.DUMMYFUNCTION("IMPORTRANGE(""https://docs.google.com/spreadsheets/d/1-uDff_7J0KD5mKrp0Vvzr7lt3OU09vwQwhkpOPPYv2Y/edit?usp=sharing"",""งบพรบ!IQ57"")"),128340)</f>
        <v>128340</v>
      </c>
      <c r="G57" s="329">
        <f ca="1">IFERROR(__xludf.DUMMYFUNCTION("IMPORTRANGE(""https://docs.google.com/spreadsheets/d/1-uDff_7J0KD5mKrp0Vvzr7lt3OU09vwQwhkpOPPYv2Y/edit?usp=sharing"",""งบพรบ!IR57"")"),0)</f>
        <v>0</v>
      </c>
      <c r="H57" s="329">
        <f ca="1">IFERROR(__xludf.DUMMYFUNCTION("IMPORTRANGE(""https://docs.google.com/spreadsheets/d/1-uDff_7J0KD5mKrp0Vvzr7lt3OU09vwQwhkpOPPYv2Y/edit?usp=sharing"",""งบพรบ!IT57"")"),128340)</f>
        <v>128340</v>
      </c>
      <c r="I57" s="329">
        <f ca="1">IFERROR(__xludf.DUMMYFUNCTION("IMPORTRANGE(""https://docs.google.com/spreadsheets/d/1-uDff_7J0KD5mKrp0Vvzr7lt3OU09vwQwhkpOPPYv2Y/edit?usp=sharing"",""งบพรบ!IU57"")"),0)</f>
        <v>0</v>
      </c>
      <c r="J57" s="329">
        <f t="shared" ca="1" si="46"/>
        <v>68111</v>
      </c>
      <c r="K57" s="568">
        <f t="shared" ca="1" si="47"/>
        <v>53.070749571450833</v>
      </c>
      <c r="L57" s="329">
        <f ca="1">IFERROR(__xludf.DUMMYFUNCTION("IMPORTRANGE(""https://docs.google.com/spreadsheets/d/1-uDff_7J0KD5mKrp0Vvzr7lt3OU09vwQwhkpOPPYv2Y/edit?usp=sharing"",""งบพรบ!IV57"")"),68111)</f>
        <v>68111</v>
      </c>
      <c r="M57" s="330">
        <f t="shared" ca="1" si="48"/>
        <v>53.070749571450833</v>
      </c>
      <c r="N57" s="330">
        <f t="shared" ca="1" si="49"/>
        <v>53.070749571450833</v>
      </c>
      <c r="O57" s="569">
        <f ca="1">IFERROR(__xludf.DUMMYFUNCTION("IMPORTRANGE(""https://docs.google.com/spreadsheets/d/1-uDff_7J0KD5mKrp0Vvzr7lt3OU09vwQwhkpOPPYv2Y/edit?usp=sharing"",""งบพรบ!IW57"")"),0)</f>
        <v>0</v>
      </c>
      <c r="P57" s="569">
        <f t="shared" ca="1" si="50"/>
        <v>0</v>
      </c>
      <c r="Q57" s="330">
        <f t="shared" ca="1" si="51"/>
        <v>0</v>
      </c>
      <c r="R57" s="564">
        <f ca="1">IFERROR(__xludf.DUMMYFUNCTION("IMPORTRANGE(""https://docs.google.com/spreadsheets/d/1hh-FVnSX0vozXhGluamEcS54Dw9_zqW0N7qJUWgJ0Sw/edit?usp=sharing"",""ชัยนาท!Q413"")"),16610)</f>
        <v>16610</v>
      </c>
      <c r="S57" s="564">
        <f ca="1">IFERROR(__xludf.DUMMYFUNCTION("IMPORTRANGE(""https://docs.google.com/spreadsheets/d/1hh-FVnSX0vozXhGluamEcS54Dw9_zqW0N7qJUWgJ0Sw/edit?usp=sharing"",""ชัยนาท!R413"")"),16610)</f>
        <v>16610</v>
      </c>
      <c r="T57" s="564">
        <f ca="1">IFERROR(__xludf.DUMMYFUNCTION("IMPORTRANGE(""https://docs.google.com/spreadsheets/d/1hh-FVnSX0vozXhGluamEcS54Dw9_zqW0N7qJUWgJ0Sw/edit?usp=sharing"",""ชัยนาท!S413"")"),0)</f>
        <v>0</v>
      </c>
      <c r="U57" s="565">
        <f t="shared" ca="1" si="53"/>
        <v>0</v>
      </c>
      <c r="V57" s="565">
        <f t="shared" ca="1" si="54"/>
        <v>0</v>
      </c>
      <c r="W57" s="152">
        <f ca="1">IFERROR(__xludf.DUMMYFUNCTION("IMPORTRANGE(""https://docs.google.com/spreadsheets/d/1hh-FVnSX0vozXhGluamEcS54Dw9_zqW0N7qJUWgJ0Sw/edit?usp=sharing"",""ชัยนาท!I424"")"),0)</f>
        <v>0</v>
      </c>
      <c r="X57" s="152">
        <f ca="1">IFERROR(__xludf.DUMMYFUNCTION("IMPORTRANGE(""https://docs.google.com/spreadsheets/d/1hh-FVnSX0vozXhGluamEcS54Dw9_zqW0N7qJUWgJ0Sw/edit?usp=sharing"",""ชัยนาท!I425"")"),0)</f>
        <v>0</v>
      </c>
      <c r="Y57" s="152">
        <f ca="1">IFERROR(__xludf.DUMMYFUNCTION("IMPORTRANGE(""https://docs.google.com/spreadsheets/d/1hh-FVnSX0vozXhGluamEcS54Dw9_zqW0N7qJUWgJ0Sw/edit?usp=sharing"",""ชัยนาท!J424"")"),0)</f>
        <v>0</v>
      </c>
      <c r="Z57" s="216">
        <f t="shared" ca="1" si="56"/>
        <v>0</v>
      </c>
      <c r="AA57" s="152">
        <f ca="1">IFERROR(__xludf.DUMMYFUNCTION("IMPORTRANGE(""https://docs.google.com/spreadsheets/d/1hh-FVnSX0vozXhGluamEcS54Dw9_zqW0N7qJUWgJ0Sw/edit?usp=sharing"",""ชัยนาท!J425"")"),0)</f>
        <v>0</v>
      </c>
      <c r="AB57" s="216">
        <f t="shared" ca="1" si="57"/>
        <v>0</v>
      </c>
      <c r="AC57" s="152">
        <f ca="1">IFERROR(__xludf.DUMMYFUNCTION("IMPORTRANGE(""https://docs.google.com/spreadsheets/d/1hh-FVnSX0vozXhGluamEcS54Dw9_zqW0N7qJUWgJ0Sw/edit?usp=sharing"",""ชัยนาท!J426"")"),0)</f>
        <v>0</v>
      </c>
      <c r="AD57" s="152">
        <f ca="1">IFERROR(__xludf.DUMMYFUNCTION("IMPORTRANGE(""https://docs.google.com/spreadsheets/d/1hh-FVnSX0vozXhGluamEcS54Dw9_zqW0N7qJUWgJ0Sw/edit?usp=sharing"",""ชัยนาท!J427"")"),0)</f>
        <v>0</v>
      </c>
      <c r="AE57" s="152">
        <f ca="1">IFERROR(__xludf.DUMMYFUNCTION("IMPORTRANGE(""https://docs.google.com/spreadsheets/d/1hh-FVnSX0vozXhGluamEcS54Dw9_zqW0N7qJUWgJ0Sw/edit?usp=sharing"",""ชัยนาท!J428"")"),0)</f>
        <v>0</v>
      </c>
      <c r="AF57" s="152">
        <f ca="1">IFERROR(__xludf.DUMMYFUNCTION("IMPORTRANGE(""https://docs.google.com/spreadsheets/d/1hh-FVnSX0vozXhGluamEcS54Dw9_zqW0N7qJUWgJ0Sw/edit?usp=sharing"",""ชัยนาท!J429"")"),0)</f>
        <v>0</v>
      </c>
      <c r="AG57" s="152">
        <f ca="1">IFERROR(__xludf.DUMMYFUNCTION("IMPORTRANGE(""https://docs.google.com/spreadsheets/d/1hh-FVnSX0vozXhGluamEcS54Dw9_zqW0N7qJUWgJ0Sw/edit?usp=sharing"",""ชัยนาท!J430"")"),0)</f>
        <v>0</v>
      </c>
      <c r="AH57" s="152">
        <f ca="1">IFERROR(__xludf.DUMMYFUNCTION("IMPORTRANGE(""https://docs.google.com/spreadsheets/d/1hh-FVnSX0vozXhGluamEcS54Dw9_zqW0N7qJUWgJ0Sw/edit?usp=sharing"",""ชัยนาท!J431"")"),0)</f>
        <v>0</v>
      </c>
      <c r="AI57" s="152">
        <f ca="1">IFERROR(__xludf.DUMMYFUNCTION("IMPORTRANGE(""https://docs.google.com/spreadsheets/d/1hh-FVnSX0vozXhGluamEcS54Dw9_zqW0N7qJUWgJ0Sw/edit?usp=sharing"",""ชัยนาท!I432"")"),0)</f>
        <v>0</v>
      </c>
      <c r="AJ57" s="152">
        <f ca="1">IFERROR(__xludf.DUMMYFUNCTION("IMPORTRANGE(""https://docs.google.com/spreadsheets/d/1hh-FVnSX0vozXhGluamEcS54Dw9_zqW0N7qJUWgJ0Sw/edit?usp=sharing"",""ชัยนาท!I433"")"),0)</f>
        <v>0</v>
      </c>
      <c r="AK57" s="216">
        <f ca="1">IFERROR(__xludf.DUMMYFUNCTION("IMPORTRANGE(""https://docs.google.com/spreadsheets/d/1hh-FVnSX0vozXhGluamEcS54Dw9_zqW0N7qJUWgJ0Sw/edit?usp=sharing"",""ชัยนาท!J432"")"),0)</f>
        <v>0</v>
      </c>
      <c r="AL57" s="216">
        <f t="shared" ca="1" si="59"/>
        <v>0</v>
      </c>
      <c r="AM57" s="152">
        <f ca="1">IFERROR(__xludf.DUMMYFUNCTION("IMPORTRANGE(""https://docs.google.com/spreadsheets/d/1hh-FVnSX0vozXhGluamEcS54Dw9_zqW0N7qJUWgJ0Sw/edit?usp=sharing"",""ชัยนาท!J433"")"),0)</f>
        <v>0</v>
      </c>
      <c r="AN57" s="216">
        <f t="shared" ca="1" si="60"/>
        <v>0</v>
      </c>
      <c r="AO57" s="152">
        <f ca="1">IFERROR(__xludf.DUMMYFUNCTION("IMPORTRANGE(""https://docs.google.com/spreadsheets/d/1hh-FVnSX0vozXhGluamEcS54Dw9_zqW0N7qJUWgJ0Sw/edit?usp=sharing"",""ชัยนาท!J434"")"),0)</f>
        <v>0</v>
      </c>
      <c r="AP57" s="152">
        <f ca="1">IFERROR(__xludf.DUMMYFUNCTION("IMPORTRANGE(""https://docs.google.com/spreadsheets/d/1hh-FVnSX0vozXhGluamEcS54Dw9_zqW0N7qJUWgJ0Sw/edit?usp=sharing"",""ชัยนาท!J435"")"),0)</f>
        <v>0</v>
      </c>
      <c r="AQ57" s="152">
        <f ca="1">IFERROR(__xludf.DUMMYFUNCTION("IMPORTRANGE(""https://docs.google.com/spreadsheets/d/1hh-FVnSX0vozXhGluamEcS54Dw9_zqW0N7qJUWgJ0Sw/edit?usp=sharing"",""ชัยนาท!J436"")"),0)</f>
        <v>0</v>
      </c>
      <c r="AR57" s="152">
        <f ca="1">IFERROR(__xludf.DUMMYFUNCTION("IMPORTRANGE(""https://docs.google.com/spreadsheets/d/1hh-FVnSX0vozXhGluamEcS54Dw9_zqW0N7qJUWgJ0Sw/edit?usp=sharing"",""ชัยนาท!J437"")"),0)</f>
        <v>0</v>
      </c>
      <c r="AS57" s="152">
        <f ca="1">IFERROR(__xludf.DUMMYFUNCTION("IMPORTRANGE(""https://docs.google.com/spreadsheets/d/1hh-FVnSX0vozXhGluamEcS54Dw9_zqW0N7qJUWgJ0Sw/edit?usp=sharing"",""ชัยนาท!J438"")"),0)</f>
        <v>0</v>
      </c>
      <c r="AT57" s="152">
        <f ca="1">IFERROR(__xludf.DUMMYFUNCTION("IMPORTRANGE(""https://docs.google.com/spreadsheets/d/1hh-FVnSX0vozXhGluamEcS54Dw9_zqW0N7qJUWgJ0Sw/edit?usp=sharing"",""ชัยนาท!J439"")"),0)</f>
        <v>0</v>
      </c>
      <c r="AU57" s="152">
        <f ca="1">IFERROR(__xludf.DUMMYFUNCTION("IMPORTRANGE(""https://docs.google.com/spreadsheets/d/1hh-FVnSX0vozXhGluamEcS54Dw9_zqW0N7qJUWgJ0Sw/edit?usp=sharing"",""ชัยนาท!I440"")"),0)</f>
        <v>0</v>
      </c>
      <c r="AV57" s="152">
        <f ca="1">IFERROR(__xludf.DUMMYFUNCTION("IMPORTRANGE(""https://docs.google.com/spreadsheets/d/1hh-FVnSX0vozXhGluamEcS54Dw9_zqW0N7qJUWgJ0Sw/edit?usp=sharing"",""ชัยนาท!I441"")"),0)</f>
        <v>0</v>
      </c>
      <c r="AW57" s="152">
        <f ca="1">IFERROR(__xludf.DUMMYFUNCTION("IMPORTRANGE(""https://docs.google.com/spreadsheets/d/1hh-FVnSX0vozXhGluamEcS54Dw9_zqW0N7qJUWgJ0Sw/edit?usp=sharing"",""ชัยนาท!J440"")"),0)</f>
        <v>0</v>
      </c>
      <c r="AX57" s="216">
        <f t="shared" ca="1" si="62"/>
        <v>0</v>
      </c>
      <c r="AY57" s="152">
        <f ca="1">IFERROR(__xludf.DUMMYFUNCTION("IMPORTRANGE(""https://docs.google.com/spreadsheets/d/1hh-FVnSX0vozXhGluamEcS54Dw9_zqW0N7qJUWgJ0Sw/edit?usp=sharing"",""ชัยนาท!J441"")"),0)</f>
        <v>0</v>
      </c>
      <c r="AZ57" s="216">
        <f t="shared" ca="1" si="63"/>
        <v>0</v>
      </c>
      <c r="BA57" s="152">
        <f ca="1">IFERROR(__xludf.DUMMYFUNCTION("IMPORTRANGE(""https://docs.google.com/spreadsheets/d/1hh-FVnSX0vozXhGluamEcS54Dw9_zqW0N7qJUWgJ0Sw/edit?usp=sharing"",""ชัยนาท!J442"")"),0)</f>
        <v>0</v>
      </c>
      <c r="BB57" s="152">
        <f ca="1">IFERROR(__xludf.DUMMYFUNCTION("IMPORTRANGE(""https://docs.google.com/spreadsheets/d/1hh-FVnSX0vozXhGluamEcS54Dw9_zqW0N7qJUWgJ0Sw/edit?usp=sharing"",""ชัยนาท!J443"")"),0)</f>
        <v>0</v>
      </c>
      <c r="BC57" s="152">
        <f ca="1">IFERROR(__xludf.DUMMYFUNCTION("IMPORTRANGE(""https://docs.google.com/spreadsheets/d/1hh-FVnSX0vozXhGluamEcS54Dw9_zqW0N7qJUWgJ0Sw/edit?usp=sharing"",""ชัยนาท!J444"")"),0)</f>
        <v>0</v>
      </c>
      <c r="BD57" s="152">
        <f ca="1">IFERROR(__xludf.DUMMYFUNCTION("IMPORTRANGE(""https://docs.google.com/spreadsheets/d/1hh-FVnSX0vozXhGluamEcS54Dw9_zqW0N7qJUWgJ0Sw/edit?usp=sharing"",""ชัยนาท!J445"")"),0)</f>
        <v>0</v>
      </c>
      <c r="BE57" s="152">
        <f ca="1">IFERROR(__xludf.DUMMYFUNCTION("IMPORTRANGE(""https://docs.google.com/spreadsheets/d/1hh-FVnSX0vozXhGluamEcS54Dw9_zqW0N7qJUWgJ0Sw/edit?usp=sharing"",""ชัยนาท!J446"")"),0)</f>
        <v>0</v>
      </c>
      <c r="BF57" s="152">
        <f ca="1">IFERROR(__xludf.DUMMYFUNCTION("IMPORTRANGE(""https://docs.google.com/spreadsheets/d/1hh-FVnSX0vozXhGluamEcS54Dw9_zqW0N7qJUWgJ0Sw/edit?usp=sharing"",""ชัยนาท!J447"")"),0)</f>
        <v>0</v>
      </c>
      <c r="BG57" s="152">
        <f ca="1">IFERROR(__xludf.DUMMYFUNCTION("IMPORTRANGE(""https://docs.google.com/spreadsheets/d/1hh-FVnSX0vozXhGluamEcS54Dw9_zqW0N7qJUWgJ0Sw/edit?usp=sharing"",""ชัยนาท!J448"")"),0)</f>
        <v>0</v>
      </c>
      <c r="BH57" s="152">
        <f ca="1">IFERROR(__xludf.DUMMYFUNCTION("IMPORTRANGE(""https://docs.google.com/spreadsheets/d/1hh-FVnSX0vozXhGluamEcS54Dw9_zqW0N7qJUWgJ0Sw/edit?usp=sharing"",""ชัยนาท!J449"")"),0)</f>
        <v>0</v>
      </c>
      <c r="BI57" s="152">
        <f ca="1">IFERROR(__xludf.DUMMYFUNCTION("IMPORTRANGE(""https://docs.google.com/spreadsheets/d/1hh-FVnSX0vozXhGluamEcS54Dw9_zqW0N7qJUWgJ0Sw/edit?usp=sharing"",""ชัยนาท!J450"")"),0)</f>
        <v>0</v>
      </c>
      <c r="BJ57" s="152">
        <f ca="1">IFERROR(__xludf.DUMMYFUNCTION("IMPORTRANGE(""https://docs.google.com/spreadsheets/d/1hh-FVnSX0vozXhGluamEcS54Dw9_zqW0N7qJUWgJ0Sw/edit?usp=sharing"",""ชัยนาท!J451"")"),0)</f>
        <v>0</v>
      </c>
      <c r="BK57" s="152">
        <f ca="1">IFERROR(__xludf.DUMMYFUNCTION("IMPORTRANGE(""https://docs.google.com/spreadsheets/d/1hh-FVnSX0vozXhGluamEcS54Dw9_zqW0N7qJUWgJ0Sw/edit?usp=sharing"",""ชัยนาท!J452"")"),0)</f>
        <v>0</v>
      </c>
      <c r="BL57" s="152">
        <f ca="1">IFERROR(__xludf.DUMMYFUNCTION("IMPORTRANGE(""https://docs.google.com/spreadsheets/d/1hh-FVnSX0vozXhGluamEcS54Dw9_zqW0N7qJUWgJ0Sw/edit?usp=sharing"",""ชัยนาท!J453"")"),0)</f>
        <v>0</v>
      </c>
      <c r="BM57" s="152">
        <f ca="1">IFERROR(__xludf.DUMMYFUNCTION("IMPORTRANGE(""https://docs.google.com/spreadsheets/d/1hh-FVnSX0vozXhGluamEcS54Dw9_zqW0N7qJUWgJ0Sw/edit?usp=sharing"",""ชัยนาท!J454"")"),0)</f>
        <v>0</v>
      </c>
      <c r="BN57" s="152">
        <f ca="1">IFERROR(__xludf.DUMMYFUNCTION("IMPORTRANGE(""https://docs.google.com/spreadsheets/d/1hh-FVnSX0vozXhGluamEcS54Dw9_zqW0N7qJUWgJ0Sw/edit?usp=sharing"",""ชัยนาท!J455"")"),0)</f>
        <v>0</v>
      </c>
      <c r="BO57" s="152">
        <f ca="1">IFERROR(__xludf.DUMMYFUNCTION("IMPORTRANGE(""https://docs.google.com/spreadsheets/d/1hh-FVnSX0vozXhGluamEcS54Dw9_zqW0N7qJUWgJ0Sw/edit?usp=sharing"",""ชัยนาท!I457"")"),1117.35)</f>
        <v>1117.3499999999999</v>
      </c>
      <c r="BP57" s="152">
        <f ca="1">IFERROR(__xludf.DUMMYFUNCTION("IMPORTRANGE(""https://docs.google.com/spreadsheets/d/1hh-FVnSX0vozXhGluamEcS54Dw9_zqW0N7qJUWgJ0Sw/edit?usp=sharing"",""ชัยนาท!I458"")"),224)</f>
        <v>224</v>
      </c>
      <c r="BQ57" s="152">
        <f ca="1">IFERROR(__xludf.DUMMYFUNCTION("IMPORTRANGE(""https://docs.google.com/spreadsheets/d/1hh-FVnSX0vozXhGluamEcS54Dw9_zqW0N7qJUWgJ0Sw/edit?usp=sharing"",""ชัยนาท!J457"")"),4012)</f>
        <v>4012</v>
      </c>
      <c r="BR57" s="216">
        <f t="shared" ca="1" si="65"/>
        <v>359.06385644605541</v>
      </c>
      <c r="BS57" s="152">
        <f ca="1">IFERROR(__xludf.DUMMYFUNCTION("IMPORTRANGE(""https://docs.google.com/spreadsheets/d/1hh-FVnSX0vozXhGluamEcS54Dw9_zqW0N7qJUWgJ0Sw/edit?usp=sharing"",""ชัยนาท!J458"")"),245)</f>
        <v>245</v>
      </c>
      <c r="BT57" s="216">
        <f t="shared" ca="1" si="66"/>
        <v>109.375</v>
      </c>
      <c r="BU57" s="152">
        <f ca="1">IFERROR(__xludf.DUMMYFUNCTION("IMPORTRANGE(""https://docs.google.com/spreadsheets/d/1hh-FVnSX0vozXhGluamEcS54Dw9_zqW0N7qJUWgJ0Sw/edit?usp=sharing"",""ชัยนาท!J459"")"),4012)</f>
        <v>4012</v>
      </c>
      <c r="BV57" s="152">
        <f ca="1">IFERROR(__xludf.DUMMYFUNCTION("IMPORTRANGE(""https://docs.google.com/spreadsheets/d/1hh-FVnSX0vozXhGluamEcS54Dw9_zqW0N7qJUWgJ0Sw/edit?usp=sharing"",""ชัยนาท!J460"")"),245)</f>
        <v>245</v>
      </c>
      <c r="BW57" s="152">
        <f ca="1">IFERROR(__xludf.DUMMYFUNCTION("IMPORTRANGE(""https://docs.google.com/spreadsheets/d/1hh-FVnSX0vozXhGluamEcS54Dw9_zqW0N7qJUWgJ0Sw/edit?usp=sharing"",""ชัยนาท!J461"")"),4012)</f>
        <v>4012</v>
      </c>
      <c r="BX57" s="152">
        <f ca="1">IFERROR(__xludf.DUMMYFUNCTION("IMPORTRANGE(""https://docs.google.com/spreadsheets/d/1hh-FVnSX0vozXhGluamEcS54Dw9_zqW0N7qJUWgJ0Sw/edit?usp=sharing"",""ชัยนาท!J462"")"),245)</f>
        <v>245</v>
      </c>
      <c r="BY57" s="152">
        <f ca="1">IFERROR(__xludf.DUMMYFUNCTION("IMPORTRANGE(""https://docs.google.com/spreadsheets/d/1hh-FVnSX0vozXhGluamEcS54Dw9_zqW0N7qJUWgJ0Sw/edit?usp=sharing"",""ชัยนาท!J463"")"),0)</f>
        <v>0</v>
      </c>
      <c r="BZ57" s="152">
        <f ca="1">IFERROR(__xludf.DUMMYFUNCTION("IMPORTRANGE(""https://docs.google.com/spreadsheets/d/1hh-FVnSX0vozXhGluamEcS54Dw9_zqW0N7qJUWgJ0Sw/edit?usp=sharing"",""ชัยนาท!J464"")"),0)</f>
        <v>0</v>
      </c>
      <c r="CA57" s="152">
        <f ca="1">IFERROR(__xludf.DUMMYFUNCTION("IMPORTRANGE(""https://docs.google.com/spreadsheets/d/1hh-FVnSX0vozXhGluamEcS54Dw9_zqW0N7qJUWgJ0Sw/edit?usp=sharing"",""ชัยนาท!J465"")"),0)</f>
        <v>0</v>
      </c>
      <c r="CB57" s="152">
        <f ca="1">IFERROR(__xludf.DUMMYFUNCTION("IMPORTRANGE(""https://docs.google.com/spreadsheets/d/1hh-FVnSX0vozXhGluamEcS54Dw9_zqW0N7qJUWgJ0Sw/edit?usp=sharing"",""ชัยนาท!J466"")"),0)</f>
        <v>0</v>
      </c>
      <c r="CC57" s="152">
        <f ca="1">IFERROR(__xludf.DUMMYFUNCTION("IMPORTRANGE(""https://docs.google.com/spreadsheets/d/1hh-FVnSX0vozXhGluamEcS54Dw9_zqW0N7qJUWgJ0Sw/edit?usp=sharing"",""ชัยนาท!J467"")"),0)</f>
        <v>0</v>
      </c>
      <c r="CD57" s="152">
        <f ca="1">IFERROR(__xludf.DUMMYFUNCTION("IMPORTRANGE(""https://docs.google.com/spreadsheets/d/1hh-FVnSX0vozXhGluamEcS54Dw9_zqW0N7qJUWgJ0Sw/edit?usp=sharing"",""ชัยนาท!J468"")"),0)</f>
        <v>0</v>
      </c>
      <c r="CE57" s="152">
        <f ca="1">IFERROR(__xludf.DUMMYFUNCTION("IMPORTRANGE(""https://docs.google.com/spreadsheets/d/1hh-FVnSX0vozXhGluamEcS54Dw9_zqW0N7qJUWgJ0Sw/edit?usp=sharing"",""ชัยนาท!J469"")"),0)</f>
        <v>0</v>
      </c>
      <c r="CF57" s="152">
        <f ca="1">IFERROR(__xludf.DUMMYFUNCTION("IMPORTRANGE(""https://docs.google.com/spreadsheets/d/1hh-FVnSX0vozXhGluamEcS54Dw9_zqW0N7qJUWgJ0Sw/edit?usp=sharing"",""ชัยนาท!J470"")"),0)</f>
        <v>0</v>
      </c>
      <c r="CG57" s="152">
        <f ca="1">IFERROR(__xludf.DUMMYFUNCTION("IMPORTRANGE(""https://docs.google.com/spreadsheets/d/1hh-FVnSX0vozXhGluamEcS54Dw9_zqW0N7qJUWgJ0Sw/edit?usp=sharing"",""ชัยนาท!J471"")"),0)</f>
        <v>0</v>
      </c>
      <c r="CH57" s="152">
        <f ca="1">IFERROR(__xludf.DUMMYFUNCTION("IMPORTRANGE(""https://docs.google.com/spreadsheets/d/1hh-FVnSX0vozXhGluamEcS54Dw9_zqW0N7qJUWgJ0Sw/edit?usp=sharing"",""ชัยนาท!J472"")"),0)</f>
        <v>0</v>
      </c>
      <c r="CI57" s="152">
        <f ca="1">IFERROR(__xludf.DUMMYFUNCTION("IMPORTRANGE(""https://docs.google.com/spreadsheets/d/1hh-FVnSX0vozXhGluamEcS54Dw9_zqW0N7qJUWgJ0Sw/edit?usp=sharing"",""ชัยนาท!J473"")"),0)</f>
        <v>0</v>
      </c>
      <c r="CJ57" s="152">
        <f ca="1">IFERROR(__xludf.DUMMYFUNCTION("IMPORTRANGE(""https://docs.google.com/spreadsheets/d/1hh-FVnSX0vozXhGluamEcS54Dw9_zqW0N7qJUWgJ0Sw/edit?usp=sharing"",""ชัยนาท!J474"")"),0)</f>
        <v>0</v>
      </c>
      <c r="CK57" s="278">
        <f ca="1">IFERROR(__xludf.DUMMYFUNCTION("IMPORTRANGE(""https://docs.google.com/spreadsheets/d/1hh-FVnSX0vozXhGluamEcS54Dw9_zqW0N7qJUWgJ0Sw/edit?usp=sharing"",""ชัยนาท!I476"")"),0)</f>
        <v>0</v>
      </c>
      <c r="CL57" s="278">
        <f ca="1">IFERROR(__xludf.DUMMYFUNCTION("IMPORTRANGE(""https://docs.google.com/spreadsheets/d/1hh-FVnSX0vozXhGluamEcS54Dw9_zqW0N7qJUWgJ0Sw/edit?usp=sharing"",""ชัยนาท!I477"")"),0)</f>
        <v>0</v>
      </c>
      <c r="CM57" s="278">
        <f ca="1">IFERROR(__xludf.DUMMYFUNCTION("IMPORTRANGE(""https://docs.google.com/spreadsheets/d/1hh-FVnSX0vozXhGluamEcS54Dw9_zqW0N7qJUWgJ0Sw/edit?usp=sharing"",""ชัยนาท!J476"")"),0)</f>
        <v>0</v>
      </c>
      <c r="CN57" s="216">
        <f t="shared" ca="1" si="68"/>
        <v>0</v>
      </c>
      <c r="CO57" s="278">
        <f ca="1">IFERROR(__xludf.DUMMYFUNCTION("IMPORTRANGE(""https://docs.google.com/spreadsheets/d/1hh-FVnSX0vozXhGluamEcS54Dw9_zqW0N7qJUWgJ0Sw/edit?usp=sharing"",""ชัยนาท!J477"")"),0)</f>
        <v>0</v>
      </c>
      <c r="CP57" s="216">
        <f t="shared" ca="1" si="69"/>
        <v>0</v>
      </c>
      <c r="CQ57" s="278">
        <f ca="1">IFERROR(__xludf.DUMMYFUNCTION("IMPORTRANGE(""https://docs.google.com/spreadsheets/d/1hh-FVnSX0vozXhGluamEcS54Dw9_zqW0N7qJUWgJ0Sw/edit?usp=sharing"",""ชัยนาท!J478"")"),0)</f>
        <v>0</v>
      </c>
      <c r="CR57" s="278">
        <f ca="1">IFERROR(__xludf.DUMMYFUNCTION("IMPORTRANGE(""https://docs.google.com/spreadsheets/d/1hh-FVnSX0vozXhGluamEcS54Dw9_zqW0N7qJUWgJ0Sw/edit?usp=sharing"",""ชัยนาท!J479"")"),0)</f>
        <v>0</v>
      </c>
      <c r="CS57" s="278">
        <f ca="1">IFERROR(__xludf.DUMMYFUNCTION("IMPORTRANGE(""https://docs.google.com/spreadsheets/d/1hh-FVnSX0vozXhGluamEcS54Dw9_zqW0N7qJUWgJ0Sw/edit?usp=sharing"",""ชัยนาท!J480"")"),0)</f>
        <v>0</v>
      </c>
      <c r="CT57" s="278">
        <f ca="1">IFERROR(__xludf.DUMMYFUNCTION("IMPORTRANGE(""https://docs.google.com/spreadsheets/d/1hh-FVnSX0vozXhGluamEcS54Dw9_zqW0N7qJUWgJ0Sw/edit?usp=sharing"",""ชัยนาท!J481"")"),0)</f>
        <v>0</v>
      </c>
      <c r="CU57" s="278">
        <f ca="1">IFERROR(__xludf.DUMMYFUNCTION("IMPORTRANGE(""https://docs.google.com/spreadsheets/d/1hh-FVnSX0vozXhGluamEcS54Dw9_zqW0N7qJUWgJ0Sw/edit?usp=sharing"",""ชัยนาท!I484"")"),0)</f>
        <v>0</v>
      </c>
      <c r="CV57" s="278">
        <f ca="1">IFERROR(__xludf.DUMMYFUNCTION("IMPORTRANGE(""https://docs.google.com/spreadsheets/d/1hh-FVnSX0vozXhGluamEcS54Dw9_zqW0N7qJUWgJ0Sw/edit?usp=sharing"",""ชัยนาท!I485"")"),0)</f>
        <v>0</v>
      </c>
      <c r="CW57" s="278">
        <f ca="1">IFERROR(__xludf.DUMMYFUNCTION("IMPORTRANGE(""https://docs.google.com/spreadsheets/d/1hh-FVnSX0vozXhGluamEcS54Dw9_zqW0N7qJUWgJ0Sw/edit?usp=sharing"",""ชัยนาท!J484"")"),0)</f>
        <v>0</v>
      </c>
      <c r="CX57" s="216">
        <f t="shared" ca="1" si="71"/>
        <v>0</v>
      </c>
      <c r="CY57" s="278">
        <f ca="1">IFERROR(__xludf.DUMMYFUNCTION("IMPORTRANGE(""https://docs.google.com/spreadsheets/d/1hh-FVnSX0vozXhGluamEcS54Dw9_zqW0N7qJUWgJ0Sw/edit?usp=sharing"",""ชัยนาท!J485"")"),0)</f>
        <v>0</v>
      </c>
      <c r="CZ57" s="216">
        <f t="shared" ca="1" si="72"/>
        <v>0</v>
      </c>
      <c r="DA57" s="278">
        <f ca="1">IFERROR(__xludf.DUMMYFUNCTION("IMPORTRANGE(""https://docs.google.com/spreadsheets/d/1hh-FVnSX0vozXhGluamEcS54Dw9_zqW0N7qJUWgJ0Sw/edit?usp=sharing"",""ชัยนาท!J486"")"),0)</f>
        <v>0</v>
      </c>
      <c r="DB57" s="278">
        <f ca="1">IFERROR(__xludf.DUMMYFUNCTION("IMPORTRANGE(""https://docs.google.com/spreadsheets/d/1hh-FVnSX0vozXhGluamEcS54Dw9_zqW0N7qJUWgJ0Sw/edit?usp=sharing"",""ชัยนาท!J487"")"),0)</f>
        <v>0</v>
      </c>
      <c r="DC57" s="278">
        <f ca="1">IFERROR(__xludf.DUMMYFUNCTION("IMPORTRANGE(""https://docs.google.com/spreadsheets/d/1hh-FVnSX0vozXhGluamEcS54Dw9_zqW0N7qJUWgJ0Sw/edit?usp=sharing"",""ชัยนาท!J488"")"),0)</f>
        <v>0</v>
      </c>
      <c r="DD57" s="278">
        <f ca="1">IFERROR(__xludf.DUMMYFUNCTION("IMPORTRANGE(""https://docs.google.com/spreadsheets/d/1hh-FVnSX0vozXhGluamEcS54Dw9_zqW0N7qJUWgJ0Sw/edit?usp=sharing"",""ชัยนาท!J489"")"),0)</f>
        <v>0</v>
      </c>
      <c r="DE57" s="278">
        <f ca="1">IFERROR(__xludf.DUMMYFUNCTION("IMPORTRANGE(""https://docs.google.com/spreadsheets/d/1hh-FVnSX0vozXhGluamEcS54Dw9_zqW0N7qJUWgJ0Sw/edit?usp=sharing"",""ชัยนาท!J490"")"),0)</f>
        <v>0</v>
      </c>
      <c r="DF57" s="278">
        <f ca="1">IFERROR(__xludf.DUMMYFUNCTION("IMPORTRANGE(""https://docs.google.com/spreadsheets/d/1hh-FVnSX0vozXhGluamEcS54Dw9_zqW0N7qJUWgJ0Sw/edit?usp=sharing"",""ชัยนาท!J491"")"),0)</f>
        <v>0</v>
      </c>
    </row>
    <row r="58" spans="1:110" ht="19.5" x14ac:dyDescent="0.3">
      <c r="A58" s="147">
        <v>6</v>
      </c>
      <c r="B58" s="148" t="s">
        <v>86</v>
      </c>
      <c r="C58" s="566">
        <f t="shared" ca="1" si="44"/>
        <v>52840</v>
      </c>
      <c r="D58" s="567">
        <f t="shared" ca="1" si="94"/>
        <v>52840</v>
      </c>
      <c r="E58" s="329">
        <f ca="1">IFERROR(__xludf.DUMMYFUNCTION("IMPORTRANGE(""https://docs.google.com/spreadsheets/d/1-uDff_7J0KD5mKrp0Vvzr7lt3OU09vwQwhkpOPPYv2Y/edit?usp=sharing"",""งบพรบ!IP58"")"),0)</f>
        <v>0</v>
      </c>
      <c r="F58" s="329">
        <f ca="1">IFERROR(__xludf.DUMMYFUNCTION("IMPORTRANGE(""https://docs.google.com/spreadsheets/d/1-uDff_7J0KD5mKrp0Vvzr7lt3OU09vwQwhkpOPPYv2Y/edit?usp=sharing"",""งบพรบ!IQ58"")"),52840)</f>
        <v>52840</v>
      </c>
      <c r="G58" s="329">
        <f ca="1">IFERROR(__xludf.DUMMYFUNCTION("IMPORTRANGE(""https://docs.google.com/spreadsheets/d/1-uDff_7J0KD5mKrp0Vvzr7lt3OU09vwQwhkpOPPYv2Y/edit?usp=sharing"",""งบพรบ!IR58"")"),0)</f>
        <v>0</v>
      </c>
      <c r="H58" s="329">
        <f ca="1">IFERROR(__xludf.DUMMYFUNCTION("IMPORTRANGE(""https://docs.google.com/spreadsheets/d/1-uDff_7J0KD5mKrp0Vvzr7lt3OU09vwQwhkpOPPYv2Y/edit?usp=sharing"",""งบพรบ!IT58"")"),472840)</f>
        <v>472840</v>
      </c>
      <c r="I58" s="329">
        <f ca="1">IFERROR(__xludf.DUMMYFUNCTION("IMPORTRANGE(""https://docs.google.com/spreadsheets/d/1-uDff_7J0KD5mKrp0Vvzr7lt3OU09vwQwhkpOPPYv2Y/edit?usp=sharing"",""งบพรบ!IU58"")"),0)</f>
        <v>0</v>
      </c>
      <c r="J58" s="329">
        <f t="shared" ca="1" si="46"/>
        <v>421860</v>
      </c>
      <c r="K58" s="568">
        <f t="shared" ca="1" si="47"/>
        <v>798.37244511733536</v>
      </c>
      <c r="L58" s="329">
        <f ca="1">IFERROR(__xludf.DUMMYFUNCTION("IMPORTRANGE(""https://docs.google.com/spreadsheets/d/1-uDff_7J0KD5mKrp0Vvzr7lt3OU09vwQwhkpOPPYv2Y/edit?usp=sharing"",""งบพรบ!IV58"")"),421860)</f>
        <v>421860</v>
      </c>
      <c r="M58" s="330">
        <f t="shared" ca="1" si="48"/>
        <v>798.37244511733536</v>
      </c>
      <c r="N58" s="330">
        <f t="shared" ca="1" si="49"/>
        <v>89.2183402419423</v>
      </c>
      <c r="O58" s="569">
        <f ca="1">IFERROR(__xludf.DUMMYFUNCTION("IMPORTRANGE(""https://docs.google.com/spreadsheets/d/1-uDff_7J0KD5mKrp0Vvzr7lt3OU09vwQwhkpOPPYv2Y/edit?usp=sharing"",""งบพรบ!IW58"")"),0)</f>
        <v>0</v>
      </c>
      <c r="P58" s="569">
        <f t="shared" ca="1" si="50"/>
        <v>0</v>
      </c>
      <c r="Q58" s="330">
        <f t="shared" ca="1" si="51"/>
        <v>0</v>
      </c>
      <c r="R58" s="564">
        <f ca="1">IFERROR(__xludf.DUMMYFUNCTION("IMPORTRANGE(""https://docs.google.com/spreadsheets/d/1jkqa6GXxSacMcY1eN8AHjMNJ_7dDXMJVRLDlaFSOdPM/edit?usp=sharing"",""ตราด!Q413"")"),16250)</f>
        <v>16250</v>
      </c>
      <c r="S58" s="564">
        <f ca="1">IFERROR(__xludf.DUMMYFUNCTION("IMPORTRANGE(""https://docs.google.com/spreadsheets/d/1jkqa6GXxSacMcY1eN8AHjMNJ_7dDXMJVRLDlaFSOdPM/edit?usp=sharing"",""ตราด!R413"")"),16250)</f>
        <v>16250</v>
      </c>
      <c r="T58" s="564">
        <f ca="1">IFERROR(__xludf.DUMMYFUNCTION("IMPORTRANGE(""https://docs.google.com/spreadsheets/d/1jkqa6GXxSacMcY1eN8AHjMNJ_7dDXMJVRLDlaFSOdPM/edit?usp=sharing"",""ตราด!S413"")"),0)</f>
        <v>0</v>
      </c>
      <c r="U58" s="565">
        <f t="shared" ca="1" si="53"/>
        <v>0</v>
      </c>
      <c r="V58" s="565">
        <f t="shared" ca="1" si="54"/>
        <v>0</v>
      </c>
      <c r="W58" s="152">
        <f ca="1">IFERROR(__xludf.DUMMYFUNCTION("IMPORTRANGE(""https://docs.google.com/spreadsheets/d/1jkqa6GXxSacMcY1eN8AHjMNJ_7dDXMJVRLDlaFSOdPM/edit?usp=sharing"",""ตราด!I424"")"),0)</f>
        <v>0</v>
      </c>
      <c r="X58" s="152">
        <f ca="1">IFERROR(__xludf.DUMMYFUNCTION("IMPORTRANGE(""https://docs.google.com/spreadsheets/d/1jkqa6GXxSacMcY1eN8AHjMNJ_7dDXMJVRLDlaFSOdPM/edit?usp=sharing"",""ตราด!I425"")"),0)</f>
        <v>0</v>
      </c>
      <c r="Y58" s="152">
        <f ca="1">IFERROR(__xludf.DUMMYFUNCTION("IMPORTRANGE(""https://docs.google.com/spreadsheets/d/1jkqa6GXxSacMcY1eN8AHjMNJ_7dDXMJVRLDlaFSOdPM/edit?usp=sharing"",""ตราด!J424"")"),0)</f>
        <v>0</v>
      </c>
      <c r="Z58" s="216">
        <f t="shared" ca="1" si="56"/>
        <v>0</v>
      </c>
      <c r="AA58" s="152">
        <f ca="1">IFERROR(__xludf.DUMMYFUNCTION("IMPORTRANGE(""https://docs.google.com/spreadsheets/d/1jkqa6GXxSacMcY1eN8AHjMNJ_7dDXMJVRLDlaFSOdPM/edit?usp=sharing"",""ตราด!J425"")"),0)</f>
        <v>0</v>
      </c>
      <c r="AB58" s="216">
        <f t="shared" ca="1" si="57"/>
        <v>0</v>
      </c>
      <c r="AC58" s="152">
        <f ca="1">IFERROR(__xludf.DUMMYFUNCTION("IMPORTRANGE(""https://docs.google.com/spreadsheets/d/1jkqa6GXxSacMcY1eN8AHjMNJ_7dDXMJVRLDlaFSOdPM/edit?usp=sharing"",""ตราด!J426"")"),0)</f>
        <v>0</v>
      </c>
      <c r="AD58" s="152">
        <f ca="1">IFERROR(__xludf.DUMMYFUNCTION("IMPORTRANGE(""https://docs.google.com/spreadsheets/d/1jkqa6GXxSacMcY1eN8AHjMNJ_7dDXMJVRLDlaFSOdPM/edit?usp=sharing"",""ตราด!J427"")"),0)</f>
        <v>0</v>
      </c>
      <c r="AE58" s="152">
        <f ca="1">IFERROR(__xludf.DUMMYFUNCTION("IMPORTRANGE(""https://docs.google.com/spreadsheets/d/1jkqa6GXxSacMcY1eN8AHjMNJ_7dDXMJVRLDlaFSOdPM/edit?usp=sharing"",""ตราด!J428"")"),0)</f>
        <v>0</v>
      </c>
      <c r="AF58" s="152">
        <f ca="1">IFERROR(__xludf.DUMMYFUNCTION("IMPORTRANGE(""https://docs.google.com/spreadsheets/d/1jkqa6GXxSacMcY1eN8AHjMNJ_7dDXMJVRLDlaFSOdPM/edit?usp=sharing"",""ตราด!J429"")"),0)</f>
        <v>0</v>
      </c>
      <c r="AG58" s="152">
        <f ca="1">IFERROR(__xludf.DUMMYFUNCTION("IMPORTRANGE(""https://docs.google.com/spreadsheets/d/1jkqa6GXxSacMcY1eN8AHjMNJ_7dDXMJVRLDlaFSOdPM/edit?usp=sharing"",""ตราด!J430"")"),0)</f>
        <v>0</v>
      </c>
      <c r="AH58" s="152">
        <f ca="1">IFERROR(__xludf.DUMMYFUNCTION("IMPORTRANGE(""https://docs.google.com/spreadsheets/d/1jkqa6GXxSacMcY1eN8AHjMNJ_7dDXMJVRLDlaFSOdPM/edit?usp=sharing"",""ตราด!J431"")"),0)</f>
        <v>0</v>
      </c>
      <c r="AI58" s="152">
        <f ca="1">IFERROR(__xludf.DUMMYFUNCTION("IMPORTRANGE(""https://docs.google.com/spreadsheets/d/1jkqa6GXxSacMcY1eN8AHjMNJ_7dDXMJVRLDlaFSOdPM/edit?usp=sharing"",""ตราด!I432"")"),0)</f>
        <v>0</v>
      </c>
      <c r="AJ58" s="152">
        <f ca="1">IFERROR(__xludf.DUMMYFUNCTION("IMPORTRANGE(""https://docs.google.com/spreadsheets/d/1jkqa6GXxSacMcY1eN8AHjMNJ_7dDXMJVRLDlaFSOdPM/edit?usp=sharing"",""ตราด!I433"")"),0)</f>
        <v>0</v>
      </c>
      <c r="AK58" s="216">
        <f ca="1">IFERROR(__xludf.DUMMYFUNCTION("IMPORTRANGE(""https://docs.google.com/spreadsheets/d/1jkqa6GXxSacMcY1eN8AHjMNJ_7dDXMJVRLDlaFSOdPM/edit?usp=sharing"",""ตราด!J432"")"),0)</f>
        <v>0</v>
      </c>
      <c r="AL58" s="216">
        <f t="shared" ca="1" si="59"/>
        <v>0</v>
      </c>
      <c r="AM58" s="152">
        <f ca="1">IFERROR(__xludf.DUMMYFUNCTION("IMPORTRANGE(""https://docs.google.com/spreadsheets/d/1jkqa6GXxSacMcY1eN8AHjMNJ_7dDXMJVRLDlaFSOdPM/edit?usp=sharing"",""ตราด!J433"")"),0)</f>
        <v>0</v>
      </c>
      <c r="AN58" s="216">
        <f t="shared" ca="1" si="60"/>
        <v>0</v>
      </c>
      <c r="AO58" s="152">
        <f ca="1">IFERROR(__xludf.DUMMYFUNCTION("IMPORTRANGE(""https://docs.google.com/spreadsheets/d/1jkqa6GXxSacMcY1eN8AHjMNJ_7dDXMJVRLDlaFSOdPM/edit?usp=sharing"",""ตราด!J434"")"),0)</f>
        <v>0</v>
      </c>
      <c r="AP58" s="152">
        <f ca="1">IFERROR(__xludf.DUMMYFUNCTION("IMPORTRANGE(""https://docs.google.com/spreadsheets/d/1jkqa6GXxSacMcY1eN8AHjMNJ_7dDXMJVRLDlaFSOdPM/edit?usp=sharing"",""ตราด!J435"")"),0)</f>
        <v>0</v>
      </c>
      <c r="AQ58" s="152">
        <f ca="1">IFERROR(__xludf.DUMMYFUNCTION("IMPORTRANGE(""https://docs.google.com/spreadsheets/d/1jkqa6GXxSacMcY1eN8AHjMNJ_7dDXMJVRLDlaFSOdPM/edit?usp=sharing"",""ตราด!J436"")"),0)</f>
        <v>0</v>
      </c>
      <c r="AR58" s="152">
        <f ca="1">IFERROR(__xludf.DUMMYFUNCTION("IMPORTRANGE(""https://docs.google.com/spreadsheets/d/1jkqa6GXxSacMcY1eN8AHjMNJ_7dDXMJVRLDlaFSOdPM/edit?usp=sharing"",""ตราด!J437"")"),0)</f>
        <v>0</v>
      </c>
      <c r="AS58" s="152">
        <f ca="1">IFERROR(__xludf.DUMMYFUNCTION("IMPORTRANGE(""https://docs.google.com/spreadsheets/d/1jkqa6GXxSacMcY1eN8AHjMNJ_7dDXMJVRLDlaFSOdPM/edit?usp=sharing"",""ตราด!J438"")"),0)</f>
        <v>0</v>
      </c>
      <c r="AT58" s="152">
        <f ca="1">IFERROR(__xludf.DUMMYFUNCTION("IMPORTRANGE(""https://docs.google.com/spreadsheets/d/1jkqa6GXxSacMcY1eN8AHjMNJ_7dDXMJVRLDlaFSOdPM/edit?usp=sharing"",""ตราด!J439"")"),0)</f>
        <v>0</v>
      </c>
      <c r="AU58" s="152">
        <f ca="1">IFERROR(__xludf.DUMMYFUNCTION("IMPORTRANGE(""https://docs.google.com/spreadsheets/d/1jkqa6GXxSacMcY1eN8AHjMNJ_7dDXMJVRLDlaFSOdPM/edit?usp=sharing"",""ตราด!I440"")"),0)</f>
        <v>0</v>
      </c>
      <c r="AV58" s="152">
        <f ca="1">IFERROR(__xludf.DUMMYFUNCTION("IMPORTRANGE(""https://docs.google.com/spreadsheets/d/1jkqa6GXxSacMcY1eN8AHjMNJ_7dDXMJVRLDlaFSOdPM/edit?usp=sharing"",""ตราด!I441"")"),0)</f>
        <v>0</v>
      </c>
      <c r="AW58" s="152">
        <f ca="1">IFERROR(__xludf.DUMMYFUNCTION("IMPORTRANGE(""https://docs.google.com/spreadsheets/d/1jkqa6GXxSacMcY1eN8AHjMNJ_7dDXMJVRLDlaFSOdPM/edit?usp=sharing"",""ตราด!J440"")"),0)</f>
        <v>0</v>
      </c>
      <c r="AX58" s="216">
        <f t="shared" ca="1" si="62"/>
        <v>0</v>
      </c>
      <c r="AY58" s="152">
        <f ca="1">IFERROR(__xludf.DUMMYFUNCTION("IMPORTRANGE(""https://docs.google.com/spreadsheets/d/1jkqa6GXxSacMcY1eN8AHjMNJ_7dDXMJVRLDlaFSOdPM/edit?usp=sharing"",""ตราด!J441"")"),0)</f>
        <v>0</v>
      </c>
      <c r="AZ58" s="216">
        <f t="shared" ca="1" si="63"/>
        <v>0</v>
      </c>
      <c r="BA58" s="152">
        <f ca="1">IFERROR(__xludf.DUMMYFUNCTION("IMPORTRANGE(""https://docs.google.com/spreadsheets/d/1jkqa6GXxSacMcY1eN8AHjMNJ_7dDXMJVRLDlaFSOdPM/edit?usp=sharing"",""ตราด!J442"")"),0)</f>
        <v>0</v>
      </c>
      <c r="BB58" s="152">
        <f ca="1">IFERROR(__xludf.DUMMYFUNCTION("IMPORTRANGE(""https://docs.google.com/spreadsheets/d/1jkqa6GXxSacMcY1eN8AHjMNJ_7dDXMJVRLDlaFSOdPM/edit?usp=sharing"",""ตราด!J443"")"),0)</f>
        <v>0</v>
      </c>
      <c r="BC58" s="152">
        <f ca="1">IFERROR(__xludf.DUMMYFUNCTION("IMPORTRANGE(""https://docs.google.com/spreadsheets/d/1jkqa6GXxSacMcY1eN8AHjMNJ_7dDXMJVRLDlaFSOdPM/edit?usp=sharing"",""ตราด!J444"")"),0)</f>
        <v>0</v>
      </c>
      <c r="BD58" s="152">
        <f ca="1">IFERROR(__xludf.DUMMYFUNCTION("IMPORTRANGE(""https://docs.google.com/spreadsheets/d/1jkqa6GXxSacMcY1eN8AHjMNJ_7dDXMJVRLDlaFSOdPM/edit?usp=sharing"",""ตราด!J445"")"),0)</f>
        <v>0</v>
      </c>
      <c r="BE58" s="152">
        <f ca="1">IFERROR(__xludf.DUMMYFUNCTION("IMPORTRANGE(""https://docs.google.com/spreadsheets/d/1jkqa6GXxSacMcY1eN8AHjMNJ_7dDXMJVRLDlaFSOdPM/edit?usp=sharing"",""ตราด!J446"")"),0)</f>
        <v>0</v>
      </c>
      <c r="BF58" s="152">
        <f ca="1">IFERROR(__xludf.DUMMYFUNCTION("IMPORTRANGE(""https://docs.google.com/spreadsheets/d/1jkqa6GXxSacMcY1eN8AHjMNJ_7dDXMJVRLDlaFSOdPM/edit?usp=sharing"",""ตราด!J447"")"),0)</f>
        <v>0</v>
      </c>
      <c r="BG58" s="152">
        <f ca="1">IFERROR(__xludf.DUMMYFUNCTION("IMPORTRANGE(""https://docs.google.com/spreadsheets/d/1jkqa6GXxSacMcY1eN8AHjMNJ_7dDXMJVRLDlaFSOdPM/edit?usp=sharing"",""ตราด!J448"")"),0)</f>
        <v>0</v>
      </c>
      <c r="BH58" s="152">
        <f ca="1">IFERROR(__xludf.DUMMYFUNCTION("IMPORTRANGE(""https://docs.google.com/spreadsheets/d/1jkqa6GXxSacMcY1eN8AHjMNJ_7dDXMJVRLDlaFSOdPM/edit?usp=sharing"",""ตราด!J449"")"),0)</f>
        <v>0</v>
      </c>
      <c r="BI58" s="152">
        <f ca="1">IFERROR(__xludf.DUMMYFUNCTION("IMPORTRANGE(""https://docs.google.com/spreadsheets/d/1jkqa6GXxSacMcY1eN8AHjMNJ_7dDXMJVRLDlaFSOdPM/edit?usp=sharing"",""ตราด!J450"")"),0)</f>
        <v>0</v>
      </c>
      <c r="BJ58" s="152">
        <f ca="1">IFERROR(__xludf.DUMMYFUNCTION("IMPORTRANGE(""https://docs.google.com/spreadsheets/d/1jkqa6GXxSacMcY1eN8AHjMNJ_7dDXMJVRLDlaFSOdPM/edit?usp=sharing"",""ตราด!J451"")"),0)</f>
        <v>0</v>
      </c>
      <c r="BK58" s="152">
        <f ca="1">IFERROR(__xludf.DUMMYFUNCTION("IMPORTRANGE(""https://docs.google.com/spreadsheets/d/1jkqa6GXxSacMcY1eN8AHjMNJ_7dDXMJVRLDlaFSOdPM/edit?usp=sharing"",""ตราด!J452"")"),0)</f>
        <v>0</v>
      </c>
      <c r="BL58" s="152">
        <f ca="1">IFERROR(__xludf.DUMMYFUNCTION("IMPORTRANGE(""https://docs.google.com/spreadsheets/d/1jkqa6GXxSacMcY1eN8AHjMNJ_7dDXMJVRLDlaFSOdPM/edit?usp=sharing"",""ตราด!J453"")"),0)</f>
        <v>0</v>
      </c>
      <c r="BM58" s="152">
        <f ca="1">IFERROR(__xludf.DUMMYFUNCTION("IMPORTRANGE(""https://docs.google.com/spreadsheets/d/1jkqa6GXxSacMcY1eN8AHjMNJ_7dDXMJVRLDlaFSOdPM/edit?usp=sharing"",""ตราด!J454"")"),0)</f>
        <v>0</v>
      </c>
      <c r="BN58" s="152">
        <f ca="1">IFERROR(__xludf.DUMMYFUNCTION("IMPORTRANGE(""https://docs.google.com/spreadsheets/d/1jkqa6GXxSacMcY1eN8AHjMNJ_7dDXMJVRLDlaFSOdPM/edit?usp=sharing"",""ตราด!J455"")"),0)</f>
        <v>0</v>
      </c>
      <c r="BO58" s="152">
        <f ca="1">IFERROR(__xludf.DUMMYFUNCTION("IMPORTRANGE(""https://docs.google.com/spreadsheets/d/1jkqa6GXxSacMcY1eN8AHjMNJ_7dDXMJVRLDlaFSOdPM/edit?usp=sharing"",""ตราด!I457"")"),3205.97)</f>
        <v>3205.97</v>
      </c>
      <c r="BP58" s="152">
        <f ca="1">IFERROR(__xludf.DUMMYFUNCTION("IMPORTRANGE(""https://docs.google.com/spreadsheets/d/1jkqa6GXxSacMcY1eN8AHjMNJ_7dDXMJVRLDlaFSOdPM/edit?usp=sharing"",""ตราด!I458"")"),174)</f>
        <v>174</v>
      </c>
      <c r="BQ58" s="152">
        <f ca="1">IFERROR(__xludf.DUMMYFUNCTION("IMPORTRANGE(""https://docs.google.com/spreadsheets/d/1jkqa6GXxSacMcY1eN8AHjMNJ_7dDXMJVRLDlaFSOdPM/edit?usp=sharing"",""ตราด!J457"")"),0)</f>
        <v>0</v>
      </c>
      <c r="BR58" s="216">
        <f t="shared" ca="1" si="65"/>
        <v>0</v>
      </c>
      <c r="BS58" s="152">
        <f ca="1">IFERROR(__xludf.DUMMYFUNCTION("IMPORTRANGE(""https://docs.google.com/spreadsheets/d/1jkqa6GXxSacMcY1eN8AHjMNJ_7dDXMJVRLDlaFSOdPM/edit?usp=sharing"",""ตราด!J458"")"),0)</f>
        <v>0</v>
      </c>
      <c r="BT58" s="216">
        <f t="shared" ca="1" si="66"/>
        <v>0</v>
      </c>
      <c r="BU58" s="152">
        <f ca="1">IFERROR(__xludf.DUMMYFUNCTION("IMPORTRANGE(""https://docs.google.com/spreadsheets/d/1jkqa6GXxSacMcY1eN8AHjMNJ_7dDXMJVRLDlaFSOdPM/edit?usp=sharing"",""ตราด!J459"")"),0)</f>
        <v>0</v>
      </c>
      <c r="BV58" s="152">
        <f ca="1">IFERROR(__xludf.DUMMYFUNCTION("IMPORTRANGE(""https://docs.google.com/spreadsheets/d/1jkqa6GXxSacMcY1eN8AHjMNJ_7dDXMJVRLDlaFSOdPM/edit?usp=sharing"",""ตราด!J460"")"),0)</f>
        <v>0</v>
      </c>
      <c r="BW58" s="152">
        <f ca="1">IFERROR(__xludf.DUMMYFUNCTION("IMPORTRANGE(""https://docs.google.com/spreadsheets/d/1jkqa6GXxSacMcY1eN8AHjMNJ_7dDXMJVRLDlaFSOdPM/edit?usp=sharing"",""ตราด!J461"")"),0)</f>
        <v>0</v>
      </c>
      <c r="BX58" s="152">
        <f ca="1">IFERROR(__xludf.DUMMYFUNCTION("IMPORTRANGE(""https://docs.google.com/spreadsheets/d/1jkqa6GXxSacMcY1eN8AHjMNJ_7dDXMJVRLDlaFSOdPM/edit?usp=sharing"",""ตราด!J462"")"),0)</f>
        <v>0</v>
      </c>
      <c r="BY58" s="152">
        <f ca="1">IFERROR(__xludf.DUMMYFUNCTION("IMPORTRANGE(""https://docs.google.com/spreadsheets/d/1jkqa6GXxSacMcY1eN8AHjMNJ_7dDXMJVRLDlaFSOdPM/edit?usp=sharing"",""ตราด!J463"")"),0)</f>
        <v>0</v>
      </c>
      <c r="BZ58" s="152">
        <f ca="1">IFERROR(__xludf.DUMMYFUNCTION("IMPORTRANGE(""https://docs.google.com/spreadsheets/d/1jkqa6GXxSacMcY1eN8AHjMNJ_7dDXMJVRLDlaFSOdPM/edit?usp=sharing"",""ตราด!J464"")"),0)</f>
        <v>0</v>
      </c>
      <c r="CA58" s="152">
        <f ca="1">IFERROR(__xludf.DUMMYFUNCTION("IMPORTRANGE(""https://docs.google.com/spreadsheets/d/1jkqa6GXxSacMcY1eN8AHjMNJ_7dDXMJVRLDlaFSOdPM/edit?usp=sharing"",""ตราด!J465"")"),0)</f>
        <v>0</v>
      </c>
      <c r="CB58" s="152">
        <f ca="1">IFERROR(__xludf.DUMMYFUNCTION("IMPORTRANGE(""https://docs.google.com/spreadsheets/d/1jkqa6GXxSacMcY1eN8AHjMNJ_7dDXMJVRLDlaFSOdPM/edit?usp=sharing"",""ตราด!J466"")"),0)</f>
        <v>0</v>
      </c>
      <c r="CC58" s="152">
        <f ca="1">IFERROR(__xludf.DUMMYFUNCTION("IMPORTRANGE(""https://docs.google.com/spreadsheets/d/1jkqa6GXxSacMcY1eN8AHjMNJ_7dDXMJVRLDlaFSOdPM/edit?usp=sharing"",""ตราด!J467"")"),0)</f>
        <v>0</v>
      </c>
      <c r="CD58" s="152">
        <f ca="1">IFERROR(__xludf.DUMMYFUNCTION("IMPORTRANGE(""https://docs.google.com/spreadsheets/d/1jkqa6GXxSacMcY1eN8AHjMNJ_7dDXMJVRLDlaFSOdPM/edit?usp=sharing"",""ตราด!J468"")"),0)</f>
        <v>0</v>
      </c>
      <c r="CE58" s="152">
        <f ca="1">IFERROR(__xludf.DUMMYFUNCTION("IMPORTRANGE(""https://docs.google.com/spreadsheets/d/1jkqa6GXxSacMcY1eN8AHjMNJ_7dDXMJVRLDlaFSOdPM/edit?usp=sharing"",""ตราด!J469"")"),0)</f>
        <v>0</v>
      </c>
      <c r="CF58" s="152">
        <f ca="1">IFERROR(__xludf.DUMMYFUNCTION("IMPORTRANGE(""https://docs.google.com/spreadsheets/d/1jkqa6GXxSacMcY1eN8AHjMNJ_7dDXMJVRLDlaFSOdPM/edit?usp=sharing"",""ตราด!J470"")"),0)</f>
        <v>0</v>
      </c>
      <c r="CG58" s="152">
        <f ca="1">IFERROR(__xludf.DUMMYFUNCTION("IMPORTRANGE(""https://docs.google.com/spreadsheets/d/1jkqa6GXxSacMcY1eN8AHjMNJ_7dDXMJVRLDlaFSOdPM/edit?usp=sharing"",""ตราด!J471"")"),0)</f>
        <v>0</v>
      </c>
      <c r="CH58" s="152">
        <f ca="1">IFERROR(__xludf.DUMMYFUNCTION("IMPORTRANGE(""https://docs.google.com/spreadsheets/d/1jkqa6GXxSacMcY1eN8AHjMNJ_7dDXMJVRLDlaFSOdPM/edit?usp=sharing"",""ตราด!J472"")"),0)</f>
        <v>0</v>
      </c>
      <c r="CI58" s="152">
        <f ca="1">IFERROR(__xludf.DUMMYFUNCTION("IMPORTRANGE(""https://docs.google.com/spreadsheets/d/1jkqa6GXxSacMcY1eN8AHjMNJ_7dDXMJVRLDlaFSOdPM/edit?usp=sharing"",""ตราด!J473"")"),0)</f>
        <v>0</v>
      </c>
      <c r="CJ58" s="152">
        <f ca="1">IFERROR(__xludf.DUMMYFUNCTION("IMPORTRANGE(""https://docs.google.com/spreadsheets/d/1jkqa6GXxSacMcY1eN8AHjMNJ_7dDXMJVRLDlaFSOdPM/edit?usp=sharing"",""ตราด!J474"")"),0)</f>
        <v>0</v>
      </c>
      <c r="CK58" s="278">
        <f ca="1">IFERROR(__xludf.DUMMYFUNCTION("IMPORTRANGE(""https://docs.google.com/spreadsheets/d/1jkqa6GXxSacMcY1eN8AHjMNJ_7dDXMJVRLDlaFSOdPM/edit?usp=sharing"",""ตราด!I476"")"),0)</f>
        <v>0</v>
      </c>
      <c r="CL58" s="278">
        <f ca="1">IFERROR(__xludf.DUMMYFUNCTION("IMPORTRANGE(""https://docs.google.com/spreadsheets/d/1jkqa6GXxSacMcY1eN8AHjMNJ_7dDXMJVRLDlaFSOdPM/edit?usp=sharing"",""ตราด!I477"")"),0)</f>
        <v>0</v>
      </c>
      <c r="CM58" s="278">
        <f ca="1">IFERROR(__xludf.DUMMYFUNCTION("IMPORTRANGE(""https://docs.google.com/spreadsheets/d/1jkqa6GXxSacMcY1eN8AHjMNJ_7dDXMJVRLDlaFSOdPM/edit?usp=sharing"",""ตราด!J476"")"),0)</f>
        <v>0</v>
      </c>
      <c r="CN58" s="216">
        <f t="shared" ca="1" si="68"/>
        <v>0</v>
      </c>
      <c r="CO58" s="278">
        <f ca="1">IFERROR(__xludf.DUMMYFUNCTION("IMPORTRANGE(""https://docs.google.com/spreadsheets/d/1jkqa6GXxSacMcY1eN8AHjMNJ_7dDXMJVRLDlaFSOdPM/edit?usp=sharing"",""ตราด!J477"")"),0)</f>
        <v>0</v>
      </c>
      <c r="CP58" s="216">
        <f t="shared" ca="1" si="69"/>
        <v>0</v>
      </c>
      <c r="CQ58" s="278">
        <f ca="1">IFERROR(__xludf.DUMMYFUNCTION("IMPORTRANGE(""https://docs.google.com/spreadsheets/d/1jkqa6GXxSacMcY1eN8AHjMNJ_7dDXMJVRLDlaFSOdPM/edit?usp=sharing"",""ตราด!J478"")"),0)</f>
        <v>0</v>
      </c>
      <c r="CR58" s="278">
        <f ca="1">IFERROR(__xludf.DUMMYFUNCTION("IMPORTRANGE(""https://docs.google.com/spreadsheets/d/1jkqa6GXxSacMcY1eN8AHjMNJ_7dDXMJVRLDlaFSOdPM/edit?usp=sharing"",""ตราด!J479"")"),0)</f>
        <v>0</v>
      </c>
      <c r="CS58" s="278">
        <f ca="1">IFERROR(__xludf.DUMMYFUNCTION("IMPORTRANGE(""https://docs.google.com/spreadsheets/d/1jkqa6GXxSacMcY1eN8AHjMNJ_7dDXMJVRLDlaFSOdPM/edit?usp=sharing"",""ตราด!J480"")"),0)</f>
        <v>0</v>
      </c>
      <c r="CT58" s="278">
        <f ca="1">IFERROR(__xludf.DUMMYFUNCTION("IMPORTRANGE(""https://docs.google.com/spreadsheets/d/1jkqa6GXxSacMcY1eN8AHjMNJ_7dDXMJVRLDlaFSOdPM/edit?usp=sharing"",""ตราด!J481"")"),0)</f>
        <v>0</v>
      </c>
      <c r="CU58" s="278">
        <f ca="1">IFERROR(__xludf.DUMMYFUNCTION("IMPORTRANGE(""https://docs.google.com/spreadsheets/d/1jkqa6GXxSacMcY1eN8AHjMNJ_7dDXMJVRLDlaFSOdPM/edit?usp=sharing"",""ตราด!I484"")"),0)</f>
        <v>0</v>
      </c>
      <c r="CV58" s="278">
        <f ca="1">IFERROR(__xludf.DUMMYFUNCTION("IMPORTRANGE(""https://docs.google.com/spreadsheets/d/1jkqa6GXxSacMcY1eN8AHjMNJ_7dDXMJVRLDlaFSOdPM/edit?usp=sharing"",""ตราด!I485"")"),0)</f>
        <v>0</v>
      </c>
      <c r="CW58" s="278">
        <f ca="1">IFERROR(__xludf.DUMMYFUNCTION("IMPORTRANGE(""https://docs.google.com/spreadsheets/d/1jkqa6GXxSacMcY1eN8AHjMNJ_7dDXMJVRLDlaFSOdPM/edit?usp=sharing"",""ตราด!J484"")"),0)</f>
        <v>0</v>
      </c>
      <c r="CX58" s="216">
        <f t="shared" ca="1" si="71"/>
        <v>0</v>
      </c>
      <c r="CY58" s="278">
        <f ca="1">IFERROR(__xludf.DUMMYFUNCTION("IMPORTRANGE(""https://docs.google.com/spreadsheets/d/1jkqa6GXxSacMcY1eN8AHjMNJ_7dDXMJVRLDlaFSOdPM/edit?usp=sharing"",""ตราด!J485"")"),0)</f>
        <v>0</v>
      </c>
      <c r="CZ58" s="216">
        <f t="shared" ca="1" si="72"/>
        <v>0</v>
      </c>
      <c r="DA58" s="278">
        <f ca="1">IFERROR(__xludf.DUMMYFUNCTION("IMPORTRANGE(""https://docs.google.com/spreadsheets/d/1jkqa6GXxSacMcY1eN8AHjMNJ_7dDXMJVRLDlaFSOdPM/edit?usp=sharing"",""ตราด!J486"")"),0)</f>
        <v>0</v>
      </c>
      <c r="DB58" s="278">
        <f ca="1">IFERROR(__xludf.DUMMYFUNCTION("IMPORTRANGE(""https://docs.google.com/spreadsheets/d/1jkqa6GXxSacMcY1eN8AHjMNJ_7dDXMJVRLDlaFSOdPM/edit?usp=sharing"",""ตราด!J487"")"),0)</f>
        <v>0</v>
      </c>
      <c r="DC58" s="278">
        <f ca="1">IFERROR(__xludf.DUMMYFUNCTION("IMPORTRANGE(""https://docs.google.com/spreadsheets/d/1jkqa6GXxSacMcY1eN8AHjMNJ_7dDXMJVRLDlaFSOdPM/edit?usp=sharing"",""ตราด!J488"")"),0)</f>
        <v>0</v>
      </c>
      <c r="DD58" s="278">
        <f ca="1">IFERROR(__xludf.DUMMYFUNCTION("IMPORTRANGE(""https://docs.google.com/spreadsheets/d/1jkqa6GXxSacMcY1eN8AHjMNJ_7dDXMJVRLDlaFSOdPM/edit?usp=sharing"",""ตราด!J489"")"),0)</f>
        <v>0</v>
      </c>
      <c r="DE58" s="278">
        <f ca="1">IFERROR(__xludf.DUMMYFUNCTION("IMPORTRANGE(""https://docs.google.com/spreadsheets/d/1jkqa6GXxSacMcY1eN8AHjMNJ_7dDXMJVRLDlaFSOdPM/edit?usp=sharing"",""ตราด!J490"")"),0)</f>
        <v>0</v>
      </c>
      <c r="DF58" s="278">
        <f ca="1">IFERROR(__xludf.DUMMYFUNCTION("IMPORTRANGE(""https://docs.google.com/spreadsheets/d/1jkqa6GXxSacMcY1eN8AHjMNJ_7dDXMJVRLDlaFSOdPM/edit?usp=sharing"",""ตราด!J491"")"),0)</f>
        <v>0</v>
      </c>
    </row>
    <row r="59" spans="1:110" ht="19.5" x14ac:dyDescent="0.3">
      <c r="A59" s="147">
        <v>7</v>
      </c>
      <c r="B59" s="148" t="s">
        <v>87</v>
      </c>
      <c r="C59" s="566">
        <f t="shared" ca="1" si="44"/>
        <v>0</v>
      </c>
      <c r="D59" s="567">
        <f t="shared" ca="1" si="94"/>
        <v>0</v>
      </c>
      <c r="E59" s="329">
        <f ca="1">IFERROR(__xludf.DUMMYFUNCTION("IMPORTRANGE(""https://docs.google.com/spreadsheets/d/1-uDff_7J0KD5mKrp0Vvzr7lt3OU09vwQwhkpOPPYv2Y/edit?usp=sharing"",""งบพรบ!IP59"")"),0)</f>
        <v>0</v>
      </c>
      <c r="F59" s="329">
        <f ca="1">IFERROR(__xludf.DUMMYFUNCTION("IMPORTRANGE(""https://docs.google.com/spreadsheets/d/1-uDff_7J0KD5mKrp0Vvzr7lt3OU09vwQwhkpOPPYv2Y/edit?usp=sharing"",""งบพรบ!IQ59"")"),0)</f>
        <v>0</v>
      </c>
      <c r="G59" s="329">
        <f ca="1">IFERROR(__xludf.DUMMYFUNCTION("IMPORTRANGE(""https://docs.google.com/spreadsheets/d/1-uDff_7J0KD5mKrp0Vvzr7lt3OU09vwQwhkpOPPYv2Y/edit?usp=sharing"",""งบพรบ!IR59"")"),0)</f>
        <v>0</v>
      </c>
      <c r="H59" s="329">
        <f ca="1">IFERROR(__xludf.DUMMYFUNCTION("IMPORTRANGE(""https://docs.google.com/spreadsheets/d/1-uDff_7J0KD5mKrp0Vvzr7lt3OU09vwQwhkpOPPYv2Y/edit?usp=sharing"",""งบพรบ!IT59"")"),0)</f>
        <v>0</v>
      </c>
      <c r="I59" s="329">
        <f ca="1">IFERROR(__xludf.DUMMYFUNCTION("IMPORTRANGE(""https://docs.google.com/spreadsheets/d/1-uDff_7J0KD5mKrp0Vvzr7lt3OU09vwQwhkpOPPYv2Y/edit?usp=sharing"",""งบพรบ!IU59"")"),0)</f>
        <v>0</v>
      </c>
      <c r="J59" s="329">
        <f t="shared" ca="1" si="46"/>
        <v>0</v>
      </c>
      <c r="K59" s="568">
        <f t="shared" ca="1" si="47"/>
        <v>0</v>
      </c>
      <c r="L59" s="329">
        <f ca="1">IFERROR(__xludf.DUMMYFUNCTION("IMPORTRANGE(""https://docs.google.com/spreadsheets/d/1-uDff_7J0KD5mKrp0Vvzr7lt3OU09vwQwhkpOPPYv2Y/edit?usp=sharing"",""งบพรบ!IV59"")"),0)</f>
        <v>0</v>
      </c>
      <c r="M59" s="330">
        <f t="shared" ca="1" si="48"/>
        <v>0</v>
      </c>
      <c r="N59" s="330">
        <f t="shared" ca="1" si="49"/>
        <v>0</v>
      </c>
      <c r="O59" s="569">
        <f ca="1">IFERROR(__xludf.DUMMYFUNCTION("IMPORTRANGE(""https://docs.google.com/spreadsheets/d/1-uDff_7J0KD5mKrp0Vvzr7lt3OU09vwQwhkpOPPYv2Y/edit?usp=sharing"",""งบพรบ!IW59"")"),0)</f>
        <v>0</v>
      </c>
      <c r="P59" s="569">
        <f t="shared" ca="1" si="50"/>
        <v>0</v>
      </c>
      <c r="Q59" s="330">
        <f t="shared" ca="1" si="51"/>
        <v>0</v>
      </c>
      <c r="R59" s="564">
        <f ca="1">IFERROR(__xludf.DUMMYFUNCTION("IMPORTRANGE(""https://docs.google.com/spreadsheets/d/18hSgUJ3VwClqi_qtULmmW3cLr0oe3OKaSYoKzdpTsYQ/edit?usp=sharing"",""นครนายก!Q413"")"),0)</f>
        <v>0</v>
      </c>
      <c r="S59" s="564">
        <f ca="1">IFERROR(__xludf.DUMMYFUNCTION("IMPORTRANGE(""https://docs.google.com/spreadsheets/d/18hSgUJ3VwClqi_qtULmmW3cLr0oe3OKaSYoKzdpTsYQ/edit?usp=sharing"",""นครนายก!R413"")"),0)</f>
        <v>0</v>
      </c>
      <c r="T59" s="564">
        <f ca="1">IFERROR(__xludf.DUMMYFUNCTION("IMPORTRANGE(""https://docs.google.com/spreadsheets/d/18hSgUJ3VwClqi_qtULmmW3cLr0oe3OKaSYoKzdpTsYQ/edit?usp=sharing"",""นครนายก!S413"")"),0)</f>
        <v>0</v>
      </c>
      <c r="U59" s="565">
        <f t="shared" ca="1" si="53"/>
        <v>0</v>
      </c>
      <c r="V59" s="565">
        <f t="shared" ca="1" si="54"/>
        <v>0</v>
      </c>
      <c r="W59" s="152">
        <f ca="1">IFERROR(__xludf.DUMMYFUNCTION("IMPORTRANGE(""https://docs.google.com/spreadsheets/d/18hSgUJ3VwClqi_qtULmmW3cLr0oe3OKaSYoKzdpTsYQ/edit?usp=sharing"",""นครนายก!I424"")"),0)</f>
        <v>0</v>
      </c>
      <c r="X59" s="152">
        <f ca="1">IFERROR(__xludf.DUMMYFUNCTION("IMPORTRANGE(""https://docs.google.com/spreadsheets/d/18hSgUJ3VwClqi_qtULmmW3cLr0oe3OKaSYoKzdpTsYQ/edit?usp=sharing"",""นครนายก!I425"")"),0)</f>
        <v>0</v>
      </c>
      <c r="Y59" s="152">
        <f ca="1">IFERROR(__xludf.DUMMYFUNCTION("IMPORTRANGE(""https://docs.google.com/spreadsheets/d/18hSgUJ3VwClqi_qtULmmW3cLr0oe3OKaSYoKzdpTsYQ/edit?usp=sharing"",""นครนายก!J424"")"),0)</f>
        <v>0</v>
      </c>
      <c r="Z59" s="216">
        <f t="shared" ca="1" si="56"/>
        <v>0</v>
      </c>
      <c r="AA59" s="152">
        <f ca="1">IFERROR(__xludf.DUMMYFUNCTION("IMPORTRANGE(""https://docs.google.com/spreadsheets/d/18hSgUJ3VwClqi_qtULmmW3cLr0oe3OKaSYoKzdpTsYQ/edit?usp=sharing"",""นครนายก!J425"")"),0)</f>
        <v>0</v>
      </c>
      <c r="AB59" s="216">
        <f t="shared" ca="1" si="57"/>
        <v>0</v>
      </c>
      <c r="AC59" s="152">
        <f ca="1">IFERROR(__xludf.DUMMYFUNCTION("IMPORTRANGE(""https://docs.google.com/spreadsheets/d/18hSgUJ3VwClqi_qtULmmW3cLr0oe3OKaSYoKzdpTsYQ/edit?usp=sharing"",""นครนายก!J426"")"),0)</f>
        <v>0</v>
      </c>
      <c r="AD59" s="152">
        <f ca="1">IFERROR(__xludf.DUMMYFUNCTION("IMPORTRANGE(""https://docs.google.com/spreadsheets/d/18hSgUJ3VwClqi_qtULmmW3cLr0oe3OKaSYoKzdpTsYQ/edit?usp=sharing"",""นครนายก!J427"")"),0)</f>
        <v>0</v>
      </c>
      <c r="AE59" s="152">
        <f ca="1">IFERROR(__xludf.DUMMYFUNCTION("IMPORTRANGE(""https://docs.google.com/spreadsheets/d/18hSgUJ3VwClqi_qtULmmW3cLr0oe3OKaSYoKzdpTsYQ/edit?usp=sharing"",""นครนายก!J428"")"),0)</f>
        <v>0</v>
      </c>
      <c r="AF59" s="152">
        <f ca="1">IFERROR(__xludf.DUMMYFUNCTION("IMPORTRANGE(""https://docs.google.com/spreadsheets/d/18hSgUJ3VwClqi_qtULmmW3cLr0oe3OKaSYoKzdpTsYQ/edit?usp=sharing"",""นครนายก!J429"")"),0)</f>
        <v>0</v>
      </c>
      <c r="AG59" s="152">
        <f ca="1">IFERROR(__xludf.DUMMYFUNCTION("IMPORTRANGE(""https://docs.google.com/spreadsheets/d/18hSgUJ3VwClqi_qtULmmW3cLr0oe3OKaSYoKzdpTsYQ/edit?usp=sharing"",""นครนายก!J430"")"),0)</f>
        <v>0</v>
      </c>
      <c r="AH59" s="152">
        <f ca="1">IFERROR(__xludf.DUMMYFUNCTION("IMPORTRANGE(""https://docs.google.com/spreadsheets/d/18hSgUJ3VwClqi_qtULmmW3cLr0oe3OKaSYoKzdpTsYQ/edit?usp=sharing"",""นครนายก!J431"")"),0)</f>
        <v>0</v>
      </c>
      <c r="AI59" s="152">
        <f ca="1">IFERROR(__xludf.DUMMYFUNCTION("IMPORTRANGE(""https://docs.google.com/spreadsheets/d/18hSgUJ3VwClqi_qtULmmW3cLr0oe3OKaSYoKzdpTsYQ/edit?usp=sharing"",""นครนายก!I432"")"),0)</f>
        <v>0</v>
      </c>
      <c r="AJ59" s="152">
        <f ca="1">IFERROR(__xludf.DUMMYFUNCTION("IMPORTRANGE(""https://docs.google.com/spreadsheets/d/18hSgUJ3VwClqi_qtULmmW3cLr0oe3OKaSYoKzdpTsYQ/edit?usp=sharing"",""นครนายก!I433"")"),0)</f>
        <v>0</v>
      </c>
      <c r="AK59" s="216">
        <f ca="1">IFERROR(__xludf.DUMMYFUNCTION("IMPORTRANGE(""https://docs.google.com/spreadsheets/d/18hSgUJ3VwClqi_qtULmmW3cLr0oe3OKaSYoKzdpTsYQ/edit?usp=sharing"",""นครนายก!J432"")"),0)</f>
        <v>0</v>
      </c>
      <c r="AL59" s="216">
        <f t="shared" ca="1" si="59"/>
        <v>0</v>
      </c>
      <c r="AM59" s="152">
        <f ca="1">IFERROR(__xludf.DUMMYFUNCTION("IMPORTRANGE(""https://docs.google.com/spreadsheets/d/18hSgUJ3VwClqi_qtULmmW3cLr0oe3OKaSYoKzdpTsYQ/edit?usp=sharing"",""นครนายก!J433"")"),0)</f>
        <v>0</v>
      </c>
      <c r="AN59" s="216">
        <f t="shared" ca="1" si="60"/>
        <v>0</v>
      </c>
      <c r="AO59" s="152">
        <f ca="1">IFERROR(__xludf.DUMMYFUNCTION("IMPORTRANGE(""https://docs.google.com/spreadsheets/d/18hSgUJ3VwClqi_qtULmmW3cLr0oe3OKaSYoKzdpTsYQ/edit?usp=sharing"",""นครนายก!J434"")"),0)</f>
        <v>0</v>
      </c>
      <c r="AP59" s="152">
        <f ca="1">IFERROR(__xludf.DUMMYFUNCTION("IMPORTRANGE(""https://docs.google.com/spreadsheets/d/18hSgUJ3VwClqi_qtULmmW3cLr0oe3OKaSYoKzdpTsYQ/edit?usp=sharing"",""นครนายก!J435"")"),0)</f>
        <v>0</v>
      </c>
      <c r="AQ59" s="152">
        <f ca="1">IFERROR(__xludf.DUMMYFUNCTION("IMPORTRANGE(""https://docs.google.com/spreadsheets/d/18hSgUJ3VwClqi_qtULmmW3cLr0oe3OKaSYoKzdpTsYQ/edit?usp=sharing"",""นครนายก!J436"")"),0)</f>
        <v>0</v>
      </c>
      <c r="AR59" s="152">
        <f ca="1">IFERROR(__xludf.DUMMYFUNCTION("IMPORTRANGE(""https://docs.google.com/spreadsheets/d/18hSgUJ3VwClqi_qtULmmW3cLr0oe3OKaSYoKzdpTsYQ/edit?usp=sharing"",""นครนายก!J437"")"),0)</f>
        <v>0</v>
      </c>
      <c r="AS59" s="152">
        <f ca="1">IFERROR(__xludf.DUMMYFUNCTION("IMPORTRANGE(""https://docs.google.com/spreadsheets/d/18hSgUJ3VwClqi_qtULmmW3cLr0oe3OKaSYoKzdpTsYQ/edit?usp=sharing"",""นครนายก!J438"")"),0)</f>
        <v>0</v>
      </c>
      <c r="AT59" s="152">
        <f ca="1">IFERROR(__xludf.DUMMYFUNCTION("IMPORTRANGE(""https://docs.google.com/spreadsheets/d/18hSgUJ3VwClqi_qtULmmW3cLr0oe3OKaSYoKzdpTsYQ/edit?usp=sharing"",""นครนายก!J439"")"),0)</f>
        <v>0</v>
      </c>
      <c r="AU59" s="152">
        <f ca="1">IFERROR(__xludf.DUMMYFUNCTION("IMPORTRANGE(""https://docs.google.com/spreadsheets/d/18hSgUJ3VwClqi_qtULmmW3cLr0oe3OKaSYoKzdpTsYQ/edit?usp=sharing"",""นครนายก!I440"")"),0)</f>
        <v>0</v>
      </c>
      <c r="AV59" s="152">
        <f ca="1">IFERROR(__xludf.DUMMYFUNCTION("IMPORTRANGE(""https://docs.google.com/spreadsheets/d/18hSgUJ3VwClqi_qtULmmW3cLr0oe3OKaSYoKzdpTsYQ/edit?usp=sharing"",""นครนายก!I441"")"),0)</f>
        <v>0</v>
      </c>
      <c r="AW59" s="152">
        <f ca="1">IFERROR(__xludf.DUMMYFUNCTION("IMPORTRANGE(""https://docs.google.com/spreadsheets/d/18hSgUJ3VwClqi_qtULmmW3cLr0oe3OKaSYoKzdpTsYQ/edit?usp=sharing"",""นครนายก!J440"")"),0)</f>
        <v>0</v>
      </c>
      <c r="AX59" s="216">
        <f t="shared" ca="1" si="62"/>
        <v>0</v>
      </c>
      <c r="AY59" s="152">
        <f ca="1">IFERROR(__xludf.DUMMYFUNCTION("IMPORTRANGE(""https://docs.google.com/spreadsheets/d/18hSgUJ3VwClqi_qtULmmW3cLr0oe3OKaSYoKzdpTsYQ/edit?usp=sharing"",""นครนายก!J441"")"),0)</f>
        <v>0</v>
      </c>
      <c r="AZ59" s="216">
        <f t="shared" ca="1" si="63"/>
        <v>0</v>
      </c>
      <c r="BA59" s="152">
        <f ca="1">IFERROR(__xludf.DUMMYFUNCTION("IMPORTRANGE(""https://docs.google.com/spreadsheets/d/18hSgUJ3VwClqi_qtULmmW3cLr0oe3OKaSYoKzdpTsYQ/edit?usp=sharing"",""นครนายก!J442"")"),0)</f>
        <v>0</v>
      </c>
      <c r="BB59" s="152">
        <f ca="1">IFERROR(__xludf.DUMMYFUNCTION("IMPORTRANGE(""https://docs.google.com/spreadsheets/d/18hSgUJ3VwClqi_qtULmmW3cLr0oe3OKaSYoKzdpTsYQ/edit?usp=sharing"",""นครนายก!J443"")"),0)</f>
        <v>0</v>
      </c>
      <c r="BC59" s="152">
        <f ca="1">IFERROR(__xludf.DUMMYFUNCTION("IMPORTRANGE(""https://docs.google.com/spreadsheets/d/18hSgUJ3VwClqi_qtULmmW3cLr0oe3OKaSYoKzdpTsYQ/edit?usp=sharing"",""นครนายก!J444"")"),0)</f>
        <v>0</v>
      </c>
      <c r="BD59" s="152">
        <f ca="1">IFERROR(__xludf.DUMMYFUNCTION("IMPORTRANGE(""https://docs.google.com/spreadsheets/d/18hSgUJ3VwClqi_qtULmmW3cLr0oe3OKaSYoKzdpTsYQ/edit?usp=sharing"",""นครนายก!J445"")"),0)</f>
        <v>0</v>
      </c>
      <c r="BE59" s="152">
        <f ca="1">IFERROR(__xludf.DUMMYFUNCTION("IMPORTRANGE(""https://docs.google.com/spreadsheets/d/18hSgUJ3VwClqi_qtULmmW3cLr0oe3OKaSYoKzdpTsYQ/edit?usp=sharing"",""นครนายก!J446"")"),0)</f>
        <v>0</v>
      </c>
      <c r="BF59" s="152">
        <f ca="1">IFERROR(__xludf.DUMMYFUNCTION("IMPORTRANGE(""https://docs.google.com/spreadsheets/d/18hSgUJ3VwClqi_qtULmmW3cLr0oe3OKaSYoKzdpTsYQ/edit?usp=sharing"",""นครนายก!J447"")"),0)</f>
        <v>0</v>
      </c>
      <c r="BG59" s="152">
        <f ca="1">IFERROR(__xludf.DUMMYFUNCTION("IMPORTRANGE(""https://docs.google.com/spreadsheets/d/18hSgUJ3VwClqi_qtULmmW3cLr0oe3OKaSYoKzdpTsYQ/edit?usp=sharing"",""นครนายก!J448"")"),0)</f>
        <v>0</v>
      </c>
      <c r="BH59" s="152">
        <f ca="1">IFERROR(__xludf.DUMMYFUNCTION("IMPORTRANGE(""https://docs.google.com/spreadsheets/d/18hSgUJ3VwClqi_qtULmmW3cLr0oe3OKaSYoKzdpTsYQ/edit?usp=sharing"",""นครนายก!J449"")"),0)</f>
        <v>0</v>
      </c>
      <c r="BI59" s="152">
        <f ca="1">IFERROR(__xludf.DUMMYFUNCTION("IMPORTRANGE(""https://docs.google.com/spreadsheets/d/18hSgUJ3VwClqi_qtULmmW3cLr0oe3OKaSYoKzdpTsYQ/edit?usp=sharing"",""นครนายก!J450"")"),0)</f>
        <v>0</v>
      </c>
      <c r="BJ59" s="152">
        <f ca="1">IFERROR(__xludf.DUMMYFUNCTION("IMPORTRANGE(""https://docs.google.com/spreadsheets/d/18hSgUJ3VwClqi_qtULmmW3cLr0oe3OKaSYoKzdpTsYQ/edit?usp=sharing"",""นครนายก!J451"")"),0)</f>
        <v>0</v>
      </c>
      <c r="BK59" s="152">
        <f ca="1">IFERROR(__xludf.DUMMYFUNCTION("IMPORTRANGE(""https://docs.google.com/spreadsheets/d/18hSgUJ3VwClqi_qtULmmW3cLr0oe3OKaSYoKzdpTsYQ/edit?usp=sharing"",""นครนายก!J452"")"),0)</f>
        <v>0</v>
      </c>
      <c r="BL59" s="152">
        <f ca="1">IFERROR(__xludf.DUMMYFUNCTION("IMPORTRANGE(""https://docs.google.com/spreadsheets/d/18hSgUJ3VwClqi_qtULmmW3cLr0oe3OKaSYoKzdpTsYQ/edit?usp=sharing"",""นครนายก!J453"")"),0)</f>
        <v>0</v>
      </c>
      <c r="BM59" s="152">
        <f ca="1">IFERROR(__xludf.DUMMYFUNCTION("IMPORTRANGE(""https://docs.google.com/spreadsheets/d/18hSgUJ3VwClqi_qtULmmW3cLr0oe3OKaSYoKzdpTsYQ/edit?usp=sharing"",""นครนายก!J454"")"),0)</f>
        <v>0</v>
      </c>
      <c r="BN59" s="152">
        <f ca="1">IFERROR(__xludf.DUMMYFUNCTION("IMPORTRANGE(""https://docs.google.com/spreadsheets/d/18hSgUJ3VwClqi_qtULmmW3cLr0oe3OKaSYoKzdpTsYQ/edit?usp=sharing"",""นครนายก!J455"")"),0)</f>
        <v>0</v>
      </c>
      <c r="BO59" s="152">
        <f ca="1">IFERROR(__xludf.DUMMYFUNCTION("IMPORTRANGE(""https://docs.google.com/spreadsheets/d/18hSgUJ3VwClqi_qtULmmW3cLr0oe3OKaSYoKzdpTsYQ/edit?usp=sharing"",""นครนายก!I457"")"),0)</f>
        <v>0</v>
      </c>
      <c r="BP59" s="152">
        <f ca="1">IFERROR(__xludf.DUMMYFUNCTION("IMPORTRANGE(""https://docs.google.com/spreadsheets/d/18hSgUJ3VwClqi_qtULmmW3cLr0oe3OKaSYoKzdpTsYQ/edit?usp=sharing"",""นครนายก!I458"")"),0)</f>
        <v>0</v>
      </c>
      <c r="BQ59" s="152">
        <f ca="1">IFERROR(__xludf.DUMMYFUNCTION("IMPORTRANGE(""https://docs.google.com/spreadsheets/d/18hSgUJ3VwClqi_qtULmmW3cLr0oe3OKaSYoKzdpTsYQ/edit?usp=sharing"",""นครนายก!J457"")"),0)</f>
        <v>0</v>
      </c>
      <c r="BR59" s="216">
        <f t="shared" ca="1" si="65"/>
        <v>0</v>
      </c>
      <c r="BS59" s="152">
        <f ca="1">IFERROR(__xludf.DUMMYFUNCTION("IMPORTRANGE(""https://docs.google.com/spreadsheets/d/18hSgUJ3VwClqi_qtULmmW3cLr0oe3OKaSYoKzdpTsYQ/edit?usp=sharing"",""นครนายก!J458"")"),0)</f>
        <v>0</v>
      </c>
      <c r="BT59" s="216">
        <f t="shared" ca="1" si="66"/>
        <v>0</v>
      </c>
      <c r="BU59" s="152">
        <f ca="1">IFERROR(__xludf.DUMMYFUNCTION("IMPORTRANGE(""https://docs.google.com/spreadsheets/d/18hSgUJ3VwClqi_qtULmmW3cLr0oe3OKaSYoKzdpTsYQ/edit?usp=sharing"",""นครนายก!J459"")"),0)</f>
        <v>0</v>
      </c>
      <c r="BV59" s="152">
        <f ca="1">IFERROR(__xludf.DUMMYFUNCTION("IMPORTRANGE(""https://docs.google.com/spreadsheets/d/18hSgUJ3VwClqi_qtULmmW3cLr0oe3OKaSYoKzdpTsYQ/edit?usp=sharing"",""นครนายก!J460"")"),0)</f>
        <v>0</v>
      </c>
      <c r="BW59" s="152">
        <f ca="1">IFERROR(__xludf.DUMMYFUNCTION("IMPORTRANGE(""https://docs.google.com/spreadsheets/d/18hSgUJ3VwClqi_qtULmmW3cLr0oe3OKaSYoKzdpTsYQ/edit?usp=sharing"",""นครนายก!J461"")"),0)</f>
        <v>0</v>
      </c>
      <c r="BX59" s="152">
        <f ca="1">IFERROR(__xludf.DUMMYFUNCTION("IMPORTRANGE(""https://docs.google.com/spreadsheets/d/18hSgUJ3VwClqi_qtULmmW3cLr0oe3OKaSYoKzdpTsYQ/edit?usp=sharing"",""นครนายก!J462"")"),0)</f>
        <v>0</v>
      </c>
      <c r="BY59" s="152">
        <f ca="1">IFERROR(__xludf.DUMMYFUNCTION("IMPORTRANGE(""https://docs.google.com/spreadsheets/d/18hSgUJ3VwClqi_qtULmmW3cLr0oe3OKaSYoKzdpTsYQ/edit?usp=sharing"",""นครนายก!J463"")"),0)</f>
        <v>0</v>
      </c>
      <c r="BZ59" s="152">
        <f ca="1">IFERROR(__xludf.DUMMYFUNCTION("IMPORTRANGE(""https://docs.google.com/spreadsheets/d/18hSgUJ3VwClqi_qtULmmW3cLr0oe3OKaSYoKzdpTsYQ/edit?usp=sharing"",""นครนายก!J464"")"),0)</f>
        <v>0</v>
      </c>
      <c r="CA59" s="152">
        <f ca="1">IFERROR(__xludf.DUMMYFUNCTION("IMPORTRANGE(""https://docs.google.com/spreadsheets/d/18hSgUJ3VwClqi_qtULmmW3cLr0oe3OKaSYoKzdpTsYQ/edit?usp=sharing"",""นครนายก!J465"")"),0)</f>
        <v>0</v>
      </c>
      <c r="CB59" s="152">
        <f ca="1">IFERROR(__xludf.DUMMYFUNCTION("IMPORTRANGE(""https://docs.google.com/spreadsheets/d/18hSgUJ3VwClqi_qtULmmW3cLr0oe3OKaSYoKzdpTsYQ/edit?usp=sharing"",""นครนายก!J466"")"),0)</f>
        <v>0</v>
      </c>
      <c r="CC59" s="152">
        <f ca="1">IFERROR(__xludf.DUMMYFUNCTION("IMPORTRANGE(""https://docs.google.com/spreadsheets/d/18hSgUJ3VwClqi_qtULmmW3cLr0oe3OKaSYoKzdpTsYQ/edit?usp=sharing"",""นครนายก!J467"")"),0)</f>
        <v>0</v>
      </c>
      <c r="CD59" s="152">
        <f ca="1">IFERROR(__xludf.DUMMYFUNCTION("IMPORTRANGE(""https://docs.google.com/spreadsheets/d/18hSgUJ3VwClqi_qtULmmW3cLr0oe3OKaSYoKzdpTsYQ/edit?usp=sharing"",""นครนายก!J468"")"),0)</f>
        <v>0</v>
      </c>
      <c r="CE59" s="152">
        <f ca="1">IFERROR(__xludf.DUMMYFUNCTION("IMPORTRANGE(""https://docs.google.com/spreadsheets/d/18hSgUJ3VwClqi_qtULmmW3cLr0oe3OKaSYoKzdpTsYQ/edit?usp=sharing"",""นครนายก!J469"")"),0)</f>
        <v>0</v>
      </c>
      <c r="CF59" s="152">
        <f ca="1">IFERROR(__xludf.DUMMYFUNCTION("IMPORTRANGE(""https://docs.google.com/spreadsheets/d/18hSgUJ3VwClqi_qtULmmW3cLr0oe3OKaSYoKzdpTsYQ/edit?usp=sharing"",""นครนายก!J470"")"),0)</f>
        <v>0</v>
      </c>
      <c r="CG59" s="152">
        <f ca="1">IFERROR(__xludf.DUMMYFUNCTION("IMPORTRANGE(""https://docs.google.com/spreadsheets/d/18hSgUJ3VwClqi_qtULmmW3cLr0oe3OKaSYoKzdpTsYQ/edit?usp=sharing"",""นครนายก!J471"")"),0)</f>
        <v>0</v>
      </c>
      <c r="CH59" s="152">
        <f ca="1">IFERROR(__xludf.DUMMYFUNCTION("IMPORTRANGE(""https://docs.google.com/spreadsheets/d/18hSgUJ3VwClqi_qtULmmW3cLr0oe3OKaSYoKzdpTsYQ/edit?usp=sharing"",""นครนายก!J472"")"),0)</f>
        <v>0</v>
      </c>
      <c r="CI59" s="152">
        <f ca="1">IFERROR(__xludf.DUMMYFUNCTION("IMPORTRANGE(""https://docs.google.com/spreadsheets/d/18hSgUJ3VwClqi_qtULmmW3cLr0oe3OKaSYoKzdpTsYQ/edit?usp=sharing"",""นครนายก!J473"")"),0)</f>
        <v>0</v>
      </c>
      <c r="CJ59" s="152">
        <f ca="1">IFERROR(__xludf.DUMMYFUNCTION("IMPORTRANGE(""https://docs.google.com/spreadsheets/d/18hSgUJ3VwClqi_qtULmmW3cLr0oe3OKaSYoKzdpTsYQ/edit?usp=sharing"",""นครนายก!J474"")"),0)</f>
        <v>0</v>
      </c>
      <c r="CK59" s="278">
        <f ca="1">IFERROR(__xludf.DUMMYFUNCTION("IMPORTRANGE(""https://docs.google.com/spreadsheets/d/18hSgUJ3VwClqi_qtULmmW3cLr0oe3OKaSYoKzdpTsYQ/edit?usp=sharing"",""นครนายก!I476"")"),0)</f>
        <v>0</v>
      </c>
      <c r="CL59" s="278">
        <f ca="1">IFERROR(__xludf.DUMMYFUNCTION("IMPORTRANGE(""https://docs.google.com/spreadsheets/d/18hSgUJ3VwClqi_qtULmmW3cLr0oe3OKaSYoKzdpTsYQ/edit?usp=sharing"",""นครนายก!I477"")"),0)</f>
        <v>0</v>
      </c>
      <c r="CM59" s="278">
        <f ca="1">IFERROR(__xludf.DUMMYFUNCTION("IMPORTRANGE(""https://docs.google.com/spreadsheets/d/18hSgUJ3VwClqi_qtULmmW3cLr0oe3OKaSYoKzdpTsYQ/edit?usp=sharing"",""นครนายก!J476"")"),0)</f>
        <v>0</v>
      </c>
      <c r="CN59" s="216">
        <f t="shared" ca="1" si="68"/>
        <v>0</v>
      </c>
      <c r="CO59" s="278">
        <f ca="1">IFERROR(__xludf.DUMMYFUNCTION("IMPORTRANGE(""https://docs.google.com/spreadsheets/d/18hSgUJ3VwClqi_qtULmmW3cLr0oe3OKaSYoKzdpTsYQ/edit?usp=sharing"",""นครนายก!J477"")"),0)</f>
        <v>0</v>
      </c>
      <c r="CP59" s="216">
        <f t="shared" ca="1" si="69"/>
        <v>0</v>
      </c>
      <c r="CQ59" s="278">
        <f ca="1">IFERROR(__xludf.DUMMYFUNCTION("IMPORTRANGE(""https://docs.google.com/spreadsheets/d/18hSgUJ3VwClqi_qtULmmW3cLr0oe3OKaSYoKzdpTsYQ/edit?usp=sharing"",""นครนายก!J478"")"),0)</f>
        <v>0</v>
      </c>
      <c r="CR59" s="278">
        <f ca="1">IFERROR(__xludf.DUMMYFUNCTION("IMPORTRANGE(""https://docs.google.com/spreadsheets/d/18hSgUJ3VwClqi_qtULmmW3cLr0oe3OKaSYoKzdpTsYQ/edit?usp=sharing"",""นครนายก!J479"")"),0)</f>
        <v>0</v>
      </c>
      <c r="CS59" s="278">
        <f ca="1">IFERROR(__xludf.DUMMYFUNCTION("IMPORTRANGE(""https://docs.google.com/spreadsheets/d/18hSgUJ3VwClqi_qtULmmW3cLr0oe3OKaSYoKzdpTsYQ/edit?usp=sharing"",""นครนายก!J480"")"),0)</f>
        <v>0</v>
      </c>
      <c r="CT59" s="278">
        <f ca="1">IFERROR(__xludf.DUMMYFUNCTION("IMPORTRANGE(""https://docs.google.com/spreadsheets/d/18hSgUJ3VwClqi_qtULmmW3cLr0oe3OKaSYoKzdpTsYQ/edit?usp=sharing"",""นครนายก!J481"")"),0)</f>
        <v>0</v>
      </c>
      <c r="CU59" s="278">
        <f ca="1">IFERROR(__xludf.DUMMYFUNCTION("IMPORTRANGE(""https://docs.google.com/spreadsheets/d/18hSgUJ3VwClqi_qtULmmW3cLr0oe3OKaSYoKzdpTsYQ/edit?usp=sharing"",""นครนายก!I484"")"),0)</f>
        <v>0</v>
      </c>
      <c r="CV59" s="278">
        <f ca="1">IFERROR(__xludf.DUMMYFUNCTION("IMPORTRANGE(""https://docs.google.com/spreadsheets/d/18hSgUJ3VwClqi_qtULmmW3cLr0oe3OKaSYoKzdpTsYQ/edit?usp=sharing"",""นครนายก!I485"")"),0)</f>
        <v>0</v>
      </c>
      <c r="CW59" s="278">
        <f ca="1">IFERROR(__xludf.DUMMYFUNCTION("IMPORTRANGE(""https://docs.google.com/spreadsheets/d/18hSgUJ3VwClqi_qtULmmW3cLr0oe3OKaSYoKzdpTsYQ/edit?usp=sharing"",""นครนายก!J484"")"),0)</f>
        <v>0</v>
      </c>
      <c r="CX59" s="216">
        <f t="shared" ca="1" si="71"/>
        <v>0</v>
      </c>
      <c r="CY59" s="278">
        <f ca="1">IFERROR(__xludf.DUMMYFUNCTION("IMPORTRANGE(""https://docs.google.com/spreadsheets/d/18hSgUJ3VwClqi_qtULmmW3cLr0oe3OKaSYoKzdpTsYQ/edit?usp=sharing"",""นครนายก!J485"")"),0)</f>
        <v>0</v>
      </c>
      <c r="CZ59" s="216">
        <f t="shared" ca="1" si="72"/>
        <v>0</v>
      </c>
      <c r="DA59" s="278">
        <f ca="1">IFERROR(__xludf.DUMMYFUNCTION("IMPORTRANGE(""https://docs.google.com/spreadsheets/d/18hSgUJ3VwClqi_qtULmmW3cLr0oe3OKaSYoKzdpTsYQ/edit?usp=sharing"",""นครนายก!J486"")"),0)</f>
        <v>0</v>
      </c>
      <c r="DB59" s="278">
        <f ca="1">IFERROR(__xludf.DUMMYFUNCTION("IMPORTRANGE(""https://docs.google.com/spreadsheets/d/18hSgUJ3VwClqi_qtULmmW3cLr0oe3OKaSYoKzdpTsYQ/edit?usp=sharing"",""นครนายก!J487"")"),0)</f>
        <v>0</v>
      </c>
      <c r="DC59" s="278">
        <f ca="1">IFERROR(__xludf.DUMMYFUNCTION("IMPORTRANGE(""https://docs.google.com/spreadsheets/d/18hSgUJ3VwClqi_qtULmmW3cLr0oe3OKaSYoKzdpTsYQ/edit?usp=sharing"",""นครนายก!J488"")"),0)</f>
        <v>0</v>
      </c>
      <c r="DD59" s="278">
        <f ca="1">IFERROR(__xludf.DUMMYFUNCTION("IMPORTRANGE(""https://docs.google.com/spreadsheets/d/18hSgUJ3VwClqi_qtULmmW3cLr0oe3OKaSYoKzdpTsYQ/edit?usp=sharing"",""นครนายก!J489"")"),0)</f>
        <v>0</v>
      </c>
      <c r="DE59" s="278">
        <f ca="1">IFERROR(__xludf.DUMMYFUNCTION("IMPORTRANGE(""https://docs.google.com/spreadsheets/d/18hSgUJ3VwClqi_qtULmmW3cLr0oe3OKaSYoKzdpTsYQ/edit?usp=sharing"",""นครนายก!J490"")"),0)</f>
        <v>0</v>
      </c>
      <c r="DF59" s="278">
        <f ca="1">IFERROR(__xludf.DUMMYFUNCTION("IMPORTRANGE(""https://docs.google.com/spreadsheets/d/18hSgUJ3VwClqi_qtULmmW3cLr0oe3OKaSYoKzdpTsYQ/edit?usp=sharing"",""นครนายก!J491"")"),0)</f>
        <v>0</v>
      </c>
    </row>
    <row r="60" spans="1:110" ht="19.5" x14ac:dyDescent="0.3">
      <c r="A60" s="147">
        <v>8</v>
      </c>
      <c r="B60" s="148" t="s">
        <v>88</v>
      </c>
      <c r="C60" s="566">
        <f t="shared" ca="1" si="44"/>
        <v>0</v>
      </c>
      <c r="D60" s="567">
        <f t="shared" ca="1" si="94"/>
        <v>0</v>
      </c>
      <c r="E60" s="329">
        <f ca="1">IFERROR(__xludf.DUMMYFUNCTION("IMPORTRANGE(""https://docs.google.com/spreadsheets/d/1-uDff_7J0KD5mKrp0Vvzr7lt3OU09vwQwhkpOPPYv2Y/edit?usp=sharing"",""งบพรบ!IP60"")"),0)</f>
        <v>0</v>
      </c>
      <c r="F60" s="329">
        <f ca="1">IFERROR(__xludf.DUMMYFUNCTION("IMPORTRANGE(""https://docs.google.com/spreadsheets/d/1-uDff_7J0KD5mKrp0Vvzr7lt3OU09vwQwhkpOPPYv2Y/edit?usp=sharing"",""งบพรบ!IQ60"")"),0)</f>
        <v>0</v>
      </c>
      <c r="G60" s="329">
        <f ca="1">IFERROR(__xludf.DUMMYFUNCTION("IMPORTRANGE(""https://docs.google.com/spreadsheets/d/1-uDff_7J0KD5mKrp0Vvzr7lt3OU09vwQwhkpOPPYv2Y/edit?usp=sharing"",""งบพรบ!IR60"")"),0)</f>
        <v>0</v>
      </c>
      <c r="H60" s="329">
        <f ca="1">IFERROR(__xludf.DUMMYFUNCTION("IMPORTRANGE(""https://docs.google.com/spreadsheets/d/1-uDff_7J0KD5mKrp0Vvzr7lt3OU09vwQwhkpOPPYv2Y/edit?usp=sharing"",""งบพรบ!IT60"")"),0)</f>
        <v>0</v>
      </c>
      <c r="I60" s="329">
        <f ca="1">IFERROR(__xludf.DUMMYFUNCTION("IMPORTRANGE(""https://docs.google.com/spreadsheets/d/1-uDff_7J0KD5mKrp0Vvzr7lt3OU09vwQwhkpOPPYv2Y/edit?usp=sharing"",""งบพรบ!IU60"")"),0)</f>
        <v>0</v>
      </c>
      <c r="J60" s="329">
        <f t="shared" ca="1" si="46"/>
        <v>0</v>
      </c>
      <c r="K60" s="568">
        <f t="shared" ca="1" si="47"/>
        <v>0</v>
      </c>
      <c r="L60" s="329">
        <f ca="1">IFERROR(__xludf.DUMMYFUNCTION("IMPORTRANGE(""https://docs.google.com/spreadsheets/d/1-uDff_7J0KD5mKrp0Vvzr7lt3OU09vwQwhkpOPPYv2Y/edit?usp=sharing"",""งบพรบ!IV60"")"),0)</f>
        <v>0</v>
      </c>
      <c r="M60" s="330">
        <f t="shared" ca="1" si="48"/>
        <v>0</v>
      </c>
      <c r="N60" s="330">
        <f t="shared" ca="1" si="49"/>
        <v>0</v>
      </c>
      <c r="O60" s="569">
        <f ca="1">IFERROR(__xludf.DUMMYFUNCTION("IMPORTRANGE(""https://docs.google.com/spreadsheets/d/1-uDff_7J0KD5mKrp0Vvzr7lt3OU09vwQwhkpOPPYv2Y/edit?usp=sharing"",""งบพรบ!IW60"")"),0)</f>
        <v>0</v>
      </c>
      <c r="P60" s="569">
        <f t="shared" ca="1" si="50"/>
        <v>0</v>
      </c>
      <c r="Q60" s="330">
        <f t="shared" ca="1" si="51"/>
        <v>0</v>
      </c>
      <c r="R60" s="564">
        <f ca="1">IFERROR(__xludf.DUMMYFUNCTION("IMPORTRANGE(""https://docs.google.com/spreadsheets/d/1YTZo6WM2dQ6Ix6FSdnL5P7uVnVKu40sxZu975tgG10E/edit?usp=sharing"",""นครปฐม!Q413"")"),0)</f>
        <v>0</v>
      </c>
      <c r="S60" s="564">
        <f ca="1">IFERROR(__xludf.DUMMYFUNCTION("IMPORTRANGE(""https://docs.google.com/spreadsheets/d/1YTZo6WM2dQ6Ix6FSdnL5P7uVnVKu40sxZu975tgG10E/edit?usp=sharing"",""นครปฐม!R413"")"),0)</f>
        <v>0</v>
      </c>
      <c r="T60" s="564">
        <f ca="1">IFERROR(__xludf.DUMMYFUNCTION("IMPORTRANGE(""https://docs.google.com/spreadsheets/d/1YTZo6WM2dQ6Ix6FSdnL5P7uVnVKu40sxZu975tgG10E/edit?usp=sharing"",""นครปฐม!S413"")"),0)</f>
        <v>0</v>
      </c>
      <c r="U60" s="565">
        <f t="shared" ca="1" si="53"/>
        <v>0</v>
      </c>
      <c r="V60" s="565">
        <f t="shared" ca="1" si="54"/>
        <v>0</v>
      </c>
      <c r="W60" s="152">
        <f ca="1">IFERROR(__xludf.DUMMYFUNCTION("IMPORTRANGE(""https://docs.google.com/spreadsheets/d/1YTZo6WM2dQ6Ix6FSdnL5P7uVnVKu40sxZu975tgG10E/edit?usp=sharing"",""นครปฐม!I424"")"),0)</f>
        <v>0</v>
      </c>
      <c r="X60" s="152">
        <f ca="1">IFERROR(__xludf.DUMMYFUNCTION("IMPORTRANGE(""https://docs.google.com/spreadsheets/d/1YTZo6WM2dQ6Ix6FSdnL5P7uVnVKu40sxZu975tgG10E/edit?usp=sharing"",""นครปฐม!I425"")"),0)</f>
        <v>0</v>
      </c>
      <c r="Y60" s="152">
        <f ca="1">IFERROR(__xludf.DUMMYFUNCTION("IMPORTRANGE(""https://docs.google.com/spreadsheets/d/1YTZo6WM2dQ6Ix6FSdnL5P7uVnVKu40sxZu975tgG10E/edit?usp=sharing"",""นครปฐม!J424"")"),0)</f>
        <v>0</v>
      </c>
      <c r="Z60" s="216">
        <f t="shared" ca="1" si="56"/>
        <v>0</v>
      </c>
      <c r="AA60" s="152">
        <f ca="1">IFERROR(__xludf.DUMMYFUNCTION("IMPORTRANGE(""https://docs.google.com/spreadsheets/d/1YTZo6WM2dQ6Ix6FSdnL5P7uVnVKu40sxZu975tgG10E/edit?usp=sharing"",""นครปฐม!J425"")"),0)</f>
        <v>0</v>
      </c>
      <c r="AB60" s="216">
        <f t="shared" ca="1" si="57"/>
        <v>0</v>
      </c>
      <c r="AC60" s="152">
        <f ca="1">IFERROR(__xludf.DUMMYFUNCTION("IMPORTRANGE(""https://docs.google.com/spreadsheets/d/1YTZo6WM2dQ6Ix6FSdnL5P7uVnVKu40sxZu975tgG10E/edit?usp=sharing"",""นครปฐม!J426"")"),0)</f>
        <v>0</v>
      </c>
      <c r="AD60" s="152">
        <f ca="1">IFERROR(__xludf.DUMMYFUNCTION("IMPORTRANGE(""https://docs.google.com/spreadsheets/d/1YTZo6WM2dQ6Ix6FSdnL5P7uVnVKu40sxZu975tgG10E/edit?usp=sharing"",""นครปฐม!J427"")"),0)</f>
        <v>0</v>
      </c>
      <c r="AE60" s="152">
        <f ca="1">IFERROR(__xludf.DUMMYFUNCTION("IMPORTRANGE(""https://docs.google.com/spreadsheets/d/1YTZo6WM2dQ6Ix6FSdnL5P7uVnVKu40sxZu975tgG10E/edit?usp=sharing"",""นครปฐม!J428"")"),0)</f>
        <v>0</v>
      </c>
      <c r="AF60" s="152">
        <f ca="1">IFERROR(__xludf.DUMMYFUNCTION("IMPORTRANGE(""https://docs.google.com/spreadsheets/d/1YTZo6WM2dQ6Ix6FSdnL5P7uVnVKu40sxZu975tgG10E/edit?usp=sharing"",""นครปฐม!J429"")"),0)</f>
        <v>0</v>
      </c>
      <c r="AG60" s="152">
        <f ca="1">IFERROR(__xludf.DUMMYFUNCTION("IMPORTRANGE(""https://docs.google.com/spreadsheets/d/1YTZo6WM2dQ6Ix6FSdnL5P7uVnVKu40sxZu975tgG10E/edit?usp=sharing"",""นครปฐม!J430"")"),0)</f>
        <v>0</v>
      </c>
      <c r="AH60" s="152">
        <f ca="1">IFERROR(__xludf.DUMMYFUNCTION("IMPORTRANGE(""https://docs.google.com/spreadsheets/d/1YTZo6WM2dQ6Ix6FSdnL5P7uVnVKu40sxZu975tgG10E/edit?usp=sharing"",""นครปฐม!J431"")"),0)</f>
        <v>0</v>
      </c>
      <c r="AI60" s="152">
        <f ca="1">IFERROR(__xludf.DUMMYFUNCTION("IMPORTRANGE(""https://docs.google.com/spreadsheets/d/1YTZo6WM2dQ6Ix6FSdnL5P7uVnVKu40sxZu975tgG10E/edit?usp=sharing"",""นครปฐม!I432"")"),0)</f>
        <v>0</v>
      </c>
      <c r="AJ60" s="152">
        <f ca="1">IFERROR(__xludf.DUMMYFUNCTION("IMPORTRANGE(""https://docs.google.com/spreadsheets/d/1YTZo6WM2dQ6Ix6FSdnL5P7uVnVKu40sxZu975tgG10E/edit?usp=sharing"",""นครปฐม!I433"")"),0)</f>
        <v>0</v>
      </c>
      <c r="AK60" s="216">
        <f ca="1">IFERROR(__xludf.DUMMYFUNCTION("IMPORTRANGE(""https://docs.google.com/spreadsheets/d/1YTZo6WM2dQ6Ix6FSdnL5P7uVnVKu40sxZu975tgG10E/edit?usp=sharing"",""นครปฐม!J432"")"),0)</f>
        <v>0</v>
      </c>
      <c r="AL60" s="216">
        <f t="shared" ca="1" si="59"/>
        <v>0</v>
      </c>
      <c r="AM60" s="152">
        <f ca="1">IFERROR(__xludf.DUMMYFUNCTION("IMPORTRANGE(""https://docs.google.com/spreadsheets/d/1YTZo6WM2dQ6Ix6FSdnL5P7uVnVKu40sxZu975tgG10E/edit?usp=sharing"",""นครปฐม!J433"")"),0)</f>
        <v>0</v>
      </c>
      <c r="AN60" s="216">
        <f t="shared" ca="1" si="60"/>
        <v>0</v>
      </c>
      <c r="AO60" s="152">
        <f ca="1">IFERROR(__xludf.DUMMYFUNCTION("IMPORTRANGE(""https://docs.google.com/spreadsheets/d/1YTZo6WM2dQ6Ix6FSdnL5P7uVnVKu40sxZu975tgG10E/edit?usp=sharing"",""นครปฐม!J434"")"),0)</f>
        <v>0</v>
      </c>
      <c r="AP60" s="152">
        <f ca="1">IFERROR(__xludf.DUMMYFUNCTION("IMPORTRANGE(""https://docs.google.com/spreadsheets/d/1YTZo6WM2dQ6Ix6FSdnL5P7uVnVKu40sxZu975tgG10E/edit?usp=sharing"",""นครปฐม!J435"")"),0)</f>
        <v>0</v>
      </c>
      <c r="AQ60" s="152">
        <f ca="1">IFERROR(__xludf.DUMMYFUNCTION("IMPORTRANGE(""https://docs.google.com/spreadsheets/d/1YTZo6WM2dQ6Ix6FSdnL5P7uVnVKu40sxZu975tgG10E/edit?usp=sharing"",""นครปฐม!J436"")"),0)</f>
        <v>0</v>
      </c>
      <c r="AR60" s="152">
        <f ca="1">IFERROR(__xludf.DUMMYFUNCTION("IMPORTRANGE(""https://docs.google.com/spreadsheets/d/1YTZo6WM2dQ6Ix6FSdnL5P7uVnVKu40sxZu975tgG10E/edit?usp=sharing"",""นครปฐม!J437"")"),0)</f>
        <v>0</v>
      </c>
      <c r="AS60" s="152">
        <f ca="1">IFERROR(__xludf.DUMMYFUNCTION("IMPORTRANGE(""https://docs.google.com/spreadsheets/d/1YTZo6WM2dQ6Ix6FSdnL5P7uVnVKu40sxZu975tgG10E/edit?usp=sharing"",""นครปฐม!J438"")"),0)</f>
        <v>0</v>
      </c>
      <c r="AT60" s="152">
        <f ca="1">IFERROR(__xludf.DUMMYFUNCTION("IMPORTRANGE(""https://docs.google.com/spreadsheets/d/1YTZo6WM2dQ6Ix6FSdnL5P7uVnVKu40sxZu975tgG10E/edit?usp=sharing"",""นครปฐม!J439"")"),0)</f>
        <v>0</v>
      </c>
      <c r="AU60" s="152">
        <f ca="1">IFERROR(__xludf.DUMMYFUNCTION("IMPORTRANGE(""https://docs.google.com/spreadsheets/d/1YTZo6WM2dQ6Ix6FSdnL5P7uVnVKu40sxZu975tgG10E/edit?usp=sharing"",""นครปฐม!I440"")"),0)</f>
        <v>0</v>
      </c>
      <c r="AV60" s="152">
        <f ca="1">IFERROR(__xludf.DUMMYFUNCTION("IMPORTRANGE(""https://docs.google.com/spreadsheets/d/1YTZo6WM2dQ6Ix6FSdnL5P7uVnVKu40sxZu975tgG10E/edit?usp=sharing"",""นครปฐม!I441"")"),0)</f>
        <v>0</v>
      </c>
      <c r="AW60" s="152">
        <f ca="1">IFERROR(__xludf.DUMMYFUNCTION("IMPORTRANGE(""https://docs.google.com/spreadsheets/d/1YTZo6WM2dQ6Ix6FSdnL5P7uVnVKu40sxZu975tgG10E/edit?usp=sharing"",""นครปฐม!J440"")"),0)</f>
        <v>0</v>
      </c>
      <c r="AX60" s="216">
        <f t="shared" ca="1" si="62"/>
        <v>0</v>
      </c>
      <c r="AY60" s="152">
        <f ca="1">IFERROR(__xludf.DUMMYFUNCTION("IMPORTRANGE(""https://docs.google.com/spreadsheets/d/1YTZo6WM2dQ6Ix6FSdnL5P7uVnVKu40sxZu975tgG10E/edit?usp=sharing"",""นครปฐม!J441"")"),0)</f>
        <v>0</v>
      </c>
      <c r="AZ60" s="216">
        <f t="shared" ca="1" si="63"/>
        <v>0</v>
      </c>
      <c r="BA60" s="152">
        <f ca="1">IFERROR(__xludf.DUMMYFUNCTION("IMPORTRANGE(""https://docs.google.com/spreadsheets/d/1YTZo6WM2dQ6Ix6FSdnL5P7uVnVKu40sxZu975tgG10E/edit?usp=sharing"",""นครปฐม!J442"")"),0)</f>
        <v>0</v>
      </c>
      <c r="BB60" s="152">
        <f ca="1">IFERROR(__xludf.DUMMYFUNCTION("IMPORTRANGE(""https://docs.google.com/spreadsheets/d/1YTZo6WM2dQ6Ix6FSdnL5P7uVnVKu40sxZu975tgG10E/edit?usp=sharing"",""นครปฐม!J443"")"),0)</f>
        <v>0</v>
      </c>
      <c r="BC60" s="152">
        <f ca="1">IFERROR(__xludf.DUMMYFUNCTION("IMPORTRANGE(""https://docs.google.com/spreadsheets/d/1YTZo6WM2dQ6Ix6FSdnL5P7uVnVKu40sxZu975tgG10E/edit?usp=sharing"",""นครปฐม!J444"")"),0)</f>
        <v>0</v>
      </c>
      <c r="BD60" s="152">
        <f ca="1">IFERROR(__xludf.DUMMYFUNCTION("IMPORTRANGE(""https://docs.google.com/spreadsheets/d/1YTZo6WM2dQ6Ix6FSdnL5P7uVnVKu40sxZu975tgG10E/edit?usp=sharing"",""นครปฐม!J445"")"),0)</f>
        <v>0</v>
      </c>
      <c r="BE60" s="152">
        <f ca="1">IFERROR(__xludf.DUMMYFUNCTION("IMPORTRANGE(""https://docs.google.com/spreadsheets/d/1YTZo6WM2dQ6Ix6FSdnL5P7uVnVKu40sxZu975tgG10E/edit?usp=sharing"",""นครปฐม!J446"")"),0)</f>
        <v>0</v>
      </c>
      <c r="BF60" s="152">
        <f ca="1">IFERROR(__xludf.DUMMYFUNCTION("IMPORTRANGE(""https://docs.google.com/spreadsheets/d/1YTZo6WM2dQ6Ix6FSdnL5P7uVnVKu40sxZu975tgG10E/edit?usp=sharing"",""นครปฐม!J447"")"),0)</f>
        <v>0</v>
      </c>
      <c r="BG60" s="152">
        <f ca="1">IFERROR(__xludf.DUMMYFUNCTION("IMPORTRANGE(""https://docs.google.com/spreadsheets/d/1YTZo6WM2dQ6Ix6FSdnL5P7uVnVKu40sxZu975tgG10E/edit?usp=sharing"",""นครปฐม!J448"")"),0)</f>
        <v>0</v>
      </c>
      <c r="BH60" s="152">
        <f ca="1">IFERROR(__xludf.DUMMYFUNCTION("IMPORTRANGE(""https://docs.google.com/spreadsheets/d/1YTZo6WM2dQ6Ix6FSdnL5P7uVnVKu40sxZu975tgG10E/edit?usp=sharing"",""นครปฐม!J449"")"),0)</f>
        <v>0</v>
      </c>
      <c r="BI60" s="152">
        <f ca="1">IFERROR(__xludf.DUMMYFUNCTION("IMPORTRANGE(""https://docs.google.com/spreadsheets/d/1YTZo6WM2dQ6Ix6FSdnL5P7uVnVKu40sxZu975tgG10E/edit?usp=sharing"",""นครปฐม!J450"")"),0)</f>
        <v>0</v>
      </c>
      <c r="BJ60" s="152">
        <f ca="1">IFERROR(__xludf.DUMMYFUNCTION("IMPORTRANGE(""https://docs.google.com/spreadsheets/d/1YTZo6WM2dQ6Ix6FSdnL5P7uVnVKu40sxZu975tgG10E/edit?usp=sharing"",""นครปฐม!J451"")"),0)</f>
        <v>0</v>
      </c>
      <c r="BK60" s="152">
        <f ca="1">IFERROR(__xludf.DUMMYFUNCTION("IMPORTRANGE(""https://docs.google.com/spreadsheets/d/1YTZo6WM2dQ6Ix6FSdnL5P7uVnVKu40sxZu975tgG10E/edit?usp=sharing"",""นครปฐม!J452"")"),0)</f>
        <v>0</v>
      </c>
      <c r="BL60" s="152">
        <f ca="1">IFERROR(__xludf.DUMMYFUNCTION("IMPORTRANGE(""https://docs.google.com/spreadsheets/d/1YTZo6WM2dQ6Ix6FSdnL5P7uVnVKu40sxZu975tgG10E/edit?usp=sharing"",""นครปฐม!J453"")"),0)</f>
        <v>0</v>
      </c>
      <c r="BM60" s="152">
        <f ca="1">IFERROR(__xludf.DUMMYFUNCTION("IMPORTRANGE(""https://docs.google.com/spreadsheets/d/1YTZo6WM2dQ6Ix6FSdnL5P7uVnVKu40sxZu975tgG10E/edit?usp=sharing"",""นครปฐม!J454"")"),0)</f>
        <v>0</v>
      </c>
      <c r="BN60" s="152">
        <f ca="1">IFERROR(__xludf.DUMMYFUNCTION("IMPORTRANGE(""https://docs.google.com/spreadsheets/d/1YTZo6WM2dQ6Ix6FSdnL5P7uVnVKu40sxZu975tgG10E/edit?usp=sharing"",""นครปฐม!J455"")"),0)</f>
        <v>0</v>
      </c>
      <c r="BO60" s="152">
        <f ca="1">IFERROR(__xludf.DUMMYFUNCTION("IMPORTRANGE(""https://docs.google.com/spreadsheets/d/1YTZo6WM2dQ6Ix6FSdnL5P7uVnVKu40sxZu975tgG10E/edit?usp=sharing"",""นครปฐม!I457"")"),0)</f>
        <v>0</v>
      </c>
      <c r="BP60" s="152">
        <f ca="1">IFERROR(__xludf.DUMMYFUNCTION("IMPORTRANGE(""https://docs.google.com/spreadsheets/d/1YTZo6WM2dQ6Ix6FSdnL5P7uVnVKu40sxZu975tgG10E/edit?usp=sharing"",""นครปฐม!I458"")"),0)</f>
        <v>0</v>
      </c>
      <c r="BQ60" s="152">
        <f ca="1">IFERROR(__xludf.DUMMYFUNCTION("IMPORTRANGE(""https://docs.google.com/spreadsheets/d/1YTZo6WM2dQ6Ix6FSdnL5P7uVnVKu40sxZu975tgG10E/edit?usp=sharing"",""นครปฐม!J457"")"),0)</f>
        <v>0</v>
      </c>
      <c r="BR60" s="216">
        <f t="shared" ca="1" si="65"/>
        <v>0</v>
      </c>
      <c r="BS60" s="152">
        <f ca="1">IFERROR(__xludf.DUMMYFUNCTION("IMPORTRANGE(""https://docs.google.com/spreadsheets/d/1YTZo6WM2dQ6Ix6FSdnL5P7uVnVKu40sxZu975tgG10E/edit?usp=sharing"",""นครปฐม!J458"")"),0)</f>
        <v>0</v>
      </c>
      <c r="BT60" s="216">
        <f t="shared" ca="1" si="66"/>
        <v>0</v>
      </c>
      <c r="BU60" s="152">
        <f ca="1">IFERROR(__xludf.DUMMYFUNCTION("IMPORTRANGE(""https://docs.google.com/spreadsheets/d/1YTZo6WM2dQ6Ix6FSdnL5P7uVnVKu40sxZu975tgG10E/edit?usp=sharing"",""นครปฐม!J459"")"),0)</f>
        <v>0</v>
      </c>
      <c r="BV60" s="152">
        <f ca="1">IFERROR(__xludf.DUMMYFUNCTION("IMPORTRANGE(""https://docs.google.com/spreadsheets/d/1YTZo6WM2dQ6Ix6FSdnL5P7uVnVKu40sxZu975tgG10E/edit?usp=sharing"",""นครปฐม!J460"")"),0)</f>
        <v>0</v>
      </c>
      <c r="BW60" s="152">
        <f ca="1">IFERROR(__xludf.DUMMYFUNCTION("IMPORTRANGE(""https://docs.google.com/spreadsheets/d/1YTZo6WM2dQ6Ix6FSdnL5P7uVnVKu40sxZu975tgG10E/edit?usp=sharing"",""นครปฐม!J461"")"),0)</f>
        <v>0</v>
      </c>
      <c r="BX60" s="152">
        <f ca="1">IFERROR(__xludf.DUMMYFUNCTION("IMPORTRANGE(""https://docs.google.com/spreadsheets/d/1YTZo6WM2dQ6Ix6FSdnL5P7uVnVKu40sxZu975tgG10E/edit?usp=sharing"",""นครปฐม!J462"")"),0)</f>
        <v>0</v>
      </c>
      <c r="BY60" s="152">
        <f ca="1">IFERROR(__xludf.DUMMYFUNCTION("IMPORTRANGE(""https://docs.google.com/spreadsheets/d/1YTZo6WM2dQ6Ix6FSdnL5P7uVnVKu40sxZu975tgG10E/edit?usp=sharing"",""นครปฐม!J463"")"),0)</f>
        <v>0</v>
      </c>
      <c r="BZ60" s="152">
        <f ca="1">IFERROR(__xludf.DUMMYFUNCTION("IMPORTRANGE(""https://docs.google.com/spreadsheets/d/1YTZo6WM2dQ6Ix6FSdnL5P7uVnVKu40sxZu975tgG10E/edit?usp=sharing"",""นครปฐม!J464"")"),0)</f>
        <v>0</v>
      </c>
      <c r="CA60" s="152">
        <f ca="1">IFERROR(__xludf.DUMMYFUNCTION("IMPORTRANGE(""https://docs.google.com/spreadsheets/d/1YTZo6WM2dQ6Ix6FSdnL5P7uVnVKu40sxZu975tgG10E/edit?usp=sharing"",""นครปฐม!J465"")"),0)</f>
        <v>0</v>
      </c>
      <c r="CB60" s="152">
        <f ca="1">IFERROR(__xludf.DUMMYFUNCTION("IMPORTRANGE(""https://docs.google.com/spreadsheets/d/1YTZo6WM2dQ6Ix6FSdnL5P7uVnVKu40sxZu975tgG10E/edit?usp=sharing"",""นครปฐม!J466"")"),0)</f>
        <v>0</v>
      </c>
      <c r="CC60" s="152">
        <f ca="1">IFERROR(__xludf.DUMMYFUNCTION("IMPORTRANGE(""https://docs.google.com/spreadsheets/d/1YTZo6WM2dQ6Ix6FSdnL5P7uVnVKu40sxZu975tgG10E/edit?usp=sharing"",""นครปฐม!J467"")"),0)</f>
        <v>0</v>
      </c>
      <c r="CD60" s="152">
        <f ca="1">IFERROR(__xludf.DUMMYFUNCTION("IMPORTRANGE(""https://docs.google.com/spreadsheets/d/1YTZo6WM2dQ6Ix6FSdnL5P7uVnVKu40sxZu975tgG10E/edit?usp=sharing"",""นครปฐม!J468"")"),0)</f>
        <v>0</v>
      </c>
      <c r="CE60" s="152">
        <f ca="1">IFERROR(__xludf.DUMMYFUNCTION("IMPORTRANGE(""https://docs.google.com/spreadsheets/d/1YTZo6WM2dQ6Ix6FSdnL5P7uVnVKu40sxZu975tgG10E/edit?usp=sharing"",""นครปฐม!J469"")"),0)</f>
        <v>0</v>
      </c>
      <c r="CF60" s="152">
        <f ca="1">IFERROR(__xludf.DUMMYFUNCTION("IMPORTRANGE(""https://docs.google.com/spreadsheets/d/1YTZo6WM2dQ6Ix6FSdnL5P7uVnVKu40sxZu975tgG10E/edit?usp=sharing"",""นครปฐม!J470"")"),0)</f>
        <v>0</v>
      </c>
      <c r="CG60" s="152">
        <f ca="1">IFERROR(__xludf.DUMMYFUNCTION("IMPORTRANGE(""https://docs.google.com/spreadsheets/d/1YTZo6WM2dQ6Ix6FSdnL5P7uVnVKu40sxZu975tgG10E/edit?usp=sharing"",""นครปฐม!J471"")"),0)</f>
        <v>0</v>
      </c>
      <c r="CH60" s="152">
        <f ca="1">IFERROR(__xludf.DUMMYFUNCTION("IMPORTRANGE(""https://docs.google.com/spreadsheets/d/1YTZo6WM2dQ6Ix6FSdnL5P7uVnVKu40sxZu975tgG10E/edit?usp=sharing"",""นครปฐม!J472"")"),0)</f>
        <v>0</v>
      </c>
      <c r="CI60" s="152">
        <f ca="1">IFERROR(__xludf.DUMMYFUNCTION("IMPORTRANGE(""https://docs.google.com/spreadsheets/d/1YTZo6WM2dQ6Ix6FSdnL5P7uVnVKu40sxZu975tgG10E/edit?usp=sharing"",""นครปฐม!J473"")"),0)</f>
        <v>0</v>
      </c>
      <c r="CJ60" s="152">
        <f ca="1">IFERROR(__xludf.DUMMYFUNCTION("IMPORTRANGE(""https://docs.google.com/spreadsheets/d/1YTZo6WM2dQ6Ix6FSdnL5P7uVnVKu40sxZu975tgG10E/edit?usp=sharing"",""นครปฐม!J474"")"),0)</f>
        <v>0</v>
      </c>
      <c r="CK60" s="278">
        <f ca="1">IFERROR(__xludf.DUMMYFUNCTION("IMPORTRANGE(""https://docs.google.com/spreadsheets/d/1YTZo6WM2dQ6Ix6FSdnL5P7uVnVKu40sxZu975tgG10E/edit?usp=sharing"",""นครปฐม!I476"")"),0)</f>
        <v>0</v>
      </c>
      <c r="CL60" s="278">
        <f ca="1">IFERROR(__xludf.DUMMYFUNCTION("IMPORTRANGE(""https://docs.google.com/spreadsheets/d/1YTZo6WM2dQ6Ix6FSdnL5P7uVnVKu40sxZu975tgG10E/edit?usp=sharing"",""นครปฐม!I477"")"),0)</f>
        <v>0</v>
      </c>
      <c r="CM60" s="278">
        <f ca="1">IFERROR(__xludf.DUMMYFUNCTION("IMPORTRANGE(""https://docs.google.com/spreadsheets/d/1YTZo6WM2dQ6Ix6FSdnL5P7uVnVKu40sxZu975tgG10E/edit?usp=sharing"",""นครปฐม!J476"")"),0)</f>
        <v>0</v>
      </c>
      <c r="CN60" s="216">
        <f t="shared" ca="1" si="68"/>
        <v>0</v>
      </c>
      <c r="CO60" s="278">
        <f ca="1">IFERROR(__xludf.DUMMYFUNCTION("IMPORTRANGE(""https://docs.google.com/spreadsheets/d/1YTZo6WM2dQ6Ix6FSdnL5P7uVnVKu40sxZu975tgG10E/edit?usp=sharing"",""นครปฐม!J477"")"),0)</f>
        <v>0</v>
      </c>
      <c r="CP60" s="216">
        <f t="shared" ca="1" si="69"/>
        <v>0</v>
      </c>
      <c r="CQ60" s="278">
        <f ca="1">IFERROR(__xludf.DUMMYFUNCTION("IMPORTRANGE(""https://docs.google.com/spreadsheets/d/1YTZo6WM2dQ6Ix6FSdnL5P7uVnVKu40sxZu975tgG10E/edit?usp=sharing"",""นครปฐม!J478"")"),0)</f>
        <v>0</v>
      </c>
      <c r="CR60" s="278">
        <f ca="1">IFERROR(__xludf.DUMMYFUNCTION("IMPORTRANGE(""https://docs.google.com/spreadsheets/d/1YTZo6WM2dQ6Ix6FSdnL5P7uVnVKu40sxZu975tgG10E/edit?usp=sharing"",""นครปฐม!J479"")"),0)</f>
        <v>0</v>
      </c>
      <c r="CS60" s="278">
        <f ca="1">IFERROR(__xludf.DUMMYFUNCTION("IMPORTRANGE(""https://docs.google.com/spreadsheets/d/1YTZo6WM2dQ6Ix6FSdnL5P7uVnVKu40sxZu975tgG10E/edit?usp=sharing"",""นครปฐม!J480"")"),0)</f>
        <v>0</v>
      </c>
      <c r="CT60" s="278">
        <f ca="1">IFERROR(__xludf.DUMMYFUNCTION("IMPORTRANGE(""https://docs.google.com/spreadsheets/d/1YTZo6WM2dQ6Ix6FSdnL5P7uVnVKu40sxZu975tgG10E/edit?usp=sharing"",""นครปฐม!J481"")"),0)</f>
        <v>0</v>
      </c>
      <c r="CU60" s="278">
        <f ca="1">IFERROR(__xludf.DUMMYFUNCTION("IMPORTRANGE(""https://docs.google.com/spreadsheets/d/1YTZo6WM2dQ6Ix6FSdnL5P7uVnVKu40sxZu975tgG10E/edit?usp=sharing"",""นครปฐม!I484"")"),0)</f>
        <v>0</v>
      </c>
      <c r="CV60" s="278">
        <f ca="1">IFERROR(__xludf.DUMMYFUNCTION("IMPORTRANGE(""https://docs.google.com/spreadsheets/d/1YTZo6WM2dQ6Ix6FSdnL5P7uVnVKu40sxZu975tgG10E/edit?usp=sharing"",""นครปฐม!I485"")"),0)</f>
        <v>0</v>
      </c>
      <c r="CW60" s="278">
        <f ca="1">IFERROR(__xludf.DUMMYFUNCTION("IMPORTRANGE(""https://docs.google.com/spreadsheets/d/1YTZo6WM2dQ6Ix6FSdnL5P7uVnVKu40sxZu975tgG10E/edit?usp=sharing"",""นครปฐม!J484"")"),0)</f>
        <v>0</v>
      </c>
      <c r="CX60" s="216">
        <f t="shared" ca="1" si="71"/>
        <v>0</v>
      </c>
      <c r="CY60" s="278">
        <f ca="1">IFERROR(__xludf.DUMMYFUNCTION("IMPORTRANGE(""https://docs.google.com/spreadsheets/d/1YTZo6WM2dQ6Ix6FSdnL5P7uVnVKu40sxZu975tgG10E/edit?usp=sharing"",""นครปฐม!J485"")"),0)</f>
        <v>0</v>
      </c>
      <c r="CZ60" s="216">
        <f t="shared" ca="1" si="72"/>
        <v>0</v>
      </c>
      <c r="DA60" s="278">
        <f ca="1">IFERROR(__xludf.DUMMYFUNCTION("IMPORTRANGE(""https://docs.google.com/spreadsheets/d/1YTZo6WM2dQ6Ix6FSdnL5P7uVnVKu40sxZu975tgG10E/edit?usp=sharing"",""นครปฐม!J486"")"),0)</f>
        <v>0</v>
      </c>
      <c r="DB60" s="278">
        <f ca="1">IFERROR(__xludf.DUMMYFUNCTION("IMPORTRANGE(""https://docs.google.com/spreadsheets/d/1YTZo6WM2dQ6Ix6FSdnL5P7uVnVKu40sxZu975tgG10E/edit?usp=sharing"",""นครปฐม!J487"")"),0)</f>
        <v>0</v>
      </c>
      <c r="DC60" s="278">
        <f ca="1">IFERROR(__xludf.DUMMYFUNCTION("IMPORTRANGE(""https://docs.google.com/spreadsheets/d/1YTZo6WM2dQ6Ix6FSdnL5P7uVnVKu40sxZu975tgG10E/edit?usp=sharing"",""นครปฐม!J488"")"),0)</f>
        <v>0</v>
      </c>
      <c r="DD60" s="278">
        <f ca="1">IFERROR(__xludf.DUMMYFUNCTION("IMPORTRANGE(""https://docs.google.com/spreadsheets/d/1YTZo6WM2dQ6Ix6FSdnL5P7uVnVKu40sxZu975tgG10E/edit?usp=sharing"",""นครปฐม!J489"")"),0)</f>
        <v>0</v>
      </c>
      <c r="DE60" s="278">
        <f ca="1">IFERROR(__xludf.DUMMYFUNCTION("IMPORTRANGE(""https://docs.google.com/spreadsheets/d/1YTZo6WM2dQ6Ix6FSdnL5P7uVnVKu40sxZu975tgG10E/edit?usp=sharing"",""นครปฐม!J490"")"),0)</f>
        <v>0</v>
      </c>
      <c r="DF60" s="278">
        <f ca="1">IFERROR(__xludf.DUMMYFUNCTION("IMPORTRANGE(""https://docs.google.com/spreadsheets/d/1YTZo6WM2dQ6Ix6FSdnL5P7uVnVKu40sxZu975tgG10E/edit?usp=sharing"",""นครปฐม!J491"")"),0)</f>
        <v>0</v>
      </c>
    </row>
    <row r="61" spans="1:110" ht="19.5" x14ac:dyDescent="0.3">
      <c r="A61" s="147">
        <v>9</v>
      </c>
      <c r="B61" s="148" t="s">
        <v>89</v>
      </c>
      <c r="C61" s="566">
        <f t="shared" ca="1" si="44"/>
        <v>19870</v>
      </c>
      <c r="D61" s="567">
        <f t="shared" ca="1" si="94"/>
        <v>19870</v>
      </c>
      <c r="E61" s="329">
        <f ca="1">IFERROR(__xludf.DUMMYFUNCTION("IMPORTRANGE(""https://docs.google.com/spreadsheets/d/1-uDff_7J0KD5mKrp0Vvzr7lt3OU09vwQwhkpOPPYv2Y/edit?usp=sharing"",""งบพรบ!IP61"")"),0)</f>
        <v>0</v>
      </c>
      <c r="F61" s="329">
        <f ca="1">IFERROR(__xludf.DUMMYFUNCTION("IMPORTRANGE(""https://docs.google.com/spreadsheets/d/1-uDff_7J0KD5mKrp0Vvzr7lt3OU09vwQwhkpOPPYv2Y/edit?usp=sharing"",""งบพรบ!IQ61"")"),19870)</f>
        <v>19870</v>
      </c>
      <c r="G61" s="329">
        <f ca="1">IFERROR(__xludf.DUMMYFUNCTION("IMPORTRANGE(""https://docs.google.com/spreadsheets/d/1-uDff_7J0KD5mKrp0Vvzr7lt3OU09vwQwhkpOPPYv2Y/edit?usp=sharing"",""งบพรบ!IR61"")"),0)</f>
        <v>0</v>
      </c>
      <c r="H61" s="329">
        <f ca="1">IFERROR(__xludf.DUMMYFUNCTION("IMPORTRANGE(""https://docs.google.com/spreadsheets/d/1-uDff_7J0KD5mKrp0Vvzr7lt3OU09vwQwhkpOPPYv2Y/edit?usp=sharing"",""งบพรบ!IT61"")"),19870)</f>
        <v>19870</v>
      </c>
      <c r="I61" s="329">
        <f ca="1">IFERROR(__xludf.DUMMYFUNCTION("IMPORTRANGE(""https://docs.google.com/spreadsheets/d/1-uDff_7J0KD5mKrp0Vvzr7lt3OU09vwQwhkpOPPYv2Y/edit?usp=sharing"",""งบพรบ!IU61"")"),0)</f>
        <v>0</v>
      </c>
      <c r="J61" s="329">
        <f t="shared" ca="1" si="46"/>
        <v>19870</v>
      </c>
      <c r="K61" s="568">
        <f t="shared" ca="1" si="47"/>
        <v>100</v>
      </c>
      <c r="L61" s="329">
        <f ca="1">IFERROR(__xludf.DUMMYFUNCTION("IMPORTRANGE(""https://docs.google.com/spreadsheets/d/1-uDff_7J0KD5mKrp0Vvzr7lt3OU09vwQwhkpOPPYv2Y/edit?usp=sharing"",""งบพรบ!IV61"")"),19870)</f>
        <v>19870</v>
      </c>
      <c r="M61" s="330">
        <f t="shared" ca="1" si="48"/>
        <v>100</v>
      </c>
      <c r="N61" s="330">
        <f t="shared" ca="1" si="49"/>
        <v>100</v>
      </c>
      <c r="O61" s="569">
        <f ca="1">IFERROR(__xludf.DUMMYFUNCTION("IMPORTRANGE(""https://docs.google.com/spreadsheets/d/1-uDff_7J0KD5mKrp0Vvzr7lt3OU09vwQwhkpOPPYv2Y/edit?usp=sharing"",""งบพรบ!IW61"")"),0)</f>
        <v>0</v>
      </c>
      <c r="P61" s="569">
        <f t="shared" ca="1" si="50"/>
        <v>0</v>
      </c>
      <c r="Q61" s="330">
        <f t="shared" ca="1" si="51"/>
        <v>0</v>
      </c>
      <c r="R61" s="564">
        <f ca="1">IFERROR(__xludf.DUMMYFUNCTION("IMPORTRANGE(""https://docs.google.com/spreadsheets/d/1OYoGg4WDg5RIzwGeB10padOxJF9E_Vljuvvct_M7RDo/edit?usp=sharing"",""ปทุมธานี!Q413"")"),15410)</f>
        <v>15410</v>
      </c>
      <c r="S61" s="564">
        <f ca="1">IFERROR(__xludf.DUMMYFUNCTION("IMPORTRANGE(""https://docs.google.com/spreadsheets/d/1OYoGg4WDg5RIzwGeB10padOxJF9E_Vljuvvct_M7RDo/edit?usp=sharing"",""ปทุมธานี!R413"")"),15410)</f>
        <v>15410</v>
      </c>
      <c r="T61" s="564">
        <f ca="1">IFERROR(__xludf.DUMMYFUNCTION("IMPORTRANGE(""https://docs.google.com/spreadsheets/d/1OYoGg4WDg5RIzwGeB10padOxJF9E_Vljuvvct_M7RDo/edit?usp=sharing"",""ปทุมธานี!S413"")"),12110)</f>
        <v>12110</v>
      </c>
      <c r="U61" s="565">
        <f t="shared" ca="1" si="53"/>
        <v>78.585334198572355</v>
      </c>
      <c r="V61" s="565">
        <f t="shared" ca="1" si="54"/>
        <v>78.585334198572355</v>
      </c>
      <c r="W61" s="152">
        <f ca="1">IFERROR(__xludf.DUMMYFUNCTION("IMPORTRANGE(""https://docs.google.com/spreadsheets/d/1OYoGg4WDg5RIzwGeB10padOxJF9E_Vljuvvct_M7RDo/edit?usp=sharing"",""ปทุมธานี!I424"")"),0)</f>
        <v>0</v>
      </c>
      <c r="X61" s="152">
        <f ca="1">IFERROR(__xludf.DUMMYFUNCTION("IMPORTRANGE(""https://docs.google.com/spreadsheets/d/1OYoGg4WDg5RIzwGeB10padOxJF9E_Vljuvvct_M7RDo/edit?usp=sharing"",""ปทุมธานี!I425"")"),0)</f>
        <v>0</v>
      </c>
      <c r="Y61" s="152">
        <f ca="1">IFERROR(__xludf.DUMMYFUNCTION("IMPORTRANGE(""https://docs.google.com/spreadsheets/d/1OYoGg4WDg5RIzwGeB10padOxJF9E_Vljuvvct_M7RDo/edit?usp=sharing"",""ปทุมธานี!J424"")"),0)</f>
        <v>0</v>
      </c>
      <c r="Z61" s="216">
        <f t="shared" ca="1" si="56"/>
        <v>0</v>
      </c>
      <c r="AA61" s="152">
        <f ca="1">IFERROR(__xludf.DUMMYFUNCTION("IMPORTRANGE(""https://docs.google.com/spreadsheets/d/1OYoGg4WDg5RIzwGeB10padOxJF9E_Vljuvvct_M7RDo/edit?usp=sharing"",""ปทุมธานี!J425"")"),0)</f>
        <v>0</v>
      </c>
      <c r="AB61" s="216">
        <f t="shared" ca="1" si="57"/>
        <v>0</v>
      </c>
      <c r="AC61" s="152">
        <f ca="1">IFERROR(__xludf.DUMMYFUNCTION("IMPORTRANGE(""https://docs.google.com/spreadsheets/d/1OYoGg4WDg5RIzwGeB10padOxJF9E_Vljuvvct_M7RDo/edit?usp=sharing"",""ปทุมธานี!J426"")"),0)</f>
        <v>0</v>
      </c>
      <c r="AD61" s="152">
        <f ca="1">IFERROR(__xludf.DUMMYFUNCTION("IMPORTRANGE(""https://docs.google.com/spreadsheets/d/1OYoGg4WDg5RIzwGeB10padOxJF9E_Vljuvvct_M7RDo/edit?usp=sharing"",""ปทุมธานี!J427"")"),0)</f>
        <v>0</v>
      </c>
      <c r="AE61" s="152">
        <f ca="1">IFERROR(__xludf.DUMMYFUNCTION("IMPORTRANGE(""https://docs.google.com/spreadsheets/d/1OYoGg4WDg5RIzwGeB10padOxJF9E_Vljuvvct_M7RDo/edit?usp=sharing"",""ปทุมธานี!J428"")"),0)</f>
        <v>0</v>
      </c>
      <c r="AF61" s="152">
        <f ca="1">IFERROR(__xludf.DUMMYFUNCTION("IMPORTRANGE(""https://docs.google.com/spreadsheets/d/1OYoGg4WDg5RIzwGeB10padOxJF9E_Vljuvvct_M7RDo/edit?usp=sharing"",""ปทุมธานี!J429"")"),0)</f>
        <v>0</v>
      </c>
      <c r="AG61" s="152">
        <f ca="1">IFERROR(__xludf.DUMMYFUNCTION("IMPORTRANGE(""https://docs.google.com/spreadsheets/d/1OYoGg4WDg5RIzwGeB10padOxJF9E_Vljuvvct_M7RDo/edit?usp=sharing"",""ปทุมธานี!J430"")"),0)</f>
        <v>0</v>
      </c>
      <c r="AH61" s="152">
        <f ca="1">IFERROR(__xludf.DUMMYFUNCTION("IMPORTRANGE(""https://docs.google.com/spreadsheets/d/1OYoGg4WDg5RIzwGeB10padOxJF9E_Vljuvvct_M7RDo/edit?usp=sharing"",""ปทุมธานี!J431"")"),0)</f>
        <v>0</v>
      </c>
      <c r="AI61" s="152">
        <f ca="1">IFERROR(__xludf.DUMMYFUNCTION("IMPORTRANGE(""https://docs.google.com/spreadsheets/d/1OYoGg4WDg5RIzwGeB10padOxJF9E_Vljuvvct_M7RDo/edit?usp=sharing"",""ปทุมธานี!I432"")"),0)</f>
        <v>0</v>
      </c>
      <c r="AJ61" s="152">
        <f ca="1">IFERROR(__xludf.DUMMYFUNCTION("IMPORTRANGE(""https://docs.google.com/spreadsheets/d/1OYoGg4WDg5RIzwGeB10padOxJF9E_Vljuvvct_M7RDo/edit?usp=sharing"",""ปทุมธานี!I433"")"),0)</f>
        <v>0</v>
      </c>
      <c r="AK61" s="216">
        <f ca="1">IFERROR(__xludf.DUMMYFUNCTION("IMPORTRANGE(""https://docs.google.com/spreadsheets/d/1OYoGg4WDg5RIzwGeB10padOxJF9E_Vljuvvct_M7RDo/edit?usp=sharing"",""ปทุมธานี!J432"")"),0)</f>
        <v>0</v>
      </c>
      <c r="AL61" s="216">
        <f t="shared" ca="1" si="59"/>
        <v>0</v>
      </c>
      <c r="AM61" s="152">
        <f ca="1">IFERROR(__xludf.DUMMYFUNCTION("IMPORTRANGE(""https://docs.google.com/spreadsheets/d/1OYoGg4WDg5RIzwGeB10padOxJF9E_Vljuvvct_M7RDo/edit?usp=sharing"",""ปทุมธานี!J433"")"),0)</f>
        <v>0</v>
      </c>
      <c r="AN61" s="216">
        <f t="shared" ca="1" si="60"/>
        <v>0</v>
      </c>
      <c r="AO61" s="152">
        <f ca="1">IFERROR(__xludf.DUMMYFUNCTION("IMPORTRANGE(""https://docs.google.com/spreadsheets/d/1OYoGg4WDg5RIzwGeB10padOxJF9E_Vljuvvct_M7RDo/edit?usp=sharing"",""ปทุมธานี!J434"")"),0)</f>
        <v>0</v>
      </c>
      <c r="AP61" s="152">
        <f ca="1">IFERROR(__xludf.DUMMYFUNCTION("IMPORTRANGE(""https://docs.google.com/spreadsheets/d/1OYoGg4WDg5RIzwGeB10padOxJF9E_Vljuvvct_M7RDo/edit?usp=sharing"",""ปทุมธานี!J435"")"),0)</f>
        <v>0</v>
      </c>
      <c r="AQ61" s="152">
        <f ca="1">IFERROR(__xludf.DUMMYFUNCTION("IMPORTRANGE(""https://docs.google.com/spreadsheets/d/1OYoGg4WDg5RIzwGeB10padOxJF9E_Vljuvvct_M7RDo/edit?usp=sharing"",""ปทุมธานี!J436"")"),0)</f>
        <v>0</v>
      </c>
      <c r="AR61" s="152">
        <f ca="1">IFERROR(__xludf.DUMMYFUNCTION("IMPORTRANGE(""https://docs.google.com/spreadsheets/d/1OYoGg4WDg5RIzwGeB10padOxJF9E_Vljuvvct_M7RDo/edit?usp=sharing"",""ปทุมธานี!J437"")"),0)</f>
        <v>0</v>
      </c>
      <c r="AS61" s="152">
        <f ca="1">IFERROR(__xludf.DUMMYFUNCTION("IMPORTRANGE(""https://docs.google.com/spreadsheets/d/1OYoGg4WDg5RIzwGeB10padOxJF9E_Vljuvvct_M7RDo/edit?usp=sharing"",""ปทุมธานี!J438"")"),0)</f>
        <v>0</v>
      </c>
      <c r="AT61" s="152">
        <f ca="1">IFERROR(__xludf.DUMMYFUNCTION("IMPORTRANGE(""https://docs.google.com/spreadsheets/d/1OYoGg4WDg5RIzwGeB10padOxJF9E_Vljuvvct_M7RDo/edit?usp=sharing"",""ปทุมธานี!J439"")"),0)</f>
        <v>0</v>
      </c>
      <c r="AU61" s="152">
        <f ca="1">IFERROR(__xludf.DUMMYFUNCTION("IMPORTRANGE(""https://docs.google.com/spreadsheets/d/1OYoGg4WDg5RIzwGeB10padOxJF9E_Vljuvvct_M7RDo/edit?usp=sharing"",""ปทุมธานี!I440"")"),0)</f>
        <v>0</v>
      </c>
      <c r="AV61" s="152">
        <f ca="1">IFERROR(__xludf.DUMMYFUNCTION("IMPORTRANGE(""https://docs.google.com/spreadsheets/d/1OYoGg4WDg5RIzwGeB10padOxJF9E_Vljuvvct_M7RDo/edit?usp=sharing"",""ปทุมธานี!I441"")"),0)</f>
        <v>0</v>
      </c>
      <c r="AW61" s="152">
        <f ca="1">IFERROR(__xludf.DUMMYFUNCTION("IMPORTRANGE(""https://docs.google.com/spreadsheets/d/1OYoGg4WDg5RIzwGeB10padOxJF9E_Vljuvvct_M7RDo/edit?usp=sharing"",""ปทุมธานี!J440"")"),0)</f>
        <v>0</v>
      </c>
      <c r="AX61" s="216">
        <f t="shared" ca="1" si="62"/>
        <v>0</v>
      </c>
      <c r="AY61" s="152">
        <f ca="1">IFERROR(__xludf.DUMMYFUNCTION("IMPORTRANGE(""https://docs.google.com/spreadsheets/d/1OYoGg4WDg5RIzwGeB10padOxJF9E_Vljuvvct_M7RDo/edit?usp=sharing"",""ปทุมธานี!J441"")"),0)</f>
        <v>0</v>
      </c>
      <c r="AZ61" s="216">
        <f t="shared" ca="1" si="63"/>
        <v>0</v>
      </c>
      <c r="BA61" s="152">
        <f ca="1">IFERROR(__xludf.DUMMYFUNCTION("IMPORTRANGE(""https://docs.google.com/spreadsheets/d/1OYoGg4WDg5RIzwGeB10padOxJF9E_Vljuvvct_M7RDo/edit?usp=sharing"",""ปทุมธานี!J442"")"),0)</f>
        <v>0</v>
      </c>
      <c r="BB61" s="152">
        <f ca="1">IFERROR(__xludf.DUMMYFUNCTION("IMPORTRANGE(""https://docs.google.com/spreadsheets/d/1OYoGg4WDg5RIzwGeB10padOxJF9E_Vljuvvct_M7RDo/edit?usp=sharing"",""ปทุมธานี!J443"")"),0)</f>
        <v>0</v>
      </c>
      <c r="BC61" s="152">
        <f ca="1">IFERROR(__xludf.DUMMYFUNCTION("IMPORTRANGE(""https://docs.google.com/spreadsheets/d/1OYoGg4WDg5RIzwGeB10padOxJF9E_Vljuvvct_M7RDo/edit?usp=sharing"",""ปทุมธานี!J444"")"),0)</f>
        <v>0</v>
      </c>
      <c r="BD61" s="152">
        <f ca="1">IFERROR(__xludf.DUMMYFUNCTION("IMPORTRANGE(""https://docs.google.com/spreadsheets/d/1OYoGg4WDg5RIzwGeB10padOxJF9E_Vljuvvct_M7RDo/edit?usp=sharing"",""ปทุมธานี!J445"")"),0)</f>
        <v>0</v>
      </c>
      <c r="BE61" s="152">
        <f ca="1">IFERROR(__xludf.DUMMYFUNCTION("IMPORTRANGE(""https://docs.google.com/spreadsheets/d/1OYoGg4WDg5RIzwGeB10padOxJF9E_Vljuvvct_M7RDo/edit?usp=sharing"",""ปทุมธานี!J446"")"),0)</f>
        <v>0</v>
      </c>
      <c r="BF61" s="152">
        <f ca="1">IFERROR(__xludf.DUMMYFUNCTION("IMPORTRANGE(""https://docs.google.com/spreadsheets/d/1OYoGg4WDg5RIzwGeB10padOxJF9E_Vljuvvct_M7RDo/edit?usp=sharing"",""ปทุมธานี!J447"")"),0)</f>
        <v>0</v>
      </c>
      <c r="BG61" s="152">
        <f ca="1">IFERROR(__xludf.DUMMYFUNCTION("IMPORTRANGE(""https://docs.google.com/spreadsheets/d/1OYoGg4WDg5RIzwGeB10padOxJF9E_Vljuvvct_M7RDo/edit?usp=sharing"",""ปทุมธานี!J448"")"),0)</f>
        <v>0</v>
      </c>
      <c r="BH61" s="152">
        <f ca="1">IFERROR(__xludf.DUMMYFUNCTION("IMPORTRANGE(""https://docs.google.com/spreadsheets/d/1OYoGg4WDg5RIzwGeB10padOxJF9E_Vljuvvct_M7RDo/edit?usp=sharing"",""ปทุมธานี!J449"")"),0)</f>
        <v>0</v>
      </c>
      <c r="BI61" s="152">
        <f ca="1">IFERROR(__xludf.DUMMYFUNCTION("IMPORTRANGE(""https://docs.google.com/spreadsheets/d/1OYoGg4WDg5RIzwGeB10padOxJF9E_Vljuvvct_M7RDo/edit?usp=sharing"",""ปทุมธานี!J450"")"),0)</f>
        <v>0</v>
      </c>
      <c r="BJ61" s="152">
        <f ca="1">IFERROR(__xludf.DUMMYFUNCTION("IMPORTRANGE(""https://docs.google.com/spreadsheets/d/1OYoGg4WDg5RIzwGeB10padOxJF9E_Vljuvvct_M7RDo/edit?usp=sharing"",""ปทุมธานี!J451"")"),0)</f>
        <v>0</v>
      </c>
      <c r="BK61" s="152">
        <f ca="1">IFERROR(__xludf.DUMMYFUNCTION("IMPORTRANGE(""https://docs.google.com/spreadsheets/d/1OYoGg4WDg5RIzwGeB10padOxJF9E_Vljuvvct_M7RDo/edit?usp=sharing"",""ปทุมธานี!J452"")"),0)</f>
        <v>0</v>
      </c>
      <c r="BL61" s="152">
        <f ca="1">IFERROR(__xludf.DUMMYFUNCTION("IMPORTRANGE(""https://docs.google.com/spreadsheets/d/1OYoGg4WDg5RIzwGeB10padOxJF9E_Vljuvvct_M7RDo/edit?usp=sharing"",""ปทุมธานี!J453"")"),0)</f>
        <v>0</v>
      </c>
      <c r="BM61" s="152">
        <f ca="1">IFERROR(__xludf.DUMMYFUNCTION("IMPORTRANGE(""https://docs.google.com/spreadsheets/d/1OYoGg4WDg5RIzwGeB10padOxJF9E_Vljuvvct_M7RDo/edit?usp=sharing"",""ปทุมธานี!J454"")"),0)</f>
        <v>0</v>
      </c>
      <c r="BN61" s="152">
        <f ca="1">IFERROR(__xludf.DUMMYFUNCTION("IMPORTRANGE(""https://docs.google.com/spreadsheets/d/1OYoGg4WDg5RIzwGeB10padOxJF9E_Vljuvvct_M7RDo/edit?usp=sharing"",""ปทุมธานี!J455"")"),0)</f>
        <v>0</v>
      </c>
      <c r="BO61" s="152">
        <f ca="1">IFERROR(__xludf.DUMMYFUNCTION("IMPORTRANGE(""https://docs.google.com/spreadsheets/d/1OYoGg4WDg5RIzwGeB10padOxJF9E_Vljuvvct_M7RDo/edit?usp=sharing"",""ปทุมธานี!I457"")"),160.58)</f>
        <v>160.58000000000001</v>
      </c>
      <c r="BP61" s="152">
        <f ca="1">IFERROR(__xludf.DUMMYFUNCTION("IMPORTRANGE(""https://docs.google.com/spreadsheets/d/1OYoGg4WDg5RIzwGeB10padOxJF9E_Vljuvvct_M7RDo/edit?usp=sharing"",""ปทุมธานี!I458"")"),17)</f>
        <v>17</v>
      </c>
      <c r="BQ61" s="152">
        <f ca="1">IFERROR(__xludf.DUMMYFUNCTION("IMPORTRANGE(""https://docs.google.com/spreadsheets/d/1OYoGg4WDg5RIzwGeB10padOxJF9E_Vljuvvct_M7RDo/edit?usp=sharing"",""ปทุมธานี!J457"")"),160.579999999999)</f>
        <v>160.57999999999899</v>
      </c>
      <c r="BR61" s="216">
        <f t="shared" ca="1" si="65"/>
        <v>99.999999999999361</v>
      </c>
      <c r="BS61" s="152">
        <f ca="1">IFERROR(__xludf.DUMMYFUNCTION("IMPORTRANGE(""https://docs.google.com/spreadsheets/d/1OYoGg4WDg5RIzwGeB10padOxJF9E_Vljuvvct_M7RDo/edit?usp=sharing"",""ปทุมธานี!J458"")"),17)</f>
        <v>17</v>
      </c>
      <c r="BT61" s="216">
        <f t="shared" ca="1" si="66"/>
        <v>100</v>
      </c>
      <c r="BU61" s="152">
        <f ca="1">IFERROR(__xludf.DUMMYFUNCTION("IMPORTRANGE(""https://docs.google.com/spreadsheets/d/1OYoGg4WDg5RIzwGeB10padOxJF9E_Vljuvvct_M7RDo/edit?usp=sharing"",""ปทุมธานี!J459"")"),134.79)</f>
        <v>134.79</v>
      </c>
      <c r="BV61" s="152">
        <f ca="1">IFERROR(__xludf.DUMMYFUNCTION("IMPORTRANGE(""https://docs.google.com/spreadsheets/d/1OYoGg4WDg5RIzwGeB10padOxJF9E_Vljuvvct_M7RDo/edit?usp=sharing"",""ปทุมธานี!J460"")"),13)</f>
        <v>13</v>
      </c>
      <c r="BW61" s="152">
        <f ca="1">IFERROR(__xludf.DUMMYFUNCTION("IMPORTRANGE(""https://docs.google.com/spreadsheets/d/1OYoGg4WDg5RIzwGeB10padOxJF9E_Vljuvvct_M7RDo/edit?usp=sharing"",""ปทุมธานี!J461"")"),0)</f>
        <v>0</v>
      </c>
      <c r="BX61" s="152">
        <f ca="1">IFERROR(__xludf.DUMMYFUNCTION("IMPORTRANGE(""https://docs.google.com/spreadsheets/d/1OYoGg4WDg5RIzwGeB10padOxJF9E_Vljuvvct_M7RDo/edit?usp=sharing"",""ปทุมธานี!J462"")"),0)</f>
        <v>0</v>
      </c>
      <c r="BY61" s="152">
        <f ca="1">IFERROR(__xludf.DUMMYFUNCTION("IMPORTRANGE(""https://docs.google.com/spreadsheets/d/1OYoGg4WDg5RIzwGeB10padOxJF9E_Vljuvvct_M7RDo/edit?usp=sharing"",""ปทุมธานี!J463"")"),134.79)</f>
        <v>134.79</v>
      </c>
      <c r="BZ61" s="152">
        <f ca="1">IFERROR(__xludf.DUMMYFUNCTION("IMPORTRANGE(""https://docs.google.com/spreadsheets/d/1OYoGg4WDg5RIzwGeB10padOxJF9E_Vljuvvct_M7RDo/edit?usp=sharing"",""ปทุมธานี!J464"")"),13)</f>
        <v>13</v>
      </c>
      <c r="CA61" s="152">
        <f ca="1">IFERROR(__xludf.DUMMYFUNCTION("IMPORTRANGE(""https://docs.google.com/spreadsheets/d/1OYoGg4WDg5RIzwGeB10padOxJF9E_Vljuvvct_M7RDo/edit?usp=sharing"",""ปทุมธานี!J465"")"),0)</f>
        <v>0</v>
      </c>
      <c r="CB61" s="152">
        <f ca="1">IFERROR(__xludf.DUMMYFUNCTION("IMPORTRANGE(""https://docs.google.com/spreadsheets/d/1OYoGg4WDg5RIzwGeB10padOxJF9E_Vljuvvct_M7RDo/edit?usp=sharing"",""ปทุมธานี!J466"")"),0)</f>
        <v>0</v>
      </c>
      <c r="CC61" s="152">
        <f ca="1">IFERROR(__xludf.DUMMYFUNCTION("IMPORTRANGE(""https://docs.google.com/spreadsheets/d/1OYoGg4WDg5RIzwGeB10padOxJF9E_Vljuvvct_M7RDo/edit?usp=sharing"",""ปทุมธานี!J467"")"),25.79)</f>
        <v>25.79</v>
      </c>
      <c r="CD61" s="152">
        <f ca="1">IFERROR(__xludf.DUMMYFUNCTION("IMPORTRANGE(""https://docs.google.com/spreadsheets/d/1OYoGg4WDg5RIzwGeB10padOxJF9E_Vljuvvct_M7RDo/edit?usp=sharing"",""ปทุมธานี!J468"")"),4)</f>
        <v>4</v>
      </c>
      <c r="CE61" s="152">
        <f ca="1">IFERROR(__xludf.DUMMYFUNCTION("IMPORTRANGE(""https://docs.google.com/spreadsheets/d/1OYoGg4WDg5RIzwGeB10padOxJF9E_Vljuvvct_M7RDo/edit?usp=sharing"",""ปทุมธานี!J469"")"),8.95)</f>
        <v>8.9499999999999993</v>
      </c>
      <c r="CF61" s="152">
        <f ca="1">IFERROR(__xludf.DUMMYFUNCTION("IMPORTRANGE(""https://docs.google.com/spreadsheets/d/1OYoGg4WDg5RIzwGeB10padOxJF9E_Vljuvvct_M7RDo/edit?usp=sharing"",""ปทุมธานี!J470"")"),2)</f>
        <v>2</v>
      </c>
      <c r="CG61" s="152">
        <f ca="1">IFERROR(__xludf.DUMMYFUNCTION("IMPORTRANGE(""https://docs.google.com/spreadsheets/d/1OYoGg4WDg5RIzwGeB10padOxJF9E_Vljuvvct_M7RDo/edit?usp=sharing"",""ปทุมธานี!J471"")"),16.84)</f>
        <v>16.84</v>
      </c>
      <c r="CH61" s="152">
        <f ca="1">IFERROR(__xludf.DUMMYFUNCTION("IMPORTRANGE(""https://docs.google.com/spreadsheets/d/1OYoGg4WDg5RIzwGeB10padOxJF9E_Vljuvvct_M7RDo/edit?usp=sharing"",""ปทุมธานี!J472"")"),2)</f>
        <v>2</v>
      </c>
      <c r="CI61" s="152">
        <f ca="1">IFERROR(__xludf.DUMMYFUNCTION("IMPORTRANGE(""https://docs.google.com/spreadsheets/d/1OYoGg4WDg5RIzwGeB10padOxJF9E_Vljuvvct_M7RDo/edit?usp=sharing"",""ปทุมธานี!J473"")"),0)</f>
        <v>0</v>
      </c>
      <c r="CJ61" s="152">
        <f ca="1">IFERROR(__xludf.DUMMYFUNCTION("IMPORTRANGE(""https://docs.google.com/spreadsheets/d/1OYoGg4WDg5RIzwGeB10padOxJF9E_Vljuvvct_M7RDo/edit?usp=sharing"",""ปทุมธานี!J474"")"),0)</f>
        <v>0</v>
      </c>
      <c r="CK61" s="278">
        <f ca="1">IFERROR(__xludf.DUMMYFUNCTION("IMPORTRANGE(""https://docs.google.com/spreadsheets/d/1OYoGg4WDg5RIzwGeB10padOxJF9E_Vljuvvct_M7RDo/edit?usp=sharing"",""ปทุมธานี!I476"")"),0)</f>
        <v>0</v>
      </c>
      <c r="CL61" s="278">
        <f ca="1">IFERROR(__xludf.DUMMYFUNCTION("IMPORTRANGE(""https://docs.google.com/spreadsheets/d/1OYoGg4WDg5RIzwGeB10padOxJF9E_Vljuvvct_M7RDo/edit?usp=sharing"",""ปทุมธานี!I477"")"),0)</f>
        <v>0</v>
      </c>
      <c r="CM61" s="278">
        <f ca="1">IFERROR(__xludf.DUMMYFUNCTION("IMPORTRANGE(""https://docs.google.com/spreadsheets/d/1OYoGg4WDg5RIzwGeB10padOxJF9E_Vljuvvct_M7RDo/edit?usp=sharing"",""ปทุมธานี!J476"")"),0)</f>
        <v>0</v>
      </c>
      <c r="CN61" s="216">
        <f t="shared" ca="1" si="68"/>
        <v>0</v>
      </c>
      <c r="CO61" s="278">
        <f ca="1">IFERROR(__xludf.DUMMYFUNCTION("IMPORTRANGE(""https://docs.google.com/spreadsheets/d/1OYoGg4WDg5RIzwGeB10padOxJF9E_Vljuvvct_M7RDo/edit?usp=sharing"",""ปทุมธานี!J477"")"),0)</f>
        <v>0</v>
      </c>
      <c r="CP61" s="216">
        <f t="shared" ca="1" si="69"/>
        <v>0</v>
      </c>
      <c r="CQ61" s="278">
        <f ca="1">IFERROR(__xludf.DUMMYFUNCTION("IMPORTRANGE(""https://docs.google.com/spreadsheets/d/1OYoGg4WDg5RIzwGeB10padOxJF9E_Vljuvvct_M7RDo/edit?usp=sharing"",""ปทุมธานี!J478"")"),0)</f>
        <v>0</v>
      </c>
      <c r="CR61" s="278">
        <f ca="1">IFERROR(__xludf.DUMMYFUNCTION("IMPORTRANGE(""https://docs.google.com/spreadsheets/d/1OYoGg4WDg5RIzwGeB10padOxJF9E_Vljuvvct_M7RDo/edit?usp=sharing"",""ปทุมธานี!J479"")"),0)</f>
        <v>0</v>
      </c>
      <c r="CS61" s="278">
        <f ca="1">IFERROR(__xludf.DUMMYFUNCTION("IMPORTRANGE(""https://docs.google.com/spreadsheets/d/1OYoGg4WDg5RIzwGeB10padOxJF9E_Vljuvvct_M7RDo/edit?usp=sharing"",""ปทุมธานี!J480"")"),0)</f>
        <v>0</v>
      </c>
      <c r="CT61" s="278">
        <f ca="1">IFERROR(__xludf.DUMMYFUNCTION("IMPORTRANGE(""https://docs.google.com/spreadsheets/d/1OYoGg4WDg5RIzwGeB10padOxJF9E_Vljuvvct_M7RDo/edit?usp=sharing"",""ปทุมธานี!J481"")"),0)</f>
        <v>0</v>
      </c>
      <c r="CU61" s="278">
        <f ca="1">IFERROR(__xludf.DUMMYFUNCTION("IMPORTRANGE(""https://docs.google.com/spreadsheets/d/1OYoGg4WDg5RIzwGeB10padOxJF9E_Vljuvvct_M7RDo/edit?usp=sharing"",""ปทุมธานี!I484"")"),0)</f>
        <v>0</v>
      </c>
      <c r="CV61" s="278">
        <f ca="1">IFERROR(__xludf.DUMMYFUNCTION("IMPORTRANGE(""https://docs.google.com/spreadsheets/d/1OYoGg4WDg5RIzwGeB10padOxJF9E_Vljuvvct_M7RDo/edit?usp=sharing"",""ปทุมธานี!I485"")"),0)</f>
        <v>0</v>
      </c>
      <c r="CW61" s="278">
        <f ca="1">IFERROR(__xludf.DUMMYFUNCTION("IMPORTRANGE(""https://docs.google.com/spreadsheets/d/1OYoGg4WDg5RIzwGeB10padOxJF9E_Vljuvvct_M7RDo/edit?usp=sharing"",""ปทุมธานี!J484"")"),0)</f>
        <v>0</v>
      </c>
      <c r="CX61" s="216">
        <f t="shared" ca="1" si="71"/>
        <v>0</v>
      </c>
      <c r="CY61" s="278">
        <f ca="1">IFERROR(__xludf.DUMMYFUNCTION("IMPORTRANGE(""https://docs.google.com/spreadsheets/d/1OYoGg4WDg5RIzwGeB10padOxJF9E_Vljuvvct_M7RDo/edit?usp=sharing"",""ปทุมธานี!J485"")"),0)</f>
        <v>0</v>
      </c>
      <c r="CZ61" s="216">
        <f t="shared" ca="1" si="72"/>
        <v>0</v>
      </c>
      <c r="DA61" s="278">
        <f ca="1">IFERROR(__xludf.DUMMYFUNCTION("IMPORTRANGE(""https://docs.google.com/spreadsheets/d/1OYoGg4WDg5RIzwGeB10padOxJF9E_Vljuvvct_M7RDo/edit?usp=sharing"",""ปทุมธานี!J486"")"),0)</f>
        <v>0</v>
      </c>
      <c r="DB61" s="278">
        <f ca="1">IFERROR(__xludf.DUMMYFUNCTION("IMPORTRANGE(""https://docs.google.com/spreadsheets/d/1OYoGg4WDg5RIzwGeB10padOxJF9E_Vljuvvct_M7RDo/edit?usp=sharing"",""ปทุมธานี!J487"")"),0)</f>
        <v>0</v>
      </c>
      <c r="DC61" s="278">
        <f ca="1">IFERROR(__xludf.DUMMYFUNCTION("IMPORTRANGE(""https://docs.google.com/spreadsheets/d/1OYoGg4WDg5RIzwGeB10padOxJF9E_Vljuvvct_M7RDo/edit?usp=sharing"",""ปทุมธานี!J488"")"),0)</f>
        <v>0</v>
      </c>
      <c r="DD61" s="278">
        <f ca="1">IFERROR(__xludf.DUMMYFUNCTION("IMPORTRANGE(""https://docs.google.com/spreadsheets/d/1OYoGg4WDg5RIzwGeB10padOxJF9E_Vljuvvct_M7RDo/edit?usp=sharing"",""ปทุมธานี!J489"")"),0)</f>
        <v>0</v>
      </c>
      <c r="DE61" s="278">
        <f ca="1">IFERROR(__xludf.DUMMYFUNCTION("IMPORTRANGE(""https://docs.google.com/spreadsheets/d/1OYoGg4WDg5RIzwGeB10padOxJF9E_Vljuvvct_M7RDo/edit?usp=sharing"",""ปทุมธานี!J490"")"),0)</f>
        <v>0</v>
      </c>
      <c r="DF61" s="278">
        <f ca="1">IFERROR(__xludf.DUMMYFUNCTION("IMPORTRANGE(""https://docs.google.com/spreadsheets/d/1OYoGg4WDg5RIzwGeB10padOxJF9E_Vljuvvct_M7RDo/edit?usp=sharing"",""ปทุมธานี!J491"")"),0)</f>
        <v>0</v>
      </c>
    </row>
    <row r="62" spans="1:110" ht="19.5" x14ac:dyDescent="0.3">
      <c r="A62" s="147">
        <v>10</v>
      </c>
      <c r="B62" s="148" t="s">
        <v>90</v>
      </c>
      <c r="C62" s="566">
        <f t="shared" ca="1" si="44"/>
        <v>46120</v>
      </c>
      <c r="D62" s="567">
        <f t="shared" ca="1" si="94"/>
        <v>46120</v>
      </c>
      <c r="E62" s="329">
        <f ca="1">IFERROR(__xludf.DUMMYFUNCTION("IMPORTRANGE(""https://docs.google.com/spreadsheets/d/1-uDff_7J0KD5mKrp0Vvzr7lt3OU09vwQwhkpOPPYv2Y/edit?usp=sharing"",""งบพรบ!IP62"")"),0)</f>
        <v>0</v>
      </c>
      <c r="F62" s="329">
        <f ca="1">IFERROR(__xludf.DUMMYFUNCTION("IMPORTRANGE(""https://docs.google.com/spreadsheets/d/1-uDff_7J0KD5mKrp0Vvzr7lt3OU09vwQwhkpOPPYv2Y/edit?usp=sharing"",""งบพรบ!IQ62"")"),46120)</f>
        <v>46120</v>
      </c>
      <c r="G62" s="329">
        <f ca="1">IFERROR(__xludf.DUMMYFUNCTION("IMPORTRANGE(""https://docs.google.com/spreadsheets/d/1-uDff_7J0KD5mKrp0Vvzr7lt3OU09vwQwhkpOPPYv2Y/edit?usp=sharing"",""งบพรบ!IR62"")"),0)</f>
        <v>0</v>
      </c>
      <c r="H62" s="329">
        <f ca="1">IFERROR(__xludf.DUMMYFUNCTION("IMPORTRANGE(""https://docs.google.com/spreadsheets/d/1-uDff_7J0KD5mKrp0Vvzr7lt3OU09vwQwhkpOPPYv2Y/edit?usp=sharing"",""งบพรบ!IT62"")"),46120)</f>
        <v>46120</v>
      </c>
      <c r="I62" s="329">
        <f ca="1">IFERROR(__xludf.DUMMYFUNCTION("IMPORTRANGE(""https://docs.google.com/spreadsheets/d/1-uDff_7J0KD5mKrp0Vvzr7lt3OU09vwQwhkpOPPYv2Y/edit?usp=sharing"",""งบพรบ!IU62"")"),0)</f>
        <v>0</v>
      </c>
      <c r="J62" s="329">
        <f t="shared" ca="1" si="46"/>
        <v>0</v>
      </c>
      <c r="K62" s="568">
        <f t="shared" ca="1" si="47"/>
        <v>0</v>
      </c>
      <c r="L62" s="329">
        <f ca="1">IFERROR(__xludf.DUMMYFUNCTION("IMPORTRANGE(""https://docs.google.com/spreadsheets/d/1-uDff_7J0KD5mKrp0Vvzr7lt3OU09vwQwhkpOPPYv2Y/edit?usp=sharing"",""งบพรบ!IV62"")"),0)</f>
        <v>0</v>
      </c>
      <c r="M62" s="330">
        <f t="shared" ca="1" si="48"/>
        <v>0</v>
      </c>
      <c r="N62" s="330">
        <f t="shared" ca="1" si="49"/>
        <v>0</v>
      </c>
      <c r="O62" s="569">
        <f ca="1">IFERROR(__xludf.DUMMYFUNCTION("IMPORTRANGE(""https://docs.google.com/spreadsheets/d/1-uDff_7J0KD5mKrp0Vvzr7lt3OU09vwQwhkpOPPYv2Y/edit?usp=sharing"",""งบพรบ!IW62"")"),0)</f>
        <v>0</v>
      </c>
      <c r="P62" s="569">
        <f t="shared" ca="1" si="50"/>
        <v>0</v>
      </c>
      <c r="Q62" s="330">
        <f t="shared" ca="1" si="51"/>
        <v>0</v>
      </c>
      <c r="R62" s="564">
        <f ca="1">IFERROR(__xludf.DUMMYFUNCTION("IMPORTRANGE(""https://docs.google.com/spreadsheets/d/1GbCIE4D4wk9FUozzqk7SxfDMxDVBwVmI5zcaVUSzKAc/edit?usp=sharing"",""ประจวบคีรีขันธ์!Q413"")"),16040)</f>
        <v>16040</v>
      </c>
      <c r="S62" s="564">
        <f ca="1">IFERROR(__xludf.DUMMYFUNCTION("IMPORTRANGE(""https://docs.google.com/spreadsheets/d/1GbCIE4D4wk9FUozzqk7SxfDMxDVBwVmI5zcaVUSzKAc/edit?usp=sharing"",""ประจวบคีรีขันธ์!R413"")"),16040)</f>
        <v>16040</v>
      </c>
      <c r="T62" s="564">
        <f ca="1">IFERROR(__xludf.DUMMYFUNCTION("IMPORTRANGE(""https://docs.google.com/spreadsheets/d/1GbCIE4D4wk9FUozzqk7SxfDMxDVBwVmI5zcaVUSzKAc/edit?usp=sharing"",""ประจวบคีรีขันธ์!S413"")"),0)</f>
        <v>0</v>
      </c>
      <c r="U62" s="565">
        <f t="shared" ca="1" si="53"/>
        <v>0</v>
      </c>
      <c r="V62" s="565">
        <f t="shared" ca="1" si="54"/>
        <v>0</v>
      </c>
      <c r="W62" s="152">
        <f ca="1">IFERROR(__xludf.DUMMYFUNCTION("IMPORTRANGE(""https://docs.google.com/spreadsheets/d/1GbCIE4D4wk9FUozzqk7SxfDMxDVBwVmI5zcaVUSzKAc/edit?usp=sharing"",""ประจวบคีรีขันธ์!I424"")"),0)</f>
        <v>0</v>
      </c>
      <c r="X62" s="152">
        <f ca="1">IFERROR(__xludf.DUMMYFUNCTION("IMPORTRANGE(""https://docs.google.com/spreadsheets/d/1GbCIE4D4wk9FUozzqk7SxfDMxDVBwVmI5zcaVUSzKAc/edit?usp=sharing"",""ประจวบคีรีขันธ์!I425"")"),0)</f>
        <v>0</v>
      </c>
      <c r="Y62" s="152">
        <f ca="1">IFERROR(__xludf.DUMMYFUNCTION("IMPORTRANGE(""https://docs.google.com/spreadsheets/d/1GbCIE4D4wk9FUozzqk7SxfDMxDVBwVmI5zcaVUSzKAc/edit?usp=sharing"",""ประจวบคีรีขันธ์!J424"")"),0)</f>
        <v>0</v>
      </c>
      <c r="Z62" s="216">
        <f t="shared" ca="1" si="56"/>
        <v>0</v>
      </c>
      <c r="AA62" s="152">
        <f ca="1">IFERROR(__xludf.DUMMYFUNCTION("IMPORTRANGE(""https://docs.google.com/spreadsheets/d/1GbCIE4D4wk9FUozzqk7SxfDMxDVBwVmI5zcaVUSzKAc/edit?usp=sharing"",""ประจวบคีรีขันธ์!J425"")"),0)</f>
        <v>0</v>
      </c>
      <c r="AB62" s="216">
        <f t="shared" ca="1" si="57"/>
        <v>0</v>
      </c>
      <c r="AC62" s="152">
        <f ca="1">IFERROR(__xludf.DUMMYFUNCTION("IMPORTRANGE(""https://docs.google.com/spreadsheets/d/1GbCIE4D4wk9FUozzqk7SxfDMxDVBwVmI5zcaVUSzKAc/edit?usp=sharing"",""ประจวบคีรีขันธ์!J426"")"),0)</f>
        <v>0</v>
      </c>
      <c r="AD62" s="152">
        <f ca="1">IFERROR(__xludf.DUMMYFUNCTION("IMPORTRANGE(""https://docs.google.com/spreadsheets/d/1GbCIE4D4wk9FUozzqk7SxfDMxDVBwVmI5zcaVUSzKAc/edit?usp=sharing"",""ประจวบคีรีขันธ์!J427"")"),0)</f>
        <v>0</v>
      </c>
      <c r="AE62" s="152">
        <f ca="1">IFERROR(__xludf.DUMMYFUNCTION("IMPORTRANGE(""https://docs.google.com/spreadsheets/d/1GbCIE4D4wk9FUozzqk7SxfDMxDVBwVmI5zcaVUSzKAc/edit?usp=sharing"",""ประจวบคีรีขันธ์!J428"")"),0)</f>
        <v>0</v>
      </c>
      <c r="AF62" s="152">
        <f ca="1">IFERROR(__xludf.DUMMYFUNCTION("IMPORTRANGE(""https://docs.google.com/spreadsheets/d/1GbCIE4D4wk9FUozzqk7SxfDMxDVBwVmI5zcaVUSzKAc/edit?usp=sharing"",""ประจวบคีรีขันธ์!J429"")"),0)</f>
        <v>0</v>
      </c>
      <c r="AG62" s="152">
        <f ca="1">IFERROR(__xludf.DUMMYFUNCTION("IMPORTRANGE(""https://docs.google.com/spreadsheets/d/1GbCIE4D4wk9FUozzqk7SxfDMxDVBwVmI5zcaVUSzKAc/edit?usp=sharing"",""ประจวบคีรีขันธ์!J430"")"),0)</f>
        <v>0</v>
      </c>
      <c r="AH62" s="152">
        <f ca="1">IFERROR(__xludf.DUMMYFUNCTION("IMPORTRANGE(""https://docs.google.com/spreadsheets/d/1GbCIE4D4wk9FUozzqk7SxfDMxDVBwVmI5zcaVUSzKAc/edit?usp=sharing"",""ประจวบคีรีขันธ์!J431"")"),0)</f>
        <v>0</v>
      </c>
      <c r="AI62" s="152">
        <f ca="1">IFERROR(__xludf.DUMMYFUNCTION("IMPORTRANGE(""https://docs.google.com/spreadsheets/d/1GbCIE4D4wk9FUozzqk7SxfDMxDVBwVmI5zcaVUSzKAc/edit?usp=sharing"",""ประจวบคีรีขันธ์!I432"")"),0)</f>
        <v>0</v>
      </c>
      <c r="AJ62" s="152">
        <f ca="1">IFERROR(__xludf.DUMMYFUNCTION("IMPORTRANGE(""https://docs.google.com/spreadsheets/d/1GbCIE4D4wk9FUozzqk7SxfDMxDVBwVmI5zcaVUSzKAc/edit?usp=sharing"",""ประจวบคีรีขันธ์!I433"")"),0)</f>
        <v>0</v>
      </c>
      <c r="AK62" s="216">
        <f ca="1">IFERROR(__xludf.DUMMYFUNCTION("IMPORTRANGE(""https://docs.google.com/spreadsheets/d/1GbCIE4D4wk9FUozzqk7SxfDMxDVBwVmI5zcaVUSzKAc/edit?usp=sharing"",""ประจวบคีรีขันธ์!J432"")"),0)</f>
        <v>0</v>
      </c>
      <c r="AL62" s="216">
        <f t="shared" ca="1" si="59"/>
        <v>0</v>
      </c>
      <c r="AM62" s="152">
        <f ca="1">IFERROR(__xludf.DUMMYFUNCTION("IMPORTRANGE(""https://docs.google.com/spreadsheets/d/1GbCIE4D4wk9FUozzqk7SxfDMxDVBwVmI5zcaVUSzKAc/edit?usp=sharing"",""ประจวบคีรีขันธ์!J433"")"),0)</f>
        <v>0</v>
      </c>
      <c r="AN62" s="216">
        <f t="shared" ca="1" si="60"/>
        <v>0</v>
      </c>
      <c r="AO62" s="152">
        <f ca="1">IFERROR(__xludf.DUMMYFUNCTION("IMPORTRANGE(""https://docs.google.com/spreadsheets/d/1GbCIE4D4wk9FUozzqk7SxfDMxDVBwVmI5zcaVUSzKAc/edit?usp=sharing"",""ประจวบคีรีขันธ์!J434"")"),0)</f>
        <v>0</v>
      </c>
      <c r="AP62" s="152">
        <f ca="1">IFERROR(__xludf.DUMMYFUNCTION("IMPORTRANGE(""https://docs.google.com/spreadsheets/d/1GbCIE4D4wk9FUozzqk7SxfDMxDVBwVmI5zcaVUSzKAc/edit?usp=sharing"",""ประจวบคีรีขันธ์!J435"")"),0)</f>
        <v>0</v>
      </c>
      <c r="AQ62" s="152">
        <f ca="1">IFERROR(__xludf.DUMMYFUNCTION("IMPORTRANGE(""https://docs.google.com/spreadsheets/d/1GbCIE4D4wk9FUozzqk7SxfDMxDVBwVmI5zcaVUSzKAc/edit?usp=sharing"",""ประจวบคีรีขันธ์!J436"")"),0)</f>
        <v>0</v>
      </c>
      <c r="AR62" s="152">
        <f ca="1">IFERROR(__xludf.DUMMYFUNCTION("IMPORTRANGE(""https://docs.google.com/spreadsheets/d/1GbCIE4D4wk9FUozzqk7SxfDMxDVBwVmI5zcaVUSzKAc/edit?usp=sharing"",""ประจวบคีรีขันธ์!J437"")"),0)</f>
        <v>0</v>
      </c>
      <c r="AS62" s="152">
        <f ca="1">IFERROR(__xludf.DUMMYFUNCTION("IMPORTRANGE(""https://docs.google.com/spreadsheets/d/1GbCIE4D4wk9FUozzqk7SxfDMxDVBwVmI5zcaVUSzKAc/edit?usp=sharing"",""ประจวบคีรีขันธ์!J438"")"),0)</f>
        <v>0</v>
      </c>
      <c r="AT62" s="152">
        <f ca="1">IFERROR(__xludf.DUMMYFUNCTION("IMPORTRANGE(""https://docs.google.com/spreadsheets/d/1GbCIE4D4wk9FUozzqk7SxfDMxDVBwVmI5zcaVUSzKAc/edit?usp=sharing"",""ประจวบคีรีขันธ์!J439"")"),0)</f>
        <v>0</v>
      </c>
      <c r="AU62" s="152">
        <f ca="1">IFERROR(__xludf.DUMMYFUNCTION("IMPORTRANGE(""https://docs.google.com/spreadsheets/d/1GbCIE4D4wk9FUozzqk7SxfDMxDVBwVmI5zcaVUSzKAc/edit?usp=sharing"",""ประจวบคีรีขันธ์!I440"")"),0)</f>
        <v>0</v>
      </c>
      <c r="AV62" s="152">
        <f ca="1">IFERROR(__xludf.DUMMYFUNCTION("IMPORTRANGE(""https://docs.google.com/spreadsheets/d/1GbCIE4D4wk9FUozzqk7SxfDMxDVBwVmI5zcaVUSzKAc/edit?usp=sharing"",""ประจวบคีรีขันธ์!I441"")"),0)</f>
        <v>0</v>
      </c>
      <c r="AW62" s="152">
        <f ca="1">IFERROR(__xludf.DUMMYFUNCTION("IMPORTRANGE(""https://docs.google.com/spreadsheets/d/1GbCIE4D4wk9FUozzqk7SxfDMxDVBwVmI5zcaVUSzKAc/edit?usp=sharing"",""ประจวบคีรีขันธ์!J440"")"),0)</f>
        <v>0</v>
      </c>
      <c r="AX62" s="216">
        <f t="shared" ca="1" si="62"/>
        <v>0</v>
      </c>
      <c r="AY62" s="152">
        <f ca="1">IFERROR(__xludf.DUMMYFUNCTION("IMPORTRANGE(""https://docs.google.com/spreadsheets/d/1GbCIE4D4wk9FUozzqk7SxfDMxDVBwVmI5zcaVUSzKAc/edit?usp=sharing"",""ประจวบคีรีขันธ์!J441"")"),0)</f>
        <v>0</v>
      </c>
      <c r="AZ62" s="216">
        <f t="shared" ca="1" si="63"/>
        <v>0</v>
      </c>
      <c r="BA62" s="152">
        <f ca="1">IFERROR(__xludf.DUMMYFUNCTION("IMPORTRANGE(""https://docs.google.com/spreadsheets/d/1GbCIE4D4wk9FUozzqk7SxfDMxDVBwVmI5zcaVUSzKAc/edit?usp=sharing"",""ประจวบคีรีขันธ์!J442"")"),0)</f>
        <v>0</v>
      </c>
      <c r="BB62" s="152">
        <f ca="1">IFERROR(__xludf.DUMMYFUNCTION("IMPORTRANGE(""https://docs.google.com/spreadsheets/d/1GbCIE4D4wk9FUozzqk7SxfDMxDVBwVmI5zcaVUSzKAc/edit?usp=sharing"",""ประจวบคีรีขันธ์!J443"")"),0)</f>
        <v>0</v>
      </c>
      <c r="BC62" s="152">
        <f ca="1">IFERROR(__xludf.DUMMYFUNCTION("IMPORTRANGE(""https://docs.google.com/spreadsheets/d/1GbCIE4D4wk9FUozzqk7SxfDMxDVBwVmI5zcaVUSzKAc/edit?usp=sharing"",""ประจวบคีรีขันธ์!J444"")"),0)</f>
        <v>0</v>
      </c>
      <c r="BD62" s="152">
        <f ca="1">IFERROR(__xludf.DUMMYFUNCTION("IMPORTRANGE(""https://docs.google.com/spreadsheets/d/1GbCIE4D4wk9FUozzqk7SxfDMxDVBwVmI5zcaVUSzKAc/edit?usp=sharing"",""ประจวบคีรีขันธ์!J445"")"),0)</f>
        <v>0</v>
      </c>
      <c r="BE62" s="152">
        <f ca="1">IFERROR(__xludf.DUMMYFUNCTION("IMPORTRANGE(""https://docs.google.com/spreadsheets/d/1GbCIE4D4wk9FUozzqk7SxfDMxDVBwVmI5zcaVUSzKAc/edit?usp=sharing"",""ประจวบคีรีขันธ์!J446"")"),0)</f>
        <v>0</v>
      </c>
      <c r="BF62" s="152">
        <f ca="1">IFERROR(__xludf.DUMMYFUNCTION("IMPORTRANGE(""https://docs.google.com/spreadsheets/d/1GbCIE4D4wk9FUozzqk7SxfDMxDVBwVmI5zcaVUSzKAc/edit?usp=sharing"",""ประจวบคีรีขันธ์!J447"")"),0)</f>
        <v>0</v>
      </c>
      <c r="BG62" s="152">
        <f ca="1">IFERROR(__xludf.DUMMYFUNCTION("IMPORTRANGE(""https://docs.google.com/spreadsheets/d/1GbCIE4D4wk9FUozzqk7SxfDMxDVBwVmI5zcaVUSzKAc/edit?usp=sharing"",""ประจวบคีรีขันธ์!J448"")"),0)</f>
        <v>0</v>
      </c>
      <c r="BH62" s="152">
        <f ca="1">IFERROR(__xludf.DUMMYFUNCTION("IMPORTRANGE(""https://docs.google.com/spreadsheets/d/1GbCIE4D4wk9FUozzqk7SxfDMxDVBwVmI5zcaVUSzKAc/edit?usp=sharing"",""ประจวบคีรีขันธ์!J449"")"),0)</f>
        <v>0</v>
      </c>
      <c r="BI62" s="152">
        <f ca="1">IFERROR(__xludf.DUMMYFUNCTION("IMPORTRANGE(""https://docs.google.com/spreadsheets/d/1GbCIE4D4wk9FUozzqk7SxfDMxDVBwVmI5zcaVUSzKAc/edit?usp=sharing"",""ประจวบคีรีขันธ์!J450"")"),0)</f>
        <v>0</v>
      </c>
      <c r="BJ62" s="152">
        <f ca="1">IFERROR(__xludf.DUMMYFUNCTION("IMPORTRANGE(""https://docs.google.com/spreadsheets/d/1GbCIE4D4wk9FUozzqk7SxfDMxDVBwVmI5zcaVUSzKAc/edit?usp=sharing"",""ประจวบคีรีขันธ์!J451"")"),0)</f>
        <v>0</v>
      </c>
      <c r="BK62" s="152">
        <f ca="1">IFERROR(__xludf.DUMMYFUNCTION("IMPORTRANGE(""https://docs.google.com/spreadsheets/d/1GbCIE4D4wk9FUozzqk7SxfDMxDVBwVmI5zcaVUSzKAc/edit?usp=sharing"",""ประจวบคีรีขันธ์!J452"")"),0)</f>
        <v>0</v>
      </c>
      <c r="BL62" s="152">
        <f ca="1">IFERROR(__xludf.DUMMYFUNCTION("IMPORTRANGE(""https://docs.google.com/spreadsheets/d/1GbCIE4D4wk9FUozzqk7SxfDMxDVBwVmI5zcaVUSzKAc/edit?usp=sharing"",""ประจวบคีรีขันธ์!J453"")"),0)</f>
        <v>0</v>
      </c>
      <c r="BM62" s="152">
        <f ca="1">IFERROR(__xludf.DUMMYFUNCTION("IMPORTRANGE(""https://docs.google.com/spreadsheets/d/1GbCIE4D4wk9FUozzqk7SxfDMxDVBwVmI5zcaVUSzKAc/edit?usp=sharing"",""ประจวบคีรีขันธ์!J454"")"),0)</f>
        <v>0</v>
      </c>
      <c r="BN62" s="152">
        <f ca="1">IFERROR(__xludf.DUMMYFUNCTION("IMPORTRANGE(""https://docs.google.com/spreadsheets/d/1GbCIE4D4wk9FUozzqk7SxfDMxDVBwVmI5zcaVUSzKAc/edit?usp=sharing"",""ประจวบคีรีขันธ์!J455"")"),0)</f>
        <v>0</v>
      </c>
      <c r="BO62" s="152">
        <f ca="1">IFERROR(__xludf.DUMMYFUNCTION("IMPORTRANGE(""https://docs.google.com/spreadsheets/d/1GbCIE4D4wk9FUozzqk7SxfDMxDVBwVmI5zcaVUSzKAc/edit?usp=sharing"",""ประจวบคีรีขันธ์!I457"")"),2609.27)</f>
        <v>2609.27</v>
      </c>
      <c r="BP62" s="152">
        <f ca="1">IFERROR(__xludf.DUMMYFUNCTION("IMPORTRANGE(""https://docs.google.com/spreadsheets/d/1GbCIE4D4wk9FUozzqk7SxfDMxDVBwVmI5zcaVUSzKAc/edit?usp=sharing"",""ประจวบคีรีขันธ์!I458"")"),142)</f>
        <v>142</v>
      </c>
      <c r="BQ62" s="152">
        <f ca="1">IFERROR(__xludf.DUMMYFUNCTION("IMPORTRANGE(""https://docs.google.com/spreadsheets/d/1GbCIE4D4wk9FUozzqk7SxfDMxDVBwVmI5zcaVUSzKAc/edit?usp=sharing"",""ประจวบคีรีขันธ์!J457"")"),0)</f>
        <v>0</v>
      </c>
      <c r="BR62" s="216">
        <f t="shared" ca="1" si="65"/>
        <v>0</v>
      </c>
      <c r="BS62" s="152">
        <f ca="1">IFERROR(__xludf.DUMMYFUNCTION("IMPORTRANGE(""https://docs.google.com/spreadsheets/d/1GbCIE4D4wk9FUozzqk7SxfDMxDVBwVmI5zcaVUSzKAc/edit?usp=sharing"",""ประจวบคีรีขันธ์!J458"")"),0)</f>
        <v>0</v>
      </c>
      <c r="BT62" s="216">
        <f t="shared" ca="1" si="66"/>
        <v>0</v>
      </c>
      <c r="BU62" s="152">
        <f ca="1">IFERROR(__xludf.DUMMYFUNCTION("IMPORTRANGE(""https://docs.google.com/spreadsheets/d/1GbCIE4D4wk9FUozzqk7SxfDMxDVBwVmI5zcaVUSzKAc/edit?usp=sharing"",""ประจวบคีรีขันธ์!J459"")"),0)</f>
        <v>0</v>
      </c>
      <c r="BV62" s="152">
        <f ca="1">IFERROR(__xludf.DUMMYFUNCTION("IMPORTRANGE(""https://docs.google.com/spreadsheets/d/1GbCIE4D4wk9FUozzqk7SxfDMxDVBwVmI5zcaVUSzKAc/edit?usp=sharing"",""ประจวบคีรีขันธ์!J460"")"),0)</f>
        <v>0</v>
      </c>
      <c r="BW62" s="152">
        <f ca="1">IFERROR(__xludf.DUMMYFUNCTION("IMPORTRANGE(""https://docs.google.com/spreadsheets/d/1GbCIE4D4wk9FUozzqk7SxfDMxDVBwVmI5zcaVUSzKAc/edit?usp=sharing"",""ประจวบคีรีขันธ์!J461"")"),0)</f>
        <v>0</v>
      </c>
      <c r="BX62" s="152">
        <f ca="1">IFERROR(__xludf.DUMMYFUNCTION("IMPORTRANGE(""https://docs.google.com/spreadsheets/d/1GbCIE4D4wk9FUozzqk7SxfDMxDVBwVmI5zcaVUSzKAc/edit?usp=sharing"",""ประจวบคีรีขันธ์!J462"")"),0)</f>
        <v>0</v>
      </c>
      <c r="BY62" s="152">
        <f ca="1">IFERROR(__xludf.DUMMYFUNCTION("IMPORTRANGE(""https://docs.google.com/spreadsheets/d/1GbCIE4D4wk9FUozzqk7SxfDMxDVBwVmI5zcaVUSzKAc/edit?usp=sharing"",""ประจวบคีรีขันธ์!J463"")"),0)</f>
        <v>0</v>
      </c>
      <c r="BZ62" s="152">
        <f ca="1">IFERROR(__xludf.DUMMYFUNCTION("IMPORTRANGE(""https://docs.google.com/spreadsheets/d/1GbCIE4D4wk9FUozzqk7SxfDMxDVBwVmI5zcaVUSzKAc/edit?usp=sharing"",""ประจวบคีรีขันธ์!J464"")"),0)</f>
        <v>0</v>
      </c>
      <c r="CA62" s="152">
        <f ca="1">IFERROR(__xludf.DUMMYFUNCTION("IMPORTRANGE(""https://docs.google.com/spreadsheets/d/1GbCIE4D4wk9FUozzqk7SxfDMxDVBwVmI5zcaVUSzKAc/edit?usp=sharing"",""ประจวบคีรีขันธ์!J465"")"),0)</f>
        <v>0</v>
      </c>
      <c r="CB62" s="152">
        <f ca="1">IFERROR(__xludf.DUMMYFUNCTION("IMPORTRANGE(""https://docs.google.com/spreadsheets/d/1GbCIE4D4wk9FUozzqk7SxfDMxDVBwVmI5zcaVUSzKAc/edit?usp=sharing"",""ประจวบคีรีขันธ์!J466"")"),0)</f>
        <v>0</v>
      </c>
      <c r="CC62" s="152">
        <f ca="1">IFERROR(__xludf.DUMMYFUNCTION("IMPORTRANGE(""https://docs.google.com/spreadsheets/d/1GbCIE4D4wk9FUozzqk7SxfDMxDVBwVmI5zcaVUSzKAc/edit?usp=sharing"",""ประจวบคีรีขันธ์!J467"")"),0)</f>
        <v>0</v>
      </c>
      <c r="CD62" s="152">
        <f ca="1">IFERROR(__xludf.DUMMYFUNCTION("IMPORTRANGE(""https://docs.google.com/spreadsheets/d/1GbCIE4D4wk9FUozzqk7SxfDMxDVBwVmI5zcaVUSzKAc/edit?usp=sharing"",""ประจวบคีรีขันธ์!J468"")"),0)</f>
        <v>0</v>
      </c>
      <c r="CE62" s="152">
        <f ca="1">IFERROR(__xludf.DUMMYFUNCTION("IMPORTRANGE(""https://docs.google.com/spreadsheets/d/1GbCIE4D4wk9FUozzqk7SxfDMxDVBwVmI5zcaVUSzKAc/edit?usp=sharing"",""ประจวบคีรีขันธ์!J469"")"),0)</f>
        <v>0</v>
      </c>
      <c r="CF62" s="152">
        <f ca="1">IFERROR(__xludf.DUMMYFUNCTION("IMPORTRANGE(""https://docs.google.com/spreadsheets/d/1GbCIE4D4wk9FUozzqk7SxfDMxDVBwVmI5zcaVUSzKAc/edit?usp=sharing"",""ประจวบคีรีขันธ์!J470"")"),0)</f>
        <v>0</v>
      </c>
      <c r="CG62" s="152">
        <f ca="1">IFERROR(__xludf.DUMMYFUNCTION("IMPORTRANGE(""https://docs.google.com/spreadsheets/d/1GbCIE4D4wk9FUozzqk7SxfDMxDVBwVmI5zcaVUSzKAc/edit?usp=sharing"",""ประจวบคีรีขันธ์!J471"")"),0)</f>
        <v>0</v>
      </c>
      <c r="CH62" s="152">
        <f ca="1">IFERROR(__xludf.DUMMYFUNCTION("IMPORTRANGE(""https://docs.google.com/spreadsheets/d/1GbCIE4D4wk9FUozzqk7SxfDMxDVBwVmI5zcaVUSzKAc/edit?usp=sharing"",""ประจวบคีรีขันธ์!J472"")"),0)</f>
        <v>0</v>
      </c>
      <c r="CI62" s="152">
        <f ca="1">IFERROR(__xludf.DUMMYFUNCTION("IMPORTRANGE(""https://docs.google.com/spreadsheets/d/1GbCIE4D4wk9FUozzqk7SxfDMxDVBwVmI5zcaVUSzKAc/edit?usp=sharing"",""ประจวบคีรีขันธ์!J473"")"),0)</f>
        <v>0</v>
      </c>
      <c r="CJ62" s="152">
        <f ca="1">IFERROR(__xludf.DUMMYFUNCTION("IMPORTRANGE(""https://docs.google.com/spreadsheets/d/1GbCIE4D4wk9FUozzqk7SxfDMxDVBwVmI5zcaVUSzKAc/edit?usp=sharing"",""ประจวบคีรีขันธ์!J474"")"),0)</f>
        <v>0</v>
      </c>
      <c r="CK62" s="278">
        <f ca="1">IFERROR(__xludf.DUMMYFUNCTION("IMPORTRANGE(""https://docs.google.com/spreadsheets/d/1GbCIE4D4wk9FUozzqk7SxfDMxDVBwVmI5zcaVUSzKAc/edit?usp=sharing"",""ประจวบคีรีขันธ์!I476"")"),0)</f>
        <v>0</v>
      </c>
      <c r="CL62" s="278">
        <f ca="1">IFERROR(__xludf.DUMMYFUNCTION("IMPORTRANGE(""https://docs.google.com/spreadsheets/d/1GbCIE4D4wk9FUozzqk7SxfDMxDVBwVmI5zcaVUSzKAc/edit?usp=sharing"",""ประจวบคีรีขันธ์!I477"")"),0)</f>
        <v>0</v>
      </c>
      <c r="CM62" s="278">
        <f ca="1">IFERROR(__xludf.DUMMYFUNCTION("IMPORTRANGE(""https://docs.google.com/spreadsheets/d/1GbCIE4D4wk9FUozzqk7SxfDMxDVBwVmI5zcaVUSzKAc/edit?usp=sharing"",""ประจวบคีรีขันธ์!J476"")"),0)</f>
        <v>0</v>
      </c>
      <c r="CN62" s="216">
        <f t="shared" ca="1" si="68"/>
        <v>0</v>
      </c>
      <c r="CO62" s="278">
        <f ca="1">IFERROR(__xludf.DUMMYFUNCTION("IMPORTRANGE(""https://docs.google.com/spreadsheets/d/1GbCIE4D4wk9FUozzqk7SxfDMxDVBwVmI5zcaVUSzKAc/edit?usp=sharing"",""ประจวบคีรีขันธ์!J477"")"),0)</f>
        <v>0</v>
      </c>
      <c r="CP62" s="216">
        <f t="shared" ca="1" si="69"/>
        <v>0</v>
      </c>
      <c r="CQ62" s="278">
        <f ca="1">IFERROR(__xludf.DUMMYFUNCTION("IMPORTRANGE(""https://docs.google.com/spreadsheets/d/1GbCIE4D4wk9FUozzqk7SxfDMxDVBwVmI5zcaVUSzKAc/edit?usp=sharing"",""ประจวบคีรีขันธ์!J478"")"),0)</f>
        <v>0</v>
      </c>
      <c r="CR62" s="278">
        <f ca="1">IFERROR(__xludf.DUMMYFUNCTION("IMPORTRANGE(""https://docs.google.com/spreadsheets/d/1GbCIE4D4wk9FUozzqk7SxfDMxDVBwVmI5zcaVUSzKAc/edit?usp=sharing"",""ประจวบคีรีขันธ์!J479"")"),0)</f>
        <v>0</v>
      </c>
      <c r="CS62" s="278">
        <f ca="1">IFERROR(__xludf.DUMMYFUNCTION("IMPORTRANGE(""https://docs.google.com/spreadsheets/d/1GbCIE4D4wk9FUozzqk7SxfDMxDVBwVmI5zcaVUSzKAc/edit?usp=sharing"",""ประจวบคีรีขันธ์!J480"")"),0)</f>
        <v>0</v>
      </c>
      <c r="CT62" s="278">
        <f ca="1">IFERROR(__xludf.DUMMYFUNCTION("IMPORTRANGE(""https://docs.google.com/spreadsheets/d/1GbCIE4D4wk9FUozzqk7SxfDMxDVBwVmI5zcaVUSzKAc/edit?usp=sharing"",""ประจวบคีรีขันธ์!J481"")"),0)</f>
        <v>0</v>
      </c>
      <c r="CU62" s="278">
        <f ca="1">IFERROR(__xludf.DUMMYFUNCTION("IMPORTRANGE(""https://docs.google.com/spreadsheets/d/1GbCIE4D4wk9FUozzqk7SxfDMxDVBwVmI5zcaVUSzKAc/edit?usp=sharing"",""ประจวบคีรีขันธ์!I484"")"),0)</f>
        <v>0</v>
      </c>
      <c r="CV62" s="278">
        <f ca="1">IFERROR(__xludf.DUMMYFUNCTION("IMPORTRANGE(""https://docs.google.com/spreadsheets/d/1GbCIE4D4wk9FUozzqk7SxfDMxDVBwVmI5zcaVUSzKAc/edit?usp=sharing"",""ประจวบคีรีขันธ์!I485"")"),0)</f>
        <v>0</v>
      </c>
      <c r="CW62" s="278">
        <f ca="1">IFERROR(__xludf.DUMMYFUNCTION("IMPORTRANGE(""https://docs.google.com/spreadsheets/d/1GbCIE4D4wk9FUozzqk7SxfDMxDVBwVmI5zcaVUSzKAc/edit?usp=sharing"",""ประจวบคีรีขันธ์!J484"")"),0)</f>
        <v>0</v>
      </c>
      <c r="CX62" s="216">
        <f t="shared" ca="1" si="71"/>
        <v>0</v>
      </c>
      <c r="CY62" s="278">
        <f ca="1">IFERROR(__xludf.DUMMYFUNCTION("IMPORTRANGE(""https://docs.google.com/spreadsheets/d/1GbCIE4D4wk9FUozzqk7SxfDMxDVBwVmI5zcaVUSzKAc/edit?usp=sharing"",""ประจวบคีรีขันธ์!J485"")"),0)</f>
        <v>0</v>
      </c>
      <c r="CZ62" s="216">
        <f t="shared" ca="1" si="72"/>
        <v>0</v>
      </c>
      <c r="DA62" s="278">
        <f ca="1">IFERROR(__xludf.DUMMYFUNCTION("IMPORTRANGE(""https://docs.google.com/spreadsheets/d/1GbCIE4D4wk9FUozzqk7SxfDMxDVBwVmI5zcaVUSzKAc/edit?usp=sharing"",""ประจวบคีรีขันธ์!J486"")"),0)</f>
        <v>0</v>
      </c>
      <c r="DB62" s="278">
        <f ca="1">IFERROR(__xludf.DUMMYFUNCTION("IMPORTRANGE(""https://docs.google.com/spreadsheets/d/1GbCIE4D4wk9FUozzqk7SxfDMxDVBwVmI5zcaVUSzKAc/edit?usp=sharing"",""ประจวบคีรีขันธ์!J487"")"),0)</f>
        <v>0</v>
      </c>
      <c r="DC62" s="278">
        <f ca="1">IFERROR(__xludf.DUMMYFUNCTION("IMPORTRANGE(""https://docs.google.com/spreadsheets/d/1GbCIE4D4wk9FUozzqk7SxfDMxDVBwVmI5zcaVUSzKAc/edit?usp=sharing"",""ประจวบคีรีขันธ์!J488"")"),0)</f>
        <v>0</v>
      </c>
      <c r="DD62" s="278">
        <f ca="1">IFERROR(__xludf.DUMMYFUNCTION("IMPORTRANGE(""https://docs.google.com/spreadsheets/d/1GbCIE4D4wk9FUozzqk7SxfDMxDVBwVmI5zcaVUSzKAc/edit?usp=sharing"",""ประจวบคีรีขันธ์!J489"")"),0)</f>
        <v>0</v>
      </c>
      <c r="DE62" s="278">
        <f ca="1">IFERROR(__xludf.DUMMYFUNCTION("IMPORTRANGE(""https://docs.google.com/spreadsheets/d/1GbCIE4D4wk9FUozzqk7SxfDMxDVBwVmI5zcaVUSzKAc/edit?usp=sharing"",""ประจวบคีรีขันธ์!J490"")"),0)</f>
        <v>0</v>
      </c>
      <c r="DF62" s="278">
        <f ca="1">IFERROR(__xludf.DUMMYFUNCTION("IMPORTRANGE(""https://docs.google.com/spreadsheets/d/1GbCIE4D4wk9FUozzqk7SxfDMxDVBwVmI5zcaVUSzKAc/edit?usp=sharing"",""ประจวบคีรีขันธ์!J491"")"),0)</f>
        <v>0</v>
      </c>
    </row>
    <row r="63" spans="1:110" ht="19.5" x14ac:dyDescent="0.3">
      <c r="A63" s="147">
        <v>11</v>
      </c>
      <c r="B63" s="148" t="s">
        <v>91</v>
      </c>
      <c r="C63" s="566">
        <f t="shared" ca="1" si="44"/>
        <v>0</v>
      </c>
      <c r="D63" s="567">
        <f t="shared" ca="1" si="94"/>
        <v>0</v>
      </c>
      <c r="E63" s="329">
        <f ca="1">IFERROR(__xludf.DUMMYFUNCTION("IMPORTRANGE(""https://docs.google.com/spreadsheets/d/1-uDff_7J0KD5mKrp0Vvzr7lt3OU09vwQwhkpOPPYv2Y/edit?usp=sharing"",""งบพรบ!IP63"")"),0)</f>
        <v>0</v>
      </c>
      <c r="F63" s="329">
        <f ca="1">IFERROR(__xludf.DUMMYFUNCTION("IMPORTRANGE(""https://docs.google.com/spreadsheets/d/1-uDff_7J0KD5mKrp0Vvzr7lt3OU09vwQwhkpOPPYv2Y/edit?usp=sharing"",""งบพรบ!IQ63"")"),0)</f>
        <v>0</v>
      </c>
      <c r="G63" s="329">
        <f ca="1">IFERROR(__xludf.DUMMYFUNCTION("IMPORTRANGE(""https://docs.google.com/spreadsheets/d/1-uDff_7J0KD5mKrp0Vvzr7lt3OU09vwQwhkpOPPYv2Y/edit?usp=sharing"",""งบพรบ!IR63"")"),0)</f>
        <v>0</v>
      </c>
      <c r="H63" s="329">
        <f ca="1">IFERROR(__xludf.DUMMYFUNCTION("IMPORTRANGE(""https://docs.google.com/spreadsheets/d/1-uDff_7J0KD5mKrp0Vvzr7lt3OU09vwQwhkpOPPYv2Y/edit?usp=sharing"",""งบพรบ!IT63"")"),0)</f>
        <v>0</v>
      </c>
      <c r="I63" s="329">
        <f ca="1">IFERROR(__xludf.DUMMYFUNCTION("IMPORTRANGE(""https://docs.google.com/spreadsheets/d/1-uDff_7J0KD5mKrp0Vvzr7lt3OU09vwQwhkpOPPYv2Y/edit?usp=sharing"",""งบพรบ!IU63"")"),0)</f>
        <v>0</v>
      </c>
      <c r="J63" s="329">
        <f t="shared" ca="1" si="46"/>
        <v>0</v>
      </c>
      <c r="K63" s="568">
        <f t="shared" ca="1" si="47"/>
        <v>0</v>
      </c>
      <c r="L63" s="329">
        <f ca="1">IFERROR(__xludf.DUMMYFUNCTION("IMPORTRANGE(""https://docs.google.com/spreadsheets/d/1-uDff_7J0KD5mKrp0Vvzr7lt3OU09vwQwhkpOPPYv2Y/edit?usp=sharing"",""งบพรบ!IV63"")"),0)</f>
        <v>0</v>
      </c>
      <c r="M63" s="330">
        <f t="shared" ca="1" si="48"/>
        <v>0</v>
      </c>
      <c r="N63" s="330">
        <f t="shared" ca="1" si="49"/>
        <v>0</v>
      </c>
      <c r="O63" s="569">
        <f ca="1">IFERROR(__xludf.DUMMYFUNCTION("IMPORTRANGE(""https://docs.google.com/spreadsheets/d/1-uDff_7J0KD5mKrp0Vvzr7lt3OU09vwQwhkpOPPYv2Y/edit?usp=sharing"",""งบพรบ!IW63"")"),0)</f>
        <v>0</v>
      </c>
      <c r="P63" s="569">
        <f t="shared" ca="1" si="50"/>
        <v>0</v>
      </c>
      <c r="Q63" s="330">
        <f t="shared" ca="1" si="51"/>
        <v>0</v>
      </c>
      <c r="R63" s="564">
        <f ca="1">IFERROR(__xludf.DUMMYFUNCTION("IMPORTRANGE(""https://docs.google.com/spreadsheets/d/1vVf6wykvW_lAyu7Yo9L4hUTqHqIeP_qcVuxCtosJEbg/edit?usp=sharing"",""ปราจีนบุรี!Q413"")"),0)</f>
        <v>0</v>
      </c>
      <c r="S63" s="564">
        <f ca="1">IFERROR(__xludf.DUMMYFUNCTION("IMPORTRANGE(""https://docs.google.com/spreadsheets/d/1vVf6wykvW_lAyu7Yo9L4hUTqHqIeP_qcVuxCtosJEbg/edit?usp=sharing"",""ปราจีนบุรี!R413"")"),0)</f>
        <v>0</v>
      </c>
      <c r="T63" s="564">
        <f ca="1">IFERROR(__xludf.DUMMYFUNCTION("IMPORTRANGE(""https://docs.google.com/spreadsheets/d/1vVf6wykvW_lAyu7Yo9L4hUTqHqIeP_qcVuxCtosJEbg/edit?usp=sharing"",""ปราจีนบุรี!S413"")"),0)</f>
        <v>0</v>
      </c>
      <c r="U63" s="565">
        <f t="shared" ca="1" si="53"/>
        <v>0</v>
      </c>
      <c r="V63" s="565">
        <f t="shared" ca="1" si="54"/>
        <v>0</v>
      </c>
      <c r="W63" s="152">
        <f ca="1">IFERROR(__xludf.DUMMYFUNCTION("IMPORTRANGE(""https://docs.google.com/spreadsheets/d/1vVf6wykvW_lAyu7Yo9L4hUTqHqIeP_qcVuxCtosJEbg/edit?usp=sharing"",""ปราจีนบุรี!I424"")"),0)</f>
        <v>0</v>
      </c>
      <c r="X63" s="152">
        <f ca="1">IFERROR(__xludf.DUMMYFUNCTION("IMPORTRANGE(""https://docs.google.com/spreadsheets/d/1vVf6wykvW_lAyu7Yo9L4hUTqHqIeP_qcVuxCtosJEbg/edit?usp=sharing"",""ปราจีนบุรี!I425"")"),0)</f>
        <v>0</v>
      </c>
      <c r="Y63" s="152">
        <f ca="1">IFERROR(__xludf.DUMMYFUNCTION("IMPORTRANGE(""https://docs.google.com/spreadsheets/d/1vVf6wykvW_lAyu7Yo9L4hUTqHqIeP_qcVuxCtosJEbg/edit?usp=sharing"",""ปราจีนบุรี!J424"")"),0)</f>
        <v>0</v>
      </c>
      <c r="Z63" s="216">
        <f t="shared" ca="1" si="56"/>
        <v>0</v>
      </c>
      <c r="AA63" s="152">
        <f ca="1">IFERROR(__xludf.DUMMYFUNCTION("IMPORTRANGE(""https://docs.google.com/spreadsheets/d/1vVf6wykvW_lAyu7Yo9L4hUTqHqIeP_qcVuxCtosJEbg/edit?usp=sharing"",""ปราจีนบุรี!J425"")"),0)</f>
        <v>0</v>
      </c>
      <c r="AB63" s="216">
        <f t="shared" ca="1" si="57"/>
        <v>0</v>
      </c>
      <c r="AC63" s="152">
        <f ca="1">IFERROR(__xludf.DUMMYFUNCTION("IMPORTRANGE(""https://docs.google.com/spreadsheets/d/1vVf6wykvW_lAyu7Yo9L4hUTqHqIeP_qcVuxCtosJEbg/edit?usp=sharing"",""ปราจีนบุรี!J426"")"),0)</f>
        <v>0</v>
      </c>
      <c r="AD63" s="152">
        <f ca="1">IFERROR(__xludf.DUMMYFUNCTION("IMPORTRANGE(""https://docs.google.com/spreadsheets/d/1vVf6wykvW_lAyu7Yo9L4hUTqHqIeP_qcVuxCtosJEbg/edit?usp=sharing"",""ปราจีนบุรี!J427"")"),0)</f>
        <v>0</v>
      </c>
      <c r="AE63" s="152">
        <f ca="1">IFERROR(__xludf.DUMMYFUNCTION("IMPORTRANGE(""https://docs.google.com/spreadsheets/d/1vVf6wykvW_lAyu7Yo9L4hUTqHqIeP_qcVuxCtosJEbg/edit?usp=sharing"",""ปราจีนบุรี!J428"")"),0)</f>
        <v>0</v>
      </c>
      <c r="AF63" s="152">
        <f ca="1">IFERROR(__xludf.DUMMYFUNCTION("IMPORTRANGE(""https://docs.google.com/spreadsheets/d/1vVf6wykvW_lAyu7Yo9L4hUTqHqIeP_qcVuxCtosJEbg/edit?usp=sharing"",""ปราจีนบุรี!J429"")"),0)</f>
        <v>0</v>
      </c>
      <c r="AG63" s="152">
        <f ca="1">IFERROR(__xludf.DUMMYFUNCTION("IMPORTRANGE(""https://docs.google.com/spreadsheets/d/1vVf6wykvW_lAyu7Yo9L4hUTqHqIeP_qcVuxCtosJEbg/edit?usp=sharing"",""ปราจีนบุรี!J430"")"),0)</f>
        <v>0</v>
      </c>
      <c r="AH63" s="152">
        <f ca="1">IFERROR(__xludf.DUMMYFUNCTION("IMPORTRANGE(""https://docs.google.com/spreadsheets/d/1vVf6wykvW_lAyu7Yo9L4hUTqHqIeP_qcVuxCtosJEbg/edit?usp=sharing"",""ปราจีนบุรี!J431"")"),0)</f>
        <v>0</v>
      </c>
      <c r="AI63" s="152">
        <f ca="1">IFERROR(__xludf.DUMMYFUNCTION("IMPORTRANGE(""https://docs.google.com/spreadsheets/d/1vVf6wykvW_lAyu7Yo9L4hUTqHqIeP_qcVuxCtosJEbg/edit?usp=sharing"",""ปราจีนบุรี!I432"")"),0)</f>
        <v>0</v>
      </c>
      <c r="AJ63" s="152">
        <f ca="1">IFERROR(__xludf.DUMMYFUNCTION("IMPORTRANGE(""https://docs.google.com/spreadsheets/d/1vVf6wykvW_lAyu7Yo9L4hUTqHqIeP_qcVuxCtosJEbg/edit?usp=sharing"",""ปราจีนบุรี!I433"")"),0)</f>
        <v>0</v>
      </c>
      <c r="AK63" s="216">
        <f ca="1">IFERROR(__xludf.DUMMYFUNCTION("IMPORTRANGE(""https://docs.google.com/spreadsheets/d/1vVf6wykvW_lAyu7Yo9L4hUTqHqIeP_qcVuxCtosJEbg/edit?usp=sharing"",""ปราจีนบุรี!J432"")"),0)</f>
        <v>0</v>
      </c>
      <c r="AL63" s="216">
        <f t="shared" ca="1" si="59"/>
        <v>0</v>
      </c>
      <c r="AM63" s="152">
        <f ca="1">IFERROR(__xludf.DUMMYFUNCTION("IMPORTRANGE(""https://docs.google.com/spreadsheets/d/1vVf6wykvW_lAyu7Yo9L4hUTqHqIeP_qcVuxCtosJEbg/edit?usp=sharing"",""ปราจีนบุรี!J433"")"),0)</f>
        <v>0</v>
      </c>
      <c r="AN63" s="216">
        <f t="shared" ca="1" si="60"/>
        <v>0</v>
      </c>
      <c r="AO63" s="152">
        <f ca="1">IFERROR(__xludf.DUMMYFUNCTION("IMPORTRANGE(""https://docs.google.com/spreadsheets/d/1vVf6wykvW_lAyu7Yo9L4hUTqHqIeP_qcVuxCtosJEbg/edit?usp=sharing"",""ปราจีนบุรี!J434"")"),0)</f>
        <v>0</v>
      </c>
      <c r="AP63" s="152">
        <f ca="1">IFERROR(__xludf.DUMMYFUNCTION("IMPORTRANGE(""https://docs.google.com/spreadsheets/d/1vVf6wykvW_lAyu7Yo9L4hUTqHqIeP_qcVuxCtosJEbg/edit?usp=sharing"",""ปราจีนบุรี!J435"")"),0)</f>
        <v>0</v>
      </c>
      <c r="AQ63" s="152">
        <f ca="1">IFERROR(__xludf.DUMMYFUNCTION("IMPORTRANGE(""https://docs.google.com/spreadsheets/d/1vVf6wykvW_lAyu7Yo9L4hUTqHqIeP_qcVuxCtosJEbg/edit?usp=sharing"",""ปราจีนบุรี!J436"")"),0)</f>
        <v>0</v>
      </c>
      <c r="AR63" s="152">
        <f ca="1">IFERROR(__xludf.DUMMYFUNCTION("IMPORTRANGE(""https://docs.google.com/spreadsheets/d/1vVf6wykvW_lAyu7Yo9L4hUTqHqIeP_qcVuxCtosJEbg/edit?usp=sharing"",""ปราจีนบุรี!J437"")"),0)</f>
        <v>0</v>
      </c>
      <c r="AS63" s="152">
        <f ca="1">IFERROR(__xludf.DUMMYFUNCTION("IMPORTRANGE(""https://docs.google.com/spreadsheets/d/1vVf6wykvW_lAyu7Yo9L4hUTqHqIeP_qcVuxCtosJEbg/edit?usp=sharing"",""ปราจีนบุรี!J438"")"),0)</f>
        <v>0</v>
      </c>
      <c r="AT63" s="152">
        <f ca="1">IFERROR(__xludf.DUMMYFUNCTION("IMPORTRANGE(""https://docs.google.com/spreadsheets/d/1vVf6wykvW_lAyu7Yo9L4hUTqHqIeP_qcVuxCtosJEbg/edit?usp=sharing"",""ปราจีนบุรี!J439"")"),0)</f>
        <v>0</v>
      </c>
      <c r="AU63" s="152">
        <f ca="1">IFERROR(__xludf.DUMMYFUNCTION("IMPORTRANGE(""https://docs.google.com/spreadsheets/d/1vVf6wykvW_lAyu7Yo9L4hUTqHqIeP_qcVuxCtosJEbg/edit?usp=sharing"",""ปราจีนบุรี!I440"")"),0)</f>
        <v>0</v>
      </c>
      <c r="AV63" s="152">
        <f ca="1">IFERROR(__xludf.DUMMYFUNCTION("IMPORTRANGE(""https://docs.google.com/spreadsheets/d/1vVf6wykvW_lAyu7Yo9L4hUTqHqIeP_qcVuxCtosJEbg/edit?usp=sharing"",""ปราจีนบุรี!I441"")"),0)</f>
        <v>0</v>
      </c>
      <c r="AW63" s="152">
        <f ca="1">IFERROR(__xludf.DUMMYFUNCTION("IMPORTRANGE(""https://docs.google.com/spreadsheets/d/1vVf6wykvW_lAyu7Yo9L4hUTqHqIeP_qcVuxCtosJEbg/edit?usp=sharing"",""ปราจีนบุรี!J440"")"),0)</f>
        <v>0</v>
      </c>
      <c r="AX63" s="216">
        <f t="shared" ca="1" si="62"/>
        <v>0</v>
      </c>
      <c r="AY63" s="152">
        <f ca="1">IFERROR(__xludf.DUMMYFUNCTION("IMPORTRANGE(""https://docs.google.com/spreadsheets/d/1vVf6wykvW_lAyu7Yo9L4hUTqHqIeP_qcVuxCtosJEbg/edit?usp=sharing"",""ปราจีนบุรี!J441"")"),0)</f>
        <v>0</v>
      </c>
      <c r="AZ63" s="216">
        <f t="shared" ca="1" si="63"/>
        <v>0</v>
      </c>
      <c r="BA63" s="152">
        <f ca="1">IFERROR(__xludf.DUMMYFUNCTION("IMPORTRANGE(""https://docs.google.com/spreadsheets/d/1vVf6wykvW_lAyu7Yo9L4hUTqHqIeP_qcVuxCtosJEbg/edit?usp=sharing"",""ปราจีนบุรี!J442"")"),0)</f>
        <v>0</v>
      </c>
      <c r="BB63" s="152">
        <f ca="1">IFERROR(__xludf.DUMMYFUNCTION("IMPORTRANGE(""https://docs.google.com/spreadsheets/d/1vVf6wykvW_lAyu7Yo9L4hUTqHqIeP_qcVuxCtosJEbg/edit?usp=sharing"",""ปราจีนบุรี!J443"")"),0)</f>
        <v>0</v>
      </c>
      <c r="BC63" s="152">
        <f ca="1">IFERROR(__xludf.DUMMYFUNCTION("IMPORTRANGE(""https://docs.google.com/spreadsheets/d/1vVf6wykvW_lAyu7Yo9L4hUTqHqIeP_qcVuxCtosJEbg/edit?usp=sharing"",""ปราจีนบุรี!J444"")"),0)</f>
        <v>0</v>
      </c>
      <c r="BD63" s="152">
        <f ca="1">IFERROR(__xludf.DUMMYFUNCTION("IMPORTRANGE(""https://docs.google.com/spreadsheets/d/1vVf6wykvW_lAyu7Yo9L4hUTqHqIeP_qcVuxCtosJEbg/edit?usp=sharing"",""ปราจีนบุรี!J445"")"),0)</f>
        <v>0</v>
      </c>
      <c r="BE63" s="152">
        <f ca="1">IFERROR(__xludf.DUMMYFUNCTION("IMPORTRANGE(""https://docs.google.com/spreadsheets/d/1vVf6wykvW_lAyu7Yo9L4hUTqHqIeP_qcVuxCtosJEbg/edit?usp=sharing"",""ปราจีนบุรี!J446"")"),0)</f>
        <v>0</v>
      </c>
      <c r="BF63" s="152">
        <f ca="1">IFERROR(__xludf.DUMMYFUNCTION("IMPORTRANGE(""https://docs.google.com/spreadsheets/d/1vVf6wykvW_lAyu7Yo9L4hUTqHqIeP_qcVuxCtosJEbg/edit?usp=sharing"",""ปราจีนบุรี!J447"")"),0)</f>
        <v>0</v>
      </c>
      <c r="BG63" s="152">
        <f ca="1">IFERROR(__xludf.DUMMYFUNCTION("IMPORTRANGE(""https://docs.google.com/spreadsheets/d/1vVf6wykvW_lAyu7Yo9L4hUTqHqIeP_qcVuxCtosJEbg/edit?usp=sharing"",""ปราจีนบุรี!J448"")"),0)</f>
        <v>0</v>
      </c>
      <c r="BH63" s="152">
        <f ca="1">IFERROR(__xludf.DUMMYFUNCTION("IMPORTRANGE(""https://docs.google.com/spreadsheets/d/1vVf6wykvW_lAyu7Yo9L4hUTqHqIeP_qcVuxCtosJEbg/edit?usp=sharing"",""ปราจีนบุรี!J449"")"),0)</f>
        <v>0</v>
      </c>
      <c r="BI63" s="152">
        <f ca="1">IFERROR(__xludf.DUMMYFUNCTION("IMPORTRANGE(""https://docs.google.com/spreadsheets/d/1vVf6wykvW_lAyu7Yo9L4hUTqHqIeP_qcVuxCtosJEbg/edit?usp=sharing"",""ปราจีนบุรี!J450"")"),0)</f>
        <v>0</v>
      </c>
      <c r="BJ63" s="152">
        <f ca="1">IFERROR(__xludf.DUMMYFUNCTION("IMPORTRANGE(""https://docs.google.com/spreadsheets/d/1vVf6wykvW_lAyu7Yo9L4hUTqHqIeP_qcVuxCtosJEbg/edit?usp=sharing"",""ปราจีนบุรี!J451"")"),0)</f>
        <v>0</v>
      </c>
      <c r="BK63" s="152">
        <f ca="1">IFERROR(__xludf.DUMMYFUNCTION("IMPORTRANGE(""https://docs.google.com/spreadsheets/d/1vVf6wykvW_lAyu7Yo9L4hUTqHqIeP_qcVuxCtosJEbg/edit?usp=sharing"",""ปราจีนบุรี!J452"")"),0)</f>
        <v>0</v>
      </c>
      <c r="BL63" s="152">
        <f ca="1">IFERROR(__xludf.DUMMYFUNCTION("IMPORTRANGE(""https://docs.google.com/spreadsheets/d/1vVf6wykvW_lAyu7Yo9L4hUTqHqIeP_qcVuxCtosJEbg/edit?usp=sharing"",""ปราจีนบุรี!J453"")"),0)</f>
        <v>0</v>
      </c>
      <c r="BM63" s="152">
        <f ca="1">IFERROR(__xludf.DUMMYFUNCTION("IMPORTRANGE(""https://docs.google.com/spreadsheets/d/1vVf6wykvW_lAyu7Yo9L4hUTqHqIeP_qcVuxCtosJEbg/edit?usp=sharing"",""ปราจีนบุรี!J454"")"),0)</f>
        <v>0</v>
      </c>
      <c r="BN63" s="152">
        <f ca="1">IFERROR(__xludf.DUMMYFUNCTION("IMPORTRANGE(""https://docs.google.com/spreadsheets/d/1vVf6wykvW_lAyu7Yo9L4hUTqHqIeP_qcVuxCtosJEbg/edit?usp=sharing"",""ปราจีนบุรี!J455"")"),0)</f>
        <v>0</v>
      </c>
      <c r="BO63" s="152">
        <f ca="1">IFERROR(__xludf.DUMMYFUNCTION("IMPORTRANGE(""https://docs.google.com/spreadsheets/d/1vVf6wykvW_lAyu7Yo9L4hUTqHqIeP_qcVuxCtosJEbg/edit?usp=sharing"",""ปราจีนบุรี!I457"")"),0)</f>
        <v>0</v>
      </c>
      <c r="BP63" s="152">
        <f ca="1">IFERROR(__xludf.DUMMYFUNCTION("IMPORTRANGE(""https://docs.google.com/spreadsheets/d/1vVf6wykvW_lAyu7Yo9L4hUTqHqIeP_qcVuxCtosJEbg/edit?usp=sharing"",""ปราจีนบุรี!I458"")"),0)</f>
        <v>0</v>
      </c>
      <c r="BQ63" s="152">
        <f ca="1">IFERROR(__xludf.DUMMYFUNCTION("IMPORTRANGE(""https://docs.google.com/spreadsheets/d/1vVf6wykvW_lAyu7Yo9L4hUTqHqIeP_qcVuxCtosJEbg/edit?usp=sharing"",""ปราจีนบุรี!J457"")"),0)</f>
        <v>0</v>
      </c>
      <c r="BR63" s="216">
        <f t="shared" ca="1" si="65"/>
        <v>0</v>
      </c>
      <c r="BS63" s="152">
        <f ca="1">IFERROR(__xludf.DUMMYFUNCTION("IMPORTRANGE(""https://docs.google.com/spreadsheets/d/1vVf6wykvW_lAyu7Yo9L4hUTqHqIeP_qcVuxCtosJEbg/edit?usp=sharing"",""ปราจีนบุรี!J458"")"),0)</f>
        <v>0</v>
      </c>
      <c r="BT63" s="216">
        <f t="shared" ca="1" si="66"/>
        <v>0</v>
      </c>
      <c r="BU63" s="152">
        <f ca="1">IFERROR(__xludf.DUMMYFUNCTION("IMPORTRANGE(""https://docs.google.com/spreadsheets/d/1vVf6wykvW_lAyu7Yo9L4hUTqHqIeP_qcVuxCtosJEbg/edit?usp=sharing"",""ปราจีนบุรี!J459"")"),0)</f>
        <v>0</v>
      </c>
      <c r="BV63" s="152">
        <f ca="1">IFERROR(__xludf.DUMMYFUNCTION("IMPORTRANGE(""https://docs.google.com/spreadsheets/d/1vVf6wykvW_lAyu7Yo9L4hUTqHqIeP_qcVuxCtosJEbg/edit?usp=sharing"",""ปราจีนบุรี!J460"")"),0)</f>
        <v>0</v>
      </c>
      <c r="BW63" s="152">
        <f ca="1">IFERROR(__xludf.DUMMYFUNCTION("IMPORTRANGE(""https://docs.google.com/spreadsheets/d/1vVf6wykvW_lAyu7Yo9L4hUTqHqIeP_qcVuxCtosJEbg/edit?usp=sharing"",""ปราจีนบุรี!J461"")"),0)</f>
        <v>0</v>
      </c>
      <c r="BX63" s="152">
        <f ca="1">IFERROR(__xludf.DUMMYFUNCTION("IMPORTRANGE(""https://docs.google.com/spreadsheets/d/1vVf6wykvW_lAyu7Yo9L4hUTqHqIeP_qcVuxCtosJEbg/edit?usp=sharing"",""ปราจีนบุรี!J462"")"),0)</f>
        <v>0</v>
      </c>
      <c r="BY63" s="152">
        <f ca="1">IFERROR(__xludf.DUMMYFUNCTION("IMPORTRANGE(""https://docs.google.com/spreadsheets/d/1vVf6wykvW_lAyu7Yo9L4hUTqHqIeP_qcVuxCtosJEbg/edit?usp=sharing"",""ปราจีนบุรี!J463"")"),0)</f>
        <v>0</v>
      </c>
      <c r="BZ63" s="152">
        <f ca="1">IFERROR(__xludf.DUMMYFUNCTION("IMPORTRANGE(""https://docs.google.com/spreadsheets/d/1vVf6wykvW_lAyu7Yo9L4hUTqHqIeP_qcVuxCtosJEbg/edit?usp=sharing"",""ปราจีนบุรี!J464"")"),0)</f>
        <v>0</v>
      </c>
      <c r="CA63" s="152">
        <f ca="1">IFERROR(__xludf.DUMMYFUNCTION("IMPORTRANGE(""https://docs.google.com/spreadsheets/d/1vVf6wykvW_lAyu7Yo9L4hUTqHqIeP_qcVuxCtosJEbg/edit?usp=sharing"",""ปราจีนบุรี!J465"")"),0)</f>
        <v>0</v>
      </c>
      <c r="CB63" s="152">
        <f ca="1">IFERROR(__xludf.DUMMYFUNCTION("IMPORTRANGE(""https://docs.google.com/spreadsheets/d/1vVf6wykvW_lAyu7Yo9L4hUTqHqIeP_qcVuxCtosJEbg/edit?usp=sharing"",""ปราจีนบุรี!J466"")"),0)</f>
        <v>0</v>
      </c>
      <c r="CC63" s="152">
        <f ca="1">IFERROR(__xludf.DUMMYFUNCTION("IMPORTRANGE(""https://docs.google.com/spreadsheets/d/1vVf6wykvW_lAyu7Yo9L4hUTqHqIeP_qcVuxCtosJEbg/edit?usp=sharing"",""ปราจีนบุรี!J467"")"),0)</f>
        <v>0</v>
      </c>
      <c r="CD63" s="152">
        <f ca="1">IFERROR(__xludf.DUMMYFUNCTION("IMPORTRANGE(""https://docs.google.com/spreadsheets/d/1vVf6wykvW_lAyu7Yo9L4hUTqHqIeP_qcVuxCtosJEbg/edit?usp=sharing"",""ปราจีนบุรี!J468"")"),0)</f>
        <v>0</v>
      </c>
      <c r="CE63" s="152">
        <f ca="1">IFERROR(__xludf.DUMMYFUNCTION("IMPORTRANGE(""https://docs.google.com/spreadsheets/d/1vVf6wykvW_lAyu7Yo9L4hUTqHqIeP_qcVuxCtosJEbg/edit?usp=sharing"",""ปราจีนบุรี!J469"")"),0)</f>
        <v>0</v>
      </c>
      <c r="CF63" s="152">
        <f ca="1">IFERROR(__xludf.DUMMYFUNCTION("IMPORTRANGE(""https://docs.google.com/spreadsheets/d/1vVf6wykvW_lAyu7Yo9L4hUTqHqIeP_qcVuxCtosJEbg/edit?usp=sharing"",""ปราจีนบุรี!J470"")"),0)</f>
        <v>0</v>
      </c>
      <c r="CG63" s="152">
        <f ca="1">IFERROR(__xludf.DUMMYFUNCTION("IMPORTRANGE(""https://docs.google.com/spreadsheets/d/1vVf6wykvW_lAyu7Yo9L4hUTqHqIeP_qcVuxCtosJEbg/edit?usp=sharing"",""ปราจีนบุรี!J471"")"),0)</f>
        <v>0</v>
      </c>
      <c r="CH63" s="152">
        <f ca="1">IFERROR(__xludf.DUMMYFUNCTION("IMPORTRANGE(""https://docs.google.com/spreadsheets/d/1vVf6wykvW_lAyu7Yo9L4hUTqHqIeP_qcVuxCtosJEbg/edit?usp=sharing"",""ปราจีนบุรี!J472"")"),0)</f>
        <v>0</v>
      </c>
      <c r="CI63" s="152">
        <f ca="1">IFERROR(__xludf.DUMMYFUNCTION("IMPORTRANGE(""https://docs.google.com/spreadsheets/d/1vVf6wykvW_lAyu7Yo9L4hUTqHqIeP_qcVuxCtosJEbg/edit?usp=sharing"",""ปราจีนบุรี!J473"")"),0)</f>
        <v>0</v>
      </c>
      <c r="CJ63" s="152">
        <f ca="1">IFERROR(__xludf.DUMMYFUNCTION("IMPORTRANGE(""https://docs.google.com/spreadsheets/d/1vVf6wykvW_lAyu7Yo9L4hUTqHqIeP_qcVuxCtosJEbg/edit?usp=sharing"",""ปราจีนบุรี!J474"")"),0)</f>
        <v>0</v>
      </c>
      <c r="CK63" s="278">
        <f ca="1">IFERROR(__xludf.DUMMYFUNCTION("IMPORTRANGE(""https://docs.google.com/spreadsheets/d/1vVf6wykvW_lAyu7Yo9L4hUTqHqIeP_qcVuxCtosJEbg/edit?usp=sharing"",""ปราจีนบุรี!I476"")"),0)</f>
        <v>0</v>
      </c>
      <c r="CL63" s="278">
        <f ca="1">IFERROR(__xludf.DUMMYFUNCTION("IMPORTRANGE(""https://docs.google.com/spreadsheets/d/1vVf6wykvW_lAyu7Yo9L4hUTqHqIeP_qcVuxCtosJEbg/edit?usp=sharing"",""ปราจีนบุรี!I477"")"),0)</f>
        <v>0</v>
      </c>
      <c r="CM63" s="278">
        <f ca="1">IFERROR(__xludf.DUMMYFUNCTION("IMPORTRANGE(""https://docs.google.com/spreadsheets/d/1vVf6wykvW_lAyu7Yo9L4hUTqHqIeP_qcVuxCtosJEbg/edit?usp=sharing"",""ปราจีนบุรี!J476"")"),0)</f>
        <v>0</v>
      </c>
      <c r="CN63" s="216">
        <f t="shared" ca="1" si="68"/>
        <v>0</v>
      </c>
      <c r="CO63" s="278">
        <f ca="1">IFERROR(__xludf.DUMMYFUNCTION("IMPORTRANGE(""https://docs.google.com/spreadsheets/d/1vVf6wykvW_lAyu7Yo9L4hUTqHqIeP_qcVuxCtosJEbg/edit?usp=sharing"",""ปราจีนบุรี!J477"")"),0)</f>
        <v>0</v>
      </c>
      <c r="CP63" s="216">
        <f t="shared" ca="1" si="69"/>
        <v>0</v>
      </c>
      <c r="CQ63" s="278">
        <f ca="1">IFERROR(__xludf.DUMMYFUNCTION("IMPORTRANGE(""https://docs.google.com/spreadsheets/d/1vVf6wykvW_lAyu7Yo9L4hUTqHqIeP_qcVuxCtosJEbg/edit?usp=sharing"",""ปราจีนบุรี!J478"")"),0)</f>
        <v>0</v>
      </c>
      <c r="CR63" s="278">
        <f ca="1">IFERROR(__xludf.DUMMYFUNCTION("IMPORTRANGE(""https://docs.google.com/spreadsheets/d/1vVf6wykvW_lAyu7Yo9L4hUTqHqIeP_qcVuxCtosJEbg/edit?usp=sharing"",""ปราจีนบุรี!J479"")"),0)</f>
        <v>0</v>
      </c>
      <c r="CS63" s="278">
        <f ca="1">IFERROR(__xludf.DUMMYFUNCTION("IMPORTRANGE(""https://docs.google.com/spreadsheets/d/1vVf6wykvW_lAyu7Yo9L4hUTqHqIeP_qcVuxCtosJEbg/edit?usp=sharing"",""ปราจีนบุรี!J480"")"),0)</f>
        <v>0</v>
      </c>
      <c r="CT63" s="278">
        <f ca="1">IFERROR(__xludf.DUMMYFUNCTION("IMPORTRANGE(""https://docs.google.com/spreadsheets/d/1vVf6wykvW_lAyu7Yo9L4hUTqHqIeP_qcVuxCtosJEbg/edit?usp=sharing"",""ปราจีนบุรี!J481"")"),0)</f>
        <v>0</v>
      </c>
      <c r="CU63" s="278">
        <f ca="1">IFERROR(__xludf.DUMMYFUNCTION("IMPORTRANGE(""https://docs.google.com/spreadsheets/d/1vVf6wykvW_lAyu7Yo9L4hUTqHqIeP_qcVuxCtosJEbg/edit?usp=sharing"",""ปราจีนบุรี!I484"")"),0)</f>
        <v>0</v>
      </c>
      <c r="CV63" s="278">
        <f ca="1">IFERROR(__xludf.DUMMYFUNCTION("IMPORTRANGE(""https://docs.google.com/spreadsheets/d/1vVf6wykvW_lAyu7Yo9L4hUTqHqIeP_qcVuxCtosJEbg/edit?usp=sharing"",""ปราจีนบุรี!I485"")"),0)</f>
        <v>0</v>
      </c>
      <c r="CW63" s="278">
        <f ca="1">IFERROR(__xludf.DUMMYFUNCTION("IMPORTRANGE(""https://docs.google.com/spreadsheets/d/1vVf6wykvW_lAyu7Yo9L4hUTqHqIeP_qcVuxCtosJEbg/edit?usp=sharing"",""ปราจีนบุรี!J484"")"),0)</f>
        <v>0</v>
      </c>
      <c r="CX63" s="216">
        <f t="shared" ca="1" si="71"/>
        <v>0</v>
      </c>
      <c r="CY63" s="278">
        <f ca="1">IFERROR(__xludf.DUMMYFUNCTION("IMPORTRANGE(""https://docs.google.com/spreadsheets/d/1vVf6wykvW_lAyu7Yo9L4hUTqHqIeP_qcVuxCtosJEbg/edit?usp=sharing"",""ปราจีนบุรี!J485"")"),0)</f>
        <v>0</v>
      </c>
      <c r="CZ63" s="216">
        <f t="shared" ca="1" si="72"/>
        <v>0</v>
      </c>
      <c r="DA63" s="278">
        <f ca="1">IFERROR(__xludf.DUMMYFUNCTION("IMPORTRANGE(""https://docs.google.com/spreadsheets/d/1vVf6wykvW_lAyu7Yo9L4hUTqHqIeP_qcVuxCtosJEbg/edit?usp=sharing"",""ปราจีนบุรี!J486"")"),0)</f>
        <v>0</v>
      </c>
      <c r="DB63" s="278">
        <f ca="1">IFERROR(__xludf.DUMMYFUNCTION("IMPORTRANGE(""https://docs.google.com/spreadsheets/d/1vVf6wykvW_lAyu7Yo9L4hUTqHqIeP_qcVuxCtosJEbg/edit?usp=sharing"",""ปราจีนบุรี!J487"")"),0)</f>
        <v>0</v>
      </c>
      <c r="DC63" s="278">
        <f ca="1">IFERROR(__xludf.DUMMYFUNCTION("IMPORTRANGE(""https://docs.google.com/spreadsheets/d/1vVf6wykvW_lAyu7Yo9L4hUTqHqIeP_qcVuxCtosJEbg/edit?usp=sharing"",""ปราจีนบุรี!J488"")"),0)</f>
        <v>0</v>
      </c>
      <c r="DD63" s="278">
        <f ca="1">IFERROR(__xludf.DUMMYFUNCTION("IMPORTRANGE(""https://docs.google.com/spreadsheets/d/1vVf6wykvW_lAyu7Yo9L4hUTqHqIeP_qcVuxCtosJEbg/edit?usp=sharing"",""ปราจีนบุรี!J489"")"),0)</f>
        <v>0</v>
      </c>
      <c r="DE63" s="278">
        <f ca="1">IFERROR(__xludf.DUMMYFUNCTION("IMPORTRANGE(""https://docs.google.com/spreadsheets/d/1vVf6wykvW_lAyu7Yo9L4hUTqHqIeP_qcVuxCtosJEbg/edit?usp=sharing"",""ปราจีนบุรี!J490"")"),0)</f>
        <v>0</v>
      </c>
      <c r="DF63" s="278">
        <f ca="1">IFERROR(__xludf.DUMMYFUNCTION("IMPORTRANGE(""https://docs.google.com/spreadsheets/d/1vVf6wykvW_lAyu7Yo9L4hUTqHqIeP_qcVuxCtosJEbg/edit?usp=sharing"",""ปราจีนบุรี!J491"")"),0)</f>
        <v>0</v>
      </c>
    </row>
    <row r="64" spans="1:110" ht="19.5" x14ac:dyDescent="0.3">
      <c r="A64" s="147">
        <v>12</v>
      </c>
      <c r="B64" s="148" t="s">
        <v>92</v>
      </c>
      <c r="C64" s="566">
        <f t="shared" ca="1" si="44"/>
        <v>0</v>
      </c>
      <c r="D64" s="567">
        <f t="shared" ca="1" si="94"/>
        <v>0</v>
      </c>
      <c r="E64" s="329">
        <f ca="1">IFERROR(__xludf.DUMMYFUNCTION("IMPORTRANGE(""https://docs.google.com/spreadsheets/d/1-uDff_7J0KD5mKrp0Vvzr7lt3OU09vwQwhkpOPPYv2Y/edit?usp=sharing"",""งบพรบ!IP64"")"),0)</f>
        <v>0</v>
      </c>
      <c r="F64" s="329">
        <f ca="1">IFERROR(__xludf.DUMMYFUNCTION("IMPORTRANGE(""https://docs.google.com/spreadsheets/d/1-uDff_7J0KD5mKrp0Vvzr7lt3OU09vwQwhkpOPPYv2Y/edit?usp=sharing"",""งบพรบ!IQ64"")"),0)</f>
        <v>0</v>
      </c>
      <c r="G64" s="329">
        <f ca="1">IFERROR(__xludf.DUMMYFUNCTION("IMPORTRANGE(""https://docs.google.com/spreadsheets/d/1-uDff_7J0KD5mKrp0Vvzr7lt3OU09vwQwhkpOPPYv2Y/edit?usp=sharing"",""งบพรบ!IR64"")"),0)</f>
        <v>0</v>
      </c>
      <c r="H64" s="329">
        <f ca="1">IFERROR(__xludf.DUMMYFUNCTION("IMPORTRANGE(""https://docs.google.com/spreadsheets/d/1-uDff_7J0KD5mKrp0Vvzr7lt3OU09vwQwhkpOPPYv2Y/edit?usp=sharing"",""งบพรบ!IT64"")"),29600)</f>
        <v>29600</v>
      </c>
      <c r="I64" s="329">
        <f ca="1">IFERROR(__xludf.DUMMYFUNCTION("IMPORTRANGE(""https://docs.google.com/spreadsheets/d/1-uDff_7J0KD5mKrp0Vvzr7lt3OU09vwQwhkpOPPYv2Y/edit?usp=sharing"",""งบพรบ!IU64"")"),0)</f>
        <v>0</v>
      </c>
      <c r="J64" s="329">
        <f t="shared" ca="1" si="46"/>
        <v>29600</v>
      </c>
      <c r="K64" s="568">
        <f t="shared" ca="1" si="47"/>
        <v>0</v>
      </c>
      <c r="L64" s="329">
        <f ca="1">IFERROR(__xludf.DUMMYFUNCTION("IMPORTRANGE(""https://docs.google.com/spreadsheets/d/1-uDff_7J0KD5mKrp0Vvzr7lt3OU09vwQwhkpOPPYv2Y/edit?usp=sharing"",""งบพรบ!IV64"")"),29600)</f>
        <v>29600</v>
      </c>
      <c r="M64" s="330">
        <f t="shared" ca="1" si="48"/>
        <v>0</v>
      </c>
      <c r="N64" s="330">
        <f t="shared" ca="1" si="49"/>
        <v>100</v>
      </c>
      <c r="O64" s="569">
        <f ca="1">IFERROR(__xludf.DUMMYFUNCTION("IMPORTRANGE(""https://docs.google.com/spreadsheets/d/1-uDff_7J0KD5mKrp0Vvzr7lt3OU09vwQwhkpOPPYv2Y/edit?usp=sharing"",""งบพรบ!IW64"")"),0)</f>
        <v>0</v>
      </c>
      <c r="P64" s="569">
        <f t="shared" ca="1" si="50"/>
        <v>0</v>
      </c>
      <c r="Q64" s="330">
        <f t="shared" ca="1" si="51"/>
        <v>0</v>
      </c>
      <c r="R64" s="564">
        <f ca="1">IFERROR(__xludf.DUMMYFUNCTION("IMPORTRANGE(""https://docs.google.com/spreadsheets/d/1BIDqLLg5jk3v59G8NlR8rk5xfQDKne0sAvZHSj7TI6I/edit?usp=sharing"",""พระนครศรีอยุธยา!Q413"")"),0)</f>
        <v>0</v>
      </c>
      <c r="S64" s="564">
        <f ca="1">IFERROR(__xludf.DUMMYFUNCTION("IMPORTRANGE(""https://docs.google.com/spreadsheets/d/1BIDqLLg5jk3v59G8NlR8rk5xfQDKne0sAvZHSj7TI6I/edit?usp=sharing"",""พระนครศรีอยุธยา!R413"")"),0)</f>
        <v>0</v>
      </c>
      <c r="T64" s="564">
        <f ca="1">IFERROR(__xludf.DUMMYFUNCTION("IMPORTRANGE(""https://docs.google.com/spreadsheets/d/1BIDqLLg5jk3v59G8NlR8rk5xfQDKne0sAvZHSj7TI6I/edit?usp=sharing"",""พระนครศรีอยุธยา!S413"")"),0)</f>
        <v>0</v>
      </c>
      <c r="U64" s="565">
        <f t="shared" ca="1" si="53"/>
        <v>0</v>
      </c>
      <c r="V64" s="565">
        <f t="shared" ca="1" si="54"/>
        <v>0</v>
      </c>
      <c r="W64" s="152">
        <f ca="1">IFERROR(__xludf.DUMMYFUNCTION("IMPORTRANGE(""https://docs.google.com/spreadsheets/d/1BIDqLLg5jk3v59G8NlR8rk5xfQDKne0sAvZHSj7TI6I/edit?usp=sharing"",""พระนครศรีอยุธยา!I424"")"),0)</f>
        <v>0</v>
      </c>
      <c r="X64" s="152">
        <f ca="1">IFERROR(__xludf.DUMMYFUNCTION("IMPORTRANGE(""https://docs.google.com/spreadsheets/d/1BIDqLLg5jk3v59G8NlR8rk5xfQDKne0sAvZHSj7TI6I/edit?usp=sharing"",""พระนครศรีอยุธยา!I425"")"),0)</f>
        <v>0</v>
      </c>
      <c r="Y64" s="152">
        <f ca="1">IFERROR(__xludf.DUMMYFUNCTION("IMPORTRANGE(""https://docs.google.com/spreadsheets/d/1BIDqLLg5jk3v59G8NlR8rk5xfQDKne0sAvZHSj7TI6I/edit?usp=sharing"",""พระนครศรีอยุธยา!J424"")"),0)</f>
        <v>0</v>
      </c>
      <c r="Z64" s="216">
        <f t="shared" ca="1" si="56"/>
        <v>0</v>
      </c>
      <c r="AA64" s="152">
        <f ca="1">IFERROR(__xludf.DUMMYFUNCTION("IMPORTRANGE(""https://docs.google.com/spreadsheets/d/1BIDqLLg5jk3v59G8NlR8rk5xfQDKne0sAvZHSj7TI6I/edit?usp=sharing"",""พระนครศรีอยุธยา!J425"")"),0)</f>
        <v>0</v>
      </c>
      <c r="AB64" s="216">
        <f t="shared" ca="1" si="57"/>
        <v>0</v>
      </c>
      <c r="AC64" s="152">
        <f ca="1">IFERROR(__xludf.DUMMYFUNCTION("IMPORTRANGE(""https://docs.google.com/spreadsheets/d/1BIDqLLg5jk3v59G8NlR8rk5xfQDKne0sAvZHSj7TI6I/edit?usp=sharing"",""พระนครศรีอยุธยา!J426"")"),0)</f>
        <v>0</v>
      </c>
      <c r="AD64" s="152">
        <f ca="1">IFERROR(__xludf.DUMMYFUNCTION("IMPORTRANGE(""https://docs.google.com/spreadsheets/d/1BIDqLLg5jk3v59G8NlR8rk5xfQDKne0sAvZHSj7TI6I/edit?usp=sharing"",""พระนครศรีอยุธยา!J427"")"),0)</f>
        <v>0</v>
      </c>
      <c r="AE64" s="152">
        <f ca="1">IFERROR(__xludf.DUMMYFUNCTION("IMPORTRANGE(""https://docs.google.com/spreadsheets/d/1BIDqLLg5jk3v59G8NlR8rk5xfQDKne0sAvZHSj7TI6I/edit?usp=sharing"",""พระนครศรีอยุธยา!J428"")"),0)</f>
        <v>0</v>
      </c>
      <c r="AF64" s="152">
        <f ca="1">IFERROR(__xludf.DUMMYFUNCTION("IMPORTRANGE(""https://docs.google.com/spreadsheets/d/1BIDqLLg5jk3v59G8NlR8rk5xfQDKne0sAvZHSj7TI6I/edit?usp=sharing"",""พระนครศรีอยุธยา!J429"")"),0)</f>
        <v>0</v>
      </c>
      <c r="AG64" s="152">
        <f ca="1">IFERROR(__xludf.DUMMYFUNCTION("IMPORTRANGE(""https://docs.google.com/spreadsheets/d/1BIDqLLg5jk3v59G8NlR8rk5xfQDKne0sAvZHSj7TI6I/edit?usp=sharing"",""พระนครศรีอยุธยา!J430"")"),0)</f>
        <v>0</v>
      </c>
      <c r="AH64" s="152">
        <f ca="1">IFERROR(__xludf.DUMMYFUNCTION("IMPORTRANGE(""https://docs.google.com/spreadsheets/d/1BIDqLLg5jk3v59G8NlR8rk5xfQDKne0sAvZHSj7TI6I/edit?usp=sharing"",""พระนครศรีอยุธยา!J431"")"),0)</f>
        <v>0</v>
      </c>
      <c r="AI64" s="152">
        <f ca="1">IFERROR(__xludf.DUMMYFUNCTION("IMPORTRANGE(""https://docs.google.com/spreadsheets/d/1BIDqLLg5jk3v59G8NlR8rk5xfQDKne0sAvZHSj7TI6I/edit?usp=sharing"",""พระนครศรีอยุธยา!I432"")"),0)</f>
        <v>0</v>
      </c>
      <c r="AJ64" s="152">
        <f ca="1">IFERROR(__xludf.DUMMYFUNCTION("IMPORTRANGE(""https://docs.google.com/spreadsheets/d/1BIDqLLg5jk3v59G8NlR8rk5xfQDKne0sAvZHSj7TI6I/edit?usp=sharing"",""พระนครศรีอยุธยา!I433"")"),0)</f>
        <v>0</v>
      </c>
      <c r="AK64" s="216">
        <f ca="1">IFERROR(__xludf.DUMMYFUNCTION("IMPORTRANGE(""https://docs.google.com/spreadsheets/d/1BIDqLLg5jk3v59G8NlR8rk5xfQDKne0sAvZHSj7TI6I/edit?usp=sharing"",""พระนครศรีอยุธยา!J432"")"),0)</f>
        <v>0</v>
      </c>
      <c r="AL64" s="216">
        <f t="shared" ca="1" si="59"/>
        <v>0</v>
      </c>
      <c r="AM64" s="152">
        <f ca="1">IFERROR(__xludf.DUMMYFUNCTION("IMPORTRANGE(""https://docs.google.com/spreadsheets/d/1BIDqLLg5jk3v59G8NlR8rk5xfQDKne0sAvZHSj7TI6I/edit?usp=sharing"",""พระนครศรีอยุธยา!J433"")"),0)</f>
        <v>0</v>
      </c>
      <c r="AN64" s="216">
        <f t="shared" ca="1" si="60"/>
        <v>0</v>
      </c>
      <c r="AO64" s="152">
        <f ca="1">IFERROR(__xludf.DUMMYFUNCTION("IMPORTRANGE(""https://docs.google.com/spreadsheets/d/1BIDqLLg5jk3v59G8NlR8rk5xfQDKne0sAvZHSj7TI6I/edit?usp=sharing"",""พระนครศรีอยุธยา!J434"")"),0)</f>
        <v>0</v>
      </c>
      <c r="AP64" s="152">
        <f ca="1">IFERROR(__xludf.DUMMYFUNCTION("IMPORTRANGE(""https://docs.google.com/spreadsheets/d/1BIDqLLg5jk3v59G8NlR8rk5xfQDKne0sAvZHSj7TI6I/edit?usp=sharing"",""พระนครศรีอยุธยา!J435"")"),0)</f>
        <v>0</v>
      </c>
      <c r="AQ64" s="152">
        <f ca="1">IFERROR(__xludf.DUMMYFUNCTION("IMPORTRANGE(""https://docs.google.com/spreadsheets/d/1BIDqLLg5jk3v59G8NlR8rk5xfQDKne0sAvZHSj7TI6I/edit?usp=sharing"",""พระนครศรีอยุธยา!J436"")"),0)</f>
        <v>0</v>
      </c>
      <c r="AR64" s="152">
        <f ca="1">IFERROR(__xludf.DUMMYFUNCTION("IMPORTRANGE(""https://docs.google.com/spreadsheets/d/1BIDqLLg5jk3v59G8NlR8rk5xfQDKne0sAvZHSj7TI6I/edit?usp=sharing"",""พระนครศรีอยุธยา!J437"")"),0)</f>
        <v>0</v>
      </c>
      <c r="AS64" s="152">
        <f ca="1">IFERROR(__xludf.DUMMYFUNCTION("IMPORTRANGE(""https://docs.google.com/spreadsheets/d/1BIDqLLg5jk3v59G8NlR8rk5xfQDKne0sAvZHSj7TI6I/edit?usp=sharing"",""พระนครศรีอยุธยา!J438"")"),0)</f>
        <v>0</v>
      </c>
      <c r="AT64" s="152">
        <f ca="1">IFERROR(__xludf.DUMMYFUNCTION("IMPORTRANGE(""https://docs.google.com/spreadsheets/d/1BIDqLLg5jk3v59G8NlR8rk5xfQDKne0sAvZHSj7TI6I/edit?usp=sharing"",""พระนครศรีอยุธยา!J439"")"),0)</f>
        <v>0</v>
      </c>
      <c r="AU64" s="152">
        <f ca="1">IFERROR(__xludf.DUMMYFUNCTION("IMPORTRANGE(""https://docs.google.com/spreadsheets/d/1BIDqLLg5jk3v59G8NlR8rk5xfQDKne0sAvZHSj7TI6I/edit?usp=sharing"",""พระนครศรีอยุธยา!I440"")"),0)</f>
        <v>0</v>
      </c>
      <c r="AV64" s="152">
        <f ca="1">IFERROR(__xludf.DUMMYFUNCTION("IMPORTRANGE(""https://docs.google.com/spreadsheets/d/1BIDqLLg5jk3v59G8NlR8rk5xfQDKne0sAvZHSj7TI6I/edit?usp=sharing"",""พระนครศรีอยุธยา!I441"")"),0)</f>
        <v>0</v>
      </c>
      <c r="AW64" s="152">
        <f ca="1">IFERROR(__xludf.DUMMYFUNCTION("IMPORTRANGE(""https://docs.google.com/spreadsheets/d/1BIDqLLg5jk3v59G8NlR8rk5xfQDKne0sAvZHSj7TI6I/edit?usp=sharing"",""พระนครศรีอยุธยา!J440"")"),0)</f>
        <v>0</v>
      </c>
      <c r="AX64" s="216">
        <f t="shared" ca="1" si="62"/>
        <v>0</v>
      </c>
      <c r="AY64" s="152">
        <f ca="1">IFERROR(__xludf.DUMMYFUNCTION("IMPORTRANGE(""https://docs.google.com/spreadsheets/d/1BIDqLLg5jk3v59G8NlR8rk5xfQDKne0sAvZHSj7TI6I/edit?usp=sharing"",""พระนครศรีอยุธยา!J441"")"),0)</f>
        <v>0</v>
      </c>
      <c r="AZ64" s="216">
        <f t="shared" ca="1" si="63"/>
        <v>0</v>
      </c>
      <c r="BA64" s="152">
        <f ca="1">IFERROR(__xludf.DUMMYFUNCTION("IMPORTRANGE(""https://docs.google.com/spreadsheets/d/1BIDqLLg5jk3v59G8NlR8rk5xfQDKne0sAvZHSj7TI6I/edit?usp=sharing"",""พระนครศรีอยุธยา!J442"")"),0)</f>
        <v>0</v>
      </c>
      <c r="BB64" s="152">
        <f ca="1">IFERROR(__xludf.DUMMYFUNCTION("IMPORTRANGE(""https://docs.google.com/spreadsheets/d/1BIDqLLg5jk3v59G8NlR8rk5xfQDKne0sAvZHSj7TI6I/edit?usp=sharing"",""พระนครศรีอยุธยา!J443"")"),0)</f>
        <v>0</v>
      </c>
      <c r="BC64" s="152">
        <f ca="1">IFERROR(__xludf.DUMMYFUNCTION("IMPORTRANGE(""https://docs.google.com/spreadsheets/d/1BIDqLLg5jk3v59G8NlR8rk5xfQDKne0sAvZHSj7TI6I/edit?usp=sharing"",""พระนครศรีอยุธยา!J444"")"),0)</f>
        <v>0</v>
      </c>
      <c r="BD64" s="152">
        <f ca="1">IFERROR(__xludf.DUMMYFUNCTION("IMPORTRANGE(""https://docs.google.com/spreadsheets/d/1BIDqLLg5jk3v59G8NlR8rk5xfQDKne0sAvZHSj7TI6I/edit?usp=sharing"",""พระนครศรีอยุธยา!J445"")"),0)</f>
        <v>0</v>
      </c>
      <c r="BE64" s="152">
        <f ca="1">IFERROR(__xludf.DUMMYFUNCTION("IMPORTRANGE(""https://docs.google.com/spreadsheets/d/1BIDqLLg5jk3v59G8NlR8rk5xfQDKne0sAvZHSj7TI6I/edit?usp=sharing"",""พระนครศรีอยุธยา!J446"")"),0)</f>
        <v>0</v>
      </c>
      <c r="BF64" s="152">
        <f ca="1">IFERROR(__xludf.DUMMYFUNCTION("IMPORTRANGE(""https://docs.google.com/spreadsheets/d/1BIDqLLg5jk3v59G8NlR8rk5xfQDKne0sAvZHSj7TI6I/edit?usp=sharing"",""พระนครศรีอยุธยา!J447"")"),0)</f>
        <v>0</v>
      </c>
      <c r="BG64" s="152">
        <f ca="1">IFERROR(__xludf.DUMMYFUNCTION("IMPORTRANGE(""https://docs.google.com/spreadsheets/d/1BIDqLLg5jk3v59G8NlR8rk5xfQDKne0sAvZHSj7TI6I/edit?usp=sharing"",""พระนครศรีอยุธยา!J448"")"),0)</f>
        <v>0</v>
      </c>
      <c r="BH64" s="152">
        <f ca="1">IFERROR(__xludf.DUMMYFUNCTION("IMPORTRANGE(""https://docs.google.com/spreadsheets/d/1BIDqLLg5jk3v59G8NlR8rk5xfQDKne0sAvZHSj7TI6I/edit?usp=sharing"",""พระนครศรีอยุธยา!J449"")"),0)</f>
        <v>0</v>
      </c>
      <c r="BI64" s="152">
        <f ca="1">IFERROR(__xludf.DUMMYFUNCTION("IMPORTRANGE(""https://docs.google.com/spreadsheets/d/1BIDqLLg5jk3v59G8NlR8rk5xfQDKne0sAvZHSj7TI6I/edit?usp=sharing"",""พระนครศรีอยุธยา!J450"")"),0)</f>
        <v>0</v>
      </c>
      <c r="BJ64" s="152">
        <f ca="1">IFERROR(__xludf.DUMMYFUNCTION("IMPORTRANGE(""https://docs.google.com/spreadsheets/d/1BIDqLLg5jk3v59G8NlR8rk5xfQDKne0sAvZHSj7TI6I/edit?usp=sharing"",""พระนครศรีอยุธยา!J451"")"),0)</f>
        <v>0</v>
      </c>
      <c r="BK64" s="152">
        <f ca="1">IFERROR(__xludf.DUMMYFUNCTION("IMPORTRANGE(""https://docs.google.com/spreadsheets/d/1BIDqLLg5jk3v59G8NlR8rk5xfQDKne0sAvZHSj7TI6I/edit?usp=sharing"",""พระนครศรีอยุธยา!J452"")"),0)</f>
        <v>0</v>
      </c>
      <c r="BL64" s="152">
        <f ca="1">IFERROR(__xludf.DUMMYFUNCTION("IMPORTRANGE(""https://docs.google.com/spreadsheets/d/1BIDqLLg5jk3v59G8NlR8rk5xfQDKne0sAvZHSj7TI6I/edit?usp=sharing"",""พระนครศรีอยุธยา!J453"")"),0)</f>
        <v>0</v>
      </c>
      <c r="BM64" s="152">
        <f ca="1">IFERROR(__xludf.DUMMYFUNCTION("IMPORTRANGE(""https://docs.google.com/spreadsheets/d/1BIDqLLg5jk3v59G8NlR8rk5xfQDKne0sAvZHSj7TI6I/edit?usp=sharing"",""พระนครศรีอยุธยา!J454"")"),0)</f>
        <v>0</v>
      </c>
      <c r="BN64" s="152">
        <f ca="1">IFERROR(__xludf.DUMMYFUNCTION("IMPORTRANGE(""https://docs.google.com/spreadsheets/d/1BIDqLLg5jk3v59G8NlR8rk5xfQDKne0sAvZHSj7TI6I/edit?usp=sharing"",""พระนครศรีอยุธยา!J455"")"),0)</f>
        <v>0</v>
      </c>
      <c r="BO64" s="152">
        <f ca="1">IFERROR(__xludf.DUMMYFUNCTION("IMPORTRANGE(""https://docs.google.com/spreadsheets/d/1BIDqLLg5jk3v59G8NlR8rk5xfQDKne0sAvZHSj7TI6I/edit?usp=sharing"",""พระนครศรีอยุธยา!I457"")"),0)</f>
        <v>0</v>
      </c>
      <c r="BP64" s="152">
        <f ca="1">IFERROR(__xludf.DUMMYFUNCTION("IMPORTRANGE(""https://docs.google.com/spreadsheets/d/1BIDqLLg5jk3v59G8NlR8rk5xfQDKne0sAvZHSj7TI6I/edit?usp=sharing"",""พระนครศรีอยุธยา!I458"")"),0)</f>
        <v>0</v>
      </c>
      <c r="BQ64" s="152">
        <f ca="1">IFERROR(__xludf.DUMMYFUNCTION("IMPORTRANGE(""https://docs.google.com/spreadsheets/d/1BIDqLLg5jk3v59G8NlR8rk5xfQDKne0sAvZHSj7TI6I/edit?usp=sharing"",""พระนครศรีอยุธยา!J457"")"),0)</f>
        <v>0</v>
      </c>
      <c r="BR64" s="216">
        <f t="shared" ca="1" si="65"/>
        <v>0</v>
      </c>
      <c r="BS64" s="152">
        <f ca="1">IFERROR(__xludf.DUMMYFUNCTION("IMPORTRANGE(""https://docs.google.com/spreadsheets/d/1BIDqLLg5jk3v59G8NlR8rk5xfQDKne0sAvZHSj7TI6I/edit?usp=sharing"",""พระนครศรีอยุธยา!J458"")"),0)</f>
        <v>0</v>
      </c>
      <c r="BT64" s="216">
        <f t="shared" ca="1" si="66"/>
        <v>0</v>
      </c>
      <c r="BU64" s="152">
        <f ca="1">IFERROR(__xludf.DUMMYFUNCTION("IMPORTRANGE(""https://docs.google.com/spreadsheets/d/1BIDqLLg5jk3v59G8NlR8rk5xfQDKne0sAvZHSj7TI6I/edit?usp=sharing"",""พระนครศรีอยุธยา!J459"")"),0)</f>
        <v>0</v>
      </c>
      <c r="BV64" s="152">
        <f ca="1">IFERROR(__xludf.DUMMYFUNCTION("IMPORTRANGE(""https://docs.google.com/spreadsheets/d/1BIDqLLg5jk3v59G8NlR8rk5xfQDKne0sAvZHSj7TI6I/edit?usp=sharing"",""พระนครศรีอยุธยา!J460"")"),0)</f>
        <v>0</v>
      </c>
      <c r="BW64" s="152">
        <f ca="1">IFERROR(__xludf.DUMMYFUNCTION("IMPORTRANGE(""https://docs.google.com/spreadsheets/d/1BIDqLLg5jk3v59G8NlR8rk5xfQDKne0sAvZHSj7TI6I/edit?usp=sharing"",""พระนครศรีอยุธยา!J461"")"),0)</f>
        <v>0</v>
      </c>
      <c r="BX64" s="152">
        <f ca="1">IFERROR(__xludf.DUMMYFUNCTION("IMPORTRANGE(""https://docs.google.com/spreadsheets/d/1BIDqLLg5jk3v59G8NlR8rk5xfQDKne0sAvZHSj7TI6I/edit?usp=sharing"",""พระนครศรีอยุธยา!J462"")"),0)</f>
        <v>0</v>
      </c>
      <c r="BY64" s="152">
        <f ca="1">IFERROR(__xludf.DUMMYFUNCTION("IMPORTRANGE(""https://docs.google.com/spreadsheets/d/1BIDqLLg5jk3v59G8NlR8rk5xfQDKne0sAvZHSj7TI6I/edit?usp=sharing"",""พระนครศรีอยุธยา!J463"")"),0)</f>
        <v>0</v>
      </c>
      <c r="BZ64" s="152">
        <f ca="1">IFERROR(__xludf.DUMMYFUNCTION("IMPORTRANGE(""https://docs.google.com/spreadsheets/d/1BIDqLLg5jk3v59G8NlR8rk5xfQDKne0sAvZHSj7TI6I/edit?usp=sharing"",""พระนครศรีอยุธยา!J464"")"),0)</f>
        <v>0</v>
      </c>
      <c r="CA64" s="152">
        <f ca="1">IFERROR(__xludf.DUMMYFUNCTION("IMPORTRANGE(""https://docs.google.com/spreadsheets/d/1BIDqLLg5jk3v59G8NlR8rk5xfQDKne0sAvZHSj7TI6I/edit?usp=sharing"",""พระนครศรีอยุธยา!J465"")"),0)</f>
        <v>0</v>
      </c>
      <c r="CB64" s="152">
        <f ca="1">IFERROR(__xludf.DUMMYFUNCTION("IMPORTRANGE(""https://docs.google.com/spreadsheets/d/1BIDqLLg5jk3v59G8NlR8rk5xfQDKne0sAvZHSj7TI6I/edit?usp=sharing"",""พระนครศรีอยุธยา!J466"")"),0)</f>
        <v>0</v>
      </c>
      <c r="CC64" s="152">
        <f ca="1">IFERROR(__xludf.DUMMYFUNCTION("IMPORTRANGE(""https://docs.google.com/spreadsheets/d/1BIDqLLg5jk3v59G8NlR8rk5xfQDKne0sAvZHSj7TI6I/edit?usp=sharing"",""พระนครศรีอยุธยา!J467"")"),0)</f>
        <v>0</v>
      </c>
      <c r="CD64" s="152">
        <f ca="1">IFERROR(__xludf.DUMMYFUNCTION("IMPORTRANGE(""https://docs.google.com/spreadsheets/d/1BIDqLLg5jk3v59G8NlR8rk5xfQDKne0sAvZHSj7TI6I/edit?usp=sharing"",""พระนครศรีอยุธยา!J468"")"),0)</f>
        <v>0</v>
      </c>
      <c r="CE64" s="152">
        <f ca="1">IFERROR(__xludf.DUMMYFUNCTION("IMPORTRANGE(""https://docs.google.com/spreadsheets/d/1BIDqLLg5jk3v59G8NlR8rk5xfQDKne0sAvZHSj7TI6I/edit?usp=sharing"",""พระนครศรีอยุธยา!J469"")"),0)</f>
        <v>0</v>
      </c>
      <c r="CF64" s="152">
        <f ca="1">IFERROR(__xludf.DUMMYFUNCTION("IMPORTRANGE(""https://docs.google.com/spreadsheets/d/1BIDqLLg5jk3v59G8NlR8rk5xfQDKne0sAvZHSj7TI6I/edit?usp=sharing"",""พระนครศรีอยุธยา!J470"")"),0)</f>
        <v>0</v>
      </c>
      <c r="CG64" s="152">
        <f ca="1">IFERROR(__xludf.DUMMYFUNCTION("IMPORTRANGE(""https://docs.google.com/spreadsheets/d/1BIDqLLg5jk3v59G8NlR8rk5xfQDKne0sAvZHSj7TI6I/edit?usp=sharing"",""พระนครศรีอยุธยา!J471"")"),0)</f>
        <v>0</v>
      </c>
      <c r="CH64" s="152">
        <f ca="1">IFERROR(__xludf.DUMMYFUNCTION("IMPORTRANGE(""https://docs.google.com/spreadsheets/d/1BIDqLLg5jk3v59G8NlR8rk5xfQDKne0sAvZHSj7TI6I/edit?usp=sharing"",""พระนครศรีอยุธยา!J472"")"),0)</f>
        <v>0</v>
      </c>
      <c r="CI64" s="152">
        <f ca="1">IFERROR(__xludf.DUMMYFUNCTION("IMPORTRANGE(""https://docs.google.com/spreadsheets/d/1BIDqLLg5jk3v59G8NlR8rk5xfQDKne0sAvZHSj7TI6I/edit?usp=sharing"",""พระนครศรีอยุธยา!J473"")"),0)</f>
        <v>0</v>
      </c>
      <c r="CJ64" s="152">
        <f ca="1">IFERROR(__xludf.DUMMYFUNCTION("IMPORTRANGE(""https://docs.google.com/spreadsheets/d/1BIDqLLg5jk3v59G8NlR8rk5xfQDKne0sAvZHSj7TI6I/edit?usp=sharing"",""พระนครศรีอยุธยา!J474"")"),0)</f>
        <v>0</v>
      </c>
      <c r="CK64" s="278">
        <f ca="1">IFERROR(__xludf.DUMMYFUNCTION("IMPORTRANGE(""https://docs.google.com/spreadsheets/d/1BIDqLLg5jk3v59G8NlR8rk5xfQDKne0sAvZHSj7TI6I/edit?usp=sharing"",""พระนครศรีอยุธยา!I476"")"),0)</f>
        <v>0</v>
      </c>
      <c r="CL64" s="278">
        <f ca="1">IFERROR(__xludf.DUMMYFUNCTION("IMPORTRANGE(""https://docs.google.com/spreadsheets/d/1BIDqLLg5jk3v59G8NlR8rk5xfQDKne0sAvZHSj7TI6I/edit?usp=sharing"",""พระนครศรีอยุธยา!I477"")"),0)</f>
        <v>0</v>
      </c>
      <c r="CM64" s="278">
        <f ca="1">IFERROR(__xludf.DUMMYFUNCTION("IMPORTRANGE(""https://docs.google.com/spreadsheets/d/1BIDqLLg5jk3v59G8NlR8rk5xfQDKne0sAvZHSj7TI6I/edit?usp=sharing"",""พระนครศรีอยุธยา!J476"")"),0)</f>
        <v>0</v>
      </c>
      <c r="CN64" s="216">
        <f t="shared" ca="1" si="68"/>
        <v>0</v>
      </c>
      <c r="CO64" s="278">
        <f ca="1">IFERROR(__xludf.DUMMYFUNCTION("IMPORTRANGE(""https://docs.google.com/spreadsheets/d/1BIDqLLg5jk3v59G8NlR8rk5xfQDKne0sAvZHSj7TI6I/edit?usp=sharing"",""พระนครศรีอยุธยา!J477"")"),0)</f>
        <v>0</v>
      </c>
      <c r="CP64" s="216">
        <f t="shared" ca="1" si="69"/>
        <v>0</v>
      </c>
      <c r="CQ64" s="278">
        <f ca="1">IFERROR(__xludf.DUMMYFUNCTION("IMPORTRANGE(""https://docs.google.com/spreadsheets/d/1BIDqLLg5jk3v59G8NlR8rk5xfQDKne0sAvZHSj7TI6I/edit?usp=sharing"",""พระนครศรีอยุธยา!J478"")"),0)</f>
        <v>0</v>
      </c>
      <c r="CR64" s="278">
        <f ca="1">IFERROR(__xludf.DUMMYFUNCTION("IMPORTRANGE(""https://docs.google.com/spreadsheets/d/1BIDqLLg5jk3v59G8NlR8rk5xfQDKne0sAvZHSj7TI6I/edit?usp=sharing"",""พระนครศรีอยุธยา!J479"")"),0)</f>
        <v>0</v>
      </c>
      <c r="CS64" s="278">
        <f ca="1">IFERROR(__xludf.DUMMYFUNCTION("IMPORTRANGE(""https://docs.google.com/spreadsheets/d/1BIDqLLg5jk3v59G8NlR8rk5xfQDKne0sAvZHSj7TI6I/edit?usp=sharing"",""พระนครศรีอยุธยา!J480"")"),0)</f>
        <v>0</v>
      </c>
      <c r="CT64" s="278">
        <f ca="1">IFERROR(__xludf.DUMMYFUNCTION("IMPORTRANGE(""https://docs.google.com/spreadsheets/d/1BIDqLLg5jk3v59G8NlR8rk5xfQDKne0sAvZHSj7TI6I/edit?usp=sharing"",""พระนครศรีอยุธยา!J481"")"),0)</f>
        <v>0</v>
      </c>
      <c r="CU64" s="278">
        <f ca="1">IFERROR(__xludf.DUMMYFUNCTION("IMPORTRANGE(""https://docs.google.com/spreadsheets/d/1BIDqLLg5jk3v59G8NlR8rk5xfQDKne0sAvZHSj7TI6I/edit?usp=sharing"",""พระนครศรีอยุธยา!I484"")"),0)</f>
        <v>0</v>
      </c>
      <c r="CV64" s="278">
        <f ca="1">IFERROR(__xludf.DUMMYFUNCTION("IMPORTRANGE(""https://docs.google.com/spreadsheets/d/1BIDqLLg5jk3v59G8NlR8rk5xfQDKne0sAvZHSj7TI6I/edit?usp=sharing"",""พระนครศรีอยุธยา!I485"")"),0)</f>
        <v>0</v>
      </c>
      <c r="CW64" s="278">
        <f ca="1">IFERROR(__xludf.DUMMYFUNCTION("IMPORTRANGE(""https://docs.google.com/spreadsheets/d/1BIDqLLg5jk3v59G8NlR8rk5xfQDKne0sAvZHSj7TI6I/edit?usp=sharing"",""พระนครศรีอยุธยา!J484"")"),0)</f>
        <v>0</v>
      </c>
      <c r="CX64" s="216">
        <f t="shared" ca="1" si="71"/>
        <v>0</v>
      </c>
      <c r="CY64" s="278">
        <f ca="1">IFERROR(__xludf.DUMMYFUNCTION("IMPORTRANGE(""https://docs.google.com/spreadsheets/d/1BIDqLLg5jk3v59G8NlR8rk5xfQDKne0sAvZHSj7TI6I/edit?usp=sharing"",""พระนครศรีอยุธยา!J485"")"),0)</f>
        <v>0</v>
      </c>
      <c r="CZ64" s="216">
        <f t="shared" ca="1" si="72"/>
        <v>0</v>
      </c>
      <c r="DA64" s="278">
        <f ca="1">IFERROR(__xludf.DUMMYFUNCTION("IMPORTRANGE(""https://docs.google.com/spreadsheets/d/1BIDqLLg5jk3v59G8NlR8rk5xfQDKne0sAvZHSj7TI6I/edit?usp=sharing"",""พระนครศรีอยุธยา!J486"")"),0)</f>
        <v>0</v>
      </c>
      <c r="DB64" s="278">
        <f ca="1">IFERROR(__xludf.DUMMYFUNCTION("IMPORTRANGE(""https://docs.google.com/spreadsheets/d/1BIDqLLg5jk3v59G8NlR8rk5xfQDKne0sAvZHSj7TI6I/edit?usp=sharing"",""พระนครศรีอยุธยา!J487"")"),0)</f>
        <v>0</v>
      </c>
      <c r="DC64" s="278">
        <f ca="1">IFERROR(__xludf.DUMMYFUNCTION("IMPORTRANGE(""https://docs.google.com/spreadsheets/d/1BIDqLLg5jk3v59G8NlR8rk5xfQDKne0sAvZHSj7TI6I/edit?usp=sharing"",""พระนครศรีอยุธยา!J488"")"),0)</f>
        <v>0</v>
      </c>
      <c r="DD64" s="278">
        <f ca="1">IFERROR(__xludf.DUMMYFUNCTION("IMPORTRANGE(""https://docs.google.com/spreadsheets/d/1BIDqLLg5jk3v59G8NlR8rk5xfQDKne0sAvZHSj7TI6I/edit?usp=sharing"",""พระนครศรีอยุธยา!J489"")"),0)</f>
        <v>0</v>
      </c>
      <c r="DE64" s="278">
        <f ca="1">IFERROR(__xludf.DUMMYFUNCTION("IMPORTRANGE(""https://docs.google.com/spreadsheets/d/1BIDqLLg5jk3v59G8NlR8rk5xfQDKne0sAvZHSj7TI6I/edit?usp=sharing"",""พระนครศรีอยุธยา!J490"")"),0)</f>
        <v>0</v>
      </c>
      <c r="DF64" s="278">
        <f ca="1">IFERROR(__xludf.DUMMYFUNCTION("IMPORTRANGE(""https://docs.google.com/spreadsheets/d/1BIDqLLg5jk3v59G8NlR8rk5xfQDKne0sAvZHSj7TI6I/edit?usp=sharing"",""พระนครศรีอยุธยา!J491"")"),0)</f>
        <v>0</v>
      </c>
    </row>
    <row r="65" spans="1:110" ht="19.5" x14ac:dyDescent="0.3">
      <c r="A65" s="147">
        <v>13</v>
      </c>
      <c r="B65" s="148" t="s">
        <v>93</v>
      </c>
      <c r="C65" s="566">
        <f t="shared" ca="1" si="44"/>
        <v>54520</v>
      </c>
      <c r="D65" s="567">
        <f t="shared" ca="1" si="94"/>
        <v>54520</v>
      </c>
      <c r="E65" s="329">
        <f ca="1">IFERROR(__xludf.DUMMYFUNCTION("IMPORTRANGE(""https://docs.google.com/spreadsheets/d/1-uDff_7J0KD5mKrp0Vvzr7lt3OU09vwQwhkpOPPYv2Y/edit?usp=sharing"",""งบพรบ!IP65"")"),0)</f>
        <v>0</v>
      </c>
      <c r="F65" s="329">
        <f ca="1">IFERROR(__xludf.DUMMYFUNCTION("IMPORTRANGE(""https://docs.google.com/spreadsheets/d/1-uDff_7J0KD5mKrp0Vvzr7lt3OU09vwQwhkpOPPYv2Y/edit?usp=sharing"",""งบพรบ!IQ65"")"),54520)</f>
        <v>54520</v>
      </c>
      <c r="G65" s="329">
        <f ca="1">IFERROR(__xludf.DUMMYFUNCTION("IMPORTRANGE(""https://docs.google.com/spreadsheets/d/1-uDff_7J0KD5mKrp0Vvzr7lt3OU09vwQwhkpOPPYv2Y/edit?usp=sharing"",""งบพรบ!IR65"")"),0)</f>
        <v>0</v>
      </c>
      <c r="H65" s="329">
        <f ca="1">IFERROR(__xludf.DUMMYFUNCTION("IMPORTRANGE(""https://docs.google.com/spreadsheets/d/1-uDff_7J0KD5mKrp0Vvzr7lt3OU09vwQwhkpOPPYv2Y/edit?usp=sharing"",""งบพรบ!IT65"")"),54520)</f>
        <v>54520</v>
      </c>
      <c r="I65" s="329">
        <f ca="1">IFERROR(__xludf.DUMMYFUNCTION("IMPORTRANGE(""https://docs.google.com/spreadsheets/d/1-uDff_7J0KD5mKrp0Vvzr7lt3OU09vwQwhkpOPPYv2Y/edit?usp=sharing"",""งบพรบ!IU65"")"),0)</f>
        <v>0</v>
      </c>
      <c r="J65" s="329">
        <f t="shared" ca="1" si="46"/>
        <v>0</v>
      </c>
      <c r="K65" s="568">
        <f t="shared" ca="1" si="47"/>
        <v>0</v>
      </c>
      <c r="L65" s="329">
        <f ca="1">IFERROR(__xludf.DUMMYFUNCTION("IMPORTRANGE(""https://docs.google.com/spreadsheets/d/1-uDff_7J0KD5mKrp0Vvzr7lt3OU09vwQwhkpOPPYv2Y/edit?usp=sharing"",""งบพรบ!IV65"")"),0)</f>
        <v>0</v>
      </c>
      <c r="M65" s="330">
        <f t="shared" ca="1" si="48"/>
        <v>0</v>
      </c>
      <c r="N65" s="330">
        <f t="shared" ca="1" si="49"/>
        <v>0</v>
      </c>
      <c r="O65" s="569">
        <f ca="1">IFERROR(__xludf.DUMMYFUNCTION("IMPORTRANGE(""https://docs.google.com/spreadsheets/d/1-uDff_7J0KD5mKrp0Vvzr7lt3OU09vwQwhkpOPPYv2Y/edit?usp=sharing"",""งบพรบ!IW65"")"),0)</f>
        <v>0</v>
      </c>
      <c r="P65" s="569">
        <f t="shared" ca="1" si="50"/>
        <v>0</v>
      </c>
      <c r="Q65" s="330">
        <f t="shared" ca="1" si="51"/>
        <v>0</v>
      </c>
      <c r="R65" s="564">
        <f ca="1">IFERROR(__xludf.DUMMYFUNCTION("IMPORTRANGE(""https://docs.google.com/spreadsheets/d/1YXvxf8Yu6_rV4hTBrwMqAcAnv6DfhUxh5emyM3CJp_w/edit?usp=sharing"",""เพชรบุรี!Q413"")"),16320)</f>
        <v>16320</v>
      </c>
      <c r="S65" s="564">
        <f ca="1">IFERROR(__xludf.DUMMYFUNCTION("IMPORTRANGE(""https://docs.google.com/spreadsheets/d/1YXvxf8Yu6_rV4hTBrwMqAcAnv6DfhUxh5emyM3CJp_w/edit?usp=sharing"",""เพชรบุรี!R413"")"),16320)</f>
        <v>16320</v>
      </c>
      <c r="T65" s="564">
        <f ca="1">IFERROR(__xludf.DUMMYFUNCTION("IMPORTRANGE(""https://docs.google.com/spreadsheets/d/1YXvxf8Yu6_rV4hTBrwMqAcAnv6DfhUxh5emyM3CJp_w/edit?usp=sharing"",""เพชรบุรี!S413"")"),800)</f>
        <v>800</v>
      </c>
      <c r="U65" s="565">
        <f t="shared" ca="1" si="53"/>
        <v>4.9019607843137258</v>
      </c>
      <c r="V65" s="565">
        <f t="shared" ca="1" si="54"/>
        <v>4.9019607843137258</v>
      </c>
      <c r="W65" s="152">
        <f ca="1">IFERROR(__xludf.DUMMYFUNCTION("IMPORTRANGE(""https://docs.google.com/spreadsheets/d/1YXvxf8Yu6_rV4hTBrwMqAcAnv6DfhUxh5emyM3CJp_w/edit?usp=sharing"",""เพชรบุรี!I424"")"),0)</f>
        <v>0</v>
      </c>
      <c r="X65" s="152">
        <f ca="1">IFERROR(__xludf.DUMMYFUNCTION("IMPORTRANGE(""https://docs.google.com/spreadsheets/d/1YXvxf8Yu6_rV4hTBrwMqAcAnv6DfhUxh5emyM3CJp_w/edit?usp=sharing"",""เพชรบุรี!I425"")"),0)</f>
        <v>0</v>
      </c>
      <c r="Y65" s="152">
        <f ca="1">IFERROR(__xludf.DUMMYFUNCTION("IMPORTRANGE(""https://docs.google.com/spreadsheets/d/1YXvxf8Yu6_rV4hTBrwMqAcAnv6DfhUxh5emyM3CJp_w/edit?usp=sharing"",""เพชรบุรี!J424"")"),0)</f>
        <v>0</v>
      </c>
      <c r="Z65" s="216">
        <f t="shared" ca="1" si="56"/>
        <v>0</v>
      </c>
      <c r="AA65" s="152">
        <f ca="1">IFERROR(__xludf.DUMMYFUNCTION("IMPORTRANGE(""https://docs.google.com/spreadsheets/d/1YXvxf8Yu6_rV4hTBrwMqAcAnv6DfhUxh5emyM3CJp_w/edit?usp=sharing"",""เพชรบุรี!J425"")"),0)</f>
        <v>0</v>
      </c>
      <c r="AB65" s="216">
        <f t="shared" ca="1" si="57"/>
        <v>0</v>
      </c>
      <c r="AC65" s="152">
        <f ca="1">IFERROR(__xludf.DUMMYFUNCTION("IMPORTRANGE(""https://docs.google.com/spreadsheets/d/1YXvxf8Yu6_rV4hTBrwMqAcAnv6DfhUxh5emyM3CJp_w/edit?usp=sharing"",""เพชรบุรี!J426"")"),0)</f>
        <v>0</v>
      </c>
      <c r="AD65" s="152">
        <f ca="1">IFERROR(__xludf.DUMMYFUNCTION("IMPORTRANGE(""https://docs.google.com/spreadsheets/d/1YXvxf8Yu6_rV4hTBrwMqAcAnv6DfhUxh5emyM3CJp_w/edit?usp=sharing"",""เพชรบุรี!J427"")"),0)</f>
        <v>0</v>
      </c>
      <c r="AE65" s="152">
        <f ca="1">IFERROR(__xludf.DUMMYFUNCTION("IMPORTRANGE(""https://docs.google.com/spreadsheets/d/1YXvxf8Yu6_rV4hTBrwMqAcAnv6DfhUxh5emyM3CJp_w/edit?usp=sharing"",""เพชรบุรี!J428"")"),0)</f>
        <v>0</v>
      </c>
      <c r="AF65" s="152">
        <f ca="1">IFERROR(__xludf.DUMMYFUNCTION("IMPORTRANGE(""https://docs.google.com/spreadsheets/d/1YXvxf8Yu6_rV4hTBrwMqAcAnv6DfhUxh5emyM3CJp_w/edit?usp=sharing"",""เพชรบุรี!J429"")"),0)</f>
        <v>0</v>
      </c>
      <c r="AG65" s="152">
        <f ca="1">IFERROR(__xludf.DUMMYFUNCTION("IMPORTRANGE(""https://docs.google.com/spreadsheets/d/1YXvxf8Yu6_rV4hTBrwMqAcAnv6DfhUxh5emyM3CJp_w/edit?usp=sharing"",""เพชรบุรี!J430"")"),0)</f>
        <v>0</v>
      </c>
      <c r="AH65" s="152">
        <f ca="1">IFERROR(__xludf.DUMMYFUNCTION("IMPORTRANGE(""https://docs.google.com/spreadsheets/d/1YXvxf8Yu6_rV4hTBrwMqAcAnv6DfhUxh5emyM3CJp_w/edit?usp=sharing"",""เพชรบุรี!J431"")"),0)</f>
        <v>0</v>
      </c>
      <c r="AI65" s="152">
        <f ca="1">IFERROR(__xludf.DUMMYFUNCTION("IMPORTRANGE(""https://docs.google.com/spreadsheets/d/1YXvxf8Yu6_rV4hTBrwMqAcAnv6DfhUxh5emyM3CJp_w/edit?usp=sharing"",""เพชรบุรี!I432"")"),0)</f>
        <v>0</v>
      </c>
      <c r="AJ65" s="152">
        <f ca="1">IFERROR(__xludf.DUMMYFUNCTION("IMPORTRANGE(""https://docs.google.com/spreadsheets/d/1YXvxf8Yu6_rV4hTBrwMqAcAnv6DfhUxh5emyM3CJp_w/edit?usp=sharing"",""เพชรบุรี!I433"")"),0)</f>
        <v>0</v>
      </c>
      <c r="AK65" s="216">
        <f ca="1">IFERROR(__xludf.DUMMYFUNCTION("IMPORTRANGE(""https://docs.google.com/spreadsheets/d/1YXvxf8Yu6_rV4hTBrwMqAcAnv6DfhUxh5emyM3CJp_w/edit?usp=sharing"",""เพชรบุรี!J432"")"),0)</f>
        <v>0</v>
      </c>
      <c r="AL65" s="216">
        <f t="shared" ca="1" si="59"/>
        <v>0</v>
      </c>
      <c r="AM65" s="152">
        <f ca="1">IFERROR(__xludf.DUMMYFUNCTION("IMPORTRANGE(""https://docs.google.com/spreadsheets/d/1YXvxf8Yu6_rV4hTBrwMqAcAnv6DfhUxh5emyM3CJp_w/edit?usp=sharing"",""เพชรบุรี!J433"")"),0)</f>
        <v>0</v>
      </c>
      <c r="AN65" s="216">
        <f t="shared" ca="1" si="60"/>
        <v>0</v>
      </c>
      <c r="AO65" s="152">
        <f ca="1">IFERROR(__xludf.DUMMYFUNCTION("IMPORTRANGE(""https://docs.google.com/spreadsheets/d/1YXvxf8Yu6_rV4hTBrwMqAcAnv6DfhUxh5emyM3CJp_w/edit?usp=sharing"",""เพชรบุรี!J434"")"),0)</f>
        <v>0</v>
      </c>
      <c r="AP65" s="152">
        <f ca="1">IFERROR(__xludf.DUMMYFUNCTION("IMPORTRANGE(""https://docs.google.com/spreadsheets/d/1YXvxf8Yu6_rV4hTBrwMqAcAnv6DfhUxh5emyM3CJp_w/edit?usp=sharing"",""เพชรบุรี!J435"")"),0)</f>
        <v>0</v>
      </c>
      <c r="AQ65" s="152">
        <f ca="1">IFERROR(__xludf.DUMMYFUNCTION("IMPORTRANGE(""https://docs.google.com/spreadsheets/d/1YXvxf8Yu6_rV4hTBrwMqAcAnv6DfhUxh5emyM3CJp_w/edit?usp=sharing"",""เพชรบุรี!J436"")"),0)</f>
        <v>0</v>
      </c>
      <c r="AR65" s="152">
        <f ca="1">IFERROR(__xludf.DUMMYFUNCTION("IMPORTRANGE(""https://docs.google.com/spreadsheets/d/1YXvxf8Yu6_rV4hTBrwMqAcAnv6DfhUxh5emyM3CJp_w/edit?usp=sharing"",""เพชรบุรี!J437"")"),0)</f>
        <v>0</v>
      </c>
      <c r="AS65" s="152">
        <f ca="1">IFERROR(__xludf.DUMMYFUNCTION("IMPORTRANGE(""https://docs.google.com/spreadsheets/d/1YXvxf8Yu6_rV4hTBrwMqAcAnv6DfhUxh5emyM3CJp_w/edit?usp=sharing"",""เพชรบุรี!J438"")"),0)</f>
        <v>0</v>
      </c>
      <c r="AT65" s="152">
        <f ca="1">IFERROR(__xludf.DUMMYFUNCTION("IMPORTRANGE(""https://docs.google.com/spreadsheets/d/1YXvxf8Yu6_rV4hTBrwMqAcAnv6DfhUxh5emyM3CJp_w/edit?usp=sharing"",""เพชรบุรี!J439"")"),0)</f>
        <v>0</v>
      </c>
      <c r="AU65" s="152">
        <f ca="1">IFERROR(__xludf.DUMMYFUNCTION("IMPORTRANGE(""https://docs.google.com/spreadsheets/d/1YXvxf8Yu6_rV4hTBrwMqAcAnv6DfhUxh5emyM3CJp_w/edit?usp=sharing"",""เพชรบุรี!I440"")"),0)</f>
        <v>0</v>
      </c>
      <c r="AV65" s="152">
        <f ca="1">IFERROR(__xludf.DUMMYFUNCTION("IMPORTRANGE(""https://docs.google.com/spreadsheets/d/1YXvxf8Yu6_rV4hTBrwMqAcAnv6DfhUxh5emyM3CJp_w/edit?usp=sharing"",""เพชรบุรี!I441"")"),0)</f>
        <v>0</v>
      </c>
      <c r="AW65" s="152">
        <f ca="1">IFERROR(__xludf.DUMMYFUNCTION("IMPORTRANGE(""https://docs.google.com/spreadsheets/d/1YXvxf8Yu6_rV4hTBrwMqAcAnv6DfhUxh5emyM3CJp_w/edit?usp=sharing"",""เพชรบุรี!J440"")"),0)</f>
        <v>0</v>
      </c>
      <c r="AX65" s="216">
        <f t="shared" ca="1" si="62"/>
        <v>0</v>
      </c>
      <c r="AY65" s="152">
        <f ca="1">IFERROR(__xludf.DUMMYFUNCTION("IMPORTRANGE(""https://docs.google.com/spreadsheets/d/1YXvxf8Yu6_rV4hTBrwMqAcAnv6DfhUxh5emyM3CJp_w/edit?usp=sharing"",""เพชรบุรี!J441"")"),0)</f>
        <v>0</v>
      </c>
      <c r="AZ65" s="216">
        <f t="shared" ca="1" si="63"/>
        <v>0</v>
      </c>
      <c r="BA65" s="152">
        <f ca="1">IFERROR(__xludf.DUMMYFUNCTION("IMPORTRANGE(""https://docs.google.com/spreadsheets/d/1YXvxf8Yu6_rV4hTBrwMqAcAnv6DfhUxh5emyM3CJp_w/edit?usp=sharing"",""เพชรบุรี!J442"")"),0)</f>
        <v>0</v>
      </c>
      <c r="BB65" s="152">
        <f ca="1">IFERROR(__xludf.DUMMYFUNCTION("IMPORTRANGE(""https://docs.google.com/spreadsheets/d/1YXvxf8Yu6_rV4hTBrwMqAcAnv6DfhUxh5emyM3CJp_w/edit?usp=sharing"",""เพชรบุรี!J443"")"),0)</f>
        <v>0</v>
      </c>
      <c r="BC65" s="152">
        <f ca="1">IFERROR(__xludf.DUMMYFUNCTION("IMPORTRANGE(""https://docs.google.com/spreadsheets/d/1YXvxf8Yu6_rV4hTBrwMqAcAnv6DfhUxh5emyM3CJp_w/edit?usp=sharing"",""เพชรบุรี!J444"")"),0)</f>
        <v>0</v>
      </c>
      <c r="BD65" s="152">
        <f ca="1">IFERROR(__xludf.DUMMYFUNCTION("IMPORTRANGE(""https://docs.google.com/spreadsheets/d/1YXvxf8Yu6_rV4hTBrwMqAcAnv6DfhUxh5emyM3CJp_w/edit?usp=sharing"",""เพชรบุรี!J445"")"),0)</f>
        <v>0</v>
      </c>
      <c r="BE65" s="152">
        <f ca="1">IFERROR(__xludf.DUMMYFUNCTION("IMPORTRANGE(""https://docs.google.com/spreadsheets/d/1YXvxf8Yu6_rV4hTBrwMqAcAnv6DfhUxh5emyM3CJp_w/edit?usp=sharing"",""เพชรบุรี!J446"")"),0)</f>
        <v>0</v>
      </c>
      <c r="BF65" s="152">
        <f ca="1">IFERROR(__xludf.DUMMYFUNCTION("IMPORTRANGE(""https://docs.google.com/spreadsheets/d/1YXvxf8Yu6_rV4hTBrwMqAcAnv6DfhUxh5emyM3CJp_w/edit?usp=sharing"",""เพชรบุรี!J447"")"),0)</f>
        <v>0</v>
      </c>
      <c r="BG65" s="152">
        <f ca="1">IFERROR(__xludf.DUMMYFUNCTION("IMPORTRANGE(""https://docs.google.com/spreadsheets/d/1YXvxf8Yu6_rV4hTBrwMqAcAnv6DfhUxh5emyM3CJp_w/edit?usp=sharing"",""เพชรบุรี!J448"")"),0)</f>
        <v>0</v>
      </c>
      <c r="BH65" s="152">
        <f ca="1">IFERROR(__xludf.DUMMYFUNCTION("IMPORTRANGE(""https://docs.google.com/spreadsheets/d/1YXvxf8Yu6_rV4hTBrwMqAcAnv6DfhUxh5emyM3CJp_w/edit?usp=sharing"",""เพชรบุรี!J449"")"),0)</f>
        <v>0</v>
      </c>
      <c r="BI65" s="152">
        <f ca="1">IFERROR(__xludf.DUMMYFUNCTION("IMPORTRANGE(""https://docs.google.com/spreadsheets/d/1YXvxf8Yu6_rV4hTBrwMqAcAnv6DfhUxh5emyM3CJp_w/edit?usp=sharing"",""เพชรบุรี!J450"")"),0)</f>
        <v>0</v>
      </c>
      <c r="BJ65" s="152">
        <f ca="1">IFERROR(__xludf.DUMMYFUNCTION("IMPORTRANGE(""https://docs.google.com/spreadsheets/d/1YXvxf8Yu6_rV4hTBrwMqAcAnv6DfhUxh5emyM3CJp_w/edit?usp=sharing"",""เพชรบุรี!J451"")"),0)</f>
        <v>0</v>
      </c>
      <c r="BK65" s="152">
        <f ca="1">IFERROR(__xludf.DUMMYFUNCTION("IMPORTRANGE(""https://docs.google.com/spreadsheets/d/1YXvxf8Yu6_rV4hTBrwMqAcAnv6DfhUxh5emyM3CJp_w/edit?usp=sharing"",""เพชรบุรี!J452"")"),0)</f>
        <v>0</v>
      </c>
      <c r="BL65" s="152">
        <f ca="1">IFERROR(__xludf.DUMMYFUNCTION("IMPORTRANGE(""https://docs.google.com/spreadsheets/d/1YXvxf8Yu6_rV4hTBrwMqAcAnv6DfhUxh5emyM3CJp_w/edit?usp=sharing"",""เพชรบุรี!J453"")"),0)</f>
        <v>0</v>
      </c>
      <c r="BM65" s="152">
        <f ca="1">IFERROR(__xludf.DUMMYFUNCTION("IMPORTRANGE(""https://docs.google.com/spreadsheets/d/1YXvxf8Yu6_rV4hTBrwMqAcAnv6DfhUxh5emyM3CJp_w/edit?usp=sharing"",""เพชรบุรี!J454"")"),0)</f>
        <v>0</v>
      </c>
      <c r="BN65" s="152">
        <f ca="1">IFERROR(__xludf.DUMMYFUNCTION("IMPORTRANGE(""https://docs.google.com/spreadsheets/d/1YXvxf8Yu6_rV4hTBrwMqAcAnv6DfhUxh5emyM3CJp_w/edit?usp=sharing"",""เพชรบุรี!J455"")"),0)</f>
        <v>0</v>
      </c>
      <c r="BO65" s="152">
        <f ca="1">IFERROR(__xludf.DUMMYFUNCTION("IMPORTRANGE(""https://docs.google.com/spreadsheets/d/1YXvxf8Yu6_rV4hTBrwMqAcAnv6DfhUxh5emyM3CJp_w/edit?usp=sharing"",""เพชรบุรี!I457"")"),2563.52)</f>
        <v>2563.52</v>
      </c>
      <c r="BP65" s="152">
        <f ca="1">IFERROR(__xludf.DUMMYFUNCTION("IMPORTRANGE(""https://docs.google.com/spreadsheets/d/1YXvxf8Yu6_rV4hTBrwMqAcAnv6DfhUxh5emyM3CJp_w/edit?usp=sharing"",""เพชรบุรี!I458"")"),182)</f>
        <v>182</v>
      </c>
      <c r="BQ65" s="152">
        <f ca="1">IFERROR(__xludf.DUMMYFUNCTION("IMPORTRANGE(""https://docs.google.com/spreadsheets/d/1YXvxf8Yu6_rV4hTBrwMqAcAnv6DfhUxh5emyM3CJp_w/edit?usp=sharing"",""เพชรบุรี!J457"")"),0)</f>
        <v>0</v>
      </c>
      <c r="BR65" s="216">
        <f t="shared" ca="1" si="65"/>
        <v>0</v>
      </c>
      <c r="BS65" s="152">
        <f ca="1">IFERROR(__xludf.DUMMYFUNCTION("IMPORTRANGE(""https://docs.google.com/spreadsheets/d/1YXvxf8Yu6_rV4hTBrwMqAcAnv6DfhUxh5emyM3CJp_w/edit?usp=sharing"",""เพชรบุรี!J458"")"),0)</f>
        <v>0</v>
      </c>
      <c r="BT65" s="216">
        <f t="shared" ca="1" si="66"/>
        <v>0</v>
      </c>
      <c r="BU65" s="152">
        <f ca="1">IFERROR(__xludf.DUMMYFUNCTION("IMPORTRANGE(""https://docs.google.com/spreadsheets/d/1YXvxf8Yu6_rV4hTBrwMqAcAnv6DfhUxh5emyM3CJp_w/edit?usp=sharing"",""เพชรบุรี!J459"")"),0)</f>
        <v>0</v>
      </c>
      <c r="BV65" s="152">
        <f ca="1">IFERROR(__xludf.DUMMYFUNCTION("IMPORTRANGE(""https://docs.google.com/spreadsheets/d/1YXvxf8Yu6_rV4hTBrwMqAcAnv6DfhUxh5emyM3CJp_w/edit?usp=sharing"",""เพชรบุรี!J460"")"),0)</f>
        <v>0</v>
      </c>
      <c r="BW65" s="152">
        <f ca="1">IFERROR(__xludf.DUMMYFUNCTION("IMPORTRANGE(""https://docs.google.com/spreadsheets/d/1YXvxf8Yu6_rV4hTBrwMqAcAnv6DfhUxh5emyM3CJp_w/edit?usp=sharing"",""เพชรบุรี!J461"")"),0)</f>
        <v>0</v>
      </c>
      <c r="BX65" s="152">
        <f ca="1">IFERROR(__xludf.DUMMYFUNCTION("IMPORTRANGE(""https://docs.google.com/spreadsheets/d/1YXvxf8Yu6_rV4hTBrwMqAcAnv6DfhUxh5emyM3CJp_w/edit?usp=sharing"",""เพชรบุรี!J462"")"),0)</f>
        <v>0</v>
      </c>
      <c r="BY65" s="152">
        <f ca="1">IFERROR(__xludf.DUMMYFUNCTION("IMPORTRANGE(""https://docs.google.com/spreadsheets/d/1YXvxf8Yu6_rV4hTBrwMqAcAnv6DfhUxh5emyM3CJp_w/edit?usp=sharing"",""เพชรบุรี!J463"")"),0)</f>
        <v>0</v>
      </c>
      <c r="BZ65" s="152">
        <f ca="1">IFERROR(__xludf.DUMMYFUNCTION("IMPORTRANGE(""https://docs.google.com/spreadsheets/d/1YXvxf8Yu6_rV4hTBrwMqAcAnv6DfhUxh5emyM3CJp_w/edit?usp=sharing"",""เพชรบุรี!J464"")"),0)</f>
        <v>0</v>
      </c>
      <c r="CA65" s="152">
        <f ca="1">IFERROR(__xludf.DUMMYFUNCTION("IMPORTRANGE(""https://docs.google.com/spreadsheets/d/1YXvxf8Yu6_rV4hTBrwMqAcAnv6DfhUxh5emyM3CJp_w/edit?usp=sharing"",""เพชรบุรี!J465"")"),0)</f>
        <v>0</v>
      </c>
      <c r="CB65" s="152">
        <f ca="1">IFERROR(__xludf.DUMMYFUNCTION("IMPORTRANGE(""https://docs.google.com/spreadsheets/d/1YXvxf8Yu6_rV4hTBrwMqAcAnv6DfhUxh5emyM3CJp_w/edit?usp=sharing"",""เพชรบุรี!J466"")"),0)</f>
        <v>0</v>
      </c>
      <c r="CC65" s="152">
        <f ca="1">IFERROR(__xludf.DUMMYFUNCTION("IMPORTRANGE(""https://docs.google.com/spreadsheets/d/1YXvxf8Yu6_rV4hTBrwMqAcAnv6DfhUxh5emyM3CJp_w/edit?usp=sharing"",""เพชรบุรี!J467"")"),0)</f>
        <v>0</v>
      </c>
      <c r="CD65" s="152">
        <f ca="1">IFERROR(__xludf.DUMMYFUNCTION("IMPORTRANGE(""https://docs.google.com/spreadsheets/d/1YXvxf8Yu6_rV4hTBrwMqAcAnv6DfhUxh5emyM3CJp_w/edit?usp=sharing"",""เพชรบุรี!J468"")"),0)</f>
        <v>0</v>
      </c>
      <c r="CE65" s="152">
        <f ca="1">IFERROR(__xludf.DUMMYFUNCTION("IMPORTRANGE(""https://docs.google.com/spreadsheets/d/1YXvxf8Yu6_rV4hTBrwMqAcAnv6DfhUxh5emyM3CJp_w/edit?usp=sharing"",""เพชรบุรี!J469"")"),0)</f>
        <v>0</v>
      </c>
      <c r="CF65" s="152">
        <f ca="1">IFERROR(__xludf.DUMMYFUNCTION("IMPORTRANGE(""https://docs.google.com/spreadsheets/d/1YXvxf8Yu6_rV4hTBrwMqAcAnv6DfhUxh5emyM3CJp_w/edit?usp=sharing"",""เพชรบุรี!J470"")"),0)</f>
        <v>0</v>
      </c>
      <c r="CG65" s="152">
        <f ca="1">IFERROR(__xludf.DUMMYFUNCTION("IMPORTRANGE(""https://docs.google.com/spreadsheets/d/1YXvxf8Yu6_rV4hTBrwMqAcAnv6DfhUxh5emyM3CJp_w/edit?usp=sharing"",""เพชรบุรี!J471"")"),0)</f>
        <v>0</v>
      </c>
      <c r="CH65" s="152">
        <f ca="1">IFERROR(__xludf.DUMMYFUNCTION("IMPORTRANGE(""https://docs.google.com/spreadsheets/d/1YXvxf8Yu6_rV4hTBrwMqAcAnv6DfhUxh5emyM3CJp_w/edit?usp=sharing"",""เพชรบุรี!J472"")"),0)</f>
        <v>0</v>
      </c>
      <c r="CI65" s="152">
        <f ca="1">IFERROR(__xludf.DUMMYFUNCTION("IMPORTRANGE(""https://docs.google.com/spreadsheets/d/1YXvxf8Yu6_rV4hTBrwMqAcAnv6DfhUxh5emyM3CJp_w/edit?usp=sharing"",""เพชรบุรี!J473"")"),0)</f>
        <v>0</v>
      </c>
      <c r="CJ65" s="152">
        <f ca="1">IFERROR(__xludf.DUMMYFUNCTION("IMPORTRANGE(""https://docs.google.com/spreadsheets/d/1YXvxf8Yu6_rV4hTBrwMqAcAnv6DfhUxh5emyM3CJp_w/edit?usp=sharing"",""เพชรบุรี!J474"")"),0)</f>
        <v>0</v>
      </c>
      <c r="CK65" s="278">
        <f ca="1">IFERROR(__xludf.DUMMYFUNCTION("IMPORTRANGE(""https://docs.google.com/spreadsheets/d/1YXvxf8Yu6_rV4hTBrwMqAcAnv6DfhUxh5emyM3CJp_w/edit?usp=sharing"",""เพชรบุรี!I476"")"),0)</f>
        <v>0</v>
      </c>
      <c r="CL65" s="278">
        <f ca="1">IFERROR(__xludf.DUMMYFUNCTION("IMPORTRANGE(""https://docs.google.com/spreadsheets/d/1YXvxf8Yu6_rV4hTBrwMqAcAnv6DfhUxh5emyM3CJp_w/edit?usp=sharing"",""เพชรบุรี!I477"")"),0)</f>
        <v>0</v>
      </c>
      <c r="CM65" s="278">
        <f ca="1">IFERROR(__xludf.DUMMYFUNCTION("IMPORTRANGE(""https://docs.google.com/spreadsheets/d/1YXvxf8Yu6_rV4hTBrwMqAcAnv6DfhUxh5emyM3CJp_w/edit?usp=sharing"",""เพชรบุรี!J476"")"),0)</f>
        <v>0</v>
      </c>
      <c r="CN65" s="216">
        <f t="shared" ca="1" si="68"/>
        <v>0</v>
      </c>
      <c r="CO65" s="278">
        <f ca="1">IFERROR(__xludf.DUMMYFUNCTION("IMPORTRANGE(""https://docs.google.com/spreadsheets/d/1YXvxf8Yu6_rV4hTBrwMqAcAnv6DfhUxh5emyM3CJp_w/edit?usp=sharing"",""เพชรบุรี!J477"")"),0)</f>
        <v>0</v>
      </c>
      <c r="CP65" s="216">
        <f t="shared" ca="1" si="69"/>
        <v>0</v>
      </c>
      <c r="CQ65" s="278">
        <f ca="1">IFERROR(__xludf.DUMMYFUNCTION("IMPORTRANGE(""https://docs.google.com/spreadsheets/d/1YXvxf8Yu6_rV4hTBrwMqAcAnv6DfhUxh5emyM3CJp_w/edit?usp=sharing"",""เพชรบุรี!J478"")"),0)</f>
        <v>0</v>
      </c>
      <c r="CR65" s="278">
        <f ca="1">IFERROR(__xludf.DUMMYFUNCTION("IMPORTRANGE(""https://docs.google.com/spreadsheets/d/1YXvxf8Yu6_rV4hTBrwMqAcAnv6DfhUxh5emyM3CJp_w/edit?usp=sharing"",""เพชรบุรี!J479"")"),0)</f>
        <v>0</v>
      </c>
      <c r="CS65" s="278">
        <f ca="1">IFERROR(__xludf.DUMMYFUNCTION("IMPORTRANGE(""https://docs.google.com/spreadsheets/d/1YXvxf8Yu6_rV4hTBrwMqAcAnv6DfhUxh5emyM3CJp_w/edit?usp=sharing"",""เพชรบุรี!J480"")"),0)</f>
        <v>0</v>
      </c>
      <c r="CT65" s="278">
        <f ca="1">IFERROR(__xludf.DUMMYFUNCTION("IMPORTRANGE(""https://docs.google.com/spreadsheets/d/1YXvxf8Yu6_rV4hTBrwMqAcAnv6DfhUxh5emyM3CJp_w/edit?usp=sharing"",""เพชรบุรี!J481"")"),0)</f>
        <v>0</v>
      </c>
      <c r="CU65" s="278">
        <f ca="1">IFERROR(__xludf.DUMMYFUNCTION("IMPORTRANGE(""https://docs.google.com/spreadsheets/d/1YXvxf8Yu6_rV4hTBrwMqAcAnv6DfhUxh5emyM3CJp_w/edit?usp=sharing"",""เพชรบุรี!I484"")"),0)</f>
        <v>0</v>
      </c>
      <c r="CV65" s="278">
        <f ca="1">IFERROR(__xludf.DUMMYFUNCTION("IMPORTRANGE(""https://docs.google.com/spreadsheets/d/1YXvxf8Yu6_rV4hTBrwMqAcAnv6DfhUxh5emyM3CJp_w/edit?usp=sharing"",""เพชรบุรี!I485"")"),0)</f>
        <v>0</v>
      </c>
      <c r="CW65" s="278">
        <f ca="1">IFERROR(__xludf.DUMMYFUNCTION("IMPORTRANGE(""https://docs.google.com/spreadsheets/d/1YXvxf8Yu6_rV4hTBrwMqAcAnv6DfhUxh5emyM3CJp_w/edit?usp=sharing"",""เพชรบุรี!J484"")"),0)</f>
        <v>0</v>
      </c>
      <c r="CX65" s="216">
        <f t="shared" ca="1" si="71"/>
        <v>0</v>
      </c>
      <c r="CY65" s="278">
        <f ca="1">IFERROR(__xludf.DUMMYFUNCTION("IMPORTRANGE(""https://docs.google.com/spreadsheets/d/1YXvxf8Yu6_rV4hTBrwMqAcAnv6DfhUxh5emyM3CJp_w/edit?usp=sharing"",""เพชรบุรี!J485"")"),0)</f>
        <v>0</v>
      </c>
      <c r="CZ65" s="216">
        <f t="shared" ca="1" si="72"/>
        <v>0</v>
      </c>
      <c r="DA65" s="278">
        <f ca="1">IFERROR(__xludf.DUMMYFUNCTION("IMPORTRANGE(""https://docs.google.com/spreadsheets/d/1YXvxf8Yu6_rV4hTBrwMqAcAnv6DfhUxh5emyM3CJp_w/edit?usp=sharing"",""เพชรบุรี!J486"")"),0)</f>
        <v>0</v>
      </c>
      <c r="DB65" s="278">
        <f ca="1">IFERROR(__xludf.DUMMYFUNCTION("IMPORTRANGE(""https://docs.google.com/spreadsheets/d/1YXvxf8Yu6_rV4hTBrwMqAcAnv6DfhUxh5emyM3CJp_w/edit?usp=sharing"",""เพชรบุรี!J487"")"),0)</f>
        <v>0</v>
      </c>
      <c r="DC65" s="278">
        <f ca="1">IFERROR(__xludf.DUMMYFUNCTION("IMPORTRANGE(""https://docs.google.com/spreadsheets/d/1YXvxf8Yu6_rV4hTBrwMqAcAnv6DfhUxh5emyM3CJp_w/edit?usp=sharing"",""เพชรบุรี!J488"")"),0)</f>
        <v>0</v>
      </c>
      <c r="DD65" s="278">
        <f ca="1">IFERROR(__xludf.DUMMYFUNCTION("IMPORTRANGE(""https://docs.google.com/spreadsheets/d/1YXvxf8Yu6_rV4hTBrwMqAcAnv6DfhUxh5emyM3CJp_w/edit?usp=sharing"",""เพชรบุรี!J489"")"),0)</f>
        <v>0</v>
      </c>
      <c r="DE65" s="278">
        <f ca="1">IFERROR(__xludf.DUMMYFUNCTION("IMPORTRANGE(""https://docs.google.com/spreadsheets/d/1YXvxf8Yu6_rV4hTBrwMqAcAnv6DfhUxh5emyM3CJp_w/edit?usp=sharing"",""เพชรบุรี!J490"")"),0)</f>
        <v>0</v>
      </c>
      <c r="DF65" s="278">
        <f ca="1">IFERROR(__xludf.DUMMYFUNCTION("IMPORTRANGE(""https://docs.google.com/spreadsheets/d/1YXvxf8Yu6_rV4hTBrwMqAcAnv6DfhUxh5emyM3CJp_w/edit?usp=sharing"",""เพชรบุรี!J491"")"),0)</f>
        <v>0</v>
      </c>
    </row>
    <row r="66" spans="1:110" ht="19.5" x14ac:dyDescent="0.3">
      <c r="A66" s="147">
        <v>14</v>
      </c>
      <c r="B66" s="148" t="s">
        <v>94</v>
      </c>
      <c r="C66" s="566">
        <f t="shared" ca="1" si="44"/>
        <v>16720</v>
      </c>
      <c r="D66" s="567">
        <f t="shared" ca="1" si="94"/>
        <v>16720</v>
      </c>
      <c r="E66" s="329">
        <f ca="1">IFERROR(__xludf.DUMMYFUNCTION("IMPORTRANGE(""https://docs.google.com/spreadsheets/d/1-uDff_7J0KD5mKrp0Vvzr7lt3OU09vwQwhkpOPPYv2Y/edit?usp=sharing"",""งบพรบ!IP66"")"),0)</f>
        <v>0</v>
      </c>
      <c r="F66" s="329">
        <f ca="1">IFERROR(__xludf.DUMMYFUNCTION("IMPORTRANGE(""https://docs.google.com/spreadsheets/d/1-uDff_7J0KD5mKrp0Vvzr7lt3OU09vwQwhkpOPPYv2Y/edit?usp=sharing"",""งบพรบ!IQ66"")"),16720)</f>
        <v>16720</v>
      </c>
      <c r="G66" s="329">
        <f ca="1">IFERROR(__xludf.DUMMYFUNCTION("IMPORTRANGE(""https://docs.google.com/spreadsheets/d/1-uDff_7J0KD5mKrp0Vvzr7lt3OU09vwQwhkpOPPYv2Y/edit?usp=sharing"",""งบพรบ!IR66"")"),0)</f>
        <v>0</v>
      </c>
      <c r="H66" s="329">
        <f ca="1">IFERROR(__xludf.DUMMYFUNCTION("IMPORTRANGE(""https://docs.google.com/spreadsheets/d/1-uDff_7J0KD5mKrp0Vvzr7lt3OU09vwQwhkpOPPYv2Y/edit?usp=sharing"",""งบพรบ!IT66"")"),16720)</f>
        <v>16720</v>
      </c>
      <c r="I66" s="329">
        <f ca="1">IFERROR(__xludf.DUMMYFUNCTION("IMPORTRANGE(""https://docs.google.com/spreadsheets/d/1-uDff_7J0KD5mKrp0Vvzr7lt3OU09vwQwhkpOPPYv2Y/edit?usp=sharing"",""งบพรบ!IU66"")"),0)</f>
        <v>0</v>
      </c>
      <c r="J66" s="329">
        <f t="shared" ca="1" si="46"/>
        <v>16720</v>
      </c>
      <c r="K66" s="568">
        <f t="shared" ca="1" si="47"/>
        <v>100</v>
      </c>
      <c r="L66" s="329">
        <f ca="1">IFERROR(__xludf.DUMMYFUNCTION("IMPORTRANGE(""https://docs.google.com/spreadsheets/d/1-uDff_7J0KD5mKrp0Vvzr7lt3OU09vwQwhkpOPPYv2Y/edit?usp=sharing"",""งบพรบ!IV66"")"),16720)</f>
        <v>16720</v>
      </c>
      <c r="M66" s="330">
        <f t="shared" ca="1" si="48"/>
        <v>100</v>
      </c>
      <c r="N66" s="330">
        <f t="shared" ca="1" si="49"/>
        <v>100</v>
      </c>
      <c r="O66" s="569">
        <f ca="1">IFERROR(__xludf.DUMMYFUNCTION("IMPORTRANGE(""https://docs.google.com/spreadsheets/d/1-uDff_7J0KD5mKrp0Vvzr7lt3OU09vwQwhkpOPPYv2Y/edit?usp=sharing"",""งบพรบ!IW66"")"),0)</f>
        <v>0</v>
      </c>
      <c r="P66" s="569">
        <f t="shared" ca="1" si="50"/>
        <v>0</v>
      </c>
      <c r="Q66" s="330">
        <f t="shared" ca="1" si="51"/>
        <v>0</v>
      </c>
      <c r="R66" s="564">
        <f ca="1">IFERROR(__xludf.DUMMYFUNCTION("IMPORTRANGE(""https://docs.google.com/spreadsheets/d/19KBlQQs7uwvsao6t2n-KvW3Ax8J8uRRfZPq1zPbXgKc/edit?usp=sharing"",""ระยอง!Q413"")"),15550)</f>
        <v>15550</v>
      </c>
      <c r="S66" s="564">
        <f ca="1">IFERROR(__xludf.DUMMYFUNCTION("IMPORTRANGE(""https://docs.google.com/spreadsheets/d/19KBlQQs7uwvsao6t2n-KvW3Ax8J8uRRfZPq1zPbXgKc/edit?usp=sharing"",""ระยอง!R413"")"),15550)</f>
        <v>15550</v>
      </c>
      <c r="T66" s="564">
        <f ca="1">IFERROR(__xludf.DUMMYFUNCTION("IMPORTRANGE(""https://docs.google.com/spreadsheets/d/19KBlQQs7uwvsao6t2n-KvW3Ax8J8uRRfZPq1zPbXgKc/edit?usp=sharing"",""ระยอง!S413"")"),0)</f>
        <v>0</v>
      </c>
      <c r="U66" s="565">
        <f t="shared" ca="1" si="53"/>
        <v>0</v>
      </c>
      <c r="V66" s="565">
        <f t="shared" ca="1" si="54"/>
        <v>0</v>
      </c>
      <c r="W66" s="152">
        <f ca="1">IFERROR(__xludf.DUMMYFUNCTION("IMPORTRANGE(""https://docs.google.com/spreadsheets/d/19KBlQQs7uwvsao6t2n-KvW3Ax8J8uRRfZPq1zPbXgKc/edit?usp=sharing"",""ระยอง!I424"")"),0)</f>
        <v>0</v>
      </c>
      <c r="X66" s="152">
        <f ca="1">IFERROR(__xludf.DUMMYFUNCTION("IMPORTRANGE(""https://docs.google.com/spreadsheets/d/19KBlQQs7uwvsao6t2n-KvW3Ax8J8uRRfZPq1zPbXgKc/edit?usp=sharing"",""ระยอง!I425"")"),0)</f>
        <v>0</v>
      </c>
      <c r="Y66" s="152">
        <f ca="1">IFERROR(__xludf.DUMMYFUNCTION("IMPORTRANGE(""https://docs.google.com/spreadsheets/d/19KBlQQs7uwvsao6t2n-KvW3Ax8J8uRRfZPq1zPbXgKc/edit?usp=sharing"",""ระยอง!J424"")"),0)</f>
        <v>0</v>
      </c>
      <c r="Z66" s="216">
        <f t="shared" ca="1" si="56"/>
        <v>0</v>
      </c>
      <c r="AA66" s="152">
        <f ca="1">IFERROR(__xludf.DUMMYFUNCTION("IMPORTRANGE(""https://docs.google.com/spreadsheets/d/19KBlQQs7uwvsao6t2n-KvW3Ax8J8uRRfZPq1zPbXgKc/edit?usp=sharing"",""ระยอง!J425"")"),0)</f>
        <v>0</v>
      </c>
      <c r="AB66" s="216">
        <f t="shared" ca="1" si="57"/>
        <v>0</v>
      </c>
      <c r="AC66" s="152">
        <f ca="1">IFERROR(__xludf.DUMMYFUNCTION("IMPORTRANGE(""https://docs.google.com/spreadsheets/d/19KBlQQs7uwvsao6t2n-KvW3Ax8J8uRRfZPq1zPbXgKc/edit?usp=sharing"",""ระยอง!J426"")"),0)</f>
        <v>0</v>
      </c>
      <c r="AD66" s="152">
        <f ca="1">IFERROR(__xludf.DUMMYFUNCTION("IMPORTRANGE(""https://docs.google.com/spreadsheets/d/19KBlQQs7uwvsao6t2n-KvW3Ax8J8uRRfZPq1zPbXgKc/edit?usp=sharing"",""ระยอง!J427"")"),0)</f>
        <v>0</v>
      </c>
      <c r="AE66" s="152">
        <f ca="1">IFERROR(__xludf.DUMMYFUNCTION("IMPORTRANGE(""https://docs.google.com/spreadsheets/d/19KBlQQs7uwvsao6t2n-KvW3Ax8J8uRRfZPq1zPbXgKc/edit?usp=sharing"",""ระยอง!J428"")"),0)</f>
        <v>0</v>
      </c>
      <c r="AF66" s="152">
        <f ca="1">IFERROR(__xludf.DUMMYFUNCTION("IMPORTRANGE(""https://docs.google.com/spreadsheets/d/19KBlQQs7uwvsao6t2n-KvW3Ax8J8uRRfZPq1zPbXgKc/edit?usp=sharing"",""ระยอง!J429"")"),0)</f>
        <v>0</v>
      </c>
      <c r="AG66" s="152">
        <f ca="1">IFERROR(__xludf.DUMMYFUNCTION("IMPORTRANGE(""https://docs.google.com/spreadsheets/d/19KBlQQs7uwvsao6t2n-KvW3Ax8J8uRRfZPq1zPbXgKc/edit?usp=sharing"",""ระยอง!J430"")"),0)</f>
        <v>0</v>
      </c>
      <c r="AH66" s="152">
        <f ca="1">IFERROR(__xludf.DUMMYFUNCTION("IMPORTRANGE(""https://docs.google.com/spreadsheets/d/19KBlQQs7uwvsao6t2n-KvW3Ax8J8uRRfZPq1zPbXgKc/edit?usp=sharing"",""ระยอง!J431"")"),0)</f>
        <v>0</v>
      </c>
      <c r="AI66" s="152">
        <f ca="1">IFERROR(__xludf.DUMMYFUNCTION("IMPORTRANGE(""https://docs.google.com/spreadsheets/d/19KBlQQs7uwvsao6t2n-KvW3Ax8J8uRRfZPq1zPbXgKc/edit?usp=sharing"",""ระยอง!I432"")"),0)</f>
        <v>0</v>
      </c>
      <c r="AJ66" s="152">
        <f ca="1">IFERROR(__xludf.DUMMYFUNCTION("IMPORTRANGE(""https://docs.google.com/spreadsheets/d/19KBlQQs7uwvsao6t2n-KvW3Ax8J8uRRfZPq1zPbXgKc/edit?usp=sharing"",""ระยอง!I433"")"),0)</f>
        <v>0</v>
      </c>
      <c r="AK66" s="216">
        <f ca="1">IFERROR(__xludf.DUMMYFUNCTION("IMPORTRANGE(""https://docs.google.com/spreadsheets/d/19KBlQQs7uwvsao6t2n-KvW3Ax8J8uRRfZPq1zPbXgKc/edit?usp=sharing"",""ระยอง!J432"")"),0)</f>
        <v>0</v>
      </c>
      <c r="AL66" s="216">
        <f t="shared" ca="1" si="59"/>
        <v>0</v>
      </c>
      <c r="AM66" s="152">
        <f ca="1">IFERROR(__xludf.DUMMYFUNCTION("IMPORTRANGE(""https://docs.google.com/spreadsheets/d/19KBlQQs7uwvsao6t2n-KvW3Ax8J8uRRfZPq1zPbXgKc/edit?usp=sharing"",""ระยอง!J433"")"),0)</f>
        <v>0</v>
      </c>
      <c r="AN66" s="216">
        <f t="shared" ca="1" si="60"/>
        <v>0</v>
      </c>
      <c r="AO66" s="152">
        <f ca="1">IFERROR(__xludf.DUMMYFUNCTION("IMPORTRANGE(""https://docs.google.com/spreadsheets/d/19KBlQQs7uwvsao6t2n-KvW3Ax8J8uRRfZPq1zPbXgKc/edit?usp=sharing"",""ระยอง!J434"")"),0)</f>
        <v>0</v>
      </c>
      <c r="AP66" s="152">
        <f ca="1">IFERROR(__xludf.DUMMYFUNCTION("IMPORTRANGE(""https://docs.google.com/spreadsheets/d/19KBlQQs7uwvsao6t2n-KvW3Ax8J8uRRfZPq1zPbXgKc/edit?usp=sharing"",""ระยอง!J435"")"),0)</f>
        <v>0</v>
      </c>
      <c r="AQ66" s="152">
        <f ca="1">IFERROR(__xludf.DUMMYFUNCTION("IMPORTRANGE(""https://docs.google.com/spreadsheets/d/19KBlQQs7uwvsao6t2n-KvW3Ax8J8uRRfZPq1zPbXgKc/edit?usp=sharing"",""ระยอง!J436"")"),0)</f>
        <v>0</v>
      </c>
      <c r="AR66" s="152">
        <f ca="1">IFERROR(__xludf.DUMMYFUNCTION("IMPORTRANGE(""https://docs.google.com/spreadsheets/d/19KBlQQs7uwvsao6t2n-KvW3Ax8J8uRRfZPq1zPbXgKc/edit?usp=sharing"",""ระยอง!J437"")"),0)</f>
        <v>0</v>
      </c>
      <c r="AS66" s="152">
        <f ca="1">IFERROR(__xludf.DUMMYFUNCTION("IMPORTRANGE(""https://docs.google.com/spreadsheets/d/19KBlQQs7uwvsao6t2n-KvW3Ax8J8uRRfZPq1zPbXgKc/edit?usp=sharing"",""ระยอง!J438"")"),0)</f>
        <v>0</v>
      </c>
      <c r="AT66" s="152">
        <f ca="1">IFERROR(__xludf.DUMMYFUNCTION("IMPORTRANGE(""https://docs.google.com/spreadsheets/d/19KBlQQs7uwvsao6t2n-KvW3Ax8J8uRRfZPq1zPbXgKc/edit?usp=sharing"",""ระยอง!J439"")"),0)</f>
        <v>0</v>
      </c>
      <c r="AU66" s="152">
        <f ca="1">IFERROR(__xludf.DUMMYFUNCTION("IMPORTRANGE(""https://docs.google.com/spreadsheets/d/19KBlQQs7uwvsao6t2n-KvW3Ax8J8uRRfZPq1zPbXgKc/edit?usp=sharing"",""ระยอง!I440"")"),0)</f>
        <v>0</v>
      </c>
      <c r="AV66" s="152">
        <f ca="1">IFERROR(__xludf.DUMMYFUNCTION("IMPORTRANGE(""https://docs.google.com/spreadsheets/d/19KBlQQs7uwvsao6t2n-KvW3Ax8J8uRRfZPq1zPbXgKc/edit?usp=sharing"",""ระยอง!I441"")"),0)</f>
        <v>0</v>
      </c>
      <c r="AW66" s="152">
        <f ca="1">IFERROR(__xludf.DUMMYFUNCTION("IMPORTRANGE(""https://docs.google.com/spreadsheets/d/19KBlQQs7uwvsao6t2n-KvW3Ax8J8uRRfZPq1zPbXgKc/edit?usp=sharing"",""ระยอง!J440"")"),0)</f>
        <v>0</v>
      </c>
      <c r="AX66" s="216">
        <f t="shared" ca="1" si="62"/>
        <v>0</v>
      </c>
      <c r="AY66" s="152">
        <f ca="1">IFERROR(__xludf.DUMMYFUNCTION("IMPORTRANGE(""https://docs.google.com/spreadsheets/d/19KBlQQs7uwvsao6t2n-KvW3Ax8J8uRRfZPq1zPbXgKc/edit?usp=sharing"",""ระยอง!J441"")"),0)</f>
        <v>0</v>
      </c>
      <c r="AZ66" s="216">
        <f t="shared" ca="1" si="63"/>
        <v>0</v>
      </c>
      <c r="BA66" s="152">
        <f ca="1">IFERROR(__xludf.DUMMYFUNCTION("IMPORTRANGE(""https://docs.google.com/spreadsheets/d/19KBlQQs7uwvsao6t2n-KvW3Ax8J8uRRfZPq1zPbXgKc/edit?usp=sharing"",""ระยอง!J442"")"),0)</f>
        <v>0</v>
      </c>
      <c r="BB66" s="152">
        <f ca="1">IFERROR(__xludf.DUMMYFUNCTION("IMPORTRANGE(""https://docs.google.com/spreadsheets/d/19KBlQQs7uwvsao6t2n-KvW3Ax8J8uRRfZPq1zPbXgKc/edit?usp=sharing"",""ระยอง!J443"")"),0)</f>
        <v>0</v>
      </c>
      <c r="BC66" s="152">
        <f ca="1">IFERROR(__xludf.DUMMYFUNCTION("IMPORTRANGE(""https://docs.google.com/spreadsheets/d/19KBlQQs7uwvsao6t2n-KvW3Ax8J8uRRfZPq1zPbXgKc/edit?usp=sharing"",""ระยอง!J444"")"),0)</f>
        <v>0</v>
      </c>
      <c r="BD66" s="152">
        <f ca="1">IFERROR(__xludf.DUMMYFUNCTION("IMPORTRANGE(""https://docs.google.com/spreadsheets/d/19KBlQQs7uwvsao6t2n-KvW3Ax8J8uRRfZPq1zPbXgKc/edit?usp=sharing"",""ระยอง!J445"")"),0)</f>
        <v>0</v>
      </c>
      <c r="BE66" s="152">
        <f ca="1">IFERROR(__xludf.DUMMYFUNCTION("IMPORTRANGE(""https://docs.google.com/spreadsheets/d/19KBlQQs7uwvsao6t2n-KvW3Ax8J8uRRfZPq1zPbXgKc/edit?usp=sharing"",""ระยอง!J446"")"),0)</f>
        <v>0</v>
      </c>
      <c r="BF66" s="152">
        <f ca="1">IFERROR(__xludf.DUMMYFUNCTION("IMPORTRANGE(""https://docs.google.com/spreadsheets/d/19KBlQQs7uwvsao6t2n-KvW3Ax8J8uRRfZPq1zPbXgKc/edit?usp=sharing"",""ระยอง!J447"")"),0)</f>
        <v>0</v>
      </c>
      <c r="BG66" s="152">
        <f ca="1">IFERROR(__xludf.DUMMYFUNCTION("IMPORTRANGE(""https://docs.google.com/spreadsheets/d/19KBlQQs7uwvsao6t2n-KvW3Ax8J8uRRfZPq1zPbXgKc/edit?usp=sharing"",""ระยอง!J448"")"),0)</f>
        <v>0</v>
      </c>
      <c r="BH66" s="152">
        <f ca="1">IFERROR(__xludf.DUMMYFUNCTION("IMPORTRANGE(""https://docs.google.com/spreadsheets/d/19KBlQQs7uwvsao6t2n-KvW3Ax8J8uRRfZPq1zPbXgKc/edit?usp=sharing"",""ระยอง!J449"")"),0)</f>
        <v>0</v>
      </c>
      <c r="BI66" s="152">
        <f ca="1">IFERROR(__xludf.DUMMYFUNCTION("IMPORTRANGE(""https://docs.google.com/spreadsheets/d/19KBlQQs7uwvsao6t2n-KvW3Ax8J8uRRfZPq1zPbXgKc/edit?usp=sharing"",""ระยอง!J450"")"),0)</f>
        <v>0</v>
      </c>
      <c r="BJ66" s="152">
        <f ca="1">IFERROR(__xludf.DUMMYFUNCTION("IMPORTRANGE(""https://docs.google.com/spreadsheets/d/19KBlQQs7uwvsao6t2n-KvW3Ax8J8uRRfZPq1zPbXgKc/edit?usp=sharing"",""ระยอง!J451"")"),0)</f>
        <v>0</v>
      </c>
      <c r="BK66" s="152">
        <f ca="1">IFERROR(__xludf.DUMMYFUNCTION("IMPORTRANGE(""https://docs.google.com/spreadsheets/d/19KBlQQs7uwvsao6t2n-KvW3Ax8J8uRRfZPq1zPbXgKc/edit?usp=sharing"",""ระยอง!J452"")"),0)</f>
        <v>0</v>
      </c>
      <c r="BL66" s="152">
        <f ca="1">IFERROR(__xludf.DUMMYFUNCTION("IMPORTRANGE(""https://docs.google.com/spreadsheets/d/19KBlQQs7uwvsao6t2n-KvW3Ax8J8uRRfZPq1zPbXgKc/edit?usp=sharing"",""ระยอง!J453"")"),0)</f>
        <v>0</v>
      </c>
      <c r="BM66" s="152">
        <f ca="1">IFERROR(__xludf.DUMMYFUNCTION("IMPORTRANGE(""https://docs.google.com/spreadsheets/d/19KBlQQs7uwvsao6t2n-KvW3Ax8J8uRRfZPq1zPbXgKc/edit?usp=sharing"",""ระยอง!J454"")"),0)</f>
        <v>0</v>
      </c>
      <c r="BN66" s="152">
        <f ca="1">IFERROR(__xludf.DUMMYFUNCTION("IMPORTRANGE(""https://docs.google.com/spreadsheets/d/19KBlQQs7uwvsao6t2n-KvW3Ax8J8uRRfZPq1zPbXgKc/edit?usp=sharing"",""ระยอง!J455"")"),0)</f>
        <v>0</v>
      </c>
      <c r="BO66" s="152">
        <f ca="1">IFERROR(__xludf.DUMMYFUNCTION("IMPORTRANGE(""https://docs.google.com/spreadsheets/d/19KBlQQs7uwvsao6t2n-KvW3Ax8J8uRRfZPq1zPbXgKc/edit?usp=sharing"",""ระยอง!I457"")"),44.84)</f>
        <v>44.84</v>
      </c>
      <c r="BP66" s="152">
        <f ca="1">IFERROR(__xludf.DUMMYFUNCTION("IMPORTRANGE(""https://docs.google.com/spreadsheets/d/19KBlQQs7uwvsao6t2n-KvW3Ax8J8uRRfZPq1zPbXgKc/edit?usp=sharing"",""ระยอง!I458"")"),2)</f>
        <v>2</v>
      </c>
      <c r="BQ66" s="152">
        <f ca="1">IFERROR(__xludf.DUMMYFUNCTION("IMPORTRANGE(""https://docs.google.com/spreadsheets/d/19KBlQQs7uwvsao6t2n-KvW3Ax8J8uRRfZPq1zPbXgKc/edit?usp=sharing"",""ระยอง!J457"")"),0)</f>
        <v>0</v>
      </c>
      <c r="BR66" s="216">
        <f t="shared" ca="1" si="65"/>
        <v>0</v>
      </c>
      <c r="BS66" s="152">
        <f ca="1">IFERROR(__xludf.DUMMYFUNCTION("IMPORTRANGE(""https://docs.google.com/spreadsheets/d/19KBlQQs7uwvsao6t2n-KvW3Ax8J8uRRfZPq1zPbXgKc/edit?usp=sharing"",""ระยอง!J458"")"),0)</f>
        <v>0</v>
      </c>
      <c r="BT66" s="216">
        <f t="shared" ca="1" si="66"/>
        <v>0</v>
      </c>
      <c r="BU66" s="152">
        <f ca="1">IFERROR(__xludf.DUMMYFUNCTION("IMPORTRANGE(""https://docs.google.com/spreadsheets/d/19KBlQQs7uwvsao6t2n-KvW3Ax8J8uRRfZPq1zPbXgKc/edit?usp=sharing"",""ระยอง!J459"")"),0)</f>
        <v>0</v>
      </c>
      <c r="BV66" s="152">
        <f ca="1">IFERROR(__xludf.DUMMYFUNCTION("IMPORTRANGE(""https://docs.google.com/spreadsheets/d/19KBlQQs7uwvsao6t2n-KvW3Ax8J8uRRfZPq1zPbXgKc/edit?usp=sharing"",""ระยอง!J460"")"),0)</f>
        <v>0</v>
      </c>
      <c r="BW66" s="152">
        <f ca="1">IFERROR(__xludf.DUMMYFUNCTION("IMPORTRANGE(""https://docs.google.com/spreadsheets/d/19KBlQQs7uwvsao6t2n-KvW3Ax8J8uRRfZPq1zPbXgKc/edit?usp=sharing"",""ระยอง!J461"")"),0)</f>
        <v>0</v>
      </c>
      <c r="BX66" s="152">
        <f ca="1">IFERROR(__xludf.DUMMYFUNCTION("IMPORTRANGE(""https://docs.google.com/spreadsheets/d/19KBlQQs7uwvsao6t2n-KvW3Ax8J8uRRfZPq1zPbXgKc/edit?usp=sharing"",""ระยอง!J462"")"),0)</f>
        <v>0</v>
      </c>
      <c r="BY66" s="152">
        <f ca="1">IFERROR(__xludf.DUMMYFUNCTION("IMPORTRANGE(""https://docs.google.com/spreadsheets/d/19KBlQQs7uwvsao6t2n-KvW3Ax8J8uRRfZPq1zPbXgKc/edit?usp=sharing"",""ระยอง!J463"")"),0)</f>
        <v>0</v>
      </c>
      <c r="BZ66" s="152">
        <f ca="1">IFERROR(__xludf.DUMMYFUNCTION("IMPORTRANGE(""https://docs.google.com/spreadsheets/d/19KBlQQs7uwvsao6t2n-KvW3Ax8J8uRRfZPq1zPbXgKc/edit?usp=sharing"",""ระยอง!J464"")"),0)</f>
        <v>0</v>
      </c>
      <c r="CA66" s="152">
        <f ca="1">IFERROR(__xludf.DUMMYFUNCTION("IMPORTRANGE(""https://docs.google.com/spreadsheets/d/19KBlQQs7uwvsao6t2n-KvW3Ax8J8uRRfZPq1zPbXgKc/edit?usp=sharing"",""ระยอง!J465"")"),0)</f>
        <v>0</v>
      </c>
      <c r="CB66" s="152">
        <f ca="1">IFERROR(__xludf.DUMMYFUNCTION("IMPORTRANGE(""https://docs.google.com/spreadsheets/d/19KBlQQs7uwvsao6t2n-KvW3Ax8J8uRRfZPq1zPbXgKc/edit?usp=sharing"",""ระยอง!J466"")"),0)</f>
        <v>0</v>
      </c>
      <c r="CC66" s="152">
        <f ca="1">IFERROR(__xludf.DUMMYFUNCTION("IMPORTRANGE(""https://docs.google.com/spreadsheets/d/19KBlQQs7uwvsao6t2n-KvW3Ax8J8uRRfZPq1zPbXgKc/edit?usp=sharing"",""ระยอง!J467"")"),0)</f>
        <v>0</v>
      </c>
      <c r="CD66" s="152">
        <f ca="1">IFERROR(__xludf.DUMMYFUNCTION("IMPORTRANGE(""https://docs.google.com/spreadsheets/d/19KBlQQs7uwvsao6t2n-KvW3Ax8J8uRRfZPq1zPbXgKc/edit?usp=sharing"",""ระยอง!J468"")"),0)</f>
        <v>0</v>
      </c>
      <c r="CE66" s="152">
        <f ca="1">IFERROR(__xludf.DUMMYFUNCTION("IMPORTRANGE(""https://docs.google.com/spreadsheets/d/19KBlQQs7uwvsao6t2n-KvW3Ax8J8uRRfZPq1zPbXgKc/edit?usp=sharing"",""ระยอง!J469"")"),0)</f>
        <v>0</v>
      </c>
      <c r="CF66" s="152">
        <f ca="1">IFERROR(__xludf.DUMMYFUNCTION("IMPORTRANGE(""https://docs.google.com/spreadsheets/d/19KBlQQs7uwvsao6t2n-KvW3Ax8J8uRRfZPq1zPbXgKc/edit?usp=sharing"",""ระยอง!J470"")"),0)</f>
        <v>0</v>
      </c>
      <c r="CG66" s="152">
        <f ca="1">IFERROR(__xludf.DUMMYFUNCTION("IMPORTRANGE(""https://docs.google.com/spreadsheets/d/19KBlQQs7uwvsao6t2n-KvW3Ax8J8uRRfZPq1zPbXgKc/edit?usp=sharing"",""ระยอง!J471"")"),0)</f>
        <v>0</v>
      </c>
      <c r="CH66" s="152">
        <f ca="1">IFERROR(__xludf.DUMMYFUNCTION("IMPORTRANGE(""https://docs.google.com/spreadsheets/d/19KBlQQs7uwvsao6t2n-KvW3Ax8J8uRRfZPq1zPbXgKc/edit?usp=sharing"",""ระยอง!J472"")"),0)</f>
        <v>0</v>
      </c>
      <c r="CI66" s="152">
        <f ca="1">IFERROR(__xludf.DUMMYFUNCTION("IMPORTRANGE(""https://docs.google.com/spreadsheets/d/19KBlQQs7uwvsao6t2n-KvW3Ax8J8uRRfZPq1zPbXgKc/edit?usp=sharing"",""ระยอง!J473"")"),0)</f>
        <v>0</v>
      </c>
      <c r="CJ66" s="152">
        <f ca="1">IFERROR(__xludf.DUMMYFUNCTION("IMPORTRANGE(""https://docs.google.com/spreadsheets/d/19KBlQQs7uwvsao6t2n-KvW3Ax8J8uRRfZPq1zPbXgKc/edit?usp=sharing"",""ระยอง!J474"")"),0)</f>
        <v>0</v>
      </c>
      <c r="CK66" s="278">
        <f ca="1">IFERROR(__xludf.DUMMYFUNCTION("IMPORTRANGE(""https://docs.google.com/spreadsheets/d/19KBlQQs7uwvsao6t2n-KvW3Ax8J8uRRfZPq1zPbXgKc/edit?usp=sharing"",""ระยอง!I476"")"),0)</f>
        <v>0</v>
      </c>
      <c r="CL66" s="278">
        <f ca="1">IFERROR(__xludf.DUMMYFUNCTION("IMPORTRANGE(""https://docs.google.com/spreadsheets/d/19KBlQQs7uwvsao6t2n-KvW3Ax8J8uRRfZPq1zPbXgKc/edit?usp=sharing"",""ระยอง!I477"")"),0)</f>
        <v>0</v>
      </c>
      <c r="CM66" s="278">
        <f ca="1">IFERROR(__xludf.DUMMYFUNCTION("IMPORTRANGE(""https://docs.google.com/spreadsheets/d/19KBlQQs7uwvsao6t2n-KvW3Ax8J8uRRfZPq1zPbXgKc/edit?usp=sharing"",""ระยอง!J476"")"),0)</f>
        <v>0</v>
      </c>
      <c r="CN66" s="216">
        <f t="shared" ca="1" si="68"/>
        <v>0</v>
      </c>
      <c r="CO66" s="278">
        <f ca="1">IFERROR(__xludf.DUMMYFUNCTION("IMPORTRANGE(""https://docs.google.com/spreadsheets/d/19KBlQQs7uwvsao6t2n-KvW3Ax8J8uRRfZPq1zPbXgKc/edit?usp=sharing"",""ระยอง!J477"")"),0)</f>
        <v>0</v>
      </c>
      <c r="CP66" s="216">
        <f t="shared" ca="1" si="69"/>
        <v>0</v>
      </c>
      <c r="CQ66" s="278">
        <f ca="1">IFERROR(__xludf.DUMMYFUNCTION("IMPORTRANGE(""https://docs.google.com/spreadsheets/d/19KBlQQs7uwvsao6t2n-KvW3Ax8J8uRRfZPq1zPbXgKc/edit?usp=sharing"",""ระยอง!J478"")"),0)</f>
        <v>0</v>
      </c>
      <c r="CR66" s="278">
        <f ca="1">IFERROR(__xludf.DUMMYFUNCTION("IMPORTRANGE(""https://docs.google.com/spreadsheets/d/19KBlQQs7uwvsao6t2n-KvW3Ax8J8uRRfZPq1zPbXgKc/edit?usp=sharing"",""ระยอง!J479"")"),0)</f>
        <v>0</v>
      </c>
      <c r="CS66" s="278">
        <f ca="1">IFERROR(__xludf.DUMMYFUNCTION("IMPORTRANGE(""https://docs.google.com/spreadsheets/d/19KBlQQs7uwvsao6t2n-KvW3Ax8J8uRRfZPq1zPbXgKc/edit?usp=sharing"",""ระยอง!J480"")"),0)</f>
        <v>0</v>
      </c>
      <c r="CT66" s="278">
        <f ca="1">IFERROR(__xludf.DUMMYFUNCTION("IMPORTRANGE(""https://docs.google.com/spreadsheets/d/19KBlQQs7uwvsao6t2n-KvW3Ax8J8uRRfZPq1zPbXgKc/edit?usp=sharing"",""ระยอง!J481"")"),0)</f>
        <v>0</v>
      </c>
      <c r="CU66" s="278">
        <f ca="1">IFERROR(__xludf.DUMMYFUNCTION("IMPORTRANGE(""https://docs.google.com/spreadsheets/d/19KBlQQs7uwvsao6t2n-KvW3Ax8J8uRRfZPq1zPbXgKc/edit?usp=sharing"",""ระยอง!I484"")"),0)</f>
        <v>0</v>
      </c>
      <c r="CV66" s="278">
        <f ca="1">IFERROR(__xludf.DUMMYFUNCTION("IMPORTRANGE(""https://docs.google.com/spreadsheets/d/19KBlQQs7uwvsao6t2n-KvW3Ax8J8uRRfZPq1zPbXgKc/edit?usp=sharing"",""ระยอง!I485"")"),0)</f>
        <v>0</v>
      </c>
      <c r="CW66" s="278">
        <f ca="1">IFERROR(__xludf.DUMMYFUNCTION("IMPORTRANGE(""https://docs.google.com/spreadsheets/d/19KBlQQs7uwvsao6t2n-KvW3Ax8J8uRRfZPq1zPbXgKc/edit?usp=sharing"",""ระยอง!J484"")"),0)</f>
        <v>0</v>
      </c>
      <c r="CX66" s="216">
        <f t="shared" ca="1" si="71"/>
        <v>0</v>
      </c>
      <c r="CY66" s="278">
        <f ca="1">IFERROR(__xludf.DUMMYFUNCTION("IMPORTRANGE(""https://docs.google.com/spreadsheets/d/19KBlQQs7uwvsao6t2n-KvW3Ax8J8uRRfZPq1zPbXgKc/edit?usp=sharing"",""ระยอง!J485"")"),0)</f>
        <v>0</v>
      </c>
      <c r="CZ66" s="216">
        <f t="shared" ca="1" si="72"/>
        <v>0</v>
      </c>
      <c r="DA66" s="278">
        <f ca="1">IFERROR(__xludf.DUMMYFUNCTION("IMPORTRANGE(""https://docs.google.com/spreadsheets/d/19KBlQQs7uwvsao6t2n-KvW3Ax8J8uRRfZPq1zPbXgKc/edit?usp=sharing"",""ระยอง!J486"")"),0)</f>
        <v>0</v>
      </c>
      <c r="DB66" s="278">
        <f ca="1">IFERROR(__xludf.DUMMYFUNCTION("IMPORTRANGE(""https://docs.google.com/spreadsheets/d/19KBlQQs7uwvsao6t2n-KvW3Ax8J8uRRfZPq1zPbXgKc/edit?usp=sharing"",""ระยอง!J487"")"),0)</f>
        <v>0</v>
      </c>
      <c r="DC66" s="278">
        <f ca="1">IFERROR(__xludf.DUMMYFUNCTION("IMPORTRANGE(""https://docs.google.com/spreadsheets/d/19KBlQQs7uwvsao6t2n-KvW3Ax8J8uRRfZPq1zPbXgKc/edit?usp=sharing"",""ระยอง!J488"")"),0)</f>
        <v>0</v>
      </c>
      <c r="DD66" s="278">
        <f ca="1">IFERROR(__xludf.DUMMYFUNCTION("IMPORTRANGE(""https://docs.google.com/spreadsheets/d/19KBlQQs7uwvsao6t2n-KvW3Ax8J8uRRfZPq1zPbXgKc/edit?usp=sharing"",""ระยอง!J489"")"),0)</f>
        <v>0</v>
      </c>
      <c r="DE66" s="278">
        <f ca="1">IFERROR(__xludf.DUMMYFUNCTION("IMPORTRANGE(""https://docs.google.com/spreadsheets/d/19KBlQQs7uwvsao6t2n-KvW3Ax8J8uRRfZPq1zPbXgKc/edit?usp=sharing"",""ระยอง!J490"")"),0)</f>
        <v>0</v>
      </c>
      <c r="DF66" s="278">
        <f ca="1">IFERROR(__xludf.DUMMYFUNCTION("IMPORTRANGE(""https://docs.google.com/spreadsheets/d/19KBlQQs7uwvsao6t2n-KvW3Ax8J8uRRfZPq1zPbXgKc/edit?usp=sharing"",""ระยอง!J491"")"),0)</f>
        <v>0</v>
      </c>
    </row>
    <row r="67" spans="1:110" ht="19.5" x14ac:dyDescent="0.3">
      <c r="A67" s="147">
        <v>15</v>
      </c>
      <c r="B67" s="148" t="s">
        <v>95</v>
      </c>
      <c r="C67" s="566">
        <f t="shared" ca="1" si="44"/>
        <v>128550</v>
      </c>
      <c r="D67" s="567">
        <f t="shared" ca="1" si="94"/>
        <v>128550</v>
      </c>
      <c r="E67" s="329">
        <f ca="1">IFERROR(__xludf.DUMMYFUNCTION("IMPORTRANGE(""https://docs.google.com/spreadsheets/d/1-uDff_7J0KD5mKrp0Vvzr7lt3OU09vwQwhkpOPPYv2Y/edit?usp=sharing"",""งบพรบ!IP67"")"),0)</f>
        <v>0</v>
      </c>
      <c r="F67" s="329">
        <f ca="1">IFERROR(__xludf.DUMMYFUNCTION("IMPORTRANGE(""https://docs.google.com/spreadsheets/d/1-uDff_7J0KD5mKrp0Vvzr7lt3OU09vwQwhkpOPPYv2Y/edit?usp=sharing"",""งบพรบ!IQ67"")"),128550)</f>
        <v>128550</v>
      </c>
      <c r="G67" s="329">
        <f ca="1">IFERROR(__xludf.DUMMYFUNCTION("IMPORTRANGE(""https://docs.google.com/spreadsheets/d/1-uDff_7J0KD5mKrp0Vvzr7lt3OU09vwQwhkpOPPYv2Y/edit?usp=sharing"",""งบพรบ!IR67"")"),0)</f>
        <v>0</v>
      </c>
      <c r="H67" s="329">
        <f ca="1">IFERROR(__xludf.DUMMYFUNCTION("IMPORTRANGE(""https://docs.google.com/spreadsheets/d/1-uDff_7J0KD5mKrp0Vvzr7lt3OU09vwQwhkpOPPYv2Y/edit?usp=sharing"",""งบพรบ!IT67"")"),143550)</f>
        <v>143550</v>
      </c>
      <c r="I67" s="329">
        <f ca="1">IFERROR(__xludf.DUMMYFUNCTION("IMPORTRANGE(""https://docs.google.com/spreadsheets/d/1-uDff_7J0KD5mKrp0Vvzr7lt3OU09vwQwhkpOPPYv2Y/edit?usp=sharing"",""งบพรบ!IU67"")"),0)</f>
        <v>0</v>
      </c>
      <c r="J67" s="329">
        <f t="shared" ca="1" si="46"/>
        <v>89780</v>
      </c>
      <c r="K67" s="568">
        <f t="shared" ca="1" si="47"/>
        <v>69.840528977051733</v>
      </c>
      <c r="L67" s="329">
        <f ca="1">IFERROR(__xludf.DUMMYFUNCTION("IMPORTRANGE(""https://docs.google.com/spreadsheets/d/1-uDff_7J0KD5mKrp0Vvzr7lt3OU09vwQwhkpOPPYv2Y/edit?usp=sharing"",""งบพรบ!IV67"")"),89780)</f>
        <v>89780</v>
      </c>
      <c r="M67" s="330">
        <f t="shared" ca="1" si="48"/>
        <v>69.840528977051733</v>
      </c>
      <c r="N67" s="330">
        <f t="shared" ca="1" si="49"/>
        <v>62.542668059909438</v>
      </c>
      <c r="O67" s="569">
        <f ca="1">IFERROR(__xludf.DUMMYFUNCTION("IMPORTRANGE(""https://docs.google.com/spreadsheets/d/1-uDff_7J0KD5mKrp0Vvzr7lt3OU09vwQwhkpOPPYv2Y/edit?usp=sharing"",""งบพรบ!IW67"")"),0)</f>
        <v>0</v>
      </c>
      <c r="P67" s="569">
        <f t="shared" ca="1" si="50"/>
        <v>0</v>
      </c>
      <c r="Q67" s="330">
        <f t="shared" ca="1" si="51"/>
        <v>0</v>
      </c>
      <c r="R67" s="564">
        <f ca="1">IFERROR(__xludf.DUMMYFUNCTION("IMPORTRANGE(""https://docs.google.com/spreadsheets/d/1jQ6P4QcrGM89YfqcC_PxOHGCMq5ezhucwJd8ci-NHng/edit?usp=sharing"",""ราชบุรี!Q413"")"),16640)</f>
        <v>16640</v>
      </c>
      <c r="S67" s="564">
        <f ca="1">IFERROR(__xludf.DUMMYFUNCTION("IMPORTRANGE(""https://docs.google.com/spreadsheets/d/1jQ6P4QcrGM89YfqcC_PxOHGCMq5ezhucwJd8ci-NHng/edit?usp=sharing"",""ราชบุรี!R413"")"),16640)</f>
        <v>16640</v>
      </c>
      <c r="T67" s="564">
        <f ca="1">IFERROR(__xludf.DUMMYFUNCTION("IMPORTRANGE(""https://docs.google.com/spreadsheets/d/1jQ6P4QcrGM89YfqcC_PxOHGCMq5ezhucwJd8ci-NHng/edit?usp=sharing"",""ราชบุรี!S413"")"),9100)</f>
        <v>9100</v>
      </c>
      <c r="U67" s="565">
        <f t="shared" ca="1" si="53"/>
        <v>54.6875</v>
      </c>
      <c r="V67" s="565">
        <f t="shared" ca="1" si="54"/>
        <v>54.6875</v>
      </c>
      <c r="W67" s="152">
        <f ca="1">IFERROR(__xludf.DUMMYFUNCTION("IMPORTRANGE(""https://docs.google.com/spreadsheets/d/1jQ6P4QcrGM89YfqcC_PxOHGCMq5ezhucwJd8ci-NHng/edit?usp=sharing"",""ราชบุรี!I424"")"),0)</f>
        <v>0</v>
      </c>
      <c r="X67" s="152">
        <f ca="1">IFERROR(__xludf.DUMMYFUNCTION("IMPORTRANGE(""https://docs.google.com/spreadsheets/d/1jQ6P4QcrGM89YfqcC_PxOHGCMq5ezhucwJd8ci-NHng/edit?usp=sharing"",""ราชบุรี!I425"")"),0)</f>
        <v>0</v>
      </c>
      <c r="Y67" s="152">
        <f ca="1">IFERROR(__xludf.DUMMYFUNCTION("IMPORTRANGE(""https://docs.google.com/spreadsheets/d/1jQ6P4QcrGM89YfqcC_PxOHGCMq5ezhucwJd8ci-NHng/edit?usp=sharing"",""ราชบุรี!J424"")"),0)</f>
        <v>0</v>
      </c>
      <c r="Z67" s="216">
        <f t="shared" ca="1" si="56"/>
        <v>0</v>
      </c>
      <c r="AA67" s="152">
        <f ca="1">IFERROR(__xludf.DUMMYFUNCTION("IMPORTRANGE(""https://docs.google.com/spreadsheets/d/1jQ6P4QcrGM89YfqcC_PxOHGCMq5ezhucwJd8ci-NHng/edit?usp=sharing"",""ราชบุรี!J425"")"),0)</f>
        <v>0</v>
      </c>
      <c r="AB67" s="216">
        <f t="shared" ca="1" si="57"/>
        <v>0</v>
      </c>
      <c r="AC67" s="152">
        <f ca="1">IFERROR(__xludf.DUMMYFUNCTION("IMPORTRANGE(""https://docs.google.com/spreadsheets/d/1jQ6P4QcrGM89YfqcC_PxOHGCMq5ezhucwJd8ci-NHng/edit?usp=sharing"",""ราชบุรี!J426"")"),0)</f>
        <v>0</v>
      </c>
      <c r="AD67" s="152">
        <f ca="1">IFERROR(__xludf.DUMMYFUNCTION("IMPORTRANGE(""https://docs.google.com/spreadsheets/d/1jQ6P4QcrGM89YfqcC_PxOHGCMq5ezhucwJd8ci-NHng/edit?usp=sharing"",""ราชบุรี!J427"")"),0)</f>
        <v>0</v>
      </c>
      <c r="AE67" s="152">
        <f ca="1">IFERROR(__xludf.DUMMYFUNCTION("IMPORTRANGE(""https://docs.google.com/spreadsheets/d/1jQ6P4QcrGM89YfqcC_PxOHGCMq5ezhucwJd8ci-NHng/edit?usp=sharing"",""ราชบุรี!J428"")"),0)</f>
        <v>0</v>
      </c>
      <c r="AF67" s="152">
        <f ca="1">IFERROR(__xludf.DUMMYFUNCTION("IMPORTRANGE(""https://docs.google.com/spreadsheets/d/1jQ6P4QcrGM89YfqcC_PxOHGCMq5ezhucwJd8ci-NHng/edit?usp=sharing"",""ราชบุรี!J429"")"),0)</f>
        <v>0</v>
      </c>
      <c r="AG67" s="152">
        <f ca="1">IFERROR(__xludf.DUMMYFUNCTION("IMPORTRANGE(""https://docs.google.com/spreadsheets/d/1jQ6P4QcrGM89YfqcC_PxOHGCMq5ezhucwJd8ci-NHng/edit?usp=sharing"",""ราชบุรี!J430"")"),0)</f>
        <v>0</v>
      </c>
      <c r="AH67" s="152">
        <f ca="1">IFERROR(__xludf.DUMMYFUNCTION("IMPORTRANGE(""https://docs.google.com/spreadsheets/d/1jQ6P4QcrGM89YfqcC_PxOHGCMq5ezhucwJd8ci-NHng/edit?usp=sharing"",""ราชบุรี!J431"")"),0)</f>
        <v>0</v>
      </c>
      <c r="AI67" s="152">
        <f ca="1">IFERROR(__xludf.DUMMYFUNCTION("IMPORTRANGE(""https://docs.google.com/spreadsheets/d/1jQ6P4QcrGM89YfqcC_PxOHGCMq5ezhucwJd8ci-NHng/edit?usp=sharing"",""ราชบุรี!I432"")"),0)</f>
        <v>0</v>
      </c>
      <c r="AJ67" s="152">
        <f ca="1">IFERROR(__xludf.DUMMYFUNCTION("IMPORTRANGE(""https://docs.google.com/spreadsheets/d/1jQ6P4QcrGM89YfqcC_PxOHGCMq5ezhucwJd8ci-NHng/edit?usp=sharing"",""ราชบุรี!I433"")"),0)</f>
        <v>0</v>
      </c>
      <c r="AK67" s="216">
        <f ca="1">IFERROR(__xludf.DUMMYFUNCTION("IMPORTRANGE(""https://docs.google.com/spreadsheets/d/1jQ6P4QcrGM89YfqcC_PxOHGCMq5ezhucwJd8ci-NHng/edit?usp=sharing"",""ราชบุรี!J432"")"),0)</f>
        <v>0</v>
      </c>
      <c r="AL67" s="216">
        <f t="shared" ca="1" si="59"/>
        <v>0</v>
      </c>
      <c r="AM67" s="152">
        <f ca="1">IFERROR(__xludf.DUMMYFUNCTION("IMPORTRANGE(""https://docs.google.com/spreadsheets/d/1jQ6P4QcrGM89YfqcC_PxOHGCMq5ezhucwJd8ci-NHng/edit?usp=sharing"",""ราชบุรี!J433"")"),0)</f>
        <v>0</v>
      </c>
      <c r="AN67" s="216">
        <f t="shared" ca="1" si="60"/>
        <v>0</v>
      </c>
      <c r="AO67" s="152">
        <f ca="1">IFERROR(__xludf.DUMMYFUNCTION("IMPORTRANGE(""https://docs.google.com/spreadsheets/d/1jQ6P4QcrGM89YfqcC_PxOHGCMq5ezhucwJd8ci-NHng/edit?usp=sharing"",""ราชบุรี!J434"")"),0)</f>
        <v>0</v>
      </c>
      <c r="AP67" s="152">
        <f ca="1">IFERROR(__xludf.DUMMYFUNCTION("IMPORTRANGE(""https://docs.google.com/spreadsheets/d/1jQ6P4QcrGM89YfqcC_PxOHGCMq5ezhucwJd8ci-NHng/edit?usp=sharing"",""ราชบุรี!J435"")"),0)</f>
        <v>0</v>
      </c>
      <c r="AQ67" s="152">
        <f ca="1">IFERROR(__xludf.DUMMYFUNCTION("IMPORTRANGE(""https://docs.google.com/spreadsheets/d/1jQ6P4QcrGM89YfqcC_PxOHGCMq5ezhucwJd8ci-NHng/edit?usp=sharing"",""ราชบุรี!J436"")"),0)</f>
        <v>0</v>
      </c>
      <c r="AR67" s="152">
        <f ca="1">IFERROR(__xludf.DUMMYFUNCTION("IMPORTRANGE(""https://docs.google.com/spreadsheets/d/1jQ6P4QcrGM89YfqcC_PxOHGCMq5ezhucwJd8ci-NHng/edit?usp=sharing"",""ราชบุรี!J437"")"),0)</f>
        <v>0</v>
      </c>
      <c r="AS67" s="152">
        <f ca="1">IFERROR(__xludf.DUMMYFUNCTION("IMPORTRANGE(""https://docs.google.com/spreadsheets/d/1jQ6P4QcrGM89YfqcC_PxOHGCMq5ezhucwJd8ci-NHng/edit?usp=sharing"",""ราชบุรี!J438"")"),0)</f>
        <v>0</v>
      </c>
      <c r="AT67" s="152">
        <f ca="1">IFERROR(__xludf.DUMMYFUNCTION("IMPORTRANGE(""https://docs.google.com/spreadsheets/d/1jQ6P4QcrGM89YfqcC_PxOHGCMq5ezhucwJd8ci-NHng/edit?usp=sharing"",""ราชบุรี!J439"")"),0)</f>
        <v>0</v>
      </c>
      <c r="AU67" s="152">
        <f ca="1">IFERROR(__xludf.DUMMYFUNCTION("IMPORTRANGE(""https://docs.google.com/spreadsheets/d/1jQ6P4QcrGM89YfqcC_PxOHGCMq5ezhucwJd8ci-NHng/edit?usp=sharing"",""ราชบุรี!I440"")"),0)</f>
        <v>0</v>
      </c>
      <c r="AV67" s="152">
        <f ca="1">IFERROR(__xludf.DUMMYFUNCTION("IMPORTRANGE(""https://docs.google.com/spreadsheets/d/1jQ6P4QcrGM89YfqcC_PxOHGCMq5ezhucwJd8ci-NHng/edit?usp=sharing"",""ราชบุรี!I441"")"),0)</f>
        <v>0</v>
      </c>
      <c r="AW67" s="152">
        <f ca="1">IFERROR(__xludf.DUMMYFUNCTION("IMPORTRANGE(""https://docs.google.com/spreadsheets/d/1jQ6P4QcrGM89YfqcC_PxOHGCMq5ezhucwJd8ci-NHng/edit?usp=sharing"",""ราชบุรี!J440"")"),0)</f>
        <v>0</v>
      </c>
      <c r="AX67" s="216">
        <f t="shared" ca="1" si="62"/>
        <v>0</v>
      </c>
      <c r="AY67" s="152">
        <f ca="1">IFERROR(__xludf.DUMMYFUNCTION("IMPORTRANGE(""https://docs.google.com/spreadsheets/d/1jQ6P4QcrGM89YfqcC_PxOHGCMq5ezhucwJd8ci-NHng/edit?usp=sharing"",""ราชบุรี!J441"")"),0)</f>
        <v>0</v>
      </c>
      <c r="AZ67" s="216">
        <f t="shared" ca="1" si="63"/>
        <v>0</v>
      </c>
      <c r="BA67" s="152">
        <f ca="1">IFERROR(__xludf.DUMMYFUNCTION("IMPORTRANGE(""https://docs.google.com/spreadsheets/d/1jQ6P4QcrGM89YfqcC_PxOHGCMq5ezhucwJd8ci-NHng/edit?usp=sharing"",""ราชบุรี!J442"")"),0)</f>
        <v>0</v>
      </c>
      <c r="BB67" s="152">
        <f ca="1">IFERROR(__xludf.DUMMYFUNCTION("IMPORTRANGE(""https://docs.google.com/spreadsheets/d/1jQ6P4QcrGM89YfqcC_PxOHGCMq5ezhucwJd8ci-NHng/edit?usp=sharing"",""ราชบุรี!J443"")"),0)</f>
        <v>0</v>
      </c>
      <c r="BC67" s="152">
        <f ca="1">IFERROR(__xludf.DUMMYFUNCTION("IMPORTRANGE(""https://docs.google.com/spreadsheets/d/1jQ6P4QcrGM89YfqcC_PxOHGCMq5ezhucwJd8ci-NHng/edit?usp=sharing"",""ราชบุรี!J444"")"),0)</f>
        <v>0</v>
      </c>
      <c r="BD67" s="152">
        <f ca="1">IFERROR(__xludf.DUMMYFUNCTION("IMPORTRANGE(""https://docs.google.com/spreadsheets/d/1jQ6P4QcrGM89YfqcC_PxOHGCMq5ezhucwJd8ci-NHng/edit?usp=sharing"",""ราชบุรี!J445"")"),0)</f>
        <v>0</v>
      </c>
      <c r="BE67" s="152">
        <f ca="1">IFERROR(__xludf.DUMMYFUNCTION("IMPORTRANGE(""https://docs.google.com/spreadsheets/d/1jQ6P4QcrGM89YfqcC_PxOHGCMq5ezhucwJd8ci-NHng/edit?usp=sharing"",""ราชบุรี!J446"")"),0)</f>
        <v>0</v>
      </c>
      <c r="BF67" s="152">
        <f ca="1">IFERROR(__xludf.DUMMYFUNCTION("IMPORTRANGE(""https://docs.google.com/spreadsheets/d/1jQ6P4QcrGM89YfqcC_PxOHGCMq5ezhucwJd8ci-NHng/edit?usp=sharing"",""ราชบุรี!J447"")"),0)</f>
        <v>0</v>
      </c>
      <c r="BG67" s="152">
        <f ca="1">IFERROR(__xludf.DUMMYFUNCTION("IMPORTRANGE(""https://docs.google.com/spreadsheets/d/1jQ6P4QcrGM89YfqcC_PxOHGCMq5ezhucwJd8ci-NHng/edit?usp=sharing"",""ราชบุรี!J448"")"),0)</f>
        <v>0</v>
      </c>
      <c r="BH67" s="152">
        <f ca="1">IFERROR(__xludf.DUMMYFUNCTION("IMPORTRANGE(""https://docs.google.com/spreadsheets/d/1jQ6P4QcrGM89YfqcC_PxOHGCMq5ezhucwJd8ci-NHng/edit?usp=sharing"",""ราชบุรี!J449"")"),0)</f>
        <v>0</v>
      </c>
      <c r="BI67" s="152">
        <f ca="1">IFERROR(__xludf.DUMMYFUNCTION("IMPORTRANGE(""https://docs.google.com/spreadsheets/d/1jQ6P4QcrGM89YfqcC_PxOHGCMq5ezhucwJd8ci-NHng/edit?usp=sharing"",""ราชบุรี!J450"")"),0)</f>
        <v>0</v>
      </c>
      <c r="BJ67" s="152">
        <f ca="1">IFERROR(__xludf.DUMMYFUNCTION("IMPORTRANGE(""https://docs.google.com/spreadsheets/d/1jQ6P4QcrGM89YfqcC_PxOHGCMq5ezhucwJd8ci-NHng/edit?usp=sharing"",""ราชบุรี!J451"")"),0)</f>
        <v>0</v>
      </c>
      <c r="BK67" s="152">
        <f ca="1">IFERROR(__xludf.DUMMYFUNCTION("IMPORTRANGE(""https://docs.google.com/spreadsheets/d/1jQ6P4QcrGM89YfqcC_PxOHGCMq5ezhucwJd8ci-NHng/edit?usp=sharing"",""ราชบุรี!J452"")"),0)</f>
        <v>0</v>
      </c>
      <c r="BL67" s="152">
        <f ca="1">IFERROR(__xludf.DUMMYFUNCTION("IMPORTRANGE(""https://docs.google.com/spreadsheets/d/1jQ6P4QcrGM89YfqcC_PxOHGCMq5ezhucwJd8ci-NHng/edit?usp=sharing"",""ราชบุรี!J453"")"),0)</f>
        <v>0</v>
      </c>
      <c r="BM67" s="152">
        <f ca="1">IFERROR(__xludf.DUMMYFUNCTION("IMPORTRANGE(""https://docs.google.com/spreadsheets/d/1jQ6P4QcrGM89YfqcC_PxOHGCMq5ezhucwJd8ci-NHng/edit?usp=sharing"",""ราชบุรี!J454"")"),0)</f>
        <v>0</v>
      </c>
      <c r="BN67" s="152">
        <f ca="1">IFERROR(__xludf.DUMMYFUNCTION("IMPORTRANGE(""https://docs.google.com/spreadsheets/d/1jQ6P4QcrGM89YfqcC_PxOHGCMq5ezhucwJd8ci-NHng/edit?usp=sharing"",""ราชบุรี!J455"")"),0)</f>
        <v>0</v>
      </c>
      <c r="BO67" s="152">
        <f ca="1">IFERROR(__xludf.DUMMYFUNCTION("IMPORTRANGE(""https://docs.google.com/spreadsheets/d/1jQ6P4QcrGM89YfqcC_PxOHGCMq5ezhucwJd8ci-NHng/edit?usp=sharing"",""ราชบุรี!I457"")"),8169.54)</f>
        <v>8169.54</v>
      </c>
      <c r="BP67" s="152">
        <f ca="1">IFERROR(__xludf.DUMMYFUNCTION("IMPORTRANGE(""https://docs.google.com/spreadsheets/d/1jQ6P4QcrGM89YfqcC_PxOHGCMq5ezhucwJd8ci-NHng/edit?usp=sharing"",""ราชบุรี!I458"")"),225)</f>
        <v>225</v>
      </c>
      <c r="BQ67" s="152">
        <f ca="1">IFERROR(__xludf.DUMMYFUNCTION("IMPORTRANGE(""https://docs.google.com/spreadsheets/d/1jQ6P4QcrGM89YfqcC_PxOHGCMq5ezhucwJd8ci-NHng/edit?usp=sharing"",""ราชบุรี!J457"")"),1359)</f>
        <v>1359</v>
      </c>
      <c r="BR67" s="216">
        <f t="shared" ca="1" si="65"/>
        <v>16.634963535278608</v>
      </c>
      <c r="BS67" s="152">
        <f ca="1">IFERROR(__xludf.DUMMYFUNCTION("IMPORTRANGE(""https://docs.google.com/spreadsheets/d/1jQ6P4QcrGM89YfqcC_PxOHGCMq5ezhucwJd8ci-NHng/edit?usp=sharing"",""ราชบุรี!J458"")"),33)</f>
        <v>33</v>
      </c>
      <c r="BT67" s="216">
        <f t="shared" ca="1" si="66"/>
        <v>14.666666666666666</v>
      </c>
      <c r="BU67" s="152">
        <f ca="1">IFERROR(__xludf.DUMMYFUNCTION("IMPORTRANGE(""https://docs.google.com/spreadsheets/d/1jQ6P4QcrGM89YfqcC_PxOHGCMq5ezhucwJd8ci-NHng/edit?usp=sharing"",""ราชบุรี!J459"")"),624)</f>
        <v>624</v>
      </c>
      <c r="BV67" s="152">
        <f ca="1">IFERROR(__xludf.DUMMYFUNCTION("IMPORTRANGE(""https://docs.google.com/spreadsheets/d/1jQ6P4QcrGM89YfqcC_PxOHGCMq5ezhucwJd8ci-NHng/edit?usp=sharing"",""ราชบุรี!J460"")"),16)</f>
        <v>16</v>
      </c>
      <c r="BW67" s="152">
        <f ca="1">IFERROR(__xludf.DUMMYFUNCTION("IMPORTRANGE(""https://docs.google.com/spreadsheets/d/1jQ6P4QcrGM89YfqcC_PxOHGCMq5ezhucwJd8ci-NHng/edit?usp=sharing"",""ราชบุรี!J461"")"),60)</f>
        <v>60</v>
      </c>
      <c r="BX67" s="152">
        <f ca="1">IFERROR(__xludf.DUMMYFUNCTION("IMPORTRANGE(""https://docs.google.com/spreadsheets/d/1jQ6P4QcrGM89YfqcC_PxOHGCMq5ezhucwJd8ci-NHng/edit?usp=sharing"",""ราชบุรี!J462"")"),2)</f>
        <v>2</v>
      </c>
      <c r="BY67" s="152">
        <f ca="1">IFERROR(__xludf.DUMMYFUNCTION("IMPORTRANGE(""https://docs.google.com/spreadsheets/d/1jQ6P4QcrGM89YfqcC_PxOHGCMq5ezhucwJd8ci-NHng/edit?usp=sharing"",""ราชบุรี!J463"")"),564)</f>
        <v>564</v>
      </c>
      <c r="BZ67" s="152">
        <f ca="1">IFERROR(__xludf.DUMMYFUNCTION("IMPORTRANGE(""https://docs.google.com/spreadsheets/d/1jQ6P4QcrGM89YfqcC_PxOHGCMq5ezhucwJd8ci-NHng/edit?usp=sharing"",""ราชบุรี!J464"")"),14)</f>
        <v>14</v>
      </c>
      <c r="CA67" s="152">
        <f ca="1">IFERROR(__xludf.DUMMYFUNCTION("IMPORTRANGE(""https://docs.google.com/spreadsheets/d/1jQ6P4QcrGM89YfqcC_PxOHGCMq5ezhucwJd8ci-NHng/edit?usp=sharing"",""ราชบุรี!J465"")"),3126)</f>
        <v>3126</v>
      </c>
      <c r="CB67" s="152">
        <f ca="1">IFERROR(__xludf.DUMMYFUNCTION("IMPORTRANGE(""https://docs.google.com/spreadsheets/d/1jQ6P4QcrGM89YfqcC_PxOHGCMq5ezhucwJd8ci-NHng/edit?usp=sharing"",""ราชบุรี!J466"")"),73)</f>
        <v>73</v>
      </c>
      <c r="CC67" s="152">
        <f ca="1">IFERROR(__xludf.DUMMYFUNCTION("IMPORTRANGE(""https://docs.google.com/spreadsheets/d/1jQ6P4QcrGM89YfqcC_PxOHGCMq5ezhucwJd8ci-NHng/edit?usp=sharing"",""ราชบุรี!J467"")"),735)</f>
        <v>735</v>
      </c>
      <c r="CD67" s="152">
        <f ca="1">IFERROR(__xludf.DUMMYFUNCTION("IMPORTRANGE(""https://docs.google.com/spreadsheets/d/1jQ6P4QcrGM89YfqcC_PxOHGCMq5ezhucwJd8ci-NHng/edit?usp=sharing"",""ราชบุรี!J468"")"),17)</f>
        <v>17</v>
      </c>
      <c r="CE67" s="152">
        <f ca="1">IFERROR(__xludf.DUMMYFUNCTION("IMPORTRANGE(""https://docs.google.com/spreadsheets/d/1jQ6P4QcrGM89YfqcC_PxOHGCMq5ezhucwJd8ci-NHng/edit?usp=sharing"",""ราชบุรี!J469"")"),50)</f>
        <v>50</v>
      </c>
      <c r="CF67" s="152">
        <f ca="1">IFERROR(__xludf.DUMMYFUNCTION("IMPORTRANGE(""https://docs.google.com/spreadsheets/d/1jQ6P4QcrGM89YfqcC_PxOHGCMq5ezhucwJd8ci-NHng/edit?usp=sharing"",""ราชบุรี!J470"")"),1)</f>
        <v>1</v>
      </c>
      <c r="CG67" s="152">
        <f ca="1">IFERROR(__xludf.DUMMYFUNCTION("IMPORTRANGE(""https://docs.google.com/spreadsheets/d/1jQ6P4QcrGM89YfqcC_PxOHGCMq5ezhucwJd8ci-NHng/edit?usp=sharing"",""ราชบุรี!J471"")"),685)</f>
        <v>685</v>
      </c>
      <c r="CH67" s="152">
        <f ca="1">IFERROR(__xludf.DUMMYFUNCTION("IMPORTRANGE(""https://docs.google.com/spreadsheets/d/1jQ6P4QcrGM89YfqcC_PxOHGCMq5ezhucwJd8ci-NHng/edit?usp=sharing"",""ราชบุรี!J472"")"),16)</f>
        <v>16</v>
      </c>
      <c r="CI67" s="152">
        <f ca="1">IFERROR(__xludf.DUMMYFUNCTION("IMPORTRANGE(""https://docs.google.com/spreadsheets/d/1jQ6P4QcrGM89YfqcC_PxOHGCMq5ezhucwJd8ci-NHng/edit?usp=sharing"",""ราชบุรี!J473"")"),0)</f>
        <v>0</v>
      </c>
      <c r="CJ67" s="152">
        <f ca="1">IFERROR(__xludf.DUMMYFUNCTION("IMPORTRANGE(""https://docs.google.com/spreadsheets/d/1jQ6P4QcrGM89YfqcC_PxOHGCMq5ezhucwJd8ci-NHng/edit?usp=sharing"",""ราชบุรี!J474"")"),0)</f>
        <v>0</v>
      </c>
      <c r="CK67" s="278">
        <f ca="1">IFERROR(__xludf.DUMMYFUNCTION("IMPORTRANGE(""https://docs.google.com/spreadsheets/d/1jQ6P4QcrGM89YfqcC_PxOHGCMq5ezhucwJd8ci-NHng/edit?usp=sharing"",""ราชบุรี!I476"")"),0)</f>
        <v>0</v>
      </c>
      <c r="CL67" s="278">
        <f ca="1">IFERROR(__xludf.DUMMYFUNCTION("IMPORTRANGE(""https://docs.google.com/spreadsheets/d/1jQ6P4QcrGM89YfqcC_PxOHGCMq5ezhucwJd8ci-NHng/edit?usp=sharing"",""ราชบุรี!I477"")"),0)</f>
        <v>0</v>
      </c>
      <c r="CM67" s="278">
        <f ca="1">IFERROR(__xludf.DUMMYFUNCTION("IMPORTRANGE(""https://docs.google.com/spreadsheets/d/1jQ6P4QcrGM89YfqcC_PxOHGCMq5ezhucwJd8ci-NHng/edit?usp=sharing"",""ราชบุรี!J476"")"),0)</f>
        <v>0</v>
      </c>
      <c r="CN67" s="216">
        <f t="shared" ca="1" si="68"/>
        <v>0</v>
      </c>
      <c r="CO67" s="278">
        <f ca="1">IFERROR(__xludf.DUMMYFUNCTION("IMPORTRANGE(""https://docs.google.com/spreadsheets/d/1jQ6P4QcrGM89YfqcC_PxOHGCMq5ezhucwJd8ci-NHng/edit?usp=sharing"",""ราชบุรี!J477"")"),0)</f>
        <v>0</v>
      </c>
      <c r="CP67" s="216">
        <f t="shared" ca="1" si="69"/>
        <v>0</v>
      </c>
      <c r="CQ67" s="278">
        <f ca="1">IFERROR(__xludf.DUMMYFUNCTION("IMPORTRANGE(""https://docs.google.com/spreadsheets/d/1jQ6P4QcrGM89YfqcC_PxOHGCMq5ezhucwJd8ci-NHng/edit?usp=sharing"",""ราชบุรี!J478"")"),0)</f>
        <v>0</v>
      </c>
      <c r="CR67" s="278">
        <f ca="1">IFERROR(__xludf.DUMMYFUNCTION("IMPORTRANGE(""https://docs.google.com/spreadsheets/d/1jQ6P4QcrGM89YfqcC_PxOHGCMq5ezhucwJd8ci-NHng/edit?usp=sharing"",""ราชบุรี!J479"")"),0)</f>
        <v>0</v>
      </c>
      <c r="CS67" s="278">
        <f ca="1">IFERROR(__xludf.DUMMYFUNCTION("IMPORTRANGE(""https://docs.google.com/spreadsheets/d/1jQ6P4QcrGM89YfqcC_PxOHGCMq5ezhucwJd8ci-NHng/edit?usp=sharing"",""ราชบุรี!J480"")"),0)</f>
        <v>0</v>
      </c>
      <c r="CT67" s="278">
        <f ca="1">IFERROR(__xludf.DUMMYFUNCTION("IMPORTRANGE(""https://docs.google.com/spreadsheets/d/1jQ6P4QcrGM89YfqcC_PxOHGCMq5ezhucwJd8ci-NHng/edit?usp=sharing"",""ราชบุรี!J481"")"),0)</f>
        <v>0</v>
      </c>
      <c r="CU67" s="278">
        <f ca="1">IFERROR(__xludf.DUMMYFUNCTION("IMPORTRANGE(""https://docs.google.com/spreadsheets/d/1jQ6P4QcrGM89YfqcC_PxOHGCMq5ezhucwJd8ci-NHng/edit?usp=sharing"",""ราชบุรี!I484"")"),0)</f>
        <v>0</v>
      </c>
      <c r="CV67" s="278">
        <f ca="1">IFERROR(__xludf.DUMMYFUNCTION("IMPORTRANGE(""https://docs.google.com/spreadsheets/d/1jQ6P4QcrGM89YfqcC_PxOHGCMq5ezhucwJd8ci-NHng/edit?usp=sharing"",""ราชบุรี!I485"")"),0)</f>
        <v>0</v>
      </c>
      <c r="CW67" s="278">
        <f ca="1">IFERROR(__xludf.DUMMYFUNCTION("IMPORTRANGE(""https://docs.google.com/spreadsheets/d/1jQ6P4QcrGM89YfqcC_PxOHGCMq5ezhucwJd8ci-NHng/edit?usp=sharing"",""ราชบุรี!J484"")"),0)</f>
        <v>0</v>
      </c>
      <c r="CX67" s="216">
        <f t="shared" ca="1" si="71"/>
        <v>0</v>
      </c>
      <c r="CY67" s="278">
        <f ca="1">IFERROR(__xludf.DUMMYFUNCTION("IMPORTRANGE(""https://docs.google.com/spreadsheets/d/1jQ6P4QcrGM89YfqcC_PxOHGCMq5ezhucwJd8ci-NHng/edit?usp=sharing"",""ราชบุรี!J485"")"),0)</f>
        <v>0</v>
      </c>
      <c r="CZ67" s="216">
        <f t="shared" ca="1" si="72"/>
        <v>0</v>
      </c>
      <c r="DA67" s="278">
        <f ca="1">IFERROR(__xludf.DUMMYFUNCTION("IMPORTRANGE(""https://docs.google.com/spreadsheets/d/1jQ6P4QcrGM89YfqcC_PxOHGCMq5ezhucwJd8ci-NHng/edit?usp=sharing"",""ราชบุรี!J486"")"),0)</f>
        <v>0</v>
      </c>
      <c r="DB67" s="278">
        <f ca="1">IFERROR(__xludf.DUMMYFUNCTION("IMPORTRANGE(""https://docs.google.com/spreadsheets/d/1jQ6P4QcrGM89YfqcC_PxOHGCMq5ezhucwJd8ci-NHng/edit?usp=sharing"",""ราชบุรี!J487"")"),0)</f>
        <v>0</v>
      </c>
      <c r="DC67" s="278">
        <f ca="1">IFERROR(__xludf.DUMMYFUNCTION("IMPORTRANGE(""https://docs.google.com/spreadsheets/d/1jQ6P4QcrGM89YfqcC_PxOHGCMq5ezhucwJd8ci-NHng/edit?usp=sharing"",""ราชบุรี!J488"")"),0)</f>
        <v>0</v>
      </c>
      <c r="DD67" s="278">
        <f ca="1">IFERROR(__xludf.DUMMYFUNCTION("IMPORTRANGE(""https://docs.google.com/spreadsheets/d/1jQ6P4QcrGM89YfqcC_PxOHGCMq5ezhucwJd8ci-NHng/edit?usp=sharing"",""ราชบุรี!J489"")"),0)</f>
        <v>0</v>
      </c>
      <c r="DE67" s="278">
        <f ca="1">IFERROR(__xludf.DUMMYFUNCTION("IMPORTRANGE(""https://docs.google.com/spreadsheets/d/1jQ6P4QcrGM89YfqcC_PxOHGCMq5ezhucwJd8ci-NHng/edit?usp=sharing"",""ราชบุรี!J490"")"),0)</f>
        <v>0</v>
      </c>
      <c r="DF67" s="278">
        <f ca="1">IFERROR(__xludf.DUMMYFUNCTION("IMPORTRANGE(""https://docs.google.com/spreadsheets/d/1jQ6P4QcrGM89YfqcC_PxOHGCMq5ezhucwJd8ci-NHng/edit?usp=sharing"",""ราชบุรี!J491"")"),0)</f>
        <v>0</v>
      </c>
    </row>
    <row r="68" spans="1:110" ht="19.5" x14ac:dyDescent="0.3">
      <c r="A68" s="147">
        <v>16</v>
      </c>
      <c r="B68" s="148" t="s">
        <v>96</v>
      </c>
      <c r="C68" s="566">
        <f t="shared" ca="1" si="44"/>
        <v>240110</v>
      </c>
      <c r="D68" s="567">
        <f t="shared" ca="1" si="94"/>
        <v>240110</v>
      </c>
      <c r="E68" s="329">
        <f ca="1">IFERROR(__xludf.DUMMYFUNCTION("IMPORTRANGE(""https://docs.google.com/spreadsheets/d/1-uDff_7J0KD5mKrp0Vvzr7lt3OU09vwQwhkpOPPYv2Y/edit?usp=sharing"",""งบพรบ!IP68"")"),0)</f>
        <v>0</v>
      </c>
      <c r="F68" s="329">
        <f ca="1">IFERROR(__xludf.DUMMYFUNCTION("IMPORTRANGE(""https://docs.google.com/spreadsheets/d/1-uDff_7J0KD5mKrp0Vvzr7lt3OU09vwQwhkpOPPYv2Y/edit?usp=sharing"",""งบพรบ!IQ68"")"),240110)</f>
        <v>240110</v>
      </c>
      <c r="G68" s="329">
        <f ca="1">IFERROR(__xludf.DUMMYFUNCTION("IMPORTRANGE(""https://docs.google.com/spreadsheets/d/1-uDff_7J0KD5mKrp0Vvzr7lt3OU09vwQwhkpOPPYv2Y/edit?usp=sharing"",""งบพรบ!IR68"")"),0)</f>
        <v>0</v>
      </c>
      <c r="H68" s="329">
        <f ca="1">IFERROR(__xludf.DUMMYFUNCTION("IMPORTRANGE(""https://docs.google.com/spreadsheets/d/1-uDff_7J0KD5mKrp0Vvzr7lt3OU09vwQwhkpOPPYv2Y/edit?usp=sharing"",""งบพรบ!IT68"")"),240110)</f>
        <v>240110</v>
      </c>
      <c r="I68" s="329">
        <f ca="1">IFERROR(__xludf.DUMMYFUNCTION("IMPORTRANGE(""https://docs.google.com/spreadsheets/d/1-uDff_7J0KD5mKrp0Vvzr7lt3OU09vwQwhkpOPPYv2Y/edit?usp=sharing"",""งบพรบ!IU68"")"),0)</f>
        <v>0</v>
      </c>
      <c r="J68" s="329">
        <f t="shared" ca="1" si="46"/>
        <v>166472.17000000001</v>
      </c>
      <c r="K68" s="568">
        <f t="shared" ca="1" si="47"/>
        <v>69.331627170880026</v>
      </c>
      <c r="L68" s="329">
        <f ca="1">IFERROR(__xludf.DUMMYFUNCTION("IMPORTRANGE(""https://docs.google.com/spreadsheets/d/1-uDff_7J0KD5mKrp0Vvzr7lt3OU09vwQwhkpOPPYv2Y/edit?usp=sharing"",""งบพรบ!IV68"")"),166472.17)</f>
        <v>166472.17000000001</v>
      </c>
      <c r="M68" s="330">
        <f t="shared" ca="1" si="48"/>
        <v>69.331627170880026</v>
      </c>
      <c r="N68" s="330">
        <f t="shared" ca="1" si="49"/>
        <v>69.331627170880026</v>
      </c>
      <c r="O68" s="569">
        <f ca="1">IFERROR(__xludf.DUMMYFUNCTION("IMPORTRANGE(""https://docs.google.com/spreadsheets/d/1-uDff_7J0KD5mKrp0Vvzr7lt3OU09vwQwhkpOPPYv2Y/edit?usp=sharing"",""งบพรบ!IW68"")"),0)</f>
        <v>0</v>
      </c>
      <c r="P68" s="569">
        <f t="shared" ca="1" si="50"/>
        <v>0</v>
      </c>
      <c r="Q68" s="330">
        <f t="shared" ca="1" si="51"/>
        <v>0</v>
      </c>
      <c r="R68" s="564">
        <f ca="1">IFERROR(__xludf.DUMMYFUNCTION("IMPORTRANGE(""https://docs.google.com/spreadsheets/d/1lufeA2cfFqM-elVq2hznhDzC6Pr7wkJ9ZG_sYNGCMCU/edit?usp=sharing"",""ลพบุรี!Q413"")"),20120)</f>
        <v>20120</v>
      </c>
      <c r="S68" s="564">
        <f ca="1">IFERROR(__xludf.DUMMYFUNCTION("IMPORTRANGE(""https://docs.google.com/spreadsheets/d/1lufeA2cfFqM-elVq2hznhDzC6Pr7wkJ9ZG_sYNGCMCU/edit?usp=sharing"",""ลพบุรี!R413"")"),20120)</f>
        <v>20120</v>
      </c>
      <c r="T68" s="564">
        <f ca="1">IFERROR(__xludf.DUMMYFUNCTION("IMPORTRANGE(""https://docs.google.com/spreadsheets/d/1lufeA2cfFqM-elVq2hznhDzC6Pr7wkJ9ZG_sYNGCMCU/edit?usp=sharing"",""ลพบุรี!S413"")"),4500)</f>
        <v>4500</v>
      </c>
      <c r="U68" s="565">
        <f t="shared" ca="1" si="53"/>
        <v>22.365805168986082</v>
      </c>
      <c r="V68" s="565">
        <f t="shared" ca="1" si="54"/>
        <v>22.365805168986082</v>
      </c>
      <c r="W68" s="152">
        <f ca="1">IFERROR(__xludf.DUMMYFUNCTION("IMPORTRANGE(""https://docs.google.com/spreadsheets/d/1lufeA2cfFqM-elVq2hznhDzC6Pr7wkJ9ZG_sYNGCMCU/edit?usp=sharing"",""ลพบุรี!I424"")"),0)</f>
        <v>0</v>
      </c>
      <c r="X68" s="152">
        <f ca="1">IFERROR(__xludf.DUMMYFUNCTION("IMPORTRANGE(""https://docs.google.com/spreadsheets/d/1lufeA2cfFqM-elVq2hznhDzC6Pr7wkJ9ZG_sYNGCMCU/edit?usp=sharing"",""ลพบุรี!I425"")"),0)</f>
        <v>0</v>
      </c>
      <c r="Y68" s="152">
        <f ca="1">IFERROR(__xludf.DUMMYFUNCTION("IMPORTRANGE(""https://docs.google.com/spreadsheets/d/1lufeA2cfFqM-elVq2hznhDzC6Pr7wkJ9ZG_sYNGCMCU/edit?usp=sharing"",""ลพบุรี!J424"")"),0)</f>
        <v>0</v>
      </c>
      <c r="Z68" s="216">
        <f t="shared" ca="1" si="56"/>
        <v>0</v>
      </c>
      <c r="AA68" s="152">
        <f ca="1">IFERROR(__xludf.DUMMYFUNCTION("IMPORTRANGE(""https://docs.google.com/spreadsheets/d/1lufeA2cfFqM-elVq2hznhDzC6Pr7wkJ9ZG_sYNGCMCU/edit?usp=sharing"",""ลพบุรี!J425"")"),0)</f>
        <v>0</v>
      </c>
      <c r="AB68" s="216">
        <f t="shared" ca="1" si="57"/>
        <v>0</v>
      </c>
      <c r="AC68" s="152">
        <f ca="1">IFERROR(__xludf.DUMMYFUNCTION("IMPORTRANGE(""https://docs.google.com/spreadsheets/d/1lufeA2cfFqM-elVq2hznhDzC6Pr7wkJ9ZG_sYNGCMCU/edit?usp=sharing"",""ลพบุรี!J426"")"),0)</f>
        <v>0</v>
      </c>
      <c r="AD68" s="152">
        <f ca="1">IFERROR(__xludf.DUMMYFUNCTION("IMPORTRANGE(""https://docs.google.com/spreadsheets/d/1lufeA2cfFqM-elVq2hznhDzC6Pr7wkJ9ZG_sYNGCMCU/edit?usp=sharing"",""ลพบุรี!J427"")"),0)</f>
        <v>0</v>
      </c>
      <c r="AE68" s="152">
        <f ca="1">IFERROR(__xludf.DUMMYFUNCTION("IMPORTRANGE(""https://docs.google.com/spreadsheets/d/1lufeA2cfFqM-elVq2hznhDzC6Pr7wkJ9ZG_sYNGCMCU/edit?usp=sharing"",""ลพบุรี!J428"")"),0)</f>
        <v>0</v>
      </c>
      <c r="AF68" s="152">
        <f ca="1">IFERROR(__xludf.DUMMYFUNCTION("IMPORTRANGE(""https://docs.google.com/spreadsheets/d/1lufeA2cfFqM-elVq2hznhDzC6Pr7wkJ9ZG_sYNGCMCU/edit?usp=sharing"",""ลพบุรี!J429"")"),0)</f>
        <v>0</v>
      </c>
      <c r="AG68" s="152">
        <f ca="1">IFERROR(__xludf.DUMMYFUNCTION("IMPORTRANGE(""https://docs.google.com/spreadsheets/d/1lufeA2cfFqM-elVq2hznhDzC6Pr7wkJ9ZG_sYNGCMCU/edit?usp=sharing"",""ลพบุรี!J430"")"),0)</f>
        <v>0</v>
      </c>
      <c r="AH68" s="152">
        <f ca="1">IFERROR(__xludf.DUMMYFUNCTION("IMPORTRANGE(""https://docs.google.com/spreadsheets/d/1lufeA2cfFqM-elVq2hznhDzC6Pr7wkJ9ZG_sYNGCMCU/edit?usp=sharing"",""ลพบุรี!J431"")"),0)</f>
        <v>0</v>
      </c>
      <c r="AI68" s="152">
        <f ca="1">IFERROR(__xludf.DUMMYFUNCTION("IMPORTRANGE(""https://docs.google.com/spreadsheets/d/1lufeA2cfFqM-elVq2hznhDzC6Pr7wkJ9ZG_sYNGCMCU/edit?usp=sharing"",""ลพบุรี!I432"")"),0)</f>
        <v>0</v>
      </c>
      <c r="AJ68" s="152">
        <f ca="1">IFERROR(__xludf.DUMMYFUNCTION("IMPORTRANGE(""https://docs.google.com/spreadsheets/d/1lufeA2cfFqM-elVq2hznhDzC6Pr7wkJ9ZG_sYNGCMCU/edit?usp=sharing"",""ลพบุรี!I433"")"),0)</f>
        <v>0</v>
      </c>
      <c r="AK68" s="216">
        <f ca="1">IFERROR(__xludf.DUMMYFUNCTION("IMPORTRANGE(""https://docs.google.com/spreadsheets/d/1lufeA2cfFqM-elVq2hznhDzC6Pr7wkJ9ZG_sYNGCMCU/edit?usp=sharing"",""ลพบุรี!J432"")"),0)</f>
        <v>0</v>
      </c>
      <c r="AL68" s="216">
        <f t="shared" ca="1" si="59"/>
        <v>0</v>
      </c>
      <c r="AM68" s="152">
        <f ca="1">IFERROR(__xludf.DUMMYFUNCTION("IMPORTRANGE(""https://docs.google.com/spreadsheets/d/1lufeA2cfFqM-elVq2hznhDzC6Pr7wkJ9ZG_sYNGCMCU/edit?usp=sharing"",""ลพบุรี!J433"")"),0)</f>
        <v>0</v>
      </c>
      <c r="AN68" s="216">
        <f t="shared" ca="1" si="60"/>
        <v>0</v>
      </c>
      <c r="AO68" s="152">
        <f ca="1">IFERROR(__xludf.DUMMYFUNCTION("IMPORTRANGE(""https://docs.google.com/spreadsheets/d/1lufeA2cfFqM-elVq2hznhDzC6Pr7wkJ9ZG_sYNGCMCU/edit?usp=sharing"",""ลพบุรี!J434"")"),0)</f>
        <v>0</v>
      </c>
      <c r="AP68" s="152">
        <f ca="1">IFERROR(__xludf.DUMMYFUNCTION("IMPORTRANGE(""https://docs.google.com/spreadsheets/d/1lufeA2cfFqM-elVq2hznhDzC6Pr7wkJ9ZG_sYNGCMCU/edit?usp=sharing"",""ลพบุรี!J435"")"),0)</f>
        <v>0</v>
      </c>
      <c r="AQ68" s="152">
        <f ca="1">IFERROR(__xludf.DUMMYFUNCTION("IMPORTRANGE(""https://docs.google.com/spreadsheets/d/1lufeA2cfFqM-elVq2hznhDzC6Pr7wkJ9ZG_sYNGCMCU/edit?usp=sharing"",""ลพบุรี!J436"")"),0)</f>
        <v>0</v>
      </c>
      <c r="AR68" s="152">
        <f ca="1">IFERROR(__xludf.DUMMYFUNCTION("IMPORTRANGE(""https://docs.google.com/spreadsheets/d/1lufeA2cfFqM-elVq2hznhDzC6Pr7wkJ9ZG_sYNGCMCU/edit?usp=sharing"",""ลพบุรี!J437"")"),0)</f>
        <v>0</v>
      </c>
      <c r="AS68" s="152">
        <f ca="1">IFERROR(__xludf.DUMMYFUNCTION("IMPORTRANGE(""https://docs.google.com/spreadsheets/d/1lufeA2cfFqM-elVq2hznhDzC6Pr7wkJ9ZG_sYNGCMCU/edit?usp=sharing"",""ลพบุรี!J438"")"),0)</f>
        <v>0</v>
      </c>
      <c r="AT68" s="152">
        <f ca="1">IFERROR(__xludf.DUMMYFUNCTION("IMPORTRANGE(""https://docs.google.com/spreadsheets/d/1lufeA2cfFqM-elVq2hznhDzC6Pr7wkJ9ZG_sYNGCMCU/edit?usp=sharing"",""ลพบุรี!J439"")"),0)</f>
        <v>0</v>
      </c>
      <c r="AU68" s="152">
        <f ca="1">IFERROR(__xludf.DUMMYFUNCTION("IMPORTRANGE(""https://docs.google.com/spreadsheets/d/1lufeA2cfFqM-elVq2hznhDzC6Pr7wkJ9ZG_sYNGCMCU/edit?usp=sharing"",""ลพบุรี!I440"")"),0)</f>
        <v>0</v>
      </c>
      <c r="AV68" s="152">
        <f ca="1">IFERROR(__xludf.DUMMYFUNCTION("IMPORTRANGE(""https://docs.google.com/spreadsheets/d/1lufeA2cfFqM-elVq2hznhDzC6Pr7wkJ9ZG_sYNGCMCU/edit?usp=sharing"",""ลพบุรี!I441"")"),0)</f>
        <v>0</v>
      </c>
      <c r="AW68" s="152">
        <f ca="1">IFERROR(__xludf.DUMMYFUNCTION("IMPORTRANGE(""https://docs.google.com/spreadsheets/d/1lufeA2cfFqM-elVq2hznhDzC6Pr7wkJ9ZG_sYNGCMCU/edit?usp=sharing"",""ลพบุรี!J440"")"),0)</f>
        <v>0</v>
      </c>
      <c r="AX68" s="216">
        <f t="shared" ca="1" si="62"/>
        <v>0</v>
      </c>
      <c r="AY68" s="152">
        <f ca="1">IFERROR(__xludf.DUMMYFUNCTION("IMPORTRANGE(""https://docs.google.com/spreadsheets/d/1lufeA2cfFqM-elVq2hznhDzC6Pr7wkJ9ZG_sYNGCMCU/edit?usp=sharing"",""ลพบุรี!J441"")"),0)</f>
        <v>0</v>
      </c>
      <c r="AZ68" s="216">
        <f t="shared" ca="1" si="63"/>
        <v>0</v>
      </c>
      <c r="BA68" s="152">
        <f ca="1">IFERROR(__xludf.DUMMYFUNCTION("IMPORTRANGE(""https://docs.google.com/spreadsheets/d/1lufeA2cfFqM-elVq2hznhDzC6Pr7wkJ9ZG_sYNGCMCU/edit?usp=sharing"",""ลพบุรี!J442"")"),0)</f>
        <v>0</v>
      </c>
      <c r="BB68" s="152">
        <f ca="1">IFERROR(__xludf.DUMMYFUNCTION("IMPORTRANGE(""https://docs.google.com/spreadsheets/d/1lufeA2cfFqM-elVq2hznhDzC6Pr7wkJ9ZG_sYNGCMCU/edit?usp=sharing"",""ลพบุรี!J443"")"),0)</f>
        <v>0</v>
      </c>
      <c r="BC68" s="152">
        <f ca="1">IFERROR(__xludf.DUMMYFUNCTION("IMPORTRANGE(""https://docs.google.com/spreadsheets/d/1lufeA2cfFqM-elVq2hznhDzC6Pr7wkJ9ZG_sYNGCMCU/edit?usp=sharing"",""ลพบุรี!J444"")"),0)</f>
        <v>0</v>
      </c>
      <c r="BD68" s="152">
        <f ca="1">IFERROR(__xludf.DUMMYFUNCTION("IMPORTRANGE(""https://docs.google.com/spreadsheets/d/1lufeA2cfFqM-elVq2hznhDzC6Pr7wkJ9ZG_sYNGCMCU/edit?usp=sharing"",""ลพบุรี!J445"")"),0)</f>
        <v>0</v>
      </c>
      <c r="BE68" s="152">
        <f ca="1">IFERROR(__xludf.DUMMYFUNCTION("IMPORTRANGE(""https://docs.google.com/spreadsheets/d/1lufeA2cfFqM-elVq2hznhDzC6Pr7wkJ9ZG_sYNGCMCU/edit?usp=sharing"",""ลพบุรี!J446"")"),0)</f>
        <v>0</v>
      </c>
      <c r="BF68" s="152">
        <f ca="1">IFERROR(__xludf.DUMMYFUNCTION("IMPORTRANGE(""https://docs.google.com/spreadsheets/d/1lufeA2cfFqM-elVq2hznhDzC6Pr7wkJ9ZG_sYNGCMCU/edit?usp=sharing"",""ลพบุรี!J447"")"),0)</f>
        <v>0</v>
      </c>
      <c r="BG68" s="152">
        <f ca="1">IFERROR(__xludf.DUMMYFUNCTION("IMPORTRANGE(""https://docs.google.com/spreadsheets/d/1lufeA2cfFqM-elVq2hznhDzC6Pr7wkJ9ZG_sYNGCMCU/edit?usp=sharing"",""ลพบุรี!J448"")"),0)</f>
        <v>0</v>
      </c>
      <c r="BH68" s="152">
        <f ca="1">IFERROR(__xludf.DUMMYFUNCTION("IMPORTRANGE(""https://docs.google.com/spreadsheets/d/1lufeA2cfFqM-elVq2hznhDzC6Pr7wkJ9ZG_sYNGCMCU/edit?usp=sharing"",""ลพบุรี!J449"")"),0)</f>
        <v>0</v>
      </c>
      <c r="BI68" s="152">
        <f ca="1">IFERROR(__xludf.DUMMYFUNCTION("IMPORTRANGE(""https://docs.google.com/spreadsheets/d/1lufeA2cfFqM-elVq2hznhDzC6Pr7wkJ9ZG_sYNGCMCU/edit?usp=sharing"",""ลพบุรี!J450"")"),0)</f>
        <v>0</v>
      </c>
      <c r="BJ68" s="152">
        <f ca="1">IFERROR(__xludf.DUMMYFUNCTION("IMPORTRANGE(""https://docs.google.com/spreadsheets/d/1lufeA2cfFqM-elVq2hznhDzC6Pr7wkJ9ZG_sYNGCMCU/edit?usp=sharing"",""ลพบุรี!J451"")"),0)</f>
        <v>0</v>
      </c>
      <c r="BK68" s="152">
        <f ca="1">IFERROR(__xludf.DUMMYFUNCTION("IMPORTRANGE(""https://docs.google.com/spreadsheets/d/1lufeA2cfFqM-elVq2hznhDzC6Pr7wkJ9ZG_sYNGCMCU/edit?usp=sharing"",""ลพบุรี!J452"")"),0)</f>
        <v>0</v>
      </c>
      <c r="BL68" s="152">
        <f ca="1">IFERROR(__xludf.DUMMYFUNCTION("IMPORTRANGE(""https://docs.google.com/spreadsheets/d/1lufeA2cfFqM-elVq2hznhDzC6Pr7wkJ9ZG_sYNGCMCU/edit?usp=sharing"",""ลพบุรี!J453"")"),0)</f>
        <v>0</v>
      </c>
      <c r="BM68" s="152">
        <f ca="1">IFERROR(__xludf.DUMMYFUNCTION("IMPORTRANGE(""https://docs.google.com/spreadsheets/d/1lufeA2cfFqM-elVq2hznhDzC6Pr7wkJ9ZG_sYNGCMCU/edit?usp=sharing"",""ลพบุรี!J454"")"),0)</f>
        <v>0</v>
      </c>
      <c r="BN68" s="152">
        <f ca="1">IFERROR(__xludf.DUMMYFUNCTION("IMPORTRANGE(""https://docs.google.com/spreadsheets/d/1lufeA2cfFqM-elVq2hznhDzC6Pr7wkJ9ZG_sYNGCMCU/edit?usp=sharing"",""ลพบุรี!J455"")"),0)</f>
        <v>0</v>
      </c>
      <c r="BO68" s="152">
        <f ca="1">IFERROR(__xludf.DUMMYFUNCTION("IMPORTRANGE(""https://docs.google.com/spreadsheets/d/1lufeA2cfFqM-elVq2hznhDzC6Pr7wkJ9ZG_sYNGCMCU/edit?usp=sharing"",""ลพบุรี!I457"")"),8882.21)</f>
        <v>8882.2099999999991</v>
      </c>
      <c r="BP68" s="152">
        <f ca="1">IFERROR(__xludf.DUMMYFUNCTION("IMPORTRANGE(""https://docs.google.com/spreadsheets/d/1lufeA2cfFqM-elVq2hznhDzC6Pr7wkJ9ZG_sYNGCMCU/edit?usp=sharing"",""ลพบุรี!I458"")"),711)</f>
        <v>711</v>
      </c>
      <c r="BQ68" s="152">
        <f ca="1">IFERROR(__xludf.DUMMYFUNCTION("IMPORTRANGE(""https://docs.google.com/spreadsheets/d/1lufeA2cfFqM-elVq2hznhDzC6Pr7wkJ9ZG_sYNGCMCU/edit?usp=sharing"",""ลพบุรี!J457"")"),0)</f>
        <v>0</v>
      </c>
      <c r="BR68" s="216">
        <f t="shared" ca="1" si="65"/>
        <v>0</v>
      </c>
      <c r="BS68" s="152">
        <f ca="1">IFERROR(__xludf.DUMMYFUNCTION("IMPORTRANGE(""https://docs.google.com/spreadsheets/d/1lufeA2cfFqM-elVq2hznhDzC6Pr7wkJ9ZG_sYNGCMCU/edit?usp=sharing"",""ลพบุรี!J458"")"),0)</f>
        <v>0</v>
      </c>
      <c r="BT68" s="216">
        <f t="shared" ca="1" si="66"/>
        <v>0</v>
      </c>
      <c r="BU68" s="152">
        <f ca="1">IFERROR(__xludf.DUMMYFUNCTION("IMPORTRANGE(""https://docs.google.com/spreadsheets/d/1lufeA2cfFqM-elVq2hznhDzC6Pr7wkJ9ZG_sYNGCMCU/edit?usp=sharing"",""ลพบุรี!J459"")"),0)</f>
        <v>0</v>
      </c>
      <c r="BV68" s="152">
        <f ca="1">IFERROR(__xludf.DUMMYFUNCTION("IMPORTRANGE(""https://docs.google.com/spreadsheets/d/1lufeA2cfFqM-elVq2hznhDzC6Pr7wkJ9ZG_sYNGCMCU/edit?usp=sharing"",""ลพบุรี!J460"")"),0)</f>
        <v>0</v>
      </c>
      <c r="BW68" s="152">
        <f ca="1">IFERROR(__xludf.DUMMYFUNCTION("IMPORTRANGE(""https://docs.google.com/spreadsheets/d/1lufeA2cfFqM-elVq2hznhDzC6Pr7wkJ9ZG_sYNGCMCU/edit?usp=sharing"",""ลพบุรี!J461"")"),0)</f>
        <v>0</v>
      </c>
      <c r="BX68" s="152">
        <f ca="1">IFERROR(__xludf.DUMMYFUNCTION("IMPORTRANGE(""https://docs.google.com/spreadsheets/d/1lufeA2cfFqM-elVq2hznhDzC6Pr7wkJ9ZG_sYNGCMCU/edit?usp=sharing"",""ลพบุรี!J462"")"),0)</f>
        <v>0</v>
      </c>
      <c r="BY68" s="152">
        <f ca="1">IFERROR(__xludf.DUMMYFUNCTION("IMPORTRANGE(""https://docs.google.com/spreadsheets/d/1lufeA2cfFqM-elVq2hznhDzC6Pr7wkJ9ZG_sYNGCMCU/edit?usp=sharing"",""ลพบุรี!J463"")"),0)</f>
        <v>0</v>
      </c>
      <c r="BZ68" s="152">
        <f ca="1">IFERROR(__xludf.DUMMYFUNCTION("IMPORTRANGE(""https://docs.google.com/spreadsheets/d/1lufeA2cfFqM-elVq2hznhDzC6Pr7wkJ9ZG_sYNGCMCU/edit?usp=sharing"",""ลพบุรี!J464"")"),0)</f>
        <v>0</v>
      </c>
      <c r="CA68" s="152">
        <f ca="1">IFERROR(__xludf.DUMMYFUNCTION("IMPORTRANGE(""https://docs.google.com/spreadsheets/d/1lufeA2cfFqM-elVq2hznhDzC6Pr7wkJ9ZG_sYNGCMCU/edit?usp=sharing"",""ลพบุรี!J465"")"),0)</f>
        <v>0</v>
      </c>
      <c r="CB68" s="152">
        <f ca="1">IFERROR(__xludf.DUMMYFUNCTION("IMPORTRANGE(""https://docs.google.com/spreadsheets/d/1lufeA2cfFqM-elVq2hznhDzC6Pr7wkJ9ZG_sYNGCMCU/edit?usp=sharing"",""ลพบุรี!J466"")"),0)</f>
        <v>0</v>
      </c>
      <c r="CC68" s="152">
        <f ca="1">IFERROR(__xludf.DUMMYFUNCTION("IMPORTRANGE(""https://docs.google.com/spreadsheets/d/1lufeA2cfFqM-elVq2hznhDzC6Pr7wkJ9ZG_sYNGCMCU/edit?usp=sharing"",""ลพบุรี!J467"")"),0)</f>
        <v>0</v>
      </c>
      <c r="CD68" s="152">
        <f ca="1">IFERROR(__xludf.DUMMYFUNCTION("IMPORTRANGE(""https://docs.google.com/spreadsheets/d/1lufeA2cfFqM-elVq2hznhDzC6Pr7wkJ9ZG_sYNGCMCU/edit?usp=sharing"",""ลพบุรี!J468"")"),0)</f>
        <v>0</v>
      </c>
      <c r="CE68" s="152">
        <f ca="1">IFERROR(__xludf.DUMMYFUNCTION("IMPORTRANGE(""https://docs.google.com/spreadsheets/d/1lufeA2cfFqM-elVq2hznhDzC6Pr7wkJ9ZG_sYNGCMCU/edit?usp=sharing"",""ลพบุรี!J469"")"),0)</f>
        <v>0</v>
      </c>
      <c r="CF68" s="152">
        <f ca="1">IFERROR(__xludf.DUMMYFUNCTION("IMPORTRANGE(""https://docs.google.com/spreadsheets/d/1lufeA2cfFqM-elVq2hznhDzC6Pr7wkJ9ZG_sYNGCMCU/edit?usp=sharing"",""ลพบุรี!J470"")"),0)</f>
        <v>0</v>
      </c>
      <c r="CG68" s="152">
        <f ca="1">IFERROR(__xludf.DUMMYFUNCTION("IMPORTRANGE(""https://docs.google.com/spreadsheets/d/1lufeA2cfFqM-elVq2hznhDzC6Pr7wkJ9ZG_sYNGCMCU/edit?usp=sharing"",""ลพบุรี!J471"")"),0)</f>
        <v>0</v>
      </c>
      <c r="CH68" s="152">
        <f ca="1">IFERROR(__xludf.DUMMYFUNCTION("IMPORTRANGE(""https://docs.google.com/spreadsheets/d/1lufeA2cfFqM-elVq2hznhDzC6Pr7wkJ9ZG_sYNGCMCU/edit?usp=sharing"",""ลพบุรี!J472"")"),0)</f>
        <v>0</v>
      </c>
      <c r="CI68" s="152">
        <f ca="1">IFERROR(__xludf.DUMMYFUNCTION("IMPORTRANGE(""https://docs.google.com/spreadsheets/d/1lufeA2cfFqM-elVq2hznhDzC6Pr7wkJ9ZG_sYNGCMCU/edit?usp=sharing"",""ลพบุรี!J473"")"),0)</f>
        <v>0</v>
      </c>
      <c r="CJ68" s="152">
        <f ca="1">IFERROR(__xludf.DUMMYFUNCTION("IMPORTRANGE(""https://docs.google.com/spreadsheets/d/1lufeA2cfFqM-elVq2hznhDzC6Pr7wkJ9ZG_sYNGCMCU/edit?usp=sharing"",""ลพบุรี!J474"")"),0)</f>
        <v>0</v>
      </c>
      <c r="CK68" s="278">
        <f ca="1">IFERROR(__xludf.DUMMYFUNCTION("IMPORTRANGE(""https://docs.google.com/spreadsheets/d/1lufeA2cfFqM-elVq2hznhDzC6Pr7wkJ9ZG_sYNGCMCU/edit?usp=sharing"",""ลพบุรี!I476"")"),0)</f>
        <v>0</v>
      </c>
      <c r="CL68" s="278">
        <f ca="1">IFERROR(__xludf.DUMMYFUNCTION("IMPORTRANGE(""https://docs.google.com/spreadsheets/d/1lufeA2cfFqM-elVq2hznhDzC6Pr7wkJ9ZG_sYNGCMCU/edit?usp=sharing"",""ลพบุรี!I477"")"),0)</f>
        <v>0</v>
      </c>
      <c r="CM68" s="278">
        <f ca="1">IFERROR(__xludf.DUMMYFUNCTION("IMPORTRANGE(""https://docs.google.com/spreadsheets/d/1lufeA2cfFqM-elVq2hznhDzC6Pr7wkJ9ZG_sYNGCMCU/edit?usp=sharing"",""ลพบุรี!J476"")"),0)</f>
        <v>0</v>
      </c>
      <c r="CN68" s="216">
        <f t="shared" ca="1" si="68"/>
        <v>0</v>
      </c>
      <c r="CO68" s="278">
        <f ca="1">IFERROR(__xludf.DUMMYFUNCTION("IMPORTRANGE(""https://docs.google.com/spreadsheets/d/1lufeA2cfFqM-elVq2hznhDzC6Pr7wkJ9ZG_sYNGCMCU/edit?usp=sharing"",""ลพบุรี!J477"")"),0)</f>
        <v>0</v>
      </c>
      <c r="CP68" s="216">
        <f t="shared" ca="1" si="69"/>
        <v>0</v>
      </c>
      <c r="CQ68" s="278">
        <f ca="1">IFERROR(__xludf.DUMMYFUNCTION("IMPORTRANGE(""https://docs.google.com/spreadsheets/d/1lufeA2cfFqM-elVq2hznhDzC6Pr7wkJ9ZG_sYNGCMCU/edit?usp=sharing"",""ลพบุรี!J478"")"),0)</f>
        <v>0</v>
      </c>
      <c r="CR68" s="278">
        <f ca="1">IFERROR(__xludf.DUMMYFUNCTION("IMPORTRANGE(""https://docs.google.com/spreadsheets/d/1lufeA2cfFqM-elVq2hznhDzC6Pr7wkJ9ZG_sYNGCMCU/edit?usp=sharing"",""ลพบุรี!J479"")"),0)</f>
        <v>0</v>
      </c>
      <c r="CS68" s="278">
        <f ca="1">IFERROR(__xludf.DUMMYFUNCTION("IMPORTRANGE(""https://docs.google.com/spreadsheets/d/1lufeA2cfFqM-elVq2hznhDzC6Pr7wkJ9ZG_sYNGCMCU/edit?usp=sharing"",""ลพบุรี!J480"")"),0)</f>
        <v>0</v>
      </c>
      <c r="CT68" s="278">
        <f ca="1">IFERROR(__xludf.DUMMYFUNCTION("IMPORTRANGE(""https://docs.google.com/spreadsheets/d/1lufeA2cfFqM-elVq2hznhDzC6Pr7wkJ9ZG_sYNGCMCU/edit?usp=sharing"",""ลพบุรี!J481"")"),0)</f>
        <v>0</v>
      </c>
      <c r="CU68" s="278">
        <f ca="1">IFERROR(__xludf.DUMMYFUNCTION("IMPORTRANGE(""https://docs.google.com/spreadsheets/d/1lufeA2cfFqM-elVq2hznhDzC6Pr7wkJ9ZG_sYNGCMCU/edit?usp=sharing"",""ลพบุรี!I484"")"),0)</f>
        <v>0</v>
      </c>
      <c r="CV68" s="278">
        <f ca="1">IFERROR(__xludf.DUMMYFUNCTION("IMPORTRANGE(""https://docs.google.com/spreadsheets/d/1lufeA2cfFqM-elVq2hznhDzC6Pr7wkJ9ZG_sYNGCMCU/edit?usp=sharing"",""ลพบุรี!I485"")"),0)</f>
        <v>0</v>
      </c>
      <c r="CW68" s="278">
        <f ca="1">IFERROR(__xludf.DUMMYFUNCTION("IMPORTRANGE(""https://docs.google.com/spreadsheets/d/1lufeA2cfFqM-elVq2hznhDzC6Pr7wkJ9ZG_sYNGCMCU/edit?usp=sharing"",""ลพบุรี!J484"")"),0)</f>
        <v>0</v>
      </c>
      <c r="CX68" s="216">
        <f t="shared" ca="1" si="71"/>
        <v>0</v>
      </c>
      <c r="CY68" s="278">
        <f ca="1">IFERROR(__xludf.DUMMYFUNCTION("IMPORTRANGE(""https://docs.google.com/spreadsheets/d/1lufeA2cfFqM-elVq2hznhDzC6Pr7wkJ9ZG_sYNGCMCU/edit?usp=sharing"",""ลพบุรี!J485"")"),0)</f>
        <v>0</v>
      </c>
      <c r="CZ68" s="216">
        <f t="shared" ca="1" si="72"/>
        <v>0</v>
      </c>
      <c r="DA68" s="278">
        <f ca="1">IFERROR(__xludf.DUMMYFUNCTION("IMPORTRANGE(""https://docs.google.com/spreadsheets/d/1lufeA2cfFqM-elVq2hznhDzC6Pr7wkJ9ZG_sYNGCMCU/edit?usp=sharing"",""ลพบุรี!J486"")"),0)</f>
        <v>0</v>
      </c>
      <c r="DB68" s="278">
        <f ca="1">IFERROR(__xludf.DUMMYFUNCTION("IMPORTRANGE(""https://docs.google.com/spreadsheets/d/1lufeA2cfFqM-elVq2hznhDzC6Pr7wkJ9ZG_sYNGCMCU/edit?usp=sharing"",""ลพบุรี!J487"")"),0)</f>
        <v>0</v>
      </c>
      <c r="DC68" s="278">
        <f ca="1">IFERROR(__xludf.DUMMYFUNCTION("IMPORTRANGE(""https://docs.google.com/spreadsheets/d/1lufeA2cfFqM-elVq2hznhDzC6Pr7wkJ9ZG_sYNGCMCU/edit?usp=sharing"",""ลพบุรี!J488"")"),0)</f>
        <v>0</v>
      </c>
      <c r="DD68" s="278">
        <f ca="1">IFERROR(__xludf.DUMMYFUNCTION("IMPORTRANGE(""https://docs.google.com/spreadsheets/d/1lufeA2cfFqM-elVq2hznhDzC6Pr7wkJ9ZG_sYNGCMCU/edit?usp=sharing"",""ลพบุรี!J489"")"),0)</f>
        <v>0</v>
      </c>
      <c r="DE68" s="278">
        <f ca="1">IFERROR(__xludf.DUMMYFUNCTION("IMPORTRANGE(""https://docs.google.com/spreadsheets/d/1lufeA2cfFqM-elVq2hznhDzC6Pr7wkJ9ZG_sYNGCMCU/edit?usp=sharing"",""ลพบุรี!J490"")"),0)</f>
        <v>0</v>
      </c>
      <c r="DF68" s="278">
        <f ca="1">IFERROR(__xludf.DUMMYFUNCTION("IMPORTRANGE(""https://docs.google.com/spreadsheets/d/1lufeA2cfFqM-elVq2hznhDzC6Pr7wkJ9ZG_sYNGCMCU/edit?usp=sharing"",""ลพบุรี!J491"")"),0)</f>
        <v>0</v>
      </c>
    </row>
    <row r="69" spans="1:110" ht="19.5" x14ac:dyDescent="0.3">
      <c r="A69" s="147">
        <v>17</v>
      </c>
      <c r="B69" s="148" t="s">
        <v>97</v>
      </c>
      <c r="C69" s="566">
        <f t="shared" ca="1" si="44"/>
        <v>481300</v>
      </c>
      <c r="D69" s="567">
        <f t="shared" ca="1" si="94"/>
        <v>481300</v>
      </c>
      <c r="E69" s="329">
        <f ca="1">IFERROR(__xludf.DUMMYFUNCTION("IMPORTRANGE(""https://docs.google.com/spreadsheets/d/1-uDff_7J0KD5mKrp0Vvzr7lt3OU09vwQwhkpOPPYv2Y/edit?usp=sharing"",""งบพรบ!IP69"")"),229900)</f>
        <v>229900</v>
      </c>
      <c r="F69" s="329">
        <f ca="1">IFERROR(__xludf.DUMMYFUNCTION("IMPORTRANGE(""https://docs.google.com/spreadsheets/d/1-uDff_7J0KD5mKrp0Vvzr7lt3OU09vwQwhkpOPPYv2Y/edit?usp=sharing"",""งบพรบ!IQ69"")"),251400)</f>
        <v>251400</v>
      </c>
      <c r="G69" s="329">
        <f ca="1">IFERROR(__xludf.DUMMYFUNCTION("IMPORTRANGE(""https://docs.google.com/spreadsheets/d/1-uDff_7J0KD5mKrp0Vvzr7lt3OU09vwQwhkpOPPYv2Y/edit?usp=sharing"",""งบพรบ!IR69"")"),0)</f>
        <v>0</v>
      </c>
      <c r="H69" s="329">
        <f ca="1">IFERROR(__xludf.DUMMYFUNCTION("IMPORTRANGE(""https://docs.google.com/spreadsheets/d/1-uDff_7J0KD5mKrp0Vvzr7lt3OU09vwQwhkpOPPYv2Y/edit?usp=sharing"",""งบพรบ!IT69"")"),481300)</f>
        <v>481300</v>
      </c>
      <c r="I69" s="329">
        <f ca="1">IFERROR(__xludf.DUMMYFUNCTION("IMPORTRANGE(""https://docs.google.com/spreadsheets/d/1-uDff_7J0KD5mKrp0Vvzr7lt3OU09vwQwhkpOPPYv2Y/edit?usp=sharing"",""งบพรบ!IU69"")"),0)</f>
        <v>0</v>
      </c>
      <c r="J69" s="329">
        <f t="shared" ca="1" si="46"/>
        <v>274815.13</v>
      </c>
      <c r="K69" s="568">
        <f t="shared" ca="1" si="47"/>
        <v>57.098510284645748</v>
      </c>
      <c r="L69" s="329">
        <f ca="1">IFERROR(__xludf.DUMMYFUNCTION("IMPORTRANGE(""https://docs.google.com/spreadsheets/d/1-uDff_7J0KD5mKrp0Vvzr7lt3OU09vwQwhkpOPPYv2Y/edit?usp=sharing"",""งบพรบ!IV69"")"),274815.13)</f>
        <v>274815.13</v>
      </c>
      <c r="M69" s="330">
        <f t="shared" ca="1" si="48"/>
        <v>57.098510284645748</v>
      </c>
      <c r="N69" s="330">
        <f t="shared" ca="1" si="49"/>
        <v>57.098510284645748</v>
      </c>
      <c r="O69" s="569">
        <f ca="1">IFERROR(__xludf.DUMMYFUNCTION("IMPORTRANGE(""https://docs.google.com/spreadsheets/d/1-uDff_7J0KD5mKrp0Vvzr7lt3OU09vwQwhkpOPPYv2Y/edit?usp=sharing"",""งบพรบ!IW69"")"),0)</f>
        <v>0</v>
      </c>
      <c r="P69" s="569">
        <f t="shared" ca="1" si="50"/>
        <v>0</v>
      </c>
      <c r="Q69" s="330">
        <f t="shared" ca="1" si="51"/>
        <v>0</v>
      </c>
      <c r="R69" s="564">
        <f ca="1">IFERROR(__xludf.DUMMYFUNCTION("IMPORTRANGE(""https://docs.google.com/spreadsheets/d/10oOiF7loTyfsTkbd4MpaIm0HQ9SwB7IYHdIUvt-U1Uc/edit?usp=sharing"",""สระแก้ว!Q413"")"),36920)</f>
        <v>36920</v>
      </c>
      <c r="S69" s="564">
        <f ca="1">IFERROR(__xludf.DUMMYFUNCTION("IMPORTRANGE(""https://docs.google.com/spreadsheets/d/10oOiF7loTyfsTkbd4MpaIm0HQ9SwB7IYHdIUvt-U1Uc/edit?usp=sharing"",""สระแก้ว!R413"")"),36920)</f>
        <v>36920</v>
      </c>
      <c r="T69" s="564">
        <f ca="1">IFERROR(__xludf.DUMMYFUNCTION("IMPORTRANGE(""https://docs.google.com/spreadsheets/d/10oOiF7loTyfsTkbd4MpaIm0HQ9SwB7IYHdIUvt-U1Uc/edit?usp=sharing"",""สระแก้ว!S413"")"),0)</f>
        <v>0</v>
      </c>
      <c r="U69" s="565">
        <f t="shared" ca="1" si="53"/>
        <v>0</v>
      </c>
      <c r="V69" s="565">
        <f t="shared" ca="1" si="54"/>
        <v>0</v>
      </c>
      <c r="W69" s="152">
        <f ca="1">IFERROR(__xludf.DUMMYFUNCTION("IMPORTRANGE(""https://docs.google.com/spreadsheets/d/10oOiF7loTyfsTkbd4MpaIm0HQ9SwB7IYHdIUvt-U1Uc/edit?usp=sharing"",""สระแก้ว!I424"")"),50092)</f>
        <v>50092</v>
      </c>
      <c r="X69" s="152">
        <f ca="1">IFERROR(__xludf.DUMMYFUNCTION("IMPORTRANGE(""https://docs.google.com/spreadsheets/d/10oOiF7loTyfsTkbd4MpaIm0HQ9SwB7IYHdIUvt-U1Uc/edit?usp=sharing"",""สระแก้ว!I425"")"),3536)</f>
        <v>3536</v>
      </c>
      <c r="Y69" s="152">
        <f ca="1">IFERROR(__xludf.DUMMYFUNCTION("IMPORTRANGE(""https://docs.google.com/spreadsheets/d/10oOiF7loTyfsTkbd4MpaIm0HQ9SwB7IYHdIUvt-U1Uc/edit?usp=sharing"",""สระแก้ว!J424"")"),0)</f>
        <v>0</v>
      </c>
      <c r="Z69" s="216">
        <f t="shared" ca="1" si="56"/>
        <v>0</v>
      </c>
      <c r="AA69" s="152">
        <f ca="1">IFERROR(__xludf.DUMMYFUNCTION("IMPORTRANGE(""https://docs.google.com/spreadsheets/d/10oOiF7loTyfsTkbd4MpaIm0HQ9SwB7IYHdIUvt-U1Uc/edit?usp=sharing"",""สระแก้ว!J425"")"),0)</f>
        <v>0</v>
      </c>
      <c r="AB69" s="216">
        <f t="shared" ca="1" si="57"/>
        <v>0</v>
      </c>
      <c r="AC69" s="152">
        <f ca="1">IFERROR(__xludf.DUMMYFUNCTION("IMPORTRANGE(""https://docs.google.com/spreadsheets/d/10oOiF7loTyfsTkbd4MpaIm0HQ9SwB7IYHdIUvt-U1Uc/edit?usp=sharing"",""สระแก้ว!J426"")"),0)</f>
        <v>0</v>
      </c>
      <c r="AD69" s="152">
        <f ca="1">IFERROR(__xludf.DUMMYFUNCTION("IMPORTRANGE(""https://docs.google.com/spreadsheets/d/10oOiF7loTyfsTkbd4MpaIm0HQ9SwB7IYHdIUvt-U1Uc/edit?usp=sharing"",""สระแก้ว!J427"")"),0)</f>
        <v>0</v>
      </c>
      <c r="AE69" s="152">
        <f ca="1">IFERROR(__xludf.DUMMYFUNCTION("IMPORTRANGE(""https://docs.google.com/spreadsheets/d/10oOiF7loTyfsTkbd4MpaIm0HQ9SwB7IYHdIUvt-U1Uc/edit?usp=sharing"",""สระแก้ว!J428"")"),0)</f>
        <v>0</v>
      </c>
      <c r="AF69" s="152">
        <f ca="1">IFERROR(__xludf.DUMMYFUNCTION("IMPORTRANGE(""https://docs.google.com/spreadsheets/d/10oOiF7loTyfsTkbd4MpaIm0HQ9SwB7IYHdIUvt-U1Uc/edit?usp=sharing"",""สระแก้ว!J429"")"),0)</f>
        <v>0</v>
      </c>
      <c r="AG69" s="152">
        <f ca="1">IFERROR(__xludf.DUMMYFUNCTION("IMPORTRANGE(""https://docs.google.com/spreadsheets/d/10oOiF7loTyfsTkbd4MpaIm0HQ9SwB7IYHdIUvt-U1Uc/edit?usp=sharing"",""สระแก้ว!J430"")"),0)</f>
        <v>0</v>
      </c>
      <c r="AH69" s="152">
        <f ca="1">IFERROR(__xludf.DUMMYFUNCTION("IMPORTRANGE(""https://docs.google.com/spreadsheets/d/10oOiF7loTyfsTkbd4MpaIm0HQ9SwB7IYHdIUvt-U1Uc/edit?usp=sharing"",""สระแก้ว!J431"")"),0)</f>
        <v>0</v>
      </c>
      <c r="AI69" s="152">
        <f ca="1">IFERROR(__xludf.DUMMYFUNCTION("IMPORTRANGE(""https://docs.google.com/spreadsheets/d/10oOiF7loTyfsTkbd4MpaIm0HQ9SwB7IYHdIUvt-U1Uc/edit?usp=sharing"",""สระแก้ว!I432"")"),50092)</f>
        <v>50092</v>
      </c>
      <c r="AJ69" s="152">
        <f ca="1">IFERROR(__xludf.DUMMYFUNCTION("IMPORTRANGE(""https://docs.google.com/spreadsheets/d/10oOiF7loTyfsTkbd4MpaIm0HQ9SwB7IYHdIUvt-U1Uc/edit?usp=sharing"",""สระแก้ว!I433"")"),3536)</f>
        <v>3536</v>
      </c>
      <c r="AK69" s="216">
        <f ca="1">IFERROR(__xludf.DUMMYFUNCTION("IMPORTRANGE(""https://docs.google.com/spreadsheets/d/10oOiF7loTyfsTkbd4MpaIm0HQ9SwB7IYHdIUvt-U1Uc/edit?usp=sharing"",""สระแก้ว!J432"")"),0)</f>
        <v>0</v>
      </c>
      <c r="AL69" s="216">
        <f t="shared" ca="1" si="59"/>
        <v>0</v>
      </c>
      <c r="AM69" s="152">
        <f ca="1">IFERROR(__xludf.DUMMYFUNCTION("IMPORTRANGE(""https://docs.google.com/spreadsheets/d/10oOiF7loTyfsTkbd4MpaIm0HQ9SwB7IYHdIUvt-U1Uc/edit?usp=sharing"",""สระแก้ว!J433"")"),0)</f>
        <v>0</v>
      </c>
      <c r="AN69" s="216">
        <f t="shared" ca="1" si="60"/>
        <v>0</v>
      </c>
      <c r="AO69" s="152">
        <f ca="1">IFERROR(__xludf.DUMMYFUNCTION("IMPORTRANGE(""https://docs.google.com/spreadsheets/d/10oOiF7loTyfsTkbd4MpaIm0HQ9SwB7IYHdIUvt-U1Uc/edit?usp=sharing"",""สระแก้ว!J434"")"),0)</f>
        <v>0</v>
      </c>
      <c r="AP69" s="152">
        <f ca="1">IFERROR(__xludf.DUMMYFUNCTION("IMPORTRANGE(""https://docs.google.com/spreadsheets/d/10oOiF7loTyfsTkbd4MpaIm0HQ9SwB7IYHdIUvt-U1Uc/edit?usp=sharing"",""สระแก้ว!J435"")"),0)</f>
        <v>0</v>
      </c>
      <c r="AQ69" s="152">
        <f ca="1">IFERROR(__xludf.DUMMYFUNCTION("IMPORTRANGE(""https://docs.google.com/spreadsheets/d/10oOiF7loTyfsTkbd4MpaIm0HQ9SwB7IYHdIUvt-U1Uc/edit?usp=sharing"",""สระแก้ว!J436"")"),0)</f>
        <v>0</v>
      </c>
      <c r="AR69" s="152">
        <f ca="1">IFERROR(__xludf.DUMMYFUNCTION("IMPORTRANGE(""https://docs.google.com/spreadsheets/d/10oOiF7loTyfsTkbd4MpaIm0HQ9SwB7IYHdIUvt-U1Uc/edit?usp=sharing"",""สระแก้ว!J437"")"),0)</f>
        <v>0</v>
      </c>
      <c r="AS69" s="152">
        <f ca="1">IFERROR(__xludf.DUMMYFUNCTION("IMPORTRANGE(""https://docs.google.com/spreadsheets/d/10oOiF7loTyfsTkbd4MpaIm0HQ9SwB7IYHdIUvt-U1Uc/edit?usp=sharing"",""สระแก้ว!J438"")"),0)</f>
        <v>0</v>
      </c>
      <c r="AT69" s="152">
        <f ca="1">IFERROR(__xludf.DUMMYFUNCTION("IMPORTRANGE(""https://docs.google.com/spreadsheets/d/10oOiF7loTyfsTkbd4MpaIm0HQ9SwB7IYHdIUvt-U1Uc/edit?usp=sharing"",""สระแก้ว!J439"")"),0)</f>
        <v>0</v>
      </c>
      <c r="AU69" s="152">
        <f ca="1">IFERROR(__xludf.DUMMYFUNCTION("IMPORTRANGE(""https://docs.google.com/spreadsheets/d/10oOiF7loTyfsTkbd4MpaIm0HQ9SwB7IYHdIUvt-U1Uc/edit?usp=sharing"",""สระแก้ว!I440"")"),50092)</f>
        <v>50092</v>
      </c>
      <c r="AV69" s="152">
        <f ca="1">IFERROR(__xludf.DUMMYFUNCTION("IMPORTRANGE(""https://docs.google.com/spreadsheets/d/10oOiF7loTyfsTkbd4MpaIm0HQ9SwB7IYHdIUvt-U1Uc/edit?usp=sharing"",""สระแก้ว!I441"")"),3536)</f>
        <v>3536</v>
      </c>
      <c r="AW69" s="152">
        <f ca="1">IFERROR(__xludf.DUMMYFUNCTION("IMPORTRANGE(""https://docs.google.com/spreadsheets/d/10oOiF7loTyfsTkbd4MpaIm0HQ9SwB7IYHdIUvt-U1Uc/edit?usp=sharing"",""สระแก้ว!J440"")"),0)</f>
        <v>0</v>
      </c>
      <c r="AX69" s="216">
        <f t="shared" ca="1" si="62"/>
        <v>0</v>
      </c>
      <c r="AY69" s="152">
        <f ca="1">IFERROR(__xludf.DUMMYFUNCTION("IMPORTRANGE(""https://docs.google.com/spreadsheets/d/10oOiF7loTyfsTkbd4MpaIm0HQ9SwB7IYHdIUvt-U1Uc/edit?usp=sharing"",""สระแก้ว!J441"")"),0)</f>
        <v>0</v>
      </c>
      <c r="AZ69" s="216">
        <f t="shared" ca="1" si="63"/>
        <v>0</v>
      </c>
      <c r="BA69" s="152">
        <f ca="1">IFERROR(__xludf.DUMMYFUNCTION("IMPORTRANGE(""https://docs.google.com/spreadsheets/d/10oOiF7loTyfsTkbd4MpaIm0HQ9SwB7IYHdIUvt-U1Uc/edit?usp=sharing"",""สระแก้ว!J442"")"),0)</f>
        <v>0</v>
      </c>
      <c r="BB69" s="152">
        <f ca="1">IFERROR(__xludf.DUMMYFUNCTION("IMPORTRANGE(""https://docs.google.com/spreadsheets/d/10oOiF7loTyfsTkbd4MpaIm0HQ9SwB7IYHdIUvt-U1Uc/edit?usp=sharing"",""สระแก้ว!J443"")"),0)</f>
        <v>0</v>
      </c>
      <c r="BC69" s="152">
        <f ca="1">IFERROR(__xludf.DUMMYFUNCTION("IMPORTRANGE(""https://docs.google.com/spreadsheets/d/10oOiF7loTyfsTkbd4MpaIm0HQ9SwB7IYHdIUvt-U1Uc/edit?usp=sharing"",""สระแก้ว!J444"")"),0)</f>
        <v>0</v>
      </c>
      <c r="BD69" s="152">
        <f ca="1">IFERROR(__xludf.DUMMYFUNCTION("IMPORTRANGE(""https://docs.google.com/spreadsheets/d/10oOiF7loTyfsTkbd4MpaIm0HQ9SwB7IYHdIUvt-U1Uc/edit?usp=sharing"",""สระแก้ว!J445"")"),0)</f>
        <v>0</v>
      </c>
      <c r="BE69" s="152">
        <f ca="1">IFERROR(__xludf.DUMMYFUNCTION("IMPORTRANGE(""https://docs.google.com/spreadsheets/d/10oOiF7loTyfsTkbd4MpaIm0HQ9SwB7IYHdIUvt-U1Uc/edit?usp=sharing"",""สระแก้ว!J446"")"),0)</f>
        <v>0</v>
      </c>
      <c r="BF69" s="152">
        <f ca="1">IFERROR(__xludf.DUMMYFUNCTION("IMPORTRANGE(""https://docs.google.com/spreadsheets/d/10oOiF7loTyfsTkbd4MpaIm0HQ9SwB7IYHdIUvt-U1Uc/edit?usp=sharing"",""สระแก้ว!J447"")"),0)</f>
        <v>0</v>
      </c>
      <c r="BG69" s="152">
        <f ca="1">IFERROR(__xludf.DUMMYFUNCTION("IMPORTRANGE(""https://docs.google.com/spreadsheets/d/10oOiF7loTyfsTkbd4MpaIm0HQ9SwB7IYHdIUvt-U1Uc/edit?usp=sharing"",""สระแก้ว!J448"")"),0)</f>
        <v>0</v>
      </c>
      <c r="BH69" s="152">
        <f ca="1">IFERROR(__xludf.DUMMYFUNCTION("IMPORTRANGE(""https://docs.google.com/spreadsheets/d/10oOiF7loTyfsTkbd4MpaIm0HQ9SwB7IYHdIUvt-U1Uc/edit?usp=sharing"",""สระแก้ว!J449"")"),0)</f>
        <v>0</v>
      </c>
      <c r="BI69" s="152">
        <f ca="1">IFERROR(__xludf.DUMMYFUNCTION("IMPORTRANGE(""https://docs.google.com/spreadsheets/d/10oOiF7loTyfsTkbd4MpaIm0HQ9SwB7IYHdIUvt-U1Uc/edit?usp=sharing"",""สระแก้ว!J450"")"),0)</f>
        <v>0</v>
      </c>
      <c r="BJ69" s="152">
        <f ca="1">IFERROR(__xludf.DUMMYFUNCTION("IMPORTRANGE(""https://docs.google.com/spreadsheets/d/10oOiF7loTyfsTkbd4MpaIm0HQ9SwB7IYHdIUvt-U1Uc/edit?usp=sharing"",""สระแก้ว!J451"")"),0)</f>
        <v>0</v>
      </c>
      <c r="BK69" s="152">
        <f ca="1">IFERROR(__xludf.DUMMYFUNCTION("IMPORTRANGE(""https://docs.google.com/spreadsheets/d/10oOiF7loTyfsTkbd4MpaIm0HQ9SwB7IYHdIUvt-U1Uc/edit?usp=sharing"",""สระแก้ว!J452"")"),0)</f>
        <v>0</v>
      </c>
      <c r="BL69" s="152">
        <f ca="1">IFERROR(__xludf.DUMMYFUNCTION("IMPORTRANGE(""https://docs.google.com/spreadsheets/d/10oOiF7loTyfsTkbd4MpaIm0HQ9SwB7IYHdIUvt-U1Uc/edit?usp=sharing"",""สระแก้ว!J453"")"),0)</f>
        <v>0</v>
      </c>
      <c r="BM69" s="152">
        <f ca="1">IFERROR(__xludf.DUMMYFUNCTION("IMPORTRANGE(""https://docs.google.com/spreadsheets/d/10oOiF7loTyfsTkbd4MpaIm0HQ9SwB7IYHdIUvt-U1Uc/edit?usp=sharing"",""สระแก้ว!J454"")"),0)</f>
        <v>0</v>
      </c>
      <c r="BN69" s="152">
        <f ca="1">IFERROR(__xludf.DUMMYFUNCTION("IMPORTRANGE(""https://docs.google.com/spreadsheets/d/10oOiF7loTyfsTkbd4MpaIm0HQ9SwB7IYHdIUvt-U1Uc/edit?usp=sharing"",""สระแก้ว!J455"")"),0)</f>
        <v>0</v>
      </c>
      <c r="BO69" s="152">
        <f ca="1">IFERROR(__xludf.DUMMYFUNCTION("IMPORTRANGE(""https://docs.google.com/spreadsheets/d/10oOiF7loTyfsTkbd4MpaIm0HQ9SwB7IYHdIUvt-U1Uc/edit?usp=sharing"",""สระแก้ว!I457"")"),6300.6)</f>
        <v>6300.6</v>
      </c>
      <c r="BP69" s="152">
        <f ca="1">IFERROR(__xludf.DUMMYFUNCTION("IMPORTRANGE(""https://docs.google.com/spreadsheets/d/10oOiF7loTyfsTkbd4MpaIm0HQ9SwB7IYHdIUvt-U1Uc/edit?usp=sharing"",""สระแก้ว!I458"")"),434)</f>
        <v>434</v>
      </c>
      <c r="BQ69" s="152">
        <f ca="1">IFERROR(__xludf.DUMMYFUNCTION("IMPORTRANGE(""https://docs.google.com/spreadsheets/d/10oOiF7loTyfsTkbd4MpaIm0HQ9SwB7IYHdIUvt-U1Uc/edit?usp=sharing"",""สระแก้ว!J457"")"),0)</f>
        <v>0</v>
      </c>
      <c r="BR69" s="216">
        <f t="shared" ca="1" si="65"/>
        <v>0</v>
      </c>
      <c r="BS69" s="152">
        <f ca="1">IFERROR(__xludf.DUMMYFUNCTION("IMPORTRANGE(""https://docs.google.com/spreadsheets/d/10oOiF7loTyfsTkbd4MpaIm0HQ9SwB7IYHdIUvt-U1Uc/edit?usp=sharing"",""สระแก้ว!J458"")"),0)</f>
        <v>0</v>
      </c>
      <c r="BT69" s="216">
        <f t="shared" ca="1" si="66"/>
        <v>0</v>
      </c>
      <c r="BU69" s="152">
        <f ca="1">IFERROR(__xludf.DUMMYFUNCTION("IMPORTRANGE(""https://docs.google.com/spreadsheets/d/10oOiF7loTyfsTkbd4MpaIm0HQ9SwB7IYHdIUvt-U1Uc/edit?usp=sharing"",""สระแก้ว!J459"")"),0)</f>
        <v>0</v>
      </c>
      <c r="BV69" s="152">
        <f ca="1">IFERROR(__xludf.DUMMYFUNCTION("IMPORTRANGE(""https://docs.google.com/spreadsheets/d/10oOiF7loTyfsTkbd4MpaIm0HQ9SwB7IYHdIUvt-U1Uc/edit?usp=sharing"",""สระแก้ว!J460"")"),0)</f>
        <v>0</v>
      </c>
      <c r="BW69" s="152">
        <f ca="1">IFERROR(__xludf.DUMMYFUNCTION("IMPORTRANGE(""https://docs.google.com/spreadsheets/d/10oOiF7loTyfsTkbd4MpaIm0HQ9SwB7IYHdIUvt-U1Uc/edit?usp=sharing"",""สระแก้ว!J461"")"),0)</f>
        <v>0</v>
      </c>
      <c r="BX69" s="152">
        <f ca="1">IFERROR(__xludf.DUMMYFUNCTION("IMPORTRANGE(""https://docs.google.com/spreadsheets/d/10oOiF7loTyfsTkbd4MpaIm0HQ9SwB7IYHdIUvt-U1Uc/edit?usp=sharing"",""สระแก้ว!J462"")"),0)</f>
        <v>0</v>
      </c>
      <c r="BY69" s="152">
        <f ca="1">IFERROR(__xludf.DUMMYFUNCTION("IMPORTRANGE(""https://docs.google.com/spreadsheets/d/10oOiF7loTyfsTkbd4MpaIm0HQ9SwB7IYHdIUvt-U1Uc/edit?usp=sharing"",""สระแก้ว!J463"")"),0)</f>
        <v>0</v>
      </c>
      <c r="BZ69" s="152">
        <f ca="1">IFERROR(__xludf.DUMMYFUNCTION("IMPORTRANGE(""https://docs.google.com/spreadsheets/d/10oOiF7loTyfsTkbd4MpaIm0HQ9SwB7IYHdIUvt-U1Uc/edit?usp=sharing"",""สระแก้ว!J464"")"),0)</f>
        <v>0</v>
      </c>
      <c r="CA69" s="152">
        <f ca="1">IFERROR(__xludf.DUMMYFUNCTION("IMPORTRANGE(""https://docs.google.com/spreadsheets/d/10oOiF7loTyfsTkbd4MpaIm0HQ9SwB7IYHdIUvt-U1Uc/edit?usp=sharing"",""สระแก้ว!J465"")"),0)</f>
        <v>0</v>
      </c>
      <c r="CB69" s="152">
        <f ca="1">IFERROR(__xludf.DUMMYFUNCTION("IMPORTRANGE(""https://docs.google.com/spreadsheets/d/10oOiF7loTyfsTkbd4MpaIm0HQ9SwB7IYHdIUvt-U1Uc/edit?usp=sharing"",""สระแก้ว!J466"")"),0)</f>
        <v>0</v>
      </c>
      <c r="CC69" s="152">
        <f ca="1">IFERROR(__xludf.DUMMYFUNCTION("IMPORTRANGE(""https://docs.google.com/spreadsheets/d/10oOiF7loTyfsTkbd4MpaIm0HQ9SwB7IYHdIUvt-U1Uc/edit?usp=sharing"",""สระแก้ว!J467"")"),0)</f>
        <v>0</v>
      </c>
      <c r="CD69" s="152">
        <f ca="1">IFERROR(__xludf.DUMMYFUNCTION("IMPORTRANGE(""https://docs.google.com/spreadsheets/d/10oOiF7loTyfsTkbd4MpaIm0HQ9SwB7IYHdIUvt-U1Uc/edit?usp=sharing"",""สระแก้ว!J468"")"),0)</f>
        <v>0</v>
      </c>
      <c r="CE69" s="152">
        <f ca="1">IFERROR(__xludf.DUMMYFUNCTION("IMPORTRANGE(""https://docs.google.com/spreadsheets/d/10oOiF7loTyfsTkbd4MpaIm0HQ9SwB7IYHdIUvt-U1Uc/edit?usp=sharing"",""สระแก้ว!J469"")"),0)</f>
        <v>0</v>
      </c>
      <c r="CF69" s="152">
        <f ca="1">IFERROR(__xludf.DUMMYFUNCTION("IMPORTRANGE(""https://docs.google.com/spreadsheets/d/10oOiF7loTyfsTkbd4MpaIm0HQ9SwB7IYHdIUvt-U1Uc/edit?usp=sharing"",""สระแก้ว!J470"")"),0)</f>
        <v>0</v>
      </c>
      <c r="CG69" s="152">
        <f ca="1">IFERROR(__xludf.DUMMYFUNCTION("IMPORTRANGE(""https://docs.google.com/spreadsheets/d/10oOiF7loTyfsTkbd4MpaIm0HQ9SwB7IYHdIUvt-U1Uc/edit?usp=sharing"",""สระแก้ว!J471"")"),0)</f>
        <v>0</v>
      </c>
      <c r="CH69" s="152">
        <f ca="1">IFERROR(__xludf.DUMMYFUNCTION("IMPORTRANGE(""https://docs.google.com/spreadsheets/d/10oOiF7loTyfsTkbd4MpaIm0HQ9SwB7IYHdIUvt-U1Uc/edit?usp=sharing"",""สระแก้ว!J472"")"),0)</f>
        <v>0</v>
      </c>
      <c r="CI69" s="152">
        <f ca="1">IFERROR(__xludf.DUMMYFUNCTION("IMPORTRANGE(""https://docs.google.com/spreadsheets/d/10oOiF7loTyfsTkbd4MpaIm0HQ9SwB7IYHdIUvt-U1Uc/edit?usp=sharing"",""สระแก้ว!J473"")"),0)</f>
        <v>0</v>
      </c>
      <c r="CJ69" s="152">
        <f ca="1">IFERROR(__xludf.DUMMYFUNCTION("IMPORTRANGE(""https://docs.google.com/spreadsheets/d/10oOiF7loTyfsTkbd4MpaIm0HQ9SwB7IYHdIUvt-U1Uc/edit?usp=sharing"",""สระแก้ว!J474"")"),0)</f>
        <v>0</v>
      </c>
      <c r="CK69" s="278">
        <f ca="1">IFERROR(__xludf.DUMMYFUNCTION("IMPORTRANGE(""https://docs.google.com/spreadsheets/d/10oOiF7loTyfsTkbd4MpaIm0HQ9SwB7IYHdIUvt-U1Uc/edit?usp=sharing"",""สระแก้ว!I476"")"),0)</f>
        <v>0</v>
      </c>
      <c r="CL69" s="278">
        <f ca="1">IFERROR(__xludf.DUMMYFUNCTION("IMPORTRANGE(""https://docs.google.com/spreadsheets/d/10oOiF7loTyfsTkbd4MpaIm0HQ9SwB7IYHdIUvt-U1Uc/edit?usp=sharing"",""สระแก้ว!I477"")"),0)</f>
        <v>0</v>
      </c>
      <c r="CM69" s="278">
        <f ca="1">IFERROR(__xludf.DUMMYFUNCTION("IMPORTRANGE(""https://docs.google.com/spreadsheets/d/10oOiF7loTyfsTkbd4MpaIm0HQ9SwB7IYHdIUvt-U1Uc/edit?usp=sharing"",""สระแก้ว!J476"")"),0)</f>
        <v>0</v>
      </c>
      <c r="CN69" s="216">
        <f t="shared" ca="1" si="68"/>
        <v>0</v>
      </c>
      <c r="CO69" s="278">
        <f ca="1">IFERROR(__xludf.DUMMYFUNCTION("IMPORTRANGE(""https://docs.google.com/spreadsheets/d/10oOiF7loTyfsTkbd4MpaIm0HQ9SwB7IYHdIUvt-U1Uc/edit?usp=sharing"",""สระแก้ว!J477"")"),0)</f>
        <v>0</v>
      </c>
      <c r="CP69" s="216">
        <f t="shared" ca="1" si="69"/>
        <v>0</v>
      </c>
      <c r="CQ69" s="278">
        <f ca="1">IFERROR(__xludf.DUMMYFUNCTION("IMPORTRANGE(""https://docs.google.com/spreadsheets/d/10oOiF7loTyfsTkbd4MpaIm0HQ9SwB7IYHdIUvt-U1Uc/edit?usp=sharing"",""สระแก้ว!J478"")"),0)</f>
        <v>0</v>
      </c>
      <c r="CR69" s="278">
        <f ca="1">IFERROR(__xludf.DUMMYFUNCTION("IMPORTRANGE(""https://docs.google.com/spreadsheets/d/10oOiF7loTyfsTkbd4MpaIm0HQ9SwB7IYHdIUvt-U1Uc/edit?usp=sharing"",""สระแก้ว!J479"")"),0)</f>
        <v>0</v>
      </c>
      <c r="CS69" s="278">
        <f ca="1">IFERROR(__xludf.DUMMYFUNCTION("IMPORTRANGE(""https://docs.google.com/spreadsheets/d/10oOiF7loTyfsTkbd4MpaIm0HQ9SwB7IYHdIUvt-U1Uc/edit?usp=sharing"",""สระแก้ว!J480"")"),0)</f>
        <v>0</v>
      </c>
      <c r="CT69" s="278">
        <f ca="1">IFERROR(__xludf.DUMMYFUNCTION("IMPORTRANGE(""https://docs.google.com/spreadsheets/d/10oOiF7loTyfsTkbd4MpaIm0HQ9SwB7IYHdIUvt-U1Uc/edit?usp=sharing"",""สระแก้ว!J481"")"),0)</f>
        <v>0</v>
      </c>
      <c r="CU69" s="278">
        <f ca="1">IFERROR(__xludf.DUMMYFUNCTION("IMPORTRANGE(""https://docs.google.com/spreadsheets/d/10oOiF7loTyfsTkbd4MpaIm0HQ9SwB7IYHdIUvt-U1Uc/edit?usp=sharing"",""สระแก้ว!I484"")"),0)</f>
        <v>0</v>
      </c>
      <c r="CV69" s="278">
        <f ca="1">IFERROR(__xludf.DUMMYFUNCTION("IMPORTRANGE(""https://docs.google.com/spreadsheets/d/10oOiF7loTyfsTkbd4MpaIm0HQ9SwB7IYHdIUvt-U1Uc/edit?usp=sharing"",""สระแก้ว!I485"")"),0)</f>
        <v>0</v>
      </c>
      <c r="CW69" s="278">
        <f ca="1">IFERROR(__xludf.DUMMYFUNCTION("IMPORTRANGE(""https://docs.google.com/spreadsheets/d/10oOiF7loTyfsTkbd4MpaIm0HQ9SwB7IYHdIUvt-U1Uc/edit?usp=sharing"",""สระแก้ว!J484"")"),0)</f>
        <v>0</v>
      </c>
      <c r="CX69" s="216">
        <f t="shared" ca="1" si="71"/>
        <v>0</v>
      </c>
      <c r="CY69" s="278">
        <f ca="1">IFERROR(__xludf.DUMMYFUNCTION("IMPORTRANGE(""https://docs.google.com/spreadsheets/d/10oOiF7loTyfsTkbd4MpaIm0HQ9SwB7IYHdIUvt-U1Uc/edit?usp=sharing"",""สระแก้ว!J485"")"),0)</f>
        <v>0</v>
      </c>
      <c r="CZ69" s="216">
        <f t="shared" ca="1" si="72"/>
        <v>0</v>
      </c>
      <c r="DA69" s="278">
        <f ca="1">IFERROR(__xludf.DUMMYFUNCTION("IMPORTRANGE(""https://docs.google.com/spreadsheets/d/10oOiF7loTyfsTkbd4MpaIm0HQ9SwB7IYHdIUvt-U1Uc/edit?usp=sharing"",""สระแก้ว!J486"")"),0)</f>
        <v>0</v>
      </c>
      <c r="DB69" s="278">
        <f ca="1">IFERROR(__xludf.DUMMYFUNCTION("IMPORTRANGE(""https://docs.google.com/spreadsheets/d/10oOiF7loTyfsTkbd4MpaIm0HQ9SwB7IYHdIUvt-U1Uc/edit?usp=sharing"",""สระแก้ว!J487"")"),0)</f>
        <v>0</v>
      </c>
      <c r="DC69" s="278">
        <f ca="1">IFERROR(__xludf.DUMMYFUNCTION("IMPORTRANGE(""https://docs.google.com/spreadsheets/d/10oOiF7loTyfsTkbd4MpaIm0HQ9SwB7IYHdIUvt-U1Uc/edit?usp=sharing"",""สระแก้ว!J488"")"),0)</f>
        <v>0</v>
      </c>
      <c r="DD69" s="278">
        <f ca="1">IFERROR(__xludf.DUMMYFUNCTION("IMPORTRANGE(""https://docs.google.com/spreadsheets/d/10oOiF7loTyfsTkbd4MpaIm0HQ9SwB7IYHdIUvt-U1Uc/edit?usp=sharing"",""สระแก้ว!J489"")"),0)</f>
        <v>0</v>
      </c>
      <c r="DE69" s="278">
        <f ca="1">IFERROR(__xludf.DUMMYFUNCTION("IMPORTRANGE(""https://docs.google.com/spreadsheets/d/10oOiF7loTyfsTkbd4MpaIm0HQ9SwB7IYHdIUvt-U1Uc/edit?usp=sharing"",""สระแก้ว!J490"")"),0)</f>
        <v>0</v>
      </c>
      <c r="DF69" s="278">
        <f ca="1">IFERROR(__xludf.DUMMYFUNCTION("IMPORTRANGE(""https://docs.google.com/spreadsheets/d/10oOiF7loTyfsTkbd4MpaIm0HQ9SwB7IYHdIUvt-U1Uc/edit?usp=sharing"",""สระแก้ว!J491"")"),0)</f>
        <v>0</v>
      </c>
    </row>
    <row r="70" spans="1:110" ht="19.5" x14ac:dyDescent="0.3">
      <c r="A70" s="147">
        <v>18</v>
      </c>
      <c r="B70" s="148" t="s">
        <v>98</v>
      </c>
      <c r="C70" s="566">
        <f t="shared" ca="1" si="44"/>
        <v>134010</v>
      </c>
      <c r="D70" s="567">
        <f t="shared" ca="1" si="94"/>
        <v>134010</v>
      </c>
      <c r="E70" s="329">
        <f ca="1">IFERROR(__xludf.DUMMYFUNCTION("IMPORTRANGE(""https://docs.google.com/spreadsheets/d/1-uDff_7J0KD5mKrp0Vvzr7lt3OU09vwQwhkpOPPYv2Y/edit?usp=sharing"",""งบพรบ!IP70"")"),0)</f>
        <v>0</v>
      </c>
      <c r="F70" s="329">
        <f ca="1">IFERROR(__xludf.DUMMYFUNCTION("IMPORTRANGE(""https://docs.google.com/spreadsheets/d/1-uDff_7J0KD5mKrp0Vvzr7lt3OU09vwQwhkpOPPYv2Y/edit?usp=sharing"",""งบพรบ!IQ70"")"),134010)</f>
        <v>134010</v>
      </c>
      <c r="G70" s="329">
        <f ca="1">IFERROR(__xludf.DUMMYFUNCTION("IMPORTRANGE(""https://docs.google.com/spreadsheets/d/1-uDff_7J0KD5mKrp0Vvzr7lt3OU09vwQwhkpOPPYv2Y/edit?usp=sharing"",""งบพรบ!IR70"")"),0)</f>
        <v>0</v>
      </c>
      <c r="H70" s="329">
        <f ca="1">IFERROR(__xludf.DUMMYFUNCTION("IMPORTRANGE(""https://docs.google.com/spreadsheets/d/1-uDff_7J0KD5mKrp0Vvzr7lt3OU09vwQwhkpOPPYv2Y/edit?usp=sharing"",""งบพรบ!IT70"")"),134010)</f>
        <v>134010</v>
      </c>
      <c r="I70" s="329">
        <f ca="1">IFERROR(__xludf.DUMMYFUNCTION("IMPORTRANGE(""https://docs.google.com/spreadsheets/d/1-uDff_7J0KD5mKrp0Vvzr7lt3OU09vwQwhkpOPPYv2Y/edit?usp=sharing"",""งบพรบ!IU70"")"),0)</f>
        <v>0</v>
      </c>
      <c r="J70" s="329">
        <f t="shared" ca="1" si="46"/>
        <v>40060</v>
      </c>
      <c r="K70" s="568">
        <f t="shared" ca="1" si="47"/>
        <v>29.89329154540706</v>
      </c>
      <c r="L70" s="329">
        <f ca="1">IFERROR(__xludf.DUMMYFUNCTION("IMPORTRANGE(""https://docs.google.com/spreadsheets/d/1-uDff_7J0KD5mKrp0Vvzr7lt3OU09vwQwhkpOPPYv2Y/edit?usp=sharing"",""งบพรบ!IV70"")"),40060)</f>
        <v>40060</v>
      </c>
      <c r="M70" s="330">
        <f t="shared" ca="1" si="48"/>
        <v>29.89329154540706</v>
      </c>
      <c r="N70" s="330">
        <f t="shared" ca="1" si="49"/>
        <v>29.89329154540706</v>
      </c>
      <c r="O70" s="569">
        <f ca="1">IFERROR(__xludf.DUMMYFUNCTION("IMPORTRANGE(""https://docs.google.com/spreadsheets/d/1-uDff_7J0KD5mKrp0Vvzr7lt3OU09vwQwhkpOPPYv2Y/edit?usp=sharing"",""งบพรบ!IW70"")"),0)</f>
        <v>0</v>
      </c>
      <c r="P70" s="569">
        <f t="shared" ca="1" si="50"/>
        <v>0</v>
      </c>
      <c r="Q70" s="330">
        <f t="shared" ca="1" si="51"/>
        <v>0</v>
      </c>
      <c r="R70" s="564">
        <f ca="1">IFERROR(__xludf.DUMMYFUNCTION("IMPORTRANGE(""https://docs.google.com/spreadsheets/d/1xmPlrr1QbdSIKvl1dWUl9K4PjAfSL9oeMr_37QVzcxc/edit?usp=sharing"",""สระบุรี!Q413"")"),16800)</f>
        <v>16800</v>
      </c>
      <c r="S70" s="564">
        <f ca="1">IFERROR(__xludf.DUMMYFUNCTION("IMPORTRANGE(""https://docs.google.com/spreadsheets/d/1xmPlrr1QbdSIKvl1dWUl9K4PjAfSL9oeMr_37QVzcxc/edit?usp=sharing"",""สระบุรี!R413"")"),16800)</f>
        <v>16800</v>
      </c>
      <c r="T70" s="564">
        <f ca="1">IFERROR(__xludf.DUMMYFUNCTION("IMPORTRANGE(""https://docs.google.com/spreadsheets/d/1xmPlrr1QbdSIKvl1dWUl9K4PjAfSL9oeMr_37QVzcxc/edit?usp=sharing"",""สระบุรี!S413"")"),14060)</f>
        <v>14060</v>
      </c>
      <c r="U70" s="565">
        <f t="shared" ca="1" si="53"/>
        <v>83.69047619047619</v>
      </c>
      <c r="V70" s="565">
        <f t="shared" ca="1" si="54"/>
        <v>83.69047619047619</v>
      </c>
      <c r="W70" s="152">
        <f ca="1">IFERROR(__xludf.DUMMYFUNCTION("IMPORTRANGE(""https://docs.google.com/spreadsheets/d/1xmPlrr1QbdSIKvl1dWUl9K4PjAfSL9oeMr_37QVzcxc/edit?usp=sharing"",""สระบุรี!I424"")"),0)</f>
        <v>0</v>
      </c>
      <c r="X70" s="152">
        <f ca="1">IFERROR(__xludf.DUMMYFUNCTION("IMPORTRANGE(""https://docs.google.com/spreadsheets/d/1xmPlrr1QbdSIKvl1dWUl9K4PjAfSL9oeMr_37QVzcxc/edit?usp=sharing"",""สระบุรี!I425"")"),0)</f>
        <v>0</v>
      </c>
      <c r="Y70" s="152">
        <f ca="1">IFERROR(__xludf.DUMMYFUNCTION("IMPORTRANGE(""https://docs.google.com/spreadsheets/d/1xmPlrr1QbdSIKvl1dWUl9K4PjAfSL9oeMr_37QVzcxc/edit?usp=sharing"",""สระบุรี!J424"")"),0)</f>
        <v>0</v>
      </c>
      <c r="Z70" s="216">
        <f t="shared" ca="1" si="56"/>
        <v>0</v>
      </c>
      <c r="AA70" s="152">
        <f ca="1">IFERROR(__xludf.DUMMYFUNCTION("IMPORTRANGE(""https://docs.google.com/spreadsheets/d/1xmPlrr1QbdSIKvl1dWUl9K4PjAfSL9oeMr_37QVzcxc/edit?usp=sharing"",""สระบุรี!J425"")"),0)</f>
        <v>0</v>
      </c>
      <c r="AB70" s="216">
        <f t="shared" ca="1" si="57"/>
        <v>0</v>
      </c>
      <c r="AC70" s="152">
        <f ca="1">IFERROR(__xludf.DUMMYFUNCTION("IMPORTRANGE(""https://docs.google.com/spreadsheets/d/1xmPlrr1QbdSIKvl1dWUl9K4PjAfSL9oeMr_37QVzcxc/edit?usp=sharing"",""สระบุรี!J426"")"),0)</f>
        <v>0</v>
      </c>
      <c r="AD70" s="152">
        <f ca="1">IFERROR(__xludf.DUMMYFUNCTION("IMPORTRANGE(""https://docs.google.com/spreadsheets/d/1xmPlrr1QbdSIKvl1dWUl9K4PjAfSL9oeMr_37QVzcxc/edit?usp=sharing"",""สระบุรี!J427"")"),0)</f>
        <v>0</v>
      </c>
      <c r="AE70" s="152">
        <f ca="1">IFERROR(__xludf.DUMMYFUNCTION("IMPORTRANGE(""https://docs.google.com/spreadsheets/d/1xmPlrr1QbdSIKvl1dWUl9K4PjAfSL9oeMr_37QVzcxc/edit?usp=sharing"",""สระบุรี!J428"")"),0)</f>
        <v>0</v>
      </c>
      <c r="AF70" s="152">
        <f ca="1">IFERROR(__xludf.DUMMYFUNCTION("IMPORTRANGE(""https://docs.google.com/spreadsheets/d/1xmPlrr1QbdSIKvl1dWUl9K4PjAfSL9oeMr_37QVzcxc/edit?usp=sharing"",""สระบุรี!J429"")"),0)</f>
        <v>0</v>
      </c>
      <c r="AG70" s="152">
        <f ca="1">IFERROR(__xludf.DUMMYFUNCTION("IMPORTRANGE(""https://docs.google.com/spreadsheets/d/1xmPlrr1QbdSIKvl1dWUl9K4PjAfSL9oeMr_37QVzcxc/edit?usp=sharing"",""สระบุรี!J430"")"),0)</f>
        <v>0</v>
      </c>
      <c r="AH70" s="152">
        <f ca="1">IFERROR(__xludf.DUMMYFUNCTION("IMPORTRANGE(""https://docs.google.com/spreadsheets/d/1xmPlrr1QbdSIKvl1dWUl9K4PjAfSL9oeMr_37QVzcxc/edit?usp=sharing"",""สระบุรี!J431"")"),0)</f>
        <v>0</v>
      </c>
      <c r="AI70" s="152">
        <f ca="1">IFERROR(__xludf.DUMMYFUNCTION("IMPORTRANGE(""https://docs.google.com/spreadsheets/d/1xmPlrr1QbdSIKvl1dWUl9K4PjAfSL9oeMr_37QVzcxc/edit?usp=sharing"",""สระบุรี!I432"")"),0)</f>
        <v>0</v>
      </c>
      <c r="AJ70" s="152">
        <f ca="1">IFERROR(__xludf.DUMMYFUNCTION("IMPORTRANGE(""https://docs.google.com/spreadsheets/d/1xmPlrr1QbdSIKvl1dWUl9K4PjAfSL9oeMr_37QVzcxc/edit?usp=sharing"",""สระบุรี!I433"")"),0)</f>
        <v>0</v>
      </c>
      <c r="AK70" s="216">
        <f ca="1">IFERROR(__xludf.DUMMYFUNCTION("IMPORTRANGE(""https://docs.google.com/spreadsheets/d/1xmPlrr1QbdSIKvl1dWUl9K4PjAfSL9oeMr_37QVzcxc/edit?usp=sharing"",""สระบุรี!J432"")"),0)</f>
        <v>0</v>
      </c>
      <c r="AL70" s="216">
        <f t="shared" ca="1" si="59"/>
        <v>0</v>
      </c>
      <c r="AM70" s="152">
        <f ca="1">IFERROR(__xludf.DUMMYFUNCTION("IMPORTRANGE(""https://docs.google.com/spreadsheets/d/1xmPlrr1QbdSIKvl1dWUl9K4PjAfSL9oeMr_37QVzcxc/edit?usp=sharing"",""สระบุรี!J433"")"),0)</f>
        <v>0</v>
      </c>
      <c r="AN70" s="216">
        <f t="shared" ca="1" si="60"/>
        <v>0</v>
      </c>
      <c r="AO70" s="152">
        <f ca="1">IFERROR(__xludf.DUMMYFUNCTION("IMPORTRANGE(""https://docs.google.com/spreadsheets/d/1xmPlrr1QbdSIKvl1dWUl9K4PjAfSL9oeMr_37QVzcxc/edit?usp=sharing"",""สระบุรี!J434"")"),0)</f>
        <v>0</v>
      </c>
      <c r="AP70" s="152">
        <f ca="1">IFERROR(__xludf.DUMMYFUNCTION("IMPORTRANGE(""https://docs.google.com/spreadsheets/d/1xmPlrr1QbdSIKvl1dWUl9K4PjAfSL9oeMr_37QVzcxc/edit?usp=sharing"",""สระบุรี!J435"")"),0)</f>
        <v>0</v>
      </c>
      <c r="AQ70" s="152">
        <f ca="1">IFERROR(__xludf.DUMMYFUNCTION("IMPORTRANGE(""https://docs.google.com/spreadsheets/d/1xmPlrr1QbdSIKvl1dWUl9K4PjAfSL9oeMr_37QVzcxc/edit?usp=sharing"",""สระบุรี!J436"")"),0)</f>
        <v>0</v>
      </c>
      <c r="AR70" s="152">
        <f ca="1">IFERROR(__xludf.DUMMYFUNCTION("IMPORTRANGE(""https://docs.google.com/spreadsheets/d/1xmPlrr1QbdSIKvl1dWUl9K4PjAfSL9oeMr_37QVzcxc/edit?usp=sharing"",""สระบุรี!J437"")"),0)</f>
        <v>0</v>
      </c>
      <c r="AS70" s="152">
        <f ca="1">IFERROR(__xludf.DUMMYFUNCTION("IMPORTRANGE(""https://docs.google.com/spreadsheets/d/1xmPlrr1QbdSIKvl1dWUl9K4PjAfSL9oeMr_37QVzcxc/edit?usp=sharing"",""สระบุรี!J438"")"),0)</f>
        <v>0</v>
      </c>
      <c r="AT70" s="152">
        <f ca="1">IFERROR(__xludf.DUMMYFUNCTION("IMPORTRANGE(""https://docs.google.com/spreadsheets/d/1xmPlrr1QbdSIKvl1dWUl9K4PjAfSL9oeMr_37QVzcxc/edit?usp=sharing"",""สระบุรี!J439"")"),0)</f>
        <v>0</v>
      </c>
      <c r="AU70" s="152">
        <f ca="1">IFERROR(__xludf.DUMMYFUNCTION("IMPORTRANGE(""https://docs.google.com/spreadsheets/d/1xmPlrr1QbdSIKvl1dWUl9K4PjAfSL9oeMr_37QVzcxc/edit?usp=sharing"",""สระบุรี!I440"")"),0)</f>
        <v>0</v>
      </c>
      <c r="AV70" s="152">
        <f ca="1">IFERROR(__xludf.DUMMYFUNCTION("IMPORTRANGE(""https://docs.google.com/spreadsheets/d/1xmPlrr1QbdSIKvl1dWUl9K4PjAfSL9oeMr_37QVzcxc/edit?usp=sharing"",""สระบุรี!I441"")"),0)</f>
        <v>0</v>
      </c>
      <c r="AW70" s="152">
        <f ca="1">IFERROR(__xludf.DUMMYFUNCTION("IMPORTRANGE(""https://docs.google.com/spreadsheets/d/1xmPlrr1QbdSIKvl1dWUl9K4PjAfSL9oeMr_37QVzcxc/edit?usp=sharing"",""สระบุรี!J440"")"),0)</f>
        <v>0</v>
      </c>
      <c r="AX70" s="216">
        <f t="shared" ca="1" si="62"/>
        <v>0</v>
      </c>
      <c r="AY70" s="152">
        <f ca="1">IFERROR(__xludf.DUMMYFUNCTION("IMPORTRANGE(""https://docs.google.com/spreadsheets/d/1xmPlrr1QbdSIKvl1dWUl9K4PjAfSL9oeMr_37QVzcxc/edit?usp=sharing"",""สระบุรี!J441"")"),0)</f>
        <v>0</v>
      </c>
      <c r="AZ70" s="216">
        <f t="shared" ca="1" si="63"/>
        <v>0</v>
      </c>
      <c r="BA70" s="152">
        <f ca="1">IFERROR(__xludf.DUMMYFUNCTION("IMPORTRANGE(""https://docs.google.com/spreadsheets/d/1xmPlrr1QbdSIKvl1dWUl9K4PjAfSL9oeMr_37QVzcxc/edit?usp=sharing"",""สระบุรี!J442"")"),0)</f>
        <v>0</v>
      </c>
      <c r="BB70" s="152">
        <f ca="1">IFERROR(__xludf.DUMMYFUNCTION("IMPORTRANGE(""https://docs.google.com/spreadsheets/d/1xmPlrr1QbdSIKvl1dWUl9K4PjAfSL9oeMr_37QVzcxc/edit?usp=sharing"",""สระบุรี!J443"")"),0)</f>
        <v>0</v>
      </c>
      <c r="BC70" s="152">
        <f ca="1">IFERROR(__xludf.DUMMYFUNCTION("IMPORTRANGE(""https://docs.google.com/spreadsheets/d/1xmPlrr1QbdSIKvl1dWUl9K4PjAfSL9oeMr_37QVzcxc/edit?usp=sharing"",""สระบุรี!J444"")"),0)</f>
        <v>0</v>
      </c>
      <c r="BD70" s="152">
        <f ca="1">IFERROR(__xludf.DUMMYFUNCTION("IMPORTRANGE(""https://docs.google.com/spreadsheets/d/1xmPlrr1QbdSIKvl1dWUl9K4PjAfSL9oeMr_37QVzcxc/edit?usp=sharing"",""สระบุรี!J445"")"),0)</f>
        <v>0</v>
      </c>
      <c r="BE70" s="152">
        <f ca="1">IFERROR(__xludf.DUMMYFUNCTION("IMPORTRANGE(""https://docs.google.com/spreadsheets/d/1xmPlrr1QbdSIKvl1dWUl9K4PjAfSL9oeMr_37QVzcxc/edit?usp=sharing"",""สระบุรี!J446"")"),0)</f>
        <v>0</v>
      </c>
      <c r="BF70" s="152">
        <f ca="1">IFERROR(__xludf.DUMMYFUNCTION("IMPORTRANGE(""https://docs.google.com/spreadsheets/d/1xmPlrr1QbdSIKvl1dWUl9K4PjAfSL9oeMr_37QVzcxc/edit?usp=sharing"",""สระบุรี!J447"")"),0)</f>
        <v>0</v>
      </c>
      <c r="BG70" s="152">
        <f ca="1">IFERROR(__xludf.DUMMYFUNCTION("IMPORTRANGE(""https://docs.google.com/spreadsheets/d/1xmPlrr1QbdSIKvl1dWUl9K4PjAfSL9oeMr_37QVzcxc/edit?usp=sharing"",""สระบุรี!J448"")"),0)</f>
        <v>0</v>
      </c>
      <c r="BH70" s="152">
        <f ca="1">IFERROR(__xludf.DUMMYFUNCTION("IMPORTRANGE(""https://docs.google.com/spreadsheets/d/1xmPlrr1QbdSIKvl1dWUl9K4PjAfSL9oeMr_37QVzcxc/edit?usp=sharing"",""สระบุรี!J449"")"),0)</f>
        <v>0</v>
      </c>
      <c r="BI70" s="152">
        <f ca="1">IFERROR(__xludf.DUMMYFUNCTION("IMPORTRANGE(""https://docs.google.com/spreadsheets/d/1xmPlrr1QbdSIKvl1dWUl9K4PjAfSL9oeMr_37QVzcxc/edit?usp=sharing"",""สระบุรี!J450"")"),0)</f>
        <v>0</v>
      </c>
      <c r="BJ70" s="152">
        <f ca="1">IFERROR(__xludf.DUMMYFUNCTION("IMPORTRANGE(""https://docs.google.com/spreadsheets/d/1xmPlrr1QbdSIKvl1dWUl9K4PjAfSL9oeMr_37QVzcxc/edit?usp=sharing"",""สระบุรี!J451"")"),0)</f>
        <v>0</v>
      </c>
      <c r="BK70" s="152">
        <f ca="1">IFERROR(__xludf.DUMMYFUNCTION("IMPORTRANGE(""https://docs.google.com/spreadsheets/d/1xmPlrr1QbdSIKvl1dWUl9K4PjAfSL9oeMr_37QVzcxc/edit?usp=sharing"",""สระบุรี!J452"")"),0)</f>
        <v>0</v>
      </c>
      <c r="BL70" s="152">
        <f ca="1">IFERROR(__xludf.DUMMYFUNCTION("IMPORTRANGE(""https://docs.google.com/spreadsheets/d/1xmPlrr1QbdSIKvl1dWUl9K4PjAfSL9oeMr_37QVzcxc/edit?usp=sharing"",""สระบุรี!J453"")"),0)</f>
        <v>0</v>
      </c>
      <c r="BM70" s="152">
        <f ca="1">IFERROR(__xludf.DUMMYFUNCTION("IMPORTRANGE(""https://docs.google.com/spreadsheets/d/1xmPlrr1QbdSIKvl1dWUl9K4PjAfSL9oeMr_37QVzcxc/edit?usp=sharing"",""สระบุรี!J454"")"),0)</f>
        <v>0</v>
      </c>
      <c r="BN70" s="152">
        <f ca="1">IFERROR(__xludf.DUMMYFUNCTION("IMPORTRANGE(""https://docs.google.com/spreadsheets/d/1xmPlrr1QbdSIKvl1dWUl9K4PjAfSL9oeMr_37QVzcxc/edit?usp=sharing"",""สระบุรี!J455"")"),0)</f>
        <v>0</v>
      </c>
      <c r="BO70" s="152">
        <f ca="1">IFERROR(__xludf.DUMMYFUNCTION("IMPORTRANGE(""https://docs.google.com/spreadsheets/d/1xmPlrr1QbdSIKvl1dWUl9K4PjAfSL9oeMr_37QVzcxc/edit?usp=sharing"",""สระบุรี!I457"")"),5530.76)</f>
        <v>5530.76</v>
      </c>
      <c r="BP70" s="152">
        <f ca="1">IFERROR(__xludf.DUMMYFUNCTION("IMPORTRANGE(""https://docs.google.com/spreadsheets/d/1xmPlrr1QbdSIKvl1dWUl9K4PjAfSL9oeMr_37QVzcxc/edit?usp=sharing"",""สระบุรี!I458"")"),251)</f>
        <v>251</v>
      </c>
      <c r="BQ70" s="152">
        <f ca="1">IFERROR(__xludf.DUMMYFUNCTION("IMPORTRANGE(""https://docs.google.com/spreadsheets/d/1xmPlrr1QbdSIKvl1dWUl9K4PjAfSL9oeMr_37QVzcxc/edit?usp=sharing"",""สระบุรี!J457"")"),0)</f>
        <v>0</v>
      </c>
      <c r="BR70" s="216">
        <f t="shared" ca="1" si="65"/>
        <v>0</v>
      </c>
      <c r="BS70" s="152">
        <f ca="1">IFERROR(__xludf.DUMMYFUNCTION("IMPORTRANGE(""https://docs.google.com/spreadsheets/d/1xmPlrr1QbdSIKvl1dWUl9K4PjAfSL9oeMr_37QVzcxc/edit?usp=sharing"",""สระบุรี!J458"")"),0)</f>
        <v>0</v>
      </c>
      <c r="BT70" s="216">
        <f t="shared" ca="1" si="66"/>
        <v>0</v>
      </c>
      <c r="BU70" s="152">
        <f ca="1">IFERROR(__xludf.DUMMYFUNCTION("IMPORTRANGE(""https://docs.google.com/spreadsheets/d/1xmPlrr1QbdSIKvl1dWUl9K4PjAfSL9oeMr_37QVzcxc/edit?usp=sharing"",""สระบุรี!J459"")"),0)</f>
        <v>0</v>
      </c>
      <c r="BV70" s="152">
        <f ca="1">IFERROR(__xludf.DUMMYFUNCTION("IMPORTRANGE(""https://docs.google.com/spreadsheets/d/1xmPlrr1QbdSIKvl1dWUl9K4PjAfSL9oeMr_37QVzcxc/edit?usp=sharing"",""สระบุรี!J460"")"),0)</f>
        <v>0</v>
      </c>
      <c r="BW70" s="152">
        <f ca="1">IFERROR(__xludf.DUMMYFUNCTION("IMPORTRANGE(""https://docs.google.com/spreadsheets/d/1xmPlrr1QbdSIKvl1dWUl9K4PjAfSL9oeMr_37QVzcxc/edit?usp=sharing"",""สระบุรี!J461"")"),0)</f>
        <v>0</v>
      </c>
      <c r="BX70" s="152">
        <f ca="1">IFERROR(__xludf.DUMMYFUNCTION("IMPORTRANGE(""https://docs.google.com/spreadsheets/d/1xmPlrr1QbdSIKvl1dWUl9K4PjAfSL9oeMr_37QVzcxc/edit?usp=sharing"",""สระบุรี!J462"")"),0)</f>
        <v>0</v>
      </c>
      <c r="BY70" s="152">
        <f ca="1">IFERROR(__xludf.DUMMYFUNCTION("IMPORTRANGE(""https://docs.google.com/spreadsheets/d/1xmPlrr1QbdSIKvl1dWUl9K4PjAfSL9oeMr_37QVzcxc/edit?usp=sharing"",""สระบุรี!J463"")"),0)</f>
        <v>0</v>
      </c>
      <c r="BZ70" s="152">
        <f ca="1">IFERROR(__xludf.DUMMYFUNCTION("IMPORTRANGE(""https://docs.google.com/spreadsheets/d/1xmPlrr1QbdSIKvl1dWUl9K4PjAfSL9oeMr_37QVzcxc/edit?usp=sharing"",""สระบุรี!J464"")"),0)</f>
        <v>0</v>
      </c>
      <c r="CA70" s="152">
        <f ca="1">IFERROR(__xludf.DUMMYFUNCTION("IMPORTRANGE(""https://docs.google.com/spreadsheets/d/1xmPlrr1QbdSIKvl1dWUl9K4PjAfSL9oeMr_37QVzcxc/edit?usp=sharing"",""สระบุรี!J465"")"),0)</f>
        <v>0</v>
      </c>
      <c r="CB70" s="152">
        <f ca="1">IFERROR(__xludf.DUMMYFUNCTION("IMPORTRANGE(""https://docs.google.com/spreadsheets/d/1xmPlrr1QbdSIKvl1dWUl9K4PjAfSL9oeMr_37QVzcxc/edit?usp=sharing"",""สระบุรี!J466"")"),0)</f>
        <v>0</v>
      </c>
      <c r="CC70" s="152">
        <f ca="1">IFERROR(__xludf.DUMMYFUNCTION("IMPORTRANGE(""https://docs.google.com/spreadsheets/d/1xmPlrr1QbdSIKvl1dWUl9K4PjAfSL9oeMr_37QVzcxc/edit?usp=sharing"",""สระบุรี!J467"")"),0)</f>
        <v>0</v>
      </c>
      <c r="CD70" s="152">
        <f ca="1">IFERROR(__xludf.DUMMYFUNCTION("IMPORTRANGE(""https://docs.google.com/spreadsheets/d/1xmPlrr1QbdSIKvl1dWUl9K4PjAfSL9oeMr_37QVzcxc/edit?usp=sharing"",""สระบุรี!J468"")"),0)</f>
        <v>0</v>
      </c>
      <c r="CE70" s="152">
        <f ca="1">IFERROR(__xludf.DUMMYFUNCTION("IMPORTRANGE(""https://docs.google.com/spreadsheets/d/1xmPlrr1QbdSIKvl1dWUl9K4PjAfSL9oeMr_37QVzcxc/edit?usp=sharing"",""สระบุรี!J469"")"),0)</f>
        <v>0</v>
      </c>
      <c r="CF70" s="152">
        <f ca="1">IFERROR(__xludf.DUMMYFUNCTION("IMPORTRANGE(""https://docs.google.com/spreadsheets/d/1xmPlrr1QbdSIKvl1dWUl9K4PjAfSL9oeMr_37QVzcxc/edit?usp=sharing"",""สระบุรี!J470"")"),0)</f>
        <v>0</v>
      </c>
      <c r="CG70" s="152">
        <f ca="1">IFERROR(__xludf.DUMMYFUNCTION("IMPORTRANGE(""https://docs.google.com/spreadsheets/d/1xmPlrr1QbdSIKvl1dWUl9K4PjAfSL9oeMr_37QVzcxc/edit?usp=sharing"",""สระบุรี!J471"")"),0)</f>
        <v>0</v>
      </c>
      <c r="CH70" s="152">
        <f ca="1">IFERROR(__xludf.DUMMYFUNCTION("IMPORTRANGE(""https://docs.google.com/spreadsheets/d/1xmPlrr1QbdSIKvl1dWUl9K4PjAfSL9oeMr_37QVzcxc/edit?usp=sharing"",""สระบุรี!J472"")"),0)</f>
        <v>0</v>
      </c>
      <c r="CI70" s="152">
        <f ca="1">IFERROR(__xludf.DUMMYFUNCTION("IMPORTRANGE(""https://docs.google.com/spreadsheets/d/1xmPlrr1QbdSIKvl1dWUl9K4PjAfSL9oeMr_37QVzcxc/edit?usp=sharing"",""สระบุรี!J473"")"),0)</f>
        <v>0</v>
      </c>
      <c r="CJ70" s="152">
        <f ca="1">IFERROR(__xludf.DUMMYFUNCTION("IMPORTRANGE(""https://docs.google.com/spreadsheets/d/1xmPlrr1QbdSIKvl1dWUl9K4PjAfSL9oeMr_37QVzcxc/edit?usp=sharing"",""สระบุรี!J474"")"),0)</f>
        <v>0</v>
      </c>
      <c r="CK70" s="278">
        <f ca="1">IFERROR(__xludf.DUMMYFUNCTION("IMPORTRANGE(""https://docs.google.com/spreadsheets/d/1xmPlrr1QbdSIKvl1dWUl9K4PjAfSL9oeMr_37QVzcxc/edit?usp=sharing"",""สระบุรี!I476"")"),0)</f>
        <v>0</v>
      </c>
      <c r="CL70" s="278">
        <f ca="1">IFERROR(__xludf.DUMMYFUNCTION("IMPORTRANGE(""https://docs.google.com/spreadsheets/d/1xmPlrr1QbdSIKvl1dWUl9K4PjAfSL9oeMr_37QVzcxc/edit?usp=sharing"",""สระบุรี!I477"")"),0)</f>
        <v>0</v>
      </c>
      <c r="CM70" s="278">
        <f ca="1">IFERROR(__xludf.DUMMYFUNCTION("IMPORTRANGE(""https://docs.google.com/spreadsheets/d/1xmPlrr1QbdSIKvl1dWUl9K4PjAfSL9oeMr_37QVzcxc/edit?usp=sharing"",""สระบุรี!J476"")"),0)</f>
        <v>0</v>
      </c>
      <c r="CN70" s="216">
        <f t="shared" ca="1" si="68"/>
        <v>0</v>
      </c>
      <c r="CO70" s="278">
        <f ca="1">IFERROR(__xludf.DUMMYFUNCTION("IMPORTRANGE(""https://docs.google.com/spreadsheets/d/1xmPlrr1QbdSIKvl1dWUl9K4PjAfSL9oeMr_37QVzcxc/edit?usp=sharing"",""สระบุรี!J477"")"),0)</f>
        <v>0</v>
      </c>
      <c r="CP70" s="216">
        <f t="shared" ca="1" si="69"/>
        <v>0</v>
      </c>
      <c r="CQ70" s="278">
        <f ca="1">IFERROR(__xludf.DUMMYFUNCTION("IMPORTRANGE(""https://docs.google.com/spreadsheets/d/1xmPlrr1QbdSIKvl1dWUl9K4PjAfSL9oeMr_37QVzcxc/edit?usp=sharing"",""สระบุรี!J478"")"),0)</f>
        <v>0</v>
      </c>
      <c r="CR70" s="278">
        <f ca="1">IFERROR(__xludf.DUMMYFUNCTION("IMPORTRANGE(""https://docs.google.com/spreadsheets/d/1xmPlrr1QbdSIKvl1dWUl9K4PjAfSL9oeMr_37QVzcxc/edit?usp=sharing"",""สระบุรี!J479"")"),0)</f>
        <v>0</v>
      </c>
      <c r="CS70" s="278">
        <f ca="1">IFERROR(__xludf.DUMMYFUNCTION("IMPORTRANGE(""https://docs.google.com/spreadsheets/d/1xmPlrr1QbdSIKvl1dWUl9K4PjAfSL9oeMr_37QVzcxc/edit?usp=sharing"",""สระบุรี!J480"")"),0)</f>
        <v>0</v>
      </c>
      <c r="CT70" s="278">
        <f ca="1">IFERROR(__xludf.DUMMYFUNCTION("IMPORTRANGE(""https://docs.google.com/spreadsheets/d/1xmPlrr1QbdSIKvl1dWUl9K4PjAfSL9oeMr_37QVzcxc/edit?usp=sharing"",""สระบุรี!J481"")"),0)</f>
        <v>0</v>
      </c>
      <c r="CU70" s="278">
        <f ca="1">IFERROR(__xludf.DUMMYFUNCTION("IMPORTRANGE(""https://docs.google.com/spreadsheets/d/1xmPlrr1QbdSIKvl1dWUl9K4PjAfSL9oeMr_37QVzcxc/edit?usp=sharing"",""สระบุรี!I484"")"),0)</f>
        <v>0</v>
      </c>
      <c r="CV70" s="278">
        <f ca="1">IFERROR(__xludf.DUMMYFUNCTION("IMPORTRANGE(""https://docs.google.com/spreadsheets/d/1xmPlrr1QbdSIKvl1dWUl9K4PjAfSL9oeMr_37QVzcxc/edit?usp=sharing"",""สระบุรี!I485"")"),0)</f>
        <v>0</v>
      </c>
      <c r="CW70" s="278">
        <f ca="1">IFERROR(__xludf.DUMMYFUNCTION("IMPORTRANGE(""https://docs.google.com/spreadsheets/d/1xmPlrr1QbdSIKvl1dWUl9K4PjAfSL9oeMr_37QVzcxc/edit?usp=sharing"",""สระบุรี!J484"")"),0)</f>
        <v>0</v>
      </c>
      <c r="CX70" s="216">
        <f t="shared" ca="1" si="71"/>
        <v>0</v>
      </c>
      <c r="CY70" s="278">
        <f ca="1">IFERROR(__xludf.DUMMYFUNCTION("IMPORTRANGE(""https://docs.google.com/spreadsheets/d/1xmPlrr1QbdSIKvl1dWUl9K4PjAfSL9oeMr_37QVzcxc/edit?usp=sharing"",""สระบุรี!J485"")"),0)</f>
        <v>0</v>
      </c>
      <c r="CZ70" s="216">
        <f t="shared" ca="1" si="72"/>
        <v>0</v>
      </c>
      <c r="DA70" s="278">
        <f ca="1">IFERROR(__xludf.DUMMYFUNCTION("IMPORTRANGE(""https://docs.google.com/spreadsheets/d/1xmPlrr1QbdSIKvl1dWUl9K4PjAfSL9oeMr_37QVzcxc/edit?usp=sharing"",""สระบุรี!J486"")"),0)</f>
        <v>0</v>
      </c>
      <c r="DB70" s="278">
        <f ca="1">IFERROR(__xludf.DUMMYFUNCTION("IMPORTRANGE(""https://docs.google.com/spreadsheets/d/1xmPlrr1QbdSIKvl1dWUl9K4PjAfSL9oeMr_37QVzcxc/edit?usp=sharing"",""สระบุรี!J487"")"),0)</f>
        <v>0</v>
      </c>
      <c r="DC70" s="278">
        <f ca="1">IFERROR(__xludf.DUMMYFUNCTION("IMPORTRANGE(""https://docs.google.com/spreadsheets/d/1xmPlrr1QbdSIKvl1dWUl9K4PjAfSL9oeMr_37QVzcxc/edit?usp=sharing"",""สระบุรี!J488"")"),0)</f>
        <v>0</v>
      </c>
      <c r="DD70" s="278">
        <f ca="1">IFERROR(__xludf.DUMMYFUNCTION("IMPORTRANGE(""https://docs.google.com/spreadsheets/d/1xmPlrr1QbdSIKvl1dWUl9K4PjAfSL9oeMr_37QVzcxc/edit?usp=sharing"",""สระบุรี!J489"")"),0)</f>
        <v>0</v>
      </c>
      <c r="DE70" s="278">
        <f ca="1">IFERROR(__xludf.DUMMYFUNCTION("IMPORTRANGE(""https://docs.google.com/spreadsheets/d/1xmPlrr1QbdSIKvl1dWUl9K4PjAfSL9oeMr_37QVzcxc/edit?usp=sharing"",""สระบุรี!J490"")"),0)</f>
        <v>0</v>
      </c>
      <c r="DF70" s="278">
        <f ca="1">IFERROR(__xludf.DUMMYFUNCTION("IMPORTRANGE(""https://docs.google.com/spreadsheets/d/1xmPlrr1QbdSIKvl1dWUl9K4PjAfSL9oeMr_37QVzcxc/edit?usp=sharing"",""สระบุรี!J491"")"),0)</f>
        <v>0</v>
      </c>
    </row>
    <row r="71" spans="1:110" ht="19.5" x14ac:dyDescent="0.3">
      <c r="A71" s="147">
        <v>19</v>
      </c>
      <c r="B71" s="148" t="s">
        <v>99</v>
      </c>
      <c r="C71" s="566">
        <f t="shared" ca="1" si="44"/>
        <v>0</v>
      </c>
      <c r="D71" s="567">
        <f t="shared" ca="1" si="94"/>
        <v>0</v>
      </c>
      <c r="E71" s="329">
        <f ca="1">IFERROR(__xludf.DUMMYFUNCTION("IMPORTRANGE(""https://docs.google.com/spreadsheets/d/1-uDff_7J0KD5mKrp0Vvzr7lt3OU09vwQwhkpOPPYv2Y/edit?usp=sharing"",""งบพรบ!IP71"")"),0)</f>
        <v>0</v>
      </c>
      <c r="F71" s="329">
        <f ca="1">IFERROR(__xludf.DUMMYFUNCTION("IMPORTRANGE(""https://docs.google.com/spreadsheets/d/1-uDff_7J0KD5mKrp0Vvzr7lt3OU09vwQwhkpOPPYv2Y/edit?usp=sharing"",""งบพรบ!IQ71"")"),0)</f>
        <v>0</v>
      </c>
      <c r="G71" s="329">
        <f ca="1">IFERROR(__xludf.DUMMYFUNCTION("IMPORTRANGE(""https://docs.google.com/spreadsheets/d/1-uDff_7J0KD5mKrp0Vvzr7lt3OU09vwQwhkpOPPYv2Y/edit?usp=sharing"",""งบพรบ!IR71"")"),0)</f>
        <v>0</v>
      </c>
      <c r="H71" s="329">
        <f ca="1">IFERROR(__xludf.DUMMYFUNCTION("IMPORTRANGE(""https://docs.google.com/spreadsheets/d/1-uDff_7J0KD5mKrp0Vvzr7lt3OU09vwQwhkpOPPYv2Y/edit?usp=sharing"",""งบพรบ!IT71"")"),0)</f>
        <v>0</v>
      </c>
      <c r="I71" s="329">
        <f ca="1">IFERROR(__xludf.DUMMYFUNCTION("IMPORTRANGE(""https://docs.google.com/spreadsheets/d/1-uDff_7J0KD5mKrp0Vvzr7lt3OU09vwQwhkpOPPYv2Y/edit?usp=sharing"",""งบพรบ!IU71"")"),0)</f>
        <v>0</v>
      </c>
      <c r="J71" s="329">
        <f t="shared" ca="1" si="46"/>
        <v>0</v>
      </c>
      <c r="K71" s="568">
        <f t="shared" ca="1" si="47"/>
        <v>0</v>
      </c>
      <c r="L71" s="329">
        <f ca="1">IFERROR(__xludf.DUMMYFUNCTION("IMPORTRANGE(""https://docs.google.com/spreadsheets/d/1-uDff_7J0KD5mKrp0Vvzr7lt3OU09vwQwhkpOPPYv2Y/edit?usp=sharing"",""งบพรบ!IV71"")"),0)</f>
        <v>0</v>
      </c>
      <c r="M71" s="330">
        <f t="shared" ca="1" si="48"/>
        <v>0</v>
      </c>
      <c r="N71" s="330">
        <f t="shared" ca="1" si="49"/>
        <v>0</v>
      </c>
      <c r="O71" s="569">
        <f ca="1">IFERROR(__xludf.DUMMYFUNCTION("IMPORTRANGE(""https://docs.google.com/spreadsheets/d/1-uDff_7J0KD5mKrp0Vvzr7lt3OU09vwQwhkpOPPYv2Y/edit?usp=sharing"",""งบพรบ!IW71"")"),0)</f>
        <v>0</v>
      </c>
      <c r="P71" s="569">
        <f t="shared" ca="1" si="50"/>
        <v>0</v>
      </c>
      <c r="Q71" s="330">
        <f t="shared" ca="1" si="51"/>
        <v>0</v>
      </c>
      <c r="R71" s="564">
        <f ca="1">IFERROR(__xludf.DUMMYFUNCTION("IMPORTRANGE(""https://docs.google.com/spreadsheets/d/1j51vR6CYVGhABJpv6tkstgok82RLpXieLzW1yOY5rHw/edit?usp=sharing"",""สิงห์บุรี!Q413"")"),0)</f>
        <v>0</v>
      </c>
      <c r="S71" s="564">
        <f ca="1">IFERROR(__xludf.DUMMYFUNCTION("IMPORTRANGE(""https://docs.google.com/spreadsheets/d/1j51vR6CYVGhABJpv6tkstgok82RLpXieLzW1yOY5rHw/edit?usp=sharing"",""สิงห์บุรี!R413"")"),0)</f>
        <v>0</v>
      </c>
      <c r="T71" s="564">
        <f ca="1">IFERROR(__xludf.DUMMYFUNCTION("IMPORTRANGE(""https://docs.google.com/spreadsheets/d/1j51vR6CYVGhABJpv6tkstgok82RLpXieLzW1yOY5rHw/edit?usp=sharing"",""สิงห์บุรี!S413"")"),0)</f>
        <v>0</v>
      </c>
      <c r="U71" s="565">
        <f t="shared" ca="1" si="53"/>
        <v>0</v>
      </c>
      <c r="V71" s="565">
        <f t="shared" ca="1" si="54"/>
        <v>0</v>
      </c>
      <c r="W71" s="152">
        <f ca="1">IFERROR(__xludf.DUMMYFUNCTION("IMPORTRANGE(""https://docs.google.com/spreadsheets/d/1j51vR6CYVGhABJpv6tkstgok82RLpXieLzW1yOY5rHw/edit?usp=sharing"",""สิงห์บุรี!I424"")"),0)</f>
        <v>0</v>
      </c>
      <c r="X71" s="152">
        <f ca="1">IFERROR(__xludf.DUMMYFUNCTION("IMPORTRANGE(""https://docs.google.com/spreadsheets/d/1j51vR6CYVGhABJpv6tkstgok82RLpXieLzW1yOY5rHw/edit?usp=sharing"",""สิงห์บุรี!I425"")"),0)</f>
        <v>0</v>
      </c>
      <c r="Y71" s="152">
        <f ca="1">IFERROR(__xludf.DUMMYFUNCTION("IMPORTRANGE(""https://docs.google.com/spreadsheets/d/1j51vR6CYVGhABJpv6tkstgok82RLpXieLzW1yOY5rHw/edit?usp=sharing"",""สิงห์บุรี!J424"")"),0)</f>
        <v>0</v>
      </c>
      <c r="Z71" s="216">
        <f t="shared" ca="1" si="56"/>
        <v>0</v>
      </c>
      <c r="AA71" s="152">
        <f ca="1">IFERROR(__xludf.DUMMYFUNCTION("IMPORTRANGE(""https://docs.google.com/spreadsheets/d/1j51vR6CYVGhABJpv6tkstgok82RLpXieLzW1yOY5rHw/edit?usp=sharing"",""สิงห์บุรี!J425"")"),0)</f>
        <v>0</v>
      </c>
      <c r="AB71" s="216">
        <f t="shared" ca="1" si="57"/>
        <v>0</v>
      </c>
      <c r="AC71" s="152">
        <f ca="1">IFERROR(__xludf.DUMMYFUNCTION("IMPORTRANGE(""https://docs.google.com/spreadsheets/d/1j51vR6CYVGhABJpv6tkstgok82RLpXieLzW1yOY5rHw/edit?usp=sharing"",""สิงห์บุรี!J426"")"),0)</f>
        <v>0</v>
      </c>
      <c r="AD71" s="152">
        <f ca="1">IFERROR(__xludf.DUMMYFUNCTION("IMPORTRANGE(""https://docs.google.com/spreadsheets/d/1j51vR6CYVGhABJpv6tkstgok82RLpXieLzW1yOY5rHw/edit?usp=sharing"",""สิงห์บุรี!J427"")"),0)</f>
        <v>0</v>
      </c>
      <c r="AE71" s="152">
        <f ca="1">IFERROR(__xludf.DUMMYFUNCTION("IMPORTRANGE(""https://docs.google.com/spreadsheets/d/1j51vR6CYVGhABJpv6tkstgok82RLpXieLzW1yOY5rHw/edit?usp=sharing"",""สิงห์บุรี!J428"")"),0)</f>
        <v>0</v>
      </c>
      <c r="AF71" s="152">
        <f ca="1">IFERROR(__xludf.DUMMYFUNCTION("IMPORTRANGE(""https://docs.google.com/spreadsheets/d/1j51vR6CYVGhABJpv6tkstgok82RLpXieLzW1yOY5rHw/edit?usp=sharing"",""สิงห์บุรี!J429"")"),0)</f>
        <v>0</v>
      </c>
      <c r="AG71" s="152">
        <f ca="1">IFERROR(__xludf.DUMMYFUNCTION("IMPORTRANGE(""https://docs.google.com/spreadsheets/d/1j51vR6CYVGhABJpv6tkstgok82RLpXieLzW1yOY5rHw/edit?usp=sharing"",""สิงห์บุรี!J430"")"),0)</f>
        <v>0</v>
      </c>
      <c r="AH71" s="152">
        <f ca="1">IFERROR(__xludf.DUMMYFUNCTION("IMPORTRANGE(""https://docs.google.com/spreadsheets/d/1j51vR6CYVGhABJpv6tkstgok82RLpXieLzW1yOY5rHw/edit?usp=sharing"",""สิงห์บุรี!J431"")"),0)</f>
        <v>0</v>
      </c>
      <c r="AI71" s="152">
        <f ca="1">IFERROR(__xludf.DUMMYFUNCTION("IMPORTRANGE(""https://docs.google.com/spreadsheets/d/1j51vR6CYVGhABJpv6tkstgok82RLpXieLzW1yOY5rHw/edit?usp=sharing"",""สิงห์บุรี!I432"")"),0)</f>
        <v>0</v>
      </c>
      <c r="AJ71" s="152">
        <f ca="1">IFERROR(__xludf.DUMMYFUNCTION("IMPORTRANGE(""https://docs.google.com/spreadsheets/d/1j51vR6CYVGhABJpv6tkstgok82RLpXieLzW1yOY5rHw/edit?usp=sharing"",""สิงห์บุรี!I433"")"),0)</f>
        <v>0</v>
      </c>
      <c r="AK71" s="216">
        <f ca="1">IFERROR(__xludf.DUMMYFUNCTION("IMPORTRANGE(""https://docs.google.com/spreadsheets/d/1j51vR6CYVGhABJpv6tkstgok82RLpXieLzW1yOY5rHw/edit?usp=sharing"",""สิงห์บุรี!J432"")"),0)</f>
        <v>0</v>
      </c>
      <c r="AL71" s="216">
        <f t="shared" ca="1" si="59"/>
        <v>0</v>
      </c>
      <c r="AM71" s="152">
        <f ca="1">IFERROR(__xludf.DUMMYFUNCTION("IMPORTRANGE(""https://docs.google.com/spreadsheets/d/1j51vR6CYVGhABJpv6tkstgok82RLpXieLzW1yOY5rHw/edit?usp=sharing"",""สิงห์บุรี!J433"")"),0)</f>
        <v>0</v>
      </c>
      <c r="AN71" s="216">
        <f t="shared" ca="1" si="60"/>
        <v>0</v>
      </c>
      <c r="AO71" s="152">
        <f ca="1">IFERROR(__xludf.DUMMYFUNCTION("IMPORTRANGE(""https://docs.google.com/spreadsheets/d/1j51vR6CYVGhABJpv6tkstgok82RLpXieLzW1yOY5rHw/edit?usp=sharing"",""สิงห์บุรี!J434"")"),0)</f>
        <v>0</v>
      </c>
      <c r="AP71" s="152">
        <f ca="1">IFERROR(__xludf.DUMMYFUNCTION("IMPORTRANGE(""https://docs.google.com/spreadsheets/d/1j51vR6CYVGhABJpv6tkstgok82RLpXieLzW1yOY5rHw/edit?usp=sharing"",""สิงห์บุรี!J435"")"),0)</f>
        <v>0</v>
      </c>
      <c r="AQ71" s="152">
        <f ca="1">IFERROR(__xludf.DUMMYFUNCTION("IMPORTRANGE(""https://docs.google.com/spreadsheets/d/1j51vR6CYVGhABJpv6tkstgok82RLpXieLzW1yOY5rHw/edit?usp=sharing"",""สิงห์บุรี!J436"")"),0)</f>
        <v>0</v>
      </c>
      <c r="AR71" s="152">
        <f ca="1">IFERROR(__xludf.DUMMYFUNCTION("IMPORTRANGE(""https://docs.google.com/spreadsheets/d/1j51vR6CYVGhABJpv6tkstgok82RLpXieLzW1yOY5rHw/edit?usp=sharing"",""สิงห์บุรี!J437"")"),0)</f>
        <v>0</v>
      </c>
      <c r="AS71" s="152">
        <f ca="1">IFERROR(__xludf.DUMMYFUNCTION("IMPORTRANGE(""https://docs.google.com/spreadsheets/d/1j51vR6CYVGhABJpv6tkstgok82RLpXieLzW1yOY5rHw/edit?usp=sharing"",""สิงห์บุรี!J438"")"),0)</f>
        <v>0</v>
      </c>
      <c r="AT71" s="152">
        <f ca="1">IFERROR(__xludf.DUMMYFUNCTION("IMPORTRANGE(""https://docs.google.com/spreadsheets/d/1j51vR6CYVGhABJpv6tkstgok82RLpXieLzW1yOY5rHw/edit?usp=sharing"",""สิงห์บุรี!J439"")"),0)</f>
        <v>0</v>
      </c>
      <c r="AU71" s="152">
        <f ca="1">IFERROR(__xludf.DUMMYFUNCTION("IMPORTRANGE(""https://docs.google.com/spreadsheets/d/1j51vR6CYVGhABJpv6tkstgok82RLpXieLzW1yOY5rHw/edit?usp=sharing"",""สิงห์บุรี!I440"")"),0)</f>
        <v>0</v>
      </c>
      <c r="AV71" s="152">
        <f ca="1">IFERROR(__xludf.DUMMYFUNCTION("IMPORTRANGE(""https://docs.google.com/spreadsheets/d/1j51vR6CYVGhABJpv6tkstgok82RLpXieLzW1yOY5rHw/edit?usp=sharing"",""สิงห์บุรี!I441"")"),0)</f>
        <v>0</v>
      </c>
      <c r="AW71" s="152">
        <f ca="1">IFERROR(__xludf.DUMMYFUNCTION("IMPORTRANGE(""https://docs.google.com/spreadsheets/d/1j51vR6CYVGhABJpv6tkstgok82RLpXieLzW1yOY5rHw/edit?usp=sharing"",""สิงห์บุรี!J440"")"),0)</f>
        <v>0</v>
      </c>
      <c r="AX71" s="216">
        <f t="shared" ca="1" si="62"/>
        <v>0</v>
      </c>
      <c r="AY71" s="152">
        <f ca="1">IFERROR(__xludf.DUMMYFUNCTION("IMPORTRANGE(""https://docs.google.com/spreadsheets/d/1j51vR6CYVGhABJpv6tkstgok82RLpXieLzW1yOY5rHw/edit?usp=sharing"",""สิงห์บุรี!J441"")"),0)</f>
        <v>0</v>
      </c>
      <c r="AZ71" s="216">
        <f t="shared" ca="1" si="63"/>
        <v>0</v>
      </c>
      <c r="BA71" s="152">
        <f ca="1">IFERROR(__xludf.DUMMYFUNCTION("IMPORTRANGE(""https://docs.google.com/spreadsheets/d/1j51vR6CYVGhABJpv6tkstgok82RLpXieLzW1yOY5rHw/edit?usp=sharing"",""สิงห์บุรี!J442"")"),0)</f>
        <v>0</v>
      </c>
      <c r="BB71" s="152">
        <f ca="1">IFERROR(__xludf.DUMMYFUNCTION("IMPORTRANGE(""https://docs.google.com/spreadsheets/d/1j51vR6CYVGhABJpv6tkstgok82RLpXieLzW1yOY5rHw/edit?usp=sharing"",""สิงห์บุรี!J443"")"),0)</f>
        <v>0</v>
      </c>
      <c r="BC71" s="152">
        <f ca="1">IFERROR(__xludf.DUMMYFUNCTION("IMPORTRANGE(""https://docs.google.com/spreadsheets/d/1j51vR6CYVGhABJpv6tkstgok82RLpXieLzW1yOY5rHw/edit?usp=sharing"",""สิงห์บุรี!J444"")"),0)</f>
        <v>0</v>
      </c>
      <c r="BD71" s="152">
        <f ca="1">IFERROR(__xludf.DUMMYFUNCTION("IMPORTRANGE(""https://docs.google.com/spreadsheets/d/1j51vR6CYVGhABJpv6tkstgok82RLpXieLzW1yOY5rHw/edit?usp=sharing"",""สิงห์บุรี!J445"")"),0)</f>
        <v>0</v>
      </c>
      <c r="BE71" s="152">
        <f ca="1">IFERROR(__xludf.DUMMYFUNCTION("IMPORTRANGE(""https://docs.google.com/spreadsheets/d/1j51vR6CYVGhABJpv6tkstgok82RLpXieLzW1yOY5rHw/edit?usp=sharing"",""สิงห์บุรี!J446"")"),0)</f>
        <v>0</v>
      </c>
      <c r="BF71" s="152">
        <f ca="1">IFERROR(__xludf.DUMMYFUNCTION("IMPORTRANGE(""https://docs.google.com/spreadsheets/d/1j51vR6CYVGhABJpv6tkstgok82RLpXieLzW1yOY5rHw/edit?usp=sharing"",""สิงห์บุรี!J447"")"),0)</f>
        <v>0</v>
      </c>
      <c r="BG71" s="152">
        <f ca="1">IFERROR(__xludf.DUMMYFUNCTION("IMPORTRANGE(""https://docs.google.com/spreadsheets/d/1j51vR6CYVGhABJpv6tkstgok82RLpXieLzW1yOY5rHw/edit?usp=sharing"",""สิงห์บุรี!J448"")"),0)</f>
        <v>0</v>
      </c>
      <c r="BH71" s="152">
        <f ca="1">IFERROR(__xludf.DUMMYFUNCTION("IMPORTRANGE(""https://docs.google.com/spreadsheets/d/1j51vR6CYVGhABJpv6tkstgok82RLpXieLzW1yOY5rHw/edit?usp=sharing"",""สิงห์บุรี!J449"")"),0)</f>
        <v>0</v>
      </c>
      <c r="BI71" s="152">
        <f ca="1">IFERROR(__xludf.DUMMYFUNCTION("IMPORTRANGE(""https://docs.google.com/spreadsheets/d/1j51vR6CYVGhABJpv6tkstgok82RLpXieLzW1yOY5rHw/edit?usp=sharing"",""สิงห์บุรี!J450"")"),0)</f>
        <v>0</v>
      </c>
      <c r="BJ71" s="152">
        <f ca="1">IFERROR(__xludf.DUMMYFUNCTION("IMPORTRANGE(""https://docs.google.com/spreadsheets/d/1j51vR6CYVGhABJpv6tkstgok82RLpXieLzW1yOY5rHw/edit?usp=sharing"",""สิงห์บุรี!J451"")"),0)</f>
        <v>0</v>
      </c>
      <c r="BK71" s="152">
        <f ca="1">IFERROR(__xludf.DUMMYFUNCTION("IMPORTRANGE(""https://docs.google.com/spreadsheets/d/1j51vR6CYVGhABJpv6tkstgok82RLpXieLzW1yOY5rHw/edit?usp=sharing"",""สิงห์บุรี!J452"")"),0)</f>
        <v>0</v>
      </c>
      <c r="BL71" s="152">
        <f ca="1">IFERROR(__xludf.DUMMYFUNCTION("IMPORTRANGE(""https://docs.google.com/spreadsheets/d/1j51vR6CYVGhABJpv6tkstgok82RLpXieLzW1yOY5rHw/edit?usp=sharing"",""สิงห์บุรี!J453"")"),0)</f>
        <v>0</v>
      </c>
      <c r="BM71" s="152">
        <f ca="1">IFERROR(__xludf.DUMMYFUNCTION("IMPORTRANGE(""https://docs.google.com/spreadsheets/d/1j51vR6CYVGhABJpv6tkstgok82RLpXieLzW1yOY5rHw/edit?usp=sharing"",""สิงห์บุรี!J454"")"),0)</f>
        <v>0</v>
      </c>
      <c r="BN71" s="152">
        <f ca="1">IFERROR(__xludf.DUMMYFUNCTION("IMPORTRANGE(""https://docs.google.com/spreadsheets/d/1j51vR6CYVGhABJpv6tkstgok82RLpXieLzW1yOY5rHw/edit?usp=sharing"",""สิงห์บุรี!J455"")"),0)</f>
        <v>0</v>
      </c>
      <c r="BO71" s="152">
        <f ca="1">IFERROR(__xludf.DUMMYFUNCTION("IMPORTRANGE(""https://docs.google.com/spreadsheets/d/1j51vR6CYVGhABJpv6tkstgok82RLpXieLzW1yOY5rHw/edit?usp=sharing"",""สิงห์บุรี!I457"")"),0)</f>
        <v>0</v>
      </c>
      <c r="BP71" s="152">
        <f ca="1">IFERROR(__xludf.DUMMYFUNCTION("IMPORTRANGE(""https://docs.google.com/spreadsheets/d/1j51vR6CYVGhABJpv6tkstgok82RLpXieLzW1yOY5rHw/edit?usp=sharing"",""สิงห์บุรี!I458"")"),0)</f>
        <v>0</v>
      </c>
      <c r="BQ71" s="152">
        <f ca="1">IFERROR(__xludf.DUMMYFUNCTION("IMPORTRANGE(""https://docs.google.com/spreadsheets/d/1j51vR6CYVGhABJpv6tkstgok82RLpXieLzW1yOY5rHw/edit?usp=sharing"",""สิงห์บุรี!J457"")"),0)</f>
        <v>0</v>
      </c>
      <c r="BR71" s="216">
        <f t="shared" ca="1" si="65"/>
        <v>0</v>
      </c>
      <c r="BS71" s="152">
        <f ca="1">IFERROR(__xludf.DUMMYFUNCTION("IMPORTRANGE(""https://docs.google.com/spreadsheets/d/1j51vR6CYVGhABJpv6tkstgok82RLpXieLzW1yOY5rHw/edit?usp=sharing"",""สิงห์บุรี!J458"")"),0)</f>
        <v>0</v>
      </c>
      <c r="BT71" s="216">
        <f t="shared" ca="1" si="66"/>
        <v>0</v>
      </c>
      <c r="BU71" s="152">
        <f ca="1">IFERROR(__xludf.DUMMYFUNCTION("IMPORTRANGE(""https://docs.google.com/spreadsheets/d/1j51vR6CYVGhABJpv6tkstgok82RLpXieLzW1yOY5rHw/edit?usp=sharing"",""สิงห์บุรี!J459"")"),0)</f>
        <v>0</v>
      </c>
      <c r="BV71" s="152">
        <f ca="1">IFERROR(__xludf.DUMMYFUNCTION("IMPORTRANGE(""https://docs.google.com/spreadsheets/d/1j51vR6CYVGhABJpv6tkstgok82RLpXieLzW1yOY5rHw/edit?usp=sharing"",""สิงห์บุรี!J460"")"),0)</f>
        <v>0</v>
      </c>
      <c r="BW71" s="152">
        <f ca="1">IFERROR(__xludf.DUMMYFUNCTION("IMPORTRANGE(""https://docs.google.com/spreadsheets/d/1j51vR6CYVGhABJpv6tkstgok82RLpXieLzW1yOY5rHw/edit?usp=sharing"",""สิงห์บุรี!J461"")"),0)</f>
        <v>0</v>
      </c>
      <c r="BX71" s="152">
        <f ca="1">IFERROR(__xludf.DUMMYFUNCTION("IMPORTRANGE(""https://docs.google.com/spreadsheets/d/1j51vR6CYVGhABJpv6tkstgok82RLpXieLzW1yOY5rHw/edit?usp=sharing"",""สิงห์บุรี!J462"")"),0)</f>
        <v>0</v>
      </c>
      <c r="BY71" s="152">
        <f ca="1">IFERROR(__xludf.DUMMYFUNCTION("IMPORTRANGE(""https://docs.google.com/spreadsheets/d/1j51vR6CYVGhABJpv6tkstgok82RLpXieLzW1yOY5rHw/edit?usp=sharing"",""สิงห์บุรี!J463"")"),0)</f>
        <v>0</v>
      </c>
      <c r="BZ71" s="152">
        <f ca="1">IFERROR(__xludf.DUMMYFUNCTION("IMPORTRANGE(""https://docs.google.com/spreadsheets/d/1j51vR6CYVGhABJpv6tkstgok82RLpXieLzW1yOY5rHw/edit?usp=sharing"",""สิงห์บุรี!J464"")"),0)</f>
        <v>0</v>
      </c>
      <c r="CA71" s="152">
        <f ca="1">IFERROR(__xludf.DUMMYFUNCTION("IMPORTRANGE(""https://docs.google.com/spreadsheets/d/1j51vR6CYVGhABJpv6tkstgok82RLpXieLzW1yOY5rHw/edit?usp=sharing"",""สิงห์บุรี!J465"")"),0)</f>
        <v>0</v>
      </c>
      <c r="CB71" s="152">
        <f ca="1">IFERROR(__xludf.DUMMYFUNCTION("IMPORTRANGE(""https://docs.google.com/spreadsheets/d/1j51vR6CYVGhABJpv6tkstgok82RLpXieLzW1yOY5rHw/edit?usp=sharing"",""สิงห์บุรี!J466"")"),0)</f>
        <v>0</v>
      </c>
      <c r="CC71" s="152">
        <f ca="1">IFERROR(__xludf.DUMMYFUNCTION("IMPORTRANGE(""https://docs.google.com/spreadsheets/d/1j51vR6CYVGhABJpv6tkstgok82RLpXieLzW1yOY5rHw/edit?usp=sharing"",""สิงห์บุรี!J467"")"),0)</f>
        <v>0</v>
      </c>
      <c r="CD71" s="152">
        <f ca="1">IFERROR(__xludf.DUMMYFUNCTION("IMPORTRANGE(""https://docs.google.com/spreadsheets/d/1j51vR6CYVGhABJpv6tkstgok82RLpXieLzW1yOY5rHw/edit?usp=sharing"",""สิงห์บุรี!J468"")"),0)</f>
        <v>0</v>
      </c>
      <c r="CE71" s="152">
        <f ca="1">IFERROR(__xludf.DUMMYFUNCTION("IMPORTRANGE(""https://docs.google.com/spreadsheets/d/1j51vR6CYVGhABJpv6tkstgok82RLpXieLzW1yOY5rHw/edit?usp=sharing"",""สิงห์บุรี!J469"")"),0)</f>
        <v>0</v>
      </c>
      <c r="CF71" s="152">
        <f ca="1">IFERROR(__xludf.DUMMYFUNCTION("IMPORTRANGE(""https://docs.google.com/spreadsheets/d/1j51vR6CYVGhABJpv6tkstgok82RLpXieLzW1yOY5rHw/edit?usp=sharing"",""สิงห์บุรี!J470"")"),0)</f>
        <v>0</v>
      </c>
      <c r="CG71" s="152">
        <f ca="1">IFERROR(__xludf.DUMMYFUNCTION("IMPORTRANGE(""https://docs.google.com/spreadsheets/d/1j51vR6CYVGhABJpv6tkstgok82RLpXieLzW1yOY5rHw/edit?usp=sharing"",""สิงห์บุรี!J471"")"),0)</f>
        <v>0</v>
      </c>
      <c r="CH71" s="152">
        <f ca="1">IFERROR(__xludf.DUMMYFUNCTION("IMPORTRANGE(""https://docs.google.com/spreadsheets/d/1j51vR6CYVGhABJpv6tkstgok82RLpXieLzW1yOY5rHw/edit?usp=sharing"",""สิงห์บุรี!J472"")"),0)</f>
        <v>0</v>
      </c>
      <c r="CI71" s="152">
        <f ca="1">IFERROR(__xludf.DUMMYFUNCTION("IMPORTRANGE(""https://docs.google.com/spreadsheets/d/1j51vR6CYVGhABJpv6tkstgok82RLpXieLzW1yOY5rHw/edit?usp=sharing"",""สิงห์บุรี!J473"")"),0)</f>
        <v>0</v>
      </c>
      <c r="CJ71" s="152">
        <f ca="1">IFERROR(__xludf.DUMMYFUNCTION("IMPORTRANGE(""https://docs.google.com/spreadsheets/d/1j51vR6CYVGhABJpv6tkstgok82RLpXieLzW1yOY5rHw/edit?usp=sharing"",""สิงห์บุรี!J474"")"),0)</f>
        <v>0</v>
      </c>
      <c r="CK71" s="278">
        <f ca="1">IFERROR(__xludf.DUMMYFUNCTION("IMPORTRANGE(""https://docs.google.com/spreadsheets/d/1j51vR6CYVGhABJpv6tkstgok82RLpXieLzW1yOY5rHw/edit?usp=sharing"",""สิงห์บุรี!I476"")"),0)</f>
        <v>0</v>
      </c>
      <c r="CL71" s="278">
        <f ca="1">IFERROR(__xludf.DUMMYFUNCTION("IMPORTRANGE(""https://docs.google.com/spreadsheets/d/1j51vR6CYVGhABJpv6tkstgok82RLpXieLzW1yOY5rHw/edit?usp=sharing"",""สิงห์บุรี!I477"")"),0)</f>
        <v>0</v>
      </c>
      <c r="CM71" s="278">
        <f ca="1">IFERROR(__xludf.DUMMYFUNCTION("IMPORTRANGE(""https://docs.google.com/spreadsheets/d/1j51vR6CYVGhABJpv6tkstgok82RLpXieLzW1yOY5rHw/edit?usp=sharing"",""สิงห์บุรี!J476"")"),0)</f>
        <v>0</v>
      </c>
      <c r="CN71" s="216">
        <f t="shared" ca="1" si="68"/>
        <v>0</v>
      </c>
      <c r="CO71" s="278">
        <f ca="1">IFERROR(__xludf.DUMMYFUNCTION("IMPORTRANGE(""https://docs.google.com/spreadsheets/d/1j51vR6CYVGhABJpv6tkstgok82RLpXieLzW1yOY5rHw/edit?usp=sharing"",""สิงห์บุรี!J477"")"),0)</f>
        <v>0</v>
      </c>
      <c r="CP71" s="216">
        <f t="shared" ca="1" si="69"/>
        <v>0</v>
      </c>
      <c r="CQ71" s="278">
        <f ca="1">IFERROR(__xludf.DUMMYFUNCTION("IMPORTRANGE(""https://docs.google.com/spreadsheets/d/1j51vR6CYVGhABJpv6tkstgok82RLpXieLzW1yOY5rHw/edit?usp=sharing"",""สิงห์บุรี!J478"")"),0)</f>
        <v>0</v>
      </c>
      <c r="CR71" s="278">
        <f ca="1">IFERROR(__xludf.DUMMYFUNCTION("IMPORTRANGE(""https://docs.google.com/spreadsheets/d/1j51vR6CYVGhABJpv6tkstgok82RLpXieLzW1yOY5rHw/edit?usp=sharing"",""สิงห์บุรี!J479"")"),0)</f>
        <v>0</v>
      </c>
      <c r="CS71" s="278">
        <f ca="1">IFERROR(__xludf.DUMMYFUNCTION("IMPORTRANGE(""https://docs.google.com/spreadsheets/d/1j51vR6CYVGhABJpv6tkstgok82RLpXieLzW1yOY5rHw/edit?usp=sharing"",""สิงห์บุรี!J480"")"),0)</f>
        <v>0</v>
      </c>
      <c r="CT71" s="278">
        <f ca="1">IFERROR(__xludf.DUMMYFUNCTION("IMPORTRANGE(""https://docs.google.com/spreadsheets/d/1j51vR6CYVGhABJpv6tkstgok82RLpXieLzW1yOY5rHw/edit?usp=sharing"",""สิงห์บุรี!J481"")"),0)</f>
        <v>0</v>
      </c>
      <c r="CU71" s="278">
        <f ca="1">IFERROR(__xludf.DUMMYFUNCTION("IMPORTRANGE(""https://docs.google.com/spreadsheets/d/1j51vR6CYVGhABJpv6tkstgok82RLpXieLzW1yOY5rHw/edit?usp=sharing"",""สิงห์บุรี!I484"")"),0)</f>
        <v>0</v>
      </c>
      <c r="CV71" s="278">
        <f ca="1">IFERROR(__xludf.DUMMYFUNCTION("IMPORTRANGE(""https://docs.google.com/spreadsheets/d/1j51vR6CYVGhABJpv6tkstgok82RLpXieLzW1yOY5rHw/edit?usp=sharing"",""สิงห์บุรี!I485"")"),0)</f>
        <v>0</v>
      </c>
      <c r="CW71" s="278">
        <f ca="1">IFERROR(__xludf.DUMMYFUNCTION("IMPORTRANGE(""https://docs.google.com/spreadsheets/d/1j51vR6CYVGhABJpv6tkstgok82RLpXieLzW1yOY5rHw/edit?usp=sharing"",""สิงห์บุรี!J484"")"),0)</f>
        <v>0</v>
      </c>
      <c r="CX71" s="216">
        <f t="shared" ca="1" si="71"/>
        <v>0</v>
      </c>
      <c r="CY71" s="278">
        <f ca="1">IFERROR(__xludf.DUMMYFUNCTION("IMPORTRANGE(""https://docs.google.com/spreadsheets/d/1j51vR6CYVGhABJpv6tkstgok82RLpXieLzW1yOY5rHw/edit?usp=sharing"",""สิงห์บุรี!J485"")"),0)</f>
        <v>0</v>
      </c>
      <c r="CZ71" s="216">
        <f t="shared" ca="1" si="72"/>
        <v>0</v>
      </c>
      <c r="DA71" s="278">
        <f ca="1">IFERROR(__xludf.DUMMYFUNCTION("IMPORTRANGE(""https://docs.google.com/spreadsheets/d/1j51vR6CYVGhABJpv6tkstgok82RLpXieLzW1yOY5rHw/edit?usp=sharing"",""สิงห์บุรี!J486"")"),0)</f>
        <v>0</v>
      </c>
      <c r="DB71" s="278">
        <f ca="1">IFERROR(__xludf.DUMMYFUNCTION("IMPORTRANGE(""https://docs.google.com/spreadsheets/d/1j51vR6CYVGhABJpv6tkstgok82RLpXieLzW1yOY5rHw/edit?usp=sharing"",""สิงห์บุรี!J487"")"),0)</f>
        <v>0</v>
      </c>
      <c r="DC71" s="278">
        <f ca="1">IFERROR(__xludf.DUMMYFUNCTION("IMPORTRANGE(""https://docs.google.com/spreadsheets/d/1j51vR6CYVGhABJpv6tkstgok82RLpXieLzW1yOY5rHw/edit?usp=sharing"",""สิงห์บุรี!J488"")"),0)</f>
        <v>0</v>
      </c>
      <c r="DD71" s="278">
        <f ca="1">IFERROR(__xludf.DUMMYFUNCTION("IMPORTRANGE(""https://docs.google.com/spreadsheets/d/1j51vR6CYVGhABJpv6tkstgok82RLpXieLzW1yOY5rHw/edit?usp=sharing"",""สิงห์บุรี!J489"")"),0)</f>
        <v>0</v>
      </c>
      <c r="DE71" s="278">
        <f ca="1">IFERROR(__xludf.DUMMYFUNCTION("IMPORTRANGE(""https://docs.google.com/spreadsheets/d/1j51vR6CYVGhABJpv6tkstgok82RLpXieLzW1yOY5rHw/edit?usp=sharing"",""สิงห์บุรี!J490"")"),0)</f>
        <v>0</v>
      </c>
      <c r="DF71" s="278">
        <f ca="1">IFERROR(__xludf.DUMMYFUNCTION("IMPORTRANGE(""https://docs.google.com/spreadsheets/d/1j51vR6CYVGhABJpv6tkstgok82RLpXieLzW1yOY5rHw/edit?usp=sharing"",""สิงห์บุรี!J491"")"),0)</f>
        <v>0</v>
      </c>
    </row>
    <row r="72" spans="1:110" ht="19.5" x14ac:dyDescent="0.3">
      <c r="A72" s="147">
        <v>20</v>
      </c>
      <c r="B72" s="148" t="s">
        <v>100</v>
      </c>
      <c r="C72" s="566">
        <f t="shared" ca="1" si="44"/>
        <v>52420</v>
      </c>
      <c r="D72" s="567">
        <f t="shared" ca="1" si="94"/>
        <v>52420</v>
      </c>
      <c r="E72" s="329">
        <f ca="1">IFERROR(__xludf.DUMMYFUNCTION("IMPORTRANGE(""https://docs.google.com/spreadsheets/d/1-uDff_7J0KD5mKrp0Vvzr7lt3OU09vwQwhkpOPPYv2Y/edit?usp=sharing"",""งบพรบ!IP72"")"),0)</f>
        <v>0</v>
      </c>
      <c r="F72" s="329">
        <f ca="1">IFERROR(__xludf.DUMMYFUNCTION("IMPORTRANGE(""https://docs.google.com/spreadsheets/d/1-uDff_7J0KD5mKrp0Vvzr7lt3OU09vwQwhkpOPPYv2Y/edit?usp=sharing"",""งบพรบ!IQ72"")"),52420)</f>
        <v>52420</v>
      </c>
      <c r="G72" s="329">
        <f ca="1">IFERROR(__xludf.DUMMYFUNCTION("IMPORTRANGE(""https://docs.google.com/spreadsheets/d/1-uDff_7J0KD5mKrp0Vvzr7lt3OU09vwQwhkpOPPYv2Y/edit?usp=sharing"",""งบพรบ!IR72"")"),0)</f>
        <v>0</v>
      </c>
      <c r="H72" s="329">
        <f ca="1">IFERROR(__xludf.DUMMYFUNCTION("IMPORTRANGE(""https://docs.google.com/spreadsheets/d/1-uDff_7J0KD5mKrp0Vvzr7lt3OU09vwQwhkpOPPYv2Y/edit?usp=sharing"",""งบพรบ!IT72"")"),52420)</f>
        <v>52420</v>
      </c>
      <c r="I72" s="329">
        <f ca="1">IFERROR(__xludf.DUMMYFUNCTION("IMPORTRANGE(""https://docs.google.com/spreadsheets/d/1-uDff_7J0KD5mKrp0Vvzr7lt3OU09vwQwhkpOPPYv2Y/edit?usp=sharing"",""งบพรบ!IU72"")"),0)</f>
        <v>0</v>
      </c>
      <c r="J72" s="329">
        <f t="shared" ca="1" si="46"/>
        <v>6900</v>
      </c>
      <c r="K72" s="568">
        <f t="shared" ca="1" si="47"/>
        <v>13.162914917970241</v>
      </c>
      <c r="L72" s="329">
        <f ca="1">IFERROR(__xludf.DUMMYFUNCTION("IMPORTRANGE(""https://docs.google.com/spreadsheets/d/1-uDff_7J0KD5mKrp0Vvzr7lt3OU09vwQwhkpOPPYv2Y/edit?usp=sharing"",""งบพรบ!IV72"")"),6900)</f>
        <v>6900</v>
      </c>
      <c r="M72" s="330">
        <f t="shared" ca="1" si="48"/>
        <v>13.162914917970241</v>
      </c>
      <c r="N72" s="330">
        <f t="shared" ca="1" si="49"/>
        <v>13.162914917970241</v>
      </c>
      <c r="O72" s="569">
        <f ca="1">IFERROR(__xludf.DUMMYFUNCTION("IMPORTRANGE(""https://docs.google.com/spreadsheets/d/1-uDff_7J0KD5mKrp0Vvzr7lt3OU09vwQwhkpOPPYv2Y/edit?usp=sharing"",""งบพรบ!IW72"")"),0)</f>
        <v>0</v>
      </c>
      <c r="P72" s="569">
        <f t="shared" ca="1" si="50"/>
        <v>0</v>
      </c>
      <c r="Q72" s="330">
        <f t="shared" ca="1" si="51"/>
        <v>0</v>
      </c>
      <c r="R72" s="564">
        <f ca="1">IFERROR(__xludf.DUMMYFUNCTION("IMPORTRANGE(""https://docs.google.com/spreadsheets/d/1H1EalTWKUSzO4Z1-1CwzoDUaVffgrThEBe2sl74kKG0/edit?usp=sharing"",""สุพรรณบุรี!Q413"")"),16250)</f>
        <v>16250</v>
      </c>
      <c r="S72" s="564">
        <f ca="1">IFERROR(__xludf.DUMMYFUNCTION("IMPORTRANGE(""https://docs.google.com/spreadsheets/d/1H1EalTWKUSzO4Z1-1CwzoDUaVffgrThEBe2sl74kKG0/edit?usp=sharing"",""สุพรรณบุรี!R413"")"),16250)</f>
        <v>16250</v>
      </c>
      <c r="T72" s="564">
        <f ca="1">IFERROR(__xludf.DUMMYFUNCTION("IMPORTRANGE(""https://docs.google.com/spreadsheets/d/1H1EalTWKUSzO4Z1-1CwzoDUaVffgrThEBe2sl74kKG0/edit?usp=sharing"",""สุพรรณบุรี!S413"")"),16250)</f>
        <v>16250</v>
      </c>
      <c r="U72" s="565">
        <f t="shared" ca="1" si="53"/>
        <v>100</v>
      </c>
      <c r="V72" s="565">
        <f t="shared" ca="1" si="54"/>
        <v>100</v>
      </c>
      <c r="W72" s="152">
        <f ca="1">IFERROR(__xludf.DUMMYFUNCTION("IMPORTRANGE(""https://docs.google.com/spreadsheets/d/1H1EalTWKUSzO4Z1-1CwzoDUaVffgrThEBe2sl74kKG0/edit?usp=sharing"",""สุพรรณบุรี!I424"")"),0)</f>
        <v>0</v>
      </c>
      <c r="X72" s="152">
        <f ca="1">IFERROR(__xludf.DUMMYFUNCTION("IMPORTRANGE(""https://docs.google.com/spreadsheets/d/1H1EalTWKUSzO4Z1-1CwzoDUaVffgrThEBe2sl74kKG0/edit?usp=sharing"",""สุพรรณบุรี!I425"")"),0)</f>
        <v>0</v>
      </c>
      <c r="Y72" s="152">
        <f ca="1">IFERROR(__xludf.DUMMYFUNCTION("IMPORTRANGE(""https://docs.google.com/spreadsheets/d/1H1EalTWKUSzO4Z1-1CwzoDUaVffgrThEBe2sl74kKG0/edit?usp=sharing"",""สุพรรณบุรี!J424"")"),0)</f>
        <v>0</v>
      </c>
      <c r="Z72" s="216">
        <f t="shared" ca="1" si="56"/>
        <v>0</v>
      </c>
      <c r="AA72" s="152">
        <f ca="1">IFERROR(__xludf.DUMMYFUNCTION("IMPORTRANGE(""https://docs.google.com/spreadsheets/d/1H1EalTWKUSzO4Z1-1CwzoDUaVffgrThEBe2sl74kKG0/edit?usp=sharing"",""สุพรรณบุรี!J425"")"),0)</f>
        <v>0</v>
      </c>
      <c r="AB72" s="216">
        <f t="shared" ca="1" si="57"/>
        <v>0</v>
      </c>
      <c r="AC72" s="152">
        <f ca="1">IFERROR(__xludf.DUMMYFUNCTION("IMPORTRANGE(""https://docs.google.com/spreadsheets/d/1H1EalTWKUSzO4Z1-1CwzoDUaVffgrThEBe2sl74kKG0/edit?usp=sharing"",""สุพรรณบุรี!J426"")"),0)</f>
        <v>0</v>
      </c>
      <c r="AD72" s="152">
        <f ca="1">IFERROR(__xludf.DUMMYFUNCTION("IMPORTRANGE(""https://docs.google.com/spreadsheets/d/1H1EalTWKUSzO4Z1-1CwzoDUaVffgrThEBe2sl74kKG0/edit?usp=sharing"",""สุพรรณบุรี!J427"")"),0)</f>
        <v>0</v>
      </c>
      <c r="AE72" s="152">
        <f ca="1">IFERROR(__xludf.DUMMYFUNCTION("IMPORTRANGE(""https://docs.google.com/spreadsheets/d/1H1EalTWKUSzO4Z1-1CwzoDUaVffgrThEBe2sl74kKG0/edit?usp=sharing"",""สุพรรณบุรี!J428"")"),0)</f>
        <v>0</v>
      </c>
      <c r="AF72" s="152">
        <f ca="1">IFERROR(__xludf.DUMMYFUNCTION("IMPORTRANGE(""https://docs.google.com/spreadsheets/d/1H1EalTWKUSzO4Z1-1CwzoDUaVffgrThEBe2sl74kKG0/edit?usp=sharing"",""สุพรรณบุรี!J429"")"),0)</f>
        <v>0</v>
      </c>
      <c r="AG72" s="152">
        <f ca="1">IFERROR(__xludf.DUMMYFUNCTION("IMPORTRANGE(""https://docs.google.com/spreadsheets/d/1H1EalTWKUSzO4Z1-1CwzoDUaVffgrThEBe2sl74kKG0/edit?usp=sharing"",""สุพรรณบุรี!J430"")"),0)</f>
        <v>0</v>
      </c>
      <c r="AH72" s="152">
        <f ca="1">IFERROR(__xludf.DUMMYFUNCTION("IMPORTRANGE(""https://docs.google.com/spreadsheets/d/1H1EalTWKUSzO4Z1-1CwzoDUaVffgrThEBe2sl74kKG0/edit?usp=sharing"",""สุพรรณบุรี!J431"")"),0)</f>
        <v>0</v>
      </c>
      <c r="AI72" s="152">
        <f ca="1">IFERROR(__xludf.DUMMYFUNCTION("IMPORTRANGE(""https://docs.google.com/spreadsheets/d/1H1EalTWKUSzO4Z1-1CwzoDUaVffgrThEBe2sl74kKG0/edit?usp=sharing"",""สุพรรณบุรี!I432"")"),0)</f>
        <v>0</v>
      </c>
      <c r="AJ72" s="152">
        <f ca="1">IFERROR(__xludf.DUMMYFUNCTION("IMPORTRANGE(""https://docs.google.com/spreadsheets/d/1H1EalTWKUSzO4Z1-1CwzoDUaVffgrThEBe2sl74kKG0/edit?usp=sharing"",""สุพรรณบุรี!I433"")"),0)</f>
        <v>0</v>
      </c>
      <c r="AK72" s="216">
        <f ca="1">IFERROR(__xludf.DUMMYFUNCTION("IMPORTRANGE(""https://docs.google.com/spreadsheets/d/1H1EalTWKUSzO4Z1-1CwzoDUaVffgrThEBe2sl74kKG0/edit?usp=sharing"",""สุพรรณบุรี!J432"")"),0)</f>
        <v>0</v>
      </c>
      <c r="AL72" s="216">
        <f t="shared" ca="1" si="59"/>
        <v>0</v>
      </c>
      <c r="AM72" s="152">
        <f ca="1">IFERROR(__xludf.DUMMYFUNCTION("IMPORTRANGE(""https://docs.google.com/spreadsheets/d/1H1EalTWKUSzO4Z1-1CwzoDUaVffgrThEBe2sl74kKG0/edit?usp=sharing"",""สุพรรณบุรี!J433"")"),0)</f>
        <v>0</v>
      </c>
      <c r="AN72" s="216">
        <f t="shared" ca="1" si="60"/>
        <v>0</v>
      </c>
      <c r="AO72" s="152">
        <f ca="1">IFERROR(__xludf.DUMMYFUNCTION("IMPORTRANGE(""https://docs.google.com/spreadsheets/d/1H1EalTWKUSzO4Z1-1CwzoDUaVffgrThEBe2sl74kKG0/edit?usp=sharing"",""สุพรรณบุรี!J434"")"),0)</f>
        <v>0</v>
      </c>
      <c r="AP72" s="152">
        <f ca="1">IFERROR(__xludf.DUMMYFUNCTION("IMPORTRANGE(""https://docs.google.com/spreadsheets/d/1H1EalTWKUSzO4Z1-1CwzoDUaVffgrThEBe2sl74kKG0/edit?usp=sharing"",""สุพรรณบุรี!J435"")"),0)</f>
        <v>0</v>
      </c>
      <c r="AQ72" s="152">
        <f ca="1">IFERROR(__xludf.DUMMYFUNCTION("IMPORTRANGE(""https://docs.google.com/spreadsheets/d/1H1EalTWKUSzO4Z1-1CwzoDUaVffgrThEBe2sl74kKG0/edit?usp=sharing"",""สุพรรณบุรี!J436"")"),0)</f>
        <v>0</v>
      </c>
      <c r="AR72" s="152">
        <f ca="1">IFERROR(__xludf.DUMMYFUNCTION("IMPORTRANGE(""https://docs.google.com/spreadsheets/d/1H1EalTWKUSzO4Z1-1CwzoDUaVffgrThEBe2sl74kKG0/edit?usp=sharing"",""สุพรรณบุรี!J437"")"),0)</f>
        <v>0</v>
      </c>
      <c r="AS72" s="152">
        <f ca="1">IFERROR(__xludf.DUMMYFUNCTION("IMPORTRANGE(""https://docs.google.com/spreadsheets/d/1H1EalTWKUSzO4Z1-1CwzoDUaVffgrThEBe2sl74kKG0/edit?usp=sharing"",""สุพรรณบุรี!J438"")"),0)</f>
        <v>0</v>
      </c>
      <c r="AT72" s="152">
        <f ca="1">IFERROR(__xludf.DUMMYFUNCTION("IMPORTRANGE(""https://docs.google.com/spreadsheets/d/1H1EalTWKUSzO4Z1-1CwzoDUaVffgrThEBe2sl74kKG0/edit?usp=sharing"",""สุพรรณบุรี!J439"")"),0)</f>
        <v>0</v>
      </c>
      <c r="AU72" s="152">
        <f ca="1">IFERROR(__xludf.DUMMYFUNCTION("IMPORTRANGE(""https://docs.google.com/spreadsheets/d/1H1EalTWKUSzO4Z1-1CwzoDUaVffgrThEBe2sl74kKG0/edit?usp=sharing"",""สุพรรณบุรี!I440"")"),0)</f>
        <v>0</v>
      </c>
      <c r="AV72" s="152">
        <f ca="1">IFERROR(__xludf.DUMMYFUNCTION("IMPORTRANGE(""https://docs.google.com/spreadsheets/d/1H1EalTWKUSzO4Z1-1CwzoDUaVffgrThEBe2sl74kKG0/edit?usp=sharing"",""สุพรรณบุรี!I441"")"),0)</f>
        <v>0</v>
      </c>
      <c r="AW72" s="152">
        <f ca="1">IFERROR(__xludf.DUMMYFUNCTION("IMPORTRANGE(""https://docs.google.com/spreadsheets/d/1H1EalTWKUSzO4Z1-1CwzoDUaVffgrThEBe2sl74kKG0/edit?usp=sharing"",""สุพรรณบุรี!J440"")"),0)</f>
        <v>0</v>
      </c>
      <c r="AX72" s="216">
        <f t="shared" ca="1" si="62"/>
        <v>0</v>
      </c>
      <c r="AY72" s="152">
        <f ca="1">IFERROR(__xludf.DUMMYFUNCTION("IMPORTRANGE(""https://docs.google.com/spreadsheets/d/1H1EalTWKUSzO4Z1-1CwzoDUaVffgrThEBe2sl74kKG0/edit?usp=sharing"",""สุพรรณบุรี!J441"")"),0)</f>
        <v>0</v>
      </c>
      <c r="AZ72" s="216">
        <f t="shared" ca="1" si="63"/>
        <v>0</v>
      </c>
      <c r="BA72" s="152">
        <f ca="1">IFERROR(__xludf.DUMMYFUNCTION("IMPORTRANGE(""https://docs.google.com/spreadsheets/d/1H1EalTWKUSzO4Z1-1CwzoDUaVffgrThEBe2sl74kKG0/edit?usp=sharing"",""สุพรรณบุรี!J442"")"),0)</f>
        <v>0</v>
      </c>
      <c r="BB72" s="152">
        <f ca="1">IFERROR(__xludf.DUMMYFUNCTION("IMPORTRANGE(""https://docs.google.com/spreadsheets/d/1H1EalTWKUSzO4Z1-1CwzoDUaVffgrThEBe2sl74kKG0/edit?usp=sharing"",""สุพรรณบุรี!J443"")"),0)</f>
        <v>0</v>
      </c>
      <c r="BC72" s="152">
        <f ca="1">IFERROR(__xludf.DUMMYFUNCTION("IMPORTRANGE(""https://docs.google.com/spreadsheets/d/1H1EalTWKUSzO4Z1-1CwzoDUaVffgrThEBe2sl74kKG0/edit?usp=sharing"",""สุพรรณบุรี!J444"")"),0)</f>
        <v>0</v>
      </c>
      <c r="BD72" s="152">
        <f ca="1">IFERROR(__xludf.DUMMYFUNCTION("IMPORTRANGE(""https://docs.google.com/spreadsheets/d/1H1EalTWKUSzO4Z1-1CwzoDUaVffgrThEBe2sl74kKG0/edit?usp=sharing"",""สุพรรณบุรี!J445"")"),0)</f>
        <v>0</v>
      </c>
      <c r="BE72" s="152">
        <f ca="1">IFERROR(__xludf.DUMMYFUNCTION("IMPORTRANGE(""https://docs.google.com/spreadsheets/d/1H1EalTWKUSzO4Z1-1CwzoDUaVffgrThEBe2sl74kKG0/edit?usp=sharing"",""สุพรรณบุรี!J446"")"),0)</f>
        <v>0</v>
      </c>
      <c r="BF72" s="152">
        <f ca="1">IFERROR(__xludf.DUMMYFUNCTION("IMPORTRANGE(""https://docs.google.com/spreadsheets/d/1H1EalTWKUSzO4Z1-1CwzoDUaVffgrThEBe2sl74kKG0/edit?usp=sharing"",""สุพรรณบุรี!J447"")"),0)</f>
        <v>0</v>
      </c>
      <c r="BG72" s="152">
        <f ca="1">IFERROR(__xludf.DUMMYFUNCTION("IMPORTRANGE(""https://docs.google.com/spreadsheets/d/1H1EalTWKUSzO4Z1-1CwzoDUaVffgrThEBe2sl74kKG0/edit?usp=sharing"",""สุพรรณบุรี!J448"")"),0)</f>
        <v>0</v>
      </c>
      <c r="BH72" s="152">
        <f ca="1">IFERROR(__xludf.DUMMYFUNCTION("IMPORTRANGE(""https://docs.google.com/spreadsheets/d/1H1EalTWKUSzO4Z1-1CwzoDUaVffgrThEBe2sl74kKG0/edit?usp=sharing"",""สุพรรณบุรี!J449"")"),0)</f>
        <v>0</v>
      </c>
      <c r="BI72" s="152">
        <f ca="1">IFERROR(__xludf.DUMMYFUNCTION("IMPORTRANGE(""https://docs.google.com/spreadsheets/d/1H1EalTWKUSzO4Z1-1CwzoDUaVffgrThEBe2sl74kKG0/edit?usp=sharing"",""สุพรรณบุรี!J450"")"),0)</f>
        <v>0</v>
      </c>
      <c r="BJ72" s="152">
        <f ca="1">IFERROR(__xludf.DUMMYFUNCTION("IMPORTRANGE(""https://docs.google.com/spreadsheets/d/1H1EalTWKUSzO4Z1-1CwzoDUaVffgrThEBe2sl74kKG0/edit?usp=sharing"",""สุพรรณบุรี!J451"")"),0)</f>
        <v>0</v>
      </c>
      <c r="BK72" s="152">
        <f ca="1">IFERROR(__xludf.DUMMYFUNCTION("IMPORTRANGE(""https://docs.google.com/spreadsheets/d/1H1EalTWKUSzO4Z1-1CwzoDUaVffgrThEBe2sl74kKG0/edit?usp=sharing"",""สุพรรณบุรี!J452"")"),0)</f>
        <v>0</v>
      </c>
      <c r="BL72" s="152">
        <f ca="1">IFERROR(__xludf.DUMMYFUNCTION("IMPORTRANGE(""https://docs.google.com/spreadsheets/d/1H1EalTWKUSzO4Z1-1CwzoDUaVffgrThEBe2sl74kKG0/edit?usp=sharing"",""สุพรรณบุรี!J453"")"),0)</f>
        <v>0</v>
      </c>
      <c r="BM72" s="152">
        <f ca="1">IFERROR(__xludf.DUMMYFUNCTION("IMPORTRANGE(""https://docs.google.com/spreadsheets/d/1H1EalTWKUSzO4Z1-1CwzoDUaVffgrThEBe2sl74kKG0/edit?usp=sharing"",""สุพรรณบุรี!J454"")"),0)</f>
        <v>0</v>
      </c>
      <c r="BN72" s="152">
        <f ca="1">IFERROR(__xludf.DUMMYFUNCTION("IMPORTRANGE(""https://docs.google.com/spreadsheets/d/1H1EalTWKUSzO4Z1-1CwzoDUaVffgrThEBe2sl74kKG0/edit?usp=sharing"",""สุพรรณบุรี!J455"")"),0)</f>
        <v>0</v>
      </c>
      <c r="BO72" s="152">
        <f ca="1">IFERROR(__xludf.DUMMYFUNCTION("IMPORTRANGE(""https://docs.google.com/spreadsheets/d/1H1EalTWKUSzO4Z1-1CwzoDUaVffgrThEBe2sl74kKG0/edit?usp=sharing"",""สุพรรณบุรี!I457"")"),1874.19)</f>
        <v>1874.19</v>
      </c>
      <c r="BP72" s="152">
        <f ca="1">IFERROR(__xludf.DUMMYFUNCTION("IMPORTRANGE(""https://docs.google.com/spreadsheets/d/1H1EalTWKUSzO4Z1-1CwzoDUaVffgrThEBe2sl74kKG0/edit?usp=sharing"",""สุพรรณบุรี!I458"")"),172)</f>
        <v>172</v>
      </c>
      <c r="BQ72" s="152">
        <f ca="1">IFERROR(__xludf.DUMMYFUNCTION("IMPORTRANGE(""https://docs.google.com/spreadsheets/d/1H1EalTWKUSzO4Z1-1CwzoDUaVffgrThEBe2sl74kKG0/edit?usp=sharing"",""สุพรรณบุรี!J457"")"),0)</f>
        <v>0</v>
      </c>
      <c r="BR72" s="216">
        <f t="shared" ca="1" si="65"/>
        <v>0</v>
      </c>
      <c r="BS72" s="152">
        <f ca="1">IFERROR(__xludf.DUMMYFUNCTION("IMPORTRANGE(""https://docs.google.com/spreadsheets/d/1H1EalTWKUSzO4Z1-1CwzoDUaVffgrThEBe2sl74kKG0/edit?usp=sharing"",""สุพรรณบุรี!J458"")"),0)</f>
        <v>0</v>
      </c>
      <c r="BT72" s="216">
        <f t="shared" ca="1" si="66"/>
        <v>0</v>
      </c>
      <c r="BU72" s="152">
        <f ca="1">IFERROR(__xludf.DUMMYFUNCTION("IMPORTRANGE(""https://docs.google.com/spreadsheets/d/1H1EalTWKUSzO4Z1-1CwzoDUaVffgrThEBe2sl74kKG0/edit?usp=sharing"",""สุพรรณบุรี!J459"")"),0)</f>
        <v>0</v>
      </c>
      <c r="BV72" s="152">
        <f ca="1">IFERROR(__xludf.DUMMYFUNCTION("IMPORTRANGE(""https://docs.google.com/spreadsheets/d/1H1EalTWKUSzO4Z1-1CwzoDUaVffgrThEBe2sl74kKG0/edit?usp=sharing"",""สุพรรณบุรี!J460"")"),0)</f>
        <v>0</v>
      </c>
      <c r="BW72" s="152">
        <f ca="1">IFERROR(__xludf.DUMMYFUNCTION("IMPORTRANGE(""https://docs.google.com/spreadsheets/d/1H1EalTWKUSzO4Z1-1CwzoDUaVffgrThEBe2sl74kKG0/edit?usp=sharing"",""สุพรรณบุรี!J461"")"),0)</f>
        <v>0</v>
      </c>
      <c r="BX72" s="152">
        <f ca="1">IFERROR(__xludf.DUMMYFUNCTION("IMPORTRANGE(""https://docs.google.com/spreadsheets/d/1H1EalTWKUSzO4Z1-1CwzoDUaVffgrThEBe2sl74kKG0/edit?usp=sharing"",""สุพรรณบุรี!J462"")"),0)</f>
        <v>0</v>
      </c>
      <c r="BY72" s="152">
        <f ca="1">IFERROR(__xludf.DUMMYFUNCTION("IMPORTRANGE(""https://docs.google.com/spreadsheets/d/1H1EalTWKUSzO4Z1-1CwzoDUaVffgrThEBe2sl74kKG0/edit?usp=sharing"",""สุพรรณบุรี!J463"")"),0)</f>
        <v>0</v>
      </c>
      <c r="BZ72" s="152">
        <f ca="1">IFERROR(__xludf.DUMMYFUNCTION("IMPORTRANGE(""https://docs.google.com/spreadsheets/d/1H1EalTWKUSzO4Z1-1CwzoDUaVffgrThEBe2sl74kKG0/edit?usp=sharing"",""สุพรรณบุรี!J464"")"),0)</f>
        <v>0</v>
      </c>
      <c r="CA72" s="152">
        <f ca="1">IFERROR(__xludf.DUMMYFUNCTION("IMPORTRANGE(""https://docs.google.com/spreadsheets/d/1H1EalTWKUSzO4Z1-1CwzoDUaVffgrThEBe2sl74kKG0/edit?usp=sharing"",""สุพรรณบุรี!J465"")"),0)</f>
        <v>0</v>
      </c>
      <c r="CB72" s="152">
        <f ca="1">IFERROR(__xludf.DUMMYFUNCTION("IMPORTRANGE(""https://docs.google.com/spreadsheets/d/1H1EalTWKUSzO4Z1-1CwzoDUaVffgrThEBe2sl74kKG0/edit?usp=sharing"",""สุพรรณบุรี!J466"")"),0)</f>
        <v>0</v>
      </c>
      <c r="CC72" s="152">
        <f ca="1">IFERROR(__xludf.DUMMYFUNCTION("IMPORTRANGE(""https://docs.google.com/spreadsheets/d/1H1EalTWKUSzO4Z1-1CwzoDUaVffgrThEBe2sl74kKG0/edit?usp=sharing"",""สุพรรณบุรี!J467"")"),0)</f>
        <v>0</v>
      </c>
      <c r="CD72" s="152">
        <f ca="1">IFERROR(__xludf.DUMMYFUNCTION("IMPORTRANGE(""https://docs.google.com/spreadsheets/d/1H1EalTWKUSzO4Z1-1CwzoDUaVffgrThEBe2sl74kKG0/edit?usp=sharing"",""สุพรรณบุรี!J468"")"),0)</f>
        <v>0</v>
      </c>
      <c r="CE72" s="152">
        <f ca="1">IFERROR(__xludf.DUMMYFUNCTION("IMPORTRANGE(""https://docs.google.com/spreadsheets/d/1H1EalTWKUSzO4Z1-1CwzoDUaVffgrThEBe2sl74kKG0/edit?usp=sharing"",""สุพรรณบุรี!J469"")"),0)</f>
        <v>0</v>
      </c>
      <c r="CF72" s="152">
        <f ca="1">IFERROR(__xludf.DUMMYFUNCTION("IMPORTRANGE(""https://docs.google.com/spreadsheets/d/1H1EalTWKUSzO4Z1-1CwzoDUaVffgrThEBe2sl74kKG0/edit?usp=sharing"",""สุพรรณบุรี!J470"")"),0)</f>
        <v>0</v>
      </c>
      <c r="CG72" s="152">
        <f ca="1">IFERROR(__xludf.DUMMYFUNCTION("IMPORTRANGE(""https://docs.google.com/spreadsheets/d/1H1EalTWKUSzO4Z1-1CwzoDUaVffgrThEBe2sl74kKG0/edit?usp=sharing"",""สุพรรณบุรี!J471"")"),0)</f>
        <v>0</v>
      </c>
      <c r="CH72" s="152">
        <f ca="1">IFERROR(__xludf.DUMMYFUNCTION("IMPORTRANGE(""https://docs.google.com/spreadsheets/d/1H1EalTWKUSzO4Z1-1CwzoDUaVffgrThEBe2sl74kKG0/edit?usp=sharing"",""สุพรรณบุรี!J472"")"),0)</f>
        <v>0</v>
      </c>
      <c r="CI72" s="152">
        <f ca="1">IFERROR(__xludf.DUMMYFUNCTION("IMPORTRANGE(""https://docs.google.com/spreadsheets/d/1H1EalTWKUSzO4Z1-1CwzoDUaVffgrThEBe2sl74kKG0/edit?usp=sharing"",""สุพรรณบุรี!J473"")"),0)</f>
        <v>0</v>
      </c>
      <c r="CJ72" s="152">
        <f ca="1">IFERROR(__xludf.DUMMYFUNCTION("IMPORTRANGE(""https://docs.google.com/spreadsheets/d/1H1EalTWKUSzO4Z1-1CwzoDUaVffgrThEBe2sl74kKG0/edit?usp=sharing"",""สุพรรณบุรี!J474"")"),0)</f>
        <v>0</v>
      </c>
      <c r="CK72" s="278">
        <f ca="1">IFERROR(__xludf.DUMMYFUNCTION("IMPORTRANGE(""https://docs.google.com/spreadsheets/d/1H1EalTWKUSzO4Z1-1CwzoDUaVffgrThEBe2sl74kKG0/edit?usp=sharing"",""สุพรรณบุรี!I476"")"),0)</f>
        <v>0</v>
      </c>
      <c r="CL72" s="278">
        <f ca="1">IFERROR(__xludf.DUMMYFUNCTION("IMPORTRANGE(""https://docs.google.com/spreadsheets/d/1H1EalTWKUSzO4Z1-1CwzoDUaVffgrThEBe2sl74kKG0/edit?usp=sharing"",""สุพรรณบุรี!I477"")"),0)</f>
        <v>0</v>
      </c>
      <c r="CM72" s="278">
        <f ca="1">IFERROR(__xludf.DUMMYFUNCTION("IMPORTRANGE(""https://docs.google.com/spreadsheets/d/1H1EalTWKUSzO4Z1-1CwzoDUaVffgrThEBe2sl74kKG0/edit?usp=sharing"",""สุพรรณบุรี!J476"")"),0)</f>
        <v>0</v>
      </c>
      <c r="CN72" s="216">
        <f t="shared" ca="1" si="68"/>
        <v>0</v>
      </c>
      <c r="CO72" s="278">
        <f ca="1">IFERROR(__xludf.DUMMYFUNCTION("IMPORTRANGE(""https://docs.google.com/spreadsheets/d/1H1EalTWKUSzO4Z1-1CwzoDUaVffgrThEBe2sl74kKG0/edit?usp=sharing"",""สุพรรณบุรี!J477"")"),0)</f>
        <v>0</v>
      </c>
      <c r="CP72" s="216">
        <f t="shared" ca="1" si="69"/>
        <v>0</v>
      </c>
      <c r="CQ72" s="278">
        <f ca="1">IFERROR(__xludf.DUMMYFUNCTION("IMPORTRANGE(""https://docs.google.com/spreadsheets/d/1H1EalTWKUSzO4Z1-1CwzoDUaVffgrThEBe2sl74kKG0/edit?usp=sharing"",""สุพรรณบุรี!J478"")"),0)</f>
        <v>0</v>
      </c>
      <c r="CR72" s="278">
        <f ca="1">IFERROR(__xludf.DUMMYFUNCTION("IMPORTRANGE(""https://docs.google.com/spreadsheets/d/1H1EalTWKUSzO4Z1-1CwzoDUaVffgrThEBe2sl74kKG0/edit?usp=sharing"",""สุพรรณบุรี!J479"")"),0)</f>
        <v>0</v>
      </c>
      <c r="CS72" s="278">
        <f ca="1">IFERROR(__xludf.DUMMYFUNCTION("IMPORTRANGE(""https://docs.google.com/spreadsheets/d/1H1EalTWKUSzO4Z1-1CwzoDUaVffgrThEBe2sl74kKG0/edit?usp=sharing"",""สุพรรณบุรี!J480"")"),0)</f>
        <v>0</v>
      </c>
      <c r="CT72" s="278">
        <f ca="1">IFERROR(__xludf.DUMMYFUNCTION("IMPORTRANGE(""https://docs.google.com/spreadsheets/d/1H1EalTWKUSzO4Z1-1CwzoDUaVffgrThEBe2sl74kKG0/edit?usp=sharing"",""สุพรรณบุรี!J481"")"),0)</f>
        <v>0</v>
      </c>
      <c r="CU72" s="278">
        <f ca="1">IFERROR(__xludf.DUMMYFUNCTION("IMPORTRANGE(""https://docs.google.com/spreadsheets/d/1H1EalTWKUSzO4Z1-1CwzoDUaVffgrThEBe2sl74kKG0/edit?usp=sharing"",""สุพรรณบุรี!I484"")"),0)</f>
        <v>0</v>
      </c>
      <c r="CV72" s="278">
        <f ca="1">IFERROR(__xludf.DUMMYFUNCTION("IMPORTRANGE(""https://docs.google.com/spreadsheets/d/1H1EalTWKUSzO4Z1-1CwzoDUaVffgrThEBe2sl74kKG0/edit?usp=sharing"",""สุพรรณบุรี!I485"")"),0)</f>
        <v>0</v>
      </c>
      <c r="CW72" s="278">
        <f ca="1">IFERROR(__xludf.DUMMYFUNCTION("IMPORTRANGE(""https://docs.google.com/spreadsheets/d/1H1EalTWKUSzO4Z1-1CwzoDUaVffgrThEBe2sl74kKG0/edit?usp=sharing"",""สุพรรณบุรี!J484"")"),0)</f>
        <v>0</v>
      </c>
      <c r="CX72" s="216">
        <f t="shared" ca="1" si="71"/>
        <v>0</v>
      </c>
      <c r="CY72" s="278">
        <f ca="1">IFERROR(__xludf.DUMMYFUNCTION("IMPORTRANGE(""https://docs.google.com/spreadsheets/d/1H1EalTWKUSzO4Z1-1CwzoDUaVffgrThEBe2sl74kKG0/edit?usp=sharing"",""สุพรรณบุรี!J485"")"),0)</f>
        <v>0</v>
      </c>
      <c r="CZ72" s="216">
        <f t="shared" ca="1" si="72"/>
        <v>0</v>
      </c>
      <c r="DA72" s="278">
        <f ca="1">IFERROR(__xludf.DUMMYFUNCTION("IMPORTRANGE(""https://docs.google.com/spreadsheets/d/1H1EalTWKUSzO4Z1-1CwzoDUaVffgrThEBe2sl74kKG0/edit?usp=sharing"",""สุพรรณบุรี!J486"")"),0)</f>
        <v>0</v>
      </c>
      <c r="DB72" s="278">
        <f ca="1">IFERROR(__xludf.DUMMYFUNCTION("IMPORTRANGE(""https://docs.google.com/spreadsheets/d/1H1EalTWKUSzO4Z1-1CwzoDUaVffgrThEBe2sl74kKG0/edit?usp=sharing"",""สุพรรณบุรี!J487"")"),0)</f>
        <v>0</v>
      </c>
      <c r="DC72" s="278">
        <f ca="1">IFERROR(__xludf.DUMMYFUNCTION("IMPORTRANGE(""https://docs.google.com/spreadsheets/d/1H1EalTWKUSzO4Z1-1CwzoDUaVffgrThEBe2sl74kKG0/edit?usp=sharing"",""สุพรรณบุรี!J488"")"),0)</f>
        <v>0</v>
      </c>
      <c r="DD72" s="278">
        <f ca="1">IFERROR(__xludf.DUMMYFUNCTION("IMPORTRANGE(""https://docs.google.com/spreadsheets/d/1H1EalTWKUSzO4Z1-1CwzoDUaVffgrThEBe2sl74kKG0/edit?usp=sharing"",""สุพรรณบุรี!J489"")"),0)</f>
        <v>0</v>
      </c>
      <c r="DE72" s="278">
        <f ca="1">IFERROR(__xludf.DUMMYFUNCTION("IMPORTRANGE(""https://docs.google.com/spreadsheets/d/1H1EalTWKUSzO4Z1-1CwzoDUaVffgrThEBe2sl74kKG0/edit?usp=sharing"",""สุพรรณบุรี!J490"")"),0)</f>
        <v>0</v>
      </c>
      <c r="DF72" s="278">
        <f ca="1">IFERROR(__xludf.DUMMYFUNCTION("IMPORTRANGE(""https://docs.google.com/spreadsheets/d/1H1EalTWKUSzO4Z1-1CwzoDUaVffgrThEBe2sl74kKG0/edit?usp=sharing"",""สุพรรณบุรี!J491"")"),0)</f>
        <v>0</v>
      </c>
    </row>
    <row r="73" spans="1:110" ht="19.5" x14ac:dyDescent="0.3">
      <c r="A73" s="155">
        <v>21</v>
      </c>
      <c r="B73" s="156" t="s">
        <v>101</v>
      </c>
      <c r="C73" s="570">
        <f t="shared" ca="1" si="44"/>
        <v>0</v>
      </c>
      <c r="D73" s="571">
        <f t="shared" ca="1" si="94"/>
        <v>0</v>
      </c>
      <c r="E73" s="337">
        <f ca="1">IFERROR(__xludf.DUMMYFUNCTION("IMPORTRANGE(""https://docs.google.com/spreadsheets/d/1-uDff_7J0KD5mKrp0Vvzr7lt3OU09vwQwhkpOPPYv2Y/edit?usp=sharing"",""งบพรบ!IP73"")"),0)</f>
        <v>0</v>
      </c>
      <c r="F73" s="337">
        <f ca="1">IFERROR(__xludf.DUMMYFUNCTION("IMPORTRANGE(""https://docs.google.com/spreadsheets/d/1-uDff_7J0KD5mKrp0Vvzr7lt3OU09vwQwhkpOPPYv2Y/edit?usp=sharing"",""งบพรบ!IQ73"")"),0)</f>
        <v>0</v>
      </c>
      <c r="G73" s="337">
        <f ca="1">IFERROR(__xludf.DUMMYFUNCTION("IMPORTRANGE(""https://docs.google.com/spreadsheets/d/1-uDff_7J0KD5mKrp0Vvzr7lt3OU09vwQwhkpOPPYv2Y/edit?usp=sharing"",""งบพรบ!IR73"")"),0)</f>
        <v>0</v>
      </c>
      <c r="H73" s="337">
        <f ca="1">IFERROR(__xludf.DUMMYFUNCTION("IMPORTRANGE(""https://docs.google.com/spreadsheets/d/1-uDff_7J0KD5mKrp0Vvzr7lt3OU09vwQwhkpOPPYv2Y/edit?usp=sharing"",""งบพรบ!IT73"")"),0)</f>
        <v>0</v>
      </c>
      <c r="I73" s="337">
        <f ca="1">IFERROR(__xludf.DUMMYFUNCTION("IMPORTRANGE(""https://docs.google.com/spreadsheets/d/1-uDff_7J0KD5mKrp0Vvzr7lt3OU09vwQwhkpOPPYv2Y/edit?usp=sharing"",""งบพรบ!IU73"")"),0)</f>
        <v>0</v>
      </c>
      <c r="J73" s="337">
        <f t="shared" ca="1" si="46"/>
        <v>0</v>
      </c>
      <c r="K73" s="572">
        <f t="shared" ca="1" si="47"/>
        <v>0</v>
      </c>
      <c r="L73" s="337">
        <f ca="1">IFERROR(__xludf.DUMMYFUNCTION("IMPORTRANGE(""https://docs.google.com/spreadsheets/d/1-uDff_7J0KD5mKrp0Vvzr7lt3OU09vwQwhkpOPPYv2Y/edit?usp=sharing"",""งบพรบ!IV73"")"),0)</f>
        <v>0</v>
      </c>
      <c r="M73" s="573">
        <f t="shared" ca="1" si="48"/>
        <v>0</v>
      </c>
      <c r="N73" s="573">
        <f t="shared" ca="1" si="49"/>
        <v>0</v>
      </c>
      <c r="O73" s="574">
        <f ca="1">IFERROR(__xludf.DUMMYFUNCTION("IMPORTRANGE(""https://docs.google.com/spreadsheets/d/1-uDff_7J0KD5mKrp0Vvzr7lt3OU09vwQwhkpOPPYv2Y/edit?usp=sharing"",""งบพรบ!IW73"")"),0)</f>
        <v>0</v>
      </c>
      <c r="P73" s="574">
        <f t="shared" ca="1" si="50"/>
        <v>0</v>
      </c>
      <c r="Q73" s="573">
        <f t="shared" ca="1" si="51"/>
        <v>0</v>
      </c>
      <c r="R73" s="575">
        <f ca="1">IFERROR(__xludf.DUMMYFUNCTION("IMPORTRANGE(""https://docs.google.com/spreadsheets/d/1BmIruG_sIrJLYao_Pdr7zVArWsfoBt2692TMi6x_854/edit?usp=sharing"",""อ่างทอง!Q413"")"),0)</f>
        <v>0</v>
      </c>
      <c r="S73" s="575">
        <f ca="1">IFERROR(__xludf.DUMMYFUNCTION("IMPORTRANGE(""https://docs.google.com/spreadsheets/d/1BmIruG_sIrJLYao_Pdr7zVArWsfoBt2692TMi6x_854/edit?usp=sharing"",""อ่างทอง!R413"")"),0)</f>
        <v>0</v>
      </c>
      <c r="T73" s="575">
        <f ca="1">IFERROR(__xludf.DUMMYFUNCTION("IMPORTRANGE(""https://docs.google.com/spreadsheets/d/1BmIruG_sIrJLYao_Pdr7zVArWsfoBt2692TMi6x_854/edit?usp=sharing"",""อ่างทอง!S413"")"),0)</f>
        <v>0</v>
      </c>
      <c r="U73" s="576">
        <f t="shared" ca="1" si="53"/>
        <v>0</v>
      </c>
      <c r="V73" s="576">
        <f t="shared" ca="1" si="54"/>
        <v>0</v>
      </c>
      <c r="W73" s="488">
        <f ca="1">IFERROR(__xludf.DUMMYFUNCTION("IMPORTRANGE(""https://docs.google.com/spreadsheets/d/1BmIruG_sIrJLYao_Pdr7zVArWsfoBt2692TMi6x_854/edit?usp=sharing"",""อ่างทอง!I424"")"),0)</f>
        <v>0</v>
      </c>
      <c r="X73" s="488">
        <f ca="1">IFERROR(__xludf.DUMMYFUNCTION("IMPORTRANGE(""https://docs.google.com/spreadsheets/d/1BmIruG_sIrJLYao_Pdr7zVArWsfoBt2692TMi6x_854/edit?usp=sharing"",""อ่างทอง!I425"")"),0)</f>
        <v>0</v>
      </c>
      <c r="Y73" s="488">
        <f ca="1">IFERROR(__xludf.DUMMYFUNCTION("IMPORTRANGE(""https://docs.google.com/spreadsheets/d/1BmIruG_sIrJLYao_Pdr7zVArWsfoBt2692TMi6x_854/edit?usp=sharing"",""อ่างทอง!J424"")"),0)</f>
        <v>0</v>
      </c>
      <c r="Z73" s="218">
        <f t="shared" ca="1" si="56"/>
        <v>0</v>
      </c>
      <c r="AA73" s="488">
        <f ca="1">IFERROR(__xludf.DUMMYFUNCTION("IMPORTRANGE(""https://docs.google.com/spreadsheets/d/1BmIruG_sIrJLYao_Pdr7zVArWsfoBt2692TMi6x_854/edit?usp=sharing"",""อ่างทอง!J425"")"),0)</f>
        <v>0</v>
      </c>
      <c r="AB73" s="218">
        <f t="shared" ca="1" si="57"/>
        <v>0</v>
      </c>
      <c r="AC73" s="488">
        <f ca="1">IFERROR(__xludf.DUMMYFUNCTION("IMPORTRANGE(""https://docs.google.com/spreadsheets/d/1BmIruG_sIrJLYao_Pdr7zVArWsfoBt2692TMi6x_854/edit?usp=sharing"",""อ่างทอง!J426"")"),0)</f>
        <v>0</v>
      </c>
      <c r="AD73" s="488">
        <f ca="1">IFERROR(__xludf.DUMMYFUNCTION("IMPORTRANGE(""https://docs.google.com/spreadsheets/d/1BmIruG_sIrJLYao_Pdr7zVArWsfoBt2692TMi6x_854/edit?usp=sharing"",""อ่างทอง!J427"")"),0)</f>
        <v>0</v>
      </c>
      <c r="AE73" s="488">
        <f ca="1">IFERROR(__xludf.DUMMYFUNCTION("IMPORTRANGE(""https://docs.google.com/spreadsheets/d/1BmIruG_sIrJLYao_Pdr7zVArWsfoBt2692TMi6x_854/edit?usp=sharing"",""อ่างทอง!J428"")"),0)</f>
        <v>0</v>
      </c>
      <c r="AF73" s="488">
        <f ca="1">IFERROR(__xludf.DUMMYFUNCTION("IMPORTRANGE(""https://docs.google.com/spreadsheets/d/1BmIruG_sIrJLYao_Pdr7zVArWsfoBt2692TMi6x_854/edit?usp=sharing"",""อ่างทอง!J429"")"),0)</f>
        <v>0</v>
      </c>
      <c r="AG73" s="488">
        <f ca="1">IFERROR(__xludf.DUMMYFUNCTION("IMPORTRANGE(""https://docs.google.com/spreadsheets/d/1BmIruG_sIrJLYao_Pdr7zVArWsfoBt2692TMi6x_854/edit?usp=sharing"",""อ่างทอง!J430"")"),0)</f>
        <v>0</v>
      </c>
      <c r="AH73" s="488">
        <f ca="1">IFERROR(__xludf.DUMMYFUNCTION("IMPORTRANGE(""https://docs.google.com/spreadsheets/d/1BmIruG_sIrJLYao_Pdr7zVArWsfoBt2692TMi6x_854/edit?usp=sharing"",""อ่างทอง!J431"")"),0)</f>
        <v>0</v>
      </c>
      <c r="AI73" s="191">
        <f ca="1">IFERROR(__xludf.DUMMYFUNCTION("IMPORTRANGE(""https://docs.google.com/spreadsheets/d/1BmIruG_sIrJLYao_Pdr7zVArWsfoBt2692TMi6x_854/edit?usp=sharing"",""อ่างทอง!I432"")"),0)</f>
        <v>0</v>
      </c>
      <c r="AJ73" s="191">
        <f ca="1">IFERROR(__xludf.DUMMYFUNCTION("IMPORTRANGE(""https://docs.google.com/spreadsheets/d/1BmIruG_sIrJLYao_Pdr7zVArWsfoBt2692TMi6x_854/edit?usp=sharing"",""อ่างทอง!I433"")"),0)</f>
        <v>0</v>
      </c>
      <c r="AK73" s="218">
        <f ca="1">IFERROR(__xludf.DUMMYFUNCTION("IMPORTRANGE(""https://docs.google.com/spreadsheets/d/1BmIruG_sIrJLYao_Pdr7zVArWsfoBt2692TMi6x_854/edit?usp=sharing"",""อ่างทอง!J432"")"),0)</f>
        <v>0</v>
      </c>
      <c r="AL73" s="218">
        <f t="shared" ca="1" si="59"/>
        <v>0</v>
      </c>
      <c r="AM73" s="191">
        <f ca="1">IFERROR(__xludf.DUMMYFUNCTION("IMPORTRANGE(""https://docs.google.com/spreadsheets/d/1BmIruG_sIrJLYao_Pdr7zVArWsfoBt2692TMi6x_854/edit?usp=sharing"",""อ่างทอง!J433"")"),0)</f>
        <v>0</v>
      </c>
      <c r="AN73" s="218">
        <f t="shared" ca="1" si="60"/>
        <v>0</v>
      </c>
      <c r="AO73" s="191">
        <f ca="1">IFERROR(__xludf.DUMMYFUNCTION("IMPORTRANGE(""https://docs.google.com/spreadsheets/d/1BmIruG_sIrJLYao_Pdr7zVArWsfoBt2692TMi6x_854/edit?usp=sharing"",""อ่างทอง!J434"")"),0)</f>
        <v>0</v>
      </c>
      <c r="AP73" s="191">
        <f ca="1">IFERROR(__xludf.DUMMYFUNCTION("IMPORTRANGE(""https://docs.google.com/spreadsheets/d/1BmIruG_sIrJLYao_Pdr7zVArWsfoBt2692TMi6x_854/edit?usp=sharing"",""อ่างทอง!J435"")"),0)</f>
        <v>0</v>
      </c>
      <c r="AQ73" s="191">
        <f ca="1">IFERROR(__xludf.DUMMYFUNCTION("IMPORTRANGE(""https://docs.google.com/spreadsheets/d/1BmIruG_sIrJLYao_Pdr7zVArWsfoBt2692TMi6x_854/edit?usp=sharing"",""อ่างทอง!J436"")"),0)</f>
        <v>0</v>
      </c>
      <c r="AR73" s="191">
        <f ca="1">IFERROR(__xludf.DUMMYFUNCTION("IMPORTRANGE(""https://docs.google.com/spreadsheets/d/1BmIruG_sIrJLYao_Pdr7zVArWsfoBt2692TMi6x_854/edit?usp=sharing"",""อ่างทอง!J437"")"),0)</f>
        <v>0</v>
      </c>
      <c r="AS73" s="191">
        <f ca="1">IFERROR(__xludf.DUMMYFUNCTION("IMPORTRANGE(""https://docs.google.com/spreadsheets/d/1BmIruG_sIrJLYao_Pdr7zVArWsfoBt2692TMi6x_854/edit?usp=sharing"",""อ่างทอง!J438"")"),0)</f>
        <v>0</v>
      </c>
      <c r="AT73" s="191">
        <f ca="1">IFERROR(__xludf.DUMMYFUNCTION("IMPORTRANGE(""https://docs.google.com/spreadsheets/d/1BmIruG_sIrJLYao_Pdr7zVArWsfoBt2692TMi6x_854/edit?usp=sharing"",""อ่างทอง!J439"")"),0)</f>
        <v>0</v>
      </c>
      <c r="AU73" s="191">
        <f ca="1">IFERROR(__xludf.DUMMYFUNCTION("IMPORTRANGE(""https://docs.google.com/spreadsheets/d/1BmIruG_sIrJLYao_Pdr7zVArWsfoBt2692TMi6x_854/edit?usp=sharing"",""อ่างทอง!I440"")"),0)</f>
        <v>0</v>
      </c>
      <c r="AV73" s="191">
        <f ca="1">IFERROR(__xludf.DUMMYFUNCTION("IMPORTRANGE(""https://docs.google.com/spreadsheets/d/1BmIruG_sIrJLYao_Pdr7zVArWsfoBt2692TMi6x_854/edit?usp=sharing"",""อ่างทอง!I441"")"),0)</f>
        <v>0</v>
      </c>
      <c r="AW73" s="191">
        <f ca="1">IFERROR(__xludf.DUMMYFUNCTION("IMPORTRANGE(""https://docs.google.com/spreadsheets/d/1BmIruG_sIrJLYao_Pdr7zVArWsfoBt2692TMi6x_854/edit?usp=sharing"",""อ่างทอง!J440"")"),0)</f>
        <v>0</v>
      </c>
      <c r="AX73" s="218">
        <f t="shared" ca="1" si="62"/>
        <v>0</v>
      </c>
      <c r="AY73" s="191">
        <f ca="1">IFERROR(__xludf.DUMMYFUNCTION("IMPORTRANGE(""https://docs.google.com/spreadsheets/d/1BmIruG_sIrJLYao_Pdr7zVArWsfoBt2692TMi6x_854/edit?usp=sharing"",""อ่างทอง!J441"")"),0)</f>
        <v>0</v>
      </c>
      <c r="AZ73" s="218">
        <f t="shared" ca="1" si="63"/>
        <v>0</v>
      </c>
      <c r="BA73" s="191">
        <f ca="1">IFERROR(__xludf.DUMMYFUNCTION("IMPORTRANGE(""https://docs.google.com/spreadsheets/d/1BmIruG_sIrJLYao_Pdr7zVArWsfoBt2692TMi6x_854/edit?usp=sharing"",""อ่างทอง!J442"")"),0)</f>
        <v>0</v>
      </c>
      <c r="BB73" s="191">
        <f ca="1">IFERROR(__xludf.DUMMYFUNCTION("IMPORTRANGE(""https://docs.google.com/spreadsheets/d/1BmIruG_sIrJLYao_Pdr7zVArWsfoBt2692TMi6x_854/edit?usp=sharing"",""อ่างทอง!J443"")"),0)</f>
        <v>0</v>
      </c>
      <c r="BC73" s="191">
        <f ca="1">IFERROR(__xludf.DUMMYFUNCTION("IMPORTRANGE(""https://docs.google.com/spreadsheets/d/1BmIruG_sIrJLYao_Pdr7zVArWsfoBt2692TMi6x_854/edit?usp=sharing"",""อ่างทอง!J444"")"),0)</f>
        <v>0</v>
      </c>
      <c r="BD73" s="191">
        <f ca="1">IFERROR(__xludf.DUMMYFUNCTION("IMPORTRANGE(""https://docs.google.com/spreadsheets/d/1BmIruG_sIrJLYao_Pdr7zVArWsfoBt2692TMi6x_854/edit?usp=sharing"",""อ่างทอง!J445"")"),0)</f>
        <v>0</v>
      </c>
      <c r="BE73" s="191">
        <f ca="1">IFERROR(__xludf.DUMMYFUNCTION("IMPORTRANGE(""https://docs.google.com/spreadsheets/d/1BmIruG_sIrJLYao_Pdr7zVArWsfoBt2692TMi6x_854/edit?usp=sharing"",""อ่างทอง!J446"")"),0)</f>
        <v>0</v>
      </c>
      <c r="BF73" s="191">
        <f ca="1">IFERROR(__xludf.DUMMYFUNCTION("IMPORTRANGE(""https://docs.google.com/spreadsheets/d/1BmIruG_sIrJLYao_Pdr7zVArWsfoBt2692TMi6x_854/edit?usp=sharing"",""อ่างทอง!J447"")"),0)</f>
        <v>0</v>
      </c>
      <c r="BG73" s="191">
        <f ca="1">IFERROR(__xludf.DUMMYFUNCTION("IMPORTRANGE(""https://docs.google.com/spreadsheets/d/1BmIruG_sIrJLYao_Pdr7zVArWsfoBt2692TMi6x_854/edit?usp=sharing"",""อ่างทอง!J448"")"),0)</f>
        <v>0</v>
      </c>
      <c r="BH73" s="191">
        <f ca="1">IFERROR(__xludf.DUMMYFUNCTION("IMPORTRANGE(""https://docs.google.com/spreadsheets/d/1BmIruG_sIrJLYao_Pdr7zVArWsfoBt2692TMi6x_854/edit?usp=sharing"",""อ่างทอง!J449"")"),0)</f>
        <v>0</v>
      </c>
      <c r="BI73" s="191">
        <f ca="1">IFERROR(__xludf.DUMMYFUNCTION("IMPORTRANGE(""https://docs.google.com/spreadsheets/d/1BmIruG_sIrJLYao_Pdr7zVArWsfoBt2692TMi6x_854/edit?usp=sharing"",""อ่างทอง!J450"")"),0)</f>
        <v>0</v>
      </c>
      <c r="BJ73" s="191">
        <f ca="1">IFERROR(__xludf.DUMMYFUNCTION("IMPORTRANGE(""https://docs.google.com/spreadsheets/d/1BmIruG_sIrJLYao_Pdr7zVArWsfoBt2692TMi6x_854/edit?usp=sharing"",""อ่างทอง!J451"")"),0)</f>
        <v>0</v>
      </c>
      <c r="BK73" s="191">
        <f ca="1">IFERROR(__xludf.DUMMYFUNCTION("IMPORTRANGE(""https://docs.google.com/spreadsheets/d/1BmIruG_sIrJLYao_Pdr7zVArWsfoBt2692TMi6x_854/edit?usp=sharing"",""อ่างทอง!J452"")"),0)</f>
        <v>0</v>
      </c>
      <c r="BL73" s="191">
        <f ca="1">IFERROR(__xludf.DUMMYFUNCTION("IMPORTRANGE(""https://docs.google.com/spreadsheets/d/1BmIruG_sIrJLYao_Pdr7zVArWsfoBt2692TMi6x_854/edit?usp=sharing"",""อ่างทอง!J453"")"),0)</f>
        <v>0</v>
      </c>
      <c r="BM73" s="191">
        <f ca="1">IFERROR(__xludf.DUMMYFUNCTION("IMPORTRANGE(""https://docs.google.com/spreadsheets/d/1BmIruG_sIrJLYao_Pdr7zVArWsfoBt2692TMi6x_854/edit?usp=sharing"",""อ่างทอง!J454"")"),0)</f>
        <v>0</v>
      </c>
      <c r="BN73" s="191">
        <f ca="1">IFERROR(__xludf.DUMMYFUNCTION("IMPORTRANGE(""https://docs.google.com/spreadsheets/d/1BmIruG_sIrJLYao_Pdr7zVArWsfoBt2692TMi6x_854/edit?usp=sharing"",""อ่างทอง!J455"")"),0)</f>
        <v>0</v>
      </c>
      <c r="BO73" s="191">
        <f ca="1">IFERROR(__xludf.DUMMYFUNCTION("IMPORTRANGE(""https://docs.google.com/spreadsheets/d/1BmIruG_sIrJLYao_Pdr7zVArWsfoBt2692TMi6x_854/edit?usp=sharing"",""อ่างทอง!I457"")"),0)</f>
        <v>0</v>
      </c>
      <c r="BP73" s="191">
        <f ca="1">IFERROR(__xludf.DUMMYFUNCTION("IMPORTRANGE(""https://docs.google.com/spreadsheets/d/1BmIruG_sIrJLYao_Pdr7zVArWsfoBt2692TMi6x_854/edit?usp=sharing"",""อ่างทอง!I458"")"),0)</f>
        <v>0</v>
      </c>
      <c r="BQ73" s="191">
        <f ca="1">IFERROR(__xludf.DUMMYFUNCTION("IMPORTRANGE(""https://docs.google.com/spreadsheets/d/1BmIruG_sIrJLYao_Pdr7zVArWsfoBt2692TMi6x_854/edit?usp=sharing"",""อ่างทอง!J457"")"),0)</f>
        <v>0</v>
      </c>
      <c r="BR73" s="218">
        <f t="shared" ca="1" si="65"/>
        <v>0</v>
      </c>
      <c r="BS73" s="191">
        <f ca="1">IFERROR(__xludf.DUMMYFUNCTION("IMPORTRANGE(""https://docs.google.com/spreadsheets/d/1BmIruG_sIrJLYao_Pdr7zVArWsfoBt2692TMi6x_854/edit?usp=sharing"",""อ่างทอง!J458"")"),0)</f>
        <v>0</v>
      </c>
      <c r="BT73" s="218">
        <f t="shared" ca="1" si="66"/>
        <v>0</v>
      </c>
      <c r="BU73" s="191">
        <f ca="1">IFERROR(__xludf.DUMMYFUNCTION("IMPORTRANGE(""https://docs.google.com/spreadsheets/d/1BmIruG_sIrJLYao_Pdr7zVArWsfoBt2692TMi6x_854/edit?usp=sharing"",""อ่างทอง!J459"")"),0)</f>
        <v>0</v>
      </c>
      <c r="BV73" s="191">
        <f ca="1">IFERROR(__xludf.DUMMYFUNCTION("IMPORTRANGE(""https://docs.google.com/spreadsheets/d/1BmIruG_sIrJLYao_Pdr7zVArWsfoBt2692TMi6x_854/edit?usp=sharing"",""อ่างทอง!J460"")"),0)</f>
        <v>0</v>
      </c>
      <c r="BW73" s="191">
        <f ca="1">IFERROR(__xludf.DUMMYFUNCTION("IMPORTRANGE(""https://docs.google.com/spreadsheets/d/1BmIruG_sIrJLYao_Pdr7zVArWsfoBt2692TMi6x_854/edit?usp=sharing"",""อ่างทอง!J461"")"),0)</f>
        <v>0</v>
      </c>
      <c r="BX73" s="191">
        <f ca="1">IFERROR(__xludf.DUMMYFUNCTION("IMPORTRANGE(""https://docs.google.com/spreadsheets/d/1BmIruG_sIrJLYao_Pdr7zVArWsfoBt2692TMi6x_854/edit?usp=sharing"",""อ่างทอง!J462"")"),0)</f>
        <v>0</v>
      </c>
      <c r="BY73" s="191">
        <f ca="1">IFERROR(__xludf.DUMMYFUNCTION("IMPORTRANGE(""https://docs.google.com/spreadsheets/d/1BmIruG_sIrJLYao_Pdr7zVArWsfoBt2692TMi6x_854/edit?usp=sharing"",""อ่างทอง!J463"")"),0)</f>
        <v>0</v>
      </c>
      <c r="BZ73" s="191">
        <f ca="1">IFERROR(__xludf.DUMMYFUNCTION("IMPORTRANGE(""https://docs.google.com/spreadsheets/d/1BmIruG_sIrJLYao_Pdr7zVArWsfoBt2692TMi6x_854/edit?usp=sharing"",""อ่างทอง!J464"")"),0)</f>
        <v>0</v>
      </c>
      <c r="CA73" s="191">
        <f ca="1">IFERROR(__xludf.DUMMYFUNCTION("IMPORTRANGE(""https://docs.google.com/spreadsheets/d/1BmIruG_sIrJLYao_Pdr7zVArWsfoBt2692TMi6x_854/edit?usp=sharing"",""อ่างทอง!J465"")"),0)</f>
        <v>0</v>
      </c>
      <c r="CB73" s="191">
        <f ca="1">IFERROR(__xludf.DUMMYFUNCTION("IMPORTRANGE(""https://docs.google.com/spreadsheets/d/1BmIruG_sIrJLYao_Pdr7zVArWsfoBt2692TMi6x_854/edit?usp=sharing"",""อ่างทอง!J466"")"),0)</f>
        <v>0</v>
      </c>
      <c r="CC73" s="191">
        <f ca="1">IFERROR(__xludf.DUMMYFUNCTION("IMPORTRANGE(""https://docs.google.com/spreadsheets/d/1BmIruG_sIrJLYao_Pdr7zVArWsfoBt2692TMi6x_854/edit?usp=sharing"",""อ่างทอง!J467"")"),0)</f>
        <v>0</v>
      </c>
      <c r="CD73" s="191">
        <f ca="1">IFERROR(__xludf.DUMMYFUNCTION("IMPORTRANGE(""https://docs.google.com/spreadsheets/d/1BmIruG_sIrJLYao_Pdr7zVArWsfoBt2692TMi6x_854/edit?usp=sharing"",""อ่างทอง!J468"")"),0)</f>
        <v>0</v>
      </c>
      <c r="CE73" s="191">
        <f ca="1">IFERROR(__xludf.DUMMYFUNCTION("IMPORTRANGE(""https://docs.google.com/spreadsheets/d/1BmIruG_sIrJLYao_Pdr7zVArWsfoBt2692TMi6x_854/edit?usp=sharing"",""อ่างทอง!J469"")"),0)</f>
        <v>0</v>
      </c>
      <c r="CF73" s="191">
        <f ca="1">IFERROR(__xludf.DUMMYFUNCTION("IMPORTRANGE(""https://docs.google.com/spreadsheets/d/1BmIruG_sIrJLYao_Pdr7zVArWsfoBt2692TMi6x_854/edit?usp=sharing"",""อ่างทอง!J470"")"),0)</f>
        <v>0</v>
      </c>
      <c r="CG73" s="191">
        <f ca="1">IFERROR(__xludf.DUMMYFUNCTION("IMPORTRANGE(""https://docs.google.com/spreadsheets/d/1BmIruG_sIrJLYao_Pdr7zVArWsfoBt2692TMi6x_854/edit?usp=sharing"",""อ่างทอง!J471"")"),0)</f>
        <v>0</v>
      </c>
      <c r="CH73" s="191">
        <f ca="1">IFERROR(__xludf.DUMMYFUNCTION("IMPORTRANGE(""https://docs.google.com/spreadsheets/d/1BmIruG_sIrJLYao_Pdr7zVArWsfoBt2692TMi6x_854/edit?usp=sharing"",""อ่างทอง!J472"")"),0)</f>
        <v>0</v>
      </c>
      <c r="CI73" s="191">
        <f ca="1">IFERROR(__xludf.DUMMYFUNCTION("IMPORTRANGE(""https://docs.google.com/spreadsheets/d/1BmIruG_sIrJLYao_Pdr7zVArWsfoBt2692TMi6x_854/edit?usp=sharing"",""อ่างทอง!J473"")"),0)</f>
        <v>0</v>
      </c>
      <c r="CJ73" s="191">
        <f ca="1">IFERROR(__xludf.DUMMYFUNCTION("IMPORTRANGE(""https://docs.google.com/spreadsheets/d/1BmIruG_sIrJLYao_Pdr7zVArWsfoBt2692TMi6x_854/edit?usp=sharing"",""อ่างทอง!J474"")"),0)</f>
        <v>0</v>
      </c>
      <c r="CK73" s="280">
        <f ca="1">IFERROR(__xludf.DUMMYFUNCTION("IMPORTRANGE(""https://docs.google.com/spreadsheets/d/1BmIruG_sIrJLYao_Pdr7zVArWsfoBt2692TMi6x_854/edit?usp=sharing"",""อ่างทอง!I476"")"),0)</f>
        <v>0</v>
      </c>
      <c r="CL73" s="280">
        <f ca="1">IFERROR(__xludf.DUMMYFUNCTION("IMPORTRANGE(""https://docs.google.com/spreadsheets/d/1BmIruG_sIrJLYao_Pdr7zVArWsfoBt2692TMi6x_854/edit?usp=sharing"",""อ่างทอง!I477"")"),0)</f>
        <v>0</v>
      </c>
      <c r="CM73" s="280">
        <f ca="1">IFERROR(__xludf.DUMMYFUNCTION("IMPORTRANGE(""https://docs.google.com/spreadsheets/d/1BmIruG_sIrJLYao_Pdr7zVArWsfoBt2692TMi6x_854/edit?usp=sharing"",""อ่างทอง!J476"")"),0)</f>
        <v>0</v>
      </c>
      <c r="CN73" s="218">
        <f t="shared" ca="1" si="68"/>
        <v>0</v>
      </c>
      <c r="CO73" s="280">
        <f ca="1">IFERROR(__xludf.DUMMYFUNCTION("IMPORTRANGE(""https://docs.google.com/spreadsheets/d/1BmIruG_sIrJLYao_Pdr7zVArWsfoBt2692TMi6x_854/edit?usp=sharing"",""อ่างทอง!J477"")"),0)</f>
        <v>0</v>
      </c>
      <c r="CP73" s="218">
        <f t="shared" ca="1" si="69"/>
        <v>0</v>
      </c>
      <c r="CQ73" s="280">
        <f ca="1">IFERROR(__xludf.DUMMYFUNCTION("IMPORTRANGE(""https://docs.google.com/spreadsheets/d/1BmIruG_sIrJLYao_Pdr7zVArWsfoBt2692TMi6x_854/edit?usp=sharing"",""อ่างทอง!J478"")"),0)</f>
        <v>0</v>
      </c>
      <c r="CR73" s="280">
        <f ca="1">IFERROR(__xludf.DUMMYFUNCTION("IMPORTRANGE(""https://docs.google.com/spreadsheets/d/1BmIruG_sIrJLYao_Pdr7zVArWsfoBt2692TMi6x_854/edit?usp=sharing"",""อ่างทอง!J479"")"),0)</f>
        <v>0</v>
      </c>
      <c r="CS73" s="280">
        <f ca="1">IFERROR(__xludf.DUMMYFUNCTION("IMPORTRANGE(""https://docs.google.com/spreadsheets/d/1BmIruG_sIrJLYao_Pdr7zVArWsfoBt2692TMi6x_854/edit?usp=sharing"",""อ่างทอง!J480"")"),0)</f>
        <v>0</v>
      </c>
      <c r="CT73" s="280">
        <f ca="1">IFERROR(__xludf.DUMMYFUNCTION("IMPORTRANGE(""https://docs.google.com/spreadsheets/d/1BmIruG_sIrJLYao_Pdr7zVArWsfoBt2692TMi6x_854/edit?usp=sharing"",""อ่างทอง!J481"")"),0)</f>
        <v>0</v>
      </c>
      <c r="CU73" s="280">
        <f ca="1">IFERROR(__xludf.DUMMYFUNCTION("IMPORTRANGE(""https://docs.google.com/spreadsheets/d/1BmIruG_sIrJLYao_Pdr7zVArWsfoBt2692TMi6x_854/edit?usp=sharing"",""อ่างทอง!I484"")"),0)</f>
        <v>0</v>
      </c>
      <c r="CV73" s="280">
        <f ca="1">IFERROR(__xludf.DUMMYFUNCTION("IMPORTRANGE(""https://docs.google.com/spreadsheets/d/1BmIruG_sIrJLYao_Pdr7zVArWsfoBt2692TMi6x_854/edit?usp=sharing"",""อ่างทอง!I485"")"),0)</f>
        <v>0</v>
      </c>
      <c r="CW73" s="280">
        <f ca="1">IFERROR(__xludf.DUMMYFUNCTION("IMPORTRANGE(""https://docs.google.com/spreadsheets/d/1BmIruG_sIrJLYao_Pdr7zVArWsfoBt2692TMi6x_854/edit?usp=sharing"",""อ่างทอง!J484"")"),0)</f>
        <v>0</v>
      </c>
      <c r="CX73" s="218">
        <f t="shared" ca="1" si="71"/>
        <v>0</v>
      </c>
      <c r="CY73" s="280">
        <f ca="1">IFERROR(__xludf.DUMMYFUNCTION("IMPORTRANGE(""https://docs.google.com/spreadsheets/d/1BmIruG_sIrJLYao_Pdr7zVArWsfoBt2692TMi6x_854/edit?usp=sharing"",""อ่างทอง!J485"")"),0)</f>
        <v>0</v>
      </c>
      <c r="CZ73" s="218">
        <f t="shared" ca="1" si="72"/>
        <v>0</v>
      </c>
      <c r="DA73" s="280">
        <f ca="1">IFERROR(__xludf.DUMMYFUNCTION("IMPORTRANGE(""https://docs.google.com/spreadsheets/d/1BmIruG_sIrJLYao_Pdr7zVArWsfoBt2692TMi6x_854/edit?usp=sharing"",""อ่างทอง!J486"")"),0)</f>
        <v>0</v>
      </c>
      <c r="DB73" s="280">
        <f ca="1">IFERROR(__xludf.DUMMYFUNCTION("IMPORTRANGE(""https://docs.google.com/spreadsheets/d/1BmIruG_sIrJLYao_Pdr7zVArWsfoBt2692TMi6x_854/edit?usp=sharing"",""อ่างทอง!J487"")"),0)</f>
        <v>0</v>
      </c>
      <c r="DC73" s="280">
        <f ca="1">IFERROR(__xludf.DUMMYFUNCTION("IMPORTRANGE(""https://docs.google.com/spreadsheets/d/1BmIruG_sIrJLYao_Pdr7zVArWsfoBt2692TMi6x_854/edit?usp=sharing"",""อ่างทอง!J488"")"),0)</f>
        <v>0</v>
      </c>
      <c r="DD73" s="280">
        <f ca="1">IFERROR(__xludf.DUMMYFUNCTION("IMPORTRANGE(""https://docs.google.com/spreadsheets/d/1BmIruG_sIrJLYao_Pdr7zVArWsfoBt2692TMi6x_854/edit?usp=sharing"",""อ่างทอง!J489"")"),0)</f>
        <v>0</v>
      </c>
      <c r="DE73" s="280">
        <f ca="1">IFERROR(__xludf.DUMMYFUNCTION("IMPORTRANGE(""https://docs.google.com/spreadsheets/d/1BmIruG_sIrJLYao_Pdr7zVArWsfoBt2692TMi6x_854/edit?usp=sharing"",""อ่างทอง!J490"")"),0)</f>
        <v>0</v>
      </c>
      <c r="DF73" s="280">
        <f ca="1">IFERROR(__xludf.DUMMYFUNCTION("IMPORTRANGE(""https://docs.google.com/spreadsheets/d/1BmIruG_sIrJLYao_Pdr7zVArWsfoBt2692TMi6x_854/edit?usp=sharing"",""อ่างทอง!J491"")"),0)</f>
        <v>0</v>
      </c>
    </row>
    <row r="74" spans="1:110" ht="19.5" x14ac:dyDescent="0.3">
      <c r="A74" s="696" t="s">
        <v>102</v>
      </c>
      <c r="B74" s="662"/>
      <c r="C74" s="583">
        <f t="shared" ca="1" si="44"/>
        <v>2053310</v>
      </c>
      <c r="D74" s="309">
        <f t="shared" ref="D74:I74" ca="1" si="95">SUM(D75:D88)</f>
        <v>2053310</v>
      </c>
      <c r="E74" s="309">
        <f t="shared" ca="1" si="95"/>
        <v>686700</v>
      </c>
      <c r="F74" s="309">
        <f t="shared" ca="1" si="95"/>
        <v>1366610</v>
      </c>
      <c r="G74" s="309">
        <f t="shared" ca="1" si="95"/>
        <v>0</v>
      </c>
      <c r="H74" s="309">
        <f t="shared" ca="1" si="95"/>
        <v>3033003</v>
      </c>
      <c r="I74" s="309">
        <f t="shared" ca="1" si="95"/>
        <v>0</v>
      </c>
      <c r="J74" s="309">
        <f t="shared" ca="1" si="46"/>
        <v>1936742.9499999997</v>
      </c>
      <c r="K74" s="556">
        <f t="shared" ca="1" si="47"/>
        <v>94.322968767502218</v>
      </c>
      <c r="L74" s="309">
        <f ca="1">SUM(L75:L88)</f>
        <v>1936742.9499999997</v>
      </c>
      <c r="M74" s="310">
        <f t="shared" ca="1" si="48"/>
        <v>94.322968767502218</v>
      </c>
      <c r="N74" s="310">
        <f t="shared" ca="1" si="49"/>
        <v>63.855622628793959</v>
      </c>
      <c r="O74" s="557">
        <f ca="1">SUM(O75:O88)</f>
        <v>0</v>
      </c>
      <c r="P74" s="557">
        <f t="shared" ca="1" si="50"/>
        <v>0</v>
      </c>
      <c r="Q74" s="310">
        <f t="shared" ca="1" si="51"/>
        <v>0</v>
      </c>
      <c r="R74" s="578">
        <f t="shared" ref="R74:T74" ca="1" si="96">SUM(R75:R88)</f>
        <v>347120</v>
      </c>
      <c r="S74" s="578">
        <f t="shared" ca="1" si="96"/>
        <v>347120</v>
      </c>
      <c r="T74" s="578">
        <f t="shared" ca="1" si="96"/>
        <v>61650</v>
      </c>
      <c r="U74" s="579">
        <f t="shared" ca="1" si="53"/>
        <v>17.760428670200508</v>
      </c>
      <c r="V74" s="579">
        <f t="shared" ca="1" si="54"/>
        <v>17.760428670200508</v>
      </c>
      <c r="W74" s="369">
        <f t="shared" ref="W74:Y74" ca="1" si="97">SUM(W75:W88)</f>
        <v>216167</v>
      </c>
      <c r="X74" s="369">
        <f t="shared" ca="1" si="97"/>
        <v>20200</v>
      </c>
      <c r="Y74" s="369">
        <f t="shared" ca="1" si="97"/>
        <v>111204.21</v>
      </c>
      <c r="Z74" s="94">
        <f t="shared" ca="1" si="56"/>
        <v>51.443656987421761</v>
      </c>
      <c r="AA74" s="369">
        <f ca="1">SUM(AA75:AA88)</f>
        <v>9791</v>
      </c>
      <c r="AB74" s="94">
        <f t="shared" ca="1" si="57"/>
        <v>48.470297029702969</v>
      </c>
      <c r="AC74" s="369">
        <f t="shared" ref="AC74:AK74" ca="1" si="98">SUM(AC75:AC88)</f>
        <v>86425.21</v>
      </c>
      <c r="AD74" s="369">
        <f t="shared" ca="1" si="98"/>
        <v>7764</v>
      </c>
      <c r="AE74" s="369">
        <f t="shared" ca="1" si="98"/>
        <v>22931</v>
      </c>
      <c r="AF74" s="369">
        <f t="shared" ca="1" si="98"/>
        <v>1819</v>
      </c>
      <c r="AG74" s="369">
        <f t="shared" ca="1" si="98"/>
        <v>1848</v>
      </c>
      <c r="AH74" s="369">
        <f t="shared" ca="1" si="98"/>
        <v>208</v>
      </c>
      <c r="AI74" s="161">
        <f t="shared" ca="1" si="98"/>
        <v>216167</v>
      </c>
      <c r="AJ74" s="161">
        <f t="shared" ca="1" si="98"/>
        <v>20200</v>
      </c>
      <c r="AK74" s="94">
        <f t="shared" ca="1" si="98"/>
        <v>0</v>
      </c>
      <c r="AL74" s="94">
        <f t="shared" ca="1" si="59"/>
        <v>0</v>
      </c>
      <c r="AM74" s="161">
        <f ca="1">SUM(AM75:AM88)</f>
        <v>0</v>
      </c>
      <c r="AN74" s="94">
        <f t="shared" ca="1" si="60"/>
        <v>0</v>
      </c>
      <c r="AO74" s="161">
        <f t="shared" ref="AO74:AW74" ca="1" si="99">SUM(AO75:AO88)</f>
        <v>0</v>
      </c>
      <c r="AP74" s="161">
        <f t="shared" ca="1" si="99"/>
        <v>0</v>
      </c>
      <c r="AQ74" s="161">
        <f t="shared" ca="1" si="99"/>
        <v>0</v>
      </c>
      <c r="AR74" s="161">
        <f t="shared" ca="1" si="99"/>
        <v>0</v>
      </c>
      <c r="AS74" s="161">
        <f t="shared" ca="1" si="99"/>
        <v>0</v>
      </c>
      <c r="AT74" s="161">
        <f t="shared" ca="1" si="99"/>
        <v>0</v>
      </c>
      <c r="AU74" s="161">
        <f t="shared" ca="1" si="99"/>
        <v>216167</v>
      </c>
      <c r="AV74" s="161">
        <f t="shared" ca="1" si="99"/>
        <v>20200</v>
      </c>
      <c r="AW74" s="161">
        <f t="shared" ca="1" si="99"/>
        <v>0</v>
      </c>
      <c r="AX74" s="94">
        <f t="shared" ca="1" si="62"/>
        <v>0</v>
      </c>
      <c r="AY74" s="161">
        <f ca="1">SUM(AY75:AY88)</f>
        <v>0</v>
      </c>
      <c r="AZ74" s="94">
        <f t="shared" ca="1" si="63"/>
        <v>0</v>
      </c>
      <c r="BA74" s="161">
        <f t="shared" ref="BA74:BQ74" ca="1" si="100">SUM(BA75:BA88)</f>
        <v>0</v>
      </c>
      <c r="BB74" s="161">
        <f t="shared" ca="1" si="100"/>
        <v>0</v>
      </c>
      <c r="BC74" s="161">
        <f t="shared" ca="1" si="100"/>
        <v>0</v>
      </c>
      <c r="BD74" s="161">
        <f t="shared" ca="1" si="100"/>
        <v>0</v>
      </c>
      <c r="BE74" s="161">
        <f t="shared" ca="1" si="100"/>
        <v>0</v>
      </c>
      <c r="BF74" s="161">
        <f t="shared" ca="1" si="100"/>
        <v>0</v>
      </c>
      <c r="BG74" s="161">
        <f t="shared" ca="1" si="100"/>
        <v>0</v>
      </c>
      <c r="BH74" s="161">
        <f t="shared" ca="1" si="100"/>
        <v>0</v>
      </c>
      <c r="BI74" s="161">
        <f t="shared" ca="1" si="100"/>
        <v>0</v>
      </c>
      <c r="BJ74" s="161">
        <f t="shared" ca="1" si="100"/>
        <v>0</v>
      </c>
      <c r="BK74" s="161">
        <f t="shared" ca="1" si="100"/>
        <v>0</v>
      </c>
      <c r="BL74" s="161">
        <f t="shared" ca="1" si="100"/>
        <v>0</v>
      </c>
      <c r="BM74" s="161">
        <f t="shared" ca="1" si="100"/>
        <v>0</v>
      </c>
      <c r="BN74" s="161">
        <f t="shared" ca="1" si="100"/>
        <v>0</v>
      </c>
      <c r="BO74" s="161">
        <f t="shared" ca="1" si="100"/>
        <v>19003.45</v>
      </c>
      <c r="BP74" s="161">
        <f t="shared" ca="1" si="100"/>
        <v>1815</v>
      </c>
      <c r="BQ74" s="161">
        <f t="shared" ca="1" si="100"/>
        <v>2800</v>
      </c>
      <c r="BR74" s="94">
        <f t="shared" ca="1" si="65"/>
        <v>14.734166690785093</v>
      </c>
      <c r="BS74" s="161">
        <f ca="1">SUM(BS75:BS88)</f>
        <v>255</v>
      </c>
      <c r="BT74" s="94">
        <f t="shared" ca="1" si="66"/>
        <v>14.049586776859504</v>
      </c>
      <c r="BU74" s="161">
        <f t="shared" ref="BU74:CM74" ca="1" si="101">SUM(BU75:BU88)</f>
        <v>2726</v>
      </c>
      <c r="BV74" s="161">
        <f t="shared" ca="1" si="101"/>
        <v>246</v>
      </c>
      <c r="BW74" s="161">
        <f t="shared" ca="1" si="101"/>
        <v>2726</v>
      </c>
      <c r="BX74" s="161">
        <f t="shared" ca="1" si="101"/>
        <v>246</v>
      </c>
      <c r="BY74" s="161">
        <f t="shared" ca="1" si="101"/>
        <v>0</v>
      </c>
      <c r="BZ74" s="161">
        <f t="shared" ca="1" si="101"/>
        <v>0</v>
      </c>
      <c r="CA74" s="161">
        <f t="shared" ca="1" si="101"/>
        <v>0</v>
      </c>
      <c r="CB74" s="161">
        <f t="shared" ca="1" si="101"/>
        <v>0</v>
      </c>
      <c r="CC74" s="161">
        <f t="shared" ca="1" si="101"/>
        <v>74</v>
      </c>
      <c r="CD74" s="161">
        <f t="shared" ca="1" si="101"/>
        <v>9</v>
      </c>
      <c r="CE74" s="161">
        <f t="shared" ca="1" si="101"/>
        <v>51</v>
      </c>
      <c r="CF74" s="161">
        <f t="shared" ca="1" si="101"/>
        <v>4</v>
      </c>
      <c r="CG74" s="161">
        <f t="shared" ca="1" si="101"/>
        <v>23</v>
      </c>
      <c r="CH74" s="161">
        <f t="shared" ca="1" si="101"/>
        <v>5</v>
      </c>
      <c r="CI74" s="161">
        <f t="shared" ca="1" si="101"/>
        <v>0</v>
      </c>
      <c r="CJ74" s="161">
        <f t="shared" ca="1" si="101"/>
        <v>0</v>
      </c>
      <c r="CK74" s="281">
        <f t="shared" ca="1" si="101"/>
        <v>0</v>
      </c>
      <c r="CL74" s="281">
        <f t="shared" ca="1" si="101"/>
        <v>0</v>
      </c>
      <c r="CM74" s="281">
        <f t="shared" ca="1" si="101"/>
        <v>0</v>
      </c>
      <c r="CN74" s="94">
        <f t="shared" ca="1" si="68"/>
        <v>0</v>
      </c>
      <c r="CO74" s="281">
        <f ca="1">SUM(CO75:CO88)</f>
        <v>0</v>
      </c>
      <c r="CP74" s="94">
        <f t="shared" ca="1" si="69"/>
        <v>0</v>
      </c>
      <c r="CQ74" s="281">
        <f t="shared" ref="CQ74:CW74" ca="1" si="102">SUM(CQ75:CQ88)</f>
        <v>0</v>
      </c>
      <c r="CR74" s="281">
        <f t="shared" ca="1" si="102"/>
        <v>0</v>
      </c>
      <c r="CS74" s="281">
        <f t="shared" ca="1" si="102"/>
        <v>0</v>
      </c>
      <c r="CT74" s="281">
        <f t="shared" ca="1" si="102"/>
        <v>0</v>
      </c>
      <c r="CU74" s="281">
        <f t="shared" ca="1" si="102"/>
        <v>189</v>
      </c>
      <c r="CV74" s="281">
        <f t="shared" ca="1" si="102"/>
        <v>29</v>
      </c>
      <c r="CW74" s="281">
        <f t="shared" ca="1" si="102"/>
        <v>0</v>
      </c>
      <c r="CX74" s="94">
        <f t="shared" ca="1" si="71"/>
        <v>0</v>
      </c>
      <c r="CY74" s="281">
        <f ca="1">SUM(CY75:CY88)</f>
        <v>0</v>
      </c>
      <c r="CZ74" s="94">
        <f t="shared" ca="1" si="72"/>
        <v>0</v>
      </c>
      <c r="DA74" s="281">
        <f t="shared" ref="DA74:DF74" ca="1" si="103">SUM(DA75:DA88)</f>
        <v>0</v>
      </c>
      <c r="DB74" s="281">
        <f t="shared" ca="1" si="103"/>
        <v>0</v>
      </c>
      <c r="DC74" s="281">
        <f t="shared" ca="1" si="103"/>
        <v>0</v>
      </c>
      <c r="DD74" s="281">
        <f t="shared" ca="1" si="103"/>
        <v>0</v>
      </c>
      <c r="DE74" s="281">
        <f t="shared" ca="1" si="103"/>
        <v>0</v>
      </c>
      <c r="DF74" s="281">
        <f t="shared" ca="1" si="103"/>
        <v>0</v>
      </c>
    </row>
    <row r="75" spans="1:110" ht="19.5" x14ac:dyDescent="0.3">
      <c r="A75" s="147">
        <v>1</v>
      </c>
      <c r="B75" s="148" t="s">
        <v>103</v>
      </c>
      <c r="C75" s="580">
        <f t="shared" ca="1" si="44"/>
        <v>51370</v>
      </c>
      <c r="D75" s="561">
        <f t="shared" ref="D75:D88" ca="1" si="104">+E75+F75</f>
        <v>51370</v>
      </c>
      <c r="E75" s="325">
        <f ca="1">IFERROR(__xludf.DUMMYFUNCTION("IMPORTRANGE(""https://docs.google.com/spreadsheets/d/1-uDff_7J0KD5mKrp0Vvzr7lt3OU09vwQwhkpOPPYv2Y/edit?usp=sharing"",""งบพรบ!IP75"")"),0)</f>
        <v>0</v>
      </c>
      <c r="F75" s="325">
        <f ca="1">IFERROR(__xludf.DUMMYFUNCTION("IMPORTRANGE(""https://docs.google.com/spreadsheets/d/1-uDff_7J0KD5mKrp0Vvzr7lt3OU09vwQwhkpOPPYv2Y/edit?usp=sharing"",""งบพรบ!IQ75"")"),51370)</f>
        <v>51370</v>
      </c>
      <c r="G75" s="336">
        <f ca="1">IFERROR(__xludf.DUMMYFUNCTION("IMPORTRANGE(""https://docs.google.com/spreadsheets/d/1-uDff_7J0KD5mKrp0Vvzr7lt3OU09vwQwhkpOPPYv2Y/edit?usp=sharing"",""งบพรบ!IR75"")"),0)</f>
        <v>0</v>
      </c>
      <c r="H75" s="336">
        <f ca="1">IFERROR(__xludf.DUMMYFUNCTION("IMPORTRANGE(""https://docs.google.com/spreadsheets/d/1-uDff_7J0KD5mKrp0Vvzr7lt3OU09vwQwhkpOPPYv2Y/edit?usp=sharing"",""งบพรบ!IT75"")"),183870)</f>
        <v>183870</v>
      </c>
      <c r="I75" s="336">
        <f ca="1">IFERROR(__xludf.DUMMYFUNCTION("IMPORTRANGE(""https://docs.google.com/spreadsheets/d/1-uDff_7J0KD5mKrp0Vvzr7lt3OU09vwQwhkpOPPYv2Y/edit?usp=sharing"",""งบพรบ!IU75"")"),0)</f>
        <v>0</v>
      </c>
      <c r="J75" s="336">
        <f t="shared" ca="1" si="46"/>
        <v>139300</v>
      </c>
      <c r="K75" s="584">
        <f t="shared" ca="1" si="47"/>
        <v>271.16994354681719</v>
      </c>
      <c r="L75" s="329">
        <f ca="1">IFERROR(__xludf.DUMMYFUNCTION("IMPORTRANGE(""https://docs.google.com/spreadsheets/d/1-uDff_7J0KD5mKrp0Vvzr7lt3OU09vwQwhkpOPPYv2Y/edit?usp=sharing"",""งบพรบ!IV75"")"),139300)</f>
        <v>139300</v>
      </c>
      <c r="M75" s="326">
        <f t="shared" ca="1" si="48"/>
        <v>271.16994354681719</v>
      </c>
      <c r="N75" s="326">
        <f t="shared" ca="1" si="49"/>
        <v>75.760047859901022</v>
      </c>
      <c r="O75" s="563">
        <f ca="1">IFERROR(__xludf.DUMMYFUNCTION("IMPORTRANGE(""https://docs.google.com/spreadsheets/d/1-uDff_7J0KD5mKrp0Vvzr7lt3OU09vwQwhkpOPPYv2Y/edit?usp=sharing"",""งบพรบ!IW75"")"),0)</f>
        <v>0</v>
      </c>
      <c r="P75" s="563">
        <f t="shared" ca="1" si="50"/>
        <v>0</v>
      </c>
      <c r="Q75" s="326">
        <f t="shared" ca="1" si="51"/>
        <v>0</v>
      </c>
      <c r="R75" s="564">
        <f ca="1">IFERROR(__xludf.DUMMYFUNCTION("IMPORTRANGE(""https://docs.google.com/spreadsheets/d/1kKUcYdkIfrgTSj8iHHHB2MD2FAtwyyocFgqGQn6ADyI/edit?usp=sharing"",""กระบี่!Q413"")"),16200)</f>
        <v>16200</v>
      </c>
      <c r="S75" s="564">
        <f ca="1">IFERROR(__xludf.DUMMYFUNCTION("IMPORTRANGE(""https://docs.google.com/spreadsheets/d/1kKUcYdkIfrgTSj8iHHHB2MD2FAtwyyocFgqGQn6ADyI/edit?usp=sharing"",""กระบี่!R413"")"),16200)</f>
        <v>16200</v>
      </c>
      <c r="T75" s="564">
        <f ca="1">IFERROR(__xludf.DUMMYFUNCTION("IMPORTRANGE(""https://docs.google.com/spreadsheets/d/1kKUcYdkIfrgTSj8iHHHB2MD2FAtwyyocFgqGQn6ADyI/edit?usp=sharing"",""กระบี่!S413"")"),0)</f>
        <v>0</v>
      </c>
      <c r="U75" s="565">
        <f t="shared" ca="1" si="53"/>
        <v>0</v>
      </c>
      <c r="V75" s="565">
        <f t="shared" ca="1" si="54"/>
        <v>0</v>
      </c>
      <c r="W75" s="152">
        <f ca="1">IFERROR(__xludf.DUMMYFUNCTION("IMPORTRANGE(""https://docs.google.com/spreadsheets/d/1kKUcYdkIfrgTSj8iHHHB2MD2FAtwyyocFgqGQn6ADyI/edit?usp=sharing"",""กระบี่!I424"")"),0)</f>
        <v>0</v>
      </c>
      <c r="X75" s="152">
        <f ca="1">IFERROR(__xludf.DUMMYFUNCTION("IMPORTRANGE(""https://docs.google.com/spreadsheets/d/1kKUcYdkIfrgTSj8iHHHB2MD2FAtwyyocFgqGQn6ADyI/edit?usp=sharing"",""กระบี่!I425"")"),0)</f>
        <v>0</v>
      </c>
      <c r="Y75" s="152">
        <f ca="1">IFERROR(__xludf.DUMMYFUNCTION("IMPORTRANGE(""https://docs.google.com/spreadsheets/d/1kKUcYdkIfrgTSj8iHHHB2MD2FAtwyyocFgqGQn6ADyI/edit?usp=sharing"",""กระบี่!J424"")"),0)</f>
        <v>0</v>
      </c>
      <c r="Z75" s="216">
        <f t="shared" ca="1" si="56"/>
        <v>0</v>
      </c>
      <c r="AA75" s="152">
        <f ca="1">IFERROR(__xludf.DUMMYFUNCTION("IMPORTRANGE(""https://docs.google.com/spreadsheets/d/1kKUcYdkIfrgTSj8iHHHB2MD2FAtwyyocFgqGQn6ADyI/edit?usp=sharing"",""กระบี่!J425"")"),0)</f>
        <v>0</v>
      </c>
      <c r="AB75" s="216">
        <f t="shared" ca="1" si="57"/>
        <v>0</v>
      </c>
      <c r="AC75" s="152">
        <f ca="1">IFERROR(__xludf.DUMMYFUNCTION("IMPORTRANGE(""https://docs.google.com/spreadsheets/d/1kKUcYdkIfrgTSj8iHHHB2MD2FAtwyyocFgqGQn6ADyI/edit?usp=sharing"",""กระบี่!J426"")"),0)</f>
        <v>0</v>
      </c>
      <c r="AD75" s="152">
        <f ca="1">IFERROR(__xludf.DUMMYFUNCTION("IMPORTRANGE(""https://docs.google.com/spreadsheets/d/1kKUcYdkIfrgTSj8iHHHB2MD2FAtwyyocFgqGQn6ADyI/edit?usp=sharing"",""กระบี่!J427"")"),0)</f>
        <v>0</v>
      </c>
      <c r="AE75" s="152">
        <f ca="1">IFERROR(__xludf.DUMMYFUNCTION("IMPORTRANGE(""https://docs.google.com/spreadsheets/d/1kKUcYdkIfrgTSj8iHHHB2MD2FAtwyyocFgqGQn6ADyI/edit?usp=sharing"",""กระบี่!J428"")"),0)</f>
        <v>0</v>
      </c>
      <c r="AF75" s="152">
        <f ca="1">IFERROR(__xludf.DUMMYFUNCTION("IMPORTRANGE(""https://docs.google.com/spreadsheets/d/1kKUcYdkIfrgTSj8iHHHB2MD2FAtwyyocFgqGQn6ADyI/edit?usp=sharing"",""กระบี่!J429"")"),0)</f>
        <v>0</v>
      </c>
      <c r="AG75" s="152">
        <f ca="1">IFERROR(__xludf.DUMMYFUNCTION("IMPORTRANGE(""https://docs.google.com/spreadsheets/d/1kKUcYdkIfrgTSj8iHHHB2MD2FAtwyyocFgqGQn6ADyI/edit?usp=sharing"",""กระบี่!J430"")"),0)</f>
        <v>0</v>
      </c>
      <c r="AH75" s="152">
        <f ca="1">IFERROR(__xludf.DUMMYFUNCTION("IMPORTRANGE(""https://docs.google.com/spreadsheets/d/1kKUcYdkIfrgTSj8iHHHB2MD2FAtwyyocFgqGQn6ADyI/edit?usp=sharing"",""กระบี่!J431"")"),0)</f>
        <v>0</v>
      </c>
      <c r="AI75" s="152">
        <f ca="1">IFERROR(__xludf.DUMMYFUNCTION("IMPORTRANGE(""https://docs.google.com/spreadsheets/d/1kKUcYdkIfrgTSj8iHHHB2MD2FAtwyyocFgqGQn6ADyI/edit?usp=sharing"",""กระบี่!I432"")"),0)</f>
        <v>0</v>
      </c>
      <c r="AJ75" s="152">
        <f ca="1">IFERROR(__xludf.DUMMYFUNCTION("IMPORTRANGE(""https://docs.google.com/spreadsheets/d/1kKUcYdkIfrgTSj8iHHHB2MD2FAtwyyocFgqGQn6ADyI/edit?usp=sharing"",""กระบี่!I433"")"),0)</f>
        <v>0</v>
      </c>
      <c r="AK75" s="216">
        <f ca="1">IFERROR(__xludf.DUMMYFUNCTION("IMPORTRANGE(""https://docs.google.com/spreadsheets/d/1kKUcYdkIfrgTSj8iHHHB2MD2FAtwyyocFgqGQn6ADyI/edit?usp=sharing"",""กระบี่!J432"")"),0)</f>
        <v>0</v>
      </c>
      <c r="AL75" s="216">
        <f t="shared" ca="1" si="59"/>
        <v>0</v>
      </c>
      <c r="AM75" s="152">
        <f ca="1">IFERROR(__xludf.DUMMYFUNCTION("IMPORTRANGE(""https://docs.google.com/spreadsheets/d/1kKUcYdkIfrgTSj8iHHHB2MD2FAtwyyocFgqGQn6ADyI/edit?usp=sharing"",""กระบี่!J433"")"),0)</f>
        <v>0</v>
      </c>
      <c r="AN75" s="216">
        <f t="shared" ca="1" si="60"/>
        <v>0</v>
      </c>
      <c r="AO75" s="152">
        <f ca="1">IFERROR(__xludf.DUMMYFUNCTION("IMPORTRANGE(""https://docs.google.com/spreadsheets/d/1kKUcYdkIfrgTSj8iHHHB2MD2FAtwyyocFgqGQn6ADyI/edit?usp=sharing"",""กระบี่!J434"")"),0)</f>
        <v>0</v>
      </c>
      <c r="AP75" s="152">
        <f ca="1">IFERROR(__xludf.DUMMYFUNCTION("IMPORTRANGE(""https://docs.google.com/spreadsheets/d/1kKUcYdkIfrgTSj8iHHHB2MD2FAtwyyocFgqGQn6ADyI/edit?usp=sharing"",""กระบี่!J435"")"),0)</f>
        <v>0</v>
      </c>
      <c r="AQ75" s="152">
        <f ca="1">IFERROR(__xludf.DUMMYFUNCTION("IMPORTRANGE(""https://docs.google.com/spreadsheets/d/1kKUcYdkIfrgTSj8iHHHB2MD2FAtwyyocFgqGQn6ADyI/edit?usp=sharing"",""กระบี่!J436"")"),0)</f>
        <v>0</v>
      </c>
      <c r="AR75" s="152">
        <f ca="1">IFERROR(__xludf.DUMMYFUNCTION("IMPORTRANGE(""https://docs.google.com/spreadsheets/d/1kKUcYdkIfrgTSj8iHHHB2MD2FAtwyyocFgqGQn6ADyI/edit?usp=sharing"",""กระบี่!J437"")"),0)</f>
        <v>0</v>
      </c>
      <c r="AS75" s="152">
        <f ca="1">IFERROR(__xludf.DUMMYFUNCTION("IMPORTRANGE(""https://docs.google.com/spreadsheets/d/1kKUcYdkIfrgTSj8iHHHB2MD2FAtwyyocFgqGQn6ADyI/edit?usp=sharing"",""กระบี่!J438"")"),0)</f>
        <v>0</v>
      </c>
      <c r="AT75" s="152">
        <f ca="1">IFERROR(__xludf.DUMMYFUNCTION("IMPORTRANGE(""https://docs.google.com/spreadsheets/d/1kKUcYdkIfrgTSj8iHHHB2MD2FAtwyyocFgqGQn6ADyI/edit?usp=sharing"",""กระบี่!J439"")"),0)</f>
        <v>0</v>
      </c>
      <c r="AU75" s="152">
        <f ca="1">IFERROR(__xludf.DUMMYFUNCTION("IMPORTRANGE(""https://docs.google.com/spreadsheets/d/1kKUcYdkIfrgTSj8iHHHB2MD2FAtwyyocFgqGQn6ADyI/edit?usp=sharing"",""กระบี่!I440"")"),0)</f>
        <v>0</v>
      </c>
      <c r="AV75" s="152">
        <f ca="1">IFERROR(__xludf.DUMMYFUNCTION("IMPORTRANGE(""https://docs.google.com/spreadsheets/d/1kKUcYdkIfrgTSj8iHHHB2MD2FAtwyyocFgqGQn6ADyI/edit?usp=sharing"",""กระบี่!I441"")"),0)</f>
        <v>0</v>
      </c>
      <c r="AW75" s="152">
        <f ca="1">IFERROR(__xludf.DUMMYFUNCTION("IMPORTRANGE(""https://docs.google.com/spreadsheets/d/1kKUcYdkIfrgTSj8iHHHB2MD2FAtwyyocFgqGQn6ADyI/edit?usp=sharing"",""กระบี่!J440"")"),0)</f>
        <v>0</v>
      </c>
      <c r="AX75" s="216">
        <f t="shared" ca="1" si="62"/>
        <v>0</v>
      </c>
      <c r="AY75" s="152">
        <f ca="1">IFERROR(__xludf.DUMMYFUNCTION("IMPORTRANGE(""https://docs.google.com/spreadsheets/d/1kKUcYdkIfrgTSj8iHHHB2MD2FAtwyyocFgqGQn6ADyI/edit?usp=sharing"",""กระบี่!J441"")"),0)</f>
        <v>0</v>
      </c>
      <c r="AZ75" s="216">
        <f t="shared" ca="1" si="63"/>
        <v>0</v>
      </c>
      <c r="BA75" s="152">
        <f ca="1">IFERROR(__xludf.DUMMYFUNCTION("IMPORTRANGE(""https://docs.google.com/spreadsheets/d/1kKUcYdkIfrgTSj8iHHHB2MD2FAtwyyocFgqGQn6ADyI/edit?usp=sharing"",""กระบี่!J442"")"),0)</f>
        <v>0</v>
      </c>
      <c r="BB75" s="152">
        <f ca="1">IFERROR(__xludf.DUMMYFUNCTION("IMPORTRANGE(""https://docs.google.com/spreadsheets/d/1kKUcYdkIfrgTSj8iHHHB2MD2FAtwyyocFgqGQn6ADyI/edit?usp=sharing"",""กระบี่!J443"")"),0)</f>
        <v>0</v>
      </c>
      <c r="BC75" s="152">
        <f ca="1">IFERROR(__xludf.DUMMYFUNCTION("IMPORTRANGE(""https://docs.google.com/spreadsheets/d/1kKUcYdkIfrgTSj8iHHHB2MD2FAtwyyocFgqGQn6ADyI/edit?usp=sharing"",""กระบี่!J444"")"),0)</f>
        <v>0</v>
      </c>
      <c r="BD75" s="152">
        <f ca="1">IFERROR(__xludf.DUMMYFUNCTION("IMPORTRANGE(""https://docs.google.com/spreadsheets/d/1kKUcYdkIfrgTSj8iHHHB2MD2FAtwyyocFgqGQn6ADyI/edit?usp=sharing"",""กระบี่!J445"")"),0)</f>
        <v>0</v>
      </c>
      <c r="BE75" s="152">
        <f ca="1">IFERROR(__xludf.DUMMYFUNCTION("IMPORTRANGE(""https://docs.google.com/spreadsheets/d/1kKUcYdkIfrgTSj8iHHHB2MD2FAtwyyocFgqGQn6ADyI/edit?usp=sharing"",""กระบี่!J446"")"),0)</f>
        <v>0</v>
      </c>
      <c r="BF75" s="152">
        <f ca="1">IFERROR(__xludf.DUMMYFUNCTION("IMPORTRANGE(""https://docs.google.com/spreadsheets/d/1kKUcYdkIfrgTSj8iHHHB2MD2FAtwyyocFgqGQn6ADyI/edit?usp=sharing"",""กระบี่!J447"")"),0)</f>
        <v>0</v>
      </c>
      <c r="BG75" s="152">
        <f ca="1">IFERROR(__xludf.DUMMYFUNCTION("IMPORTRANGE(""https://docs.google.com/spreadsheets/d/1kKUcYdkIfrgTSj8iHHHB2MD2FAtwyyocFgqGQn6ADyI/edit?usp=sharing"",""กระบี่!J448"")"),0)</f>
        <v>0</v>
      </c>
      <c r="BH75" s="152">
        <f ca="1">IFERROR(__xludf.DUMMYFUNCTION("IMPORTRANGE(""https://docs.google.com/spreadsheets/d/1kKUcYdkIfrgTSj8iHHHB2MD2FAtwyyocFgqGQn6ADyI/edit?usp=sharing"",""กระบี่!J449"")"),0)</f>
        <v>0</v>
      </c>
      <c r="BI75" s="152">
        <f ca="1">IFERROR(__xludf.DUMMYFUNCTION("IMPORTRANGE(""https://docs.google.com/spreadsheets/d/1kKUcYdkIfrgTSj8iHHHB2MD2FAtwyyocFgqGQn6ADyI/edit?usp=sharing"",""กระบี่!J450"")"),0)</f>
        <v>0</v>
      </c>
      <c r="BJ75" s="152">
        <f ca="1">IFERROR(__xludf.DUMMYFUNCTION("IMPORTRANGE(""https://docs.google.com/spreadsheets/d/1kKUcYdkIfrgTSj8iHHHB2MD2FAtwyyocFgqGQn6ADyI/edit?usp=sharing"",""กระบี่!J451"")"),0)</f>
        <v>0</v>
      </c>
      <c r="BK75" s="152">
        <f ca="1">IFERROR(__xludf.DUMMYFUNCTION("IMPORTRANGE(""https://docs.google.com/spreadsheets/d/1kKUcYdkIfrgTSj8iHHHB2MD2FAtwyyocFgqGQn6ADyI/edit?usp=sharing"",""กระบี่!J452"")"),0)</f>
        <v>0</v>
      </c>
      <c r="BL75" s="152">
        <f ca="1">IFERROR(__xludf.DUMMYFUNCTION("IMPORTRANGE(""https://docs.google.com/spreadsheets/d/1kKUcYdkIfrgTSj8iHHHB2MD2FAtwyyocFgqGQn6ADyI/edit?usp=sharing"",""กระบี่!J453"")"),0)</f>
        <v>0</v>
      </c>
      <c r="BM75" s="152">
        <f ca="1">IFERROR(__xludf.DUMMYFUNCTION("IMPORTRANGE(""https://docs.google.com/spreadsheets/d/1kKUcYdkIfrgTSj8iHHHB2MD2FAtwyyocFgqGQn6ADyI/edit?usp=sharing"",""กระบี่!J454"")"),0)</f>
        <v>0</v>
      </c>
      <c r="BN75" s="152">
        <f ca="1">IFERROR(__xludf.DUMMYFUNCTION("IMPORTRANGE(""https://docs.google.com/spreadsheets/d/1kKUcYdkIfrgTSj8iHHHB2MD2FAtwyyocFgqGQn6ADyI/edit?usp=sharing"",""กระบี่!J455"")"),0)</f>
        <v>0</v>
      </c>
      <c r="BO75" s="152">
        <f ca="1">IFERROR(__xludf.DUMMYFUNCTION("IMPORTRANGE(""https://docs.google.com/spreadsheets/d/1kKUcYdkIfrgTSj8iHHHB2MD2FAtwyyocFgqGQn6ADyI/edit?usp=sharing"",""กระบี่!I457"")"),2813.45)</f>
        <v>2813.45</v>
      </c>
      <c r="BP75" s="152">
        <f ca="1">IFERROR(__xludf.DUMMYFUNCTION("IMPORTRANGE(""https://docs.google.com/spreadsheets/d/1kKUcYdkIfrgTSj8iHHHB2MD2FAtwyyocFgqGQn6ADyI/edit?usp=sharing"",""กระบี่!I458"")"),167)</f>
        <v>167</v>
      </c>
      <c r="BQ75" s="152">
        <f ca="1">IFERROR(__xludf.DUMMYFUNCTION("IMPORTRANGE(""https://docs.google.com/spreadsheets/d/1kKUcYdkIfrgTSj8iHHHB2MD2FAtwyyocFgqGQn6ADyI/edit?usp=sharing"",""กระบี่!J457"")"),0)</f>
        <v>0</v>
      </c>
      <c r="BR75" s="216">
        <f t="shared" ca="1" si="65"/>
        <v>0</v>
      </c>
      <c r="BS75" s="152">
        <f ca="1">IFERROR(__xludf.DUMMYFUNCTION("IMPORTRANGE(""https://docs.google.com/spreadsheets/d/1kKUcYdkIfrgTSj8iHHHB2MD2FAtwyyocFgqGQn6ADyI/edit?usp=sharing"",""กระบี่!J458"")"),0)</f>
        <v>0</v>
      </c>
      <c r="BT75" s="216">
        <f t="shared" ca="1" si="66"/>
        <v>0</v>
      </c>
      <c r="BU75" s="152">
        <f ca="1">IFERROR(__xludf.DUMMYFUNCTION("IMPORTRANGE(""https://docs.google.com/spreadsheets/d/1kKUcYdkIfrgTSj8iHHHB2MD2FAtwyyocFgqGQn6ADyI/edit?usp=sharing"",""กระบี่!J459"")"),0)</f>
        <v>0</v>
      </c>
      <c r="BV75" s="152">
        <f ca="1">IFERROR(__xludf.DUMMYFUNCTION("IMPORTRANGE(""https://docs.google.com/spreadsheets/d/1kKUcYdkIfrgTSj8iHHHB2MD2FAtwyyocFgqGQn6ADyI/edit?usp=sharing"",""กระบี่!J460"")"),0)</f>
        <v>0</v>
      </c>
      <c r="BW75" s="152">
        <f ca="1">IFERROR(__xludf.DUMMYFUNCTION("IMPORTRANGE(""https://docs.google.com/spreadsheets/d/1kKUcYdkIfrgTSj8iHHHB2MD2FAtwyyocFgqGQn6ADyI/edit?usp=sharing"",""กระบี่!J461"")"),0)</f>
        <v>0</v>
      </c>
      <c r="BX75" s="152">
        <f ca="1">IFERROR(__xludf.DUMMYFUNCTION("IMPORTRANGE(""https://docs.google.com/spreadsheets/d/1kKUcYdkIfrgTSj8iHHHB2MD2FAtwyyocFgqGQn6ADyI/edit?usp=sharing"",""กระบี่!J462"")"),0)</f>
        <v>0</v>
      </c>
      <c r="BY75" s="152">
        <f ca="1">IFERROR(__xludf.DUMMYFUNCTION("IMPORTRANGE(""https://docs.google.com/spreadsheets/d/1kKUcYdkIfrgTSj8iHHHB2MD2FAtwyyocFgqGQn6ADyI/edit?usp=sharing"",""กระบี่!J463"")"),0)</f>
        <v>0</v>
      </c>
      <c r="BZ75" s="152">
        <f ca="1">IFERROR(__xludf.DUMMYFUNCTION("IMPORTRANGE(""https://docs.google.com/spreadsheets/d/1kKUcYdkIfrgTSj8iHHHB2MD2FAtwyyocFgqGQn6ADyI/edit?usp=sharing"",""กระบี่!J464"")"),0)</f>
        <v>0</v>
      </c>
      <c r="CA75" s="152">
        <f ca="1">IFERROR(__xludf.DUMMYFUNCTION("IMPORTRANGE(""https://docs.google.com/spreadsheets/d/1kKUcYdkIfrgTSj8iHHHB2MD2FAtwyyocFgqGQn6ADyI/edit?usp=sharing"",""กระบี่!J465"")"),0)</f>
        <v>0</v>
      </c>
      <c r="CB75" s="152">
        <f ca="1">IFERROR(__xludf.DUMMYFUNCTION("IMPORTRANGE(""https://docs.google.com/spreadsheets/d/1kKUcYdkIfrgTSj8iHHHB2MD2FAtwyyocFgqGQn6ADyI/edit?usp=sharing"",""กระบี่!J466"")"),0)</f>
        <v>0</v>
      </c>
      <c r="CC75" s="152">
        <f ca="1">IFERROR(__xludf.DUMMYFUNCTION("IMPORTRANGE(""https://docs.google.com/spreadsheets/d/1kKUcYdkIfrgTSj8iHHHB2MD2FAtwyyocFgqGQn6ADyI/edit?usp=sharing"",""กระบี่!J467"")"),0)</f>
        <v>0</v>
      </c>
      <c r="CD75" s="152">
        <f ca="1">IFERROR(__xludf.DUMMYFUNCTION("IMPORTRANGE(""https://docs.google.com/spreadsheets/d/1kKUcYdkIfrgTSj8iHHHB2MD2FAtwyyocFgqGQn6ADyI/edit?usp=sharing"",""กระบี่!J468"")"),0)</f>
        <v>0</v>
      </c>
      <c r="CE75" s="152">
        <f ca="1">IFERROR(__xludf.DUMMYFUNCTION("IMPORTRANGE(""https://docs.google.com/spreadsheets/d/1kKUcYdkIfrgTSj8iHHHB2MD2FAtwyyocFgqGQn6ADyI/edit?usp=sharing"",""กระบี่!J469"")"),0)</f>
        <v>0</v>
      </c>
      <c r="CF75" s="152">
        <f ca="1">IFERROR(__xludf.DUMMYFUNCTION("IMPORTRANGE(""https://docs.google.com/spreadsheets/d/1kKUcYdkIfrgTSj8iHHHB2MD2FAtwyyocFgqGQn6ADyI/edit?usp=sharing"",""กระบี่!J470"")"),0)</f>
        <v>0</v>
      </c>
      <c r="CG75" s="152">
        <f ca="1">IFERROR(__xludf.DUMMYFUNCTION("IMPORTRANGE(""https://docs.google.com/spreadsheets/d/1kKUcYdkIfrgTSj8iHHHB2MD2FAtwyyocFgqGQn6ADyI/edit?usp=sharing"",""กระบี่!J471"")"),0)</f>
        <v>0</v>
      </c>
      <c r="CH75" s="152">
        <f ca="1">IFERROR(__xludf.DUMMYFUNCTION("IMPORTRANGE(""https://docs.google.com/spreadsheets/d/1kKUcYdkIfrgTSj8iHHHB2MD2FAtwyyocFgqGQn6ADyI/edit?usp=sharing"",""กระบี่!J472"")"),0)</f>
        <v>0</v>
      </c>
      <c r="CI75" s="152">
        <f ca="1">IFERROR(__xludf.DUMMYFUNCTION("IMPORTRANGE(""https://docs.google.com/spreadsheets/d/1kKUcYdkIfrgTSj8iHHHB2MD2FAtwyyocFgqGQn6ADyI/edit?usp=sharing"",""กระบี่!J473"")"),0)</f>
        <v>0</v>
      </c>
      <c r="CJ75" s="152">
        <f ca="1">IFERROR(__xludf.DUMMYFUNCTION("IMPORTRANGE(""https://docs.google.com/spreadsheets/d/1kKUcYdkIfrgTSj8iHHHB2MD2FAtwyyocFgqGQn6ADyI/edit?usp=sharing"",""กระบี่!J474"")"),0)</f>
        <v>0</v>
      </c>
      <c r="CK75" s="278">
        <f ca="1">IFERROR(__xludf.DUMMYFUNCTION("IMPORTRANGE(""https://docs.google.com/spreadsheets/d/1kKUcYdkIfrgTSj8iHHHB2MD2FAtwyyocFgqGQn6ADyI/edit?usp=sharing"",""กระบี่!I476"")"),0)</f>
        <v>0</v>
      </c>
      <c r="CL75" s="278">
        <f ca="1">IFERROR(__xludf.DUMMYFUNCTION("IMPORTRANGE(""https://docs.google.com/spreadsheets/d/1kKUcYdkIfrgTSj8iHHHB2MD2FAtwyyocFgqGQn6ADyI/edit?usp=sharing"",""กระบี่!I477"")"),0)</f>
        <v>0</v>
      </c>
      <c r="CM75" s="278">
        <f ca="1">IFERROR(__xludf.DUMMYFUNCTION("IMPORTRANGE(""https://docs.google.com/spreadsheets/d/1kKUcYdkIfrgTSj8iHHHB2MD2FAtwyyocFgqGQn6ADyI/edit?usp=sharing"",""กระบี่!J476"")"),0)</f>
        <v>0</v>
      </c>
      <c r="CN75" s="216">
        <f t="shared" ca="1" si="68"/>
        <v>0</v>
      </c>
      <c r="CO75" s="278">
        <f ca="1">IFERROR(__xludf.DUMMYFUNCTION("IMPORTRANGE(""https://docs.google.com/spreadsheets/d/1kKUcYdkIfrgTSj8iHHHB2MD2FAtwyyocFgqGQn6ADyI/edit?usp=sharing"",""กระบี่!J477"")"),0)</f>
        <v>0</v>
      </c>
      <c r="CP75" s="216">
        <f t="shared" ca="1" si="69"/>
        <v>0</v>
      </c>
      <c r="CQ75" s="278">
        <f ca="1">IFERROR(__xludf.DUMMYFUNCTION("IMPORTRANGE(""https://docs.google.com/spreadsheets/d/1kKUcYdkIfrgTSj8iHHHB2MD2FAtwyyocFgqGQn6ADyI/edit?usp=sharing"",""กระบี่!J478"")"),0)</f>
        <v>0</v>
      </c>
      <c r="CR75" s="278">
        <f ca="1">IFERROR(__xludf.DUMMYFUNCTION("IMPORTRANGE(""https://docs.google.com/spreadsheets/d/1kKUcYdkIfrgTSj8iHHHB2MD2FAtwyyocFgqGQn6ADyI/edit?usp=sharing"",""กระบี่!J479"")"),0)</f>
        <v>0</v>
      </c>
      <c r="CS75" s="278">
        <f ca="1">IFERROR(__xludf.DUMMYFUNCTION("IMPORTRANGE(""https://docs.google.com/spreadsheets/d/1kKUcYdkIfrgTSj8iHHHB2MD2FAtwyyocFgqGQn6ADyI/edit?usp=sharing"",""กระบี่!J480"")"),0)</f>
        <v>0</v>
      </c>
      <c r="CT75" s="278">
        <f ca="1">IFERROR(__xludf.DUMMYFUNCTION("IMPORTRANGE(""https://docs.google.com/spreadsheets/d/1kKUcYdkIfrgTSj8iHHHB2MD2FAtwyyocFgqGQn6ADyI/edit?usp=sharing"",""กระบี่!J481"")"),0)</f>
        <v>0</v>
      </c>
      <c r="CU75" s="278">
        <f ca="1">IFERROR(__xludf.DUMMYFUNCTION("IMPORTRANGE(""https://docs.google.com/spreadsheets/d/1kKUcYdkIfrgTSj8iHHHB2MD2FAtwyyocFgqGQn6ADyI/edit?usp=sharing"",""กระบี่!I484"")"),0)</f>
        <v>0</v>
      </c>
      <c r="CV75" s="278">
        <f ca="1">IFERROR(__xludf.DUMMYFUNCTION("IMPORTRANGE(""https://docs.google.com/spreadsheets/d/1kKUcYdkIfrgTSj8iHHHB2MD2FAtwyyocFgqGQn6ADyI/edit?usp=sharing"",""กระบี่!I485"")"),0)</f>
        <v>0</v>
      </c>
      <c r="CW75" s="278">
        <f ca="1">IFERROR(__xludf.DUMMYFUNCTION("IMPORTRANGE(""https://docs.google.com/spreadsheets/d/1kKUcYdkIfrgTSj8iHHHB2MD2FAtwyyocFgqGQn6ADyI/edit?usp=sharing"",""กระบี่!J484"")"),0)</f>
        <v>0</v>
      </c>
      <c r="CX75" s="216">
        <f t="shared" ca="1" si="71"/>
        <v>0</v>
      </c>
      <c r="CY75" s="278">
        <f ca="1">IFERROR(__xludf.DUMMYFUNCTION("IMPORTRANGE(""https://docs.google.com/spreadsheets/d/1kKUcYdkIfrgTSj8iHHHB2MD2FAtwyyocFgqGQn6ADyI/edit?usp=sharing"",""กระบี่!J485"")"),0)</f>
        <v>0</v>
      </c>
      <c r="CZ75" s="216">
        <f t="shared" ca="1" si="72"/>
        <v>0</v>
      </c>
      <c r="DA75" s="278">
        <f ca="1">IFERROR(__xludf.DUMMYFUNCTION("IMPORTRANGE(""https://docs.google.com/spreadsheets/d/1kKUcYdkIfrgTSj8iHHHB2MD2FAtwyyocFgqGQn6ADyI/edit?usp=sharing"",""กระบี่!J486"")"),0)</f>
        <v>0</v>
      </c>
      <c r="DB75" s="278">
        <f ca="1">IFERROR(__xludf.DUMMYFUNCTION("IMPORTRANGE(""https://docs.google.com/spreadsheets/d/1kKUcYdkIfrgTSj8iHHHB2MD2FAtwyyocFgqGQn6ADyI/edit?usp=sharing"",""กระบี่!J487"")"),0)</f>
        <v>0</v>
      </c>
      <c r="DC75" s="278">
        <f ca="1">IFERROR(__xludf.DUMMYFUNCTION("IMPORTRANGE(""https://docs.google.com/spreadsheets/d/1kKUcYdkIfrgTSj8iHHHB2MD2FAtwyyocFgqGQn6ADyI/edit?usp=sharing"",""กระบี่!J488"")"),0)</f>
        <v>0</v>
      </c>
      <c r="DD75" s="278">
        <f ca="1">IFERROR(__xludf.DUMMYFUNCTION("IMPORTRANGE(""https://docs.google.com/spreadsheets/d/1kKUcYdkIfrgTSj8iHHHB2MD2FAtwyyocFgqGQn6ADyI/edit?usp=sharing"",""กระบี่!J489"")"),0)</f>
        <v>0</v>
      </c>
      <c r="DE75" s="278">
        <f ca="1">IFERROR(__xludf.DUMMYFUNCTION("IMPORTRANGE(""https://docs.google.com/spreadsheets/d/1kKUcYdkIfrgTSj8iHHHB2MD2FAtwyyocFgqGQn6ADyI/edit?usp=sharing"",""กระบี่!J490"")"),0)</f>
        <v>0</v>
      </c>
      <c r="DF75" s="278">
        <f ca="1">IFERROR(__xludf.DUMMYFUNCTION("IMPORTRANGE(""https://docs.google.com/spreadsheets/d/1kKUcYdkIfrgTSj8iHHHB2MD2FAtwyyocFgqGQn6ADyI/edit?usp=sharing"",""กระบี่!J491"")"),0)</f>
        <v>0</v>
      </c>
    </row>
    <row r="76" spans="1:110" ht="19.5" x14ac:dyDescent="0.3">
      <c r="A76" s="147">
        <v>2</v>
      </c>
      <c r="B76" s="148" t="s">
        <v>104</v>
      </c>
      <c r="C76" s="566">
        <f t="shared" ca="1" si="44"/>
        <v>170340</v>
      </c>
      <c r="D76" s="567">
        <f t="shared" ca="1" si="104"/>
        <v>170340</v>
      </c>
      <c r="E76" s="329">
        <f ca="1">IFERROR(__xludf.DUMMYFUNCTION("IMPORTRANGE(""https://docs.google.com/spreadsheets/d/1-uDff_7J0KD5mKrp0Vvzr7lt3OU09vwQwhkpOPPYv2Y/edit?usp=sharing"",""งบพรบ!IP76"")"),0)</f>
        <v>0</v>
      </c>
      <c r="F76" s="329">
        <f ca="1">IFERROR(__xludf.DUMMYFUNCTION("IMPORTRANGE(""https://docs.google.com/spreadsheets/d/1-uDff_7J0KD5mKrp0Vvzr7lt3OU09vwQwhkpOPPYv2Y/edit?usp=sharing"",""งบพรบ!IQ76"")"),170340)</f>
        <v>170340</v>
      </c>
      <c r="G76" s="329">
        <f ca="1">IFERROR(__xludf.DUMMYFUNCTION("IMPORTRANGE(""https://docs.google.com/spreadsheets/d/1-uDff_7J0KD5mKrp0Vvzr7lt3OU09vwQwhkpOPPYv2Y/edit?usp=sharing"",""งบพรบ!IR76"")"),0)</f>
        <v>0</v>
      </c>
      <c r="H76" s="329">
        <f ca="1">IFERROR(__xludf.DUMMYFUNCTION("IMPORTRANGE(""https://docs.google.com/spreadsheets/d/1-uDff_7J0KD5mKrp0Vvzr7lt3OU09vwQwhkpOPPYv2Y/edit?usp=sharing"",""งบพรบ!IT76"")"),420340)</f>
        <v>420340</v>
      </c>
      <c r="I76" s="329">
        <f ca="1">IFERROR(__xludf.DUMMYFUNCTION("IMPORTRANGE(""https://docs.google.com/spreadsheets/d/1-uDff_7J0KD5mKrp0Vvzr7lt3OU09vwQwhkpOPPYv2Y/edit?usp=sharing"",""งบพรบ!IU76"")"),0)</f>
        <v>0</v>
      </c>
      <c r="J76" s="329">
        <f t="shared" ca="1" si="46"/>
        <v>295674</v>
      </c>
      <c r="K76" s="568">
        <f t="shared" ca="1" si="47"/>
        <v>173.57872490313491</v>
      </c>
      <c r="L76" s="329">
        <f ca="1">IFERROR(__xludf.DUMMYFUNCTION("IMPORTRANGE(""https://docs.google.com/spreadsheets/d/1-uDff_7J0KD5mKrp0Vvzr7lt3OU09vwQwhkpOPPYv2Y/edit?usp=sharing"",""งบพรบ!IV76"")"),295674)</f>
        <v>295674</v>
      </c>
      <c r="M76" s="330">
        <f t="shared" ca="1" si="48"/>
        <v>173.57872490313491</v>
      </c>
      <c r="N76" s="330">
        <f t="shared" ca="1" si="49"/>
        <v>70.341628205738218</v>
      </c>
      <c r="O76" s="569">
        <f ca="1">IFERROR(__xludf.DUMMYFUNCTION("IMPORTRANGE(""https://docs.google.com/spreadsheets/d/1-uDff_7J0KD5mKrp0Vvzr7lt3OU09vwQwhkpOPPYv2Y/edit?usp=sharing"",""งบพรบ!IW76"")"),0)</f>
        <v>0</v>
      </c>
      <c r="P76" s="569">
        <f t="shared" ca="1" si="50"/>
        <v>0</v>
      </c>
      <c r="Q76" s="330">
        <f t="shared" ca="1" si="51"/>
        <v>0</v>
      </c>
      <c r="R76" s="564">
        <f ca="1">IFERROR(__xludf.DUMMYFUNCTION("IMPORTRANGE(""https://docs.google.com/spreadsheets/d/1GwtLaSlNZkLk7iDqcyZz22giiy40b_usZZBXYciEN1U/edit?usp=sharing"",""ชุมพร!Q413"")"),18050)</f>
        <v>18050</v>
      </c>
      <c r="S76" s="564">
        <f ca="1">IFERROR(__xludf.DUMMYFUNCTION("IMPORTRANGE(""https://docs.google.com/spreadsheets/d/1GwtLaSlNZkLk7iDqcyZz22giiy40b_usZZBXYciEN1U/edit?usp=sharing"",""ชุมพร!R413"")"),18050)</f>
        <v>18050</v>
      </c>
      <c r="T76" s="564">
        <f ca="1">IFERROR(__xludf.DUMMYFUNCTION("IMPORTRANGE(""https://docs.google.com/spreadsheets/d/1GwtLaSlNZkLk7iDqcyZz22giiy40b_usZZBXYciEN1U/edit?usp=sharing"",""ชุมพร!S413"")"),0)</f>
        <v>0</v>
      </c>
      <c r="U76" s="565">
        <f t="shared" ca="1" si="53"/>
        <v>0</v>
      </c>
      <c r="V76" s="565">
        <f t="shared" ca="1" si="54"/>
        <v>0</v>
      </c>
      <c r="W76" s="152">
        <f ca="1">IFERROR(__xludf.DUMMYFUNCTION("IMPORTRANGE(""https://docs.google.com/spreadsheets/d/1GwtLaSlNZkLk7iDqcyZz22giiy40b_usZZBXYciEN1U/edit?usp=sharing"",""ชุมพร!I424"")"),0)</f>
        <v>0</v>
      </c>
      <c r="X76" s="152">
        <f ca="1">IFERROR(__xludf.DUMMYFUNCTION("IMPORTRANGE(""https://docs.google.com/spreadsheets/d/1GwtLaSlNZkLk7iDqcyZz22giiy40b_usZZBXYciEN1U/edit?usp=sharing"",""ชุมพร!I425"")"),0)</f>
        <v>0</v>
      </c>
      <c r="Y76" s="152">
        <f ca="1">IFERROR(__xludf.DUMMYFUNCTION("IMPORTRANGE(""https://docs.google.com/spreadsheets/d/1GwtLaSlNZkLk7iDqcyZz22giiy40b_usZZBXYciEN1U/edit?usp=sharing"",""ชุมพร!J424"")"),0)</f>
        <v>0</v>
      </c>
      <c r="Z76" s="216">
        <f t="shared" ca="1" si="56"/>
        <v>0</v>
      </c>
      <c r="AA76" s="152">
        <f ca="1">IFERROR(__xludf.DUMMYFUNCTION("IMPORTRANGE(""https://docs.google.com/spreadsheets/d/1GwtLaSlNZkLk7iDqcyZz22giiy40b_usZZBXYciEN1U/edit?usp=sharing"",""ชุมพร!J425"")"),0)</f>
        <v>0</v>
      </c>
      <c r="AB76" s="216">
        <f t="shared" ca="1" si="57"/>
        <v>0</v>
      </c>
      <c r="AC76" s="152">
        <f ca="1">IFERROR(__xludf.DUMMYFUNCTION("IMPORTRANGE(""https://docs.google.com/spreadsheets/d/1GwtLaSlNZkLk7iDqcyZz22giiy40b_usZZBXYciEN1U/edit?usp=sharing"",""ชุมพร!J426"")"),0)</f>
        <v>0</v>
      </c>
      <c r="AD76" s="152">
        <f ca="1">IFERROR(__xludf.DUMMYFUNCTION("IMPORTRANGE(""https://docs.google.com/spreadsheets/d/1GwtLaSlNZkLk7iDqcyZz22giiy40b_usZZBXYciEN1U/edit?usp=sharing"",""ชุมพร!J427"")"),0)</f>
        <v>0</v>
      </c>
      <c r="AE76" s="152">
        <f ca="1">IFERROR(__xludf.DUMMYFUNCTION("IMPORTRANGE(""https://docs.google.com/spreadsheets/d/1GwtLaSlNZkLk7iDqcyZz22giiy40b_usZZBXYciEN1U/edit?usp=sharing"",""ชุมพร!J428"")"),0)</f>
        <v>0</v>
      </c>
      <c r="AF76" s="152">
        <f ca="1">IFERROR(__xludf.DUMMYFUNCTION("IMPORTRANGE(""https://docs.google.com/spreadsheets/d/1GwtLaSlNZkLk7iDqcyZz22giiy40b_usZZBXYciEN1U/edit?usp=sharing"",""ชุมพร!J429"")"),0)</f>
        <v>0</v>
      </c>
      <c r="AG76" s="152">
        <f ca="1">IFERROR(__xludf.DUMMYFUNCTION("IMPORTRANGE(""https://docs.google.com/spreadsheets/d/1GwtLaSlNZkLk7iDqcyZz22giiy40b_usZZBXYciEN1U/edit?usp=sharing"",""ชุมพร!J430"")"),0)</f>
        <v>0</v>
      </c>
      <c r="AH76" s="152">
        <f ca="1">IFERROR(__xludf.DUMMYFUNCTION("IMPORTRANGE(""https://docs.google.com/spreadsheets/d/1GwtLaSlNZkLk7iDqcyZz22giiy40b_usZZBXYciEN1U/edit?usp=sharing"",""ชุมพร!J431"")"),0)</f>
        <v>0</v>
      </c>
      <c r="AI76" s="152">
        <f ca="1">IFERROR(__xludf.DUMMYFUNCTION("IMPORTRANGE(""https://docs.google.com/spreadsheets/d/1GwtLaSlNZkLk7iDqcyZz22giiy40b_usZZBXYciEN1U/edit?usp=sharing"",""ชุมพร!I432"")"),0)</f>
        <v>0</v>
      </c>
      <c r="AJ76" s="152">
        <f ca="1">IFERROR(__xludf.DUMMYFUNCTION("IMPORTRANGE(""https://docs.google.com/spreadsheets/d/1GwtLaSlNZkLk7iDqcyZz22giiy40b_usZZBXYciEN1U/edit?usp=sharing"",""ชุมพร!I433"")"),0)</f>
        <v>0</v>
      </c>
      <c r="AK76" s="216">
        <f ca="1">IFERROR(__xludf.DUMMYFUNCTION("IMPORTRANGE(""https://docs.google.com/spreadsheets/d/1GwtLaSlNZkLk7iDqcyZz22giiy40b_usZZBXYciEN1U/edit?usp=sharing"",""ชุมพร!J432"")"),0)</f>
        <v>0</v>
      </c>
      <c r="AL76" s="216">
        <f t="shared" ca="1" si="59"/>
        <v>0</v>
      </c>
      <c r="AM76" s="152">
        <f ca="1">IFERROR(__xludf.DUMMYFUNCTION("IMPORTRANGE(""https://docs.google.com/spreadsheets/d/1GwtLaSlNZkLk7iDqcyZz22giiy40b_usZZBXYciEN1U/edit?usp=sharing"",""ชุมพร!J433"")"),0)</f>
        <v>0</v>
      </c>
      <c r="AN76" s="216">
        <f t="shared" ca="1" si="60"/>
        <v>0</v>
      </c>
      <c r="AO76" s="152">
        <f ca="1">IFERROR(__xludf.DUMMYFUNCTION("IMPORTRANGE(""https://docs.google.com/spreadsheets/d/1GwtLaSlNZkLk7iDqcyZz22giiy40b_usZZBXYciEN1U/edit?usp=sharing"",""ชุมพร!J434"")"),0)</f>
        <v>0</v>
      </c>
      <c r="AP76" s="152">
        <f ca="1">IFERROR(__xludf.DUMMYFUNCTION("IMPORTRANGE(""https://docs.google.com/spreadsheets/d/1GwtLaSlNZkLk7iDqcyZz22giiy40b_usZZBXYciEN1U/edit?usp=sharing"",""ชุมพร!J435"")"),0)</f>
        <v>0</v>
      </c>
      <c r="AQ76" s="152">
        <f ca="1">IFERROR(__xludf.DUMMYFUNCTION("IMPORTRANGE(""https://docs.google.com/spreadsheets/d/1GwtLaSlNZkLk7iDqcyZz22giiy40b_usZZBXYciEN1U/edit?usp=sharing"",""ชุมพร!J436"")"),0)</f>
        <v>0</v>
      </c>
      <c r="AR76" s="152">
        <f ca="1">IFERROR(__xludf.DUMMYFUNCTION("IMPORTRANGE(""https://docs.google.com/spreadsheets/d/1GwtLaSlNZkLk7iDqcyZz22giiy40b_usZZBXYciEN1U/edit?usp=sharing"",""ชุมพร!J437"")"),0)</f>
        <v>0</v>
      </c>
      <c r="AS76" s="152">
        <f ca="1">IFERROR(__xludf.DUMMYFUNCTION("IMPORTRANGE(""https://docs.google.com/spreadsheets/d/1GwtLaSlNZkLk7iDqcyZz22giiy40b_usZZBXYciEN1U/edit?usp=sharing"",""ชุมพร!J438"")"),0)</f>
        <v>0</v>
      </c>
      <c r="AT76" s="152">
        <f ca="1">IFERROR(__xludf.DUMMYFUNCTION("IMPORTRANGE(""https://docs.google.com/spreadsheets/d/1GwtLaSlNZkLk7iDqcyZz22giiy40b_usZZBXYciEN1U/edit?usp=sharing"",""ชุมพร!J439"")"),0)</f>
        <v>0</v>
      </c>
      <c r="AU76" s="152">
        <f ca="1">IFERROR(__xludf.DUMMYFUNCTION("IMPORTRANGE(""https://docs.google.com/spreadsheets/d/1GwtLaSlNZkLk7iDqcyZz22giiy40b_usZZBXYciEN1U/edit?usp=sharing"",""ชุมพร!I440"")"),0)</f>
        <v>0</v>
      </c>
      <c r="AV76" s="152">
        <f ca="1">IFERROR(__xludf.DUMMYFUNCTION("IMPORTRANGE(""https://docs.google.com/spreadsheets/d/1GwtLaSlNZkLk7iDqcyZz22giiy40b_usZZBXYciEN1U/edit?usp=sharing"",""ชุมพร!I441"")"),0)</f>
        <v>0</v>
      </c>
      <c r="AW76" s="152">
        <f ca="1">IFERROR(__xludf.DUMMYFUNCTION("IMPORTRANGE(""https://docs.google.com/spreadsheets/d/1GwtLaSlNZkLk7iDqcyZz22giiy40b_usZZBXYciEN1U/edit?usp=sharing"",""ชุมพร!J440"")"),0)</f>
        <v>0</v>
      </c>
      <c r="AX76" s="216">
        <f t="shared" ca="1" si="62"/>
        <v>0</v>
      </c>
      <c r="AY76" s="152">
        <f ca="1">IFERROR(__xludf.DUMMYFUNCTION("IMPORTRANGE(""https://docs.google.com/spreadsheets/d/1GwtLaSlNZkLk7iDqcyZz22giiy40b_usZZBXYciEN1U/edit?usp=sharing"",""ชุมพร!J441"")"),0)</f>
        <v>0</v>
      </c>
      <c r="AZ76" s="216">
        <f t="shared" ca="1" si="63"/>
        <v>0</v>
      </c>
      <c r="BA76" s="152">
        <f ca="1">IFERROR(__xludf.DUMMYFUNCTION("IMPORTRANGE(""https://docs.google.com/spreadsheets/d/1GwtLaSlNZkLk7iDqcyZz22giiy40b_usZZBXYciEN1U/edit?usp=sharing"",""ชุมพร!J442"")"),0)</f>
        <v>0</v>
      </c>
      <c r="BB76" s="152">
        <f ca="1">IFERROR(__xludf.DUMMYFUNCTION("IMPORTRANGE(""https://docs.google.com/spreadsheets/d/1GwtLaSlNZkLk7iDqcyZz22giiy40b_usZZBXYciEN1U/edit?usp=sharing"",""ชุมพร!J443"")"),0)</f>
        <v>0</v>
      </c>
      <c r="BC76" s="152">
        <f ca="1">IFERROR(__xludf.DUMMYFUNCTION("IMPORTRANGE(""https://docs.google.com/spreadsheets/d/1GwtLaSlNZkLk7iDqcyZz22giiy40b_usZZBXYciEN1U/edit?usp=sharing"",""ชุมพร!J444"")"),0)</f>
        <v>0</v>
      </c>
      <c r="BD76" s="152">
        <f ca="1">IFERROR(__xludf.DUMMYFUNCTION("IMPORTRANGE(""https://docs.google.com/spreadsheets/d/1GwtLaSlNZkLk7iDqcyZz22giiy40b_usZZBXYciEN1U/edit?usp=sharing"",""ชุมพร!J445"")"),0)</f>
        <v>0</v>
      </c>
      <c r="BE76" s="152">
        <f ca="1">IFERROR(__xludf.DUMMYFUNCTION("IMPORTRANGE(""https://docs.google.com/spreadsheets/d/1GwtLaSlNZkLk7iDqcyZz22giiy40b_usZZBXYciEN1U/edit?usp=sharing"",""ชุมพร!J446"")"),0)</f>
        <v>0</v>
      </c>
      <c r="BF76" s="152">
        <f ca="1">IFERROR(__xludf.DUMMYFUNCTION("IMPORTRANGE(""https://docs.google.com/spreadsheets/d/1GwtLaSlNZkLk7iDqcyZz22giiy40b_usZZBXYciEN1U/edit?usp=sharing"",""ชุมพร!J447"")"),0)</f>
        <v>0</v>
      </c>
      <c r="BG76" s="152">
        <f ca="1">IFERROR(__xludf.DUMMYFUNCTION("IMPORTRANGE(""https://docs.google.com/spreadsheets/d/1GwtLaSlNZkLk7iDqcyZz22giiy40b_usZZBXYciEN1U/edit?usp=sharing"",""ชุมพร!J448"")"),0)</f>
        <v>0</v>
      </c>
      <c r="BH76" s="152">
        <f ca="1">IFERROR(__xludf.DUMMYFUNCTION("IMPORTRANGE(""https://docs.google.com/spreadsheets/d/1GwtLaSlNZkLk7iDqcyZz22giiy40b_usZZBXYciEN1U/edit?usp=sharing"",""ชุมพร!J449"")"),0)</f>
        <v>0</v>
      </c>
      <c r="BI76" s="152">
        <f ca="1">IFERROR(__xludf.DUMMYFUNCTION("IMPORTRANGE(""https://docs.google.com/spreadsheets/d/1GwtLaSlNZkLk7iDqcyZz22giiy40b_usZZBXYciEN1U/edit?usp=sharing"",""ชุมพร!J450"")"),0)</f>
        <v>0</v>
      </c>
      <c r="BJ76" s="152">
        <f ca="1">IFERROR(__xludf.DUMMYFUNCTION("IMPORTRANGE(""https://docs.google.com/spreadsheets/d/1GwtLaSlNZkLk7iDqcyZz22giiy40b_usZZBXYciEN1U/edit?usp=sharing"",""ชุมพร!J451"")"),0)</f>
        <v>0</v>
      </c>
      <c r="BK76" s="152">
        <f ca="1">IFERROR(__xludf.DUMMYFUNCTION("IMPORTRANGE(""https://docs.google.com/spreadsheets/d/1GwtLaSlNZkLk7iDqcyZz22giiy40b_usZZBXYciEN1U/edit?usp=sharing"",""ชุมพร!J452"")"),0)</f>
        <v>0</v>
      </c>
      <c r="BL76" s="152">
        <f ca="1">IFERROR(__xludf.DUMMYFUNCTION("IMPORTRANGE(""https://docs.google.com/spreadsheets/d/1GwtLaSlNZkLk7iDqcyZz22giiy40b_usZZBXYciEN1U/edit?usp=sharing"",""ชุมพร!J453"")"),0)</f>
        <v>0</v>
      </c>
      <c r="BM76" s="152">
        <f ca="1">IFERROR(__xludf.DUMMYFUNCTION("IMPORTRANGE(""https://docs.google.com/spreadsheets/d/1GwtLaSlNZkLk7iDqcyZz22giiy40b_usZZBXYciEN1U/edit?usp=sharing"",""ชุมพร!J454"")"),0)</f>
        <v>0</v>
      </c>
      <c r="BN76" s="152">
        <f ca="1">IFERROR(__xludf.DUMMYFUNCTION("IMPORTRANGE(""https://docs.google.com/spreadsheets/d/1GwtLaSlNZkLk7iDqcyZz22giiy40b_usZZBXYciEN1U/edit?usp=sharing"",""ชุมพร!J455"")"),0)</f>
        <v>0</v>
      </c>
      <c r="BO76" s="152">
        <f ca="1">IFERROR(__xludf.DUMMYFUNCTION("IMPORTRANGE(""https://docs.google.com/spreadsheets/d/1GwtLaSlNZkLk7iDqcyZz22giiy40b_usZZBXYciEN1U/edit?usp=sharing"",""ชุมพร!I457"")"),5330.77)</f>
        <v>5330.77</v>
      </c>
      <c r="BP76" s="152">
        <f ca="1">IFERROR(__xludf.DUMMYFUNCTION("IMPORTRANGE(""https://docs.google.com/spreadsheets/d/1GwtLaSlNZkLk7iDqcyZz22giiy40b_usZZBXYciEN1U/edit?usp=sharing"",""ชุมพร!I458"")"),424)</f>
        <v>424</v>
      </c>
      <c r="BQ76" s="152">
        <f ca="1">IFERROR(__xludf.DUMMYFUNCTION("IMPORTRANGE(""https://docs.google.com/spreadsheets/d/1GwtLaSlNZkLk7iDqcyZz22giiy40b_usZZBXYciEN1U/edit?usp=sharing"",""ชุมพร!J457"")"),0)</f>
        <v>0</v>
      </c>
      <c r="BR76" s="216">
        <f t="shared" ca="1" si="65"/>
        <v>0</v>
      </c>
      <c r="BS76" s="152">
        <f ca="1">IFERROR(__xludf.DUMMYFUNCTION("IMPORTRANGE(""https://docs.google.com/spreadsheets/d/1GwtLaSlNZkLk7iDqcyZz22giiy40b_usZZBXYciEN1U/edit?usp=sharing"",""ชุมพร!J458"")"),0)</f>
        <v>0</v>
      </c>
      <c r="BT76" s="216">
        <f t="shared" ca="1" si="66"/>
        <v>0</v>
      </c>
      <c r="BU76" s="152">
        <f ca="1">IFERROR(__xludf.DUMMYFUNCTION("IMPORTRANGE(""https://docs.google.com/spreadsheets/d/1GwtLaSlNZkLk7iDqcyZz22giiy40b_usZZBXYciEN1U/edit?usp=sharing"",""ชุมพร!J459"")"),0)</f>
        <v>0</v>
      </c>
      <c r="BV76" s="152">
        <f ca="1">IFERROR(__xludf.DUMMYFUNCTION("IMPORTRANGE(""https://docs.google.com/spreadsheets/d/1GwtLaSlNZkLk7iDqcyZz22giiy40b_usZZBXYciEN1U/edit?usp=sharing"",""ชุมพร!J460"")"),0)</f>
        <v>0</v>
      </c>
      <c r="BW76" s="152">
        <f ca="1">IFERROR(__xludf.DUMMYFUNCTION("IMPORTRANGE(""https://docs.google.com/spreadsheets/d/1GwtLaSlNZkLk7iDqcyZz22giiy40b_usZZBXYciEN1U/edit?usp=sharing"",""ชุมพร!J461"")"),0)</f>
        <v>0</v>
      </c>
      <c r="BX76" s="152">
        <f ca="1">IFERROR(__xludf.DUMMYFUNCTION("IMPORTRANGE(""https://docs.google.com/spreadsheets/d/1GwtLaSlNZkLk7iDqcyZz22giiy40b_usZZBXYciEN1U/edit?usp=sharing"",""ชุมพร!J462"")"),0)</f>
        <v>0</v>
      </c>
      <c r="BY76" s="152">
        <f ca="1">IFERROR(__xludf.DUMMYFUNCTION("IMPORTRANGE(""https://docs.google.com/spreadsheets/d/1GwtLaSlNZkLk7iDqcyZz22giiy40b_usZZBXYciEN1U/edit?usp=sharing"",""ชุมพร!J463"")"),0)</f>
        <v>0</v>
      </c>
      <c r="BZ76" s="152">
        <f ca="1">IFERROR(__xludf.DUMMYFUNCTION("IMPORTRANGE(""https://docs.google.com/spreadsheets/d/1GwtLaSlNZkLk7iDqcyZz22giiy40b_usZZBXYciEN1U/edit?usp=sharing"",""ชุมพร!J464"")"),0)</f>
        <v>0</v>
      </c>
      <c r="CA76" s="152">
        <f ca="1">IFERROR(__xludf.DUMMYFUNCTION("IMPORTRANGE(""https://docs.google.com/spreadsheets/d/1GwtLaSlNZkLk7iDqcyZz22giiy40b_usZZBXYciEN1U/edit?usp=sharing"",""ชุมพร!J465"")"),0)</f>
        <v>0</v>
      </c>
      <c r="CB76" s="152">
        <f ca="1">IFERROR(__xludf.DUMMYFUNCTION("IMPORTRANGE(""https://docs.google.com/spreadsheets/d/1GwtLaSlNZkLk7iDqcyZz22giiy40b_usZZBXYciEN1U/edit?usp=sharing"",""ชุมพร!J466"")"),0)</f>
        <v>0</v>
      </c>
      <c r="CC76" s="152">
        <f ca="1">IFERROR(__xludf.DUMMYFUNCTION("IMPORTRANGE(""https://docs.google.com/spreadsheets/d/1GwtLaSlNZkLk7iDqcyZz22giiy40b_usZZBXYciEN1U/edit?usp=sharing"",""ชุมพร!J467"")"),0)</f>
        <v>0</v>
      </c>
      <c r="CD76" s="152">
        <f ca="1">IFERROR(__xludf.DUMMYFUNCTION("IMPORTRANGE(""https://docs.google.com/spreadsheets/d/1GwtLaSlNZkLk7iDqcyZz22giiy40b_usZZBXYciEN1U/edit?usp=sharing"",""ชุมพร!J468"")"),0)</f>
        <v>0</v>
      </c>
      <c r="CE76" s="152">
        <f ca="1">IFERROR(__xludf.DUMMYFUNCTION("IMPORTRANGE(""https://docs.google.com/spreadsheets/d/1GwtLaSlNZkLk7iDqcyZz22giiy40b_usZZBXYciEN1U/edit?usp=sharing"",""ชุมพร!J469"")"),0)</f>
        <v>0</v>
      </c>
      <c r="CF76" s="152">
        <f ca="1">IFERROR(__xludf.DUMMYFUNCTION("IMPORTRANGE(""https://docs.google.com/spreadsheets/d/1GwtLaSlNZkLk7iDqcyZz22giiy40b_usZZBXYciEN1U/edit?usp=sharing"",""ชุมพร!J470"")"),0)</f>
        <v>0</v>
      </c>
      <c r="CG76" s="152">
        <f ca="1">IFERROR(__xludf.DUMMYFUNCTION("IMPORTRANGE(""https://docs.google.com/spreadsheets/d/1GwtLaSlNZkLk7iDqcyZz22giiy40b_usZZBXYciEN1U/edit?usp=sharing"",""ชุมพร!J471"")"),0)</f>
        <v>0</v>
      </c>
      <c r="CH76" s="152">
        <f ca="1">IFERROR(__xludf.DUMMYFUNCTION("IMPORTRANGE(""https://docs.google.com/spreadsheets/d/1GwtLaSlNZkLk7iDqcyZz22giiy40b_usZZBXYciEN1U/edit?usp=sharing"",""ชุมพร!J472"")"),0)</f>
        <v>0</v>
      </c>
      <c r="CI76" s="152">
        <f ca="1">IFERROR(__xludf.DUMMYFUNCTION("IMPORTRANGE(""https://docs.google.com/spreadsheets/d/1GwtLaSlNZkLk7iDqcyZz22giiy40b_usZZBXYciEN1U/edit?usp=sharing"",""ชุมพร!J473"")"),0)</f>
        <v>0</v>
      </c>
      <c r="CJ76" s="152">
        <f ca="1">IFERROR(__xludf.DUMMYFUNCTION("IMPORTRANGE(""https://docs.google.com/spreadsheets/d/1GwtLaSlNZkLk7iDqcyZz22giiy40b_usZZBXYciEN1U/edit?usp=sharing"",""ชุมพร!J474"")"),0)</f>
        <v>0</v>
      </c>
      <c r="CK76" s="278">
        <f ca="1">IFERROR(__xludf.DUMMYFUNCTION("IMPORTRANGE(""https://docs.google.com/spreadsheets/d/1GwtLaSlNZkLk7iDqcyZz22giiy40b_usZZBXYciEN1U/edit?usp=sharing"",""ชุมพร!I476"")"),0)</f>
        <v>0</v>
      </c>
      <c r="CL76" s="278">
        <f ca="1">IFERROR(__xludf.DUMMYFUNCTION("IMPORTRANGE(""https://docs.google.com/spreadsheets/d/1GwtLaSlNZkLk7iDqcyZz22giiy40b_usZZBXYciEN1U/edit?usp=sharing"",""ชุมพร!I477"")"),0)</f>
        <v>0</v>
      </c>
      <c r="CM76" s="278">
        <f ca="1">IFERROR(__xludf.DUMMYFUNCTION("IMPORTRANGE(""https://docs.google.com/spreadsheets/d/1GwtLaSlNZkLk7iDqcyZz22giiy40b_usZZBXYciEN1U/edit?usp=sharing"",""ชุมพร!J476"")"),0)</f>
        <v>0</v>
      </c>
      <c r="CN76" s="216">
        <f t="shared" ca="1" si="68"/>
        <v>0</v>
      </c>
      <c r="CO76" s="278">
        <f ca="1">IFERROR(__xludf.DUMMYFUNCTION("IMPORTRANGE(""https://docs.google.com/spreadsheets/d/1GwtLaSlNZkLk7iDqcyZz22giiy40b_usZZBXYciEN1U/edit?usp=sharing"",""ชุมพร!J477"")"),0)</f>
        <v>0</v>
      </c>
      <c r="CP76" s="216">
        <f t="shared" ca="1" si="69"/>
        <v>0</v>
      </c>
      <c r="CQ76" s="278">
        <f ca="1">IFERROR(__xludf.DUMMYFUNCTION("IMPORTRANGE(""https://docs.google.com/spreadsheets/d/1GwtLaSlNZkLk7iDqcyZz22giiy40b_usZZBXYciEN1U/edit?usp=sharing"",""ชุมพร!J478"")"),0)</f>
        <v>0</v>
      </c>
      <c r="CR76" s="278">
        <f ca="1">IFERROR(__xludf.DUMMYFUNCTION("IMPORTRANGE(""https://docs.google.com/spreadsheets/d/1GwtLaSlNZkLk7iDqcyZz22giiy40b_usZZBXYciEN1U/edit?usp=sharing"",""ชุมพร!J479"")"),0)</f>
        <v>0</v>
      </c>
      <c r="CS76" s="278">
        <f ca="1">IFERROR(__xludf.DUMMYFUNCTION("IMPORTRANGE(""https://docs.google.com/spreadsheets/d/1GwtLaSlNZkLk7iDqcyZz22giiy40b_usZZBXYciEN1U/edit?usp=sharing"",""ชุมพร!J480"")"),0)</f>
        <v>0</v>
      </c>
      <c r="CT76" s="278">
        <f ca="1">IFERROR(__xludf.DUMMYFUNCTION("IMPORTRANGE(""https://docs.google.com/spreadsheets/d/1GwtLaSlNZkLk7iDqcyZz22giiy40b_usZZBXYciEN1U/edit?usp=sharing"",""ชุมพร!J481"")"),0)</f>
        <v>0</v>
      </c>
      <c r="CU76" s="278">
        <f ca="1">IFERROR(__xludf.DUMMYFUNCTION("IMPORTRANGE(""https://docs.google.com/spreadsheets/d/1GwtLaSlNZkLk7iDqcyZz22giiy40b_usZZBXYciEN1U/edit?usp=sharing"",""ชุมพร!I484"")"),0)</f>
        <v>0</v>
      </c>
      <c r="CV76" s="278">
        <f ca="1">IFERROR(__xludf.DUMMYFUNCTION("IMPORTRANGE(""https://docs.google.com/spreadsheets/d/1GwtLaSlNZkLk7iDqcyZz22giiy40b_usZZBXYciEN1U/edit?usp=sharing"",""ชุมพร!I485"")"),0)</f>
        <v>0</v>
      </c>
      <c r="CW76" s="278">
        <f ca="1">IFERROR(__xludf.DUMMYFUNCTION("IMPORTRANGE(""https://docs.google.com/spreadsheets/d/1GwtLaSlNZkLk7iDqcyZz22giiy40b_usZZBXYciEN1U/edit?usp=sharing"",""ชุมพร!J484"")"),0)</f>
        <v>0</v>
      </c>
      <c r="CX76" s="216">
        <f t="shared" ca="1" si="71"/>
        <v>0</v>
      </c>
      <c r="CY76" s="278">
        <f ca="1">IFERROR(__xludf.DUMMYFUNCTION("IMPORTRANGE(""https://docs.google.com/spreadsheets/d/1GwtLaSlNZkLk7iDqcyZz22giiy40b_usZZBXYciEN1U/edit?usp=sharing"",""ชุมพร!J485"")"),0)</f>
        <v>0</v>
      </c>
      <c r="CZ76" s="216">
        <f t="shared" ca="1" si="72"/>
        <v>0</v>
      </c>
      <c r="DA76" s="278">
        <f ca="1">IFERROR(__xludf.DUMMYFUNCTION("IMPORTRANGE(""https://docs.google.com/spreadsheets/d/1GwtLaSlNZkLk7iDqcyZz22giiy40b_usZZBXYciEN1U/edit?usp=sharing"",""ชุมพร!J486"")"),0)</f>
        <v>0</v>
      </c>
      <c r="DB76" s="278">
        <f ca="1">IFERROR(__xludf.DUMMYFUNCTION("IMPORTRANGE(""https://docs.google.com/spreadsheets/d/1GwtLaSlNZkLk7iDqcyZz22giiy40b_usZZBXYciEN1U/edit?usp=sharing"",""ชุมพร!J487"")"),0)</f>
        <v>0</v>
      </c>
      <c r="DC76" s="278">
        <f ca="1">IFERROR(__xludf.DUMMYFUNCTION("IMPORTRANGE(""https://docs.google.com/spreadsheets/d/1GwtLaSlNZkLk7iDqcyZz22giiy40b_usZZBXYciEN1U/edit?usp=sharing"",""ชุมพร!J488"")"),0)</f>
        <v>0</v>
      </c>
      <c r="DD76" s="278">
        <f ca="1">IFERROR(__xludf.DUMMYFUNCTION("IMPORTRANGE(""https://docs.google.com/spreadsheets/d/1GwtLaSlNZkLk7iDqcyZz22giiy40b_usZZBXYciEN1U/edit?usp=sharing"",""ชุมพร!J489"")"),0)</f>
        <v>0</v>
      </c>
      <c r="DE76" s="278">
        <f ca="1">IFERROR(__xludf.DUMMYFUNCTION("IMPORTRANGE(""https://docs.google.com/spreadsheets/d/1GwtLaSlNZkLk7iDqcyZz22giiy40b_usZZBXYciEN1U/edit?usp=sharing"",""ชุมพร!J490"")"),0)</f>
        <v>0</v>
      </c>
      <c r="DF76" s="278">
        <f ca="1">IFERROR(__xludf.DUMMYFUNCTION("IMPORTRANGE(""https://docs.google.com/spreadsheets/d/1GwtLaSlNZkLk7iDqcyZz22giiy40b_usZZBXYciEN1U/edit?usp=sharing"",""ชุมพร!J491"")"),0)</f>
        <v>0</v>
      </c>
    </row>
    <row r="77" spans="1:110" ht="19.5" x14ac:dyDescent="0.3">
      <c r="A77" s="147">
        <v>3</v>
      </c>
      <c r="B77" s="148" t="s">
        <v>105</v>
      </c>
      <c r="C77" s="566">
        <f t="shared" ca="1" si="44"/>
        <v>403280</v>
      </c>
      <c r="D77" s="567">
        <f t="shared" ca="1" si="104"/>
        <v>403280</v>
      </c>
      <c r="E77" s="329">
        <f ca="1">IFERROR(__xludf.DUMMYFUNCTION("IMPORTRANGE(""https://docs.google.com/spreadsheets/d/1-uDff_7J0KD5mKrp0Vvzr7lt3OU09vwQwhkpOPPYv2Y/edit?usp=sharing"",""งบพรบ!IP77"")"),234800)</f>
        <v>234800</v>
      </c>
      <c r="F77" s="329">
        <f ca="1">IFERROR(__xludf.DUMMYFUNCTION("IMPORTRANGE(""https://docs.google.com/spreadsheets/d/1-uDff_7J0KD5mKrp0Vvzr7lt3OU09vwQwhkpOPPYv2Y/edit?usp=sharing"",""งบพรบ!IQ77"")"),168480)</f>
        <v>168480</v>
      </c>
      <c r="G77" s="329">
        <f ca="1">IFERROR(__xludf.DUMMYFUNCTION("IMPORTRANGE(""https://docs.google.com/spreadsheets/d/1-uDff_7J0KD5mKrp0Vvzr7lt3OU09vwQwhkpOPPYv2Y/edit?usp=sharing"",""งบพรบ!IR77"")"),0)</f>
        <v>0</v>
      </c>
      <c r="H77" s="329">
        <f ca="1">IFERROR(__xludf.DUMMYFUNCTION("IMPORTRANGE(""https://docs.google.com/spreadsheets/d/1-uDff_7J0KD5mKrp0Vvzr7lt3OU09vwQwhkpOPPYv2Y/edit?usp=sharing"",""งบพรบ!IT77"")"),403280)</f>
        <v>403280</v>
      </c>
      <c r="I77" s="329">
        <f ca="1">IFERROR(__xludf.DUMMYFUNCTION("IMPORTRANGE(""https://docs.google.com/spreadsheets/d/1-uDff_7J0KD5mKrp0Vvzr7lt3OU09vwQwhkpOPPYv2Y/edit?usp=sharing"",""งบพรบ!IU77"")"),0)</f>
        <v>0</v>
      </c>
      <c r="J77" s="329">
        <f t="shared" ca="1" si="46"/>
        <v>179171.36</v>
      </c>
      <c r="K77" s="568">
        <f t="shared" ca="1" si="47"/>
        <v>44.428526086094031</v>
      </c>
      <c r="L77" s="329">
        <f ca="1">IFERROR(__xludf.DUMMYFUNCTION("IMPORTRANGE(""https://docs.google.com/spreadsheets/d/1-uDff_7J0KD5mKrp0Vvzr7lt3OU09vwQwhkpOPPYv2Y/edit?usp=sharing"",""งบพรบ!IV77"")"),179171.36)</f>
        <v>179171.36</v>
      </c>
      <c r="M77" s="330">
        <f t="shared" ca="1" si="48"/>
        <v>44.428526086094031</v>
      </c>
      <c r="N77" s="330">
        <f t="shared" ca="1" si="49"/>
        <v>44.428526086094031</v>
      </c>
      <c r="O77" s="569">
        <f ca="1">IFERROR(__xludf.DUMMYFUNCTION("IMPORTRANGE(""https://docs.google.com/spreadsheets/d/1-uDff_7J0KD5mKrp0Vvzr7lt3OU09vwQwhkpOPPYv2Y/edit?usp=sharing"",""งบพรบ!IW77"")"),0)</f>
        <v>0</v>
      </c>
      <c r="P77" s="569">
        <f t="shared" ca="1" si="50"/>
        <v>0</v>
      </c>
      <c r="Q77" s="330">
        <f t="shared" ca="1" si="51"/>
        <v>0</v>
      </c>
      <c r="R77" s="564">
        <f ca="1">IFERROR(__xludf.DUMMYFUNCTION("IMPORTRANGE(""https://docs.google.com/spreadsheets/d/16pAz3pOhQEZBhvFNMa5KGgZS6iKWpsKX0pg6tQmwFpo/edit?usp=sharing"",""ตรัง!Q413"")"),64430)</f>
        <v>64430</v>
      </c>
      <c r="S77" s="564">
        <f ca="1">IFERROR(__xludf.DUMMYFUNCTION("IMPORTRANGE(""https://docs.google.com/spreadsheets/d/16pAz3pOhQEZBhvFNMa5KGgZS6iKWpsKX0pg6tQmwFpo/edit?usp=sharing"",""ตรัง!R413"")"),64430)</f>
        <v>64430</v>
      </c>
      <c r="T77" s="564">
        <f ca="1">IFERROR(__xludf.DUMMYFUNCTION("IMPORTRANGE(""https://docs.google.com/spreadsheets/d/16pAz3pOhQEZBhvFNMa5KGgZS6iKWpsKX0pg6tQmwFpo/edit?usp=sharing"",""ตรัง!S413"")"),0)</f>
        <v>0</v>
      </c>
      <c r="U77" s="565">
        <f t="shared" ca="1" si="53"/>
        <v>0</v>
      </c>
      <c r="V77" s="565">
        <f t="shared" ca="1" si="54"/>
        <v>0</v>
      </c>
      <c r="W77" s="152">
        <f ca="1">IFERROR(__xludf.DUMMYFUNCTION("IMPORTRANGE(""https://docs.google.com/spreadsheets/d/16pAz3pOhQEZBhvFNMa5KGgZS6iKWpsKX0pg6tQmwFpo/edit?usp=sharing"",""ตรัง!I424"")"),26015)</f>
        <v>26015</v>
      </c>
      <c r="X77" s="152">
        <f ca="1">IFERROR(__xludf.DUMMYFUNCTION("IMPORTRANGE(""https://docs.google.com/spreadsheets/d/16pAz3pOhQEZBhvFNMa5KGgZS6iKWpsKX0pg6tQmwFpo/edit?usp=sharing"",""ตรัง!I425"")"),2978)</f>
        <v>2978</v>
      </c>
      <c r="Y77" s="152">
        <f ca="1">IFERROR(__xludf.DUMMYFUNCTION("IMPORTRANGE(""https://docs.google.com/spreadsheets/d/16pAz3pOhQEZBhvFNMa5KGgZS6iKWpsKX0pg6tQmwFpo/edit?usp=sharing"",""ตรัง!J424"")"),0)</f>
        <v>0</v>
      </c>
      <c r="Z77" s="216">
        <f t="shared" ca="1" si="56"/>
        <v>0</v>
      </c>
      <c r="AA77" s="152">
        <f ca="1">IFERROR(__xludf.DUMMYFUNCTION("IMPORTRANGE(""https://docs.google.com/spreadsheets/d/16pAz3pOhQEZBhvFNMa5KGgZS6iKWpsKX0pg6tQmwFpo/edit?usp=sharing"",""ตรัง!J425"")"),0)</f>
        <v>0</v>
      </c>
      <c r="AB77" s="216">
        <f t="shared" ca="1" si="57"/>
        <v>0</v>
      </c>
      <c r="AC77" s="152">
        <f ca="1">IFERROR(__xludf.DUMMYFUNCTION("IMPORTRANGE(""https://docs.google.com/spreadsheets/d/16pAz3pOhQEZBhvFNMa5KGgZS6iKWpsKX0pg6tQmwFpo/edit?usp=sharing"",""ตรัง!J426"")"),0)</f>
        <v>0</v>
      </c>
      <c r="AD77" s="152">
        <f ca="1">IFERROR(__xludf.DUMMYFUNCTION("IMPORTRANGE(""https://docs.google.com/spreadsheets/d/16pAz3pOhQEZBhvFNMa5KGgZS6iKWpsKX0pg6tQmwFpo/edit?usp=sharing"",""ตรัง!J427"")"),0)</f>
        <v>0</v>
      </c>
      <c r="AE77" s="152">
        <f ca="1">IFERROR(__xludf.DUMMYFUNCTION("IMPORTRANGE(""https://docs.google.com/spreadsheets/d/16pAz3pOhQEZBhvFNMa5KGgZS6iKWpsKX0pg6tQmwFpo/edit?usp=sharing"",""ตรัง!J428"")"),0)</f>
        <v>0</v>
      </c>
      <c r="AF77" s="152">
        <f ca="1">IFERROR(__xludf.DUMMYFUNCTION("IMPORTRANGE(""https://docs.google.com/spreadsheets/d/16pAz3pOhQEZBhvFNMa5KGgZS6iKWpsKX0pg6tQmwFpo/edit?usp=sharing"",""ตรัง!J429"")"),0)</f>
        <v>0</v>
      </c>
      <c r="AG77" s="152">
        <f ca="1">IFERROR(__xludf.DUMMYFUNCTION("IMPORTRANGE(""https://docs.google.com/spreadsheets/d/16pAz3pOhQEZBhvFNMa5KGgZS6iKWpsKX0pg6tQmwFpo/edit?usp=sharing"",""ตรัง!J430"")"),0)</f>
        <v>0</v>
      </c>
      <c r="AH77" s="152">
        <f ca="1">IFERROR(__xludf.DUMMYFUNCTION("IMPORTRANGE(""https://docs.google.com/spreadsheets/d/16pAz3pOhQEZBhvFNMa5KGgZS6iKWpsKX0pg6tQmwFpo/edit?usp=sharing"",""ตรัง!J431"")"),0)</f>
        <v>0</v>
      </c>
      <c r="AI77" s="152">
        <f ca="1">IFERROR(__xludf.DUMMYFUNCTION("IMPORTRANGE(""https://docs.google.com/spreadsheets/d/16pAz3pOhQEZBhvFNMa5KGgZS6iKWpsKX0pg6tQmwFpo/edit?usp=sharing"",""ตรัง!I432"")"),26015)</f>
        <v>26015</v>
      </c>
      <c r="AJ77" s="152">
        <f ca="1">IFERROR(__xludf.DUMMYFUNCTION("IMPORTRANGE(""https://docs.google.com/spreadsheets/d/16pAz3pOhQEZBhvFNMa5KGgZS6iKWpsKX0pg6tQmwFpo/edit?usp=sharing"",""ตรัง!I433"")"),2978)</f>
        <v>2978</v>
      </c>
      <c r="AK77" s="216">
        <f ca="1">IFERROR(__xludf.DUMMYFUNCTION("IMPORTRANGE(""https://docs.google.com/spreadsheets/d/16pAz3pOhQEZBhvFNMa5KGgZS6iKWpsKX0pg6tQmwFpo/edit?usp=sharing"",""ตรัง!J432"")"),0)</f>
        <v>0</v>
      </c>
      <c r="AL77" s="216">
        <f t="shared" ca="1" si="59"/>
        <v>0</v>
      </c>
      <c r="AM77" s="152">
        <f ca="1">IFERROR(__xludf.DUMMYFUNCTION("IMPORTRANGE(""https://docs.google.com/spreadsheets/d/16pAz3pOhQEZBhvFNMa5KGgZS6iKWpsKX0pg6tQmwFpo/edit?usp=sharing"",""ตรัง!J433"")"),0)</f>
        <v>0</v>
      </c>
      <c r="AN77" s="216">
        <f t="shared" ca="1" si="60"/>
        <v>0</v>
      </c>
      <c r="AO77" s="152">
        <f ca="1">IFERROR(__xludf.DUMMYFUNCTION("IMPORTRANGE(""https://docs.google.com/spreadsheets/d/16pAz3pOhQEZBhvFNMa5KGgZS6iKWpsKX0pg6tQmwFpo/edit?usp=sharing"",""ตรัง!J434"")"),0)</f>
        <v>0</v>
      </c>
      <c r="AP77" s="152">
        <f ca="1">IFERROR(__xludf.DUMMYFUNCTION("IMPORTRANGE(""https://docs.google.com/spreadsheets/d/16pAz3pOhQEZBhvFNMa5KGgZS6iKWpsKX0pg6tQmwFpo/edit?usp=sharing"",""ตรัง!J435"")"),0)</f>
        <v>0</v>
      </c>
      <c r="AQ77" s="152">
        <f ca="1">IFERROR(__xludf.DUMMYFUNCTION("IMPORTRANGE(""https://docs.google.com/spreadsheets/d/16pAz3pOhQEZBhvFNMa5KGgZS6iKWpsKX0pg6tQmwFpo/edit?usp=sharing"",""ตรัง!J436"")"),0)</f>
        <v>0</v>
      </c>
      <c r="AR77" s="152">
        <f ca="1">IFERROR(__xludf.DUMMYFUNCTION("IMPORTRANGE(""https://docs.google.com/spreadsheets/d/16pAz3pOhQEZBhvFNMa5KGgZS6iKWpsKX0pg6tQmwFpo/edit?usp=sharing"",""ตรัง!J437"")"),0)</f>
        <v>0</v>
      </c>
      <c r="AS77" s="152">
        <f ca="1">IFERROR(__xludf.DUMMYFUNCTION("IMPORTRANGE(""https://docs.google.com/spreadsheets/d/16pAz3pOhQEZBhvFNMa5KGgZS6iKWpsKX0pg6tQmwFpo/edit?usp=sharing"",""ตรัง!J438"")"),0)</f>
        <v>0</v>
      </c>
      <c r="AT77" s="152">
        <f ca="1">IFERROR(__xludf.DUMMYFUNCTION("IMPORTRANGE(""https://docs.google.com/spreadsheets/d/16pAz3pOhQEZBhvFNMa5KGgZS6iKWpsKX0pg6tQmwFpo/edit?usp=sharing"",""ตรัง!J439"")"),0)</f>
        <v>0</v>
      </c>
      <c r="AU77" s="152">
        <f ca="1">IFERROR(__xludf.DUMMYFUNCTION("IMPORTRANGE(""https://docs.google.com/spreadsheets/d/16pAz3pOhQEZBhvFNMa5KGgZS6iKWpsKX0pg6tQmwFpo/edit?usp=sharing"",""ตรัง!I440"")"),26015)</f>
        <v>26015</v>
      </c>
      <c r="AV77" s="152">
        <f ca="1">IFERROR(__xludf.DUMMYFUNCTION("IMPORTRANGE(""https://docs.google.com/spreadsheets/d/16pAz3pOhQEZBhvFNMa5KGgZS6iKWpsKX0pg6tQmwFpo/edit?usp=sharing"",""ตรัง!I441"")"),2978)</f>
        <v>2978</v>
      </c>
      <c r="AW77" s="152">
        <f ca="1">IFERROR(__xludf.DUMMYFUNCTION("IMPORTRANGE(""https://docs.google.com/spreadsheets/d/16pAz3pOhQEZBhvFNMa5KGgZS6iKWpsKX0pg6tQmwFpo/edit?usp=sharing"",""ตรัง!J440"")"),0)</f>
        <v>0</v>
      </c>
      <c r="AX77" s="216">
        <f t="shared" ca="1" si="62"/>
        <v>0</v>
      </c>
      <c r="AY77" s="152">
        <f ca="1">IFERROR(__xludf.DUMMYFUNCTION("IMPORTRANGE(""https://docs.google.com/spreadsheets/d/16pAz3pOhQEZBhvFNMa5KGgZS6iKWpsKX0pg6tQmwFpo/edit?usp=sharing"",""ตรัง!J441"")"),0)</f>
        <v>0</v>
      </c>
      <c r="AZ77" s="216">
        <f t="shared" ca="1" si="63"/>
        <v>0</v>
      </c>
      <c r="BA77" s="152">
        <f ca="1">IFERROR(__xludf.DUMMYFUNCTION("IMPORTRANGE(""https://docs.google.com/spreadsheets/d/16pAz3pOhQEZBhvFNMa5KGgZS6iKWpsKX0pg6tQmwFpo/edit?usp=sharing"",""ตรัง!J442"")"),0)</f>
        <v>0</v>
      </c>
      <c r="BB77" s="152">
        <f ca="1">IFERROR(__xludf.DUMMYFUNCTION("IMPORTRANGE(""https://docs.google.com/spreadsheets/d/16pAz3pOhQEZBhvFNMa5KGgZS6iKWpsKX0pg6tQmwFpo/edit?usp=sharing"",""ตรัง!J443"")"),0)</f>
        <v>0</v>
      </c>
      <c r="BC77" s="152">
        <f ca="1">IFERROR(__xludf.DUMMYFUNCTION("IMPORTRANGE(""https://docs.google.com/spreadsheets/d/16pAz3pOhQEZBhvFNMa5KGgZS6iKWpsKX0pg6tQmwFpo/edit?usp=sharing"",""ตรัง!J444"")"),0)</f>
        <v>0</v>
      </c>
      <c r="BD77" s="152">
        <f ca="1">IFERROR(__xludf.DUMMYFUNCTION("IMPORTRANGE(""https://docs.google.com/spreadsheets/d/16pAz3pOhQEZBhvFNMa5KGgZS6iKWpsKX0pg6tQmwFpo/edit?usp=sharing"",""ตรัง!J445"")"),0)</f>
        <v>0</v>
      </c>
      <c r="BE77" s="152">
        <f ca="1">IFERROR(__xludf.DUMMYFUNCTION("IMPORTRANGE(""https://docs.google.com/spreadsheets/d/16pAz3pOhQEZBhvFNMa5KGgZS6iKWpsKX0pg6tQmwFpo/edit?usp=sharing"",""ตรัง!J446"")"),0)</f>
        <v>0</v>
      </c>
      <c r="BF77" s="152">
        <f ca="1">IFERROR(__xludf.DUMMYFUNCTION("IMPORTRANGE(""https://docs.google.com/spreadsheets/d/16pAz3pOhQEZBhvFNMa5KGgZS6iKWpsKX0pg6tQmwFpo/edit?usp=sharing"",""ตรัง!J447"")"),0)</f>
        <v>0</v>
      </c>
      <c r="BG77" s="152">
        <f ca="1">IFERROR(__xludf.DUMMYFUNCTION("IMPORTRANGE(""https://docs.google.com/spreadsheets/d/16pAz3pOhQEZBhvFNMa5KGgZS6iKWpsKX0pg6tQmwFpo/edit?usp=sharing"",""ตรัง!J448"")"),0)</f>
        <v>0</v>
      </c>
      <c r="BH77" s="152">
        <f ca="1">IFERROR(__xludf.DUMMYFUNCTION("IMPORTRANGE(""https://docs.google.com/spreadsheets/d/16pAz3pOhQEZBhvFNMa5KGgZS6iKWpsKX0pg6tQmwFpo/edit?usp=sharing"",""ตรัง!J449"")"),0)</f>
        <v>0</v>
      </c>
      <c r="BI77" s="152">
        <f ca="1">IFERROR(__xludf.DUMMYFUNCTION("IMPORTRANGE(""https://docs.google.com/spreadsheets/d/16pAz3pOhQEZBhvFNMa5KGgZS6iKWpsKX0pg6tQmwFpo/edit?usp=sharing"",""ตรัง!J450"")"),0)</f>
        <v>0</v>
      </c>
      <c r="BJ77" s="152">
        <f ca="1">IFERROR(__xludf.DUMMYFUNCTION("IMPORTRANGE(""https://docs.google.com/spreadsheets/d/16pAz3pOhQEZBhvFNMa5KGgZS6iKWpsKX0pg6tQmwFpo/edit?usp=sharing"",""ตรัง!J451"")"),0)</f>
        <v>0</v>
      </c>
      <c r="BK77" s="152">
        <f ca="1">IFERROR(__xludf.DUMMYFUNCTION("IMPORTRANGE(""https://docs.google.com/spreadsheets/d/16pAz3pOhQEZBhvFNMa5KGgZS6iKWpsKX0pg6tQmwFpo/edit?usp=sharing"",""ตรัง!J452"")"),0)</f>
        <v>0</v>
      </c>
      <c r="BL77" s="152">
        <f ca="1">IFERROR(__xludf.DUMMYFUNCTION("IMPORTRANGE(""https://docs.google.com/spreadsheets/d/16pAz3pOhQEZBhvFNMa5KGgZS6iKWpsKX0pg6tQmwFpo/edit?usp=sharing"",""ตรัง!J453"")"),0)</f>
        <v>0</v>
      </c>
      <c r="BM77" s="152">
        <f ca="1">IFERROR(__xludf.DUMMYFUNCTION("IMPORTRANGE(""https://docs.google.com/spreadsheets/d/16pAz3pOhQEZBhvFNMa5KGgZS6iKWpsKX0pg6tQmwFpo/edit?usp=sharing"",""ตรัง!J454"")"),0)</f>
        <v>0</v>
      </c>
      <c r="BN77" s="152">
        <f ca="1">IFERROR(__xludf.DUMMYFUNCTION("IMPORTRANGE(""https://docs.google.com/spreadsheets/d/16pAz3pOhQEZBhvFNMa5KGgZS6iKWpsKX0pg6tQmwFpo/edit?usp=sharing"",""ตรัง!J455"")"),0)</f>
        <v>0</v>
      </c>
      <c r="BO77" s="152">
        <f ca="1">IFERROR(__xludf.DUMMYFUNCTION("IMPORTRANGE(""https://docs.google.com/spreadsheets/d/16pAz3pOhQEZBhvFNMa5KGgZS6iKWpsKX0pg6tQmwFpo/edit?usp=sharing"",""ตรัง!I457"")"),1291.4)</f>
        <v>1291.4000000000001</v>
      </c>
      <c r="BP77" s="152">
        <f ca="1">IFERROR(__xludf.DUMMYFUNCTION("IMPORTRANGE(""https://docs.google.com/spreadsheets/d/16pAz3pOhQEZBhvFNMa5KGgZS6iKWpsKX0pg6tQmwFpo/edit?usp=sharing"",""ตรัง!I458"")"),170)</f>
        <v>170</v>
      </c>
      <c r="BQ77" s="152">
        <f ca="1">IFERROR(__xludf.DUMMYFUNCTION("IMPORTRANGE(""https://docs.google.com/spreadsheets/d/16pAz3pOhQEZBhvFNMa5KGgZS6iKWpsKX0pg6tQmwFpo/edit?usp=sharing"",""ตรัง!J457"")"),0)</f>
        <v>0</v>
      </c>
      <c r="BR77" s="216">
        <f t="shared" ca="1" si="65"/>
        <v>0</v>
      </c>
      <c r="BS77" s="152">
        <f ca="1">IFERROR(__xludf.DUMMYFUNCTION("IMPORTRANGE(""https://docs.google.com/spreadsheets/d/16pAz3pOhQEZBhvFNMa5KGgZS6iKWpsKX0pg6tQmwFpo/edit?usp=sharing"",""ตรัง!J458"")"),0)</f>
        <v>0</v>
      </c>
      <c r="BT77" s="216">
        <f t="shared" ca="1" si="66"/>
        <v>0</v>
      </c>
      <c r="BU77" s="152">
        <f ca="1">IFERROR(__xludf.DUMMYFUNCTION("IMPORTRANGE(""https://docs.google.com/spreadsheets/d/16pAz3pOhQEZBhvFNMa5KGgZS6iKWpsKX0pg6tQmwFpo/edit?usp=sharing"",""ตรัง!J459"")"),0)</f>
        <v>0</v>
      </c>
      <c r="BV77" s="152">
        <f ca="1">IFERROR(__xludf.DUMMYFUNCTION("IMPORTRANGE(""https://docs.google.com/spreadsheets/d/16pAz3pOhQEZBhvFNMa5KGgZS6iKWpsKX0pg6tQmwFpo/edit?usp=sharing"",""ตรัง!J460"")"),0)</f>
        <v>0</v>
      </c>
      <c r="BW77" s="152">
        <f ca="1">IFERROR(__xludf.DUMMYFUNCTION("IMPORTRANGE(""https://docs.google.com/spreadsheets/d/16pAz3pOhQEZBhvFNMa5KGgZS6iKWpsKX0pg6tQmwFpo/edit?usp=sharing"",""ตรัง!J461"")"),0)</f>
        <v>0</v>
      </c>
      <c r="BX77" s="152">
        <f ca="1">IFERROR(__xludf.DUMMYFUNCTION("IMPORTRANGE(""https://docs.google.com/spreadsheets/d/16pAz3pOhQEZBhvFNMa5KGgZS6iKWpsKX0pg6tQmwFpo/edit?usp=sharing"",""ตรัง!J462"")"),0)</f>
        <v>0</v>
      </c>
      <c r="BY77" s="152">
        <f ca="1">IFERROR(__xludf.DUMMYFUNCTION("IMPORTRANGE(""https://docs.google.com/spreadsheets/d/16pAz3pOhQEZBhvFNMa5KGgZS6iKWpsKX0pg6tQmwFpo/edit?usp=sharing"",""ตรัง!J463"")"),0)</f>
        <v>0</v>
      </c>
      <c r="BZ77" s="152">
        <f ca="1">IFERROR(__xludf.DUMMYFUNCTION("IMPORTRANGE(""https://docs.google.com/spreadsheets/d/16pAz3pOhQEZBhvFNMa5KGgZS6iKWpsKX0pg6tQmwFpo/edit?usp=sharing"",""ตรัง!J464"")"),0)</f>
        <v>0</v>
      </c>
      <c r="CA77" s="152">
        <f ca="1">IFERROR(__xludf.DUMMYFUNCTION("IMPORTRANGE(""https://docs.google.com/spreadsheets/d/16pAz3pOhQEZBhvFNMa5KGgZS6iKWpsKX0pg6tQmwFpo/edit?usp=sharing"",""ตรัง!J465"")"),0)</f>
        <v>0</v>
      </c>
      <c r="CB77" s="152">
        <f ca="1">IFERROR(__xludf.DUMMYFUNCTION("IMPORTRANGE(""https://docs.google.com/spreadsheets/d/16pAz3pOhQEZBhvFNMa5KGgZS6iKWpsKX0pg6tQmwFpo/edit?usp=sharing"",""ตรัง!J466"")"),0)</f>
        <v>0</v>
      </c>
      <c r="CC77" s="152">
        <f ca="1">IFERROR(__xludf.DUMMYFUNCTION("IMPORTRANGE(""https://docs.google.com/spreadsheets/d/16pAz3pOhQEZBhvFNMa5KGgZS6iKWpsKX0pg6tQmwFpo/edit?usp=sharing"",""ตรัง!J467"")"),0)</f>
        <v>0</v>
      </c>
      <c r="CD77" s="152">
        <f ca="1">IFERROR(__xludf.DUMMYFUNCTION("IMPORTRANGE(""https://docs.google.com/spreadsheets/d/16pAz3pOhQEZBhvFNMa5KGgZS6iKWpsKX0pg6tQmwFpo/edit?usp=sharing"",""ตรัง!J468"")"),0)</f>
        <v>0</v>
      </c>
      <c r="CE77" s="152">
        <f ca="1">IFERROR(__xludf.DUMMYFUNCTION("IMPORTRANGE(""https://docs.google.com/spreadsheets/d/16pAz3pOhQEZBhvFNMa5KGgZS6iKWpsKX0pg6tQmwFpo/edit?usp=sharing"",""ตรัง!J469"")"),0)</f>
        <v>0</v>
      </c>
      <c r="CF77" s="152">
        <f ca="1">IFERROR(__xludf.DUMMYFUNCTION("IMPORTRANGE(""https://docs.google.com/spreadsheets/d/16pAz3pOhQEZBhvFNMa5KGgZS6iKWpsKX0pg6tQmwFpo/edit?usp=sharing"",""ตรัง!J470"")"),0)</f>
        <v>0</v>
      </c>
      <c r="CG77" s="152">
        <f ca="1">IFERROR(__xludf.DUMMYFUNCTION("IMPORTRANGE(""https://docs.google.com/spreadsheets/d/16pAz3pOhQEZBhvFNMa5KGgZS6iKWpsKX0pg6tQmwFpo/edit?usp=sharing"",""ตรัง!J471"")"),0)</f>
        <v>0</v>
      </c>
      <c r="CH77" s="152">
        <f ca="1">IFERROR(__xludf.DUMMYFUNCTION("IMPORTRANGE(""https://docs.google.com/spreadsheets/d/16pAz3pOhQEZBhvFNMa5KGgZS6iKWpsKX0pg6tQmwFpo/edit?usp=sharing"",""ตรัง!J472"")"),0)</f>
        <v>0</v>
      </c>
      <c r="CI77" s="152">
        <f ca="1">IFERROR(__xludf.DUMMYFUNCTION("IMPORTRANGE(""https://docs.google.com/spreadsheets/d/16pAz3pOhQEZBhvFNMa5KGgZS6iKWpsKX0pg6tQmwFpo/edit?usp=sharing"",""ตรัง!J473"")"),0)</f>
        <v>0</v>
      </c>
      <c r="CJ77" s="152">
        <f ca="1">IFERROR(__xludf.DUMMYFUNCTION("IMPORTRANGE(""https://docs.google.com/spreadsheets/d/16pAz3pOhQEZBhvFNMa5KGgZS6iKWpsKX0pg6tQmwFpo/edit?usp=sharing"",""ตรัง!J474"")"),0)</f>
        <v>0</v>
      </c>
      <c r="CK77" s="278">
        <f ca="1">IFERROR(__xludf.DUMMYFUNCTION("IMPORTRANGE(""https://docs.google.com/spreadsheets/d/16pAz3pOhQEZBhvFNMa5KGgZS6iKWpsKX0pg6tQmwFpo/edit?usp=sharing"",""ตรัง!I476"")"),0)</f>
        <v>0</v>
      </c>
      <c r="CL77" s="278">
        <f ca="1">IFERROR(__xludf.DUMMYFUNCTION("IMPORTRANGE(""https://docs.google.com/spreadsheets/d/16pAz3pOhQEZBhvFNMa5KGgZS6iKWpsKX0pg6tQmwFpo/edit?usp=sharing"",""ตรัง!I477"")"),0)</f>
        <v>0</v>
      </c>
      <c r="CM77" s="278">
        <f ca="1">IFERROR(__xludf.DUMMYFUNCTION("IMPORTRANGE(""https://docs.google.com/spreadsheets/d/16pAz3pOhQEZBhvFNMa5KGgZS6iKWpsKX0pg6tQmwFpo/edit?usp=sharing"",""ตรัง!J476"")"),0)</f>
        <v>0</v>
      </c>
      <c r="CN77" s="216">
        <f t="shared" ca="1" si="68"/>
        <v>0</v>
      </c>
      <c r="CO77" s="278">
        <f ca="1">IFERROR(__xludf.DUMMYFUNCTION("IMPORTRANGE(""https://docs.google.com/spreadsheets/d/16pAz3pOhQEZBhvFNMa5KGgZS6iKWpsKX0pg6tQmwFpo/edit?usp=sharing"",""ตรัง!J477"")"),0)</f>
        <v>0</v>
      </c>
      <c r="CP77" s="216">
        <f t="shared" ca="1" si="69"/>
        <v>0</v>
      </c>
      <c r="CQ77" s="278">
        <f ca="1">IFERROR(__xludf.DUMMYFUNCTION("IMPORTRANGE(""https://docs.google.com/spreadsheets/d/16pAz3pOhQEZBhvFNMa5KGgZS6iKWpsKX0pg6tQmwFpo/edit?usp=sharing"",""ตรัง!J478"")"),0)</f>
        <v>0</v>
      </c>
      <c r="CR77" s="278">
        <f ca="1">IFERROR(__xludf.DUMMYFUNCTION("IMPORTRANGE(""https://docs.google.com/spreadsheets/d/16pAz3pOhQEZBhvFNMa5KGgZS6iKWpsKX0pg6tQmwFpo/edit?usp=sharing"",""ตรัง!J479"")"),0)</f>
        <v>0</v>
      </c>
      <c r="CS77" s="278">
        <f ca="1">IFERROR(__xludf.DUMMYFUNCTION("IMPORTRANGE(""https://docs.google.com/spreadsheets/d/16pAz3pOhQEZBhvFNMa5KGgZS6iKWpsKX0pg6tQmwFpo/edit?usp=sharing"",""ตรัง!J480"")"),0)</f>
        <v>0</v>
      </c>
      <c r="CT77" s="278">
        <f ca="1">IFERROR(__xludf.DUMMYFUNCTION("IMPORTRANGE(""https://docs.google.com/spreadsheets/d/16pAz3pOhQEZBhvFNMa5KGgZS6iKWpsKX0pg6tQmwFpo/edit?usp=sharing"",""ตรัง!J481"")"),0)</f>
        <v>0</v>
      </c>
      <c r="CU77" s="278">
        <f ca="1">IFERROR(__xludf.DUMMYFUNCTION("IMPORTRANGE(""https://docs.google.com/spreadsheets/d/16pAz3pOhQEZBhvFNMa5KGgZS6iKWpsKX0pg6tQmwFpo/edit?usp=sharing"",""ตรัง!I484"")"),28)</f>
        <v>28</v>
      </c>
      <c r="CV77" s="278">
        <f ca="1">IFERROR(__xludf.DUMMYFUNCTION("IMPORTRANGE(""https://docs.google.com/spreadsheets/d/16pAz3pOhQEZBhvFNMa5KGgZS6iKWpsKX0pg6tQmwFpo/edit?usp=sharing"",""ตรัง!I485"")"),3)</f>
        <v>3</v>
      </c>
      <c r="CW77" s="278">
        <f ca="1">IFERROR(__xludf.DUMMYFUNCTION("IMPORTRANGE(""https://docs.google.com/spreadsheets/d/16pAz3pOhQEZBhvFNMa5KGgZS6iKWpsKX0pg6tQmwFpo/edit?usp=sharing"",""ตรัง!J484"")"),0)</f>
        <v>0</v>
      </c>
      <c r="CX77" s="216">
        <f t="shared" ca="1" si="71"/>
        <v>0</v>
      </c>
      <c r="CY77" s="278">
        <f ca="1">IFERROR(__xludf.DUMMYFUNCTION("IMPORTRANGE(""https://docs.google.com/spreadsheets/d/16pAz3pOhQEZBhvFNMa5KGgZS6iKWpsKX0pg6tQmwFpo/edit?usp=sharing"",""ตรัง!J485"")"),0)</f>
        <v>0</v>
      </c>
      <c r="CZ77" s="216">
        <f t="shared" ca="1" si="72"/>
        <v>0</v>
      </c>
      <c r="DA77" s="278">
        <f ca="1">IFERROR(__xludf.DUMMYFUNCTION("IMPORTRANGE(""https://docs.google.com/spreadsheets/d/16pAz3pOhQEZBhvFNMa5KGgZS6iKWpsKX0pg6tQmwFpo/edit?usp=sharing"",""ตรัง!J486"")"),0)</f>
        <v>0</v>
      </c>
      <c r="DB77" s="278">
        <f ca="1">IFERROR(__xludf.DUMMYFUNCTION("IMPORTRANGE(""https://docs.google.com/spreadsheets/d/16pAz3pOhQEZBhvFNMa5KGgZS6iKWpsKX0pg6tQmwFpo/edit?usp=sharing"",""ตรัง!J487"")"),0)</f>
        <v>0</v>
      </c>
      <c r="DC77" s="278">
        <f ca="1">IFERROR(__xludf.DUMMYFUNCTION("IMPORTRANGE(""https://docs.google.com/spreadsheets/d/16pAz3pOhQEZBhvFNMa5KGgZS6iKWpsKX0pg6tQmwFpo/edit?usp=sharing"",""ตรัง!J488"")"),0)</f>
        <v>0</v>
      </c>
      <c r="DD77" s="278">
        <f ca="1">IFERROR(__xludf.DUMMYFUNCTION("IMPORTRANGE(""https://docs.google.com/spreadsheets/d/16pAz3pOhQEZBhvFNMa5KGgZS6iKWpsKX0pg6tQmwFpo/edit?usp=sharing"",""ตรัง!J489"")"),0)</f>
        <v>0</v>
      </c>
      <c r="DE77" s="278">
        <f ca="1">IFERROR(__xludf.DUMMYFUNCTION("IMPORTRANGE(""https://docs.google.com/spreadsheets/d/16pAz3pOhQEZBhvFNMa5KGgZS6iKWpsKX0pg6tQmwFpo/edit?usp=sharing"",""ตรัง!J490"")"),0)</f>
        <v>0</v>
      </c>
      <c r="DF77" s="278">
        <f ca="1">IFERROR(__xludf.DUMMYFUNCTION("IMPORTRANGE(""https://docs.google.com/spreadsheets/d/16pAz3pOhQEZBhvFNMa5KGgZS6iKWpsKX0pg6tQmwFpo/edit?usp=sharing"",""ตรัง!J491"")"),0)</f>
        <v>0</v>
      </c>
    </row>
    <row r="78" spans="1:110" ht="19.5" x14ac:dyDescent="0.3">
      <c r="A78" s="147">
        <v>4</v>
      </c>
      <c r="B78" s="148" t="s">
        <v>106</v>
      </c>
      <c r="C78" s="566">
        <f t="shared" ca="1" si="44"/>
        <v>309640</v>
      </c>
      <c r="D78" s="567">
        <f t="shared" ca="1" si="104"/>
        <v>309640</v>
      </c>
      <c r="E78" s="329">
        <f ca="1">IFERROR(__xludf.DUMMYFUNCTION("IMPORTRANGE(""https://docs.google.com/spreadsheets/d/1-uDff_7J0KD5mKrp0Vvzr7lt3OU09vwQwhkpOPPYv2Y/edit?usp=sharing"",""งบพรบ!IP78"")"),138100)</f>
        <v>138100</v>
      </c>
      <c r="F78" s="329">
        <f ca="1">IFERROR(__xludf.DUMMYFUNCTION("IMPORTRANGE(""https://docs.google.com/spreadsheets/d/1-uDff_7J0KD5mKrp0Vvzr7lt3OU09vwQwhkpOPPYv2Y/edit?usp=sharing"",""งบพรบ!IQ78"")"),171540)</f>
        <v>171540</v>
      </c>
      <c r="G78" s="329">
        <f ca="1">IFERROR(__xludf.DUMMYFUNCTION("IMPORTRANGE(""https://docs.google.com/spreadsheets/d/1-uDff_7J0KD5mKrp0Vvzr7lt3OU09vwQwhkpOPPYv2Y/edit?usp=sharing"",""งบพรบ!IR78"")"),0)</f>
        <v>0</v>
      </c>
      <c r="H78" s="329">
        <f ca="1">IFERROR(__xludf.DUMMYFUNCTION("IMPORTRANGE(""https://docs.google.com/spreadsheets/d/1-uDff_7J0KD5mKrp0Vvzr7lt3OU09vwQwhkpOPPYv2Y/edit?usp=sharing"",""งบพรบ!IT78"")"),523338)</f>
        <v>523338</v>
      </c>
      <c r="I78" s="329">
        <f ca="1">IFERROR(__xludf.DUMMYFUNCTION("IMPORTRANGE(""https://docs.google.com/spreadsheets/d/1-uDff_7J0KD5mKrp0Vvzr7lt3OU09vwQwhkpOPPYv2Y/edit?usp=sharing"",""งบพรบ!IU78"")"),0)</f>
        <v>0</v>
      </c>
      <c r="J78" s="329">
        <f t="shared" ca="1" si="46"/>
        <v>358347.99</v>
      </c>
      <c r="K78" s="568">
        <f t="shared" ca="1" si="47"/>
        <v>115.7305225423072</v>
      </c>
      <c r="L78" s="329">
        <f ca="1">IFERROR(__xludf.DUMMYFUNCTION("IMPORTRANGE(""https://docs.google.com/spreadsheets/d/1-uDff_7J0KD5mKrp0Vvzr7lt3OU09vwQwhkpOPPYv2Y/edit?usp=sharing"",""งบพรบ!IV78"")"),358347.99)</f>
        <v>358347.99</v>
      </c>
      <c r="M78" s="330">
        <f t="shared" ca="1" si="48"/>
        <v>115.7305225423072</v>
      </c>
      <c r="N78" s="330">
        <f t="shared" ca="1" si="49"/>
        <v>68.473527624594425</v>
      </c>
      <c r="O78" s="569">
        <f ca="1">IFERROR(__xludf.DUMMYFUNCTION("IMPORTRANGE(""https://docs.google.com/spreadsheets/d/1-uDff_7J0KD5mKrp0Vvzr7lt3OU09vwQwhkpOPPYv2Y/edit?usp=sharing"",""งบพรบ!IW78"")"),0)</f>
        <v>0</v>
      </c>
      <c r="P78" s="569">
        <f t="shared" ca="1" si="50"/>
        <v>0</v>
      </c>
      <c r="Q78" s="330">
        <f t="shared" ca="1" si="51"/>
        <v>0</v>
      </c>
      <c r="R78" s="564">
        <f ca="1">IFERROR(__xludf.DUMMYFUNCTION("IMPORTRANGE(""https://docs.google.com/spreadsheets/d/1Dj4jcHCTV9JXKCaMoheSXS52JE63kDKyG7bPXnFogHk/edit?usp=sharing"",""นครศรีธรรมราช!Q413"")"),67200)</f>
        <v>67200</v>
      </c>
      <c r="S78" s="564">
        <f ca="1">IFERROR(__xludf.DUMMYFUNCTION("IMPORTRANGE(""https://docs.google.com/spreadsheets/d/1Dj4jcHCTV9JXKCaMoheSXS52JE63kDKyG7bPXnFogHk/edit?usp=sharing"",""นครศรีธรรมราช!R413"")"),67200)</f>
        <v>67200</v>
      </c>
      <c r="T78" s="564">
        <f ca="1">IFERROR(__xludf.DUMMYFUNCTION("IMPORTRANGE(""https://docs.google.com/spreadsheets/d/1Dj4jcHCTV9JXKCaMoheSXS52JE63kDKyG7bPXnFogHk/edit?usp=sharing"",""นครศรีธรรมราช!S413"")"),16500)</f>
        <v>16500</v>
      </c>
      <c r="U78" s="565">
        <f t="shared" ca="1" si="53"/>
        <v>24.553571428571427</v>
      </c>
      <c r="V78" s="565">
        <f t="shared" ca="1" si="54"/>
        <v>24.553571428571427</v>
      </c>
      <c r="W78" s="152">
        <f ca="1">IFERROR(__xludf.DUMMYFUNCTION("IMPORTRANGE(""https://docs.google.com/spreadsheets/d/1Dj4jcHCTV9JXKCaMoheSXS52JE63kDKyG7bPXnFogHk/edit?usp=sharing"",""นครศรีธรรมราช!I424"")"),24960)</f>
        <v>24960</v>
      </c>
      <c r="X78" s="152">
        <f ca="1">IFERROR(__xludf.DUMMYFUNCTION("IMPORTRANGE(""https://docs.google.com/spreadsheets/d/1Dj4jcHCTV9JXKCaMoheSXS52JE63kDKyG7bPXnFogHk/edit?usp=sharing"",""นครศรีธรรมราช!I425"")"),2753)</f>
        <v>2753</v>
      </c>
      <c r="Y78" s="152">
        <f ca="1">IFERROR(__xludf.DUMMYFUNCTION("IMPORTRANGE(""https://docs.google.com/spreadsheets/d/1Dj4jcHCTV9JXKCaMoheSXS52JE63kDKyG7bPXnFogHk/edit?usp=sharing"",""นครศรีธรรมราช!J424"")"),0)</f>
        <v>0</v>
      </c>
      <c r="Z78" s="216">
        <f t="shared" ca="1" si="56"/>
        <v>0</v>
      </c>
      <c r="AA78" s="152">
        <f ca="1">IFERROR(__xludf.DUMMYFUNCTION("IMPORTRANGE(""https://docs.google.com/spreadsheets/d/1Dj4jcHCTV9JXKCaMoheSXS52JE63kDKyG7bPXnFogHk/edit?usp=sharing"",""นครศรีธรรมราช!J425"")"),0)</f>
        <v>0</v>
      </c>
      <c r="AB78" s="216">
        <f t="shared" ca="1" si="57"/>
        <v>0</v>
      </c>
      <c r="AC78" s="152">
        <f ca="1">IFERROR(__xludf.DUMMYFUNCTION("IMPORTRANGE(""https://docs.google.com/spreadsheets/d/1Dj4jcHCTV9JXKCaMoheSXS52JE63kDKyG7bPXnFogHk/edit?usp=sharing"",""นครศรีธรรมราช!J426"")"),0)</f>
        <v>0</v>
      </c>
      <c r="AD78" s="152">
        <f ca="1">IFERROR(__xludf.DUMMYFUNCTION("IMPORTRANGE(""https://docs.google.com/spreadsheets/d/1Dj4jcHCTV9JXKCaMoheSXS52JE63kDKyG7bPXnFogHk/edit?usp=sharing"",""นครศรีธรรมราช!J427"")"),0)</f>
        <v>0</v>
      </c>
      <c r="AE78" s="152">
        <f ca="1">IFERROR(__xludf.DUMMYFUNCTION("IMPORTRANGE(""https://docs.google.com/spreadsheets/d/1Dj4jcHCTV9JXKCaMoheSXS52JE63kDKyG7bPXnFogHk/edit?usp=sharing"",""นครศรีธรรมราช!J428"")"),0)</f>
        <v>0</v>
      </c>
      <c r="AF78" s="152">
        <f ca="1">IFERROR(__xludf.DUMMYFUNCTION("IMPORTRANGE(""https://docs.google.com/spreadsheets/d/1Dj4jcHCTV9JXKCaMoheSXS52JE63kDKyG7bPXnFogHk/edit?usp=sharing"",""นครศรีธรรมราช!J429"")"),0)</f>
        <v>0</v>
      </c>
      <c r="AG78" s="152">
        <f ca="1">IFERROR(__xludf.DUMMYFUNCTION("IMPORTRANGE(""https://docs.google.com/spreadsheets/d/1Dj4jcHCTV9JXKCaMoheSXS52JE63kDKyG7bPXnFogHk/edit?usp=sharing"",""นครศรีธรรมราช!J430"")"),0)</f>
        <v>0</v>
      </c>
      <c r="AH78" s="152">
        <f ca="1">IFERROR(__xludf.DUMMYFUNCTION("IMPORTRANGE(""https://docs.google.com/spreadsheets/d/1Dj4jcHCTV9JXKCaMoheSXS52JE63kDKyG7bPXnFogHk/edit?usp=sharing"",""นครศรีธรรมราช!J431"")"),0)</f>
        <v>0</v>
      </c>
      <c r="AI78" s="152">
        <f ca="1">IFERROR(__xludf.DUMMYFUNCTION("IMPORTRANGE(""https://docs.google.com/spreadsheets/d/1Dj4jcHCTV9JXKCaMoheSXS52JE63kDKyG7bPXnFogHk/edit?usp=sharing"",""นครศรีธรรมราช!I432"")"),24960)</f>
        <v>24960</v>
      </c>
      <c r="AJ78" s="152">
        <f ca="1">IFERROR(__xludf.DUMMYFUNCTION("IMPORTRANGE(""https://docs.google.com/spreadsheets/d/1Dj4jcHCTV9JXKCaMoheSXS52JE63kDKyG7bPXnFogHk/edit?usp=sharing"",""นครศรีธรรมราช!I433"")"),2753)</f>
        <v>2753</v>
      </c>
      <c r="AK78" s="216">
        <f ca="1">IFERROR(__xludf.DUMMYFUNCTION("IMPORTRANGE(""https://docs.google.com/spreadsheets/d/1Dj4jcHCTV9JXKCaMoheSXS52JE63kDKyG7bPXnFogHk/edit?usp=sharing"",""นครศรีธรรมราช!J432"")"),0)</f>
        <v>0</v>
      </c>
      <c r="AL78" s="216">
        <f t="shared" ca="1" si="59"/>
        <v>0</v>
      </c>
      <c r="AM78" s="152">
        <f ca="1">IFERROR(__xludf.DUMMYFUNCTION("IMPORTRANGE(""https://docs.google.com/spreadsheets/d/1Dj4jcHCTV9JXKCaMoheSXS52JE63kDKyG7bPXnFogHk/edit?usp=sharing"",""นครศรีธรรมราช!J433"")"),0)</f>
        <v>0</v>
      </c>
      <c r="AN78" s="216">
        <f t="shared" ca="1" si="60"/>
        <v>0</v>
      </c>
      <c r="AO78" s="152">
        <f ca="1">IFERROR(__xludf.DUMMYFUNCTION("IMPORTRANGE(""https://docs.google.com/spreadsheets/d/1Dj4jcHCTV9JXKCaMoheSXS52JE63kDKyG7bPXnFogHk/edit?usp=sharing"",""นครศรีธรรมราช!J434"")"),0)</f>
        <v>0</v>
      </c>
      <c r="AP78" s="152">
        <f ca="1">IFERROR(__xludf.DUMMYFUNCTION("IMPORTRANGE(""https://docs.google.com/spreadsheets/d/1Dj4jcHCTV9JXKCaMoheSXS52JE63kDKyG7bPXnFogHk/edit?usp=sharing"",""นครศรีธรรมราช!J435"")"),0)</f>
        <v>0</v>
      </c>
      <c r="AQ78" s="152">
        <f ca="1">IFERROR(__xludf.DUMMYFUNCTION("IMPORTRANGE(""https://docs.google.com/spreadsheets/d/1Dj4jcHCTV9JXKCaMoheSXS52JE63kDKyG7bPXnFogHk/edit?usp=sharing"",""นครศรีธรรมราช!J436"")"),0)</f>
        <v>0</v>
      </c>
      <c r="AR78" s="152">
        <f ca="1">IFERROR(__xludf.DUMMYFUNCTION("IMPORTRANGE(""https://docs.google.com/spreadsheets/d/1Dj4jcHCTV9JXKCaMoheSXS52JE63kDKyG7bPXnFogHk/edit?usp=sharing"",""นครศรีธรรมราช!J437"")"),0)</f>
        <v>0</v>
      </c>
      <c r="AS78" s="152">
        <f ca="1">IFERROR(__xludf.DUMMYFUNCTION("IMPORTRANGE(""https://docs.google.com/spreadsheets/d/1Dj4jcHCTV9JXKCaMoheSXS52JE63kDKyG7bPXnFogHk/edit?usp=sharing"",""นครศรีธรรมราช!J438"")"),0)</f>
        <v>0</v>
      </c>
      <c r="AT78" s="152">
        <f ca="1">IFERROR(__xludf.DUMMYFUNCTION("IMPORTRANGE(""https://docs.google.com/spreadsheets/d/1Dj4jcHCTV9JXKCaMoheSXS52JE63kDKyG7bPXnFogHk/edit?usp=sharing"",""นครศรีธรรมราช!J439"")"),0)</f>
        <v>0</v>
      </c>
      <c r="AU78" s="152">
        <f ca="1">IFERROR(__xludf.DUMMYFUNCTION("IMPORTRANGE(""https://docs.google.com/spreadsheets/d/1Dj4jcHCTV9JXKCaMoheSXS52JE63kDKyG7bPXnFogHk/edit?usp=sharing"",""นครศรีธรรมราช!I440"")"),24960)</f>
        <v>24960</v>
      </c>
      <c r="AV78" s="152">
        <f ca="1">IFERROR(__xludf.DUMMYFUNCTION("IMPORTRANGE(""https://docs.google.com/spreadsheets/d/1Dj4jcHCTV9JXKCaMoheSXS52JE63kDKyG7bPXnFogHk/edit?usp=sharing"",""นครศรีธรรมราช!I441"")"),2753)</f>
        <v>2753</v>
      </c>
      <c r="AW78" s="152">
        <f ca="1">IFERROR(__xludf.DUMMYFUNCTION("IMPORTRANGE(""https://docs.google.com/spreadsheets/d/1Dj4jcHCTV9JXKCaMoheSXS52JE63kDKyG7bPXnFogHk/edit?usp=sharing"",""นครศรีธรรมราช!J440"")"),0)</f>
        <v>0</v>
      </c>
      <c r="AX78" s="216">
        <f t="shared" ca="1" si="62"/>
        <v>0</v>
      </c>
      <c r="AY78" s="152">
        <f ca="1">IFERROR(__xludf.DUMMYFUNCTION("IMPORTRANGE(""https://docs.google.com/spreadsheets/d/1Dj4jcHCTV9JXKCaMoheSXS52JE63kDKyG7bPXnFogHk/edit?usp=sharing"",""นครศรีธรรมราช!J441"")"),0)</f>
        <v>0</v>
      </c>
      <c r="AZ78" s="216">
        <f t="shared" ca="1" si="63"/>
        <v>0</v>
      </c>
      <c r="BA78" s="152">
        <f ca="1">IFERROR(__xludf.DUMMYFUNCTION("IMPORTRANGE(""https://docs.google.com/spreadsheets/d/1Dj4jcHCTV9JXKCaMoheSXS52JE63kDKyG7bPXnFogHk/edit?usp=sharing"",""นครศรีธรรมราช!J442"")"),0)</f>
        <v>0</v>
      </c>
      <c r="BB78" s="152">
        <f ca="1">IFERROR(__xludf.DUMMYFUNCTION("IMPORTRANGE(""https://docs.google.com/spreadsheets/d/1Dj4jcHCTV9JXKCaMoheSXS52JE63kDKyG7bPXnFogHk/edit?usp=sharing"",""นครศรีธรรมราช!J443"")"),0)</f>
        <v>0</v>
      </c>
      <c r="BC78" s="152">
        <f ca="1">IFERROR(__xludf.DUMMYFUNCTION("IMPORTRANGE(""https://docs.google.com/spreadsheets/d/1Dj4jcHCTV9JXKCaMoheSXS52JE63kDKyG7bPXnFogHk/edit?usp=sharing"",""นครศรีธรรมราช!J444"")"),0)</f>
        <v>0</v>
      </c>
      <c r="BD78" s="152">
        <f ca="1">IFERROR(__xludf.DUMMYFUNCTION("IMPORTRANGE(""https://docs.google.com/spreadsheets/d/1Dj4jcHCTV9JXKCaMoheSXS52JE63kDKyG7bPXnFogHk/edit?usp=sharing"",""นครศรีธรรมราช!J445"")"),0)</f>
        <v>0</v>
      </c>
      <c r="BE78" s="152">
        <f ca="1">IFERROR(__xludf.DUMMYFUNCTION("IMPORTRANGE(""https://docs.google.com/spreadsheets/d/1Dj4jcHCTV9JXKCaMoheSXS52JE63kDKyG7bPXnFogHk/edit?usp=sharing"",""นครศรีธรรมราช!J446"")"),0)</f>
        <v>0</v>
      </c>
      <c r="BF78" s="152">
        <f ca="1">IFERROR(__xludf.DUMMYFUNCTION("IMPORTRANGE(""https://docs.google.com/spreadsheets/d/1Dj4jcHCTV9JXKCaMoheSXS52JE63kDKyG7bPXnFogHk/edit?usp=sharing"",""นครศรีธรรมราช!J447"")"),0)</f>
        <v>0</v>
      </c>
      <c r="BG78" s="152">
        <f ca="1">IFERROR(__xludf.DUMMYFUNCTION("IMPORTRANGE(""https://docs.google.com/spreadsheets/d/1Dj4jcHCTV9JXKCaMoheSXS52JE63kDKyG7bPXnFogHk/edit?usp=sharing"",""นครศรีธรรมราช!J448"")"),0)</f>
        <v>0</v>
      </c>
      <c r="BH78" s="152">
        <f ca="1">IFERROR(__xludf.DUMMYFUNCTION("IMPORTRANGE(""https://docs.google.com/spreadsheets/d/1Dj4jcHCTV9JXKCaMoheSXS52JE63kDKyG7bPXnFogHk/edit?usp=sharing"",""นครศรีธรรมราช!J449"")"),0)</f>
        <v>0</v>
      </c>
      <c r="BI78" s="152">
        <f ca="1">IFERROR(__xludf.DUMMYFUNCTION("IMPORTRANGE(""https://docs.google.com/spreadsheets/d/1Dj4jcHCTV9JXKCaMoheSXS52JE63kDKyG7bPXnFogHk/edit?usp=sharing"",""นครศรีธรรมราช!J450"")"),0)</f>
        <v>0</v>
      </c>
      <c r="BJ78" s="152">
        <f ca="1">IFERROR(__xludf.DUMMYFUNCTION("IMPORTRANGE(""https://docs.google.com/spreadsheets/d/1Dj4jcHCTV9JXKCaMoheSXS52JE63kDKyG7bPXnFogHk/edit?usp=sharing"",""นครศรีธรรมราช!J451"")"),0)</f>
        <v>0</v>
      </c>
      <c r="BK78" s="152">
        <f ca="1">IFERROR(__xludf.DUMMYFUNCTION("IMPORTRANGE(""https://docs.google.com/spreadsheets/d/1Dj4jcHCTV9JXKCaMoheSXS52JE63kDKyG7bPXnFogHk/edit?usp=sharing"",""นครศรีธรรมราช!J452"")"),0)</f>
        <v>0</v>
      </c>
      <c r="BL78" s="152">
        <f ca="1">IFERROR(__xludf.DUMMYFUNCTION("IMPORTRANGE(""https://docs.google.com/spreadsheets/d/1Dj4jcHCTV9JXKCaMoheSXS52JE63kDKyG7bPXnFogHk/edit?usp=sharing"",""นครศรีธรรมราช!J453"")"),0)</f>
        <v>0</v>
      </c>
      <c r="BM78" s="152">
        <f ca="1">IFERROR(__xludf.DUMMYFUNCTION("IMPORTRANGE(""https://docs.google.com/spreadsheets/d/1Dj4jcHCTV9JXKCaMoheSXS52JE63kDKyG7bPXnFogHk/edit?usp=sharing"",""นครศรีธรรมราช!J454"")"),0)</f>
        <v>0</v>
      </c>
      <c r="BN78" s="152">
        <f ca="1">IFERROR(__xludf.DUMMYFUNCTION("IMPORTRANGE(""https://docs.google.com/spreadsheets/d/1Dj4jcHCTV9JXKCaMoheSXS52JE63kDKyG7bPXnFogHk/edit?usp=sharing"",""นครศรีธรรมราช!J455"")"),0)</f>
        <v>0</v>
      </c>
      <c r="BO78" s="152">
        <f ca="1">IFERROR(__xludf.DUMMYFUNCTION("IMPORTRANGE(""https://docs.google.com/spreadsheets/d/1Dj4jcHCTV9JXKCaMoheSXS52JE63kDKyG7bPXnFogHk/edit?usp=sharing"",""นครศรีธรรมราช!I457"")"),1727.79)</f>
        <v>1727.79</v>
      </c>
      <c r="BP78" s="152">
        <f ca="1">IFERROR(__xludf.DUMMYFUNCTION("IMPORTRANGE(""https://docs.google.com/spreadsheets/d/1Dj4jcHCTV9JXKCaMoheSXS52JE63kDKyG7bPXnFogHk/edit?usp=sharing"",""นครศรีธรรมราช!I458"")"),192)</f>
        <v>192</v>
      </c>
      <c r="BQ78" s="152">
        <f ca="1">IFERROR(__xludf.DUMMYFUNCTION("IMPORTRANGE(""https://docs.google.com/spreadsheets/d/1Dj4jcHCTV9JXKCaMoheSXS52JE63kDKyG7bPXnFogHk/edit?usp=sharing"",""นครศรีธรรมราช!J457"")"),0)</f>
        <v>0</v>
      </c>
      <c r="BR78" s="216">
        <f t="shared" ca="1" si="65"/>
        <v>0</v>
      </c>
      <c r="BS78" s="152">
        <f ca="1">IFERROR(__xludf.DUMMYFUNCTION("IMPORTRANGE(""https://docs.google.com/spreadsheets/d/1Dj4jcHCTV9JXKCaMoheSXS52JE63kDKyG7bPXnFogHk/edit?usp=sharing"",""นครศรีธรรมราช!J458"")"),0)</f>
        <v>0</v>
      </c>
      <c r="BT78" s="216">
        <f t="shared" ca="1" si="66"/>
        <v>0</v>
      </c>
      <c r="BU78" s="152">
        <f ca="1">IFERROR(__xludf.DUMMYFUNCTION("IMPORTRANGE(""https://docs.google.com/spreadsheets/d/1Dj4jcHCTV9JXKCaMoheSXS52JE63kDKyG7bPXnFogHk/edit?usp=sharing"",""นครศรีธรรมราช!J459"")"),0)</f>
        <v>0</v>
      </c>
      <c r="BV78" s="152">
        <f ca="1">IFERROR(__xludf.DUMMYFUNCTION("IMPORTRANGE(""https://docs.google.com/spreadsheets/d/1Dj4jcHCTV9JXKCaMoheSXS52JE63kDKyG7bPXnFogHk/edit?usp=sharing"",""นครศรีธรรมราช!J460"")"),0)</f>
        <v>0</v>
      </c>
      <c r="BW78" s="152">
        <f ca="1">IFERROR(__xludf.DUMMYFUNCTION("IMPORTRANGE(""https://docs.google.com/spreadsheets/d/1Dj4jcHCTV9JXKCaMoheSXS52JE63kDKyG7bPXnFogHk/edit?usp=sharing"",""นครศรีธรรมราช!J461"")"),0)</f>
        <v>0</v>
      </c>
      <c r="BX78" s="152">
        <f ca="1">IFERROR(__xludf.DUMMYFUNCTION("IMPORTRANGE(""https://docs.google.com/spreadsheets/d/1Dj4jcHCTV9JXKCaMoheSXS52JE63kDKyG7bPXnFogHk/edit?usp=sharing"",""นครศรีธรรมราช!J462"")"),0)</f>
        <v>0</v>
      </c>
      <c r="BY78" s="152">
        <f ca="1">IFERROR(__xludf.DUMMYFUNCTION("IMPORTRANGE(""https://docs.google.com/spreadsheets/d/1Dj4jcHCTV9JXKCaMoheSXS52JE63kDKyG7bPXnFogHk/edit?usp=sharing"",""นครศรีธรรมราช!J463"")"),0)</f>
        <v>0</v>
      </c>
      <c r="BZ78" s="152">
        <f ca="1">IFERROR(__xludf.DUMMYFUNCTION("IMPORTRANGE(""https://docs.google.com/spreadsheets/d/1Dj4jcHCTV9JXKCaMoheSXS52JE63kDKyG7bPXnFogHk/edit?usp=sharing"",""นครศรีธรรมราช!J464"")"),0)</f>
        <v>0</v>
      </c>
      <c r="CA78" s="152">
        <f ca="1">IFERROR(__xludf.DUMMYFUNCTION("IMPORTRANGE(""https://docs.google.com/spreadsheets/d/1Dj4jcHCTV9JXKCaMoheSXS52JE63kDKyG7bPXnFogHk/edit?usp=sharing"",""นครศรีธรรมราช!J465"")"),0)</f>
        <v>0</v>
      </c>
      <c r="CB78" s="152">
        <f ca="1">IFERROR(__xludf.DUMMYFUNCTION("IMPORTRANGE(""https://docs.google.com/spreadsheets/d/1Dj4jcHCTV9JXKCaMoheSXS52JE63kDKyG7bPXnFogHk/edit?usp=sharing"",""นครศรีธรรมราช!J466"")"),0)</f>
        <v>0</v>
      </c>
      <c r="CC78" s="152">
        <f ca="1">IFERROR(__xludf.DUMMYFUNCTION("IMPORTRANGE(""https://docs.google.com/spreadsheets/d/1Dj4jcHCTV9JXKCaMoheSXS52JE63kDKyG7bPXnFogHk/edit?usp=sharing"",""นครศรีธรรมราช!J467"")"),0)</f>
        <v>0</v>
      </c>
      <c r="CD78" s="152">
        <f ca="1">IFERROR(__xludf.DUMMYFUNCTION("IMPORTRANGE(""https://docs.google.com/spreadsheets/d/1Dj4jcHCTV9JXKCaMoheSXS52JE63kDKyG7bPXnFogHk/edit?usp=sharing"",""นครศรีธรรมราช!J468"")"),0)</f>
        <v>0</v>
      </c>
      <c r="CE78" s="152">
        <f ca="1">IFERROR(__xludf.DUMMYFUNCTION("IMPORTRANGE(""https://docs.google.com/spreadsheets/d/1Dj4jcHCTV9JXKCaMoheSXS52JE63kDKyG7bPXnFogHk/edit?usp=sharing"",""นครศรีธรรมราช!J469"")"),0)</f>
        <v>0</v>
      </c>
      <c r="CF78" s="152">
        <f ca="1">IFERROR(__xludf.DUMMYFUNCTION("IMPORTRANGE(""https://docs.google.com/spreadsheets/d/1Dj4jcHCTV9JXKCaMoheSXS52JE63kDKyG7bPXnFogHk/edit?usp=sharing"",""นครศรีธรรมราช!J470"")"),0)</f>
        <v>0</v>
      </c>
      <c r="CG78" s="152">
        <f ca="1">IFERROR(__xludf.DUMMYFUNCTION("IMPORTRANGE(""https://docs.google.com/spreadsheets/d/1Dj4jcHCTV9JXKCaMoheSXS52JE63kDKyG7bPXnFogHk/edit?usp=sharing"",""นครศรีธรรมราช!J471"")"),0)</f>
        <v>0</v>
      </c>
      <c r="CH78" s="152">
        <f ca="1">IFERROR(__xludf.DUMMYFUNCTION("IMPORTRANGE(""https://docs.google.com/spreadsheets/d/1Dj4jcHCTV9JXKCaMoheSXS52JE63kDKyG7bPXnFogHk/edit?usp=sharing"",""นครศรีธรรมราช!J472"")"),0)</f>
        <v>0</v>
      </c>
      <c r="CI78" s="152">
        <f ca="1">IFERROR(__xludf.DUMMYFUNCTION("IMPORTRANGE(""https://docs.google.com/spreadsheets/d/1Dj4jcHCTV9JXKCaMoheSXS52JE63kDKyG7bPXnFogHk/edit?usp=sharing"",""นครศรีธรรมราช!J473"")"),0)</f>
        <v>0</v>
      </c>
      <c r="CJ78" s="152">
        <f ca="1">IFERROR(__xludf.DUMMYFUNCTION("IMPORTRANGE(""https://docs.google.com/spreadsheets/d/1Dj4jcHCTV9JXKCaMoheSXS52JE63kDKyG7bPXnFogHk/edit?usp=sharing"",""นครศรีธรรมราช!J474"")"),0)</f>
        <v>0</v>
      </c>
      <c r="CK78" s="278">
        <f ca="1">IFERROR(__xludf.DUMMYFUNCTION("IMPORTRANGE(""https://docs.google.com/spreadsheets/d/1Dj4jcHCTV9JXKCaMoheSXS52JE63kDKyG7bPXnFogHk/edit?usp=sharing"",""นครศรีธรรมราช!I476"")"),0)</f>
        <v>0</v>
      </c>
      <c r="CL78" s="278">
        <f ca="1">IFERROR(__xludf.DUMMYFUNCTION("IMPORTRANGE(""https://docs.google.com/spreadsheets/d/1Dj4jcHCTV9JXKCaMoheSXS52JE63kDKyG7bPXnFogHk/edit?usp=sharing"",""นครศรีธรรมราช!I477"")"),0)</f>
        <v>0</v>
      </c>
      <c r="CM78" s="278">
        <f ca="1">IFERROR(__xludf.DUMMYFUNCTION("IMPORTRANGE(""https://docs.google.com/spreadsheets/d/1Dj4jcHCTV9JXKCaMoheSXS52JE63kDKyG7bPXnFogHk/edit?usp=sharing"",""นครศรีธรรมราช!J476"")"),0)</f>
        <v>0</v>
      </c>
      <c r="CN78" s="216">
        <f t="shared" ca="1" si="68"/>
        <v>0</v>
      </c>
      <c r="CO78" s="278">
        <f ca="1">IFERROR(__xludf.DUMMYFUNCTION("IMPORTRANGE(""https://docs.google.com/spreadsheets/d/1Dj4jcHCTV9JXKCaMoheSXS52JE63kDKyG7bPXnFogHk/edit?usp=sharing"",""นครศรีธรรมราช!J477"")"),0)</f>
        <v>0</v>
      </c>
      <c r="CP78" s="216">
        <f t="shared" ca="1" si="69"/>
        <v>0</v>
      </c>
      <c r="CQ78" s="278">
        <f ca="1">IFERROR(__xludf.DUMMYFUNCTION("IMPORTRANGE(""https://docs.google.com/spreadsheets/d/1Dj4jcHCTV9JXKCaMoheSXS52JE63kDKyG7bPXnFogHk/edit?usp=sharing"",""นครศรีธรรมราช!J478"")"),0)</f>
        <v>0</v>
      </c>
      <c r="CR78" s="278">
        <f ca="1">IFERROR(__xludf.DUMMYFUNCTION("IMPORTRANGE(""https://docs.google.com/spreadsheets/d/1Dj4jcHCTV9JXKCaMoheSXS52JE63kDKyG7bPXnFogHk/edit?usp=sharing"",""นครศรีธรรมราช!J479"")"),0)</f>
        <v>0</v>
      </c>
      <c r="CS78" s="278">
        <f ca="1">IFERROR(__xludf.DUMMYFUNCTION("IMPORTRANGE(""https://docs.google.com/spreadsheets/d/1Dj4jcHCTV9JXKCaMoheSXS52JE63kDKyG7bPXnFogHk/edit?usp=sharing"",""นครศรีธรรมราช!J480"")"),0)</f>
        <v>0</v>
      </c>
      <c r="CT78" s="278">
        <f ca="1">IFERROR(__xludf.DUMMYFUNCTION("IMPORTRANGE(""https://docs.google.com/spreadsheets/d/1Dj4jcHCTV9JXKCaMoheSXS52JE63kDKyG7bPXnFogHk/edit?usp=sharing"",""นครศรีธรรมราช!J481"")"),0)</f>
        <v>0</v>
      </c>
      <c r="CU78" s="278">
        <f ca="1">IFERROR(__xludf.DUMMYFUNCTION("IMPORTRANGE(""https://docs.google.com/spreadsheets/d/1Dj4jcHCTV9JXKCaMoheSXS52JE63kDKyG7bPXnFogHk/edit?usp=sharing"",""นครศรีธรรมราช!I484"")"),0)</f>
        <v>0</v>
      </c>
      <c r="CV78" s="278">
        <f ca="1">IFERROR(__xludf.DUMMYFUNCTION("IMPORTRANGE(""https://docs.google.com/spreadsheets/d/1Dj4jcHCTV9JXKCaMoheSXS52JE63kDKyG7bPXnFogHk/edit?usp=sharing"",""นครศรีธรรมราช!I485"")"),0)</f>
        <v>0</v>
      </c>
      <c r="CW78" s="278">
        <f ca="1">IFERROR(__xludf.DUMMYFUNCTION("IMPORTRANGE(""https://docs.google.com/spreadsheets/d/1Dj4jcHCTV9JXKCaMoheSXS52JE63kDKyG7bPXnFogHk/edit?usp=sharing"",""นครศรีธรรมราช!J484"")"),0)</f>
        <v>0</v>
      </c>
      <c r="CX78" s="216">
        <f t="shared" ca="1" si="71"/>
        <v>0</v>
      </c>
      <c r="CY78" s="278">
        <f ca="1">IFERROR(__xludf.DUMMYFUNCTION("IMPORTRANGE(""https://docs.google.com/spreadsheets/d/1Dj4jcHCTV9JXKCaMoheSXS52JE63kDKyG7bPXnFogHk/edit?usp=sharing"",""นครศรีธรรมราช!J485"")"),0)</f>
        <v>0</v>
      </c>
      <c r="CZ78" s="216">
        <f t="shared" ca="1" si="72"/>
        <v>0</v>
      </c>
      <c r="DA78" s="278">
        <f ca="1">IFERROR(__xludf.DUMMYFUNCTION("IMPORTRANGE(""https://docs.google.com/spreadsheets/d/1Dj4jcHCTV9JXKCaMoheSXS52JE63kDKyG7bPXnFogHk/edit?usp=sharing"",""นครศรีธรรมราช!J486"")"),0)</f>
        <v>0</v>
      </c>
      <c r="DB78" s="278">
        <f ca="1">IFERROR(__xludf.DUMMYFUNCTION("IMPORTRANGE(""https://docs.google.com/spreadsheets/d/1Dj4jcHCTV9JXKCaMoheSXS52JE63kDKyG7bPXnFogHk/edit?usp=sharing"",""นครศรีธรรมราช!J487"")"),0)</f>
        <v>0</v>
      </c>
      <c r="DC78" s="278">
        <f ca="1">IFERROR(__xludf.DUMMYFUNCTION("IMPORTRANGE(""https://docs.google.com/spreadsheets/d/1Dj4jcHCTV9JXKCaMoheSXS52JE63kDKyG7bPXnFogHk/edit?usp=sharing"",""นครศรีธรรมราช!J488"")"),0)</f>
        <v>0</v>
      </c>
      <c r="DD78" s="278">
        <f ca="1">IFERROR(__xludf.DUMMYFUNCTION("IMPORTRANGE(""https://docs.google.com/spreadsheets/d/1Dj4jcHCTV9JXKCaMoheSXS52JE63kDKyG7bPXnFogHk/edit?usp=sharing"",""นครศรีธรรมราช!J489"")"),0)</f>
        <v>0</v>
      </c>
      <c r="DE78" s="278">
        <f ca="1">IFERROR(__xludf.DUMMYFUNCTION("IMPORTRANGE(""https://docs.google.com/spreadsheets/d/1Dj4jcHCTV9JXKCaMoheSXS52JE63kDKyG7bPXnFogHk/edit?usp=sharing"",""นครศรีธรรมราช!J490"")"),0)</f>
        <v>0</v>
      </c>
      <c r="DF78" s="278">
        <f ca="1">IFERROR(__xludf.DUMMYFUNCTION("IMPORTRANGE(""https://docs.google.com/spreadsheets/d/1Dj4jcHCTV9JXKCaMoheSXS52JE63kDKyG7bPXnFogHk/edit?usp=sharing"",""นครศรีธรรมราช!J491"")"),0)</f>
        <v>0</v>
      </c>
    </row>
    <row r="79" spans="1:110" ht="19.5" x14ac:dyDescent="0.3">
      <c r="A79" s="147">
        <v>5</v>
      </c>
      <c r="B79" s="148" t="s">
        <v>107</v>
      </c>
      <c r="C79" s="566">
        <f t="shared" ca="1" si="44"/>
        <v>192020</v>
      </c>
      <c r="D79" s="567">
        <f t="shared" ca="1" si="104"/>
        <v>192020</v>
      </c>
      <c r="E79" s="329">
        <f ca="1">IFERROR(__xludf.DUMMYFUNCTION("IMPORTRANGE(""https://docs.google.com/spreadsheets/d/1-uDff_7J0KD5mKrp0Vvzr7lt3OU09vwQwhkpOPPYv2Y/edit?usp=sharing"",""งบพรบ!IP79"")"),95800)</f>
        <v>95800</v>
      </c>
      <c r="F79" s="329">
        <f ca="1">IFERROR(__xludf.DUMMYFUNCTION("IMPORTRANGE(""https://docs.google.com/spreadsheets/d/1-uDff_7J0KD5mKrp0Vvzr7lt3OU09vwQwhkpOPPYv2Y/edit?usp=sharing"",""งบพรบ!IQ79"")"),96220)</f>
        <v>96220</v>
      </c>
      <c r="G79" s="329">
        <f ca="1">IFERROR(__xludf.DUMMYFUNCTION("IMPORTRANGE(""https://docs.google.com/spreadsheets/d/1-uDff_7J0KD5mKrp0Vvzr7lt3OU09vwQwhkpOPPYv2Y/edit?usp=sharing"",""งบพรบ!IR79"")"),0)</f>
        <v>0</v>
      </c>
      <c r="H79" s="329">
        <f ca="1">IFERROR(__xludf.DUMMYFUNCTION("IMPORTRANGE(""https://docs.google.com/spreadsheets/d/1-uDff_7J0KD5mKrp0Vvzr7lt3OU09vwQwhkpOPPYv2Y/edit?usp=sharing"",""งบพรบ!IT79"")"),192020)</f>
        <v>192020</v>
      </c>
      <c r="I79" s="329">
        <f ca="1">IFERROR(__xludf.DUMMYFUNCTION("IMPORTRANGE(""https://docs.google.com/spreadsheets/d/1-uDff_7J0KD5mKrp0Vvzr7lt3OU09vwQwhkpOPPYv2Y/edit?usp=sharing"",""งบพรบ!IU79"")"),0)</f>
        <v>0</v>
      </c>
      <c r="J79" s="329">
        <f t="shared" ca="1" si="46"/>
        <v>118197.04</v>
      </c>
      <c r="K79" s="568">
        <f t="shared" ca="1" si="47"/>
        <v>61.554546401416516</v>
      </c>
      <c r="L79" s="329">
        <f ca="1">IFERROR(__xludf.DUMMYFUNCTION("IMPORTRANGE(""https://docs.google.com/spreadsheets/d/1-uDff_7J0KD5mKrp0Vvzr7lt3OU09vwQwhkpOPPYv2Y/edit?usp=sharing"",""งบพรบ!IV79"")"),118197.04)</f>
        <v>118197.04</v>
      </c>
      <c r="M79" s="330">
        <f t="shared" ca="1" si="48"/>
        <v>61.554546401416516</v>
      </c>
      <c r="N79" s="330">
        <f t="shared" ca="1" si="49"/>
        <v>61.554546401416516</v>
      </c>
      <c r="O79" s="569">
        <f ca="1">IFERROR(__xludf.DUMMYFUNCTION("IMPORTRANGE(""https://docs.google.com/spreadsheets/d/1-uDff_7J0KD5mKrp0Vvzr7lt3OU09vwQwhkpOPPYv2Y/edit?usp=sharing"",""งบพรบ!IW79"")"),0)</f>
        <v>0</v>
      </c>
      <c r="P79" s="569">
        <f t="shared" ca="1" si="50"/>
        <v>0</v>
      </c>
      <c r="Q79" s="330">
        <f t="shared" ca="1" si="51"/>
        <v>0</v>
      </c>
      <c r="R79" s="564">
        <f ca="1">IFERROR(__xludf.DUMMYFUNCTION("IMPORTRANGE(""https://docs.google.com/spreadsheets/d/1iodCdmuK2GR3jzUwk8tpccY2JHQQA-87DLOtJP-ooyU/edit?usp=sharing"",""นราธิวาส!Q413"")"),26400)</f>
        <v>26400</v>
      </c>
      <c r="S79" s="564">
        <f ca="1">IFERROR(__xludf.DUMMYFUNCTION("IMPORTRANGE(""https://docs.google.com/spreadsheets/d/1iodCdmuK2GR3jzUwk8tpccY2JHQQA-87DLOtJP-ooyU/edit?usp=sharing"",""นราธิวาส!R413"")"),26400)</f>
        <v>26400</v>
      </c>
      <c r="T79" s="564">
        <f ca="1">IFERROR(__xludf.DUMMYFUNCTION("IMPORTRANGE(""https://docs.google.com/spreadsheets/d/1iodCdmuK2GR3jzUwk8tpccY2JHQQA-87DLOtJP-ooyU/edit?usp=sharing"",""นราธิวาส!S413"")"),15000)</f>
        <v>15000</v>
      </c>
      <c r="U79" s="565">
        <f t="shared" ca="1" si="53"/>
        <v>56.81818181818182</v>
      </c>
      <c r="V79" s="565">
        <f t="shared" ca="1" si="54"/>
        <v>56.81818181818182</v>
      </c>
      <c r="W79" s="152">
        <f ca="1">IFERROR(__xludf.DUMMYFUNCTION("IMPORTRANGE(""https://docs.google.com/spreadsheets/d/1iodCdmuK2GR3jzUwk8tpccY2JHQQA-87DLOtJP-ooyU/edit?usp=sharing"",""นราธิวาส!I424"")"),3577)</f>
        <v>3577</v>
      </c>
      <c r="X79" s="152">
        <f ca="1">IFERROR(__xludf.DUMMYFUNCTION("IMPORTRANGE(""https://docs.google.com/spreadsheets/d/1iodCdmuK2GR3jzUwk8tpccY2JHQQA-87DLOtJP-ooyU/edit?usp=sharing"",""นราธิวาส!I425"")"),825)</f>
        <v>825</v>
      </c>
      <c r="Y79" s="152">
        <f ca="1">IFERROR(__xludf.DUMMYFUNCTION("IMPORTRANGE(""https://docs.google.com/spreadsheets/d/1iodCdmuK2GR3jzUwk8tpccY2JHQQA-87DLOtJP-ooyU/edit?usp=sharing"",""นราธิวาส!J424"")"),3577)</f>
        <v>3577</v>
      </c>
      <c r="Z79" s="216">
        <f t="shared" ca="1" si="56"/>
        <v>100</v>
      </c>
      <c r="AA79" s="152">
        <f ca="1">IFERROR(__xludf.DUMMYFUNCTION("IMPORTRANGE(""https://docs.google.com/spreadsheets/d/1iodCdmuK2GR3jzUwk8tpccY2JHQQA-87DLOtJP-ooyU/edit?usp=sharing"",""นราธิวาส!J425"")"),825)</f>
        <v>825</v>
      </c>
      <c r="AB79" s="216">
        <f t="shared" ca="1" si="57"/>
        <v>100</v>
      </c>
      <c r="AC79" s="152">
        <f ca="1">IFERROR(__xludf.DUMMYFUNCTION("IMPORTRANGE(""https://docs.google.com/spreadsheets/d/1iodCdmuK2GR3jzUwk8tpccY2JHQQA-87DLOtJP-ooyU/edit?usp=sharing"",""นราธิวาส!J426"")"),3431)</f>
        <v>3431</v>
      </c>
      <c r="AD79" s="152">
        <f ca="1">IFERROR(__xludf.DUMMYFUNCTION("IMPORTRANGE(""https://docs.google.com/spreadsheets/d/1iodCdmuK2GR3jzUwk8tpccY2JHQQA-87DLOtJP-ooyU/edit?usp=sharing"",""นราธิวาส!J427"")"),790)</f>
        <v>790</v>
      </c>
      <c r="AE79" s="152">
        <f ca="1">IFERROR(__xludf.DUMMYFUNCTION("IMPORTRANGE(""https://docs.google.com/spreadsheets/d/1iodCdmuK2GR3jzUwk8tpccY2JHQQA-87DLOtJP-ooyU/edit?usp=sharing"",""นราธิวาส!J428"")"),34)</f>
        <v>34</v>
      </c>
      <c r="AF79" s="152">
        <f ca="1">IFERROR(__xludf.DUMMYFUNCTION("IMPORTRANGE(""https://docs.google.com/spreadsheets/d/1iodCdmuK2GR3jzUwk8tpccY2JHQQA-87DLOtJP-ooyU/edit?usp=sharing"",""นราธิวาส!J429"")"),6)</f>
        <v>6</v>
      </c>
      <c r="AG79" s="152">
        <f ca="1">IFERROR(__xludf.DUMMYFUNCTION("IMPORTRANGE(""https://docs.google.com/spreadsheets/d/1iodCdmuK2GR3jzUwk8tpccY2JHQQA-87DLOtJP-ooyU/edit?usp=sharing"",""นราธิวาส!J430"")"),112)</f>
        <v>112</v>
      </c>
      <c r="AH79" s="152">
        <f ca="1">IFERROR(__xludf.DUMMYFUNCTION("IMPORTRANGE(""https://docs.google.com/spreadsheets/d/1iodCdmuK2GR3jzUwk8tpccY2JHQQA-87DLOtJP-ooyU/edit?usp=sharing"",""นราธิวาส!J431"")"),29)</f>
        <v>29</v>
      </c>
      <c r="AI79" s="152">
        <f ca="1">IFERROR(__xludf.DUMMYFUNCTION("IMPORTRANGE(""https://docs.google.com/spreadsheets/d/1iodCdmuK2GR3jzUwk8tpccY2JHQQA-87DLOtJP-ooyU/edit?usp=sharing"",""นราธิวาส!I432"")"),3577)</f>
        <v>3577</v>
      </c>
      <c r="AJ79" s="152">
        <f ca="1">IFERROR(__xludf.DUMMYFUNCTION("IMPORTRANGE(""https://docs.google.com/spreadsheets/d/1iodCdmuK2GR3jzUwk8tpccY2JHQQA-87DLOtJP-ooyU/edit?usp=sharing"",""นราธิวาส!I433"")"),825)</f>
        <v>825</v>
      </c>
      <c r="AK79" s="216">
        <f ca="1">IFERROR(__xludf.DUMMYFUNCTION("IMPORTRANGE(""https://docs.google.com/spreadsheets/d/1iodCdmuK2GR3jzUwk8tpccY2JHQQA-87DLOtJP-ooyU/edit?usp=sharing"",""นราธิวาส!J432"")"),0)</f>
        <v>0</v>
      </c>
      <c r="AL79" s="216">
        <f t="shared" ca="1" si="59"/>
        <v>0</v>
      </c>
      <c r="AM79" s="152">
        <f ca="1">IFERROR(__xludf.DUMMYFUNCTION("IMPORTRANGE(""https://docs.google.com/spreadsheets/d/1iodCdmuK2GR3jzUwk8tpccY2JHQQA-87DLOtJP-ooyU/edit?usp=sharing"",""นราธิวาส!J433"")"),0)</f>
        <v>0</v>
      </c>
      <c r="AN79" s="216">
        <f t="shared" ca="1" si="60"/>
        <v>0</v>
      </c>
      <c r="AO79" s="152">
        <f ca="1">IFERROR(__xludf.DUMMYFUNCTION("IMPORTRANGE(""https://docs.google.com/spreadsheets/d/1iodCdmuK2GR3jzUwk8tpccY2JHQQA-87DLOtJP-ooyU/edit?usp=sharing"",""นราธิวาส!J434"")"),0)</f>
        <v>0</v>
      </c>
      <c r="AP79" s="152">
        <f ca="1">IFERROR(__xludf.DUMMYFUNCTION("IMPORTRANGE(""https://docs.google.com/spreadsheets/d/1iodCdmuK2GR3jzUwk8tpccY2JHQQA-87DLOtJP-ooyU/edit?usp=sharing"",""นราธิวาส!J435"")"),0)</f>
        <v>0</v>
      </c>
      <c r="AQ79" s="152">
        <f ca="1">IFERROR(__xludf.DUMMYFUNCTION("IMPORTRANGE(""https://docs.google.com/spreadsheets/d/1iodCdmuK2GR3jzUwk8tpccY2JHQQA-87DLOtJP-ooyU/edit?usp=sharing"",""นราธิวาส!J436"")"),0)</f>
        <v>0</v>
      </c>
      <c r="AR79" s="152">
        <f ca="1">IFERROR(__xludf.DUMMYFUNCTION("IMPORTRANGE(""https://docs.google.com/spreadsheets/d/1iodCdmuK2GR3jzUwk8tpccY2JHQQA-87DLOtJP-ooyU/edit?usp=sharing"",""นราธิวาส!J437"")"),0)</f>
        <v>0</v>
      </c>
      <c r="AS79" s="152">
        <f ca="1">IFERROR(__xludf.DUMMYFUNCTION("IMPORTRANGE(""https://docs.google.com/spreadsheets/d/1iodCdmuK2GR3jzUwk8tpccY2JHQQA-87DLOtJP-ooyU/edit?usp=sharing"",""นราธิวาส!J438"")"),0)</f>
        <v>0</v>
      </c>
      <c r="AT79" s="152">
        <f ca="1">IFERROR(__xludf.DUMMYFUNCTION("IMPORTRANGE(""https://docs.google.com/spreadsheets/d/1iodCdmuK2GR3jzUwk8tpccY2JHQQA-87DLOtJP-ooyU/edit?usp=sharing"",""นราธิวาส!J439"")"),0)</f>
        <v>0</v>
      </c>
      <c r="AU79" s="152">
        <f ca="1">IFERROR(__xludf.DUMMYFUNCTION("IMPORTRANGE(""https://docs.google.com/spreadsheets/d/1iodCdmuK2GR3jzUwk8tpccY2JHQQA-87DLOtJP-ooyU/edit?usp=sharing"",""นราธิวาส!I440"")"),3577)</f>
        <v>3577</v>
      </c>
      <c r="AV79" s="152">
        <f ca="1">IFERROR(__xludf.DUMMYFUNCTION("IMPORTRANGE(""https://docs.google.com/spreadsheets/d/1iodCdmuK2GR3jzUwk8tpccY2JHQQA-87DLOtJP-ooyU/edit?usp=sharing"",""นราธิวาส!I441"")"),825)</f>
        <v>825</v>
      </c>
      <c r="AW79" s="152">
        <f ca="1">IFERROR(__xludf.DUMMYFUNCTION("IMPORTRANGE(""https://docs.google.com/spreadsheets/d/1iodCdmuK2GR3jzUwk8tpccY2JHQQA-87DLOtJP-ooyU/edit?usp=sharing"",""นราธิวาส!J440"")"),0)</f>
        <v>0</v>
      </c>
      <c r="AX79" s="216">
        <f t="shared" ca="1" si="62"/>
        <v>0</v>
      </c>
      <c r="AY79" s="152">
        <f ca="1">IFERROR(__xludf.DUMMYFUNCTION("IMPORTRANGE(""https://docs.google.com/spreadsheets/d/1iodCdmuK2GR3jzUwk8tpccY2JHQQA-87DLOtJP-ooyU/edit?usp=sharing"",""นราธิวาส!J441"")"),0)</f>
        <v>0</v>
      </c>
      <c r="AZ79" s="216">
        <f t="shared" ca="1" si="63"/>
        <v>0</v>
      </c>
      <c r="BA79" s="152">
        <f ca="1">IFERROR(__xludf.DUMMYFUNCTION("IMPORTRANGE(""https://docs.google.com/spreadsheets/d/1iodCdmuK2GR3jzUwk8tpccY2JHQQA-87DLOtJP-ooyU/edit?usp=sharing"",""นราธิวาส!J442"")"),0)</f>
        <v>0</v>
      </c>
      <c r="BB79" s="152">
        <f ca="1">IFERROR(__xludf.DUMMYFUNCTION("IMPORTRANGE(""https://docs.google.com/spreadsheets/d/1iodCdmuK2GR3jzUwk8tpccY2JHQQA-87DLOtJP-ooyU/edit?usp=sharing"",""นราธิวาส!J443"")"),0)</f>
        <v>0</v>
      </c>
      <c r="BC79" s="152">
        <f ca="1">IFERROR(__xludf.DUMMYFUNCTION("IMPORTRANGE(""https://docs.google.com/spreadsheets/d/1iodCdmuK2GR3jzUwk8tpccY2JHQQA-87DLOtJP-ooyU/edit?usp=sharing"",""นราธิวาส!J444"")"),0)</f>
        <v>0</v>
      </c>
      <c r="BD79" s="152">
        <f ca="1">IFERROR(__xludf.DUMMYFUNCTION("IMPORTRANGE(""https://docs.google.com/spreadsheets/d/1iodCdmuK2GR3jzUwk8tpccY2JHQQA-87DLOtJP-ooyU/edit?usp=sharing"",""นราธิวาส!J445"")"),0)</f>
        <v>0</v>
      </c>
      <c r="BE79" s="152">
        <f ca="1">IFERROR(__xludf.DUMMYFUNCTION("IMPORTRANGE(""https://docs.google.com/spreadsheets/d/1iodCdmuK2GR3jzUwk8tpccY2JHQQA-87DLOtJP-ooyU/edit?usp=sharing"",""นราธิวาส!J446"")"),0)</f>
        <v>0</v>
      </c>
      <c r="BF79" s="152">
        <f ca="1">IFERROR(__xludf.DUMMYFUNCTION("IMPORTRANGE(""https://docs.google.com/spreadsheets/d/1iodCdmuK2GR3jzUwk8tpccY2JHQQA-87DLOtJP-ooyU/edit?usp=sharing"",""นราธิวาส!J447"")"),0)</f>
        <v>0</v>
      </c>
      <c r="BG79" s="152">
        <f ca="1">IFERROR(__xludf.DUMMYFUNCTION("IMPORTRANGE(""https://docs.google.com/spreadsheets/d/1iodCdmuK2GR3jzUwk8tpccY2JHQQA-87DLOtJP-ooyU/edit?usp=sharing"",""นราธิวาส!J448"")"),0)</f>
        <v>0</v>
      </c>
      <c r="BH79" s="152">
        <f ca="1">IFERROR(__xludf.DUMMYFUNCTION("IMPORTRANGE(""https://docs.google.com/spreadsheets/d/1iodCdmuK2GR3jzUwk8tpccY2JHQQA-87DLOtJP-ooyU/edit?usp=sharing"",""นราธิวาส!J449"")"),0)</f>
        <v>0</v>
      </c>
      <c r="BI79" s="152">
        <f ca="1">IFERROR(__xludf.DUMMYFUNCTION("IMPORTRANGE(""https://docs.google.com/spreadsheets/d/1iodCdmuK2GR3jzUwk8tpccY2JHQQA-87DLOtJP-ooyU/edit?usp=sharing"",""นราธิวาส!J450"")"),0)</f>
        <v>0</v>
      </c>
      <c r="BJ79" s="152">
        <f ca="1">IFERROR(__xludf.DUMMYFUNCTION("IMPORTRANGE(""https://docs.google.com/spreadsheets/d/1iodCdmuK2GR3jzUwk8tpccY2JHQQA-87DLOtJP-ooyU/edit?usp=sharing"",""นราธิวาส!J451"")"),0)</f>
        <v>0</v>
      </c>
      <c r="BK79" s="152">
        <f ca="1">IFERROR(__xludf.DUMMYFUNCTION("IMPORTRANGE(""https://docs.google.com/spreadsheets/d/1iodCdmuK2GR3jzUwk8tpccY2JHQQA-87DLOtJP-ooyU/edit?usp=sharing"",""นราธิวาส!J452"")"),0)</f>
        <v>0</v>
      </c>
      <c r="BL79" s="152">
        <f ca="1">IFERROR(__xludf.DUMMYFUNCTION("IMPORTRANGE(""https://docs.google.com/spreadsheets/d/1iodCdmuK2GR3jzUwk8tpccY2JHQQA-87DLOtJP-ooyU/edit?usp=sharing"",""นราธิวาส!J453"")"),0)</f>
        <v>0</v>
      </c>
      <c r="BM79" s="152">
        <f ca="1">IFERROR(__xludf.DUMMYFUNCTION("IMPORTRANGE(""https://docs.google.com/spreadsheets/d/1iodCdmuK2GR3jzUwk8tpccY2JHQQA-87DLOtJP-ooyU/edit?usp=sharing"",""นราธิวาส!J454"")"),0)</f>
        <v>0</v>
      </c>
      <c r="BN79" s="152">
        <f ca="1">IFERROR(__xludf.DUMMYFUNCTION("IMPORTRANGE(""https://docs.google.com/spreadsheets/d/1iodCdmuK2GR3jzUwk8tpccY2JHQQA-87DLOtJP-ooyU/edit?usp=sharing"",""นราธิวาส!J455"")"),0)</f>
        <v>0</v>
      </c>
      <c r="BO79" s="152">
        <f ca="1">IFERROR(__xludf.DUMMYFUNCTION("IMPORTRANGE(""https://docs.google.com/spreadsheets/d/1iodCdmuK2GR3jzUwk8tpccY2JHQQA-87DLOtJP-ooyU/edit?usp=sharing"",""นราธิวาส!I457"")"),0)</f>
        <v>0</v>
      </c>
      <c r="BP79" s="152">
        <f ca="1">IFERROR(__xludf.DUMMYFUNCTION("IMPORTRANGE(""https://docs.google.com/spreadsheets/d/1iodCdmuK2GR3jzUwk8tpccY2JHQQA-87DLOtJP-ooyU/edit?usp=sharing"",""นราธิวาส!I458"")"),0)</f>
        <v>0</v>
      </c>
      <c r="BQ79" s="152">
        <f ca="1">IFERROR(__xludf.DUMMYFUNCTION("IMPORTRANGE(""https://docs.google.com/spreadsheets/d/1iodCdmuK2GR3jzUwk8tpccY2JHQQA-87DLOtJP-ooyU/edit?usp=sharing"",""นราธิวาส!J457"")"),0)</f>
        <v>0</v>
      </c>
      <c r="BR79" s="216">
        <f t="shared" ca="1" si="65"/>
        <v>0</v>
      </c>
      <c r="BS79" s="152">
        <f ca="1">IFERROR(__xludf.DUMMYFUNCTION("IMPORTRANGE(""https://docs.google.com/spreadsheets/d/1iodCdmuK2GR3jzUwk8tpccY2JHQQA-87DLOtJP-ooyU/edit?usp=sharing"",""นราธิวาส!J458"")"),0)</f>
        <v>0</v>
      </c>
      <c r="BT79" s="216">
        <f t="shared" ca="1" si="66"/>
        <v>0</v>
      </c>
      <c r="BU79" s="152">
        <f ca="1">IFERROR(__xludf.DUMMYFUNCTION("IMPORTRANGE(""https://docs.google.com/spreadsheets/d/1iodCdmuK2GR3jzUwk8tpccY2JHQQA-87DLOtJP-ooyU/edit?usp=sharing"",""นราธิวาส!J459"")"),0)</f>
        <v>0</v>
      </c>
      <c r="BV79" s="152">
        <f ca="1">IFERROR(__xludf.DUMMYFUNCTION("IMPORTRANGE(""https://docs.google.com/spreadsheets/d/1iodCdmuK2GR3jzUwk8tpccY2JHQQA-87DLOtJP-ooyU/edit?usp=sharing"",""นราธิวาส!J460"")"),0)</f>
        <v>0</v>
      </c>
      <c r="BW79" s="152">
        <f ca="1">IFERROR(__xludf.DUMMYFUNCTION("IMPORTRANGE(""https://docs.google.com/spreadsheets/d/1iodCdmuK2GR3jzUwk8tpccY2JHQQA-87DLOtJP-ooyU/edit?usp=sharing"",""นราธิวาส!J461"")"),0)</f>
        <v>0</v>
      </c>
      <c r="BX79" s="152">
        <f ca="1">IFERROR(__xludf.DUMMYFUNCTION("IMPORTRANGE(""https://docs.google.com/spreadsheets/d/1iodCdmuK2GR3jzUwk8tpccY2JHQQA-87DLOtJP-ooyU/edit?usp=sharing"",""นราธิวาส!J462"")"),0)</f>
        <v>0</v>
      </c>
      <c r="BY79" s="152">
        <f ca="1">IFERROR(__xludf.DUMMYFUNCTION("IMPORTRANGE(""https://docs.google.com/spreadsheets/d/1iodCdmuK2GR3jzUwk8tpccY2JHQQA-87DLOtJP-ooyU/edit?usp=sharing"",""นราธิวาส!J463"")"),0)</f>
        <v>0</v>
      </c>
      <c r="BZ79" s="152">
        <f ca="1">IFERROR(__xludf.DUMMYFUNCTION("IMPORTRANGE(""https://docs.google.com/spreadsheets/d/1iodCdmuK2GR3jzUwk8tpccY2JHQQA-87DLOtJP-ooyU/edit?usp=sharing"",""นราธิวาส!J464"")"),0)</f>
        <v>0</v>
      </c>
      <c r="CA79" s="152">
        <f ca="1">IFERROR(__xludf.DUMMYFUNCTION("IMPORTRANGE(""https://docs.google.com/spreadsheets/d/1iodCdmuK2GR3jzUwk8tpccY2JHQQA-87DLOtJP-ooyU/edit?usp=sharing"",""นราธิวาส!J465"")"),0)</f>
        <v>0</v>
      </c>
      <c r="CB79" s="152">
        <f ca="1">IFERROR(__xludf.DUMMYFUNCTION("IMPORTRANGE(""https://docs.google.com/spreadsheets/d/1iodCdmuK2GR3jzUwk8tpccY2JHQQA-87DLOtJP-ooyU/edit?usp=sharing"",""นราธิวาส!J466"")"),0)</f>
        <v>0</v>
      </c>
      <c r="CC79" s="152">
        <f ca="1">IFERROR(__xludf.DUMMYFUNCTION("IMPORTRANGE(""https://docs.google.com/spreadsheets/d/1iodCdmuK2GR3jzUwk8tpccY2JHQQA-87DLOtJP-ooyU/edit?usp=sharing"",""นราธิวาส!J467"")"),0)</f>
        <v>0</v>
      </c>
      <c r="CD79" s="152">
        <f ca="1">IFERROR(__xludf.DUMMYFUNCTION("IMPORTRANGE(""https://docs.google.com/spreadsheets/d/1iodCdmuK2GR3jzUwk8tpccY2JHQQA-87DLOtJP-ooyU/edit?usp=sharing"",""นราธิวาส!J468"")"),0)</f>
        <v>0</v>
      </c>
      <c r="CE79" s="152">
        <f ca="1">IFERROR(__xludf.DUMMYFUNCTION("IMPORTRANGE(""https://docs.google.com/spreadsheets/d/1iodCdmuK2GR3jzUwk8tpccY2JHQQA-87DLOtJP-ooyU/edit?usp=sharing"",""นราธิวาส!J469"")"),0)</f>
        <v>0</v>
      </c>
      <c r="CF79" s="152">
        <f ca="1">IFERROR(__xludf.DUMMYFUNCTION("IMPORTRANGE(""https://docs.google.com/spreadsheets/d/1iodCdmuK2GR3jzUwk8tpccY2JHQQA-87DLOtJP-ooyU/edit?usp=sharing"",""นราธิวาส!J470"")"),0)</f>
        <v>0</v>
      </c>
      <c r="CG79" s="152">
        <f ca="1">IFERROR(__xludf.DUMMYFUNCTION("IMPORTRANGE(""https://docs.google.com/spreadsheets/d/1iodCdmuK2GR3jzUwk8tpccY2JHQQA-87DLOtJP-ooyU/edit?usp=sharing"",""นราธิวาส!J471"")"),0)</f>
        <v>0</v>
      </c>
      <c r="CH79" s="152">
        <f ca="1">IFERROR(__xludf.DUMMYFUNCTION("IMPORTRANGE(""https://docs.google.com/spreadsheets/d/1iodCdmuK2GR3jzUwk8tpccY2JHQQA-87DLOtJP-ooyU/edit?usp=sharing"",""นราธิวาส!J472"")"),0)</f>
        <v>0</v>
      </c>
      <c r="CI79" s="152">
        <f ca="1">IFERROR(__xludf.DUMMYFUNCTION("IMPORTRANGE(""https://docs.google.com/spreadsheets/d/1iodCdmuK2GR3jzUwk8tpccY2JHQQA-87DLOtJP-ooyU/edit?usp=sharing"",""นราธิวาส!J473"")"),0)</f>
        <v>0</v>
      </c>
      <c r="CJ79" s="152">
        <f ca="1">IFERROR(__xludf.DUMMYFUNCTION("IMPORTRANGE(""https://docs.google.com/spreadsheets/d/1iodCdmuK2GR3jzUwk8tpccY2JHQQA-87DLOtJP-ooyU/edit?usp=sharing"",""นราธิวาส!J474"")"),0)</f>
        <v>0</v>
      </c>
      <c r="CK79" s="278">
        <f ca="1">IFERROR(__xludf.DUMMYFUNCTION("IMPORTRANGE(""https://docs.google.com/spreadsheets/d/1iodCdmuK2GR3jzUwk8tpccY2JHQQA-87DLOtJP-ooyU/edit?usp=sharing"",""นราธิวาส!I476"")"),0)</f>
        <v>0</v>
      </c>
      <c r="CL79" s="278">
        <f ca="1">IFERROR(__xludf.DUMMYFUNCTION("IMPORTRANGE(""https://docs.google.com/spreadsheets/d/1iodCdmuK2GR3jzUwk8tpccY2JHQQA-87DLOtJP-ooyU/edit?usp=sharing"",""นราธิวาส!I477"")"),0)</f>
        <v>0</v>
      </c>
      <c r="CM79" s="278">
        <f ca="1">IFERROR(__xludf.DUMMYFUNCTION("IMPORTRANGE(""https://docs.google.com/spreadsheets/d/1iodCdmuK2GR3jzUwk8tpccY2JHQQA-87DLOtJP-ooyU/edit?usp=sharing"",""นราธิวาส!J476"")"),0)</f>
        <v>0</v>
      </c>
      <c r="CN79" s="216">
        <f t="shared" ca="1" si="68"/>
        <v>0</v>
      </c>
      <c r="CO79" s="278">
        <f ca="1">IFERROR(__xludf.DUMMYFUNCTION("IMPORTRANGE(""https://docs.google.com/spreadsheets/d/1iodCdmuK2GR3jzUwk8tpccY2JHQQA-87DLOtJP-ooyU/edit?usp=sharing"",""นราธิวาส!J477"")"),0)</f>
        <v>0</v>
      </c>
      <c r="CP79" s="216">
        <f t="shared" ca="1" si="69"/>
        <v>0</v>
      </c>
      <c r="CQ79" s="278">
        <f ca="1">IFERROR(__xludf.DUMMYFUNCTION("IMPORTRANGE(""https://docs.google.com/spreadsheets/d/1iodCdmuK2GR3jzUwk8tpccY2JHQQA-87DLOtJP-ooyU/edit?usp=sharing"",""นราธิวาส!J478"")"),0)</f>
        <v>0</v>
      </c>
      <c r="CR79" s="278">
        <f ca="1">IFERROR(__xludf.DUMMYFUNCTION("IMPORTRANGE(""https://docs.google.com/spreadsheets/d/1iodCdmuK2GR3jzUwk8tpccY2JHQQA-87DLOtJP-ooyU/edit?usp=sharing"",""นราธิวาส!J479"")"),0)</f>
        <v>0</v>
      </c>
      <c r="CS79" s="278">
        <f ca="1">IFERROR(__xludf.DUMMYFUNCTION("IMPORTRANGE(""https://docs.google.com/spreadsheets/d/1iodCdmuK2GR3jzUwk8tpccY2JHQQA-87DLOtJP-ooyU/edit?usp=sharing"",""นราธิวาส!J480"")"),0)</f>
        <v>0</v>
      </c>
      <c r="CT79" s="278">
        <f ca="1">IFERROR(__xludf.DUMMYFUNCTION("IMPORTRANGE(""https://docs.google.com/spreadsheets/d/1iodCdmuK2GR3jzUwk8tpccY2JHQQA-87DLOtJP-ooyU/edit?usp=sharing"",""นราธิวาส!J481"")"),0)</f>
        <v>0</v>
      </c>
      <c r="CU79" s="278">
        <f ca="1">IFERROR(__xludf.DUMMYFUNCTION("IMPORTRANGE(""https://docs.google.com/spreadsheets/d/1iodCdmuK2GR3jzUwk8tpccY2JHQQA-87DLOtJP-ooyU/edit?usp=sharing"",""นราธิวาส!I484"")"),0)</f>
        <v>0</v>
      </c>
      <c r="CV79" s="278">
        <f ca="1">IFERROR(__xludf.DUMMYFUNCTION("IMPORTRANGE(""https://docs.google.com/spreadsheets/d/1iodCdmuK2GR3jzUwk8tpccY2JHQQA-87DLOtJP-ooyU/edit?usp=sharing"",""นราธิวาส!I485"")"),0)</f>
        <v>0</v>
      </c>
      <c r="CW79" s="278">
        <f ca="1">IFERROR(__xludf.DUMMYFUNCTION("IMPORTRANGE(""https://docs.google.com/spreadsheets/d/1iodCdmuK2GR3jzUwk8tpccY2JHQQA-87DLOtJP-ooyU/edit?usp=sharing"",""นราธิวาส!J484"")"),0)</f>
        <v>0</v>
      </c>
      <c r="CX79" s="216">
        <f t="shared" ca="1" si="71"/>
        <v>0</v>
      </c>
      <c r="CY79" s="278">
        <f ca="1">IFERROR(__xludf.DUMMYFUNCTION("IMPORTRANGE(""https://docs.google.com/spreadsheets/d/1iodCdmuK2GR3jzUwk8tpccY2JHQQA-87DLOtJP-ooyU/edit?usp=sharing"",""นราธิวาส!J485"")"),0)</f>
        <v>0</v>
      </c>
      <c r="CZ79" s="216">
        <f t="shared" ca="1" si="72"/>
        <v>0</v>
      </c>
      <c r="DA79" s="278">
        <f ca="1">IFERROR(__xludf.DUMMYFUNCTION("IMPORTRANGE(""https://docs.google.com/spreadsheets/d/1iodCdmuK2GR3jzUwk8tpccY2JHQQA-87DLOtJP-ooyU/edit?usp=sharing"",""นราธิวาส!J486"")"),0)</f>
        <v>0</v>
      </c>
      <c r="DB79" s="278">
        <f ca="1">IFERROR(__xludf.DUMMYFUNCTION("IMPORTRANGE(""https://docs.google.com/spreadsheets/d/1iodCdmuK2GR3jzUwk8tpccY2JHQQA-87DLOtJP-ooyU/edit?usp=sharing"",""นราธิวาส!J487"")"),0)</f>
        <v>0</v>
      </c>
      <c r="DC79" s="278">
        <f ca="1">IFERROR(__xludf.DUMMYFUNCTION("IMPORTRANGE(""https://docs.google.com/spreadsheets/d/1iodCdmuK2GR3jzUwk8tpccY2JHQQA-87DLOtJP-ooyU/edit?usp=sharing"",""นราธิวาส!J488"")"),0)</f>
        <v>0</v>
      </c>
      <c r="DD79" s="278">
        <f ca="1">IFERROR(__xludf.DUMMYFUNCTION("IMPORTRANGE(""https://docs.google.com/spreadsheets/d/1iodCdmuK2GR3jzUwk8tpccY2JHQQA-87DLOtJP-ooyU/edit?usp=sharing"",""นราธิวาส!J489"")"),0)</f>
        <v>0</v>
      </c>
      <c r="DE79" s="278">
        <f ca="1">IFERROR(__xludf.DUMMYFUNCTION("IMPORTRANGE(""https://docs.google.com/spreadsheets/d/1iodCdmuK2GR3jzUwk8tpccY2JHQQA-87DLOtJP-ooyU/edit?usp=sharing"",""นราธิวาส!J490"")"),0)</f>
        <v>0</v>
      </c>
      <c r="DF79" s="278">
        <f ca="1">IFERROR(__xludf.DUMMYFUNCTION("IMPORTRANGE(""https://docs.google.com/spreadsheets/d/1iodCdmuK2GR3jzUwk8tpccY2JHQQA-87DLOtJP-ooyU/edit?usp=sharing"",""นราธิวาส!J491"")"),0)</f>
        <v>0</v>
      </c>
    </row>
    <row r="80" spans="1:110" ht="19.5" x14ac:dyDescent="0.3">
      <c r="A80" s="147">
        <v>6</v>
      </c>
      <c r="B80" s="148" t="s">
        <v>108</v>
      </c>
      <c r="C80" s="566">
        <f t="shared" ca="1" si="44"/>
        <v>0</v>
      </c>
      <c r="D80" s="567">
        <f t="shared" ca="1" si="104"/>
        <v>0</v>
      </c>
      <c r="E80" s="329">
        <f ca="1">IFERROR(__xludf.DUMMYFUNCTION("IMPORTRANGE(""https://docs.google.com/spreadsheets/d/1-uDff_7J0KD5mKrp0Vvzr7lt3OU09vwQwhkpOPPYv2Y/edit?usp=sharing"",""งบพรบ!IP80"")"),0)</f>
        <v>0</v>
      </c>
      <c r="F80" s="329">
        <f ca="1">IFERROR(__xludf.DUMMYFUNCTION("IMPORTRANGE(""https://docs.google.com/spreadsheets/d/1-uDff_7J0KD5mKrp0Vvzr7lt3OU09vwQwhkpOPPYv2Y/edit?usp=sharing"",""งบพรบ!IQ80"")"),0)</f>
        <v>0</v>
      </c>
      <c r="G80" s="329">
        <f ca="1">IFERROR(__xludf.DUMMYFUNCTION("IMPORTRANGE(""https://docs.google.com/spreadsheets/d/1-uDff_7J0KD5mKrp0Vvzr7lt3OU09vwQwhkpOPPYv2Y/edit?usp=sharing"",""งบพรบ!IR80"")"),0)</f>
        <v>0</v>
      </c>
      <c r="H80" s="329">
        <f ca="1">IFERROR(__xludf.DUMMYFUNCTION("IMPORTRANGE(""https://docs.google.com/spreadsheets/d/1-uDff_7J0KD5mKrp0Vvzr7lt3OU09vwQwhkpOPPYv2Y/edit?usp=sharing"",""งบพรบ!IT80"")"),0)</f>
        <v>0</v>
      </c>
      <c r="I80" s="329">
        <f ca="1">IFERROR(__xludf.DUMMYFUNCTION("IMPORTRANGE(""https://docs.google.com/spreadsheets/d/1-uDff_7J0KD5mKrp0Vvzr7lt3OU09vwQwhkpOPPYv2Y/edit?usp=sharing"",""งบพรบ!IU80"")"),0)</f>
        <v>0</v>
      </c>
      <c r="J80" s="329">
        <f t="shared" ca="1" si="46"/>
        <v>0</v>
      </c>
      <c r="K80" s="568">
        <f t="shared" ca="1" si="47"/>
        <v>0</v>
      </c>
      <c r="L80" s="329">
        <f ca="1">IFERROR(__xludf.DUMMYFUNCTION("IMPORTRANGE(""https://docs.google.com/spreadsheets/d/1-uDff_7J0KD5mKrp0Vvzr7lt3OU09vwQwhkpOPPYv2Y/edit?usp=sharing"",""งบพรบ!IV80"")"),0)</f>
        <v>0</v>
      </c>
      <c r="M80" s="330">
        <f t="shared" ca="1" si="48"/>
        <v>0</v>
      </c>
      <c r="N80" s="330">
        <f t="shared" ca="1" si="49"/>
        <v>0</v>
      </c>
      <c r="O80" s="569">
        <f ca="1">IFERROR(__xludf.DUMMYFUNCTION("IMPORTRANGE(""https://docs.google.com/spreadsheets/d/1-uDff_7J0KD5mKrp0Vvzr7lt3OU09vwQwhkpOPPYv2Y/edit?usp=sharing"",""งบพรบ!IW80"")"),0)</f>
        <v>0</v>
      </c>
      <c r="P80" s="569">
        <f t="shared" ca="1" si="50"/>
        <v>0</v>
      </c>
      <c r="Q80" s="330">
        <f t="shared" ca="1" si="51"/>
        <v>0</v>
      </c>
      <c r="R80" s="564">
        <f ca="1">IFERROR(__xludf.DUMMYFUNCTION("IMPORTRANGE(""https://docs.google.com/spreadsheets/d/1SDNX3JhDdYRuIOsj0Wh2M-Qa_eaXl0NbWmhAOTbfQAs/edit?usp=sharing"",""ปัตตานี!Q413"")"),0)</f>
        <v>0</v>
      </c>
      <c r="S80" s="564">
        <f ca="1">IFERROR(__xludf.DUMMYFUNCTION("IMPORTRANGE(""https://docs.google.com/spreadsheets/d/1SDNX3JhDdYRuIOsj0Wh2M-Qa_eaXl0NbWmhAOTbfQAs/edit?usp=sharing"",""ปัตตานี!R413"")"),0)</f>
        <v>0</v>
      </c>
      <c r="T80" s="564">
        <f ca="1">IFERROR(__xludf.DUMMYFUNCTION("IMPORTRANGE(""https://docs.google.com/spreadsheets/d/1SDNX3JhDdYRuIOsj0Wh2M-Qa_eaXl0NbWmhAOTbfQAs/edit?usp=sharing"",""ปัตตานี!S413"")"),0)</f>
        <v>0</v>
      </c>
      <c r="U80" s="565">
        <f t="shared" ca="1" si="53"/>
        <v>0</v>
      </c>
      <c r="V80" s="565">
        <f t="shared" ca="1" si="54"/>
        <v>0</v>
      </c>
      <c r="W80" s="152">
        <f ca="1">IFERROR(__xludf.DUMMYFUNCTION("IMPORTRANGE(""https://docs.google.com/spreadsheets/d/1SDNX3JhDdYRuIOsj0Wh2M-Qa_eaXl0NbWmhAOTbfQAs/edit?usp=sharing"",""ปัตตานี!I424"")"),0)</f>
        <v>0</v>
      </c>
      <c r="X80" s="152">
        <f ca="1">IFERROR(__xludf.DUMMYFUNCTION("IMPORTRANGE(""https://docs.google.com/spreadsheets/d/1SDNX3JhDdYRuIOsj0Wh2M-Qa_eaXl0NbWmhAOTbfQAs/edit?usp=sharing"",""ปัตตานี!I425"")"),0)</f>
        <v>0</v>
      </c>
      <c r="Y80" s="152">
        <f ca="1">IFERROR(__xludf.DUMMYFUNCTION("IMPORTRANGE(""https://docs.google.com/spreadsheets/d/1SDNX3JhDdYRuIOsj0Wh2M-Qa_eaXl0NbWmhAOTbfQAs/edit?usp=sharing"",""ปัตตานี!J424"")"),0)</f>
        <v>0</v>
      </c>
      <c r="Z80" s="216">
        <f t="shared" ca="1" si="56"/>
        <v>0</v>
      </c>
      <c r="AA80" s="152">
        <f ca="1">IFERROR(__xludf.DUMMYFUNCTION("IMPORTRANGE(""https://docs.google.com/spreadsheets/d/1SDNX3JhDdYRuIOsj0Wh2M-Qa_eaXl0NbWmhAOTbfQAs/edit?usp=sharing"",""ปัตตานี!J425"")"),0)</f>
        <v>0</v>
      </c>
      <c r="AB80" s="216">
        <f t="shared" ca="1" si="57"/>
        <v>0</v>
      </c>
      <c r="AC80" s="152">
        <f ca="1">IFERROR(__xludf.DUMMYFUNCTION("IMPORTRANGE(""https://docs.google.com/spreadsheets/d/1SDNX3JhDdYRuIOsj0Wh2M-Qa_eaXl0NbWmhAOTbfQAs/edit?usp=sharing"",""ปัตตานี!J426"")"),0)</f>
        <v>0</v>
      </c>
      <c r="AD80" s="152">
        <f ca="1">IFERROR(__xludf.DUMMYFUNCTION("IMPORTRANGE(""https://docs.google.com/spreadsheets/d/1SDNX3JhDdYRuIOsj0Wh2M-Qa_eaXl0NbWmhAOTbfQAs/edit?usp=sharing"",""ปัตตานี!J427"")"),0)</f>
        <v>0</v>
      </c>
      <c r="AE80" s="152">
        <f ca="1">IFERROR(__xludf.DUMMYFUNCTION("IMPORTRANGE(""https://docs.google.com/spreadsheets/d/1SDNX3JhDdYRuIOsj0Wh2M-Qa_eaXl0NbWmhAOTbfQAs/edit?usp=sharing"",""ปัตตานี!J428"")"),0)</f>
        <v>0</v>
      </c>
      <c r="AF80" s="152">
        <f ca="1">IFERROR(__xludf.DUMMYFUNCTION("IMPORTRANGE(""https://docs.google.com/spreadsheets/d/1SDNX3JhDdYRuIOsj0Wh2M-Qa_eaXl0NbWmhAOTbfQAs/edit?usp=sharing"",""ปัตตานี!J429"")"),0)</f>
        <v>0</v>
      </c>
      <c r="AG80" s="152">
        <f ca="1">IFERROR(__xludf.DUMMYFUNCTION("IMPORTRANGE(""https://docs.google.com/spreadsheets/d/1SDNX3JhDdYRuIOsj0Wh2M-Qa_eaXl0NbWmhAOTbfQAs/edit?usp=sharing"",""ปัตตานี!J430"")"),0)</f>
        <v>0</v>
      </c>
      <c r="AH80" s="152">
        <f ca="1">IFERROR(__xludf.DUMMYFUNCTION("IMPORTRANGE(""https://docs.google.com/spreadsheets/d/1SDNX3JhDdYRuIOsj0Wh2M-Qa_eaXl0NbWmhAOTbfQAs/edit?usp=sharing"",""ปัตตานี!J431"")"),0)</f>
        <v>0</v>
      </c>
      <c r="AI80" s="152">
        <f ca="1">IFERROR(__xludf.DUMMYFUNCTION("IMPORTRANGE(""https://docs.google.com/spreadsheets/d/1SDNX3JhDdYRuIOsj0Wh2M-Qa_eaXl0NbWmhAOTbfQAs/edit?usp=sharing"",""ปัตตานี!I432"")"),0)</f>
        <v>0</v>
      </c>
      <c r="AJ80" s="152">
        <f ca="1">IFERROR(__xludf.DUMMYFUNCTION("IMPORTRANGE(""https://docs.google.com/spreadsheets/d/1SDNX3JhDdYRuIOsj0Wh2M-Qa_eaXl0NbWmhAOTbfQAs/edit?usp=sharing"",""ปัตตานี!I433"")"),0)</f>
        <v>0</v>
      </c>
      <c r="AK80" s="216">
        <f ca="1">IFERROR(__xludf.DUMMYFUNCTION("IMPORTRANGE(""https://docs.google.com/spreadsheets/d/1SDNX3JhDdYRuIOsj0Wh2M-Qa_eaXl0NbWmhAOTbfQAs/edit?usp=sharing"",""ปัตตานี!J432"")"),0)</f>
        <v>0</v>
      </c>
      <c r="AL80" s="216">
        <f t="shared" ca="1" si="59"/>
        <v>0</v>
      </c>
      <c r="AM80" s="152">
        <f ca="1">IFERROR(__xludf.DUMMYFUNCTION("IMPORTRANGE(""https://docs.google.com/spreadsheets/d/1SDNX3JhDdYRuIOsj0Wh2M-Qa_eaXl0NbWmhAOTbfQAs/edit?usp=sharing"",""ปัตตานี!J433"")"),0)</f>
        <v>0</v>
      </c>
      <c r="AN80" s="216">
        <f t="shared" ca="1" si="60"/>
        <v>0</v>
      </c>
      <c r="AO80" s="152">
        <f ca="1">IFERROR(__xludf.DUMMYFUNCTION("IMPORTRANGE(""https://docs.google.com/spreadsheets/d/1SDNX3JhDdYRuIOsj0Wh2M-Qa_eaXl0NbWmhAOTbfQAs/edit?usp=sharing"",""ปัตตานี!J434"")"),0)</f>
        <v>0</v>
      </c>
      <c r="AP80" s="152">
        <f ca="1">IFERROR(__xludf.DUMMYFUNCTION("IMPORTRANGE(""https://docs.google.com/spreadsheets/d/1SDNX3JhDdYRuIOsj0Wh2M-Qa_eaXl0NbWmhAOTbfQAs/edit?usp=sharing"",""ปัตตานี!J435"")"),0)</f>
        <v>0</v>
      </c>
      <c r="AQ80" s="152">
        <f ca="1">IFERROR(__xludf.DUMMYFUNCTION("IMPORTRANGE(""https://docs.google.com/spreadsheets/d/1SDNX3JhDdYRuIOsj0Wh2M-Qa_eaXl0NbWmhAOTbfQAs/edit?usp=sharing"",""ปัตตานี!J436"")"),0)</f>
        <v>0</v>
      </c>
      <c r="AR80" s="152">
        <f ca="1">IFERROR(__xludf.DUMMYFUNCTION("IMPORTRANGE(""https://docs.google.com/spreadsheets/d/1SDNX3JhDdYRuIOsj0Wh2M-Qa_eaXl0NbWmhAOTbfQAs/edit?usp=sharing"",""ปัตตานี!J437"")"),0)</f>
        <v>0</v>
      </c>
      <c r="AS80" s="152">
        <f ca="1">IFERROR(__xludf.DUMMYFUNCTION("IMPORTRANGE(""https://docs.google.com/spreadsheets/d/1SDNX3JhDdYRuIOsj0Wh2M-Qa_eaXl0NbWmhAOTbfQAs/edit?usp=sharing"",""ปัตตานี!J438"")"),0)</f>
        <v>0</v>
      </c>
      <c r="AT80" s="152">
        <f ca="1">IFERROR(__xludf.DUMMYFUNCTION("IMPORTRANGE(""https://docs.google.com/spreadsheets/d/1SDNX3JhDdYRuIOsj0Wh2M-Qa_eaXl0NbWmhAOTbfQAs/edit?usp=sharing"",""ปัตตานี!J439"")"),0)</f>
        <v>0</v>
      </c>
      <c r="AU80" s="152">
        <f ca="1">IFERROR(__xludf.DUMMYFUNCTION("IMPORTRANGE(""https://docs.google.com/spreadsheets/d/1SDNX3JhDdYRuIOsj0Wh2M-Qa_eaXl0NbWmhAOTbfQAs/edit?usp=sharing"",""ปัตตานี!I440"")"),0)</f>
        <v>0</v>
      </c>
      <c r="AV80" s="152">
        <f ca="1">IFERROR(__xludf.DUMMYFUNCTION("IMPORTRANGE(""https://docs.google.com/spreadsheets/d/1SDNX3JhDdYRuIOsj0Wh2M-Qa_eaXl0NbWmhAOTbfQAs/edit?usp=sharing"",""ปัตตานี!I441"")"),0)</f>
        <v>0</v>
      </c>
      <c r="AW80" s="152">
        <f ca="1">IFERROR(__xludf.DUMMYFUNCTION("IMPORTRANGE(""https://docs.google.com/spreadsheets/d/1SDNX3JhDdYRuIOsj0Wh2M-Qa_eaXl0NbWmhAOTbfQAs/edit?usp=sharing"",""ปัตตานี!J440"")"),0)</f>
        <v>0</v>
      </c>
      <c r="AX80" s="216">
        <f t="shared" ca="1" si="62"/>
        <v>0</v>
      </c>
      <c r="AY80" s="152">
        <f ca="1">IFERROR(__xludf.DUMMYFUNCTION("IMPORTRANGE(""https://docs.google.com/spreadsheets/d/1SDNX3JhDdYRuIOsj0Wh2M-Qa_eaXl0NbWmhAOTbfQAs/edit?usp=sharing"",""ปัตตานี!J441"")"),0)</f>
        <v>0</v>
      </c>
      <c r="AZ80" s="216">
        <f t="shared" ca="1" si="63"/>
        <v>0</v>
      </c>
      <c r="BA80" s="152">
        <f ca="1">IFERROR(__xludf.DUMMYFUNCTION("IMPORTRANGE(""https://docs.google.com/spreadsheets/d/1SDNX3JhDdYRuIOsj0Wh2M-Qa_eaXl0NbWmhAOTbfQAs/edit?usp=sharing"",""ปัตตานี!J442"")"),0)</f>
        <v>0</v>
      </c>
      <c r="BB80" s="152">
        <f ca="1">IFERROR(__xludf.DUMMYFUNCTION("IMPORTRANGE(""https://docs.google.com/spreadsheets/d/1SDNX3JhDdYRuIOsj0Wh2M-Qa_eaXl0NbWmhAOTbfQAs/edit?usp=sharing"",""ปัตตานี!J443"")"),0)</f>
        <v>0</v>
      </c>
      <c r="BC80" s="152">
        <f ca="1">IFERROR(__xludf.DUMMYFUNCTION("IMPORTRANGE(""https://docs.google.com/spreadsheets/d/1SDNX3JhDdYRuIOsj0Wh2M-Qa_eaXl0NbWmhAOTbfQAs/edit?usp=sharing"",""ปัตตานี!J444"")"),0)</f>
        <v>0</v>
      </c>
      <c r="BD80" s="152">
        <f ca="1">IFERROR(__xludf.DUMMYFUNCTION("IMPORTRANGE(""https://docs.google.com/spreadsheets/d/1SDNX3JhDdYRuIOsj0Wh2M-Qa_eaXl0NbWmhAOTbfQAs/edit?usp=sharing"",""ปัตตานี!J445"")"),0)</f>
        <v>0</v>
      </c>
      <c r="BE80" s="152">
        <f ca="1">IFERROR(__xludf.DUMMYFUNCTION("IMPORTRANGE(""https://docs.google.com/spreadsheets/d/1SDNX3JhDdYRuIOsj0Wh2M-Qa_eaXl0NbWmhAOTbfQAs/edit?usp=sharing"",""ปัตตานี!J446"")"),0)</f>
        <v>0</v>
      </c>
      <c r="BF80" s="152">
        <f ca="1">IFERROR(__xludf.DUMMYFUNCTION("IMPORTRANGE(""https://docs.google.com/spreadsheets/d/1SDNX3JhDdYRuIOsj0Wh2M-Qa_eaXl0NbWmhAOTbfQAs/edit?usp=sharing"",""ปัตตานี!J447"")"),0)</f>
        <v>0</v>
      </c>
      <c r="BG80" s="152">
        <f ca="1">IFERROR(__xludf.DUMMYFUNCTION("IMPORTRANGE(""https://docs.google.com/spreadsheets/d/1SDNX3JhDdYRuIOsj0Wh2M-Qa_eaXl0NbWmhAOTbfQAs/edit?usp=sharing"",""ปัตตานี!J448"")"),0)</f>
        <v>0</v>
      </c>
      <c r="BH80" s="152">
        <f ca="1">IFERROR(__xludf.DUMMYFUNCTION("IMPORTRANGE(""https://docs.google.com/spreadsheets/d/1SDNX3JhDdYRuIOsj0Wh2M-Qa_eaXl0NbWmhAOTbfQAs/edit?usp=sharing"",""ปัตตานี!J449"")"),0)</f>
        <v>0</v>
      </c>
      <c r="BI80" s="152">
        <f ca="1">IFERROR(__xludf.DUMMYFUNCTION("IMPORTRANGE(""https://docs.google.com/spreadsheets/d/1SDNX3JhDdYRuIOsj0Wh2M-Qa_eaXl0NbWmhAOTbfQAs/edit?usp=sharing"",""ปัตตานี!J450"")"),0)</f>
        <v>0</v>
      </c>
      <c r="BJ80" s="152">
        <f ca="1">IFERROR(__xludf.DUMMYFUNCTION("IMPORTRANGE(""https://docs.google.com/spreadsheets/d/1SDNX3JhDdYRuIOsj0Wh2M-Qa_eaXl0NbWmhAOTbfQAs/edit?usp=sharing"",""ปัตตานี!J451"")"),0)</f>
        <v>0</v>
      </c>
      <c r="BK80" s="152">
        <f ca="1">IFERROR(__xludf.DUMMYFUNCTION("IMPORTRANGE(""https://docs.google.com/spreadsheets/d/1SDNX3JhDdYRuIOsj0Wh2M-Qa_eaXl0NbWmhAOTbfQAs/edit?usp=sharing"",""ปัตตานี!J452"")"),0)</f>
        <v>0</v>
      </c>
      <c r="BL80" s="152">
        <f ca="1">IFERROR(__xludf.DUMMYFUNCTION("IMPORTRANGE(""https://docs.google.com/spreadsheets/d/1SDNX3JhDdYRuIOsj0Wh2M-Qa_eaXl0NbWmhAOTbfQAs/edit?usp=sharing"",""ปัตตานี!J453"")"),0)</f>
        <v>0</v>
      </c>
      <c r="BM80" s="152">
        <f ca="1">IFERROR(__xludf.DUMMYFUNCTION("IMPORTRANGE(""https://docs.google.com/spreadsheets/d/1SDNX3JhDdYRuIOsj0Wh2M-Qa_eaXl0NbWmhAOTbfQAs/edit?usp=sharing"",""ปัตตานี!J454"")"),0)</f>
        <v>0</v>
      </c>
      <c r="BN80" s="152">
        <f ca="1">IFERROR(__xludf.DUMMYFUNCTION("IMPORTRANGE(""https://docs.google.com/spreadsheets/d/1SDNX3JhDdYRuIOsj0Wh2M-Qa_eaXl0NbWmhAOTbfQAs/edit?usp=sharing"",""ปัตตานี!J455"")"),0)</f>
        <v>0</v>
      </c>
      <c r="BO80" s="152">
        <f ca="1">IFERROR(__xludf.DUMMYFUNCTION("IMPORTRANGE(""https://docs.google.com/spreadsheets/d/1SDNX3JhDdYRuIOsj0Wh2M-Qa_eaXl0NbWmhAOTbfQAs/edit?usp=sharing"",""ปัตตานี!I457"")"),0)</f>
        <v>0</v>
      </c>
      <c r="BP80" s="152">
        <f ca="1">IFERROR(__xludf.DUMMYFUNCTION("IMPORTRANGE(""https://docs.google.com/spreadsheets/d/1SDNX3JhDdYRuIOsj0Wh2M-Qa_eaXl0NbWmhAOTbfQAs/edit?usp=sharing"",""ปัตตานี!I458"")"),0)</f>
        <v>0</v>
      </c>
      <c r="BQ80" s="152">
        <f ca="1">IFERROR(__xludf.DUMMYFUNCTION("IMPORTRANGE(""https://docs.google.com/spreadsheets/d/1SDNX3JhDdYRuIOsj0Wh2M-Qa_eaXl0NbWmhAOTbfQAs/edit?usp=sharing"",""ปัตตานี!J457"")"),0)</f>
        <v>0</v>
      </c>
      <c r="BR80" s="216">
        <f t="shared" ca="1" si="65"/>
        <v>0</v>
      </c>
      <c r="BS80" s="152">
        <f ca="1">IFERROR(__xludf.DUMMYFUNCTION("IMPORTRANGE(""https://docs.google.com/spreadsheets/d/1SDNX3JhDdYRuIOsj0Wh2M-Qa_eaXl0NbWmhAOTbfQAs/edit?usp=sharing"",""ปัตตานี!J458"")"),0)</f>
        <v>0</v>
      </c>
      <c r="BT80" s="216">
        <f t="shared" ca="1" si="66"/>
        <v>0</v>
      </c>
      <c r="BU80" s="152">
        <f ca="1">IFERROR(__xludf.DUMMYFUNCTION("IMPORTRANGE(""https://docs.google.com/spreadsheets/d/1SDNX3JhDdYRuIOsj0Wh2M-Qa_eaXl0NbWmhAOTbfQAs/edit?usp=sharing"",""ปัตตานี!J459"")"),0)</f>
        <v>0</v>
      </c>
      <c r="BV80" s="152">
        <f ca="1">IFERROR(__xludf.DUMMYFUNCTION("IMPORTRANGE(""https://docs.google.com/spreadsheets/d/1SDNX3JhDdYRuIOsj0Wh2M-Qa_eaXl0NbWmhAOTbfQAs/edit?usp=sharing"",""ปัตตานี!J460"")"),0)</f>
        <v>0</v>
      </c>
      <c r="BW80" s="152">
        <f ca="1">IFERROR(__xludf.DUMMYFUNCTION("IMPORTRANGE(""https://docs.google.com/spreadsheets/d/1SDNX3JhDdYRuIOsj0Wh2M-Qa_eaXl0NbWmhAOTbfQAs/edit?usp=sharing"",""ปัตตานี!J461"")"),0)</f>
        <v>0</v>
      </c>
      <c r="BX80" s="152">
        <f ca="1">IFERROR(__xludf.DUMMYFUNCTION("IMPORTRANGE(""https://docs.google.com/spreadsheets/d/1SDNX3JhDdYRuIOsj0Wh2M-Qa_eaXl0NbWmhAOTbfQAs/edit?usp=sharing"",""ปัตตานี!J462"")"),0)</f>
        <v>0</v>
      </c>
      <c r="BY80" s="152">
        <f ca="1">IFERROR(__xludf.DUMMYFUNCTION("IMPORTRANGE(""https://docs.google.com/spreadsheets/d/1SDNX3JhDdYRuIOsj0Wh2M-Qa_eaXl0NbWmhAOTbfQAs/edit?usp=sharing"",""ปัตตานี!J463"")"),0)</f>
        <v>0</v>
      </c>
      <c r="BZ80" s="152">
        <f ca="1">IFERROR(__xludf.DUMMYFUNCTION("IMPORTRANGE(""https://docs.google.com/spreadsheets/d/1SDNX3JhDdYRuIOsj0Wh2M-Qa_eaXl0NbWmhAOTbfQAs/edit?usp=sharing"",""ปัตตานี!J464"")"),0)</f>
        <v>0</v>
      </c>
      <c r="CA80" s="152">
        <f ca="1">IFERROR(__xludf.DUMMYFUNCTION("IMPORTRANGE(""https://docs.google.com/spreadsheets/d/1SDNX3JhDdYRuIOsj0Wh2M-Qa_eaXl0NbWmhAOTbfQAs/edit?usp=sharing"",""ปัตตานี!J465"")"),0)</f>
        <v>0</v>
      </c>
      <c r="CB80" s="152">
        <f ca="1">IFERROR(__xludf.DUMMYFUNCTION("IMPORTRANGE(""https://docs.google.com/spreadsheets/d/1SDNX3JhDdYRuIOsj0Wh2M-Qa_eaXl0NbWmhAOTbfQAs/edit?usp=sharing"",""ปัตตานี!J466"")"),0)</f>
        <v>0</v>
      </c>
      <c r="CC80" s="152">
        <f ca="1">IFERROR(__xludf.DUMMYFUNCTION("IMPORTRANGE(""https://docs.google.com/spreadsheets/d/1SDNX3JhDdYRuIOsj0Wh2M-Qa_eaXl0NbWmhAOTbfQAs/edit?usp=sharing"",""ปัตตานี!J467"")"),0)</f>
        <v>0</v>
      </c>
      <c r="CD80" s="152">
        <f ca="1">IFERROR(__xludf.DUMMYFUNCTION("IMPORTRANGE(""https://docs.google.com/spreadsheets/d/1SDNX3JhDdYRuIOsj0Wh2M-Qa_eaXl0NbWmhAOTbfQAs/edit?usp=sharing"",""ปัตตานี!J468"")"),0)</f>
        <v>0</v>
      </c>
      <c r="CE80" s="152">
        <f ca="1">IFERROR(__xludf.DUMMYFUNCTION("IMPORTRANGE(""https://docs.google.com/spreadsheets/d/1SDNX3JhDdYRuIOsj0Wh2M-Qa_eaXl0NbWmhAOTbfQAs/edit?usp=sharing"",""ปัตตานี!J469"")"),0)</f>
        <v>0</v>
      </c>
      <c r="CF80" s="152">
        <f ca="1">IFERROR(__xludf.DUMMYFUNCTION("IMPORTRANGE(""https://docs.google.com/spreadsheets/d/1SDNX3JhDdYRuIOsj0Wh2M-Qa_eaXl0NbWmhAOTbfQAs/edit?usp=sharing"",""ปัตตานี!J470"")"),0)</f>
        <v>0</v>
      </c>
      <c r="CG80" s="152">
        <f ca="1">IFERROR(__xludf.DUMMYFUNCTION("IMPORTRANGE(""https://docs.google.com/spreadsheets/d/1SDNX3JhDdYRuIOsj0Wh2M-Qa_eaXl0NbWmhAOTbfQAs/edit?usp=sharing"",""ปัตตานี!J471"")"),0)</f>
        <v>0</v>
      </c>
      <c r="CH80" s="152">
        <f ca="1">IFERROR(__xludf.DUMMYFUNCTION("IMPORTRANGE(""https://docs.google.com/spreadsheets/d/1SDNX3JhDdYRuIOsj0Wh2M-Qa_eaXl0NbWmhAOTbfQAs/edit?usp=sharing"",""ปัตตานี!J472"")"),0)</f>
        <v>0</v>
      </c>
      <c r="CI80" s="152">
        <f ca="1">IFERROR(__xludf.DUMMYFUNCTION("IMPORTRANGE(""https://docs.google.com/spreadsheets/d/1SDNX3JhDdYRuIOsj0Wh2M-Qa_eaXl0NbWmhAOTbfQAs/edit?usp=sharing"",""ปัตตานี!J473"")"),0)</f>
        <v>0</v>
      </c>
      <c r="CJ80" s="152">
        <f ca="1">IFERROR(__xludf.DUMMYFUNCTION("IMPORTRANGE(""https://docs.google.com/spreadsheets/d/1SDNX3JhDdYRuIOsj0Wh2M-Qa_eaXl0NbWmhAOTbfQAs/edit?usp=sharing"",""ปัตตานี!J474"")"),0)</f>
        <v>0</v>
      </c>
      <c r="CK80" s="278">
        <f ca="1">IFERROR(__xludf.DUMMYFUNCTION("IMPORTRANGE(""https://docs.google.com/spreadsheets/d/1SDNX3JhDdYRuIOsj0Wh2M-Qa_eaXl0NbWmhAOTbfQAs/edit?usp=sharing"",""ปัตตานี!I476"")"),0)</f>
        <v>0</v>
      </c>
      <c r="CL80" s="278">
        <f ca="1">IFERROR(__xludf.DUMMYFUNCTION("IMPORTRANGE(""https://docs.google.com/spreadsheets/d/1SDNX3JhDdYRuIOsj0Wh2M-Qa_eaXl0NbWmhAOTbfQAs/edit?usp=sharing"",""ปัตตานี!I477"")"),0)</f>
        <v>0</v>
      </c>
      <c r="CM80" s="278">
        <f ca="1">IFERROR(__xludf.DUMMYFUNCTION("IMPORTRANGE(""https://docs.google.com/spreadsheets/d/1SDNX3JhDdYRuIOsj0Wh2M-Qa_eaXl0NbWmhAOTbfQAs/edit?usp=sharing"",""ปัตตานี!J476"")"),0)</f>
        <v>0</v>
      </c>
      <c r="CN80" s="216">
        <f t="shared" ca="1" si="68"/>
        <v>0</v>
      </c>
      <c r="CO80" s="278">
        <f ca="1">IFERROR(__xludf.DUMMYFUNCTION("IMPORTRANGE(""https://docs.google.com/spreadsheets/d/1SDNX3JhDdYRuIOsj0Wh2M-Qa_eaXl0NbWmhAOTbfQAs/edit?usp=sharing"",""ปัตตานี!J477"")"),0)</f>
        <v>0</v>
      </c>
      <c r="CP80" s="216">
        <f t="shared" ca="1" si="69"/>
        <v>0</v>
      </c>
      <c r="CQ80" s="278">
        <f ca="1">IFERROR(__xludf.DUMMYFUNCTION("IMPORTRANGE(""https://docs.google.com/spreadsheets/d/1SDNX3JhDdYRuIOsj0Wh2M-Qa_eaXl0NbWmhAOTbfQAs/edit?usp=sharing"",""ปัตตานี!J478"")"),0)</f>
        <v>0</v>
      </c>
      <c r="CR80" s="278">
        <f ca="1">IFERROR(__xludf.DUMMYFUNCTION("IMPORTRANGE(""https://docs.google.com/spreadsheets/d/1SDNX3JhDdYRuIOsj0Wh2M-Qa_eaXl0NbWmhAOTbfQAs/edit?usp=sharing"",""ปัตตานี!J479"")"),0)</f>
        <v>0</v>
      </c>
      <c r="CS80" s="278">
        <f ca="1">IFERROR(__xludf.DUMMYFUNCTION("IMPORTRANGE(""https://docs.google.com/spreadsheets/d/1SDNX3JhDdYRuIOsj0Wh2M-Qa_eaXl0NbWmhAOTbfQAs/edit?usp=sharing"",""ปัตตานี!J480"")"),0)</f>
        <v>0</v>
      </c>
      <c r="CT80" s="278">
        <f ca="1">IFERROR(__xludf.DUMMYFUNCTION("IMPORTRANGE(""https://docs.google.com/spreadsheets/d/1SDNX3JhDdYRuIOsj0Wh2M-Qa_eaXl0NbWmhAOTbfQAs/edit?usp=sharing"",""ปัตตานี!J481"")"),0)</f>
        <v>0</v>
      </c>
      <c r="CU80" s="278">
        <f ca="1">IFERROR(__xludf.DUMMYFUNCTION("IMPORTRANGE(""https://docs.google.com/spreadsheets/d/1SDNX3JhDdYRuIOsj0Wh2M-Qa_eaXl0NbWmhAOTbfQAs/edit?usp=sharing"",""ปัตตานี!I484"")"),0)</f>
        <v>0</v>
      </c>
      <c r="CV80" s="278">
        <f ca="1">IFERROR(__xludf.DUMMYFUNCTION("IMPORTRANGE(""https://docs.google.com/spreadsheets/d/1SDNX3JhDdYRuIOsj0Wh2M-Qa_eaXl0NbWmhAOTbfQAs/edit?usp=sharing"",""ปัตตานี!I485"")"),0)</f>
        <v>0</v>
      </c>
      <c r="CW80" s="278">
        <f ca="1">IFERROR(__xludf.DUMMYFUNCTION("IMPORTRANGE(""https://docs.google.com/spreadsheets/d/1SDNX3JhDdYRuIOsj0Wh2M-Qa_eaXl0NbWmhAOTbfQAs/edit?usp=sharing"",""ปัตตานี!J484"")"),0)</f>
        <v>0</v>
      </c>
      <c r="CX80" s="216">
        <f t="shared" ca="1" si="71"/>
        <v>0</v>
      </c>
      <c r="CY80" s="278">
        <f ca="1">IFERROR(__xludf.DUMMYFUNCTION("IMPORTRANGE(""https://docs.google.com/spreadsheets/d/1SDNX3JhDdYRuIOsj0Wh2M-Qa_eaXl0NbWmhAOTbfQAs/edit?usp=sharing"",""ปัตตานี!J485"")"),0)</f>
        <v>0</v>
      </c>
      <c r="CZ80" s="216">
        <f t="shared" ca="1" si="72"/>
        <v>0</v>
      </c>
      <c r="DA80" s="278">
        <f ca="1">IFERROR(__xludf.DUMMYFUNCTION("IMPORTRANGE(""https://docs.google.com/spreadsheets/d/1SDNX3JhDdYRuIOsj0Wh2M-Qa_eaXl0NbWmhAOTbfQAs/edit?usp=sharing"",""ปัตตานี!J486"")"),0)</f>
        <v>0</v>
      </c>
      <c r="DB80" s="278">
        <f ca="1">IFERROR(__xludf.DUMMYFUNCTION("IMPORTRANGE(""https://docs.google.com/spreadsheets/d/1SDNX3JhDdYRuIOsj0Wh2M-Qa_eaXl0NbWmhAOTbfQAs/edit?usp=sharing"",""ปัตตานี!J487"")"),0)</f>
        <v>0</v>
      </c>
      <c r="DC80" s="278">
        <f ca="1">IFERROR(__xludf.DUMMYFUNCTION("IMPORTRANGE(""https://docs.google.com/spreadsheets/d/1SDNX3JhDdYRuIOsj0Wh2M-Qa_eaXl0NbWmhAOTbfQAs/edit?usp=sharing"",""ปัตตานี!J488"")"),0)</f>
        <v>0</v>
      </c>
      <c r="DD80" s="278">
        <f ca="1">IFERROR(__xludf.DUMMYFUNCTION("IMPORTRANGE(""https://docs.google.com/spreadsheets/d/1SDNX3JhDdYRuIOsj0Wh2M-Qa_eaXl0NbWmhAOTbfQAs/edit?usp=sharing"",""ปัตตานี!J489"")"),0)</f>
        <v>0</v>
      </c>
      <c r="DE80" s="278">
        <f ca="1">IFERROR(__xludf.DUMMYFUNCTION("IMPORTRANGE(""https://docs.google.com/spreadsheets/d/1SDNX3JhDdYRuIOsj0Wh2M-Qa_eaXl0NbWmhAOTbfQAs/edit?usp=sharing"",""ปัตตานี!J490"")"),0)</f>
        <v>0</v>
      </c>
      <c r="DF80" s="278">
        <f ca="1">IFERROR(__xludf.DUMMYFUNCTION("IMPORTRANGE(""https://docs.google.com/spreadsheets/d/1SDNX3JhDdYRuIOsj0Wh2M-Qa_eaXl0NbWmhAOTbfQAs/edit?usp=sharing"",""ปัตตานี!J491"")"),0)</f>
        <v>0</v>
      </c>
    </row>
    <row r="81" spans="1:110" ht="19.5" x14ac:dyDescent="0.3">
      <c r="A81" s="147">
        <v>7</v>
      </c>
      <c r="B81" s="148" t="s">
        <v>109</v>
      </c>
      <c r="C81" s="566">
        <f t="shared" ca="1" si="44"/>
        <v>21550</v>
      </c>
      <c r="D81" s="567">
        <f t="shared" ca="1" si="104"/>
        <v>21550</v>
      </c>
      <c r="E81" s="329">
        <f ca="1">IFERROR(__xludf.DUMMYFUNCTION("IMPORTRANGE(""https://docs.google.com/spreadsheets/d/1-uDff_7J0KD5mKrp0Vvzr7lt3OU09vwQwhkpOPPYv2Y/edit?usp=sharing"",""งบพรบ!IP81"")"),0)</f>
        <v>0</v>
      </c>
      <c r="F81" s="329">
        <f ca="1">IFERROR(__xludf.DUMMYFUNCTION("IMPORTRANGE(""https://docs.google.com/spreadsheets/d/1-uDff_7J0KD5mKrp0Vvzr7lt3OU09vwQwhkpOPPYv2Y/edit?usp=sharing"",""งบพรบ!IQ81"")"),21550)</f>
        <v>21550</v>
      </c>
      <c r="G81" s="329">
        <f ca="1">IFERROR(__xludf.DUMMYFUNCTION("IMPORTRANGE(""https://docs.google.com/spreadsheets/d/1-uDff_7J0KD5mKrp0Vvzr7lt3OU09vwQwhkpOPPYv2Y/edit?usp=sharing"",""งบพรบ!IR81"")"),0)</f>
        <v>0</v>
      </c>
      <c r="H81" s="329">
        <f ca="1">IFERROR(__xludf.DUMMYFUNCTION("IMPORTRANGE(""https://docs.google.com/spreadsheets/d/1-uDff_7J0KD5mKrp0Vvzr7lt3OU09vwQwhkpOPPYv2Y/edit?usp=sharing"",""งบพรบ!IT81"")"),21550)</f>
        <v>21550</v>
      </c>
      <c r="I81" s="329">
        <f ca="1">IFERROR(__xludf.DUMMYFUNCTION("IMPORTRANGE(""https://docs.google.com/spreadsheets/d/1-uDff_7J0KD5mKrp0Vvzr7lt3OU09vwQwhkpOPPYv2Y/edit?usp=sharing"",""งบพรบ!IU81"")"),0)</f>
        <v>0</v>
      </c>
      <c r="J81" s="329">
        <f t="shared" ca="1" si="46"/>
        <v>0</v>
      </c>
      <c r="K81" s="568">
        <f t="shared" ca="1" si="47"/>
        <v>0</v>
      </c>
      <c r="L81" s="329">
        <f ca="1">IFERROR(__xludf.DUMMYFUNCTION("IMPORTRANGE(""https://docs.google.com/spreadsheets/d/1-uDff_7J0KD5mKrp0Vvzr7lt3OU09vwQwhkpOPPYv2Y/edit?usp=sharing"",""งบพรบ!IV81"")"),0)</f>
        <v>0</v>
      </c>
      <c r="M81" s="330">
        <f t="shared" ca="1" si="48"/>
        <v>0</v>
      </c>
      <c r="N81" s="330">
        <f t="shared" ca="1" si="49"/>
        <v>0</v>
      </c>
      <c r="O81" s="569">
        <f ca="1">IFERROR(__xludf.DUMMYFUNCTION("IMPORTRANGE(""https://docs.google.com/spreadsheets/d/1-uDff_7J0KD5mKrp0Vvzr7lt3OU09vwQwhkpOPPYv2Y/edit?usp=sharing"",""งบพรบ!IW81"")"),0)</f>
        <v>0</v>
      </c>
      <c r="P81" s="569">
        <f t="shared" ca="1" si="50"/>
        <v>0</v>
      </c>
      <c r="Q81" s="330">
        <f t="shared" ca="1" si="51"/>
        <v>0</v>
      </c>
      <c r="R81" s="564">
        <f ca="1">IFERROR(__xludf.DUMMYFUNCTION("IMPORTRANGE(""https://docs.google.com/spreadsheets/d/16JDLGguT8s5DsGCND1KcwHP_AWR_zDMTqLHPLJUKhaU/edit?usp=sharing"",""พังงา!Q413"")"),15200)</f>
        <v>15200</v>
      </c>
      <c r="S81" s="564">
        <f ca="1">IFERROR(__xludf.DUMMYFUNCTION("IMPORTRANGE(""https://docs.google.com/spreadsheets/d/16JDLGguT8s5DsGCND1KcwHP_AWR_zDMTqLHPLJUKhaU/edit?usp=sharing"",""พังงา!R413"")"),15200)</f>
        <v>15200</v>
      </c>
      <c r="T81" s="564">
        <f ca="1">IFERROR(__xludf.DUMMYFUNCTION("IMPORTRANGE(""https://docs.google.com/spreadsheets/d/16JDLGguT8s5DsGCND1KcwHP_AWR_zDMTqLHPLJUKhaU/edit?usp=sharing"",""พังงา!S413"")"),0)</f>
        <v>0</v>
      </c>
      <c r="U81" s="565">
        <f t="shared" ca="1" si="53"/>
        <v>0</v>
      </c>
      <c r="V81" s="565">
        <f t="shared" ca="1" si="54"/>
        <v>0</v>
      </c>
      <c r="W81" s="152">
        <f ca="1">IFERROR(__xludf.DUMMYFUNCTION("IMPORTRANGE(""https://docs.google.com/spreadsheets/d/16JDLGguT8s5DsGCND1KcwHP_AWR_zDMTqLHPLJUKhaU/edit?usp=sharing"",""พังงา!I424"")"),0)</f>
        <v>0</v>
      </c>
      <c r="X81" s="152">
        <f ca="1">IFERROR(__xludf.DUMMYFUNCTION("IMPORTRANGE(""https://docs.google.com/spreadsheets/d/16JDLGguT8s5DsGCND1KcwHP_AWR_zDMTqLHPLJUKhaU/edit?usp=sharing"",""พังงา!I425"")"),0)</f>
        <v>0</v>
      </c>
      <c r="Y81" s="152">
        <f ca="1">IFERROR(__xludf.DUMMYFUNCTION("IMPORTRANGE(""https://docs.google.com/spreadsheets/d/16JDLGguT8s5DsGCND1KcwHP_AWR_zDMTqLHPLJUKhaU/edit?usp=sharing"",""พังงา!J424"")"),0)</f>
        <v>0</v>
      </c>
      <c r="Z81" s="216">
        <f t="shared" ca="1" si="56"/>
        <v>0</v>
      </c>
      <c r="AA81" s="152">
        <f ca="1">IFERROR(__xludf.DUMMYFUNCTION("IMPORTRANGE(""https://docs.google.com/spreadsheets/d/16JDLGguT8s5DsGCND1KcwHP_AWR_zDMTqLHPLJUKhaU/edit?usp=sharing"",""พังงา!J425"")"),0)</f>
        <v>0</v>
      </c>
      <c r="AB81" s="216">
        <f t="shared" ca="1" si="57"/>
        <v>0</v>
      </c>
      <c r="AC81" s="152">
        <f ca="1">IFERROR(__xludf.DUMMYFUNCTION("IMPORTRANGE(""https://docs.google.com/spreadsheets/d/16JDLGguT8s5DsGCND1KcwHP_AWR_zDMTqLHPLJUKhaU/edit?usp=sharing"",""พังงา!J426"")"),0)</f>
        <v>0</v>
      </c>
      <c r="AD81" s="152">
        <f ca="1">IFERROR(__xludf.DUMMYFUNCTION("IMPORTRANGE(""https://docs.google.com/spreadsheets/d/16JDLGguT8s5DsGCND1KcwHP_AWR_zDMTqLHPLJUKhaU/edit?usp=sharing"",""พังงา!J427"")"),0)</f>
        <v>0</v>
      </c>
      <c r="AE81" s="152">
        <f ca="1">IFERROR(__xludf.DUMMYFUNCTION("IMPORTRANGE(""https://docs.google.com/spreadsheets/d/16JDLGguT8s5DsGCND1KcwHP_AWR_zDMTqLHPLJUKhaU/edit?usp=sharing"",""พังงา!J428"")"),0)</f>
        <v>0</v>
      </c>
      <c r="AF81" s="152">
        <f ca="1">IFERROR(__xludf.DUMMYFUNCTION("IMPORTRANGE(""https://docs.google.com/spreadsheets/d/16JDLGguT8s5DsGCND1KcwHP_AWR_zDMTqLHPLJUKhaU/edit?usp=sharing"",""พังงา!J429"")"),0)</f>
        <v>0</v>
      </c>
      <c r="AG81" s="152">
        <f ca="1">IFERROR(__xludf.DUMMYFUNCTION("IMPORTRANGE(""https://docs.google.com/spreadsheets/d/16JDLGguT8s5DsGCND1KcwHP_AWR_zDMTqLHPLJUKhaU/edit?usp=sharing"",""พังงา!J430"")"),0)</f>
        <v>0</v>
      </c>
      <c r="AH81" s="152">
        <f ca="1">IFERROR(__xludf.DUMMYFUNCTION("IMPORTRANGE(""https://docs.google.com/spreadsheets/d/16JDLGguT8s5DsGCND1KcwHP_AWR_zDMTqLHPLJUKhaU/edit?usp=sharing"",""พังงา!J431"")"),0)</f>
        <v>0</v>
      </c>
      <c r="AI81" s="152">
        <f ca="1">IFERROR(__xludf.DUMMYFUNCTION("IMPORTRANGE(""https://docs.google.com/spreadsheets/d/16JDLGguT8s5DsGCND1KcwHP_AWR_zDMTqLHPLJUKhaU/edit?usp=sharing"",""พังงา!I432"")"),0)</f>
        <v>0</v>
      </c>
      <c r="AJ81" s="152">
        <f ca="1">IFERROR(__xludf.DUMMYFUNCTION("IMPORTRANGE(""https://docs.google.com/spreadsheets/d/16JDLGguT8s5DsGCND1KcwHP_AWR_zDMTqLHPLJUKhaU/edit?usp=sharing"",""พังงา!I433"")"),0)</f>
        <v>0</v>
      </c>
      <c r="AK81" s="216">
        <f ca="1">IFERROR(__xludf.DUMMYFUNCTION("IMPORTRANGE(""https://docs.google.com/spreadsheets/d/16JDLGguT8s5DsGCND1KcwHP_AWR_zDMTqLHPLJUKhaU/edit?usp=sharing"",""พังงา!J432"")"),0)</f>
        <v>0</v>
      </c>
      <c r="AL81" s="216">
        <f t="shared" ca="1" si="59"/>
        <v>0</v>
      </c>
      <c r="AM81" s="152">
        <f ca="1">IFERROR(__xludf.DUMMYFUNCTION("IMPORTRANGE(""https://docs.google.com/spreadsheets/d/16JDLGguT8s5DsGCND1KcwHP_AWR_zDMTqLHPLJUKhaU/edit?usp=sharing"",""พังงา!J433"")"),0)</f>
        <v>0</v>
      </c>
      <c r="AN81" s="216">
        <f t="shared" ca="1" si="60"/>
        <v>0</v>
      </c>
      <c r="AO81" s="152">
        <f ca="1">IFERROR(__xludf.DUMMYFUNCTION("IMPORTRANGE(""https://docs.google.com/spreadsheets/d/16JDLGguT8s5DsGCND1KcwHP_AWR_zDMTqLHPLJUKhaU/edit?usp=sharing"",""พังงา!J434"")"),0)</f>
        <v>0</v>
      </c>
      <c r="AP81" s="152">
        <f ca="1">IFERROR(__xludf.DUMMYFUNCTION("IMPORTRANGE(""https://docs.google.com/spreadsheets/d/16JDLGguT8s5DsGCND1KcwHP_AWR_zDMTqLHPLJUKhaU/edit?usp=sharing"",""พังงา!J435"")"),0)</f>
        <v>0</v>
      </c>
      <c r="AQ81" s="152">
        <f ca="1">IFERROR(__xludf.DUMMYFUNCTION("IMPORTRANGE(""https://docs.google.com/spreadsheets/d/16JDLGguT8s5DsGCND1KcwHP_AWR_zDMTqLHPLJUKhaU/edit?usp=sharing"",""พังงา!J436"")"),0)</f>
        <v>0</v>
      </c>
      <c r="AR81" s="152">
        <f ca="1">IFERROR(__xludf.DUMMYFUNCTION("IMPORTRANGE(""https://docs.google.com/spreadsheets/d/16JDLGguT8s5DsGCND1KcwHP_AWR_zDMTqLHPLJUKhaU/edit?usp=sharing"",""พังงา!J437"")"),0)</f>
        <v>0</v>
      </c>
      <c r="AS81" s="152">
        <f ca="1">IFERROR(__xludf.DUMMYFUNCTION("IMPORTRANGE(""https://docs.google.com/spreadsheets/d/16JDLGguT8s5DsGCND1KcwHP_AWR_zDMTqLHPLJUKhaU/edit?usp=sharing"",""พังงา!J438"")"),0)</f>
        <v>0</v>
      </c>
      <c r="AT81" s="152">
        <f ca="1">IFERROR(__xludf.DUMMYFUNCTION("IMPORTRANGE(""https://docs.google.com/spreadsheets/d/16JDLGguT8s5DsGCND1KcwHP_AWR_zDMTqLHPLJUKhaU/edit?usp=sharing"",""พังงา!J439"")"),0)</f>
        <v>0</v>
      </c>
      <c r="AU81" s="152">
        <f ca="1">IFERROR(__xludf.DUMMYFUNCTION("IMPORTRANGE(""https://docs.google.com/spreadsheets/d/16JDLGguT8s5DsGCND1KcwHP_AWR_zDMTqLHPLJUKhaU/edit?usp=sharing"",""พังงา!I440"")"),0)</f>
        <v>0</v>
      </c>
      <c r="AV81" s="152">
        <f ca="1">IFERROR(__xludf.DUMMYFUNCTION("IMPORTRANGE(""https://docs.google.com/spreadsheets/d/16JDLGguT8s5DsGCND1KcwHP_AWR_zDMTqLHPLJUKhaU/edit?usp=sharing"",""พังงา!I441"")"),0)</f>
        <v>0</v>
      </c>
      <c r="AW81" s="152">
        <f ca="1">IFERROR(__xludf.DUMMYFUNCTION("IMPORTRANGE(""https://docs.google.com/spreadsheets/d/16JDLGguT8s5DsGCND1KcwHP_AWR_zDMTqLHPLJUKhaU/edit?usp=sharing"",""พังงา!J440"")"),0)</f>
        <v>0</v>
      </c>
      <c r="AX81" s="216">
        <f t="shared" ca="1" si="62"/>
        <v>0</v>
      </c>
      <c r="AY81" s="152">
        <f ca="1">IFERROR(__xludf.DUMMYFUNCTION("IMPORTRANGE(""https://docs.google.com/spreadsheets/d/16JDLGguT8s5DsGCND1KcwHP_AWR_zDMTqLHPLJUKhaU/edit?usp=sharing"",""พังงา!J441"")"),0)</f>
        <v>0</v>
      </c>
      <c r="AZ81" s="216">
        <f t="shared" ca="1" si="63"/>
        <v>0</v>
      </c>
      <c r="BA81" s="152">
        <f ca="1">IFERROR(__xludf.DUMMYFUNCTION("IMPORTRANGE(""https://docs.google.com/spreadsheets/d/16JDLGguT8s5DsGCND1KcwHP_AWR_zDMTqLHPLJUKhaU/edit?usp=sharing"",""พังงา!J442"")"),0)</f>
        <v>0</v>
      </c>
      <c r="BB81" s="152">
        <f ca="1">IFERROR(__xludf.DUMMYFUNCTION("IMPORTRANGE(""https://docs.google.com/spreadsheets/d/16JDLGguT8s5DsGCND1KcwHP_AWR_zDMTqLHPLJUKhaU/edit?usp=sharing"",""พังงา!J443"")"),0)</f>
        <v>0</v>
      </c>
      <c r="BC81" s="152">
        <f ca="1">IFERROR(__xludf.DUMMYFUNCTION("IMPORTRANGE(""https://docs.google.com/spreadsheets/d/16JDLGguT8s5DsGCND1KcwHP_AWR_zDMTqLHPLJUKhaU/edit?usp=sharing"",""พังงา!J444"")"),0)</f>
        <v>0</v>
      </c>
      <c r="BD81" s="152">
        <f ca="1">IFERROR(__xludf.DUMMYFUNCTION("IMPORTRANGE(""https://docs.google.com/spreadsheets/d/16JDLGguT8s5DsGCND1KcwHP_AWR_zDMTqLHPLJUKhaU/edit?usp=sharing"",""พังงา!J445"")"),0)</f>
        <v>0</v>
      </c>
      <c r="BE81" s="152">
        <f ca="1">IFERROR(__xludf.DUMMYFUNCTION("IMPORTRANGE(""https://docs.google.com/spreadsheets/d/16JDLGguT8s5DsGCND1KcwHP_AWR_zDMTqLHPLJUKhaU/edit?usp=sharing"",""พังงา!J446"")"),0)</f>
        <v>0</v>
      </c>
      <c r="BF81" s="152">
        <f ca="1">IFERROR(__xludf.DUMMYFUNCTION("IMPORTRANGE(""https://docs.google.com/spreadsheets/d/16JDLGguT8s5DsGCND1KcwHP_AWR_zDMTqLHPLJUKhaU/edit?usp=sharing"",""พังงา!J447"")"),0)</f>
        <v>0</v>
      </c>
      <c r="BG81" s="152">
        <f ca="1">IFERROR(__xludf.DUMMYFUNCTION("IMPORTRANGE(""https://docs.google.com/spreadsheets/d/16JDLGguT8s5DsGCND1KcwHP_AWR_zDMTqLHPLJUKhaU/edit?usp=sharing"",""พังงา!J448"")"),0)</f>
        <v>0</v>
      </c>
      <c r="BH81" s="152">
        <f ca="1">IFERROR(__xludf.DUMMYFUNCTION("IMPORTRANGE(""https://docs.google.com/spreadsheets/d/16JDLGguT8s5DsGCND1KcwHP_AWR_zDMTqLHPLJUKhaU/edit?usp=sharing"",""พังงา!J449"")"),0)</f>
        <v>0</v>
      </c>
      <c r="BI81" s="152">
        <f ca="1">IFERROR(__xludf.DUMMYFUNCTION("IMPORTRANGE(""https://docs.google.com/spreadsheets/d/16JDLGguT8s5DsGCND1KcwHP_AWR_zDMTqLHPLJUKhaU/edit?usp=sharing"",""พังงา!J450"")"),0)</f>
        <v>0</v>
      </c>
      <c r="BJ81" s="152">
        <f ca="1">IFERROR(__xludf.DUMMYFUNCTION("IMPORTRANGE(""https://docs.google.com/spreadsheets/d/16JDLGguT8s5DsGCND1KcwHP_AWR_zDMTqLHPLJUKhaU/edit?usp=sharing"",""พังงา!J451"")"),0)</f>
        <v>0</v>
      </c>
      <c r="BK81" s="152">
        <f ca="1">IFERROR(__xludf.DUMMYFUNCTION("IMPORTRANGE(""https://docs.google.com/spreadsheets/d/16JDLGguT8s5DsGCND1KcwHP_AWR_zDMTqLHPLJUKhaU/edit?usp=sharing"",""พังงา!J452"")"),0)</f>
        <v>0</v>
      </c>
      <c r="BL81" s="152">
        <f ca="1">IFERROR(__xludf.DUMMYFUNCTION("IMPORTRANGE(""https://docs.google.com/spreadsheets/d/16JDLGguT8s5DsGCND1KcwHP_AWR_zDMTqLHPLJUKhaU/edit?usp=sharing"",""พังงา!J453"")"),0)</f>
        <v>0</v>
      </c>
      <c r="BM81" s="152">
        <f ca="1">IFERROR(__xludf.DUMMYFUNCTION("IMPORTRANGE(""https://docs.google.com/spreadsheets/d/16JDLGguT8s5DsGCND1KcwHP_AWR_zDMTqLHPLJUKhaU/edit?usp=sharing"",""พังงา!J454"")"),0)</f>
        <v>0</v>
      </c>
      <c r="BN81" s="152">
        <f ca="1">IFERROR(__xludf.DUMMYFUNCTION("IMPORTRANGE(""https://docs.google.com/spreadsheets/d/16JDLGguT8s5DsGCND1KcwHP_AWR_zDMTqLHPLJUKhaU/edit?usp=sharing"",""พังงา!J455"")"),0)</f>
        <v>0</v>
      </c>
      <c r="BO81" s="152">
        <f ca="1">IFERROR(__xludf.DUMMYFUNCTION("IMPORTRANGE(""https://docs.google.com/spreadsheets/d/16JDLGguT8s5DsGCND1KcwHP_AWR_zDMTqLHPLJUKhaU/edit?usp=sharing"",""พังงา!I457"")"),57.45)</f>
        <v>57.45</v>
      </c>
      <c r="BP81" s="152">
        <f ca="1">IFERROR(__xludf.DUMMYFUNCTION("IMPORTRANGE(""https://docs.google.com/spreadsheets/d/16JDLGguT8s5DsGCND1KcwHP_AWR_zDMTqLHPLJUKhaU/edit?usp=sharing"",""พังงา!I458"")"),25)</f>
        <v>25</v>
      </c>
      <c r="BQ81" s="152">
        <f ca="1">IFERROR(__xludf.DUMMYFUNCTION("IMPORTRANGE(""https://docs.google.com/spreadsheets/d/16JDLGguT8s5DsGCND1KcwHP_AWR_zDMTqLHPLJUKhaU/edit?usp=sharing"",""พังงา!J457"")"),0)</f>
        <v>0</v>
      </c>
      <c r="BR81" s="216">
        <f t="shared" ca="1" si="65"/>
        <v>0</v>
      </c>
      <c r="BS81" s="152">
        <f ca="1">IFERROR(__xludf.DUMMYFUNCTION("IMPORTRANGE(""https://docs.google.com/spreadsheets/d/16JDLGguT8s5DsGCND1KcwHP_AWR_zDMTqLHPLJUKhaU/edit?usp=sharing"",""พังงา!J458"")"),0)</f>
        <v>0</v>
      </c>
      <c r="BT81" s="216">
        <f t="shared" ca="1" si="66"/>
        <v>0</v>
      </c>
      <c r="BU81" s="152">
        <f ca="1">IFERROR(__xludf.DUMMYFUNCTION("IMPORTRANGE(""https://docs.google.com/spreadsheets/d/16JDLGguT8s5DsGCND1KcwHP_AWR_zDMTqLHPLJUKhaU/edit?usp=sharing"",""พังงา!J459"")"),0)</f>
        <v>0</v>
      </c>
      <c r="BV81" s="152">
        <f ca="1">IFERROR(__xludf.DUMMYFUNCTION("IMPORTRANGE(""https://docs.google.com/spreadsheets/d/16JDLGguT8s5DsGCND1KcwHP_AWR_zDMTqLHPLJUKhaU/edit?usp=sharing"",""พังงา!J460"")"),0)</f>
        <v>0</v>
      </c>
      <c r="BW81" s="152">
        <f ca="1">IFERROR(__xludf.DUMMYFUNCTION("IMPORTRANGE(""https://docs.google.com/spreadsheets/d/16JDLGguT8s5DsGCND1KcwHP_AWR_zDMTqLHPLJUKhaU/edit?usp=sharing"",""พังงา!J461"")"),0)</f>
        <v>0</v>
      </c>
      <c r="BX81" s="152">
        <f ca="1">IFERROR(__xludf.DUMMYFUNCTION("IMPORTRANGE(""https://docs.google.com/spreadsheets/d/16JDLGguT8s5DsGCND1KcwHP_AWR_zDMTqLHPLJUKhaU/edit?usp=sharing"",""พังงา!J462"")"),0)</f>
        <v>0</v>
      </c>
      <c r="BY81" s="152">
        <f ca="1">IFERROR(__xludf.DUMMYFUNCTION("IMPORTRANGE(""https://docs.google.com/spreadsheets/d/16JDLGguT8s5DsGCND1KcwHP_AWR_zDMTqLHPLJUKhaU/edit?usp=sharing"",""พังงา!J463"")"),0)</f>
        <v>0</v>
      </c>
      <c r="BZ81" s="152">
        <f ca="1">IFERROR(__xludf.DUMMYFUNCTION("IMPORTRANGE(""https://docs.google.com/spreadsheets/d/16JDLGguT8s5DsGCND1KcwHP_AWR_zDMTqLHPLJUKhaU/edit?usp=sharing"",""พังงา!J464"")"),0)</f>
        <v>0</v>
      </c>
      <c r="CA81" s="152">
        <f ca="1">IFERROR(__xludf.DUMMYFUNCTION("IMPORTRANGE(""https://docs.google.com/spreadsheets/d/16JDLGguT8s5DsGCND1KcwHP_AWR_zDMTqLHPLJUKhaU/edit?usp=sharing"",""พังงา!J465"")"),0)</f>
        <v>0</v>
      </c>
      <c r="CB81" s="152">
        <f ca="1">IFERROR(__xludf.DUMMYFUNCTION("IMPORTRANGE(""https://docs.google.com/spreadsheets/d/16JDLGguT8s5DsGCND1KcwHP_AWR_zDMTqLHPLJUKhaU/edit?usp=sharing"",""พังงา!J466"")"),0)</f>
        <v>0</v>
      </c>
      <c r="CC81" s="152">
        <f ca="1">IFERROR(__xludf.DUMMYFUNCTION("IMPORTRANGE(""https://docs.google.com/spreadsheets/d/16JDLGguT8s5DsGCND1KcwHP_AWR_zDMTqLHPLJUKhaU/edit?usp=sharing"",""พังงา!J467"")"),0)</f>
        <v>0</v>
      </c>
      <c r="CD81" s="152">
        <f ca="1">IFERROR(__xludf.DUMMYFUNCTION("IMPORTRANGE(""https://docs.google.com/spreadsheets/d/16JDLGguT8s5DsGCND1KcwHP_AWR_zDMTqLHPLJUKhaU/edit?usp=sharing"",""พังงา!J468"")"),0)</f>
        <v>0</v>
      </c>
      <c r="CE81" s="152">
        <f ca="1">IFERROR(__xludf.DUMMYFUNCTION("IMPORTRANGE(""https://docs.google.com/spreadsheets/d/16JDLGguT8s5DsGCND1KcwHP_AWR_zDMTqLHPLJUKhaU/edit?usp=sharing"",""พังงา!J469"")"),0)</f>
        <v>0</v>
      </c>
      <c r="CF81" s="152">
        <f ca="1">IFERROR(__xludf.DUMMYFUNCTION("IMPORTRANGE(""https://docs.google.com/spreadsheets/d/16JDLGguT8s5DsGCND1KcwHP_AWR_zDMTqLHPLJUKhaU/edit?usp=sharing"",""พังงา!J470"")"),0)</f>
        <v>0</v>
      </c>
      <c r="CG81" s="152">
        <f ca="1">IFERROR(__xludf.DUMMYFUNCTION("IMPORTRANGE(""https://docs.google.com/spreadsheets/d/16JDLGguT8s5DsGCND1KcwHP_AWR_zDMTqLHPLJUKhaU/edit?usp=sharing"",""พังงา!J471"")"),0)</f>
        <v>0</v>
      </c>
      <c r="CH81" s="152">
        <f ca="1">IFERROR(__xludf.DUMMYFUNCTION("IMPORTRANGE(""https://docs.google.com/spreadsheets/d/16JDLGguT8s5DsGCND1KcwHP_AWR_zDMTqLHPLJUKhaU/edit?usp=sharing"",""พังงา!J472"")"),0)</f>
        <v>0</v>
      </c>
      <c r="CI81" s="152">
        <f ca="1">IFERROR(__xludf.DUMMYFUNCTION("IMPORTRANGE(""https://docs.google.com/spreadsheets/d/16JDLGguT8s5DsGCND1KcwHP_AWR_zDMTqLHPLJUKhaU/edit?usp=sharing"",""พังงา!J473"")"),0)</f>
        <v>0</v>
      </c>
      <c r="CJ81" s="152">
        <f ca="1">IFERROR(__xludf.DUMMYFUNCTION("IMPORTRANGE(""https://docs.google.com/spreadsheets/d/16JDLGguT8s5DsGCND1KcwHP_AWR_zDMTqLHPLJUKhaU/edit?usp=sharing"",""พังงา!J474"")"),0)</f>
        <v>0</v>
      </c>
      <c r="CK81" s="278">
        <f ca="1">IFERROR(__xludf.DUMMYFUNCTION("IMPORTRANGE(""https://docs.google.com/spreadsheets/d/16JDLGguT8s5DsGCND1KcwHP_AWR_zDMTqLHPLJUKhaU/edit?usp=sharing"",""พังงา!I476"")"),0)</f>
        <v>0</v>
      </c>
      <c r="CL81" s="278">
        <f ca="1">IFERROR(__xludf.DUMMYFUNCTION("IMPORTRANGE(""https://docs.google.com/spreadsheets/d/16JDLGguT8s5DsGCND1KcwHP_AWR_zDMTqLHPLJUKhaU/edit?usp=sharing"",""พังงา!I477"")"),0)</f>
        <v>0</v>
      </c>
      <c r="CM81" s="278">
        <f ca="1">IFERROR(__xludf.DUMMYFUNCTION("IMPORTRANGE(""https://docs.google.com/spreadsheets/d/16JDLGguT8s5DsGCND1KcwHP_AWR_zDMTqLHPLJUKhaU/edit?usp=sharing"",""พังงา!J476"")"),0)</f>
        <v>0</v>
      </c>
      <c r="CN81" s="216">
        <f t="shared" ca="1" si="68"/>
        <v>0</v>
      </c>
      <c r="CO81" s="278">
        <f ca="1">IFERROR(__xludf.DUMMYFUNCTION("IMPORTRANGE(""https://docs.google.com/spreadsheets/d/16JDLGguT8s5DsGCND1KcwHP_AWR_zDMTqLHPLJUKhaU/edit?usp=sharing"",""พังงา!J477"")"),0)</f>
        <v>0</v>
      </c>
      <c r="CP81" s="216">
        <f t="shared" ca="1" si="69"/>
        <v>0</v>
      </c>
      <c r="CQ81" s="278">
        <f ca="1">IFERROR(__xludf.DUMMYFUNCTION("IMPORTRANGE(""https://docs.google.com/spreadsheets/d/16JDLGguT8s5DsGCND1KcwHP_AWR_zDMTqLHPLJUKhaU/edit?usp=sharing"",""พังงา!J478"")"),0)</f>
        <v>0</v>
      </c>
      <c r="CR81" s="278">
        <f ca="1">IFERROR(__xludf.DUMMYFUNCTION("IMPORTRANGE(""https://docs.google.com/spreadsheets/d/16JDLGguT8s5DsGCND1KcwHP_AWR_zDMTqLHPLJUKhaU/edit?usp=sharing"",""พังงา!J479"")"),0)</f>
        <v>0</v>
      </c>
      <c r="CS81" s="278">
        <f ca="1">IFERROR(__xludf.DUMMYFUNCTION("IMPORTRANGE(""https://docs.google.com/spreadsheets/d/16JDLGguT8s5DsGCND1KcwHP_AWR_zDMTqLHPLJUKhaU/edit?usp=sharing"",""พังงา!J480"")"),0)</f>
        <v>0</v>
      </c>
      <c r="CT81" s="278">
        <f ca="1">IFERROR(__xludf.DUMMYFUNCTION("IMPORTRANGE(""https://docs.google.com/spreadsheets/d/16JDLGguT8s5DsGCND1KcwHP_AWR_zDMTqLHPLJUKhaU/edit?usp=sharing"",""พังงา!J481"")"),0)</f>
        <v>0</v>
      </c>
      <c r="CU81" s="278">
        <f ca="1">IFERROR(__xludf.DUMMYFUNCTION("IMPORTRANGE(""https://docs.google.com/spreadsheets/d/16JDLGguT8s5DsGCND1KcwHP_AWR_zDMTqLHPLJUKhaU/edit?usp=sharing"",""พังงา!I484"")"),0)</f>
        <v>0</v>
      </c>
      <c r="CV81" s="278">
        <f ca="1">IFERROR(__xludf.DUMMYFUNCTION("IMPORTRANGE(""https://docs.google.com/spreadsheets/d/16JDLGguT8s5DsGCND1KcwHP_AWR_zDMTqLHPLJUKhaU/edit?usp=sharing"",""พังงา!I485"")"),0)</f>
        <v>0</v>
      </c>
      <c r="CW81" s="278">
        <f ca="1">IFERROR(__xludf.DUMMYFUNCTION("IMPORTRANGE(""https://docs.google.com/spreadsheets/d/16JDLGguT8s5DsGCND1KcwHP_AWR_zDMTqLHPLJUKhaU/edit?usp=sharing"",""พังงา!J484"")"),0)</f>
        <v>0</v>
      </c>
      <c r="CX81" s="216">
        <f t="shared" ca="1" si="71"/>
        <v>0</v>
      </c>
      <c r="CY81" s="278">
        <f ca="1">IFERROR(__xludf.DUMMYFUNCTION("IMPORTRANGE(""https://docs.google.com/spreadsheets/d/16JDLGguT8s5DsGCND1KcwHP_AWR_zDMTqLHPLJUKhaU/edit?usp=sharing"",""พังงา!J485"")"),0)</f>
        <v>0</v>
      </c>
      <c r="CZ81" s="216">
        <f t="shared" ca="1" si="72"/>
        <v>0</v>
      </c>
      <c r="DA81" s="278">
        <f ca="1">IFERROR(__xludf.DUMMYFUNCTION("IMPORTRANGE(""https://docs.google.com/spreadsheets/d/16JDLGguT8s5DsGCND1KcwHP_AWR_zDMTqLHPLJUKhaU/edit?usp=sharing"",""พังงา!J486"")"),0)</f>
        <v>0</v>
      </c>
      <c r="DB81" s="278">
        <f ca="1">IFERROR(__xludf.DUMMYFUNCTION("IMPORTRANGE(""https://docs.google.com/spreadsheets/d/16JDLGguT8s5DsGCND1KcwHP_AWR_zDMTqLHPLJUKhaU/edit?usp=sharing"",""พังงา!J487"")"),0)</f>
        <v>0</v>
      </c>
      <c r="DC81" s="278">
        <f ca="1">IFERROR(__xludf.DUMMYFUNCTION("IMPORTRANGE(""https://docs.google.com/spreadsheets/d/16JDLGguT8s5DsGCND1KcwHP_AWR_zDMTqLHPLJUKhaU/edit?usp=sharing"",""พังงา!J488"")"),0)</f>
        <v>0</v>
      </c>
      <c r="DD81" s="278">
        <f ca="1">IFERROR(__xludf.DUMMYFUNCTION("IMPORTRANGE(""https://docs.google.com/spreadsheets/d/16JDLGguT8s5DsGCND1KcwHP_AWR_zDMTqLHPLJUKhaU/edit?usp=sharing"",""พังงา!J489"")"),0)</f>
        <v>0</v>
      </c>
      <c r="DE81" s="278">
        <f ca="1">IFERROR(__xludf.DUMMYFUNCTION("IMPORTRANGE(""https://docs.google.com/spreadsheets/d/16JDLGguT8s5DsGCND1KcwHP_AWR_zDMTqLHPLJUKhaU/edit?usp=sharing"",""พังงา!J490"")"),0)</f>
        <v>0</v>
      </c>
      <c r="DF81" s="278">
        <f ca="1">IFERROR(__xludf.DUMMYFUNCTION("IMPORTRANGE(""https://docs.google.com/spreadsheets/d/16JDLGguT8s5DsGCND1KcwHP_AWR_zDMTqLHPLJUKhaU/edit?usp=sharing"",""พังงา!J491"")"),0)</f>
        <v>0</v>
      </c>
    </row>
    <row r="82" spans="1:110" ht="19.5" x14ac:dyDescent="0.3">
      <c r="A82" s="147">
        <v>8</v>
      </c>
      <c r="B82" s="148" t="s">
        <v>110</v>
      </c>
      <c r="C82" s="566">
        <f t="shared" ca="1" si="44"/>
        <v>40030</v>
      </c>
      <c r="D82" s="567">
        <f t="shared" ca="1" si="104"/>
        <v>40030</v>
      </c>
      <c r="E82" s="329">
        <f ca="1">IFERROR(__xludf.DUMMYFUNCTION("IMPORTRANGE(""https://docs.google.com/spreadsheets/d/1-uDff_7J0KD5mKrp0Vvzr7lt3OU09vwQwhkpOPPYv2Y/edit?usp=sharing"",""งบพรบ!IP82"")"),0)</f>
        <v>0</v>
      </c>
      <c r="F82" s="329">
        <f ca="1">IFERROR(__xludf.DUMMYFUNCTION("IMPORTRANGE(""https://docs.google.com/spreadsheets/d/1-uDff_7J0KD5mKrp0Vvzr7lt3OU09vwQwhkpOPPYv2Y/edit?usp=sharing"",""งบพรบ!IQ82"")"),40030)</f>
        <v>40030</v>
      </c>
      <c r="G82" s="329">
        <f ca="1">IFERROR(__xludf.DUMMYFUNCTION("IMPORTRANGE(""https://docs.google.com/spreadsheets/d/1-uDff_7J0KD5mKrp0Vvzr7lt3OU09vwQwhkpOPPYv2Y/edit?usp=sharing"",""งบพรบ!IR82"")"),0)</f>
        <v>0</v>
      </c>
      <c r="H82" s="329">
        <f ca="1">IFERROR(__xludf.DUMMYFUNCTION("IMPORTRANGE(""https://docs.google.com/spreadsheets/d/1-uDff_7J0KD5mKrp0Vvzr7lt3OU09vwQwhkpOPPYv2Y/edit?usp=sharing"",""งบพรบ!IT82"")"),40030)</f>
        <v>40030</v>
      </c>
      <c r="I82" s="329">
        <f ca="1">IFERROR(__xludf.DUMMYFUNCTION("IMPORTRANGE(""https://docs.google.com/spreadsheets/d/1-uDff_7J0KD5mKrp0Vvzr7lt3OU09vwQwhkpOPPYv2Y/edit?usp=sharing"",""งบพรบ!IU82"")"),0)</f>
        <v>0</v>
      </c>
      <c r="J82" s="329">
        <f t="shared" ca="1" si="46"/>
        <v>13219.93</v>
      </c>
      <c r="K82" s="568">
        <f t="shared" ca="1" si="47"/>
        <v>33.025056207844116</v>
      </c>
      <c r="L82" s="329">
        <f ca="1">IFERROR(__xludf.DUMMYFUNCTION("IMPORTRANGE(""https://docs.google.com/spreadsheets/d/1-uDff_7J0KD5mKrp0Vvzr7lt3OU09vwQwhkpOPPYv2Y/edit?usp=sharing"",""งบพรบ!IV82"")"),13219.93)</f>
        <v>13219.93</v>
      </c>
      <c r="M82" s="330">
        <f t="shared" ca="1" si="48"/>
        <v>33.025056207844116</v>
      </c>
      <c r="N82" s="330">
        <f t="shared" ca="1" si="49"/>
        <v>33.025056207844116</v>
      </c>
      <c r="O82" s="569">
        <f ca="1">IFERROR(__xludf.DUMMYFUNCTION("IMPORTRANGE(""https://docs.google.com/spreadsheets/d/1-uDff_7J0KD5mKrp0Vvzr7lt3OU09vwQwhkpOPPYv2Y/edit?usp=sharing"",""งบพรบ!IW82"")"),0)</f>
        <v>0</v>
      </c>
      <c r="P82" s="569">
        <f t="shared" ca="1" si="50"/>
        <v>0</v>
      </c>
      <c r="Q82" s="330">
        <f t="shared" ca="1" si="51"/>
        <v>0</v>
      </c>
      <c r="R82" s="564">
        <f ca="1">IFERROR(__xludf.DUMMYFUNCTION("IMPORTRANGE(""https://docs.google.com/spreadsheets/d/17ht0gPKzzT3PObBL1XJkeRmntBXI7wGjpLV7QorqlTk/edit?usp=sharing"",""พัทลุง!Q413"")"),15820)</f>
        <v>15820</v>
      </c>
      <c r="S82" s="564">
        <f ca="1">IFERROR(__xludf.DUMMYFUNCTION("IMPORTRANGE(""https://docs.google.com/spreadsheets/d/17ht0gPKzzT3PObBL1XJkeRmntBXI7wGjpLV7QorqlTk/edit?usp=sharing"",""พัทลุง!R413"")"),15820)</f>
        <v>15820</v>
      </c>
      <c r="T82" s="564">
        <f ca="1">IFERROR(__xludf.DUMMYFUNCTION("IMPORTRANGE(""https://docs.google.com/spreadsheets/d/17ht0gPKzzT3PObBL1XJkeRmntBXI7wGjpLV7QorqlTk/edit?usp=sharing"",""พัทลุง!S413"")"),0)</f>
        <v>0</v>
      </c>
      <c r="U82" s="565">
        <f t="shared" ca="1" si="53"/>
        <v>0</v>
      </c>
      <c r="V82" s="565">
        <f t="shared" ca="1" si="54"/>
        <v>0</v>
      </c>
      <c r="W82" s="152">
        <f ca="1">IFERROR(__xludf.DUMMYFUNCTION("IMPORTRANGE(""https://docs.google.com/spreadsheets/d/17ht0gPKzzT3PObBL1XJkeRmntBXI7wGjpLV7QorqlTk/edit?usp=sharing"",""พัทลุง!I424"")"),0)</f>
        <v>0</v>
      </c>
      <c r="X82" s="152">
        <f ca="1">IFERROR(__xludf.DUMMYFUNCTION("IMPORTRANGE(""https://docs.google.com/spreadsheets/d/17ht0gPKzzT3PObBL1XJkeRmntBXI7wGjpLV7QorqlTk/edit?usp=sharing"",""พัทลุง!I425"")"),0)</f>
        <v>0</v>
      </c>
      <c r="Y82" s="152">
        <f ca="1">IFERROR(__xludf.DUMMYFUNCTION("IMPORTRANGE(""https://docs.google.com/spreadsheets/d/17ht0gPKzzT3PObBL1XJkeRmntBXI7wGjpLV7QorqlTk/edit?usp=sharing"",""พัทลุง!J424"")"),0)</f>
        <v>0</v>
      </c>
      <c r="Z82" s="216">
        <f t="shared" ca="1" si="56"/>
        <v>0</v>
      </c>
      <c r="AA82" s="152">
        <f ca="1">IFERROR(__xludf.DUMMYFUNCTION("IMPORTRANGE(""https://docs.google.com/spreadsheets/d/17ht0gPKzzT3PObBL1XJkeRmntBXI7wGjpLV7QorqlTk/edit?usp=sharing"",""พัทลุง!J425"")"),0)</f>
        <v>0</v>
      </c>
      <c r="AB82" s="216">
        <f t="shared" ca="1" si="57"/>
        <v>0</v>
      </c>
      <c r="AC82" s="152">
        <f ca="1">IFERROR(__xludf.DUMMYFUNCTION("IMPORTRANGE(""https://docs.google.com/spreadsheets/d/17ht0gPKzzT3PObBL1XJkeRmntBXI7wGjpLV7QorqlTk/edit?usp=sharing"",""พัทลุง!J426"")"),0)</f>
        <v>0</v>
      </c>
      <c r="AD82" s="152">
        <f ca="1">IFERROR(__xludf.DUMMYFUNCTION("IMPORTRANGE(""https://docs.google.com/spreadsheets/d/17ht0gPKzzT3PObBL1XJkeRmntBXI7wGjpLV7QorqlTk/edit?usp=sharing"",""พัทลุง!J427"")"),0)</f>
        <v>0</v>
      </c>
      <c r="AE82" s="152">
        <f ca="1">IFERROR(__xludf.DUMMYFUNCTION("IMPORTRANGE(""https://docs.google.com/spreadsheets/d/17ht0gPKzzT3PObBL1XJkeRmntBXI7wGjpLV7QorqlTk/edit?usp=sharing"",""พัทลุง!J428"")"),0)</f>
        <v>0</v>
      </c>
      <c r="AF82" s="152">
        <f ca="1">IFERROR(__xludf.DUMMYFUNCTION("IMPORTRANGE(""https://docs.google.com/spreadsheets/d/17ht0gPKzzT3PObBL1XJkeRmntBXI7wGjpLV7QorqlTk/edit?usp=sharing"",""พัทลุง!J429"")"),0)</f>
        <v>0</v>
      </c>
      <c r="AG82" s="152">
        <f ca="1">IFERROR(__xludf.DUMMYFUNCTION("IMPORTRANGE(""https://docs.google.com/spreadsheets/d/17ht0gPKzzT3PObBL1XJkeRmntBXI7wGjpLV7QorqlTk/edit?usp=sharing"",""พัทลุง!J430"")"),0)</f>
        <v>0</v>
      </c>
      <c r="AH82" s="152">
        <f ca="1">IFERROR(__xludf.DUMMYFUNCTION("IMPORTRANGE(""https://docs.google.com/spreadsheets/d/17ht0gPKzzT3PObBL1XJkeRmntBXI7wGjpLV7QorqlTk/edit?usp=sharing"",""พัทลุง!J431"")"),0)</f>
        <v>0</v>
      </c>
      <c r="AI82" s="152">
        <f ca="1">IFERROR(__xludf.DUMMYFUNCTION("IMPORTRANGE(""https://docs.google.com/spreadsheets/d/17ht0gPKzzT3PObBL1XJkeRmntBXI7wGjpLV7QorqlTk/edit?usp=sharing"",""พัทลุง!I432"")"),0)</f>
        <v>0</v>
      </c>
      <c r="AJ82" s="152">
        <f ca="1">IFERROR(__xludf.DUMMYFUNCTION("IMPORTRANGE(""https://docs.google.com/spreadsheets/d/17ht0gPKzzT3PObBL1XJkeRmntBXI7wGjpLV7QorqlTk/edit?usp=sharing"",""พัทลุง!I433"")"),0)</f>
        <v>0</v>
      </c>
      <c r="AK82" s="216">
        <f ca="1">IFERROR(__xludf.DUMMYFUNCTION("IMPORTRANGE(""https://docs.google.com/spreadsheets/d/17ht0gPKzzT3PObBL1XJkeRmntBXI7wGjpLV7QorqlTk/edit?usp=sharing"",""พัทลุง!J432"")"),0)</f>
        <v>0</v>
      </c>
      <c r="AL82" s="216">
        <f t="shared" ca="1" si="59"/>
        <v>0</v>
      </c>
      <c r="AM82" s="152">
        <f ca="1">IFERROR(__xludf.DUMMYFUNCTION("IMPORTRANGE(""https://docs.google.com/spreadsheets/d/17ht0gPKzzT3PObBL1XJkeRmntBXI7wGjpLV7QorqlTk/edit?usp=sharing"",""พัทลุง!J433"")"),0)</f>
        <v>0</v>
      </c>
      <c r="AN82" s="216">
        <f t="shared" ca="1" si="60"/>
        <v>0</v>
      </c>
      <c r="AO82" s="152">
        <f ca="1">IFERROR(__xludf.DUMMYFUNCTION("IMPORTRANGE(""https://docs.google.com/spreadsheets/d/17ht0gPKzzT3PObBL1XJkeRmntBXI7wGjpLV7QorqlTk/edit?usp=sharing"",""พัทลุง!J434"")"),0)</f>
        <v>0</v>
      </c>
      <c r="AP82" s="152">
        <f ca="1">IFERROR(__xludf.DUMMYFUNCTION("IMPORTRANGE(""https://docs.google.com/spreadsheets/d/17ht0gPKzzT3PObBL1XJkeRmntBXI7wGjpLV7QorqlTk/edit?usp=sharing"",""พัทลุง!J435"")"),0)</f>
        <v>0</v>
      </c>
      <c r="AQ82" s="152">
        <f ca="1">IFERROR(__xludf.DUMMYFUNCTION("IMPORTRANGE(""https://docs.google.com/spreadsheets/d/17ht0gPKzzT3PObBL1XJkeRmntBXI7wGjpLV7QorqlTk/edit?usp=sharing"",""พัทลุง!J436"")"),0)</f>
        <v>0</v>
      </c>
      <c r="AR82" s="152">
        <f ca="1">IFERROR(__xludf.DUMMYFUNCTION("IMPORTRANGE(""https://docs.google.com/spreadsheets/d/17ht0gPKzzT3PObBL1XJkeRmntBXI7wGjpLV7QorqlTk/edit?usp=sharing"",""พัทลุง!J437"")"),0)</f>
        <v>0</v>
      </c>
      <c r="AS82" s="152">
        <f ca="1">IFERROR(__xludf.DUMMYFUNCTION("IMPORTRANGE(""https://docs.google.com/spreadsheets/d/17ht0gPKzzT3PObBL1XJkeRmntBXI7wGjpLV7QorqlTk/edit?usp=sharing"",""พัทลุง!J438"")"),0)</f>
        <v>0</v>
      </c>
      <c r="AT82" s="152">
        <f ca="1">IFERROR(__xludf.DUMMYFUNCTION("IMPORTRANGE(""https://docs.google.com/spreadsheets/d/17ht0gPKzzT3PObBL1XJkeRmntBXI7wGjpLV7QorqlTk/edit?usp=sharing"",""พัทลุง!J439"")"),0)</f>
        <v>0</v>
      </c>
      <c r="AU82" s="152">
        <f ca="1">IFERROR(__xludf.DUMMYFUNCTION("IMPORTRANGE(""https://docs.google.com/spreadsheets/d/17ht0gPKzzT3PObBL1XJkeRmntBXI7wGjpLV7QorqlTk/edit?usp=sharing"",""พัทลุง!I440"")"),0)</f>
        <v>0</v>
      </c>
      <c r="AV82" s="152">
        <f ca="1">IFERROR(__xludf.DUMMYFUNCTION("IMPORTRANGE(""https://docs.google.com/spreadsheets/d/17ht0gPKzzT3PObBL1XJkeRmntBXI7wGjpLV7QorqlTk/edit?usp=sharing"",""พัทลุง!I441"")"),0)</f>
        <v>0</v>
      </c>
      <c r="AW82" s="152">
        <f ca="1">IFERROR(__xludf.DUMMYFUNCTION("IMPORTRANGE(""https://docs.google.com/spreadsheets/d/17ht0gPKzzT3PObBL1XJkeRmntBXI7wGjpLV7QorqlTk/edit?usp=sharing"",""พัทลุง!J440"")"),0)</f>
        <v>0</v>
      </c>
      <c r="AX82" s="216">
        <f t="shared" ca="1" si="62"/>
        <v>0</v>
      </c>
      <c r="AY82" s="152">
        <f ca="1">IFERROR(__xludf.DUMMYFUNCTION("IMPORTRANGE(""https://docs.google.com/spreadsheets/d/17ht0gPKzzT3PObBL1XJkeRmntBXI7wGjpLV7QorqlTk/edit?usp=sharing"",""พัทลุง!J441"")"),0)</f>
        <v>0</v>
      </c>
      <c r="AZ82" s="216">
        <f t="shared" ca="1" si="63"/>
        <v>0</v>
      </c>
      <c r="BA82" s="152">
        <f ca="1">IFERROR(__xludf.DUMMYFUNCTION("IMPORTRANGE(""https://docs.google.com/spreadsheets/d/17ht0gPKzzT3PObBL1XJkeRmntBXI7wGjpLV7QorqlTk/edit?usp=sharing"",""พัทลุง!J442"")"),0)</f>
        <v>0</v>
      </c>
      <c r="BB82" s="152">
        <f ca="1">IFERROR(__xludf.DUMMYFUNCTION("IMPORTRANGE(""https://docs.google.com/spreadsheets/d/17ht0gPKzzT3PObBL1XJkeRmntBXI7wGjpLV7QorqlTk/edit?usp=sharing"",""พัทลุง!J443"")"),0)</f>
        <v>0</v>
      </c>
      <c r="BC82" s="152">
        <f ca="1">IFERROR(__xludf.DUMMYFUNCTION("IMPORTRANGE(""https://docs.google.com/spreadsheets/d/17ht0gPKzzT3PObBL1XJkeRmntBXI7wGjpLV7QorqlTk/edit?usp=sharing"",""พัทลุง!J444"")"),0)</f>
        <v>0</v>
      </c>
      <c r="BD82" s="152">
        <f ca="1">IFERROR(__xludf.DUMMYFUNCTION("IMPORTRANGE(""https://docs.google.com/spreadsheets/d/17ht0gPKzzT3PObBL1XJkeRmntBXI7wGjpLV7QorqlTk/edit?usp=sharing"",""พัทลุง!J445"")"),0)</f>
        <v>0</v>
      </c>
      <c r="BE82" s="152">
        <f ca="1">IFERROR(__xludf.DUMMYFUNCTION("IMPORTRANGE(""https://docs.google.com/spreadsheets/d/17ht0gPKzzT3PObBL1XJkeRmntBXI7wGjpLV7QorqlTk/edit?usp=sharing"",""พัทลุง!J446"")"),0)</f>
        <v>0</v>
      </c>
      <c r="BF82" s="152">
        <f ca="1">IFERROR(__xludf.DUMMYFUNCTION("IMPORTRANGE(""https://docs.google.com/spreadsheets/d/17ht0gPKzzT3PObBL1XJkeRmntBXI7wGjpLV7QorqlTk/edit?usp=sharing"",""พัทลุง!J447"")"),0)</f>
        <v>0</v>
      </c>
      <c r="BG82" s="152">
        <f ca="1">IFERROR(__xludf.DUMMYFUNCTION("IMPORTRANGE(""https://docs.google.com/spreadsheets/d/17ht0gPKzzT3PObBL1XJkeRmntBXI7wGjpLV7QorqlTk/edit?usp=sharing"",""พัทลุง!J448"")"),0)</f>
        <v>0</v>
      </c>
      <c r="BH82" s="152">
        <f ca="1">IFERROR(__xludf.DUMMYFUNCTION("IMPORTRANGE(""https://docs.google.com/spreadsheets/d/17ht0gPKzzT3PObBL1XJkeRmntBXI7wGjpLV7QorqlTk/edit?usp=sharing"",""พัทลุง!J449"")"),0)</f>
        <v>0</v>
      </c>
      <c r="BI82" s="152">
        <f ca="1">IFERROR(__xludf.DUMMYFUNCTION("IMPORTRANGE(""https://docs.google.com/spreadsheets/d/17ht0gPKzzT3PObBL1XJkeRmntBXI7wGjpLV7QorqlTk/edit?usp=sharing"",""พัทลุง!J450"")"),0)</f>
        <v>0</v>
      </c>
      <c r="BJ82" s="152">
        <f ca="1">IFERROR(__xludf.DUMMYFUNCTION("IMPORTRANGE(""https://docs.google.com/spreadsheets/d/17ht0gPKzzT3PObBL1XJkeRmntBXI7wGjpLV7QorqlTk/edit?usp=sharing"",""พัทลุง!J451"")"),0)</f>
        <v>0</v>
      </c>
      <c r="BK82" s="152">
        <f ca="1">IFERROR(__xludf.DUMMYFUNCTION("IMPORTRANGE(""https://docs.google.com/spreadsheets/d/17ht0gPKzzT3PObBL1XJkeRmntBXI7wGjpLV7QorqlTk/edit?usp=sharing"",""พัทลุง!J452"")"),0)</f>
        <v>0</v>
      </c>
      <c r="BL82" s="152">
        <f ca="1">IFERROR(__xludf.DUMMYFUNCTION("IMPORTRANGE(""https://docs.google.com/spreadsheets/d/17ht0gPKzzT3PObBL1XJkeRmntBXI7wGjpLV7QorqlTk/edit?usp=sharing"",""พัทลุง!J453"")"),0)</f>
        <v>0</v>
      </c>
      <c r="BM82" s="152">
        <f ca="1">IFERROR(__xludf.DUMMYFUNCTION("IMPORTRANGE(""https://docs.google.com/spreadsheets/d/17ht0gPKzzT3PObBL1XJkeRmntBXI7wGjpLV7QorqlTk/edit?usp=sharing"",""พัทลุง!J454"")"),0)</f>
        <v>0</v>
      </c>
      <c r="BN82" s="152">
        <f ca="1">IFERROR(__xludf.DUMMYFUNCTION("IMPORTRANGE(""https://docs.google.com/spreadsheets/d/17ht0gPKzzT3PObBL1XJkeRmntBXI7wGjpLV7QorqlTk/edit?usp=sharing"",""พัทลุง!J455"")"),0)</f>
        <v>0</v>
      </c>
      <c r="BO82" s="152">
        <f ca="1">IFERROR(__xludf.DUMMYFUNCTION("IMPORTRANGE(""https://docs.google.com/spreadsheets/d/17ht0gPKzzT3PObBL1XJkeRmntBXI7wGjpLV7QorqlTk/edit?usp=sharing"",""พัทลุง!I457"")"),562.73)</f>
        <v>562.73</v>
      </c>
      <c r="BP82" s="152">
        <f ca="1">IFERROR(__xludf.DUMMYFUNCTION("IMPORTRANGE(""https://docs.google.com/spreadsheets/d/17ht0gPKzzT3PObBL1XJkeRmntBXI7wGjpLV7QorqlTk/edit?usp=sharing"",""พัทลุง!I458"")"),113)</f>
        <v>113</v>
      </c>
      <c r="BQ82" s="152">
        <f ca="1">IFERROR(__xludf.DUMMYFUNCTION("IMPORTRANGE(""https://docs.google.com/spreadsheets/d/17ht0gPKzzT3PObBL1XJkeRmntBXI7wGjpLV7QorqlTk/edit?usp=sharing"",""พัทลุง!J457"")"),0)</f>
        <v>0</v>
      </c>
      <c r="BR82" s="216">
        <f t="shared" ca="1" si="65"/>
        <v>0</v>
      </c>
      <c r="BS82" s="152">
        <f ca="1">IFERROR(__xludf.DUMMYFUNCTION("IMPORTRANGE(""https://docs.google.com/spreadsheets/d/17ht0gPKzzT3PObBL1XJkeRmntBXI7wGjpLV7QorqlTk/edit?usp=sharing"",""พัทลุง!J458"")"),0)</f>
        <v>0</v>
      </c>
      <c r="BT82" s="216">
        <f t="shared" ca="1" si="66"/>
        <v>0</v>
      </c>
      <c r="BU82" s="152">
        <f ca="1">IFERROR(__xludf.DUMMYFUNCTION("IMPORTRANGE(""https://docs.google.com/spreadsheets/d/17ht0gPKzzT3PObBL1XJkeRmntBXI7wGjpLV7QorqlTk/edit?usp=sharing"",""พัทลุง!J459"")"),0)</f>
        <v>0</v>
      </c>
      <c r="BV82" s="152">
        <f ca="1">IFERROR(__xludf.DUMMYFUNCTION("IMPORTRANGE(""https://docs.google.com/spreadsheets/d/17ht0gPKzzT3PObBL1XJkeRmntBXI7wGjpLV7QorqlTk/edit?usp=sharing"",""พัทลุง!J460"")"),0)</f>
        <v>0</v>
      </c>
      <c r="BW82" s="152">
        <f ca="1">IFERROR(__xludf.DUMMYFUNCTION("IMPORTRANGE(""https://docs.google.com/spreadsheets/d/17ht0gPKzzT3PObBL1XJkeRmntBXI7wGjpLV7QorqlTk/edit?usp=sharing"",""พัทลุง!J461"")"),0)</f>
        <v>0</v>
      </c>
      <c r="BX82" s="152">
        <f ca="1">IFERROR(__xludf.DUMMYFUNCTION("IMPORTRANGE(""https://docs.google.com/spreadsheets/d/17ht0gPKzzT3PObBL1XJkeRmntBXI7wGjpLV7QorqlTk/edit?usp=sharing"",""พัทลุง!J462"")"),0)</f>
        <v>0</v>
      </c>
      <c r="BY82" s="152">
        <f ca="1">IFERROR(__xludf.DUMMYFUNCTION("IMPORTRANGE(""https://docs.google.com/spreadsheets/d/17ht0gPKzzT3PObBL1XJkeRmntBXI7wGjpLV7QorqlTk/edit?usp=sharing"",""พัทลุง!J463"")"),0)</f>
        <v>0</v>
      </c>
      <c r="BZ82" s="152">
        <f ca="1">IFERROR(__xludf.DUMMYFUNCTION("IMPORTRANGE(""https://docs.google.com/spreadsheets/d/17ht0gPKzzT3PObBL1XJkeRmntBXI7wGjpLV7QorqlTk/edit?usp=sharing"",""พัทลุง!J464"")"),0)</f>
        <v>0</v>
      </c>
      <c r="CA82" s="152">
        <f ca="1">IFERROR(__xludf.DUMMYFUNCTION("IMPORTRANGE(""https://docs.google.com/spreadsheets/d/17ht0gPKzzT3PObBL1XJkeRmntBXI7wGjpLV7QorqlTk/edit?usp=sharing"",""พัทลุง!J465"")"),0)</f>
        <v>0</v>
      </c>
      <c r="CB82" s="152">
        <f ca="1">IFERROR(__xludf.DUMMYFUNCTION("IMPORTRANGE(""https://docs.google.com/spreadsheets/d/17ht0gPKzzT3PObBL1XJkeRmntBXI7wGjpLV7QorqlTk/edit?usp=sharing"",""พัทลุง!J466"")"),0)</f>
        <v>0</v>
      </c>
      <c r="CC82" s="152">
        <f ca="1">IFERROR(__xludf.DUMMYFUNCTION("IMPORTRANGE(""https://docs.google.com/spreadsheets/d/17ht0gPKzzT3PObBL1XJkeRmntBXI7wGjpLV7QorqlTk/edit?usp=sharing"",""พัทลุง!J467"")"),0)</f>
        <v>0</v>
      </c>
      <c r="CD82" s="152">
        <f ca="1">IFERROR(__xludf.DUMMYFUNCTION("IMPORTRANGE(""https://docs.google.com/spreadsheets/d/17ht0gPKzzT3PObBL1XJkeRmntBXI7wGjpLV7QorqlTk/edit?usp=sharing"",""พัทลุง!J468"")"),0)</f>
        <v>0</v>
      </c>
      <c r="CE82" s="152">
        <f ca="1">IFERROR(__xludf.DUMMYFUNCTION("IMPORTRANGE(""https://docs.google.com/spreadsheets/d/17ht0gPKzzT3PObBL1XJkeRmntBXI7wGjpLV7QorqlTk/edit?usp=sharing"",""พัทลุง!J469"")"),0)</f>
        <v>0</v>
      </c>
      <c r="CF82" s="152">
        <f ca="1">IFERROR(__xludf.DUMMYFUNCTION("IMPORTRANGE(""https://docs.google.com/spreadsheets/d/17ht0gPKzzT3PObBL1XJkeRmntBXI7wGjpLV7QorqlTk/edit?usp=sharing"",""พัทลุง!J470"")"),0)</f>
        <v>0</v>
      </c>
      <c r="CG82" s="152">
        <f ca="1">IFERROR(__xludf.DUMMYFUNCTION("IMPORTRANGE(""https://docs.google.com/spreadsheets/d/17ht0gPKzzT3PObBL1XJkeRmntBXI7wGjpLV7QorqlTk/edit?usp=sharing"",""พัทลุง!J471"")"),0)</f>
        <v>0</v>
      </c>
      <c r="CH82" s="152">
        <f ca="1">IFERROR(__xludf.DUMMYFUNCTION("IMPORTRANGE(""https://docs.google.com/spreadsheets/d/17ht0gPKzzT3PObBL1XJkeRmntBXI7wGjpLV7QorqlTk/edit?usp=sharing"",""พัทลุง!J472"")"),0)</f>
        <v>0</v>
      </c>
      <c r="CI82" s="152">
        <f ca="1">IFERROR(__xludf.DUMMYFUNCTION("IMPORTRANGE(""https://docs.google.com/spreadsheets/d/17ht0gPKzzT3PObBL1XJkeRmntBXI7wGjpLV7QorqlTk/edit?usp=sharing"",""พัทลุง!J473"")"),0)</f>
        <v>0</v>
      </c>
      <c r="CJ82" s="152">
        <f ca="1">IFERROR(__xludf.DUMMYFUNCTION("IMPORTRANGE(""https://docs.google.com/spreadsheets/d/17ht0gPKzzT3PObBL1XJkeRmntBXI7wGjpLV7QorqlTk/edit?usp=sharing"",""พัทลุง!J474"")"),0)</f>
        <v>0</v>
      </c>
      <c r="CK82" s="278">
        <f ca="1">IFERROR(__xludf.DUMMYFUNCTION("IMPORTRANGE(""https://docs.google.com/spreadsheets/d/17ht0gPKzzT3PObBL1XJkeRmntBXI7wGjpLV7QorqlTk/edit?usp=sharing"",""พัทลุง!I476"")"),0)</f>
        <v>0</v>
      </c>
      <c r="CL82" s="278">
        <f ca="1">IFERROR(__xludf.DUMMYFUNCTION("IMPORTRANGE(""https://docs.google.com/spreadsheets/d/17ht0gPKzzT3PObBL1XJkeRmntBXI7wGjpLV7QorqlTk/edit?usp=sharing"",""พัทลุง!I477"")"),0)</f>
        <v>0</v>
      </c>
      <c r="CM82" s="278">
        <f ca="1">IFERROR(__xludf.DUMMYFUNCTION("IMPORTRANGE(""https://docs.google.com/spreadsheets/d/17ht0gPKzzT3PObBL1XJkeRmntBXI7wGjpLV7QorqlTk/edit?usp=sharing"",""พัทลุง!J476"")"),0)</f>
        <v>0</v>
      </c>
      <c r="CN82" s="216">
        <f t="shared" ca="1" si="68"/>
        <v>0</v>
      </c>
      <c r="CO82" s="278">
        <f ca="1">IFERROR(__xludf.DUMMYFUNCTION("IMPORTRANGE(""https://docs.google.com/spreadsheets/d/17ht0gPKzzT3PObBL1XJkeRmntBXI7wGjpLV7QorqlTk/edit?usp=sharing"",""พัทลุง!J477"")"),0)</f>
        <v>0</v>
      </c>
      <c r="CP82" s="216">
        <f t="shared" ca="1" si="69"/>
        <v>0</v>
      </c>
      <c r="CQ82" s="278">
        <f ca="1">IFERROR(__xludf.DUMMYFUNCTION("IMPORTRANGE(""https://docs.google.com/spreadsheets/d/17ht0gPKzzT3PObBL1XJkeRmntBXI7wGjpLV7QorqlTk/edit?usp=sharing"",""พัทลุง!J478"")"),0)</f>
        <v>0</v>
      </c>
      <c r="CR82" s="278">
        <f ca="1">IFERROR(__xludf.DUMMYFUNCTION("IMPORTRANGE(""https://docs.google.com/spreadsheets/d/17ht0gPKzzT3PObBL1XJkeRmntBXI7wGjpLV7QorqlTk/edit?usp=sharing"",""พัทลุง!J479"")"),0)</f>
        <v>0</v>
      </c>
      <c r="CS82" s="278">
        <f ca="1">IFERROR(__xludf.DUMMYFUNCTION("IMPORTRANGE(""https://docs.google.com/spreadsheets/d/17ht0gPKzzT3PObBL1XJkeRmntBXI7wGjpLV7QorqlTk/edit?usp=sharing"",""พัทลุง!J480"")"),0)</f>
        <v>0</v>
      </c>
      <c r="CT82" s="278">
        <f ca="1">IFERROR(__xludf.DUMMYFUNCTION("IMPORTRANGE(""https://docs.google.com/spreadsheets/d/17ht0gPKzzT3PObBL1XJkeRmntBXI7wGjpLV7QorqlTk/edit?usp=sharing"",""พัทลุง!J481"")"),0)</f>
        <v>0</v>
      </c>
      <c r="CU82" s="278">
        <f ca="1">IFERROR(__xludf.DUMMYFUNCTION("IMPORTRANGE(""https://docs.google.com/spreadsheets/d/17ht0gPKzzT3PObBL1XJkeRmntBXI7wGjpLV7QorqlTk/edit?usp=sharing"",""พัทลุง!I484"")"),0)</f>
        <v>0</v>
      </c>
      <c r="CV82" s="278">
        <f ca="1">IFERROR(__xludf.DUMMYFUNCTION("IMPORTRANGE(""https://docs.google.com/spreadsheets/d/17ht0gPKzzT3PObBL1XJkeRmntBXI7wGjpLV7QorqlTk/edit?usp=sharing"",""พัทลุง!I485"")"),0)</f>
        <v>0</v>
      </c>
      <c r="CW82" s="278">
        <f ca="1">IFERROR(__xludf.DUMMYFUNCTION("IMPORTRANGE(""https://docs.google.com/spreadsheets/d/17ht0gPKzzT3PObBL1XJkeRmntBXI7wGjpLV7QorqlTk/edit?usp=sharing"",""พัทลุง!J484"")"),0)</f>
        <v>0</v>
      </c>
      <c r="CX82" s="216">
        <f t="shared" ca="1" si="71"/>
        <v>0</v>
      </c>
      <c r="CY82" s="278">
        <f ca="1">IFERROR(__xludf.DUMMYFUNCTION("IMPORTRANGE(""https://docs.google.com/spreadsheets/d/17ht0gPKzzT3PObBL1XJkeRmntBXI7wGjpLV7QorqlTk/edit?usp=sharing"",""พัทลุง!J485"")"),0)</f>
        <v>0</v>
      </c>
      <c r="CZ82" s="216">
        <f t="shared" ca="1" si="72"/>
        <v>0</v>
      </c>
      <c r="DA82" s="278">
        <f ca="1">IFERROR(__xludf.DUMMYFUNCTION("IMPORTRANGE(""https://docs.google.com/spreadsheets/d/17ht0gPKzzT3PObBL1XJkeRmntBXI7wGjpLV7QorqlTk/edit?usp=sharing"",""พัทลุง!J486"")"),0)</f>
        <v>0</v>
      </c>
      <c r="DB82" s="278">
        <f ca="1">IFERROR(__xludf.DUMMYFUNCTION("IMPORTRANGE(""https://docs.google.com/spreadsheets/d/17ht0gPKzzT3PObBL1XJkeRmntBXI7wGjpLV7QorqlTk/edit?usp=sharing"",""พัทลุง!J487"")"),0)</f>
        <v>0</v>
      </c>
      <c r="DC82" s="278">
        <f ca="1">IFERROR(__xludf.DUMMYFUNCTION("IMPORTRANGE(""https://docs.google.com/spreadsheets/d/17ht0gPKzzT3PObBL1XJkeRmntBXI7wGjpLV7QorqlTk/edit?usp=sharing"",""พัทลุง!J488"")"),0)</f>
        <v>0</v>
      </c>
      <c r="DD82" s="278">
        <f ca="1">IFERROR(__xludf.DUMMYFUNCTION("IMPORTRANGE(""https://docs.google.com/spreadsheets/d/17ht0gPKzzT3PObBL1XJkeRmntBXI7wGjpLV7QorqlTk/edit?usp=sharing"",""พัทลุง!J489"")"),0)</f>
        <v>0</v>
      </c>
      <c r="DE82" s="278">
        <f ca="1">IFERROR(__xludf.DUMMYFUNCTION("IMPORTRANGE(""https://docs.google.com/spreadsheets/d/17ht0gPKzzT3PObBL1XJkeRmntBXI7wGjpLV7QorqlTk/edit?usp=sharing"",""พัทลุง!J490"")"),0)</f>
        <v>0</v>
      </c>
      <c r="DF82" s="278">
        <f ca="1">IFERROR(__xludf.DUMMYFUNCTION("IMPORTRANGE(""https://docs.google.com/spreadsheets/d/17ht0gPKzzT3PObBL1XJkeRmntBXI7wGjpLV7QorqlTk/edit?usp=sharing"",""พัทลุง!J491"")"),0)</f>
        <v>0</v>
      </c>
    </row>
    <row r="83" spans="1:110" ht="19.5" x14ac:dyDescent="0.3">
      <c r="A83" s="147">
        <v>9</v>
      </c>
      <c r="B83" s="148" t="s">
        <v>111</v>
      </c>
      <c r="C83" s="566">
        <f t="shared" ca="1" si="44"/>
        <v>0</v>
      </c>
      <c r="D83" s="567">
        <f t="shared" ca="1" si="104"/>
        <v>0</v>
      </c>
      <c r="E83" s="329">
        <f ca="1">IFERROR(__xludf.DUMMYFUNCTION("IMPORTRANGE(""https://docs.google.com/spreadsheets/d/1-uDff_7J0KD5mKrp0Vvzr7lt3OU09vwQwhkpOPPYv2Y/edit?usp=sharing"",""งบพรบ!IP83"")"),0)</f>
        <v>0</v>
      </c>
      <c r="F83" s="329">
        <f ca="1">IFERROR(__xludf.DUMMYFUNCTION("IMPORTRANGE(""https://docs.google.com/spreadsheets/d/1-uDff_7J0KD5mKrp0Vvzr7lt3OU09vwQwhkpOPPYv2Y/edit?usp=sharing"",""งบพรบ!IQ83"")"),0)</f>
        <v>0</v>
      </c>
      <c r="G83" s="329">
        <f ca="1">IFERROR(__xludf.DUMMYFUNCTION("IMPORTRANGE(""https://docs.google.com/spreadsheets/d/1-uDff_7J0KD5mKrp0Vvzr7lt3OU09vwQwhkpOPPYv2Y/edit?usp=sharing"",""งบพรบ!IR83"")"),0)</f>
        <v>0</v>
      </c>
      <c r="H83" s="329">
        <f ca="1">IFERROR(__xludf.DUMMYFUNCTION("IMPORTRANGE(""https://docs.google.com/spreadsheets/d/1-uDff_7J0KD5mKrp0Vvzr7lt3OU09vwQwhkpOPPYv2Y/edit?usp=sharing"",""งบพรบ!IT83"")"),0)</f>
        <v>0</v>
      </c>
      <c r="I83" s="329">
        <f ca="1">IFERROR(__xludf.DUMMYFUNCTION("IMPORTRANGE(""https://docs.google.com/spreadsheets/d/1-uDff_7J0KD5mKrp0Vvzr7lt3OU09vwQwhkpOPPYv2Y/edit?usp=sharing"",""งบพรบ!IU83"")"),0)</f>
        <v>0</v>
      </c>
      <c r="J83" s="329">
        <f t="shared" ca="1" si="46"/>
        <v>0</v>
      </c>
      <c r="K83" s="568">
        <f t="shared" ca="1" si="47"/>
        <v>0</v>
      </c>
      <c r="L83" s="329">
        <f ca="1">IFERROR(__xludf.DUMMYFUNCTION("IMPORTRANGE(""https://docs.google.com/spreadsheets/d/1-uDff_7J0KD5mKrp0Vvzr7lt3OU09vwQwhkpOPPYv2Y/edit?usp=sharing"",""งบพรบ!IV83"")"),0)</f>
        <v>0</v>
      </c>
      <c r="M83" s="330">
        <f t="shared" ca="1" si="48"/>
        <v>0</v>
      </c>
      <c r="N83" s="330">
        <f t="shared" ca="1" si="49"/>
        <v>0</v>
      </c>
      <c r="O83" s="569">
        <f ca="1">IFERROR(__xludf.DUMMYFUNCTION("IMPORTRANGE(""https://docs.google.com/spreadsheets/d/1-uDff_7J0KD5mKrp0Vvzr7lt3OU09vwQwhkpOPPYv2Y/edit?usp=sharing"",""งบพรบ!IW83"")"),0)</f>
        <v>0</v>
      </c>
      <c r="P83" s="569">
        <f t="shared" ca="1" si="50"/>
        <v>0</v>
      </c>
      <c r="Q83" s="330">
        <f t="shared" ca="1" si="51"/>
        <v>0</v>
      </c>
      <c r="R83" s="564">
        <f ca="1">IFERROR(__xludf.DUMMYFUNCTION("IMPORTRANGE(""https://docs.google.com/spreadsheets/d/1rd4qoM1q_hsgaolqNGfrim9gbsoLxQsda4-vOz5x_BM/edit?usp=sharing"",""ภูเก็ต!Q413"")"),0)</f>
        <v>0</v>
      </c>
      <c r="S83" s="564">
        <f ca="1">IFERROR(__xludf.DUMMYFUNCTION("IMPORTRANGE(""https://docs.google.com/spreadsheets/d/1rd4qoM1q_hsgaolqNGfrim9gbsoLxQsda4-vOz5x_BM/edit?usp=sharing"",""ภูเก็ต!R413"")"),0)</f>
        <v>0</v>
      </c>
      <c r="T83" s="564">
        <f ca="1">IFERROR(__xludf.DUMMYFUNCTION("IMPORTRANGE(""https://docs.google.com/spreadsheets/d/1rd4qoM1q_hsgaolqNGfrim9gbsoLxQsda4-vOz5x_BM/edit?usp=sharing"",""ภูเก็ต!S413"")"),0)</f>
        <v>0</v>
      </c>
      <c r="U83" s="565">
        <f t="shared" ca="1" si="53"/>
        <v>0</v>
      </c>
      <c r="V83" s="565">
        <f t="shared" ca="1" si="54"/>
        <v>0</v>
      </c>
      <c r="W83" s="152">
        <f ca="1">IFERROR(__xludf.DUMMYFUNCTION("IMPORTRANGE(""https://docs.google.com/spreadsheets/d/1rd4qoM1q_hsgaolqNGfrim9gbsoLxQsda4-vOz5x_BM/edit?usp=sharing"",""ภูเก็ต!I424"")"),0)</f>
        <v>0</v>
      </c>
      <c r="X83" s="152">
        <f ca="1">IFERROR(__xludf.DUMMYFUNCTION("IMPORTRANGE(""https://docs.google.com/spreadsheets/d/1rd4qoM1q_hsgaolqNGfrim9gbsoLxQsda4-vOz5x_BM/edit?usp=sharing"",""ภูเก็ต!I425"")"),0)</f>
        <v>0</v>
      </c>
      <c r="Y83" s="152">
        <f ca="1">IFERROR(__xludf.DUMMYFUNCTION("IMPORTRANGE(""https://docs.google.com/spreadsheets/d/1rd4qoM1q_hsgaolqNGfrim9gbsoLxQsda4-vOz5x_BM/edit?usp=sharing"",""ภูเก็ต!J424"")"),0)</f>
        <v>0</v>
      </c>
      <c r="Z83" s="216">
        <f t="shared" ca="1" si="56"/>
        <v>0</v>
      </c>
      <c r="AA83" s="152">
        <f ca="1">IFERROR(__xludf.DUMMYFUNCTION("IMPORTRANGE(""https://docs.google.com/spreadsheets/d/1rd4qoM1q_hsgaolqNGfrim9gbsoLxQsda4-vOz5x_BM/edit?usp=sharing"",""ภูเก็ต!J425"")"),0)</f>
        <v>0</v>
      </c>
      <c r="AB83" s="216">
        <f t="shared" ca="1" si="57"/>
        <v>0</v>
      </c>
      <c r="AC83" s="152">
        <f ca="1">IFERROR(__xludf.DUMMYFUNCTION("IMPORTRANGE(""https://docs.google.com/spreadsheets/d/1rd4qoM1q_hsgaolqNGfrim9gbsoLxQsda4-vOz5x_BM/edit?usp=sharing"",""ภูเก็ต!J426"")"),0)</f>
        <v>0</v>
      </c>
      <c r="AD83" s="152">
        <f ca="1">IFERROR(__xludf.DUMMYFUNCTION("IMPORTRANGE(""https://docs.google.com/spreadsheets/d/1rd4qoM1q_hsgaolqNGfrim9gbsoLxQsda4-vOz5x_BM/edit?usp=sharing"",""ภูเก็ต!J427"")"),0)</f>
        <v>0</v>
      </c>
      <c r="AE83" s="152">
        <f ca="1">IFERROR(__xludf.DUMMYFUNCTION("IMPORTRANGE(""https://docs.google.com/spreadsheets/d/1rd4qoM1q_hsgaolqNGfrim9gbsoLxQsda4-vOz5x_BM/edit?usp=sharing"",""ภูเก็ต!J428"")"),0)</f>
        <v>0</v>
      </c>
      <c r="AF83" s="152">
        <f ca="1">IFERROR(__xludf.DUMMYFUNCTION("IMPORTRANGE(""https://docs.google.com/spreadsheets/d/1rd4qoM1q_hsgaolqNGfrim9gbsoLxQsda4-vOz5x_BM/edit?usp=sharing"",""ภูเก็ต!J429"")"),0)</f>
        <v>0</v>
      </c>
      <c r="AG83" s="152">
        <f ca="1">IFERROR(__xludf.DUMMYFUNCTION("IMPORTRANGE(""https://docs.google.com/spreadsheets/d/1rd4qoM1q_hsgaolqNGfrim9gbsoLxQsda4-vOz5x_BM/edit?usp=sharing"",""ภูเก็ต!J430"")"),0)</f>
        <v>0</v>
      </c>
      <c r="AH83" s="152">
        <f ca="1">IFERROR(__xludf.DUMMYFUNCTION("IMPORTRANGE(""https://docs.google.com/spreadsheets/d/1rd4qoM1q_hsgaolqNGfrim9gbsoLxQsda4-vOz5x_BM/edit?usp=sharing"",""ภูเก็ต!J431"")"),0)</f>
        <v>0</v>
      </c>
      <c r="AI83" s="152">
        <f ca="1">IFERROR(__xludf.DUMMYFUNCTION("IMPORTRANGE(""https://docs.google.com/spreadsheets/d/1rd4qoM1q_hsgaolqNGfrim9gbsoLxQsda4-vOz5x_BM/edit?usp=sharing"",""ภูเก็ต!I432"")"),0)</f>
        <v>0</v>
      </c>
      <c r="AJ83" s="152">
        <f ca="1">IFERROR(__xludf.DUMMYFUNCTION("IMPORTRANGE(""https://docs.google.com/spreadsheets/d/1rd4qoM1q_hsgaolqNGfrim9gbsoLxQsda4-vOz5x_BM/edit?usp=sharing"",""ภูเก็ต!I433"")"),0)</f>
        <v>0</v>
      </c>
      <c r="AK83" s="216">
        <f ca="1">IFERROR(__xludf.DUMMYFUNCTION("IMPORTRANGE(""https://docs.google.com/spreadsheets/d/1rd4qoM1q_hsgaolqNGfrim9gbsoLxQsda4-vOz5x_BM/edit?usp=sharing"",""ภูเก็ต!J432"")"),0)</f>
        <v>0</v>
      </c>
      <c r="AL83" s="216">
        <f t="shared" ca="1" si="59"/>
        <v>0</v>
      </c>
      <c r="AM83" s="152">
        <f ca="1">IFERROR(__xludf.DUMMYFUNCTION("IMPORTRANGE(""https://docs.google.com/spreadsheets/d/1rd4qoM1q_hsgaolqNGfrim9gbsoLxQsda4-vOz5x_BM/edit?usp=sharing"",""ภูเก็ต!J433"")"),0)</f>
        <v>0</v>
      </c>
      <c r="AN83" s="216">
        <f t="shared" ca="1" si="60"/>
        <v>0</v>
      </c>
      <c r="AO83" s="152">
        <f ca="1">IFERROR(__xludf.DUMMYFUNCTION("IMPORTRANGE(""https://docs.google.com/spreadsheets/d/1rd4qoM1q_hsgaolqNGfrim9gbsoLxQsda4-vOz5x_BM/edit?usp=sharing"",""ภูเก็ต!J434"")"),0)</f>
        <v>0</v>
      </c>
      <c r="AP83" s="152">
        <f ca="1">IFERROR(__xludf.DUMMYFUNCTION("IMPORTRANGE(""https://docs.google.com/spreadsheets/d/1rd4qoM1q_hsgaolqNGfrim9gbsoLxQsda4-vOz5x_BM/edit?usp=sharing"",""ภูเก็ต!J435"")"),0)</f>
        <v>0</v>
      </c>
      <c r="AQ83" s="152">
        <f ca="1">IFERROR(__xludf.DUMMYFUNCTION("IMPORTRANGE(""https://docs.google.com/spreadsheets/d/1rd4qoM1q_hsgaolqNGfrim9gbsoLxQsda4-vOz5x_BM/edit?usp=sharing"",""ภูเก็ต!J436"")"),0)</f>
        <v>0</v>
      </c>
      <c r="AR83" s="152">
        <f ca="1">IFERROR(__xludf.DUMMYFUNCTION("IMPORTRANGE(""https://docs.google.com/spreadsheets/d/1rd4qoM1q_hsgaolqNGfrim9gbsoLxQsda4-vOz5x_BM/edit?usp=sharing"",""ภูเก็ต!J437"")"),0)</f>
        <v>0</v>
      </c>
      <c r="AS83" s="152">
        <f ca="1">IFERROR(__xludf.DUMMYFUNCTION("IMPORTRANGE(""https://docs.google.com/spreadsheets/d/1rd4qoM1q_hsgaolqNGfrim9gbsoLxQsda4-vOz5x_BM/edit?usp=sharing"",""ภูเก็ต!J438"")"),0)</f>
        <v>0</v>
      </c>
      <c r="AT83" s="152">
        <f ca="1">IFERROR(__xludf.DUMMYFUNCTION("IMPORTRANGE(""https://docs.google.com/spreadsheets/d/1rd4qoM1q_hsgaolqNGfrim9gbsoLxQsda4-vOz5x_BM/edit?usp=sharing"",""ภูเก็ต!J439"")"),0)</f>
        <v>0</v>
      </c>
      <c r="AU83" s="152">
        <f ca="1">IFERROR(__xludf.DUMMYFUNCTION("IMPORTRANGE(""https://docs.google.com/spreadsheets/d/1rd4qoM1q_hsgaolqNGfrim9gbsoLxQsda4-vOz5x_BM/edit?usp=sharing"",""ภูเก็ต!I440"")"),0)</f>
        <v>0</v>
      </c>
      <c r="AV83" s="152">
        <f ca="1">IFERROR(__xludf.DUMMYFUNCTION("IMPORTRANGE(""https://docs.google.com/spreadsheets/d/1rd4qoM1q_hsgaolqNGfrim9gbsoLxQsda4-vOz5x_BM/edit?usp=sharing"",""ภูเก็ต!I441"")"),0)</f>
        <v>0</v>
      </c>
      <c r="AW83" s="152">
        <f ca="1">IFERROR(__xludf.DUMMYFUNCTION("IMPORTRANGE(""https://docs.google.com/spreadsheets/d/1rd4qoM1q_hsgaolqNGfrim9gbsoLxQsda4-vOz5x_BM/edit?usp=sharing"",""ภูเก็ต!J440"")"),0)</f>
        <v>0</v>
      </c>
      <c r="AX83" s="216">
        <f t="shared" ca="1" si="62"/>
        <v>0</v>
      </c>
      <c r="AY83" s="152">
        <f ca="1">IFERROR(__xludf.DUMMYFUNCTION("IMPORTRANGE(""https://docs.google.com/spreadsheets/d/1rd4qoM1q_hsgaolqNGfrim9gbsoLxQsda4-vOz5x_BM/edit?usp=sharing"",""ภูเก็ต!J441"")"),0)</f>
        <v>0</v>
      </c>
      <c r="AZ83" s="216">
        <f t="shared" ca="1" si="63"/>
        <v>0</v>
      </c>
      <c r="BA83" s="152">
        <f ca="1">IFERROR(__xludf.DUMMYFUNCTION("IMPORTRANGE(""https://docs.google.com/spreadsheets/d/1rd4qoM1q_hsgaolqNGfrim9gbsoLxQsda4-vOz5x_BM/edit?usp=sharing"",""ภูเก็ต!J442"")"),0)</f>
        <v>0</v>
      </c>
      <c r="BB83" s="152">
        <f ca="1">IFERROR(__xludf.DUMMYFUNCTION("IMPORTRANGE(""https://docs.google.com/spreadsheets/d/1rd4qoM1q_hsgaolqNGfrim9gbsoLxQsda4-vOz5x_BM/edit?usp=sharing"",""ภูเก็ต!J443"")"),0)</f>
        <v>0</v>
      </c>
      <c r="BC83" s="152">
        <f ca="1">IFERROR(__xludf.DUMMYFUNCTION("IMPORTRANGE(""https://docs.google.com/spreadsheets/d/1rd4qoM1q_hsgaolqNGfrim9gbsoLxQsda4-vOz5x_BM/edit?usp=sharing"",""ภูเก็ต!J444"")"),0)</f>
        <v>0</v>
      </c>
      <c r="BD83" s="152">
        <f ca="1">IFERROR(__xludf.DUMMYFUNCTION("IMPORTRANGE(""https://docs.google.com/spreadsheets/d/1rd4qoM1q_hsgaolqNGfrim9gbsoLxQsda4-vOz5x_BM/edit?usp=sharing"",""ภูเก็ต!J445"")"),0)</f>
        <v>0</v>
      </c>
      <c r="BE83" s="152">
        <f ca="1">IFERROR(__xludf.DUMMYFUNCTION("IMPORTRANGE(""https://docs.google.com/spreadsheets/d/1rd4qoM1q_hsgaolqNGfrim9gbsoLxQsda4-vOz5x_BM/edit?usp=sharing"",""ภูเก็ต!J446"")"),0)</f>
        <v>0</v>
      </c>
      <c r="BF83" s="152">
        <f ca="1">IFERROR(__xludf.DUMMYFUNCTION("IMPORTRANGE(""https://docs.google.com/spreadsheets/d/1rd4qoM1q_hsgaolqNGfrim9gbsoLxQsda4-vOz5x_BM/edit?usp=sharing"",""ภูเก็ต!J447"")"),0)</f>
        <v>0</v>
      </c>
      <c r="BG83" s="152">
        <f ca="1">IFERROR(__xludf.DUMMYFUNCTION("IMPORTRANGE(""https://docs.google.com/spreadsheets/d/1rd4qoM1q_hsgaolqNGfrim9gbsoLxQsda4-vOz5x_BM/edit?usp=sharing"",""ภูเก็ต!J448"")"),0)</f>
        <v>0</v>
      </c>
      <c r="BH83" s="152">
        <f ca="1">IFERROR(__xludf.DUMMYFUNCTION("IMPORTRANGE(""https://docs.google.com/spreadsheets/d/1rd4qoM1q_hsgaolqNGfrim9gbsoLxQsda4-vOz5x_BM/edit?usp=sharing"",""ภูเก็ต!J449"")"),0)</f>
        <v>0</v>
      </c>
      <c r="BI83" s="152">
        <f ca="1">IFERROR(__xludf.DUMMYFUNCTION("IMPORTRANGE(""https://docs.google.com/spreadsheets/d/1rd4qoM1q_hsgaolqNGfrim9gbsoLxQsda4-vOz5x_BM/edit?usp=sharing"",""ภูเก็ต!J450"")"),0)</f>
        <v>0</v>
      </c>
      <c r="BJ83" s="152">
        <f ca="1">IFERROR(__xludf.DUMMYFUNCTION("IMPORTRANGE(""https://docs.google.com/spreadsheets/d/1rd4qoM1q_hsgaolqNGfrim9gbsoLxQsda4-vOz5x_BM/edit?usp=sharing"",""ภูเก็ต!J451"")"),0)</f>
        <v>0</v>
      </c>
      <c r="BK83" s="152">
        <f ca="1">IFERROR(__xludf.DUMMYFUNCTION("IMPORTRANGE(""https://docs.google.com/spreadsheets/d/1rd4qoM1q_hsgaolqNGfrim9gbsoLxQsda4-vOz5x_BM/edit?usp=sharing"",""ภูเก็ต!J452"")"),0)</f>
        <v>0</v>
      </c>
      <c r="BL83" s="152">
        <f ca="1">IFERROR(__xludf.DUMMYFUNCTION("IMPORTRANGE(""https://docs.google.com/spreadsheets/d/1rd4qoM1q_hsgaolqNGfrim9gbsoLxQsda4-vOz5x_BM/edit?usp=sharing"",""ภูเก็ต!J453"")"),0)</f>
        <v>0</v>
      </c>
      <c r="BM83" s="152">
        <f ca="1">IFERROR(__xludf.DUMMYFUNCTION("IMPORTRANGE(""https://docs.google.com/spreadsheets/d/1rd4qoM1q_hsgaolqNGfrim9gbsoLxQsda4-vOz5x_BM/edit?usp=sharing"",""ภูเก็ต!J454"")"),0)</f>
        <v>0</v>
      </c>
      <c r="BN83" s="152">
        <f ca="1">IFERROR(__xludf.DUMMYFUNCTION("IMPORTRANGE(""https://docs.google.com/spreadsheets/d/1rd4qoM1q_hsgaolqNGfrim9gbsoLxQsda4-vOz5x_BM/edit?usp=sharing"",""ภูเก็ต!J455"")"),0)</f>
        <v>0</v>
      </c>
      <c r="BO83" s="152">
        <f ca="1">IFERROR(__xludf.DUMMYFUNCTION("IMPORTRANGE(""https://docs.google.com/spreadsheets/d/1rd4qoM1q_hsgaolqNGfrim9gbsoLxQsda4-vOz5x_BM/edit?usp=sharing"",""ภูเก็ต!I457"")"),0)</f>
        <v>0</v>
      </c>
      <c r="BP83" s="152">
        <f ca="1">IFERROR(__xludf.DUMMYFUNCTION("IMPORTRANGE(""https://docs.google.com/spreadsheets/d/1rd4qoM1q_hsgaolqNGfrim9gbsoLxQsda4-vOz5x_BM/edit?usp=sharing"",""ภูเก็ต!I458"")"),0)</f>
        <v>0</v>
      </c>
      <c r="BQ83" s="152">
        <f ca="1">IFERROR(__xludf.DUMMYFUNCTION("IMPORTRANGE(""https://docs.google.com/spreadsheets/d/1rd4qoM1q_hsgaolqNGfrim9gbsoLxQsda4-vOz5x_BM/edit?usp=sharing"",""ภูเก็ต!J457"")"),0)</f>
        <v>0</v>
      </c>
      <c r="BR83" s="216">
        <f t="shared" ca="1" si="65"/>
        <v>0</v>
      </c>
      <c r="BS83" s="152">
        <f ca="1">IFERROR(__xludf.DUMMYFUNCTION("IMPORTRANGE(""https://docs.google.com/spreadsheets/d/1rd4qoM1q_hsgaolqNGfrim9gbsoLxQsda4-vOz5x_BM/edit?usp=sharing"",""ภูเก็ต!J458"")"),0)</f>
        <v>0</v>
      </c>
      <c r="BT83" s="216">
        <f t="shared" ca="1" si="66"/>
        <v>0</v>
      </c>
      <c r="BU83" s="152">
        <f ca="1">IFERROR(__xludf.DUMMYFUNCTION("IMPORTRANGE(""https://docs.google.com/spreadsheets/d/1rd4qoM1q_hsgaolqNGfrim9gbsoLxQsda4-vOz5x_BM/edit?usp=sharing"",""ภูเก็ต!J459"")"),0)</f>
        <v>0</v>
      </c>
      <c r="BV83" s="152">
        <f ca="1">IFERROR(__xludf.DUMMYFUNCTION("IMPORTRANGE(""https://docs.google.com/spreadsheets/d/1rd4qoM1q_hsgaolqNGfrim9gbsoLxQsda4-vOz5x_BM/edit?usp=sharing"",""ภูเก็ต!J460"")"),0)</f>
        <v>0</v>
      </c>
      <c r="BW83" s="152">
        <f ca="1">IFERROR(__xludf.DUMMYFUNCTION("IMPORTRANGE(""https://docs.google.com/spreadsheets/d/1rd4qoM1q_hsgaolqNGfrim9gbsoLxQsda4-vOz5x_BM/edit?usp=sharing"",""ภูเก็ต!J461"")"),0)</f>
        <v>0</v>
      </c>
      <c r="BX83" s="152">
        <f ca="1">IFERROR(__xludf.DUMMYFUNCTION("IMPORTRANGE(""https://docs.google.com/spreadsheets/d/1rd4qoM1q_hsgaolqNGfrim9gbsoLxQsda4-vOz5x_BM/edit?usp=sharing"",""ภูเก็ต!J462"")"),0)</f>
        <v>0</v>
      </c>
      <c r="BY83" s="152">
        <f ca="1">IFERROR(__xludf.DUMMYFUNCTION("IMPORTRANGE(""https://docs.google.com/spreadsheets/d/1rd4qoM1q_hsgaolqNGfrim9gbsoLxQsda4-vOz5x_BM/edit?usp=sharing"",""ภูเก็ต!J463"")"),0)</f>
        <v>0</v>
      </c>
      <c r="BZ83" s="152">
        <f ca="1">IFERROR(__xludf.DUMMYFUNCTION("IMPORTRANGE(""https://docs.google.com/spreadsheets/d/1rd4qoM1q_hsgaolqNGfrim9gbsoLxQsda4-vOz5x_BM/edit?usp=sharing"",""ภูเก็ต!J464"")"),0)</f>
        <v>0</v>
      </c>
      <c r="CA83" s="152">
        <f ca="1">IFERROR(__xludf.DUMMYFUNCTION("IMPORTRANGE(""https://docs.google.com/spreadsheets/d/1rd4qoM1q_hsgaolqNGfrim9gbsoLxQsda4-vOz5x_BM/edit?usp=sharing"",""ภูเก็ต!J465"")"),0)</f>
        <v>0</v>
      </c>
      <c r="CB83" s="152">
        <f ca="1">IFERROR(__xludf.DUMMYFUNCTION("IMPORTRANGE(""https://docs.google.com/spreadsheets/d/1rd4qoM1q_hsgaolqNGfrim9gbsoLxQsda4-vOz5x_BM/edit?usp=sharing"",""ภูเก็ต!J466"")"),0)</f>
        <v>0</v>
      </c>
      <c r="CC83" s="152">
        <f ca="1">IFERROR(__xludf.DUMMYFUNCTION("IMPORTRANGE(""https://docs.google.com/spreadsheets/d/1rd4qoM1q_hsgaolqNGfrim9gbsoLxQsda4-vOz5x_BM/edit?usp=sharing"",""ภูเก็ต!J467"")"),0)</f>
        <v>0</v>
      </c>
      <c r="CD83" s="152">
        <f ca="1">IFERROR(__xludf.DUMMYFUNCTION("IMPORTRANGE(""https://docs.google.com/spreadsheets/d/1rd4qoM1q_hsgaolqNGfrim9gbsoLxQsda4-vOz5x_BM/edit?usp=sharing"",""ภูเก็ต!J468"")"),0)</f>
        <v>0</v>
      </c>
      <c r="CE83" s="152">
        <f ca="1">IFERROR(__xludf.DUMMYFUNCTION("IMPORTRANGE(""https://docs.google.com/spreadsheets/d/1rd4qoM1q_hsgaolqNGfrim9gbsoLxQsda4-vOz5x_BM/edit?usp=sharing"",""ภูเก็ต!J469"")"),0)</f>
        <v>0</v>
      </c>
      <c r="CF83" s="152">
        <f ca="1">IFERROR(__xludf.DUMMYFUNCTION("IMPORTRANGE(""https://docs.google.com/spreadsheets/d/1rd4qoM1q_hsgaolqNGfrim9gbsoLxQsda4-vOz5x_BM/edit?usp=sharing"",""ภูเก็ต!J470"")"),0)</f>
        <v>0</v>
      </c>
      <c r="CG83" s="152">
        <f ca="1">IFERROR(__xludf.DUMMYFUNCTION("IMPORTRANGE(""https://docs.google.com/spreadsheets/d/1rd4qoM1q_hsgaolqNGfrim9gbsoLxQsda4-vOz5x_BM/edit?usp=sharing"",""ภูเก็ต!J471"")"),0)</f>
        <v>0</v>
      </c>
      <c r="CH83" s="152">
        <f ca="1">IFERROR(__xludf.DUMMYFUNCTION("IMPORTRANGE(""https://docs.google.com/spreadsheets/d/1rd4qoM1q_hsgaolqNGfrim9gbsoLxQsda4-vOz5x_BM/edit?usp=sharing"",""ภูเก็ต!J472"")"),0)</f>
        <v>0</v>
      </c>
      <c r="CI83" s="152">
        <f ca="1">IFERROR(__xludf.DUMMYFUNCTION("IMPORTRANGE(""https://docs.google.com/spreadsheets/d/1rd4qoM1q_hsgaolqNGfrim9gbsoLxQsda4-vOz5x_BM/edit?usp=sharing"",""ภูเก็ต!J473"")"),0)</f>
        <v>0</v>
      </c>
      <c r="CJ83" s="152">
        <f ca="1">IFERROR(__xludf.DUMMYFUNCTION("IMPORTRANGE(""https://docs.google.com/spreadsheets/d/1rd4qoM1q_hsgaolqNGfrim9gbsoLxQsda4-vOz5x_BM/edit?usp=sharing"",""ภูเก็ต!J474"")"),0)</f>
        <v>0</v>
      </c>
      <c r="CK83" s="278">
        <f ca="1">IFERROR(__xludf.DUMMYFUNCTION("IMPORTRANGE(""https://docs.google.com/spreadsheets/d/1rd4qoM1q_hsgaolqNGfrim9gbsoLxQsda4-vOz5x_BM/edit?usp=sharing"",""ภูเก็ต!I476"")"),0)</f>
        <v>0</v>
      </c>
      <c r="CL83" s="278">
        <f ca="1">IFERROR(__xludf.DUMMYFUNCTION("IMPORTRANGE(""https://docs.google.com/spreadsheets/d/1rd4qoM1q_hsgaolqNGfrim9gbsoLxQsda4-vOz5x_BM/edit?usp=sharing"",""ภูเก็ต!I477"")"),0)</f>
        <v>0</v>
      </c>
      <c r="CM83" s="278">
        <f ca="1">IFERROR(__xludf.DUMMYFUNCTION("IMPORTRANGE(""https://docs.google.com/spreadsheets/d/1rd4qoM1q_hsgaolqNGfrim9gbsoLxQsda4-vOz5x_BM/edit?usp=sharing"",""ภูเก็ต!J476"")"),0)</f>
        <v>0</v>
      </c>
      <c r="CN83" s="216">
        <f t="shared" ca="1" si="68"/>
        <v>0</v>
      </c>
      <c r="CO83" s="278">
        <f ca="1">IFERROR(__xludf.DUMMYFUNCTION("IMPORTRANGE(""https://docs.google.com/spreadsheets/d/1rd4qoM1q_hsgaolqNGfrim9gbsoLxQsda4-vOz5x_BM/edit?usp=sharing"",""ภูเก็ต!J477"")"),0)</f>
        <v>0</v>
      </c>
      <c r="CP83" s="216">
        <f t="shared" ca="1" si="69"/>
        <v>0</v>
      </c>
      <c r="CQ83" s="278">
        <f ca="1">IFERROR(__xludf.DUMMYFUNCTION("IMPORTRANGE(""https://docs.google.com/spreadsheets/d/1rd4qoM1q_hsgaolqNGfrim9gbsoLxQsda4-vOz5x_BM/edit?usp=sharing"",""ภูเก็ต!J478"")"),0)</f>
        <v>0</v>
      </c>
      <c r="CR83" s="278">
        <f ca="1">IFERROR(__xludf.DUMMYFUNCTION("IMPORTRANGE(""https://docs.google.com/spreadsheets/d/1rd4qoM1q_hsgaolqNGfrim9gbsoLxQsda4-vOz5x_BM/edit?usp=sharing"",""ภูเก็ต!J479"")"),0)</f>
        <v>0</v>
      </c>
      <c r="CS83" s="278">
        <f ca="1">IFERROR(__xludf.DUMMYFUNCTION("IMPORTRANGE(""https://docs.google.com/spreadsheets/d/1rd4qoM1q_hsgaolqNGfrim9gbsoLxQsda4-vOz5x_BM/edit?usp=sharing"",""ภูเก็ต!J480"")"),0)</f>
        <v>0</v>
      </c>
      <c r="CT83" s="278">
        <f ca="1">IFERROR(__xludf.DUMMYFUNCTION("IMPORTRANGE(""https://docs.google.com/spreadsheets/d/1rd4qoM1q_hsgaolqNGfrim9gbsoLxQsda4-vOz5x_BM/edit?usp=sharing"",""ภูเก็ต!J481"")"),0)</f>
        <v>0</v>
      </c>
      <c r="CU83" s="278">
        <f ca="1">IFERROR(__xludf.DUMMYFUNCTION("IMPORTRANGE(""https://docs.google.com/spreadsheets/d/1rd4qoM1q_hsgaolqNGfrim9gbsoLxQsda4-vOz5x_BM/edit?usp=sharing"",""ภูเก็ต!I484"")"),0)</f>
        <v>0</v>
      </c>
      <c r="CV83" s="278">
        <f ca="1">IFERROR(__xludf.DUMMYFUNCTION("IMPORTRANGE(""https://docs.google.com/spreadsheets/d/1rd4qoM1q_hsgaolqNGfrim9gbsoLxQsda4-vOz5x_BM/edit?usp=sharing"",""ภูเก็ต!I485"")"),0)</f>
        <v>0</v>
      </c>
      <c r="CW83" s="278">
        <f ca="1">IFERROR(__xludf.DUMMYFUNCTION("IMPORTRANGE(""https://docs.google.com/spreadsheets/d/1rd4qoM1q_hsgaolqNGfrim9gbsoLxQsda4-vOz5x_BM/edit?usp=sharing"",""ภูเก็ต!J484"")"),0)</f>
        <v>0</v>
      </c>
      <c r="CX83" s="216">
        <f t="shared" ca="1" si="71"/>
        <v>0</v>
      </c>
      <c r="CY83" s="278">
        <f ca="1">IFERROR(__xludf.DUMMYFUNCTION("IMPORTRANGE(""https://docs.google.com/spreadsheets/d/1rd4qoM1q_hsgaolqNGfrim9gbsoLxQsda4-vOz5x_BM/edit?usp=sharing"",""ภูเก็ต!J485"")"),0)</f>
        <v>0</v>
      </c>
      <c r="CZ83" s="216">
        <f t="shared" ca="1" si="72"/>
        <v>0</v>
      </c>
      <c r="DA83" s="278">
        <f ca="1">IFERROR(__xludf.DUMMYFUNCTION("IMPORTRANGE(""https://docs.google.com/spreadsheets/d/1rd4qoM1q_hsgaolqNGfrim9gbsoLxQsda4-vOz5x_BM/edit?usp=sharing"",""ภูเก็ต!J486"")"),0)</f>
        <v>0</v>
      </c>
      <c r="DB83" s="278">
        <f ca="1">IFERROR(__xludf.DUMMYFUNCTION("IMPORTRANGE(""https://docs.google.com/spreadsheets/d/1rd4qoM1q_hsgaolqNGfrim9gbsoLxQsda4-vOz5x_BM/edit?usp=sharing"",""ภูเก็ต!J487"")"),0)</f>
        <v>0</v>
      </c>
      <c r="DC83" s="278">
        <f ca="1">IFERROR(__xludf.DUMMYFUNCTION("IMPORTRANGE(""https://docs.google.com/spreadsheets/d/1rd4qoM1q_hsgaolqNGfrim9gbsoLxQsda4-vOz5x_BM/edit?usp=sharing"",""ภูเก็ต!J488"")"),0)</f>
        <v>0</v>
      </c>
      <c r="DD83" s="278">
        <f ca="1">IFERROR(__xludf.DUMMYFUNCTION("IMPORTRANGE(""https://docs.google.com/spreadsheets/d/1rd4qoM1q_hsgaolqNGfrim9gbsoLxQsda4-vOz5x_BM/edit?usp=sharing"",""ภูเก็ต!J489"")"),0)</f>
        <v>0</v>
      </c>
      <c r="DE83" s="278">
        <f ca="1">IFERROR(__xludf.DUMMYFUNCTION("IMPORTRANGE(""https://docs.google.com/spreadsheets/d/1rd4qoM1q_hsgaolqNGfrim9gbsoLxQsda4-vOz5x_BM/edit?usp=sharing"",""ภูเก็ต!J490"")"),0)</f>
        <v>0</v>
      </c>
      <c r="DF83" s="278">
        <f ca="1">IFERROR(__xludf.DUMMYFUNCTION("IMPORTRANGE(""https://docs.google.com/spreadsheets/d/1rd4qoM1q_hsgaolqNGfrim9gbsoLxQsda4-vOz5x_BM/edit?usp=sharing"",""ภูเก็ต!J491"")"),0)</f>
        <v>0</v>
      </c>
    </row>
    <row r="84" spans="1:110" ht="19.5" x14ac:dyDescent="0.3">
      <c r="A84" s="147">
        <v>10</v>
      </c>
      <c r="B84" s="148" t="s">
        <v>112</v>
      </c>
      <c r="C84" s="566">
        <f t="shared" ca="1" si="44"/>
        <v>20710</v>
      </c>
      <c r="D84" s="567">
        <f t="shared" ca="1" si="104"/>
        <v>20710</v>
      </c>
      <c r="E84" s="329">
        <f ca="1">IFERROR(__xludf.DUMMYFUNCTION("IMPORTRANGE(""https://docs.google.com/spreadsheets/d/1-uDff_7J0KD5mKrp0Vvzr7lt3OU09vwQwhkpOPPYv2Y/edit?usp=sharing"",""งบพรบ!IP84"")"),0)</f>
        <v>0</v>
      </c>
      <c r="F84" s="329">
        <f ca="1">IFERROR(__xludf.DUMMYFUNCTION("IMPORTRANGE(""https://docs.google.com/spreadsheets/d/1-uDff_7J0KD5mKrp0Vvzr7lt3OU09vwQwhkpOPPYv2Y/edit?usp=sharing"",""งบพรบ!IQ84"")"),20710)</f>
        <v>20710</v>
      </c>
      <c r="G84" s="329">
        <f ca="1">IFERROR(__xludf.DUMMYFUNCTION("IMPORTRANGE(""https://docs.google.com/spreadsheets/d/1-uDff_7J0KD5mKrp0Vvzr7lt3OU09vwQwhkpOPPYv2Y/edit?usp=sharing"",""งบพรบ!IR84"")"),0)</f>
        <v>0</v>
      </c>
      <c r="H84" s="329">
        <f ca="1">IFERROR(__xludf.DUMMYFUNCTION("IMPORTRANGE(""https://docs.google.com/spreadsheets/d/1-uDff_7J0KD5mKrp0Vvzr7lt3OU09vwQwhkpOPPYv2Y/edit?usp=sharing"",""งบพรบ!IT84"")"),20710)</f>
        <v>20710</v>
      </c>
      <c r="I84" s="329">
        <f ca="1">IFERROR(__xludf.DUMMYFUNCTION("IMPORTRANGE(""https://docs.google.com/spreadsheets/d/1-uDff_7J0KD5mKrp0Vvzr7lt3OU09vwQwhkpOPPYv2Y/edit?usp=sharing"",""งบพรบ!IU84"")"),0)</f>
        <v>0</v>
      </c>
      <c r="J84" s="329">
        <f t="shared" ca="1" si="46"/>
        <v>2720</v>
      </c>
      <c r="K84" s="568">
        <f t="shared" ca="1" si="47"/>
        <v>13.13375181071946</v>
      </c>
      <c r="L84" s="329">
        <f ca="1">IFERROR(__xludf.DUMMYFUNCTION("IMPORTRANGE(""https://docs.google.com/spreadsheets/d/1-uDff_7J0KD5mKrp0Vvzr7lt3OU09vwQwhkpOPPYv2Y/edit?usp=sharing"",""งบพรบ!IV84"")"),2720)</f>
        <v>2720</v>
      </c>
      <c r="M84" s="330">
        <f t="shared" ca="1" si="48"/>
        <v>13.13375181071946</v>
      </c>
      <c r="N84" s="330">
        <f t="shared" ca="1" si="49"/>
        <v>13.13375181071946</v>
      </c>
      <c r="O84" s="569">
        <f ca="1">IFERROR(__xludf.DUMMYFUNCTION("IMPORTRANGE(""https://docs.google.com/spreadsheets/d/1-uDff_7J0KD5mKrp0Vvzr7lt3OU09vwQwhkpOPPYv2Y/edit?usp=sharing"",""งบพรบ!IW84"")"),0)</f>
        <v>0</v>
      </c>
      <c r="P84" s="569">
        <f t="shared" ca="1" si="50"/>
        <v>0</v>
      </c>
      <c r="Q84" s="330">
        <f t="shared" ca="1" si="51"/>
        <v>0</v>
      </c>
      <c r="R84" s="564">
        <f ca="1">IFERROR(__xludf.DUMMYFUNCTION("IMPORTRANGE(""https://docs.google.com/spreadsheets/d/1woKwKjgoLssDvPcPeVyezB5izizAn4X1JDrys69n6xI/edit?usp=sharing"",""ยะลา!Q413"")"),15150)</f>
        <v>15150</v>
      </c>
      <c r="S84" s="564">
        <f ca="1">IFERROR(__xludf.DUMMYFUNCTION("IMPORTRANGE(""https://docs.google.com/spreadsheets/d/1woKwKjgoLssDvPcPeVyezB5izizAn4X1JDrys69n6xI/edit?usp=sharing"",""ยะลา!R413"")"),15150)</f>
        <v>15150</v>
      </c>
      <c r="T84" s="564">
        <f ca="1">IFERROR(__xludf.DUMMYFUNCTION("IMPORTRANGE(""https://docs.google.com/spreadsheets/d/1woKwKjgoLssDvPcPeVyezB5izizAn4X1JDrys69n6xI/edit?usp=sharing"",""ยะลา!S413"")"),15150)</f>
        <v>15150</v>
      </c>
      <c r="U84" s="565">
        <f t="shared" ca="1" si="53"/>
        <v>100</v>
      </c>
      <c r="V84" s="565">
        <f t="shared" ca="1" si="54"/>
        <v>100</v>
      </c>
      <c r="W84" s="152">
        <f ca="1">IFERROR(__xludf.DUMMYFUNCTION("IMPORTRANGE(""https://docs.google.com/spreadsheets/d/1woKwKjgoLssDvPcPeVyezB5izizAn4X1JDrys69n6xI/edit?usp=sharing"",""ยะลา!I424"")"),0)</f>
        <v>0</v>
      </c>
      <c r="X84" s="152">
        <f ca="1">IFERROR(__xludf.DUMMYFUNCTION("IMPORTRANGE(""https://docs.google.com/spreadsheets/d/1woKwKjgoLssDvPcPeVyezB5izizAn4X1JDrys69n6xI/edit?usp=sharing"",""ยะลา!I425"")"),0)</f>
        <v>0</v>
      </c>
      <c r="Y84" s="152">
        <f ca="1">IFERROR(__xludf.DUMMYFUNCTION("IMPORTRANGE(""https://docs.google.com/spreadsheets/d/1woKwKjgoLssDvPcPeVyezB5izizAn4X1JDrys69n6xI/edit?usp=sharing"",""ยะลา!J424"")"),0)</f>
        <v>0</v>
      </c>
      <c r="Z84" s="216">
        <f t="shared" ca="1" si="56"/>
        <v>0</v>
      </c>
      <c r="AA84" s="152">
        <f ca="1">IFERROR(__xludf.DUMMYFUNCTION("IMPORTRANGE(""https://docs.google.com/spreadsheets/d/1woKwKjgoLssDvPcPeVyezB5izizAn4X1JDrys69n6xI/edit?usp=sharing"",""ยะลา!J425"")"),0)</f>
        <v>0</v>
      </c>
      <c r="AB84" s="216">
        <f t="shared" ca="1" si="57"/>
        <v>0</v>
      </c>
      <c r="AC84" s="152">
        <f ca="1">IFERROR(__xludf.DUMMYFUNCTION("IMPORTRANGE(""https://docs.google.com/spreadsheets/d/1woKwKjgoLssDvPcPeVyezB5izizAn4X1JDrys69n6xI/edit?usp=sharing"",""ยะลา!J426"")"),0)</f>
        <v>0</v>
      </c>
      <c r="AD84" s="152">
        <f ca="1">IFERROR(__xludf.DUMMYFUNCTION("IMPORTRANGE(""https://docs.google.com/spreadsheets/d/1woKwKjgoLssDvPcPeVyezB5izizAn4X1JDrys69n6xI/edit?usp=sharing"",""ยะลา!J427"")"),0)</f>
        <v>0</v>
      </c>
      <c r="AE84" s="152">
        <f ca="1">IFERROR(__xludf.DUMMYFUNCTION("IMPORTRANGE(""https://docs.google.com/spreadsheets/d/1woKwKjgoLssDvPcPeVyezB5izizAn4X1JDrys69n6xI/edit?usp=sharing"",""ยะลา!J428"")"),0)</f>
        <v>0</v>
      </c>
      <c r="AF84" s="152">
        <f ca="1">IFERROR(__xludf.DUMMYFUNCTION("IMPORTRANGE(""https://docs.google.com/spreadsheets/d/1woKwKjgoLssDvPcPeVyezB5izizAn4X1JDrys69n6xI/edit?usp=sharing"",""ยะลา!J429"")"),0)</f>
        <v>0</v>
      </c>
      <c r="AG84" s="152">
        <f ca="1">IFERROR(__xludf.DUMMYFUNCTION("IMPORTRANGE(""https://docs.google.com/spreadsheets/d/1woKwKjgoLssDvPcPeVyezB5izizAn4X1JDrys69n6xI/edit?usp=sharing"",""ยะลา!J430"")"),0)</f>
        <v>0</v>
      </c>
      <c r="AH84" s="152">
        <f ca="1">IFERROR(__xludf.DUMMYFUNCTION("IMPORTRANGE(""https://docs.google.com/spreadsheets/d/1woKwKjgoLssDvPcPeVyezB5izizAn4X1JDrys69n6xI/edit?usp=sharing"",""ยะลา!J431"")"),0)</f>
        <v>0</v>
      </c>
      <c r="AI84" s="152">
        <f ca="1">IFERROR(__xludf.DUMMYFUNCTION("IMPORTRANGE(""https://docs.google.com/spreadsheets/d/1woKwKjgoLssDvPcPeVyezB5izizAn4X1JDrys69n6xI/edit?usp=sharing"",""ยะลา!I432"")"),0)</f>
        <v>0</v>
      </c>
      <c r="AJ84" s="152">
        <f ca="1">IFERROR(__xludf.DUMMYFUNCTION("IMPORTRANGE(""https://docs.google.com/spreadsheets/d/1woKwKjgoLssDvPcPeVyezB5izizAn4X1JDrys69n6xI/edit?usp=sharing"",""ยะลา!I433"")"),0)</f>
        <v>0</v>
      </c>
      <c r="AK84" s="216">
        <f ca="1">IFERROR(__xludf.DUMMYFUNCTION("IMPORTRANGE(""https://docs.google.com/spreadsheets/d/1woKwKjgoLssDvPcPeVyezB5izizAn4X1JDrys69n6xI/edit?usp=sharing"",""ยะลา!J432"")"),0)</f>
        <v>0</v>
      </c>
      <c r="AL84" s="216">
        <f t="shared" ca="1" si="59"/>
        <v>0</v>
      </c>
      <c r="AM84" s="152">
        <f ca="1">IFERROR(__xludf.DUMMYFUNCTION("IMPORTRANGE(""https://docs.google.com/spreadsheets/d/1woKwKjgoLssDvPcPeVyezB5izizAn4X1JDrys69n6xI/edit?usp=sharing"",""ยะลา!J433"")"),0)</f>
        <v>0</v>
      </c>
      <c r="AN84" s="216">
        <f t="shared" ca="1" si="60"/>
        <v>0</v>
      </c>
      <c r="AO84" s="152">
        <f ca="1">IFERROR(__xludf.DUMMYFUNCTION("IMPORTRANGE(""https://docs.google.com/spreadsheets/d/1woKwKjgoLssDvPcPeVyezB5izizAn4X1JDrys69n6xI/edit?usp=sharing"",""ยะลา!J434"")"),0)</f>
        <v>0</v>
      </c>
      <c r="AP84" s="152">
        <f ca="1">IFERROR(__xludf.DUMMYFUNCTION("IMPORTRANGE(""https://docs.google.com/spreadsheets/d/1woKwKjgoLssDvPcPeVyezB5izizAn4X1JDrys69n6xI/edit?usp=sharing"",""ยะลา!J435"")"),0)</f>
        <v>0</v>
      </c>
      <c r="AQ84" s="152">
        <f ca="1">IFERROR(__xludf.DUMMYFUNCTION("IMPORTRANGE(""https://docs.google.com/spreadsheets/d/1woKwKjgoLssDvPcPeVyezB5izizAn4X1JDrys69n6xI/edit?usp=sharing"",""ยะลา!J436"")"),0)</f>
        <v>0</v>
      </c>
      <c r="AR84" s="152">
        <f ca="1">IFERROR(__xludf.DUMMYFUNCTION("IMPORTRANGE(""https://docs.google.com/spreadsheets/d/1woKwKjgoLssDvPcPeVyezB5izizAn4X1JDrys69n6xI/edit?usp=sharing"",""ยะลา!J437"")"),0)</f>
        <v>0</v>
      </c>
      <c r="AS84" s="152">
        <f ca="1">IFERROR(__xludf.DUMMYFUNCTION("IMPORTRANGE(""https://docs.google.com/spreadsheets/d/1woKwKjgoLssDvPcPeVyezB5izizAn4X1JDrys69n6xI/edit?usp=sharing"",""ยะลา!J438"")"),0)</f>
        <v>0</v>
      </c>
      <c r="AT84" s="152">
        <f ca="1">IFERROR(__xludf.DUMMYFUNCTION("IMPORTRANGE(""https://docs.google.com/spreadsheets/d/1woKwKjgoLssDvPcPeVyezB5izizAn4X1JDrys69n6xI/edit?usp=sharing"",""ยะลา!J439"")"),0)</f>
        <v>0</v>
      </c>
      <c r="AU84" s="152">
        <f ca="1">IFERROR(__xludf.DUMMYFUNCTION("IMPORTRANGE(""https://docs.google.com/spreadsheets/d/1woKwKjgoLssDvPcPeVyezB5izizAn4X1JDrys69n6xI/edit?usp=sharing"",""ยะลา!I440"")"),0)</f>
        <v>0</v>
      </c>
      <c r="AV84" s="152">
        <f ca="1">IFERROR(__xludf.DUMMYFUNCTION("IMPORTRANGE(""https://docs.google.com/spreadsheets/d/1woKwKjgoLssDvPcPeVyezB5izizAn4X1JDrys69n6xI/edit?usp=sharing"",""ยะลา!I441"")"),0)</f>
        <v>0</v>
      </c>
      <c r="AW84" s="152">
        <f ca="1">IFERROR(__xludf.DUMMYFUNCTION("IMPORTRANGE(""https://docs.google.com/spreadsheets/d/1woKwKjgoLssDvPcPeVyezB5izizAn4X1JDrys69n6xI/edit?usp=sharing"",""ยะลา!J440"")"),0)</f>
        <v>0</v>
      </c>
      <c r="AX84" s="216">
        <f t="shared" ca="1" si="62"/>
        <v>0</v>
      </c>
      <c r="AY84" s="152">
        <f ca="1">IFERROR(__xludf.DUMMYFUNCTION("IMPORTRANGE(""https://docs.google.com/spreadsheets/d/1woKwKjgoLssDvPcPeVyezB5izizAn4X1JDrys69n6xI/edit?usp=sharing"",""ยะลา!J441"")"),0)</f>
        <v>0</v>
      </c>
      <c r="AZ84" s="216">
        <f t="shared" ca="1" si="63"/>
        <v>0</v>
      </c>
      <c r="BA84" s="152">
        <f ca="1">IFERROR(__xludf.DUMMYFUNCTION("IMPORTRANGE(""https://docs.google.com/spreadsheets/d/1woKwKjgoLssDvPcPeVyezB5izizAn4X1JDrys69n6xI/edit?usp=sharing"",""ยะลา!J442"")"),0)</f>
        <v>0</v>
      </c>
      <c r="BB84" s="152">
        <f ca="1">IFERROR(__xludf.DUMMYFUNCTION("IMPORTRANGE(""https://docs.google.com/spreadsheets/d/1woKwKjgoLssDvPcPeVyezB5izizAn4X1JDrys69n6xI/edit?usp=sharing"",""ยะลา!J443"")"),0)</f>
        <v>0</v>
      </c>
      <c r="BC84" s="152">
        <f ca="1">IFERROR(__xludf.DUMMYFUNCTION("IMPORTRANGE(""https://docs.google.com/spreadsheets/d/1woKwKjgoLssDvPcPeVyezB5izizAn4X1JDrys69n6xI/edit?usp=sharing"",""ยะลา!J444"")"),0)</f>
        <v>0</v>
      </c>
      <c r="BD84" s="152">
        <f ca="1">IFERROR(__xludf.DUMMYFUNCTION("IMPORTRANGE(""https://docs.google.com/spreadsheets/d/1woKwKjgoLssDvPcPeVyezB5izizAn4X1JDrys69n6xI/edit?usp=sharing"",""ยะลา!J445"")"),0)</f>
        <v>0</v>
      </c>
      <c r="BE84" s="152">
        <f ca="1">IFERROR(__xludf.DUMMYFUNCTION("IMPORTRANGE(""https://docs.google.com/spreadsheets/d/1woKwKjgoLssDvPcPeVyezB5izizAn4X1JDrys69n6xI/edit?usp=sharing"",""ยะลา!J446"")"),0)</f>
        <v>0</v>
      </c>
      <c r="BF84" s="152">
        <f ca="1">IFERROR(__xludf.DUMMYFUNCTION("IMPORTRANGE(""https://docs.google.com/spreadsheets/d/1woKwKjgoLssDvPcPeVyezB5izizAn4X1JDrys69n6xI/edit?usp=sharing"",""ยะลา!J447"")"),0)</f>
        <v>0</v>
      </c>
      <c r="BG84" s="152">
        <f ca="1">IFERROR(__xludf.DUMMYFUNCTION("IMPORTRANGE(""https://docs.google.com/spreadsheets/d/1woKwKjgoLssDvPcPeVyezB5izizAn4X1JDrys69n6xI/edit?usp=sharing"",""ยะลา!J448"")"),0)</f>
        <v>0</v>
      </c>
      <c r="BH84" s="152">
        <f ca="1">IFERROR(__xludf.DUMMYFUNCTION("IMPORTRANGE(""https://docs.google.com/spreadsheets/d/1woKwKjgoLssDvPcPeVyezB5izizAn4X1JDrys69n6xI/edit?usp=sharing"",""ยะลา!J449"")"),0)</f>
        <v>0</v>
      </c>
      <c r="BI84" s="152">
        <f ca="1">IFERROR(__xludf.DUMMYFUNCTION("IMPORTRANGE(""https://docs.google.com/spreadsheets/d/1woKwKjgoLssDvPcPeVyezB5izizAn4X1JDrys69n6xI/edit?usp=sharing"",""ยะลา!J450"")"),0)</f>
        <v>0</v>
      </c>
      <c r="BJ84" s="152">
        <f ca="1">IFERROR(__xludf.DUMMYFUNCTION("IMPORTRANGE(""https://docs.google.com/spreadsheets/d/1woKwKjgoLssDvPcPeVyezB5izizAn4X1JDrys69n6xI/edit?usp=sharing"",""ยะลา!J451"")"),0)</f>
        <v>0</v>
      </c>
      <c r="BK84" s="152">
        <f ca="1">IFERROR(__xludf.DUMMYFUNCTION("IMPORTRANGE(""https://docs.google.com/spreadsheets/d/1woKwKjgoLssDvPcPeVyezB5izizAn4X1JDrys69n6xI/edit?usp=sharing"",""ยะลา!J452"")"),0)</f>
        <v>0</v>
      </c>
      <c r="BL84" s="152">
        <f ca="1">IFERROR(__xludf.DUMMYFUNCTION("IMPORTRANGE(""https://docs.google.com/spreadsheets/d/1woKwKjgoLssDvPcPeVyezB5izizAn4X1JDrys69n6xI/edit?usp=sharing"",""ยะลา!J453"")"),0)</f>
        <v>0</v>
      </c>
      <c r="BM84" s="152">
        <f ca="1">IFERROR(__xludf.DUMMYFUNCTION("IMPORTRANGE(""https://docs.google.com/spreadsheets/d/1woKwKjgoLssDvPcPeVyezB5izizAn4X1JDrys69n6xI/edit?usp=sharing"",""ยะลา!J454"")"),0)</f>
        <v>0</v>
      </c>
      <c r="BN84" s="152">
        <f ca="1">IFERROR(__xludf.DUMMYFUNCTION("IMPORTRANGE(""https://docs.google.com/spreadsheets/d/1woKwKjgoLssDvPcPeVyezB5izizAn4X1JDrys69n6xI/edit?usp=sharing"",""ยะลา!J455"")"),0)</f>
        <v>0</v>
      </c>
      <c r="BO84" s="152">
        <f ca="1">IFERROR(__xludf.DUMMYFUNCTION("IMPORTRANGE(""https://docs.google.com/spreadsheets/d/1woKwKjgoLssDvPcPeVyezB5izizAn4X1JDrys69n6xI/edit?usp=sharing"",""ยะลา!I457"")"),189.34)</f>
        <v>189.34</v>
      </c>
      <c r="BP84" s="152">
        <f ca="1">IFERROR(__xludf.DUMMYFUNCTION("IMPORTRANGE(""https://docs.google.com/spreadsheets/d/1woKwKjgoLssDvPcPeVyezB5izizAn4X1JDrys69n6xI/edit?usp=sharing"",""ยะลา!I458"")"),21)</f>
        <v>21</v>
      </c>
      <c r="BQ84" s="152">
        <f ca="1">IFERROR(__xludf.DUMMYFUNCTION("IMPORTRANGE(""https://docs.google.com/spreadsheets/d/1woKwKjgoLssDvPcPeVyezB5izizAn4X1JDrys69n6xI/edit?usp=sharing"",""ยะลา!J457"")"),0)</f>
        <v>0</v>
      </c>
      <c r="BR84" s="216">
        <f t="shared" ca="1" si="65"/>
        <v>0</v>
      </c>
      <c r="BS84" s="152">
        <f ca="1">IFERROR(__xludf.DUMMYFUNCTION("IMPORTRANGE(""https://docs.google.com/spreadsheets/d/1woKwKjgoLssDvPcPeVyezB5izizAn4X1JDrys69n6xI/edit?usp=sharing"",""ยะลา!J458"")"),0)</f>
        <v>0</v>
      </c>
      <c r="BT84" s="216">
        <f t="shared" ca="1" si="66"/>
        <v>0</v>
      </c>
      <c r="BU84" s="152">
        <f ca="1">IFERROR(__xludf.DUMMYFUNCTION("IMPORTRANGE(""https://docs.google.com/spreadsheets/d/1woKwKjgoLssDvPcPeVyezB5izizAn4X1JDrys69n6xI/edit?usp=sharing"",""ยะลา!J459"")"),0)</f>
        <v>0</v>
      </c>
      <c r="BV84" s="152">
        <f ca="1">IFERROR(__xludf.DUMMYFUNCTION("IMPORTRANGE(""https://docs.google.com/spreadsheets/d/1woKwKjgoLssDvPcPeVyezB5izizAn4X1JDrys69n6xI/edit?usp=sharing"",""ยะลา!J460"")"),0)</f>
        <v>0</v>
      </c>
      <c r="BW84" s="152">
        <f ca="1">IFERROR(__xludf.DUMMYFUNCTION("IMPORTRANGE(""https://docs.google.com/spreadsheets/d/1woKwKjgoLssDvPcPeVyezB5izizAn4X1JDrys69n6xI/edit?usp=sharing"",""ยะลา!J461"")"),0)</f>
        <v>0</v>
      </c>
      <c r="BX84" s="152">
        <f ca="1">IFERROR(__xludf.DUMMYFUNCTION("IMPORTRANGE(""https://docs.google.com/spreadsheets/d/1woKwKjgoLssDvPcPeVyezB5izizAn4X1JDrys69n6xI/edit?usp=sharing"",""ยะลา!J462"")"),0)</f>
        <v>0</v>
      </c>
      <c r="BY84" s="152">
        <f ca="1">IFERROR(__xludf.DUMMYFUNCTION("IMPORTRANGE(""https://docs.google.com/spreadsheets/d/1woKwKjgoLssDvPcPeVyezB5izizAn4X1JDrys69n6xI/edit?usp=sharing"",""ยะลา!J463"")"),0)</f>
        <v>0</v>
      </c>
      <c r="BZ84" s="152">
        <f ca="1">IFERROR(__xludf.DUMMYFUNCTION("IMPORTRANGE(""https://docs.google.com/spreadsheets/d/1woKwKjgoLssDvPcPeVyezB5izizAn4X1JDrys69n6xI/edit?usp=sharing"",""ยะลา!J464"")"),0)</f>
        <v>0</v>
      </c>
      <c r="CA84" s="152">
        <f ca="1">IFERROR(__xludf.DUMMYFUNCTION("IMPORTRANGE(""https://docs.google.com/spreadsheets/d/1woKwKjgoLssDvPcPeVyezB5izizAn4X1JDrys69n6xI/edit?usp=sharing"",""ยะลา!J465"")"),0)</f>
        <v>0</v>
      </c>
      <c r="CB84" s="152">
        <f ca="1">IFERROR(__xludf.DUMMYFUNCTION("IMPORTRANGE(""https://docs.google.com/spreadsheets/d/1woKwKjgoLssDvPcPeVyezB5izizAn4X1JDrys69n6xI/edit?usp=sharing"",""ยะลา!J466"")"),0)</f>
        <v>0</v>
      </c>
      <c r="CC84" s="152">
        <f ca="1">IFERROR(__xludf.DUMMYFUNCTION("IMPORTRANGE(""https://docs.google.com/spreadsheets/d/1woKwKjgoLssDvPcPeVyezB5izizAn4X1JDrys69n6xI/edit?usp=sharing"",""ยะลา!J467"")"),0)</f>
        <v>0</v>
      </c>
      <c r="CD84" s="152">
        <f ca="1">IFERROR(__xludf.DUMMYFUNCTION("IMPORTRANGE(""https://docs.google.com/spreadsheets/d/1woKwKjgoLssDvPcPeVyezB5izizAn4X1JDrys69n6xI/edit?usp=sharing"",""ยะลา!J468"")"),0)</f>
        <v>0</v>
      </c>
      <c r="CE84" s="152">
        <f ca="1">IFERROR(__xludf.DUMMYFUNCTION("IMPORTRANGE(""https://docs.google.com/spreadsheets/d/1woKwKjgoLssDvPcPeVyezB5izizAn4X1JDrys69n6xI/edit?usp=sharing"",""ยะลา!J469"")"),0)</f>
        <v>0</v>
      </c>
      <c r="CF84" s="152">
        <f ca="1">IFERROR(__xludf.DUMMYFUNCTION("IMPORTRANGE(""https://docs.google.com/spreadsheets/d/1woKwKjgoLssDvPcPeVyezB5izizAn4X1JDrys69n6xI/edit?usp=sharing"",""ยะลา!J470"")"),0)</f>
        <v>0</v>
      </c>
      <c r="CG84" s="152">
        <f ca="1">IFERROR(__xludf.DUMMYFUNCTION("IMPORTRANGE(""https://docs.google.com/spreadsheets/d/1woKwKjgoLssDvPcPeVyezB5izizAn4X1JDrys69n6xI/edit?usp=sharing"",""ยะลา!J471"")"),0)</f>
        <v>0</v>
      </c>
      <c r="CH84" s="152">
        <f ca="1">IFERROR(__xludf.DUMMYFUNCTION("IMPORTRANGE(""https://docs.google.com/spreadsheets/d/1woKwKjgoLssDvPcPeVyezB5izizAn4X1JDrys69n6xI/edit?usp=sharing"",""ยะลา!J472"")"),0)</f>
        <v>0</v>
      </c>
      <c r="CI84" s="152">
        <f ca="1">IFERROR(__xludf.DUMMYFUNCTION("IMPORTRANGE(""https://docs.google.com/spreadsheets/d/1woKwKjgoLssDvPcPeVyezB5izizAn4X1JDrys69n6xI/edit?usp=sharing"",""ยะลา!J473"")"),0)</f>
        <v>0</v>
      </c>
      <c r="CJ84" s="152">
        <f ca="1">IFERROR(__xludf.DUMMYFUNCTION("IMPORTRANGE(""https://docs.google.com/spreadsheets/d/1woKwKjgoLssDvPcPeVyezB5izizAn4X1JDrys69n6xI/edit?usp=sharing"",""ยะลา!J474"")"),0)</f>
        <v>0</v>
      </c>
      <c r="CK84" s="278">
        <f ca="1">IFERROR(__xludf.DUMMYFUNCTION("IMPORTRANGE(""https://docs.google.com/spreadsheets/d/1woKwKjgoLssDvPcPeVyezB5izizAn4X1JDrys69n6xI/edit?usp=sharing"",""ยะลา!I476"")"),0)</f>
        <v>0</v>
      </c>
      <c r="CL84" s="278">
        <f ca="1">IFERROR(__xludf.DUMMYFUNCTION("IMPORTRANGE(""https://docs.google.com/spreadsheets/d/1woKwKjgoLssDvPcPeVyezB5izizAn4X1JDrys69n6xI/edit?usp=sharing"",""ยะลา!I477"")"),0)</f>
        <v>0</v>
      </c>
      <c r="CM84" s="278">
        <f ca="1">IFERROR(__xludf.DUMMYFUNCTION("IMPORTRANGE(""https://docs.google.com/spreadsheets/d/1woKwKjgoLssDvPcPeVyezB5izizAn4X1JDrys69n6xI/edit?usp=sharing"",""ยะลา!J476"")"),0)</f>
        <v>0</v>
      </c>
      <c r="CN84" s="216">
        <f t="shared" ca="1" si="68"/>
        <v>0</v>
      </c>
      <c r="CO84" s="278">
        <f ca="1">IFERROR(__xludf.DUMMYFUNCTION("IMPORTRANGE(""https://docs.google.com/spreadsheets/d/1woKwKjgoLssDvPcPeVyezB5izizAn4X1JDrys69n6xI/edit?usp=sharing"",""ยะลา!J477"")"),0)</f>
        <v>0</v>
      </c>
      <c r="CP84" s="216">
        <f t="shared" ca="1" si="69"/>
        <v>0</v>
      </c>
      <c r="CQ84" s="278">
        <f ca="1">IFERROR(__xludf.DUMMYFUNCTION("IMPORTRANGE(""https://docs.google.com/spreadsheets/d/1woKwKjgoLssDvPcPeVyezB5izizAn4X1JDrys69n6xI/edit?usp=sharing"",""ยะลา!J478"")"),0)</f>
        <v>0</v>
      </c>
      <c r="CR84" s="278">
        <f ca="1">IFERROR(__xludf.DUMMYFUNCTION("IMPORTRANGE(""https://docs.google.com/spreadsheets/d/1woKwKjgoLssDvPcPeVyezB5izizAn4X1JDrys69n6xI/edit?usp=sharing"",""ยะลา!J479"")"),0)</f>
        <v>0</v>
      </c>
      <c r="CS84" s="278">
        <f ca="1">IFERROR(__xludf.DUMMYFUNCTION("IMPORTRANGE(""https://docs.google.com/spreadsheets/d/1woKwKjgoLssDvPcPeVyezB5izizAn4X1JDrys69n6xI/edit?usp=sharing"",""ยะลา!J480"")"),0)</f>
        <v>0</v>
      </c>
      <c r="CT84" s="278">
        <f ca="1">IFERROR(__xludf.DUMMYFUNCTION("IMPORTRANGE(""https://docs.google.com/spreadsheets/d/1woKwKjgoLssDvPcPeVyezB5izizAn4X1JDrys69n6xI/edit?usp=sharing"",""ยะลา!J481"")"),0)</f>
        <v>0</v>
      </c>
      <c r="CU84" s="278">
        <f ca="1">IFERROR(__xludf.DUMMYFUNCTION("IMPORTRANGE(""https://docs.google.com/spreadsheets/d/1woKwKjgoLssDvPcPeVyezB5izizAn4X1JDrys69n6xI/edit?usp=sharing"",""ยะลา!I484"")"),0)</f>
        <v>0</v>
      </c>
      <c r="CV84" s="278">
        <f ca="1">IFERROR(__xludf.DUMMYFUNCTION("IMPORTRANGE(""https://docs.google.com/spreadsheets/d/1woKwKjgoLssDvPcPeVyezB5izizAn4X1JDrys69n6xI/edit?usp=sharing"",""ยะลา!I485"")"),0)</f>
        <v>0</v>
      </c>
      <c r="CW84" s="278">
        <f ca="1">IFERROR(__xludf.DUMMYFUNCTION("IMPORTRANGE(""https://docs.google.com/spreadsheets/d/1woKwKjgoLssDvPcPeVyezB5izizAn4X1JDrys69n6xI/edit?usp=sharing"",""ยะลา!J484"")"),0)</f>
        <v>0</v>
      </c>
      <c r="CX84" s="216">
        <f t="shared" ca="1" si="71"/>
        <v>0</v>
      </c>
      <c r="CY84" s="278">
        <f ca="1">IFERROR(__xludf.DUMMYFUNCTION("IMPORTRANGE(""https://docs.google.com/spreadsheets/d/1woKwKjgoLssDvPcPeVyezB5izizAn4X1JDrys69n6xI/edit?usp=sharing"",""ยะลา!J485"")"),0)</f>
        <v>0</v>
      </c>
      <c r="CZ84" s="216">
        <f t="shared" ca="1" si="72"/>
        <v>0</v>
      </c>
      <c r="DA84" s="278">
        <f ca="1">IFERROR(__xludf.DUMMYFUNCTION("IMPORTRANGE(""https://docs.google.com/spreadsheets/d/1woKwKjgoLssDvPcPeVyezB5izizAn4X1JDrys69n6xI/edit?usp=sharing"",""ยะลา!J486"")"),0)</f>
        <v>0</v>
      </c>
      <c r="DB84" s="278">
        <f ca="1">IFERROR(__xludf.DUMMYFUNCTION("IMPORTRANGE(""https://docs.google.com/spreadsheets/d/1woKwKjgoLssDvPcPeVyezB5izizAn4X1JDrys69n6xI/edit?usp=sharing"",""ยะลา!J487"")"),0)</f>
        <v>0</v>
      </c>
      <c r="DC84" s="278">
        <f ca="1">IFERROR(__xludf.DUMMYFUNCTION("IMPORTRANGE(""https://docs.google.com/spreadsheets/d/1woKwKjgoLssDvPcPeVyezB5izizAn4X1JDrys69n6xI/edit?usp=sharing"",""ยะลา!J488"")"),0)</f>
        <v>0</v>
      </c>
      <c r="DD84" s="278">
        <f ca="1">IFERROR(__xludf.DUMMYFUNCTION("IMPORTRANGE(""https://docs.google.com/spreadsheets/d/1woKwKjgoLssDvPcPeVyezB5izizAn4X1JDrys69n6xI/edit?usp=sharing"",""ยะลา!J489"")"),0)</f>
        <v>0</v>
      </c>
      <c r="DE84" s="278">
        <f ca="1">IFERROR(__xludf.DUMMYFUNCTION("IMPORTRANGE(""https://docs.google.com/spreadsheets/d/1woKwKjgoLssDvPcPeVyezB5izizAn4X1JDrys69n6xI/edit?usp=sharing"",""ยะลา!J490"")"),0)</f>
        <v>0</v>
      </c>
      <c r="DF84" s="278">
        <f ca="1">IFERROR(__xludf.DUMMYFUNCTION("IMPORTRANGE(""https://docs.google.com/spreadsheets/d/1woKwKjgoLssDvPcPeVyezB5izizAn4X1JDrys69n6xI/edit?usp=sharing"",""ยะลา!J491"")"),0)</f>
        <v>0</v>
      </c>
    </row>
    <row r="85" spans="1:110" ht="19.5" x14ac:dyDescent="0.3">
      <c r="A85" s="147">
        <v>11</v>
      </c>
      <c r="B85" s="148" t="s">
        <v>113</v>
      </c>
      <c r="C85" s="566">
        <f t="shared" ca="1" si="44"/>
        <v>0</v>
      </c>
      <c r="D85" s="567">
        <f t="shared" ca="1" si="104"/>
        <v>0</v>
      </c>
      <c r="E85" s="329">
        <f ca="1">IFERROR(__xludf.DUMMYFUNCTION("IMPORTRANGE(""https://docs.google.com/spreadsheets/d/1-uDff_7J0KD5mKrp0Vvzr7lt3OU09vwQwhkpOPPYv2Y/edit?usp=sharing"",""งบพรบ!IP85"")"),0)</f>
        <v>0</v>
      </c>
      <c r="F85" s="329">
        <f ca="1">IFERROR(__xludf.DUMMYFUNCTION("IMPORTRANGE(""https://docs.google.com/spreadsheets/d/1-uDff_7J0KD5mKrp0Vvzr7lt3OU09vwQwhkpOPPYv2Y/edit?usp=sharing"",""งบพรบ!IQ85"")"),0)</f>
        <v>0</v>
      </c>
      <c r="G85" s="329">
        <f ca="1">IFERROR(__xludf.DUMMYFUNCTION("IMPORTRANGE(""https://docs.google.com/spreadsheets/d/1-uDff_7J0KD5mKrp0Vvzr7lt3OU09vwQwhkpOPPYv2Y/edit?usp=sharing"",""งบพรบ!IR85"")"),0)</f>
        <v>0</v>
      </c>
      <c r="H85" s="329">
        <f ca="1">IFERROR(__xludf.DUMMYFUNCTION("IMPORTRANGE(""https://docs.google.com/spreadsheets/d/1-uDff_7J0KD5mKrp0Vvzr7lt3OU09vwQwhkpOPPYv2Y/edit?usp=sharing"",""งบพรบ!IT85"")"),0)</f>
        <v>0</v>
      </c>
      <c r="I85" s="329">
        <f ca="1">IFERROR(__xludf.DUMMYFUNCTION("IMPORTRANGE(""https://docs.google.com/spreadsheets/d/1-uDff_7J0KD5mKrp0Vvzr7lt3OU09vwQwhkpOPPYv2Y/edit?usp=sharing"",""งบพรบ!IU85"")"),0)</f>
        <v>0</v>
      </c>
      <c r="J85" s="329">
        <f t="shared" ca="1" si="46"/>
        <v>0</v>
      </c>
      <c r="K85" s="568">
        <f t="shared" ca="1" si="47"/>
        <v>0</v>
      </c>
      <c r="L85" s="329">
        <f ca="1">IFERROR(__xludf.DUMMYFUNCTION("IMPORTRANGE(""https://docs.google.com/spreadsheets/d/1-uDff_7J0KD5mKrp0Vvzr7lt3OU09vwQwhkpOPPYv2Y/edit?usp=sharing"",""งบพรบ!IV85"")"),0)</f>
        <v>0</v>
      </c>
      <c r="M85" s="330">
        <f t="shared" ca="1" si="48"/>
        <v>0</v>
      </c>
      <c r="N85" s="330">
        <f t="shared" ca="1" si="49"/>
        <v>0</v>
      </c>
      <c r="O85" s="569">
        <f ca="1">IFERROR(__xludf.DUMMYFUNCTION("IMPORTRANGE(""https://docs.google.com/spreadsheets/d/1-uDff_7J0KD5mKrp0Vvzr7lt3OU09vwQwhkpOPPYv2Y/edit?usp=sharing"",""งบพรบ!IW85"")"),0)</f>
        <v>0</v>
      </c>
      <c r="P85" s="569">
        <f t="shared" ca="1" si="50"/>
        <v>0</v>
      </c>
      <c r="Q85" s="330">
        <f t="shared" ca="1" si="51"/>
        <v>0</v>
      </c>
      <c r="R85" s="564">
        <f ca="1">IFERROR(__xludf.DUMMYFUNCTION("IMPORTRANGE(""https://docs.google.com/spreadsheets/d/1qfrKjzMhm2HJfxQ-qVlJlJQ25Hne1d0khsySbZyGtPA/edit?usp=sharing"",""ระนอง!Q413"")"),0)</f>
        <v>0</v>
      </c>
      <c r="S85" s="564">
        <f ca="1">IFERROR(__xludf.DUMMYFUNCTION("IMPORTRANGE(""https://docs.google.com/spreadsheets/d/1qfrKjzMhm2HJfxQ-qVlJlJQ25Hne1d0khsySbZyGtPA/edit?usp=sharing"",""ระนอง!R413"")"),0)</f>
        <v>0</v>
      </c>
      <c r="T85" s="564">
        <f ca="1">IFERROR(__xludf.DUMMYFUNCTION("IMPORTRANGE(""https://docs.google.com/spreadsheets/d/1qfrKjzMhm2HJfxQ-qVlJlJQ25Hne1d0khsySbZyGtPA/edit?usp=sharing"",""ระนอง!S413"")"),0)</f>
        <v>0</v>
      </c>
      <c r="U85" s="565">
        <f t="shared" ca="1" si="53"/>
        <v>0</v>
      </c>
      <c r="V85" s="565">
        <f t="shared" ca="1" si="54"/>
        <v>0</v>
      </c>
      <c r="W85" s="152">
        <f ca="1">IFERROR(__xludf.DUMMYFUNCTION("IMPORTRANGE(""https://docs.google.com/spreadsheets/d/1qfrKjzMhm2HJfxQ-qVlJlJQ25Hne1d0khsySbZyGtPA/edit?usp=sharing"",""ระนอง!I424"")"),0)</f>
        <v>0</v>
      </c>
      <c r="X85" s="152">
        <f ca="1">IFERROR(__xludf.DUMMYFUNCTION("IMPORTRANGE(""https://docs.google.com/spreadsheets/d/1qfrKjzMhm2HJfxQ-qVlJlJQ25Hne1d0khsySbZyGtPA/edit?usp=sharing"",""ระนอง!I425"")"),0)</f>
        <v>0</v>
      </c>
      <c r="Y85" s="152">
        <f ca="1">IFERROR(__xludf.DUMMYFUNCTION("IMPORTRANGE(""https://docs.google.com/spreadsheets/d/1qfrKjzMhm2HJfxQ-qVlJlJQ25Hne1d0khsySbZyGtPA/edit?usp=sharing"",""ระนอง!J424"")"),0)</f>
        <v>0</v>
      </c>
      <c r="Z85" s="216">
        <f t="shared" ca="1" si="56"/>
        <v>0</v>
      </c>
      <c r="AA85" s="152">
        <f ca="1">IFERROR(__xludf.DUMMYFUNCTION("IMPORTRANGE(""https://docs.google.com/spreadsheets/d/1qfrKjzMhm2HJfxQ-qVlJlJQ25Hne1d0khsySbZyGtPA/edit?usp=sharing"",""ระนอง!J425"")"),0)</f>
        <v>0</v>
      </c>
      <c r="AB85" s="216">
        <f t="shared" ca="1" si="57"/>
        <v>0</v>
      </c>
      <c r="AC85" s="152">
        <f ca="1">IFERROR(__xludf.DUMMYFUNCTION("IMPORTRANGE(""https://docs.google.com/spreadsheets/d/1qfrKjzMhm2HJfxQ-qVlJlJQ25Hne1d0khsySbZyGtPA/edit?usp=sharing"",""ระนอง!J426"")"),0)</f>
        <v>0</v>
      </c>
      <c r="AD85" s="152">
        <f ca="1">IFERROR(__xludf.DUMMYFUNCTION("IMPORTRANGE(""https://docs.google.com/spreadsheets/d/1qfrKjzMhm2HJfxQ-qVlJlJQ25Hne1d0khsySbZyGtPA/edit?usp=sharing"",""ระนอง!J427"")"),0)</f>
        <v>0</v>
      </c>
      <c r="AE85" s="152">
        <f ca="1">IFERROR(__xludf.DUMMYFUNCTION("IMPORTRANGE(""https://docs.google.com/spreadsheets/d/1qfrKjzMhm2HJfxQ-qVlJlJQ25Hne1d0khsySbZyGtPA/edit?usp=sharing"",""ระนอง!J428"")"),0)</f>
        <v>0</v>
      </c>
      <c r="AF85" s="152">
        <f ca="1">IFERROR(__xludf.DUMMYFUNCTION("IMPORTRANGE(""https://docs.google.com/spreadsheets/d/1qfrKjzMhm2HJfxQ-qVlJlJQ25Hne1d0khsySbZyGtPA/edit?usp=sharing"",""ระนอง!J429"")"),0)</f>
        <v>0</v>
      </c>
      <c r="AG85" s="152">
        <f ca="1">IFERROR(__xludf.DUMMYFUNCTION("IMPORTRANGE(""https://docs.google.com/spreadsheets/d/1qfrKjzMhm2HJfxQ-qVlJlJQ25Hne1d0khsySbZyGtPA/edit?usp=sharing"",""ระนอง!J430"")"),0)</f>
        <v>0</v>
      </c>
      <c r="AH85" s="152">
        <f ca="1">IFERROR(__xludf.DUMMYFUNCTION("IMPORTRANGE(""https://docs.google.com/spreadsheets/d/1qfrKjzMhm2HJfxQ-qVlJlJQ25Hne1d0khsySbZyGtPA/edit?usp=sharing"",""ระนอง!J431"")"),0)</f>
        <v>0</v>
      </c>
      <c r="AI85" s="152">
        <f ca="1">IFERROR(__xludf.DUMMYFUNCTION("IMPORTRANGE(""https://docs.google.com/spreadsheets/d/1qfrKjzMhm2HJfxQ-qVlJlJQ25Hne1d0khsySbZyGtPA/edit?usp=sharing"",""ระนอง!I432"")"),0)</f>
        <v>0</v>
      </c>
      <c r="AJ85" s="152">
        <f ca="1">IFERROR(__xludf.DUMMYFUNCTION("IMPORTRANGE(""https://docs.google.com/spreadsheets/d/1qfrKjzMhm2HJfxQ-qVlJlJQ25Hne1d0khsySbZyGtPA/edit?usp=sharing"",""ระนอง!I433"")"),0)</f>
        <v>0</v>
      </c>
      <c r="AK85" s="216">
        <f ca="1">IFERROR(__xludf.DUMMYFUNCTION("IMPORTRANGE(""https://docs.google.com/spreadsheets/d/1qfrKjzMhm2HJfxQ-qVlJlJQ25Hne1d0khsySbZyGtPA/edit?usp=sharing"",""ระนอง!J432"")"),0)</f>
        <v>0</v>
      </c>
      <c r="AL85" s="216">
        <f t="shared" ca="1" si="59"/>
        <v>0</v>
      </c>
      <c r="AM85" s="152">
        <f ca="1">IFERROR(__xludf.DUMMYFUNCTION("IMPORTRANGE(""https://docs.google.com/spreadsheets/d/1qfrKjzMhm2HJfxQ-qVlJlJQ25Hne1d0khsySbZyGtPA/edit?usp=sharing"",""ระนอง!J433"")"),0)</f>
        <v>0</v>
      </c>
      <c r="AN85" s="216">
        <f t="shared" ca="1" si="60"/>
        <v>0</v>
      </c>
      <c r="AO85" s="152">
        <f ca="1">IFERROR(__xludf.DUMMYFUNCTION("IMPORTRANGE(""https://docs.google.com/spreadsheets/d/1qfrKjzMhm2HJfxQ-qVlJlJQ25Hne1d0khsySbZyGtPA/edit?usp=sharing"",""ระนอง!J434"")"),0)</f>
        <v>0</v>
      </c>
      <c r="AP85" s="152">
        <f ca="1">IFERROR(__xludf.DUMMYFUNCTION("IMPORTRANGE(""https://docs.google.com/spreadsheets/d/1qfrKjzMhm2HJfxQ-qVlJlJQ25Hne1d0khsySbZyGtPA/edit?usp=sharing"",""ระนอง!J435"")"),0)</f>
        <v>0</v>
      </c>
      <c r="AQ85" s="152">
        <f ca="1">IFERROR(__xludf.DUMMYFUNCTION("IMPORTRANGE(""https://docs.google.com/spreadsheets/d/1qfrKjzMhm2HJfxQ-qVlJlJQ25Hne1d0khsySbZyGtPA/edit?usp=sharing"",""ระนอง!J436"")"),0)</f>
        <v>0</v>
      </c>
      <c r="AR85" s="152">
        <f ca="1">IFERROR(__xludf.DUMMYFUNCTION("IMPORTRANGE(""https://docs.google.com/spreadsheets/d/1qfrKjzMhm2HJfxQ-qVlJlJQ25Hne1d0khsySbZyGtPA/edit?usp=sharing"",""ระนอง!J437"")"),0)</f>
        <v>0</v>
      </c>
      <c r="AS85" s="152">
        <f ca="1">IFERROR(__xludf.DUMMYFUNCTION("IMPORTRANGE(""https://docs.google.com/spreadsheets/d/1qfrKjzMhm2HJfxQ-qVlJlJQ25Hne1d0khsySbZyGtPA/edit?usp=sharing"",""ระนอง!J438"")"),0)</f>
        <v>0</v>
      </c>
      <c r="AT85" s="152">
        <f ca="1">IFERROR(__xludf.DUMMYFUNCTION("IMPORTRANGE(""https://docs.google.com/spreadsheets/d/1qfrKjzMhm2HJfxQ-qVlJlJQ25Hne1d0khsySbZyGtPA/edit?usp=sharing"",""ระนอง!J439"")"),0)</f>
        <v>0</v>
      </c>
      <c r="AU85" s="152">
        <f ca="1">IFERROR(__xludf.DUMMYFUNCTION("IMPORTRANGE(""https://docs.google.com/spreadsheets/d/1qfrKjzMhm2HJfxQ-qVlJlJQ25Hne1d0khsySbZyGtPA/edit?usp=sharing"",""ระนอง!I440"")"),0)</f>
        <v>0</v>
      </c>
      <c r="AV85" s="152">
        <f ca="1">IFERROR(__xludf.DUMMYFUNCTION("IMPORTRANGE(""https://docs.google.com/spreadsheets/d/1qfrKjzMhm2HJfxQ-qVlJlJQ25Hne1d0khsySbZyGtPA/edit?usp=sharing"",""ระนอง!I441"")"),0)</f>
        <v>0</v>
      </c>
      <c r="AW85" s="152">
        <f ca="1">IFERROR(__xludf.DUMMYFUNCTION("IMPORTRANGE(""https://docs.google.com/spreadsheets/d/1qfrKjzMhm2HJfxQ-qVlJlJQ25Hne1d0khsySbZyGtPA/edit?usp=sharing"",""ระนอง!J440"")"),0)</f>
        <v>0</v>
      </c>
      <c r="AX85" s="216">
        <f t="shared" ca="1" si="62"/>
        <v>0</v>
      </c>
      <c r="AY85" s="152">
        <f ca="1">IFERROR(__xludf.DUMMYFUNCTION("IMPORTRANGE(""https://docs.google.com/spreadsheets/d/1qfrKjzMhm2HJfxQ-qVlJlJQ25Hne1d0khsySbZyGtPA/edit?usp=sharing"",""ระนอง!J441"")"),0)</f>
        <v>0</v>
      </c>
      <c r="AZ85" s="216">
        <f t="shared" ca="1" si="63"/>
        <v>0</v>
      </c>
      <c r="BA85" s="152">
        <f ca="1">IFERROR(__xludf.DUMMYFUNCTION("IMPORTRANGE(""https://docs.google.com/spreadsheets/d/1qfrKjzMhm2HJfxQ-qVlJlJQ25Hne1d0khsySbZyGtPA/edit?usp=sharing"",""ระนอง!J442"")"),0)</f>
        <v>0</v>
      </c>
      <c r="BB85" s="152">
        <f ca="1">IFERROR(__xludf.DUMMYFUNCTION("IMPORTRANGE(""https://docs.google.com/spreadsheets/d/1qfrKjzMhm2HJfxQ-qVlJlJQ25Hne1d0khsySbZyGtPA/edit?usp=sharing"",""ระนอง!J443"")"),0)</f>
        <v>0</v>
      </c>
      <c r="BC85" s="152">
        <f ca="1">IFERROR(__xludf.DUMMYFUNCTION("IMPORTRANGE(""https://docs.google.com/spreadsheets/d/1qfrKjzMhm2HJfxQ-qVlJlJQ25Hne1d0khsySbZyGtPA/edit?usp=sharing"",""ระนอง!J444"")"),0)</f>
        <v>0</v>
      </c>
      <c r="BD85" s="152">
        <f ca="1">IFERROR(__xludf.DUMMYFUNCTION("IMPORTRANGE(""https://docs.google.com/spreadsheets/d/1qfrKjzMhm2HJfxQ-qVlJlJQ25Hne1d0khsySbZyGtPA/edit?usp=sharing"",""ระนอง!J445"")"),0)</f>
        <v>0</v>
      </c>
      <c r="BE85" s="152">
        <f ca="1">IFERROR(__xludf.DUMMYFUNCTION("IMPORTRANGE(""https://docs.google.com/spreadsheets/d/1qfrKjzMhm2HJfxQ-qVlJlJQ25Hne1d0khsySbZyGtPA/edit?usp=sharing"",""ระนอง!J446"")"),0)</f>
        <v>0</v>
      </c>
      <c r="BF85" s="152">
        <f ca="1">IFERROR(__xludf.DUMMYFUNCTION("IMPORTRANGE(""https://docs.google.com/spreadsheets/d/1qfrKjzMhm2HJfxQ-qVlJlJQ25Hne1d0khsySbZyGtPA/edit?usp=sharing"",""ระนอง!J447"")"),0)</f>
        <v>0</v>
      </c>
      <c r="BG85" s="152">
        <f ca="1">IFERROR(__xludf.DUMMYFUNCTION("IMPORTRANGE(""https://docs.google.com/spreadsheets/d/1qfrKjzMhm2HJfxQ-qVlJlJQ25Hne1d0khsySbZyGtPA/edit?usp=sharing"",""ระนอง!J448"")"),0)</f>
        <v>0</v>
      </c>
      <c r="BH85" s="152">
        <f ca="1">IFERROR(__xludf.DUMMYFUNCTION("IMPORTRANGE(""https://docs.google.com/spreadsheets/d/1qfrKjzMhm2HJfxQ-qVlJlJQ25Hne1d0khsySbZyGtPA/edit?usp=sharing"",""ระนอง!J449"")"),0)</f>
        <v>0</v>
      </c>
      <c r="BI85" s="152">
        <f ca="1">IFERROR(__xludf.DUMMYFUNCTION("IMPORTRANGE(""https://docs.google.com/spreadsheets/d/1qfrKjzMhm2HJfxQ-qVlJlJQ25Hne1d0khsySbZyGtPA/edit?usp=sharing"",""ระนอง!J450"")"),0)</f>
        <v>0</v>
      </c>
      <c r="BJ85" s="152">
        <f ca="1">IFERROR(__xludf.DUMMYFUNCTION("IMPORTRANGE(""https://docs.google.com/spreadsheets/d/1qfrKjzMhm2HJfxQ-qVlJlJQ25Hne1d0khsySbZyGtPA/edit?usp=sharing"",""ระนอง!J451"")"),0)</f>
        <v>0</v>
      </c>
      <c r="BK85" s="152">
        <f ca="1">IFERROR(__xludf.DUMMYFUNCTION("IMPORTRANGE(""https://docs.google.com/spreadsheets/d/1qfrKjzMhm2HJfxQ-qVlJlJQ25Hne1d0khsySbZyGtPA/edit?usp=sharing"",""ระนอง!J452"")"),0)</f>
        <v>0</v>
      </c>
      <c r="BL85" s="152">
        <f ca="1">IFERROR(__xludf.DUMMYFUNCTION("IMPORTRANGE(""https://docs.google.com/spreadsheets/d/1qfrKjzMhm2HJfxQ-qVlJlJQ25Hne1d0khsySbZyGtPA/edit?usp=sharing"",""ระนอง!J453"")"),0)</f>
        <v>0</v>
      </c>
      <c r="BM85" s="152">
        <f ca="1">IFERROR(__xludf.DUMMYFUNCTION("IMPORTRANGE(""https://docs.google.com/spreadsheets/d/1qfrKjzMhm2HJfxQ-qVlJlJQ25Hne1d0khsySbZyGtPA/edit?usp=sharing"",""ระนอง!J454"")"),0)</f>
        <v>0</v>
      </c>
      <c r="BN85" s="152">
        <f ca="1">IFERROR(__xludf.DUMMYFUNCTION("IMPORTRANGE(""https://docs.google.com/spreadsheets/d/1qfrKjzMhm2HJfxQ-qVlJlJQ25Hne1d0khsySbZyGtPA/edit?usp=sharing"",""ระนอง!J455"")"),0)</f>
        <v>0</v>
      </c>
      <c r="BO85" s="152">
        <f ca="1">IFERROR(__xludf.DUMMYFUNCTION("IMPORTRANGE(""https://docs.google.com/spreadsheets/d/1qfrKjzMhm2HJfxQ-qVlJlJQ25Hne1d0khsySbZyGtPA/edit?usp=sharing"",""ระนอง!I457"")"),0)</f>
        <v>0</v>
      </c>
      <c r="BP85" s="152">
        <f ca="1">IFERROR(__xludf.DUMMYFUNCTION("IMPORTRANGE(""https://docs.google.com/spreadsheets/d/1qfrKjzMhm2HJfxQ-qVlJlJQ25Hne1d0khsySbZyGtPA/edit?usp=sharing"",""ระนอง!I458"")"),0)</f>
        <v>0</v>
      </c>
      <c r="BQ85" s="152">
        <f ca="1">IFERROR(__xludf.DUMMYFUNCTION("IMPORTRANGE(""https://docs.google.com/spreadsheets/d/1qfrKjzMhm2HJfxQ-qVlJlJQ25Hne1d0khsySbZyGtPA/edit?usp=sharing"",""ระนอง!J457"")"),0)</f>
        <v>0</v>
      </c>
      <c r="BR85" s="216">
        <f t="shared" ca="1" si="65"/>
        <v>0</v>
      </c>
      <c r="BS85" s="152">
        <f ca="1">IFERROR(__xludf.DUMMYFUNCTION("IMPORTRANGE(""https://docs.google.com/spreadsheets/d/1qfrKjzMhm2HJfxQ-qVlJlJQ25Hne1d0khsySbZyGtPA/edit?usp=sharing"",""ระนอง!J458"")"),0)</f>
        <v>0</v>
      </c>
      <c r="BT85" s="216">
        <f t="shared" ca="1" si="66"/>
        <v>0</v>
      </c>
      <c r="BU85" s="152">
        <f ca="1">IFERROR(__xludf.DUMMYFUNCTION("IMPORTRANGE(""https://docs.google.com/spreadsheets/d/1qfrKjzMhm2HJfxQ-qVlJlJQ25Hne1d0khsySbZyGtPA/edit?usp=sharing"",""ระนอง!J459"")"),0)</f>
        <v>0</v>
      </c>
      <c r="BV85" s="152">
        <f ca="1">IFERROR(__xludf.DUMMYFUNCTION("IMPORTRANGE(""https://docs.google.com/spreadsheets/d/1qfrKjzMhm2HJfxQ-qVlJlJQ25Hne1d0khsySbZyGtPA/edit?usp=sharing"",""ระนอง!J460"")"),0)</f>
        <v>0</v>
      </c>
      <c r="BW85" s="152">
        <f ca="1">IFERROR(__xludf.DUMMYFUNCTION("IMPORTRANGE(""https://docs.google.com/spreadsheets/d/1qfrKjzMhm2HJfxQ-qVlJlJQ25Hne1d0khsySbZyGtPA/edit?usp=sharing"",""ระนอง!J461"")"),0)</f>
        <v>0</v>
      </c>
      <c r="BX85" s="152">
        <f ca="1">IFERROR(__xludf.DUMMYFUNCTION("IMPORTRANGE(""https://docs.google.com/spreadsheets/d/1qfrKjzMhm2HJfxQ-qVlJlJQ25Hne1d0khsySbZyGtPA/edit?usp=sharing"",""ระนอง!J462"")"),0)</f>
        <v>0</v>
      </c>
      <c r="BY85" s="152">
        <f ca="1">IFERROR(__xludf.DUMMYFUNCTION("IMPORTRANGE(""https://docs.google.com/spreadsheets/d/1qfrKjzMhm2HJfxQ-qVlJlJQ25Hne1d0khsySbZyGtPA/edit?usp=sharing"",""ระนอง!J463"")"),0)</f>
        <v>0</v>
      </c>
      <c r="BZ85" s="152">
        <f ca="1">IFERROR(__xludf.DUMMYFUNCTION("IMPORTRANGE(""https://docs.google.com/spreadsheets/d/1qfrKjzMhm2HJfxQ-qVlJlJQ25Hne1d0khsySbZyGtPA/edit?usp=sharing"",""ระนอง!J464"")"),0)</f>
        <v>0</v>
      </c>
      <c r="CA85" s="152">
        <f ca="1">IFERROR(__xludf.DUMMYFUNCTION("IMPORTRANGE(""https://docs.google.com/spreadsheets/d/1qfrKjzMhm2HJfxQ-qVlJlJQ25Hne1d0khsySbZyGtPA/edit?usp=sharing"",""ระนอง!J465"")"),0)</f>
        <v>0</v>
      </c>
      <c r="CB85" s="152">
        <f ca="1">IFERROR(__xludf.DUMMYFUNCTION("IMPORTRANGE(""https://docs.google.com/spreadsheets/d/1qfrKjzMhm2HJfxQ-qVlJlJQ25Hne1d0khsySbZyGtPA/edit?usp=sharing"",""ระนอง!J466"")"),0)</f>
        <v>0</v>
      </c>
      <c r="CC85" s="152">
        <f ca="1">IFERROR(__xludf.DUMMYFUNCTION("IMPORTRANGE(""https://docs.google.com/spreadsheets/d/1qfrKjzMhm2HJfxQ-qVlJlJQ25Hne1d0khsySbZyGtPA/edit?usp=sharing"",""ระนอง!J467"")"),0)</f>
        <v>0</v>
      </c>
      <c r="CD85" s="152">
        <f ca="1">IFERROR(__xludf.DUMMYFUNCTION("IMPORTRANGE(""https://docs.google.com/spreadsheets/d/1qfrKjzMhm2HJfxQ-qVlJlJQ25Hne1d0khsySbZyGtPA/edit?usp=sharing"",""ระนอง!J468"")"),0)</f>
        <v>0</v>
      </c>
      <c r="CE85" s="152">
        <f ca="1">IFERROR(__xludf.DUMMYFUNCTION("IMPORTRANGE(""https://docs.google.com/spreadsheets/d/1qfrKjzMhm2HJfxQ-qVlJlJQ25Hne1d0khsySbZyGtPA/edit?usp=sharing"",""ระนอง!J469"")"),0)</f>
        <v>0</v>
      </c>
      <c r="CF85" s="152">
        <f ca="1">IFERROR(__xludf.DUMMYFUNCTION("IMPORTRANGE(""https://docs.google.com/spreadsheets/d/1qfrKjzMhm2HJfxQ-qVlJlJQ25Hne1d0khsySbZyGtPA/edit?usp=sharing"",""ระนอง!J470"")"),0)</f>
        <v>0</v>
      </c>
      <c r="CG85" s="152">
        <f ca="1">IFERROR(__xludf.DUMMYFUNCTION("IMPORTRANGE(""https://docs.google.com/spreadsheets/d/1qfrKjzMhm2HJfxQ-qVlJlJQ25Hne1d0khsySbZyGtPA/edit?usp=sharing"",""ระนอง!J471"")"),0)</f>
        <v>0</v>
      </c>
      <c r="CH85" s="152">
        <f ca="1">IFERROR(__xludf.DUMMYFUNCTION("IMPORTRANGE(""https://docs.google.com/spreadsheets/d/1qfrKjzMhm2HJfxQ-qVlJlJQ25Hne1d0khsySbZyGtPA/edit?usp=sharing"",""ระนอง!J472"")"),0)</f>
        <v>0</v>
      </c>
      <c r="CI85" s="152">
        <f ca="1">IFERROR(__xludf.DUMMYFUNCTION("IMPORTRANGE(""https://docs.google.com/spreadsheets/d/1qfrKjzMhm2HJfxQ-qVlJlJQ25Hne1d0khsySbZyGtPA/edit?usp=sharing"",""ระนอง!J473"")"),0)</f>
        <v>0</v>
      </c>
      <c r="CJ85" s="152">
        <f ca="1">IFERROR(__xludf.DUMMYFUNCTION("IMPORTRANGE(""https://docs.google.com/spreadsheets/d/1qfrKjzMhm2HJfxQ-qVlJlJQ25Hne1d0khsySbZyGtPA/edit?usp=sharing"",""ระนอง!J474"")"),0)</f>
        <v>0</v>
      </c>
      <c r="CK85" s="278">
        <f ca="1">IFERROR(__xludf.DUMMYFUNCTION("IMPORTRANGE(""https://docs.google.com/spreadsheets/d/1qfrKjzMhm2HJfxQ-qVlJlJQ25Hne1d0khsySbZyGtPA/edit?usp=sharing"",""ระนอง!I476"")"),0)</f>
        <v>0</v>
      </c>
      <c r="CL85" s="278">
        <f ca="1">IFERROR(__xludf.DUMMYFUNCTION("IMPORTRANGE(""https://docs.google.com/spreadsheets/d/1qfrKjzMhm2HJfxQ-qVlJlJQ25Hne1d0khsySbZyGtPA/edit?usp=sharing"",""ระนอง!I477"")"),0)</f>
        <v>0</v>
      </c>
      <c r="CM85" s="278">
        <f ca="1">IFERROR(__xludf.DUMMYFUNCTION("IMPORTRANGE(""https://docs.google.com/spreadsheets/d/1qfrKjzMhm2HJfxQ-qVlJlJQ25Hne1d0khsySbZyGtPA/edit?usp=sharing"",""ระนอง!J476"")"),0)</f>
        <v>0</v>
      </c>
      <c r="CN85" s="216">
        <f t="shared" ca="1" si="68"/>
        <v>0</v>
      </c>
      <c r="CO85" s="278">
        <f ca="1">IFERROR(__xludf.DUMMYFUNCTION("IMPORTRANGE(""https://docs.google.com/spreadsheets/d/1qfrKjzMhm2HJfxQ-qVlJlJQ25Hne1d0khsySbZyGtPA/edit?usp=sharing"",""ระนอง!J477"")"),0)</f>
        <v>0</v>
      </c>
      <c r="CP85" s="216">
        <f t="shared" ca="1" si="69"/>
        <v>0</v>
      </c>
      <c r="CQ85" s="278">
        <f ca="1">IFERROR(__xludf.DUMMYFUNCTION("IMPORTRANGE(""https://docs.google.com/spreadsheets/d/1qfrKjzMhm2HJfxQ-qVlJlJQ25Hne1d0khsySbZyGtPA/edit?usp=sharing"",""ระนอง!J478"")"),0)</f>
        <v>0</v>
      </c>
      <c r="CR85" s="278">
        <f ca="1">IFERROR(__xludf.DUMMYFUNCTION("IMPORTRANGE(""https://docs.google.com/spreadsheets/d/1qfrKjzMhm2HJfxQ-qVlJlJQ25Hne1d0khsySbZyGtPA/edit?usp=sharing"",""ระนอง!J479"")"),0)</f>
        <v>0</v>
      </c>
      <c r="CS85" s="278">
        <f ca="1">IFERROR(__xludf.DUMMYFUNCTION("IMPORTRANGE(""https://docs.google.com/spreadsheets/d/1qfrKjzMhm2HJfxQ-qVlJlJQ25Hne1d0khsySbZyGtPA/edit?usp=sharing"",""ระนอง!J480"")"),0)</f>
        <v>0</v>
      </c>
      <c r="CT85" s="278">
        <f ca="1">IFERROR(__xludf.DUMMYFUNCTION("IMPORTRANGE(""https://docs.google.com/spreadsheets/d/1qfrKjzMhm2HJfxQ-qVlJlJQ25Hne1d0khsySbZyGtPA/edit?usp=sharing"",""ระนอง!J481"")"),0)</f>
        <v>0</v>
      </c>
      <c r="CU85" s="278">
        <f ca="1">IFERROR(__xludf.DUMMYFUNCTION("IMPORTRANGE(""https://docs.google.com/spreadsheets/d/1qfrKjzMhm2HJfxQ-qVlJlJQ25Hne1d0khsySbZyGtPA/edit?usp=sharing"",""ระนอง!I484"")"),0)</f>
        <v>0</v>
      </c>
      <c r="CV85" s="278">
        <f ca="1">IFERROR(__xludf.DUMMYFUNCTION("IMPORTRANGE(""https://docs.google.com/spreadsheets/d/1qfrKjzMhm2HJfxQ-qVlJlJQ25Hne1d0khsySbZyGtPA/edit?usp=sharing"",""ระนอง!I485"")"),0)</f>
        <v>0</v>
      </c>
      <c r="CW85" s="278">
        <f ca="1">IFERROR(__xludf.DUMMYFUNCTION("IMPORTRANGE(""https://docs.google.com/spreadsheets/d/1qfrKjzMhm2HJfxQ-qVlJlJQ25Hne1d0khsySbZyGtPA/edit?usp=sharing"",""ระนอง!J484"")"),0)</f>
        <v>0</v>
      </c>
      <c r="CX85" s="216">
        <f t="shared" ca="1" si="71"/>
        <v>0</v>
      </c>
      <c r="CY85" s="278">
        <f ca="1">IFERROR(__xludf.DUMMYFUNCTION("IMPORTRANGE(""https://docs.google.com/spreadsheets/d/1qfrKjzMhm2HJfxQ-qVlJlJQ25Hne1d0khsySbZyGtPA/edit?usp=sharing"",""ระนอง!J485"")"),0)</f>
        <v>0</v>
      </c>
      <c r="CZ85" s="216">
        <f t="shared" ca="1" si="72"/>
        <v>0</v>
      </c>
      <c r="DA85" s="278">
        <f ca="1">IFERROR(__xludf.DUMMYFUNCTION("IMPORTRANGE(""https://docs.google.com/spreadsheets/d/1qfrKjzMhm2HJfxQ-qVlJlJQ25Hne1d0khsySbZyGtPA/edit?usp=sharing"",""ระนอง!J486"")"),0)</f>
        <v>0</v>
      </c>
      <c r="DB85" s="278">
        <f ca="1">IFERROR(__xludf.DUMMYFUNCTION("IMPORTRANGE(""https://docs.google.com/spreadsheets/d/1qfrKjzMhm2HJfxQ-qVlJlJQ25Hne1d0khsySbZyGtPA/edit?usp=sharing"",""ระนอง!J487"")"),0)</f>
        <v>0</v>
      </c>
      <c r="DC85" s="278">
        <f ca="1">IFERROR(__xludf.DUMMYFUNCTION("IMPORTRANGE(""https://docs.google.com/spreadsheets/d/1qfrKjzMhm2HJfxQ-qVlJlJQ25Hne1d0khsySbZyGtPA/edit?usp=sharing"",""ระนอง!J488"")"),0)</f>
        <v>0</v>
      </c>
      <c r="DD85" s="278">
        <f ca="1">IFERROR(__xludf.DUMMYFUNCTION("IMPORTRANGE(""https://docs.google.com/spreadsheets/d/1qfrKjzMhm2HJfxQ-qVlJlJQ25Hne1d0khsySbZyGtPA/edit?usp=sharing"",""ระนอง!J489"")"),0)</f>
        <v>0</v>
      </c>
      <c r="DE85" s="278">
        <f ca="1">IFERROR(__xludf.DUMMYFUNCTION("IMPORTRANGE(""https://docs.google.com/spreadsheets/d/1qfrKjzMhm2HJfxQ-qVlJlJQ25Hne1d0khsySbZyGtPA/edit?usp=sharing"",""ระนอง!J490"")"),0)</f>
        <v>0</v>
      </c>
      <c r="DF85" s="278">
        <f ca="1">IFERROR(__xludf.DUMMYFUNCTION("IMPORTRANGE(""https://docs.google.com/spreadsheets/d/1qfrKjzMhm2HJfxQ-qVlJlJQ25Hne1d0khsySbZyGtPA/edit?usp=sharing"",""ระนอง!J491"")"),0)</f>
        <v>0</v>
      </c>
    </row>
    <row r="86" spans="1:110" ht="19.5" x14ac:dyDescent="0.3">
      <c r="A86" s="147">
        <v>12</v>
      </c>
      <c r="B86" s="148" t="s">
        <v>114</v>
      </c>
      <c r="C86" s="566">
        <f t="shared" ca="1" si="44"/>
        <v>38980</v>
      </c>
      <c r="D86" s="567">
        <f t="shared" ca="1" si="104"/>
        <v>38980</v>
      </c>
      <c r="E86" s="329">
        <f ca="1">IFERROR(__xludf.DUMMYFUNCTION("IMPORTRANGE(""https://docs.google.com/spreadsheets/d/1-uDff_7J0KD5mKrp0Vvzr7lt3OU09vwQwhkpOPPYv2Y/edit?usp=sharing"",""งบพรบ!IP86"")"),0)</f>
        <v>0</v>
      </c>
      <c r="F86" s="329">
        <f ca="1">IFERROR(__xludf.DUMMYFUNCTION("IMPORTRANGE(""https://docs.google.com/spreadsheets/d/1-uDff_7J0KD5mKrp0Vvzr7lt3OU09vwQwhkpOPPYv2Y/edit?usp=sharing"",""งบพรบ!IQ86"")"),38980)</f>
        <v>38980</v>
      </c>
      <c r="G86" s="329">
        <f ca="1">IFERROR(__xludf.DUMMYFUNCTION("IMPORTRANGE(""https://docs.google.com/spreadsheets/d/1-uDff_7J0KD5mKrp0Vvzr7lt3OU09vwQwhkpOPPYv2Y/edit?usp=sharing"",""งบพรบ!IR86"")"),0)</f>
        <v>0</v>
      </c>
      <c r="H86" s="329">
        <f ca="1">IFERROR(__xludf.DUMMYFUNCTION("IMPORTRANGE(""https://docs.google.com/spreadsheets/d/1-uDff_7J0KD5mKrp0Vvzr7lt3OU09vwQwhkpOPPYv2Y/edit?usp=sharing"",""งบพรบ!IT86"")"),38980)</f>
        <v>38980</v>
      </c>
      <c r="I86" s="329">
        <f ca="1">IFERROR(__xludf.DUMMYFUNCTION("IMPORTRANGE(""https://docs.google.com/spreadsheets/d/1-uDff_7J0KD5mKrp0Vvzr7lt3OU09vwQwhkpOPPYv2Y/edit?usp=sharing"",""งบพรบ!IU86"")"),0)</f>
        <v>0</v>
      </c>
      <c r="J86" s="329">
        <f t="shared" ca="1" si="46"/>
        <v>12150</v>
      </c>
      <c r="K86" s="568">
        <f t="shared" ca="1" si="47"/>
        <v>31.16983068240123</v>
      </c>
      <c r="L86" s="329">
        <f ca="1">IFERROR(__xludf.DUMMYFUNCTION("IMPORTRANGE(""https://docs.google.com/spreadsheets/d/1-uDff_7J0KD5mKrp0Vvzr7lt3OU09vwQwhkpOPPYv2Y/edit?usp=sharing"",""งบพรบ!IV86"")"),12150)</f>
        <v>12150</v>
      </c>
      <c r="M86" s="330">
        <f t="shared" ca="1" si="48"/>
        <v>31.16983068240123</v>
      </c>
      <c r="N86" s="330">
        <f t="shared" ca="1" si="49"/>
        <v>31.16983068240123</v>
      </c>
      <c r="O86" s="569">
        <f ca="1">IFERROR(__xludf.DUMMYFUNCTION("IMPORTRANGE(""https://docs.google.com/spreadsheets/d/1-uDff_7J0KD5mKrp0Vvzr7lt3OU09vwQwhkpOPPYv2Y/edit?usp=sharing"",""งบพรบ!IW86"")"),0)</f>
        <v>0</v>
      </c>
      <c r="P86" s="569">
        <f t="shared" ca="1" si="50"/>
        <v>0</v>
      </c>
      <c r="Q86" s="330">
        <f t="shared" ca="1" si="51"/>
        <v>0</v>
      </c>
      <c r="R86" s="564">
        <f ca="1">IFERROR(__xludf.DUMMYFUNCTION("IMPORTRANGE(""https://docs.google.com/spreadsheets/d/1IbSCnFOKpZsnFogBHJnL_isstZVaOMnFiIN0fGTPZZw/edit?usp=sharing"",""สงขลา!Q413"")"),15770)</f>
        <v>15770</v>
      </c>
      <c r="S86" s="564">
        <f ca="1">IFERROR(__xludf.DUMMYFUNCTION("IMPORTRANGE(""https://docs.google.com/spreadsheets/d/1IbSCnFOKpZsnFogBHJnL_isstZVaOMnFiIN0fGTPZZw/edit?usp=sharing"",""สงขลา!R413"")"),15770)</f>
        <v>15770</v>
      </c>
      <c r="T86" s="564">
        <f ca="1">IFERROR(__xludf.DUMMYFUNCTION("IMPORTRANGE(""https://docs.google.com/spreadsheets/d/1IbSCnFOKpZsnFogBHJnL_isstZVaOMnFiIN0fGTPZZw/edit?usp=sharing"",""สงขลา!S413"")"),0)</f>
        <v>0</v>
      </c>
      <c r="U86" s="565">
        <f t="shared" ca="1" si="53"/>
        <v>0</v>
      </c>
      <c r="V86" s="565">
        <f t="shared" ca="1" si="54"/>
        <v>0</v>
      </c>
      <c r="W86" s="397">
        <f ca="1">IFERROR(__xludf.DUMMYFUNCTION("IMPORTRANGE(""https://docs.google.com/spreadsheets/d/1IbSCnFOKpZsnFogBHJnL_isstZVaOMnFiIN0fGTPZZw/edit?usp=sharing"",""สงขลา!I424"")"),0)</f>
        <v>0</v>
      </c>
      <c r="X86" s="397">
        <f ca="1">IFERROR(__xludf.DUMMYFUNCTION("IMPORTRANGE(""https://docs.google.com/spreadsheets/d/1IbSCnFOKpZsnFogBHJnL_isstZVaOMnFiIN0fGTPZZw/edit?usp=sharing"",""สงขลา!I425"")"),0)</f>
        <v>0</v>
      </c>
      <c r="Y86" s="397">
        <f ca="1">IFERROR(__xludf.DUMMYFUNCTION("IMPORTRANGE(""https://docs.google.com/spreadsheets/d/1IbSCnFOKpZsnFogBHJnL_isstZVaOMnFiIN0fGTPZZw/edit?usp=sharing"",""สงขลา!J424"")"),0)</f>
        <v>0</v>
      </c>
      <c r="Z86" s="216">
        <f t="shared" ca="1" si="56"/>
        <v>0</v>
      </c>
      <c r="AA86" s="397">
        <f ca="1">IFERROR(__xludf.DUMMYFUNCTION("IMPORTRANGE(""https://docs.google.com/spreadsheets/d/1IbSCnFOKpZsnFogBHJnL_isstZVaOMnFiIN0fGTPZZw/edit?usp=sharing"",""สงขลา!J425"")"),0)</f>
        <v>0</v>
      </c>
      <c r="AB86" s="216">
        <f t="shared" ca="1" si="57"/>
        <v>0</v>
      </c>
      <c r="AC86" s="397">
        <f ca="1">IFERROR(__xludf.DUMMYFUNCTION("IMPORTRANGE(""https://docs.google.com/spreadsheets/d/1IbSCnFOKpZsnFogBHJnL_isstZVaOMnFiIN0fGTPZZw/edit?usp=sharing"",""สงขลา!J426"")"),0)</f>
        <v>0</v>
      </c>
      <c r="AD86" s="397">
        <f ca="1">IFERROR(__xludf.DUMMYFUNCTION("IMPORTRANGE(""https://docs.google.com/spreadsheets/d/1IbSCnFOKpZsnFogBHJnL_isstZVaOMnFiIN0fGTPZZw/edit?usp=sharing"",""สงขลา!J427"")"),0)</f>
        <v>0</v>
      </c>
      <c r="AE86" s="397">
        <f ca="1">IFERROR(__xludf.DUMMYFUNCTION("IMPORTRANGE(""https://docs.google.com/spreadsheets/d/1IbSCnFOKpZsnFogBHJnL_isstZVaOMnFiIN0fGTPZZw/edit?usp=sharing"",""สงขลา!J428"")"),0)</f>
        <v>0</v>
      </c>
      <c r="AF86" s="397">
        <f ca="1">IFERROR(__xludf.DUMMYFUNCTION("IMPORTRANGE(""https://docs.google.com/spreadsheets/d/1IbSCnFOKpZsnFogBHJnL_isstZVaOMnFiIN0fGTPZZw/edit?usp=sharing"",""สงขลา!J429"")"),0)</f>
        <v>0</v>
      </c>
      <c r="AG86" s="397">
        <f ca="1">IFERROR(__xludf.DUMMYFUNCTION("IMPORTRANGE(""https://docs.google.com/spreadsheets/d/1IbSCnFOKpZsnFogBHJnL_isstZVaOMnFiIN0fGTPZZw/edit?usp=sharing"",""สงขลา!J430"")"),0)</f>
        <v>0</v>
      </c>
      <c r="AH86" s="397">
        <f ca="1">IFERROR(__xludf.DUMMYFUNCTION("IMPORTRANGE(""https://docs.google.com/spreadsheets/d/1IbSCnFOKpZsnFogBHJnL_isstZVaOMnFiIN0fGTPZZw/edit?usp=sharing"",""สงขลา!J431"")"),0)</f>
        <v>0</v>
      </c>
      <c r="AI86" s="152">
        <f ca="1">IFERROR(__xludf.DUMMYFUNCTION("IMPORTRANGE(""https://docs.google.com/spreadsheets/d/1IbSCnFOKpZsnFogBHJnL_isstZVaOMnFiIN0fGTPZZw/edit?usp=sharing"",""สงขลา!I432"")"),0)</f>
        <v>0</v>
      </c>
      <c r="AJ86" s="152">
        <f ca="1">IFERROR(__xludf.DUMMYFUNCTION("IMPORTRANGE(""https://docs.google.com/spreadsheets/d/1IbSCnFOKpZsnFogBHJnL_isstZVaOMnFiIN0fGTPZZw/edit?usp=sharing"",""สงขลา!I433"")"),0)</f>
        <v>0</v>
      </c>
      <c r="AK86" s="216">
        <f ca="1">IFERROR(__xludf.DUMMYFUNCTION("IMPORTRANGE(""https://docs.google.com/spreadsheets/d/1IbSCnFOKpZsnFogBHJnL_isstZVaOMnFiIN0fGTPZZw/edit?usp=sharing"",""สงขลา!J432"")"),0)</f>
        <v>0</v>
      </c>
      <c r="AL86" s="216">
        <f t="shared" ca="1" si="59"/>
        <v>0</v>
      </c>
      <c r="AM86" s="152">
        <f ca="1">IFERROR(__xludf.DUMMYFUNCTION("IMPORTRANGE(""https://docs.google.com/spreadsheets/d/1IbSCnFOKpZsnFogBHJnL_isstZVaOMnFiIN0fGTPZZw/edit?usp=sharing"",""สงขลา!J433"")"),0)</f>
        <v>0</v>
      </c>
      <c r="AN86" s="216">
        <f t="shared" ca="1" si="60"/>
        <v>0</v>
      </c>
      <c r="AO86" s="152">
        <f ca="1">IFERROR(__xludf.DUMMYFUNCTION("IMPORTRANGE(""https://docs.google.com/spreadsheets/d/1IbSCnFOKpZsnFogBHJnL_isstZVaOMnFiIN0fGTPZZw/edit?usp=sharing"",""สงขลา!J434"")"),0)</f>
        <v>0</v>
      </c>
      <c r="AP86" s="152">
        <f ca="1">IFERROR(__xludf.DUMMYFUNCTION("IMPORTRANGE(""https://docs.google.com/spreadsheets/d/1IbSCnFOKpZsnFogBHJnL_isstZVaOMnFiIN0fGTPZZw/edit?usp=sharing"",""สงขลา!J435"")"),0)</f>
        <v>0</v>
      </c>
      <c r="AQ86" s="152">
        <f ca="1">IFERROR(__xludf.DUMMYFUNCTION("IMPORTRANGE(""https://docs.google.com/spreadsheets/d/1IbSCnFOKpZsnFogBHJnL_isstZVaOMnFiIN0fGTPZZw/edit?usp=sharing"",""สงขลา!J436"")"),0)</f>
        <v>0</v>
      </c>
      <c r="AR86" s="152">
        <f ca="1">IFERROR(__xludf.DUMMYFUNCTION("IMPORTRANGE(""https://docs.google.com/spreadsheets/d/1IbSCnFOKpZsnFogBHJnL_isstZVaOMnFiIN0fGTPZZw/edit?usp=sharing"",""สงขลา!J437"")"),0)</f>
        <v>0</v>
      </c>
      <c r="AS86" s="152">
        <f ca="1">IFERROR(__xludf.DUMMYFUNCTION("IMPORTRANGE(""https://docs.google.com/spreadsheets/d/1IbSCnFOKpZsnFogBHJnL_isstZVaOMnFiIN0fGTPZZw/edit?usp=sharing"",""สงขลา!J438"")"),0)</f>
        <v>0</v>
      </c>
      <c r="AT86" s="152">
        <f ca="1">IFERROR(__xludf.DUMMYFUNCTION("IMPORTRANGE(""https://docs.google.com/spreadsheets/d/1IbSCnFOKpZsnFogBHJnL_isstZVaOMnFiIN0fGTPZZw/edit?usp=sharing"",""สงขลา!J439"")"),0)</f>
        <v>0</v>
      </c>
      <c r="AU86" s="152">
        <f ca="1">IFERROR(__xludf.DUMMYFUNCTION("IMPORTRANGE(""https://docs.google.com/spreadsheets/d/1IbSCnFOKpZsnFogBHJnL_isstZVaOMnFiIN0fGTPZZw/edit?usp=sharing"",""สงขลา!I440"")"),0)</f>
        <v>0</v>
      </c>
      <c r="AV86" s="152">
        <f ca="1">IFERROR(__xludf.DUMMYFUNCTION("IMPORTRANGE(""https://docs.google.com/spreadsheets/d/1IbSCnFOKpZsnFogBHJnL_isstZVaOMnFiIN0fGTPZZw/edit?usp=sharing"",""สงขลา!I441"")"),0)</f>
        <v>0</v>
      </c>
      <c r="AW86" s="152">
        <f ca="1">IFERROR(__xludf.DUMMYFUNCTION("IMPORTRANGE(""https://docs.google.com/spreadsheets/d/1IbSCnFOKpZsnFogBHJnL_isstZVaOMnFiIN0fGTPZZw/edit?usp=sharing"",""สงขลา!J440"")"),0)</f>
        <v>0</v>
      </c>
      <c r="AX86" s="216">
        <f t="shared" ca="1" si="62"/>
        <v>0</v>
      </c>
      <c r="AY86" s="152">
        <f ca="1">IFERROR(__xludf.DUMMYFUNCTION("IMPORTRANGE(""https://docs.google.com/spreadsheets/d/1IbSCnFOKpZsnFogBHJnL_isstZVaOMnFiIN0fGTPZZw/edit?usp=sharing"",""สงขลา!J441"")"),0)</f>
        <v>0</v>
      </c>
      <c r="AZ86" s="216">
        <f t="shared" ca="1" si="63"/>
        <v>0</v>
      </c>
      <c r="BA86" s="152">
        <f ca="1">IFERROR(__xludf.DUMMYFUNCTION("IMPORTRANGE(""https://docs.google.com/spreadsheets/d/1IbSCnFOKpZsnFogBHJnL_isstZVaOMnFiIN0fGTPZZw/edit?usp=sharing"",""สงขลา!J442"")"),0)</f>
        <v>0</v>
      </c>
      <c r="BB86" s="152">
        <f ca="1">IFERROR(__xludf.DUMMYFUNCTION("IMPORTRANGE(""https://docs.google.com/spreadsheets/d/1IbSCnFOKpZsnFogBHJnL_isstZVaOMnFiIN0fGTPZZw/edit?usp=sharing"",""สงขลา!J443"")"),0)</f>
        <v>0</v>
      </c>
      <c r="BC86" s="152">
        <f ca="1">IFERROR(__xludf.DUMMYFUNCTION("IMPORTRANGE(""https://docs.google.com/spreadsheets/d/1IbSCnFOKpZsnFogBHJnL_isstZVaOMnFiIN0fGTPZZw/edit?usp=sharing"",""สงขลา!J444"")"),0)</f>
        <v>0</v>
      </c>
      <c r="BD86" s="152">
        <f ca="1">IFERROR(__xludf.DUMMYFUNCTION("IMPORTRANGE(""https://docs.google.com/spreadsheets/d/1IbSCnFOKpZsnFogBHJnL_isstZVaOMnFiIN0fGTPZZw/edit?usp=sharing"",""สงขลา!J445"")"),0)</f>
        <v>0</v>
      </c>
      <c r="BE86" s="152">
        <f ca="1">IFERROR(__xludf.DUMMYFUNCTION("IMPORTRANGE(""https://docs.google.com/spreadsheets/d/1IbSCnFOKpZsnFogBHJnL_isstZVaOMnFiIN0fGTPZZw/edit?usp=sharing"",""สงขลา!J446"")"),0)</f>
        <v>0</v>
      </c>
      <c r="BF86" s="152">
        <f ca="1">IFERROR(__xludf.DUMMYFUNCTION("IMPORTRANGE(""https://docs.google.com/spreadsheets/d/1IbSCnFOKpZsnFogBHJnL_isstZVaOMnFiIN0fGTPZZw/edit?usp=sharing"",""สงขลา!J447"")"),0)</f>
        <v>0</v>
      </c>
      <c r="BG86" s="152">
        <f ca="1">IFERROR(__xludf.DUMMYFUNCTION("IMPORTRANGE(""https://docs.google.com/spreadsheets/d/1IbSCnFOKpZsnFogBHJnL_isstZVaOMnFiIN0fGTPZZw/edit?usp=sharing"",""สงขลา!J448"")"),0)</f>
        <v>0</v>
      </c>
      <c r="BH86" s="152">
        <f ca="1">IFERROR(__xludf.DUMMYFUNCTION("IMPORTRANGE(""https://docs.google.com/spreadsheets/d/1IbSCnFOKpZsnFogBHJnL_isstZVaOMnFiIN0fGTPZZw/edit?usp=sharing"",""สงขลา!J449"")"),0)</f>
        <v>0</v>
      </c>
      <c r="BI86" s="152">
        <f ca="1">IFERROR(__xludf.DUMMYFUNCTION("IMPORTRANGE(""https://docs.google.com/spreadsheets/d/1IbSCnFOKpZsnFogBHJnL_isstZVaOMnFiIN0fGTPZZw/edit?usp=sharing"",""สงขลา!J450"")"),0)</f>
        <v>0</v>
      </c>
      <c r="BJ86" s="152">
        <f ca="1">IFERROR(__xludf.DUMMYFUNCTION("IMPORTRANGE(""https://docs.google.com/spreadsheets/d/1IbSCnFOKpZsnFogBHJnL_isstZVaOMnFiIN0fGTPZZw/edit?usp=sharing"",""สงขลา!J451"")"),0)</f>
        <v>0</v>
      </c>
      <c r="BK86" s="152">
        <f ca="1">IFERROR(__xludf.DUMMYFUNCTION("IMPORTRANGE(""https://docs.google.com/spreadsheets/d/1IbSCnFOKpZsnFogBHJnL_isstZVaOMnFiIN0fGTPZZw/edit?usp=sharing"",""สงขลา!J452"")"),0)</f>
        <v>0</v>
      </c>
      <c r="BL86" s="152">
        <f ca="1">IFERROR(__xludf.DUMMYFUNCTION("IMPORTRANGE(""https://docs.google.com/spreadsheets/d/1IbSCnFOKpZsnFogBHJnL_isstZVaOMnFiIN0fGTPZZw/edit?usp=sharing"",""สงขลา!J453"")"),0)</f>
        <v>0</v>
      </c>
      <c r="BM86" s="152">
        <f ca="1">IFERROR(__xludf.DUMMYFUNCTION("IMPORTRANGE(""https://docs.google.com/spreadsheets/d/1IbSCnFOKpZsnFogBHJnL_isstZVaOMnFiIN0fGTPZZw/edit?usp=sharing"",""สงขลา!J454"")"),0)</f>
        <v>0</v>
      </c>
      <c r="BN86" s="152">
        <f ca="1">IFERROR(__xludf.DUMMYFUNCTION("IMPORTRANGE(""https://docs.google.com/spreadsheets/d/1IbSCnFOKpZsnFogBHJnL_isstZVaOMnFiIN0fGTPZZw/edit?usp=sharing"",""สงขลา!J455"")"),0)</f>
        <v>0</v>
      </c>
      <c r="BO86" s="152">
        <f ca="1">IFERROR(__xludf.DUMMYFUNCTION("IMPORTRANGE(""https://docs.google.com/spreadsheets/d/1IbSCnFOKpZsnFogBHJnL_isstZVaOMnFiIN0fGTPZZw/edit?usp=sharing"",""สงขลา!I457"")"),836.77)</f>
        <v>836.77</v>
      </c>
      <c r="BP86" s="152">
        <f ca="1">IFERROR(__xludf.DUMMYFUNCTION("IMPORTRANGE(""https://docs.google.com/spreadsheets/d/1IbSCnFOKpZsnFogBHJnL_isstZVaOMnFiIN0fGTPZZw/edit?usp=sharing"",""สงขลา!I458"")"),108)</f>
        <v>108</v>
      </c>
      <c r="BQ86" s="152">
        <f ca="1">IFERROR(__xludf.DUMMYFUNCTION("IMPORTRANGE(""https://docs.google.com/spreadsheets/d/1IbSCnFOKpZsnFogBHJnL_isstZVaOMnFiIN0fGTPZZw/edit?usp=sharing"",""สงขลา!J457"")"),0)</f>
        <v>0</v>
      </c>
      <c r="BR86" s="216">
        <f t="shared" ca="1" si="65"/>
        <v>0</v>
      </c>
      <c r="BS86" s="152">
        <f ca="1">IFERROR(__xludf.DUMMYFUNCTION("IMPORTRANGE(""https://docs.google.com/spreadsheets/d/1IbSCnFOKpZsnFogBHJnL_isstZVaOMnFiIN0fGTPZZw/edit?usp=sharing"",""สงขลา!J458"")"),0)</f>
        <v>0</v>
      </c>
      <c r="BT86" s="216">
        <f t="shared" ca="1" si="66"/>
        <v>0</v>
      </c>
      <c r="BU86" s="152">
        <f ca="1">IFERROR(__xludf.DUMMYFUNCTION("IMPORTRANGE(""https://docs.google.com/spreadsheets/d/1IbSCnFOKpZsnFogBHJnL_isstZVaOMnFiIN0fGTPZZw/edit?usp=sharing"",""สงขลา!J459"")"),0)</f>
        <v>0</v>
      </c>
      <c r="BV86" s="152">
        <f ca="1">IFERROR(__xludf.DUMMYFUNCTION("IMPORTRANGE(""https://docs.google.com/spreadsheets/d/1IbSCnFOKpZsnFogBHJnL_isstZVaOMnFiIN0fGTPZZw/edit?usp=sharing"",""สงขลา!J460"")"),0)</f>
        <v>0</v>
      </c>
      <c r="BW86" s="152">
        <f ca="1">IFERROR(__xludf.DUMMYFUNCTION("IMPORTRANGE(""https://docs.google.com/spreadsheets/d/1IbSCnFOKpZsnFogBHJnL_isstZVaOMnFiIN0fGTPZZw/edit?usp=sharing"",""สงขลา!J461"")"),0)</f>
        <v>0</v>
      </c>
      <c r="BX86" s="152">
        <f ca="1">IFERROR(__xludf.DUMMYFUNCTION("IMPORTRANGE(""https://docs.google.com/spreadsheets/d/1IbSCnFOKpZsnFogBHJnL_isstZVaOMnFiIN0fGTPZZw/edit?usp=sharing"",""สงขลา!J462"")"),0)</f>
        <v>0</v>
      </c>
      <c r="BY86" s="152">
        <f ca="1">IFERROR(__xludf.DUMMYFUNCTION("IMPORTRANGE(""https://docs.google.com/spreadsheets/d/1IbSCnFOKpZsnFogBHJnL_isstZVaOMnFiIN0fGTPZZw/edit?usp=sharing"",""สงขลา!J463"")"),0)</f>
        <v>0</v>
      </c>
      <c r="BZ86" s="152">
        <f ca="1">IFERROR(__xludf.DUMMYFUNCTION("IMPORTRANGE(""https://docs.google.com/spreadsheets/d/1IbSCnFOKpZsnFogBHJnL_isstZVaOMnFiIN0fGTPZZw/edit?usp=sharing"",""สงขลา!J464"")"),0)</f>
        <v>0</v>
      </c>
      <c r="CA86" s="152">
        <f ca="1">IFERROR(__xludf.DUMMYFUNCTION("IMPORTRANGE(""https://docs.google.com/spreadsheets/d/1IbSCnFOKpZsnFogBHJnL_isstZVaOMnFiIN0fGTPZZw/edit?usp=sharing"",""สงขลา!J465"")"),0)</f>
        <v>0</v>
      </c>
      <c r="CB86" s="152">
        <f ca="1">IFERROR(__xludf.DUMMYFUNCTION("IMPORTRANGE(""https://docs.google.com/spreadsheets/d/1IbSCnFOKpZsnFogBHJnL_isstZVaOMnFiIN0fGTPZZw/edit?usp=sharing"",""สงขลา!J466"")"),0)</f>
        <v>0</v>
      </c>
      <c r="CC86" s="152">
        <f ca="1">IFERROR(__xludf.DUMMYFUNCTION("IMPORTRANGE(""https://docs.google.com/spreadsheets/d/1IbSCnFOKpZsnFogBHJnL_isstZVaOMnFiIN0fGTPZZw/edit?usp=sharing"",""สงขลา!J467"")"),0)</f>
        <v>0</v>
      </c>
      <c r="CD86" s="152">
        <f ca="1">IFERROR(__xludf.DUMMYFUNCTION("IMPORTRANGE(""https://docs.google.com/spreadsheets/d/1IbSCnFOKpZsnFogBHJnL_isstZVaOMnFiIN0fGTPZZw/edit?usp=sharing"",""สงขลา!J468"")"),0)</f>
        <v>0</v>
      </c>
      <c r="CE86" s="152">
        <f ca="1">IFERROR(__xludf.DUMMYFUNCTION("IMPORTRANGE(""https://docs.google.com/spreadsheets/d/1IbSCnFOKpZsnFogBHJnL_isstZVaOMnFiIN0fGTPZZw/edit?usp=sharing"",""สงขลา!J469"")"),0)</f>
        <v>0</v>
      </c>
      <c r="CF86" s="152">
        <f ca="1">IFERROR(__xludf.DUMMYFUNCTION("IMPORTRANGE(""https://docs.google.com/spreadsheets/d/1IbSCnFOKpZsnFogBHJnL_isstZVaOMnFiIN0fGTPZZw/edit?usp=sharing"",""สงขลา!J470"")"),0)</f>
        <v>0</v>
      </c>
      <c r="CG86" s="152">
        <f ca="1">IFERROR(__xludf.DUMMYFUNCTION("IMPORTRANGE(""https://docs.google.com/spreadsheets/d/1IbSCnFOKpZsnFogBHJnL_isstZVaOMnFiIN0fGTPZZw/edit?usp=sharing"",""สงขลา!J471"")"),0)</f>
        <v>0</v>
      </c>
      <c r="CH86" s="152">
        <f ca="1">IFERROR(__xludf.DUMMYFUNCTION("IMPORTRANGE(""https://docs.google.com/spreadsheets/d/1IbSCnFOKpZsnFogBHJnL_isstZVaOMnFiIN0fGTPZZw/edit?usp=sharing"",""สงขลา!J472"")"),0)</f>
        <v>0</v>
      </c>
      <c r="CI86" s="152">
        <f ca="1">IFERROR(__xludf.DUMMYFUNCTION("IMPORTRANGE(""https://docs.google.com/spreadsheets/d/1IbSCnFOKpZsnFogBHJnL_isstZVaOMnFiIN0fGTPZZw/edit?usp=sharing"",""สงขลา!J473"")"),0)</f>
        <v>0</v>
      </c>
      <c r="CJ86" s="152">
        <f ca="1">IFERROR(__xludf.DUMMYFUNCTION("IMPORTRANGE(""https://docs.google.com/spreadsheets/d/1IbSCnFOKpZsnFogBHJnL_isstZVaOMnFiIN0fGTPZZw/edit?usp=sharing"",""สงขลา!J474"")"),0)</f>
        <v>0</v>
      </c>
      <c r="CK86" s="278">
        <f ca="1">IFERROR(__xludf.DUMMYFUNCTION("IMPORTRANGE(""https://docs.google.com/spreadsheets/d/1IbSCnFOKpZsnFogBHJnL_isstZVaOMnFiIN0fGTPZZw/edit?usp=sharing"",""สงขลา!I476"")"),0)</f>
        <v>0</v>
      </c>
      <c r="CL86" s="278">
        <f ca="1">IFERROR(__xludf.DUMMYFUNCTION("IMPORTRANGE(""https://docs.google.com/spreadsheets/d/1IbSCnFOKpZsnFogBHJnL_isstZVaOMnFiIN0fGTPZZw/edit?usp=sharing"",""สงขลา!I477"")"),0)</f>
        <v>0</v>
      </c>
      <c r="CM86" s="278">
        <f ca="1">IFERROR(__xludf.DUMMYFUNCTION("IMPORTRANGE(""https://docs.google.com/spreadsheets/d/1IbSCnFOKpZsnFogBHJnL_isstZVaOMnFiIN0fGTPZZw/edit?usp=sharing"",""สงขลา!J476"")"),0)</f>
        <v>0</v>
      </c>
      <c r="CN86" s="216">
        <f t="shared" ca="1" si="68"/>
        <v>0</v>
      </c>
      <c r="CO86" s="278">
        <f ca="1">IFERROR(__xludf.DUMMYFUNCTION("IMPORTRANGE(""https://docs.google.com/spreadsheets/d/1IbSCnFOKpZsnFogBHJnL_isstZVaOMnFiIN0fGTPZZw/edit?usp=sharing"",""สงขลา!J477"")"),0)</f>
        <v>0</v>
      </c>
      <c r="CP86" s="216">
        <f t="shared" ca="1" si="69"/>
        <v>0</v>
      </c>
      <c r="CQ86" s="278">
        <f ca="1">IFERROR(__xludf.DUMMYFUNCTION("IMPORTRANGE(""https://docs.google.com/spreadsheets/d/1IbSCnFOKpZsnFogBHJnL_isstZVaOMnFiIN0fGTPZZw/edit?usp=sharing"",""สงขลา!J478"")"),0)</f>
        <v>0</v>
      </c>
      <c r="CR86" s="278">
        <f ca="1">IFERROR(__xludf.DUMMYFUNCTION("IMPORTRANGE(""https://docs.google.com/spreadsheets/d/1IbSCnFOKpZsnFogBHJnL_isstZVaOMnFiIN0fGTPZZw/edit?usp=sharing"",""สงขลา!J479"")"),0)</f>
        <v>0</v>
      </c>
      <c r="CS86" s="278">
        <f ca="1">IFERROR(__xludf.DUMMYFUNCTION("IMPORTRANGE(""https://docs.google.com/spreadsheets/d/1IbSCnFOKpZsnFogBHJnL_isstZVaOMnFiIN0fGTPZZw/edit?usp=sharing"",""สงขลา!J480"")"),0)</f>
        <v>0</v>
      </c>
      <c r="CT86" s="278">
        <f ca="1">IFERROR(__xludf.DUMMYFUNCTION("IMPORTRANGE(""https://docs.google.com/spreadsheets/d/1IbSCnFOKpZsnFogBHJnL_isstZVaOMnFiIN0fGTPZZw/edit?usp=sharing"",""สงขลา!J481"")"),0)</f>
        <v>0</v>
      </c>
      <c r="CU86" s="278">
        <f ca="1">IFERROR(__xludf.DUMMYFUNCTION("IMPORTRANGE(""https://docs.google.com/spreadsheets/d/1IbSCnFOKpZsnFogBHJnL_isstZVaOMnFiIN0fGTPZZw/edit?usp=sharing"",""สงขลา!I484"")"),0)</f>
        <v>0</v>
      </c>
      <c r="CV86" s="278">
        <f ca="1">IFERROR(__xludf.DUMMYFUNCTION("IMPORTRANGE(""https://docs.google.com/spreadsheets/d/1IbSCnFOKpZsnFogBHJnL_isstZVaOMnFiIN0fGTPZZw/edit?usp=sharing"",""สงขลา!I485"")"),0)</f>
        <v>0</v>
      </c>
      <c r="CW86" s="278">
        <f ca="1">IFERROR(__xludf.DUMMYFUNCTION("IMPORTRANGE(""https://docs.google.com/spreadsheets/d/1IbSCnFOKpZsnFogBHJnL_isstZVaOMnFiIN0fGTPZZw/edit?usp=sharing"",""สงขลา!J484"")"),0)</f>
        <v>0</v>
      </c>
      <c r="CX86" s="216">
        <f t="shared" ca="1" si="71"/>
        <v>0</v>
      </c>
      <c r="CY86" s="278">
        <f ca="1">IFERROR(__xludf.DUMMYFUNCTION("IMPORTRANGE(""https://docs.google.com/spreadsheets/d/1IbSCnFOKpZsnFogBHJnL_isstZVaOMnFiIN0fGTPZZw/edit?usp=sharing"",""สงขลา!J485"")"),0)</f>
        <v>0</v>
      </c>
      <c r="CZ86" s="216">
        <f t="shared" ca="1" si="72"/>
        <v>0</v>
      </c>
      <c r="DA86" s="278">
        <f ca="1">IFERROR(__xludf.DUMMYFUNCTION("IMPORTRANGE(""https://docs.google.com/spreadsheets/d/1IbSCnFOKpZsnFogBHJnL_isstZVaOMnFiIN0fGTPZZw/edit?usp=sharing"",""สงขลา!J486"")"),0)</f>
        <v>0</v>
      </c>
      <c r="DB86" s="278">
        <f ca="1">IFERROR(__xludf.DUMMYFUNCTION("IMPORTRANGE(""https://docs.google.com/spreadsheets/d/1IbSCnFOKpZsnFogBHJnL_isstZVaOMnFiIN0fGTPZZw/edit?usp=sharing"",""สงขลา!J487"")"),0)</f>
        <v>0</v>
      </c>
      <c r="DC86" s="278">
        <f ca="1">IFERROR(__xludf.DUMMYFUNCTION("IMPORTRANGE(""https://docs.google.com/spreadsheets/d/1IbSCnFOKpZsnFogBHJnL_isstZVaOMnFiIN0fGTPZZw/edit?usp=sharing"",""สงขลา!J488"")"),0)</f>
        <v>0</v>
      </c>
      <c r="DD86" s="278">
        <f ca="1">IFERROR(__xludf.DUMMYFUNCTION("IMPORTRANGE(""https://docs.google.com/spreadsheets/d/1IbSCnFOKpZsnFogBHJnL_isstZVaOMnFiIN0fGTPZZw/edit?usp=sharing"",""สงขลา!J489"")"),0)</f>
        <v>0</v>
      </c>
      <c r="DE86" s="278">
        <f ca="1">IFERROR(__xludf.DUMMYFUNCTION("IMPORTRANGE(""https://docs.google.com/spreadsheets/d/1IbSCnFOKpZsnFogBHJnL_isstZVaOMnFiIN0fGTPZZw/edit?usp=sharing"",""สงขลา!J490"")"),0)</f>
        <v>0</v>
      </c>
      <c r="DF86" s="278">
        <f ca="1">IFERROR(__xludf.DUMMYFUNCTION("IMPORTRANGE(""https://docs.google.com/spreadsheets/d/1IbSCnFOKpZsnFogBHJnL_isstZVaOMnFiIN0fGTPZZw/edit?usp=sharing"",""สงขลา!J491"")"),0)</f>
        <v>0</v>
      </c>
    </row>
    <row r="87" spans="1:110" ht="19.5" x14ac:dyDescent="0.3">
      <c r="A87" s="147">
        <v>13</v>
      </c>
      <c r="B87" s="148" t="s">
        <v>115</v>
      </c>
      <c r="C87" s="566">
        <f t="shared" ca="1" si="44"/>
        <v>17560</v>
      </c>
      <c r="D87" s="567">
        <f t="shared" ca="1" si="104"/>
        <v>17560</v>
      </c>
      <c r="E87" s="329">
        <f ca="1">IFERROR(__xludf.DUMMYFUNCTION("IMPORTRANGE(""https://docs.google.com/spreadsheets/d/1-uDff_7J0KD5mKrp0Vvzr7lt3OU09vwQwhkpOPPYv2Y/edit?usp=sharing"",""งบพรบ!IP87"")"),0)</f>
        <v>0</v>
      </c>
      <c r="F87" s="329">
        <f ca="1">IFERROR(__xludf.DUMMYFUNCTION("IMPORTRANGE(""https://docs.google.com/spreadsheets/d/1-uDff_7J0KD5mKrp0Vvzr7lt3OU09vwQwhkpOPPYv2Y/edit?usp=sharing"",""งบพรบ!IQ87"")"),17560)</f>
        <v>17560</v>
      </c>
      <c r="G87" s="329">
        <f ca="1">IFERROR(__xludf.DUMMYFUNCTION("IMPORTRANGE(""https://docs.google.com/spreadsheets/d/1-uDff_7J0KD5mKrp0Vvzr7lt3OU09vwQwhkpOPPYv2Y/edit?usp=sharing"",""งบพรบ!IR87"")"),0)</f>
        <v>0</v>
      </c>
      <c r="H87" s="329">
        <f ca="1">IFERROR(__xludf.DUMMYFUNCTION("IMPORTRANGE(""https://docs.google.com/spreadsheets/d/1-uDff_7J0KD5mKrp0Vvzr7lt3OU09vwQwhkpOPPYv2Y/edit?usp=sharing"",""งบพรบ!IT87"")"),17560)</f>
        <v>17560</v>
      </c>
      <c r="I87" s="329">
        <f ca="1">IFERROR(__xludf.DUMMYFUNCTION("IMPORTRANGE(""https://docs.google.com/spreadsheets/d/1-uDff_7J0KD5mKrp0Vvzr7lt3OU09vwQwhkpOPPYv2Y/edit?usp=sharing"",""งบพรบ!IU87"")"),0)</f>
        <v>0</v>
      </c>
      <c r="J87" s="329">
        <f t="shared" ca="1" si="46"/>
        <v>0</v>
      </c>
      <c r="K87" s="568">
        <f t="shared" ca="1" si="47"/>
        <v>0</v>
      </c>
      <c r="L87" s="329">
        <f ca="1">IFERROR(__xludf.DUMMYFUNCTION("IMPORTRANGE(""https://docs.google.com/spreadsheets/d/1-uDff_7J0KD5mKrp0Vvzr7lt3OU09vwQwhkpOPPYv2Y/edit?usp=sharing"",""งบพรบ!IV87"")"),0)</f>
        <v>0</v>
      </c>
      <c r="M87" s="330">
        <f t="shared" ca="1" si="48"/>
        <v>0</v>
      </c>
      <c r="N87" s="330">
        <f t="shared" ca="1" si="49"/>
        <v>0</v>
      </c>
      <c r="O87" s="569">
        <f ca="1">IFERROR(__xludf.DUMMYFUNCTION("IMPORTRANGE(""https://docs.google.com/spreadsheets/d/1-uDff_7J0KD5mKrp0Vvzr7lt3OU09vwQwhkpOPPYv2Y/edit?usp=sharing"",""งบพรบ!IW87"")"),0)</f>
        <v>0</v>
      </c>
      <c r="P87" s="569">
        <f t="shared" ca="1" si="50"/>
        <v>0</v>
      </c>
      <c r="Q87" s="330">
        <f t="shared" ca="1" si="51"/>
        <v>0</v>
      </c>
      <c r="R87" s="564">
        <f ca="1">IFERROR(__xludf.DUMMYFUNCTION("IMPORTRANGE(""https://docs.google.com/spreadsheets/d/1q9nWasZJ-K8bFGvbE9n0qSRuKGA4Toe3Y89cKCiVtCU/edit?usp=sharing"",""สตูล!Q413"")"),15150)</f>
        <v>15150</v>
      </c>
      <c r="S87" s="564">
        <f ca="1">IFERROR(__xludf.DUMMYFUNCTION("IMPORTRANGE(""https://docs.google.com/spreadsheets/d/1q9nWasZJ-K8bFGvbE9n0qSRuKGA4Toe3Y89cKCiVtCU/edit?usp=sharing"",""สตูล!R413"")"),15150)</f>
        <v>15150</v>
      </c>
      <c r="T87" s="564">
        <f ca="1">IFERROR(__xludf.DUMMYFUNCTION("IMPORTRANGE(""https://docs.google.com/spreadsheets/d/1q9nWasZJ-K8bFGvbE9n0qSRuKGA4Toe3Y89cKCiVtCU/edit?usp=sharing"",""สตูล!S413"")"),0)</f>
        <v>0</v>
      </c>
      <c r="U87" s="565">
        <f t="shared" ca="1" si="53"/>
        <v>0</v>
      </c>
      <c r="V87" s="565">
        <f t="shared" ca="1" si="54"/>
        <v>0</v>
      </c>
      <c r="W87" s="152">
        <f ca="1">IFERROR(__xludf.DUMMYFUNCTION("IMPORTRANGE(""https://docs.google.com/spreadsheets/d/1q9nWasZJ-K8bFGvbE9n0qSRuKGA4Toe3Y89cKCiVtCU/edit?usp=sharing"",""สตูล!I424"")"),0)</f>
        <v>0</v>
      </c>
      <c r="X87" s="152">
        <f ca="1">IFERROR(__xludf.DUMMYFUNCTION("IMPORTRANGE(""https://docs.google.com/spreadsheets/d/1q9nWasZJ-K8bFGvbE9n0qSRuKGA4Toe3Y89cKCiVtCU/edit?usp=sharing"",""สตูล!I425"")"),0)</f>
        <v>0</v>
      </c>
      <c r="Y87" s="152">
        <f ca="1">IFERROR(__xludf.DUMMYFUNCTION("IMPORTRANGE(""https://docs.google.com/spreadsheets/d/1q9nWasZJ-K8bFGvbE9n0qSRuKGA4Toe3Y89cKCiVtCU/edit?usp=sharing"",""สตูล!J424"")"),0)</f>
        <v>0</v>
      </c>
      <c r="Z87" s="216">
        <f t="shared" ca="1" si="56"/>
        <v>0</v>
      </c>
      <c r="AA87" s="152">
        <f ca="1">IFERROR(__xludf.DUMMYFUNCTION("IMPORTRANGE(""https://docs.google.com/spreadsheets/d/1q9nWasZJ-K8bFGvbE9n0qSRuKGA4Toe3Y89cKCiVtCU/edit?usp=sharing"",""สตูล!J425"")"),0)</f>
        <v>0</v>
      </c>
      <c r="AB87" s="216">
        <f t="shared" ca="1" si="57"/>
        <v>0</v>
      </c>
      <c r="AC87" s="152">
        <f ca="1">IFERROR(__xludf.DUMMYFUNCTION("IMPORTRANGE(""https://docs.google.com/spreadsheets/d/1q9nWasZJ-K8bFGvbE9n0qSRuKGA4Toe3Y89cKCiVtCU/edit?usp=sharing"",""สตูล!J426"")"),0)</f>
        <v>0</v>
      </c>
      <c r="AD87" s="152">
        <f ca="1">IFERROR(__xludf.DUMMYFUNCTION("IMPORTRANGE(""https://docs.google.com/spreadsheets/d/1q9nWasZJ-K8bFGvbE9n0qSRuKGA4Toe3Y89cKCiVtCU/edit?usp=sharing"",""สตูล!J427"")"),0)</f>
        <v>0</v>
      </c>
      <c r="AE87" s="152">
        <f ca="1">IFERROR(__xludf.DUMMYFUNCTION("IMPORTRANGE(""https://docs.google.com/spreadsheets/d/1q9nWasZJ-K8bFGvbE9n0qSRuKGA4Toe3Y89cKCiVtCU/edit?usp=sharing"",""สตูล!J428"")"),0)</f>
        <v>0</v>
      </c>
      <c r="AF87" s="152">
        <f ca="1">IFERROR(__xludf.DUMMYFUNCTION("IMPORTRANGE(""https://docs.google.com/spreadsheets/d/1q9nWasZJ-K8bFGvbE9n0qSRuKGA4Toe3Y89cKCiVtCU/edit?usp=sharing"",""สตูล!J429"")"),0)</f>
        <v>0</v>
      </c>
      <c r="AG87" s="152">
        <f ca="1">IFERROR(__xludf.DUMMYFUNCTION("IMPORTRANGE(""https://docs.google.com/spreadsheets/d/1q9nWasZJ-K8bFGvbE9n0qSRuKGA4Toe3Y89cKCiVtCU/edit?usp=sharing"",""สตูล!J430"")"),0)</f>
        <v>0</v>
      </c>
      <c r="AH87" s="152">
        <f ca="1">IFERROR(__xludf.DUMMYFUNCTION("IMPORTRANGE(""https://docs.google.com/spreadsheets/d/1q9nWasZJ-K8bFGvbE9n0qSRuKGA4Toe3Y89cKCiVtCU/edit?usp=sharing"",""สตูล!J431"")"),0)</f>
        <v>0</v>
      </c>
      <c r="AI87" s="152">
        <f ca="1">IFERROR(__xludf.DUMMYFUNCTION("IMPORTRANGE(""https://docs.google.com/spreadsheets/d/1q9nWasZJ-K8bFGvbE9n0qSRuKGA4Toe3Y89cKCiVtCU/edit?usp=sharing"",""สตูล!I432"")"),0)</f>
        <v>0</v>
      </c>
      <c r="AJ87" s="152">
        <f ca="1">IFERROR(__xludf.DUMMYFUNCTION("IMPORTRANGE(""https://docs.google.com/spreadsheets/d/1q9nWasZJ-K8bFGvbE9n0qSRuKGA4Toe3Y89cKCiVtCU/edit?usp=sharing"",""สตูล!I433"")"),0)</f>
        <v>0</v>
      </c>
      <c r="AK87" s="216">
        <f ca="1">IFERROR(__xludf.DUMMYFUNCTION("IMPORTRANGE(""https://docs.google.com/spreadsheets/d/1q9nWasZJ-K8bFGvbE9n0qSRuKGA4Toe3Y89cKCiVtCU/edit?usp=sharing"",""สตูล!J432"")"),0)</f>
        <v>0</v>
      </c>
      <c r="AL87" s="216">
        <f t="shared" ca="1" si="59"/>
        <v>0</v>
      </c>
      <c r="AM87" s="152">
        <f ca="1">IFERROR(__xludf.DUMMYFUNCTION("IMPORTRANGE(""https://docs.google.com/spreadsheets/d/1q9nWasZJ-K8bFGvbE9n0qSRuKGA4Toe3Y89cKCiVtCU/edit?usp=sharing"",""สตูล!J433"")"),0)</f>
        <v>0</v>
      </c>
      <c r="AN87" s="216">
        <f t="shared" ca="1" si="60"/>
        <v>0</v>
      </c>
      <c r="AO87" s="152">
        <f ca="1">IFERROR(__xludf.DUMMYFUNCTION("IMPORTRANGE(""https://docs.google.com/spreadsheets/d/1q9nWasZJ-K8bFGvbE9n0qSRuKGA4Toe3Y89cKCiVtCU/edit?usp=sharing"",""สตูล!J434"")"),0)</f>
        <v>0</v>
      </c>
      <c r="AP87" s="152">
        <f ca="1">IFERROR(__xludf.DUMMYFUNCTION("IMPORTRANGE(""https://docs.google.com/spreadsheets/d/1q9nWasZJ-K8bFGvbE9n0qSRuKGA4Toe3Y89cKCiVtCU/edit?usp=sharing"",""สตูล!J435"")"),0)</f>
        <v>0</v>
      </c>
      <c r="AQ87" s="152">
        <f ca="1">IFERROR(__xludf.DUMMYFUNCTION("IMPORTRANGE(""https://docs.google.com/spreadsheets/d/1q9nWasZJ-K8bFGvbE9n0qSRuKGA4Toe3Y89cKCiVtCU/edit?usp=sharing"",""สตูล!J436"")"),0)</f>
        <v>0</v>
      </c>
      <c r="AR87" s="152">
        <f ca="1">IFERROR(__xludf.DUMMYFUNCTION("IMPORTRANGE(""https://docs.google.com/spreadsheets/d/1q9nWasZJ-K8bFGvbE9n0qSRuKGA4Toe3Y89cKCiVtCU/edit?usp=sharing"",""สตูล!J437"")"),0)</f>
        <v>0</v>
      </c>
      <c r="AS87" s="152">
        <f ca="1">IFERROR(__xludf.DUMMYFUNCTION("IMPORTRANGE(""https://docs.google.com/spreadsheets/d/1q9nWasZJ-K8bFGvbE9n0qSRuKGA4Toe3Y89cKCiVtCU/edit?usp=sharing"",""สตูล!J438"")"),0)</f>
        <v>0</v>
      </c>
      <c r="AT87" s="152">
        <f ca="1">IFERROR(__xludf.DUMMYFUNCTION("IMPORTRANGE(""https://docs.google.com/spreadsheets/d/1q9nWasZJ-K8bFGvbE9n0qSRuKGA4Toe3Y89cKCiVtCU/edit?usp=sharing"",""สตูล!J439"")"),0)</f>
        <v>0</v>
      </c>
      <c r="AU87" s="152">
        <f ca="1">IFERROR(__xludf.DUMMYFUNCTION("IMPORTRANGE(""https://docs.google.com/spreadsheets/d/1q9nWasZJ-K8bFGvbE9n0qSRuKGA4Toe3Y89cKCiVtCU/edit?usp=sharing"",""สตูล!I440"")"),0)</f>
        <v>0</v>
      </c>
      <c r="AV87" s="152">
        <f ca="1">IFERROR(__xludf.DUMMYFUNCTION("IMPORTRANGE(""https://docs.google.com/spreadsheets/d/1q9nWasZJ-K8bFGvbE9n0qSRuKGA4Toe3Y89cKCiVtCU/edit?usp=sharing"",""สตูล!I441"")"),0)</f>
        <v>0</v>
      </c>
      <c r="AW87" s="152">
        <f ca="1">IFERROR(__xludf.DUMMYFUNCTION("IMPORTRANGE(""https://docs.google.com/spreadsheets/d/1q9nWasZJ-K8bFGvbE9n0qSRuKGA4Toe3Y89cKCiVtCU/edit?usp=sharing"",""สตูล!J440"")"),0)</f>
        <v>0</v>
      </c>
      <c r="AX87" s="216">
        <f t="shared" ca="1" si="62"/>
        <v>0</v>
      </c>
      <c r="AY87" s="152">
        <f ca="1">IFERROR(__xludf.DUMMYFUNCTION("IMPORTRANGE(""https://docs.google.com/spreadsheets/d/1q9nWasZJ-K8bFGvbE9n0qSRuKGA4Toe3Y89cKCiVtCU/edit?usp=sharing"",""สตูล!J441"")"),0)</f>
        <v>0</v>
      </c>
      <c r="AZ87" s="216">
        <f t="shared" ca="1" si="63"/>
        <v>0</v>
      </c>
      <c r="BA87" s="152">
        <f ca="1">IFERROR(__xludf.DUMMYFUNCTION("IMPORTRANGE(""https://docs.google.com/spreadsheets/d/1q9nWasZJ-K8bFGvbE9n0qSRuKGA4Toe3Y89cKCiVtCU/edit?usp=sharing"",""สตูล!J442"")"),0)</f>
        <v>0</v>
      </c>
      <c r="BB87" s="152">
        <f ca="1">IFERROR(__xludf.DUMMYFUNCTION("IMPORTRANGE(""https://docs.google.com/spreadsheets/d/1q9nWasZJ-K8bFGvbE9n0qSRuKGA4Toe3Y89cKCiVtCU/edit?usp=sharing"",""สตูล!J443"")"),0)</f>
        <v>0</v>
      </c>
      <c r="BC87" s="152">
        <f ca="1">IFERROR(__xludf.DUMMYFUNCTION("IMPORTRANGE(""https://docs.google.com/spreadsheets/d/1q9nWasZJ-K8bFGvbE9n0qSRuKGA4Toe3Y89cKCiVtCU/edit?usp=sharing"",""สตูล!J444"")"),0)</f>
        <v>0</v>
      </c>
      <c r="BD87" s="152">
        <f ca="1">IFERROR(__xludf.DUMMYFUNCTION("IMPORTRANGE(""https://docs.google.com/spreadsheets/d/1q9nWasZJ-K8bFGvbE9n0qSRuKGA4Toe3Y89cKCiVtCU/edit?usp=sharing"",""สตูล!J445"")"),0)</f>
        <v>0</v>
      </c>
      <c r="BE87" s="152">
        <f ca="1">IFERROR(__xludf.DUMMYFUNCTION("IMPORTRANGE(""https://docs.google.com/spreadsheets/d/1q9nWasZJ-K8bFGvbE9n0qSRuKGA4Toe3Y89cKCiVtCU/edit?usp=sharing"",""สตูล!J446"")"),0)</f>
        <v>0</v>
      </c>
      <c r="BF87" s="152">
        <f ca="1">IFERROR(__xludf.DUMMYFUNCTION("IMPORTRANGE(""https://docs.google.com/spreadsheets/d/1q9nWasZJ-K8bFGvbE9n0qSRuKGA4Toe3Y89cKCiVtCU/edit?usp=sharing"",""สตูล!J447"")"),0)</f>
        <v>0</v>
      </c>
      <c r="BG87" s="152">
        <f ca="1">IFERROR(__xludf.DUMMYFUNCTION("IMPORTRANGE(""https://docs.google.com/spreadsheets/d/1q9nWasZJ-K8bFGvbE9n0qSRuKGA4Toe3Y89cKCiVtCU/edit?usp=sharing"",""สตูล!J448"")"),0)</f>
        <v>0</v>
      </c>
      <c r="BH87" s="152">
        <f ca="1">IFERROR(__xludf.DUMMYFUNCTION("IMPORTRANGE(""https://docs.google.com/spreadsheets/d/1q9nWasZJ-K8bFGvbE9n0qSRuKGA4Toe3Y89cKCiVtCU/edit?usp=sharing"",""สตูล!J449"")"),0)</f>
        <v>0</v>
      </c>
      <c r="BI87" s="152">
        <f ca="1">IFERROR(__xludf.DUMMYFUNCTION("IMPORTRANGE(""https://docs.google.com/spreadsheets/d/1q9nWasZJ-K8bFGvbE9n0qSRuKGA4Toe3Y89cKCiVtCU/edit?usp=sharing"",""สตูล!J450"")"),0)</f>
        <v>0</v>
      </c>
      <c r="BJ87" s="152">
        <f ca="1">IFERROR(__xludf.DUMMYFUNCTION("IMPORTRANGE(""https://docs.google.com/spreadsheets/d/1q9nWasZJ-K8bFGvbE9n0qSRuKGA4Toe3Y89cKCiVtCU/edit?usp=sharing"",""สตูล!J451"")"),0)</f>
        <v>0</v>
      </c>
      <c r="BK87" s="152">
        <f ca="1">IFERROR(__xludf.DUMMYFUNCTION("IMPORTRANGE(""https://docs.google.com/spreadsheets/d/1q9nWasZJ-K8bFGvbE9n0qSRuKGA4Toe3Y89cKCiVtCU/edit?usp=sharing"",""สตูล!J452"")"),0)</f>
        <v>0</v>
      </c>
      <c r="BL87" s="152">
        <f ca="1">IFERROR(__xludf.DUMMYFUNCTION("IMPORTRANGE(""https://docs.google.com/spreadsheets/d/1q9nWasZJ-K8bFGvbE9n0qSRuKGA4Toe3Y89cKCiVtCU/edit?usp=sharing"",""สตูล!J453"")"),0)</f>
        <v>0</v>
      </c>
      <c r="BM87" s="152">
        <f ca="1">IFERROR(__xludf.DUMMYFUNCTION("IMPORTRANGE(""https://docs.google.com/spreadsheets/d/1q9nWasZJ-K8bFGvbE9n0qSRuKGA4Toe3Y89cKCiVtCU/edit?usp=sharing"",""สตูล!J454"")"),0)</f>
        <v>0</v>
      </c>
      <c r="BN87" s="152">
        <f ca="1">IFERROR(__xludf.DUMMYFUNCTION("IMPORTRANGE(""https://docs.google.com/spreadsheets/d/1q9nWasZJ-K8bFGvbE9n0qSRuKGA4Toe3Y89cKCiVtCU/edit?usp=sharing"",""สตูล!J455"")"),0)</f>
        <v>0</v>
      </c>
      <c r="BO87" s="152">
        <f ca="1">IFERROR(__xludf.DUMMYFUNCTION("IMPORTRANGE(""https://docs.google.com/spreadsheets/d/1q9nWasZJ-K8bFGvbE9n0qSRuKGA4Toe3Y89cKCiVtCU/edit?usp=sharing"",""สตูล!I457"")"),16.52)</f>
        <v>16.52</v>
      </c>
      <c r="BP87" s="152">
        <f ca="1">IFERROR(__xludf.DUMMYFUNCTION("IMPORTRANGE(""https://docs.google.com/spreadsheets/d/1q9nWasZJ-K8bFGvbE9n0qSRuKGA4Toe3Y89cKCiVtCU/edit?usp=sharing"",""สตูล!I458"")"),6)</f>
        <v>6</v>
      </c>
      <c r="BQ87" s="152">
        <f ca="1">IFERROR(__xludf.DUMMYFUNCTION("IMPORTRANGE(""https://docs.google.com/spreadsheets/d/1q9nWasZJ-K8bFGvbE9n0qSRuKGA4Toe3Y89cKCiVtCU/edit?usp=sharing"",""สตูล!J457"")"),0)</f>
        <v>0</v>
      </c>
      <c r="BR87" s="216">
        <f t="shared" ca="1" si="65"/>
        <v>0</v>
      </c>
      <c r="BS87" s="152">
        <f ca="1">IFERROR(__xludf.DUMMYFUNCTION("IMPORTRANGE(""https://docs.google.com/spreadsheets/d/1q9nWasZJ-K8bFGvbE9n0qSRuKGA4Toe3Y89cKCiVtCU/edit?usp=sharing"",""สตูล!J458"")"),0)</f>
        <v>0</v>
      </c>
      <c r="BT87" s="216">
        <f t="shared" ca="1" si="66"/>
        <v>0</v>
      </c>
      <c r="BU87" s="152">
        <f ca="1">IFERROR(__xludf.DUMMYFUNCTION("IMPORTRANGE(""https://docs.google.com/spreadsheets/d/1q9nWasZJ-K8bFGvbE9n0qSRuKGA4Toe3Y89cKCiVtCU/edit?usp=sharing"",""สตูล!J459"")"),0)</f>
        <v>0</v>
      </c>
      <c r="BV87" s="152">
        <f ca="1">IFERROR(__xludf.DUMMYFUNCTION("IMPORTRANGE(""https://docs.google.com/spreadsheets/d/1q9nWasZJ-K8bFGvbE9n0qSRuKGA4Toe3Y89cKCiVtCU/edit?usp=sharing"",""สตูล!J460"")"),0)</f>
        <v>0</v>
      </c>
      <c r="BW87" s="152">
        <f ca="1">IFERROR(__xludf.DUMMYFUNCTION("IMPORTRANGE(""https://docs.google.com/spreadsheets/d/1q9nWasZJ-K8bFGvbE9n0qSRuKGA4Toe3Y89cKCiVtCU/edit?usp=sharing"",""สตูล!J461"")"),0)</f>
        <v>0</v>
      </c>
      <c r="BX87" s="152">
        <f ca="1">IFERROR(__xludf.DUMMYFUNCTION("IMPORTRANGE(""https://docs.google.com/spreadsheets/d/1q9nWasZJ-K8bFGvbE9n0qSRuKGA4Toe3Y89cKCiVtCU/edit?usp=sharing"",""สตูล!J462"")"),0)</f>
        <v>0</v>
      </c>
      <c r="BY87" s="152">
        <f ca="1">IFERROR(__xludf.DUMMYFUNCTION("IMPORTRANGE(""https://docs.google.com/spreadsheets/d/1q9nWasZJ-K8bFGvbE9n0qSRuKGA4Toe3Y89cKCiVtCU/edit?usp=sharing"",""สตูล!J463"")"),0)</f>
        <v>0</v>
      </c>
      <c r="BZ87" s="152">
        <f ca="1">IFERROR(__xludf.DUMMYFUNCTION("IMPORTRANGE(""https://docs.google.com/spreadsheets/d/1q9nWasZJ-K8bFGvbE9n0qSRuKGA4Toe3Y89cKCiVtCU/edit?usp=sharing"",""สตูล!J464"")"),0)</f>
        <v>0</v>
      </c>
      <c r="CA87" s="152">
        <f ca="1">IFERROR(__xludf.DUMMYFUNCTION("IMPORTRANGE(""https://docs.google.com/spreadsheets/d/1q9nWasZJ-K8bFGvbE9n0qSRuKGA4Toe3Y89cKCiVtCU/edit?usp=sharing"",""สตูล!J465"")"),0)</f>
        <v>0</v>
      </c>
      <c r="CB87" s="152">
        <f ca="1">IFERROR(__xludf.DUMMYFUNCTION("IMPORTRANGE(""https://docs.google.com/spreadsheets/d/1q9nWasZJ-K8bFGvbE9n0qSRuKGA4Toe3Y89cKCiVtCU/edit?usp=sharing"",""สตูล!J466"")"),0)</f>
        <v>0</v>
      </c>
      <c r="CC87" s="152">
        <f ca="1">IFERROR(__xludf.DUMMYFUNCTION("IMPORTRANGE(""https://docs.google.com/spreadsheets/d/1q9nWasZJ-K8bFGvbE9n0qSRuKGA4Toe3Y89cKCiVtCU/edit?usp=sharing"",""สตูล!J467"")"),0)</f>
        <v>0</v>
      </c>
      <c r="CD87" s="152">
        <f ca="1">IFERROR(__xludf.DUMMYFUNCTION("IMPORTRANGE(""https://docs.google.com/spreadsheets/d/1q9nWasZJ-K8bFGvbE9n0qSRuKGA4Toe3Y89cKCiVtCU/edit?usp=sharing"",""สตูล!J468"")"),0)</f>
        <v>0</v>
      </c>
      <c r="CE87" s="152">
        <f ca="1">IFERROR(__xludf.DUMMYFUNCTION("IMPORTRANGE(""https://docs.google.com/spreadsheets/d/1q9nWasZJ-K8bFGvbE9n0qSRuKGA4Toe3Y89cKCiVtCU/edit?usp=sharing"",""สตูล!J469"")"),0)</f>
        <v>0</v>
      </c>
      <c r="CF87" s="152">
        <f ca="1">IFERROR(__xludf.DUMMYFUNCTION("IMPORTRANGE(""https://docs.google.com/spreadsheets/d/1q9nWasZJ-K8bFGvbE9n0qSRuKGA4Toe3Y89cKCiVtCU/edit?usp=sharing"",""สตูล!J470"")"),0)</f>
        <v>0</v>
      </c>
      <c r="CG87" s="152">
        <f ca="1">IFERROR(__xludf.DUMMYFUNCTION("IMPORTRANGE(""https://docs.google.com/spreadsheets/d/1q9nWasZJ-K8bFGvbE9n0qSRuKGA4Toe3Y89cKCiVtCU/edit?usp=sharing"",""สตูล!J471"")"),0)</f>
        <v>0</v>
      </c>
      <c r="CH87" s="152">
        <f ca="1">IFERROR(__xludf.DUMMYFUNCTION("IMPORTRANGE(""https://docs.google.com/spreadsheets/d/1q9nWasZJ-K8bFGvbE9n0qSRuKGA4Toe3Y89cKCiVtCU/edit?usp=sharing"",""สตูล!J472"")"),0)</f>
        <v>0</v>
      </c>
      <c r="CI87" s="152">
        <f ca="1">IFERROR(__xludf.DUMMYFUNCTION("IMPORTRANGE(""https://docs.google.com/spreadsheets/d/1q9nWasZJ-K8bFGvbE9n0qSRuKGA4Toe3Y89cKCiVtCU/edit?usp=sharing"",""สตูล!J473"")"),0)</f>
        <v>0</v>
      </c>
      <c r="CJ87" s="152">
        <f ca="1">IFERROR(__xludf.DUMMYFUNCTION("IMPORTRANGE(""https://docs.google.com/spreadsheets/d/1q9nWasZJ-K8bFGvbE9n0qSRuKGA4Toe3Y89cKCiVtCU/edit?usp=sharing"",""สตูล!J474"")"),0)</f>
        <v>0</v>
      </c>
      <c r="CK87" s="278">
        <f ca="1">IFERROR(__xludf.DUMMYFUNCTION("IMPORTRANGE(""https://docs.google.com/spreadsheets/d/1q9nWasZJ-K8bFGvbE9n0qSRuKGA4Toe3Y89cKCiVtCU/edit?usp=sharing"",""สตูล!I476"")"),0)</f>
        <v>0</v>
      </c>
      <c r="CL87" s="278">
        <f ca="1">IFERROR(__xludf.DUMMYFUNCTION("IMPORTRANGE(""https://docs.google.com/spreadsheets/d/1q9nWasZJ-K8bFGvbE9n0qSRuKGA4Toe3Y89cKCiVtCU/edit?usp=sharing"",""สตูล!I477"")"),0)</f>
        <v>0</v>
      </c>
      <c r="CM87" s="278">
        <f ca="1">IFERROR(__xludf.DUMMYFUNCTION("IMPORTRANGE(""https://docs.google.com/spreadsheets/d/1q9nWasZJ-K8bFGvbE9n0qSRuKGA4Toe3Y89cKCiVtCU/edit?usp=sharing"",""สตูล!J476"")"),0)</f>
        <v>0</v>
      </c>
      <c r="CN87" s="216">
        <f t="shared" ca="1" si="68"/>
        <v>0</v>
      </c>
      <c r="CO87" s="278">
        <f ca="1">IFERROR(__xludf.DUMMYFUNCTION("IMPORTRANGE(""https://docs.google.com/spreadsheets/d/1q9nWasZJ-K8bFGvbE9n0qSRuKGA4Toe3Y89cKCiVtCU/edit?usp=sharing"",""สตูล!J477"")"),0)</f>
        <v>0</v>
      </c>
      <c r="CP87" s="216">
        <f t="shared" ca="1" si="69"/>
        <v>0</v>
      </c>
      <c r="CQ87" s="278">
        <f ca="1">IFERROR(__xludf.DUMMYFUNCTION("IMPORTRANGE(""https://docs.google.com/spreadsheets/d/1q9nWasZJ-K8bFGvbE9n0qSRuKGA4Toe3Y89cKCiVtCU/edit?usp=sharing"",""สตูล!J478"")"),0)</f>
        <v>0</v>
      </c>
      <c r="CR87" s="278">
        <f ca="1">IFERROR(__xludf.DUMMYFUNCTION("IMPORTRANGE(""https://docs.google.com/spreadsheets/d/1q9nWasZJ-K8bFGvbE9n0qSRuKGA4Toe3Y89cKCiVtCU/edit?usp=sharing"",""สตูล!J479"")"),0)</f>
        <v>0</v>
      </c>
      <c r="CS87" s="278">
        <f ca="1">IFERROR(__xludf.DUMMYFUNCTION("IMPORTRANGE(""https://docs.google.com/spreadsheets/d/1q9nWasZJ-K8bFGvbE9n0qSRuKGA4Toe3Y89cKCiVtCU/edit?usp=sharing"",""สตูล!J480"")"),0)</f>
        <v>0</v>
      </c>
      <c r="CT87" s="278">
        <f ca="1">IFERROR(__xludf.DUMMYFUNCTION("IMPORTRANGE(""https://docs.google.com/spreadsheets/d/1q9nWasZJ-K8bFGvbE9n0qSRuKGA4Toe3Y89cKCiVtCU/edit?usp=sharing"",""สตูล!J481"")"),0)</f>
        <v>0</v>
      </c>
      <c r="CU87" s="278">
        <f ca="1">IFERROR(__xludf.DUMMYFUNCTION("IMPORTRANGE(""https://docs.google.com/spreadsheets/d/1q9nWasZJ-K8bFGvbE9n0qSRuKGA4Toe3Y89cKCiVtCU/edit?usp=sharing"",""สตูล!I484"")"),0)</f>
        <v>0</v>
      </c>
      <c r="CV87" s="278">
        <f ca="1">IFERROR(__xludf.DUMMYFUNCTION("IMPORTRANGE(""https://docs.google.com/spreadsheets/d/1q9nWasZJ-K8bFGvbE9n0qSRuKGA4Toe3Y89cKCiVtCU/edit?usp=sharing"",""สตูล!I485"")"),0)</f>
        <v>0</v>
      </c>
      <c r="CW87" s="278">
        <f ca="1">IFERROR(__xludf.DUMMYFUNCTION("IMPORTRANGE(""https://docs.google.com/spreadsheets/d/1q9nWasZJ-K8bFGvbE9n0qSRuKGA4Toe3Y89cKCiVtCU/edit?usp=sharing"",""สตูล!J484"")"),0)</f>
        <v>0</v>
      </c>
      <c r="CX87" s="216">
        <f t="shared" ca="1" si="71"/>
        <v>0</v>
      </c>
      <c r="CY87" s="278">
        <f ca="1">IFERROR(__xludf.DUMMYFUNCTION("IMPORTRANGE(""https://docs.google.com/spreadsheets/d/1q9nWasZJ-K8bFGvbE9n0qSRuKGA4Toe3Y89cKCiVtCU/edit?usp=sharing"",""สตูล!J485"")"),0)</f>
        <v>0</v>
      </c>
      <c r="CZ87" s="216">
        <f t="shared" ca="1" si="72"/>
        <v>0</v>
      </c>
      <c r="DA87" s="278">
        <f ca="1">IFERROR(__xludf.DUMMYFUNCTION("IMPORTRANGE(""https://docs.google.com/spreadsheets/d/1q9nWasZJ-K8bFGvbE9n0qSRuKGA4Toe3Y89cKCiVtCU/edit?usp=sharing"",""สตูล!J486"")"),0)</f>
        <v>0</v>
      </c>
      <c r="DB87" s="278">
        <f ca="1">IFERROR(__xludf.DUMMYFUNCTION("IMPORTRANGE(""https://docs.google.com/spreadsheets/d/1q9nWasZJ-K8bFGvbE9n0qSRuKGA4Toe3Y89cKCiVtCU/edit?usp=sharing"",""สตูล!J487"")"),0)</f>
        <v>0</v>
      </c>
      <c r="DC87" s="278">
        <f ca="1">IFERROR(__xludf.DUMMYFUNCTION("IMPORTRANGE(""https://docs.google.com/spreadsheets/d/1q9nWasZJ-K8bFGvbE9n0qSRuKGA4Toe3Y89cKCiVtCU/edit?usp=sharing"",""สตูล!J488"")"),0)</f>
        <v>0</v>
      </c>
      <c r="DD87" s="278">
        <f ca="1">IFERROR(__xludf.DUMMYFUNCTION("IMPORTRANGE(""https://docs.google.com/spreadsheets/d/1q9nWasZJ-K8bFGvbE9n0qSRuKGA4Toe3Y89cKCiVtCU/edit?usp=sharing"",""สตูล!J489"")"),0)</f>
        <v>0</v>
      </c>
      <c r="DE87" s="278">
        <f ca="1">IFERROR(__xludf.DUMMYFUNCTION("IMPORTRANGE(""https://docs.google.com/spreadsheets/d/1q9nWasZJ-K8bFGvbE9n0qSRuKGA4Toe3Y89cKCiVtCU/edit?usp=sharing"",""สตูล!J490"")"),0)</f>
        <v>0</v>
      </c>
      <c r="DF87" s="278">
        <f ca="1">IFERROR(__xludf.DUMMYFUNCTION("IMPORTRANGE(""https://docs.google.com/spreadsheets/d/1q9nWasZJ-K8bFGvbE9n0qSRuKGA4Toe3Y89cKCiVtCU/edit?usp=sharing"",""สตูล!J491"")"),0)</f>
        <v>0</v>
      </c>
    </row>
    <row r="88" spans="1:110" ht="19.5" x14ac:dyDescent="0.3">
      <c r="A88" s="155">
        <v>14</v>
      </c>
      <c r="B88" s="156" t="s">
        <v>116</v>
      </c>
      <c r="C88" s="570">
        <f t="shared" ca="1" si="44"/>
        <v>787830</v>
      </c>
      <c r="D88" s="571">
        <f t="shared" ca="1" si="104"/>
        <v>787830</v>
      </c>
      <c r="E88" s="337">
        <f ca="1">IFERROR(__xludf.DUMMYFUNCTION("IMPORTRANGE(""https://docs.google.com/spreadsheets/d/1-uDff_7J0KD5mKrp0Vvzr7lt3OU09vwQwhkpOPPYv2Y/edit?usp=sharing"",""งบพรบ!IP88"")"),218000)</f>
        <v>218000</v>
      </c>
      <c r="F88" s="337">
        <f ca="1">IFERROR(__xludf.DUMMYFUNCTION("IMPORTRANGE(""https://docs.google.com/spreadsheets/d/1-uDff_7J0KD5mKrp0Vvzr7lt3OU09vwQwhkpOPPYv2Y/edit?usp=sharing"",""งบพรบ!IQ88"")"),569830)</f>
        <v>569830</v>
      </c>
      <c r="G88" s="337">
        <f ca="1">IFERROR(__xludf.DUMMYFUNCTION("IMPORTRANGE(""https://docs.google.com/spreadsheets/d/1-uDff_7J0KD5mKrp0Vvzr7lt3OU09vwQwhkpOPPYv2Y/edit?usp=sharing"",""งบพรบ!IR88"")"),0)</f>
        <v>0</v>
      </c>
      <c r="H88" s="337">
        <f ca="1">IFERROR(__xludf.DUMMYFUNCTION("IMPORTRANGE(""https://docs.google.com/spreadsheets/d/1-uDff_7J0KD5mKrp0Vvzr7lt3OU09vwQwhkpOPPYv2Y/edit?usp=sharing"",""งบพรบ!IT88"")"),1171325)</f>
        <v>1171325</v>
      </c>
      <c r="I88" s="337">
        <f ca="1">IFERROR(__xludf.DUMMYFUNCTION("IMPORTRANGE(""https://docs.google.com/spreadsheets/d/1-uDff_7J0KD5mKrp0Vvzr7lt3OU09vwQwhkpOPPYv2Y/edit?usp=sharing"",""งบพรบ!IU88"")"),0)</f>
        <v>0</v>
      </c>
      <c r="J88" s="337">
        <f t="shared" ca="1" si="46"/>
        <v>817962.63</v>
      </c>
      <c r="K88" s="572">
        <f t="shared" ca="1" si="47"/>
        <v>103.82476295647538</v>
      </c>
      <c r="L88" s="337">
        <f ca="1">IFERROR(__xludf.DUMMYFUNCTION("IMPORTRANGE(""https://docs.google.com/spreadsheets/d/1-uDff_7J0KD5mKrp0Vvzr7lt3OU09vwQwhkpOPPYv2Y/edit?usp=sharing"",""งบพรบ!IV88"")"),817962.63)</f>
        <v>817962.63</v>
      </c>
      <c r="M88" s="573">
        <f t="shared" ca="1" si="48"/>
        <v>103.82476295647538</v>
      </c>
      <c r="N88" s="573">
        <f t="shared" ca="1" si="49"/>
        <v>69.832252363776064</v>
      </c>
      <c r="O88" s="574">
        <f ca="1">IFERROR(__xludf.DUMMYFUNCTION("IMPORTRANGE(""https://docs.google.com/spreadsheets/d/1-uDff_7J0KD5mKrp0Vvzr7lt3OU09vwQwhkpOPPYv2Y/edit?usp=sharing"",""งบพรบ!IW88"")"),0)</f>
        <v>0</v>
      </c>
      <c r="P88" s="574">
        <f t="shared" ca="1" si="50"/>
        <v>0</v>
      </c>
      <c r="Q88" s="573">
        <f t="shared" ca="1" si="51"/>
        <v>0</v>
      </c>
      <c r="R88" s="575">
        <f ca="1">IFERROR(__xludf.DUMMYFUNCTION("IMPORTRANGE(""https://docs.google.com/spreadsheets/d/18T20gbkS_WBjdscyTOV05cvq_JqvqQ17C81mpxf7Ncs/edit?usp=sharing"",""สุราษฎร์ธานี!Q413"")"),77750)</f>
        <v>77750</v>
      </c>
      <c r="S88" s="575">
        <f ca="1">IFERROR(__xludf.DUMMYFUNCTION("IMPORTRANGE(""https://docs.google.com/spreadsheets/d/18T20gbkS_WBjdscyTOV05cvq_JqvqQ17C81mpxf7Ncs/edit?usp=sharing"",""สุราษฎร์ธานี!R413"")"),77750)</f>
        <v>77750</v>
      </c>
      <c r="T88" s="575">
        <f ca="1">IFERROR(__xludf.DUMMYFUNCTION("IMPORTRANGE(""https://docs.google.com/spreadsheets/d/18T20gbkS_WBjdscyTOV05cvq_JqvqQ17C81mpxf7Ncs/edit?usp=sharing"",""สุราษฎร์ธานี!S413"")"),15000)</f>
        <v>15000</v>
      </c>
      <c r="U88" s="576">
        <f t="shared" ca="1" si="53"/>
        <v>19.292604501607716</v>
      </c>
      <c r="V88" s="576">
        <f t="shared" ca="1" si="54"/>
        <v>19.292604501607716</v>
      </c>
      <c r="W88" s="191">
        <f ca="1">IFERROR(__xludf.DUMMYFUNCTION("IMPORTRANGE(""https://docs.google.com/spreadsheets/d/18T20gbkS_WBjdscyTOV05cvq_JqvqQ17C81mpxf7Ncs/edit?usp=sharing"",""สุราษฎร์ธานี!I424"")"),161615)</f>
        <v>161615</v>
      </c>
      <c r="X88" s="191">
        <f ca="1">IFERROR(__xludf.DUMMYFUNCTION("IMPORTRANGE(""https://docs.google.com/spreadsheets/d/18T20gbkS_WBjdscyTOV05cvq_JqvqQ17C81mpxf7Ncs/edit?usp=sharing"",""สุราษฎร์ธานี!I425"")"),13644)</f>
        <v>13644</v>
      </c>
      <c r="Y88" s="191">
        <f ca="1">IFERROR(__xludf.DUMMYFUNCTION("IMPORTRANGE(""https://docs.google.com/spreadsheets/d/18T20gbkS_WBjdscyTOV05cvq_JqvqQ17C81mpxf7Ncs/edit?usp=sharing"",""สุราษฎร์ธานี!J424"")"),107627.21)</f>
        <v>107627.21</v>
      </c>
      <c r="Z88" s="218">
        <f t="shared" ca="1" si="56"/>
        <v>66.594814837731647</v>
      </c>
      <c r="AA88" s="191">
        <f ca="1">IFERROR(__xludf.DUMMYFUNCTION("IMPORTRANGE(""https://docs.google.com/spreadsheets/d/18T20gbkS_WBjdscyTOV05cvq_JqvqQ17C81mpxf7Ncs/edit?usp=sharing"",""สุราษฎร์ธานี!J425"")"),8966)</f>
        <v>8966</v>
      </c>
      <c r="AB88" s="218">
        <f t="shared" ca="1" si="57"/>
        <v>65.713866901201996</v>
      </c>
      <c r="AC88" s="191">
        <f ca="1">IFERROR(__xludf.DUMMYFUNCTION("IMPORTRANGE(""https://docs.google.com/spreadsheets/d/18T20gbkS_WBjdscyTOV05cvq_JqvqQ17C81mpxf7Ncs/edit?usp=sharing"",""สุราษฎร์ธานี!J426"")"),82994.21)</f>
        <v>82994.210000000006</v>
      </c>
      <c r="AD88" s="191">
        <f ca="1">IFERROR(__xludf.DUMMYFUNCTION("IMPORTRANGE(""https://docs.google.com/spreadsheets/d/18T20gbkS_WBjdscyTOV05cvq_JqvqQ17C81mpxf7Ncs/edit?usp=sharing"",""สุราษฎร์ธานี!J427"")"),6974)</f>
        <v>6974</v>
      </c>
      <c r="AE88" s="191">
        <f ca="1">IFERROR(__xludf.DUMMYFUNCTION("IMPORTRANGE(""https://docs.google.com/spreadsheets/d/18T20gbkS_WBjdscyTOV05cvq_JqvqQ17C81mpxf7Ncs/edit?usp=sharing"",""สุราษฎร์ธานี!J428"")"),22897)</f>
        <v>22897</v>
      </c>
      <c r="AF88" s="191">
        <f ca="1">IFERROR(__xludf.DUMMYFUNCTION("IMPORTRANGE(""https://docs.google.com/spreadsheets/d/18T20gbkS_WBjdscyTOV05cvq_JqvqQ17C81mpxf7Ncs/edit?usp=sharing"",""สุราษฎร์ธานี!J429"")"),1813)</f>
        <v>1813</v>
      </c>
      <c r="AG88" s="191">
        <f ca="1">IFERROR(__xludf.DUMMYFUNCTION("IMPORTRANGE(""https://docs.google.com/spreadsheets/d/18T20gbkS_WBjdscyTOV05cvq_JqvqQ17C81mpxf7Ncs/edit?usp=sharing"",""สุราษฎร์ธานี!J430"")"),1736)</f>
        <v>1736</v>
      </c>
      <c r="AH88" s="191">
        <f ca="1">IFERROR(__xludf.DUMMYFUNCTION("IMPORTRANGE(""https://docs.google.com/spreadsheets/d/18T20gbkS_WBjdscyTOV05cvq_JqvqQ17C81mpxf7Ncs/edit?usp=sharing"",""สุราษฎร์ธานี!J431"")"),179)</f>
        <v>179</v>
      </c>
      <c r="AI88" s="191">
        <f ca="1">IFERROR(__xludf.DUMMYFUNCTION("IMPORTRANGE(""https://docs.google.com/spreadsheets/d/18T20gbkS_WBjdscyTOV05cvq_JqvqQ17C81mpxf7Ncs/edit?usp=sharing"",""สุราษฎร์ธานี!I432"")"),161615)</f>
        <v>161615</v>
      </c>
      <c r="AJ88" s="191">
        <f ca="1">IFERROR(__xludf.DUMMYFUNCTION("IMPORTRANGE(""https://docs.google.com/spreadsheets/d/18T20gbkS_WBjdscyTOV05cvq_JqvqQ17C81mpxf7Ncs/edit?usp=sharing"",""สุราษฎร์ธานี!I433"")"),13644)</f>
        <v>13644</v>
      </c>
      <c r="AK88" s="218">
        <f ca="1">IFERROR(__xludf.DUMMYFUNCTION("IMPORTRANGE(""https://docs.google.com/spreadsheets/d/18T20gbkS_WBjdscyTOV05cvq_JqvqQ17C81mpxf7Ncs/edit?usp=sharing"",""สุราษฎร์ธานี!J432"")"),0)</f>
        <v>0</v>
      </c>
      <c r="AL88" s="218">
        <f t="shared" ca="1" si="59"/>
        <v>0</v>
      </c>
      <c r="AM88" s="191">
        <f ca="1">IFERROR(__xludf.DUMMYFUNCTION("IMPORTRANGE(""https://docs.google.com/spreadsheets/d/18T20gbkS_WBjdscyTOV05cvq_JqvqQ17C81mpxf7Ncs/edit?usp=sharing"",""สุราษฎร์ธานี!J433"")"),0)</f>
        <v>0</v>
      </c>
      <c r="AN88" s="218">
        <f t="shared" ca="1" si="60"/>
        <v>0</v>
      </c>
      <c r="AO88" s="191">
        <f ca="1">IFERROR(__xludf.DUMMYFUNCTION("IMPORTRANGE(""https://docs.google.com/spreadsheets/d/18T20gbkS_WBjdscyTOV05cvq_JqvqQ17C81mpxf7Ncs/edit?usp=sharing"",""สุราษฎร์ธานี!J434"")"),0)</f>
        <v>0</v>
      </c>
      <c r="AP88" s="191">
        <f ca="1">IFERROR(__xludf.DUMMYFUNCTION("IMPORTRANGE(""https://docs.google.com/spreadsheets/d/18T20gbkS_WBjdscyTOV05cvq_JqvqQ17C81mpxf7Ncs/edit?usp=sharing"",""สุราษฎร์ธานี!J435"")"),0)</f>
        <v>0</v>
      </c>
      <c r="AQ88" s="191">
        <f ca="1">IFERROR(__xludf.DUMMYFUNCTION("IMPORTRANGE(""https://docs.google.com/spreadsheets/d/18T20gbkS_WBjdscyTOV05cvq_JqvqQ17C81mpxf7Ncs/edit?usp=sharing"",""สุราษฎร์ธานี!J436"")"),0)</f>
        <v>0</v>
      </c>
      <c r="AR88" s="191">
        <f ca="1">IFERROR(__xludf.DUMMYFUNCTION("IMPORTRANGE(""https://docs.google.com/spreadsheets/d/18T20gbkS_WBjdscyTOV05cvq_JqvqQ17C81mpxf7Ncs/edit?usp=sharing"",""สุราษฎร์ธานี!J437"")"),0)</f>
        <v>0</v>
      </c>
      <c r="AS88" s="191">
        <f ca="1">IFERROR(__xludf.DUMMYFUNCTION("IMPORTRANGE(""https://docs.google.com/spreadsheets/d/18T20gbkS_WBjdscyTOV05cvq_JqvqQ17C81mpxf7Ncs/edit?usp=sharing"",""สุราษฎร์ธานี!J438"")"),0)</f>
        <v>0</v>
      </c>
      <c r="AT88" s="191">
        <f ca="1">IFERROR(__xludf.DUMMYFUNCTION("IMPORTRANGE(""https://docs.google.com/spreadsheets/d/18T20gbkS_WBjdscyTOV05cvq_JqvqQ17C81mpxf7Ncs/edit?usp=sharing"",""สุราษฎร์ธานี!J439"")"),0)</f>
        <v>0</v>
      </c>
      <c r="AU88" s="191">
        <f ca="1">IFERROR(__xludf.DUMMYFUNCTION("IMPORTRANGE(""https://docs.google.com/spreadsheets/d/18T20gbkS_WBjdscyTOV05cvq_JqvqQ17C81mpxf7Ncs/edit?usp=sharing"",""สุราษฎร์ธานี!I440"")"),161615)</f>
        <v>161615</v>
      </c>
      <c r="AV88" s="191">
        <f ca="1">IFERROR(__xludf.DUMMYFUNCTION("IMPORTRANGE(""https://docs.google.com/spreadsheets/d/18T20gbkS_WBjdscyTOV05cvq_JqvqQ17C81mpxf7Ncs/edit?usp=sharing"",""สุราษฎร์ธานี!I441"")"),13644)</f>
        <v>13644</v>
      </c>
      <c r="AW88" s="191">
        <f ca="1">IFERROR(__xludf.DUMMYFUNCTION("IMPORTRANGE(""https://docs.google.com/spreadsheets/d/18T20gbkS_WBjdscyTOV05cvq_JqvqQ17C81mpxf7Ncs/edit?usp=sharing"",""สุราษฎร์ธานี!J440"")"),0)</f>
        <v>0</v>
      </c>
      <c r="AX88" s="218">
        <f t="shared" ca="1" si="62"/>
        <v>0</v>
      </c>
      <c r="AY88" s="191">
        <f ca="1">IFERROR(__xludf.DUMMYFUNCTION("IMPORTRANGE(""https://docs.google.com/spreadsheets/d/18T20gbkS_WBjdscyTOV05cvq_JqvqQ17C81mpxf7Ncs/edit?usp=sharing"",""สุราษฎร์ธานี!J441"")"),0)</f>
        <v>0</v>
      </c>
      <c r="AZ88" s="218">
        <f t="shared" ca="1" si="63"/>
        <v>0</v>
      </c>
      <c r="BA88" s="191">
        <f ca="1">IFERROR(__xludf.DUMMYFUNCTION("IMPORTRANGE(""https://docs.google.com/spreadsheets/d/18T20gbkS_WBjdscyTOV05cvq_JqvqQ17C81mpxf7Ncs/edit?usp=sharing"",""สุราษฎร์ธานี!J442"")"),0)</f>
        <v>0</v>
      </c>
      <c r="BB88" s="191">
        <f ca="1">IFERROR(__xludf.DUMMYFUNCTION("IMPORTRANGE(""https://docs.google.com/spreadsheets/d/18T20gbkS_WBjdscyTOV05cvq_JqvqQ17C81mpxf7Ncs/edit?usp=sharing"",""สุราษฎร์ธานี!J443"")"),0)</f>
        <v>0</v>
      </c>
      <c r="BC88" s="191">
        <f ca="1">IFERROR(__xludf.DUMMYFUNCTION("IMPORTRANGE(""https://docs.google.com/spreadsheets/d/18T20gbkS_WBjdscyTOV05cvq_JqvqQ17C81mpxf7Ncs/edit?usp=sharing"",""สุราษฎร์ธานี!J444"")"),0)</f>
        <v>0</v>
      </c>
      <c r="BD88" s="191">
        <f ca="1">IFERROR(__xludf.DUMMYFUNCTION("IMPORTRANGE(""https://docs.google.com/spreadsheets/d/18T20gbkS_WBjdscyTOV05cvq_JqvqQ17C81mpxf7Ncs/edit?usp=sharing"",""สุราษฎร์ธานี!J445"")"),0)</f>
        <v>0</v>
      </c>
      <c r="BE88" s="191">
        <f ca="1">IFERROR(__xludf.DUMMYFUNCTION("IMPORTRANGE(""https://docs.google.com/spreadsheets/d/18T20gbkS_WBjdscyTOV05cvq_JqvqQ17C81mpxf7Ncs/edit?usp=sharing"",""สุราษฎร์ธานี!J446"")"),0)</f>
        <v>0</v>
      </c>
      <c r="BF88" s="191">
        <f ca="1">IFERROR(__xludf.DUMMYFUNCTION("IMPORTRANGE(""https://docs.google.com/spreadsheets/d/18T20gbkS_WBjdscyTOV05cvq_JqvqQ17C81mpxf7Ncs/edit?usp=sharing"",""สุราษฎร์ธานี!J447"")"),0)</f>
        <v>0</v>
      </c>
      <c r="BG88" s="191">
        <f ca="1">IFERROR(__xludf.DUMMYFUNCTION("IMPORTRANGE(""https://docs.google.com/spreadsheets/d/18T20gbkS_WBjdscyTOV05cvq_JqvqQ17C81mpxf7Ncs/edit?usp=sharing"",""สุราษฎร์ธานี!J448"")"),0)</f>
        <v>0</v>
      </c>
      <c r="BH88" s="191">
        <f ca="1">IFERROR(__xludf.DUMMYFUNCTION("IMPORTRANGE(""https://docs.google.com/spreadsheets/d/18T20gbkS_WBjdscyTOV05cvq_JqvqQ17C81mpxf7Ncs/edit?usp=sharing"",""สุราษฎร์ธานี!J449"")"),0)</f>
        <v>0</v>
      </c>
      <c r="BI88" s="191">
        <f ca="1">IFERROR(__xludf.DUMMYFUNCTION("IMPORTRANGE(""https://docs.google.com/spreadsheets/d/18T20gbkS_WBjdscyTOV05cvq_JqvqQ17C81mpxf7Ncs/edit?usp=sharing"",""สุราษฎร์ธานี!J450"")"),0)</f>
        <v>0</v>
      </c>
      <c r="BJ88" s="191">
        <f ca="1">IFERROR(__xludf.DUMMYFUNCTION("IMPORTRANGE(""https://docs.google.com/spreadsheets/d/18T20gbkS_WBjdscyTOV05cvq_JqvqQ17C81mpxf7Ncs/edit?usp=sharing"",""สุราษฎร์ธานี!J451"")"),0)</f>
        <v>0</v>
      </c>
      <c r="BK88" s="191">
        <f ca="1">IFERROR(__xludf.DUMMYFUNCTION("IMPORTRANGE(""https://docs.google.com/spreadsheets/d/18T20gbkS_WBjdscyTOV05cvq_JqvqQ17C81mpxf7Ncs/edit?usp=sharing"",""สุราษฎร์ธานี!J452"")"),0)</f>
        <v>0</v>
      </c>
      <c r="BL88" s="191">
        <f ca="1">IFERROR(__xludf.DUMMYFUNCTION("IMPORTRANGE(""https://docs.google.com/spreadsheets/d/18T20gbkS_WBjdscyTOV05cvq_JqvqQ17C81mpxf7Ncs/edit?usp=sharing"",""สุราษฎร์ธานี!J453"")"),0)</f>
        <v>0</v>
      </c>
      <c r="BM88" s="191">
        <f ca="1">IFERROR(__xludf.DUMMYFUNCTION("IMPORTRANGE(""https://docs.google.com/spreadsheets/d/18T20gbkS_WBjdscyTOV05cvq_JqvqQ17C81mpxf7Ncs/edit?usp=sharing"",""สุราษฎร์ธานี!J454"")"),0)</f>
        <v>0</v>
      </c>
      <c r="BN88" s="191">
        <f ca="1">IFERROR(__xludf.DUMMYFUNCTION("IMPORTRANGE(""https://docs.google.com/spreadsheets/d/18T20gbkS_WBjdscyTOV05cvq_JqvqQ17C81mpxf7Ncs/edit?usp=sharing"",""สุราษฎร์ธานี!J455"")"),0)</f>
        <v>0</v>
      </c>
      <c r="BO88" s="191">
        <f ca="1">IFERROR(__xludf.DUMMYFUNCTION("IMPORTRANGE(""https://docs.google.com/spreadsheets/d/18T20gbkS_WBjdscyTOV05cvq_JqvqQ17C81mpxf7Ncs/edit?usp=sharing"",""สุราษฎร์ธานี!I457"")"),6177.23)</f>
        <v>6177.23</v>
      </c>
      <c r="BP88" s="191">
        <f ca="1">IFERROR(__xludf.DUMMYFUNCTION("IMPORTRANGE(""https://docs.google.com/spreadsheets/d/18T20gbkS_WBjdscyTOV05cvq_JqvqQ17C81mpxf7Ncs/edit?usp=sharing"",""สุราษฎร์ธานี!I458"")"),589)</f>
        <v>589</v>
      </c>
      <c r="BQ88" s="191">
        <f ca="1">IFERROR(__xludf.DUMMYFUNCTION("IMPORTRANGE(""https://docs.google.com/spreadsheets/d/18T20gbkS_WBjdscyTOV05cvq_JqvqQ17C81mpxf7Ncs/edit?usp=sharing"",""สุราษฎร์ธานี!J457"")"),2800)</f>
        <v>2800</v>
      </c>
      <c r="BR88" s="218">
        <f t="shared" ca="1" si="65"/>
        <v>45.327760177296298</v>
      </c>
      <c r="BS88" s="191">
        <f ca="1">IFERROR(__xludf.DUMMYFUNCTION("IMPORTRANGE(""https://docs.google.com/spreadsheets/d/18T20gbkS_WBjdscyTOV05cvq_JqvqQ17C81mpxf7Ncs/edit?usp=sharing"",""สุราษฎร์ธานี!J458"")"),255)</f>
        <v>255</v>
      </c>
      <c r="BT88" s="218">
        <f t="shared" ca="1" si="66"/>
        <v>43.293718166383698</v>
      </c>
      <c r="BU88" s="191">
        <f ca="1">IFERROR(__xludf.DUMMYFUNCTION("IMPORTRANGE(""https://docs.google.com/spreadsheets/d/18T20gbkS_WBjdscyTOV05cvq_JqvqQ17C81mpxf7Ncs/edit?usp=sharing"",""สุราษฎร์ธานี!J459"")"),2726)</f>
        <v>2726</v>
      </c>
      <c r="BV88" s="191">
        <f ca="1">IFERROR(__xludf.DUMMYFUNCTION("IMPORTRANGE(""https://docs.google.com/spreadsheets/d/18T20gbkS_WBjdscyTOV05cvq_JqvqQ17C81mpxf7Ncs/edit?usp=sharing"",""สุราษฎร์ธานี!J460"")"),246)</f>
        <v>246</v>
      </c>
      <c r="BW88" s="191">
        <f ca="1">IFERROR(__xludf.DUMMYFUNCTION("IMPORTRANGE(""https://docs.google.com/spreadsheets/d/18T20gbkS_WBjdscyTOV05cvq_JqvqQ17C81mpxf7Ncs/edit?usp=sharing"",""สุราษฎร์ธานี!J461"")"),2726)</f>
        <v>2726</v>
      </c>
      <c r="BX88" s="191">
        <f ca="1">IFERROR(__xludf.DUMMYFUNCTION("IMPORTRANGE(""https://docs.google.com/spreadsheets/d/18T20gbkS_WBjdscyTOV05cvq_JqvqQ17C81mpxf7Ncs/edit?usp=sharing"",""สุราษฎร์ธานี!J462"")"),246)</f>
        <v>246</v>
      </c>
      <c r="BY88" s="191">
        <f ca="1">IFERROR(__xludf.DUMMYFUNCTION("IMPORTRANGE(""https://docs.google.com/spreadsheets/d/18T20gbkS_WBjdscyTOV05cvq_JqvqQ17C81mpxf7Ncs/edit?usp=sharing"",""สุราษฎร์ธานี!J463"")"),0)</f>
        <v>0</v>
      </c>
      <c r="BZ88" s="191">
        <f ca="1">IFERROR(__xludf.DUMMYFUNCTION("IMPORTRANGE(""https://docs.google.com/spreadsheets/d/18T20gbkS_WBjdscyTOV05cvq_JqvqQ17C81mpxf7Ncs/edit?usp=sharing"",""สุราษฎร์ธานี!J464"")"),0)</f>
        <v>0</v>
      </c>
      <c r="CA88" s="191">
        <f ca="1">IFERROR(__xludf.DUMMYFUNCTION("IMPORTRANGE(""https://docs.google.com/spreadsheets/d/18T20gbkS_WBjdscyTOV05cvq_JqvqQ17C81mpxf7Ncs/edit?usp=sharing"",""สุราษฎร์ธานี!J465"")"),0)</f>
        <v>0</v>
      </c>
      <c r="CB88" s="191">
        <f ca="1">IFERROR(__xludf.DUMMYFUNCTION("IMPORTRANGE(""https://docs.google.com/spreadsheets/d/18T20gbkS_WBjdscyTOV05cvq_JqvqQ17C81mpxf7Ncs/edit?usp=sharing"",""สุราษฎร์ธานี!J466"")"),0)</f>
        <v>0</v>
      </c>
      <c r="CC88" s="191">
        <f ca="1">IFERROR(__xludf.DUMMYFUNCTION("IMPORTRANGE(""https://docs.google.com/spreadsheets/d/18T20gbkS_WBjdscyTOV05cvq_JqvqQ17C81mpxf7Ncs/edit?usp=sharing"",""สุราษฎร์ธานี!J467"")"),74)</f>
        <v>74</v>
      </c>
      <c r="CD88" s="191">
        <f ca="1">IFERROR(__xludf.DUMMYFUNCTION("IMPORTRANGE(""https://docs.google.com/spreadsheets/d/18T20gbkS_WBjdscyTOV05cvq_JqvqQ17C81mpxf7Ncs/edit?usp=sharing"",""สุราษฎร์ธานี!J468"")"),9)</f>
        <v>9</v>
      </c>
      <c r="CE88" s="191">
        <f ca="1">IFERROR(__xludf.DUMMYFUNCTION("IMPORTRANGE(""https://docs.google.com/spreadsheets/d/18T20gbkS_WBjdscyTOV05cvq_JqvqQ17C81mpxf7Ncs/edit?usp=sharing"",""สุราษฎร์ธานี!J469"")"),51)</f>
        <v>51</v>
      </c>
      <c r="CF88" s="191">
        <f ca="1">IFERROR(__xludf.DUMMYFUNCTION("IMPORTRANGE(""https://docs.google.com/spreadsheets/d/18T20gbkS_WBjdscyTOV05cvq_JqvqQ17C81mpxf7Ncs/edit?usp=sharing"",""สุราษฎร์ธานี!J470"")"),4)</f>
        <v>4</v>
      </c>
      <c r="CG88" s="191">
        <f ca="1">IFERROR(__xludf.DUMMYFUNCTION("IMPORTRANGE(""https://docs.google.com/spreadsheets/d/18T20gbkS_WBjdscyTOV05cvq_JqvqQ17C81mpxf7Ncs/edit?usp=sharing"",""สุราษฎร์ธานี!J471"")"),23)</f>
        <v>23</v>
      </c>
      <c r="CH88" s="191">
        <f ca="1">IFERROR(__xludf.DUMMYFUNCTION("IMPORTRANGE(""https://docs.google.com/spreadsheets/d/18T20gbkS_WBjdscyTOV05cvq_JqvqQ17C81mpxf7Ncs/edit?usp=sharing"",""สุราษฎร์ธานี!J472"")"),5)</f>
        <v>5</v>
      </c>
      <c r="CI88" s="191">
        <f ca="1">IFERROR(__xludf.DUMMYFUNCTION("IMPORTRANGE(""https://docs.google.com/spreadsheets/d/18T20gbkS_WBjdscyTOV05cvq_JqvqQ17C81mpxf7Ncs/edit?usp=sharing"",""สุราษฎร์ธานี!J473"")"),0)</f>
        <v>0</v>
      </c>
      <c r="CJ88" s="191">
        <f ca="1">IFERROR(__xludf.DUMMYFUNCTION("IMPORTRANGE(""https://docs.google.com/spreadsheets/d/18T20gbkS_WBjdscyTOV05cvq_JqvqQ17C81mpxf7Ncs/edit?usp=sharing"",""สุราษฎร์ธานี!J474"")"),0)</f>
        <v>0</v>
      </c>
      <c r="CK88" s="280">
        <f ca="1">IFERROR(__xludf.DUMMYFUNCTION("IMPORTRANGE(""https://docs.google.com/spreadsheets/d/18T20gbkS_WBjdscyTOV05cvq_JqvqQ17C81mpxf7Ncs/edit?usp=sharing"",""สุราษฎร์ธานี!I476"")"),0)</f>
        <v>0</v>
      </c>
      <c r="CL88" s="280">
        <f ca="1">IFERROR(__xludf.DUMMYFUNCTION("IMPORTRANGE(""https://docs.google.com/spreadsheets/d/18T20gbkS_WBjdscyTOV05cvq_JqvqQ17C81mpxf7Ncs/edit?usp=sharing"",""สุราษฎร์ธานี!I477"")"),0)</f>
        <v>0</v>
      </c>
      <c r="CM88" s="280">
        <f ca="1">IFERROR(__xludf.DUMMYFUNCTION("IMPORTRANGE(""https://docs.google.com/spreadsheets/d/18T20gbkS_WBjdscyTOV05cvq_JqvqQ17C81mpxf7Ncs/edit?usp=sharing"",""สุราษฎร์ธานี!J476"")"),0)</f>
        <v>0</v>
      </c>
      <c r="CN88" s="218">
        <f t="shared" ca="1" si="68"/>
        <v>0</v>
      </c>
      <c r="CO88" s="280">
        <f ca="1">IFERROR(__xludf.DUMMYFUNCTION("IMPORTRANGE(""https://docs.google.com/spreadsheets/d/18T20gbkS_WBjdscyTOV05cvq_JqvqQ17C81mpxf7Ncs/edit?usp=sharing"",""สุราษฎร์ธานี!J477"")"),0)</f>
        <v>0</v>
      </c>
      <c r="CP88" s="218">
        <f t="shared" ca="1" si="69"/>
        <v>0</v>
      </c>
      <c r="CQ88" s="280">
        <f ca="1">IFERROR(__xludf.DUMMYFUNCTION("IMPORTRANGE(""https://docs.google.com/spreadsheets/d/18T20gbkS_WBjdscyTOV05cvq_JqvqQ17C81mpxf7Ncs/edit?usp=sharing"",""สุราษฎร์ธานี!J478"")"),0)</f>
        <v>0</v>
      </c>
      <c r="CR88" s="280">
        <f ca="1">IFERROR(__xludf.DUMMYFUNCTION("IMPORTRANGE(""https://docs.google.com/spreadsheets/d/18T20gbkS_WBjdscyTOV05cvq_JqvqQ17C81mpxf7Ncs/edit?usp=sharing"",""สุราษฎร์ธานี!J479"")"),0)</f>
        <v>0</v>
      </c>
      <c r="CS88" s="280">
        <f ca="1">IFERROR(__xludf.DUMMYFUNCTION("IMPORTRANGE(""https://docs.google.com/spreadsheets/d/18T20gbkS_WBjdscyTOV05cvq_JqvqQ17C81mpxf7Ncs/edit?usp=sharing"",""สุราษฎร์ธานี!J480"")"),0)</f>
        <v>0</v>
      </c>
      <c r="CT88" s="280">
        <f ca="1">IFERROR(__xludf.DUMMYFUNCTION("IMPORTRANGE(""https://docs.google.com/spreadsheets/d/18T20gbkS_WBjdscyTOV05cvq_JqvqQ17C81mpxf7Ncs/edit?usp=sharing"",""สุราษฎร์ธานี!J481"")"),0)</f>
        <v>0</v>
      </c>
      <c r="CU88" s="280">
        <f ca="1">IFERROR(__xludf.DUMMYFUNCTION("IMPORTRANGE(""https://docs.google.com/spreadsheets/d/18T20gbkS_WBjdscyTOV05cvq_JqvqQ17C81mpxf7Ncs/edit?usp=sharing"",""สุราษฎร์ธานี!I484"")"),161)</f>
        <v>161</v>
      </c>
      <c r="CV88" s="280">
        <f ca="1">IFERROR(__xludf.DUMMYFUNCTION("IMPORTRANGE(""https://docs.google.com/spreadsheets/d/18T20gbkS_WBjdscyTOV05cvq_JqvqQ17C81mpxf7Ncs/edit?usp=sharing"",""สุราษฎร์ธานี!I485"")"),26)</f>
        <v>26</v>
      </c>
      <c r="CW88" s="280">
        <f ca="1">IFERROR(__xludf.DUMMYFUNCTION("IMPORTRANGE(""https://docs.google.com/spreadsheets/d/18T20gbkS_WBjdscyTOV05cvq_JqvqQ17C81mpxf7Ncs/edit?usp=sharing"",""สุราษฎร์ธานี!J484"")"),0)</f>
        <v>0</v>
      </c>
      <c r="CX88" s="218">
        <f t="shared" ca="1" si="71"/>
        <v>0</v>
      </c>
      <c r="CY88" s="280">
        <f ca="1">IFERROR(__xludf.DUMMYFUNCTION("IMPORTRANGE(""https://docs.google.com/spreadsheets/d/18T20gbkS_WBjdscyTOV05cvq_JqvqQ17C81mpxf7Ncs/edit?usp=sharing"",""สุราษฎร์ธานี!J485"")"),0)</f>
        <v>0</v>
      </c>
      <c r="CZ88" s="218">
        <f t="shared" ca="1" si="72"/>
        <v>0</v>
      </c>
      <c r="DA88" s="280">
        <f ca="1">IFERROR(__xludf.DUMMYFUNCTION("IMPORTRANGE(""https://docs.google.com/spreadsheets/d/18T20gbkS_WBjdscyTOV05cvq_JqvqQ17C81mpxf7Ncs/edit?usp=sharing"",""สุราษฎร์ธานี!J486"")"),0)</f>
        <v>0</v>
      </c>
      <c r="DB88" s="280">
        <f ca="1">IFERROR(__xludf.DUMMYFUNCTION("IMPORTRANGE(""https://docs.google.com/spreadsheets/d/18T20gbkS_WBjdscyTOV05cvq_JqvqQ17C81mpxf7Ncs/edit?usp=sharing"",""สุราษฎร์ธานี!J487"")"),0)</f>
        <v>0</v>
      </c>
      <c r="DC88" s="280">
        <f ca="1">IFERROR(__xludf.DUMMYFUNCTION("IMPORTRANGE(""https://docs.google.com/spreadsheets/d/18T20gbkS_WBjdscyTOV05cvq_JqvqQ17C81mpxf7Ncs/edit?usp=sharing"",""สุราษฎร์ธานี!J488"")"),0)</f>
        <v>0</v>
      </c>
      <c r="DD88" s="280">
        <f ca="1">IFERROR(__xludf.DUMMYFUNCTION("IMPORTRANGE(""https://docs.google.com/spreadsheets/d/18T20gbkS_WBjdscyTOV05cvq_JqvqQ17C81mpxf7Ncs/edit?usp=sharing"",""สุราษฎร์ธานี!J489"")"),0)</f>
        <v>0</v>
      </c>
      <c r="DE88" s="280">
        <f ca="1">IFERROR(__xludf.DUMMYFUNCTION("IMPORTRANGE(""https://docs.google.com/spreadsheets/d/18T20gbkS_WBjdscyTOV05cvq_JqvqQ17C81mpxf7Ncs/edit?usp=sharing"",""สุราษฎร์ธานี!J490"")"),0)</f>
        <v>0</v>
      </c>
      <c r="DF88" s="280">
        <f ca="1">IFERROR(__xludf.DUMMYFUNCTION("IMPORTRANGE(""https://docs.google.com/spreadsheets/d/18T20gbkS_WBjdscyTOV05cvq_JqvqQ17C81mpxf7Ncs/edit?usp=sharing"",""สุราษฎร์ธานี!J491"")"),0)</f>
        <v>0</v>
      </c>
    </row>
    <row r="89" spans="1:110" ht="19.5" x14ac:dyDescent="0.3">
      <c r="A89" s="698" t="s">
        <v>117</v>
      </c>
      <c r="B89" s="662"/>
      <c r="C89" s="305">
        <f t="shared" ref="C89:T89" ca="1" si="105">SUM(C90:C106)</f>
        <v>12415470</v>
      </c>
      <c r="D89" s="305">
        <f t="shared" ca="1" si="105"/>
        <v>12415470</v>
      </c>
      <c r="E89" s="305">
        <f t="shared" ca="1" si="105"/>
        <v>8066100</v>
      </c>
      <c r="F89" s="305">
        <f t="shared" ca="1" si="105"/>
        <v>4349370</v>
      </c>
      <c r="G89" s="305">
        <f t="shared" ca="1" si="105"/>
        <v>0</v>
      </c>
      <c r="H89" s="305">
        <f t="shared" ca="1" si="105"/>
        <v>10761477</v>
      </c>
      <c r="I89" s="305">
        <f t="shared" ca="1" si="105"/>
        <v>0</v>
      </c>
      <c r="J89" s="305">
        <f t="shared" ca="1" si="105"/>
        <v>4103747.0300000003</v>
      </c>
      <c r="K89" s="545">
        <f t="shared" ca="1" si="105"/>
        <v>133.68599203002259</v>
      </c>
      <c r="L89" s="305">
        <f t="shared" ca="1" si="105"/>
        <v>4103747.0300000003</v>
      </c>
      <c r="M89" s="545">
        <f t="shared" ca="1" si="105"/>
        <v>133.68599203002259</v>
      </c>
      <c r="N89" s="545">
        <f t="shared" ca="1" si="105"/>
        <v>278.16026137450871</v>
      </c>
      <c r="O89" s="305">
        <f t="shared" ca="1" si="105"/>
        <v>0</v>
      </c>
      <c r="P89" s="305">
        <f t="shared" ca="1" si="105"/>
        <v>0</v>
      </c>
      <c r="Q89" s="305">
        <f t="shared" ca="1" si="105"/>
        <v>0</v>
      </c>
      <c r="R89" s="305">
        <f t="shared" ca="1" si="105"/>
        <v>2250660</v>
      </c>
      <c r="S89" s="305">
        <f t="shared" ca="1" si="105"/>
        <v>2250660</v>
      </c>
      <c r="T89" s="305">
        <f t="shared" ca="1" si="105"/>
        <v>180611</v>
      </c>
      <c r="U89" s="305">
        <f t="shared" ca="1" si="53"/>
        <v>8.0248016137488563</v>
      </c>
      <c r="V89" s="305">
        <f t="shared" ca="1" si="54"/>
        <v>8.0248016137488563</v>
      </c>
      <c r="W89" s="489">
        <v>0</v>
      </c>
      <c r="X89" s="489">
        <v>0</v>
      </c>
      <c r="Y89" s="489">
        <v>0</v>
      </c>
      <c r="Z89" s="489">
        <v>0</v>
      </c>
      <c r="AA89" s="489">
        <v>0</v>
      </c>
      <c r="AB89" s="489">
        <v>0</v>
      </c>
      <c r="AC89" s="489">
        <v>0</v>
      </c>
      <c r="AD89" s="489">
        <v>0</v>
      </c>
      <c r="AE89" s="489">
        <v>0</v>
      </c>
      <c r="AF89" s="489">
        <v>0</v>
      </c>
      <c r="AG89" s="489">
        <v>0</v>
      </c>
      <c r="AH89" s="489">
        <v>0</v>
      </c>
      <c r="AI89" s="489">
        <v>0</v>
      </c>
      <c r="AJ89" s="489">
        <v>0</v>
      </c>
      <c r="AK89" s="489">
        <v>0</v>
      </c>
      <c r="AL89" s="489">
        <v>0</v>
      </c>
      <c r="AM89" s="489">
        <v>0</v>
      </c>
      <c r="AN89" s="489">
        <v>0</v>
      </c>
      <c r="AO89" s="489">
        <v>0</v>
      </c>
      <c r="AP89" s="489">
        <v>0</v>
      </c>
      <c r="AQ89" s="489">
        <v>0</v>
      </c>
      <c r="AR89" s="489">
        <v>0</v>
      </c>
      <c r="AS89" s="489">
        <v>0</v>
      </c>
      <c r="AT89" s="489">
        <v>0</v>
      </c>
      <c r="AU89" s="489">
        <v>0</v>
      </c>
      <c r="AV89" s="489">
        <v>0</v>
      </c>
      <c r="AW89" s="489">
        <v>0</v>
      </c>
      <c r="AX89" s="489">
        <v>0</v>
      </c>
      <c r="AY89" s="489">
        <v>0</v>
      </c>
      <c r="AZ89" s="489">
        <v>0</v>
      </c>
      <c r="BA89" s="489">
        <v>0</v>
      </c>
      <c r="BB89" s="489">
        <v>0</v>
      </c>
      <c r="BC89" s="489">
        <v>0</v>
      </c>
      <c r="BD89" s="489">
        <v>0</v>
      </c>
      <c r="BE89" s="489">
        <v>0</v>
      </c>
      <c r="BF89" s="489">
        <v>0</v>
      </c>
      <c r="BG89" s="489">
        <v>0</v>
      </c>
      <c r="BH89" s="489">
        <v>0</v>
      </c>
      <c r="BI89" s="489">
        <v>0</v>
      </c>
      <c r="BJ89" s="489">
        <v>0</v>
      </c>
      <c r="BK89" s="489">
        <v>0</v>
      </c>
      <c r="BL89" s="489">
        <v>0</v>
      </c>
      <c r="BM89" s="489">
        <v>0</v>
      </c>
      <c r="BN89" s="489">
        <v>0</v>
      </c>
      <c r="BO89" s="489">
        <v>0</v>
      </c>
      <c r="BP89" s="489">
        <v>0</v>
      </c>
      <c r="BQ89" s="489">
        <v>0</v>
      </c>
      <c r="BR89" s="489">
        <v>0</v>
      </c>
      <c r="BS89" s="489">
        <v>0</v>
      </c>
      <c r="BT89" s="489">
        <v>0</v>
      </c>
      <c r="BU89" s="489">
        <v>0</v>
      </c>
      <c r="BV89" s="489">
        <v>0</v>
      </c>
      <c r="BW89" s="489">
        <v>0</v>
      </c>
      <c r="BX89" s="489">
        <v>0</v>
      </c>
      <c r="BY89" s="489">
        <v>0</v>
      </c>
      <c r="BZ89" s="489">
        <v>0</v>
      </c>
      <c r="CA89" s="489">
        <v>0</v>
      </c>
      <c r="CB89" s="489">
        <v>0</v>
      </c>
      <c r="CC89" s="489">
        <v>0</v>
      </c>
      <c r="CD89" s="489">
        <v>0</v>
      </c>
      <c r="CE89" s="489">
        <v>0</v>
      </c>
      <c r="CF89" s="489">
        <v>0</v>
      </c>
      <c r="CG89" s="489">
        <v>0</v>
      </c>
      <c r="CH89" s="489">
        <v>0</v>
      </c>
      <c r="CI89" s="489">
        <v>0</v>
      </c>
      <c r="CJ89" s="489">
        <v>0</v>
      </c>
      <c r="CK89" s="489">
        <v>0</v>
      </c>
      <c r="CL89" s="489">
        <v>0</v>
      </c>
      <c r="CM89" s="489">
        <v>0</v>
      </c>
      <c r="CN89" s="489">
        <v>0</v>
      </c>
      <c r="CO89" s="489">
        <v>0</v>
      </c>
      <c r="CP89" s="489">
        <v>0</v>
      </c>
      <c r="CQ89" s="489">
        <v>0</v>
      </c>
      <c r="CR89" s="489">
        <v>0</v>
      </c>
      <c r="CS89" s="489">
        <v>0</v>
      </c>
      <c r="CT89" s="489">
        <v>0</v>
      </c>
      <c r="CU89" s="489">
        <v>0</v>
      </c>
      <c r="CV89" s="489">
        <v>0</v>
      </c>
      <c r="CW89" s="489">
        <v>0</v>
      </c>
      <c r="CX89" s="489">
        <v>0</v>
      </c>
      <c r="CY89" s="489">
        <v>0</v>
      </c>
      <c r="CZ89" s="489">
        <v>0</v>
      </c>
      <c r="DA89" s="489">
        <v>0</v>
      </c>
      <c r="DB89" s="489">
        <v>0</v>
      </c>
      <c r="DC89" s="489">
        <v>0</v>
      </c>
      <c r="DD89" s="489">
        <v>0</v>
      </c>
      <c r="DE89" s="489">
        <v>0</v>
      </c>
      <c r="DF89" s="489">
        <v>0</v>
      </c>
    </row>
    <row r="90" spans="1:110" ht="19.5" x14ac:dyDescent="0.3">
      <c r="A90" s="257"/>
      <c r="B90" s="258" t="s">
        <v>118</v>
      </c>
      <c r="C90" s="580">
        <f t="shared" ref="C90:C108" ca="1" si="106">D90+G90</f>
        <v>0</v>
      </c>
      <c r="D90" s="561">
        <f t="shared" ref="D90:D108" ca="1" si="107">+E90+F90</f>
        <v>0</v>
      </c>
      <c r="E90" s="325">
        <f ca="1">IFERROR(__xludf.DUMMYFUNCTION("IMPORTRANGE(""https://docs.google.com/spreadsheets/d/1-uDff_7J0KD5mKrp0Vvzr7lt3OU09vwQwhkpOPPYv2Y/edit?usp=sharing"",""งบพรบ!IP90"")"),0)</f>
        <v>0</v>
      </c>
      <c r="F90" s="325">
        <f ca="1">IFERROR(__xludf.DUMMYFUNCTION("IMPORTRANGE(""https://docs.google.com/spreadsheets/d/1-uDff_7J0KD5mKrp0Vvzr7lt3OU09vwQwhkpOPPYv2Y/edit?usp=sharing"",""งบพรบ!IQ90"")"),0)</f>
        <v>0</v>
      </c>
      <c r="G90" s="325">
        <f ca="1">IFERROR(__xludf.DUMMYFUNCTION("IMPORTRANGE(""https://docs.google.com/spreadsheets/d/1-uDff_7J0KD5mKrp0Vvzr7lt3OU09vwQwhkpOPPYv2Y/edit?usp=sharing"",""งบพรบ!IR90"")"),0)</f>
        <v>0</v>
      </c>
      <c r="H90" s="325">
        <f ca="1">IFERROR(__xludf.DUMMYFUNCTION("IMPORTRANGE(""https://docs.google.com/spreadsheets/d/1-uDff_7J0KD5mKrp0Vvzr7lt3OU09vwQwhkpOPPYv2Y/edit?usp=sharing"",""งบพรบ!IT90"")"),0)</f>
        <v>0</v>
      </c>
      <c r="I90" s="325">
        <f ca="1">IFERROR(__xludf.DUMMYFUNCTION("IMPORTRANGE(""https://docs.google.com/spreadsheets/d/1-uDff_7J0KD5mKrp0Vvzr7lt3OU09vwQwhkpOPPYv2Y/edit?usp=sharing"",""งบพรบ!IU90"")"),0)</f>
        <v>0</v>
      </c>
      <c r="J90" s="325">
        <f t="shared" ref="J90:J108" ca="1" si="108">L90+O90</f>
        <v>0</v>
      </c>
      <c r="K90" s="585">
        <f t="shared" ref="K90:K108" ca="1" si="109">IF(C90&gt;0,J90*100/C90,0)</f>
        <v>0</v>
      </c>
      <c r="L90" s="325">
        <f ca="1">IFERROR(__xludf.DUMMYFUNCTION("IMPORTRANGE(""https://docs.google.com/spreadsheets/d/1-uDff_7J0KD5mKrp0Vvzr7lt3OU09vwQwhkpOPPYv2Y/edit?usp=sharing"",""งบพรบ!IV90"")"),0)</f>
        <v>0</v>
      </c>
      <c r="M90" s="326">
        <f t="shared" ref="M90:M108" ca="1" si="110">IF(D90&gt;0,L90*100/D90,0)</f>
        <v>0</v>
      </c>
      <c r="N90" s="326">
        <f t="shared" ref="N90:N108" ca="1" si="111">IF(H90&gt;0,L90*100/H90,0)</f>
        <v>0</v>
      </c>
      <c r="O90" s="563">
        <f ca="1">IFERROR(__xludf.DUMMYFUNCTION("IMPORTRANGE(""https://docs.google.com/spreadsheets/d/1-uDff_7J0KD5mKrp0Vvzr7lt3OU09vwQwhkpOPPYv2Y/edit?usp=sharing"",""งบพรบ!IW90"")"),0)</f>
        <v>0</v>
      </c>
      <c r="P90" s="563">
        <f t="shared" ref="P90:P108" ca="1" si="112">IF(G90&gt;0,O90*100/G90,0)</f>
        <v>0</v>
      </c>
      <c r="Q90" s="326">
        <f t="shared" ref="Q90:Q108" ca="1" si="113">IF(I90&gt;0,O90*100/I90,0)</f>
        <v>0</v>
      </c>
      <c r="R90" s="563">
        <v>0</v>
      </c>
      <c r="S90" s="563">
        <v>0</v>
      </c>
      <c r="T90" s="563">
        <v>0</v>
      </c>
      <c r="U90" s="326">
        <f t="shared" si="53"/>
        <v>0</v>
      </c>
      <c r="V90" s="326">
        <f t="shared" si="54"/>
        <v>0</v>
      </c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I90" s="260"/>
      <c r="BJ90" s="260"/>
      <c r="BK90" s="260"/>
      <c r="BL90" s="260"/>
      <c r="BM90" s="260"/>
      <c r="BN90" s="260"/>
      <c r="BO90" s="260"/>
      <c r="BP90" s="260"/>
      <c r="BQ90" s="260"/>
      <c r="BR90" s="260"/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  <c r="CC90" s="260"/>
      <c r="CD90" s="260"/>
      <c r="CE90" s="260"/>
      <c r="CF90" s="260"/>
      <c r="CG90" s="260"/>
      <c r="CH90" s="260"/>
      <c r="CI90" s="260"/>
      <c r="CJ90" s="260"/>
      <c r="CK90" s="260"/>
      <c r="CL90" s="260"/>
      <c r="CM90" s="260"/>
      <c r="CN90" s="260"/>
      <c r="CO90" s="260"/>
      <c r="CP90" s="260"/>
      <c r="CQ90" s="260"/>
      <c r="CR90" s="260"/>
      <c r="CS90" s="260"/>
      <c r="CT90" s="260"/>
      <c r="CU90" s="260"/>
      <c r="CV90" s="260"/>
      <c r="CW90" s="260"/>
      <c r="CX90" s="260"/>
      <c r="CY90" s="260"/>
      <c r="CZ90" s="260"/>
      <c r="DA90" s="260"/>
      <c r="DB90" s="260"/>
      <c r="DC90" s="260"/>
      <c r="DD90" s="260"/>
      <c r="DE90" s="260"/>
      <c r="DF90" s="260"/>
    </row>
    <row r="91" spans="1:110" ht="19.5" x14ac:dyDescent="0.3">
      <c r="A91" s="257"/>
      <c r="B91" s="258" t="s">
        <v>119</v>
      </c>
      <c r="C91" s="566">
        <f t="shared" ca="1" si="106"/>
        <v>0</v>
      </c>
      <c r="D91" s="567">
        <f t="shared" ca="1" si="107"/>
        <v>0</v>
      </c>
      <c r="E91" s="329">
        <f ca="1">IFERROR(__xludf.DUMMYFUNCTION("IMPORTRANGE(""https://docs.google.com/spreadsheets/d/1-uDff_7J0KD5mKrp0Vvzr7lt3OU09vwQwhkpOPPYv2Y/edit?usp=sharing"",""งบพรบ!IP91"")"),0)</f>
        <v>0</v>
      </c>
      <c r="F91" s="329">
        <f ca="1">IFERROR(__xludf.DUMMYFUNCTION("IMPORTRANGE(""https://docs.google.com/spreadsheets/d/1-uDff_7J0KD5mKrp0Vvzr7lt3OU09vwQwhkpOPPYv2Y/edit?usp=sharing"",""งบพรบ!IQ91"")"),0)</f>
        <v>0</v>
      </c>
      <c r="G91" s="329">
        <f ca="1">IFERROR(__xludf.DUMMYFUNCTION("IMPORTRANGE(""https://docs.google.com/spreadsheets/d/1-uDff_7J0KD5mKrp0Vvzr7lt3OU09vwQwhkpOPPYv2Y/edit?usp=sharing"",""งบพรบ!IR91"")"),0)</f>
        <v>0</v>
      </c>
      <c r="H91" s="329">
        <f ca="1">IFERROR(__xludf.DUMMYFUNCTION("IMPORTRANGE(""https://docs.google.com/spreadsheets/d/1-uDff_7J0KD5mKrp0Vvzr7lt3OU09vwQwhkpOPPYv2Y/edit?usp=sharing"",""งบพรบ!IT91"")"),0)</f>
        <v>0</v>
      </c>
      <c r="I91" s="329">
        <f ca="1">IFERROR(__xludf.DUMMYFUNCTION("IMPORTRANGE(""https://docs.google.com/spreadsheets/d/1-uDff_7J0KD5mKrp0Vvzr7lt3OU09vwQwhkpOPPYv2Y/edit?usp=sharing"",""งบพรบ!IU91"")"),0)</f>
        <v>0</v>
      </c>
      <c r="J91" s="329">
        <f t="shared" ca="1" si="108"/>
        <v>0</v>
      </c>
      <c r="K91" s="568">
        <f t="shared" ca="1" si="109"/>
        <v>0</v>
      </c>
      <c r="L91" s="329">
        <f ca="1">IFERROR(__xludf.DUMMYFUNCTION("IMPORTRANGE(""https://docs.google.com/spreadsheets/d/1-uDff_7J0KD5mKrp0Vvzr7lt3OU09vwQwhkpOPPYv2Y/edit?usp=sharing"",""งบพรบ!IV91"")"),0)</f>
        <v>0</v>
      </c>
      <c r="M91" s="330">
        <f t="shared" ca="1" si="110"/>
        <v>0</v>
      </c>
      <c r="N91" s="330">
        <f t="shared" ca="1" si="111"/>
        <v>0</v>
      </c>
      <c r="O91" s="569">
        <f ca="1">IFERROR(__xludf.DUMMYFUNCTION("IMPORTRANGE(""https://docs.google.com/spreadsheets/d/1-uDff_7J0KD5mKrp0Vvzr7lt3OU09vwQwhkpOPPYv2Y/edit?usp=sharing"",""งบพรบ!IW91"")"),0)</f>
        <v>0</v>
      </c>
      <c r="P91" s="569">
        <f t="shared" ca="1" si="112"/>
        <v>0</v>
      </c>
      <c r="Q91" s="330">
        <f t="shared" ca="1" si="113"/>
        <v>0</v>
      </c>
      <c r="R91" s="569">
        <v>0</v>
      </c>
      <c r="S91" s="569">
        <v>0</v>
      </c>
      <c r="T91" s="569">
        <v>0</v>
      </c>
      <c r="U91" s="330">
        <f t="shared" si="53"/>
        <v>0</v>
      </c>
      <c r="V91" s="330">
        <f t="shared" si="54"/>
        <v>0</v>
      </c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260"/>
      <c r="BO91" s="260"/>
      <c r="BP91" s="260"/>
      <c r="BQ91" s="260"/>
      <c r="BR91" s="260"/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  <c r="CC91" s="260"/>
      <c r="CD91" s="260"/>
      <c r="CE91" s="260"/>
      <c r="CF91" s="260"/>
      <c r="CG91" s="260"/>
      <c r="CH91" s="260"/>
      <c r="CI91" s="260"/>
      <c r="CJ91" s="260"/>
      <c r="CK91" s="260"/>
      <c r="CL91" s="260"/>
      <c r="CM91" s="260"/>
      <c r="CN91" s="260"/>
      <c r="CO91" s="260"/>
      <c r="CP91" s="260"/>
      <c r="CQ91" s="260"/>
      <c r="CR91" s="260"/>
      <c r="CS91" s="260"/>
      <c r="CT91" s="260"/>
      <c r="CU91" s="260"/>
      <c r="CV91" s="260"/>
      <c r="CW91" s="260"/>
      <c r="CX91" s="260"/>
      <c r="CY91" s="260"/>
      <c r="CZ91" s="260"/>
      <c r="DA91" s="260"/>
      <c r="DB91" s="260"/>
      <c r="DC91" s="260"/>
      <c r="DD91" s="260"/>
      <c r="DE91" s="260"/>
      <c r="DF91" s="260"/>
    </row>
    <row r="92" spans="1:110" ht="19.5" x14ac:dyDescent="0.3">
      <c r="A92" s="257"/>
      <c r="B92" s="258" t="s">
        <v>120</v>
      </c>
      <c r="C92" s="566">
        <f t="shared" ca="1" si="106"/>
        <v>0</v>
      </c>
      <c r="D92" s="567">
        <f t="shared" ca="1" si="107"/>
        <v>0</v>
      </c>
      <c r="E92" s="329">
        <f ca="1">IFERROR(__xludf.DUMMYFUNCTION("IMPORTRANGE(""https://docs.google.com/spreadsheets/d/1-uDff_7J0KD5mKrp0Vvzr7lt3OU09vwQwhkpOPPYv2Y/edit?usp=sharing"",""งบพรบ!IP92"")"),0)</f>
        <v>0</v>
      </c>
      <c r="F92" s="329">
        <f ca="1">IFERROR(__xludf.DUMMYFUNCTION("IMPORTRANGE(""https://docs.google.com/spreadsheets/d/1-uDff_7J0KD5mKrp0Vvzr7lt3OU09vwQwhkpOPPYv2Y/edit?usp=sharing"",""งบพรบ!IQ92"")"),0)</f>
        <v>0</v>
      </c>
      <c r="G92" s="329">
        <f ca="1">IFERROR(__xludf.DUMMYFUNCTION("IMPORTRANGE(""https://docs.google.com/spreadsheets/d/1-uDff_7J0KD5mKrp0Vvzr7lt3OU09vwQwhkpOPPYv2Y/edit?usp=sharing"",""งบพรบ!IR92"")"),0)</f>
        <v>0</v>
      </c>
      <c r="H92" s="329">
        <f ca="1">IFERROR(__xludf.DUMMYFUNCTION("IMPORTRANGE(""https://docs.google.com/spreadsheets/d/1-uDff_7J0KD5mKrp0Vvzr7lt3OU09vwQwhkpOPPYv2Y/edit?usp=sharing"",""งบพรบ!IT92"")"),158100)</f>
        <v>158100</v>
      </c>
      <c r="I92" s="329">
        <f ca="1">IFERROR(__xludf.DUMMYFUNCTION("IMPORTRANGE(""https://docs.google.com/spreadsheets/d/1-uDff_7J0KD5mKrp0Vvzr7lt3OU09vwQwhkpOPPYv2Y/edit?usp=sharing"",""งบพรบ!IU92"")"),0)</f>
        <v>0</v>
      </c>
      <c r="J92" s="329">
        <f t="shared" ca="1" si="108"/>
        <v>48700</v>
      </c>
      <c r="K92" s="568">
        <f t="shared" ca="1" si="109"/>
        <v>0</v>
      </c>
      <c r="L92" s="329">
        <f ca="1">IFERROR(__xludf.DUMMYFUNCTION("IMPORTRANGE(""https://docs.google.com/spreadsheets/d/1-uDff_7J0KD5mKrp0Vvzr7lt3OU09vwQwhkpOPPYv2Y/edit?usp=sharing"",""งบพรบ!IV92"")"),48700)</f>
        <v>48700</v>
      </c>
      <c r="M92" s="330">
        <f t="shared" ca="1" si="110"/>
        <v>0</v>
      </c>
      <c r="N92" s="330">
        <f t="shared" ca="1" si="111"/>
        <v>30.803289057558509</v>
      </c>
      <c r="O92" s="569">
        <f ca="1">IFERROR(__xludf.DUMMYFUNCTION("IMPORTRANGE(""https://docs.google.com/spreadsheets/d/1-uDff_7J0KD5mKrp0Vvzr7lt3OU09vwQwhkpOPPYv2Y/edit?usp=sharing"",""งบพรบ!IW92"")"),0)</f>
        <v>0</v>
      </c>
      <c r="P92" s="569">
        <f t="shared" ca="1" si="112"/>
        <v>0</v>
      </c>
      <c r="Q92" s="330">
        <f t="shared" ca="1" si="113"/>
        <v>0</v>
      </c>
      <c r="R92" s="569">
        <v>0</v>
      </c>
      <c r="S92" s="569">
        <v>0</v>
      </c>
      <c r="T92" s="569">
        <v>0</v>
      </c>
      <c r="U92" s="330">
        <f t="shared" si="53"/>
        <v>0</v>
      </c>
      <c r="V92" s="330">
        <f t="shared" si="54"/>
        <v>0</v>
      </c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  <c r="CC92" s="260"/>
      <c r="CD92" s="260"/>
      <c r="CE92" s="260"/>
      <c r="CF92" s="260"/>
      <c r="CG92" s="260"/>
      <c r="CH92" s="260"/>
      <c r="CI92" s="260"/>
      <c r="CJ92" s="260"/>
      <c r="CK92" s="260"/>
      <c r="CL92" s="260"/>
      <c r="CM92" s="260"/>
      <c r="CN92" s="260"/>
      <c r="CO92" s="260"/>
      <c r="CP92" s="260"/>
      <c r="CQ92" s="260"/>
      <c r="CR92" s="260"/>
      <c r="CS92" s="260"/>
      <c r="CT92" s="260"/>
      <c r="CU92" s="260"/>
      <c r="CV92" s="260"/>
      <c r="CW92" s="260"/>
      <c r="CX92" s="260"/>
      <c r="CY92" s="260"/>
      <c r="CZ92" s="260"/>
      <c r="DA92" s="260"/>
      <c r="DB92" s="260"/>
      <c r="DC92" s="260"/>
      <c r="DD92" s="260"/>
      <c r="DE92" s="260"/>
      <c r="DF92" s="260"/>
    </row>
    <row r="93" spans="1:110" ht="19.5" x14ac:dyDescent="0.3">
      <c r="A93" s="257"/>
      <c r="B93" s="258" t="s">
        <v>121</v>
      </c>
      <c r="C93" s="566">
        <f t="shared" ca="1" si="106"/>
        <v>0</v>
      </c>
      <c r="D93" s="567">
        <f t="shared" ca="1" si="107"/>
        <v>0</v>
      </c>
      <c r="E93" s="329">
        <f ca="1">IFERROR(__xludf.DUMMYFUNCTION("IMPORTRANGE(""https://docs.google.com/spreadsheets/d/1-uDff_7J0KD5mKrp0Vvzr7lt3OU09vwQwhkpOPPYv2Y/edit?usp=sharing"",""งบพรบ!IP93"")"),0)</f>
        <v>0</v>
      </c>
      <c r="F93" s="329">
        <f ca="1">IFERROR(__xludf.DUMMYFUNCTION("IMPORTRANGE(""https://docs.google.com/spreadsheets/d/1-uDff_7J0KD5mKrp0Vvzr7lt3OU09vwQwhkpOPPYv2Y/edit?usp=sharing"",""งบพรบ!IQ93"")"),0)</f>
        <v>0</v>
      </c>
      <c r="G93" s="329">
        <f ca="1">IFERROR(__xludf.DUMMYFUNCTION("IMPORTRANGE(""https://docs.google.com/spreadsheets/d/1-uDff_7J0KD5mKrp0Vvzr7lt3OU09vwQwhkpOPPYv2Y/edit?usp=sharing"",""งบพรบ!IR93"")"),0)</f>
        <v>0</v>
      </c>
      <c r="H93" s="329">
        <f ca="1">IFERROR(__xludf.DUMMYFUNCTION("IMPORTRANGE(""https://docs.google.com/spreadsheets/d/1-uDff_7J0KD5mKrp0Vvzr7lt3OU09vwQwhkpOPPYv2Y/edit?usp=sharing"",""งบพรบ!IT93"")"),2679300)</f>
        <v>2679300</v>
      </c>
      <c r="I93" s="329">
        <f ca="1">IFERROR(__xludf.DUMMYFUNCTION("IMPORTRANGE(""https://docs.google.com/spreadsheets/d/1-uDff_7J0KD5mKrp0Vvzr7lt3OU09vwQwhkpOPPYv2Y/edit?usp=sharing"",""งบพรบ!IU93"")"),0)</f>
        <v>0</v>
      </c>
      <c r="J93" s="329">
        <f t="shared" ca="1" si="108"/>
        <v>2617166</v>
      </c>
      <c r="K93" s="568">
        <f t="shared" ca="1" si="109"/>
        <v>0</v>
      </c>
      <c r="L93" s="329">
        <f ca="1">IFERROR(__xludf.DUMMYFUNCTION("IMPORTRANGE(""https://docs.google.com/spreadsheets/d/1-uDff_7J0KD5mKrp0Vvzr7lt3OU09vwQwhkpOPPYv2Y/edit?usp=sharing"",""งบพรบ!IV93"")"),2617166)</f>
        <v>2617166</v>
      </c>
      <c r="M93" s="330">
        <f t="shared" ca="1" si="110"/>
        <v>0</v>
      </c>
      <c r="N93" s="330">
        <f t="shared" ca="1" si="111"/>
        <v>97.680961445153585</v>
      </c>
      <c r="O93" s="569">
        <f ca="1">IFERROR(__xludf.DUMMYFUNCTION("IMPORTRANGE(""https://docs.google.com/spreadsheets/d/1-uDff_7J0KD5mKrp0Vvzr7lt3OU09vwQwhkpOPPYv2Y/edit?usp=sharing"",""งบพรบ!IW93"")"),0)</f>
        <v>0</v>
      </c>
      <c r="P93" s="569">
        <f t="shared" ca="1" si="112"/>
        <v>0</v>
      </c>
      <c r="Q93" s="330">
        <f t="shared" ca="1" si="113"/>
        <v>0</v>
      </c>
      <c r="R93" s="569">
        <v>0</v>
      </c>
      <c r="S93" s="569">
        <v>0</v>
      </c>
      <c r="T93" s="569">
        <v>0</v>
      </c>
      <c r="U93" s="330">
        <f t="shared" si="53"/>
        <v>0</v>
      </c>
      <c r="V93" s="330">
        <f t="shared" si="54"/>
        <v>0</v>
      </c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  <c r="BR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  <c r="CC93" s="260"/>
      <c r="CD93" s="260"/>
      <c r="CE93" s="260"/>
      <c r="CF93" s="260"/>
      <c r="CG93" s="260"/>
      <c r="CH93" s="260"/>
      <c r="CI93" s="260"/>
      <c r="CJ93" s="260"/>
      <c r="CK93" s="260"/>
      <c r="CL93" s="260"/>
      <c r="CM93" s="260"/>
      <c r="CN93" s="260"/>
      <c r="CO93" s="260"/>
      <c r="CP93" s="260"/>
      <c r="CQ93" s="260"/>
      <c r="CR93" s="260"/>
      <c r="CS93" s="260"/>
      <c r="CT93" s="260"/>
      <c r="CU93" s="260"/>
      <c r="CV93" s="260"/>
      <c r="CW93" s="260"/>
      <c r="CX93" s="260"/>
      <c r="CY93" s="260"/>
      <c r="CZ93" s="260"/>
      <c r="DA93" s="260"/>
      <c r="DB93" s="260"/>
      <c r="DC93" s="260"/>
      <c r="DD93" s="260"/>
      <c r="DE93" s="260"/>
      <c r="DF93" s="260"/>
    </row>
    <row r="94" spans="1:110" ht="19.5" x14ac:dyDescent="0.3">
      <c r="A94" s="257"/>
      <c r="B94" s="258" t="s">
        <v>122</v>
      </c>
      <c r="C94" s="566">
        <f t="shared" ca="1" si="106"/>
        <v>3088800</v>
      </c>
      <c r="D94" s="567">
        <f t="shared" ca="1" si="107"/>
        <v>3088800</v>
      </c>
      <c r="E94" s="329">
        <f ca="1">IFERROR(__xludf.DUMMYFUNCTION("IMPORTRANGE(""https://docs.google.com/spreadsheets/d/1-uDff_7J0KD5mKrp0Vvzr7lt3OU09vwQwhkpOPPYv2Y/edit?usp=sharing"",""งบพรบ!IP94"")"),208000)</f>
        <v>208000</v>
      </c>
      <c r="F94" s="329">
        <f ca="1">IFERROR(__xludf.DUMMYFUNCTION("IMPORTRANGE(""https://docs.google.com/spreadsheets/d/1-uDff_7J0KD5mKrp0Vvzr7lt3OU09vwQwhkpOPPYv2Y/edit?usp=sharing"",""งบพรบ!IQ94"")"),2880800)</f>
        <v>2880800</v>
      </c>
      <c r="G94" s="329">
        <f ca="1">IFERROR(__xludf.DUMMYFUNCTION("IMPORTRANGE(""https://docs.google.com/spreadsheets/d/1-uDff_7J0KD5mKrp0Vvzr7lt3OU09vwQwhkpOPPYv2Y/edit?usp=sharing"",""งบพรบ!IR94"")"),0)</f>
        <v>0</v>
      </c>
      <c r="H94" s="329">
        <f ca="1">IFERROR(__xludf.DUMMYFUNCTION("IMPORTRANGE(""https://docs.google.com/spreadsheets/d/1-uDff_7J0KD5mKrp0Vvzr7lt3OU09vwQwhkpOPPYv2Y/edit?usp=sharing"",""งบพรบ!IT94"")"),1743407)</f>
        <v>1743407</v>
      </c>
      <c r="I94" s="329">
        <f ca="1">IFERROR(__xludf.DUMMYFUNCTION("IMPORTRANGE(""https://docs.google.com/spreadsheets/d/1-uDff_7J0KD5mKrp0Vvzr7lt3OU09vwQwhkpOPPYv2Y/edit?usp=sharing"",""งบพรบ!IU94"")"),0)</f>
        <v>0</v>
      </c>
      <c r="J94" s="329">
        <f t="shared" ca="1" si="108"/>
        <v>618912.12</v>
      </c>
      <c r="K94" s="568">
        <f t="shared" ca="1" si="109"/>
        <v>20.037299922299923</v>
      </c>
      <c r="L94" s="329">
        <f ca="1">IFERROR(__xludf.DUMMYFUNCTION("IMPORTRANGE(""https://docs.google.com/spreadsheets/d/1-uDff_7J0KD5mKrp0Vvzr7lt3OU09vwQwhkpOPPYv2Y/edit?usp=sharing"",""งบพรบ!IV94"")"),618912.12)</f>
        <v>618912.12</v>
      </c>
      <c r="M94" s="330">
        <f t="shared" ca="1" si="110"/>
        <v>20.037299922299923</v>
      </c>
      <c r="N94" s="330">
        <f t="shared" ca="1" si="111"/>
        <v>35.500151140840892</v>
      </c>
      <c r="O94" s="569">
        <f ca="1">IFERROR(__xludf.DUMMYFUNCTION("IMPORTRANGE(""https://docs.google.com/spreadsheets/d/1-uDff_7J0KD5mKrp0Vvzr7lt3OU09vwQwhkpOPPYv2Y/edit?usp=sharing"",""งบพรบ!IW94"")"),0)</f>
        <v>0</v>
      </c>
      <c r="P94" s="569">
        <f t="shared" ca="1" si="112"/>
        <v>0</v>
      </c>
      <c r="Q94" s="330">
        <f t="shared" ca="1" si="113"/>
        <v>0</v>
      </c>
      <c r="R94" s="569">
        <f ca="1">IFERROR(__xludf.DUMMYFUNCTION("IMPORTRANGE(""https://docs.google.com/spreadsheets/d/1ItG2mGa2ceCfYo0BwxsXqNm01IGEUdYcSSLTEv9YCik/edit?usp=sharing"",""เบิกจ่ายกองทุน!BZ90"")"),266475)</f>
        <v>266475</v>
      </c>
      <c r="S94" s="569">
        <f ca="1">IFERROR(__xludf.DUMMYFUNCTION("IMPORTRANGE(""https://docs.google.com/spreadsheets/d/1ItG2mGa2ceCfYo0BwxsXqNm01IGEUdYcSSLTEv9YCik/edit?usp=sharing"",""เบิกจ่ายกองทุน!CA90"")"),266475)</f>
        <v>266475</v>
      </c>
      <c r="T94" s="569">
        <f ca="1">IFERROR(__xludf.DUMMYFUNCTION("IMPORTRANGE(""https://docs.google.com/spreadsheets/d/1ItG2mGa2ceCfYo0BwxsXqNm01IGEUdYcSSLTEv9YCik/edit?usp=sharing"",""เบิกจ่ายกองทุน!CB90"")"),94266)</f>
        <v>94266</v>
      </c>
      <c r="U94" s="330">
        <f t="shared" ca="1" si="53"/>
        <v>35.375175907683648</v>
      </c>
      <c r="V94" s="330">
        <f t="shared" ca="1" si="54"/>
        <v>35.375175907683648</v>
      </c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  <c r="BR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  <c r="CC94" s="260"/>
      <c r="CD94" s="260"/>
      <c r="CE94" s="260"/>
      <c r="CF94" s="260"/>
      <c r="CG94" s="260"/>
      <c r="CH94" s="260"/>
      <c r="CI94" s="260"/>
      <c r="CJ94" s="260"/>
      <c r="CK94" s="260"/>
      <c r="CL94" s="260"/>
      <c r="CM94" s="260"/>
      <c r="CN94" s="260"/>
      <c r="CO94" s="260"/>
      <c r="CP94" s="260"/>
      <c r="CQ94" s="260"/>
      <c r="CR94" s="260"/>
      <c r="CS94" s="260"/>
      <c r="CT94" s="260"/>
      <c r="CU94" s="260"/>
      <c r="CV94" s="260"/>
      <c r="CW94" s="260"/>
      <c r="CX94" s="260"/>
      <c r="CY94" s="260"/>
      <c r="CZ94" s="260"/>
      <c r="DA94" s="260"/>
      <c r="DB94" s="260"/>
      <c r="DC94" s="260"/>
      <c r="DD94" s="260"/>
      <c r="DE94" s="260"/>
      <c r="DF94" s="260"/>
    </row>
    <row r="95" spans="1:110" ht="19.5" x14ac:dyDescent="0.3">
      <c r="A95" s="257"/>
      <c r="B95" s="258" t="s">
        <v>123</v>
      </c>
      <c r="C95" s="566">
        <f t="shared" ca="1" si="106"/>
        <v>0</v>
      </c>
      <c r="D95" s="567">
        <f t="shared" ca="1" si="107"/>
        <v>0</v>
      </c>
      <c r="E95" s="329">
        <f ca="1">IFERROR(__xludf.DUMMYFUNCTION("IMPORTRANGE(""https://docs.google.com/spreadsheets/d/1-uDff_7J0KD5mKrp0Vvzr7lt3OU09vwQwhkpOPPYv2Y/edit?usp=sharing"",""งบพรบ!IP95"")"),0)</f>
        <v>0</v>
      </c>
      <c r="F95" s="329">
        <f ca="1">IFERROR(__xludf.DUMMYFUNCTION("IMPORTRANGE(""https://docs.google.com/spreadsheets/d/1-uDff_7J0KD5mKrp0Vvzr7lt3OU09vwQwhkpOPPYv2Y/edit?usp=sharing"",""งบพรบ!IQ95"")"),0)</f>
        <v>0</v>
      </c>
      <c r="G95" s="329">
        <f ca="1">IFERROR(__xludf.DUMMYFUNCTION("IMPORTRANGE(""https://docs.google.com/spreadsheets/d/1-uDff_7J0KD5mKrp0Vvzr7lt3OU09vwQwhkpOPPYv2Y/edit?usp=sharing"",""งบพรบ!IR95"")"),0)</f>
        <v>0</v>
      </c>
      <c r="H95" s="329">
        <f ca="1">IFERROR(__xludf.DUMMYFUNCTION("IMPORTRANGE(""https://docs.google.com/spreadsheets/d/1-uDff_7J0KD5mKrp0Vvzr7lt3OU09vwQwhkpOPPYv2Y/edit?usp=sharing"",""งบพรบ!IT95"")"),0)</f>
        <v>0</v>
      </c>
      <c r="I95" s="329">
        <f ca="1">IFERROR(__xludf.DUMMYFUNCTION("IMPORTRANGE(""https://docs.google.com/spreadsheets/d/1-uDff_7J0KD5mKrp0Vvzr7lt3OU09vwQwhkpOPPYv2Y/edit?usp=sharing"",""งบพรบ!IU95"")"),0)</f>
        <v>0</v>
      </c>
      <c r="J95" s="329">
        <f t="shared" ca="1" si="108"/>
        <v>0</v>
      </c>
      <c r="K95" s="568">
        <f t="shared" ca="1" si="109"/>
        <v>0</v>
      </c>
      <c r="L95" s="329">
        <f ca="1">IFERROR(__xludf.DUMMYFUNCTION("IMPORTRANGE(""https://docs.google.com/spreadsheets/d/1-uDff_7J0KD5mKrp0Vvzr7lt3OU09vwQwhkpOPPYv2Y/edit?usp=sharing"",""งบพรบ!IV95"")"),0)</f>
        <v>0</v>
      </c>
      <c r="M95" s="330">
        <f t="shared" ca="1" si="110"/>
        <v>0</v>
      </c>
      <c r="N95" s="330">
        <f t="shared" ca="1" si="111"/>
        <v>0</v>
      </c>
      <c r="O95" s="569">
        <f ca="1">IFERROR(__xludf.DUMMYFUNCTION("IMPORTRANGE(""https://docs.google.com/spreadsheets/d/1-uDff_7J0KD5mKrp0Vvzr7lt3OU09vwQwhkpOPPYv2Y/edit?usp=sharing"",""งบพรบ!IW95"")"),0)</f>
        <v>0</v>
      </c>
      <c r="P95" s="569">
        <f t="shared" ca="1" si="112"/>
        <v>0</v>
      </c>
      <c r="Q95" s="330">
        <f t="shared" ca="1" si="113"/>
        <v>0</v>
      </c>
      <c r="R95" s="569">
        <v>0</v>
      </c>
      <c r="S95" s="569">
        <v>0</v>
      </c>
      <c r="T95" s="569">
        <v>0</v>
      </c>
      <c r="U95" s="330">
        <f t="shared" si="53"/>
        <v>0</v>
      </c>
      <c r="V95" s="330">
        <f t="shared" si="54"/>
        <v>0</v>
      </c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60"/>
      <c r="BR95" s="260"/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  <c r="CC95" s="260"/>
      <c r="CD95" s="260"/>
      <c r="CE95" s="260"/>
      <c r="CF95" s="260"/>
      <c r="CG95" s="260"/>
      <c r="CH95" s="260"/>
      <c r="CI95" s="260"/>
      <c r="CJ95" s="260"/>
      <c r="CK95" s="260"/>
      <c r="CL95" s="260"/>
      <c r="CM95" s="260"/>
      <c r="CN95" s="260"/>
      <c r="CO95" s="260"/>
      <c r="CP95" s="260"/>
      <c r="CQ95" s="260"/>
      <c r="CR95" s="260"/>
      <c r="CS95" s="260"/>
      <c r="CT95" s="260"/>
      <c r="CU95" s="260"/>
      <c r="CV95" s="260"/>
      <c r="CW95" s="260"/>
      <c r="CX95" s="260"/>
      <c r="CY95" s="260"/>
      <c r="CZ95" s="260"/>
      <c r="DA95" s="260"/>
      <c r="DB95" s="260"/>
      <c r="DC95" s="260"/>
      <c r="DD95" s="260"/>
      <c r="DE95" s="260"/>
      <c r="DF95" s="260"/>
    </row>
    <row r="96" spans="1:110" ht="19.5" x14ac:dyDescent="0.3">
      <c r="A96" s="257"/>
      <c r="B96" s="258" t="s">
        <v>124</v>
      </c>
      <c r="C96" s="566">
        <f t="shared" ca="1" si="106"/>
        <v>1060970</v>
      </c>
      <c r="D96" s="567">
        <f t="shared" ca="1" si="107"/>
        <v>1060970</v>
      </c>
      <c r="E96" s="329">
        <f ca="1">IFERROR(__xludf.DUMMYFUNCTION("IMPORTRANGE(""https://docs.google.com/spreadsheets/d/1-uDff_7J0KD5mKrp0Vvzr7lt3OU09vwQwhkpOPPYv2Y/edit?usp=sharing"",""งบพรบ!IP96"")"),436000)</f>
        <v>436000</v>
      </c>
      <c r="F96" s="329">
        <f ca="1">IFERROR(__xludf.DUMMYFUNCTION("IMPORTRANGE(""https://docs.google.com/spreadsheets/d/1-uDff_7J0KD5mKrp0Vvzr7lt3OU09vwQwhkpOPPYv2Y/edit?usp=sharing"",""งบพรบ!IQ96"")"),624970)</f>
        <v>624970</v>
      </c>
      <c r="G96" s="329">
        <f ca="1">IFERROR(__xludf.DUMMYFUNCTION("IMPORTRANGE(""https://docs.google.com/spreadsheets/d/1-uDff_7J0KD5mKrp0Vvzr7lt3OU09vwQwhkpOPPYv2Y/edit?usp=sharing"",""งบพรบ!IR96"")"),0)</f>
        <v>0</v>
      </c>
      <c r="H96" s="329">
        <f ca="1">IFERROR(__xludf.DUMMYFUNCTION("IMPORTRANGE(""https://docs.google.com/spreadsheets/d/1-uDff_7J0KD5mKrp0Vvzr7lt3OU09vwQwhkpOPPYv2Y/edit?usp=sharing"",""งบพรบ!IT96"")"),1060970)</f>
        <v>1060970</v>
      </c>
      <c r="I96" s="329">
        <f ca="1">IFERROR(__xludf.DUMMYFUNCTION("IMPORTRANGE(""https://docs.google.com/spreadsheets/d/1-uDff_7J0KD5mKrp0Vvzr7lt3OU09vwQwhkpOPPYv2Y/edit?usp=sharing"",""งบพรบ!IU96"")"),0)</f>
        <v>0</v>
      </c>
      <c r="J96" s="329">
        <f t="shared" ca="1" si="108"/>
        <v>300970.90999999997</v>
      </c>
      <c r="K96" s="568">
        <f t="shared" ca="1" si="109"/>
        <v>28.367523115639457</v>
      </c>
      <c r="L96" s="329">
        <f ca="1">IFERROR(__xludf.DUMMYFUNCTION("IMPORTRANGE(""https://docs.google.com/spreadsheets/d/1-uDff_7J0KD5mKrp0Vvzr7lt3OU09vwQwhkpOPPYv2Y/edit?usp=sharing"",""งบพรบ!IV96"")"),300970.91)</f>
        <v>300970.90999999997</v>
      </c>
      <c r="M96" s="330">
        <f t="shared" ca="1" si="110"/>
        <v>28.367523115639457</v>
      </c>
      <c r="N96" s="330">
        <f t="shared" ca="1" si="111"/>
        <v>28.367523115639457</v>
      </c>
      <c r="O96" s="569">
        <f ca="1">IFERROR(__xludf.DUMMYFUNCTION("IMPORTRANGE(""https://docs.google.com/spreadsheets/d/1-uDff_7J0KD5mKrp0Vvzr7lt3OU09vwQwhkpOPPYv2Y/edit?usp=sharing"",""งบพรบ!IW96"")"),0)</f>
        <v>0</v>
      </c>
      <c r="P96" s="569">
        <f t="shared" ca="1" si="112"/>
        <v>0</v>
      </c>
      <c r="Q96" s="330">
        <f t="shared" ca="1" si="113"/>
        <v>0</v>
      </c>
      <c r="R96" s="569">
        <f ca="1">IFERROR(__xludf.DUMMYFUNCTION("IMPORTRANGE(""https://docs.google.com/spreadsheets/d/1ItG2mGa2ceCfYo0BwxsXqNm01IGEUdYcSSLTEv9YCik/edit?usp=sharing"",""เบิกจ่ายกองทุน!BZ91"")"),172235)</f>
        <v>172235</v>
      </c>
      <c r="S96" s="569">
        <f ca="1">IFERROR(__xludf.DUMMYFUNCTION("IMPORTRANGE(""https://docs.google.com/spreadsheets/d/1ItG2mGa2ceCfYo0BwxsXqNm01IGEUdYcSSLTEv9YCik/edit?usp=sharing"",""เบิกจ่ายกองทุน!CA91"")"),172235)</f>
        <v>172235</v>
      </c>
      <c r="T96" s="569">
        <f ca="1">IFERROR(__xludf.DUMMYFUNCTION("IMPORTRANGE(""https://docs.google.com/spreadsheets/d/1ItG2mGa2ceCfYo0BwxsXqNm01IGEUdYcSSLTEv9YCik/edit?usp=sharing"",""เบิกจ่ายกองทุน!CB91"")"),0)</f>
        <v>0</v>
      </c>
      <c r="U96" s="330">
        <f t="shared" ca="1" si="53"/>
        <v>0</v>
      </c>
      <c r="V96" s="330">
        <f t="shared" ca="1" si="54"/>
        <v>0</v>
      </c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60"/>
      <c r="BR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  <c r="CC96" s="260"/>
      <c r="CD96" s="260"/>
      <c r="CE96" s="260"/>
      <c r="CF96" s="260"/>
      <c r="CG96" s="260"/>
      <c r="CH96" s="260"/>
      <c r="CI96" s="260"/>
      <c r="CJ96" s="260"/>
      <c r="CK96" s="260"/>
      <c r="CL96" s="260"/>
      <c r="CM96" s="260"/>
      <c r="CN96" s="260"/>
      <c r="CO96" s="260"/>
      <c r="CP96" s="260"/>
      <c r="CQ96" s="260"/>
      <c r="CR96" s="260"/>
      <c r="CS96" s="260"/>
      <c r="CT96" s="260"/>
      <c r="CU96" s="260"/>
      <c r="CV96" s="260"/>
      <c r="CW96" s="260"/>
      <c r="CX96" s="260"/>
      <c r="CY96" s="260"/>
      <c r="CZ96" s="260"/>
      <c r="DA96" s="260"/>
      <c r="DB96" s="260"/>
      <c r="DC96" s="260"/>
      <c r="DD96" s="260"/>
      <c r="DE96" s="260"/>
      <c r="DF96" s="260"/>
    </row>
    <row r="97" spans="1:110" ht="19.5" x14ac:dyDescent="0.3">
      <c r="A97" s="257"/>
      <c r="B97" s="258" t="s">
        <v>125</v>
      </c>
      <c r="C97" s="566">
        <f t="shared" ca="1" si="106"/>
        <v>0</v>
      </c>
      <c r="D97" s="567">
        <f t="shared" ca="1" si="107"/>
        <v>0</v>
      </c>
      <c r="E97" s="329">
        <f ca="1">IFERROR(__xludf.DUMMYFUNCTION("IMPORTRANGE(""https://docs.google.com/spreadsheets/d/1-uDff_7J0KD5mKrp0Vvzr7lt3OU09vwQwhkpOPPYv2Y/edit?usp=sharing"",""งบพรบ!IP97"")"),0)</f>
        <v>0</v>
      </c>
      <c r="F97" s="329">
        <f ca="1">IFERROR(__xludf.DUMMYFUNCTION("IMPORTRANGE(""https://docs.google.com/spreadsheets/d/1-uDff_7J0KD5mKrp0Vvzr7lt3OU09vwQwhkpOPPYv2Y/edit?usp=sharing"",""งบพรบ!IQ97"")"),0)</f>
        <v>0</v>
      </c>
      <c r="G97" s="329">
        <f ca="1">IFERROR(__xludf.DUMMYFUNCTION("IMPORTRANGE(""https://docs.google.com/spreadsheets/d/1-uDff_7J0KD5mKrp0Vvzr7lt3OU09vwQwhkpOPPYv2Y/edit?usp=sharing"",""งบพรบ!IR97"")"),0)</f>
        <v>0</v>
      </c>
      <c r="H97" s="329">
        <f ca="1">IFERROR(__xludf.DUMMYFUNCTION("IMPORTRANGE(""https://docs.google.com/spreadsheets/d/1-uDff_7J0KD5mKrp0Vvzr7lt3OU09vwQwhkpOPPYv2Y/edit?usp=sharing"",""งบพรบ!IT97"")"),0)</f>
        <v>0</v>
      </c>
      <c r="I97" s="329">
        <f ca="1">IFERROR(__xludf.DUMMYFUNCTION("IMPORTRANGE(""https://docs.google.com/spreadsheets/d/1-uDff_7J0KD5mKrp0Vvzr7lt3OU09vwQwhkpOPPYv2Y/edit?usp=sharing"",""งบพรบ!IU97"")"),0)</f>
        <v>0</v>
      </c>
      <c r="J97" s="329">
        <f t="shared" ca="1" si="108"/>
        <v>0</v>
      </c>
      <c r="K97" s="568">
        <f t="shared" ca="1" si="109"/>
        <v>0</v>
      </c>
      <c r="L97" s="329">
        <f ca="1">IFERROR(__xludf.DUMMYFUNCTION("IMPORTRANGE(""https://docs.google.com/spreadsheets/d/1-uDff_7J0KD5mKrp0Vvzr7lt3OU09vwQwhkpOPPYv2Y/edit?usp=sharing"",""งบพรบ!IV97"")"),0)</f>
        <v>0</v>
      </c>
      <c r="M97" s="330">
        <f t="shared" ca="1" si="110"/>
        <v>0</v>
      </c>
      <c r="N97" s="330">
        <f t="shared" ca="1" si="111"/>
        <v>0</v>
      </c>
      <c r="O97" s="569">
        <f ca="1">IFERROR(__xludf.DUMMYFUNCTION("IMPORTRANGE(""https://docs.google.com/spreadsheets/d/1-uDff_7J0KD5mKrp0Vvzr7lt3OU09vwQwhkpOPPYv2Y/edit?usp=sharing"",""งบพรบ!IW97"")"),0)</f>
        <v>0</v>
      </c>
      <c r="P97" s="569">
        <f t="shared" ca="1" si="112"/>
        <v>0</v>
      </c>
      <c r="Q97" s="330">
        <f t="shared" ca="1" si="113"/>
        <v>0</v>
      </c>
      <c r="R97" s="569">
        <v>0</v>
      </c>
      <c r="S97" s="569">
        <v>0</v>
      </c>
      <c r="T97" s="569">
        <v>0</v>
      </c>
      <c r="U97" s="330">
        <f t="shared" si="53"/>
        <v>0</v>
      </c>
      <c r="V97" s="330">
        <f t="shared" si="54"/>
        <v>0</v>
      </c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  <c r="CN97" s="260"/>
      <c r="CO97" s="260"/>
      <c r="CP97" s="260"/>
      <c r="CQ97" s="260"/>
      <c r="CR97" s="260"/>
      <c r="CS97" s="260"/>
      <c r="CT97" s="260"/>
      <c r="CU97" s="260"/>
      <c r="CV97" s="260"/>
      <c r="CW97" s="260"/>
      <c r="CX97" s="260"/>
      <c r="CY97" s="260"/>
      <c r="CZ97" s="260"/>
      <c r="DA97" s="260"/>
      <c r="DB97" s="260"/>
      <c r="DC97" s="260"/>
      <c r="DD97" s="260"/>
      <c r="DE97" s="260"/>
      <c r="DF97" s="260"/>
    </row>
    <row r="98" spans="1:110" ht="19.5" x14ac:dyDescent="0.3">
      <c r="A98" s="257"/>
      <c r="B98" s="258" t="s">
        <v>126</v>
      </c>
      <c r="C98" s="566">
        <f t="shared" ca="1" si="106"/>
        <v>230000</v>
      </c>
      <c r="D98" s="567">
        <f t="shared" ca="1" si="107"/>
        <v>230000</v>
      </c>
      <c r="E98" s="329">
        <f ca="1">IFERROR(__xludf.DUMMYFUNCTION("IMPORTRANGE(""https://docs.google.com/spreadsheets/d/1-uDff_7J0KD5mKrp0Vvzr7lt3OU09vwQwhkpOPPYv2Y/edit?usp=sharing"",""งบพรบ!IP98"")"),0)</f>
        <v>0</v>
      </c>
      <c r="F98" s="329">
        <f ca="1">IFERROR(__xludf.DUMMYFUNCTION("IMPORTRANGE(""https://docs.google.com/spreadsheets/d/1-uDff_7J0KD5mKrp0Vvzr7lt3OU09vwQwhkpOPPYv2Y/edit?usp=sharing"",""งบพรบ!IQ98"")"),230000)</f>
        <v>230000</v>
      </c>
      <c r="G98" s="329">
        <f ca="1">IFERROR(__xludf.DUMMYFUNCTION("IMPORTRANGE(""https://docs.google.com/spreadsheets/d/1-uDff_7J0KD5mKrp0Vvzr7lt3OU09vwQwhkpOPPYv2Y/edit?usp=sharing"",""งบพรบ!IR98"")"),0)</f>
        <v>0</v>
      </c>
      <c r="H98" s="329">
        <f ca="1">IFERROR(__xludf.DUMMYFUNCTION("IMPORTRANGE(""https://docs.google.com/spreadsheets/d/1-uDff_7J0KD5mKrp0Vvzr7lt3OU09vwQwhkpOPPYv2Y/edit?usp=sharing"",""งบพรบ!IT98"")"),230000)</f>
        <v>230000</v>
      </c>
      <c r="I98" s="329">
        <f ca="1">IFERROR(__xludf.DUMMYFUNCTION("IMPORTRANGE(""https://docs.google.com/spreadsheets/d/1-uDff_7J0KD5mKrp0Vvzr7lt3OU09vwQwhkpOPPYv2Y/edit?usp=sharing"",""งบพรบ!IU98"")"),0)</f>
        <v>0</v>
      </c>
      <c r="J98" s="329">
        <f t="shared" ca="1" si="108"/>
        <v>32421</v>
      </c>
      <c r="K98" s="568">
        <f t="shared" ca="1" si="109"/>
        <v>14.09608695652174</v>
      </c>
      <c r="L98" s="329">
        <f ca="1">IFERROR(__xludf.DUMMYFUNCTION("IMPORTRANGE(""https://docs.google.com/spreadsheets/d/1-uDff_7J0KD5mKrp0Vvzr7lt3OU09vwQwhkpOPPYv2Y/edit?usp=sharing"",""งบพรบ!IV98"")"),32421)</f>
        <v>32421</v>
      </c>
      <c r="M98" s="330">
        <f t="shared" ca="1" si="110"/>
        <v>14.09608695652174</v>
      </c>
      <c r="N98" s="330">
        <f t="shared" ca="1" si="111"/>
        <v>14.09608695652174</v>
      </c>
      <c r="O98" s="569">
        <f ca="1">IFERROR(__xludf.DUMMYFUNCTION("IMPORTRANGE(""https://docs.google.com/spreadsheets/d/1-uDff_7J0KD5mKrp0Vvzr7lt3OU09vwQwhkpOPPYv2Y/edit?usp=sharing"",""งบพรบ!IW98"")"),0)</f>
        <v>0</v>
      </c>
      <c r="P98" s="569">
        <f t="shared" ca="1" si="112"/>
        <v>0</v>
      </c>
      <c r="Q98" s="330">
        <f t="shared" ca="1" si="113"/>
        <v>0</v>
      </c>
      <c r="R98" s="569">
        <f ca="1">IFERROR(__xludf.DUMMYFUNCTION("IMPORTRANGE(""https://docs.google.com/spreadsheets/d/1ItG2mGa2ceCfYo0BwxsXqNm01IGEUdYcSSLTEv9YCik/edit?usp=sharing"",""เบิกจ่ายกองทุน!BZ94"")"),155975)</f>
        <v>155975</v>
      </c>
      <c r="S98" s="569">
        <f ca="1">IFERROR(__xludf.DUMMYFUNCTION("IMPORTRANGE(""https://docs.google.com/spreadsheets/d/1ItG2mGa2ceCfYo0BwxsXqNm01IGEUdYcSSLTEv9YCik/edit?usp=sharing"",""เบิกจ่ายกองทุน!CA94"")"),155975)</f>
        <v>155975</v>
      </c>
      <c r="T98" s="569">
        <f ca="1">IFERROR(__xludf.DUMMYFUNCTION("IMPORTRANGE(""https://docs.google.com/spreadsheets/d/1ItG2mGa2ceCfYo0BwxsXqNm01IGEUdYcSSLTEv9YCik/edit?usp=sharing"",""เบิกจ่ายกองทุน!CB94"")"),0)</f>
        <v>0</v>
      </c>
      <c r="U98" s="330">
        <f t="shared" ca="1" si="53"/>
        <v>0</v>
      </c>
      <c r="V98" s="330">
        <f t="shared" ca="1" si="54"/>
        <v>0</v>
      </c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  <c r="CN98" s="260"/>
      <c r="CO98" s="260"/>
      <c r="CP98" s="260"/>
      <c r="CQ98" s="260"/>
      <c r="CR98" s="260"/>
      <c r="CS98" s="260"/>
      <c r="CT98" s="260"/>
      <c r="CU98" s="260"/>
      <c r="CV98" s="260"/>
      <c r="CW98" s="260"/>
      <c r="CX98" s="260"/>
      <c r="CY98" s="260"/>
      <c r="CZ98" s="260"/>
      <c r="DA98" s="260"/>
      <c r="DB98" s="260"/>
      <c r="DC98" s="260"/>
      <c r="DD98" s="260"/>
      <c r="DE98" s="260"/>
      <c r="DF98" s="260"/>
    </row>
    <row r="99" spans="1:110" ht="19.5" x14ac:dyDescent="0.3">
      <c r="A99" s="257"/>
      <c r="B99" s="258" t="s">
        <v>127</v>
      </c>
      <c r="C99" s="566">
        <f t="shared" ca="1" si="106"/>
        <v>0</v>
      </c>
      <c r="D99" s="567">
        <f t="shared" ca="1" si="107"/>
        <v>0</v>
      </c>
      <c r="E99" s="329">
        <f ca="1">IFERROR(__xludf.DUMMYFUNCTION("IMPORTRANGE(""https://docs.google.com/spreadsheets/d/1-uDff_7J0KD5mKrp0Vvzr7lt3OU09vwQwhkpOPPYv2Y/edit?usp=sharing"",""งบพรบ!IP99"")"),0)</f>
        <v>0</v>
      </c>
      <c r="F99" s="329">
        <f ca="1">IFERROR(__xludf.DUMMYFUNCTION("IMPORTRANGE(""https://docs.google.com/spreadsheets/d/1-uDff_7J0KD5mKrp0Vvzr7lt3OU09vwQwhkpOPPYv2Y/edit?usp=sharing"",""งบพรบ!IQ99"")"),0)</f>
        <v>0</v>
      </c>
      <c r="G99" s="329">
        <f ca="1">IFERROR(__xludf.DUMMYFUNCTION("IMPORTRANGE(""https://docs.google.com/spreadsheets/d/1-uDff_7J0KD5mKrp0Vvzr7lt3OU09vwQwhkpOPPYv2Y/edit?usp=sharing"",""งบพรบ!IR99"")"),0)</f>
        <v>0</v>
      </c>
      <c r="H99" s="329">
        <f ca="1">IFERROR(__xludf.DUMMYFUNCTION("IMPORTRANGE(""https://docs.google.com/spreadsheets/d/1-uDff_7J0KD5mKrp0Vvzr7lt3OU09vwQwhkpOPPYv2Y/edit?usp=sharing"",""งบพรบ!IT99"")"),0)</f>
        <v>0</v>
      </c>
      <c r="I99" s="329">
        <f ca="1">IFERROR(__xludf.DUMMYFUNCTION("IMPORTRANGE(""https://docs.google.com/spreadsheets/d/1-uDff_7J0KD5mKrp0Vvzr7lt3OU09vwQwhkpOPPYv2Y/edit?usp=sharing"",""งบพรบ!IU99"")"),0)</f>
        <v>0</v>
      </c>
      <c r="J99" s="329">
        <f t="shared" ca="1" si="108"/>
        <v>0</v>
      </c>
      <c r="K99" s="568">
        <f t="shared" ca="1" si="109"/>
        <v>0</v>
      </c>
      <c r="L99" s="329">
        <f ca="1">IFERROR(__xludf.DUMMYFUNCTION("IMPORTRANGE(""https://docs.google.com/spreadsheets/d/1-uDff_7J0KD5mKrp0Vvzr7lt3OU09vwQwhkpOPPYv2Y/edit?usp=sharing"",""งบพรบ!IV99"")"),0)</f>
        <v>0</v>
      </c>
      <c r="M99" s="330">
        <f t="shared" ca="1" si="110"/>
        <v>0</v>
      </c>
      <c r="N99" s="330">
        <f t="shared" ca="1" si="111"/>
        <v>0</v>
      </c>
      <c r="O99" s="569">
        <f ca="1">IFERROR(__xludf.DUMMYFUNCTION("IMPORTRANGE(""https://docs.google.com/spreadsheets/d/1-uDff_7J0KD5mKrp0Vvzr7lt3OU09vwQwhkpOPPYv2Y/edit?usp=sharing"",""งบพรบ!IW99"")"),0)</f>
        <v>0</v>
      </c>
      <c r="P99" s="569">
        <f t="shared" ca="1" si="112"/>
        <v>0</v>
      </c>
      <c r="Q99" s="330">
        <f t="shared" ca="1" si="113"/>
        <v>0</v>
      </c>
      <c r="R99" s="569">
        <v>0</v>
      </c>
      <c r="S99" s="569">
        <v>0</v>
      </c>
      <c r="T99" s="569">
        <v>0</v>
      </c>
      <c r="U99" s="330">
        <f t="shared" si="53"/>
        <v>0</v>
      </c>
      <c r="V99" s="330">
        <f t="shared" si="54"/>
        <v>0</v>
      </c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  <c r="CN99" s="260"/>
      <c r="CO99" s="260"/>
      <c r="CP99" s="260"/>
      <c r="CQ99" s="260"/>
      <c r="CR99" s="260"/>
      <c r="CS99" s="260"/>
      <c r="CT99" s="260"/>
      <c r="CU99" s="260"/>
      <c r="CV99" s="260"/>
      <c r="CW99" s="260"/>
      <c r="CX99" s="260"/>
      <c r="CY99" s="260"/>
      <c r="CZ99" s="260"/>
      <c r="DA99" s="260"/>
      <c r="DB99" s="260"/>
      <c r="DC99" s="260"/>
      <c r="DD99" s="260"/>
      <c r="DE99" s="260"/>
      <c r="DF99" s="260"/>
    </row>
    <row r="100" spans="1:110" ht="19.5" x14ac:dyDescent="0.3">
      <c r="A100" s="257"/>
      <c r="B100" s="258" t="s">
        <v>128</v>
      </c>
      <c r="C100" s="566">
        <f t="shared" ca="1" si="106"/>
        <v>613600</v>
      </c>
      <c r="D100" s="567">
        <f t="shared" ca="1" si="107"/>
        <v>613600</v>
      </c>
      <c r="E100" s="329">
        <f ca="1">IFERROR(__xludf.DUMMYFUNCTION("IMPORTRANGE(""https://docs.google.com/spreadsheets/d/1-uDff_7J0KD5mKrp0Vvzr7lt3OU09vwQwhkpOPPYv2Y/edit?usp=sharing"",""งบพรบ!IP100"")"),0)</f>
        <v>0</v>
      </c>
      <c r="F100" s="329">
        <f ca="1">IFERROR(__xludf.DUMMYFUNCTION("IMPORTRANGE(""https://docs.google.com/spreadsheets/d/1-uDff_7J0KD5mKrp0Vvzr7lt3OU09vwQwhkpOPPYv2Y/edit?usp=sharing"",""งบพรบ!IQ100"")"),613600)</f>
        <v>613600</v>
      </c>
      <c r="G100" s="329">
        <f ca="1">IFERROR(__xludf.DUMMYFUNCTION("IMPORTRANGE(""https://docs.google.com/spreadsheets/d/1-uDff_7J0KD5mKrp0Vvzr7lt3OU09vwQwhkpOPPYv2Y/edit?usp=sharing"",""งบพรบ!IR100"")"),0)</f>
        <v>0</v>
      </c>
      <c r="H100" s="329">
        <f ca="1">IFERROR(__xludf.DUMMYFUNCTION("IMPORTRANGE(""https://docs.google.com/spreadsheets/d/1-uDff_7J0KD5mKrp0Vvzr7lt3OU09vwQwhkpOPPYv2Y/edit?usp=sharing"",""งบพรบ!IT100"")"),613600)</f>
        <v>613600</v>
      </c>
      <c r="I100" s="329">
        <f ca="1">IFERROR(__xludf.DUMMYFUNCTION("IMPORTRANGE(""https://docs.google.com/spreadsheets/d/1-uDff_7J0KD5mKrp0Vvzr7lt3OU09vwQwhkpOPPYv2Y/edit?usp=sharing"",""งบพรบ!IU100"")"),0)</f>
        <v>0</v>
      </c>
      <c r="J100" s="329">
        <f t="shared" ca="1" si="108"/>
        <v>432395</v>
      </c>
      <c r="K100" s="568">
        <f t="shared" ca="1" si="109"/>
        <v>70.468546284224246</v>
      </c>
      <c r="L100" s="329">
        <f ca="1">IFERROR(__xludf.DUMMYFUNCTION("IMPORTRANGE(""https://docs.google.com/spreadsheets/d/1-uDff_7J0KD5mKrp0Vvzr7lt3OU09vwQwhkpOPPYv2Y/edit?usp=sharing"",""งบพรบ!IV100"")"),432395)</f>
        <v>432395</v>
      </c>
      <c r="M100" s="330">
        <f t="shared" ca="1" si="110"/>
        <v>70.468546284224246</v>
      </c>
      <c r="N100" s="330">
        <f t="shared" ca="1" si="111"/>
        <v>70.468546284224246</v>
      </c>
      <c r="O100" s="569">
        <f ca="1">IFERROR(__xludf.DUMMYFUNCTION("IMPORTRANGE(""https://docs.google.com/spreadsheets/d/1-uDff_7J0KD5mKrp0Vvzr7lt3OU09vwQwhkpOPPYv2Y/edit?usp=sharing"",""งบพรบ!IW100"")"),0)</f>
        <v>0</v>
      </c>
      <c r="P100" s="569">
        <f t="shared" ca="1" si="112"/>
        <v>0</v>
      </c>
      <c r="Q100" s="330">
        <f t="shared" ca="1" si="113"/>
        <v>0</v>
      </c>
      <c r="R100" s="569">
        <f ca="1">IFERROR(__xludf.DUMMYFUNCTION("IMPORTRANGE(""https://docs.google.com/spreadsheets/d/1ItG2mGa2ceCfYo0BwxsXqNm01IGEUdYcSSLTEv9YCik/edit?usp=sharing"",""เบิกจ่ายกองทุน!BZ93"")"),1655975)</f>
        <v>1655975</v>
      </c>
      <c r="S100" s="569">
        <f ca="1">IFERROR(__xludf.DUMMYFUNCTION("IMPORTRANGE(""https://docs.google.com/spreadsheets/d/1ItG2mGa2ceCfYo0BwxsXqNm01IGEUdYcSSLTEv9YCik/edit?usp=sharing"",""เบิกจ่ายกองทุน!CA93"")"),1655975)</f>
        <v>1655975</v>
      </c>
      <c r="T100" s="569">
        <f ca="1">IFERROR(__xludf.DUMMYFUNCTION("IMPORTRANGE(""https://docs.google.com/spreadsheets/d/1ItG2mGa2ceCfYo0BwxsXqNm01IGEUdYcSSLTEv9YCik/edit?usp=sharing"",""เบิกจ่ายกองทุน!CB93"")"),86345)</f>
        <v>86345</v>
      </c>
      <c r="U100" s="330">
        <f t="shared" ca="1" si="53"/>
        <v>5.2141487643231326</v>
      </c>
      <c r="V100" s="330">
        <f t="shared" ca="1" si="54"/>
        <v>5.2141487643231326</v>
      </c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260"/>
      <c r="BM100" s="260"/>
      <c r="BN100" s="260"/>
      <c r="BO100" s="260"/>
      <c r="BP100" s="260"/>
      <c r="BQ100" s="260"/>
      <c r="BR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  <c r="CC100" s="260"/>
      <c r="CD100" s="260"/>
      <c r="CE100" s="260"/>
      <c r="CF100" s="260"/>
      <c r="CG100" s="260"/>
      <c r="CH100" s="260"/>
      <c r="CI100" s="260"/>
      <c r="CJ100" s="260"/>
      <c r="CK100" s="260"/>
      <c r="CL100" s="260"/>
      <c r="CM100" s="260"/>
      <c r="CN100" s="260"/>
      <c r="CO100" s="260"/>
      <c r="CP100" s="260"/>
      <c r="CQ100" s="260"/>
      <c r="CR100" s="260"/>
      <c r="CS100" s="260"/>
      <c r="CT100" s="260"/>
      <c r="CU100" s="260"/>
      <c r="CV100" s="260"/>
      <c r="CW100" s="260"/>
      <c r="CX100" s="260"/>
      <c r="CY100" s="260"/>
      <c r="CZ100" s="260"/>
      <c r="DA100" s="260"/>
      <c r="DB100" s="260"/>
      <c r="DC100" s="260"/>
      <c r="DD100" s="260"/>
      <c r="DE100" s="260"/>
      <c r="DF100" s="260"/>
    </row>
    <row r="101" spans="1:110" ht="19.5" x14ac:dyDescent="0.3">
      <c r="A101" s="257"/>
      <c r="B101" s="258" t="s">
        <v>129</v>
      </c>
      <c r="C101" s="566">
        <f t="shared" ca="1" si="106"/>
        <v>0</v>
      </c>
      <c r="D101" s="567">
        <f t="shared" ca="1" si="107"/>
        <v>0</v>
      </c>
      <c r="E101" s="329">
        <f ca="1">IFERROR(__xludf.DUMMYFUNCTION("IMPORTRANGE(""https://docs.google.com/spreadsheets/d/1-uDff_7J0KD5mKrp0Vvzr7lt3OU09vwQwhkpOPPYv2Y/edit?usp=sharing"",""งบพรบ!IP101"")"),0)</f>
        <v>0</v>
      </c>
      <c r="F101" s="329">
        <f ca="1">IFERROR(__xludf.DUMMYFUNCTION("IMPORTRANGE(""https://docs.google.com/spreadsheets/d/1-uDff_7J0KD5mKrp0Vvzr7lt3OU09vwQwhkpOPPYv2Y/edit?usp=sharing"",""งบพรบ!IQ101"")"),0)</f>
        <v>0</v>
      </c>
      <c r="G101" s="329">
        <f ca="1">IFERROR(__xludf.DUMMYFUNCTION("IMPORTRANGE(""https://docs.google.com/spreadsheets/d/1-uDff_7J0KD5mKrp0Vvzr7lt3OU09vwQwhkpOPPYv2Y/edit?usp=sharing"",""งบพรบ!IR101"")"),0)</f>
        <v>0</v>
      </c>
      <c r="H101" s="329">
        <f ca="1">IFERROR(__xludf.DUMMYFUNCTION("IMPORTRANGE(""https://docs.google.com/spreadsheets/d/1-uDff_7J0KD5mKrp0Vvzr7lt3OU09vwQwhkpOPPYv2Y/edit?usp=sharing"",""งบพรบ!IT101"")"),0)</f>
        <v>0</v>
      </c>
      <c r="I101" s="329">
        <f ca="1">IFERROR(__xludf.DUMMYFUNCTION("IMPORTRANGE(""https://docs.google.com/spreadsheets/d/1-uDff_7J0KD5mKrp0Vvzr7lt3OU09vwQwhkpOPPYv2Y/edit?usp=sharing"",""งบพรบ!IU101"")"),0)</f>
        <v>0</v>
      </c>
      <c r="J101" s="329">
        <f t="shared" ca="1" si="108"/>
        <v>0</v>
      </c>
      <c r="K101" s="568">
        <f t="shared" ca="1" si="109"/>
        <v>0</v>
      </c>
      <c r="L101" s="329">
        <f ca="1">IFERROR(__xludf.DUMMYFUNCTION("IMPORTRANGE(""https://docs.google.com/spreadsheets/d/1-uDff_7J0KD5mKrp0Vvzr7lt3OU09vwQwhkpOPPYv2Y/edit?usp=sharing"",""งบพรบ!IV101"")"),0)</f>
        <v>0</v>
      </c>
      <c r="M101" s="330">
        <f t="shared" ca="1" si="110"/>
        <v>0</v>
      </c>
      <c r="N101" s="330">
        <f t="shared" ca="1" si="111"/>
        <v>0</v>
      </c>
      <c r="O101" s="569">
        <f ca="1">IFERROR(__xludf.DUMMYFUNCTION("IMPORTRANGE(""https://docs.google.com/spreadsheets/d/1-uDff_7J0KD5mKrp0Vvzr7lt3OU09vwQwhkpOPPYv2Y/edit?usp=sharing"",""งบพรบ!IW101"")"),0)</f>
        <v>0</v>
      </c>
      <c r="P101" s="569">
        <f t="shared" ca="1" si="112"/>
        <v>0</v>
      </c>
      <c r="Q101" s="330">
        <f t="shared" ca="1" si="113"/>
        <v>0</v>
      </c>
      <c r="R101" s="569">
        <v>0</v>
      </c>
      <c r="S101" s="569">
        <v>0</v>
      </c>
      <c r="T101" s="569">
        <v>0</v>
      </c>
      <c r="U101" s="330">
        <f t="shared" si="53"/>
        <v>0</v>
      </c>
      <c r="V101" s="330">
        <f t="shared" si="54"/>
        <v>0</v>
      </c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  <c r="CN101" s="260"/>
      <c r="CO101" s="260"/>
      <c r="CP101" s="260"/>
      <c r="CQ101" s="260"/>
      <c r="CR101" s="260"/>
      <c r="CS101" s="260"/>
      <c r="CT101" s="260"/>
      <c r="CU101" s="260"/>
      <c r="CV101" s="260"/>
      <c r="CW101" s="260"/>
      <c r="CX101" s="260"/>
      <c r="CY101" s="260"/>
      <c r="CZ101" s="260"/>
      <c r="DA101" s="260"/>
      <c r="DB101" s="260"/>
      <c r="DC101" s="260"/>
      <c r="DD101" s="260"/>
      <c r="DE101" s="260"/>
      <c r="DF101" s="260"/>
    </row>
    <row r="102" spans="1:110" ht="19.5" x14ac:dyDescent="0.3">
      <c r="A102" s="257"/>
      <c r="B102" s="258" t="s">
        <v>130</v>
      </c>
      <c r="C102" s="566">
        <f t="shared" ca="1" si="106"/>
        <v>0</v>
      </c>
      <c r="D102" s="567">
        <f t="shared" ca="1" si="107"/>
        <v>0</v>
      </c>
      <c r="E102" s="329">
        <f ca="1">IFERROR(__xludf.DUMMYFUNCTION("IMPORTRANGE(""https://docs.google.com/spreadsheets/d/1-uDff_7J0KD5mKrp0Vvzr7lt3OU09vwQwhkpOPPYv2Y/edit?usp=sharing"",""งบพรบ!IP102"")"),0)</f>
        <v>0</v>
      </c>
      <c r="F102" s="329">
        <f ca="1">IFERROR(__xludf.DUMMYFUNCTION("IMPORTRANGE(""https://docs.google.com/spreadsheets/d/1-uDff_7J0KD5mKrp0Vvzr7lt3OU09vwQwhkpOPPYv2Y/edit?usp=sharing"",""งบพรบ!IQ102"")"),0)</f>
        <v>0</v>
      </c>
      <c r="G102" s="329">
        <f ca="1">IFERROR(__xludf.DUMMYFUNCTION("IMPORTRANGE(""https://docs.google.com/spreadsheets/d/1-uDff_7J0KD5mKrp0Vvzr7lt3OU09vwQwhkpOPPYv2Y/edit?usp=sharing"",""งบพรบ!IR102"")"),0)</f>
        <v>0</v>
      </c>
      <c r="H102" s="329">
        <f ca="1">IFERROR(__xludf.DUMMYFUNCTION("IMPORTRANGE(""https://docs.google.com/spreadsheets/d/1-uDff_7J0KD5mKrp0Vvzr7lt3OU09vwQwhkpOPPYv2Y/edit?usp=sharing"",""งบพรบ!IT102"")"),0)</f>
        <v>0</v>
      </c>
      <c r="I102" s="329">
        <f ca="1">IFERROR(__xludf.DUMMYFUNCTION("IMPORTRANGE(""https://docs.google.com/spreadsheets/d/1-uDff_7J0KD5mKrp0Vvzr7lt3OU09vwQwhkpOPPYv2Y/edit?usp=sharing"",""งบพรบ!IU102"")"),0)</f>
        <v>0</v>
      </c>
      <c r="J102" s="329">
        <f t="shared" ca="1" si="108"/>
        <v>0</v>
      </c>
      <c r="K102" s="568">
        <f t="shared" ca="1" si="109"/>
        <v>0</v>
      </c>
      <c r="L102" s="329">
        <f ca="1">IFERROR(__xludf.DUMMYFUNCTION("IMPORTRANGE(""https://docs.google.com/spreadsheets/d/1-uDff_7J0KD5mKrp0Vvzr7lt3OU09vwQwhkpOPPYv2Y/edit?usp=sharing"",""งบพรบ!IV102"")"),0)</f>
        <v>0</v>
      </c>
      <c r="M102" s="330">
        <f t="shared" ca="1" si="110"/>
        <v>0</v>
      </c>
      <c r="N102" s="330">
        <f t="shared" ca="1" si="111"/>
        <v>0</v>
      </c>
      <c r="O102" s="569">
        <f ca="1">IFERROR(__xludf.DUMMYFUNCTION("IMPORTRANGE(""https://docs.google.com/spreadsheets/d/1-uDff_7J0KD5mKrp0Vvzr7lt3OU09vwQwhkpOPPYv2Y/edit?usp=sharing"",""งบพรบ!IW102"")"),0)</f>
        <v>0</v>
      </c>
      <c r="P102" s="569">
        <f t="shared" ca="1" si="112"/>
        <v>0</v>
      </c>
      <c r="Q102" s="330">
        <f t="shared" ca="1" si="113"/>
        <v>0</v>
      </c>
      <c r="R102" s="569">
        <v>0</v>
      </c>
      <c r="S102" s="569">
        <v>0</v>
      </c>
      <c r="T102" s="569">
        <v>0</v>
      </c>
      <c r="U102" s="330">
        <f t="shared" si="53"/>
        <v>0</v>
      </c>
      <c r="V102" s="330">
        <f t="shared" si="54"/>
        <v>0</v>
      </c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260"/>
      <c r="BM102" s="260"/>
      <c r="BN102" s="260"/>
      <c r="BO102" s="260"/>
      <c r="BP102" s="260"/>
      <c r="BQ102" s="260"/>
      <c r="BR102" s="260"/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  <c r="CC102" s="260"/>
      <c r="CD102" s="260"/>
      <c r="CE102" s="260"/>
      <c r="CF102" s="260"/>
      <c r="CG102" s="260"/>
      <c r="CH102" s="260"/>
      <c r="CI102" s="260"/>
      <c r="CJ102" s="260"/>
      <c r="CK102" s="260"/>
      <c r="CL102" s="260"/>
      <c r="CM102" s="260"/>
      <c r="CN102" s="260"/>
      <c r="CO102" s="260"/>
      <c r="CP102" s="260"/>
      <c r="CQ102" s="260"/>
      <c r="CR102" s="260"/>
      <c r="CS102" s="260"/>
      <c r="CT102" s="260"/>
      <c r="CU102" s="260"/>
      <c r="CV102" s="260"/>
      <c r="CW102" s="260"/>
      <c r="CX102" s="260"/>
      <c r="CY102" s="260"/>
      <c r="CZ102" s="260"/>
      <c r="DA102" s="260"/>
      <c r="DB102" s="260"/>
      <c r="DC102" s="260"/>
      <c r="DD102" s="260"/>
      <c r="DE102" s="260"/>
      <c r="DF102" s="260"/>
    </row>
    <row r="103" spans="1:110" ht="19.5" x14ac:dyDescent="0.3">
      <c r="A103" s="257"/>
      <c r="B103" s="258" t="s">
        <v>131</v>
      </c>
      <c r="C103" s="566">
        <f t="shared" ca="1" si="106"/>
        <v>0</v>
      </c>
      <c r="D103" s="567">
        <f t="shared" ca="1" si="107"/>
        <v>0</v>
      </c>
      <c r="E103" s="329">
        <f ca="1">IFERROR(__xludf.DUMMYFUNCTION("IMPORTRANGE(""https://docs.google.com/spreadsheets/d/1-uDff_7J0KD5mKrp0Vvzr7lt3OU09vwQwhkpOPPYv2Y/edit?usp=sharing"",""งบพรบ!IP103"")"),0)</f>
        <v>0</v>
      </c>
      <c r="F103" s="329">
        <f ca="1">IFERROR(__xludf.DUMMYFUNCTION("IMPORTRANGE(""https://docs.google.com/spreadsheets/d/1-uDff_7J0KD5mKrp0Vvzr7lt3OU09vwQwhkpOPPYv2Y/edit?usp=sharing"",""งบพรบ!IQ103"")"),0)</f>
        <v>0</v>
      </c>
      <c r="G103" s="329">
        <f ca="1">IFERROR(__xludf.DUMMYFUNCTION("IMPORTRANGE(""https://docs.google.com/spreadsheets/d/1-uDff_7J0KD5mKrp0Vvzr7lt3OU09vwQwhkpOPPYv2Y/edit?usp=sharing"",""งบพรบ!IR103"")"),0)</f>
        <v>0</v>
      </c>
      <c r="H103" s="329">
        <f ca="1">IFERROR(__xludf.DUMMYFUNCTION("IMPORTRANGE(""https://docs.google.com/spreadsheets/d/1-uDff_7J0KD5mKrp0Vvzr7lt3OU09vwQwhkpOPPYv2Y/edit?usp=sharing"",""งบพรบ!IT103"")"),0)</f>
        <v>0</v>
      </c>
      <c r="I103" s="329">
        <f ca="1">IFERROR(__xludf.DUMMYFUNCTION("IMPORTRANGE(""https://docs.google.com/spreadsheets/d/1-uDff_7J0KD5mKrp0Vvzr7lt3OU09vwQwhkpOPPYv2Y/edit?usp=sharing"",""งบพรบ!IU103"")"),0)</f>
        <v>0</v>
      </c>
      <c r="J103" s="329">
        <f t="shared" ca="1" si="108"/>
        <v>0</v>
      </c>
      <c r="K103" s="568">
        <f t="shared" ca="1" si="109"/>
        <v>0</v>
      </c>
      <c r="L103" s="329">
        <f ca="1">IFERROR(__xludf.DUMMYFUNCTION("IMPORTRANGE(""https://docs.google.com/spreadsheets/d/1-uDff_7J0KD5mKrp0Vvzr7lt3OU09vwQwhkpOPPYv2Y/edit?usp=sharing"",""งบพรบ!IV103"")"),0)</f>
        <v>0</v>
      </c>
      <c r="M103" s="330">
        <f t="shared" ca="1" si="110"/>
        <v>0</v>
      </c>
      <c r="N103" s="330">
        <f t="shared" ca="1" si="111"/>
        <v>0</v>
      </c>
      <c r="O103" s="569">
        <f ca="1">IFERROR(__xludf.DUMMYFUNCTION("IMPORTRANGE(""https://docs.google.com/spreadsheets/d/1-uDff_7J0KD5mKrp0Vvzr7lt3OU09vwQwhkpOPPYv2Y/edit?usp=sharing"",""งบพรบ!IW103"")"),0)</f>
        <v>0</v>
      </c>
      <c r="P103" s="569">
        <f t="shared" ca="1" si="112"/>
        <v>0</v>
      </c>
      <c r="Q103" s="330">
        <f t="shared" ca="1" si="113"/>
        <v>0</v>
      </c>
      <c r="R103" s="586">
        <v>0</v>
      </c>
      <c r="S103" s="586">
        <v>0</v>
      </c>
      <c r="T103" s="586">
        <v>0</v>
      </c>
      <c r="U103" s="333">
        <f t="shared" si="53"/>
        <v>0</v>
      </c>
      <c r="V103" s="333">
        <f t="shared" si="54"/>
        <v>0</v>
      </c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I103" s="260"/>
      <c r="BJ103" s="260"/>
      <c r="BK103" s="260"/>
      <c r="BL103" s="260"/>
      <c r="BM103" s="260"/>
      <c r="BN103" s="260"/>
      <c r="BO103" s="260"/>
      <c r="BP103" s="260"/>
      <c r="BQ103" s="260"/>
      <c r="BR103" s="260"/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  <c r="CC103" s="260"/>
      <c r="CD103" s="260"/>
      <c r="CE103" s="260"/>
      <c r="CF103" s="260"/>
      <c r="CG103" s="260"/>
      <c r="CH103" s="260"/>
      <c r="CI103" s="260"/>
      <c r="CJ103" s="260"/>
      <c r="CK103" s="260"/>
      <c r="CL103" s="260"/>
      <c r="CM103" s="260"/>
      <c r="CN103" s="260"/>
      <c r="CO103" s="260"/>
      <c r="CP103" s="260"/>
      <c r="CQ103" s="260"/>
      <c r="CR103" s="260"/>
      <c r="CS103" s="260"/>
      <c r="CT103" s="260"/>
      <c r="CU103" s="260"/>
      <c r="CV103" s="260"/>
      <c r="CW103" s="260"/>
      <c r="CX103" s="260"/>
      <c r="CY103" s="260"/>
      <c r="CZ103" s="260"/>
      <c r="DA103" s="260"/>
      <c r="DB103" s="260"/>
      <c r="DC103" s="260"/>
      <c r="DD103" s="260"/>
      <c r="DE103" s="260"/>
      <c r="DF103" s="260"/>
    </row>
    <row r="104" spans="1:110" ht="19.5" x14ac:dyDescent="0.3">
      <c r="A104" s="257"/>
      <c r="B104" s="258" t="s">
        <v>132</v>
      </c>
      <c r="C104" s="566">
        <f t="shared" ca="1" si="106"/>
        <v>7422100</v>
      </c>
      <c r="D104" s="567">
        <f t="shared" ca="1" si="107"/>
        <v>7422100</v>
      </c>
      <c r="E104" s="329">
        <f ca="1">IFERROR(__xludf.DUMMYFUNCTION("IMPORTRANGE(""https://docs.google.com/spreadsheets/d/1-uDff_7J0KD5mKrp0Vvzr7lt3OU09vwQwhkpOPPYv2Y/edit?usp=sharing"",""งบพรบ!IP104"")"),7422100)</f>
        <v>7422100</v>
      </c>
      <c r="F104" s="329">
        <f ca="1">IFERROR(__xludf.DUMMYFUNCTION("IMPORTRANGE(""https://docs.google.com/spreadsheets/d/1-uDff_7J0KD5mKrp0Vvzr7lt3OU09vwQwhkpOPPYv2Y/edit?usp=sharing"",""งบพรบ!IQ104"")"),0)</f>
        <v>0</v>
      </c>
      <c r="G104" s="329">
        <f ca="1">IFERROR(__xludf.DUMMYFUNCTION("IMPORTRANGE(""https://docs.google.com/spreadsheets/d/1-uDff_7J0KD5mKrp0Vvzr7lt3OU09vwQwhkpOPPYv2Y/edit?usp=sharing"",""งบพรบ!IR104"")"),0)</f>
        <v>0</v>
      </c>
      <c r="H104" s="329">
        <f ca="1">IFERROR(__xludf.DUMMYFUNCTION("IMPORTRANGE(""https://docs.google.com/spreadsheets/d/1-uDff_7J0KD5mKrp0Vvzr7lt3OU09vwQwhkpOPPYv2Y/edit?usp=sharing"",""งบพรบ!IT104"")"),4276100)</f>
        <v>4276100</v>
      </c>
      <c r="I104" s="329">
        <f ca="1">IFERROR(__xludf.DUMMYFUNCTION("IMPORTRANGE(""https://docs.google.com/spreadsheets/d/1-uDff_7J0KD5mKrp0Vvzr7lt3OU09vwQwhkpOPPYv2Y/edit?usp=sharing"",""งบพรบ!IU104"")"),0)</f>
        <v>0</v>
      </c>
      <c r="J104" s="329">
        <f t="shared" ca="1" si="108"/>
        <v>53182</v>
      </c>
      <c r="K104" s="568">
        <f t="shared" ca="1" si="109"/>
        <v>0.71653575133722258</v>
      </c>
      <c r="L104" s="329">
        <f ca="1">IFERROR(__xludf.DUMMYFUNCTION("IMPORTRANGE(""https://docs.google.com/spreadsheets/d/1-uDff_7J0KD5mKrp0Vvzr7lt3OU09vwQwhkpOPPYv2Y/edit?usp=sharing"",""งบพรบ!IV104"")"),53182)</f>
        <v>53182</v>
      </c>
      <c r="M104" s="330">
        <f t="shared" ca="1" si="110"/>
        <v>0.71653575133722258</v>
      </c>
      <c r="N104" s="330">
        <f t="shared" ca="1" si="111"/>
        <v>1.2437033745702859</v>
      </c>
      <c r="O104" s="569">
        <f ca="1">IFERROR(__xludf.DUMMYFUNCTION("IMPORTRANGE(""https://docs.google.com/spreadsheets/d/1-uDff_7J0KD5mKrp0Vvzr7lt3OU09vwQwhkpOPPYv2Y/edit?usp=sharing"",""งบพรบ!IW104"")"),0)</f>
        <v>0</v>
      </c>
      <c r="P104" s="569">
        <f t="shared" ca="1" si="112"/>
        <v>0</v>
      </c>
      <c r="Q104" s="330">
        <f t="shared" ca="1" si="113"/>
        <v>0</v>
      </c>
      <c r="R104" s="569">
        <v>0</v>
      </c>
      <c r="S104" s="569">
        <v>0</v>
      </c>
      <c r="T104" s="569">
        <v>0</v>
      </c>
      <c r="U104" s="330">
        <f t="shared" si="53"/>
        <v>0</v>
      </c>
      <c r="V104" s="330">
        <f t="shared" si="54"/>
        <v>0</v>
      </c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I104" s="260"/>
      <c r="BJ104" s="260"/>
      <c r="BK104" s="260"/>
      <c r="BL104" s="260"/>
      <c r="BM104" s="260"/>
      <c r="BN104" s="260"/>
      <c r="BO104" s="260"/>
      <c r="BP104" s="260"/>
      <c r="BQ104" s="260"/>
      <c r="BR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  <c r="CC104" s="260"/>
      <c r="CD104" s="260"/>
      <c r="CE104" s="260"/>
      <c r="CF104" s="260"/>
      <c r="CG104" s="260"/>
      <c r="CH104" s="260"/>
      <c r="CI104" s="260"/>
      <c r="CJ104" s="260"/>
      <c r="CK104" s="260"/>
      <c r="CL104" s="260"/>
      <c r="CM104" s="260"/>
      <c r="CN104" s="260"/>
      <c r="CO104" s="260"/>
      <c r="CP104" s="260"/>
      <c r="CQ104" s="260"/>
      <c r="CR104" s="260"/>
      <c r="CS104" s="260"/>
      <c r="CT104" s="260"/>
      <c r="CU104" s="260"/>
      <c r="CV104" s="260"/>
      <c r="CW104" s="260"/>
      <c r="CX104" s="260"/>
      <c r="CY104" s="260"/>
      <c r="CZ104" s="260"/>
      <c r="DA104" s="260"/>
      <c r="DB104" s="260"/>
      <c r="DC104" s="260"/>
      <c r="DD104" s="260"/>
      <c r="DE104" s="260"/>
      <c r="DF104" s="260"/>
    </row>
    <row r="105" spans="1:110" ht="19.5" x14ac:dyDescent="0.3">
      <c r="A105" s="257"/>
      <c r="B105" s="261" t="s">
        <v>133</v>
      </c>
      <c r="C105" s="566">
        <f t="shared" ca="1" si="106"/>
        <v>0</v>
      </c>
      <c r="D105" s="567">
        <f t="shared" ca="1" si="107"/>
        <v>0</v>
      </c>
      <c r="E105" s="329">
        <f ca="1">IFERROR(__xludf.DUMMYFUNCTION("IMPORTRANGE(""https://docs.google.com/spreadsheets/d/1-uDff_7J0KD5mKrp0Vvzr7lt3OU09vwQwhkpOPPYv2Y/edit?usp=sharing"",""งบพรบ!IP105"")"),0)</f>
        <v>0</v>
      </c>
      <c r="F105" s="329">
        <f ca="1">IFERROR(__xludf.DUMMYFUNCTION("IMPORTRANGE(""https://docs.google.com/spreadsheets/d/1-uDff_7J0KD5mKrp0Vvzr7lt3OU09vwQwhkpOPPYv2Y/edit?usp=sharing"",""งบพรบ!IQ105"")"),0)</f>
        <v>0</v>
      </c>
      <c r="G105" s="329">
        <f ca="1">IFERROR(__xludf.DUMMYFUNCTION("IMPORTRANGE(""https://docs.google.com/spreadsheets/d/1-uDff_7J0KD5mKrp0Vvzr7lt3OU09vwQwhkpOPPYv2Y/edit?usp=sharing"",""งบพรบ!IR105"")"),0)</f>
        <v>0</v>
      </c>
      <c r="H105" s="329">
        <f ca="1">IFERROR(__xludf.DUMMYFUNCTION("IMPORTRANGE(""https://docs.google.com/spreadsheets/d/1-uDff_7J0KD5mKrp0Vvzr7lt3OU09vwQwhkpOPPYv2Y/edit?usp=sharing"",""งบพรบ!IT105"")"),0)</f>
        <v>0</v>
      </c>
      <c r="I105" s="329">
        <f ca="1">IFERROR(__xludf.DUMMYFUNCTION("IMPORTRANGE(""https://docs.google.com/spreadsheets/d/1-uDff_7J0KD5mKrp0Vvzr7lt3OU09vwQwhkpOPPYv2Y/edit?usp=sharing"",""งบพรบ!IU105"")"),0)</f>
        <v>0</v>
      </c>
      <c r="J105" s="329">
        <f t="shared" ca="1" si="108"/>
        <v>0</v>
      </c>
      <c r="K105" s="568">
        <f t="shared" ca="1" si="109"/>
        <v>0</v>
      </c>
      <c r="L105" s="329">
        <f ca="1">IFERROR(__xludf.DUMMYFUNCTION("IMPORTRANGE(""https://docs.google.com/spreadsheets/d/1-uDff_7J0KD5mKrp0Vvzr7lt3OU09vwQwhkpOPPYv2Y/edit?usp=sharing"",""งบพรบ!IV105"")"),0)</f>
        <v>0</v>
      </c>
      <c r="M105" s="330">
        <f t="shared" ca="1" si="110"/>
        <v>0</v>
      </c>
      <c r="N105" s="330">
        <f t="shared" ca="1" si="111"/>
        <v>0</v>
      </c>
      <c r="O105" s="569">
        <f ca="1">IFERROR(__xludf.DUMMYFUNCTION("IMPORTRANGE(""https://docs.google.com/spreadsheets/d/1-uDff_7J0KD5mKrp0Vvzr7lt3OU09vwQwhkpOPPYv2Y/edit?usp=sharing"",""งบพรบ!IW105"")"),0)</f>
        <v>0</v>
      </c>
      <c r="P105" s="569">
        <f t="shared" ca="1" si="112"/>
        <v>0</v>
      </c>
      <c r="Q105" s="330">
        <f t="shared" ca="1" si="113"/>
        <v>0</v>
      </c>
      <c r="R105" s="587">
        <v>0</v>
      </c>
      <c r="S105" s="587">
        <v>0</v>
      </c>
      <c r="T105" s="587">
        <v>0</v>
      </c>
      <c r="U105" s="588">
        <f t="shared" si="53"/>
        <v>0</v>
      </c>
      <c r="V105" s="588">
        <f t="shared" si="54"/>
        <v>0</v>
      </c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  <c r="CN105" s="260"/>
      <c r="CO105" s="260"/>
      <c r="CP105" s="260"/>
      <c r="CQ105" s="260"/>
      <c r="CR105" s="260"/>
      <c r="CS105" s="260"/>
      <c r="CT105" s="260"/>
      <c r="CU105" s="260"/>
      <c r="CV105" s="260"/>
      <c r="CW105" s="260"/>
      <c r="CX105" s="260"/>
      <c r="CY105" s="260"/>
      <c r="CZ105" s="260"/>
      <c r="DA105" s="260"/>
      <c r="DB105" s="260"/>
      <c r="DC105" s="260"/>
      <c r="DD105" s="260"/>
      <c r="DE105" s="260"/>
      <c r="DF105" s="260"/>
    </row>
    <row r="106" spans="1:110" ht="19.5" x14ac:dyDescent="0.3">
      <c r="A106" s="257"/>
      <c r="B106" s="261" t="s">
        <v>134</v>
      </c>
      <c r="C106" s="566">
        <f t="shared" ca="1" si="106"/>
        <v>0</v>
      </c>
      <c r="D106" s="567">
        <f t="shared" ca="1" si="107"/>
        <v>0</v>
      </c>
      <c r="E106" s="329">
        <f ca="1">IFERROR(__xludf.DUMMYFUNCTION("IMPORTRANGE(""https://docs.google.com/spreadsheets/d/1-uDff_7J0KD5mKrp0Vvzr7lt3OU09vwQwhkpOPPYv2Y/edit?usp=sharing"",""งบพรบ!IP106"")"),0)</f>
        <v>0</v>
      </c>
      <c r="F106" s="329">
        <f ca="1">IFERROR(__xludf.DUMMYFUNCTION("IMPORTRANGE(""https://docs.google.com/spreadsheets/d/1-uDff_7J0KD5mKrp0Vvzr7lt3OU09vwQwhkpOPPYv2Y/edit?usp=sharing"",""งบพรบ!IQ106"")"),0)</f>
        <v>0</v>
      </c>
      <c r="G106" s="329">
        <f ca="1">IFERROR(__xludf.DUMMYFUNCTION("IMPORTRANGE(""https://docs.google.com/spreadsheets/d/1-uDff_7J0KD5mKrp0Vvzr7lt3OU09vwQwhkpOPPYv2Y/edit?usp=sharing"",""งบพรบ!IR106"")"),0)</f>
        <v>0</v>
      </c>
      <c r="H106" s="329">
        <f ca="1">IFERROR(__xludf.DUMMYFUNCTION("IMPORTRANGE(""https://docs.google.com/spreadsheets/d/1-uDff_7J0KD5mKrp0Vvzr7lt3OU09vwQwhkpOPPYv2Y/edit?usp=sharing"",""งบพรบ!IT106"")"),0)</f>
        <v>0</v>
      </c>
      <c r="I106" s="329">
        <f ca="1">IFERROR(__xludf.DUMMYFUNCTION("IMPORTRANGE(""https://docs.google.com/spreadsheets/d/1-uDff_7J0KD5mKrp0Vvzr7lt3OU09vwQwhkpOPPYv2Y/edit?usp=sharing"",""งบพรบ!IU106"")"),0)</f>
        <v>0</v>
      </c>
      <c r="J106" s="329">
        <f t="shared" ca="1" si="108"/>
        <v>0</v>
      </c>
      <c r="K106" s="568">
        <f t="shared" ca="1" si="109"/>
        <v>0</v>
      </c>
      <c r="L106" s="329">
        <f ca="1">IFERROR(__xludf.DUMMYFUNCTION("IMPORTRANGE(""https://docs.google.com/spreadsheets/d/1-uDff_7J0KD5mKrp0Vvzr7lt3OU09vwQwhkpOPPYv2Y/edit?usp=sharing"",""งบพรบ!IV106"")"),0)</f>
        <v>0</v>
      </c>
      <c r="M106" s="330">
        <f t="shared" ca="1" si="110"/>
        <v>0</v>
      </c>
      <c r="N106" s="330">
        <f t="shared" ca="1" si="111"/>
        <v>0</v>
      </c>
      <c r="O106" s="569">
        <f ca="1">IFERROR(__xludf.DUMMYFUNCTION("IMPORTRANGE(""https://docs.google.com/spreadsheets/d/1-uDff_7J0KD5mKrp0Vvzr7lt3OU09vwQwhkpOPPYv2Y/edit?usp=sharing"",""งบพรบ!IW106"")"),0)</f>
        <v>0</v>
      </c>
      <c r="P106" s="569">
        <f t="shared" ca="1" si="112"/>
        <v>0</v>
      </c>
      <c r="Q106" s="330">
        <f t="shared" ca="1" si="113"/>
        <v>0</v>
      </c>
      <c r="R106" s="569">
        <v>0</v>
      </c>
      <c r="S106" s="569">
        <v>0</v>
      </c>
      <c r="T106" s="569">
        <v>0</v>
      </c>
      <c r="U106" s="330">
        <f t="shared" si="53"/>
        <v>0</v>
      </c>
      <c r="V106" s="330">
        <f t="shared" si="54"/>
        <v>0</v>
      </c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  <c r="CY106" s="260"/>
      <c r="CZ106" s="260"/>
      <c r="DA106" s="260"/>
      <c r="DB106" s="260"/>
      <c r="DC106" s="260"/>
      <c r="DD106" s="260"/>
      <c r="DE106" s="260"/>
      <c r="DF106" s="260"/>
    </row>
    <row r="107" spans="1:110" ht="19.5" x14ac:dyDescent="0.3">
      <c r="A107" s="263"/>
      <c r="B107" s="264" t="s">
        <v>26</v>
      </c>
      <c r="C107" s="566">
        <f t="shared" ca="1" si="106"/>
        <v>0</v>
      </c>
      <c r="D107" s="567">
        <f t="shared" ca="1" si="107"/>
        <v>0</v>
      </c>
      <c r="E107" s="329">
        <f ca="1">IFERROR(__xludf.DUMMYFUNCTION("IMPORTRANGE(""https://docs.google.com/spreadsheets/d/1-uDff_7J0KD5mKrp0Vvzr7lt3OU09vwQwhkpOPPYv2Y/edit?usp=sharing"",""งบพรบ!IP107"")"),0)</f>
        <v>0</v>
      </c>
      <c r="F107" s="329">
        <f ca="1">IFERROR(__xludf.DUMMYFUNCTION("IMPORTRANGE(""https://docs.google.com/spreadsheets/d/1-uDff_7J0KD5mKrp0Vvzr7lt3OU09vwQwhkpOPPYv2Y/edit?usp=sharing"",""งบพรบ!IQ107"")"),0)</f>
        <v>0</v>
      </c>
      <c r="G107" s="329">
        <f ca="1">IFERROR(__xludf.DUMMYFUNCTION("IMPORTRANGE(""https://docs.google.com/spreadsheets/d/1-uDff_7J0KD5mKrp0Vvzr7lt3OU09vwQwhkpOPPYv2Y/edit?usp=sharing"",""งบพรบ!IR107"")"),0)</f>
        <v>0</v>
      </c>
      <c r="H107" s="329">
        <f ca="1">IFERROR(__xludf.DUMMYFUNCTION("IMPORTRANGE(""https://docs.google.com/spreadsheets/d/1-uDff_7J0KD5mKrp0Vvzr7lt3OU09vwQwhkpOPPYv2Y/edit?usp=sharing"",""งบพรบ!IT107"")"),0)</f>
        <v>0</v>
      </c>
      <c r="I107" s="329">
        <f ca="1">IFERROR(__xludf.DUMMYFUNCTION("IMPORTRANGE(""https://docs.google.com/spreadsheets/d/1-uDff_7J0KD5mKrp0Vvzr7lt3OU09vwQwhkpOPPYv2Y/edit?usp=sharing"",""งบพรบ!IU107"")"),0)</f>
        <v>0</v>
      </c>
      <c r="J107" s="329">
        <f t="shared" ca="1" si="108"/>
        <v>0</v>
      </c>
      <c r="K107" s="568">
        <f t="shared" ca="1" si="109"/>
        <v>0</v>
      </c>
      <c r="L107" s="329">
        <f ca="1">IFERROR(__xludf.DUMMYFUNCTION("IMPORTRANGE(""https://docs.google.com/spreadsheets/d/1-uDff_7J0KD5mKrp0Vvzr7lt3OU09vwQwhkpOPPYv2Y/edit?usp=sharing"",""งบพรบ!IV107"")"),0)</f>
        <v>0</v>
      </c>
      <c r="M107" s="330">
        <f t="shared" ca="1" si="110"/>
        <v>0</v>
      </c>
      <c r="N107" s="330">
        <f t="shared" ca="1" si="111"/>
        <v>0</v>
      </c>
      <c r="O107" s="569">
        <f ca="1">IFERROR(__xludf.DUMMYFUNCTION("IMPORTRANGE(""https://docs.google.com/spreadsheets/d/1-uDff_7J0KD5mKrp0Vvzr7lt3OU09vwQwhkpOPPYv2Y/edit?usp=sharing"",""งบพรบ!IW107"")"),0)</f>
        <v>0</v>
      </c>
      <c r="P107" s="569">
        <f t="shared" ca="1" si="112"/>
        <v>0</v>
      </c>
      <c r="Q107" s="330">
        <f t="shared" ca="1" si="113"/>
        <v>0</v>
      </c>
      <c r="R107" s="569">
        <v>0</v>
      </c>
      <c r="S107" s="569">
        <v>0</v>
      </c>
      <c r="T107" s="569">
        <v>0</v>
      </c>
      <c r="U107" s="330">
        <f t="shared" si="53"/>
        <v>0</v>
      </c>
      <c r="V107" s="330">
        <f t="shared" si="54"/>
        <v>0</v>
      </c>
      <c r="W107" s="498"/>
      <c r="X107" s="498"/>
      <c r="Y107" s="498"/>
      <c r="Z107" s="498"/>
      <c r="AA107" s="498"/>
      <c r="AB107" s="498"/>
      <c r="AC107" s="498"/>
      <c r="AD107" s="498"/>
      <c r="AE107" s="498"/>
      <c r="AF107" s="498"/>
      <c r="AG107" s="498"/>
      <c r="AH107" s="498"/>
      <c r="AI107" s="498"/>
      <c r="AJ107" s="498"/>
      <c r="AK107" s="498"/>
      <c r="AL107" s="498"/>
      <c r="AM107" s="498"/>
      <c r="AN107" s="498"/>
      <c r="AO107" s="498"/>
      <c r="AP107" s="498"/>
      <c r="AQ107" s="498"/>
      <c r="AR107" s="498"/>
      <c r="AS107" s="498"/>
      <c r="AT107" s="498"/>
      <c r="AU107" s="498"/>
      <c r="AV107" s="498"/>
      <c r="AW107" s="498"/>
      <c r="AX107" s="498"/>
      <c r="AY107" s="498"/>
      <c r="AZ107" s="498"/>
      <c r="BA107" s="498"/>
      <c r="BB107" s="498"/>
      <c r="BC107" s="498"/>
      <c r="BD107" s="498"/>
      <c r="BE107" s="498"/>
      <c r="BF107" s="498"/>
      <c r="BG107" s="498"/>
      <c r="BH107" s="498"/>
      <c r="BI107" s="498"/>
      <c r="BJ107" s="498"/>
      <c r="BK107" s="498"/>
      <c r="BL107" s="498"/>
      <c r="BM107" s="498"/>
      <c r="BN107" s="498"/>
      <c r="BO107" s="498"/>
      <c r="BP107" s="498"/>
      <c r="BQ107" s="498"/>
      <c r="BR107" s="498"/>
      <c r="BS107" s="498"/>
      <c r="BT107" s="498"/>
      <c r="BU107" s="498"/>
      <c r="BV107" s="498"/>
      <c r="BW107" s="498"/>
      <c r="BX107" s="498"/>
      <c r="BY107" s="498"/>
      <c r="BZ107" s="498"/>
      <c r="CA107" s="498"/>
      <c r="CB107" s="498"/>
      <c r="CC107" s="498"/>
      <c r="CD107" s="498"/>
      <c r="CE107" s="498"/>
      <c r="CF107" s="498"/>
      <c r="CG107" s="498"/>
      <c r="CH107" s="498"/>
      <c r="CI107" s="498"/>
      <c r="CJ107" s="498"/>
      <c r="CK107" s="498"/>
      <c r="CL107" s="498"/>
      <c r="CM107" s="498"/>
      <c r="CN107" s="498"/>
      <c r="CO107" s="498"/>
      <c r="CP107" s="498"/>
      <c r="CQ107" s="498"/>
      <c r="CR107" s="498"/>
      <c r="CS107" s="498"/>
      <c r="CT107" s="498"/>
      <c r="CU107" s="498"/>
      <c r="CV107" s="498"/>
      <c r="CW107" s="498"/>
      <c r="CX107" s="498"/>
      <c r="CY107" s="498"/>
      <c r="CZ107" s="498"/>
      <c r="DA107" s="498"/>
      <c r="DB107" s="498"/>
      <c r="DC107" s="498"/>
      <c r="DD107" s="498"/>
      <c r="DE107" s="498"/>
      <c r="DF107" s="498"/>
    </row>
    <row r="108" spans="1:110" ht="19.5" x14ac:dyDescent="0.3">
      <c r="A108" s="268"/>
      <c r="B108" s="269" t="s">
        <v>135</v>
      </c>
      <c r="C108" s="570">
        <f t="shared" ca="1" si="106"/>
        <v>0</v>
      </c>
      <c r="D108" s="571">
        <f t="shared" ca="1" si="107"/>
        <v>0</v>
      </c>
      <c r="E108" s="337">
        <f ca="1">IFERROR(__xludf.DUMMYFUNCTION("IMPORTRANGE(""https://docs.google.com/spreadsheets/d/1-uDff_7J0KD5mKrp0Vvzr7lt3OU09vwQwhkpOPPYv2Y/edit?usp=sharing"",""งบพรบ!IP108"")"),0)</f>
        <v>0</v>
      </c>
      <c r="F108" s="337">
        <f ca="1">IFERROR(__xludf.DUMMYFUNCTION("IMPORTRANGE(""https://docs.google.com/spreadsheets/d/1-uDff_7J0KD5mKrp0Vvzr7lt3OU09vwQwhkpOPPYv2Y/edit?usp=sharing"",""งบพรบ!IQ108"")"),0)</f>
        <v>0</v>
      </c>
      <c r="G108" s="337">
        <f ca="1">IFERROR(__xludf.DUMMYFUNCTION("IMPORTRANGE(""https://docs.google.com/spreadsheets/d/1-uDff_7J0KD5mKrp0Vvzr7lt3OU09vwQwhkpOPPYv2Y/edit?usp=sharing"",""งบพรบ!IR108"")"),0)</f>
        <v>0</v>
      </c>
      <c r="H108" s="337">
        <f ca="1">IFERROR(__xludf.DUMMYFUNCTION("IMPORTRANGE(""https://docs.google.com/spreadsheets/d/1-uDff_7J0KD5mKrp0Vvzr7lt3OU09vwQwhkpOPPYv2Y/edit?usp=sharing"",""งบพรบ!IT108"")"),0)</f>
        <v>0</v>
      </c>
      <c r="I108" s="337">
        <f ca="1">IFERROR(__xludf.DUMMYFUNCTION("IMPORTRANGE(""https://docs.google.com/spreadsheets/d/1-uDff_7J0KD5mKrp0Vvzr7lt3OU09vwQwhkpOPPYv2Y/edit?usp=sharing"",""งบพรบ!IU108"")"),0)</f>
        <v>0</v>
      </c>
      <c r="J108" s="337">
        <f t="shared" ca="1" si="108"/>
        <v>0</v>
      </c>
      <c r="K108" s="572">
        <f t="shared" ca="1" si="109"/>
        <v>0</v>
      </c>
      <c r="L108" s="337">
        <f ca="1">IFERROR(__xludf.DUMMYFUNCTION("IMPORTRANGE(""https://docs.google.com/spreadsheets/d/1-uDff_7J0KD5mKrp0Vvzr7lt3OU09vwQwhkpOPPYv2Y/edit?usp=sharing"",""งบพรบ!IV108"")"),0)</f>
        <v>0</v>
      </c>
      <c r="M108" s="573">
        <f t="shared" ca="1" si="110"/>
        <v>0</v>
      </c>
      <c r="N108" s="573">
        <f t="shared" ca="1" si="111"/>
        <v>0</v>
      </c>
      <c r="O108" s="574">
        <f ca="1">IFERROR(__xludf.DUMMYFUNCTION("IMPORTRANGE(""https://docs.google.com/spreadsheets/d/1-uDff_7J0KD5mKrp0Vvzr7lt3OU09vwQwhkpOPPYv2Y/edit?usp=sharing"",""งบพรบ!IW108"")"),0)</f>
        <v>0</v>
      </c>
      <c r="P108" s="574">
        <f t="shared" ca="1" si="112"/>
        <v>0</v>
      </c>
      <c r="Q108" s="573">
        <f t="shared" ca="1" si="113"/>
        <v>0</v>
      </c>
      <c r="R108" s="574">
        <v>0</v>
      </c>
      <c r="S108" s="574">
        <v>0</v>
      </c>
      <c r="T108" s="574">
        <v>0</v>
      </c>
      <c r="U108" s="573">
        <f t="shared" si="53"/>
        <v>0</v>
      </c>
      <c r="V108" s="573">
        <f t="shared" si="54"/>
        <v>0</v>
      </c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5"/>
      <c r="AI108" s="505"/>
      <c r="AJ108" s="505"/>
      <c r="AK108" s="505"/>
      <c r="AL108" s="505"/>
      <c r="AM108" s="505"/>
      <c r="AN108" s="505"/>
      <c r="AO108" s="505"/>
      <c r="AP108" s="505"/>
      <c r="AQ108" s="505"/>
      <c r="AR108" s="505"/>
      <c r="AS108" s="505"/>
      <c r="AT108" s="505"/>
      <c r="AU108" s="505"/>
      <c r="AV108" s="505"/>
      <c r="AW108" s="505"/>
      <c r="AX108" s="505"/>
      <c r="AY108" s="505"/>
      <c r="AZ108" s="505"/>
      <c r="BA108" s="505"/>
      <c r="BB108" s="505"/>
      <c r="BC108" s="505"/>
      <c r="BD108" s="505"/>
      <c r="BE108" s="505"/>
      <c r="BF108" s="505"/>
      <c r="BG108" s="505"/>
      <c r="BH108" s="505"/>
      <c r="BI108" s="505"/>
      <c r="BJ108" s="505"/>
      <c r="BK108" s="505"/>
      <c r="BL108" s="505"/>
      <c r="BM108" s="505"/>
      <c r="BN108" s="505"/>
      <c r="BO108" s="505"/>
      <c r="BP108" s="505"/>
      <c r="BQ108" s="505"/>
      <c r="BR108" s="505"/>
      <c r="BS108" s="505"/>
      <c r="BT108" s="505"/>
      <c r="BU108" s="505"/>
      <c r="BV108" s="505"/>
      <c r="BW108" s="505"/>
      <c r="BX108" s="505"/>
      <c r="BY108" s="505"/>
      <c r="BZ108" s="505"/>
      <c r="CA108" s="505"/>
      <c r="CB108" s="505"/>
      <c r="CC108" s="505"/>
      <c r="CD108" s="505"/>
      <c r="CE108" s="505"/>
      <c r="CF108" s="505"/>
      <c r="CG108" s="505"/>
      <c r="CH108" s="505"/>
      <c r="CI108" s="505"/>
      <c r="CJ108" s="505"/>
      <c r="CK108" s="505"/>
      <c r="CL108" s="505"/>
      <c r="CM108" s="505"/>
      <c r="CN108" s="505"/>
      <c r="CO108" s="505"/>
      <c r="CP108" s="505"/>
      <c r="CQ108" s="505"/>
      <c r="CR108" s="505"/>
      <c r="CS108" s="505"/>
      <c r="CT108" s="505"/>
      <c r="CU108" s="505"/>
      <c r="CV108" s="505"/>
      <c r="CW108" s="505"/>
      <c r="CX108" s="505"/>
      <c r="CY108" s="505"/>
      <c r="CZ108" s="505"/>
      <c r="DA108" s="505"/>
      <c r="DB108" s="505"/>
      <c r="DC108" s="505"/>
      <c r="DD108" s="505"/>
      <c r="DE108" s="505"/>
      <c r="DF108" s="505"/>
    </row>
  </sheetData>
  <mergeCells count="104">
    <mergeCell ref="CA5:CB5"/>
    <mergeCell ref="CC5:CD5"/>
    <mergeCell ref="CE5:CF5"/>
    <mergeCell ref="V4:V6"/>
    <mergeCell ref="W5:X5"/>
    <mergeCell ref="Y5:AB5"/>
    <mergeCell ref="AC5:AD5"/>
    <mergeCell ref="AU3:BN3"/>
    <mergeCell ref="BO3:CJ3"/>
    <mergeCell ref="A2:B6"/>
    <mergeCell ref="C2:V2"/>
    <mergeCell ref="W2:DF2"/>
    <mergeCell ref="R3:V3"/>
    <mergeCell ref="AI3:AT3"/>
    <mergeCell ref="CK3:DF3"/>
    <mergeCell ref="O5:Q5"/>
    <mergeCell ref="BC5:BD5"/>
    <mergeCell ref="BE5:BF5"/>
    <mergeCell ref="BG5:BH5"/>
    <mergeCell ref="BI5:BJ5"/>
    <mergeCell ref="BK5:BL5"/>
    <mergeCell ref="BM5:BN5"/>
    <mergeCell ref="BO5:BP5"/>
    <mergeCell ref="BQ5:BT5"/>
    <mergeCell ref="BU5:BV5"/>
    <mergeCell ref="BW5:BX5"/>
    <mergeCell ref="BY5:BZ5"/>
    <mergeCell ref="CU5:CV5"/>
    <mergeCell ref="CU4:CZ4"/>
    <mergeCell ref="DA4:DB4"/>
    <mergeCell ref="CW5:CZ5"/>
    <mergeCell ref="DA5:DB5"/>
    <mergeCell ref="DC4:DD4"/>
    <mergeCell ref="DE4:DF4"/>
    <mergeCell ref="DC5:DD5"/>
    <mergeCell ref="DE5:DF5"/>
    <mergeCell ref="CI4:CJ4"/>
    <mergeCell ref="CK4:CP4"/>
    <mergeCell ref="CG5:CH5"/>
    <mergeCell ref="CI5:CJ5"/>
    <mergeCell ref="CK5:CL5"/>
    <mergeCell ref="CM5:CP5"/>
    <mergeCell ref="CQ4:CR4"/>
    <mergeCell ref="CS4:CT4"/>
    <mergeCell ref="CQ5:CR5"/>
    <mergeCell ref="CS5:CT5"/>
    <mergeCell ref="W3:AH3"/>
    <mergeCell ref="W4:AB4"/>
    <mergeCell ref="AC4:AD4"/>
    <mergeCell ref="AE4:AF4"/>
    <mergeCell ref="AG4:AH4"/>
    <mergeCell ref="AE5:AF5"/>
    <mergeCell ref="AG5:AH5"/>
    <mergeCell ref="AI5:AJ5"/>
    <mergeCell ref="AI4:AN4"/>
    <mergeCell ref="AK5:AN5"/>
    <mergeCell ref="A31:B31"/>
    <mergeCell ref="A52:B52"/>
    <mergeCell ref="A74:B74"/>
    <mergeCell ref="A89:B89"/>
    <mergeCell ref="C3:Q3"/>
    <mergeCell ref="C4:G4"/>
    <mergeCell ref="H4:I4"/>
    <mergeCell ref="J4:Q4"/>
    <mergeCell ref="C5:C6"/>
    <mergeCell ref="D5:D6"/>
    <mergeCell ref="E5:E6"/>
    <mergeCell ref="F5:F6"/>
    <mergeCell ref="G5:G6"/>
    <mergeCell ref="J5:K5"/>
    <mergeCell ref="L5:N5"/>
    <mergeCell ref="BY4:BZ4"/>
    <mergeCell ref="CA4:CB4"/>
    <mergeCell ref="CC4:CD4"/>
    <mergeCell ref="CE4:CF4"/>
    <mergeCell ref="CG4:CH4"/>
    <mergeCell ref="H5:H6"/>
    <mergeCell ref="I5:I6"/>
    <mergeCell ref="A7:B7"/>
    <mergeCell ref="A13:B13"/>
    <mergeCell ref="R4:R6"/>
    <mergeCell ref="S4:S6"/>
    <mergeCell ref="T4:T6"/>
    <mergeCell ref="U4:U6"/>
    <mergeCell ref="AO4:AP4"/>
    <mergeCell ref="AO5:AP5"/>
    <mergeCell ref="AQ4:AR4"/>
    <mergeCell ref="AS4:AT4"/>
    <mergeCell ref="AQ5:AR5"/>
    <mergeCell ref="AS5:AT5"/>
    <mergeCell ref="AU5:AV5"/>
    <mergeCell ref="AU4:AZ4"/>
    <mergeCell ref="BA4:BB4"/>
    <mergeCell ref="AW5:AZ5"/>
    <mergeCell ref="BA5:BB5"/>
    <mergeCell ref="BC4:BD4"/>
    <mergeCell ref="BE4:BF4"/>
    <mergeCell ref="BG4:BH4"/>
    <mergeCell ref="BI4:BJ4"/>
    <mergeCell ref="BK4:BL4"/>
    <mergeCell ref="BM4:BN4"/>
    <mergeCell ref="BO4:BT4"/>
    <mergeCell ref="BU4:BV4"/>
    <mergeCell ref="BW4:BX4"/>
  </mergeCells>
  <conditionalFormatting sqref="K14:K30 K32:K51 K53:K73 K75:K88 K90:K108">
    <cfRule type="colorScale" priority="2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U14:U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Z14:Z30 AL14:AL30 AX14:AX30 BR14:BR30 CX14:CX30 Z32:Z51 AL32:AL51 AX32:AX51 BR32:BR51 CX32:CX51 Z53:Z73 AL53:AL73 AX53:AX73 BR53:BR73 CX53:CX73 Z75:Z88 AL75:AL88 AX75:AX88 BR75:BR88 CX75:CX88">
    <cfRule type="colorScale" priority="3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FF00"/>
    <outlinePr summaryBelow="0" summaryRight="0"/>
  </sheetPr>
  <dimension ref="A1:AE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9" width="17.28515625" customWidth="1"/>
    <col min="20" max="22" width="15.140625" customWidth="1"/>
    <col min="23" max="23" width="11.42578125" customWidth="1"/>
    <col min="24" max="24" width="7.5703125" customWidth="1"/>
    <col min="25" max="25" width="10.140625" customWidth="1"/>
    <col min="26" max="29" width="17.5703125" customWidth="1"/>
    <col min="30" max="30" width="19.140625" customWidth="1"/>
    <col min="31" max="31" width="17.5703125" customWidth="1"/>
  </cols>
  <sheetData>
    <row r="1" spans="1:31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2"/>
      <c r="Y1" s="4"/>
    </row>
    <row r="2" spans="1:31" ht="24" customHeight="1" x14ac:dyDescent="0.2">
      <c r="A2" s="657" t="s">
        <v>1</v>
      </c>
      <c r="B2" s="658"/>
      <c r="C2" s="669" t="s">
        <v>292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70" t="s">
        <v>293</v>
      </c>
      <c r="X2" s="646"/>
      <c r="Y2" s="646"/>
      <c r="Z2" s="646"/>
      <c r="AA2" s="646"/>
      <c r="AB2" s="646"/>
      <c r="AC2" s="646"/>
      <c r="AD2" s="646"/>
      <c r="AE2" s="647"/>
    </row>
    <row r="3" spans="1:31" ht="30" customHeight="1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45" t="s">
        <v>5</v>
      </c>
      <c r="S3" s="646"/>
      <c r="T3" s="646"/>
      <c r="U3" s="646"/>
      <c r="V3" s="647"/>
      <c r="W3" s="823" t="s">
        <v>294</v>
      </c>
      <c r="X3" s="646"/>
      <c r="Y3" s="646"/>
      <c r="Z3" s="646"/>
      <c r="AA3" s="646"/>
      <c r="AB3" s="646"/>
      <c r="AC3" s="646"/>
      <c r="AD3" s="646"/>
      <c r="AE3" s="647"/>
    </row>
    <row r="4" spans="1:31" ht="45" customHeight="1" x14ac:dyDescent="0.2">
      <c r="A4" s="659"/>
      <c r="B4" s="660"/>
      <c r="C4" s="677" t="s">
        <v>8</v>
      </c>
      <c r="D4" s="646"/>
      <c r="E4" s="646"/>
      <c r="F4" s="646"/>
      <c r="G4" s="647"/>
      <c r="H4" s="678" t="s">
        <v>9</v>
      </c>
      <c r="I4" s="647"/>
      <c r="J4" s="676" t="s">
        <v>10</v>
      </c>
      <c r="K4" s="646"/>
      <c r="L4" s="646"/>
      <c r="M4" s="646"/>
      <c r="N4" s="646"/>
      <c r="O4" s="646"/>
      <c r="P4" s="646"/>
      <c r="Q4" s="647"/>
      <c r="R4" s="648" t="s">
        <v>11</v>
      </c>
      <c r="S4" s="651" t="s">
        <v>12</v>
      </c>
      <c r="T4" s="652" t="s">
        <v>13</v>
      </c>
      <c r="U4" s="652" t="s">
        <v>14</v>
      </c>
      <c r="V4" s="652" t="s">
        <v>15</v>
      </c>
      <c r="W4" s="825" t="s">
        <v>28</v>
      </c>
      <c r="X4" s="826" t="s">
        <v>295</v>
      </c>
      <c r="Y4" s="658"/>
      <c r="Z4" s="824" t="s">
        <v>296</v>
      </c>
      <c r="AA4" s="824" t="s">
        <v>297</v>
      </c>
      <c r="AB4" s="824" t="s">
        <v>298</v>
      </c>
      <c r="AC4" s="824" t="s">
        <v>299</v>
      </c>
      <c r="AD4" s="824" t="s">
        <v>300</v>
      </c>
      <c r="AE4" s="824" t="s">
        <v>7</v>
      </c>
    </row>
    <row r="5" spans="1:31" ht="45" customHeight="1" x14ac:dyDescent="0.2">
      <c r="A5" s="659"/>
      <c r="B5" s="660"/>
      <c r="C5" s="679" t="s">
        <v>20</v>
      </c>
      <c r="D5" s="680" t="s">
        <v>21</v>
      </c>
      <c r="E5" s="681" t="s">
        <v>22</v>
      </c>
      <c r="F5" s="682" t="s">
        <v>23</v>
      </c>
      <c r="G5" s="683" t="s">
        <v>24</v>
      </c>
      <c r="H5" s="651" t="s">
        <v>25</v>
      </c>
      <c r="I5" s="651" t="s">
        <v>26</v>
      </c>
      <c r="J5" s="653" t="s">
        <v>27</v>
      </c>
      <c r="K5" s="647"/>
      <c r="L5" s="653" t="s">
        <v>25</v>
      </c>
      <c r="M5" s="646"/>
      <c r="N5" s="647"/>
      <c r="O5" s="654" t="s">
        <v>26</v>
      </c>
      <c r="P5" s="646"/>
      <c r="Q5" s="647"/>
      <c r="R5" s="649"/>
      <c r="S5" s="649"/>
      <c r="T5" s="649"/>
      <c r="U5" s="649"/>
      <c r="V5" s="649"/>
      <c r="W5" s="650"/>
      <c r="X5" s="661"/>
      <c r="Y5" s="662"/>
      <c r="Z5" s="650"/>
      <c r="AA5" s="650"/>
      <c r="AB5" s="650"/>
      <c r="AC5" s="650"/>
      <c r="AD5" s="650"/>
      <c r="AE5" s="650"/>
    </row>
    <row r="6" spans="1:31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650"/>
      <c r="S6" s="650"/>
      <c r="T6" s="650"/>
      <c r="U6" s="650"/>
      <c r="V6" s="650"/>
      <c r="W6" s="7" t="s">
        <v>35</v>
      </c>
      <c r="X6" s="589" t="s">
        <v>35</v>
      </c>
      <c r="Y6" s="590" t="s">
        <v>31</v>
      </c>
      <c r="Z6" s="591" t="s">
        <v>35</v>
      </c>
      <c r="AA6" s="591" t="s">
        <v>35</v>
      </c>
      <c r="AB6" s="591" t="s">
        <v>35</v>
      </c>
      <c r="AC6" s="591" t="s">
        <v>35</v>
      </c>
      <c r="AD6" s="591" t="s">
        <v>35</v>
      </c>
      <c r="AE6" s="591" t="s">
        <v>35</v>
      </c>
    </row>
    <row r="7" spans="1:31" ht="24" customHeight="1" x14ac:dyDescent="0.3">
      <c r="A7" s="663" t="s">
        <v>38</v>
      </c>
      <c r="B7" s="647"/>
      <c r="C7" s="126">
        <f t="shared" ref="C7:C9" ca="1" si="0">D7+G7</f>
        <v>607000</v>
      </c>
      <c r="D7" s="127">
        <f t="shared" ref="D7:E7" ca="1" si="1">D8+D9+D12</f>
        <v>607000</v>
      </c>
      <c r="E7" s="128">
        <f t="shared" ca="1" si="1"/>
        <v>273100</v>
      </c>
      <c r="F7" s="129">
        <f ca="1">F8+F9</f>
        <v>333900</v>
      </c>
      <c r="G7" s="130">
        <f t="shared" ref="G7:I7" ca="1" si="2">G8+G9+G12</f>
        <v>0</v>
      </c>
      <c r="H7" s="131">
        <f t="shared" ca="1" si="2"/>
        <v>607000</v>
      </c>
      <c r="I7" s="131">
        <f t="shared" ca="1" si="2"/>
        <v>0</v>
      </c>
      <c r="J7" s="132">
        <f t="shared" ref="J7:J9" ca="1" si="3">L7+O7</f>
        <v>508480</v>
      </c>
      <c r="K7" s="133">
        <f t="shared" ref="K7:K9" ca="1" si="4">IF(C7&gt;0,J7*100/C7,0)</f>
        <v>83.76935749588138</v>
      </c>
      <c r="L7" s="132">
        <f ca="1">L8+L9+L12</f>
        <v>508480</v>
      </c>
      <c r="M7" s="27">
        <f t="shared" ref="M7:M9" ca="1" si="5">IF(D7&gt;0,L7*100/D7,0)</f>
        <v>83.76935749588138</v>
      </c>
      <c r="N7" s="27">
        <f t="shared" ref="N7:N9" ca="1" si="6">IF(H7&gt;0,L7*100/H7,0)</f>
        <v>83.76935749588138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7">
        <f t="shared" ref="R7:T7" ca="1" si="9">R8+R9</f>
        <v>8192000</v>
      </c>
      <c r="S7" s="27">
        <f t="shared" ca="1" si="9"/>
        <v>8150203.3399999999</v>
      </c>
      <c r="T7" s="27">
        <f t="shared" ca="1" si="9"/>
        <v>4647671.16</v>
      </c>
      <c r="U7" s="27">
        <f t="shared" ref="U7:U9" ca="1" si="10">IF(R7&gt;0,T7*100/R7,0)</f>
        <v>56.734267089843748</v>
      </c>
      <c r="V7" s="27">
        <f t="shared" ref="V7:V9" ca="1" si="11">IF(S7&gt;0,T7*100/S7,0)</f>
        <v>57.025217238322305</v>
      </c>
      <c r="W7" s="211">
        <f t="shared" ref="W7:X7" ca="1" si="12">W8</f>
        <v>500</v>
      </c>
      <c r="X7" s="592">
        <f t="shared" ca="1" si="12"/>
        <v>460</v>
      </c>
      <c r="Y7" s="593">
        <f t="shared" ref="Y7:Y8" ca="1" si="13">IF(W7&gt;0,X7*100/W7,0)</f>
        <v>92</v>
      </c>
      <c r="Z7" s="212">
        <f t="shared" ref="Z7:AE7" ca="1" si="14">Z8</f>
        <v>500</v>
      </c>
      <c r="AA7" s="212">
        <f t="shared" ca="1" si="14"/>
        <v>460</v>
      </c>
      <c r="AB7" s="212">
        <f t="shared" ca="1" si="14"/>
        <v>480</v>
      </c>
      <c r="AC7" s="212">
        <f t="shared" ca="1" si="14"/>
        <v>120</v>
      </c>
      <c r="AD7" s="212">
        <f t="shared" ca="1" si="14"/>
        <v>0</v>
      </c>
      <c r="AE7" s="212">
        <f t="shared" ca="1" si="14"/>
        <v>180</v>
      </c>
    </row>
    <row r="8" spans="1:31" ht="28.5" customHeight="1" x14ac:dyDescent="0.3">
      <c r="A8" s="31" t="s">
        <v>39</v>
      </c>
      <c r="B8" s="31"/>
      <c r="C8" s="136">
        <f t="shared" ca="1" si="0"/>
        <v>333900</v>
      </c>
      <c r="D8" s="136">
        <f t="shared" ref="D8:I8" ca="1" si="15">+D13+D31+D52+D74</f>
        <v>333900</v>
      </c>
      <c r="E8" s="136">
        <f t="shared" ca="1" si="15"/>
        <v>0</v>
      </c>
      <c r="F8" s="136">
        <f t="shared" ca="1" si="15"/>
        <v>333900</v>
      </c>
      <c r="G8" s="136">
        <f t="shared" ca="1" si="15"/>
        <v>0</v>
      </c>
      <c r="H8" s="136">
        <f t="shared" ca="1" si="15"/>
        <v>333900</v>
      </c>
      <c r="I8" s="136">
        <f t="shared" ca="1" si="15"/>
        <v>0</v>
      </c>
      <c r="J8" s="136">
        <f t="shared" ca="1" si="3"/>
        <v>235380</v>
      </c>
      <c r="K8" s="137">
        <f t="shared" ca="1" si="4"/>
        <v>70.494159928122187</v>
      </c>
      <c r="L8" s="136">
        <f ca="1">+L13+L31+L52+L74</f>
        <v>235380</v>
      </c>
      <c r="M8" s="37">
        <f t="shared" ca="1" si="5"/>
        <v>70.494159928122187</v>
      </c>
      <c r="N8" s="37">
        <f t="shared" ca="1" si="6"/>
        <v>70.494159928122187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7">
        <f t="shared" ref="R8:T8" ca="1" si="16">+R13+R31+R52+R74</f>
        <v>6780400</v>
      </c>
      <c r="S8" s="37">
        <f t="shared" ca="1" si="16"/>
        <v>6815603.3399999999</v>
      </c>
      <c r="T8" s="37">
        <f t="shared" ca="1" si="16"/>
        <v>4548098.33</v>
      </c>
      <c r="U8" s="37">
        <f t="shared" ca="1" si="10"/>
        <v>67.077138959353434</v>
      </c>
      <c r="V8" s="37">
        <f t="shared" ca="1" si="11"/>
        <v>66.730678167664607</v>
      </c>
      <c r="W8" s="276">
        <f t="shared" ref="W8:X8" ca="1" si="17">+W13+W31+W52+W74</f>
        <v>500</v>
      </c>
      <c r="X8" s="136">
        <f t="shared" ca="1" si="17"/>
        <v>460</v>
      </c>
      <c r="Y8" s="37">
        <f t="shared" ca="1" si="13"/>
        <v>92</v>
      </c>
      <c r="Z8" s="136">
        <f t="shared" ref="Z8:AE8" ca="1" si="18">+Z13+Z31+Z52+Z74</f>
        <v>500</v>
      </c>
      <c r="AA8" s="136">
        <f t="shared" ca="1" si="18"/>
        <v>460</v>
      </c>
      <c r="AB8" s="136">
        <f t="shared" ca="1" si="18"/>
        <v>480</v>
      </c>
      <c r="AC8" s="136">
        <f t="shared" ca="1" si="18"/>
        <v>120</v>
      </c>
      <c r="AD8" s="136">
        <f t="shared" ca="1" si="18"/>
        <v>0</v>
      </c>
      <c r="AE8" s="136">
        <f t="shared" ca="1" si="18"/>
        <v>180</v>
      </c>
    </row>
    <row r="9" spans="1:31" ht="28.5" customHeight="1" x14ac:dyDescent="0.3">
      <c r="A9" s="38" t="s">
        <v>40</v>
      </c>
      <c r="B9" s="38"/>
      <c r="C9" s="139">
        <f t="shared" ca="1" si="0"/>
        <v>273100</v>
      </c>
      <c r="D9" s="139">
        <f t="shared" ref="D9:I9" ca="1" si="19">+D89</f>
        <v>273100</v>
      </c>
      <c r="E9" s="139">
        <f t="shared" ca="1" si="19"/>
        <v>273100</v>
      </c>
      <c r="F9" s="139">
        <f t="shared" ca="1" si="19"/>
        <v>0</v>
      </c>
      <c r="G9" s="139">
        <f t="shared" ca="1" si="19"/>
        <v>0</v>
      </c>
      <c r="H9" s="139">
        <f t="shared" ca="1" si="19"/>
        <v>273100</v>
      </c>
      <c r="I9" s="139">
        <f t="shared" ca="1" si="19"/>
        <v>0</v>
      </c>
      <c r="J9" s="139">
        <f t="shared" ca="1" si="3"/>
        <v>273100</v>
      </c>
      <c r="K9" s="140">
        <f t="shared" ca="1" si="4"/>
        <v>100</v>
      </c>
      <c r="L9" s="139">
        <f ca="1">+L89</f>
        <v>273100</v>
      </c>
      <c r="M9" s="44">
        <f t="shared" ca="1" si="5"/>
        <v>100</v>
      </c>
      <c r="N9" s="44">
        <f t="shared" ca="1" si="6"/>
        <v>100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4">
        <f t="shared" ref="R9:T9" ca="1" si="20">+R89</f>
        <v>1411600</v>
      </c>
      <c r="S9" s="44">
        <f t="shared" ca="1" si="20"/>
        <v>1334600</v>
      </c>
      <c r="T9" s="44">
        <f t="shared" ca="1" si="20"/>
        <v>99572.83</v>
      </c>
      <c r="U9" s="44">
        <f t="shared" ca="1" si="10"/>
        <v>7.0538984131482003</v>
      </c>
      <c r="V9" s="44">
        <f t="shared" ca="1" si="11"/>
        <v>7.4608744193016632</v>
      </c>
      <c r="W9" s="246"/>
      <c r="X9" s="246"/>
      <c r="Y9" s="247"/>
      <c r="Z9" s="246"/>
      <c r="AA9" s="246"/>
      <c r="AB9" s="246"/>
      <c r="AC9" s="246"/>
      <c r="AD9" s="246"/>
      <c r="AE9" s="246"/>
    </row>
    <row r="10" spans="1:31" ht="28.5" hidden="1" customHeight="1" x14ac:dyDescent="0.3">
      <c r="A10" s="45"/>
      <c r="B10" s="45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51"/>
      <c r="S10" s="51"/>
      <c r="T10" s="51"/>
      <c r="U10" s="51"/>
      <c r="V10" s="51"/>
      <c r="W10" s="214"/>
      <c r="X10" s="214"/>
      <c r="Y10" s="196"/>
      <c r="Z10" s="214"/>
      <c r="AA10" s="214"/>
      <c r="AB10" s="214"/>
      <c r="AC10" s="214"/>
      <c r="AD10" s="214"/>
      <c r="AE10" s="214"/>
    </row>
    <row r="11" spans="1:31" ht="28.5" hidden="1" customHeight="1" x14ac:dyDescent="0.3">
      <c r="A11" s="45"/>
      <c r="B11" s="45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51"/>
      <c r="S11" s="51"/>
      <c r="T11" s="51"/>
      <c r="U11" s="51"/>
      <c r="V11" s="51"/>
      <c r="W11" s="214"/>
      <c r="X11" s="214"/>
      <c r="Y11" s="196"/>
      <c r="Z11" s="214"/>
      <c r="AA11" s="214"/>
      <c r="AB11" s="214"/>
      <c r="AC11" s="214"/>
      <c r="AD11" s="214"/>
      <c r="AE11" s="214"/>
    </row>
    <row r="12" spans="1:31" ht="28.5" hidden="1" customHeight="1" x14ac:dyDescent="0.3">
      <c r="A12" s="45"/>
      <c r="B12" s="45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51"/>
      <c r="S12" s="51"/>
      <c r="T12" s="51"/>
      <c r="U12" s="51"/>
      <c r="V12" s="51"/>
      <c r="W12" s="214"/>
      <c r="X12" s="214"/>
      <c r="Y12" s="196"/>
      <c r="Z12" s="214"/>
      <c r="AA12" s="214"/>
      <c r="AB12" s="214"/>
      <c r="AC12" s="214"/>
      <c r="AD12" s="214"/>
      <c r="AE12" s="214"/>
    </row>
    <row r="13" spans="1:31" ht="28.5" customHeight="1" x14ac:dyDescent="0.3">
      <c r="A13" s="664" t="s">
        <v>41</v>
      </c>
      <c r="B13" s="647"/>
      <c r="C13" s="145">
        <f t="shared" ref="C13:C88" ca="1" si="21">D13+G13</f>
        <v>30100</v>
      </c>
      <c r="D13" s="145">
        <f t="shared" ref="D13:I13" ca="1" si="22">SUM(D14:D30)</f>
        <v>30100</v>
      </c>
      <c r="E13" s="145">
        <f t="shared" ca="1" si="22"/>
        <v>0</v>
      </c>
      <c r="F13" s="145">
        <f t="shared" ca="1" si="22"/>
        <v>30100</v>
      </c>
      <c r="G13" s="145">
        <f t="shared" ca="1" si="22"/>
        <v>0</v>
      </c>
      <c r="H13" s="145">
        <f t="shared" ca="1" si="22"/>
        <v>30100</v>
      </c>
      <c r="I13" s="145">
        <f t="shared" ca="1" si="22"/>
        <v>0</v>
      </c>
      <c r="J13" s="145">
        <f t="shared" ref="J13:J88" ca="1" si="23">L13+O13</f>
        <v>30100</v>
      </c>
      <c r="K13" s="146">
        <f t="shared" ref="K13:K88" ca="1" si="24">IF(C13&gt;0,J13*100/C13,0)</f>
        <v>100</v>
      </c>
      <c r="L13" s="145">
        <f ca="1">SUM(L14:L30)</f>
        <v>30100</v>
      </c>
      <c r="M13" s="57">
        <f t="shared" ref="M13:M88" ca="1" si="25">IF(D13&gt;0,L13*100/D13,0)</f>
        <v>100</v>
      </c>
      <c r="N13" s="57">
        <f t="shared" ref="N13:N88" ca="1" si="26">IF(H13&gt;0,L13*100/H13,0)</f>
        <v>100</v>
      </c>
      <c r="O13" s="56">
        <f ca="1">SUM(O14:O30)</f>
        <v>0</v>
      </c>
      <c r="P13" s="56">
        <f t="shared" ref="P13:P88" ca="1" si="27">IF(G13&gt;0,O13*100/G13,0)</f>
        <v>0</v>
      </c>
      <c r="Q13" s="57">
        <f t="shared" ref="Q13:Q88" ca="1" si="28">IF(I13&gt;0,O13*100/I13,0)</f>
        <v>0</v>
      </c>
      <c r="R13" s="57">
        <f t="shared" ref="R13:T13" ca="1" si="29">SUM(R14:R30)</f>
        <v>741945</v>
      </c>
      <c r="S13" s="57">
        <f t="shared" ca="1" si="29"/>
        <v>749645</v>
      </c>
      <c r="T13" s="57">
        <f t="shared" ca="1" si="29"/>
        <v>400905</v>
      </c>
      <c r="U13" s="57">
        <f t="shared" ref="U13:U108" ca="1" si="30">IF(R13&gt;0,T13*100/R13,0)</f>
        <v>54.034328690132021</v>
      </c>
      <c r="V13" s="57">
        <f t="shared" ref="V13:V108" ca="1" si="31">IF(S13&gt;0,T13*100/S13,0)</f>
        <v>53.479313541743089</v>
      </c>
      <c r="W13" s="277">
        <f t="shared" ref="W13:X13" ca="1" si="32">SUM(W14:W30)</f>
        <v>60</v>
      </c>
      <c r="X13" s="145">
        <f t="shared" ca="1" si="32"/>
        <v>60</v>
      </c>
      <c r="Y13" s="57">
        <f t="shared" ref="Y13:Y88" ca="1" si="33">IF(W13&gt;0,X13*100/W13,0)</f>
        <v>100</v>
      </c>
      <c r="Z13" s="145">
        <f t="shared" ref="Z13:AE13" ca="1" si="34">SUM(Z14:Z30)</f>
        <v>60</v>
      </c>
      <c r="AA13" s="145">
        <f t="shared" ca="1" si="34"/>
        <v>60</v>
      </c>
      <c r="AB13" s="145">
        <f t="shared" ca="1" si="34"/>
        <v>60</v>
      </c>
      <c r="AC13" s="145">
        <f t="shared" ca="1" si="34"/>
        <v>10</v>
      </c>
      <c r="AD13" s="145">
        <f t="shared" ca="1" si="34"/>
        <v>0</v>
      </c>
      <c r="AE13" s="145">
        <f t="shared" ca="1" si="34"/>
        <v>0</v>
      </c>
    </row>
    <row r="14" spans="1:31" ht="24" customHeight="1" x14ac:dyDescent="0.3">
      <c r="A14" s="58">
        <v>1</v>
      </c>
      <c r="B14" s="59" t="s">
        <v>42</v>
      </c>
      <c r="C14" s="149">
        <f t="shared" ca="1" si="21"/>
        <v>0</v>
      </c>
      <c r="D14" s="150">
        <f t="shared" ref="D14:D30" ca="1" si="35">+E14+F14</f>
        <v>0</v>
      </c>
      <c r="E14" s="151">
        <f ca="1">IFERROR(__xludf.DUMMYFUNCTION("IMPORTRANGE(""https://docs.google.com/spreadsheets/d/1-uDff_7J0KD5mKrp0Vvzr7lt3OU09vwQwhkpOPPYv2Y/edit?usp=sharing"",""งบพรบ!HV14"")"),0)</f>
        <v>0</v>
      </c>
      <c r="F14" s="151">
        <f ca="1">IFERROR(__xludf.DUMMYFUNCTION("IMPORTRANGE(""https://docs.google.com/spreadsheets/d/1-uDff_7J0KD5mKrp0Vvzr7lt3OU09vwQwhkpOPPYv2Y/edit?usp=sharing"",""งบพรบ!HW14"")"),0)</f>
        <v>0</v>
      </c>
      <c r="G14" s="152">
        <f ca="1">IFERROR(__xludf.DUMMYFUNCTION("IMPORTRANGE(""https://docs.google.com/spreadsheets/d/1-uDff_7J0KD5mKrp0Vvzr7lt3OU09vwQwhkpOPPYv2Y/edit?usp=sharing"",""งบพรบ!HX14"")"),0)</f>
        <v>0</v>
      </c>
      <c r="H14" s="152">
        <f ca="1">IFERROR(__xludf.DUMMYFUNCTION("IMPORTRANGE(""https://docs.google.com/spreadsheets/d/1-uDff_7J0KD5mKrp0Vvzr7lt3OU09vwQwhkpOPPYv2Y/edit?usp=sharing"",""งบพรบ!HZ14"")"),0)</f>
        <v>0</v>
      </c>
      <c r="I14" s="152">
        <f ca="1">IFERROR(__xludf.DUMMYFUNCTION("IMPORTRANGE(""https://docs.google.com/spreadsheets/d/1-uDff_7J0KD5mKrp0Vvzr7lt3OU09vwQwhkpOPPYv2Y/edit?usp=sharing"",""งบพรบ!IA14"")"),0)</f>
        <v>0</v>
      </c>
      <c r="J14" s="152">
        <f t="shared" ca="1" si="23"/>
        <v>0</v>
      </c>
      <c r="K14" s="153">
        <f t="shared" ca="1" si="24"/>
        <v>0</v>
      </c>
      <c r="L14" s="152">
        <f ca="1">IFERROR(__xludf.DUMMYFUNCTION("IMPORTRANGE(""https://docs.google.com/spreadsheets/d/1-uDff_7J0KD5mKrp0Vvzr7lt3OU09vwQwhkpOPPYv2Y/edit?usp=sharing"",""งบพรบ!IB14"")"),0)</f>
        <v>0</v>
      </c>
      <c r="M14" s="68">
        <f t="shared" ca="1" si="25"/>
        <v>0</v>
      </c>
      <c r="N14" s="68">
        <f t="shared" ca="1" si="26"/>
        <v>0</v>
      </c>
      <c r="O14" s="151">
        <f ca="1">IFERROR(__xludf.DUMMYFUNCTION("IMPORTRANGE(""https://docs.google.com/spreadsheets/d/1-uDff_7J0KD5mKrp0Vvzr7lt3OU09vwQwhkpOPPYv2Y/edit?usp=sharing"",""งบพรบ!IC14"")"),0)</f>
        <v>0</v>
      </c>
      <c r="P14" s="67">
        <f t="shared" ca="1" si="27"/>
        <v>0</v>
      </c>
      <c r="Q14" s="68">
        <f t="shared" ca="1" si="28"/>
        <v>0</v>
      </c>
      <c r="R14" s="68">
        <f ca="1">IFERROR(__xludf.DUMMYFUNCTION("IMPORTRANGE(""https://docs.google.com/spreadsheets/d/1jTcq05yEiRwXcBMLjiodW9e4biSGYWAHcDj22rKWQ3s/edit?usp=sharing"",""กำแพงเพชร!Q498"")"),0)</f>
        <v>0</v>
      </c>
      <c r="S14" s="68">
        <f ca="1">IFERROR(__xludf.DUMMYFUNCTION("IMPORTRANGE(""https://docs.google.com/spreadsheets/d/1jTcq05yEiRwXcBMLjiodW9e4biSGYWAHcDj22rKWQ3s/edit?usp=sharing"",""กำแพงเพชร!R498"")"),0)</f>
        <v>0</v>
      </c>
      <c r="T14" s="68">
        <f ca="1">IFERROR(__xludf.DUMMYFUNCTION("IMPORTRANGE(""https://docs.google.com/spreadsheets/d/1jTcq05yEiRwXcBMLjiodW9e4biSGYWAHcDj22rKWQ3s/edit?usp=sharing"",""กำแพงเพชร!S498"")"),0)</f>
        <v>0</v>
      </c>
      <c r="U14" s="68">
        <f t="shared" ca="1" si="30"/>
        <v>0</v>
      </c>
      <c r="V14" s="68">
        <f t="shared" ca="1" si="31"/>
        <v>0</v>
      </c>
      <c r="W14" s="278">
        <f ca="1">IFERROR(__xludf.DUMMYFUNCTION("IMPORTRANGE(""https://docs.google.com/spreadsheets/d/1jTcq05yEiRwXcBMLjiodW9e4biSGYWAHcDj22rKWQ3s/edit?usp=sharing"",""กำแพงเพชร!I503"")"),0)</f>
        <v>0</v>
      </c>
      <c r="X14" s="152">
        <f ca="1">IFERROR(__xludf.DUMMYFUNCTION("IMPORTRANGE(""https://docs.google.com/spreadsheets/d/1jTcq05yEiRwXcBMLjiodW9e4biSGYWAHcDj22rKWQ3s/edit?usp=sharing"",""กำแพงเพชร!J503"")"),0)</f>
        <v>0</v>
      </c>
      <c r="Y14" s="216">
        <f t="shared" ca="1" si="33"/>
        <v>0</v>
      </c>
      <c r="Z14" s="152">
        <f ca="1">IFERROR(__xludf.DUMMYFUNCTION("IMPORTRANGE(""https://docs.google.com/spreadsheets/d/1jTcq05yEiRwXcBMLjiodW9e4biSGYWAHcDj22rKWQ3s/edit?usp=sharing"",""กำแพงเพชร!J504"")"),0)</f>
        <v>0</v>
      </c>
      <c r="AA14" s="152">
        <f ca="1">IFERROR(__xludf.DUMMYFUNCTION("IMPORTRANGE(""https://docs.google.com/spreadsheets/d/1jTcq05yEiRwXcBMLjiodW9e4biSGYWAHcDj22rKWQ3s/edit?usp=sharing"",""กำแพงเพชร!J505"")"),0)</f>
        <v>0</v>
      </c>
      <c r="AB14" s="152">
        <f ca="1">IFERROR(__xludf.DUMMYFUNCTION("IMPORTRANGE(""https://docs.google.com/spreadsheets/d/1jTcq05yEiRwXcBMLjiodW9e4biSGYWAHcDj22rKWQ3s/edit?usp=sharing"",""กำแพงเพชร!J506"")"),0)</f>
        <v>0</v>
      </c>
      <c r="AC14" s="152">
        <f ca="1">IFERROR(__xludf.DUMMYFUNCTION("IMPORTRANGE(""https://docs.google.com/spreadsheets/d/1jTcq05yEiRwXcBMLjiodW9e4biSGYWAHcDj22rKWQ3s/edit?usp=sharing"",""กำแพงเพชร!J507"")"),0)</f>
        <v>0</v>
      </c>
      <c r="AD14" s="152">
        <f ca="1">IFERROR(__xludf.DUMMYFUNCTION("IMPORTRANGE(""https://docs.google.com/spreadsheets/d/1jTcq05yEiRwXcBMLjiodW9e4biSGYWAHcDj22rKWQ3s/edit?usp=sharing"",""กำแพงเพชร!J508"")"),0)</f>
        <v>0</v>
      </c>
      <c r="AE14" s="152">
        <f ca="1">IFERROR(__xludf.DUMMYFUNCTION("IMPORTRANGE(""https://docs.google.com/spreadsheets/d/1jTcq05yEiRwXcBMLjiodW9e4biSGYWAHcDj22rKWQ3s/edit?usp=sharing"",""กำแพงเพชร!J509"")"),0)</f>
        <v>0</v>
      </c>
    </row>
    <row r="15" spans="1:31" ht="24" customHeight="1" x14ac:dyDescent="0.3">
      <c r="A15" s="70">
        <v>2</v>
      </c>
      <c r="B15" s="71" t="s">
        <v>43</v>
      </c>
      <c r="C15" s="149">
        <f t="shared" ca="1" si="21"/>
        <v>0</v>
      </c>
      <c r="D15" s="150">
        <f t="shared" ca="1" si="35"/>
        <v>0</v>
      </c>
      <c r="E15" s="151">
        <f ca="1">IFERROR(__xludf.DUMMYFUNCTION("IMPORTRANGE(""https://docs.google.com/spreadsheets/d/1-uDff_7J0KD5mKrp0Vvzr7lt3OU09vwQwhkpOPPYv2Y/edit?usp=sharing"",""งบพรบ!HV15"")"),0)</f>
        <v>0</v>
      </c>
      <c r="F15" s="151">
        <f ca="1">IFERROR(__xludf.DUMMYFUNCTION("IMPORTRANGE(""https://docs.google.com/spreadsheets/d/1-uDff_7J0KD5mKrp0Vvzr7lt3OU09vwQwhkpOPPYv2Y/edit?usp=sharing"",""งบพรบ!HW15"")"),0)</f>
        <v>0</v>
      </c>
      <c r="G15" s="151">
        <f ca="1">IFERROR(__xludf.DUMMYFUNCTION("IMPORTRANGE(""https://docs.google.com/spreadsheets/d/1-uDff_7J0KD5mKrp0Vvzr7lt3OU09vwQwhkpOPPYv2Y/edit?usp=sharing"",""งบพรบ!HX15"")"),0)</f>
        <v>0</v>
      </c>
      <c r="H15" s="151">
        <f ca="1">IFERROR(__xludf.DUMMYFUNCTION("IMPORTRANGE(""https://docs.google.com/spreadsheets/d/1-uDff_7J0KD5mKrp0Vvzr7lt3OU09vwQwhkpOPPYv2Y/edit?usp=sharing"",""งบพรบ!HZ15"")"),0)</f>
        <v>0</v>
      </c>
      <c r="I15" s="151">
        <f ca="1">IFERROR(__xludf.DUMMYFUNCTION("IMPORTRANGE(""https://docs.google.com/spreadsheets/d/1-uDff_7J0KD5mKrp0Vvzr7lt3OU09vwQwhkpOPPYv2Y/edit?usp=sharing"",""งบพรบ!IA15"")"),0)</f>
        <v>0</v>
      </c>
      <c r="J15" s="151">
        <f t="shared" ca="1" si="23"/>
        <v>0</v>
      </c>
      <c r="K15" s="154">
        <f t="shared" ca="1" si="24"/>
        <v>0</v>
      </c>
      <c r="L15" s="151">
        <f ca="1">IFERROR(__xludf.DUMMYFUNCTION("IMPORTRANGE(""https://docs.google.com/spreadsheets/d/1-uDff_7J0KD5mKrp0Vvzr7lt3OU09vwQwhkpOPPYv2Y/edit?usp=sharing"",""งบพรบ!IB15"")"),0)</f>
        <v>0</v>
      </c>
      <c r="M15" s="68">
        <f t="shared" ca="1" si="25"/>
        <v>0</v>
      </c>
      <c r="N15" s="68">
        <f t="shared" ca="1" si="26"/>
        <v>0</v>
      </c>
      <c r="O15" s="151">
        <f ca="1">IFERROR(__xludf.DUMMYFUNCTION("IMPORTRANGE(""https://docs.google.com/spreadsheets/d/1-uDff_7J0KD5mKrp0Vvzr7lt3OU09vwQwhkpOPPYv2Y/edit?usp=sharing"",""งบพรบ!IC15"")"),0)</f>
        <v>0</v>
      </c>
      <c r="P15" s="67">
        <f t="shared" ca="1" si="27"/>
        <v>0</v>
      </c>
      <c r="Q15" s="68">
        <f t="shared" ca="1" si="28"/>
        <v>0</v>
      </c>
      <c r="R15" s="68">
        <f ca="1">IFERROR(__xludf.DUMMYFUNCTION("IMPORTRANGE(""https://docs.google.com/spreadsheets/d/1KS0zmDSZPk8KnTAbGN-Xk6MtX1YRZD0ldgdt20K4CRk/edit?usp=sharing"",""เชียงราย!Q498"")"),0)</f>
        <v>0</v>
      </c>
      <c r="S15" s="68">
        <f ca="1">IFERROR(__xludf.DUMMYFUNCTION("IMPORTRANGE(""https://docs.google.com/spreadsheets/d/1KS0zmDSZPk8KnTAbGN-Xk6MtX1YRZD0ldgdt20K4CRk/edit?usp=sharing"",""เชียงราย!R498"")"),0)</f>
        <v>0</v>
      </c>
      <c r="T15" s="68">
        <f ca="1">IFERROR(__xludf.DUMMYFUNCTION("IMPORTRANGE(""https://docs.google.com/spreadsheets/d/1KS0zmDSZPk8KnTAbGN-Xk6MtX1YRZD0ldgdt20K4CRk/edit?usp=sharing"",""เชียงราย!S498"")"),0)</f>
        <v>0</v>
      </c>
      <c r="U15" s="68">
        <f t="shared" ca="1" si="30"/>
        <v>0</v>
      </c>
      <c r="V15" s="68">
        <f t="shared" ca="1" si="31"/>
        <v>0</v>
      </c>
      <c r="W15" s="278">
        <f ca="1">IFERROR(__xludf.DUMMYFUNCTION("IMPORTRANGE(""https://docs.google.com/spreadsheets/d/1KS0zmDSZPk8KnTAbGN-Xk6MtX1YRZD0ldgdt20K4CRk/edit?usp=sharing"",""เชียงราย!I503"")"),0)</f>
        <v>0</v>
      </c>
      <c r="X15" s="152">
        <f ca="1">IFERROR(__xludf.DUMMYFUNCTION("IMPORTRANGE(""https://docs.google.com/spreadsheets/d/1KS0zmDSZPk8KnTAbGN-Xk6MtX1YRZD0ldgdt20K4CRk/edit?usp=sharing"",""เชียงราย!J503"")"),0)</f>
        <v>0</v>
      </c>
      <c r="Y15" s="216">
        <f t="shared" ca="1" si="33"/>
        <v>0</v>
      </c>
      <c r="Z15" s="152">
        <f ca="1">IFERROR(__xludf.DUMMYFUNCTION("IMPORTRANGE(""https://docs.google.com/spreadsheets/d/1KS0zmDSZPk8KnTAbGN-Xk6MtX1YRZD0ldgdt20K4CRk/edit?usp=sharing"",""เชียงราย!J504"")"),0)</f>
        <v>0</v>
      </c>
      <c r="AA15" s="152">
        <f ca="1">IFERROR(__xludf.DUMMYFUNCTION("IMPORTRANGE(""https://docs.google.com/spreadsheets/d/1KS0zmDSZPk8KnTAbGN-Xk6MtX1YRZD0ldgdt20K4CRk/edit?usp=sharing"",""เชียงราย!J505"")"),0)</f>
        <v>0</v>
      </c>
      <c r="AB15" s="152">
        <f ca="1">IFERROR(__xludf.DUMMYFUNCTION("IMPORTRANGE(""https://docs.google.com/spreadsheets/d/1KS0zmDSZPk8KnTAbGN-Xk6MtX1YRZD0ldgdt20K4CRk/edit?usp=sharing"",""เชียงราย!J506"")"),0)</f>
        <v>0</v>
      </c>
      <c r="AC15" s="152">
        <f ca="1">IFERROR(__xludf.DUMMYFUNCTION("IMPORTRANGE(""https://docs.google.com/spreadsheets/d/1KS0zmDSZPk8KnTAbGN-Xk6MtX1YRZD0ldgdt20K4CRk/edit?usp=sharing"",""เชียงราย!J507"")"),0)</f>
        <v>0</v>
      </c>
      <c r="AD15" s="152">
        <f ca="1">IFERROR(__xludf.DUMMYFUNCTION("IMPORTRANGE(""https://docs.google.com/spreadsheets/d/1KS0zmDSZPk8KnTAbGN-Xk6MtX1YRZD0ldgdt20K4CRk/edit?usp=sharing"",""เชียงราย!J508"")"),0)</f>
        <v>0</v>
      </c>
      <c r="AE15" s="152">
        <f ca="1">IFERROR(__xludf.DUMMYFUNCTION("IMPORTRANGE(""https://docs.google.com/spreadsheets/d/1KS0zmDSZPk8KnTAbGN-Xk6MtX1YRZD0ldgdt20K4CRk/edit?usp=sharing"",""เชียงราย!J509"")"),0)</f>
        <v>0</v>
      </c>
    </row>
    <row r="16" spans="1:31" ht="24" customHeight="1" x14ac:dyDescent="0.3">
      <c r="A16" s="70">
        <v>3</v>
      </c>
      <c r="B16" s="71" t="s">
        <v>44</v>
      </c>
      <c r="C16" s="149">
        <f t="shared" ca="1" si="21"/>
        <v>0</v>
      </c>
      <c r="D16" s="150">
        <f t="shared" ca="1" si="35"/>
        <v>0</v>
      </c>
      <c r="E16" s="151">
        <f ca="1">IFERROR(__xludf.DUMMYFUNCTION("IMPORTRANGE(""https://docs.google.com/spreadsheets/d/1-uDff_7J0KD5mKrp0Vvzr7lt3OU09vwQwhkpOPPYv2Y/edit?usp=sharing"",""งบพรบ!HV16"")"),0)</f>
        <v>0</v>
      </c>
      <c r="F16" s="151">
        <f ca="1">IFERROR(__xludf.DUMMYFUNCTION("IMPORTRANGE(""https://docs.google.com/spreadsheets/d/1-uDff_7J0KD5mKrp0Vvzr7lt3OU09vwQwhkpOPPYv2Y/edit?usp=sharing"",""งบพรบ!HW16"")"),0)</f>
        <v>0</v>
      </c>
      <c r="G16" s="151">
        <f ca="1">IFERROR(__xludf.DUMMYFUNCTION("IMPORTRANGE(""https://docs.google.com/spreadsheets/d/1-uDff_7J0KD5mKrp0Vvzr7lt3OU09vwQwhkpOPPYv2Y/edit?usp=sharing"",""งบพรบ!HX16"")"),0)</f>
        <v>0</v>
      </c>
      <c r="H16" s="151">
        <f ca="1">IFERROR(__xludf.DUMMYFUNCTION("IMPORTRANGE(""https://docs.google.com/spreadsheets/d/1-uDff_7J0KD5mKrp0Vvzr7lt3OU09vwQwhkpOPPYv2Y/edit?usp=sharing"",""งบพรบ!HZ16"")"),0)</f>
        <v>0</v>
      </c>
      <c r="I16" s="151">
        <f ca="1">IFERROR(__xludf.DUMMYFUNCTION("IMPORTRANGE(""https://docs.google.com/spreadsheets/d/1-uDff_7J0KD5mKrp0Vvzr7lt3OU09vwQwhkpOPPYv2Y/edit?usp=sharing"",""งบพรบ!IA16"")"),0)</f>
        <v>0</v>
      </c>
      <c r="J16" s="151">
        <f t="shared" ca="1" si="23"/>
        <v>0</v>
      </c>
      <c r="K16" s="154">
        <f t="shared" ca="1" si="24"/>
        <v>0</v>
      </c>
      <c r="L16" s="151">
        <f ca="1">IFERROR(__xludf.DUMMYFUNCTION("IMPORTRANGE(""https://docs.google.com/spreadsheets/d/1-uDff_7J0KD5mKrp0Vvzr7lt3OU09vwQwhkpOPPYv2Y/edit?usp=sharing"",""งบพรบ!IB16"")"),0)</f>
        <v>0</v>
      </c>
      <c r="M16" s="68">
        <f t="shared" ca="1" si="25"/>
        <v>0</v>
      </c>
      <c r="N16" s="68">
        <f t="shared" ca="1" si="26"/>
        <v>0</v>
      </c>
      <c r="O16" s="151">
        <f ca="1">IFERROR(__xludf.DUMMYFUNCTION("IMPORTRANGE(""https://docs.google.com/spreadsheets/d/1-uDff_7J0KD5mKrp0Vvzr7lt3OU09vwQwhkpOPPYv2Y/edit?usp=sharing"",""งบพรบ!IC16"")"),0)</f>
        <v>0</v>
      </c>
      <c r="P16" s="67">
        <f t="shared" ca="1" si="27"/>
        <v>0</v>
      </c>
      <c r="Q16" s="68">
        <f t="shared" ca="1" si="28"/>
        <v>0</v>
      </c>
      <c r="R16" s="68">
        <f ca="1">IFERROR(__xludf.DUMMYFUNCTION("IMPORTRANGE(""https://docs.google.com/spreadsheets/d/1rEDxBtusbi64tE0zunoIbsTVV16HeL0oJ6trHQeQ7K8/edit?usp=sharing"",""เชียงใหม่!Q498"")"),0)</f>
        <v>0</v>
      </c>
      <c r="S16" s="68">
        <f ca="1">IFERROR(__xludf.DUMMYFUNCTION("IMPORTRANGE(""https://docs.google.com/spreadsheets/d/1rEDxBtusbi64tE0zunoIbsTVV16HeL0oJ6trHQeQ7K8/edit?usp=sharing"",""เชียงใหม่!R498"")"),0)</f>
        <v>0</v>
      </c>
      <c r="T16" s="68">
        <f ca="1">IFERROR(__xludf.DUMMYFUNCTION("IMPORTRANGE(""https://docs.google.com/spreadsheets/d/1rEDxBtusbi64tE0zunoIbsTVV16HeL0oJ6trHQeQ7K8/edit?usp=sharing"",""เชียงใหม่!S498"")"),0)</f>
        <v>0</v>
      </c>
      <c r="U16" s="68">
        <f t="shared" ca="1" si="30"/>
        <v>0</v>
      </c>
      <c r="V16" s="68">
        <f t="shared" ca="1" si="31"/>
        <v>0</v>
      </c>
      <c r="W16" s="278">
        <f ca="1">IFERROR(__xludf.DUMMYFUNCTION("IMPORTRANGE(""https://docs.google.com/spreadsheets/d/1rEDxBtusbi64tE0zunoIbsTVV16HeL0oJ6trHQeQ7K8/edit?usp=sharing"",""เชียงใหม่!I503"")"),0)</f>
        <v>0</v>
      </c>
      <c r="X16" s="152">
        <f ca="1">IFERROR(__xludf.DUMMYFUNCTION("IMPORTRANGE(""https://docs.google.com/spreadsheets/d/1rEDxBtusbi64tE0zunoIbsTVV16HeL0oJ6trHQeQ7K8/edit?usp=sharing"",""เชียงใหม่!J503"")"),0)</f>
        <v>0</v>
      </c>
      <c r="Y16" s="216">
        <f t="shared" ca="1" si="33"/>
        <v>0</v>
      </c>
      <c r="Z16" s="152">
        <f ca="1">IFERROR(__xludf.DUMMYFUNCTION("IMPORTRANGE(""https://docs.google.com/spreadsheets/d/1rEDxBtusbi64tE0zunoIbsTVV16HeL0oJ6trHQeQ7K8/edit?usp=sharing"",""เชียงใหม่!J504"")"),0)</f>
        <v>0</v>
      </c>
      <c r="AA16" s="152">
        <f ca="1">IFERROR(__xludf.DUMMYFUNCTION("IMPORTRANGE(""https://docs.google.com/spreadsheets/d/1rEDxBtusbi64tE0zunoIbsTVV16HeL0oJ6trHQeQ7K8/edit?usp=sharing"",""เชียงใหม่!J505"")"),0)</f>
        <v>0</v>
      </c>
      <c r="AB16" s="152">
        <f ca="1">IFERROR(__xludf.DUMMYFUNCTION("IMPORTRANGE(""https://docs.google.com/spreadsheets/d/1rEDxBtusbi64tE0zunoIbsTVV16HeL0oJ6trHQeQ7K8/edit?usp=sharing"",""เชียงใหม่!J506"")"),0)</f>
        <v>0</v>
      </c>
      <c r="AC16" s="152">
        <f ca="1">IFERROR(__xludf.DUMMYFUNCTION("IMPORTRANGE(""https://docs.google.com/spreadsheets/d/1rEDxBtusbi64tE0zunoIbsTVV16HeL0oJ6trHQeQ7K8/edit?usp=sharing"",""เชียงใหม่!J507"")"),0)</f>
        <v>0</v>
      </c>
      <c r="AD16" s="152">
        <f ca="1">IFERROR(__xludf.DUMMYFUNCTION("IMPORTRANGE(""https://docs.google.com/spreadsheets/d/1rEDxBtusbi64tE0zunoIbsTVV16HeL0oJ6trHQeQ7K8/edit?usp=sharing"",""เชียงใหม่!J508"")"),0)</f>
        <v>0</v>
      </c>
      <c r="AE16" s="152">
        <f ca="1">IFERROR(__xludf.DUMMYFUNCTION("IMPORTRANGE(""https://docs.google.com/spreadsheets/d/1rEDxBtusbi64tE0zunoIbsTVV16HeL0oJ6trHQeQ7K8/edit?usp=sharing"",""เชียงใหม่!J509"")"),0)</f>
        <v>0</v>
      </c>
    </row>
    <row r="17" spans="1:31" ht="24" customHeight="1" x14ac:dyDescent="0.3">
      <c r="A17" s="70">
        <v>4</v>
      </c>
      <c r="B17" s="71" t="s">
        <v>45</v>
      </c>
      <c r="C17" s="149">
        <f t="shared" ca="1" si="21"/>
        <v>0</v>
      </c>
      <c r="D17" s="150">
        <f t="shared" ca="1" si="35"/>
        <v>0</v>
      </c>
      <c r="E17" s="151">
        <f ca="1">IFERROR(__xludf.DUMMYFUNCTION("IMPORTRANGE(""https://docs.google.com/spreadsheets/d/1-uDff_7J0KD5mKrp0Vvzr7lt3OU09vwQwhkpOPPYv2Y/edit?usp=sharing"",""งบพรบ!HV17"")"),0)</f>
        <v>0</v>
      </c>
      <c r="F17" s="151">
        <f ca="1">IFERROR(__xludf.DUMMYFUNCTION("IMPORTRANGE(""https://docs.google.com/spreadsheets/d/1-uDff_7J0KD5mKrp0Vvzr7lt3OU09vwQwhkpOPPYv2Y/edit?usp=sharing"",""งบพรบ!HW17"")"),0)</f>
        <v>0</v>
      </c>
      <c r="G17" s="151">
        <f ca="1">IFERROR(__xludf.DUMMYFUNCTION("IMPORTRANGE(""https://docs.google.com/spreadsheets/d/1-uDff_7J0KD5mKrp0Vvzr7lt3OU09vwQwhkpOPPYv2Y/edit?usp=sharing"",""งบพรบ!HX17"")"),0)</f>
        <v>0</v>
      </c>
      <c r="H17" s="151">
        <f ca="1">IFERROR(__xludf.DUMMYFUNCTION("IMPORTRANGE(""https://docs.google.com/spreadsheets/d/1-uDff_7J0KD5mKrp0Vvzr7lt3OU09vwQwhkpOPPYv2Y/edit?usp=sharing"",""งบพรบ!HZ17"")"),0)</f>
        <v>0</v>
      </c>
      <c r="I17" s="151">
        <f ca="1">IFERROR(__xludf.DUMMYFUNCTION("IMPORTRANGE(""https://docs.google.com/spreadsheets/d/1-uDff_7J0KD5mKrp0Vvzr7lt3OU09vwQwhkpOPPYv2Y/edit?usp=sharing"",""งบพรบ!IA17"")"),0)</f>
        <v>0</v>
      </c>
      <c r="J17" s="151">
        <f t="shared" ca="1" si="23"/>
        <v>0</v>
      </c>
      <c r="K17" s="154">
        <f t="shared" ca="1" si="24"/>
        <v>0</v>
      </c>
      <c r="L17" s="151">
        <f ca="1">IFERROR(__xludf.DUMMYFUNCTION("IMPORTRANGE(""https://docs.google.com/spreadsheets/d/1-uDff_7J0KD5mKrp0Vvzr7lt3OU09vwQwhkpOPPYv2Y/edit?usp=sharing"",""งบพรบ!IB17"")"),0)</f>
        <v>0</v>
      </c>
      <c r="M17" s="68">
        <f t="shared" ca="1" si="25"/>
        <v>0</v>
      </c>
      <c r="N17" s="68">
        <f t="shared" ca="1" si="26"/>
        <v>0</v>
      </c>
      <c r="O17" s="151">
        <f ca="1">IFERROR(__xludf.DUMMYFUNCTION("IMPORTRANGE(""https://docs.google.com/spreadsheets/d/1-uDff_7J0KD5mKrp0Vvzr7lt3OU09vwQwhkpOPPYv2Y/edit?usp=sharing"",""งบพรบ!IC17"")"),0)</f>
        <v>0</v>
      </c>
      <c r="P17" s="67">
        <f t="shared" ca="1" si="27"/>
        <v>0</v>
      </c>
      <c r="Q17" s="68">
        <f t="shared" ca="1" si="28"/>
        <v>0</v>
      </c>
      <c r="R17" s="68">
        <f ca="1">IFERROR(__xludf.DUMMYFUNCTION("IMPORTRANGE(""https://docs.google.com/spreadsheets/d/1W6MnUbDkMi6xHnHko_XkFDO9kkuL6Wqyc-6OCDFjW9I/edit?usp=sharing"",""ตาก!Q498"")"),0)</f>
        <v>0</v>
      </c>
      <c r="S17" s="68">
        <f ca="1">IFERROR(__xludf.DUMMYFUNCTION("IMPORTRANGE(""https://docs.google.com/spreadsheets/d/1W6MnUbDkMi6xHnHko_XkFDO9kkuL6Wqyc-6OCDFjW9I/edit?usp=sharing"",""ตาก!R498"")"),0)</f>
        <v>0</v>
      </c>
      <c r="T17" s="68">
        <f ca="1">IFERROR(__xludf.DUMMYFUNCTION("IMPORTRANGE(""https://docs.google.com/spreadsheets/d/1W6MnUbDkMi6xHnHko_XkFDO9kkuL6Wqyc-6OCDFjW9I/edit?usp=sharing"",""ตาก!S498"")"),0)</f>
        <v>0</v>
      </c>
      <c r="U17" s="68">
        <f t="shared" ca="1" si="30"/>
        <v>0</v>
      </c>
      <c r="V17" s="68">
        <f t="shared" ca="1" si="31"/>
        <v>0</v>
      </c>
      <c r="W17" s="278">
        <f ca="1">IFERROR(__xludf.DUMMYFUNCTION("IMPORTRANGE(""https://docs.google.com/spreadsheets/d/1W6MnUbDkMi6xHnHko_XkFDO9kkuL6Wqyc-6OCDFjW9I/edit?usp=sharing"",""ตาก!I503"")"),0)</f>
        <v>0</v>
      </c>
      <c r="X17" s="152">
        <f ca="1">IFERROR(__xludf.DUMMYFUNCTION("IMPORTRANGE(""https://docs.google.com/spreadsheets/d/1W6MnUbDkMi6xHnHko_XkFDO9kkuL6Wqyc-6OCDFjW9I/edit?usp=sharing"",""ตาก!J503"")"),0)</f>
        <v>0</v>
      </c>
      <c r="Y17" s="216">
        <f t="shared" ca="1" si="33"/>
        <v>0</v>
      </c>
      <c r="Z17" s="152">
        <f ca="1">IFERROR(__xludf.DUMMYFUNCTION("IMPORTRANGE(""https://docs.google.com/spreadsheets/d/1W6MnUbDkMi6xHnHko_XkFDO9kkuL6Wqyc-6OCDFjW9I/edit?usp=sharing"",""ตาก!J504"")"),0)</f>
        <v>0</v>
      </c>
      <c r="AA17" s="152">
        <f ca="1">IFERROR(__xludf.DUMMYFUNCTION("IMPORTRANGE(""https://docs.google.com/spreadsheets/d/1W6MnUbDkMi6xHnHko_XkFDO9kkuL6Wqyc-6OCDFjW9I/edit?usp=sharing"",""ตาก!J505"")"),0)</f>
        <v>0</v>
      </c>
      <c r="AB17" s="152">
        <f ca="1">IFERROR(__xludf.DUMMYFUNCTION("IMPORTRANGE(""https://docs.google.com/spreadsheets/d/1W6MnUbDkMi6xHnHko_XkFDO9kkuL6Wqyc-6OCDFjW9I/edit?usp=sharing"",""ตาก!J506"")"),0)</f>
        <v>0</v>
      </c>
      <c r="AC17" s="152">
        <f ca="1">IFERROR(__xludf.DUMMYFUNCTION("IMPORTRANGE(""https://docs.google.com/spreadsheets/d/1W6MnUbDkMi6xHnHko_XkFDO9kkuL6Wqyc-6OCDFjW9I/edit?usp=sharing"",""ตาก!J507"")"),0)</f>
        <v>0</v>
      </c>
      <c r="AD17" s="152">
        <f ca="1">IFERROR(__xludf.DUMMYFUNCTION("IMPORTRANGE(""https://docs.google.com/spreadsheets/d/1W6MnUbDkMi6xHnHko_XkFDO9kkuL6Wqyc-6OCDFjW9I/edit?usp=sharing"",""ตาก!J508"")"),0)</f>
        <v>0</v>
      </c>
      <c r="AE17" s="152">
        <f ca="1">IFERROR(__xludf.DUMMYFUNCTION("IMPORTRANGE(""https://docs.google.com/spreadsheets/d/1W6MnUbDkMi6xHnHko_XkFDO9kkuL6Wqyc-6OCDFjW9I/edit?usp=sharing"",""ตาก!J509"")"),0)</f>
        <v>0</v>
      </c>
    </row>
    <row r="18" spans="1:31" ht="24" customHeight="1" x14ac:dyDescent="0.3">
      <c r="A18" s="70">
        <v>5</v>
      </c>
      <c r="B18" s="71" t="s">
        <v>46</v>
      </c>
      <c r="C18" s="149">
        <f t="shared" ca="1" si="21"/>
        <v>0</v>
      </c>
      <c r="D18" s="150">
        <f t="shared" ca="1" si="35"/>
        <v>0</v>
      </c>
      <c r="E18" s="151">
        <f ca="1">IFERROR(__xludf.DUMMYFUNCTION("IMPORTRANGE(""https://docs.google.com/spreadsheets/d/1-uDff_7J0KD5mKrp0Vvzr7lt3OU09vwQwhkpOPPYv2Y/edit?usp=sharing"",""งบพรบ!HV18"")"),0)</f>
        <v>0</v>
      </c>
      <c r="F18" s="151">
        <f ca="1">IFERROR(__xludf.DUMMYFUNCTION("IMPORTRANGE(""https://docs.google.com/spreadsheets/d/1-uDff_7J0KD5mKrp0Vvzr7lt3OU09vwQwhkpOPPYv2Y/edit?usp=sharing"",""งบพรบ!HW18"")"),0)</f>
        <v>0</v>
      </c>
      <c r="G18" s="151">
        <f ca="1">IFERROR(__xludf.DUMMYFUNCTION("IMPORTRANGE(""https://docs.google.com/spreadsheets/d/1-uDff_7J0KD5mKrp0Vvzr7lt3OU09vwQwhkpOPPYv2Y/edit?usp=sharing"",""งบพรบ!HX18"")"),0)</f>
        <v>0</v>
      </c>
      <c r="H18" s="151">
        <f ca="1">IFERROR(__xludf.DUMMYFUNCTION("IMPORTRANGE(""https://docs.google.com/spreadsheets/d/1-uDff_7J0KD5mKrp0Vvzr7lt3OU09vwQwhkpOPPYv2Y/edit?usp=sharing"",""งบพรบ!HZ18"")"),0)</f>
        <v>0</v>
      </c>
      <c r="I18" s="151">
        <f ca="1">IFERROR(__xludf.DUMMYFUNCTION("IMPORTRANGE(""https://docs.google.com/spreadsheets/d/1-uDff_7J0KD5mKrp0Vvzr7lt3OU09vwQwhkpOPPYv2Y/edit?usp=sharing"",""งบพรบ!IA18"")"),0)</f>
        <v>0</v>
      </c>
      <c r="J18" s="151">
        <f t="shared" ca="1" si="23"/>
        <v>0</v>
      </c>
      <c r="K18" s="154">
        <f t="shared" ca="1" si="24"/>
        <v>0</v>
      </c>
      <c r="L18" s="151">
        <f ca="1">IFERROR(__xludf.DUMMYFUNCTION("IMPORTRANGE(""https://docs.google.com/spreadsheets/d/1-uDff_7J0KD5mKrp0Vvzr7lt3OU09vwQwhkpOPPYv2Y/edit?usp=sharing"",""งบพรบ!IB18"")"),0)</f>
        <v>0</v>
      </c>
      <c r="M18" s="68">
        <f t="shared" ca="1" si="25"/>
        <v>0</v>
      </c>
      <c r="N18" s="68">
        <f t="shared" ca="1" si="26"/>
        <v>0</v>
      </c>
      <c r="O18" s="151">
        <f ca="1">IFERROR(__xludf.DUMMYFUNCTION("IMPORTRANGE(""https://docs.google.com/spreadsheets/d/1-uDff_7J0KD5mKrp0Vvzr7lt3OU09vwQwhkpOPPYv2Y/edit?usp=sharing"",""งบพรบ!IC18"")"),0)</f>
        <v>0</v>
      </c>
      <c r="P18" s="67">
        <f t="shared" ca="1" si="27"/>
        <v>0</v>
      </c>
      <c r="Q18" s="68">
        <f t="shared" ca="1" si="28"/>
        <v>0</v>
      </c>
      <c r="R18" s="68">
        <f ca="1">IFERROR(__xludf.DUMMYFUNCTION("IMPORTRANGE(""https://docs.google.com/spreadsheets/d/1IQAWArduLkta9LpYo4a_ULsyqdta6-6aDDiwpUnQT6c/edit?usp=sharing"",""นครสวรรค์!Q498"")"),0)</f>
        <v>0</v>
      </c>
      <c r="S18" s="68">
        <f ca="1">IFERROR(__xludf.DUMMYFUNCTION("IMPORTRANGE(""https://docs.google.com/spreadsheets/d/1IQAWArduLkta9LpYo4a_ULsyqdta6-6aDDiwpUnQT6c/edit?usp=sharing"",""นครสวรรค์!R498"")"),0)</f>
        <v>0</v>
      </c>
      <c r="T18" s="68">
        <f ca="1">IFERROR(__xludf.DUMMYFUNCTION("IMPORTRANGE(""https://docs.google.com/spreadsheets/d/1IQAWArduLkta9LpYo4a_ULsyqdta6-6aDDiwpUnQT6c/edit?usp=sharing"",""นครสวรรค์!S498"")"),0)</f>
        <v>0</v>
      </c>
      <c r="U18" s="68">
        <f t="shared" ca="1" si="30"/>
        <v>0</v>
      </c>
      <c r="V18" s="68">
        <f t="shared" ca="1" si="31"/>
        <v>0</v>
      </c>
      <c r="W18" s="278">
        <f ca="1">IFERROR(__xludf.DUMMYFUNCTION("IMPORTRANGE(""https://docs.google.com/spreadsheets/d/1IQAWArduLkta9LpYo4a_ULsyqdta6-6aDDiwpUnQT6c/edit?usp=sharing"",""นครสวรรค์!I503"")"),0)</f>
        <v>0</v>
      </c>
      <c r="X18" s="152">
        <f ca="1">IFERROR(__xludf.DUMMYFUNCTION("IMPORTRANGE(""https://docs.google.com/spreadsheets/d/1IQAWArduLkta9LpYo4a_ULsyqdta6-6aDDiwpUnQT6c/edit?usp=sharing"",""นครสวรรค์!J503"")"),0)</f>
        <v>0</v>
      </c>
      <c r="Y18" s="216">
        <f t="shared" ca="1" si="33"/>
        <v>0</v>
      </c>
      <c r="Z18" s="152">
        <f ca="1">IFERROR(__xludf.DUMMYFUNCTION("IMPORTRANGE(""https://docs.google.com/spreadsheets/d/1IQAWArduLkta9LpYo4a_ULsyqdta6-6aDDiwpUnQT6c/edit?usp=sharing"",""นครสวรรค์!J504"")"),0)</f>
        <v>0</v>
      </c>
      <c r="AA18" s="152">
        <f ca="1">IFERROR(__xludf.DUMMYFUNCTION("IMPORTRANGE(""https://docs.google.com/spreadsheets/d/1IQAWArduLkta9LpYo4a_ULsyqdta6-6aDDiwpUnQT6c/edit?usp=sharing"",""นครสวรรค์!J505"")"),0)</f>
        <v>0</v>
      </c>
      <c r="AB18" s="152">
        <f ca="1">IFERROR(__xludf.DUMMYFUNCTION("IMPORTRANGE(""https://docs.google.com/spreadsheets/d/1IQAWArduLkta9LpYo4a_ULsyqdta6-6aDDiwpUnQT6c/edit?usp=sharing"",""นครสวรรค์!J506"")"),0)</f>
        <v>0</v>
      </c>
      <c r="AC18" s="152">
        <f ca="1">IFERROR(__xludf.DUMMYFUNCTION("IMPORTRANGE(""https://docs.google.com/spreadsheets/d/1IQAWArduLkta9LpYo4a_ULsyqdta6-6aDDiwpUnQT6c/edit?usp=sharing"",""นครสวรรค์!J507"")"),0)</f>
        <v>0</v>
      </c>
      <c r="AD18" s="152">
        <f ca="1">IFERROR(__xludf.DUMMYFUNCTION("IMPORTRANGE(""https://docs.google.com/spreadsheets/d/1IQAWArduLkta9LpYo4a_ULsyqdta6-6aDDiwpUnQT6c/edit?usp=sharing"",""นครสวรรค์!J508"")"),0)</f>
        <v>0</v>
      </c>
      <c r="AE18" s="152">
        <f ca="1">IFERROR(__xludf.DUMMYFUNCTION("IMPORTRANGE(""https://docs.google.com/spreadsheets/d/1IQAWArduLkta9LpYo4a_ULsyqdta6-6aDDiwpUnQT6c/edit?usp=sharing"",""นครสวรรค์!J509"")"),0)</f>
        <v>0</v>
      </c>
    </row>
    <row r="19" spans="1:31" ht="24" customHeight="1" x14ac:dyDescent="0.3">
      <c r="A19" s="70">
        <v>6</v>
      </c>
      <c r="B19" s="71" t="s">
        <v>47</v>
      </c>
      <c r="C19" s="149">
        <f t="shared" ca="1" si="21"/>
        <v>0</v>
      </c>
      <c r="D19" s="150">
        <f t="shared" ca="1" si="35"/>
        <v>0</v>
      </c>
      <c r="E19" s="151">
        <f ca="1">IFERROR(__xludf.DUMMYFUNCTION("IMPORTRANGE(""https://docs.google.com/spreadsheets/d/1-uDff_7J0KD5mKrp0Vvzr7lt3OU09vwQwhkpOPPYv2Y/edit?usp=sharing"",""งบพรบ!HV19"")"),0)</f>
        <v>0</v>
      </c>
      <c r="F19" s="151">
        <f ca="1">IFERROR(__xludf.DUMMYFUNCTION("IMPORTRANGE(""https://docs.google.com/spreadsheets/d/1-uDff_7J0KD5mKrp0Vvzr7lt3OU09vwQwhkpOPPYv2Y/edit?usp=sharing"",""งบพรบ!HW19"")"),0)</f>
        <v>0</v>
      </c>
      <c r="G19" s="151">
        <f ca="1">IFERROR(__xludf.DUMMYFUNCTION("IMPORTRANGE(""https://docs.google.com/spreadsheets/d/1-uDff_7J0KD5mKrp0Vvzr7lt3OU09vwQwhkpOPPYv2Y/edit?usp=sharing"",""งบพรบ!HX19"")"),0)</f>
        <v>0</v>
      </c>
      <c r="H19" s="151">
        <f ca="1">IFERROR(__xludf.DUMMYFUNCTION("IMPORTRANGE(""https://docs.google.com/spreadsheets/d/1-uDff_7J0KD5mKrp0Vvzr7lt3OU09vwQwhkpOPPYv2Y/edit?usp=sharing"",""งบพรบ!HZ19"")"),0)</f>
        <v>0</v>
      </c>
      <c r="I19" s="151">
        <f ca="1">IFERROR(__xludf.DUMMYFUNCTION("IMPORTRANGE(""https://docs.google.com/spreadsheets/d/1-uDff_7J0KD5mKrp0Vvzr7lt3OU09vwQwhkpOPPYv2Y/edit?usp=sharing"",""งบพรบ!IA19"")"),0)</f>
        <v>0</v>
      </c>
      <c r="J19" s="151">
        <f t="shared" ca="1" si="23"/>
        <v>0</v>
      </c>
      <c r="K19" s="154">
        <f t="shared" ca="1" si="24"/>
        <v>0</v>
      </c>
      <c r="L19" s="151">
        <f ca="1">IFERROR(__xludf.DUMMYFUNCTION("IMPORTRANGE(""https://docs.google.com/spreadsheets/d/1-uDff_7J0KD5mKrp0Vvzr7lt3OU09vwQwhkpOPPYv2Y/edit?usp=sharing"",""งบพรบ!IB19"")"),0)</f>
        <v>0</v>
      </c>
      <c r="M19" s="68">
        <f t="shared" ca="1" si="25"/>
        <v>0</v>
      </c>
      <c r="N19" s="68">
        <f t="shared" ca="1" si="26"/>
        <v>0</v>
      </c>
      <c r="O19" s="151">
        <f ca="1">IFERROR(__xludf.DUMMYFUNCTION("IMPORTRANGE(""https://docs.google.com/spreadsheets/d/1-uDff_7J0KD5mKrp0Vvzr7lt3OU09vwQwhkpOPPYv2Y/edit?usp=sharing"",""งบพรบ!IC19"")"),0)</f>
        <v>0</v>
      </c>
      <c r="P19" s="67">
        <f t="shared" ca="1" si="27"/>
        <v>0</v>
      </c>
      <c r="Q19" s="68">
        <f t="shared" ca="1" si="28"/>
        <v>0</v>
      </c>
      <c r="R19" s="68">
        <f ca="1">IFERROR(__xludf.DUMMYFUNCTION("IMPORTRANGE(""https://docs.google.com/spreadsheets/d/10s13Sk5xrltsiR-Zkbmk5DwIaDIKO8XlbJAfqyT7Gvg/edit?usp=sharing"",""น่าน!Q498"")"),0)</f>
        <v>0</v>
      </c>
      <c r="S19" s="68">
        <f ca="1">IFERROR(__xludf.DUMMYFUNCTION("IMPORTRANGE(""https://docs.google.com/spreadsheets/d/10s13Sk5xrltsiR-Zkbmk5DwIaDIKO8XlbJAfqyT7Gvg/edit?usp=sharing"",""น่าน!R498"")"),0)</f>
        <v>0</v>
      </c>
      <c r="T19" s="68">
        <f ca="1">IFERROR(__xludf.DUMMYFUNCTION("IMPORTRANGE(""https://docs.google.com/spreadsheets/d/10s13Sk5xrltsiR-Zkbmk5DwIaDIKO8XlbJAfqyT7Gvg/edit?usp=sharing"",""น่าน!S498"")"),0)</f>
        <v>0</v>
      </c>
      <c r="U19" s="68">
        <f t="shared" ca="1" si="30"/>
        <v>0</v>
      </c>
      <c r="V19" s="68">
        <f t="shared" ca="1" si="31"/>
        <v>0</v>
      </c>
      <c r="W19" s="278">
        <f ca="1">IFERROR(__xludf.DUMMYFUNCTION("IMPORTRANGE(""https://docs.google.com/spreadsheets/d/10s13Sk5xrltsiR-Zkbmk5DwIaDIKO8XlbJAfqyT7Gvg/edit?usp=sharing"",""น่าน!I503"")"),0)</f>
        <v>0</v>
      </c>
      <c r="X19" s="152">
        <f ca="1">IFERROR(__xludf.DUMMYFUNCTION("IMPORTRANGE(""https://docs.google.com/spreadsheets/d/10s13Sk5xrltsiR-Zkbmk5DwIaDIKO8XlbJAfqyT7Gvg/edit?usp=sharing"",""น่าน!J503"")"),0)</f>
        <v>0</v>
      </c>
      <c r="Y19" s="216">
        <f t="shared" ca="1" si="33"/>
        <v>0</v>
      </c>
      <c r="Z19" s="152">
        <f ca="1">IFERROR(__xludf.DUMMYFUNCTION("IMPORTRANGE(""https://docs.google.com/spreadsheets/d/10s13Sk5xrltsiR-Zkbmk5DwIaDIKO8XlbJAfqyT7Gvg/edit?usp=sharing"",""น่าน!J504"")"),0)</f>
        <v>0</v>
      </c>
      <c r="AA19" s="152">
        <f ca="1">IFERROR(__xludf.DUMMYFUNCTION("IMPORTRANGE(""https://docs.google.com/spreadsheets/d/10s13Sk5xrltsiR-Zkbmk5DwIaDIKO8XlbJAfqyT7Gvg/edit?usp=sharing"",""น่าน!J505"")"),0)</f>
        <v>0</v>
      </c>
      <c r="AB19" s="152">
        <f ca="1">IFERROR(__xludf.DUMMYFUNCTION("IMPORTRANGE(""https://docs.google.com/spreadsheets/d/10s13Sk5xrltsiR-Zkbmk5DwIaDIKO8XlbJAfqyT7Gvg/edit?usp=sharing"",""น่าน!J506"")"),0)</f>
        <v>0</v>
      </c>
      <c r="AC19" s="152">
        <f ca="1">IFERROR(__xludf.DUMMYFUNCTION("IMPORTRANGE(""https://docs.google.com/spreadsheets/d/10s13Sk5xrltsiR-Zkbmk5DwIaDIKO8XlbJAfqyT7Gvg/edit?usp=sharing"",""น่าน!J507"")"),0)</f>
        <v>0</v>
      </c>
      <c r="AD19" s="152">
        <f ca="1">IFERROR(__xludf.DUMMYFUNCTION("IMPORTRANGE(""https://docs.google.com/spreadsheets/d/10s13Sk5xrltsiR-Zkbmk5DwIaDIKO8XlbJAfqyT7Gvg/edit?usp=sharing"",""น่าน!J508"")"),0)</f>
        <v>0</v>
      </c>
      <c r="AE19" s="152">
        <f ca="1">IFERROR(__xludf.DUMMYFUNCTION("IMPORTRANGE(""https://docs.google.com/spreadsheets/d/10s13Sk5xrltsiR-Zkbmk5DwIaDIKO8XlbJAfqyT7Gvg/edit?usp=sharing"",""น่าน!J509"")"),0)</f>
        <v>0</v>
      </c>
    </row>
    <row r="20" spans="1:31" ht="24" customHeight="1" x14ac:dyDescent="0.3">
      <c r="A20" s="70">
        <v>7</v>
      </c>
      <c r="B20" s="71" t="s">
        <v>48</v>
      </c>
      <c r="C20" s="149">
        <f t="shared" ca="1" si="21"/>
        <v>0</v>
      </c>
      <c r="D20" s="150">
        <f t="shared" ca="1" si="35"/>
        <v>0</v>
      </c>
      <c r="E20" s="151">
        <f ca="1">IFERROR(__xludf.DUMMYFUNCTION("IMPORTRANGE(""https://docs.google.com/spreadsheets/d/1-uDff_7J0KD5mKrp0Vvzr7lt3OU09vwQwhkpOPPYv2Y/edit?usp=sharing"",""งบพรบ!HV20"")"),0)</f>
        <v>0</v>
      </c>
      <c r="F20" s="151">
        <f ca="1">IFERROR(__xludf.DUMMYFUNCTION("IMPORTRANGE(""https://docs.google.com/spreadsheets/d/1-uDff_7J0KD5mKrp0Vvzr7lt3OU09vwQwhkpOPPYv2Y/edit?usp=sharing"",""งบพรบ!HW20"")"),0)</f>
        <v>0</v>
      </c>
      <c r="G20" s="151">
        <f ca="1">IFERROR(__xludf.DUMMYFUNCTION("IMPORTRANGE(""https://docs.google.com/spreadsheets/d/1-uDff_7J0KD5mKrp0Vvzr7lt3OU09vwQwhkpOPPYv2Y/edit?usp=sharing"",""งบพรบ!HX20"")"),0)</f>
        <v>0</v>
      </c>
      <c r="H20" s="151">
        <f ca="1">IFERROR(__xludf.DUMMYFUNCTION("IMPORTRANGE(""https://docs.google.com/spreadsheets/d/1-uDff_7J0KD5mKrp0Vvzr7lt3OU09vwQwhkpOPPYv2Y/edit?usp=sharing"",""งบพรบ!HZ20"")"),0)</f>
        <v>0</v>
      </c>
      <c r="I20" s="151">
        <f ca="1">IFERROR(__xludf.DUMMYFUNCTION("IMPORTRANGE(""https://docs.google.com/spreadsheets/d/1-uDff_7J0KD5mKrp0Vvzr7lt3OU09vwQwhkpOPPYv2Y/edit?usp=sharing"",""งบพรบ!IA20"")"),0)</f>
        <v>0</v>
      </c>
      <c r="J20" s="151">
        <f t="shared" ca="1" si="23"/>
        <v>0</v>
      </c>
      <c r="K20" s="154">
        <f t="shared" ca="1" si="24"/>
        <v>0</v>
      </c>
      <c r="L20" s="151">
        <f ca="1">IFERROR(__xludf.DUMMYFUNCTION("IMPORTRANGE(""https://docs.google.com/spreadsheets/d/1-uDff_7J0KD5mKrp0Vvzr7lt3OU09vwQwhkpOPPYv2Y/edit?usp=sharing"",""งบพรบ!IB20"")"),0)</f>
        <v>0</v>
      </c>
      <c r="M20" s="68">
        <f t="shared" ca="1" si="25"/>
        <v>0</v>
      </c>
      <c r="N20" s="68">
        <f t="shared" ca="1" si="26"/>
        <v>0</v>
      </c>
      <c r="O20" s="151">
        <f ca="1">IFERROR(__xludf.DUMMYFUNCTION("IMPORTRANGE(""https://docs.google.com/spreadsheets/d/1-uDff_7J0KD5mKrp0Vvzr7lt3OU09vwQwhkpOPPYv2Y/edit?usp=sharing"",""งบพรบ!IC20"")"),0)</f>
        <v>0</v>
      </c>
      <c r="P20" s="67">
        <f t="shared" ca="1" si="27"/>
        <v>0</v>
      </c>
      <c r="Q20" s="68">
        <f t="shared" ca="1" si="28"/>
        <v>0</v>
      </c>
      <c r="R20" s="68">
        <f ca="1">IFERROR(__xludf.DUMMYFUNCTION("IMPORTRANGE(""https://docs.google.com/spreadsheets/d/1uu4nAn4Dbi1XREnLKKotUANlKXa7yCgRcgq8HEzQYW8/edit?usp=sharing"",""พะเยา!Q498"")"),0)</f>
        <v>0</v>
      </c>
      <c r="S20" s="68">
        <f ca="1">IFERROR(__xludf.DUMMYFUNCTION("IMPORTRANGE(""https://docs.google.com/spreadsheets/d/1uu4nAn4Dbi1XREnLKKotUANlKXa7yCgRcgq8HEzQYW8/edit?usp=sharing"",""พะเยา!R498"")"),0)</f>
        <v>0</v>
      </c>
      <c r="T20" s="68">
        <f ca="1">IFERROR(__xludf.DUMMYFUNCTION("IMPORTRANGE(""https://docs.google.com/spreadsheets/d/1uu4nAn4Dbi1XREnLKKotUANlKXa7yCgRcgq8HEzQYW8/edit?usp=sharing"",""พะเยา!S498"")"),0)</f>
        <v>0</v>
      </c>
      <c r="U20" s="68">
        <f t="shared" ca="1" si="30"/>
        <v>0</v>
      </c>
      <c r="V20" s="68">
        <f t="shared" ca="1" si="31"/>
        <v>0</v>
      </c>
      <c r="W20" s="278">
        <f ca="1">IFERROR(__xludf.DUMMYFUNCTION("IMPORTRANGE(""https://docs.google.com/spreadsheets/d/1uu4nAn4Dbi1XREnLKKotUANlKXa7yCgRcgq8HEzQYW8/edit?usp=sharing"",""พะเยา!I503"")"),0)</f>
        <v>0</v>
      </c>
      <c r="X20" s="152">
        <f ca="1">IFERROR(__xludf.DUMMYFUNCTION("IMPORTRANGE(""https://docs.google.com/spreadsheets/d/1uu4nAn4Dbi1XREnLKKotUANlKXa7yCgRcgq8HEzQYW8/edit?usp=sharing"",""พะเยา!J503"")"),0)</f>
        <v>0</v>
      </c>
      <c r="Y20" s="216">
        <f t="shared" ca="1" si="33"/>
        <v>0</v>
      </c>
      <c r="Z20" s="152">
        <f ca="1">IFERROR(__xludf.DUMMYFUNCTION("IMPORTRANGE(""https://docs.google.com/spreadsheets/d/1uu4nAn4Dbi1XREnLKKotUANlKXa7yCgRcgq8HEzQYW8/edit?usp=sharing"",""พะเยา!J504"")"),0)</f>
        <v>0</v>
      </c>
      <c r="AA20" s="152">
        <f ca="1">IFERROR(__xludf.DUMMYFUNCTION("IMPORTRANGE(""https://docs.google.com/spreadsheets/d/1uu4nAn4Dbi1XREnLKKotUANlKXa7yCgRcgq8HEzQYW8/edit?usp=sharing"",""พะเยา!J505"")"),0)</f>
        <v>0</v>
      </c>
      <c r="AB20" s="152">
        <f ca="1">IFERROR(__xludf.DUMMYFUNCTION("IMPORTRANGE(""https://docs.google.com/spreadsheets/d/1uu4nAn4Dbi1XREnLKKotUANlKXa7yCgRcgq8HEzQYW8/edit?usp=sharing"",""พะเยา!J506"")"),0)</f>
        <v>0</v>
      </c>
      <c r="AC20" s="152">
        <f ca="1">IFERROR(__xludf.DUMMYFUNCTION("IMPORTRANGE(""https://docs.google.com/spreadsheets/d/1uu4nAn4Dbi1XREnLKKotUANlKXa7yCgRcgq8HEzQYW8/edit?usp=sharing"",""พะเยา!J507"")"),0)</f>
        <v>0</v>
      </c>
      <c r="AD20" s="152">
        <f ca="1">IFERROR(__xludf.DUMMYFUNCTION("IMPORTRANGE(""https://docs.google.com/spreadsheets/d/1uu4nAn4Dbi1XREnLKKotUANlKXa7yCgRcgq8HEzQYW8/edit?usp=sharing"",""พะเยา!J508"")"),0)</f>
        <v>0</v>
      </c>
      <c r="AE20" s="152">
        <f ca="1">IFERROR(__xludf.DUMMYFUNCTION("IMPORTRANGE(""https://docs.google.com/spreadsheets/d/1uu4nAn4Dbi1XREnLKKotUANlKXa7yCgRcgq8HEzQYW8/edit?usp=sharing"",""พะเยา!J509"")"),0)</f>
        <v>0</v>
      </c>
    </row>
    <row r="21" spans="1:31" ht="24" customHeight="1" x14ac:dyDescent="0.3">
      <c r="A21" s="70">
        <v>8</v>
      </c>
      <c r="B21" s="71" t="s">
        <v>49</v>
      </c>
      <c r="C21" s="149">
        <f t="shared" ca="1" si="21"/>
        <v>0</v>
      </c>
      <c r="D21" s="150">
        <f t="shared" ca="1" si="35"/>
        <v>0</v>
      </c>
      <c r="E21" s="151">
        <f ca="1">IFERROR(__xludf.DUMMYFUNCTION("IMPORTRANGE(""https://docs.google.com/spreadsheets/d/1-uDff_7J0KD5mKrp0Vvzr7lt3OU09vwQwhkpOPPYv2Y/edit?usp=sharing"",""งบพรบ!HV21"")"),0)</f>
        <v>0</v>
      </c>
      <c r="F21" s="151">
        <f ca="1">IFERROR(__xludf.DUMMYFUNCTION("IMPORTRANGE(""https://docs.google.com/spreadsheets/d/1-uDff_7J0KD5mKrp0Vvzr7lt3OU09vwQwhkpOPPYv2Y/edit?usp=sharing"",""งบพรบ!HW21"")"),0)</f>
        <v>0</v>
      </c>
      <c r="G21" s="151">
        <f ca="1">IFERROR(__xludf.DUMMYFUNCTION("IMPORTRANGE(""https://docs.google.com/spreadsheets/d/1-uDff_7J0KD5mKrp0Vvzr7lt3OU09vwQwhkpOPPYv2Y/edit?usp=sharing"",""งบพรบ!HX21"")"),0)</f>
        <v>0</v>
      </c>
      <c r="H21" s="151">
        <f ca="1">IFERROR(__xludf.DUMMYFUNCTION("IMPORTRANGE(""https://docs.google.com/spreadsheets/d/1-uDff_7J0KD5mKrp0Vvzr7lt3OU09vwQwhkpOPPYv2Y/edit?usp=sharing"",""งบพรบ!HZ21"")"),0)</f>
        <v>0</v>
      </c>
      <c r="I21" s="151">
        <f ca="1">IFERROR(__xludf.DUMMYFUNCTION("IMPORTRANGE(""https://docs.google.com/spreadsheets/d/1-uDff_7J0KD5mKrp0Vvzr7lt3OU09vwQwhkpOPPYv2Y/edit?usp=sharing"",""งบพรบ!IA21"")"),0)</f>
        <v>0</v>
      </c>
      <c r="J21" s="151">
        <f t="shared" ca="1" si="23"/>
        <v>0</v>
      </c>
      <c r="K21" s="154">
        <f t="shared" ca="1" si="24"/>
        <v>0</v>
      </c>
      <c r="L21" s="151">
        <f ca="1">IFERROR(__xludf.DUMMYFUNCTION("IMPORTRANGE(""https://docs.google.com/spreadsheets/d/1-uDff_7J0KD5mKrp0Vvzr7lt3OU09vwQwhkpOPPYv2Y/edit?usp=sharing"",""งบพรบ!IB21"")"),0)</f>
        <v>0</v>
      </c>
      <c r="M21" s="68">
        <f t="shared" ca="1" si="25"/>
        <v>0</v>
      </c>
      <c r="N21" s="68">
        <f t="shared" ca="1" si="26"/>
        <v>0</v>
      </c>
      <c r="O21" s="151">
        <f ca="1">IFERROR(__xludf.DUMMYFUNCTION("IMPORTRANGE(""https://docs.google.com/spreadsheets/d/1-uDff_7J0KD5mKrp0Vvzr7lt3OU09vwQwhkpOPPYv2Y/edit?usp=sharing"",""งบพรบ!IC21"")"),0)</f>
        <v>0</v>
      </c>
      <c r="P21" s="67">
        <f t="shared" ca="1" si="27"/>
        <v>0</v>
      </c>
      <c r="Q21" s="68">
        <f t="shared" ca="1" si="28"/>
        <v>0</v>
      </c>
      <c r="R21" s="68">
        <f ca="1">IFERROR(__xludf.DUMMYFUNCTION("IMPORTRANGE(""https://docs.google.com/spreadsheets/d/1xfJKIQxVOaPDIICqsflNlLu3JacTDk1FP9RH4phX7mI/edit?usp=sharing"",""พิจิตร!Q498"")"),0)</f>
        <v>0</v>
      </c>
      <c r="S21" s="68">
        <f ca="1">IFERROR(__xludf.DUMMYFUNCTION("IMPORTRANGE(""https://docs.google.com/spreadsheets/d/1xfJKIQxVOaPDIICqsflNlLu3JacTDk1FP9RH4phX7mI/edit?usp=sharing"",""พิจิตร!R498"")"),0)</f>
        <v>0</v>
      </c>
      <c r="T21" s="68">
        <f ca="1">IFERROR(__xludf.DUMMYFUNCTION("IMPORTRANGE(""https://docs.google.com/spreadsheets/d/1xfJKIQxVOaPDIICqsflNlLu3JacTDk1FP9RH4phX7mI/edit?usp=sharing"",""พิจิตร!S498"")"),0)</f>
        <v>0</v>
      </c>
      <c r="U21" s="68">
        <f t="shared" ca="1" si="30"/>
        <v>0</v>
      </c>
      <c r="V21" s="68">
        <f t="shared" ca="1" si="31"/>
        <v>0</v>
      </c>
      <c r="W21" s="278">
        <f ca="1">IFERROR(__xludf.DUMMYFUNCTION("IMPORTRANGE(""https://docs.google.com/spreadsheets/d/1xfJKIQxVOaPDIICqsflNlLu3JacTDk1FP9RH4phX7mI/edit?usp=sharing"",""พิจิตร!I503"")"),0)</f>
        <v>0</v>
      </c>
      <c r="X21" s="152">
        <f ca="1">IFERROR(__xludf.DUMMYFUNCTION("IMPORTRANGE(""https://docs.google.com/spreadsheets/d/1xfJKIQxVOaPDIICqsflNlLu3JacTDk1FP9RH4phX7mI/edit?usp=sharing"",""พิจิตร!J503"")"),0)</f>
        <v>0</v>
      </c>
      <c r="Y21" s="216">
        <f t="shared" ca="1" si="33"/>
        <v>0</v>
      </c>
      <c r="Z21" s="152">
        <f ca="1">IFERROR(__xludf.DUMMYFUNCTION("IMPORTRANGE(""https://docs.google.com/spreadsheets/d/1xfJKIQxVOaPDIICqsflNlLu3JacTDk1FP9RH4phX7mI/edit?usp=sharing"",""พิจิตร!J504"")"),0)</f>
        <v>0</v>
      </c>
      <c r="AA21" s="152">
        <f ca="1">IFERROR(__xludf.DUMMYFUNCTION("IMPORTRANGE(""https://docs.google.com/spreadsheets/d/1xfJKIQxVOaPDIICqsflNlLu3JacTDk1FP9RH4phX7mI/edit?usp=sharing"",""พิจิตร!J505"")"),0)</f>
        <v>0</v>
      </c>
      <c r="AB21" s="152">
        <f ca="1">IFERROR(__xludf.DUMMYFUNCTION("IMPORTRANGE(""https://docs.google.com/spreadsheets/d/1xfJKIQxVOaPDIICqsflNlLu3JacTDk1FP9RH4phX7mI/edit?usp=sharing"",""พิจิตร!J506"")"),0)</f>
        <v>0</v>
      </c>
      <c r="AC21" s="152">
        <f ca="1">IFERROR(__xludf.DUMMYFUNCTION("IMPORTRANGE(""https://docs.google.com/spreadsheets/d/1xfJKIQxVOaPDIICqsflNlLu3JacTDk1FP9RH4phX7mI/edit?usp=sharing"",""พิจิตร!J507"")"),0)</f>
        <v>0</v>
      </c>
      <c r="AD21" s="152">
        <f ca="1">IFERROR(__xludf.DUMMYFUNCTION("IMPORTRANGE(""https://docs.google.com/spreadsheets/d/1xfJKIQxVOaPDIICqsflNlLu3JacTDk1FP9RH4phX7mI/edit?usp=sharing"",""พิจิตร!J508"")"),0)</f>
        <v>0</v>
      </c>
      <c r="AE21" s="152">
        <f ca="1">IFERROR(__xludf.DUMMYFUNCTION("IMPORTRANGE(""https://docs.google.com/spreadsheets/d/1xfJKIQxVOaPDIICqsflNlLu3JacTDk1FP9RH4phX7mI/edit?usp=sharing"",""พิจิตร!J509"")"),0)</f>
        <v>0</v>
      </c>
    </row>
    <row r="22" spans="1:31" ht="24" customHeight="1" x14ac:dyDescent="0.3">
      <c r="A22" s="70">
        <v>9</v>
      </c>
      <c r="B22" s="71" t="s">
        <v>50</v>
      </c>
      <c r="C22" s="149">
        <f t="shared" ca="1" si="21"/>
        <v>0</v>
      </c>
      <c r="D22" s="150">
        <f t="shared" ca="1" si="35"/>
        <v>0</v>
      </c>
      <c r="E22" s="151">
        <f ca="1">IFERROR(__xludf.DUMMYFUNCTION("IMPORTRANGE(""https://docs.google.com/spreadsheets/d/1-uDff_7J0KD5mKrp0Vvzr7lt3OU09vwQwhkpOPPYv2Y/edit?usp=sharing"",""งบพรบ!HV22"")"),0)</f>
        <v>0</v>
      </c>
      <c r="F22" s="151">
        <f ca="1">IFERROR(__xludf.DUMMYFUNCTION("IMPORTRANGE(""https://docs.google.com/spreadsheets/d/1-uDff_7J0KD5mKrp0Vvzr7lt3OU09vwQwhkpOPPYv2Y/edit?usp=sharing"",""งบพรบ!HW22"")"),0)</f>
        <v>0</v>
      </c>
      <c r="G22" s="151">
        <f ca="1">IFERROR(__xludf.DUMMYFUNCTION("IMPORTRANGE(""https://docs.google.com/spreadsheets/d/1-uDff_7J0KD5mKrp0Vvzr7lt3OU09vwQwhkpOPPYv2Y/edit?usp=sharing"",""งบพรบ!HX22"")"),0)</f>
        <v>0</v>
      </c>
      <c r="H22" s="151">
        <f ca="1">IFERROR(__xludf.DUMMYFUNCTION("IMPORTRANGE(""https://docs.google.com/spreadsheets/d/1-uDff_7J0KD5mKrp0Vvzr7lt3OU09vwQwhkpOPPYv2Y/edit?usp=sharing"",""งบพรบ!HZ22"")"),0)</f>
        <v>0</v>
      </c>
      <c r="I22" s="151">
        <f ca="1">IFERROR(__xludf.DUMMYFUNCTION("IMPORTRANGE(""https://docs.google.com/spreadsheets/d/1-uDff_7J0KD5mKrp0Vvzr7lt3OU09vwQwhkpOPPYv2Y/edit?usp=sharing"",""งบพรบ!IA22"")"),0)</f>
        <v>0</v>
      </c>
      <c r="J22" s="151">
        <f t="shared" ca="1" si="23"/>
        <v>0</v>
      </c>
      <c r="K22" s="154">
        <f t="shared" ca="1" si="24"/>
        <v>0</v>
      </c>
      <c r="L22" s="151">
        <f ca="1">IFERROR(__xludf.DUMMYFUNCTION("IMPORTRANGE(""https://docs.google.com/spreadsheets/d/1-uDff_7J0KD5mKrp0Vvzr7lt3OU09vwQwhkpOPPYv2Y/edit?usp=sharing"",""งบพรบ!IB22"")"),0)</f>
        <v>0</v>
      </c>
      <c r="M22" s="68">
        <f t="shared" ca="1" si="25"/>
        <v>0</v>
      </c>
      <c r="N22" s="68">
        <f t="shared" ca="1" si="26"/>
        <v>0</v>
      </c>
      <c r="O22" s="151">
        <f ca="1">IFERROR(__xludf.DUMMYFUNCTION("IMPORTRANGE(""https://docs.google.com/spreadsheets/d/1-uDff_7J0KD5mKrp0Vvzr7lt3OU09vwQwhkpOPPYv2Y/edit?usp=sharing"",""งบพรบ!IC22"")"),0)</f>
        <v>0</v>
      </c>
      <c r="P22" s="67">
        <f t="shared" ca="1" si="27"/>
        <v>0</v>
      </c>
      <c r="Q22" s="68">
        <f t="shared" ca="1" si="28"/>
        <v>0</v>
      </c>
      <c r="R22" s="68">
        <f ca="1">IFERROR(__xludf.DUMMYFUNCTION("IMPORTRANGE(""https://docs.google.com/spreadsheets/d/1JtRfZkJMHtEhI5RdRHxYUG4FIZHqKDpNyIuN7A1Q0_k/edit?usp=sharing"",""พิษณุโลก!Q498"")"),0)</f>
        <v>0</v>
      </c>
      <c r="S22" s="68">
        <f ca="1">IFERROR(__xludf.DUMMYFUNCTION("IMPORTRANGE(""https://docs.google.com/spreadsheets/d/1JtRfZkJMHtEhI5RdRHxYUG4FIZHqKDpNyIuN7A1Q0_k/edit?usp=sharing"",""พิษณุโลก!R498"")"),0)</f>
        <v>0</v>
      </c>
      <c r="T22" s="68">
        <f ca="1">IFERROR(__xludf.DUMMYFUNCTION("IMPORTRANGE(""https://docs.google.com/spreadsheets/d/1JtRfZkJMHtEhI5RdRHxYUG4FIZHqKDpNyIuN7A1Q0_k/edit?usp=sharing"",""พิษณุโลก!S498"")"),0)</f>
        <v>0</v>
      </c>
      <c r="U22" s="68">
        <f t="shared" ca="1" si="30"/>
        <v>0</v>
      </c>
      <c r="V22" s="68">
        <f t="shared" ca="1" si="31"/>
        <v>0</v>
      </c>
      <c r="W22" s="278">
        <f ca="1">IFERROR(__xludf.DUMMYFUNCTION("IMPORTRANGE(""https://docs.google.com/spreadsheets/d/1JtRfZkJMHtEhI5RdRHxYUG4FIZHqKDpNyIuN7A1Q0_k/edit?usp=sharing"",""พิษณุโลก!I503"")"),0)</f>
        <v>0</v>
      </c>
      <c r="X22" s="152">
        <f ca="1">IFERROR(__xludf.DUMMYFUNCTION("IMPORTRANGE(""https://docs.google.com/spreadsheets/d/1JtRfZkJMHtEhI5RdRHxYUG4FIZHqKDpNyIuN7A1Q0_k/edit?usp=sharing"",""พิษณุโลก!J503"")"),0)</f>
        <v>0</v>
      </c>
      <c r="Y22" s="216">
        <f t="shared" ca="1" si="33"/>
        <v>0</v>
      </c>
      <c r="Z22" s="152">
        <f ca="1">IFERROR(__xludf.DUMMYFUNCTION("IMPORTRANGE(""https://docs.google.com/spreadsheets/d/1JtRfZkJMHtEhI5RdRHxYUG4FIZHqKDpNyIuN7A1Q0_k/edit?usp=sharing"",""พิษณุโลก!J504"")"),0)</f>
        <v>0</v>
      </c>
      <c r="AA22" s="152">
        <f ca="1">IFERROR(__xludf.DUMMYFUNCTION("IMPORTRANGE(""https://docs.google.com/spreadsheets/d/1JtRfZkJMHtEhI5RdRHxYUG4FIZHqKDpNyIuN7A1Q0_k/edit?usp=sharing"",""พิษณุโลก!J505"")"),0)</f>
        <v>0</v>
      </c>
      <c r="AB22" s="152">
        <f ca="1">IFERROR(__xludf.DUMMYFUNCTION("IMPORTRANGE(""https://docs.google.com/spreadsheets/d/1JtRfZkJMHtEhI5RdRHxYUG4FIZHqKDpNyIuN7A1Q0_k/edit?usp=sharing"",""พิษณุโลก!J506"")"),0)</f>
        <v>0</v>
      </c>
      <c r="AC22" s="152">
        <f ca="1">IFERROR(__xludf.DUMMYFUNCTION("IMPORTRANGE(""https://docs.google.com/spreadsheets/d/1JtRfZkJMHtEhI5RdRHxYUG4FIZHqKDpNyIuN7A1Q0_k/edit?usp=sharing"",""พิษณุโลก!J507"")"),0)</f>
        <v>0</v>
      </c>
      <c r="AD22" s="152">
        <f ca="1">IFERROR(__xludf.DUMMYFUNCTION("IMPORTRANGE(""https://docs.google.com/spreadsheets/d/1JtRfZkJMHtEhI5RdRHxYUG4FIZHqKDpNyIuN7A1Q0_k/edit?usp=sharing"",""พิษณุโลก!J508"")"),0)</f>
        <v>0</v>
      </c>
      <c r="AE22" s="152">
        <f ca="1">IFERROR(__xludf.DUMMYFUNCTION("IMPORTRANGE(""https://docs.google.com/spreadsheets/d/1JtRfZkJMHtEhI5RdRHxYUG4FIZHqKDpNyIuN7A1Q0_k/edit?usp=sharing"",""พิษณุโลก!J509"")"),0)</f>
        <v>0</v>
      </c>
    </row>
    <row r="23" spans="1:31" ht="24" customHeight="1" x14ac:dyDescent="0.3">
      <c r="A23" s="70">
        <v>10</v>
      </c>
      <c r="B23" s="71" t="s">
        <v>51</v>
      </c>
      <c r="C23" s="149">
        <f t="shared" ca="1" si="21"/>
        <v>0</v>
      </c>
      <c r="D23" s="150">
        <f t="shared" ca="1" si="35"/>
        <v>0</v>
      </c>
      <c r="E23" s="151">
        <f ca="1">IFERROR(__xludf.DUMMYFUNCTION("IMPORTRANGE(""https://docs.google.com/spreadsheets/d/1-uDff_7J0KD5mKrp0Vvzr7lt3OU09vwQwhkpOPPYv2Y/edit?usp=sharing"",""งบพรบ!HV23"")"),0)</f>
        <v>0</v>
      </c>
      <c r="F23" s="151">
        <f ca="1">IFERROR(__xludf.DUMMYFUNCTION("IMPORTRANGE(""https://docs.google.com/spreadsheets/d/1-uDff_7J0KD5mKrp0Vvzr7lt3OU09vwQwhkpOPPYv2Y/edit?usp=sharing"",""งบพรบ!HW23"")"),0)</f>
        <v>0</v>
      </c>
      <c r="G23" s="151">
        <f ca="1">IFERROR(__xludf.DUMMYFUNCTION("IMPORTRANGE(""https://docs.google.com/spreadsheets/d/1-uDff_7J0KD5mKrp0Vvzr7lt3OU09vwQwhkpOPPYv2Y/edit?usp=sharing"",""งบพรบ!HX23"")"),0)</f>
        <v>0</v>
      </c>
      <c r="H23" s="151">
        <f ca="1">IFERROR(__xludf.DUMMYFUNCTION("IMPORTRANGE(""https://docs.google.com/spreadsheets/d/1-uDff_7J0KD5mKrp0Vvzr7lt3OU09vwQwhkpOPPYv2Y/edit?usp=sharing"",""งบพรบ!HZ23"")"),0)</f>
        <v>0</v>
      </c>
      <c r="I23" s="151">
        <f ca="1">IFERROR(__xludf.DUMMYFUNCTION("IMPORTRANGE(""https://docs.google.com/spreadsheets/d/1-uDff_7J0KD5mKrp0Vvzr7lt3OU09vwQwhkpOPPYv2Y/edit?usp=sharing"",""งบพรบ!IA23"")"),0)</f>
        <v>0</v>
      </c>
      <c r="J23" s="151">
        <f t="shared" ca="1" si="23"/>
        <v>0</v>
      </c>
      <c r="K23" s="154">
        <f t="shared" ca="1" si="24"/>
        <v>0</v>
      </c>
      <c r="L23" s="151">
        <f ca="1">IFERROR(__xludf.DUMMYFUNCTION("IMPORTRANGE(""https://docs.google.com/spreadsheets/d/1-uDff_7J0KD5mKrp0Vvzr7lt3OU09vwQwhkpOPPYv2Y/edit?usp=sharing"",""งบพรบ!IB23"")"),0)</f>
        <v>0</v>
      </c>
      <c r="M23" s="68">
        <f t="shared" ca="1" si="25"/>
        <v>0</v>
      </c>
      <c r="N23" s="68">
        <f t="shared" ca="1" si="26"/>
        <v>0</v>
      </c>
      <c r="O23" s="151">
        <f ca="1">IFERROR(__xludf.DUMMYFUNCTION("IMPORTRANGE(""https://docs.google.com/spreadsheets/d/1-uDff_7J0KD5mKrp0Vvzr7lt3OU09vwQwhkpOPPYv2Y/edit?usp=sharing"",""งบพรบ!IC23"")"),0)</f>
        <v>0</v>
      </c>
      <c r="P23" s="67">
        <f t="shared" ca="1" si="27"/>
        <v>0</v>
      </c>
      <c r="Q23" s="68">
        <f t="shared" ca="1" si="28"/>
        <v>0</v>
      </c>
      <c r="R23" s="68">
        <f ca="1">IFERROR(__xludf.DUMMYFUNCTION("IMPORTRANGE(""https://docs.google.com/spreadsheets/d/1xlcVZWUNn6SuWm0c307h32SiGkd9BaeQWlAktfD3KO8/edit?usp=sharing"",""เพชรบูรณ์!Q498"")"),0)</f>
        <v>0</v>
      </c>
      <c r="S23" s="68">
        <f ca="1">IFERROR(__xludf.DUMMYFUNCTION("IMPORTRANGE(""https://docs.google.com/spreadsheets/d/1xlcVZWUNn6SuWm0c307h32SiGkd9BaeQWlAktfD3KO8/edit?usp=sharing"",""เพชรบูรณ์!R498"")"),0)</f>
        <v>0</v>
      </c>
      <c r="T23" s="68">
        <f ca="1">IFERROR(__xludf.DUMMYFUNCTION("IMPORTRANGE(""https://docs.google.com/spreadsheets/d/1xlcVZWUNn6SuWm0c307h32SiGkd9BaeQWlAktfD3KO8/edit?usp=sharing"",""เพชรบูรณ์!S498"")"),0)</f>
        <v>0</v>
      </c>
      <c r="U23" s="68">
        <f t="shared" ca="1" si="30"/>
        <v>0</v>
      </c>
      <c r="V23" s="68">
        <f t="shared" ca="1" si="31"/>
        <v>0</v>
      </c>
      <c r="W23" s="278">
        <f ca="1">IFERROR(__xludf.DUMMYFUNCTION("IMPORTRANGE(""https://docs.google.com/spreadsheets/d/1xlcVZWUNn6SuWm0c307h32SiGkd9BaeQWlAktfD3KO8/edit?usp=sharing"",""เพชรบูรณ์!I503"")"),0)</f>
        <v>0</v>
      </c>
      <c r="X23" s="152">
        <f ca="1">IFERROR(__xludf.DUMMYFUNCTION("IMPORTRANGE(""https://docs.google.com/spreadsheets/d/1xlcVZWUNn6SuWm0c307h32SiGkd9BaeQWlAktfD3KO8/edit?usp=sharing"",""เพชรบูรณ์!J503"")"),0)</f>
        <v>0</v>
      </c>
      <c r="Y23" s="216">
        <f t="shared" ca="1" si="33"/>
        <v>0</v>
      </c>
      <c r="Z23" s="152">
        <f ca="1">IFERROR(__xludf.DUMMYFUNCTION("IMPORTRANGE(""https://docs.google.com/spreadsheets/d/1xlcVZWUNn6SuWm0c307h32SiGkd9BaeQWlAktfD3KO8/edit?usp=sharing"",""เพชรบูรณ์!J504"")"),0)</f>
        <v>0</v>
      </c>
      <c r="AA23" s="152">
        <f ca="1">IFERROR(__xludf.DUMMYFUNCTION("IMPORTRANGE(""https://docs.google.com/spreadsheets/d/1xlcVZWUNn6SuWm0c307h32SiGkd9BaeQWlAktfD3KO8/edit?usp=sharing"",""เพชรบูรณ์!J505"")"),0)</f>
        <v>0</v>
      </c>
      <c r="AB23" s="152">
        <f ca="1">IFERROR(__xludf.DUMMYFUNCTION("IMPORTRANGE(""https://docs.google.com/spreadsheets/d/1xlcVZWUNn6SuWm0c307h32SiGkd9BaeQWlAktfD3KO8/edit?usp=sharing"",""เพชรบูรณ์!J506"")"),0)</f>
        <v>0</v>
      </c>
      <c r="AC23" s="152">
        <f ca="1">IFERROR(__xludf.DUMMYFUNCTION("IMPORTRANGE(""https://docs.google.com/spreadsheets/d/1xlcVZWUNn6SuWm0c307h32SiGkd9BaeQWlAktfD3KO8/edit?usp=sharing"",""เพชรบูรณ์!J507"")"),0)</f>
        <v>0</v>
      </c>
      <c r="AD23" s="152">
        <f ca="1">IFERROR(__xludf.DUMMYFUNCTION("IMPORTRANGE(""https://docs.google.com/spreadsheets/d/1xlcVZWUNn6SuWm0c307h32SiGkd9BaeQWlAktfD3KO8/edit?usp=sharing"",""เพชรบูรณ์!J508"")"),0)</f>
        <v>0</v>
      </c>
      <c r="AE23" s="152">
        <f ca="1">IFERROR(__xludf.DUMMYFUNCTION("IMPORTRANGE(""https://docs.google.com/spreadsheets/d/1xlcVZWUNn6SuWm0c307h32SiGkd9BaeQWlAktfD3KO8/edit?usp=sharing"",""เพชรบูรณ์!J509"")"),0)</f>
        <v>0</v>
      </c>
    </row>
    <row r="24" spans="1:31" ht="24" customHeight="1" x14ac:dyDescent="0.3">
      <c r="A24" s="70">
        <v>11</v>
      </c>
      <c r="B24" s="71" t="s">
        <v>52</v>
      </c>
      <c r="C24" s="149">
        <f t="shared" ca="1" si="21"/>
        <v>0</v>
      </c>
      <c r="D24" s="150">
        <f t="shared" ca="1" si="35"/>
        <v>0</v>
      </c>
      <c r="E24" s="151">
        <f ca="1">IFERROR(__xludf.DUMMYFUNCTION("IMPORTRANGE(""https://docs.google.com/spreadsheets/d/1-uDff_7J0KD5mKrp0Vvzr7lt3OU09vwQwhkpOPPYv2Y/edit?usp=sharing"",""งบพรบ!HV24"")"),0)</f>
        <v>0</v>
      </c>
      <c r="F24" s="151">
        <f ca="1">IFERROR(__xludf.DUMMYFUNCTION("IMPORTRANGE(""https://docs.google.com/spreadsheets/d/1-uDff_7J0KD5mKrp0Vvzr7lt3OU09vwQwhkpOPPYv2Y/edit?usp=sharing"",""งบพรบ!HW24"")"),0)</f>
        <v>0</v>
      </c>
      <c r="G24" s="151">
        <f ca="1">IFERROR(__xludf.DUMMYFUNCTION("IMPORTRANGE(""https://docs.google.com/spreadsheets/d/1-uDff_7J0KD5mKrp0Vvzr7lt3OU09vwQwhkpOPPYv2Y/edit?usp=sharing"",""งบพรบ!HX24"")"),0)</f>
        <v>0</v>
      </c>
      <c r="H24" s="151">
        <f ca="1">IFERROR(__xludf.DUMMYFUNCTION("IMPORTRANGE(""https://docs.google.com/spreadsheets/d/1-uDff_7J0KD5mKrp0Vvzr7lt3OU09vwQwhkpOPPYv2Y/edit?usp=sharing"",""งบพรบ!HZ24"")"),0)</f>
        <v>0</v>
      </c>
      <c r="I24" s="151">
        <f ca="1">IFERROR(__xludf.DUMMYFUNCTION("IMPORTRANGE(""https://docs.google.com/spreadsheets/d/1-uDff_7J0KD5mKrp0Vvzr7lt3OU09vwQwhkpOPPYv2Y/edit?usp=sharing"",""งบพรบ!IA24"")"),0)</f>
        <v>0</v>
      </c>
      <c r="J24" s="151">
        <f t="shared" ca="1" si="23"/>
        <v>0</v>
      </c>
      <c r="K24" s="154">
        <f t="shared" ca="1" si="24"/>
        <v>0</v>
      </c>
      <c r="L24" s="151">
        <f ca="1">IFERROR(__xludf.DUMMYFUNCTION("IMPORTRANGE(""https://docs.google.com/spreadsheets/d/1-uDff_7J0KD5mKrp0Vvzr7lt3OU09vwQwhkpOPPYv2Y/edit?usp=sharing"",""งบพรบ!IB24"")"),0)</f>
        <v>0</v>
      </c>
      <c r="M24" s="68">
        <f t="shared" ca="1" si="25"/>
        <v>0</v>
      </c>
      <c r="N24" s="68">
        <f t="shared" ca="1" si="26"/>
        <v>0</v>
      </c>
      <c r="O24" s="151">
        <f ca="1">IFERROR(__xludf.DUMMYFUNCTION("IMPORTRANGE(""https://docs.google.com/spreadsheets/d/1-uDff_7J0KD5mKrp0Vvzr7lt3OU09vwQwhkpOPPYv2Y/edit?usp=sharing"",""งบพรบ!IC24"")"),0)</f>
        <v>0</v>
      </c>
      <c r="P24" s="67">
        <f t="shared" ca="1" si="27"/>
        <v>0</v>
      </c>
      <c r="Q24" s="68">
        <f t="shared" ca="1" si="28"/>
        <v>0</v>
      </c>
      <c r="R24" s="68">
        <f ca="1">IFERROR(__xludf.DUMMYFUNCTION("IMPORTRANGE(""https://docs.google.com/spreadsheets/d/1lOVebEIsI9qjGXl6EX66luk7wiuP2tBaryw-wKvv4e0/edit?usp=sharing"",""แพร่!Q498"")"),0)</f>
        <v>0</v>
      </c>
      <c r="S24" s="68">
        <f ca="1">IFERROR(__xludf.DUMMYFUNCTION("IMPORTRANGE(""https://docs.google.com/spreadsheets/d/1lOVebEIsI9qjGXl6EX66luk7wiuP2tBaryw-wKvv4e0/edit?usp=sharing"",""แพร่!R498"")"),0)</f>
        <v>0</v>
      </c>
      <c r="T24" s="68">
        <f ca="1">IFERROR(__xludf.DUMMYFUNCTION("IMPORTRANGE(""https://docs.google.com/spreadsheets/d/1lOVebEIsI9qjGXl6EX66luk7wiuP2tBaryw-wKvv4e0/edit?usp=sharing"",""แพร่!S498"")"),0)</f>
        <v>0</v>
      </c>
      <c r="U24" s="68">
        <f t="shared" ca="1" si="30"/>
        <v>0</v>
      </c>
      <c r="V24" s="68">
        <f t="shared" ca="1" si="31"/>
        <v>0</v>
      </c>
      <c r="W24" s="278">
        <f ca="1">IFERROR(__xludf.DUMMYFUNCTION("IMPORTRANGE(""https://docs.google.com/spreadsheets/d/1lOVebEIsI9qjGXl6EX66luk7wiuP2tBaryw-wKvv4e0/edit?usp=sharing"",""แพร่!I503"")"),0)</f>
        <v>0</v>
      </c>
      <c r="X24" s="152">
        <f ca="1">IFERROR(__xludf.DUMMYFUNCTION("IMPORTRANGE(""https://docs.google.com/spreadsheets/d/1lOVebEIsI9qjGXl6EX66luk7wiuP2tBaryw-wKvv4e0/edit?usp=sharing"",""แพร่!J503"")"),0)</f>
        <v>0</v>
      </c>
      <c r="Y24" s="216">
        <f t="shared" ca="1" si="33"/>
        <v>0</v>
      </c>
      <c r="Z24" s="152">
        <f ca="1">IFERROR(__xludf.DUMMYFUNCTION("IMPORTRANGE(""https://docs.google.com/spreadsheets/d/1lOVebEIsI9qjGXl6EX66luk7wiuP2tBaryw-wKvv4e0/edit?usp=sharing"",""แพร่!J504"")"),0)</f>
        <v>0</v>
      </c>
      <c r="AA24" s="152">
        <f ca="1">IFERROR(__xludf.DUMMYFUNCTION("IMPORTRANGE(""https://docs.google.com/spreadsheets/d/1lOVebEIsI9qjGXl6EX66luk7wiuP2tBaryw-wKvv4e0/edit?usp=sharing"",""แพร่!J505"")"),0)</f>
        <v>0</v>
      </c>
      <c r="AB24" s="152">
        <f ca="1">IFERROR(__xludf.DUMMYFUNCTION("IMPORTRANGE(""https://docs.google.com/spreadsheets/d/1lOVebEIsI9qjGXl6EX66luk7wiuP2tBaryw-wKvv4e0/edit?usp=sharing"",""แพร่!J506"")"),0)</f>
        <v>0</v>
      </c>
      <c r="AC24" s="152">
        <f ca="1">IFERROR(__xludf.DUMMYFUNCTION("IMPORTRANGE(""https://docs.google.com/spreadsheets/d/1lOVebEIsI9qjGXl6EX66luk7wiuP2tBaryw-wKvv4e0/edit?usp=sharing"",""แพร่!J507"")"),0)</f>
        <v>0</v>
      </c>
      <c r="AD24" s="152">
        <f ca="1">IFERROR(__xludf.DUMMYFUNCTION("IMPORTRANGE(""https://docs.google.com/spreadsheets/d/1lOVebEIsI9qjGXl6EX66luk7wiuP2tBaryw-wKvv4e0/edit?usp=sharing"",""แพร่!J508"")"),0)</f>
        <v>0</v>
      </c>
      <c r="AE24" s="152">
        <f ca="1">IFERROR(__xludf.DUMMYFUNCTION("IMPORTRANGE(""https://docs.google.com/spreadsheets/d/1lOVebEIsI9qjGXl6EX66luk7wiuP2tBaryw-wKvv4e0/edit?usp=sharing"",""แพร่!J509"")"),0)</f>
        <v>0</v>
      </c>
    </row>
    <row r="25" spans="1:31" ht="24" customHeight="1" x14ac:dyDescent="0.3">
      <c r="A25" s="70">
        <v>12</v>
      </c>
      <c r="B25" s="71" t="s">
        <v>53</v>
      </c>
      <c r="C25" s="149">
        <f t="shared" ca="1" si="21"/>
        <v>0</v>
      </c>
      <c r="D25" s="150">
        <f t="shared" ca="1" si="35"/>
        <v>0</v>
      </c>
      <c r="E25" s="151">
        <f ca="1">IFERROR(__xludf.DUMMYFUNCTION("IMPORTRANGE(""https://docs.google.com/spreadsheets/d/1-uDff_7J0KD5mKrp0Vvzr7lt3OU09vwQwhkpOPPYv2Y/edit?usp=sharing"",""งบพรบ!HV25"")"),0)</f>
        <v>0</v>
      </c>
      <c r="F25" s="151">
        <f ca="1">IFERROR(__xludf.DUMMYFUNCTION("IMPORTRANGE(""https://docs.google.com/spreadsheets/d/1-uDff_7J0KD5mKrp0Vvzr7lt3OU09vwQwhkpOPPYv2Y/edit?usp=sharing"",""งบพรบ!HW25"")"),0)</f>
        <v>0</v>
      </c>
      <c r="G25" s="151">
        <f ca="1">IFERROR(__xludf.DUMMYFUNCTION("IMPORTRANGE(""https://docs.google.com/spreadsheets/d/1-uDff_7J0KD5mKrp0Vvzr7lt3OU09vwQwhkpOPPYv2Y/edit?usp=sharing"",""งบพรบ!HX25"")"),0)</f>
        <v>0</v>
      </c>
      <c r="H25" s="151">
        <f ca="1">IFERROR(__xludf.DUMMYFUNCTION("IMPORTRANGE(""https://docs.google.com/spreadsheets/d/1-uDff_7J0KD5mKrp0Vvzr7lt3OU09vwQwhkpOPPYv2Y/edit?usp=sharing"",""งบพรบ!HZ25"")"),0)</f>
        <v>0</v>
      </c>
      <c r="I25" s="151">
        <f ca="1">IFERROR(__xludf.DUMMYFUNCTION("IMPORTRANGE(""https://docs.google.com/spreadsheets/d/1-uDff_7J0KD5mKrp0Vvzr7lt3OU09vwQwhkpOPPYv2Y/edit?usp=sharing"",""งบพรบ!IA25"")"),0)</f>
        <v>0</v>
      </c>
      <c r="J25" s="151">
        <f t="shared" ca="1" si="23"/>
        <v>0</v>
      </c>
      <c r="K25" s="154">
        <f t="shared" ca="1" si="24"/>
        <v>0</v>
      </c>
      <c r="L25" s="151">
        <f ca="1">IFERROR(__xludf.DUMMYFUNCTION("IMPORTRANGE(""https://docs.google.com/spreadsheets/d/1-uDff_7J0KD5mKrp0Vvzr7lt3OU09vwQwhkpOPPYv2Y/edit?usp=sharing"",""งบพรบ!IB25"")"),0)</f>
        <v>0</v>
      </c>
      <c r="M25" s="68">
        <f t="shared" ca="1" si="25"/>
        <v>0</v>
      </c>
      <c r="N25" s="68">
        <f t="shared" ca="1" si="26"/>
        <v>0</v>
      </c>
      <c r="O25" s="151">
        <f ca="1">IFERROR(__xludf.DUMMYFUNCTION("IMPORTRANGE(""https://docs.google.com/spreadsheets/d/1-uDff_7J0KD5mKrp0Vvzr7lt3OU09vwQwhkpOPPYv2Y/edit?usp=sharing"",""งบพรบ!IC25"")"),0)</f>
        <v>0</v>
      </c>
      <c r="P25" s="67">
        <f t="shared" ca="1" si="27"/>
        <v>0</v>
      </c>
      <c r="Q25" s="68">
        <f t="shared" ca="1" si="28"/>
        <v>0</v>
      </c>
      <c r="R25" s="68">
        <f ca="1">IFERROR(__xludf.DUMMYFUNCTION("IMPORTRANGE(""https://docs.google.com/spreadsheets/d/1dQrvX0vEcN7Gu0fnZ0B5S90AeR19zth4XlExFBeExMY/edit?usp=sharing"",""แม่ฮ่องสอน!Q498"")"),0)</f>
        <v>0</v>
      </c>
      <c r="S25" s="68">
        <f ca="1">IFERROR(__xludf.DUMMYFUNCTION("IMPORTRANGE(""https://docs.google.com/spreadsheets/d/1dQrvX0vEcN7Gu0fnZ0B5S90AeR19zth4XlExFBeExMY/edit?usp=sharing"",""แม่ฮ่องสอน!R498"")"),0)</f>
        <v>0</v>
      </c>
      <c r="T25" s="68">
        <f ca="1">IFERROR(__xludf.DUMMYFUNCTION("IMPORTRANGE(""https://docs.google.com/spreadsheets/d/1dQrvX0vEcN7Gu0fnZ0B5S90AeR19zth4XlExFBeExMY/edit?usp=sharing"",""แม่ฮ่องสอน!S498"")"),0)</f>
        <v>0</v>
      </c>
      <c r="U25" s="68">
        <f t="shared" ca="1" si="30"/>
        <v>0</v>
      </c>
      <c r="V25" s="68">
        <f t="shared" ca="1" si="31"/>
        <v>0</v>
      </c>
      <c r="W25" s="278">
        <f ca="1">IFERROR(__xludf.DUMMYFUNCTION("IMPORTRANGE(""https://docs.google.com/spreadsheets/d/1dQrvX0vEcN7Gu0fnZ0B5S90AeR19zth4XlExFBeExMY/edit?usp=sharing"",""แม่ฮ่องสอน!I503"")"),0)</f>
        <v>0</v>
      </c>
      <c r="X25" s="152">
        <f ca="1">IFERROR(__xludf.DUMMYFUNCTION("IMPORTRANGE(""https://docs.google.com/spreadsheets/d/1dQrvX0vEcN7Gu0fnZ0B5S90AeR19zth4XlExFBeExMY/edit?usp=sharing"",""แม่ฮ่องสอน!J503"")"),0)</f>
        <v>0</v>
      </c>
      <c r="Y25" s="216">
        <f t="shared" ca="1" si="33"/>
        <v>0</v>
      </c>
      <c r="Z25" s="152">
        <f ca="1">IFERROR(__xludf.DUMMYFUNCTION("IMPORTRANGE(""https://docs.google.com/spreadsheets/d/1dQrvX0vEcN7Gu0fnZ0B5S90AeR19zth4XlExFBeExMY/edit?usp=sharing"",""แม่ฮ่องสอน!J504"")"),0)</f>
        <v>0</v>
      </c>
      <c r="AA25" s="152">
        <f ca="1">IFERROR(__xludf.DUMMYFUNCTION("IMPORTRANGE(""https://docs.google.com/spreadsheets/d/1dQrvX0vEcN7Gu0fnZ0B5S90AeR19zth4XlExFBeExMY/edit?usp=sharing"",""แม่ฮ่องสอน!J505"")"),0)</f>
        <v>0</v>
      </c>
      <c r="AB25" s="152">
        <f ca="1">IFERROR(__xludf.DUMMYFUNCTION("IMPORTRANGE(""https://docs.google.com/spreadsheets/d/1dQrvX0vEcN7Gu0fnZ0B5S90AeR19zth4XlExFBeExMY/edit?usp=sharing"",""แม่ฮ่องสอน!J506"")"),0)</f>
        <v>0</v>
      </c>
      <c r="AC25" s="152">
        <f ca="1">IFERROR(__xludf.DUMMYFUNCTION("IMPORTRANGE(""https://docs.google.com/spreadsheets/d/1dQrvX0vEcN7Gu0fnZ0B5S90AeR19zth4XlExFBeExMY/edit?usp=sharing"",""แม่ฮ่องสอน!J507"")"),0)</f>
        <v>0</v>
      </c>
      <c r="AD25" s="152">
        <f ca="1">IFERROR(__xludf.DUMMYFUNCTION("IMPORTRANGE(""https://docs.google.com/spreadsheets/d/1dQrvX0vEcN7Gu0fnZ0B5S90AeR19zth4XlExFBeExMY/edit?usp=sharing"",""แม่ฮ่องสอน!J508"")"),0)</f>
        <v>0</v>
      </c>
      <c r="AE25" s="152">
        <f ca="1">IFERROR(__xludf.DUMMYFUNCTION("IMPORTRANGE(""https://docs.google.com/spreadsheets/d/1dQrvX0vEcN7Gu0fnZ0B5S90AeR19zth4XlExFBeExMY/edit?usp=sharing"",""แม่ฮ่องสอน!J509"")"),0)</f>
        <v>0</v>
      </c>
    </row>
    <row r="26" spans="1:31" ht="24" customHeight="1" x14ac:dyDescent="0.3">
      <c r="A26" s="70">
        <v>13</v>
      </c>
      <c r="B26" s="71" t="s">
        <v>54</v>
      </c>
      <c r="C26" s="149">
        <f t="shared" ca="1" si="21"/>
        <v>0</v>
      </c>
      <c r="D26" s="150">
        <f t="shared" ca="1" si="35"/>
        <v>0</v>
      </c>
      <c r="E26" s="151">
        <f ca="1">IFERROR(__xludf.DUMMYFUNCTION("IMPORTRANGE(""https://docs.google.com/spreadsheets/d/1-uDff_7J0KD5mKrp0Vvzr7lt3OU09vwQwhkpOPPYv2Y/edit?usp=sharing"",""งบพรบ!HV26"")"),0)</f>
        <v>0</v>
      </c>
      <c r="F26" s="151">
        <f ca="1">IFERROR(__xludf.DUMMYFUNCTION("IMPORTRANGE(""https://docs.google.com/spreadsheets/d/1-uDff_7J0KD5mKrp0Vvzr7lt3OU09vwQwhkpOPPYv2Y/edit?usp=sharing"",""งบพรบ!HW26"")"),0)</f>
        <v>0</v>
      </c>
      <c r="G26" s="151">
        <f ca="1">IFERROR(__xludf.DUMMYFUNCTION("IMPORTRANGE(""https://docs.google.com/spreadsheets/d/1-uDff_7J0KD5mKrp0Vvzr7lt3OU09vwQwhkpOPPYv2Y/edit?usp=sharing"",""งบพรบ!HX26"")"),0)</f>
        <v>0</v>
      </c>
      <c r="H26" s="151">
        <f ca="1">IFERROR(__xludf.DUMMYFUNCTION("IMPORTRANGE(""https://docs.google.com/spreadsheets/d/1-uDff_7J0KD5mKrp0Vvzr7lt3OU09vwQwhkpOPPYv2Y/edit?usp=sharing"",""งบพรบ!HZ26"")"),0)</f>
        <v>0</v>
      </c>
      <c r="I26" s="151">
        <f ca="1">IFERROR(__xludf.DUMMYFUNCTION("IMPORTRANGE(""https://docs.google.com/spreadsheets/d/1-uDff_7J0KD5mKrp0Vvzr7lt3OU09vwQwhkpOPPYv2Y/edit?usp=sharing"",""งบพรบ!IA26"")"),0)</f>
        <v>0</v>
      </c>
      <c r="J26" s="151">
        <f t="shared" ca="1" si="23"/>
        <v>0</v>
      </c>
      <c r="K26" s="154">
        <f t="shared" ca="1" si="24"/>
        <v>0</v>
      </c>
      <c r="L26" s="151">
        <f ca="1">IFERROR(__xludf.DUMMYFUNCTION("IMPORTRANGE(""https://docs.google.com/spreadsheets/d/1-uDff_7J0KD5mKrp0Vvzr7lt3OU09vwQwhkpOPPYv2Y/edit?usp=sharing"",""งบพรบ!IB26"")"),0)</f>
        <v>0</v>
      </c>
      <c r="M26" s="68">
        <f t="shared" ca="1" si="25"/>
        <v>0</v>
      </c>
      <c r="N26" s="68">
        <f t="shared" ca="1" si="26"/>
        <v>0</v>
      </c>
      <c r="O26" s="151">
        <f ca="1">IFERROR(__xludf.DUMMYFUNCTION("IMPORTRANGE(""https://docs.google.com/spreadsheets/d/1-uDff_7J0KD5mKrp0Vvzr7lt3OU09vwQwhkpOPPYv2Y/edit?usp=sharing"",""งบพรบ!IC26"")"),0)</f>
        <v>0</v>
      </c>
      <c r="P26" s="67">
        <f t="shared" ca="1" si="27"/>
        <v>0</v>
      </c>
      <c r="Q26" s="68">
        <f t="shared" ca="1" si="28"/>
        <v>0</v>
      </c>
      <c r="R26" s="68">
        <f ca="1">IFERROR(__xludf.DUMMYFUNCTION("IMPORTRANGE(""https://docs.google.com/spreadsheets/d/1DY4XTNNwjluuxqdfdn6qvOSlMRrZqUtmYcZR0ttFiG4/edit?usp=sharing"",""ลำปาง!Q498"")"),0)</f>
        <v>0</v>
      </c>
      <c r="S26" s="68">
        <f ca="1">IFERROR(__xludf.DUMMYFUNCTION("IMPORTRANGE(""https://docs.google.com/spreadsheets/d/1DY4XTNNwjluuxqdfdn6qvOSlMRrZqUtmYcZR0ttFiG4/edit?usp=sharing"",""ลำปาง!R498"")"),0)</f>
        <v>0</v>
      </c>
      <c r="T26" s="68">
        <f ca="1">IFERROR(__xludf.DUMMYFUNCTION("IMPORTRANGE(""https://docs.google.com/spreadsheets/d/1DY4XTNNwjluuxqdfdn6qvOSlMRrZqUtmYcZR0ttFiG4/edit?usp=sharing"",""ลำปาง!S498"")"),0)</f>
        <v>0</v>
      </c>
      <c r="U26" s="68">
        <f t="shared" ca="1" si="30"/>
        <v>0</v>
      </c>
      <c r="V26" s="68">
        <f t="shared" ca="1" si="31"/>
        <v>0</v>
      </c>
      <c r="W26" s="279">
        <f ca="1">IFERROR(__xludf.DUMMYFUNCTION("IMPORTRANGE(""https://docs.google.com/spreadsheets/d/1DY4XTNNwjluuxqdfdn6qvOSlMRrZqUtmYcZR0ttFiG4/edit?usp=sharing"",""ลำปาง!I503"")"),0)</f>
        <v>0</v>
      </c>
      <c r="X26" s="152">
        <f ca="1">IFERROR(__xludf.DUMMYFUNCTION("IMPORTRANGE(""https://docs.google.com/spreadsheets/d/1DY4XTNNwjluuxqdfdn6qvOSlMRrZqUtmYcZR0ttFiG4/edit?usp=sharing"",""ลำปาง!J503"")"),0)</f>
        <v>0</v>
      </c>
      <c r="Y26" s="216">
        <f t="shared" ca="1" si="33"/>
        <v>0</v>
      </c>
      <c r="Z26" s="152">
        <f ca="1">IFERROR(__xludf.DUMMYFUNCTION("IMPORTRANGE(""https://docs.google.com/spreadsheets/d/1DY4XTNNwjluuxqdfdn6qvOSlMRrZqUtmYcZR0ttFiG4/edit?usp=sharing"",""ลำปาง!J504"")"),0)</f>
        <v>0</v>
      </c>
      <c r="AA26" s="152">
        <f ca="1">IFERROR(__xludf.DUMMYFUNCTION("IMPORTRANGE(""https://docs.google.com/spreadsheets/d/1DY4XTNNwjluuxqdfdn6qvOSlMRrZqUtmYcZR0ttFiG4/edit?usp=sharing"",""ลำปาง!J505"")"),0)</f>
        <v>0</v>
      </c>
      <c r="AB26" s="152">
        <f ca="1">IFERROR(__xludf.DUMMYFUNCTION("IMPORTRANGE(""https://docs.google.com/spreadsheets/d/1DY4XTNNwjluuxqdfdn6qvOSlMRrZqUtmYcZR0ttFiG4/edit?usp=sharing"",""ลำปาง!J506"")"),0)</f>
        <v>0</v>
      </c>
      <c r="AC26" s="152">
        <f ca="1">IFERROR(__xludf.DUMMYFUNCTION("IMPORTRANGE(""https://docs.google.com/spreadsheets/d/1DY4XTNNwjluuxqdfdn6qvOSlMRrZqUtmYcZR0ttFiG4/edit?usp=sharing"",""ลำปาง!J507"")"),0)</f>
        <v>0</v>
      </c>
      <c r="AD26" s="152">
        <f ca="1">IFERROR(__xludf.DUMMYFUNCTION("IMPORTRANGE(""https://docs.google.com/spreadsheets/d/1DY4XTNNwjluuxqdfdn6qvOSlMRrZqUtmYcZR0ttFiG4/edit?usp=sharing"",""ลำปาง!J508"")"),0)</f>
        <v>0</v>
      </c>
      <c r="AE26" s="152">
        <f ca="1">IFERROR(__xludf.DUMMYFUNCTION("IMPORTRANGE(""https://docs.google.com/spreadsheets/d/1DY4XTNNwjluuxqdfdn6qvOSlMRrZqUtmYcZR0ttFiG4/edit?usp=sharing"",""ลำปาง!J509"")"),0)</f>
        <v>0</v>
      </c>
    </row>
    <row r="27" spans="1:31" ht="24" customHeight="1" x14ac:dyDescent="0.3">
      <c r="A27" s="70">
        <v>14</v>
      </c>
      <c r="B27" s="71" t="s">
        <v>55</v>
      </c>
      <c r="C27" s="149">
        <f t="shared" ca="1" si="21"/>
        <v>0</v>
      </c>
      <c r="D27" s="150">
        <f t="shared" ca="1" si="35"/>
        <v>0</v>
      </c>
      <c r="E27" s="151">
        <f ca="1">IFERROR(__xludf.DUMMYFUNCTION("IMPORTRANGE(""https://docs.google.com/spreadsheets/d/1-uDff_7J0KD5mKrp0Vvzr7lt3OU09vwQwhkpOPPYv2Y/edit?usp=sharing"",""งบพรบ!HV27"")"),0)</f>
        <v>0</v>
      </c>
      <c r="F27" s="151">
        <f ca="1">IFERROR(__xludf.DUMMYFUNCTION("IMPORTRANGE(""https://docs.google.com/spreadsheets/d/1-uDff_7J0KD5mKrp0Vvzr7lt3OU09vwQwhkpOPPYv2Y/edit?usp=sharing"",""งบพรบ!HW27"")"),0)</f>
        <v>0</v>
      </c>
      <c r="G27" s="151">
        <f ca="1">IFERROR(__xludf.DUMMYFUNCTION("IMPORTRANGE(""https://docs.google.com/spreadsheets/d/1-uDff_7J0KD5mKrp0Vvzr7lt3OU09vwQwhkpOPPYv2Y/edit?usp=sharing"",""งบพรบ!HX27"")"),0)</f>
        <v>0</v>
      </c>
      <c r="H27" s="151">
        <f ca="1">IFERROR(__xludf.DUMMYFUNCTION("IMPORTRANGE(""https://docs.google.com/spreadsheets/d/1-uDff_7J0KD5mKrp0Vvzr7lt3OU09vwQwhkpOPPYv2Y/edit?usp=sharing"",""งบพรบ!HZ27"")"),0)</f>
        <v>0</v>
      </c>
      <c r="I27" s="151">
        <f ca="1">IFERROR(__xludf.DUMMYFUNCTION("IMPORTRANGE(""https://docs.google.com/spreadsheets/d/1-uDff_7J0KD5mKrp0Vvzr7lt3OU09vwQwhkpOPPYv2Y/edit?usp=sharing"",""งบพรบ!IA27"")"),0)</f>
        <v>0</v>
      </c>
      <c r="J27" s="151">
        <f t="shared" ca="1" si="23"/>
        <v>0</v>
      </c>
      <c r="K27" s="154">
        <f t="shared" ca="1" si="24"/>
        <v>0</v>
      </c>
      <c r="L27" s="151">
        <f ca="1">IFERROR(__xludf.DUMMYFUNCTION("IMPORTRANGE(""https://docs.google.com/spreadsheets/d/1-uDff_7J0KD5mKrp0Vvzr7lt3OU09vwQwhkpOPPYv2Y/edit?usp=sharing"",""งบพรบ!IB27"")"),0)</f>
        <v>0</v>
      </c>
      <c r="M27" s="68">
        <f t="shared" ca="1" si="25"/>
        <v>0</v>
      </c>
      <c r="N27" s="68">
        <f t="shared" ca="1" si="26"/>
        <v>0</v>
      </c>
      <c r="O27" s="151">
        <f ca="1">IFERROR(__xludf.DUMMYFUNCTION("IMPORTRANGE(""https://docs.google.com/spreadsheets/d/1-uDff_7J0KD5mKrp0Vvzr7lt3OU09vwQwhkpOPPYv2Y/edit?usp=sharing"",""งบพรบ!IC27"")"),0)</f>
        <v>0</v>
      </c>
      <c r="P27" s="67">
        <f t="shared" ca="1" si="27"/>
        <v>0</v>
      </c>
      <c r="Q27" s="68">
        <f t="shared" ca="1" si="28"/>
        <v>0</v>
      </c>
      <c r="R27" s="68">
        <f ca="1">IFERROR(__xludf.DUMMYFUNCTION("IMPORTRANGE(""https://docs.google.com/spreadsheets/d/1ICwG78r0OFT8biBlxnBF8r7she7gNSzOvJ958PWT09c/edit?usp=sharing"",""ลำพูน!Q498"")"),0)</f>
        <v>0</v>
      </c>
      <c r="S27" s="68">
        <f ca="1">IFERROR(__xludf.DUMMYFUNCTION("IMPORTRANGE(""https://docs.google.com/spreadsheets/d/1ICwG78r0OFT8biBlxnBF8r7she7gNSzOvJ958PWT09c/edit?usp=sharing"",""ลำพูน!R498"")"),0)</f>
        <v>0</v>
      </c>
      <c r="T27" s="68">
        <f ca="1">IFERROR(__xludf.DUMMYFUNCTION("IMPORTRANGE(""https://docs.google.com/spreadsheets/d/1ICwG78r0OFT8biBlxnBF8r7she7gNSzOvJ958PWT09c/edit?usp=sharing"",""ลำพูน!S498"")"),0)</f>
        <v>0</v>
      </c>
      <c r="U27" s="68">
        <f t="shared" ca="1" si="30"/>
        <v>0</v>
      </c>
      <c r="V27" s="68">
        <f t="shared" ca="1" si="31"/>
        <v>0</v>
      </c>
      <c r="W27" s="278">
        <f ca="1">IFERROR(__xludf.DUMMYFUNCTION("IMPORTRANGE(""https://docs.google.com/spreadsheets/d/1ICwG78r0OFT8biBlxnBF8r7she7gNSzOvJ958PWT09c/edit?usp=sharing"",""ลำพูน!I503"")"),0)</f>
        <v>0</v>
      </c>
      <c r="X27" s="152">
        <f ca="1">IFERROR(__xludf.DUMMYFUNCTION("IMPORTRANGE(""https://docs.google.com/spreadsheets/d/1ICwG78r0OFT8biBlxnBF8r7she7gNSzOvJ958PWT09c/edit?usp=sharing"",""ลำพูน!J503"")"),0)</f>
        <v>0</v>
      </c>
      <c r="Y27" s="216">
        <f t="shared" ca="1" si="33"/>
        <v>0</v>
      </c>
      <c r="Z27" s="152">
        <f ca="1">IFERROR(__xludf.DUMMYFUNCTION("IMPORTRANGE(""https://docs.google.com/spreadsheets/d/1ICwG78r0OFT8biBlxnBF8r7she7gNSzOvJ958PWT09c/edit?usp=sharing"",""ลำพูน!J504"")"),0)</f>
        <v>0</v>
      </c>
      <c r="AA27" s="152">
        <f ca="1">IFERROR(__xludf.DUMMYFUNCTION("IMPORTRANGE(""https://docs.google.com/spreadsheets/d/1ICwG78r0OFT8biBlxnBF8r7she7gNSzOvJ958PWT09c/edit?usp=sharing"",""ลำพูน!J505"")"),0)</f>
        <v>0</v>
      </c>
      <c r="AB27" s="152">
        <f ca="1">IFERROR(__xludf.DUMMYFUNCTION("IMPORTRANGE(""https://docs.google.com/spreadsheets/d/1ICwG78r0OFT8biBlxnBF8r7she7gNSzOvJ958PWT09c/edit?usp=sharing"",""ลำพูน!J506"")"),0)</f>
        <v>0</v>
      </c>
      <c r="AC27" s="152">
        <f ca="1">IFERROR(__xludf.DUMMYFUNCTION("IMPORTRANGE(""https://docs.google.com/spreadsheets/d/1ICwG78r0OFT8biBlxnBF8r7she7gNSzOvJ958PWT09c/edit?usp=sharing"",""ลำพูน!J507"")"),0)</f>
        <v>0</v>
      </c>
      <c r="AD27" s="152">
        <f ca="1">IFERROR(__xludf.DUMMYFUNCTION("IMPORTRANGE(""https://docs.google.com/spreadsheets/d/1ICwG78r0OFT8biBlxnBF8r7she7gNSzOvJ958PWT09c/edit?usp=sharing"",""ลำพูน!J508"")"),0)</f>
        <v>0</v>
      </c>
      <c r="AE27" s="152">
        <f ca="1">IFERROR(__xludf.DUMMYFUNCTION("IMPORTRANGE(""https://docs.google.com/spreadsheets/d/1ICwG78r0OFT8biBlxnBF8r7she7gNSzOvJ958PWT09c/edit?usp=sharing"",""ลำพูน!J509"")"),0)</f>
        <v>0</v>
      </c>
    </row>
    <row r="28" spans="1:31" ht="24" customHeight="1" x14ac:dyDescent="0.3">
      <c r="A28" s="70">
        <v>15</v>
      </c>
      <c r="B28" s="71" t="s">
        <v>56</v>
      </c>
      <c r="C28" s="149">
        <f t="shared" ca="1" si="21"/>
        <v>0</v>
      </c>
      <c r="D28" s="150">
        <f t="shared" ca="1" si="35"/>
        <v>0</v>
      </c>
      <c r="E28" s="151">
        <f ca="1">IFERROR(__xludf.DUMMYFUNCTION("IMPORTRANGE(""https://docs.google.com/spreadsheets/d/1-uDff_7J0KD5mKrp0Vvzr7lt3OU09vwQwhkpOPPYv2Y/edit?usp=sharing"",""งบพรบ!HV28"")"),0)</f>
        <v>0</v>
      </c>
      <c r="F28" s="151">
        <f ca="1">IFERROR(__xludf.DUMMYFUNCTION("IMPORTRANGE(""https://docs.google.com/spreadsheets/d/1-uDff_7J0KD5mKrp0Vvzr7lt3OU09vwQwhkpOPPYv2Y/edit?usp=sharing"",""งบพรบ!HW28"")"),0)</f>
        <v>0</v>
      </c>
      <c r="G28" s="151">
        <f ca="1">IFERROR(__xludf.DUMMYFUNCTION("IMPORTRANGE(""https://docs.google.com/spreadsheets/d/1-uDff_7J0KD5mKrp0Vvzr7lt3OU09vwQwhkpOPPYv2Y/edit?usp=sharing"",""งบพรบ!HX28"")"),0)</f>
        <v>0</v>
      </c>
      <c r="H28" s="151">
        <f ca="1">IFERROR(__xludf.DUMMYFUNCTION("IMPORTRANGE(""https://docs.google.com/spreadsheets/d/1-uDff_7J0KD5mKrp0Vvzr7lt3OU09vwQwhkpOPPYv2Y/edit?usp=sharing"",""งบพรบ!HZ28"")"),0)</f>
        <v>0</v>
      </c>
      <c r="I28" s="151">
        <f ca="1">IFERROR(__xludf.DUMMYFUNCTION("IMPORTRANGE(""https://docs.google.com/spreadsheets/d/1-uDff_7J0KD5mKrp0Vvzr7lt3OU09vwQwhkpOPPYv2Y/edit?usp=sharing"",""งบพรบ!IA28"")"),0)</f>
        <v>0</v>
      </c>
      <c r="J28" s="151">
        <f t="shared" ca="1" si="23"/>
        <v>0</v>
      </c>
      <c r="K28" s="154">
        <f t="shared" ca="1" si="24"/>
        <v>0</v>
      </c>
      <c r="L28" s="151">
        <f ca="1">IFERROR(__xludf.DUMMYFUNCTION("IMPORTRANGE(""https://docs.google.com/spreadsheets/d/1-uDff_7J0KD5mKrp0Vvzr7lt3OU09vwQwhkpOPPYv2Y/edit?usp=sharing"",""งบพรบ!IB28"")"),0)</f>
        <v>0</v>
      </c>
      <c r="M28" s="68">
        <f t="shared" ca="1" si="25"/>
        <v>0</v>
      </c>
      <c r="N28" s="68">
        <f t="shared" ca="1" si="26"/>
        <v>0</v>
      </c>
      <c r="O28" s="151">
        <f ca="1">IFERROR(__xludf.DUMMYFUNCTION("IMPORTRANGE(""https://docs.google.com/spreadsheets/d/1-uDff_7J0KD5mKrp0Vvzr7lt3OU09vwQwhkpOPPYv2Y/edit?usp=sharing"",""งบพรบ!IC28"")"),0)</f>
        <v>0</v>
      </c>
      <c r="P28" s="67">
        <f t="shared" ca="1" si="27"/>
        <v>0</v>
      </c>
      <c r="Q28" s="68">
        <f t="shared" ca="1" si="28"/>
        <v>0</v>
      </c>
      <c r="R28" s="68">
        <f ca="1">IFERROR(__xludf.DUMMYFUNCTION("IMPORTRANGE(""https://docs.google.com/spreadsheets/d/1B0f2xJpZUC6Z0xXnqKlZtEPzsf6L84eP1r1Q15seqRM/edit?usp=sharing"",""สุโขทัย!Q498"")"),0)</f>
        <v>0</v>
      </c>
      <c r="S28" s="68">
        <f ca="1">IFERROR(__xludf.DUMMYFUNCTION("IMPORTRANGE(""https://docs.google.com/spreadsheets/d/1B0f2xJpZUC6Z0xXnqKlZtEPzsf6L84eP1r1Q15seqRM/edit?usp=sharing"",""สุโขทัย!R498"")"),0)</f>
        <v>0</v>
      </c>
      <c r="T28" s="68">
        <f ca="1">IFERROR(__xludf.DUMMYFUNCTION("IMPORTRANGE(""https://docs.google.com/spreadsheets/d/1B0f2xJpZUC6Z0xXnqKlZtEPzsf6L84eP1r1Q15seqRM/edit?usp=sharing"",""สุโขทัย!S498"")"),0)</f>
        <v>0</v>
      </c>
      <c r="U28" s="68">
        <f t="shared" ca="1" si="30"/>
        <v>0</v>
      </c>
      <c r="V28" s="68">
        <f t="shared" ca="1" si="31"/>
        <v>0</v>
      </c>
      <c r="W28" s="278">
        <f ca="1">IFERROR(__xludf.DUMMYFUNCTION("IMPORTRANGE(""https://docs.google.com/spreadsheets/d/1B0f2xJpZUC6Z0xXnqKlZtEPzsf6L84eP1r1Q15seqRM/edit?usp=sharing"",""สุโขทัย!I503"")"),0)</f>
        <v>0</v>
      </c>
      <c r="X28" s="152">
        <f ca="1">IFERROR(__xludf.DUMMYFUNCTION("IMPORTRANGE(""https://docs.google.com/spreadsheets/d/1B0f2xJpZUC6Z0xXnqKlZtEPzsf6L84eP1r1Q15seqRM/edit?usp=sharing"",""สุโขทัย!J503"")"),0)</f>
        <v>0</v>
      </c>
      <c r="Y28" s="216">
        <f t="shared" ca="1" si="33"/>
        <v>0</v>
      </c>
      <c r="Z28" s="152">
        <f ca="1">IFERROR(__xludf.DUMMYFUNCTION("IMPORTRANGE(""https://docs.google.com/spreadsheets/d/1B0f2xJpZUC6Z0xXnqKlZtEPzsf6L84eP1r1Q15seqRM/edit?usp=sharing"",""สุโขทัย!J504"")"),0)</f>
        <v>0</v>
      </c>
      <c r="AA28" s="152">
        <f ca="1">IFERROR(__xludf.DUMMYFUNCTION("IMPORTRANGE(""https://docs.google.com/spreadsheets/d/1B0f2xJpZUC6Z0xXnqKlZtEPzsf6L84eP1r1Q15seqRM/edit?usp=sharing"",""สุโขทัย!J505"")"),0)</f>
        <v>0</v>
      </c>
      <c r="AB28" s="152">
        <f ca="1">IFERROR(__xludf.DUMMYFUNCTION("IMPORTRANGE(""https://docs.google.com/spreadsheets/d/1B0f2xJpZUC6Z0xXnqKlZtEPzsf6L84eP1r1Q15seqRM/edit?usp=sharing"",""สุโขทัย!J506"")"),0)</f>
        <v>0</v>
      </c>
      <c r="AC28" s="152">
        <f ca="1">IFERROR(__xludf.DUMMYFUNCTION("IMPORTRANGE(""https://docs.google.com/spreadsheets/d/1B0f2xJpZUC6Z0xXnqKlZtEPzsf6L84eP1r1Q15seqRM/edit?usp=sharing"",""สุโขทัย!J507"")"),0)</f>
        <v>0</v>
      </c>
      <c r="AD28" s="152">
        <f ca="1">IFERROR(__xludf.DUMMYFUNCTION("IMPORTRANGE(""https://docs.google.com/spreadsheets/d/1B0f2xJpZUC6Z0xXnqKlZtEPzsf6L84eP1r1Q15seqRM/edit?usp=sharing"",""สุโขทัย!J508"")"),0)</f>
        <v>0</v>
      </c>
      <c r="AE28" s="152">
        <f ca="1">IFERROR(__xludf.DUMMYFUNCTION("IMPORTRANGE(""https://docs.google.com/spreadsheets/d/1B0f2xJpZUC6Z0xXnqKlZtEPzsf6L84eP1r1Q15seqRM/edit?usp=sharing"",""สุโขทัย!J509"")"),0)</f>
        <v>0</v>
      </c>
    </row>
    <row r="29" spans="1:31" ht="24" customHeight="1" x14ac:dyDescent="0.3">
      <c r="A29" s="70">
        <v>16</v>
      </c>
      <c r="B29" s="71" t="s">
        <v>57</v>
      </c>
      <c r="C29" s="149">
        <f t="shared" ca="1" si="21"/>
        <v>0</v>
      </c>
      <c r="D29" s="150">
        <f t="shared" ca="1" si="35"/>
        <v>0</v>
      </c>
      <c r="E29" s="151">
        <f ca="1">IFERROR(__xludf.DUMMYFUNCTION("IMPORTRANGE(""https://docs.google.com/spreadsheets/d/1-uDff_7J0KD5mKrp0Vvzr7lt3OU09vwQwhkpOPPYv2Y/edit?usp=sharing"",""งบพรบ!HV29"")"),0)</f>
        <v>0</v>
      </c>
      <c r="F29" s="151">
        <f ca="1">IFERROR(__xludf.DUMMYFUNCTION("IMPORTRANGE(""https://docs.google.com/spreadsheets/d/1-uDff_7J0KD5mKrp0Vvzr7lt3OU09vwQwhkpOPPYv2Y/edit?usp=sharing"",""งบพรบ!HW29"")"),0)</f>
        <v>0</v>
      </c>
      <c r="G29" s="151">
        <f ca="1">IFERROR(__xludf.DUMMYFUNCTION("IMPORTRANGE(""https://docs.google.com/spreadsheets/d/1-uDff_7J0KD5mKrp0Vvzr7lt3OU09vwQwhkpOPPYv2Y/edit?usp=sharing"",""งบพรบ!HX29"")"),0)</f>
        <v>0</v>
      </c>
      <c r="H29" s="151">
        <f ca="1">IFERROR(__xludf.DUMMYFUNCTION("IMPORTRANGE(""https://docs.google.com/spreadsheets/d/1-uDff_7J0KD5mKrp0Vvzr7lt3OU09vwQwhkpOPPYv2Y/edit?usp=sharing"",""งบพรบ!HZ29"")"),0)</f>
        <v>0</v>
      </c>
      <c r="I29" s="151">
        <f ca="1">IFERROR(__xludf.DUMMYFUNCTION("IMPORTRANGE(""https://docs.google.com/spreadsheets/d/1-uDff_7J0KD5mKrp0Vvzr7lt3OU09vwQwhkpOPPYv2Y/edit?usp=sharing"",""งบพรบ!IA29"")"),0)</f>
        <v>0</v>
      </c>
      <c r="J29" s="151">
        <f t="shared" ca="1" si="23"/>
        <v>0</v>
      </c>
      <c r="K29" s="154">
        <f t="shared" ca="1" si="24"/>
        <v>0</v>
      </c>
      <c r="L29" s="151">
        <f ca="1">IFERROR(__xludf.DUMMYFUNCTION("IMPORTRANGE(""https://docs.google.com/spreadsheets/d/1-uDff_7J0KD5mKrp0Vvzr7lt3OU09vwQwhkpOPPYv2Y/edit?usp=sharing"",""งบพรบ!IB29"")"),0)</f>
        <v>0</v>
      </c>
      <c r="M29" s="68">
        <f t="shared" ca="1" si="25"/>
        <v>0</v>
      </c>
      <c r="N29" s="68">
        <f t="shared" ca="1" si="26"/>
        <v>0</v>
      </c>
      <c r="O29" s="151">
        <f ca="1">IFERROR(__xludf.DUMMYFUNCTION("IMPORTRANGE(""https://docs.google.com/spreadsheets/d/1-uDff_7J0KD5mKrp0Vvzr7lt3OU09vwQwhkpOPPYv2Y/edit?usp=sharing"",""งบพรบ!IC29"")"),0)</f>
        <v>0</v>
      </c>
      <c r="P29" s="67">
        <f t="shared" ca="1" si="27"/>
        <v>0</v>
      </c>
      <c r="Q29" s="68">
        <f t="shared" ca="1" si="28"/>
        <v>0</v>
      </c>
      <c r="R29" s="68">
        <f ca="1">IFERROR(__xludf.DUMMYFUNCTION("IMPORTRANGE(""https://docs.google.com/spreadsheets/d/1v0b9pFQCsKUVExMei7AgY2yQkdeNQvtOssygGsXbiKo/edit?usp=sharing"",""อุตรดิตถ์!Q498"")"),0)</f>
        <v>0</v>
      </c>
      <c r="S29" s="68">
        <f ca="1">IFERROR(__xludf.DUMMYFUNCTION("IMPORTRANGE(""https://docs.google.com/spreadsheets/d/1v0b9pFQCsKUVExMei7AgY2yQkdeNQvtOssygGsXbiKo/edit?usp=sharing"",""อุตรดิตถ์!R498"")"),0)</f>
        <v>0</v>
      </c>
      <c r="T29" s="68">
        <f ca="1">IFERROR(__xludf.DUMMYFUNCTION("IMPORTRANGE(""https://docs.google.com/spreadsheets/d/1v0b9pFQCsKUVExMei7AgY2yQkdeNQvtOssygGsXbiKo/edit?usp=sharing"",""อุตรดิตถ์!S498"")"),0)</f>
        <v>0</v>
      </c>
      <c r="U29" s="68">
        <f t="shared" ca="1" si="30"/>
        <v>0</v>
      </c>
      <c r="V29" s="68">
        <f t="shared" ca="1" si="31"/>
        <v>0</v>
      </c>
      <c r="W29" s="278">
        <f ca="1">IFERROR(__xludf.DUMMYFUNCTION("IMPORTRANGE(""https://docs.google.com/spreadsheets/d/1v0b9pFQCsKUVExMei7AgY2yQkdeNQvtOssygGsXbiKo/edit?usp=sharing"",""อุตรดิตถ์!I503"")"),0)</f>
        <v>0</v>
      </c>
      <c r="X29" s="152">
        <f ca="1">IFERROR(__xludf.DUMMYFUNCTION("IMPORTRANGE(""https://docs.google.com/spreadsheets/d/1v0b9pFQCsKUVExMei7AgY2yQkdeNQvtOssygGsXbiKo/edit?usp=sharing"",""อุตรดิตถ์!J503"")"),0)</f>
        <v>0</v>
      </c>
      <c r="Y29" s="216">
        <f t="shared" ca="1" si="33"/>
        <v>0</v>
      </c>
      <c r="Z29" s="152">
        <f ca="1">IFERROR(__xludf.DUMMYFUNCTION("IMPORTRANGE(""https://docs.google.com/spreadsheets/d/1v0b9pFQCsKUVExMei7AgY2yQkdeNQvtOssygGsXbiKo/edit?usp=sharing"",""อุตรดิตถ์!J504"")"),0)</f>
        <v>0</v>
      </c>
      <c r="AA29" s="152">
        <f ca="1">IFERROR(__xludf.DUMMYFUNCTION("IMPORTRANGE(""https://docs.google.com/spreadsheets/d/1v0b9pFQCsKUVExMei7AgY2yQkdeNQvtOssygGsXbiKo/edit?usp=sharing"",""อุตรดิตถ์!J505"")"),0)</f>
        <v>0</v>
      </c>
      <c r="AB29" s="152">
        <f ca="1">IFERROR(__xludf.DUMMYFUNCTION("IMPORTRANGE(""https://docs.google.com/spreadsheets/d/1v0b9pFQCsKUVExMei7AgY2yQkdeNQvtOssygGsXbiKo/edit?usp=sharing"",""อุตรดิตถ์!J506"")"),0)</f>
        <v>0</v>
      </c>
      <c r="AC29" s="152">
        <f ca="1">IFERROR(__xludf.DUMMYFUNCTION("IMPORTRANGE(""https://docs.google.com/spreadsheets/d/1v0b9pFQCsKUVExMei7AgY2yQkdeNQvtOssygGsXbiKo/edit?usp=sharing"",""อุตรดิตถ์!J507"")"),0)</f>
        <v>0</v>
      </c>
      <c r="AD29" s="152">
        <f ca="1">IFERROR(__xludf.DUMMYFUNCTION("IMPORTRANGE(""https://docs.google.com/spreadsheets/d/1v0b9pFQCsKUVExMei7AgY2yQkdeNQvtOssygGsXbiKo/edit?usp=sharing"",""อุตรดิตถ์!J508"")"),0)</f>
        <v>0</v>
      </c>
      <c r="AE29" s="152">
        <f ca="1">IFERROR(__xludf.DUMMYFUNCTION("IMPORTRANGE(""https://docs.google.com/spreadsheets/d/1v0b9pFQCsKUVExMei7AgY2yQkdeNQvtOssygGsXbiKo/edit?usp=sharing"",""อุตรดิตถ์!J509"")"),0)</f>
        <v>0</v>
      </c>
    </row>
    <row r="30" spans="1:31" ht="24" customHeight="1" x14ac:dyDescent="0.3">
      <c r="A30" s="80">
        <v>17</v>
      </c>
      <c r="B30" s="81" t="s">
        <v>58</v>
      </c>
      <c r="C30" s="157">
        <f t="shared" ca="1" si="21"/>
        <v>30100</v>
      </c>
      <c r="D30" s="158">
        <f t="shared" ca="1" si="35"/>
        <v>30100</v>
      </c>
      <c r="E30" s="159">
        <f ca="1">IFERROR(__xludf.DUMMYFUNCTION("IMPORTRANGE(""https://docs.google.com/spreadsheets/d/1-uDff_7J0KD5mKrp0Vvzr7lt3OU09vwQwhkpOPPYv2Y/edit?usp=sharing"",""งบพรบ!HV30"")"),0)</f>
        <v>0</v>
      </c>
      <c r="F30" s="159">
        <f ca="1">IFERROR(__xludf.DUMMYFUNCTION("IMPORTRANGE(""https://docs.google.com/spreadsheets/d/1-uDff_7J0KD5mKrp0Vvzr7lt3OU09vwQwhkpOPPYv2Y/edit?usp=sharing"",""งบพรบ!HW30"")"),30100)</f>
        <v>30100</v>
      </c>
      <c r="G30" s="159">
        <f ca="1">IFERROR(__xludf.DUMMYFUNCTION("IMPORTRANGE(""https://docs.google.com/spreadsheets/d/1-uDff_7J0KD5mKrp0Vvzr7lt3OU09vwQwhkpOPPYv2Y/edit?usp=sharing"",""งบพรบ!HX30"")"),0)</f>
        <v>0</v>
      </c>
      <c r="H30" s="159">
        <f ca="1">IFERROR(__xludf.DUMMYFUNCTION("IMPORTRANGE(""https://docs.google.com/spreadsheets/d/1-uDff_7J0KD5mKrp0Vvzr7lt3OU09vwQwhkpOPPYv2Y/edit?usp=sharing"",""งบพรบ!HZ30"")"),30100)</f>
        <v>30100</v>
      </c>
      <c r="I30" s="159">
        <f ca="1">IFERROR(__xludf.DUMMYFUNCTION("IMPORTRANGE(""https://docs.google.com/spreadsheets/d/1-uDff_7J0KD5mKrp0Vvzr7lt3OU09vwQwhkpOPPYv2Y/edit?usp=sharing"",""งบพรบ!IA30"")"),0)</f>
        <v>0</v>
      </c>
      <c r="J30" s="159">
        <f t="shared" ca="1" si="23"/>
        <v>30100</v>
      </c>
      <c r="K30" s="160">
        <f t="shared" ca="1" si="24"/>
        <v>100</v>
      </c>
      <c r="L30" s="159">
        <f ca="1">IFERROR(__xludf.DUMMYFUNCTION("IMPORTRANGE(""https://docs.google.com/spreadsheets/d/1-uDff_7J0KD5mKrp0Vvzr7lt3OU09vwQwhkpOPPYv2Y/edit?usp=sharing"",""งบพรบ!IB30"")"),30100)</f>
        <v>30100</v>
      </c>
      <c r="M30" s="89">
        <f t="shared" ca="1" si="25"/>
        <v>100</v>
      </c>
      <c r="N30" s="89">
        <f t="shared" ca="1" si="26"/>
        <v>100</v>
      </c>
      <c r="O30" s="159">
        <f ca="1">IFERROR(__xludf.DUMMYFUNCTION("IMPORTRANGE(""https://docs.google.com/spreadsheets/d/1-uDff_7J0KD5mKrp0Vvzr7lt3OU09vwQwhkpOPPYv2Y/edit?usp=sharing"",""งบพรบ!IC30"")"),0)</f>
        <v>0</v>
      </c>
      <c r="P30" s="88">
        <f t="shared" ca="1" si="27"/>
        <v>0</v>
      </c>
      <c r="Q30" s="89">
        <f t="shared" ca="1" si="28"/>
        <v>0</v>
      </c>
      <c r="R30" s="89">
        <f ca="1">IFERROR(__xludf.DUMMYFUNCTION("IMPORTRANGE(""https://docs.google.com/spreadsheets/d/1UsNK1e-WWiCo2PvGqdNfdme4m17_Ezd3J69EeeiQPD0/edit?usp=sharing"",""อุทัยธานี!Q498"")"),741945)</f>
        <v>741945</v>
      </c>
      <c r="S30" s="89">
        <f ca="1">IFERROR(__xludf.DUMMYFUNCTION("IMPORTRANGE(""https://docs.google.com/spreadsheets/d/1UsNK1e-WWiCo2PvGqdNfdme4m17_Ezd3J69EeeiQPD0/edit?usp=sharing"",""อุทัยธานี!R498"")"),749645)</f>
        <v>749645</v>
      </c>
      <c r="T30" s="89">
        <f ca="1">IFERROR(__xludf.DUMMYFUNCTION("IMPORTRANGE(""https://docs.google.com/spreadsheets/d/1UsNK1e-WWiCo2PvGqdNfdme4m17_Ezd3J69EeeiQPD0/edit?usp=sharing"",""อุทัยธานี!S498"")"),400905)</f>
        <v>400905</v>
      </c>
      <c r="U30" s="89">
        <f t="shared" ca="1" si="30"/>
        <v>54.034328690132021</v>
      </c>
      <c r="V30" s="89">
        <f t="shared" ca="1" si="31"/>
        <v>53.479313541743089</v>
      </c>
      <c r="W30" s="280">
        <f ca="1">IFERROR(__xludf.DUMMYFUNCTION("IMPORTRANGE(""https://docs.google.com/spreadsheets/d/1UsNK1e-WWiCo2PvGqdNfdme4m17_Ezd3J69EeeiQPD0/edit?usp=sharing"",""อุทัยธานี!I503"")"),60)</f>
        <v>60</v>
      </c>
      <c r="X30" s="191">
        <f ca="1">IFERROR(__xludf.DUMMYFUNCTION("IMPORTRANGE(""https://docs.google.com/spreadsheets/d/1UsNK1e-WWiCo2PvGqdNfdme4m17_Ezd3J69EeeiQPD0/edit?usp=sharing"",""อุทัยธานี!J503"")"),60)</f>
        <v>60</v>
      </c>
      <c r="Y30" s="218">
        <f t="shared" ca="1" si="33"/>
        <v>100</v>
      </c>
      <c r="Z30" s="191">
        <f ca="1">IFERROR(__xludf.DUMMYFUNCTION("IMPORTRANGE(""https://docs.google.com/spreadsheets/d/1UsNK1e-WWiCo2PvGqdNfdme4m17_Ezd3J69EeeiQPD0/edit?usp=sharing"",""อุทัยธานี!J504"")"),60)</f>
        <v>60</v>
      </c>
      <c r="AA30" s="191">
        <f ca="1">IFERROR(__xludf.DUMMYFUNCTION("IMPORTRANGE(""https://docs.google.com/spreadsheets/d/1UsNK1e-WWiCo2PvGqdNfdme4m17_Ezd3J69EeeiQPD0/edit?usp=sharing"",""อุทัยธานี!J505"")"),60)</f>
        <v>60</v>
      </c>
      <c r="AB30" s="191">
        <f ca="1">IFERROR(__xludf.DUMMYFUNCTION("IMPORTRANGE(""https://docs.google.com/spreadsheets/d/1UsNK1e-WWiCo2PvGqdNfdme4m17_Ezd3J69EeeiQPD0/edit?usp=sharing"",""อุทัยธานี!J506"")"),60)</f>
        <v>60</v>
      </c>
      <c r="AC30" s="191">
        <f ca="1">IFERROR(__xludf.DUMMYFUNCTION("IMPORTRANGE(""https://docs.google.com/spreadsheets/d/1UsNK1e-WWiCo2PvGqdNfdme4m17_Ezd3J69EeeiQPD0/edit?usp=sharing"",""อุทัยธานี!J507"")"),10)</f>
        <v>10</v>
      </c>
      <c r="AD30" s="191">
        <f ca="1">IFERROR(__xludf.DUMMYFUNCTION("IMPORTRANGE(""https://docs.google.com/spreadsheets/d/1UsNK1e-WWiCo2PvGqdNfdme4m17_Ezd3J69EeeiQPD0/edit?usp=sharing"",""อุทัยธานี!J508"")"),0)</f>
        <v>0</v>
      </c>
      <c r="AE30" s="191">
        <f ca="1">IFERROR(__xludf.DUMMYFUNCTION("IMPORTRANGE(""https://docs.google.com/spreadsheets/d/1UsNK1e-WWiCo2PvGqdNfdme4m17_Ezd3J69EeeiQPD0/edit?usp=sharing"",""อุทัยธานี!J509"")"),0)</f>
        <v>0</v>
      </c>
    </row>
    <row r="31" spans="1:31" ht="21" customHeight="1" x14ac:dyDescent="0.3">
      <c r="A31" s="665" t="s">
        <v>59</v>
      </c>
      <c r="B31" s="666"/>
      <c r="C31" s="161">
        <f t="shared" ca="1" si="21"/>
        <v>59800</v>
      </c>
      <c r="D31" s="161">
        <f t="shared" ref="D31:I31" ca="1" si="36">SUM(D32:D51)</f>
        <v>59800</v>
      </c>
      <c r="E31" s="161">
        <f t="shared" ca="1" si="36"/>
        <v>0</v>
      </c>
      <c r="F31" s="161">
        <f t="shared" ca="1" si="36"/>
        <v>59800</v>
      </c>
      <c r="G31" s="161">
        <f t="shared" ca="1" si="36"/>
        <v>0</v>
      </c>
      <c r="H31" s="161">
        <f t="shared" ca="1" si="36"/>
        <v>59800</v>
      </c>
      <c r="I31" s="161">
        <f t="shared" ca="1" si="36"/>
        <v>0</v>
      </c>
      <c r="J31" s="161">
        <f t="shared" ca="1" si="23"/>
        <v>26960</v>
      </c>
      <c r="K31" s="162">
        <f t="shared" ca="1" si="24"/>
        <v>45.083612040133779</v>
      </c>
      <c r="L31" s="161">
        <f ca="1">SUM(L32:L51)</f>
        <v>26960</v>
      </c>
      <c r="M31" s="94">
        <f t="shared" ca="1" si="25"/>
        <v>45.083612040133779</v>
      </c>
      <c r="N31" s="94">
        <f t="shared" ca="1" si="26"/>
        <v>45.083612040133779</v>
      </c>
      <c r="O31" s="93">
        <f ca="1">SUM(O32:O51)</f>
        <v>0</v>
      </c>
      <c r="P31" s="93">
        <f t="shared" ca="1" si="27"/>
        <v>0</v>
      </c>
      <c r="Q31" s="94">
        <f t="shared" ca="1" si="28"/>
        <v>0</v>
      </c>
      <c r="R31" s="94">
        <f t="shared" ref="R31:T31" ca="1" si="37">SUM(R32:R51)</f>
        <v>1066115</v>
      </c>
      <c r="S31" s="94">
        <f t="shared" ca="1" si="37"/>
        <v>1081515</v>
      </c>
      <c r="T31" s="94">
        <f t="shared" ca="1" si="37"/>
        <v>770797.23</v>
      </c>
      <c r="U31" s="94">
        <f t="shared" ca="1" si="30"/>
        <v>72.299632778827799</v>
      </c>
      <c r="V31" s="94">
        <f t="shared" ca="1" si="31"/>
        <v>71.270137723471237</v>
      </c>
      <c r="W31" s="282">
        <f t="shared" ref="W31:X31" ca="1" si="38">SUM(W32:W51)</f>
        <v>70</v>
      </c>
      <c r="X31" s="161">
        <f t="shared" ca="1" si="38"/>
        <v>30</v>
      </c>
      <c r="Y31" s="94">
        <f t="shared" ca="1" si="33"/>
        <v>42.857142857142854</v>
      </c>
      <c r="Z31" s="161">
        <f t="shared" ref="Z31:AE31" ca="1" si="39">SUM(Z32:Z51)</f>
        <v>70</v>
      </c>
      <c r="AA31" s="161">
        <f t="shared" ca="1" si="39"/>
        <v>30</v>
      </c>
      <c r="AB31" s="161">
        <f t="shared" ca="1" si="39"/>
        <v>70</v>
      </c>
      <c r="AC31" s="161">
        <f t="shared" ca="1" si="39"/>
        <v>10</v>
      </c>
      <c r="AD31" s="161">
        <f t="shared" ca="1" si="39"/>
        <v>0</v>
      </c>
      <c r="AE31" s="161">
        <f t="shared" ca="1" si="39"/>
        <v>70</v>
      </c>
    </row>
    <row r="32" spans="1:31" ht="21" customHeight="1" x14ac:dyDescent="0.3">
      <c r="A32" s="58">
        <v>1</v>
      </c>
      <c r="B32" s="59" t="s">
        <v>60</v>
      </c>
      <c r="C32" s="149">
        <f t="shared" ca="1" si="21"/>
        <v>24100</v>
      </c>
      <c r="D32" s="150">
        <f t="shared" ref="D32:D51" ca="1" si="40">+E32+F32</f>
        <v>24100</v>
      </c>
      <c r="E32" s="151">
        <f ca="1">IFERROR(__xludf.DUMMYFUNCTION("IMPORTRANGE(""https://docs.google.com/spreadsheets/d/1-uDff_7J0KD5mKrp0Vvzr7lt3OU09vwQwhkpOPPYv2Y/edit?usp=sharing"",""งบพรบ!HV32"")"),0)</f>
        <v>0</v>
      </c>
      <c r="F32" s="151">
        <f ca="1">IFERROR(__xludf.DUMMYFUNCTION("IMPORTRANGE(""https://docs.google.com/spreadsheets/d/1-uDff_7J0KD5mKrp0Vvzr7lt3OU09vwQwhkpOPPYv2Y/edit?usp=sharing"",""งบพรบ!HW32"")"),24100)</f>
        <v>24100</v>
      </c>
      <c r="G32" s="152">
        <f ca="1">IFERROR(__xludf.DUMMYFUNCTION("IMPORTRANGE(""https://docs.google.com/spreadsheets/d/1-uDff_7J0KD5mKrp0Vvzr7lt3OU09vwQwhkpOPPYv2Y/edit?usp=sharing"",""งบพรบ!HX32"")"),0)</f>
        <v>0</v>
      </c>
      <c r="H32" s="152">
        <f ca="1">IFERROR(__xludf.DUMMYFUNCTION("IMPORTRANGE(""https://docs.google.com/spreadsheets/d/1-uDff_7J0KD5mKrp0Vvzr7lt3OU09vwQwhkpOPPYv2Y/edit?usp=sharing"",""งบพรบ!HZ32"")"),24100)</f>
        <v>24100</v>
      </c>
      <c r="I32" s="152">
        <f ca="1">IFERROR(__xludf.DUMMYFUNCTION("IMPORTRANGE(""https://docs.google.com/spreadsheets/d/1-uDff_7J0KD5mKrp0Vvzr7lt3OU09vwQwhkpOPPYv2Y/edit?usp=sharing"",""งบพรบ!IA32"")"),0)</f>
        <v>0</v>
      </c>
      <c r="J32" s="152">
        <f t="shared" ca="1" si="23"/>
        <v>24100</v>
      </c>
      <c r="K32" s="153">
        <f t="shared" ca="1" si="24"/>
        <v>100</v>
      </c>
      <c r="L32" s="152">
        <f ca="1">IFERROR(__xludf.DUMMYFUNCTION("IMPORTRANGE(""https://docs.google.com/spreadsheets/d/1-uDff_7J0KD5mKrp0Vvzr7lt3OU09vwQwhkpOPPYv2Y/edit?usp=sharing"",""งบพรบ!IB32"")"),24100)</f>
        <v>24100</v>
      </c>
      <c r="M32" s="68">
        <f t="shared" ca="1" si="25"/>
        <v>100</v>
      </c>
      <c r="N32" s="68">
        <f t="shared" ca="1" si="26"/>
        <v>100</v>
      </c>
      <c r="O32" s="151">
        <f ca="1">IFERROR(__xludf.DUMMYFUNCTION("IMPORTRANGE(""https://docs.google.com/spreadsheets/d/1-uDff_7J0KD5mKrp0Vvzr7lt3OU09vwQwhkpOPPYv2Y/edit?usp=sharing"",""งบพรบ!IC32"")"),0)</f>
        <v>0</v>
      </c>
      <c r="P32" s="67">
        <f t="shared" ca="1" si="27"/>
        <v>0</v>
      </c>
      <c r="Q32" s="68">
        <f t="shared" ca="1" si="28"/>
        <v>0</v>
      </c>
      <c r="R32" s="68">
        <f ca="1">IFERROR(__xludf.DUMMYFUNCTION("IMPORTRANGE(""https://docs.google.com/spreadsheets/d/1yhBcrRPreicbMKl9Bu_Snb2-OcQAF62RKfhTLhJ2eAA/edit?usp=sharing"",""กาฬสินธุ์!Q498"")"),460185)</f>
        <v>460185</v>
      </c>
      <c r="S32" s="68">
        <f ca="1">IFERROR(__xludf.DUMMYFUNCTION("IMPORTRANGE(""https://docs.google.com/spreadsheets/d/1yhBcrRPreicbMKl9Bu_Snb2-OcQAF62RKfhTLhJ2eAA/edit?usp=sharing"",""กาฬสินธุ์!R498"")"),467885)</f>
        <v>467885</v>
      </c>
      <c r="T32" s="68">
        <f ca="1">IFERROR(__xludf.DUMMYFUNCTION("IMPORTRANGE(""https://docs.google.com/spreadsheets/d/1yhBcrRPreicbMKl9Bu_Snb2-OcQAF62RKfhTLhJ2eAA/edit?usp=sharing"",""กาฬสินธุ์!S498"")"),426198.94)</f>
        <v>426198.94</v>
      </c>
      <c r="U32" s="68">
        <f t="shared" ca="1" si="30"/>
        <v>92.614696263459265</v>
      </c>
      <c r="V32" s="68">
        <f t="shared" ca="1" si="31"/>
        <v>91.090532930100352</v>
      </c>
      <c r="W32" s="278">
        <f ca="1">IFERROR(__xludf.DUMMYFUNCTION("IMPORTRANGE(""https://docs.google.com/spreadsheets/d/1yhBcrRPreicbMKl9Bu_Snb2-OcQAF62RKfhTLhJ2eAA/edit?usp=sharing"",""กาฬสินธุ์!I503"")"),30)</f>
        <v>30</v>
      </c>
      <c r="X32" s="152">
        <f ca="1">IFERROR(__xludf.DUMMYFUNCTION("IMPORTRANGE(""https://docs.google.com/spreadsheets/d/1yhBcrRPreicbMKl9Bu_Snb2-OcQAF62RKfhTLhJ2eAA/edit?usp=sharing"",""กาฬสินธุ์!J503"")"),30)</f>
        <v>30</v>
      </c>
      <c r="Y32" s="216">
        <f t="shared" ca="1" si="33"/>
        <v>100</v>
      </c>
      <c r="Z32" s="152">
        <f ca="1">IFERROR(__xludf.DUMMYFUNCTION("IMPORTRANGE(""https://docs.google.com/spreadsheets/d/1yhBcrRPreicbMKl9Bu_Snb2-OcQAF62RKfhTLhJ2eAA/edit?usp=sharing"",""กาฬสินธุ์!J504"")"),30)</f>
        <v>30</v>
      </c>
      <c r="AA32" s="152">
        <f ca="1">IFERROR(__xludf.DUMMYFUNCTION("IMPORTRANGE(""https://docs.google.com/spreadsheets/d/1yhBcrRPreicbMKl9Bu_Snb2-OcQAF62RKfhTLhJ2eAA/edit?usp=sharing"",""กาฬสินธุ์!J505"")"),30)</f>
        <v>30</v>
      </c>
      <c r="AB32" s="152">
        <f ca="1">IFERROR(__xludf.DUMMYFUNCTION("IMPORTRANGE(""https://docs.google.com/spreadsheets/d/1yhBcrRPreicbMKl9Bu_Snb2-OcQAF62RKfhTLhJ2eAA/edit?usp=sharing"",""กาฬสินธุ์!J506"")"),30)</f>
        <v>30</v>
      </c>
      <c r="AC32" s="152">
        <f ca="1">IFERROR(__xludf.DUMMYFUNCTION("IMPORTRANGE(""https://docs.google.com/spreadsheets/d/1yhBcrRPreicbMKl9Bu_Snb2-OcQAF62RKfhTLhJ2eAA/edit?usp=sharing"",""กาฬสินธุ์!J507"")"),10)</f>
        <v>10</v>
      </c>
      <c r="AD32" s="152">
        <f ca="1">IFERROR(__xludf.DUMMYFUNCTION("IMPORTRANGE(""https://docs.google.com/spreadsheets/d/1yhBcrRPreicbMKl9Bu_Snb2-OcQAF62RKfhTLhJ2eAA/edit?usp=sharing"",""กาฬสินธุ์!J508"")"),0)</f>
        <v>0</v>
      </c>
      <c r="AE32" s="152">
        <f ca="1">IFERROR(__xludf.DUMMYFUNCTION("IMPORTRANGE(""https://docs.google.com/spreadsheets/d/1yhBcrRPreicbMKl9Bu_Snb2-OcQAF62RKfhTLhJ2eAA/edit?usp=sharing"",""กาฬสินธุ์!J509"")"),30)</f>
        <v>30</v>
      </c>
    </row>
    <row r="33" spans="1:31" ht="21" customHeight="1" x14ac:dyDescent="0.3">
      <c r="A33" s="70">
        <v>2</v>
      </c>
      <c r="B33" s="71" t="s">
        <v>61</v>
      </c>
      <c r="C33" s="149">
        <f t="shared" ca="1" si="21"/>
        <v>0</v>
      </c>
      <c r="D33" s="150">
        <f t="shared" ca="1" si="40"/>
        <v>0</v>
      </c>
      <c r="E33" s="151">
        <f ca="1">IFERROR(__xludf.DUMMYFUNCTION("IMPORTRANGE(""https://docs.google.com/spreadsheets/d/1-uDff_7J0KD5mKrp0Vvzr7lt3OU09vwQwhkpOPPYv2Y/edit?usp=sharing"",""งบพรบ!HV33"")"),0)</f>
        <v>0</v>
      </c>
      <c r="F33" s="151">
        <f ca="1">IFERROR(__xludf.DUMMYFUNCTION("IMPORTRANGE(""https://docs.google.com/spreadsheets/d/1-uDff_7J0KD5mKrp0Vvzr7lt3OU09vwQwhkpOPPYv2Y/edit?usp=sharing"",""งบพรบ!HW33"")"),0)</f>
        <v>0</v>
      </c>
      <c r="G33" s="151">
        <f ca="1">IFERROR(__xludf.DUMMYFUNCTION("IMPORTRANGE(""https://docs.google.com/spreadsheets/d/1-uDff_7J0KD5mKrp0Vvzr7lt3OU09vwQwhkpOPPYv2Y/edit?usp=sharing"",""งบพรบ!HX33"")"),0)</f>
        <v>0</v>
      </c>
      <c r="H33" s="151">
        <f ca="1">IFERROR(__xludf.DUMMYFUNCTION("IMPORTRANGE(""https://docs.google.com/spreadsheets/d/1-uDff_7J0KD5mKrp0Vvzr7lt3OU09vwQwhkpOPPYv2Y/edit?usp=sharing"",""งบพรบ!HZ33"")"),0)</f>
        <v>0</v>
      </c>
      <c r="I33" s="151">
        <f ca="1">IFERROR(__xludf.DUMMYFUNCTION("IMPORTRANGE(""https://docs.google.com/spreadsheets/d/1-uDff_7J0KD5mKrp0Vvzr7lt3OU09vwQwhkpOPPYv2Y/edit?usp=sharing"",""งบพรบ!IA33"")"),0)</f>
        <v>0</v>
      </c>
      <c r="J33" s="151">
        <f t="shared" ca="1" si="23"/>
        <v>0</v>
      </c>
      <c r="K33" s="154">
        <f t="shared" ca="1" si="24"/>
        <v>0</v>
      </c>
      <c r="L33" s="151">
        <f ca="1">IFERROR(__xludf.DUMMYFUNCTION("IMPORTRANGE(""https://docs.google.com/spreadsheets/d/1-uDff_7J0KD5mKrp0Vvzr7lt3OU09vwQwhkpOPPYv2Y/edit?usp=sharing"",""งบพรบ!IB33"")"),0)</f>
        <v>0</v>
      </c>
      <c r="M33" s="68">
        <f t="shared" ca="1" si="25"/>
        <v>0</v>
      </c>
      <c r="N33" s="68">
        <f t="shared" ca="1" si="26"/>
        <v>0</v>
      </c>
      <c r="O33" s="151">
        <f ca="1">IFERROR(__xludf.DUMMYFUNCTION("IMPORTRANGE(""https://docs.google.com/spreadsheets/d/1-uDff_7J0KD5mKrp0Vvzr7lt3OU09vwQwhkpOPPYv2Y/edit?usp=sharing"",""งบพรบ!IC33"")"),0)</f>
        <v>0</v>
      </c>
      <c r="P33" s="67">
        <f t="shared" ca="1" si="27"/>
        <v>0</v>
      </c>
      <c r="Q33" s="68">
        <f t="shared" ca="1" si="28"/>
        <v>0</v>
      </c>
      <c r="R33" s="68">
        <f ca="1">IFERROR(__xludf.DUMMYFUNCTION("IMPORTRANGE(""https://docs.google.com/spreadsheets/d/1aHkj4IaQMThhwWwevcOymEh837vdxeC_PycurhTbGFA/edit?usp=sharing"",""ขอนแก่น!Q498"")"),0)</f>
        <v>0</v>
      </c>
      <c r="S33" s="68">
        <f ca="1">IFERROR(__xludf.DUMMYFUNCTION("IMPORTRANGE(""https://docs.google.com/spreadsheets/d/1aHkj4IaQMThhwWwevcOymEh837vdxeC_PycurhTbGFA/edit?usp=sharing"",""ขอนแก่น!R498"")"),0)</f>
        <v>0</v>
      </c>
      <c r="T33" s="68">
        <f ca="1">IFERROR(__xludf.DUMMYFUNCTION("IMPORTRANGE(""https://docs.google.com/spreadsheets/d/1aHkj4IaQMThhwWwevcOymEh837vdxeC_PycurhTbGFA/edit?usp=sharing"",""ขอนแก่น!S498"")"),0)</f>
        <v>0</v>
      </c>
      <c r="U33" s="68">
        <f t="shared" ca="1" si="30"/>
        <v>0</v>
      </c>
      <c r="V33" s="68">
        <f t="shared" ca="1" si="31"/>
        <v>0</v>
      </c>
      <c r="W33" s="279">
        <f ca="1">IFERROR(__xludf.DUMMYFUNCTION("IMPORTRANGE(""https://docs.google.com/spreadsheets/d/1aHkj4IaQMThhwWwevcOymEh837vdxeC_PycurhTbGFA/edit?usp=sharing"",""ขอนแก่น!I503"")"),0)</f>
        <v>0</v>
      </c>
      <c r="X33" s="152">
        <f ca="1">IFERROR(__xludf.DUMMYFUNCTION("IMPORTRANGE(""https://docs.google.com/spreadsheets/d/1aHkj4IaQMThhwWwevcOymEh837vdxeC_PycurhTbGFA/edit?usp=sharing"",""ขอนแก่น!J503"")"),0)</f>
        <v>0</v>
      </c>
      <c r="Y33" s="216">
        <f t="shared" ca="1" si="33"/>
        <v>0</v>
      </c>
      <c r="Z33" s="152">
        <f ca="1">IFERROR(__xludf.DUMMYFUNCTION("IMPORTRANGE(""https://docs.google.com/spreadsheets/d/1aHkj4IaQMThhwWwevcOymEh837vdxeC_PycurhTbGFA/edit?usp=sharing"",""ขอนแก่น!J504"")"),0)</f>
        <v>0</v>
      </c>
      <c r="AA33" s="152">
        <f ca="1">IFERROR(__xludf.DUMMYFUNCTION("IMPORTRANGE(""https://docs.google.com/spreadsheets/d/1aHkj4IaQMThhwWwevcOymEh837vdxeC_PycurhTbGFA/edit?usp=sharing"",""ขอนแก่น!J505"")"),0)</f>
        <v>0</v>
      </c>
      <c r="AB33" s="152">
        <f ca="1">IFERROR(__xludf.DUMMYFUNCTION("IMPORTRANGE(""https://docs.google.com/spreadsheets/d/1aHkj4IaQMThhwWwevcOymEh837vdxeC_PycurhTbGFA/edit?usp=sharing"",""ขอนแก่น!J506"")"),0)</f>
        <v>0</v>
      </c>
      <c r="AC33" s="152">
        <f ca="1">IFERROR(__xludf.DUMMYFUNCTION("IMPORTRANGE(""https://docs.google.com/spreadsheets/d/1aHkj4IaQMThhwWwevcOymEh837vdxeC_PycurhTbGFA/edit?usp=sharing"",""ขอนแก่น!J507"")"),0)</f>
        <v>0</v>
      </c>
      <c r="AD33" s="152">
        <f ca="1">IFERROR(__xludf.DUMMYFUNCTION("IMPORTRANGE(""https://docs.google.com/spreadsheets/d/1aHkj4IaQMThhwWwevcOymEh837vdxeC_PycurhTbGFA/edit?usp=sharing"",""ขอนแก่น!J508"")"),0)</f>
        <v>0</v>
      </c>
      <c r="AE33" s="152">
        <f ca="1">IFERROR(__xludf.DUMMYFUNCTION("IMPORTRANGE(""https://docs.google.com/spreadsheets/d/1aHkj4IaQMThhwWwevcOymEh837vdxeC_PycurhTbGFA/edit?usp=sharing"",""ขอนแก่น!J509"")"),0)</f>
        <v>0</v>
      </c>
    </row>
    <row r="34" spans="1:31" ht="21" customHeight="1" x14ac:dyDescent="0.3">
      <c r="A34" s="70">
        <v>3</v>
      </c>
      <c r="B34" s="71" t="s">
        <v>62</v>
      </c>
      <c r="C34" s="149">
        <f t="shared" ca="1" si="21"/>
        <v>0</v>
      </c>
      <c r="D34" s="150">
        <f t="shared" ca="1" si="40"/>
        <v>0</v>
      </c>
      <c r="E34" s="151">
        <f ca="1">IFERROR(__xludf.DUMMYFUNCTION("IMPORTRANGE(""https://docs.google.com/spreadsheets/d/1-uDff_7J0KD5mKrp0Vvzr7lt3OU09vwQwhkpOPPYv2Y/edit?usp=sharing"",""งบพรบ!HV34"")"),0)</f>
        <v>0</v>
      </c>
      <c r="F34" s="151">
        <f ca="1">IFERROR(__xludf.DUMMYFUNCTION("IMPORTRANGE(""https://docs.google.com/spreadsheets/d/1-uDff_7J0KD5mKrp0Vvzr7lt3OU09vwQwhkpOPPYv2Y/edit?usp=sharing"",""งบพรบ!HW34"")"),0)</f>
        <v>0</v>
      </c>
      <c r="G34" s="151">
        <f ca="1">IFERROR(__xludf.DUMMYFUNCTION("IMPORTRANGE(""https://docs.google.com/spreadsheets/d/1-uDff_7J0KD5mKrp0Vvzr7lt3OU09vwQwhkpOPPYv2Y/edit?usp=sharing"",""งบพรบ!HX34"")"),0)</f>
        <v>0</v>
      </c>
      <c r="H34" s="151">
        <f ca="1">IFERROR(__xludf.DUMMYFUNCTION("IMPORTRANGE(""https://docs.google.com/spreadsheets/d/1-uDff_7J0KD5mKrp0Vvzr7lt3OU09vwQwhkpOPPYv2Y/edit?usp=sharing"",""งบพรบ!HZ34"")"),0)</f>
        <v>0</v>
      </c>
      <c r="I34" s="151">
        <f ca="1">IFERROR(__xludf.DUMMYFUNCTION("IMPORTRANGE(""https://docs.google.com/spreadsheets/d/1-uDff_7J0KD5mKrp0Vvzr7lt3OU09vwQwhkpOPPYv2Y/edit?usp=sharing"",""งบพรบ!IA34"")"),0)</f>
        <v>0</v>
      </c>
      <c r="J34" s="151">
        <f t="shared" ca="1" si="23"/>
        <v>0</v>
      </c>
      <c r="K34" s="154">
        <f t="shared" ca="1" si="24"/>
        <v>0</v>
      </c>
      <c r="L34" s="151">
        <f ca="1">IFERROR(__xludf.DUMMYFUNCTION("IMPORTRANGE(""https://docs.google.com/spreadsheets/d/1-uDff_7J0KD5mKrp0Vvzr7lt3OU09vwQwhkpOPPYv2Y/edit?usp=sharing"",""งบพรบ!IB34"")"),0)</f>
        <v>0</v>
      </c>
      <c r="M34" s="68">
        <f t="shared" ca="1" si="25"/>
        <v>0</v>
      </c>
      <c r="N34" s="68">
        <f t="shared" ca="1" si="26"/>
        <v>0</v>
      </c>
      <c r="O34" s="151">
        <f ca="1">IFERROR(__xludf.DUMMYFUNCTION("IMPORTRANGE(""https://docs.google.com/spreadsheets/d/1-uDff_7J0KD5mKrp0Vvzr7lt3OU09vwQwhkpOPPYv2Y/edit?usp=sharing"",""งบพรบ!IC34"")"),0)</f>
        <v>0</v>
      </c>
      <c r="P34" s="67">
        <f t="shared" ca="1" si="27"/>
        <v>0</v>
      </c>
      <c r="Q34" s="68">
        <f t="shared" ca="1" si="28"/>
        <v>0</v>
      </c>
      <c r="R34" s="68">
        <f ca="1">IFERROR(__xludf.DUMMYFUNCTION("IMPORTRANGE(""https://docs.google.com/spreadsheets/d/1FvTu2DsIWUjP6WCWra38Bkj_oOl_sOMf14r5Fg5srxU/edit?usp=sharing"",""ชัยภูมิ!Q498"")"),0)</f>
        <v>0</v>
      </c>
      <c r="S34" s="68">
        <f ca="1">IFERROR(__xludf.DUMMYFUNCTION("IMPORTRANGE(""https://docs.google.com/spreadsheets/d/1FvTu2DsIWUjP6WCWra38Bkj_oOl_sOMf14r5Fg5srxU/edit?usp=sharing"",""ชัยภูมิ!R498"")"),0)</f>
        <v>0</v>
      </c>
      <c r="T34" s="68">
        <f ca="1">IFERROR(__xludf.DUMMYFUNCTION("IMPORTRANGE(""https://docs.google.com/spreadsheets/d/1FvTu2DsIWUjP6WCWra38Bkj_oOl_sOMf14r5Fg5srxU/edit?usp=sharing"",""ชัยภูมิ!S498"")"),0)</f>
        <v>0</v>
      </c>
      <c r="U34" s="68">
        <f t="shared" ca="1" si="30"/>
        <v>0</v>
      </c>
      <c r="V34" s="68">
        <f t="shared" ca="1" si="31"/>
        <v>0</v>
      </c>
      <c r="W34" s="278">
        <f ca="1">IFERROR(__xludf.DUMMYFUNCTION("IMPORTRANGE(""https://docs.google.com/spreadsheets/d/1FvTu2DsIWUjP6WCWra38Bkj_oOl_sOMf14r5Fg5srxU/edit?usp=sharing"",""ชัยภูมิ!I503"")"),0)</f>
        <v>0</v>
      </c>
      <c r="X34" s="152">
        <f ca="1">IFERROR(__xludf.DUMMYFUNCTION("IMPORTRANGE(""https://docs.google.com/spreadsheets/d/1FvTu2DsIWUjP6WCWra38Bkj_oOl_sOMf14r5Fg5srxU/edit?usp=sharing"",""ชัยภูมิ!J503"")"),0)</f>
        <v>0</v>
      </c>
      <c r="Y34" s="216">
        <f t="shared" ca="1" si="33"/>
        <v>0</v>
      </c>
      <c r="Z34" s="152">
        <f ca="1">IFERROR(__xludf.DUMMYFUNCTION("IMPORTRANGE(""https://docs.google.com/spreadsheets/d/1FvTu2DsIWUjP6WCWra38Bkj_oOl_sOMf14r5Fg5srxU/edit?usp=sharing"",""ชัยภูมิ!J504"")"),0)</f>
        <v>0</v>
      </c>
      <c r="AA34" s="152">
        <f ca="1">IFERROR(__xludf.DUMMYFUNCTION("IMPORTRANGE(""https://docs.google.com/spreadsheets/d/1FvTu2DsIWUjP6WCWra38Bkj_oOl_sOMf14r5Fg5srxU/edit?usp=sharing"",""ชัยภูมิ!J505"")"),0)</f>
        <v>0</v>
      </c>
      <c r="AB34" s="152">
        <f ca="1">IFERROR(__xludf.DUMMYFUNCTION("IMPORTRANGE(""https://docs.google.com/spreadsheets/d/1FvTu2DsIWUjP6WCWra38Bkj_oOl_sOMf14r5Fg5srxU/edit?usp=sharing"",""ชัยภูมิ!J506"")"),0)</f>
        <v>0</v>
      </c>
      <c r="AC34" s="152">
        <f ca="1">IFERROR(__xludf.DUMMYFUNCTION("IMPORTRANGE(""https://docs.google.com/spreadsheets/d/1FvTu2DsIWUjP6WCWra38Bkj_oOl_sOMf14r5Fg5srxU/edit?usp=sharing"",""ชัยภูมิ!J507"")"),0)</f>
        <v>0</v>
      </c>
      <c r="AD34" s="152">
        <f ca="1">IFERROR(__xludf.DUMMYFUNCTION("IMPORTRANGE(""https://docs.google.com/spreadsheets/d/1FvTu2DsIWUjP6WCWra38Bkj_oOl_sOMf14r5Fg5srxU/edit?usp=sharing"",""ชัยภูมิ!J508"")"),0)</f>
        <v>0</v>
      </c>
      <c r="AE34" s="152">
        <f ca="1">IFERROR(__xludf.DUMMYFUNCTION("IMPORTRANGE(""https://docs.google.com/spreadsheets/d/1FvTu2DsIWUjP6WCWra38Bkj_oOl_sOMf14r5Fg5srxU/edit?usp=sharing"",""ชัยภูมิ!J509"")"),0)</f>
        <v>0</v>
      </c>
    </row>
    <row r="35" spans="1:31" ht="21" customHeight="1" x14ac:dyDescent="0.3">
      <c r="A35" s="70">
        <v>4</v>
      </c>
      <c r="B35" s="71" t="s">
        <v>63</v>
      </c>
      <c r="C35" s="149">
        <f t="shared" ca="1" si="21"/>
        <v>0</v>
      </c>
      <c r="D35" s="150">
        <f t="shared" ca="1" si="40"/>
        <v>0</v>
      </c>
      <c r="E35" s="151">
        <f ca="1">IFERROR(__xludf.DUMMYFUNCTION("IMPORTRANGE(""https://docs.google.com/spreadsheets/d/1-uDff_7J0KD5mKrp0Vvzr7lt3OU09vwQwhkpOPPYv2Y/edit?usp=sharing"",""งบพรบ!HV35"")"),0)</f>
        <v>0</v>
      </c>
      <c r="F35" s="151">
        <f ca="1">IFERROR(__xludf.DUMMYFUNCTION("IMPORTRANGE(""https://docs.google.com/spreadsheets/d/1-uDff_7J0KD5mKrp0Vvzr7lt3OU09vwQwhkpOPPYv2Y/edit?usp=sharing"",""งบพรบ!HW35"")"),0)</f>
        <v>0</v>
      </c>
      <c r="G35" s="151">
        <f ca="1">IFERROR(__xludf.DUMMYFUNCTION("IMPORTRANGE(""https://docs.google.com/spreadsheets/d/1-uDff_7J0KD5mKrp0Vvzr7lt3OU09vwQwhkpOPPYv2Y/edit?usp=sharing"",""งบพรบ!HX35"")"),0)</f>
        <v>0</v>
      </c>
      <c r="H35" s="151">
        <f ca="1">IFERROR(__xludf.DUMMYFUNCTION("IMPORTRANGE(""https://docs.google.com/spreadsheets/d/1-uDff_7J0KD5mKrp0Vvzr7lt3OU09vwQwhkpOPPYv2Y/edit?usp=sharing"",""งบพรบ!HZ35"")"),0)</f>
        <v>0</v>
      </c>
      <c r="I35" s="151">
        <f ca="1">IFERROR(__xludf.DUMMYFUNCTION("IMPORTRANGE(""https://docs.google.com/spreadsheets/d/1-uDff_7J0KD5mKrp0Vvzr7lt3OU09vwQwhkpOPPYv2Y/edit?usp=sharing"",""งบพรบ!IA35"")"),0)</f>
        <v>0</v>
      </c>
      <c r="J35" s="151">
        <f t="shared" ca="1" si="23"/>
        <v>0</v>
      </c>
      <c r="K35" s="154">
        <f t="shared" ca="1" si="24"/>
        <v>0</v>
      </c>
      <c r="L35" s="151">
        <f ca="1">IFERROR(__xludf.DUMMYFUNCTION("IMPORTRANGE(""https://docs.google.com/spreadsheets/d/1-uDff_7J0KD5mKrp0Vvzr7lt3OU09vwQwhkpOPPYv2Y/edit?usp=sharing"",""งบพรบ!IB35"")"),0)</f>
        <v>0</v>
      </c>
      <c r="M35" s="68">
        <f t="shared" ca="1" si="25"/>
        <v>0</v>
      </c>
      <c r="N35" s="68">
        <f t="shared" ca="1" si="26"/>
        <v>0</v>
      </c>
      <c r="O35" s="151">
        <f ca="1">IFERROR(__xludf.DUMMYFUNCTION("IMPORTRANGE(""https://docs.google.com/spreadsheets/d/1-uDff_7J0KD5mKrp0Vvzr7lt3OU09vwQwhkpOPPYv2Y/edit?usp=sharing"",""งบพรบ!IC35"")"),0)</f>
        <v>0</v>
      </c>
      <c r="P35" s="67">
        <f t="shared" ca="1" si="27"/>
        <v>0</v>
      </c>
      <c r="Q35" s="68">
        <f t="shared" ca="1" si="28"/>
        <v>0</v>
      </c>
      <c r="R35" s="68">
        <f ca="1">IFERROR(__xludf.DUMMYFUNCTION("IMPORTRANGE(""https://docs.google.com/spreadsheets/d/1XVB7oCJ3pr-vBUdflwPQ8Z2LlzhnCvZaaYjAfP-647E/edit?usp=sharing"",""นครพนม!Q498"")"),0)</f>
        <v>0</v>
      </c>
      <c r="S35" s="68">
        <f ca="1">IFERROR(__xludf.DUMMYFUNCTION("IMPORTRANGE(""https://docs.google.com/spreadsheets/d/1XVB7oCJ3pr-vBUdflwPQ8Z2LlzhnCvZaaYjAfP-647E/edit?usp=sharing"",""นครพนม!R498"")"),0)</f>
        <v>0</v>
      </c>
      <c r="T35" s="68">
        <f ca="1">IFERROR(__xludf.DUMMYFUNCTION("IMPORTRANGE(""https://docs.google.com/spreadsheets/d/1XVB7oCJ3pr-vBUdflwPQ8Z2LlzhnCvZaaYjAfP-647E/edit?usp=sharing"",""นครพนม!S498"")"),0)</f>
        <v>0</v>
      </c>
      <c r="U35" s="68">
        <f t="shared" ca="1" si="30"/>
        <v>0</v>
      </c>
      <c r="V35" s="68">
        <f t="shared" ca="1" si="31"/>
        <v>0</v>
      </c>
      <c r="W35" s="278">
        <f ca="1">IFERROR(__xludf.DUMMYFUNCTION("IMPORTRANGE(""https://docs.google.com/spreadsheets/d/1XVB7oCJ3pr-vBUdflwPQ8Z2LlzhnCvZaaYjAfP-647E/edit?usp=sharing"",""นครพนม!I503"")"),0)</f>
        <v>0</v>
      </c>
      <c r="X35" s="152">
        <f ca="1">IFERROR(__xludf.DUMMYFUNCTION("IMPORTRANGE(""https://docs.google.com/spreadsheets/d/1XVB7oCJ3pr-vBUdflwPQ8Z2LlzhnCvZaaYjAfP-647E/edit?usp=sharing"",""นครพนม!J503"")"),0)</f>
        <v>0</v>
      </c>
      <c r="Y35" s="216">
        <f t="shared" ca="1" si="33"/>
        <v>0</v>
      </c>
      <c r="Z35" s="152">
        <f ca="1">IFERROR(__xludf.DUMMYFUNCTION("IMPORTRANGE(""https://docs.google.com/spreadsheets/d/1XVB7oCJ3pr-vBUdflwPQ8Z2LlzhnCvZaaYjAfP-647E/edit?usp=sharing"",""นครพนม!J504"")"),0)</f>
        <v>0</v>
      </c>
      <c r="AA35" s="152">
        <f ca="1">IFERROR(__xludf.DUMMYFUNCTION("IMPORTRANGE(""https://docs.google.com/spreadsheets/d/1XVB7oCJ3pr-vBUdflwPQ8Z2LlzhnCvZaaYjAfP-647E/edit?usp=sharing"",""นครพนม!J505"")"),0)</f>
        <v>0</v>
      </c>
      <c r="AB35" s="152">
        <f ca="1">IFERROR(__xludf.DUMMYFUNCTION("IMPORTRANGE(""https://docs.google.com/spreadsheets/d/1XVB7oCJ3pr-vBUdflwPQ8Z2LlzhnCvZaaYjAfP-647E/edit?usp=sharing"",""นครพนม!J506"")"),0)</f>
        <v>0</v>
      </c>
      <c r="AC35" s="152">
        <f ca="1">IFERROR(__xludf.DUMMYFUNCTION("IMPORTRANGE(""https://docs.google.com/spreadsheets/d/1XVB7oCJ3pr-vBUdflwPQ8Z2LlzhnCvZaaYjAfP-647E/edit?usp=sharing"",""นครพนม!J507"")"),0)</f>
        <v>0</v>
      </c>
      <c r="AD35" s="152">
        <f ca="1">IFERROR(__xludf.DUMMYFUNCTION("IMPORTRANGE(""https://docs.google.com/spreadsheets/d/1XVB7oCJ3pr-vBUdflwPQ8Z2LlzhnCvZaaYjAfP-647E/edit?usp=sharing"",""นครพนม!J508"")"),0)</f>
        <v>0</v>
      </c>
      <c r="AE35" s="152">
        <f ca="1">IFERROR(__xludf.DUMMYFUNCTION("IMPORTRANGE(""https://docs.google.com/spreadsheets/d/1XVB7oCJ3pr-vBUdflwPQ8Z2LlzhnCvZaaYjAfP-647E/edit?usp=sharing"",""นครพนม!J509"")"),0)</f>
        <v>0</v>
      </c>
    </row>
    <row r="36" spans="1:31" ht="21" customHeight="1" x14ac:dyDescent="0.3">
      <c r="A36" s="70">
        <v>5</v>
      </c>
      <c r="B36" s="71" t="s">
        <v>64</v>
      </c>
      <c r="C36" s="149">
        <f t="shared" ca="1" si="21"/>
        <v>35700</v>
      </c>
      <c r="D36" s="150">
        <f t="shared" ca="1" si="40"/>
        <v>35700</v>
      </c>
      <c r="E36" s="151">
        <f ca="1">IFERROR(__xludf.DUMMYFUNCTION("IMPORTRANGE(""https://docs.google.com/spreadsheets/d/1-uDff_7J0KD5mKrp0Vvzr7lt3OU09vwQwhkpOPPYv2Y/edit?usp=sharing"",""งบพรบ!HV36"")"),0)</f>
        <v>0</v>
      </c>
      <c r="F36" s="151">
        <f ca="1">IFERROR(__xludf.DUMMYFUNCTION("IMPORTRANGE(""https://docs.google.com/spreadsheets/d/1-uDff_7J0KD5mKrp0Vvzr7lt3OU09vwQwhkpOPPYv2Y/edit?usp=sharing"",""งบพรบ!HW36"")"),35700)</f>
        <v>35700</v>
      </c>
      <c r="G36" s="151">
        <f ca="1">IFERROR(__xludf.DUMMYFUNCTION("IMPORTRANGE(""https://docs.google.com/spreadsheets/d/1-uDff_7J0KD5mKrp0Vvzr7lt3OU09vwQwhkpOPPYv2Y/edit?usp=sharing"",""งบพรบ!HX36"")"),0)</f>
        <v>0</v>
      </c>
      <c r="H36" s="151">
        <f ca="1">IFERROR(__xludf.DUMMYFUNCTION("IMPORTRANGE(""https://docs.google.com/spreadsheets/d/1-uDff_7J0KD5mKrp0Vvzr7lt3OU09vwQwhkpOPPYv2Y/edit?usp=sharing"",""งบพรบ!HZ36"")"),35700)</f>
        <v>35700</v>
      </c>
      <c r="I36" s="151">
        <f ca="1">IFERROR(__xludf.DUMMYFUNCTION("IMPORTRANGE(""https://docs.google.com/spreadsheets/d/1-uDff_7J0KD5mKrp0Vvzr7lt3OU09vwQwhkpOPPYv2Y/edit?usp=sharing"",""งบพรบ!IA36"")"),0)</f>
        <v>0</v>
      </c>
      <c r="J36" s="151">
        <f t="shared" ca="1" si="23"/>
        <v>2860</v>
      </c>
      <c r="K36" s="154">
        <f t="shared" ca="1" si="24"/>
        <v>8.011204481792717</v>
      </c>
      <c r="L36" s="151">
        <f ca="1">IFERROR(__xludf.DUMMYFUNCTION("IMPORTRANGE(""https://docs.google.com/spreadsheets/d/1-uDff_7J0KD5mKrp0Vvzr7lt3OU09vwQwhkpOPPYv2Y/edit?usp=sharing"",""งบพรบ!IB36"")"),2860)</f>
        <v>2860</v>
      </c>
      <c r="M36" s="68">
        <f t="shared" ca="1" si="25"/>
        <v>8.011204481792717</v>
      </c>
      <c r="N36" s="68">
        <f t="shared" ca="1" si="26"/>
        <v>8.011204481792717</v>
      </c>
      <c r="O36" s="151">
        <f ca="1">IFERROR(__xludf.DUMMYFUNCTION("IMPORTRANGE(""https://docs.google.com/spreadsheets/d/1-uDff_7J0KD5mKrp0Vvzr7lt3OU09vwQwhkpOPPYv2Y/edit?usp=sharing"",""งบพรบ!IC36"")"),0)</f>
        <v>0</v>
      </c>
      <c r="P36" s="67">
        <f t="shared" ca="1" si="27"/>
        <v>0</v>
      </c>
      <c r="Q36" s="68">
        <f t="shared" ca="1" si="28"/>
        <v>0</v>
      </c>
      <c r="R36" s="68">
        <f ca="1">IFERROR(__xludf.DUMMYFUNCTION("IMPORTRANGE(""https://docs.google.com/spreadsheets/d/1Mnpb-8PYAgn85W6KOTD40hc_Xc55CaLfHoGAbrZ8tls/edit?usp=sharing"",""นครราชสีมา!Q498"")"),605930)</f>
        <v>605930</v>
      </c>
      <c r="S36" s="68">
        <f ca="1">IFERROR(__xludf.DUMMYFUNCTION("IMPORTRANGE(""https://docs.google.com/spreadsheets/d/1Mnpb-8PYAgn85W6KOTD40hc_Xc55CaLfHoGAbrZ8tls/edit?usp=sharing"",""นครราชสีมา!R498"")"),613630)</f>
        <v>613630</v>
      </c>
      <c r="T36" s="68">
        <f ca="1">IFERROR(__xludf.DUMMYFUNCTION("IMPORTRANGE(""https://docs.google.com/spreadsheets/d/1Mnpb-8PYAgn85W6KOTD40hc_Xc55CaLfHoGAbrZ8tls/edit?usp=sharing"",""นครราชสีมา!S498"")"),344598.29)</f>
        <v>344598.29</v>
      </c>
      <c r="U36" s="68">
        <f t="shared" ca="1" si="30"/>
        <v>56.870973544798908</v>
      </c>
      <c r="V36" s="68">
        <f t="shared" ca="1" si="31"/>
        <v>56.15734074279289</v>
      </c>
      <c r="W36" s="278">
        <f ca="1">IFERROR(__xludf.DUMMYFUNCTION("IMPORTRANGE(""https://docs.google.com/spreadsheets/d/1Mnpb-8PYAgn85W6KOTD40hc_Xc55CaLfHoGAbrZ8tls/edit?usp=sharing"",""นครราชสีมา!I503"")"),40)</f>
        <v>40</v>
      </c>
      <c r="X36" s="152">
        <f ca="1">IFERROR(__xludf.DUMMYFUNCTION("IMPORTRANGE(""https://docs.google.com/spreadsheets/d/1Mnpb-8PYAgn85W6KOTD40hc_Xc55CaLfHoGAbrZ8tls/edit?usp=sharing"",""นครราชสีมา!J503"")"),0)</f>
        <v>0</v>
      </c>
      <c r="Y36" s="216">
        <f t="shared" ca="1" si="33"/>
        <v>0</v>
      </c>
      <c r="Z36" s="152">
        <f ca="1">IFERROR(__xludf.DUMMYFUNCTION("IMPORTRANGE(""https://docs.google.com/spreadsheets/d/1Mnpb-8PYAgn85W6KOTD40hc_Xc55CaLfHoGAbrZ8tls/edit?usp=sharing"",""นครราชสีมา!J504"")"),40)</f>
        <v>40</v>
      </c>
      <c r="AA36" s="152">
        <f ca="1">IFERROR(__xludf.DUMMYFUNCTION("IMPORTRANGE(""https://docs.google.com/spreadsheets/d/1Mnpb-8PYAgn85W6KOTD40hc_Xc55CaLfHoGAbrZ8tls/edit?usp=sharing"",""นครราชสีมา!J505"")"),0)</f>
        <v>0</v>
      </c>
      <c r="AB36" s="152">
        <f ca="1">IFERROR(__xludf.DUMMYFUNCTION("IMPORTRANGE(""https://docs.google.com/spreadsheets/d/1Mnpb-8PYAgn85W6KOTD40hc_Xc55CaLfHoGAbrZ8tls/edit?usp=sharing"",""นครราชสีมา!J506"")"),40)</f>
        <v>40</v>
      </c>
      <c r="AC36" s="152">
        <f ca="1">IFERROR(__xludf.DUMMYFUNCTION("IMPORTRANGE(""https://docs.google.com/spreadsheets/d/1Mnpb-8PYAgn85W6KOTD40hc_Xc55CaLfHoGAbrZ8tls/edit?usp=sharing"",""นครราชสีมา!J507"")"),0)</f>
        <v>0</v>
      </c>
      <c r="AD36" s="152">
        <f ca="1">IFERROR(__xludf.DUMMYFUNCTION("IMPORTRANGE(""https://docs.google.com/spreadsheets/d/1Mnpb-8PYAgn85W6KOTD40hc_Xc55CaLfHoGAbrZ8tls/edit?usp=sharing"",""นครราชสีมา!J508"")"),0)</f>
        <v>0</v>
      </c>
      <c r="AE36" s="152">
        <f ca="1">IFERROR(__xludf.DUMMYFUNCTION("IMPORTRANGE(""https://docs.google.com/spreadsheets/d/1Mnpb-8PYAgn85W6KOTD40hc_Xc55CaLfHoGAbrZ8tls/edit?usp=sharing"",""นครราชสีมา!J509"")"),40)</f>
        <v>40</v>
      </c>
    </row>
    <row r="37" spans="1:31" ht="21" customHeight="1" x14ac:dyDescent="0.3">
      <c r="A37" s="70">
        <v>6</v>
      </c>
      <c r="B37" s="71" t="s">
        <v>65</v>
      </c>
      <c r="C37" s="149">
        <f t="shared" ca="1" si="21"/>
        <v>0</v>
      </c>
      <c r="D37" s="150">
        <f t="shared" ca="1" si="40"/>
        <v>0</v>
      </c>
      <c r="E37" s="151">
        <f ca="1">IFERROR(__xludf.DUMMYFUNCTION("IMPORTRANGE(""https://docs.google.com/spreadsheets/d/1-uDff_7J0KD5mKrp0Vvzr7lt3OU09vwQwhkpOPPYv2Y/edit?usp=sharing"",""งบพรบ!HV37"")"),0)</f>
        <v>0</v>
      </c>
      <c r="F37" s="151">
        <f ca="1">IFERROR(__xludf.DUMMYFUNCTION("IMPORTRANGE(""https://docs.google.com/spreadsheets/d/1-uDff_7J0KD5mKrp0Vvzr7lt3OU09vwQwhkpOPPYv2Y/edit?usp=sharing"",""งบพรบ!HW37"")"),0)</f>
        <v>0</v>
      </c>
      <c r="G37" s="151">
        <f ca="1">IFERROR(__xludf.DUMMYFUNCTION("IMPORTRANGE(""https://docs.google.com/spreadsheets/d/1-uDff_7J0KD5mKrp0Vvzr7lt3OU09vwQwhkpOPPYv2Y/edit?usp=sharing"",""งบพรบ!HX37"")"),0)</f>
        <v>0</v>
      </c>
      <c r="H37" s="151">
        <f ca="1">IFERROR(__xludf.DUMMYFUNCTION("IMPORTRANGE(""https://docs.google.com/spreadsheets/d/1-uDff_7J0KD5mKrp0Vvzr7lt3OU09vwQwhkpOPPYv2Y/edit?usp=sharing"",""งบพรบ!HZ37"")"),0)</f>
        <v>0</v>
      </c>
      <c r="I37" s="151">
        <f ca="1">IFERROR(__xludf.DUMMYFUNCTION("IMPORTRANGE(""https://docs.google.com/spreadsheets/d/1-uDff_7J0KD5mKrp0Vvzr7lt3OU09vwQwhkpOPPYv2Y/edit?usp=sharing"",""งบพรบ!IA37"")"),0)</f>
        <v>0</v>
      </c>
      <c r="J37" s="151">
        <f t="shared" ca="1" si="23"/>
        <v>0</v>
      </c>
      <c r="K37" s="154">
        <f t="shared" ca="1" si="24"/>
        <v>0</v>
      </c>
      <c r="L37" s="151">
        <f ca="1">IFERROR(__xludf.DUMMYFUNCTION("IMPORTRANGE(""https://docs.google.com/spreadsheets/d/1-uDff_7J0KD5mKrp0Vvzr7lt3OU09vwQwhkpOPPYv2Y/edit?usp=sharing"",""งบพรบ!IB37"")"),0)</f>
        <v>0</v>
      </c>
      <c r="M37" s="68">
        <f t="shared" ca="1" si="25"/>
        <v>0</v>
      </c>
      <c r="N37" s="68">
        <f t="shared" ca="1" si="26"/>
        <v>0</v>
      </c>
      <c r="O37" s="151">
        <f ca="1">IFERROR(__xludf.DUMMYFUNCTION("IMPORTRANGE(""https://docs.google.com/spreadsheets/d/1-uDff_7J0KD5mKrp0Vvzr7lt3OU09vwQwhkpOPPYv2Y/edit?usp=sharing"",""งบพรบ!IC37"")"),0)</f>
        <v>0</v>
      </c>
      <c r="P37" s="67">
        <f t="shared" ca="1" si="27"/>
        <v>0</v>
      </c>
      <c r="Q37" s="68">
        <f t="shared" ca="1" si="28"/>
        <v>0</v>
      </c>
      <c r="R37" s="68">
        <f ca="1">IFERROR(__xludf.DUMMYFUNCTION("IMPORTRANGE(""https://docs.google.com/spreadsheets/d/1xoDLGBv9CYbyosIhki0kTq6IpYNj-gpjxfobnaDiut0/edit?usp=sharing"",""บึงกาฬ!Q498"")"),0)</f>
        <v>0</v>
      </c>
      <c r="S37" s="68">
        <f ca="1">IFERROR(__xludf.DUMMYFUNCTION("IMPORTRANGE(""https://docs.google.com/spreadsheets/d/1xoDLGBv9CYbyosIhki0kTq6IpYNj-gpjxfobnaDiut0/edit?usp=sharing"",""บึงกาฬ!R498"")"),0)</f>
        <v>0</v>
      </c>
      <c r="T37" s="68">
        <f ca="1">IFERROR(__xludf.DUMMYFUNCTION("IMPORTRANGE(""https://docs.google.com/spreadsheets/d/1xoDLGBv9CYbyosIhki0kTq6IpYNj-gpjxfobnaDiut0/edit?usp=sharing"",""บึงกาฬ!S498"")"),0)</f>
        <v>0</v>
      </c>
      <c r="U37" s="68">
        <f t="shared" ca="1" si="30"/>
        <v>0</v>
      </c>
      <c r="V37" s="68">
        <f t="shared" ca="1" si="31"/>
        <v>0</v>
      </c>
      <c r="W37" s="278">
        <f ca="1">IFERROR(__xludf.DUMMYFUNCTION("IMPORTRANGE(""https://docs.google.com/spreadsheets/d/1xoDLGBv9CYbyosIhki0kTq6IpYNj-gpjxfobnaDiut0/edit?usp=sharing"",""บึงกาฬ!I503"")"),0)</f>
        <v>0</v>
      </c>
      <c r="X37" s="152">
        <f ca="1">IFERROR(__xludf.DUMMYFUNCTION("IMPORTRANGE(""https://docs.google.com/spreadsheets/d/1xoDLGBv9CYbyosIhki0kTq6IpYNj-gpjxfobnaDiut0/edit?usp=sharing"",""บึงกาฬ!J503"")"),0)</f>
        <v>0</v>
      </c>
      <c r="Y37" s="216">
        <f t="shared" ca="1" si="33"/>
        <v>0</v>
      </c>
      <c r="Z37" s="152">
        <f ca="1">IFERROR(__xludf.DUMMYFUNCTION("IMPORTRANGE(""https://docs.google.com/spreadsheets/d/1xoDLGBv9CYbyosIhki0kTq6IpYNj-gpjxfobnaDiut0/edit?usp=sharing"",""บึงกาฬ!J504"")"),0)</f>
        <v>0</v>
      </c>
      <c r="AA37" s="152">
        <f ca="1">IFERROR(__xludf.DUMMYFUNCTION("IMPORTRANGE(""https://docs.google.com/spreadsheets/d/1xoDLGBv9CYbyosIhki0kTq6IpYNj-gpjxfobnaDiut0/edit?usp=sharing"",""บึงกาฬ!J505"")"),0)</f>
        <v>0</v>
      </c>
      <c r="AB37" s="152">
        <f ca="1">IFERROR(__xludf.DUMMYFUNCTION("IMPORTRANGE(""https://docs.google.com/spreadsheets/d/1xoDLGBv9CYbyosIhki0kTq6IpYNj-gpjxfobnaDiut0/edit?usp=sharing"",""บึงกาฬ!J506"")"),0)</f>
        <v>0</v>
      </c>
      <c r="AC37" s="152">
        <f ca="1">IFERROR(__xludf.DUMMYFUNCTION("IMPORTRANGE(""https://docs.google.com/spreadsheets/d/1xoDLGBv9CYbyosIhki0kTq6IpYNj-gpjxfobnaDiut0/edit?usp=sharing"",""บึงกาฬ!J507"")"),0)</f>
        <v>0</v>
      </c>
      <c r="AD37" s="152">
        <f ca="1">IFERROR(__xludf.DUMMYFUNCTION("IMPORTRANGE(""https://docs.google.com/spreadsheets/d/1xoDLGBv9CYbyosIhki0kTq6IpYNj-gpjxfobnaDiut0/edit?usp=sharing"",""บึงกาฬ!J508"")"),0)</f>
        <v>0</v>
      </c>
      <c r="AE37" s="152">
        <f ca="1">IFERROR(__xludf.DUMMYFUNCTION("IMPORTRANGE(""https://docs.google.com/spreadsheets/d/1xoDLGBv9CYbyosIhki0kTq6IpYNj-gpjxfobnaDiut0/edit?usp=sharing"",""บึงกาฬ!J509"")"),0)</f>
        <v>0</v>
      </c>
    </row>
    <row r="38" spans="1:31" ht="21" customHeight="1" x14ac:dyDescent="0.3">
      <c r="A38" s="70">
        <v>7</v>
      </c>
      <c r="B38" s="71" t="s">
        <v>66</v>
      </c>
      <c r="C38" s="149">
        <f t="shared" ca="1" si="21"/>
        <v>0</v>
      </c>
      <c r="D38" s="150">
        <f t="shared" ca="1" si="40"/>
        <v>0</v>
      </c>
      <c r="E38" s="151">
        <f ca="1">IFERROR(__xludf.DUMMYFUNCTION("IMPORTRANGE(""https://docs.google.com/spreadsheets/d/1-uDff_7J0KD5mKrp0Vvzr7lt3OU09vwQwhkpOPPYv2Y/edit?usp=sharing"",""งบพรบ!HV38"")"),0)</f>
        <v>0</v>
      </c>
      <c r="F38" s="151">
        <f ca="1">IFERROR(__xludf.DUMMYFUNCTION("IMPORTRANGE(""https://docs.google.com/spreadsheets/d/1-uDff_7J0KD5mKrp0Vvzr7lt3OU09vwQwhkpOPPYv2Y/edit?usp=sharing"",""งบพรบ!HW38"")"),0)</f>
        <v>0</v>
      </c>
      <c r="G38" s="151">
        <f ca="1">IFERROR(__xludf.DUMMYFUNCTION("IMPORTRANGE(""https://docs.google.com/spreadsheets/d/1-uDff_7J0KD5mKrp0Vvzr7lt3OU09vwQwhkpOPPYv2Y/edit?usp=sharing"",""งบพรบ!HX38"")"),0)</f>
        <v>0</v>
      </c>
      <c r="H38" s="151">
        <f ca="1">IFERROR(__xludf.DUMMYFUNCTION("IMPORTRANGE(""https://docs.google.com/spreadsheets/d/1-uDff_7J0KD5mKrp0Vvzr7lt3OU09vwQwhkpOPPYv2Y/edit?usp=sharing"",""งบพรบ!HZ38"")"),0)</f>
        <v>0</v>
      </c>
      <c r="I38" s="151">
        <f ca="1">IFERROR(__xludf.DUMMYFUNCTION("IMPORTRANGE(""https://docs.google.com/spreadsheets/d/1-uDff_7J0KD5mKrp0Vvzr7lt3OU09vwQwhkpOPPYv2Y/edit?usp=sharing"",""งบพรบ!IA38"")"),0)</f>
        <v>0</v>
      </c>
      <c r="J38" s="151">
        <f t="shared" ca="1" si="23"/>
        <v>0</v>
      </c>
      <c r="K38" s="154">
        <f t="shared" ca="1" si="24"/>
        <v>0</v>
      </c>
      <c r="L38" s="151">
        <f ca="1">IFERROR(__xludf.DUMMYFUNCTION("IMPORTRANGE(""https://docs.google.com/spreadsheets/d/1-uDff_7J0KD5mKrp0Vvzr7lt3OU09vwQwhkpOPPYv2Y/edit?usp=sharing"",""งบพรบ!IB38"")"),0)</f>
        <v>0</v>
      </c>
      <c r="M38" s="68">
        <f t="shared" ca="1" si="25"/>
        <v>0</v>
      </c>
      <c r="N38" s="68">
        <f t="shared" ca="1" si="26"/>
        <v>0</v>
      </c>
      <c r="O38" s="151">
        <f ca="1">IFERROR(__xludf.DUMMYFUNCTION("IMPORTRANGE(""https://docs.google.com/spreadsheets/d/1-uDff_7J0KD5mKrp0Vvzr7lt3OU09vwQwhkpOPPYv2Y/edit?usp=sharing"",""งบพรบ!IC38"")"),0)</f>
        <v>0</v>
      </c>
      <c r="P38" s="67">
        <f t="shared" ca="1" si="27"/>
        <v>0</v>
      </c>
      <c r="Q38" s="68">
        <f t="shared" ca="1" si="28"/>
        <v>0</v>
      </c>
      <c r="R38" s="68">
        <f ca="1">IFERROR(__xludf.DUMMYFUNCTION("IMPORTRANGE(""https://docs.google.com/spreadsheets/d/1MMPq-JyI6DSgQETxuSiXkesP-P7JHuemnE6QJIa-Nlw/edit?usp=sharing"",""บุรีรัมย์!Q498"")"),0)</f>
        <v>0</v>
      </c>
      <c r="S38" s="68">
        <f ca="1">IFERROR(__xludf.DUMMYFUNCTION("IMPORTRANGE(""https://docs.google.com/spreadsheets/d/1MMPq-JyI6DSgQETxuSiXkesP-P7JHuemnE6QJIa-Nlw/edit?usp=sharing"",""บุรีรัมย์!R498"")"),0)</f>
        <v>0</v>
      </c>
      <c r="T38" s="68">
        <f ca="1">IFERROR(__xludf.DUMMYFUNCTION("IMPORTRANGE(""https://docs.google.com/spreadsheets/d/1MMPq-JyI6DSgQETxuSiXkesP-P7JHuemnE6QJIa-Nlw/edit?usp=sharing"",""บุรีรัมย์!S498"")"),0)</f>
        <v>0</v>
      </c>
      <c r="U38" s="68">
        <f t="shared" ca="1" si="30"/>
        <v>0</v>
      </c>
      <c r="V38" s="68">
        <f t="shared" ca="1" si="31"/>
        <v>0</v>
      </c>
      <c r="W38" s="278">
        <f ca="1">IFERROR(__xludf.DUMMYFUNCTION("IMPORTRANGE(""https://docs.google.com/spreadsheets/d/1MMPq-JyI6DSgQETxuSiXkesP-P7JHuemnE6QJIa-Nlw/edit?usp=sharing"",""บุรีรัมย์!I503"")"),0)</f>
        <v>0</v>
      </c>
      <c r="X38" s="152">
        <f ca="1">IFERROR(__xludf.DUMMYFUNCTION("IMPORTRANGE(""https://docs.google.com/spreadsheets/d/1MMPq-JyI6DSgQETxuSiXkesP-P7JHuemnE6QJIa-Nlw/edit?usp=sharing"",""บุรีรัมย์!J503"")"),0)</f>
        <v>0</v>
      </c>
      <c r="Y38" s="216">
        <f t="shared" ca="1" si="33"/>
        <v>0</v>
      </c>
      <c r="Z38" s="152">
        <f ca="1">IFERROR(__xludf.DUMMYFUNCTION("IMPORTRANGE(""https://docs.google.com/spreadsheets/d/1MMPq-JyI6DSgQETxuSiXkesP-P7JHuemnE6QJIa-Nlw/edit?usp=sharing"",""บุรีรัมย์!J504"")"),0)</f>
        <v>0</v>
      </c>
      <c r="AA38" s="152">
        <f ca="1">IFERROR(__xludf.DUMMYFUNCTION("IMPORTRANGE(""https://docs.google.com/spreadsheets/d/1MMPq-JyI6DSgQETxuSiXkesP-P7JHuemnE6QJIa-Nlw/edit?usp=sharing"",""บุรีรัมย์!J505"")"),0)</f>
        <v>0</v>
      </c>
      <c r="AB38" s="152">
        <f ca="1">IFERROR(__xludf.DUMMYFUNCTION("IMPORTRANGE(""https://docs.google.com/spreadsheets/d/1MMPq-JyI6DSgQETxuSiXkesP-P7JHuemnE6QJIa-Nlw/edit?usp=sharing"",""บุรีรัมย์!J506"")"),0)</f>
        <v>0</v>
      </c>
      <c r="AC38" s="152">
        <f ca="1">IFERROR(__xludf.DUMMYFUNCTION("IMPORTRANGE(""https://docs.google.com/spreadsheets/d/1MMPq-JyI6DSgQETxuSiXkesP-P7JHuemnE6QJIa-Nlw/edit?usp=sharing"",""บุรีรัมย์!J507"")"),0)</f>
        <v>0</v>
      </c>
      <c r="AD38" s="152">
        <f ca="1">IFERROR(__xludf.DUMMYFUNCTION("IMPORTRANGE(""https://docs.google.com/spreadsheets/d/1MMPq-JyI6DSgQETxuSiXkesP-P7JHuemnE6QJIa-Nlw/edit?usp=sharing"",""บุรีรัมย์!J508"")"),0)</f>
        <v>0</v>
      </c>
      <c r="AE38" s="152">
        <f ca="1">IFERROR(__xludf.DUMMYFUNCTION("IMPORTRANGE(""https://docs.google.com/spreadsheets/d/1MMPq-JyI6DSgQETxuSiXkesP-P7JHuemnE6QJIa-Nlw/edit?usp=sharing"",""บุรีรัมย์!J509"")"),0)</f>
        <v>0</v>
      </c>
    </row>
    <row r="39" spans="1:31" ht="21" customHeight="1" x14ac:dyDescent="0.3">
      <c r="A39" s="70">
        <v>8</v>
      </c>
      <c r="B39" s="71" t="s">
        <v>67</v>
      </c>
      <c r="C39" s="149">
        <f t="shared" ca="1" si="21"/>
        <v>0</v>
      </c>
      <c r="D39" s="150">
        <f t="shared" ca="1" si="40"/>
        <v>0</v>
      </c>
      <c r="E39" s="151">
        <f ca="1">IFERROR(__xludf.DUMMYFUNCTION("IMPORTRANGE(""https://docs.google.com/spreadsheets/d/1-uDff_7J0KD5mKrp0Vvzr7lt3OU09vwQwhkpOPPYv2Y/edit?usp=sharing"",""งบพรบ!HV39"")"),0)</f>
        <v>0</v>
      </c>
      <c r="F39" s="151">
        <f ca="1">IFERROR(__xludf.DUMMYFUNCTION("IMPORTRANGE(""https://docs.google.com/spreadsheets/d/1-uDff_7J0KD5mKrp0Vvzr7lt3OU09vwQwhkpOPPYv2Y/edit?usp=sharing"",""งบพรบ!HW39"")"),0)</f>
        <v>0</v>
      </c>
      <c r="G39" s="151">
        <f ca="1">IFERROR(__xludf.DUMMYFUNCTION("IMPORTRANGE(""https://docs.google.com/spreadsheets/d/1-uDff_7J0KD5mKrp0Vvzr7lt3OU09vwQwhkpOPPYv2Y/edit?usp=sharing"",""งบพรบ!HX39"")"),0)</f>
        <v>0</v>
      </c>
      <c r="H39" s="151">
        <f ca="1">IFERROR(__xludf.DUMMYFUNCTION("IMPORTRANGE(""https://docs.google.com/spreadsheets/d/1-uDff_7J0KD5mKrp0Vvzr7lt3OU09vwQwhkpOPPYv2Y/edit?usp=sharing"",""งบพรบ!HZ39"")"),0)</f>
        <v>0</v>
      </c>
      <c r="I39" s="151">
        <f ca="1">IFERROR(__xludf.DUMMYFUNCTION("IMPORTRANGE(""https://docs.google.com/spreadsheets/d/1-uDff_7J0KD5mKrp0Vvzr7lt3OU09vwQwhkpOPPYv2Y/edit?usp=sharing"",""งบพรบ!IA39"")"),0)</f>
        <v>0</v>
      </c>
      <c r="J39" s="151">
        <f t="shared" ca="1" si="23"/>
        <v>0</v>
      </c>
      <c r="K39" s="154">
        <f t="shared" ca="1" si="24"/>
        <v>0</v>
      </c>
      <c r="L39" s="151">
        <f ca="1">IFERROR(__xludf.DUMMYFUNCTION("IMPORTRANGE(""https://docs.google.com/spreadsheets/d/1-uDff_7J0KD5mKrp0Vvzr7lt3OU09vwQwhkpOPPYv2Y/edit?usp=sharing"",""งบพรบ!IB39"")"),0)</f>
        <v>0</v>
      </c>
      <c r="M39" s="68">
        <f t="shared" ca="1" si="25"/>
        <v>0</v>
      </c>
      <c r="N39" s="68">
        <f t="shared" ca="1" si="26"/>
        <v>0</v>
      </c>
      <c r="O39" s="151">
        <f ca="1">IFERROR(__xludf.DUMMYFUNCTION("IMPORTRANGE(""https://docs.google.com/spreadsheets/d/1-uDff_7J0KD5mKrp0Vvzr7lt3OU09vwQwhkpOPPYv2Y/edit?usp=sharing"",""งบพรบ!IC39"")"),0)</f>
        <v>0</v>
      </c>
      <c r="P39" s="67">
        <f t="shared" ca="1" si="27"/>
        <v>0</v>
      </c>
      <c r="Q39" s="68">
        <f t="shared" ca="1" si="28"/>
        <v>0</v>
      </c>
      <c r="R39" s="68">
        <f ca="1">IFERROR(__xludf.DUMMYFUNCTION("IMPORTRANGE(""https://docs.google.com/spreadsheets/d/1l6IZ8xUPgMrESzcTYwhA1k_tPjeQjJPTqlm8Gd9eU5g/edit?usp=sharing"",""มหาสารคาม!Q498"")"),0)</f>
        <v>0</v>
      </c>
      <c r="S39" s="68">
        <f ca="1">IFERROR(__xludf.DUMMYFUNCTION("IMPORTRANGE(""https://docs.google.com/spreadsheets/d/1l6IZ8xUPgMrESzcTYwhA1k_tPjeQjJPTqlm8Gd9eU5g/edit?usp=sharing"",""มหาสารคาม!R498"")"),0)</f>
        <v>0</v>
      </c>
      <c r="T39" s="68">
        <f ca="1">IFERROR(__xludf.DUMMYFUNCTION("IMPORTRANGE(""https://docs.google.com/spreadsheets/d/1l6IZ8xUPgMrESzcTYwhA1k_tPjeQjJPTqlm8Gd9eU5g/edit?usp=sharing"",""มหาสารคาม!S498"")"),0)</f>
        <v>0</v>
      </c>
      <c r="U39" s="68">
        <f t="shared" ca="1" si="30"/>
        <v>0</v>
      </c>
      <c r="V39" s="68">
        <f t="shared" ca="1" si="31"/>
        <v>0</v>
      </c>
      <c r="W39" s="278">
        <f ca="1">IFERROR(__xludf.DUMMYFUNCTION("IMPORTRANGE(""https://docs.google.com/spreadsheets/d/1l6IZ8xUPgMrESzcTYwhA1k_tPjeQjJPTqlm8Gd9eU5g/edit?usp=sharing"",""มหาสารคาม!I503"")"),0)</f>
        <v>0</v>
      </c>
      <c r="X39" s="152">
        <f ca="1">IFERROR(__xludf.DUMMYFUNCTION("IMPORTRANGE(""https://docs.google.com/spreadsheets/d/1l6IZ8xUPgMrESzcTYwhA1k_tPjeQjJPTqlm8Gd9eU5g/edit?usp=sharing"",""มหาสารคาม!J503"")"),0)</f>
        <v>0</v>
      </c>
      <c r="Y39" s="216">
        <f t="shared" ca="1" si="33"/>
        <v>0</v>
      </c>
      <c r="Z39" s="152">
        <f ca="1">IFERROR(__xludf.DUMMYFUNCTION("IMPORTRANGE(""https://docs.google.com/spreadsheets/d/1l6IZ8xUPgMrESzcTYwhA1k_tPjeQjJPTqlm8Gd9eU5g/edit?usp=sharing"",""มหาสารคาม!J504"")"),0)</f>
        <v>0</v>
      </c>
      <c r="AA39" s="152">
        <f ca="1">IFERROR(__xludf.DUMMYFUNCTION("IMPORTRANGE(""https://docs.google.com/spreadsheets/d/1l6IZ8xUPgMrESzcTYwhA1k_tPjeQjJPTqlm8Gd9eU5g/edit?usp=sharing"",""มหาสารคาม!J505"")"),0)</f>
        <v>0</v>
      </c>
      <c r="AB39" s="152">
        <f ca="1">IFERROR(__xludf.DUMMYFUNCTION("IMPORTRANGE(""https://docs.google.com/spreadsheets/d/1l6IZ8xUPgMrESzcTYwhA1k_tPjeQjJPTqlm8Gd9eU5g/edit?usp=sharing"",""มหาสารคาม!J506"")"),0)</f>
        <v>0</v>
      </c>
      <c r="AC39" s="152">
        <f ca="1">IFERROR(__xludf.DUMMYFUNCTION("IMPORTRANGE(""https://docs.google.com/spreadsheets/d/1l6IZ8xUPgMrESzcTYwhA1k_tPjeQjJPTqlm8Gd9eU5g/edit?usp=sharing"",""มหาสารคาม!J507"")"),0)</f>
        <v>0</v>
      </c>
      <c r="AD39" s="152">
        <f ca="1">IFERROR(__xludf.DUMMYFUNCTION("IMPORTRANGE(""https://docs.google.com/spreadsheets/d/1l6IZ8xUPgMrESzcTYwhA1k_tPjeQjJPTqlm8Gd9eU5g/edit?usp=sharing"",""มหาสารคาม!J508"")"),0)</f>
        <v>0</v>
      </c>
      <c r="AE39" s="152">
        <f ca="1">IFERROR(__xludf.DUMMYFUNCTION("IMPORTRANGE(""https://docs.google.com/spreadsheets/d/1l6IZ8xUPgMrESzcTYwhA1k_tPjeQjJPTqlm8Gd9eU5g/edit?usp=sharing"",""มหาสารคาม!J509"")"),0)</f>
        <v>0</v>
      </c>
    </row>
    <row r="40" spans="1:31" ht="21" customHeight="1" x14ac:dyDescent="0.3">
      <c r="A40" s="70">
        <v>9</v>
      </c>
      <c r="B40" s="71" t="s">
        <v>68</v>
      </c>
      <c r="C40" s="149">
        <f t="shared" ca="1" si="21"/>
        <v>0</v>
      </c>
      <c r="D40" s="150">
        <f t="shared" ca="1" si="40"/>
        <v>0</v>
      </c>
      <c r="E40" s="151">
        <f ca="1">IFERROR(__xludf.DUMMYFUNCTION("IMPORTRANGE(""https://docs.google.com/spreadsheets/d/1-uDff_7J0KD5mKrp0Vvzr7lt3OU09vwQwhkpOPPYv2Y/edit?usp=sharing"",""งบพรบ!HV40"")"),0)</f>
        <v>0</v>
      </c>
      <c r="F40" s="151">
        <f ca="1">IFERROR(__xludf.DUMMYFUNCTION("IMPORTRANGE(""https://docs.google.com/spreadsheets/d/1-uDff_7J0KD5mKrp0Vvzr7lt3OU09vwQwhkpOPPYv2Y/edit?usp=sharing"",""งบพรบ!HW40"")"),0)</f>
        <v>0</v>
      </c>
      <c r="G40" s="151">
        <f ca="1">IFERROR(__xludf.DUMMYFUNCTION("IMPORTRANGE(""https://docs.google.com/spreadsheets/d/1-uDff_7J0KD5mKrp0Vvzr7lt3OU09vwQwhkpOPPYv2Y/edit?usp=sharing"",""งบพรบ!HX40"")"),0)</f>
        <v>0</v>
      </c>
      <c r="H40" s="151">
        <f ca="1">IFERROR(__xludf.DUMMYFUNCTION("IMPORTRANGE(""https://docs.google.com/spreadsheets/d/1-uDff_7J0KD5mKrp0Vvzr7lt3OU09vwQwhkpOPPYv2Y/edit?usp=sharing"",""งบพรบ!HZ40"")"),0)</f>
        <v>0</v>
      </c>
      <c r="I40" s="151">
        <f ca="1">IFERROR(__xludf.DUMMYFUNCTION("IMPORTRANGE(""https://docs.google.com/spreadsheets/d/1-uDff_7J0KD5mKrp0Vvzr7lt3OU09vwQwhkpOPPYv2Y/edit?usp=sharing"",""งบพรบ!IA40"")"),0)</f>
        <v>0</v>
      </c>
      <c r="J40" s="151">
        <f t="shared" ca="1" si="23"/>
        <v>0</v>
      </c>
      <c r="K40" s="154">
        <f t="shared" ca="1" si="24"/>
        <v>0</v>
      </c>
      <c r="L40" s="151">
        <f ca="1">IFERROR(__xludf.DUMMYFUNCTION("IMPORTRANGE(""https://docs.google.com/spreadsheets/d/1-uDff_7J0KD5mKrp0Vvzr7lt3OU09vwQwhkpOPPYv2Y/edit?usp=sharing"",""งบพรบ!IB40"")"),0)</f>
        <v>0</v>
      </c>
      <c r="M40" s="68">
        <f t="shared" ca="1" si="25"/>
        <v>0</v>
      </c>
      <c r="N40" s="68">
        <f t="shared" ca="1" si="26"/>
        <v>0</v>
      </c>
      <c r="O40" s="151">
        <f ca="1">IFERROR(__xludf.DUMMYFUNCTION("IMPORTRANGE(""https://docs.google.com/spreadsheets/d/1-uDff_7J0KD5mKrp0Vvzr7lt3OU09vwQwhkpOPPYv2Y/edit?usp=sharing"",""งบพรบ!IC40"")"),0)</f>
        <v>0</v>
      </c>
      <c r="P40" s="67">
        <f t="shared" ca="1" si="27"/>
        <v>0</v>
      </c>
      <c r="Q40" s="68">
        <f t="shared" ca="1" si="28"/>
        <v>0</v>
      </c>
      <c r="R40" s="68">
        <f ca="1">IFERROR(__xludf.DUMMYFUNCTION("IMPORTRANGE(""https://docs.google.com/spreadsheets/d/1uB74YLqNjWX6FObjekfB2NtSYigTQyR2rq9u4Ub2Sq4/edit?usp=sharing"",""มุกดาหาร!Q498"")"),0)</f>
        <v>0</v>
      </c>
      <c r="S40" s="68">
        <f ca="1">IFERROR(__xludf.DUMMYFUNCTION("IMPORTRANGE(""https://docs.google.com/spreadsheets/d/1uB74YLqNjWX6FObjekfB2NtSYigTQyR2rq9u4Ub2Sq4/edit?usp=sharing"",""มุกดาหาร!R498"")"),0)</f>
        <v>0</v>
      </c>
      <c r="T40" s="68">
        <f ca="1">IFERROR(__xludf.DUMMYFUNCTION("IMPORTRANGE(""https://docs.google.com/spreadsheets/d/1uB74YLqNjWX6FObjekfB2NtSYigTQyR2rq9u4Ub2Sq4/edit?usp=sharing"",""มุกดาหาร!S498"")"),0)</f>
        <v>0</v>
      </c>
      <c r="U40" s="68">
        <f t="shared" ca="1" si="30"/>
        <v>0</v>
      </c>
      <c r="V40" s="68">
        <f t="shared" ca="1" si="31"/>
        <v>0</v>
      </c>
      <c r="W40" s="279">
        <f ca="1">IFERROR(__xludf.DUMMYFUNCTION("IMPORTRANGE(""https://docs.google.com/spreadsheets/d/1uB74YLqNjWX6FObjekfB2NtSYigTQyR2rq9u4Ub2Sq4/edit?usp=sharing"",""มุกดาหาร!I503"")"),0)</f>
        <v>0</v>
      </c>
      <c r="X40" s="152">
        <f ca="1">IFERROR(__xludf.DUMMYFUNCTION("IMPORTRANGE(""https://docs.google.com/spreadsheets/d/1uB74YLqNjWX6FObjekfB2NtSYigTQyR2rq9u4Ub2Sq4/edit?usp=sharing"",""มุกดาหาร!J503"")"),0)</f>
        <v>0</v>
      </c>
      <c r="Y40" s="216">
        <f t="shared" ca="1" si="33"/>
        <v>0</v>
      </c>
      <c r="Z40" s="152">
        <f ca="1">IFERROR(__xludf.DUMMYFUNCTION("IMPORTRANGE(""https://docs.google.com/spreadsheets/d/1uB74YLqNjWX6FObjekfB2NtSYigTQyR2rq9u4Ub2Sq4/edit?usp=sharing"",""มุกดาหาร!J504"")"),0)</f>
        <v>0</v>
      </c>
      <c r="AA40" s="152">
        <f ca="1">IFERROR(__xludf.DUMMYFUNCTION("IMPORTRANGE(""https://docs.google.com/spreadsheets/d/1uB74YLqNjWX6FObjekfB2NtSYigTQyR2rq9u4Ub2Sq4/edit?usp=sharing"",""มุกดาหาร!J505"")"),0)</f>
        <v>0</v>
      </c>
      <c r="AB40" s="152">
        <f ca="1">IFERROR(__xludf.DUMMYFUNCTION("IMPORTRANGE(""https://docs.google.com/spreadsheets/d/1uB74YLqNjWX6FObjekfB2NtSYigTQyR2rq9u4Ub2Sq4/edit?usp=sharing"",""มุกดาหาร!J506"")"),0)</f>
        <v>0</v>
      </c>
      <c r="AC40" s="152">
        <f ca="1">IFERROR(__xludf.DUMMYFUNCTION("IMPORTRANGE(""https://docs.google.com/spreadsheets/d/1uB74YLqNjWX6FObjekfB2NtSYigTQyR2rq9u4Ub2Sq4/edit?usp=sharing"",""มุกดาหาร!J507"")"),0)</f>
        <v>0</v>
      </c>
      <c r="AD40" s="152">
        <f ca="1">IFERROR(__xludf.DUMMYFUNCTION("IMPORTRANGE(""https://docs.google.com/spreadsheets/d/1uB74YLqNjWX6FObjekfB2NtSYigTQyR2rq9u4Ub2Sq4/edit?usp=sharing"",""มุกดาหาร!J508"")"),0)</f>
        <v>0</v>
      </c>
      <c r="AE40" s="152">
        <f ca="1">IFERROR(__xludf.DUMMYFUNCTION("IMPORTRANGE(""https://docs.google.com/spreadsheets/d/1uB74YLqNjWX6FObjekfB2NtSYigTQyR2rq9u4Ub2Sq4/edit?usp=sharing"",""มุกดาหาร!J509"")"),0)</f>
        <v>0</v>
      </c>
    </row>
    <row r="41" spans="1:31" ht="21" customHeight="1" x14ac:dyDescent="0.3">
      <c r="A41" s="70">
        <v>10</v>
      </c>
      <c r="B41" s="71" t="s">
        <v>69</v>
      </c>
      <c r="C41" s="149">
        <f t="shared" ca="1" si="21"/>
        <v>0</v>
      </c>
      <c r="D41" s="150">
        <f t="shared" ca="1" si="40"/>
        <v>0</v>
      </c>
      <c r="E41" s="151">
        <f ca="1">IFERROR(__xludf.DUMMYFUNCTION("IMPORTRANGE(""https://docs.google.com/spreadsheets/d/1-uDff_7J0KD5mKrp0Vvzr7lt3OU09vwQwhkpOPPYv2Y/edit?usp=sharing"",""งบพรบ!HV41"")"),0)</f>
        <v>0</v>
      </c>
      <c r="F41" s="151">
        <f ca="1">IFERROR(__xludf.DUMMYFUNCTION("IMPORTRANGE(""https://docs.google.com/spreadsheets/d/1-uDff_7J0KD5mKrp0Vvzr7lt3OU09vwQwhkpOPPYv2Y/edit?usp=sharing"",""งบพรบ!HW41"")"),0)</f>
        <v>0</v>
      </c>
      <c r="G41" s="151">
        <f ca="1">IFERROR(__xludf.DUMMYFUNCTION("IMPORTRANGE(""https://docs.google.com/spreadsheets/d/1-uDff_7J0KD5mKrp0Vvzr7lt3OU09vwQwhkpOPPYv2Y/edit?usp=sharing"",""งบพรบ!HX41"")"),0)</f>
        <v>0</v>
      </c>
      <c r="H41" s="151">
        <f ca="1">IFERROR(__xludf.DUMMYFUNCTION("IMPORTRANGE(""https://docs.google.com/spreadsheets/d/1-uDff_7J0KD5mKrp0Vvzr7lt3OU09vwQwhkpOPPYv2Y/edit?usp=sharing"",""งบพรบ!HZ41"")"),0)</f>
        <v>0</v>
      </c>
      <c r="I41" s="151">
        <f ca="1">IFERROR(__xludf.DUMMYFUNCTION("IMPORTRANGE(""https://docs.google.com/spreadsheets/d/1-uDff_7J0KD5mKrp0Vvzr7lt3OU09vwQwhkpOPPYv2Y/edit?usp=sharing"",""งบพรบ!IA41"")"),0)</f>
        <v>0</v>
      </c>
      <c r="J41" s="151">
        <f t="shared" ca="1" si="23"/>
        <v>0</v>
      </c>
      <c r="K41" s="154">
        <f t="shared" ca="1" si="24"/>
        <v>0</v>
      </c>
      <c r="L41" s="151">
        <f ca="1">IFERROR(__xludf.DUMMYFUNCTION("IMPORTRANGE(""https://docs.google.com/spreadsheets/d/1-uDff_7J0KD5mKrp0Vvzr7lt3OU09vwQwhkpOPPYv2Y/edit?usp=sharing"",""งบพรบ!IB41"")"),0)</f>
        <v>0</v>
      </c>
      <c r="M41" s="68">
        <f t="shared" ca="1" si="25"/>
        <v>0</v>
      </c>
      <c r="N41" s="68">
        <f t="shared" ca="1" si="26"/>
        <v>0</v>
      </c>
      <c r="O41" s="151">
        <f ca="1">IFERROR(__xludf.DUMMYFUNCTION("IMPORTRANGE(""https://docs.google.com/spreadsheets/d/1-uDff_7J0KD5mKrp0Vvzr7lt3OU09vwQwhkpOPPYv2Y/edit?usp=sharing"",""งบพรบ!IC41"")"),0)</f>
        <v>0</v>
      </c>
      <c r="P41" s="67">
        <f t="shared" ca="1" si="27"/>
        <v>0</v>
      </c>
      <c r="Q41" s="68">
        <f t="shared" ca="1" si="28"/>
        <v>0</v>
      </c>
      <c r="R41" s="68">
        <f ca="1">IFERROR(__xludf.DUMMYFUNCTION("IMPORTRANGE(""https://docs.google.com/spreadsheets/d/1NexK3geCPxCTO1fzNF8dPec7yZyUx3OaWkFBC9HsQOo/edit?usp=sharing"",""ยโสธร!Q498"")"),0)</f>
        <v>0</v>
      </c>
      <c r="S41" s="68">
        <f ca="1">IFERROR(__xludf.DUMMYFUNCTION("IMPORTRANGE(""https://docs.google.com/spreadsheets/d/1NexK3geCPxCTO1fzNF8dPec7yZyUx3OaWkFBC9HsQOo/edit?usp=sharing"",""ยโสธร!R498"")"),0)</f>
        <v>0</v>
      </c>
      <c r="T41" s="68">
        <f ca="1">IFERROR(__xludf.DUMMYFUNCTION("IMPORTRANGE(""https://docs.google.com/spreadsheets/d/1NexK3geCPxCTO1fzNF8dPec7yZyUx3OaWkFBC9HsQOo/edit?usp=sharing"",""ยโสธร!S498"")"),0)</f>
        <v>0</v>
      </c>
      <c r="U41" s="68">
        <f t="shared" ca="1" si="30"/>
        <v>0</v>
      </c>
      <c r="V41" s="68">
        <f t="shared" ca="1" si="31"/>
        <v>0</v>
      </c>
      <c r="W41" s="279">
        <f ca="1">IFERROR(__xludf.DUMMYFUNCTION("IMPORTRANGE(""https://docs.google.com/spreadsheets/d/1NexK3geCPxCTO1fzNF8dPec7yZyUx3OaWkFBC9HsQOo/edit?usp=sharing"",""ยโสธร!I503"")"),0)</f>
        <v>0</v>
      </c>
      <c r="X41" s="152">
        <f ca="1">IFERROR(__xludf.DUMMYFUNCTION("IMPORTRANGE(""https://docs.google.com/spreadsheets/d/1NexK3geCPxCTO1fzNF8dPec7yZyUx3OaWkFBC9HsQOo/edit?usp=sharing"",""ยโสธร!J503"")"),0)</f>
        <v>0</v>
      </c>
      <c r="Y41" s="216">
        <f t="shared" ca="1" si="33"/>
        <v>0</v>
      </c>
      <c r="Z41" s="152">
        <f ca="1">IFERROR(__xludf.DUMMYFUNCTION("IMPORTRANGE(""https://docs.google.com/spreadsheets/d/1NexK3geCPxCTO1fzNF8dPec7yZyUx3OaWkFBC9HsQOo/edit?usp=sharing"",""ยโสธร!J504"")"),0)</f>
        <v>0</v>
      </c>
      <c r="AA41" s="152">
        <f ca="1">IFERROR(__xludf.DUMMYFUNCTION("IMPORTRANGE(""https://docs.google.com/spreadsheets/d/1NexK3geCPxCTO1fzNF8dPec7yZyUx3OaWkFBC9HsQOo/edit?usp=sharing"",""ยโสธร!J505"")"),0)</f>
        <v>0</v>
      </c>
      <c r="AB41" s="152">
        <f ca="1">IFERROR(__xludf.DUMMYFUNCTION("IMPORTRANGE(""https://docs.google.com/spreadsheets/d/1NexK3geCPxCTO1fzNF8dPec7yZyUx3OaWkFBC9HsQOo/edit?usp=sharing"",""ยโสธร!J506"")"),0)</f>
        <v>0</v>
      </c>
      <c r="AC41" s="152">
        <f ca="1">IFERROR(__xludf.DUMMYFUNCTION("IMPORTRANGE(""https://docs.google.com/spreadsheets/d/1NexK3geCPxCTO1fzNF8dPec7yZyUx3OaWkFBC9HsQOo/edit?usp=sharing"",""ยโสธร!J507"")"),0)</f>
        <v>0</v>
      </c>
      <c r="AD41" s="152">
        <f ca="1">IFERROR(__xludf.DUMMYFUNCTION("IMPORTRANGE(""https://docs.google.com/spreadsheets/d/1NexK3geCPxCTO1fzNF8dPec7yZyUx3OaWkFBC9HsQOo/edit?usp=sharing"",""ยโสธร!J508"")"),0)</f>
        <v>0</v>
      </c>
      <c r="AE41" s="152">
        <f ca="1">IFERROR(__xludf.DUMMYFUNCTION("IMPORTRANGE(""https://docs.google.com/spreadsheets/d/1NexK3geCPxCTO1fzNF8dPec7yZyUx3OaWkFBC9HsQOo/edit?usp=sharing"",""ยโสธร!J509"")"),0)</f>
        <v>0</v>
      </c>
    </row>
    <row r="42" spans="1:31" ht="21" customHeight="1" x14ac:dyDescent="0.3">
      <c r="A42" s="70">
        <v>11</v>
      </c>
      <c r="B42" s="71" t="s">
        <v>70</v>
      </c>
      <c r="C42" s="149">
        <f t="shared" ca="1" si="21"/>
        <v>0</v>
      </c>
      <c r="D42" s="150">
        <f t="shared" ca="1" si="40"/>
        <v>0</v>
      </c>
      <c r="E42" s="151">
        <f ca="1">IFERROR(__xludf.DUMMYFUNCTION("IMPORTRANGE(""https://docs.google.com/spreadsheets/d/1-uDff_7J0KD5mKrp0Vvzr7lt3OU09vwQwhkpOPPYv2Y/edit?usp=sharing"",""งบพรบ!HV42"")"),0)</f>
        <v>0</v>
      </c>
      <c r="F42" s="151">
        <f ca="1">IFERROR(__xludf.DUMMYFUNCTION("IMPORTRANGE(""https://docs.google.com/spreadsheets/d/1-uDff_7J0KD5mKrp0Vvzr7lt3OU09vwQwhkpOPPYv2Y/edit?usp=sharing"",""งบพรบ!HW42"")"),0)</f>
        <v>0</v>
      </c>
      <c r="G42" s="151">
        <f ca="1">IFERROR(__xludf.DUMMYFUNCTION("IMPORTRANGE(""https://docs.google.com/spreadsheets/d/1-uDff_7J0KD5mKrp0Vvzr7lt3OU09vwQwhkpOPPYv2Y/edit?usp=sharing"",""งบพรบ!HX42"")"),0)</f>
        <v>0</v>
      </c>
      <c r="H42" s="151">
        <f ca="1">IFERROR(__xludf.DUMMYFUNCTION("IMPORTRANGE(""https://docs.google.com/spreadsheets/d/1-uDff_7J0KD5mKrp0Vvzr7lt3OU09vwQwhkpOPPYv2Y/edit?usp=sharing"",""งบพรบ!HZ42"")"),0)</f>
        <v>0</v>
      </c>
      <c r="I42" s="151">
        <f ca="1">IFERROR(__xludf.DUMMYFUNCTION("IMPORTRANGE(""https://docs.google.com/spreadsheets/d/1-uDff_7J0KD5mKrp0Vvzr7lt3OU09vwQwhkpOPPYv2Y/edit?usp=sharing"",""งบพรบ!IA42"")"),0)</f>
        <v>0</v>
      </c>
      <c r="J42" s="151">
        <f t="shared" ca="1" si="23"/>
        <v>0</v>
      </c>
      <c r="K42" s="154">
        <f t="shared" ca="1" si="24"/>
        <v>0</v>
      </c>
      <c r="L42" s="151">
        <f ca="1">IFERROR(__xludf.DUMMYFUNCTION("IMPORTRANGE(""https://docs.google.com/spreadsheets/d/1-uDff_7J0KD5mKrp0Vvzr7lt3OU09vwQwhkpOPPYv2Y/edit?usp=sharing"",""งบพรบ!IB42"")"),0)</f>
        <v>0</v>
      </c>
      <c r="M42" s="68">
        <f t="shared" ca="1" si="25"/>
        <v>0</v>
      </c>
      <c r="N42" s="68">
        <f t="shared" ca="1" si="26"/>
        <v>0</v>
      </c>
      <c r="O42" s="151">
        <f ca="1">IFERROR(__xludf.DUMMYFUNCTION("IMPORTRANGE(""https://docs.google.com/spreadsheets/d/1-uDff_7J0KD5mKrp0Vvzr7lt3OU09vwQwhkpOPPYv2Y/edit?usp=sharing"",""งบพรบ!IC42"")"),0)</f>
        <v>0</v>
      </c>
      <c r="P42" s="67">
        <f t="shared" ca="1" si="27"/>
        <v>0</v>
      </c>
      <c r="Q42" s="68">
        <f t="shared" ca="1" si="28"/>
        <v>0</v>
      </c>
      <c r="R42" s="68">
        <f ca="1">IFERROR(__xludf.DUMMYFUNCTION("IMPORTRANGE(""https://docs.google.com/spreadsheets/d/1v_cJrbBlyqmnHPReHk44g9NrMRdENNlSy_E_c5M9fIg/edit?usp=sharing"",""ร้อยเอ็ด!Q498"")"),0)</f>
        <v>0</v>
      </c>
      <c r="S42" s="68">
        <f ca="1">IFERROR(__xludf.DUMMYFUNCTION("IMPORTRANGE(""https://docs.google.com/spreadsheets/d/1v_cJrbBlyqmnHPReHk44g9NrMRdENNlSy_E_c5M9fIg/edit?usp=sharing"",""ร้อยเอ็ด!R498"")"),0)</f>
        <v>0</v>
      </c>
      <c r="T42" s="68">
        <f ca="1">IFERROR(__xludf.DUMMYFUNCTION("IMPORTRANGE(""https://docs.google.com/spreadsheets/d/1v_cJrbBlyqmnHPReHk44g9NrMRdENNlSy_E_c5M9fIg/edit?usp=sharing"",""ร้อยเอ็ด!S498"")"),0)</f>
        <v>0</v>
      </c>
      <c r="U42" s="68">
        <f t="shared" ca="1" si="30"/>
        <v>0</v>
      </c>
      <c r="V42" s="68">
        <f t="shared" ca="1" si="31"/>
        <v>0</v>
      </c>
      <c r="W42" s="278">
        <f ca="1">IFERROR(__xludf.DUMMYFUNCTION("IMPORTRANGE(""https://docs.google.com/spreadsheets/d/1v_cJrbBlyqmnHPReHk44g9NrMRdENNlSy_E_c5M9fIg/edit?usp=sharing"",""ร้อยเอ็ด!I503"")"),0)</f>
        <v>0</v>
      </c>
      <c r="X42" s="152">
        <f ca="1">IFERROR(__xludf.DUMMYFUNCTION("IMPORTRANGE(""https://docs.google.com/spreadsheets/d/1v_cJrbBlyqmnHPReHk44g9NrMRdENNlSy_E_c5M9fIg/edit?usp=sharing"",""ร้อยเอ็ด!J503"")"),0)</f>
        <v>0</v>
      </c>
      <c r="Y42" s="216">
        <f t="shared" ca="1" si="33"/>
        <v>0</v>
      </c>
      <c r="Z42" s="152">
        <f ca="1">IFERROR(__xludf.DUMMYFUNCTION("IMPORTRANGE(""https://docs.google.com/spreadsheets/d/1v_cJrbBlyqmnHPReHk44g9NrMRdENNlSy_E_c5M9fIg/edit?usp=sharing"",""ร้อยเอ็ด!J504"")"),0)</f>
        <v>0</v>
      </c>
      <c r="AA42" s="152">
        <f ca="1">IFERROR(__xludf.DUMMYFUNCTION("IMPORTRANGE(""https://docs.google.com/spreadsheets/d/1v_cJrbBlyqmnHPReHk44g9NrMRdENNlSy_E_c5M9fIg/edit?usp=sharing"",""ร้อยเอ็ด!J505"")"),0)</f>
        <v>0</v>
      </c>
      <c r="AB42" s="152">
        <f ca="1">IFERROR(__xludf.DUMMYFUNCTION("IMPORTRANGE(""https://docs.google.com/spreadsheets/d/1v_cJrbBlyqmnHPReHk44g9NrMRdENNlSy_E_c5M9fIg/edit?usp=sharing"",""ร้อยเอ็ด!J506"")"),0)</f>
        <v>0</v>
      </c>
      <c r="AC42" s="152">
        <f ca="1">IFERROR(__xludf.DUMMYFUNCTION("IMPORTRANGE(""https://docs.google.com/spreadsheets/d/1v_cJrbBlyqmnHPReHk44g9NrMRdENNlSy_E_c5M9fIg/edit?usp=sharing"",""ร้อยเอ็ด!J507"")"),0)</f>
        <v>0</v>
      </c>
      <c r="AD42" s="152">
        <f ca="1">IFERROR(__xludf.DUMMYFUNCTION("IMPORTRANGE(""https://docs.google.com/spreadsheets/d/1v_cJrbBlyqmnHPReHk44g9NrMRdENNlSy_E_c5M9fIg/edit?usp=sharing"",""ร้อยเอ็ด!J508"")"),0)</f>
        <v>0</v>
      </c>
      <c r="AE42" s="152">
        <f ca="1">IFERROR(__xludf.DUMMYFUNCTION("IMPORTRANGE(""https://docs.google.com/spreadsheets/d/1v_cJrbBlyqmnHPReHk44g9NrMRdENNlSy_E_c5M9fIg/edit?usp=sharing"",""ร้อยเอ็ด!J509"")"),0)</f>
        <v>0</v>
      </c>
    </row>
    <row r="43" spans="1:31" ht="21" customHeight="1" x14ac:dyDescent="0.3">
      <c r="A43" s="70">
        <v>12</v>
      </c>
      <c r="B43" s="71" t="s">
        <v>71</v>
      </c>
      <c r="C43" s="149">
        <f t="shared" ca="1" si="21"/>
        <v>0</v>
      </c>
      <c r="D43" s="150">
        <f t="shared" ca="1" si="40"/>
        <v>0</v>
      </c>
      <c r="E43" s="151">
        <f ca="1">IFERROR(__xludf.DUMMYFUNCTION("IMPORTRANGE(""https://docs.google.com/spreadsheets/d/1-uDff_7J0KD5mKrp0Vvzr7lt3OU09vwQwhkpOPPYv2Y/edit?usp=sharing"",""งบพรบ!HV43"")"),0)</f>
        <v>0</v>
      </c>
      <c r="F43" s="151">
        <f ca="1">IFERROR(__xludf.DUMMYFUNCTION("IMPORTRANGE(""https://docs.google.com/spreadsheets/d/1-uDff_7J0KD5mKrp0Vvzr7lt3OU09vwQwhkpOPPYv2Y/edit?usp=sharing"",""งบพรบ!HW43"")"),0)</f>
        <v>0</v>
      </c>
      <c r="G43" s="151">
        <f ca="1">IFERROR(__xludf.DUMMYFUNCTION("IMPORTRANGE(""https://docs.google.com/spreadsheets/d/1-uDff_7J0KD5mKrp0Vvzr7lt3OU09vwQwhkpOPPYv2Y/edit?usp=sharing"",""งบพรบ!HX43"")"),0)</f>
        <v>0</v>
      </c>
      <c r="H43" s="151">
        <f ca="1">IFERROR(__xludf.DUMMYFUNCTION("IMPORTRANGE(""https://docs.google.com/spreadsheets/d/1-uDff_7J0KD5mKrp0Vvzr7lt3OU09vwQwhkpOPPYv2Y/edit?usp=sharing"",""งบพรบ!HZ43"")"),0)</f>
        <v>0</v>
      </c>
      <c r="I43" s="151">
        <f ca="1">IFERROR(__xludf.DUMMYFUNCTION("IMPORTRANGE(""https://docs.google.com/spreadsheets/d/1-uDff_7J0KD5mKrp0Vvzr7lt3OU09vwQwhkpOPPYv2Y/edit?usp=sharing"",""งบพรบ!IA43"")"),0)</f>
        <v>0</v>
      </c>
      <c r="J43" s="151">
        <f t="shared" ca="1" si="23"/>
        <v>0</v>
      </c>
      <c r="K43" s="154">
        <f t="shared" ca="1" si="24"/>
        <v>0</v>
      </c>
      <c r="L43" s="151">
        <f ca="1">IFERROR(__xludf.DUMMYFUNCTION("IMPORTRANGE(""https://docs.google.com/spreadsheets/d/1-uDff_7J0KD5mKrp0Vvzr7lt3OU09vwQwhkpOPPYv2Y/edit?usp=sharing"",""งบพรบ!IB43"")"),0)</f>
        <v>0</v>
      </c>
      <c r="M43" s="68">
        <f t="shared" ca="1" si="25"/>
        <v>0</v>
      </c>
      <c r="N43" s="68">
        <f t="shared" ca="1" si="26"/>
        <v>0</v>
      </c>
      <c r="O43" s="151">
        <f ca="1">IFERROR(__xludf.DUMMYFUNCTION("IMPORTRANGE(""https://docs.google.com/spreadsheets/d/1-uDff_7J0KD5mKrp0Vvzr7lt3OU09vwQwhkpOPPYv2Y/edit?usp=sharing"",""งบพรบ!IC43"")"),0)</f>
        <v>0</v>
      </c>
      <c r="P43" s="67">
        <f t="shared" ca="1" si="27"/>
        <v>0</v>
      </c>
      <c r="Q43" s="68">
        <f t="shared" ca="1" si="28"/>
        <v>0</v>
      </c>
      <c r="R43" s="68">
        <f ca="1">IFERROR(__xludf.DUMMYFUNCTION("IMPORTRANGE(""https://docs.google.com/spreadsheets/d/1Ul4RCpCX66NxYADU1QpwAPjOmBzW64SsT11s1wzXw_c/edit?usp=sharing"",""เลย!Q498"")"),0)</f>
        <v>0</v>
      </c>
      <c r="S43" s="68">
        <f ca="1">IFERROR(__xludf.DUMMYFUNCTION("IMPORTRANGE(""https://docs.google.com/spreadsheets/d/1Ul4RCpCX66NxYADU1QpwAPjOmBzW64SsT11s1wzXw_c/edit?usp=sharing"",""เลย!R498"")"),0)</f>
        <v>0</v>
      </c>
      <c r="T43" s="68">
        <f ca="1">IFERROR(__xludf.DUMMYFUNCTION("IMPORTRANGE(""https://docs.google.com/spreadsheets/d/1Ul4RCpCX66NxYADU1QpwAPjOmBzW64SsT11s1wzXw_c/edit?usp=sharing"",""เลย!S498"")"),0)</f>
        <v>0</v>
      </c>
      <c r="U43" s="68">
        <f t="shared" ca="1" si="30"/>
        <v>0</v>
      </c>
      <c r="V43" s="68">
        <f t="shared" ca="1" si="31"/>
        <v>0</v>
      </c>
      <c r="W43" s="278">
        <f ca="1">IFERROR(__xludf.DUMMYFUNCTION("IMPORTRANGE(""https://docs.google.com/spreadsheets/d/1Ul4RCpCX66NxYADU1QpwAPjOmBzW64SsT11s1wzXw_c/edit?usp=sharing"",""เลย!I503"")"),0)</f>
        <v>0</v>
      </c>
      <c r="X43" s="152">
        <f ca="1">IFERROR(__xludf.DUMMYFUNCTION("IMPORTRANGE(""https://docs.google.com/spreadsheets/d/1Ul4RCpCX66NxYADU1QpwAPjOmBzW64SsT11s1wzXw_c/edit?usp=sharing"",""เลย!J503"")"),0)</f>
        <v>0</v>
      </c>
      <c r="Y43" s="216">
        <f t="shared" ca="1" si="33"/>
        <v>0</v>
      </c>
      <c r="Z43" s="152">
        <f ca="1">IFERROR(__xludf.DUMMYFUNCTION("IMPORTRANGE(""https://docs.google.com/spreadsheets/d/1Ul4RCpCX66NxYADU1QpwAPjOmBzW64SsT11s1wzXw_c/edit?usp=sharing"",""เลย!J504"")"),0)</f>
        <v>0</v>
      </c>
      <c r="AA43" s="152">
        <f ca="1">IFERROR(__xludf.DUMMYFUNCTION("IMPORTRANGE(""https://docs.google.com/spreadsheets/d/1Ul4RCpCX66NxYADU1QpwAPjOmBzW64SsT11s1wzXw_c/edit?usp=sharing"",""เลย!J505"")"),0)</f>
        <v>0</v>
      </c>
      <c r="AB43" s="152">
        <f ca="1">IFERROR(__xludf.DUMMYFUNCTION("IMPORTRANGE(""https://docs.google.com/spreadsheets/d/1Ul4RCpCX66NxYADU1QpwAPjOmBzW64SsT11s1wzXw_c/edit?usp=sharing"",""เลย!J506"")"),0)</f>
        <v>0</v>
      </c>
      <c r="AC43" s="152">
        <f ca="1">IFERROR(__xludf.DUMMYFUNCTION("IMPORTRANGE(""https://docs.google.com/spreadsheets/d/1Ul4RCpCX66NxYADU1QpwAPjOmBzW64SsT11s1wzXw_c/edit?usp=sharing"",""เลย!J507"")"),0)</f>
        <v>0</v>
      </c>
      <c r="AD43" s="152">
        <f ca="1">IFERROR(__xludf.DUMMYFUNCTION("IMPORTRANGE(""https://docs.google.com/spreadsheets/d/1Ul4RCpCX66NxYADU1QpwAPjOmBzW64SsT11s1wzXw_c/edit?usp=sharing"",""เลย!J508"")"),0)</f>
        <v>0</v>
      </c>
      <c r="AE43" s="152">
        <f ca="1">IFERROR(__xludf.DUMMYFUNCTION("IMPORTRANGE(""https://docs.google.com/spreadsheets/d/1Ul4RCpCX66NxYADU1QpwAPjOmBzW64SsT11s1wzXw_c/edit?usp=sharing"",""เลย!J509"")"),0)</f>
        <v>0</v>
      </c>
    </row>
    <row r="44" spans="1:31" ht="21" customHeight="1" x14ac:dyDescent="0.3">
      <c r="A44" s="70">
        <v>13</v>
      </c>
      <c r="B44" s="71" t="s">
        <v>72</v>
      </c>
      <c r="C44" s="149">
        <f t="shared" ca="1" si="21"/>
        <v>0</v>
      </c>
      <c r="D44" s="150">
        <f t="shared" ca="1" si="40"/>
        <v>0</v>
      </c>
      <c r="E44" s="151">
        <f ca="1">IFERROR(__xludf.DUMMYFUNCTION("IMPORTRANGE(""https://docs.google.com/spreadsheets/d/1-uDff_7J0KD5mKrp0Vvzr7lt3OU09vwQwhkpOPPYv2Y/edit?usp=sharing"",""งบพรบ!HV44"")"),0)</f>
        <v>0</v>
      </c>
      <c r="F44" s="151">
        <f ca="1">IFERROR(__xludf.DUMMYFUNCTION("IMPORTRANGE(""https://docs.google.com/spreadsheets/d/1-uDff_7J0KD5mKrp0Vvzr7lt3OU09vwQwhkpOPPYv2Y/edit?usp=sharing"",""งบพรบ!HW44"")"),0)</f>
        <v>0</v>
      </c>
      <c r="G44" s="151">
        <f ca="1">IFERROR(__xludf.DUMMYFUNCTION("IMPORTRANGE(""https://docs.google.com/spreadsheets/d/1-uDff_7J0KD5mKrp0Vvzr7lt3OU09vwQwhkpOPPYv2Y/edit?usp=sharing"",""งบพรบ!HX44"")"),0)</f>
        <v>0</v>
      </c>
      <c r="H44" s="151">
        <f ca="1">IFERROR(__xludf.DUMMYFUNCTION("IMPORTRANGE(""https://docs.google.com/spreadsheets/d/1-uDff_7J0KD5mKrp0Vvzr7lt3OU09vwQwhkpOPPYv2Y/edit?usp=sharing"",""งบพรบ!HZ44"")"),0)</f>
        <v>0</v>
      </c>
      <c r="I44" s="151">
        <f ca="1">IFERROR(__xludf.DUMMYFUNCTION("IMPORTRANGE(""https://docs.google.com/spreadsheets/d/1-uDff_7J0KD5mKrp0Vvzr7lt3OU09vwQwhkpOPPYv2Y/edit?usp=sharing"",""งบพรบ!IA44"")"),0)</f>
        <v>0</v>
      </c>
      <c r="J44" s="151">
        <f t="shared" ca="1" si="23"/>
        <v>0</v>
      </c>
      <c r="K44" s="154">
        <f t="shared" ca="1" si="24"/>
        <v>0</v>
      </c>
      <c r="L44" s="151">
        <f ca="1">IFERROR(__xludf.DUMMYFUNCTION("IMPORTRANGE(""https://docs.google.com/spreadsheets/d/1-uDff_7J0KD5mKrp0Vvzr7lt3OU09vwQwhkpOPPYv2Y/edit?usp=sharing"",""งบพรบ!IB44"")"),0)</f>
        <v>0</v>
      </c>
      <c r="M44" s="68">
        <f t="shared" ca="1" si="25"/>
        <v>0</v>
      </c>
      <c r="N44" s="68">
        <f t="shared" ca="1" si="26"/>
        <v>0</v>
      </c>
      <c r="O44" s="151">
        <f ca="1">IFERROR(__xludf.DUMMYFUNCTION("IMPORTRANGE(""https://docs.google.com/spreadsheets/d/1-uDff_7J0KD5mKrp0Vvzr7lt3OU09vwQwhkpOPPYv2Y/edit?usp=sharing"",""งบพรบ!IC44"")"),0)</f>
        <v>0</v>
      </c>
      <c r="P44" s="67">
        <f t="shared" ca="1" si="27"/>
        <v>0</v>
      </c>
      <c r="Q44" s="68">
        <f t="shared" ca="1" si="28"/>
        <v>0</v>
      </c>
      <c r="R44" s="68">
        <f ca="1">IFERROR(__xludf.DUMMYFUNCTION("IMPORTRANGE(""https://docs.google.com/spreadsheets/d/1bRrNKwbHDVktQG10isr5vbWRtt5spIZPpkOSWgbT5ug/edit?usp=sharing"",""ศรีสะเกษ!Q498"")"),0)</f>
        <v>0</v>
      </c>
      <c r="S44" s="68">
        <f ca="1">IFERROR(__xludf.DUMMYFUNCTION("IMPORTRANGE(""https://docs.google.com/spreadsheets/d/1bRrNKwbHDVktQG10isr5vbWRtt5spIZPpkOSWgbT5ug/edit?usp=sharing"",""ศรีสะเกษ!R498"")"),0)</f>
        <v>0</v>
      </c>
      <c r="T44" s="68">
        <f ca="1">IFERROR(__xludf.DUMMYFUNCTION("IMPORTRANGE(""https://docs.google.com/spreadsheets/d/1bRrNKwbHDVktQG10isr5vbWRtt5spIZPpkOSWgbT5ug/edit?usp=sharing"",""ศรีสะเกษ!S498"")"),0)</f>
        <v>0</v>
      </c>
      <c r="U44" s="68">
        <f t="shared" ca="1" si="30"/>
        <v>0</v>
      </c>
      <c r="V44" s="68">
        <f t="shared" ca="1" si="31"/>
        <v>0</v>
      </c>
      <c r="W44" s="279">
        <f ca="1">IFERROR(__xludf.DUMMYFUNCTION("IMPORTRANGE(""https://docs.google.com/spreadsheets/d/1bRrNKwbHDVktQG10isr5vbWRtt5spIZPpkOSWgbT5ug/edit?usp=sharing"",""ศรีสะเกษ!I503"")"),0)</f>
        <v>0</v>
      </c>
      <c r="X44" s="152">
        <f ca="1">IFERROR(__xludf.DUMMYFUNCTION("IMPORTRANGE(""https://docs.google.com/spreadsheets/d/1bRrNKwbHDVktQG10isr5vbWRtt5spIZPpkOSWgbT5ug/edit?usp=sharing"",""ศรีสะเกษ!J503"")"),0)</f>
        <v>0</v>
      </c>
      <c r="Y44" s="216">
        <f t="shared" ca="1" si="33"/>
        <v>0</v>
      </c>
      <c r="Z44" s="152">
        <f ca="1">IFERROR(__xludf.DUMMYFUNCTION("IMPORTRANGE(""https://docs.google.com/spreadsheets/d/1bRrNKwbHDVktQG10isr5vbWRtt5spIZPpkOSWgbT5ug/edit?usp=sharing"",""ศรีสะเกษ!J504"")"),0)</f>
        <v>0</v>
      </c>
      <c r="AA44" s="152">
        <f ca="1">IFERROR(__xludf.DUMMYFUNCTION("IMPORTRANGE(""https://docs.google.com/spreadsheets/d/1bRrNKwbHDVktQG10isr5vbWRtt5spIZPpkOSWgbT5ug/edit?usp=sharing"",""ศรีสะเกษ!J505"")"),0)</f>
        <v>0</v>
      </c>
      <c r="AB44" s="152">
        <f ca="1">IFERROR(__xludf.DUMMYFUNCTION("IMPORTRANGE(""https://docs.google.com/spreadsheets/d/1bRrNKwbHDVktQG10isr5vbWRtt5spIZPpkOSWgbT5ug/edit?usp=sharing"",""ศรีสะเกษ!J506"")"),0)</f>
        <v>0</v>
      </c>
      <c r="AC44" s="152">
        <f ca="1">IFERROR(__xludf.DUMMYFUNCTION("IMPORTRANGE(""https://docs.google.com/spreadsheets/d/1bRrNKwbHDVktQG10isr5vbWRtt5spIZPpkOSWgbT5ug/edit?usp=sharing"",""ศรีสะเกษ!J507"")"),0)</f>
        <v>0</v>
      </c>
      <c r="AD44" s="152">
        <f ca="1">IFERROR(__xludf.DUMMYFUNCTION("IMPORTRANGE(""https://docs.google.com/spreadsheets/d/1bRrNKwbHDVktQG10isr5vbWRtt5spIZPpkOSWgbT5ug/edit?usp=sharing"",""ศรีสะเกษ!J508"")"),0)</f>
        <v>0</v>
      </c>
      <c r="AE44" s="152">
        <f ca="1">IFERROR(__xludf.DUMMYFUNCTION("IMPORTRANGE(""https://docs.google.com/spreadsheets/d/1bRrNKwbHDVktQG10isr5vbWRtt5spIZPpkOSWgbT5ug/edit?usp=sharing"",""ศรีสะเกษ!J509"")"),0)</f>
        <v>0</v>
      </c>
    </row>
    <row r="45" spans="1:31" ht="21" customHeight="1" x14ac:dyDescent="0.3">
      <c r="A45" s="70">
        <v>14</v>
      </c>
      <c r="B45" s="71" t="s">
        <v>73</v>
      </c>
      <c r="C45" s="149">
        <f t="shared" ca="1" si="21"/>
        <v>0</v>
      </c>
      <c r="D45" s="150">
        <f t="shared" ca="1" si="40"/>
        <v>0</v>
      </c>
      <c r="E45" s="151">
        <f ca="1">IFERROR(__xludf.DUMMYFUNCTION("IMPORTRANGE(""https://docs.google.com/spreadsheets/d/1-uDff_7J0KD5mKrp0Vvzr7lt3OU09vwQwhkpOPPYv2Y/edit?usp=sharing"",""งบพรบ!HV45"")"),0)</f>
        <v>0</v>
      </c>
      <c r="F45" s="151">
        <f ca="1">IFERROR(__xludf.DUMMYFUNCTION("IMPORTRANGE(""https://docs.google.com/spreadsheets/d/1-uDff_7J0KD5mKrp0Vvzr7lt3OU09vwQwhkpOPPYv2Y/edit?usp=sharing"",""งบพรบ!HW45"")"),0)</f>
        <v>0</v>
      </c>
      <c r="G45" s="151">
        <f ca="1">IFERROR(__xludf.DUMMYFUNCTION("IMPORTRANGE(""https://docs.google.com/spreadsheets/d/1-uDff_7J0KD5mKrp0Vvzr7lt3OU09vwQwhkpOPPYv2Y/edit?usp=sharing"",""งบพรบ!HX45"")"),0)</f>
        <v>0</v>
      </c>
      <c r="H45" s="151">
        <f ca="1">IFERROR(__xludf.DUMMYFUNCTION("IMPORTRANGE(""https://docs.google.com/spreadsheets/d/1-uDff_7J0KD5mKrp0Vvzr7lt3OU09vwQwhkpOPPYv2Y/edit?usp=sharing"",""งบพรบ!HZ45"")"),0)</f>
        <v>0</v>
      </c>
      <c r="I45" s="151">
        <f ca="1">IFERROR(__xludf.DUMMYFUNCTION("IMPORTRANGE(""https://docs.google.com/spreadsheets/d/1-uDff_7J0KD5mKrp0Vvzr7lt3OU09vwQwhkpOPPYv2Y/edit?usp=sharing"",""งบพรบ!IA45"")"),0)</f>
        <v>0</v>
      </c>
      <c r="J45" s="151">
        <f t="shared" ca="1" si="23"/>
        <v>0</v>
      </c>
      <c r="K45" s="154">
        <f t="shared" ca="1" si="24"/>
        <v>0</v>
      </c>
      <c r="L45" s="151">
        <f ca="1">IFERROR(__xludf.DUMMYFUNCTION("IMPORTRANGE(""https://docs.google.com/spreadsheets/d/1-uDff_7J0KD5mKrp0Vvzr7lt3OU09vwQwhkpOPPYv2Y/edit?usp=sharing"",""งบพรบ!IB45"")"),0)</f>
        <v>0</v>
      </c>
      <c r="M45" s="68">
        <f t="shared" ca="1" si="25"/>
        <v>0</v>
      </c>
      <c r="N45" s="68">
        <f t="shared" ca="1" si="26"/>
        <v>0</v>
      </c>
      <c r="O45" s="151">
        <f ca="1">IFERROR(__xludf.DUMMYFUNCTION("IMPORTRANGE(""https://docs.google.com/spreadsheets/d/1-uDff_7J0KD5mKrp0Vvzr7lt3OU09vwQwhkpOPPYv2Y/edit?usp=sharing"",""งบพรบ!IC45"")"),0)</f>
        <v>0</v>
      </c>
      <c r="P45" s="67">
        <f t="shared" ca="1" si="27"/>
        <v>0</v>
      </c>
      <c r="Q45" s="68">
        <f t="shared" ca="1" si="28"/>
        <v>0</v>
      </c>
      <c r="R45" s="68">
        <f ca="1">IFERROR(__xludf.DUMMYFUNCTION("IMPORTRANGE(""https://docs.google.com/spreadsheets/d/17P34_Ow5kFBfdQD0qspb2UuPX5zpi6WMrQzslghyvrI/edit?usp=sharing"",""สกลนคร!Q498"")"),0)</f>
        <v>0</v>
      </c>
      <c r="S45" s="68">
        <f ca="1">IFERROR(__xludf.DUMMYFUNCTION("IMPORTRANGE(""https://docs.google.com/spreadsheets/d/17P34_Ow5kFBfdQD0qspb2UuPX5zpi6WMrQzslghyvrI/edit?usp=sharing"",""สกลนคร!R498"")"),0)</f>
        <v>0</v>
      </c>
      <c r="T45" s="68">
        <f ca="1">IFERROR(__xludf.DUMMYFUNCTION("IMPORTRANGE(""https://docs.google.com/spreadsheets/d/17P34_Ow5kFBfdQD0qspb2UuPX5zpi6WMrQzslghyvrI/edit?usp=sharing"",""สกลนคร!S498"")"),0)</f>
        <v>0</v>
      </c>
      <c r="U45" s="68">
        <f t="shared" ca="1" si="30"/>
        <v>0</v>
      </c>
      <c r="V45" s="68">
        <f t="shared" ca="1" si="31"/>
        <v>0</v>
      </c>
      <c r="W45" s="278">
        <f ca="1">IFERROR(__xludf.DUMMYFUNCTION("IMPORTRANGE(""https://docs.google.com/spreadsheets/d/17P34_Ow5kFBfdQD0qspb2UuPX5zpi6WMrQzslghyvrI/edit?usp=sharing"",""สกลนคร!I503"")"),0)</f>
        <v>0</v>
      </c>
      <c r="X45" s="152">
        <f ca="1">IFERROR(__xludf.DUMMYFUNCTION("IMPORTRANGE(""https://docs.google.com/spreadsheets/d/17P34_Ow5kFBfdQD0qspb2UuPX5zpi6WMrQzslghyvrI/edit?usp=sharing"",""สกลนคร!J503"")"),0)</f>
        <v>0</v>
      </c>
      <c r="Y45" s="216">
        <f t="shared" ca="1" si="33"/>
        <v>0</v>
      </c>
      <c r="Z45" s="152">
        <f ca="1">IFERROR(__xludf.DUMMYFUNCTION("IMPORTRANGE(""https://docs.google.com/spreadsheets/d/17P34_Ow5kFBfdQD0qspb2UuPX5zpi6WMrQzslghyvrI/edit?usp=sharing"",""สกลนคร!J504"")"),0)</f>
        <v>0</v>
      </c>
      <c r="AA45" s="152">
        <f ca="1">IFERROR(__xludf.DUMMYFUNCTION("IMPORTRANGE(""https://docs.google.com/spreadsheets/d/17P34_Ow5kFBfdQD0qspb2UuPX5zpi6WMrQzslghyvrI/edit?usp=sharing"",""สกลนคร!J505"")"),0)</f>
        <v>0</v>
      </c>
      <c r="AB45" s="152">
        <f ca="1">IFERROR(__xludf.DUMMYFUNCTION("IMPORTRANGE(""https://docs.google.com/spreadsheets/d/17P34_Ow5kFBfdQD0qspb2UuPX5zpi6WMrQzslghyvrI/edit?usp=sharing"",""สกลนคร!J506"")"),0)</f>
        <v>0</v>
      </c>
      <c r="AC45" s="152">
        <f ca="1">IFERROR(__xludf.DUMMYFUNCTION("IMPORTRANGE(""https://docs.google.com/spreadsheets/d/17P34_Ow5kFBfdQD0qspb2UuPX5zpi6WMrQzslghyvrI/edit?usp=sharing"",""สกลนคร!J507"")"),0)</f>
        <v>0</v>
      </c>
      <c r="AD45" s="152">
        <f ca="1">IFERROR(__xludf.DUMMYFUNCTION("IMPORTRANGE(""https://docs.google.com/spreadsheets/d/17P34_Ow5kFBfdQD0qspb2UuPX5zpi6WMrQzslghyvrI/edit?usp=sharing"",""สกลนคร!J508"")"),0)</f>
        <v>0</v>
      </c>
      <c r="AE45" s="152">
        <f ca="1">IFERROR(__xludf.DUMMYFUNCTION("IMPORTRANGE(""https://docs.google.com/spreadsheets/d/17P34_Ow5kFBfdQD0qspb2UuPX5zpi6WMrQzslghyvrI/edit?usp=sharing"",""สกลนคร!J509"")"),0)</f>
        <v>0</v>
      </c>
    </row>
    <row r="46" spans="1:31" ht="21" customHeight="1" x14ac:dyDescent="0.3">
      <c r="A46" s="70">
        <v>15</v>
      </c>
      <c r="B46" s="71" t="s">
        <v>74</v>
      </c>
      <c r="C46" s="149">
        <f t="shared" ca="1" si="21"/>
        <v>0</v>
      </c>
      <c r="D46" s="150">
        <f t="shared" ca="1" si="40"/>
        <v>0</v>
      </c>
      <c r="E46" s="151">
        <f ca="1">IFERROR(__xludf.DUMMYFUNCTION("IMPORTRANGE(""https://docs.google.com/spreadsheets/d/1-uDff_7J0KD5mKrp0Vvzr7lt3OU09vwQwhkpOPPYv2Y/edit?usp=sharing"",""งบพรบ!HV46"")"),0)</f>
        <v>0</v>
      </c>
      <c r="F46" s="151">
        <f ca="1">IFERROR(__xludf.DUMMYFUNCTION("IMPORTRANGE(""https://docs.google.com/spreadsheets/d/1-uDff_7J0KD5mKrp0Vvzr7lt3OU09vwQwhkpOPPYv2Y/edit?usp=sharing"",""งบพรบ!HW46"")"),0)</f>
        <v>0</v>
      </c>
      <c r="G46" s="151">
        <f ca="1">IFERROR(__xludf.DUMMYFUNCTION("IMPORTRANGE(""https://docs.google.com/spreadsheets/d/1-uDff_7J0KD5mKrp0Vvzr7lt3OU09vwQwhkpOPPYv2Y/edit?usp=sharing"",""งบพรบ!HX46"")"),0)</f>
        <v>0</v>
      </c>
      <c r="H46" s="151">
        <f ca="1">IFERROR(__xludf.DUMMYFUNCTION("IMPORTRANGE(""https://docs.google.com/spreadsheets/d/1-uDff_7J0KD5mKrp0Vvzr7lt3OU09vwQwhkpOPPYv2Y/edit?usp=sharing"",""งบพรบ!HZ46"")"),0)</f>
        <v>0</v>
      </c>
      <c r="I46" s="151">
        <f ca="1">IFERROR(__xludf.DUMMYFUNCTION("IMPORTRANGE(""https://docs.google.com/spreadsheets/d/1-uDff_7J0KD5mKrp0Vvzr7lt3OU09vwQwhkpOPPYv2Y/edit?usp=sharing"",""งบพรบ!IA46"")"),0)</f>
        <v>0</v>
      </c>
      <c r="J46" s="151">
        <f t="shared" ca="1" si="23"/>
        <v>0</v>
      </c>
      <c r="K46" s="154">
        <f t="shared" ca="1" si="24"/>
        <v>0</v>
      </c>
      <c r="L46" s="151">
        <f ca="1">IFERROR(__xludf.DUMMYFUNCTION("IMPORTRANGE(""https://docs.google.com/spreadsheets/d/1-uDff_7J0KD5mKrp0Vvzr7lt3OU09vwQwhkpOPPYv2Y/edit?usp=sharing"",""งบพรบ!IB46"")"),0)</f>
        <v>0</v>
      </c>
      <c r="M46" s="68">
        <f t="shared" ca="1" si="25"/>
        <v>0</v>
      </c>
      <c r="N46" s="68">
        <f t="shared" ca="1" si="26"/>
        <v>0</v>
      </c>
      <c r="O46" s="151">
        <f ca="1">IFERROR(__xludf.DUMMYFUNCTION("IMPORTRANGE(""https://docs.google.com/spreadsheets/d/1-uDff_7J0KD5mKrp0Vvzr7lt3OU09vwQwhkpOPPYv2Y/edit?usp=sharing"",""งบพรบ!IC46"")"),0)</f>
        <v>0</v>
      </c>
      <c r="P46" s="67">
        <f t="shared" ca="1" si="27"/>
        <v>0</v>
      </c>
      <c r="Q46" s="68">
        <f t="shared" ca="1" si="28"/>
        <v>0</v>
      </c>
      <c r="R46" s="68">
        <f ca="1">IFERROR(__xludf.DUMMYFUNCTION("IMPORTRANGE(""https://docs.google.com/spreadsheets/d/1yswqbM3-AEpThF3ZSUa1AcmHnmRTF1vlJ1CZGcJ8YuU/edit?usp=sharing"",""สุรินทร์!Q498"")"),0)</f>
        <v>0</v>
      </c>
      <c r="S46" s="68">
        <f ca="1">IFERROR(__xludf.DUMMYFUNCTION("IMPORTRANGE(""https://docs.google.com/spreadsheets/d/1yswqbM3-AEpThF3ZSUa1AcmHnmRTF1vlJ1CZGcJ8YuU/edit?usp=sharing"",""สุรินทร์!R498"")"),0)</f>
        <v>0</v>
      </c>
      <c r="T46" s="68">
        <f ca="1">IFERROR(__xludf.DUMMYFUNCTION("IMPORTRANGE(""https://docs.google.com/spreadsheets/d/1yswqbM3-AEpThF3ZSUa1AcmHnmRTF1vlJ1CZGcJ8YuU/edit?usp=sharing"",""สุรินทร์!S498"")"),0)</f>
        <v>0</v>
      </c>
      <c r="U46" s="68">
        <f t="shared" ca="1" si="30"/>
        <v>0</v>
      </c>
      <c r="V46" s="68">
        <f t="shared" ca="1" si="31"/>
        <v>0</v>
      </c>
      <c r="W46" s="278">
        <f ca="1">IFERROR(__xludf.DUMMYFUNCTION("IMPORTRANGE(""https://docs.google.com/spreadsheets/d/1yswqbM3-AEpThF3ZSUa1AcmHnmRTF1vlJ1CZGcJ8YuU/edit?usp=sharing"",""สุรินทร์!I503"")"),0)</f>
        <v>0</v>
      </c>
      <c r="X46" s="152">
        <f ca="1">IFERROR(__xludf.DUMMYFUNCTION("IMPORTRANGE(""https://docs.google.com/spreadsheets/d/1yswqbM3-AEpThF3ZSUa1AcmHnmRTF1vlJ1CZGcJ8YuU/edit?usp=sharing"",""สุรินทร์!J503"")"),0)</f>
        <v>0</v>
      </c>
      <c r="Y46" s="216">
        <f t="shared" ca="1" si="33"/>
        <v>0</v>
      </c>
      <c r="Z46" s="152">
        <f ca="1">IFERROR(__xludf.DUMMYFUNCTION("IMPORTRANGE(""https://docs.google.com/spreadsheets/d/1yswqbM3-AEpThF3ZSUa1AcmHnmRTF1vlJ1CZGcJ8YuU/edit?usp=sharing"",""สุรินทร์!J504"")"),0)</f>
        <v>0</v>
      </c>
      <c r="AA46" s="152">
        <f ca="1">IFERROR(__xludf.DUMMYFUNCTION("IMPORTRANGE(""https://docs.google.com/spreadsheets/d/1yswqbM3-AEpThF3ZSUa1AcmHnmRTF1vlJ1CZGcJ8YuU/edit?usp=sharing"",""สุรินทร์!J505"")"),0)</f>
        <v>0</v>
      </c>
      <c r="AB46" s="152">
        <f ca="1">IFERROR(__xludf.DUMMYFUNCTION("IMPORTRANGE(""https://docs.google.com/spreadsheets/d/1yswqbM3-AEpThF3ZSUa1AcmHnmRTF1vlJ1CZGcJ8YuU/edit?usp=sharing"",""สุรินทร์!J506"")"),0)</f>
        <v>0</v>
      </c>
      <c r="AC46" s="152">
        <f ca="1">IFERROR(__xludf.DUMMYFUNCTION("IMPORTRANGE(""https://docs.google.com/spreadsheets/d/1yswqbM3-AEpThF3ZSUa1AcmHnmRTF1vlJ1CZGcJ8YuU/edit?usp=sharing"",""สุรินทร์!J507"")"),0)</f>
        <v>0</v>
      </c>
      <c r="AD46" s="152">
        <f ca="1">IFERROR(__xludf.DUMMYFUNCTION("IMPORTRANGE(""https://docs.google.com/spreadsheets/d/1yswqbM3-AEpThF3ZSUa1AcmHnmRTF1vlJ1CZGcJ8YuU/edit?usp=sharing"",""สุรินทร์!J508"")"),0)</f>
        <v>0</v>
      </c>
      <c r="AE46" s="152">
        <f ca="1">IFERROR(__xludf.DUMMYFUNCTION("IMPORTRANGE(""https://docs.google.com/spreadsheets/d/1yswqbM3-AEpThF3ZSUa1AcmHnmRTF1vlJ1CZGcJ8YuU/edit?usp=sharing"",""สุรินทร์!J509"")"),0)</f>
        <v>0</v>
      </c>
    </row>
    <row r="47" spans="1:31" ht="21" customHeight="1" x14ac:dyDescent="0.3">
      <c r="A47" s="70">
        <v>16</v>
      </c>
      <c r="B47" s="71" t="s">
        <v>75</v>
      </c>
      <c r="C47" s="149">
        <f t="shared" ca="1" si="21"/>
        <v>0</v>
      </c>
      <c r="D47" s="150">
        <f t="shared" ca="1" si="40"/>
        <v>0</v>
      </c>
      <c r="E47" s="151">
        <f ca="1">IFERROR(__xludf.DUMMYFUNCTION("IMPORTRANGE(""https://docs.google.com/spreadsheets/d/1-uDff_7J0KD5mKrp0Vvzr7lt3OU09vwQwhkpOPPYv2Y/edit?usp=sharing"",""งบพรบ!HV47"")"),0)</f>
        <v>0</v>
      </c>
      <c r="F47" s="151">
        <f ca="1">IFERROR(__xludf.DUMMYFUNCTION("IMPORTRANGE(""https://docs.google.com/spreadsheets/d/1-uDff_7J0KD5mKrp0Vvzr7lt3OU09vwQwhkpOPPYv2Y/edit?usp=sharing"",""งบพรบ!HW47"")"),0)</f>
        <v>0</v>
      </c>
      <c r="G47" s="151">
        <f ca="1">IFERROR(__xludf.DUMMYFUNCTION("IMPORTRANGE(""https://docs.google.com/spreadsheets/d/1-uDff_7J0KD5mKrp0Vvzr7lt3OU09vwQwhkpOPPYv2Y/edit?usp=sharing"",""งบพรบ!HX47"")"),0)</f>
        <v>0</v>
      </c>
      <c r="H47" s="151">
        <f ca="1">IFERROR(__xludf.DUMMYFUNCTION("IMPORTRANGE(""https://docs.google.com/spreadsheets/d/1-uDff_7J0KD5mKrp0Vvzr7lt3OU09vwQwhkpOPPYv2Y/edit?usp=sharing"",""งบพรบ!HZ47"")"),0)</f>
        <v>0</v>
      </c>
      <c r="I47" s="151">
        <f ca="1">IFERROR(__xludf.DUMMYFUNCTION("IMPORTRANGE(""https://docs.google.com/spreadsheets/d/1-uDff_7J0KD5mKrp0Vvzr7lt3OU09vwQwhkpOPPYv2Y/edit?usp=sharing"",""งบพรบ!IA47"")"),0)</f>
        <v>0</v>
      </c>
      <c r="J47" s="151">
        <f t="shared" ca="1" si="23"/>
        <v>0</v>
      </c>
      <c r="K47" s="154">
        <f t="shared" ca="1" si="24"/>
        <v>0</v>
      </c>
      <c r="L47" s="151">
        <f ca="1">IFERROR(__xludf.DUMMYFUNCTION("IMPORTRANGE(""https://docs.google.com/spreadsheets/d/1-uDff_7J0KD5mKrp0Vvzr7lt3OU09vwQwhkpOPPYv2Y/edit?usp=sharing"",""งบพรบ!IB47"")"),0)</f>
        <v>0</v>
      </c>
      <c r="M47" s="68">
        <f t="shared" ca="1" si="25"/>
        <v>0</v>
      </c>
      <c r="N47" s="68">
        <f t="shared" ca="1" si="26"/>
        <v>0</v>
      </c>
      <c r="O47" s="151">
        <f ca="1">IFERROR(__xludf.DUMMYFUNCTION("IMPORTRANGE(""https://docs.google.com/spreadsheets/d/1-uDff_7J0KD5mKrp0Vvzr7lt3OU09vwQwhkpOPPYv2Y/edit?usp=sharing"",""งบพรบ!IC47"")"),0)</f>
        <v>0</v>
      </c>
      <c r="P47" s="67">
        <f t="shared" ca="1" si="27"/>
        <v>0</v>
      </c>
      <c r="Q47" s="68">
        <f t="shared" ca="1" si="28"/>
        <v>0</v>
      </c>
      <c r="R47" s="68">
        <f ca="1">IFERROR(__xludf.DUMMYFUNCTION("IMPORTRANGE(""https://docs.google.com/spreadsheets/d/13JHU_EFbsQOUQ0JSQ3dWy1VTRosIWcDq6Nc99z2qzdc/edit?usp=sharing"",""หนองคาย!Q498"")"),0)</f>
        <v>0</v>
      </c>
      <c r="S47" s="68">
        <f ca="1">IFERROR(__xludf.DUMMYFUNCTION("IMPORTRANGE(""https://docs.google.com/spreadsheets/d/13JHU_EFbsQOUQ0JSQ3dWy1VTRosIWcDq6Nc99z2qzdc/edit?usp=sharing"",""หนองคาย!R498"")"),0)</f>
        <v>0</v>
      </c>
      <c r="T47" s="68">
        <f ca="1">IFERROR(__xludf.DUMMYFUNCTION("IMPORTRANGE(""https://docs.google.com/spreadsheets/d/13JHU_EFbsQOUQ0JSQ3dWy1VTRosIWcDq6Nc99z2qzdc/edit?usp=sharing"",""หนองคาย!S498"")"),0)</f>
        <v>0</v>
      </c>
      <c r="U47" s="68">
        <f t="shared" ca="1" si="30"/>
        <v>0</v>
      </c>
      <c r="V47" s="68">
        <f t="shared" ca="1" si="31"/>
        <v>0</v>
      </c>
      <c r="W47" s="278">
        <f ca="1">IFERROR(__xludf.DUMMYFUNCTION("IMPORTRANGE(""https://docs.google.com/spreadsheets/d/13JHU_EFbsQOUQ0JSQ3dWy1VTRosIWcDq6Nc99z2qzdc/edit?usp=sharing"",""หนองคาย!I503"")"),0)</f>
        <v>0</v>
      </c>
      <c r="X47" s="152">
        <f ca="1">IFERROR(__xludf.DUMMYFUNCTION("IMPORTRANGE(""https://docs.google.com/spreadsheets/d/13JHU_EFbsQOUQ0JSQ3dWy1VTRosIWcDq6Nc99z2qzdc/edit?usp=sharing"",""หนองคาย!J503"")"),0)</f>
        <v>0</v>
      </c>
      <c r="Y47" s="216">
        <f t="shared" ca="1" si="33"/>
        <v>0</v>
      </c>
      <c r="Z47" s="152">
        <f ca="1">IFERROR(__xludf.DUMMYFUNCTION("IMPORTRANGE(""https://docs.google.com/spreadsheets/d/13JHU_EFbsQOUQ0JSQ3dWy1VTRosIWcDq6Nc99z2qzdc/edit?usp=sharing"",""หนองคาย!J504"")"),0)</f>
        <v>0</v>
      </c>
      <c r="AA47" s="152">
        <f ca="1">IFERROR(__xludf.DUMMYFUNCTION("IMPORTRANGE(""https://docs.google.com/spreadsheets/d/13JHU_EFbsQOUQ0JSQ3dWy1VTRosIWcDq6Nc99z2qzdc/edit?usp=sharing"",""หนองคาย!J505"")"),0)</f>
        <v>0</v>
      </c>
      <c r="AB47" s="152">
        <f ca="1">IFERROR(__xludf.DUMMYFUNCTION("IMPORTRANGE(""https://docs.google.com/spreadsheets/d/13JHU_EFbsQOUQ0JSQ3dWy1VTRosIWcDq6Nc99z2qzdc/edit?usp=sharing"",""หนองคาย!J506"")"),0)</f>
        <v>0</v>
      </c>
      <c r="AC47" s="152">
        <f ca="1">IFERROR(__xludf.DUMMYFUNCTION("IMPORTRANGE(""https://docs.google.com/spreadsheets/d/13JHU_EFbsQOUQ0JSQ3dWy1VTRosIWcDq6Nc99z2qzdc/edit?usp=sharing"",""หนองคาย!J507"")"),0)</f>
        <v>0</v>
      </c>
      <c r="AD47" s="152">
        <f ca="1">IFERROR(__xludf.DUMMYFUNCTION("IMPORTRANGE(""https://docs.google.com/spreadsheets/d/13JHU_EFbsQOUQ0JSQ3dWy1VTRosIWcDq6Nc99z2qzdc/edit?usp=sharing"",""หนองคาย!J508"")"),0)</f>
        <v>0</v>
      </c>
      <c r="AE47" s="152">
        <f ca="1">IFERROR(__xludf.DUMMYFUNCTION("IMPORTRANGE(""https://docs.google.com/spreadsheets/d/13JHU_EFbsQOUQ0JSQ3dWy1VTRosIWcDq6Nc99z2qzdc/edit?usp=sharing"",""หนองคาย!J509"")"),0)</f>
        <v>0</v>
      </c>
    </row>
    <row r="48" spans="1:31" ht="21" customHeight="1" x14ac:dyDescent="0.3">
      <c r="A48" s="70">
        <v>17</v>
      </c>
      <c r="B48" s="71" t="s">
        <v>76</v>
      </c>
      <c r="C48" s="149">
        <f t="shared" ca="1" si="21"/>
        <v>0</v>
      </c>
      <c r="D48" s="150">
        <f t="shared" ca="1" si="40"/>
        <v>0</v>
      </c>
      <c r="E48" s="151">
        <f ca="1">IFERROR(__xludf.DUMMYFUNCTION("IMPORTRANGE(""https://docs.google.com/spreadsheets/d/1-uDff_7J0KD5mKrp0Vvzr7lt3OU09vwQwhkpOPPYv2Y/edit?usp=sharing"",""งบพรบ!HV48"")"),0)</f>
        <v>0</v>
      </c>
      <c r="F48" s="151">
        <f ca="1">IFERROR(__xludf.DUMMYFUNCTION("IMPORTRANGE(""https://docs.google.com/spreadsheets/d/1-uDff_7J0KD5mKrp0Vvzr7lt3OU09vwQwhkpOPPYv2Y/edit?usp=sharing"",""งบพรบ!HW48"")"),0)</f>
        <v>0</v>
      </c>
      <c r="G48" s="151">
        <f ca="1">IFERROR(__xludf.DUMMYFUNCTION("IMPORTRANGE(""https://docs.google.com/spreadsheets/d/1-uDff_7J0KD5mKrp0Vvzr7lt3OU09vwQwhkpOPPYv2Y/edit?usp=sharing"",""งบพรบ!HX48"")"),0)</f>
        <v>0</v>
      </c>
      <c r="H48" s="151">
        <f ca="1">IFERROR(__xludf.DUMMYFUNCTION("IMPORTRANGE(""https://docs.google.com/spreadsheets/d/1-uDff_7J0KD5mKrp0Vvzr7lt3OU09vwQwhkpOPPYv2Y/edit?usp=sharing"",""งบพรบ!HZ48"")"),0)</f>
        <v>0</v>
      </c>
      <c r="I48" s="151">
        <f ca="1">IFERROR(__xludf.DUMMYFUNCTION("IMPORTRANGE(""https://docs.google.com/spreadsheets/d/1-uDff_7J0KD5mKrp0Vvzr7lt3OU09vwQwhkpOPPYv2Y/edit?usp=sharing"",""งบพรบ!IA48"")"),0)</f>
        <v>0</v>
      </c>
      <c r="J48" s="151">
        <f t="shared" ca="1" si="23"/>
        <v>0</v>
      </c>
      <c r="K48" s="154">
        <f t="shared" ca="1" si="24"/>
        <v>0</v>
      </c>
      <c r="L48" s="151">
        <f ca="1">IFERROR(__xludf.DUMMYFUNCTION("IMPORTRANGE(""https://docs.google.com/spreadsheets/d/1-uDff_7J0KD5mKrp0Vvzr7lt3OU09vwQwhkpOPPYv2Y/edit?usp=sharing"",""งบพรบ!IB48"")"),0)</f>
        <v>0</v>
      </c>
      <c r="M48" s="68">
        <f t="shared" ca="1" si="25"/>
        <v>0</v>
      </c>
      <c r="N48" s="68">
        <f t="shared" ca="1" si="26"/>
        <v>0</v>
      </c>
      <c r="O48" s="151">
        <f ca="1">IFERROR(__xludf.DUMMYFUNCTION("IMPORTRANGE(""https://docs.google.com/spreadsheets/d/1-uDff_7J0KD5mKrp0Vvzr7lt3OU09vwQwhkpOPPYv2Y/edit?usp=sharing"",""งบพรบ!IC48"")"),0)</f>
        <v>0</v>
      </c>
      <c r="P48" s="67">
        <f t="shared" ca="1" si="27"/>
        <v>0</v>
      </c>
      <c r="Q48" s="68">
        <f t="shared" ca="1" si="28"/>
        <v>0</v>
      </c>
      <c r="R48" s="68">
        <f ca="1">IFERROR(__xludf.DUMMYFUNCTION("IMPORTRANGE(""https://docs.google.com/spreadsheets/d/1Hx73zIEgVdDZZaYSTc46Dqv64atFhpr3GelxLbaIN8A/edit?usp=sharing"",""หนองบัวลำภู!Q498"")"),0)</f>
        <v>0</v>
      </c>
      <c r="S48" s="68">
        <f ca="1">IFERROR(__xludf.DUMMYFUNCTION("IMPORTRANGE(""https://docs.google.com/spreadsheets/d/1Hx73zIEgVdDZZaYSTc46Dqv64atFhpr3GelxLbaIN8A/edit?usp=sharing"",""หนองบัวลำภู!R498"")"),0)</f>
        <v>0</v>
      </c>
      <c r="T48" s="68">
        <f ca="1">IFERROR(__xludf.DUMMYFUNCTION("IMPORTRANGE(""https://docs.google.com/spreadsheets/d/1Hx73zIEgVdDZZaYSTc46Dqv64atFhpr3GelxLbaIN8A/edit?usp=sharing"",""หนองบัวลำภู!S498"")"),0)</f>
        <v>0</v>
      </c>
      <c r="U48" s="68">
        <f t="shared" ca="1" si="30"/>
        <v>0</v>
      </c>
      <c r="V48" s="68">
        <f t="shared" ca="1" si="31"/>
        <v>0</v>
      </c>
      <c r="W48" s="278">
        <f ca="1">IFERROR(__xludf.DUMMYFUNCTION("IMPORTRANGE(""https://docs.google.com/spreadsheets/d/1Hx73zIEgVdDZZaYSTc46Dqv64atFhpr3GelxLbaIN8A/edit?usp=sharing"",""หนองบัวลำภู!I503"")"),0)</f>
        <v>0</v>
      </c>
      <c r="X48" s="152">
        <f ca="1">IFERROR(__xludf.DUMMYFUNCTION("IMPORTRANGE(""https://docs.google.com/spreadsheets/d/1Hx73zIEgVdDZZaYSTc46Dqv64atFhpr3GelxLbaIN8A/edit?usp=sharing"",""หนองบัวลำภู!J503"")"),0)</f>
        <v>0</v>
      </c>
      <c r="Y48" s="216">
        <f t="shared" ca="1" si="33"/>
        <v>0</v>
      </c>
      <c r="Z48" s="152">
        <f ca="1">IFERROR(__xludf.DUMMYFUNCTION("IMPORTRANGE(""https://docs.google.com/spreadsheets/d/1Hx73zIEgVdDZZaYSTc46Dqv64atFhpr3GelxLbaIN8A/edit?usp=sharing"",""หนองบัวลำภู!J504"")"),0)</f>
        <v>0</v>
      </c>
      <c r="AA48" s="152">
        <f ca="1">IFERROR(__xludf.DUMMYFUNCTION("IMPORTRANGE(""https://docs.google.com/spreadsheets/d/1Hx73zIEgVdDZZaYSTc46Dqv64atFhpr3GelxLbaIN8A/edit?usp=sharing"",""หนองบัวลำภู!J505"")"),0)</f>
        <v>0</v>
      </c>
      <c r="AB48" s="152">
        <f ca="1">IFERROR(__xludf.DUMMYFUNCTION("IMPORTRANGE(""https://docs.google.com/spreadsheets/d/1Hx73zIEgVdDZZaYSTc46Dqv64atFhpr3GelxLbaIN8A/edit?usp=sharing"",""หนองบัวลำภู!J506"")"),0)</f>
        <v>0</v>
      </c>
      <c r="AC48" s="152">
        <f ca="1">IFERROR(__xludf.DUMMYFUNCTION("IMPORTRANGE(""https://docs.google.com/spreadsheets/d/1Hx73zIEgVdDZZaYSTc46Dqv64atFhpr3GelxLbaIN8A/edit?usp=sharing"",""หนองบัวลำภู!J507"")"),0)</f>
        <v>0</v>
      </c>
      <c r="AD48" s="152">
        <f ca="1">IFERROR(__xludf.DUMMYFUNCTION("IMPORTRANGE(""https://docs.google.com/spreadsheets/d/1Hx73zIEgVdDZZaYSTc46Dqv64atFhpr3GelxLbaIN8A/edit?usp=sharing"",""หนองบัวลำภู!J508"")"),0)</f>
        <v>0</v>
      </c>
      <c r="AE48" s="152">
        <f ca="1">IFERROR(__xludf.DUMMYFUNCTION("IMPORTRANGE(""https://docs.google.com/spreadsheets/d/1Hx73zIEgVdDZZaYSTc46Dqv64atFhpr3GelxLbaIN8A/edit?usp=sharing"",""หนองบัวลำภู!J509"")"),0)</f>
        <v>0</v>
      </c>
    </row>
    <row r="49" spans="1:31" ht="21" customHeight="1" x14ac:dyDescent="0.3">
      <c r="A49" s="70">
        <v>18</v>
      </c>
      <c r="B49" s="71" t="s">
        <v>77</v>
      </c>
      <c r="C49" s="149">
        <f t="shared" ca="1" si="21"/>
        <v>0</v>
      </c>
      <c r="D49" s="150">
        <f t="shared" ca="1" si="40"/>
        <v>0</v>
      </c>
      <c r="E49" s="151">
        <f ca="1">IFERROR(__xludf.DUMMYFUNCTION("IMPORTRANGE(""https://docs.google.com/spreadsheets/d/1-uDff_7J0KD5mKrp0Vvzr7lt3OU09vwQwhkpOPPYv2Y/edit?usp=sharing"",""งบพรบ!HV49"")"),0)</f>
        <v>0</v>
      </c>
      <c r="F49" s="151">
        <f ca="1">IFERROR(__xludf.DUMMYFUNCTION("IMPORTRANGE(""https://docs.google.com/spreadsheets/d/1-uDff_7J0KD5mKrp0Vvzr7lt3OU09vwQwhkpOPPYv2Y/edit?usp=sharing"",""งบพรบ!HW49"")"),0)</f>
        <v>0</v>
      </c>
      <c r="G49" s="151">
        <f ca="1">IFERROR(__xludf.DUMMYFUNCTION("IMPORTRANGE(""https://docs.google.com/spreadsheets/d/1-uDff_7J0KD5mKrp0Vvzr7lt3OU09vwQwhkpOPPYv2Y/edit?usp=sharing"",""งบพรบ!HX49"")"),0)</f>
        <v>0</v>
      </c>
      <c r="H49" s="151">
        <f ca="1">IFERROR(__xludf.DUMMYFUNCTION("IMPORTRANGE(""https://docs.google.com/spreadsheets/d/1-uDff_7J0KD5mKrp0Vvzr7lt3OU09vwQwhkpOPPYv2Y/edit?usp=sharing"",""งบพรบ!HZ49"")"),0)</f>
        <v>0</v>
      </c>
      <c r="I49" s="151">
        <f ca="1">IFERROR(__xludf.DUMMYFUNCTION("IMPORTRANGE(""https://docs.google.com/spreadsheets/d/1-uDff_7J0KD5mKrp0Vvzr7lt3OU09vwQwhkpOPPYv2Y/edit?usp=sharing"",""งบพรบ!IA49"")"),0)</f>
        <v>0</v>
      </c>
      <c r="J49" s="151">
        <f t="shared" ca="1" si="23"/>
        <v>0</v>
      </c>
      <c r="K49" s="154">
        <f t="shared" ca="1" si="24"/>
        <v>0</v>
      </c>
      <c r="L49" s="151">
        <f ca="1">IFERROR(__xludf.DUMMYFUNCTION("IMPORTRANGE(""https://docs.google.com/spreadsheets/d/1-uDff_7J0KD5mKrp0Vvzr7lt3OU09vwQwhkpOPPYv2Y/edit?usp=sharing"",""งบพรบ!IB49"")"),0)</f>
        <v>0</v>
      </c>
      <c r="M49" s="68">
        <f t="shared" ca="1" si="25"/>
        <v>0</v>
      </c>
      <c r="N49" s="68">
        <f t="shared" ca="1" si="26"/>
        <v>0</v>
      </c>
      <c r="O49" s="151">
        <f ca="1">IFERROR(__xludf.DUMMYFUNCTION("IMPORTRANGE(""https://docs.google.com/spreadsheets/d/1-uDff_7J0KD5mKrp0Vvzr7lt3OU09vwQwhkpOPPYv2Y/edit?usp=sharing"",""งบพรบ!IC49"")"),0)</f>
        <v>0</v>
      </c>
      <c r="P49" s="67">
        <f t="shared" ca="1" si="27"/>
        <v>0</v>
      </c>
      <c r="Q49" s="68">
        <f t="shared" ca="1" si="28"/>
        <v>0</v>
      </c>
      <c r="R49" s="68">
        <f ca="1">IFERROR(__xludf.DUMMYFUNCTION("IMPORTRANGE(""https://docs.google.com/spreadsheets/d/1lFxr3ctmjFN90yc-xV6jrQ9Ty8BKYVBWnAZ15wcNIJc/edit?usp=sharing"",""อำนาจเจริญ!Q498"")"),0)</f>
        <v>0</v>
      </c>
      <c r="S49" s="68">
        <f ca="1">IFERROR(__xludf.DUMMYFUNCTION("IMPORTRANGE(""https://docs.google.com/spreadsheets/d/1lFxr3ctmjFN90yc-xV6jrQ9Ty8BKYVBWnAZ15wcNIJc/edit?usp=sharing"",""อำนาจเจริญ!R498"")"),0)</f>
        <v>0</v>
      </c>
      <c r="T49" s="68">
        <f ca="1">IFERROR(__xludf.DUMMYFUNCTION("IMPORTRANGE(""https://docs.google.com/spreadsheets/d/1lFxr3ctmjFN90yc-xV6jrQ9Ty8BKYVBWnAZ15wcNIJc/edit?usp=sharing"",""อำนาจเจริญ!S498"")"),0)</f>
        <v>0</v>
      </c>
      <c r="U49" s="68">
        <f t="shared" ca="1" si="30"/>
        <v>0</v>
      </c>
      <c r="V49" s="68">
        <f t="shared" ca="1" si="31"/>
        <v>0</v>
      </c>
      <c r="W49" s="278">
        <f ca="1">IFERROR(__xludf.DUMMYFUNCTION("IMPORTRANGE(""https://docs.google.com/spreadsheets/d/1lFxr3ctmjFN90yc-xV6jrQ9Ty8BKYVBWnAZ15wcNIJc/edit?usp=sharing"",""อำนาจเจริญ!I503"")"),0)</f>
        <v>0</v>
      </c>
      <c r="X49" s="152">
        <f ca="1">IFERROR(__xludf.DUMMYFUNCTION("IMPORTRANGE(""https://docs.google.com/spreadsheets/d/1lFxr3ctmjFN90yc-xV6jrQ9Ty8BKYVBWnAZ15wcNIJc/edit?usp=sharing"",""อำนาจเจริญ!J503"")"),0)</f>
        <v>0</v>
      </c>
      <c r="Y49" s="216">
        <f t="shared" ca="1" si="33"/>
        <v>0</v>
      </c>
      <c r="Z49" s="152">
        <f ca="1">IFERROR(__xludf.DUMMYFUNCTION("IMPORTRANGE(""https://docs.google.com/spreadsheets/d/1lFxr3ctmjFN90yc-xV6jrQ9Ty8BKYVBWnAZ15wcNIJc/edit?usp=sharing"",""อำนาจเจริญ!J504"")"),0)</f>
        <v>0</v>
      </c>
      <c r="AA49" s="152">
        <f ca="1">IFERROR(__xludf.DUMMYFUNCTION("IMPORTRANGE(""https://docs.google.com/spreadsheets/d/1lFxr3ctmjFN90yc-xV6jrQ9Ty8BKYVBWnAZ15wcNIJc/edit?usp=sharing"",""อำนาจเจริญ!J505"")"),0)</f>
        <v>0</v>
      </c>
      <c r="AB49" s="152">
        <f ca="1">IFERROR(__xludf.DUMMYFUNCTION("IMPORTRANGE(""https://docs.google.com/spreadsheets/d/1lFxr3ctmjFN90yc-xV6jrQ9Ty8BKYVBWnAZ15wcNIJc/edit?usp=sharing"",""อำนาจเจริญ!J506"")"),0)</f>
        <v>0</v>
      </c>
      <c r="AC49" s="152">
        <f ca="1">IFERROR(__xludf.DUMMYFUNCTION("IMPORTRANGE(""https://docs.google.com/spreadsheets/d/1lFxr3ctmjFN90yc-xV6jrQ9Ty8BKYVBWnAZ15wcNIJc/edit?usp=sharing"",""อำนาจเจริญ!J507"")"),0)</f>
        <v>0</v>
      </c>
      <c r="AD49" s="152">
        <f ca="1">IFERROR(__xludf.DUMMYFUNCTION("IMPORTRANGE(""https://docs.google.com/spreadsheets/d/1lFxr3ctmjFN90yc-xV6jrQ9Ty8BKYVBWnAZ15wcNIJc/edit?usp=sharing"",""อำนาจเจริญ!J508"")"),0)</f>
        <v>0</v>
      </c>
      <c r="AE49" s="152">
        <f ca="1">IFERROR(__xludf.DUMMYFUNCTION("IMPORTRANGE(""https://docs.google.com/spreadsheets/d/1lFxr3ctmjFN90yc-xV6jrQ9Ty8BKYVBWnAZ15wcNIJc/edit?usp=sharing"",""อำนาจเจริญ!J509"")"),0)</f>
        <v>0</v>
      </c>
    </row>
    <row r="50" spans="1:31" ht="21" customHeight="1" x14ac:dyDescent="0.3">
      <c r="A50" s="70">
        <v>19</v>
      </c>
      <c r="B50" s="71" t="s">
        <v>78</v>
      </c>
      <c r="C50" s="149">
        <f t="shared" ca="1" si="21"/>
        <v>0</v>
      </c>
      <c r="D50" s="150">
        <f t="shared" ca="1" si="40"/>
        <v>0</v>
      </c>
      <c r="E50" s="151">
        <f ca="1">IFERROR(__xludf.DUMMYFUNCTION("IMPORTRANGE(""https://docs.google.com/spreadsheets/d/1-uDff_7J0KD5mKrp0Vvzr7lt3OU09vwQwhkpOPPYv2Y/edit?usp=sharing"",""งบพรบ!HV50"")"),0)</f>
        <v>0</v>
      </c>
      <c r="F50" s="151">
        <f ca="1">IFERROR(__xludf.DUMMYFUNCTION("IMPORTRANGE(""https://docs.google.com/spreadsheets/d/1-uDff_7J0KD5mKrp0Vvzr7lt3OU09vwQwhkpOPPYv2Y/edit?usp=sharing"",""งบพรบ!HW50"")"),0)</f>
        <v>0</v>
      </c>
      <c r="G50" s="151">
        <f ca="1">IFERROR(__xludf.DUMMYFUNCTION("IMPORTRANGE(""https://docs.google.com/spreadsheets/d/1-uDff_7J0KD5mKrp0Vvzr7lt3OU09vwQwhkpOPPYv2Y/edit?usp=sharing"",""งบพรบ!HX50"")"),0)</f>
        <v>0</v>
      </c>
      <c r="H50" s="151">
        <f ca="1">IFERROR(__xludf.DUMMYFUNCTION("IMPORTRANGE(""https://docs.google.com/spreadsheets/d/1-uDff_7J0KD5mKrp0Vvzr7lt3OU09vwQwhkpOPPYv2Y/edit?usp=sharing"",""งบพรบ!HZ50"")"),0)</f>
        <v>0</v>
      </c>
      <c r="I50" s="151">
        <f ca="1">IFERROR(__xludf.DUMMYFUNCTION("IMPORTRANGE(""https://docs.google.com/spreadsheets/d/1-uDff_7J0KD5mKrp0Vvzr7lt3OU09vwQwhkpOPPYv2Y/edit?usp=sharing"",""งบพรบ!IA50"")"),0)</f>
        <v>0</v>
      </c>
      <c r="J50" s="151">
        <f t="shared" ca="1" si="23"/>
        <v>0</v>
      </c>
      <c r="K50" s="154">
        <f t="shared" ca="1" si="24"/>
        <v>0</v>
      </c>
      <c r="L50" s="151">
        <f ca="1">IFERROR(__xludf.DUMMYFUNCTION("IMPORTRANGE(""https://docs.google.com/spreadsheets/d/1-uDff_7J0KD5mKrp0Vvzr7lt3OU09vwQwhkpOPPYv2Y/edit?usp=sharing"",""งบพรบ!IB50"")"),0)</f>
        <v>0</v>
      </c>
      <c r="M50" s="68">
        <f t="shared" ca="1" si="25"/>
        <v>0</v>
      </c>
      <c r="N50" s="68">
        <f t="shared" ca="1" si="26"/>
        <v>0</v>
      </c>
      <c r="O50" s="151">
        <f ca="1">IFERROR(__xludf.DUMMYFUNCTION("IMPORTRANGE(""https://docs.google.com/spreadsheets/d/1-uDff_7J0KD5mKrp0Vvzr7lt3OU09vwQwhkpOPPYv2Y/edit?usp=sharing"",""งบพรบ!IC50"")"),0)</f>
        <v>0</v>
      </c>
      <c r="P50" s="67">
        <f t="shared" ca="1" si="27"/>
        <v>0</v>
      </c>
      <c r="Q50" s="68">
        <f t="shared" ca="1" si="28"/>
        <v>0</v>
      </c>
      <c r="R50" s="68">
        <f ca="1">IFERROR(__xludf.DUMMYFUNCTION("IMPORTRANGE(""https://docs.google.com/spreadsheets/d/1gF7RJpRnL-1oyjyeWxs5SFWEH7y8ahOZsQlyp2A2e-A/edit?usp=sharing"",""อุดรธานี!Q498"")"),0)</f>
        <v>0</v>
      </c>
      <c r="S50" s="68">
        <f ca="1">IFERROR(__xludf.DUMMYFUNCTION("IMPORTRANGE(""https://docs.google.com/spreadsheets/d/1gF7RJpRnL-1oyjyeWxs5SFWEH7y8ahOZsQlyp2A2e-A/edit?usp=sharing"",""อุดรธานี!R498"")"),0)</f>
        <v>0</v>
      </c>
      <c r="T50" s="68">
        <f ca="1">IFERROR(__xludf.DUMMYFUNCTION("IMPORTRANGE(""https://docs.google.com/spreadsheets/d/1gF7RJpRnL-1oyjyeWxs5SFWEH7y8ahOZsQlyp2A2e-A/edit?usp=sharing"",""อุดรธานี!S498"")"),0)</f>
        <v>0</v>
      </c>
      <c r="U50" s="68">
        <f t="shared" ca="1" si="30"/>
        <v>0</v>
      </c>
      <c r="V50" s="68">
        <f t="shared" ca="1" si="31"/>
        <v>0</v>
      </c>
      <c r="W50" s="278">
        <f ca="1">IFERROR(__xludf.DUMMYFUNCTION("IMPORTRANGE(""https://docs.google.com/spreadsheets/d/1gF7RJpRnL-1oyjyeWxs5SFWEH7y8ahOZsQlyp2A2e-A/edit?usp=sharing"",""อุดรธานี!I503"")"),0)</f>
        <v>0</v>
      </c>
      <c r="X50" s="152">
        <f ca="1">IFERROR(__xludf.DUMMYFUNCTION("IMPORTRANGE(""https://docs.google.com/spreadsheets/d/1gF7RJpRnL-1oyjyeWxs5SFWEH7y8ahOZsQlyp2A2e-A/edit?usp=sharing"",""อุดรธานี!J503"")"),0)</f>
        <v>0</v>
      </c>
      <c r="Y50" s="216">
        <f t="shared" ca="1" si="33"/>
        <v>0</v>
      </c>
      <c r="Z50" s="152">
        <f ca="1">IFERROR(__xludf.DUMMYFUNCTION("IMPORTRANGE(""https://docs.google.com/spreadsheets/d/1gF7RJpRnL-1oyjyeWxs5SFWEH7y8ahOZsQlyp2A2e-A/edit?usp=sharing"",""อุดรธานี!J504"")"),0)</f>
        <v>0</v>
      </c>
      <c r="AA50" s="152">
        <f ca="1">IFERROR(__xludf.DUMMYFUNCTION("IMPORTRANGE(""https://docs.google.com/spreadsheets/d/1gF7RJpRnL-1oyjyeWxs5SFWEH7y8ahOZsQlyp2A2e-A/edit?usp=sharing"",""อุดรธานี!J505"")"),0)</f>
        <v>0</v>
      </c>
      <c r="AB50" s="152">
        <f ca="1">IFERROR(__xludf.DUMMYFUNCTION("IMPORTRANGE(""https://docs.google.com/spreadsheets/d/1gF7RJpRnL-1oyjyeWxs5SFWEH7y8ahOZsQlyp2A2e-A/edit?usp=sharing"",""อุดรธานี!J506"")"),0)</f>
        <v>0</v>
      </c>
      <c r="AC50" s="152">
        <f ca="1">IFERROR(__xludf.DUMMYFUNCTION("IMPORTRANGE(""https://docs.google.com/spreadsheets/d/1gF7RJpRnL-1oyjyeWxs5SFWEH7y8ahOZsQlyp2A2e-A/edit?usp=sharing"",""อุดรธานี!J507"")"),0)</f>
        <v>0</v>
      </c>
      <c r="AD50" s="152">
        <f ca="1">IFERROR(__xludf.DUMMYFUNCTION("IMPORTRANGE(""https://docs.google.com/spreadsheets/d/1gF7RJpRnL-1oyjyeWxs5SFWEH7y8ahOZsQlyp2A2e-A/edit?usp=sharing"",""อุดรธานี!J508"")"),0)</f>
        <v>0</v>
      </c>
      <c r="AE50" s="152">
        <f ca="1">IFERROR(__xludf.DUMMYFUNCTION("IMPORTRANGE(""https://docs.google.com/spreadsheets/d/1gF7RJpRnL-1oyjyeWxs5SFWEH7y8ahOZsQlyp2A2e-A/edit?usp=sharing"",""อุดรธานี!J509"")"),0)</f>
        <v>0</v>
      </c>
    </row>
    <row r="51" spans="1:31" ht="21" customHeight="1" x14ac:dyDescent="0.3">
      <c r="A51" s="80">
        <v>20</v>
      </c>
      <c r="B51" s="81" t="s">
        <v>79</v>
      </c>
      <c r="C51" s="165">
        <f t="shared" ca="1" si="21"/>
        <v>0</v>
      </c>
      <c r="D51" s="166">
        <f t="shared" ca="1" si="40"/>
        <v>0</v>
      </c>
      <c r="E51" s="167">
        <f ca="1">IFERROR(__xludf.DUMMYFUNCTION("IMPORTRANGE(""https://docs.google.com/spreadsheets/d/1-uDff_7J0KD5mKrp0Vvzr7lt3OU09vwQwhkpOPPYv2Y/edit?usp=sharing"",""งบพรบ!HV51"")"),0)</f>
        <v>0</v>
      </c>
      <c r="F51" s="167">
        <f ca="1">IFERROR(__xludf.DUMMYFUNCTION("IMPORTRANGE(""https://docs.google.com/spreadsheets/d/1-uDff_7J0KD5mKrp0Vvzr7lt3OU09vwQwhkpOPPYv2Y/edit?usp=sharing"",""งบพรบ!HW51"")"),0)</f>
        <v>0</v>
      </c>
      <c r="G51" s="167">
        <f ca="1">IFERROR(__xludf.DUMMYFUNCTION("IMPORTRANGE(""https://docs.google.com/spreadsheets/d/1-uDff_7J0KD5mKrp0Vvzr7lt3OU09vwQwhkpOPPYv2Y/edit?usp=sharing"",""งบพรบ!HX51"")"),0)</f>
        <v>0</v>
      </c>
      <c r="H51" s="167">
        <f ca="1">IFERROR(__xludf.DUMMYFUNCTION("IMPORTRANGE(""https://docs.google.com/spreadsheets/d/1-uDff_7J0KD5mKrp0Vvzr7lt3OU09vwQwhkpOPPYv2Y/edit?usp=sharing"",""งบพรบ!HZ51"")"),0)</f>
        <v>0</v>
      </c>
      <c r="I51" s="167">
        <f ca="1">IFERROR(__xludf.DUMMYFUNCTION("IMPORTRANGE(""https://docs.google.com/spreadsheets/d/1-uDff_7J0KD5mKrp0Vvzr7lt3OU09vwQwhkpOPPYv2Y/edit?usp=sharing"",""งบพรบ!IA51"")"),0)</f>
        <v>0</v>
      </c>
      <c r="J51" s="167">
        <f t="shared" ca="1" si="23"/>
        <v>0</v>
      </c>
      <c r="K51" s="168">
        <f t="shared" ca="1" si="24"/>
        <v>0</v>
      </c>
      <c r="L51" s="167">
        <f ca="1">IFERROR(__xludf.DUMMYFUNCTION("IMPORTRANGE(""https://docs.google.com/spreadsheets/d/1-uDff_7J0KD5mKrp0Vvzr7lt3OU09vwQwhkpOPPYv2Y/edit?usp=sharing"",""งบพรบ!IB51"")"),0)</f>
        <v>0</v>
      </c>
      <c r="M51" s="97">
        <f t="shared" ca="1" si="25"/>
        <v>0</v>
      </c>
      <c r="N51" s="97">
        <f t="shared" ca="1" si="26"/>
        <v>0</v>
      </c>
      <c r="O51" s="167">
        <f ca="1">IFERROR(__xludf.DUMMYFUNCTION("IMPORTRANGE(""https://docs.google.com/spreadsheets/d/1-uDff_7J0KD5mKrp0Vvzr7lt3OU09vwQwhkpOPPYv2Y/edit?usp=sharing"",""งบพรบ!IC51"")"),0)</f>
        <v>0</v>
      </c>
      <c r="P51" s="96">
        <f t="shared" ca="1" si="27"/>
        <v>0</v>
      </c>
      <c r="Q51" s="97">
        <f t="shared" ca="1" si="28"/>
        <v>0</v>
      </c>
      <c r="R51" s="97">
        <f ca="1">IFERROR(__xludf.DUMMYFUNCTION("IMPORTRANGE(""https://docs.google.com/spreadsheets/d/1kfLP0j3INXRa8bTDpcEmoWewMBV61jlFlfzczfjWIgc/edit?usp=sharing"",""อุบลราชธานี!Q498"")"),0)</f>
        <v>0</v>
      </c>
      <c r="S51" s="97">
        <f ca="1">IFERROR(__xludf.DUMMYFUNCTION("IMPORTRANGE(""https://docs.google.com/spreadsheets/d/1kfLP0j3INXRa8bTDpcEmoWewMBV61jlFlfzczfjWIgc/edit?usp=sharing"",""อุบลราชธานี!R498"")"),0)</f>
        <v>0</v>
      </c>
      <c r="T51" s="97">
        <f ca="1">IFERROR(__xludf.DUMMYFUNCTION("IMPORTRANGE(""https://docs.google.com/spreadsheets/d/1kfLP0j3INXRa8bTDpcEmoWewMBV61jlFlfzczfjWIgc/edit?usp=sharing"",""อุบลราชธานี!S498"")"),0)</f>
        <v>0</v>
      </c>
      <c r="U51" s="97">
        <f t="shared" ca="1" si="30"/>
        <v>0</v>
      </c>
      <c r="V51" s="97">
        <f t="shared" ca="1" si="31"/>
        <v>0</v>
      </c>
      <c r="W51" s="280">
        <f ca="1">IFERROR(__xludf.DUMMYFUNCTION("IMPORTRANGE(""https://docs.google.com/spreadsheets/d/1kfLP0j3INXRa8bTDpcEmoWewMBV61jlFlfzczfjWIgc/edit?usp=sharing"",""อุบลราชธานี!I503"")"),0)</f>
        <v>0</v>
      </c>
      <c r="X51" s="191">
        <f ca="1">IFERROR(__xludf.DUMMYFUNCTION("IMPORTRANGE(""https://docs.google.com/spreadsheets/d/1kfLP0j3INXRa8bTDpcEmoWewMBV61jlFlfzczfjWIgc/edit?usp=sharing"",""อุบลราชธานี!J503"")"),0)</f>
        <v>0</v>
      </c>
      <c r="Y51" s="218">
        <f t="shared" ca="1" si="33"/>
        <v>0</v>
      </c>
      <c r="Z51" s="191">
        <f ca="1">IFERROR(__xludf.DUMMYFUNCTION("IMPORTRANGE(""https://docs.google.com/spreadsheets/d/1kfLP0j3INXRa8bTDpcEmoWewMBV61jlFlfzczfjWIgc/edit?usp=sharing"",""อุบลราชธานี!J504"")"),0)</f>
        <v>0</v>
      </c>
      <c r="AA51" s="191">
        <f ca="1">IFERROR(__xludf.DUMMYFUNCTION("IMPORTRANGE(""https://docs.google.com/spreadsheets/d/1kfLP0j3INXRa8bTDpcEmoWewMBV61jlFlfzczfjWIgc/edit?usp=sharing"",""อุบลราชธานี!J505"")"),0)</f>
        <v>0</v>
      </c>
      <c r="AB51" s="191">
        <f ca="1">IFERROR(__xludf.DUMMYFUNCTION("IMPORTRANGE(""https://docs.google.com/spreadsheets/d/1kfLP0j3INXRa8bTDpcEmoWewMBV61jlFlfzczfjWIgc/edit?usp=sharing"",""อุบลราชธานี!J506"")"),0)</f>
        <v>0</v>
      </c>
      <c r="AC51" s="191">
        <f ca="1">IFERROR(__xludf.DUMMYFUNCTION("IMPORTRANGE(""https://docs.google.com/spreadsheets/d/1kfLP0j3INXRa8bTDpcEmoWewMBV61jlFlfzczfjWIgc/edit?usp=sharing"",""อุบลราชธานี!J507"")"),0)</f>
        <v>0</v>
      </c>
      <c r="AD51" s="191">
        <f ca="1">IFERROR(__xludf.DUMMYFUNCTION("IMPORTRANGE(""https://docs.google.com/spreadsheets/d/1kfLP0j3INXRa8bTDpcEmoWewMBV61jlFlfzczfjWIgc/edit?usp=sharing"",""อุบลราชธานี!J508"")"),0)</f>
        <v>0</v>
      </c>
      <c r="AE51" s="191">
        <f ca="1">IFERROR(__xludf.DUMMYFUNCTION("IMPORTRANGE(""https://docs.google.com/spreadsheets/d/1kfLP0j3INXRa8bTDpcEmoWewMBV61jlFlfzczfjWIgc/edit?usp=sharing"",""อุบลราชธานี!J509"")"),0)</f>
        <v>0</v>
      </c>
    </row>
    <row r="52" spans="1:31" ht="21" customHeight="1" x14ac:dyDescent="0.3">
      <c r="A52" s="712" t="s">
        <v>80</v>
      </c>
      <c r="B52" s="647"/>
      <c r="C52" s="145">
        <f t="shared" ca="1" si="21"/>
        <v>119900</v>
      </c>
      <c r="D52" s="145">
        <f t="shared" ref="D52:I52" ca="1" si="41">SUM(D53:D73)</f>
        <v>119900</v>
      </c>
      <c r="E52" s="145">
        <f t="shared" ca="1" si="41"/>
        <v>0</v>
      </c>
      <c r="F52" s="145">
        <f t="shared" ca="1" si="41"/>
        <v>119900</v>
      </c>
      <c r="G52" s="145">
        <f t="shared" ca="1" si="41"/>
        <v>0</v>
      </c>
      <c r="H52" s="145">
        <f t="shared" ca="1" si="41"/>
        <v>119900</v>
      </c>
      <c r="I52" s="145">
        <f t="shared" ca="1" si="41"/>
        <v>0</v>
      </c>
      <c r="J52" s="145">
        <f t="shared" ca="1" si="23"/>
        <v>109940</v>
      </c>
      <c r="K52" s="146">
        <f t="shared" ca="1" si="24"/>
        <v>91.693077564637193</v>
      </c>
      <c r="L52" s="145">
        <f ca="1">SUM(L53:L73)</f>
        <v>109940</v>
      </c>
      <c r="M52" s="57">
        <f t="shared" ca="1" si="25"/>
        <v>91.693077564637193</v>
      </c>
      <c r="N52" s="57">
        <f t="shared" ca="1" si="26"/>
        <v>91.693077564637193</v>
      </c>
      <c r="O52" s="56">
        <f ca="1">SUM(O53:O73)</f>
        <v>0</v>
      </c>
      <c r="P52" s="56">
        <f t="shared" ca="1" si="27"/>
        <v>0</v>
      </c>
      <c r="Q52" s="57">
        <f t="shared" ca="1" si="28"/>
        <v>0</v>
      </c>
      <c r="R52" s="57">
        <f t="shared" ref="R52:T52" ca="1" si="42">SUM(R53:R73)</f>
        <v>2234495</v>
      </c>
      <c r="S52" s="57">
        <f t="shared" ca="1" si="42"/>
        <v>2257595</v>
      </c>
      <c r="T52" s="57">
        <f t="shared" ca="1" si="42"/>
        <v>1551297.17</v>
      </c>
      <c r="U52" s="57">
        <f t="shared" ca="1" si="30"/>
        <v>69.424955974392418</v>
      </c>
      <c r="V52" s="57">
        <f t="shared" ca="1" si="31"/>
        <v>68.714590969593743</v>
      </c>
      <c r="W52" s="282">
        <f t="shared" ref="W52:X52" ca="1" si="43">SUM(W53:W73)</f>
        <v>160</v>
      </c>
      <c r="X52" s="161">
        <f t="shared" ca="1" si="43"/>
        <v>160</v>
      </c>
      <c r="Y52" s="94">
        <f t="shared" ca="1" si="33"/>
        <v>100</v>
      </c>
      <c r="Z52" s="161">
        <f t="shared" ref="Z52:AE52" ca="1" si="44">SUM(Z53:Z73)</f>
        <v>160</v>
      </c>
      <c r="AA52" s="161">
        <f t="shared" ca="1" si="44"/>
        <v>160</v>
      </c>
      <c r="AB52" s="161">
        <f t="shared" ca="1" si="44"/>
        <v>160</v>
      </c>
      <c r="AC52" s="161">
        <f t="shared" ca="1" si="44"/>
        <v>70</v>
      </c>
      <c r="AD52" s="161">
        <f t="shared" ca="1" si="44"/>
        <v>0</v>
      </c>
      <c r="AE52" s="161">
        <f t="shared" ca="1" si="44"/>
        <v>80</v>
      </c>
    </row>
    <row r="53" spans="1:31" ht="21" customHeight="1" x14ac:dyDescent="0.3">
      <c r="A53" s="58">
        <v>1</v>
      </c>
      <c r="B53" s="59" t="s">
        <v>81</v>
      </c>
      <c r="C53" s="149">
        <f t="shared" ca="1" si="21"/>
        <v>24100</v>
      </c>
      <c r="D53" s="150">
        <f t="shared" ref="D53:D73" ca="1" si="45">+E53+F53</f>
        <v>24100</v>
      </c>
      <c r="E53" s="151">
        <f ca="1">IFERROR(__xludf.DUMMYFUNCTION("IMPORTRANGE(""https://docs.google.com/spreadsheets/d/1-uDff_7J0KD5mKrp0Vvzr7lt3OU09vwQwhkpOPPYv2Y/edit?usp=sharing"",""งบพรบ!HV53"")"),0)</f>
        <v>0</v>
      </c>
      <c r="F53" s="151">
        <f ca="1">IFERROR(__xludf.DUMMYFUNCTION("IMPORTRANGE(""https://docs.google.com/spreadsheets/d/1-uDff_7J0KD5mKrp0Vvzr7lt3OU09vwQwhkpOPPYv2Y/edit?usp=sharing"",""งบพรบ!HW53"")"),24100)</f>
        <v>24100</v>
      </c>
      <c r="G53" s="152">
        <f ca="1">IFERROR(__xludf.DUMMYFUNCTION("IMPORTRANGE(""https://docs.google.com/spreadsheets/d/1-uDff_7J0KD5mKrp0Vvzr7lt3OU09vwQwhkpOPPYv2Y/edit?usp=sharing"",""งบพรบ!HX53"")"),0)</f>
        <v>0</v>
      </c>
      <c r="H53" s="152">
        <f ca="1">IFERROR(__xludf.DUMMYFUNCTION("IMPORTRANGE(""https://docs.google.com/spreadsheets/d/1-uDff_7J0KD5mKrp0Vvzr7lt3OU09vwQwhkpOPPYv2Y/edit?usp=sharing"",""งบพรบ!HZ53"")"),24100)</f>
        <v>24100</v>
      </c>
      <c r="I53" s="152">
        <f ca="1">IFERROR(__xludf.DUMMYFUNCTION("IMPORTRANGE(""https://docs.google.com/spreadsheets/d/1-uDff_7J0KD5mKrp0Vvzr7lt3OU09vwQwhkpOPPYv2Y/edit?usp=sharing"",""งบพรบ!IA53"")"),0)</f>
        <v>0</v>
      </c>
      <c r="J53" s="152">
        <f t="shared" ca="1" si="23"/>
        <v>24100</v>
      </c>
      <c r="K53" s="153">
        <f t="shared" ca="1" si="24"/>
        <v>100</v>
      </c>
      <c r="L53" s="152">
        <f ca="1">IFERROR(__xludf.DUMMYFUNCTION("IMPORTRANGE(""https://docs.google.com/spreadsheets/d/1-uDff_7J0KD5mKrp0Vvzr7lt3OU09vwQwhkpOPPYv2Y/edit?usp=sharing"",""งบพรบ!IB53"")"),24100)</f>
        <v>24100</v>
      </c>
      <c r="M53" s="68">
        <f t="shared" ca="1" si="25"/>
        <v>100</v>
      </c>
      <c r="N53" s="68">
        <f t="shared" ca="1" si="26"/>
        <v>100</v>
      </c>
      <c r="O53" s="151">
        <f ca="1">IFERROR(__xludf.DUMMYFUNCTION("IMPORTRANGE(""https://docs.google.com/spreadsheets/d/1-uDff_7J0KD5mKrp0Vvzr7lt3OU09vwQwhkpOPPYv2Y/edit?usp=sharing"",""งบพรบ!IC53"")"),0)</f>
        <v>0</v>
      </c>
      <c r="P53" s="67">
        <f t="shared" ca="1" si="27"/>
        <v>0</v>
      </c>
      <c r="Q53" s="68">
        <f t="shared" ca="1" si="28"/>
        <v>0</v>
      </c>
      <c r="R53" s="68">
        <f ca="1">IFERROR(__xludf.DUMMYFUNCTION("IMPORTRANGE(""https://docs.google.com/spreadsheets/d/13wPX838HrBrQMCywv1BsuMkt4PEKTChp52zj44s2izQ/edit?usp=sharing"",""กาญจนบุรี!Q498"")"),460185)</f>
        <v>460185</v>
      </c>
      <c r="S53" s="68">
        <f ca="1">IFERROR(__xludf.DUMMYFUNCTION("IMPORTRANGE(""https://docs.google.com/spreadsheets/d/13wPX838HrBrQMCywv1BsuMkt4PEKTChp52zj44s2izQ/edit?usp=sharing"",""กาญจนบุรี!R498"")"),467885)</f>
        <v>467885</v>
      </c>
      <c r="T53" s="68">
        <f ca="1">IFERROR(__xludf.DUMMYFUNCTION("IMPORTRANGE(""https://docs.google.com/spreadsheets/d/13wPX838HrBrQMCywv1BsuMkt4PEKTChp52zj44s2izQ/edit?usp=sharing"",""กาญจนบุรี!S498"")"),234146)</f>
        <v>234146</v>
      </c>
      <c r="U53" s="68">
        <f t="shared" ca="1" si="30"/>
        <v>50.880841400741005</v>
      </c>
      <c r="V53" s="68">
        <f t="shared" ca="1" si="31"/>
        <v>50.043493593511229</v>
      </c>
      <c r="W53" s="278">
        <f ca="1">IFERROR(__xludf.DUMMYFUNCTION("IMPORTRANGE(""https://docs.google.com/spreadsheets/d/13wPX838HrBrQMCywv1BsuMkt4PEKTChp52zj44s2izQ/edit?usp=sharing"",""กาญจนบุรี!I503"")"),30)</f>
        <v>30</v>
      </c>
      <c r="X53" s="152">
        <f ca="1">IFERROR(__xludf.DUMMYFUNCTION("IMPORTRANGE(""https://docs.google.com/spreadsheets/d/13wPX838HrBrQMCywv1BsuMkt4PEKTChp52zj44s2izQ/edit?usp=sharing"",""กาญจนบุรี!J503"")"),30)</f>
        <v>30</v>
      </c>
      <c r="Y53" s="216">
        <f t="shared" ca="1" si="33"/>
        <v>100</v>
      </c>
      <c r="Z53" s="152">
        <f ca="1">IFERROR(__xludf.DUMMYFUNCTION("IMPORTRANGE(""https://docs.google.com/spreadsheets/d/13wPX838HrBrQMCywv1BsuMkt4PEKTChp52zj44s2izQ/edit?usp=sharing"",""กาญจนบุรี!J504"")"),30)</f>
        <v>30</v>
      </c>
      <c r="AA53" s="152">
        <f ca="1">IFERROR(__xludf.DUMMYFUNCTION("IMPORTRANGE(""https://docs.google.com/spreadsheets/d/13wPX838HrBrQMCywv1BsuMkt4PEKTChp52zj44s2izQ/edit?usp=sharing"",""กาญจนบุรี!J505"")"),30)</f>
        <v>30</v>
      </c>
      <c r="AB53" s="152">
        <f ca="1">IFERROR(__xludf.DUMMYFUNCTION("IMPORTRANGE(""https://docs.google.com/spreadsheets/d/13wPX838HrBrQMCywv1BsuMkt4PEKTChp52zj44s2izQ/edit?usp=sharing"",""กาญจนบุรี!J506"")"),30)</f>
        <v>30</v>
      </c>
      <c r="AC53" s="152">
        <f ca="1">IFERROR(__xludf.DUMMYFUNCTION("IMPORTRANGE(""https://docs.google.com/spreadsheets/d/13wPX838HrBrQMCywv1BsuMkt4PEKTChp52zj44s2izQ/edit?usp=sharing"",""กาญจนบุรี!J507"")"),10)</f>
        <v>10</v>
      </c>
      <c r="AD53" s="152">
        <f ca="1">IFERROR(__xludf.DUMMYFUNCTION("IMPORTRANGE(""https://docs.google.com/spreadsheets/d/13wPX838HrBrQMCywv1BsuMkt4PEKTChp52zj44s2izQ/edit?usp=sharing"",""กาญจนบุรี!J508"")"),0)</f>
        <v>0</v>
      </c>
      <c r="AE53" s="152">
        <f ca="1">IFERROR(__xludf.DUMMYFUNCTION("IMPORTRANGE(""https://docs.google.com/spreadsheets/d/13wPX838HrBrQMCywv1BsuMkt4PEKTChp52zj44s2izQ/edit?usp=sharing"",""กาญจนบุรี!J509"")"),0)</f>
        <v>0</v>
      </c>
    </row>
    <row r="54" spans="1:31" ht="21" customHeight="1" x14ac:dyDescent="0.3">
      <c r="A54" s="70">
        <v>2</v>
      </c>
      <c r="B54" s="71" t="s">
        <v>82</v>
      </c>
      <c r="C54" s="149">
        <f t="shared" ca="1" si="21"/>
        <v>0</v>
      </c>
      <c r="D54" s="150">
        <f t="shared" ca="1" si="45"/>
        <v>0</v>
      </c>
      <c r="E54" s="151">
        <f ca="1">IFERROR(__xludf.DUMMYFUNCTION("IMPORTRANGE(""https://docs.google.com/spreadsheets/d/1-uDff_7J0KD5mKrp0Vvzr7lt3OU09vwQwhkpOPPYv2Y/edit?usp=sharing"",""งบพรบ!HV54"")"),0)</f>
        <v>0</v>
      </c>
      <c r="F54" s="151">
        <f ca="1">IFERROR(__xludf.DUMMYFUNCTION("IMPORTRANGE(""https://docs.google.com/spreadsheets/d/1-uDff_7J0KD5mKrp0Vvzr7lt3OU09vwQwhkpOPPYv2Y/edit?usp=sharing"",""งบพรบ!HW54"")"),0)</f>
        <v>0</v>
      </c>
      <c r="G54" s="151">
        <f ca="1">IFERROR(__xludf.DUMMYFUNCTION("IMPORTRANGE(""https://docs.google.com/spreadsheets/d/1-uDff_7J0KD5mKrp0Vvzr7lt3OU09vwQwhkpOPPYv2Y/edit?usp=sharing"",""งบพรบ!HX54"")"),0)</f>
        <v>0</v>
      </c>
      <c r="H54" s="151">
        <f ca="1">IFERROR(__xludf.DUMMYFUNCTION("IMPORTRANGE(""https://docs.google.com/spreadsheets/d/1-uDff_7J0KD5mKrp0Vvzr7lt3OU09vwQwhkpOPPYv2Y/edit?usp=sharing"",""งบพรบ!HZ54"")"),0)</f>
        <v>0</v>
      </c>
      <c r="I54" s="151">
        <f ca="1">IFERROR(__xludf.DUMMYFUNCTION("IMPORTRANGE(""https://docs.google.com/spreadsheets/d/1-uDff_7J0KD5mKrp0Vvzr7lt3OU09vwQwhkpOPPYv2Y/edit?usp=sharing"",""งบพรบ!IA54"")"),0)</f>
        <v>0</v>
      </c>
      <c r="J54" s="151">
        <f t="shared" ca="1" si="23"/>
        <v>0</v>
      </c>
      <c r="K54" s="154">
        <f t="shared" ca="1" si="24"/>
        <v>0</v>
      </c>
      <c r="L54" s="151">
        <f ca="1">IFERROR(__xludf.DUMMYFUNCTION("IMPORTRANGE(""https://docs.google.com/spreadsheets/d/1-uDff_7J0KD5mKrp0Vvzr7lt3OU09vwQwhkpOPPYv2Y/edit?usp=sharing"",""งบพรบ!IB54"")"),0)</f>
        <v>0</v>
      </c>
      <c r="M54" s="68">
        <f t="shared" ca="1" si="25"/>
        <v>0</v>
      </c>
      <c r="N54" s="68">
        <f t="shared" ca="1" si="26"/>
        <v>0</v>
      </c>
      <c r="O54" s="151">
        <f ca="1">IFERROR(__xludf.DUMMYFUNCTION("IMPORTRANGE(""https://docs.google.com/spreadsheets/d/1-uDff_7J0KD5mKrp0Vvzr7lt3OU09vwQwhkpOPPYv2Y/edit?usp=sharing"",""งบพรบ!IC54"")"),0)</f>
        <v>0</v>
      </c>
      <c r="P54" s="67">
        <f t="shared" ca="1" si="27"/>
        <v>0</v>
      </c>
      <c r="Q54" s="68">
        <f t="shared" ca="1" si="28"/>
        <v>0</v>
      </c>
      <c r="R54" s="68">
        <f ca="1">IFERROR(__xludf.DUMMYFUNCTION("IMPORTRANGE(""https://docs.google.com/spreadsheets/d/1ddFKvqj1W1NEiWytbGlB1zMx_ykJDVtmfEQ-6-lIUBA/edit?usp=sharing"",""จันทบุรี!Q498"")"),0)</f>
        <v>0</v>
      </c>
      <c r="S54" s="68">
        <f ca="1">IFERROR(__xludf.DUMMYFUNCTION("IMPORTRANGE(""https://docs.google.com/spreadsheets/d/1ddFKvqj1W1NEiWytbGlB1zMx_ykJDVtmfEQ-6-lIUBA/edit?usp=sharing"",""จันทบุรี!R498"")"),0)</f>
        <v>0</v>
      </c>
      <c r="T54" s="68">
        <f ca="1">IFERROR(__xludf.DUMMYFUNCTION("IMPORTRANGE(""https://docs.google.com/spreadsheets/d/1ddFKvqj1W1NEiWytbGlB1zMx_ykJDVtmfEQ-6-lIUBA/edit?usp=sharing"",""จันทบุรี!S498"")"),0)</f>
        <v>0</v>
      </c>
      <c r="U54" s="68">
        <f t="shared" ca="1" si="30"/>
        <v>0</v>
      </c>
      <c r="V54" s="68">
        <f t="shared" ca="1" si="31"/>
        <v>0</v>
      </c>
      <c r="W54" s="278">
        <f ca="1">IFERROR(__xludf.DUMMYFUNCTION("IMPORTRANGE(""https://docs.google.com/spreadsheets/d/1ddFKvqj1W1NEiWytbGlB1zMx_ykJDVtmfEQ-6-lIUBA/edit?usp=sharing"",""จันทบุรี!I503"")"),0)</f>
        <v>0</v>
      </c>
      <c r="X54" s="152">
        <f ca="1">IFERROR(__xludf.DUMMYFUNCTION("IMPORTRANGE(""https://docs.google.com/spreadsheets/d/1ddFKvqj1W1NEiWytbGlB1zMx_ykJDVtmfEQ-6-lIUBA/edit?usp=sharing"",""จันทบุรี!J503"")"),0)</f>
        <v>0</v>
      </c>
      <c r="Y54" s="216">
        <f t="shared" ca="1" si="33"/>
        <v>0</v>
      </c>
      <c r="Z54" s="152">
        <f ca="1">IFERROR(__xludf.DUMMYFUNCTION("IMPORTRANGE(""https://docs.google.com/spreadsheets/d/1ddFKvqj1W1NEiWytbGlB1zMx_ykJDVtmfEQ-6-lIUBA/edit?usp=sharing"",""จันทบุรี!J504"")"),0)</f>
        <v>0</v>
      </c>
      <c r="AA54" s="152">
        <f ca="1">IFERROR(__xludf.DUMMYFUNCTION("IMPORTRANGE(""https://docs.google.com/spreadsheets/d/1ddFKvqj1W1NEiWytbGlB1zMx_ykJDVtmfEQ-6-lIUBA/edit?usp=sharing"",""จันทบุรี!J505"")"),0)</f>
        <v>0</v>
      </c>
      <c r="AB54" s="152">
        <f ca="1">IFERROR(__xludf.DUMMYFUNCTION("IMPORTRANGE(""https://docs.google.com/spreadsheets/d/1ddFKvqj1W1NEiWytbGlB1zMx_ykJDVtmfEQ-6-lIUBA/edit?usp=sharing"",""จันทบุรี!J506"")"),0)</f>
        <v>0</v>
      </c>
      <c r="AC54" s="152">
        <f ca="1">IFERROR(__xludf.DUMMYFUNCTION("IMPORTRANGE(""https://docs.google.com/spreadsheets/d/1ddFKvqj1W1NEiWytbGlB1zMx_ykJDVtmfEQ-6-lIUBA/edit?usp=sharing"",""จันทบุรี!J507"")"),0)</f>
        <v>0</v>
      </c>
      <c r="AD54" s="152">
        <f ca="1">IFERROR(__xludf.DUMMYFUNCTION("IMPORTRANGE(""https://docs.google.com/spreadsheets/d/1ddFKvqj1W1NEiWytbGlB1zMx_ykJDVtmfEQ-6-lIUBA/edit?usp=sharing"",""จันทบุรี!J508"")"),0)</f>
        <v>0</v>
      </c>
      <c r="AE54" s="152">
        <f ca="1">IFERROR(__xludf.DUMMYFUNCTION("IMPORTRANGE(""https://docs.google.com/spreadsheets/d/1ddFKvqj1W1NEiWytbGlB1zMx_ykJDVtmfEQ-6-lIUBA/edit?usp=sharing"",""จันทบุรี!J509"")"),0)</f>
        <v>0</v>
      </c>
    </row>
    <row r="55" spans="1:31" ht="21" customHeight="1" x14ac:dyDescent="0.3">
      <c r="A55" s="70">
        <v>3</v>
      </c>
      <c r="B55" s="71" t="s">
        <v>83</v>
      </c>
      <c r="C55" s="149">
        <f t="shared" ca="1" si="21"/>
        <v>0</v>
      </c>
      <c r="D55" s="150">
        <f t="shared" ca="1" si="45"/>
        <v>0</v>
      </c>
      <c r="E55" s="151">
        <f ca="1">IFERROR(__xludf.DUMMYFUNCTION("IMPORTRANGE(""https://docs.google.com/spreadsheets/d/1-uDff_7J0KD5mKrp0Vvzr7lt3OU09vwQwhkpOPPYv2Y/edit?usp=sharing"",""งบพรบ!HV55"")"),0)</f>
        <v>0</v>
      </c>
      <c r="F55" s="151">
        <f ca="1">IFERROR(__xludf.DUMMYFUNCTION("IMPORTRANGE(""https://docs.google.com/spreadsheets/d/1-uDff_7J0KD5mKrp0Vvzr7lt3OU09vwQwhkpOPPYv2Y/edit?usp=sharing"",""งบพรบ!HW55"")"),0)</f>
        <v>0</v>
      </c>
      <c r="G55" s="151">
        <f ca="1">IFERROR(__xludf.DUMMYFUNCTION("IMPORTRANGE(""https://docs.google.com/spreadsheets/d/1-uDff_7J0KD5mKrp0Vvzr7lt3OU09vwQwhkpOPPYv2Y/edit?usp=sharing"",""งบพรบ!HX55"")"),0)</f>
        <v>0</v>
      </c>
      <c r="H55" s="151">
        <f ca="1">IFERROR(__xludf.DUMMYFUNCTION("IMPORTRANGE(""https://docs.google.com/spreadsheets/d/1-uDff_7J0KD5mKrp0Vvzr7lt3OU09vwQwhkpOPPYv2Y/edit?usp=sharing"",""งบพรบ!HZ55"")"),0)</f>
        <v>0</v>
      </c>
      <c r="I55" s="151">
        <f ca="1">IFERROR(__xludf.DUMMYFUNCTION("IMPORTRANGE(""https://docs.google.com/spreadsheets/d/1-uDff_7J0KD5mKrp0Vvzr7lt3OU09vwQwhkpOPPYv2Y/edit?usp=sharing"",""งบพรบ!IA55"")"),0)</f>
        <v>0</v>
      </c>
      <c r="J55" s="151">
        <f t="shared" ca="1" si="23"/>
        <v>0</v>
      </c>
      <c r="K55" s="154">
        <f t="shared" ca="1" si="24"/>
        <v>0</v>
      </c>
      <c r="L55" s="151">
        <f ca="1">IFERROR(__xludf.DUMMYFUNCTION("IMPORTRANGE(""https://docs.google.com/spreadsheets/d/1-uDff_7J0KD5mKrp0Vvzr7lt3OU09vwQwhkpOPPYv2Y/edit?usp=sharing"",""งบพรบ!IB55"")"),0)</f>
        <v>0</v>
      </c>
      <c r="M55" s="68">
        <f t="shared" ca="1" si="25"/>
        <v>0</v>
      </c>
      <c r="N55" s="68">
        <f t="shared" ca="1" si="26"/>
        <v>0</v>
      </c>
      <c r="O55" s="151">
        <f ca="1">IFERROR(__xludf.DUMMYFUNCTION("IMPORTRANGE(""https://docs.google.com/spreadsheets/d/1-uDff_7J0KD5mKrp0Vvzr7lt3OU09vwQwhkpOPPYv2Y/edit?usp=sharing"",""งบพรบ!IC55"")"),0)</f>
        <v>0</v>
      </c>
      <c r="P55" s="67">
        <f t="shared" ca="1" si="27"/>
        <v>0</v>
      </c>
      <c r="Q55" s="68">
        <f t="shared" ca="1" si="28"/>
        <v>0</v>
      </c>
      <c r="R55" s="68">
        <f ca="1">IFERROR(__xludf.DUMMYFUNCTION("IMPORTRANGE(""https://docs.google.com/spreadsheets/d/1T1PQvRODqOBZk8BRht_U031fIS1beLA0Ub2CEytj2q0/edit?usp=sharing"",""ฉะเชิงเทรา!Q498"")"),0)</f>
        <v>0</v>
      </c>
      <c r="S55" s="68">
        <f ca="1">IFERROR(__xludf.DUMMYFUNCTION("IMPORTRANGE(""https://docs.google.com/spreadsheets/d/1T1PQvRODqOBZk8BRht_U031fIS1beLA0Ub2CEytj2q0/edit?usp=sharing"",""ฉะเชิงเทรา!R498"")"),0)</f>
        <v>0</v>
      </c>
      <c r="T55" s="68">
        <f ca="1">IFERROR(__xludf.DUMMYFUNCTION("IMPORTRANGE(""https://docs.google.com/spreadsheets/d/1T1PQvRODqOBZk8BRht_U031fIS1beLA0Ub2CEytj2q0/edit?usp=sharing"",""ฉะเชิงเทรา!S498"")"),0)</f>
        <v>0</v>
      </c>
      <c r="U55" s="68">
        <f t="shared" ca="1" si="30"/>
        <v>0</v>
      </c>
      <c r="V55" s="68">
        <f t="shared" ca="1" si="31"/>
        <v>0</v>
      </c>
      <c r="W55" s="278">
        <f ca="1">IFERROR(__xludf.DUMMYFUNCTION("IMPORTRANGE(""https://docs.google.com/spreadsheets/d/1T1PQvRODqOBZk8BRht_U031fIS1beLA0Ub2CEytj2q0/edit?usp=sharing"",""ฉะเชิงเทรา!I503"")"),0)</f>
        <v>0</v>
      </c>
      <c r="X55" s="152">
        <f ca="1">IFERROR(__xludf.DUMMYFUNCTION("IMPORTRANGE(""https://docs.google.com/spreadsheets/d/1T1PQvRODqOBZk8BRht_U031fIS1beLA0Ub2CEytj2q0/edit?usp=sharing"",""ฉะเชิงเทรา!J503"")"),0)</f>
        <v>0</v>
      </c>
      <c r="Y55" s="216">
        <f t="shared" ca="1" si="33"/>
        <v>0</v>
      </c>
      <c r="Z55" s="152">
        <f ca="1">IFERROR(__xludf.DUMMYFUNCTION("IMPORTRANGE(""https://docs.google.com/spreadsheets/d/1T1PQvRODqOBZk8BRht_U031fIS1beLA0Ub2CEytj2q0/edit?usp=sharing"",""ฉะเชิงเทรา!J504"")"),0)</f>
        <v>0</v>
      </c>
      <c r="AA55" s="152">
        <f ca="1">IFERROR(__xludf.DUMMYFUNCTION("IMPORTRANGE(""https://docs.google.com/spreadsheets/d/1T1PQvRODqOBZk8BRht_U031fIS1beLA0Ub2CEytj2q0/edit?usp=sharing"",""ฉะเชิงเทรา!J505"")"),0)</f>
        <v>0</v>
      </c>
      <c r="AB55" s="152">
        <f ca="1">IFERROR(__xludf.DUMMYFUNCTION("IMPORTRANGE(""https://docs.google.com/spreadsheets/d/1T1PQvRODqOBZk8BRht_U031fIS1beLA0Ub2CEytj2q0/edit?usp=sharing"",""ฉะเชิงเทรา!J506"")"),0)</f>
        <v>0</v>
      </c>
      <c r="AC55" s="152">
        <f ca="1">IFERROR(__xludf.DUMMYFUNCTION("IMPORTRANGE(""https://docs.google.com/spreadsheets/d/1T1PQvRODqOBZk8BRht_U031fIS1beLA0Ub2CEytj2q0/edit?usp=sharing"",""ฉะเชิงเทรา!J507"")"),0)</f>
        <v>0</v>
      </c>
      <c r="AD55" s="152">
        <f ca="1">IFERROR(__xludf.DUMMYFUNCTION("IMPORTRANGE(""https://docs.google.com/spreadsheets/d/1T1PQvRODqOBZk8BRht_U031fIS1beLA0Ub2CEytj2q0/edit?usp=sharing"",""ฉะเชิงเทรา!J508"")"),0)</f>
        <v>0</v>
      </c>
      <c r="AE55" s="152">
        <f ca="1">IFERROR(__xludf.DUMMYFUNCTION("IMPORTRANGE(""https://docs.google.com/spreadsheets/d/1T1PQvRODqOBZk8BRht_U031fIS1beLA0Ub2CEytj2q0/edit?usp=sharing"",""ฉะเชิงเทรา!J509"")"),0)</f>
        <v>0</v>
      </c>
    </row>
    <row r="56" spans="1:31" ht="21" customHeight="1" x14ac:dyDescent="0.3">
      <c r="A56" s="70">
        <v>4</v>
      </c>
      <c r="B56" s="71" t="s">
        <v>84</v>
      </c>
      <c r="C56" s="149">
        <f t="shared" ca="1" si="21"/>
        <v>37700</v>
      </c>
      <c r="D56" s="150">
        <f t="shared" ca="1" si="45"/>
        <v>37700</v>
      </c>
      <c r="E56" s="151">
        <f ca="1">IFERROR(__xludf.DUMMYFUNCTION("IMPORTRANGE(""https://docs.google.com/spreadsheets/d/1-uDff_7J0KD5mKrp0Vvzr7lt3OU09vwQwhkpOPPYv2Y/edit?usp=sharing"",""งบพรบ!HV56"")"),0)</f>
        <v>0</v>
      </c>
      <c r="F56" s="151">
        <f ca="1">IFERROR(__xludf.DUMMYFUNCTION("IMPORTRANGE(""https://docs.google.com/spreadsheets/d/1-uDff_7J0KD5mKrp0Vvzr7lt3OU09vwQwhkpOPPYv2Y/edit?usp=sharing"",""งบพรบ!HW56"")"),37700)</f>
        <v>37700</v>
      </c>
      <c r="G56" s="151">
        <f ca="1">IFERROR(__xludf.DUMMYFUNCTION("IMPORTRANGE(""https://docs.google.com/spreadsheets/d/1-uDff_7J0KD5mKrp0Vvzr7lt3OU09vwQwhkpOPPYv2Y/edit?usp=sharing"",""งบพรบ!HX56"")"),0)</f>
        <v>0</v>
      </c>
      <c r="H56" s="151">
        <f ca="1">IFERROR(__xludf.DUMMYFUNCTION("IMPORTRANGE(""https://docs.google.com/spreadsheets/d/1-uDff_7J0KD5mKrp0Vvzr7lt3OU09vwQwhkpOPPYv2Y/edit?usp=sharing"",""งบพรบ!HZ56"")"),37700)</f>
        <v>37700</v>
      </c>
      <c r="I56" s="151">
        <f ca="1">IFERROR(__xludf.DUMMYFUNCTION("IMPORTRANGE(""https://docs.google.com/spreadsheets/d/1-uDff_7J0KD5mKrp0Vvzr7lt3OU09vwQwhkpOPPYv2Y/edit?usp=sharing"",""งบพรบ!IA56"")"),0)</f>
        <v>0</v>
      </c>
      <c r="J56" s="151">
        <f t="shared" ca="1" si="23"/>
        <v>37700</v>
      </c>
      <c r="K56" s="154">
        <f t="shared" ca="1" si="24"/>
        <v>100</v>
      </c>
      <c r="L56" s="151">
        <f ca="1">IFERROR(__xludf.DUMMYFUNCTION("IMPORTRANGE(""https://docs.google.com/spreadsheets/d/1-uDff_7J0KD5mKrp0Vvzr7lt3OU09vwQwhkpOPPYv2Y/edit?usp=sharing"",""งบพรบ!IB56"")"),37700)</f>
        <v>37700</v>
      </c>
      <c r="M56" s="68">
        <f t="shared" ca="1" si="25"/>
        <v>100</v>
      </c>
      <c r="N56" s="68">
        <f t="shared" ca="1" si="26"/>
        <v>100</v>
      </c>
      <c r="O56" s="151">
        <f ca="1">IFERROR(__xludf.DUMMYFUNCTION("IMPORTRANGE(""https://docs.google.com/spreadsheets/d/1-uDff_7J0KD5mKrp0Vvzr7lt3OU09vwQwhkpOPPYv2Y/edit?usp=sharing"",""งบพรบ!IC56"")"),0)</f>
        <v>0</v>
      </c>
      <c r="P56" s="67">
        <f t="shared" ca="1" si="27"/>
        <v>0</v>
      </c>
      <c r="Q56" s="68">
        <f t="shared" ca="1" si="28"/>
        <v>0</v>
      </c>
      <c r="R56" s="68">
        <f ca="1">IFERROR(__xludf.DUMMYFUNCTION("IMPORTRANGE(""https://docs.google.com/spreadsheets/d/11tr1B-Bhyr79v2bkwVh5h_fR-PStkgjlZtkrZpYurG0/edit?usp=sharing"",""ชลบุรี!Q498"")"),699850)</f>
        <v>699850</v>
      </c>
      <c r="S56" s="68">
        <f ca="1">IFERROR(__xludf.DUMMYFUNCTION("IMPORTRANGE(""https://docs.google.com/spreadsheets/d/11tr1B-Bhyr79v2bkwVh5h_fR-PStkgjlZtkrZpYurG0/edit?usp=sharing"",""ชลบุรี!R498"")"),707550)</f>
        <v>707550</v>
      </c>
      <c r="T56" s="68">
        <f ca="1">IFERROR(__xludf.DUMMYFUNCTION("IMPORTRANGE(""https://docs.google.com/spreadsheets/d/11tr1B-Bhyr79v2bkwVh5h_fR-PStkgjlZtkrZpYurG0/edit?usp=sharing"",""ชลบุรี!S498"")"),387794.8)</f>
        <v>387794.8</v>
      </c>
      <c r="U56" s="68">
        <f t="shared" ca="1" si="30"/>
        <v>55.411130956633563</v>
      </c>
      <c r="V56" s="68">
        <f t="shared" ca="1" si="31"/>
        <v>54.808112500883333</v>
      </c>
      <c r="W56" s="278">
        <f ca="1">IFERROR(__xludf.DUMMYFUNCTION("IMPORTRANGE(""https://docs.google.com/spreadsheets/d/11tr1B-Bhyr79v2bkwVh5h_fR-PStkgjlZtkrZpYurG0/edit?usp=sharing"",""ชลบุรี!I503"")"),50)</f>
        <v>50</v>
      </c>
      <c r="X56" s="152">
        <f ca="1">IFERROR(__xludf.DUMMYFUNCTION("IMPORTRANGE(""https://docs.google.com/spreadsheets/d/11tr1B-Bhyr79v2bkwVh5h_fR-PStkgjlZtkrZpYurG0/edit?usp=sharing"",""ชลบุรี!J503"")"),50)</f>
        <v>50</v>
      </c>
      <c r="Y56" s="216">
        <f t="shared" ca="1" si="33"/>
        <v>100</v>
      </c>
      <c r="Z56" s="152">
        <f ca="1">IFERROR(__xludf.DUMMYFUNCTION("IMPORTRANGE(""https://docs.google.com/spreadsheets/d/11tr1B-Bhyr79v2bkwVh5h_fR-PStkgjlZtkrZpYurG0/edit?usp=sharing"",""ชลบุรี!J504"")"),50)</f>
        <v>50</v>
      </c>
      <c r="AA56" s="152">
        <f ca="1">IFERROR(__xludf.DUMMYFUNCTION("IMPORTRANGE(""https://docs.google.com/spreadsheets/d/11tr1B-Bhyr79v2bkwVh5h_fR-PStkgjlZtkrZpYurG0/edit?usp=sharing"",""ชลบุรี!J505"")"),50)</f>
        <v>50</v>
      </c>
      <c r="AB56" s="152">
        <f ca="1">IFERROR(__xludf.DUMMYFUNCTION("IMPORTRANGE(""https://docs.google.com/spreadsheets/d/11tr1B-Bhyr79v2bkwVh5h_fR-PStkgjlZtkrZpYurG0/edit?usp=sharing"",""ชลบุรี!J506"")"),50)</f>
        <v>50</v>
      </c>
      <c r="AC56" s="152">
        <f ca="1">IFERROR(__xludf.DUMMYFUNCTION("IMPORTRANGE(""https://docs.google.com/spreadsheets/d/11tr1B-Bhyr79v2bkwVh5h_fR-PStkgjlZtkrZpYurG0/edit?usp=sharing"",""ชลบุรี!J507"")"),20)</f>
        <v>20</v>
      </c>
      <c r="AD56" s="152">
        <f ca="1">IFERROR(__xludf.DUMMYFUNCTION("IMPORTRANGE(""https://docs.google.com/spreadsheets/d/11tr1B-Bhyr79v2bkwVh5h_fR-PStkgjlZtkrZpYurG0/edit?usp=sharing"",""ชลบุรี!J508"")"),0)</f>
        <v>0</v>
      </c>
      <c r="AE56" s="152">
        <f ca="1">IFERROR(__xludf.DUMMYFUNCTION("IMPORTRANGE(""https://docs.google.com/spreadsheets/d/11tr1B-Bhyr79v2bkwVh5h_fR-PStkgjlZtkrZpYurG0/edit?usp=sharing"",""ชลบุรี!J509"")"),0)</f>
        <v>0</v>
      </c>
    </row>
    <row r="57" spans="1:31" ht="21" customHeight="1" x14ac:dyDescent="0.3">
      <c r="A57" s="70">
        <v>5</v>
      </c>
      <c r="B57" s="71" t="s">
        <v>85</v>
      </c>
      <c r="C57" s="149">
        <f t="shared" ca="1" si="21"/>
        <v>0</v>
      </c>
      <c r="D57" s="150">
        <f t="shared" ca="1" si="45"/>
        <v>0</v>
      </c>
      <c r="E57" s="151">
        <f ca="1">IFERROR(__xludf.DUMMYFUNCTION("IMPORTRANGE(""https://docs.google.com/spreadsheets/d/1-uDff_7J0KD5mKrp0Vvzr7lt3OU09vwQwhkpOPPYv2Y/edit?usp=sharing"",""งบพรบ!HV57"")"),0)</f>
        <v>0</v>
      </c>
      <c r="F57" s="151">
        <f ca="1">IFERROR(__xludf.DUMMYFUNCTION("IMPORTRANGE(""https://docs.google.com/spreadsheets/d/1-uDff_7J0KD5mKrp0Vvzr7lt3OU09vwQwhkpOPPYv2Y/edit?usp=sharing"",""งบพรบ!HW57"")"),0)</f>
        <v>0</v>
      </c>
      <c r="G57" s="151">
        <f ca="1">IFERROR(__xludf.DUMMYFUNCTION("IMPORTRANGE(""https://docs.google.com/spreadsheets/d/1-uDff_7J0KD5mKrp0Vvzr7lt3OU09vwQwhkpOPPYv2Y/edit?usp=sharing"",""งบพรบ!HX57"")"),0)</f>
        <v>0</v>
      </c>
      <c r="H57" s="151">
        <f ca="1">IFERROR(__xludf.DUMMYFUNCTION("IMPORTRANGE(""https://docs.google.com/spreadsheets/d/1-uDff_7J0KD5mKrp0Vvzr7lt3OU09vwQwhkpOPPYv2Y/edit?usp=sharing"",""งบพรบ!HZ57"")"),0)</f>
        <v>0</v>
      </c>
      <c r="I57" s="151">
        <f ca="1">IFERROR(__xludf.DUMMYFUNCTION("IMPORTRANGE(""https://docs.google.com/spreadsheets/d/1-uDff_7J0KD5mKrp0Vvzr7lt3OU09vwQwhkpOPPYv2Y/edit?usp=sharing"",""งบพรบ!IA57"")"),0)</f>
        <v>0</v>
      </c>
      <c r="J57" s="151">
        <f t="shared" ca="1" si="23"/>
        <v>0</v>
      </c>
      <c r="K57" s="154">
        <f t="shared" ca="1" si="24"/>
        <v>0</v>
      </c>
      <c r="L57" s="151">
        <f ca="1">IFERROR(__xludf.DUMMYFUNCTION("IMPORTRANGE(""https://docs.google.com/spreadsheets/d/1-uDff_7J0KD5mKrp0Vvzr7lt3OU09vwQwhkpOPPYv2Y/edit?usp=sharing"",""งบพรบ!IB57"")"),0)</f>
        <v>0</v>
      </c>
      <c r="M57" s="68">
        <f t="shared" ca="1" si="25"/>
        <v>0</v>
      </c>
      <c r="N57" s="68">
        <f t="shared" ca="1" si="26"/>
        <v>0</v>
      </c>
      <c r="O57" s="151">
        <f ca="1">IFERROR(__xludf.DUMMYFUNCTION("IMPORTRANGE(""https://docs.google.com/spreadsheets/d/1-uDff_7J0KD5mKrp0Vvzr7lt3OU09vwQwhkpOPPYv2Y/edit?usp=sharing"",""งบพรบ!IC57"")"),0)</f>
        <v>0</v>
      </c>
      <c r="P57" s="67">
        <f t="shared" ca="1" si="27"/>
        <v>0</v>
      </c>
      <c r="Q57" s="68">
        <f t="shared" ca="1" si="28"/>
        <v>0</v>
      </c>
      <c r="R57" s="68">
        <f ca="1">IFERROR(__xludf.DUMMYFUNCTION("IMPORTRANGE(""https://docs.google.com/spreadsheets/d/1hh-FVnSX0vozXhGluamEcS54Dw9_zqW0N7qJUWgJ0Sw/edit?usp=sharing"",""ชัยนาท!Q498"")"),0)</f>
        <v>0</v>
      </c>
      <c r="S57" s="68">
        <f ca="1">IFERROR(__xludf.DUMMYFUNCTION("IMPORTRANGE(""https://docs.google.com/spreadsheets/d/1hh-FVnSX0vozXhGluamEcS54Dw9_zqW0N7qJUWgJ0Sw/edit?usp=sharing"",""ชัยนาท!R498"")"),0)</f>
        <v>0</v>
      </c>
      <c r="T57" s="68">
        <f ca="1">IFERROR(__xludf.DUMMYFUNCTION("IMPORTRANGE(""https://docs.google.com/spreadsheets/d/1hh-FVnSX0vozXhGluamEcS54Dw9_zqW0N7qJUWgJ0Sw/edit?usp=sharing"",""ชัยนาท!S498"")"),0)</f>
        <v>0</v>
      </c>
      <c r="U57" s="68">
        <f t="shared" ca="1" si="30"/>
        <v>0</v>
      </c>
      <c r="V57" s="68">
        <f t="shared" ca="1" si="31"/>
        <v>0</v>
      </c>
      <c r="W57" s="278">
        <f ca="1">IFERROR(__xludf.DUMMYFUNCTION("IMPORTRANGE(""https://docs.google.com/spreadsheets/d/1hh-FVnSX0vozXhGluamEcS54Dw9_zqW0N7qJUWgJ0Sw/edit?usp=sharing"",""ชัยนาท!I503"")"),0)</f>
        <v>0</v>
      </c>
      <c r="X57" s="152">
        <f ca="1">IFERROR(__xludf.DUMMYFUNCTION("IMPORTRANGE(""https://docs.google.com/spreadsheets/d/1hh-FVnSX0vozXhGluamEcS54Dw9_zqW0N7qJUWgJ0Sw/edit?usp=sharing"",""ชัยนาท!J503"")"),0)</f>
        <v>0</v>
      </c>
      <c r="Y57" s="216">
        <f t="shared" ca="1" si="33"/>
        <v>0</v>
      </c>
      <c r="Z57" s="152">
        <f ca="1">IFERROR(__xludf.DUMMYFUNCTION("IMPORTRANGE(""https://docs.google.com/spreadsheets/d/1hh-FVnSX0vozXhGluamEcS54Dw9_zqW0N7qJUWgJ0Sw/edit?usp=sharing"",""ชัยนาท!J504"")"),0)</f>
        <v>0</v>
      </c>
      <c r="AA57" s="152">
        <f ca="1">IFERROR(__xludf.DUMMYFUNCTION("IMPORTRANGE(""https://docs.google.com/spreadsheets/d/1hh-FVnSX0vozXhGluamEcS54Dw9_zqW0N7qJUWgJ0Sw/edit?usp=sharing"",""ชัยนาท!J505"")"),0)</f>
        <v>0</v>
      </c>
      <c r="AB57" s="152">
        <f ca="1">IFERROR(__xludf.DUMMYFUNCTION("IMPORTRANGE(""https://docs.google.com/spreadsheets/d/1hh-FVnSX0vozXhGluamEcS54Dw9_zqW0N7qJUWgJ0Sw/edit?usp=sharing"",""ชัยนาท!J506"")"),0)</f>
        <v>0</v>
      </c>
      <c r="AC57" s="152">
        <f ca="1">IFERROR(__xludf.DUMMYFUNCTION("IMPORTRANGE(""https://docs.google.com/spreadsheets/d/1hh-FVnSX0vozXhGluamEcS54Dw9_zqW0N7qJUWgJ0Sw/edit?usp=sharing"",""ชัยนาท!J507"")"),0)</f>
        <v>0</v>
      </c>
      <c r="AD57" s="152">
        <f ca="1">IFERROR(__xludf.DUMMYFUNCTION("IMPORTRANGE(""https://docs.google.com/spreadsheets/d/1hh-FVnSX0vozXhGluamEcS54Dw9_zqW0N7qJUWgJ0Sw/edit?usp=sharing"",""ชัยนาท!J508"")"),0)</f>
        <v>0</v>
      </c>
      <c r="AE57" s="152">
        <f ca="1">IFERROR(__xludf.DUMMYFUNCTION("IMPORTRANGE(""https://docs.google.com/spreadsheets/d/1hh-FVnSX0vozXhGluamEcS54Dw9_zqW0N7qJUWgJ0Sw/edit?usp=sharing"",""ชัยนาท!J509"")"),0)</f>
        <v>0</v>
      </c>
    </row>
    <row r="58" spans="1:31" ht="21" customHeight="1" x14ac:dyDescent="0.3">
      <c r="A58" s="70">
        <v>6</v>
      </c>
      <c r="B58" s="71" t="s">
        <v>86</v>
      </c>
      <c r="C58" s="149">
        <f t="shared" ca="1" si="21"/>
        <v>0</v>
      </c>
      <c r="D58" s="150">
        <f t="shared" ca="1" si="45"/>
        <v>0</v>
      </c>
      <c r="E58" s="151">
        <f ca="1">IFERROR(__xludf.DUMMYFUNCTION("IMPORTRANGE(""https://docs.google.com/spreadsheets/d/1-uDff_7J0KD5mKrp0Vvzr7lt3OU09vwQwhkpOPPYv2Y/edit?usp=sharing"",""งบพรบ!HV58"")"),0)</f>
        <v>0</v>
      </c>
      <c r="F58" s="151">
        <f ca="1">IFERROR(__xludf.DUMMYFUNCTION("IMPORTRANGE(""https://docs.google.com/spreadsheets/d/1-uDff_7J0KD5mKrp0Vvzr7lt3OU09vwQwhkpOPPYv2Y/edit?usp=sharing"",""งบพรบ!HW58"")"),0)</f>
        <v>0</v>
      </c>
      <c r="G58" s="151">
        <f ca="1">IFERROR(__xludf.DUMMYFUNCTION("IMPORTRANGE(""https://docs.google.com/spreadsheets/d/1-uDff_7J0KD5mKrp0Vvzr7lt3OU09vwQwhkpOPPYv2Y/edit?usp=sharing"",""งบพรบ!HX58"")"),0)</f>
        <v>0</v>
      </c>
      <c r="H58" s="151">
        <f ca="1">IFERROR(__xludf.DUMMYFUNCTION("IMPORTRANGE(""https://docs.google.com/spreadsheets/d/1-uDff_7J0KD5mKrp0Vvzr7lt3OU09vwQwhkpOPPYv2Y/edit?usp=sharing"",""งบพรบ!HZ58"")"),0)</f>
        <v>0</v>
      </c>
      <c r="I58" s="151">
        <f ca="1">IFERROR(__xludf.DUMMYFUNCTION("IMPORTRANGE(""https://docs.google.com/spreadsheets/d/1-uDff_7J0KD5mKrp0Vvzr7lt3OU09vwQwhkpOPPYv2Y/edit?usp=sharing"",""งบพรบ!IA58"")"),0)</f>
        <v>0</v>
      </c>
      <c r="J58" s="151">
        <f t="shared" ca="1" si="23"/>
        <v>0</v>
      </c>
      <c r="K58" s="154">
        <f t="shared" ca="1" si="24"/>
        <v>0</v>
      </c>
      <c r="L58" s="151">
        <f ca="1">IFERROR(__xludf.DUMMYFUNCTION("IMPORTRANGE(""https://docs.google.com/spreadsheets/d/1-uDff_7J0KD5mKrp0Vvzr7lt3OU09vwQwhkpOPPYv2Y/edit?usp=sharing"",""งบพรบ!IB58"")"),0)</f>
        <v>0</v>
      </c>
      <c r="M58" s="68">
        <f t="shared" ca="1" si="25"/>
        <v>0</v>
      </c>
      <c r="N58" s="68">
        <f t="shared" ca="1" si="26"/>
        <v>0</v>
      </c>
      <c r="O58" s="151">
        <f ca="1">IFERROR(__xludf.DUMMYFUNCTION("IMPORTRANGE(""https://docs.google.com/spreadsheets/d/1-uDff_7J0KD5mKrp0Vvzr7lt3OU09vwQwhkpOPPYv2Y/edit?usp=sharing"",""งบพรบ!IC58"")"),0)</f>
        <v>0</v>
      </c>
      <c r="P58" s="67">
        <f t="shared" ca="1" si="27"/>
        <v>0</v>
      </c>
      <c r="Q58" s="68">
        <f t="shared" ca="1" si="28"/>
        <v>0</v>
      </c>
      <c r="R58" s="68">
        <f ca="1">IFERROR(__xludf.DUMMYFUNCTION("IMPORTRANGE(""https://docs.google.com/spreadsheets/d/1jkqa6GXxSacMcY1eN8AHjMNJ_7dDXMJVRLDlaFSOdPM/edit?usp=sharing"",""ตราด!Q498"")"),0)</f>
        <v>0</v>
      </c>
      <c r="S58" s="68">
        <f ca="1">IFERROR(__xludf.DUMMYFUNCTION("IMPORTRANGE(""https://docs.google.com/spreadsheets/d/1jkqa6GXxSacMcY1eN8AHjMNJ_7dDXMJVRLDlaFSOdPM/edit?usp=sharing"",""ตราด!R498"")"),0)</f>
        <v>0</v>
      </c>
      <c r="T58" s="68">
        <f ca="1">IFERROR(__xludf.DUMMYFUNCTION("IMPORTRANGE(""https://docs.google.com/spreadsheets/d/1jkqa6GXxSacMcY1eN8AHjMNJ_7dDXMJVRLDlaFSOdPM/edit?usp=sharing"",""ตราด!S498"")"),0)</f>
        <v>0</v>
      </c>
      <c r="U58" s="68">
        <f t="shared" ca="1" si="30"/>
        <v>0</v>
      </c>
      <c r="V58" s="68">
        <f t="shared" ca="1" si="31"/>
        <v>0</v>
      </c>
      <c r="W58" s="278">
        <f ca="1">IFERROR(__xludf.DUMMYFUNCTION("IMPORTRANGE(""https://docs.google.com/spreadsheets/d/1jkqa6GXxSacMcY1eN8AHjMNJ_7dDXMJVRLDlaFSOdPM/edit?usp=sharing"",""ตราด!I503"")"),0)</f>
        <v>0</v>
      </c>
      <c r="X58" s="152">
        <f ca="1">IFERROR(__xludf.DUMMYFUNCTION("IMPORTRANGE(""https://docs.google.com/spreadsheets/d/1jkqa6GXxSacMcY1eN8AHjMNJ_7dDXMJVRLDlaFSOdPM/edit?usp=sharing"",""ตราด!J503"")"),0)</f>
        <v>0</v>
      </c>
      <c r="Y58" s="216">
        <f t="shared" ca="1" si="33"/>
        <v>0</v>
      </c>
      <c r="Z58" s="152">
        <f ca="1">IFERROR(__xludf.DUMMYFUNCTION("IMPORTRANGE(""https://docs.google.com/spreadsheets/d/1jkqa6GXxSacMcY1eN8AHjMNJ_7dDXMJVRLDlaFSOdPM/edit?usp=sharing"",""ตราด!J504"")"),0)</f>
        <v>0</v>
      </c>
      <c r="AA58" s="152">
        <f ca="1">IFERROR(__xludf.DUMMYFUNCTION("IMPORTRANGE(""https://docs.google.com/spreadsheets/d/1jkqa6GXxSacMcY1eN8AHjMNJ_7dDXMJVRLDlaFSOdPM/edit?usp=sharing"",""ตราด!J505"")"),0)</f>
        <v>0</v>
      </c>
      <c r="AB58" s="152">
        <f ca="1">IFERROR(__xludf.DUMMYFUNCTION("IMPORTRANGE(""https://docs.google.com/spreadsheets/d/1jkqa6GXxSacMcY1eN8AHjMNJ_7dDXMJVRLDlaFSOdPM/edit?usp=sharing"",""ตราด!J506"")"),0)</f>
        <v>0</v>
      </c>
      <c r="AC58" s="152">
        <f ca="1">IFERROR(__xludf.DUMMYFUNCTION("IMPORTRANGE(""https://docs.google.com/spreadsheets/d/1jkqa6GXxSacMcY1eN8AHjMNJ_7dDXMJVRLDlaFSOdPM/edit?usp=sharing"",""ตราด!J507"")"),0)</f>
        <v>0</v>
      </c>
      <c r="AD58" s="152">
        <f ca="1">IFERROR(__xludf.DUMMYFUNCTION("IMPORTRANGE(""https://docs.google.com/spreadsheets/d/1jkqa6GXxSacMcY1eN8AHjMNJ_7dDXMJVRLDlaFSOdPM/edit?usp=sharing"",""ตราด!J508"")"),0)</f>
        <v>0</v>
      </c>
      <c r="AE58" s="152">
        <f ca="1">IFERROR(__xludf.DUMMYFUNCTION("IMPORTRANGE(""https://docs.google.com/spreadsheets/d/1jkqa6GXxSacMcY1eN8AHjMNJ_7dDXMJVRLDlaFSOdPM/edit?usp=sharing"",""ตราด!J509"")"),0)</f>
        <v>0</v>
      </c>
    </row>
    <row r="59" spans="1:31" ht="21" customHeight="1" x14ac:dyDescent="0.3">
      <c r="A59" s="70">
        <v>7</v>
      </c>
      <c r="B59" s="71" t="s">
        <v>87</v>
      </c>
      <c r="C59" s="149">
        <f t="shared" ca="1" si="21"/>
        <v>0</v>
      </c>
      <c r="D59" s="150">
        <f t="shared" ca="1" si="45"/>
        <v>0</v>
      </c>
      <c r="E59" s="151">
        <f ca="1">IFERROR(__xludf.DUMMYFUNCTION("IMPORTRANGE(""https://docs.google.com/spreadsheets/d/1-uDff_7J0KD5mKrp0Vvzr7lt3OU09vwQwhkpOPPYv2Y/edit?usp=sharing"",""งบพรบ!HV59"")"),0)</f>
        <v>0</v>
      </c>
      <c r="F59" s="151">
        <f ca="1">IFERROR(__xludf.DUMMYFUNCTION("IMPORTRANGE(""https://docs.google.com/spreadsheets/d/1-uDff_7J0KD5mKrp0Vvzr7lt3OU09vwQwhkpOPPYv2Y/edit?usp=sharing"",""งบพรบ!HW59"")"),0)</f>
        <v>0</v>
      </c>
      <c r="G59" s="151">
        <f ca="1">IFERROR(__xludf.DUMMYFUNCTION("IMPORTRANGE(""https://docs.google.com/spreadsheets/d/1-uDff_7J0KD5mKrp0Vvzr7lt3OU09vwQwhkpOPPYv2Y/edit?usp=sharing"",""งบพรบ!HX59"")"),0)</f>
        <v>0</v>
      </c>
      <c r="H59" s="151">
        <f ca="1">IFERROR(__xludf.DUMMYFUNCTION("IMPORTRANGE(""https://docs.google.com/spreadsheets/d/1-uDff_7J0KD5mKrp0Vvzr7lt3OU09vwQwhkpOPPYv2Y/edit?usp=sharing"",""งบพรบ!HZ59"")"),0)</f>
        <v>0</v>
      </c>
      <c r="I59" s="151">
        <f ca="1">IFERROR(__xludf.DUMMYFUNCTION("IMPORTRANGE(""https://docs.google.com/spreadsheets/d/1-uDff_7J0KD5mKrp0Vvzr7lt3OU09vwQwhkpOPPYv2Y/edit?usp=sharing"",""งบพรบ!IA59"")"),0)</f>
        <v>0</v>
      </c>
      <c r="J59" s="151">
        <f t="shared" ca="1" si="23"/>
        <v>0</v>
      </c>
      <c r="K59" s="154">
        <f t="shared" ca="1" si="24"/>
        <v>0</v>
      </c>
      <c r="L59" s="151">
        <f ca="1">IFERROR(__xludf.DUMMYFUNCTION("IMPORTRANGE(""https://docs.google.com/spreadsheets/d/1-uDff_7J0KD5mKrp0Vvzr7lt3OU09vwQwhkpOPPYv2Y/edit?usp=sharing"",""งบพรบ!IB59"")"),0)</f>
        <v>0</v>
      </c>
      <c r="M59" s="68">
        <f t="shared" ca="1" si="25"/>
        <v>0</v>
      </c>
      <c r="N59" s="68">
        <f t="shared" ca="1" si="26"/>
        <v>0</v>
      </c>
      <c r="O59" s="151">
        <f ca="1">IFERROR(__xludf.DUMMYFUNCTION("IMPORTRANGE(""https://docs.google.com/spreadsheets/d/1-uDff_7J0KD5mKrp0Vvzr7lt3OU09vwQwhkpOPPYv2Y/edit?usp=sharing"",""งบพรบ!IC59"")"),0)</f>
        <v>0</v>
      </c>
      <c r="P59" s="67">
        <f t="shared" ca="1" si="27"/>
        <v>0</v>
      </c>
      <c r="Q59" s="68">
        <f t="shared" ca="1" si="28"/>
        <v>0</v>
      </c>
      <c r="R59" s="68">
        <f ca="1">IFERROR(__xludf.DUMMYFUNCTION("IMPORTRANGE(""https://docs.google.com/spreadsheets/d/18hSgUJ3VwClqi_qtULmmW3cLr0oe3OKaSYoKzdpTsYQ/edit?usp=sharing"",""นครนายก!Q498"")"),0)</f>
        <v>0</v>
      </c>
      <c r="S59" s="68">
        <f ca="1">IFERROR(__xludf.DUMMYFUNCTION("IMPORTRANGE(""https://docs.google.com/spreadsheets/d/18hSgUJ3VwClqi_qtULmmW3cLr0oe3OKaSYoKzdpTsYQ/edit?usp=sharing"",""นครนายก!R498"")"),0)</f>
        <v>0</v>
      </c>
      <c r="T59" s="68">
        <f ca="1">IFERROR(__xludf.DUMMYFUNCTION("IMPORTRANGE(""https://docs.google.com/spreadsheets/d/18hSgUJ3VwClqi_qtULmmW3cLr0oe3OKaSYoKzdpTsYQ/edit?usp=sharing"",""นครนายก!S498"")"),0)</f>
        <v>0</v>
      </c>
      <c r="U59" s="68">
        <f t="shared" ca="1" si="30"/>
        <v>0</v>
      </c>
      <c r="V59" s="68">
        <f t="shared" ca="1" si="31"/>
        <v>0</v>
      </c>
      <c r="W59" s="278">
        <f ca="1">IFERROR(__xludf.DUMMYFUNCTION("IMPORTRANGE(""https://docs.google.com/spreadsheets/d/18hSgUJ3VwClqi_qtULmmW3cLr0oe3OKaSYoKzdpTsYQ/edit?usp=sharing"",""นครนายก!I503"")"),0)</f>
        <v>0</v>
      </c>
      <c r="X59" s="152">
        <f ca="1">IFERROR(__xludf.DUMMYFUNCTION("IMPORTRANGE(""https://docs.google.com/spreadsheets/d/18hSgUJ3VwClqi_qtULmmW3cLr0oe3OKaSYoKzdpTsYQ/edit?usp=sharing"",""นครนายก!J503"")"),0)</f>
        <v>0</v>
      </c>
      <c r="Y59" s="216">
        <f t="shared" ca="1" si="33"/>
        <v>0</v>
      </c>
      <c r="Z59" s="152">
        <f ca="1">IFERROR(__xludf.DUMMYFUNCTION("IMPORTRANGE(""https://docs.google.com/spreadsheets/d/18hSgUJ3VwClqi_qtULmmW3cLr0oe3OKaSYoKzdpTsYQ/edit?usp=sharing"",""นครนายก!J504"")"),0)</f>
        <v>0</v>
      </c>
      <c r="AA59" s="152">
        <f ca="1">IFERROR(__xludf.DUMMYFUNCTION("IMPORTRANGE(""https://docs.google.com/spreadsheets/d/18hSgUJ3VwClqi_qtULmmW3cLr0oe3OKaSYoKzdpTsYQ/edit?usp=sharing"",""นครนายก!J505"")"),0)</f>
        <v>0</v>
      </c>
      <c r="AB59" s="152">
        <f ca="1">IFERROR(__xludf.DUMMYFUNCTION("IMPORTRANGE(""https://docs.google.com/spreadsheets/d/18hSgUJ3VwClqi_qtULmmW3cLr0oe3OKaSYoKzdpTsYQ/edit?usp=sharing"",""นครนายก!J506"")"),0)</f>
        <v>0</v>
      </c>
      <c r="AC59" s="152">
        <f ca="1">IFERROR(__xludf.DUMMYFUNCTION("IMPORTRANGE(""https://docs.google.com/spreadsheets/d/18hSgUJ3VwClqi_qtULmmW3cLr0oe3OKaSYoKzdpTsYQ/edit?usp=sharing"",""นครนายก!J507"")"),0)</f>
        <v>0</v>
      </c>
      <c r="AD59" s="152">
        <f ca="1">IFERROR(__xludf.DUMMYFUNCTION("IMPORTRANGE(""https://docs.google.com/spreadsheets/d/18hSgUJ3VwClqi_qtULmmW3cLr0oe3OKaSYoKzdpTsYQ/edit?usp=sharing"",""นครนายก!J508"")"),0)</f>
        <v>0</v>
      </c>
      <c r="AE59" s="152">
        <f ca="1">IFERROR(__xludf.DUMMYFUNCTION("IMPORTRANGE(""https://docs.google.com/spreadsheets/d/18hSgUJ3VwClqi_qtULmmW3cLr0oe3OKaSYoKzdpTsYQ/edit?usp=sharing"",""นครนายก!J509"")"),0)</f>
        <v>0</v>
      </c>
    </row>
    <row r="60" spans="1:31" ht="21" customHeight="1" x14ac:dyDescent="0.3">
      <c r="A60" s="70">
        <v>8</v>
      </c>
      <c r="B60" s="71" t="s">
        <v>88</v>
      </c>
      <c r="C60" s="149">
        <f t="shared" ca="1" si="21"/>
        <v>0</v>
      </c>
      <c r="D60" s="150">
        <f t="shared" ca="1" si="45"/>
        <v>0</v>
      </c>
      <c r="E60" s="151">
        <f ca="1">IFERROR(__xludf.DUMMYFUNCTION("IMPORTRANGE(""https://docs.google.com/spreadsheets/d/1-uDff_7J0KD5mKrp0Vvzr7lt3OU09vwQwhkpOPPYv2Y/edit?usp=sharing"",""งบพรบ!HV60"")"),0)</f>
        <v>0</v>
      </c>
      <c r="F60" s="151">
        <f ca="1">IFERROR(__xludf.DUMMYFUNCTION("IMPORTRANGE(""https://docs.google.com/spreadsheets/d/1-uDff_7J0KD5mKrp0Vvzr7lt3OU09vwQwhkpOPPYv2Y/edit?usp=sharing"",""งบพรบ!HW60"")"),0)</f>
        <v>0</v>
      </c>
      <c r="G60" s="151">
        <f ca="1">IFERROR(__xludf.DUMMYFUNCTION("IMPORTRANGE(""https://docs.google.com/spreadsheets/d/1-uDff_7J0KD5mKrp0Vvzr7lt3OU09vwQwhkpOPPYv2Y/edit?usp=sharing"",""งบพรบ!HX60"")"),0)</f>
        <v>0</v>
      </c>
      <c r="H60" s="151">
        <f ca="1">IFERROR(__xludf.DUMMYFUNCTION("IMPORTRANGE(""https://docs.google.com/spreadsheets/d/1-uDff_7J0KD5mKrp0Vvzr7lt3OU09vwQwhkpOPPYv2Y/edit?usp=sharing"",""งบพรบ!HZ60"")"),0)</f>
        <v>0</v>
      </c>
      <c r="I60" s="151">
        <f ca="1">IFERROR(__xludf.DUMMYFUNCTION("IMPORTRANGE(""https://docs.google.com/spreadsheets/d/1-uDff_7J0KD5mKrp0Vvzr7lt3OU09vwQwhkpOPPYv2Y/edit?usp=sharing"",""งบพรบ!IA60"")"),0)</f>
        <v>0</v>
      </c>
      <c r="J60" s="151">
        <f t="shared" ca="1" si="23"/>
        <v>0</v>
      </c>
      <c r="K60" s="154">
        <f t="shared" ca="1" si="24"/>
        <v>0</v>
      </c>
      <c r="L60" s="151">
        <f ca="1">IFERROR(__xludf.DUMMYFUNCTION("IMPORTRANGE(""https://docs.google.com/spreadsheets/d/1-uDff_7J0KD5mKrp0Vvzr7lt3OU09vwQwhkpOPPYv2Y/edit?usp=sharing"",""งบพรบ!IB60"")"),0)</f>
        <v>0</v>
      </c>
      <c r="M60" s="68">
        <f t="shared" ca="1" si="25"/>
        <v>0</v>
      </c>
      <c r="N60" s="68">
        <f t="shared" ca="1" si="26"/>
        <v>0</v>
      </c>
      <c r="O60" s="151">
        <f ca="1">IFERROR(__xludf.DUMMYFUNCTION("IMPORTRANGE(""https://docs.google.com/spreadsheets/d/1-uDff_7J0KD5mKrp0Vvzr7lt3OU09vwQwhkpOPPYv2Y/edit?usp=sharing"",""งบพรบ!IC60"")"),0)</f>
        <v>0</v>
      </c>
      <c r="P60" s="67">
        <f t="shared" ca="1" si="27"/>
        <v>0</v>
      </c>
      <c r="Q60" s="68">
        <f t="shared" ca="1" si="28"/>
        <v>0</v>
      </c>
      <c r="R60" s="68">
        <f ca="1">IFERROR(__xludf.DUMMYFUNCTION("IMPORTRANGE(""https://docs.google.com/spreadsheets/d/1YTZo6WM2dQ6Ix6FSdnL5P7uVnVKu40sxZu975tgG10E/edit?usp=sharing"",""นครปฐม!Q498"")"),0)</f>
        <v>0</v>
      </c>
      <c r="S60" s="68">
        <f ca="1">IFERROR(__xludf.DUMMYFUNCTION("IMPORTRANGE(""https://docs.google.com/spreadsheets/d/1YTZo6WM2dQ6Ix6FSdnL5P7uVnVKu40sxZu975tgG10E/edit?usp=sharing"",""นครปฐม!R498"")"),0)</f>
        <v>0</v>
      </c>
      <c r="T60" s="68">
        <f ca="1">IFERROR(__xludf.DUMMYFUNCTION("IMPORTRANGE(""https://docs.google.com/spreadsheets/d/1YTZo6WM2dQ6Ix6FSdnL5P7uVnVKu40sxZu975tgG10E/edit?usp=sharing"",""นครปฐม!S498"")"),0)</f>
        <v>0</v>
      </c>
      <c r="U60" s="68">
        <f t="shared" ca="1" si="30"/>
        <v>0</v>
      </c>
      <c r="V60" s="68">
        <f t="shared" ca="1" si="31"/>
        <v>0</v>
      </c>
      <c r="W60" s="278">
        <f ca="1">IFERROR(__xludf.DUMMYFUNCTION("IMPORTRANGE(""https://docs.google.com/spreadsheets/d/1YTZo6WM2dQ6Ix6FSdnL5P7uVnVKu40sxZu975tgG10E/edit?usp=sharing"",""นครปฐม!I503"")"),0)</f>
        <v>0</v>
      </c>
      <c r="X60" s="152">
        <f ca="1">IFERROR(__xludf.DUMMYFUNCTION("IMPORTRANGE(""https://docs.google.com/spreadsheets/d/1YTZo6WM2dQ6Ix6FSdnL5P7uVnVKu40sxZu975tgG10E/edit?usp=sharing"",""นครปฐม!J503"")"),0)</f>
        <v>0</v>
      </c>
      <c r="Y60" s="216">
        <f t="shared" ca="1" si="33"/>
        <v>0</v>
      </c>
      <c r="Z60" s="152">
        <f ca="1">IFERROR(__xludf.DUMMYFUNCTION("IMPORTRANGE(""https://docs.google.com/spreadsheets/d/1YTZo6WM2dQ6Ix6FSdnL5P7uVnVKu40sxZu975tgG10E/edit?usp=sharing"",""นครปฐม!J504"")"),0)</f>
        <v>0</v>
      </c>
      <c r="AA60" s="152">
        <f ca="1">IFERROR(__xludf.DUMMYFUNCTION("IMPORTRANGE(""https://docs.google.com/spreadsheets/d/1YTZo6WM2dQ6Ix6FSdnL5P7uVnVKu40sxZu975tgG10E/edit?usp=sharing"",""นครปฐม!J505"")"),0)</f>
        <v>0</v>
      </c>
      <c r="AB60" s="152">
        <f ca="1">IFERROR(__xludf.DUMMYFUNCTION("IMPORTRANGE(""https://docs.google.com/spreadsheets/d/1YTZo6WM2dQ6Ix6FSdnL5P7uVnVKu40sxZu975tgG10E/edit?usp=sharing"",""นครปฐม!J506"")"),0)</f>
        <v>0</v>
      </c>
      <c r="AC60" s="152">
        <f ca="1">IFERROR(__xludf.DUMMYFUNCTION("IMPORTRANGE(""https://docs.google.com/spreadsheets/d/1YTZo6WM2dQ6Ix6FSdnL5P7uVnVKu40sxZu975tgG10E/edit?usp=sharing"",""นครปฐม!J507"")"),0)</f>
        <v>0</v>
      </c>
      <c r="AD60" s="152">
        <f ca="1">IFERROR(__xludf.DUMMYFUNCTION("IMPORTRANGE(""https://docs.google.com/spreadsheets/d/1YTZo6WM2dQ6Ix6FSdnL5P7uVnVKu40sxZu975tgG10E/edit?usp=sharing"",""นครปฐม!J508"")"),0)</f>
        <v>0</v>
      </c>
      <c r="AE60" s="152">
        <f ca="1">IFERROR(__xludf.DUMMYFUNCTION("IMPORTRANGE(""https://docs.google.com/spreadsheets/d/1YTZo6WM2dQ6Ix6FSdnL5P7uVnVKu40sxZu975tgG10E/edit?usp=sharing"",""นครปฐม!J509"")"),0)</f>
        <v>0</v>
      </c>
    </row>
    <row r="61" spans="1:31" ht="21" customHeight="1" x14ac:dyDescent="0.3">
      <c r="A61" s="70">
        <v>9</v>
      </c>
      <c r="B61" s="71" t="s">
        <v>89</v>
      </c>
      <c r="C61" s="149">
        <f t="shared" ca="1" si="21"/>
        <v>0</v>
      </c>
      <c r="D61" s="150">
        <f t="shared" ca="1" si="45"/>
        <v>0</v>
      </c>
      <c r="E61" s="151">
        <f ca="1">IFERROR(__xludf.DUMMYFUNCTION("IMPORTRANGE(""https://docs.google.com/spreadsheets/d/1-uDff_7J0KD5mKrp0Vvzr7lt3OU09vwQwhkpOPPYv2Y/edit?usp=sharing"",""งบพรบ!HV61"")"),0)</f>
        <v>0</v>
      </c>
      <c r="F61" s="151">
        <f ca="1">IFERROR(__xludf.DUMMYFUNCTION("IMPORTRANGE(""https://docs.google.com/spreadsheets/d/1-uDff_7J0KD5mKrp0Vvzr7lt3OU09vwQwhkpOPPYv2Y/edit?usp=sharing"",""งบพรบ!HW61"")"),0)</f>
        <v>0</v>
      </c>
      <c r="G61" s="151">
        <f ca="1">IFERROR(__xludf.DUMMYFUNCTION("IMPORTRANGE(""https://docs.google.com/spreadsheets/d/1-uDff_7J0KD5mKrp0Vvzr7lt3OU09vwQwhkpOPPYv2Y/edit?usp=sharing"",""งบพรบ!HX61"")"),0)</f>
        <v>0</v>
      </c>
      <c r="H61" s="151">
        <f ca="1">IFERROR(__xludf.DUMMYFUNCTION("IMPORTRANGE(""https://docs.google.com/spreadsheets/d/1-uDff_7J0KD5mKrp0Vvzr7lt3OU09vwQwhkpOPPYv2Y/edit?usp=sharing"",""งบพรบ!HZ61"")"),0)</f>
        <v>0</v>
      </c>
      <c r="I61" s="151">
        <f ca="1">IFERROR(__xludf.DUMMYFUNCTION("IMPORTRANGE(""https://docs.google.com/spreadsheets/d/1-uDff_7J0KD5mKrp0Vvzr7lt3OU09vwQwhkpOPPYv2Y/edit?usp=sharing"",""งบพรบ!IA61"")"),0)</f>
        <v>0</v>
      </c>
      <c r="J61" s="151">
        <f t="shared" ca="1" si="23"/>
        <v>0</v>
      </c>
      <c r="K61" s="154">
        <f t="shared" ca="1" si="24"/>
        <v>0</v>
      </c>
      <c r="L61" s="151">
        <f ca="1">IFERROR(__xludf.DUMMYFUNCTION("IMPORTRANGE(""https://docs.google.com/spreadsheets/d/1-uDff_7J0KD5mKrp0Vvzr7lt3OU09vwQwhkpOPPYv2Y/edit?usp=sharing"",""งบพรบ!IB61"")"),0)</f>
        <v>0</v>
      </c>
      <c r="M61" s="68">
        <f t="shared" ca="1" si="25"/>
        <v>0</v>
      </c>
      <c r="N61" s="68">
        <f t="shared" ca="1" si="26"/>
        <v>0</v>
      </c>
      <c r="O61" s="151">
        <f ca="1">IFERROR(__xludf.DUMMYFUNCTION("IMPORTRANGE(""https://docs.google.com/spreadsheets/d/1-uDff_7J0KD5mKrp0Vvzr7lt3OU09vwQwhkpOPPYv2Y/edit?usp=sharing"",""งบพรบ!IC61"")"),0)</f>
        <v>0</v>
      </c>
      <c r="P61" s="67">
        <f t="shared" ca="1" si="27"/>
        <v>0</v>
      </c>
      <c r="Q61" s="68">
        <f t="shared" ca="1" si="28"/>
        <v>0</v>
      </c>
      <c r="R61" s="68">
        <f ca="1">IFERROR(__xludf.DUMMYFUNCTION("IMPORTRANGE(""https://docs.google.com/spreadsheets/d/1OYoGg4WDg5RIzwGeB10padOxJF9E_Vljuvvct_M7RDo/edit?usp=sharing"",""ปทุมธานี!Q498"")"),0)</f>
        <v>0</v>
      </c>
      <c r="S61" s="68">
        <f ca="1">IFERROR(__xludf.DUMMYFUNCTION("IMPORTRANGE(""https://docs.google.com/spreadsheets/d/1OYoGg4WDg5RIzwGeB10padOxJF9E_Vljuvvct_M7RDo/edit?usp=sharing"",""ปทุมธานี!R498"")"),0)</f>
        <v>0</v>
      </c>
      <c r="T61" s="68">
        <f ca="1">IFERROR(__xludf.DUMMYFUNCTION("IMPORTRANGE(""https://docs.google.com/spreadsheets/d/1OYoGg4WDg5RIzwGeB10padOxJF9E_Vljuvvct_M7RDo/edit?usp=sharing"",""ปทุมธานี!S498"")"),0)</f>
        <v>0</v>
      </c>
      <c r="U61" s="68">
        <f t="shared" ca="1" si="30"/>
        <v>0</v>
      </c>
      <c r="V61" s="68">
        <f t="shared" ca="1" si="31"/>
        <v>0</v>
      </c>
      <c r="W61" s="278">
        <f ca="1">IFERROR(__xludf.DUMMYFUNCTION("IMPORTRANGE(""https://docs.google.com/spreadsheets/d/1OYoGg4WDg5RIzwGeB10padOxJF9E_Vljuvvct_M7RDo/edit?usp=sharing"",""ปทุมธานี!I503"")"),0)</f>
        <v>0</v>
      </c>
      <c r="X61" s="152">
        <f ca="1">IFERROR(__xludf.DUMMYFUNCTION("IMPORTRANGE(""https://docs.google.com/spreadsheets/d/1OYoGg4WDg5RIzwGeB10padOxJF9E_Vljuvvct_M7RDo/edit?usp=sharing"",""ปทุมธานี!J503"")"),0)</f>
        <v>0</v>
      </c>
      <c r="Y61" s="216">
        <f t="shared" ca="1" si="33"/>
        <v>0</v>
      </c>
      <c r="Z61" s="152">
        <f ca="1">IFERROR(__xludf.DUMMYFUNCTION("IMPORTRANGE(""https://docs.google.com/spreadsheets/d/1OYoGg4WDg5RIzwGeB10padOxJF9E_Vljuvvct_M7RDo/edit?usp=sharing"",""ปทุมธานี!J504"")"),0)</f>
        <v>0</v>
      </c>
      <c r="AA61" s="152">
        <f ca="1">IFERROR(__xludf.DUMMYFUNCTION("IMPORTRANGE(""https://docs.google.com/spreadsheets/d/1OYoGg4WDg5RIzwGeB10padOxJF9E_Vljuvvct_M7RDo/edit?usp=sharing"",""ปทุมธานี!J505"")"),0)</f>
        <v>0</v>
      </c>
      <c r="AB61" s="152">
        <f ca="1">IFERROR(__xludf.DUMMYFUNCTION("IMPORTRANGE(""https://docs.google.com/spreadsheets/d/1OYoGg4WDg5RIzwGeB10padOxJF9E_Vljuvvct_M7RDo/edit?usp=sharing"",""ปทุมธานี!J506"")"),0)</f>
        <v>0</v>
      </c>
      <c r="AC61" s="152">
        <f ca="1">IFERROR(__xludf.DUMMYFUNCTION("IMPORTRANGE(""https://docs.google.com/spreadsheets/d/1OYoGg4WDg5RIzwGeB10padOxJF9E_Vljuvvct_M7RDo/edit?usp=sharing"",""ปทุมธานี!J507"")"),0)</f>
        <v>0</v>
      </c>
      <c r="AD61" s="152">
        <f ca="1">IFERROR(__xludf.DUMMYFUNCTION("IMPORTRANGE(""https://docs.google.com/spreadsheets/d/1OYoGg4WDg5RIzwGeB10padOxJF9E_Vljuvvct_M7RDo/edit?usp=sharing"",""ปทุมธานี!J508"")"),0)</f>
        <v>0</v>
      </c>
      <c r="AE61" s="152">
        <f ca="1">IFERROR(__xludf.DUMMYFUNCTION("IMPORTRANGE(""https://docs.google.com/spreadsheets/d/1OYoGg4WDg5RIzwGeB10padOxJF9E_Vljuvvct_M7RDo/edit?usp=sharing"",""ปทุมธานี!J509"")"),0)</f>
        <v>0</v>
      </c>
    </row>
    <row r="62" spans="1:31" ht="21" customHeight="1" x14ac:dyDescent="0.3">
      <c r="A62" s="70">
        <v>10</v>
      </c>
      <c r="B62" s="71" t="s">
        <v>90</v>
      </c>
      <c r="C62" s="149">
        <f t="shared" ca="1" si="21"/>
        <v>0</v>
      </c>
      <c r="D62" s="150">
        <f t="shared" ca="1" si="45"/>
        <v>0</v>
      </c>
      <c r="E62" s="151">
        <f ca="1">IFERROR(__xludf.DUMMYFUNCTION("IMPORTRANGE(""https://docs.google.com/spreadsheets/d/1-uDff_7J0KD5mKrp0Vvzr7lt3OU09vwQwhkpOPPYv2Y/edit?usp=sharing"",""งบพรบ!HV62"")"),0)</f>
        <v>0</v>
      </c>
      <c r="F62" s="151">
        <f ca="1">IFERROR(__xludf.DUMMYFUNCTION("IMPORTRANGE(""https://docs.google.com/spreadsheets/d/1-uDff_7J0KD5mKrp0Vvzr7lt3OU09vwQwhkpOPPYv2Y/edit?usp=sharing"",""งบพรบ!HW62"")"),0)</f>
        <v>0</v>
      </c>
      <c r="G62" s="151">
        <f ca="1">IFERROR(__xludf.DUMMYFUNCTION("IMPORTRANGE(""https://docs.google.com/spreadsheets/d/1-uDff_7J0KD5mKrp0Vvzr7lt3OU09vwQwhkpOPPYv2Y/edit?usp=sharing"",""งบพรบ!HX62"")"),0)</f>
        <v>0</v>
      </c>
      <c r="H62" s="151">
        <f ca="1">IFERROR(__xludf.DUMMYFUNCTION("IMPORTRANGE(""https://docs.google.com/spreadsheets/d/1-uDff_7J0KD5mKrp0Vvzr7lt3OU09vwQwhkpOPPYv2Y/edit?usp=sharing"",""งบพรบ!HZ62"")"),0)</f>
        <v>0</v>
      </c>
      <c r="I62" s="151">
        <f ca="1">IFERROR(__xludf.DUMMYFUNCTION("IMPORTRANGE(""https://docs.google.com/spreadsheets/d/1-uDff_7J0KD5mKrp0Vvzr7lt3OU09vwQwhkpOPPYv2Y/edit?usp=sharing"",""งบพรบ!IA62"")"),0)</f>
        <v>0</v>
      </c>
      <c r="J62" s="151">
        <f t="shared" ca="1" si="23"/>
        <v>0</v>
      </c>
      <c r="K62" s="154">
        <f t="shared" ca="1" si="24"/>
        <v>0</v>
      </c>
      <c r="L62" s="151">
        <f ca="1">IFERROR(__xludf.DUMMYFUNCTION("IMPORTRANGE(""https://docs.google.com/spreadsheets/d/1-uDff_7J0KD5mKrp0Vvzr7lt3OU09vwQwhkpOPPYv2Y/edit?usp=sharing"",""งบพรบ!IB62"")"),0)</f>
        <v>0</v>
      </c>
      <c r="M62" s="68">
        <f t="shared" ca="1" si="25"/>
        <v>0</v>
      </c>
      <c r="N62" s="68">
        <f t="shared" ca="1" si="26"/>
        <v>0</v>
      </c>
      <c r="O62" s="151">
        <f ca="1">IFERROR(__xludf.DUMMYFUNCTION("IMPORTRANGE(""https://docs.google.com/spreadsheets/d/1-uDff_7J0KD5mKrp0Vvzr7lt3OU09vwQwhkpOPPYv2Y/edit?usp=sharing"",""งบพรบ!IC62"")"),0)</f>
        <v>0</v>
      </c>
      <c r="P62" s="67">
        <f t="shared" ca="1" si="27"/>
        <v>0</v>
      </c>
      <c r="Q62" s="68">
        <f t="shared" ca="1" si="28"/>
        <v>0</v>
      </c>
      <c r="R62" s="68">
        <f ca="1">IFERROR(__xludf.DUMMYFUNCTION("IMPORTRANGE(""https://docs.google.com/spreadsheets/d/1GbCIE4D4wk9FUozzqk7SxfDMxDVBwVmI5zcaVUSzKAc/edit?usp=sharing"",""ประจวบคีรีขันธ์!Q498"")"),0)</f>
        <v>0</v>
      </c>
      <c r="S62" s="68">
        <f ca="1">IFERROR(__xludf.DUMMYFUNCTION("IMPORTRANGE(""https://docs.google.com/spreadsheets/d/1GbCIE4D4wk9FUozzqk7SxfDMxDVBwVmI5zcaVUSzKAc/edit?usp=sharing"",""ประจวบคีรีขันธ์!R498"")"),0)</f>
        <v>0</v>
      </c>
      <c r="T62" s="68">
        <f ca="1">IFERROR(__xludf.DUMMYFUNCTION("IMPORTRANGE(""https://docs.google.com/spreadsheets/d/1GbCIE4D4wk9FUozzqk7SxfDMxDVBwVmI5zcaVUSzKAc/edit?usp=sharing"",""ประจวบคีรีขันธ์!S498"")"),0)</f>
        <v>0</v>
      </c>
      <c r="U62" s="68">
        <f t="shared" ca="1" si="30"/>
        <v>0</v>
      </c>
      <c r="V62" s="68">
        <f t="shared" ca="1" si="31"/>
        <v>0</v>
      </c>
      <c r="W62" s="278">
        <f ca="1">IFERROR(__xludf.DUMMYFUNCTION("IMPORTRANGE(""https://docs.google.com/spreadsheets/d/1GbCIE4D4wk9FUozzqk7SxfDMxDVBwVmI5zcaVUSzKAc/edit?usp=sharing"",""ประจวบคีรีขันธ์!I503"")"),0)</f>
        <v>0</v>
      </c>
      <c r="X62" s="152">
        <f ca="1">IFERROR(__xludf.DUMMYFUNCTION("IMPORTRANGE(""https://docs.google.com/spreadsheets/d/1GbCIE4D4wk9FUozzqk7SxfDMxDVBwVmI5zcaVUSzKAc/edit?usp=sharing"",""ประจวบคีรีขันธ์!J503"")"),0)</f>
        <v>0</v>
      </c>
      <c r="Y62" s="216">
        <f t="shared" ca="1" si="33"/>
        <v>0</v>
      </c>
      <c r="Z62" s="152">
        <f ca="1">IFERROR(__xludf.DUMMYFUNCTION("IMPORTRANGE(""https://docs.google.com/spreadsheets/d/1GbCIE4D4wk9FUozzqk7SxfDMxDVBwVmI5zcaVUSzKAc/edit?usp=sharing"",""ประจวบคีรีขันธ์!J504"")"),0)</f>
        <v>0</v>
      </c>
      <c r="AA62" s="152">
        <f ca="1">IFERROR(__xludf.DUMMYFUNCTION("IMPORTRANGE(""https://docs.google.com/spreadsheets/d/1GbCIE4D4wk9FUozzqk7SxfDMxDVBwVmI5zcaVUSzKAc/edit?usp=sharing"",""ประจวบคีรีขันธ์!J505"")"),0)</f>
        <v>0</v>
      </c>
      <c r="AB62" s="152">
        <f ca="1">IFERROR(__xludf.DUMMYFUNCTION("IMPORTRANGE(""https://docs.google.com/spreadsheets/d/1GbCIE4D4wk9FUozzqk7SxfDMxDVBwVmI5zcaVUSzKAc/edit?usp=sharing"",""ประจวบคีรีขันธ์!J506"")"),0)</f>
        <v>0</v>
      </c>
      <c r="AC62" s="152">
        <f ca="1">IFERROR(__xludf.DUMMYFUNCTION("IMPORTRANGE(""https://docs.google.com/spreadsheets/d/1GbCIE4D4wk9FUozzqk7SxfDMxDVBwVmI5zcaVUSzKAc/edit?usp=sharing"",""ประจวบคีรีขันธ์!J507"")"),0)</f>
        <v>0</v>
      </c>
      <c r="AD62" s="152">
        <f ca="1">IFERROR(__xludf.DUMMYFUNCTION("IMPORTRANGE(""https://docs.google.com/spreadsheets/d/1GbCIE4D4wk9FUozzqk7SxfDMxDVBwVmI5zcaVUSzKAc/edit?usp=sharing"",""ประจวบคีรีขันธ์!J508"")"),0)</f>
        <v>0</v>
      </c>
      <c r="AE62" s="152">
        <f ca="1">IFERROR(__xludf.DUMMYFUNCTION("IMPORTRANGE(""https://docs.google.com/spreadsheets/d/1GbCIE4D4wk9FUozzqk7SxfDMxDVBwVmI5zcaVUSzKAc/edit?usp=sharing"",""ประจวบคีรีขันธ์!J509"")"),0)</f>
        <v>0</v>
      </c>
    </row>
    <row r="63" spans="1:31" ht="21" customHeight="1" x14ac:dyDescent="0.3">
      <c r="A63" s="70">
        <v>11</v>
      </c>
      <c r="B63" s="71" t="s">
        <v>91</v>
      </c>
      <c r="C63" s="149">
        <f t="shared" ca="1" si="21"/>
        <v>0</v>
      </c>
      <c r="D63" s="150">
        <f t="shared" ca="1" si="45"/>
        <v>0</v>
      </c>
      <c r="E63" s="151">
        <f ca="1">IFERROR(__xludf.DUMMYFUNCTION("IMPORTRANGE(""https://docs.google.com/spreadsheets/d/1-uDff_7J0KD5mKrp0Vvzr7lt3OU09vwQwhkpOPPYv2Y/edit?usp=sharing"",""งบพรบ!HV63"")"),0)</f>
        <v>0</v>
      </c>
      <c r="F63" s="151">
        <f ca="1">IFERROR(__xludf.DUMMYFUNCTION("IMPORTRANGE(""https://docs.google.com/spreadsheets/d/1-uDff_7J0KD5mKrp0Vvzr7lt3OU09vwQwhkpOPPYv2Y/edit?usp=sharing"",""งบพรบ!HW63"")"),0)</f>
        <v>0</v>
      </c>
      <c r="G63" s="151">
        <f ca="1">IFERROR(__xludf.DUMMYFUNCTION("IMPORTRANGE(""https://docs.google.com/spreadsheets/d/1-uDff_7J0KD5mKrp0Vvzr7lt3OU09vwQwhkpOPPYv2Y/edit?usp=sharing"",""งบพรบ!HX63"")"),0)</f>
        <v>0</v>
      </c>
      <c r="H63" s="151">
        <f ca="1">IFERROR(__xludf.DUMMYFUNCTION("IMPORTRANGE(""https://docs.google.com/spreadsheets/d/1-uDff_7J0KD5mKrp0Vvzr7lt3OU09vwQwhkpOPPYv2Y/edit?usp=sharing"",""งบพรบ!HZ63"")"),0)</f>
        <v>0</v>
      </c>
      <c r="I63" s="151">
        <f ca="1">IFERROR(__xludf.DUMMYFUNCTION("IMPORTRANGE(""https://docs.google.com/spreadsheets/d/1-uDff_7J0KD5mKrp0Vvzr7lt3OU09vwQwhkpOPPYv2Y/edit?usp=sharing"",""งบพรบ!IA63"")"),0)</f>
        <v>0</v>
      </c>
      <c r="J63" s="151">
        <f t="shared" ca="1" si="23"/>
        <v>0</v>
      </c>
      <c r="K63" s="154">
        <f t="shared" ca="1" si="24"/>
        <v>0</v>
      </c>
      <c r="L63" s="151">
        <f ca="1">IFERROR(__xludf.DUMMYFUNCTION("IMPORTRANGE(""https://docs.google.com/spreadsheets/d/1-uDff_7J0KD5mKrp0Vvzr7lt3OU09vwQwhkpOPPYv2Y/edit?usp=sharing"",""งบพรบ!IB63"")"),0)</f>
        <v>0</v>
      </c>
      <c r="M63" s="68">
        <f t="shared" ca="1" si="25"/>
        <v>0</v>
      </c>
      <c r="N63" s="68">
        <f t="shared" ca="1" si="26"/>
        <v>0</v>
      </c>
      <c r="O63" s="151">
        <f ca="1">IFERROR(__xludf.DUMMYFUNCTION("IMPORTRANGE(""https://docs.google.com/spreadsheets/d/1-uDff_7J0KD5mKrp0Vvzr7lt3OU09vwQwhkpOPPYv2Y/edit?usp=sharing"",""งบพรบ!IC63"")"),0)</f>
        <v>0</v>
      </c>
      <c r="P63" s="67">
        <f t="shared" ca="1" si="27"/>
        <v>0</v>
      </c>
      <c r="Q63" s="68">
        <f t="shared" ca="1" si="28"/>
        <v>0</v>
      </c>
      <c r="R63" s="68">
        <f ca="1">IFERROR(__xludf.DUMMYFUNCTION("IMPORTRANGE(""https://docs.google.com/spreadsheets/d/1vVf6wykvW_lAyu7Yo9L4hUTqHqIeP_qcVuxCtosJEbg/edit?usp=sharing"",""ปราจีนบุรี!Q498"")"),0)</f>
        <v>0</v>
      </c>
      <c r="S63" s="68">
        <f ca="1">IFERROR(__xludf.DUMMYFUNCTION("IMPORTRANGE(""https://docs.google.com/spreadsheets/d/1vVf6wykvW_lAyu7Yo9L4hUTqHqIeP_qcVuxCtosJEbg/edit?usp=sharing"",""ปราจีนบุรี!R498"")"),0)</f>
        <v>0</v>
      </c>
      <c r="T63" s="68">
        <f ca="1">IFERROR(__xludf.DUMMYFUNCTION("IMPORTRANGE(""https://docs.google.com/spreadsheets/d/1vVf6wykvW_lAyu7Yo9L4hUTqHqIeP_qcVuxCtosJEbg/edit?usp=sharing"",""ปราจีนบุรี!S498"")"),0)</f>
        <v>0</v>
      </c>
      <c r="U63" s="68">
        <f t="shared" ca="1" si="30"/>
        <v>0</v>
      </c>
      <c r="V63" s="68">
        <f t="shared" ca="1" si="31"/>
        <v>0</v>
      </c>
      <c r="W63" s="278">
        <f ca="1">IFERROR(__xludf.DUMMYFUNCTION("IMPORTRANGE(""https://docs.google.com/spreadsheets/d/1vVf6wykvW_lAyu7Yo9L4hUTqHqIeP_qcVuxCtosJEbg/edit?usp=sharing"",""ปราจีนบุรี!I503"")"),0)</f>
        <v>0</v>
      </c>
      <c r="X63" s="152">
        <f ca="1">IFERROR(__xludf.DUMMYFUNCTION("IMPORTRANGE(""https://docs.google.com/spreadsheets/d/1vVf6wykvW_lAyu7Yo9L4hUTqHqIeP_qcVuxCtosJEbg/edit?usp=sharing"",""ปราจีนบุรี!J503"")"),0)</f>
        <v>0</v>
      </c>
      <c r="Y63" s="216">
        <f t="shared" ca="1" si="33"/>
        <v>0</v>
      </c>
      <c r="Z63" s="152">
        <f ca="1">IFERROR(__xludf.DUMMYFUNCTION("IMPORTRANGE(""https://docs.google.com/spreadsheets/d/1vVf6wykvW_lAyu7Yo9L4hUTqHqIeP_qcVuxCtosJEbg/edit?usp=sharing"",""ปราจีนบุรี!J504"")"),0)</f>
        <v>0</v>
      </c>
      <c r="AA63" s="152">
        <f ca="1">IFERROR(__xludf.DUMMYFUNCTION("IMPORTRANGE(""https://docs.google.com/spreadsheets/d/1vVf6wykvW_lAyu7Yo9L4hUTqHqIeP_qcVuxCtosJEbg/edit?usp=sharing"",""ปราจีนบุรี!J505"")"),0)</f>
        <v>0</v>
      </c>
      <c r="AB63" s="152">
        <f ca="1">IFERROR(__xludf.DUMMYFUNCTION("IMPORTRANGE(""https://docs.google.com/spreadsheets/d/1vVf6wykvW_lAyu7Yo9L4hUTqHqIeP_qcVuxCtosJEbg/edit?usp=sharing"",""ปราจีนบุรี!J506"")"),0)</f>
        <v>0</v>
      </c>
      <c r="AC63" s="152">
        <f ca="1">IFERROR(__xludf.DUMMYFUNCTION("IMPORTRANGE(""https://docs.google.com/spreadsheets/d/1vVf6wykvW_lAyu7Yo9L4hUTqHqIeP_qcVuxCtosJEbg/edit?usp=sharing"",""ปราจีนบุรี!J507"")"),0)</f>
        <v>0</v>
      </c>
      <c r="AD63" s="152">
        <f ca="1">IFERROR(__xludf.DUMMYFUNCTION("IMPORTRANGE(""https://docs.google.com/spreadsheets/d/1vVf6wykvW_lAyu7Yo9L4hUTqHqIeP_qcVuxCtosJEbg/edit?usp=sharing"",""ปราจีนบุรี!J508"")"),0)</f>
        <v>0</v>
      </c>
      <c r="AE63" s="152">
        <f ca="1">IFERROR(__xludf.DUMMYFUNCTION("IMPORTRANGE(""https://docs.google.com/spreadsheets/d/1vVf6wykvW_lAyu7Yo9L4hUTqHqIeP_qcVuxCtosJEbg/edit?usp=sharing"",""ปราจีนบุรี!J509"")"),0)</f>
        <v>0</v>
      </c>
    </row>
    <row r="64" spans="1:31" ht="21" customHeight="1" x14ac:dyDescent="0.3">
      <c r="A64" s="70">
        <v>12</v>
      </c>
      <c r="B64" s="71" t="s">
        <v>92</v>
      </c>
      <c r="C64" s="149">
        <f t="shared" ca="1" si="21"/>
        <v>0</v>
      </c>
      <c r="D64" s="150">
        <f t="shared" ca="1" si="45"/>
        <v>0</v>
      </c>
      <c r="E64" s="151">
        <f ca="1">IFERROR(__xludf.DUMMYFUNCTION("IMPORTRANGE(""https://docs.google.com/spreadsheets/d/1-uDff_7J0KD5mKrp0Vvzr7lt3OU09vwQwhkpOPPYv2Y/edit?usp=sharing"",""งบพรบ!HV64"")"),0)</f>
        <v>0</v>
      </c>
      <c r="F64" s="151">
        <f ca="1">IFERROR(__xludf.DUMMYFUNCTION("IMPORTRANGE(""https://docs.google.com/spreadsheets/d/1-uDff_7J0KD5mKrp0Vvzr7lt3OU09vwQwhkpOPPYv2Y/edit?usp=sharing"",""งบพรบ!HW64"")"),0)</f>
        <v>0</v>
      </c>
      <c r="G64" s="151">
        <f ca="1">IFERROR(__xludf.DUMMYFUNCTION("IMPORTRANGE(""https://docs.google.com/spreadsheets/d/1-uDff_7J0KD5mKrp0Vvzr7lt3OU09vwQwhkpOPPYv2Y/edit?usp=sharing"",""งบพรบ!HX64"")"),0)</f>
        <v>0</v>
      </c>
      <c r="H64" s="151">
        <f ca="1">IFERROR(__xludf.DUMMYFUNCTION("IMPORTRANGE(""https://docs.google.com/spreadsheets/d/1-uDff_7J0KD5mKrp0Vvzr7lt3OU09vwQwhkpOPPYv2Y/edit?usp=sharing"",""งบพรบ!HZ64"")"),0)</f>
        <v>0</v>
      </c>
      <c r="I64" s="151">
        <f ca="1">IFERROR(__xludf.DUMMYFUNCTION("IMPORTRANGE(""https://docs.google.com/spreadsheets/d/1-uDff_7J0KD5mKrp0Vvzr7lt3OU09vwQwhkpOPPYv2Y/edit?usp=sharing"",""งบพรบ!IA64"")"),0)</f>
        <v>0</v>
      </c>
      <c r="J64" s="151">
        <f t="shared" ca="1" si="23"/>
        <v>0</v>
      </c>
      <c r="K64" s="154">
        <f t="shared" ca="1" si="24"/>
        <v>0</v>
      </c>
      <c r="L64" s="151">
        <f ca="1">IFERROR(__xludf.DUMMYFUNCTION("IMPORTRANGE(""https://docs.google.com/spreadsheets/d/1-uDff_7J0KD5mKrp0Vvzr7lt3OU09vwQwhkpOPPYv2Y/edit?usp=sharing"",""งบพรบ!IB64"")"),0)</f>
        <v>0</v>
      </c>
      <c r="M64" s="68">
        <f t="shared" ca="1" si="25"/>
        <v>0</v>
      </c>
      <c r="N64" s="68">
        <f t="shared" ca="1" si="26"/>
        <v>0</v>
      </c>
      <c r="O64" s="151">
        <f ca="1">IFERROR(__xludf.DUMMYFUNCTION("IMPORTRANGE(""https://docs.google.com/spreadsheets/d/1-uDff_7J0KD5mKrp0Vvzr7lt3OU09vwQwhkpOPPYv2Y/edit?usp=sharing"",""งบพรบ!IC64"")"),0)</f>
        <v>0</v>
      </c>
      <c r="P64" s="67">
        <f t="shared" ca="1" si="27"/>
        <v>0</v>
      </c>
      <c r="Q64" s="68">
        <f t="shared" ca="1" si="28"/>
        <v>0</v>
      </c>
      <c r="R64" s="68">
        <f ca="1">IFERROR(__xludf.DUMMYFUNCTION("IMPORTRANGE(""https://docs.google.com/spreadsheets/d/1BIDqLLg5jk3v59G8NlR8rk5xfQDKne0sAvZHSj7TI6I/edit?usp=sharing"",""พระนครศรีอยุธยา!Q498"")"),0)</f>
        <v>0</v>
      </c>
      <c r="S64" s="68">
        <f ca="1">IFERROR(__xludf.DUMMYFUNCTION("IMPORTRANGE(""https://docs.google.com/spreadsheets/d/1BIDqLLg5jk3v59G8NlR8rk5xfQDKne0sAvZHSj7TI6I/edit?usp=sharing"",""พระนครศรีอยุธยา!R498"")"),0)</f>
        <v>0</v>
      </c>
      <c r="T64" s="68">
        <f ca="1">IFERROR(__xludf.DUMMYFUNCTION("IMPORTRANGE(""https://docs.google.com/spreadsheets/d/1BIDqLLg5jk3v59G8NlR8rk5xfQDKne0sAvZHSj7TI6I/edit?usp=sharing"",""พระนครศรีอยุธยา!S498"")"),0)</f>
        <v>0</v>
      </c>
      <c r="U64" s="68">
        <f t="shared" ca="1" si="30"/>
        <v>0</v>
      </c>
      <c r="V64" s="68">
        <f t="shared" ca="1" si="31"/>
        <v>0</v>
      </c>
      <c r="W64" s="278">
        <f ca="1">IFERROR(__xludf.DUMMYFUNCTION("IMPORTRANGE(""https://docs.google.com/spreadsheets/d/1BIDqLLg5jk3v59G8NlR8rk5xfQDKne0sAvZHSj7TI6I/edit?usp=sharing"",""พระนครศรีอยุธยา!I503"")"),0)</f>
        <v>0</v>
      </c>
      <c r="X64" s="152">
        <f ca="1">IFERROR(__xludf.DUMMYFUNCTION("IMPORTRANGE(""https://docs.google.com/spreadsheets/d/1BIDqLLg5jk3v59G8NlR8rk5xfQDKne0sAvZHSj7TI6I/edit?usp=sharing"",""พระนครศรีอยุธยา!J503"")"),0)</f>
        <v>0</v>
      </c>
      <c r="Y64" s="216">
        <f t="shared" ca="1" si="33"/>
        <v>0</v>
      </c>
      <c r="Z64" s="152">
        <f ca="1">IFERROR(__xludf.DUMMYFUNCTION("IMPORTRANGE(""https://docs.google.com/spreadsheets/d/1BIDqLLg5jk3v59G8NlR8rk5xfQDKne0sAvZHSj7TI6I/edit?usp=sharing"",""พระนครศรีอยุธยา!J504"")"),0)</f>
        <v>0</v>
      </c>
      <c r="AA64" s="152">
        <f ca="1">IFERROR(__xludf.DUMMYFUNCTION("IMPORTRANGE(""https://docs.google.com/spreadsheets/d/1BIDqLLg5jk3v59G8NlR8rk5xfQDKne0sAvZHSj7TI6I/edit?usp=sharing"",""พระนครศรีอยุธยา!J505"")"),0)</f>
        <v>0</v>
      </c>
      <c r="AB64" s="152">
        <f ca="1">IFERROR(__xludf.DUMMYFUNCTION("IMPORTRANGE(""https://docs.google.com/spreadsheets/d/1BIDqLLg5jk3v59G8NlR8rk5xfQDKne0sAvZHSj7TI6I/edit?usp=sharing"",""พระนครศรีอยุธยา!J506"")"),0)</f>
        <v>0</v>
      </c>
      <c r="AC64" s="152">
        <f ca="1">IFERROR(__xludf.DUMMYFUNCTION("IMPORTRANGE(""https://docs.google.com/spreadsheets/d/1BIDqLLg5jk3v59G8NlR8rk5xfQDKne0sAvZHSj7TI6I/edit?usp=sharing"",""พระนครศรีอยุธยา!J507"")"),0)</f>
        <v>0</v>
      </c>
      <c r="AD64" s="152">
        <f ca="1">IFERROR(__xludf.DUMMYFUNCTION("IMPORTRANGE(""https://docs.google.com/spreadsheets/d/1BIDqLLg5jk3v59G8NlR8rk5xfQDKne0sAvZHSj7TI6I/edit?usp=sharing"",""พระนครศรีอยุธยา!J508"")"),0)</f>
        <v>0</v>
      </c>
      <c r="AE64" s="152">
        <f ca="1">IFERROR(__xludf.DUMMYFUNCTION("IMPORTRANGE(""https://docs.google.com/spreadsheets/d/1BIDqLLg5jk3v59G8NlR8rk5xfQDKne0sAvZHSj7TI6I/edit?usp=sharing"",""พระนครศรีอยุธยา!J509"")"),0)</f>
        <v>0</v>
      </c>
    </row>
    <row r="65" spans="1:31" ht="21" customHeight="1" x14ac:dyDescent="0.3">
      <c r="A65" s="70">
        <v>13</v>
      </c>
      <c r="B65" s="71" t="s">
        <v>93</v>
      </c>
      <c r="C65" s="149">
        <f t="shared" ca="1" si="21"/>
        <v>0</v>
      </c>
      <c r="D65" s="150">
        <f t="shared" ca="1" si="45"/>
        <v>0</v>
      </c>
      <c r="E65" s="151">
        <f ca="1">IFERROR(__xludf.DUMMYFUNCTION("IMPORTRANGE(""https://docs.google.com/spreadsheets/d/1-uDff_7J0KD5mKrp0Vvzr7lt3OU09vwQwhkpOPPYv2Y/edit?usp=sharing"",""งบพรบ!HV65"")"),0)</f>
        <v>0</v>
      </c>
      <c r="F65" s="151">
        <f ca="1">IFERROR(__xludf.DUMMYFUNCTION("IMPORTRANGE(""https://docs.google.com/spreadsheets/d/1-uDff_7J0KD5mKrp0Vvzr7lt3OU09vwQwhkpOPPYv2Y/edit?usp=sharing"",""งบพรบ!HW65"")"),0)</f>
        <v>0</v>
      </c>
      <c r="G65" s="151">
        <f ca="1">IFERROR(__xludf.DUMMYFUNCTION("IMPORTRANGE(""https://docs.google.com/spreadsheets/d/1-uDff_7J0KD5mKrp0Vvzr7lt3OU09vwQwhkpOPPYv2Y/edit?usp=sharing"",""งบพรบ!HX65"")"),0)</f>
        <v>0</v>
      </c>
      <c r="H65" s="151">
        <f ca="1">IFERROR(__xludf.DUMMYFUNCTION("IMPORTRANGE(""https://docs.google.com/spreadsheets/d/1-uDff_7J0KD5mKrp0Vvzr7lt3OU09vwQwhkpOPPYv2Y/edit?usp=sharing"",""งบพรบ!HZ65"")"),0)</f>
        <v>0</v>
      </c>
      <c r="I65" s="151">
        <f ca="1">IFERROR(__xludf.DUMMYFUNCTION("IMPORTRANGE(""https://docs.google.com/spreadsheets/d/1-uDff_7J0KD5mKrp0Vvzr7lt3OU09vwQwhkpOPPYv2Y/edit?usp=sharing"",""งบพรบ!IA65"")"),0)</f>
        <v>0</v>
      </c>
      <c r="J65" s="151">
        <f t="shared" ca="1" si="23"/>
        <v>0</v>
      </c>
      <c r="K65" s="154">
        <f t="shared" ca="1" si="24"/>
        <v>0</v>
      </c>
      <c r="L65" s="151">
        <f ca="1">IFERROR(__xludf.DUMMYFUNCTION("IMPORTRANGE(""https://docs.google.com/spreadsheets/d/1-uDff_7J0KD5mKrp0Vvzr7lt3OU09vwQwhkpOPPYv2Y/edit?usp=sharing"",""งบพรบ!IB65"")"),0)</f>
        <v>0</v>
      </c>
      <c r="M65" s="68">
        <f t="shared" ca="1" si="25"/>
        <v>0</v>
      </c>
      <c r="N65" s="68">
        <f t="shared" ca="1" si="26"/>
        <v>0</v>
      </c>
      <c r="O65" s="151">
        <f ca="1">IFERROR(__xludf.DUMMYFUNCTION("IMPORTRANGE(""https://docs.google.com/spreadsheets/d/1-uDff_7J0KD5mKrp0Vvzr7lt3OU09vwQwhkpOPPYv2Y/edit?usp=sharing"",""งบพรบ!IC65"")"),0)</f>
        <v>0</v>
      </c>
      <c r="P65" s="67">
        <f t="shared" ca="1" si="27"/>
        <v>0</v>
      </c>
      <c r="Q65" s="68">
        <f t="shared" ca="1" si="28"/>
        <v>0</v>
      </c>
      <c r="R65" s="68">
        <f ca="1">IFERROR(__xludf.DUMMYFUNCTION("IMPORTRANGE(""https://docs.google.com/spreadsheets/d/1YXvxf8Yu6_rV4hTBrwMqAcAnv6DfhUxh5emyM3CJp_w/edit?usp=sharing"",""เพชรบุรี!Q498"")"),0)</f>
        <v>0</v>
      </c>
      <c r="S65" s="68">
        <f ca="1">IFERROR(__xludf.DUMMYFUNCTION("IMPORTRANGE(""https://docs.google.com/spreadsheets/d/1YXvxf8Yu6_rV4hTBrwMqAcAnv6DfhUxh5emyM3CJp_w/edit?usp=sharing"",""เพชรบุรี!R498"")"),0)</f>
        <v>0</v>
      </c>
      <c r="T65" s="68">
        <f ca="1">IFERROR(__xludf.DUMMYFUNCTION("IMPORTRANGE(""https://docs.google.com/spreadsheets/d/1YXvxf8Yu6_rV4hTBrwMqAcAnv6DfhUxh5emyM3CJp_w/edit?usp=sharing"",""เพชรบุรี!S498"")"),0)</f>
        <v>0</v>
      </c>
      <c r="U65" s="68">
        <f t="shared" ca="1" si="30"/>
        <v>0</v>
      </c>
      <c r="V65" s="68">
        <f t="shared" ca="1" si="31"/>
        <v>0</v>
      </c>
      <c r="W65" s="278">
        <f ca="1">IFERROR(__xludf.DUMMYFUNCTION("IMPORTRANGE(""https://docs.google.com/spreadsheets/d/1YXvxf8Yu6_rV4hTBrwMqAcAnv6DfhUxh5emyM3CJp_w/edit?usp=sharing"",""เพชรบุรี!I503"")"),0)</f>
        <v>0</v>
      </c>
      <c r="X65" s="152">
        <f ca="1">IFERROR(__xludf.DUMMYFUNCTION("IMPORTRANGE(""https://docs.google.com/spreadsheets/d/1YXvxf8Yu6_rV4hTBrwMqAcAnv6DfhUxh5emyM3CJp_w/edit?usp=sharing"",""เพชรบุรี!J503"")"),0)</f>
        <v>0</v>
      </c>
      <c r="Y65" s="216">
        <f t="shared" ca="1" si="33"/>
        <v>0</v>
      </c>
      <c r="Z65" s="152">
        <f ca="1">IFERROR(__xludf.DUMMYFUNCTION("IMPORTRANGE(""https://docs.google.com/spreadsheets/d/1YXvxf8Yu6_rV4hTBrwMqAcAnv6DfhUxh5emyM3CJp_w/edit?usp=sharing"",""เพชรบุรี!J504"")"),0)</f>
        <v>0</v>
      </c>
      <c r="AA65" s="152">
        <f ca="1">IFERROR(__xludf.DUMMYFUNCTION("IMPORTRANGE(""https://docs.google.com/spreadsheets/d/1YXvxf8Yu6_rV4hTBrwMqAcAnv6DfhUxh5emyM3CJp_w/edit?usp=sharing"",""เพชรบุรี!J505"")"),0)</f>
        <v>0</v>
      </c>
      <c r="AB65" s="152">
        <f ca="1">IFERROR(__xludf.DUMMYFUNCTION("IMPORTRANGE(""https://docs.google.com/spreadsheets/d/1YXvxf8Yu6_rV4hTBrwMqAcAnv6DfhUxh5emyM3CJp_w/edit?usp=sharing"",""เพชรบุรี!J506"")"),0)</f>
        <v>0</v>
      </c>
      <c r="AC65" s="152">
        <f ca="1">IFERROR(__xludf.DUMMYFUNCTION("IMPORTRANGE(""https://docs.google.com/spreadsheets/d/1YXvxf8Yu6_rV4hTBrwMqAcAnv6DfhUxh5emyM3CJp_w/edit?usp=sharing"",""เพชรบุรี!J507"")"),0)</f>
        <v>0</v>
      </c>
      <c r="AD65" s="152">
        <f ca="1">IFERROR(__xludf.DUMMYFUNCTION("IMPORTRANGE(""https://docs.google.com/spreadsheets/d/1YXvxf8Yu6_rV4hTBrwMqAcAnv6DfhUxh5emyM3CJp_w/edit?usp=sharing"",""เพชรบุรี!J508"")"),0)</f>
        <v>0</v>
      </c>
      <c r="AE65" s="152">
        <f ca="1">IFERROR(__xludf.DUMMYFUNCTION("IMPORTRANGE(""https://docs.google.com/spreadsheets/d/1YXvxf8Yu6_rV4hTBrwMqAcAnv6DfhUxh5emyM3CJp_w/edit?usp=sharing"",""เพชรบุรี!J509"")"),0)</f>
        <v>0</v>
      </c>
    </row>
    <row r="66" spans="1:31" ht="21" customHeight="1" x14ac:dyDescent="0.3">
      <c r="A66" s="70">
        <v>14</v>
      </c>
      <c r="B66" s="71" t="s">
        <v>94</v>
      </c>
      <c r="C66" s="149">
        <f t="shared" ca="1" si="21"/>
        <v>0</v>
      </c>
      <c r="D66" s="150">
        <f t="shared" ca="1" si="45"/>
        <v>0</v>
      </c>
      <c r="E66" s="151">
        <f ca="1">IFERROR(__xludf.DUMMYFUNCTION("IMPORTRANGE(""https://docs.google.com/spreadsheets/d/1-uDff_7J0KD5mKrp0Vvzr7lt3OU09vwQwhkpOPPYv2Y/edit?usp=sharing"",""งบพรบ!HV66"")"),0)</f>
        <v>0</v>
      </c>
      <c r="F66" s="151">
        <f ca="1">IFERROR(__xludf.DUMMYFUNCTION("IMPORTRANGE(""https://docs.google.com/spreadsheets/d/1-uDff_7J0KD5mKrp0Vvzr7lt3OU09vwQwhkpOPPYv2Y/edit?usp=sharing"",""งบพรบ!HW66"")"),0)</f>
        <v>0</v>
      </c>
      <c r="G66" s="151">
        <f ca="1">IFERROR(__xludf.DUMMYFUNCTION("IMPORTRANGE(""https://docs.google.com/spreadsheets/d/1-uDff_7J0KD5mKrp0Vvzr7lt3OU09vwQwhkpOPPYv2Y/edit?usp=sharing"",""งบพรบ!HX66"")"),0)</f>
        <v>0</v>
      </c>
      <c r="H66" s="151">
        <f ca="1">IFERROR(__xludf.DUMMYFUNCTION("IMPORTRANGE(""https://docs.google.com/spreadsheets/d/1-uDff_7J0KD5mKrp0Vvzr7lt3OU09vwQwhkpOPPYv2Y/edit?usp=sharing"",""งบพรบ!HZ66"")"),0)</f>
        <v>0</v>
      </c>
      <c r="I66" s="151">
        <f ca="1">IFERROR(__xludf.DUMMYFUNCTION("IMPORTRANGE(""https://docs.google.com/spreadsheets/d/1-uDff_7J0KD5mKrp0Vvzr7lt3OU09vwQwhkpOPPYv2Y/edit?usp=sharing"",""งบพรบ!IA66"")"),0)</f>
        <v>0</v>
      </c>
      <c r="J66" s="151">
        <f t="shared" ca="1" si="23"/>
        <v>0</v>
      </c>
      <c r="K66" s="154">
        <f t="shared" ca="1" si="24"/>
        <v>0</v>
      </c>
      <c r="L66" s="151">
        <f ca="1">IFERROR(__xludf.DUMMYFUNCTION("IMPORTRANGE(""https://docs.google.com/spreadsheets/d/1-uDff_7J0KD5mKrp0Vvzr7lt3OU09vwQwhkpOPPYv2Y/edit?usp=sharing"",""งบพรบ!IB66"")"),0)</f>
        <v>0</v>
      </c>
      <c r="M66" s="68">
        <f t="shared" ca="1" si="25"/>
        <v>0</v>
      </c>
      <c r="N66" s="68">
        <f t="shared" ca="1" si="26"/>
        <v>0</v>
      </c>
      <c r="O66" s="151">
        <f ca="1">IFERROR(__xludf.DUMMYFUNCTION("IMPORTRANGE(""https://docs.google.com/spreadsheets/d/1-uDff_7J0KD5mKrp0Vvzr7lt3OU09vwQwhkpOPPYv2Y/edit?usp=sharing"",""งบพรบ!IC66"")"),0)</f>
        <v>0</v>
      </c>
      <c r="P66" s="67">
        <f t="shared" ca="1" si="27"/>
        <v>0</v>
      </c>
      <c r="Q66" s="68">
        <f t="shared" ca="1" si="28"/>
        <v>0</v>
      </c>
      <c r="R66" s="68">
        <f ca="1">IFERROR(__xludf.DUMMYFUNCTION("IMPORTRANGE(""https://docs.google.com/spreadsheets/d/19KBlQQs7uwvsao6t2n-KvW3Ax8J8uRRfZPq1zPbXgKc/edit?usp=sharing"",""ระยอง!Q498"")"),0)</f>
        <v>0</v>
      </c>
      <c r="S66" s="68">
        <f ca="1">IFERROR(__xludf.DUMMYFUNCTION("IMPORTRANGE(""https://docs.google.com/spreadsheets/d/19KBlQQs7uwvsao6t2n-KvW3Ax8J8uRRfZPq1zPbXgKc/edit?usp=sharing"",""ระยอง!R498"")"),0)</f>
        <v>0</v>
      </c>
      <c r="T66" s="68">
        <f ca="1">IFERROR(__xludf.DUMMYFUNCTION("IMPORTRANGE(""https://docs.google.com/spreadsheets/d/19KBlQQs7uwvsao6t2n-KvW3Ax8J8uRRfZPq1zPbXgKc/edit?usp=sharing"",""ระยอง!S498"")"),0)</f>
        <v>0</v>
      </c>
      <c r="U66" s="68">
        <f t="shared" ca="1" si="30"/>
        <v>0</v>
      </c>
      <c r="V66" s="68">
        <f t="shared" ca="1" si="31"/>
        <v>0</v>
      </c>
      <c r="W66" s="278">
        <f ca="1">IFERROR(__xludf.DUMMYFUNCTION("IMPORTRANGE(""https://docs.google.com/spreadsheets/d/19KBlQQs7uwvsao6t2n-KvW3Ax8J8uRRfZPq1zPbXgKc/edit?usp=sharing"",""ระยอง!I503"")"),0)</f>
        <v>0</v>
      </c>
      <c r="X66" s="152">
        <f ca="1">IFERROR(__xludf.DUMMYFUNCTION("IMPORTRANGE(""https://docs.google.com/spreadsheets/d/19KBlQQs7uwvsao6t2n-KvW3Ax8J8uRRfZPq1zPbXgKc/edit?usp=sharing"",""ระยอง!J503"")"),0)</f>
        <v>0</v>
      </c>
      <c r="Y66" s="216">
        <f t="shared" ca="1" si="33"/>
        <v>0</v>
      </c>
      <c r="Z66" s="152">
        <f ca="1">IFERROR(__xludf.DUMMYFUNCTION("IMPORTRANGE(""https://docs.google.com/spreadsheets/d/19KBlQQs7uwvsao6t2n-KvW3Ax8J8uRRfZPq1zPbXgKc/edit?usp=sharing"",""ระยอง!J504"")"),0)</f>
        <v>0</v>
      </c>
      <c r="AA66" s="152">
        <f ca="1">IFERROR(__xludf.DUMMYFUNCTION("IMPORTRANGE(""https://docs.google.com/spreadsheets/d/19KBlQQs7uwvsao6t2n-KvW3Ax8J8uRRfZPq1zPbXgKc/edit?usp=sharing"",""ระยอง!J505"")"),0)</f>
        <v>0</v>
      </c>
      <c r="AB66" s="152">
        <f ca="1">IFERROR(__xludf.DUMMYFUNCTION("IMPORTRANGE(""https://docs.google.com/spreadsheets/d/19KBlQQs7uwvsao6t2n-KvW3Ax8J8uRRfZPq1zPbXgKc/edit?usp=sharing"",""ระยอง!J506"")"),0)</f>
        <v>0</v>
      </c>
      <c r="AC66" s="152">
        <f ca="1">IFERROR(__xludf.DUMMYFUNCTION("IMPORTRANGE(""https://docs.google.com/spreadsheets/d/19KBlQQs7uwvsao6t2n-KvW3Ax8J8uRRfZPq1zPbXgKc/edit?usp=sharing"",""ระยอง!J507"")"),0)</f>
        <v>0</v>
      </c>
      <c r="AD66" s="152">
        <f ca="1">IFERROR(__xludf.DUMMYFUNCTION("IMPORTRANGE(""https://docs.google.com/spreadsheets/d/19KBlQQs7uwvsao6t2n-KvW3Ax8J8uRRfZPq1zPbXgKc/edit?usp=sharing"",""ระยอง!J508"")"),0)</f>
        <v>0</v>
      </c>
      <c r="AE66" s="152">
        <f ca="1">IFERROR(__xludf.DUMMYFUNCTION("IMPORTRANGE(""https://docs.google.com/spreadsheets/d/19KBlQQs7uwvsao6t2n-KvW3Ax8J8uRRfZPq1zPbXgKc/edit?usp=sharing"",""ระยอง!J509"")"),0)</f>
        <v>0</v>
      </c>
    </row>
    <row r="67" spans="1:31" ht="21" customHeight="1" x14ac:dyDescent="0.3">
      <c r="A67" s="70">
        <v>15</v>
      </c>
      <c r="B67" s="71" t="s">
        <v>95</v>
      </c>
      <c r="C67" s="149">
        <f t="shared" ca="1" si="21"/>
        <v>0</v>
      </c>
      <c r="D67" s="150">
        <f t="shared" ca="1" si="45"/>
        <v>0</v>
      </c>
      <c r="E67" s="151">
        <f ca="1">IFERROR(__xludf.DUMMYFUNCTION("IMPORTRANGE(""https://docs.google.com/spreadsheets/d/1-uDff_7J0KD5mKrp0Vvzr7lt3OU09vwQwhkpOPPYv2Y/edit?usp=sharing"",""งบพรบ!HV67"")"),0)</f>
        <v>0</v>
      </c>
      <c r="F67" s="151">
        <f ca="1">IFERROR(__xludf.DUMMYFUNCTION("IMPORTRANGE(""https://docs.google.com/spreadsheets/d/1-uDff_7J0KD5mKrp0Vvzr7lt3OU09vwQwhkpOPPYv2Y/edit?usp=sharing"",""งบพรบ!HW67"")"),0)</f>
        <v>0</v>
      </c>
      <c r="G67" s="151">
        <f ca="1">IFERROR(__xludf.DUMMYFUNCTION("IMPORTRANGE(""https://docs.google.com/spreadsheets/d/1-uDff_7J0KD5mKrp0Vvzr7lt3OU09vwQwhkpOPPYv2Y/edit?usp=sharing"",""งบพรบ!HX67"")"),0)</f>
        <v>0</v>
      </c>
      <c r="H67" s="151">
        <f ca="1">IFERROR(__xludf.DUMMYFUNCTION("IMPORTRANGE(""https://docs.google.com/spreadsheets/d/1-uDff_7J0KD5mKrp0Vvzr7lt3OU09vwQwhkpOPPYv2Y/edit?usp=sharing"",""งบพรบ!HZ67"")"),0)</f>
        <v>0</v>
      </c>
      <c r="I67" s="151">
        <f ca="1">IFERROR(__xludf.DUMMYFUNCTION("IMPORTRANGE(""https://docs.google.com/spreadsheets/d/1-uDff_7J0KD5mKrp0Vvzr7lt3OU09vwQwhkpOPPYv2Y/edit?usp=sharing"",""งบพรบ!IA67"")"),0)</f>
        <v>0</v>
      </c>
      <c r="J67" s="151">
        <f t="shared" ca="1" si="23"/>
        <v>0</v>
      </c>
      <c r="K67" s="154">
        <f t="shared" ca="1" si="24"/>
        <v>0</v>
      </c>
      <c r="L67" s="151">
        <f ca="1">IFERROR(__xludf.DUMMYFUNCTION("IMPORTRANGE(""https://docs.google.com/spreadsheets/d/1-uDff_7J0KD5mKrp0Vvzr7lt3OU09vwQwhkpOPPYv2Y/edit?usp=sharing"",""งบพรบ!IB67"")"),0)</f>
        <v>0</v>
      </c>
      <c r="M67" s="68">
        <f t="shared" ca="1" si="25"/>
        <v>0</v>
      </c>
      <c r="N67" s="68">
        <f t="shared" ca="1" si="26"/>
        <v>0</v>
      </c>
      <c r="O67" s="151">
        <f ca="1">IFERROR(__xludf.DUMMYFUNCTION("IMPORTRANGE(""https://docs.google.com/spreadsheets/d/1-uDff_7J0KD5mKrp0Vvzr7lt3OU09vwQwhkpOPPYv2Y/edit?usp=sharing"",""งบพรบ!IC67"")"),0)</f>
        <v>0</v>
      </c>
      <c r="P67" s="67">
        <f t="shared" ca="1" si="27"/>
        <v>0</v>
      </c>
      <c r="Q67" s="68">
        <f t="shared" ca="1" si="28"/>
        <v>0</v>
      </c>
      <c r="R67" s="68">
        <f ca="1">IFERROR(__xludf.DUMMYFUNCTION("IMPORTRANGE(""https://docs.google.com/spreadsheets/d/1jQ6P4QcrGM89YfqcC_PxOHGCMq5ezhucwJd8ci-NHng/edit?usp=sharing"",""ราชบุรี!Q498"")"),0)</f>
        <v>0</v>
      </c>
      <c r="S67" s="68">
        <f ca="1">IFERROR(__xludf.DUMMYFUNCTION("IMPORTRANGE(""https://docs.google.com/spreadsheets/d/1jQ6P4QcrGM89YfqcC_PxOHGCMq5ezhucwJd8ci-NHng/edit?usp=sharing"",""ราชบุรี!R498"")"),0)</f>
        <v>0</v>
      </c>
      <c r="T67" s="68">
        <f ca="1">IFERROR(__xludf.DUMMYFUNCTION("IMPORTRANGE(""https://docs.google.com/spreadsheets/d/1jQ6P4QcrGM89YfqcC_PxOHGCMq5ezhucwJd8ci-NHng/edit?usp=sharing"",""ราชบุรี!S498"")"),0)</f>
        <v>0</v>
      </c>
      <c r="U67" s="68">
        <f t="shared" ca="1" si="30"/>
        <v>0</v>
      </c>
      <c r="V67" s="68">
        <f t="shared" ca="1" si="31"/>
        <v>0</v>
      </c>
      <c r="W67" s="279">
        <f ca="1">IFERROR(__xludf.DUMMYFUNCTION("IMPORTRANGE(""https://docs.google.com/spreadsheets/d/1jQ6P4QcrGM89YfqcC_PxOHGCMq5ezhucwJd8ci-NHng/edit?usp=sharing"",""ราชบุรี!I503"")"),0)</f>
        <v>0</v>
      </c>
      <c r="X67" s="152">
        <f ca="1">IFERROR(__xludf.DUMMYFUNCTION("IMPORTRANGE(""https://docs.google.com/spreadsheets/d/1jQ6P4QcrGM89YfqcC_PxOHGCMq5ezhucwJd8ci-NHng/edit?usp=sharing"",""ราชบุรี!J503"")"),0)</f>
        <v>0</v>
      </c>
      <c r="Y67" s="216">
        <f t="shared" ca="1" si="33"/>
        <v>0</v>
      </c>
      <c r="Z67" s="152">
        <f ca="1">IFERROR(__xludf.DUMMYFUNCTION("IMPORTRANGE(""https://docs.google.com/spreadsheets/d/1jQ6P4QcrGM89YfqcC_PxOHGCMq5ezhucwJd8ci-NHng/edit?usp=sharing"",""ราชบุรี!J504"")"),0)</f>
        <v>0</v>
      </c>
      <c r="AA67" s="152">
        <f ca="1">IFERROR(__xludf.DUMMYFUNCTION("IMPORTRANGE(""https://docs.google.com/spreadsheets/d/1jQ6P4QcrGM89YfqcC_PxOHGCMq5ezhucwJd8ci-NHng/edit?usp=sharing"",""ราชบุรี!J505"")"),0)</f>
        <v>0</v>
      </c>
      <c r="AB67" s="152">
        <f ca="1">IFERROR(__xludf.DUMMYFUNCTION("IMPORTRANGE(""https://docs.google.com/spreadsheets/d/1jQ6P4QcrGM89YfqcC_PxOHGCMq5ezhucwJd8ci-NHng/edit?usp=sharing"",""ราชบุรี!J506"")"),0)</f>
        <v>0</v>
      </c>
      <c r="AC67" s="152">
        <f ca="1">IFERROR(__xludf.DUMMYFUNCTION("IMPORTRANGE(""https://docs.google.com/spreadsheets/d/1jQ6P4QcrGM89YfqcC_PxOHGCMq5ezhucwJd8ci-NHng/edit?usp=sharing"",""ราชบุรี!J507"")"),0)</f>
        <v>0</v>
      </c>
      <c r="AD67" s="152">
        <f ca="1">IFERROR(__xludf.DUMMYFUNCTION("IMPORTRANGE(""https://docs.google.com/spreadsheets/d/1jQ6P4QcrGM89YfqcC_PxOHGCMq5ezhucwJd8ci-NHng/edit?usp=sharing"",""ราชบุรี!J508"")"),0)</f>
        <v>0</v>
      </c>
      <c r="AE67" s="152">
        <f ca="1">IFERROR(__xludf.DUMMYFUNCTION("IMPORTRANGE(""https://docs.google.com/spreadsheets/d/1jQ6P4QcrGM89YfqcC_PxOHGCMq5ezhucwJd8ci-NHng/edit?usp=sharing"",""ราชบุรี!J509"")"),0)</f>
        <v>0</v>
      </c>
    </row>
    <row r="68" spans="1:31" ht="24" customHeight="1" x14ac:dyDescent="0.3">
      <c r="A68" s="70">
        <v>16</v>
      </c>
      <c r="B68" s="71" t="s">
        <v>96</v>
      </c>
      <c r="C68" s="149">
        <f t="shared" ca="1" si="21"/>
        <v>0</v>
      </c>
      <c r="D68" s="150">
        <f t="shared" ca="1" si="45"/>
        <v>0</v>
      </c>
      <c r="E68" s="151">
        <f ca="1">IFERROR(__xludf.DUMMYFUNCTION("IMPORTRANGE(""https://docs.google.com/spreadsheets/d/1-uDff_7J0KD5mKrp0Vvzr7lt3OU09vwQwhkpOPPYv2Y/edit?usp=sharing"",""งบพรบ!HV68"")"),0)</f>
        <v>0</v>
      </c>
      <c r="F68" s="151">
        <f ca="1">IFERROR(__xludf.DUMMYFUNCTION("IMPORTRANGE(""https://docs.google.com/spreadsheets/d/1-uDff_7J0KD5mKrp0Vvzr7lt3OU09vwQwhkpOPPYv2Y/edit?usp=sharing"",""งบพรบ!HW68"")"),0)</f>
        <v>0</v>
      </c>
      <c r="G68" s="151">
        <f ca="1">IFERROR(__xludf.DUMMYFUNCTION("IMPORTRANGE(""https://docs.google.com/spreadsheets/d/1-uDff_7J0KD5mKrp0Vvzr7lt3OU09vwQwhkpOPPYv2Y/edit?usp=sharing"",""งบพรบ!HX68"")"),0)</f>
        <v>0</v>
      </c>
      <c r="H68" s="151">
        <f ca="1">IFERROR(__xludf.DUMMYFUNCTION("IMPORTRANGE(""https://docs.google.com/spreadsheets/d/1-uDff_7J0KD5mKrp0Vvzr7lt3OU09vwQwhkpOPPYv2Y/edit?usp=sharing"",""งบพรบ!HZ68"")"),0)</f>
        <v>0</v>
      </c>
      <c r="I68" s="151">
        <f ca="1">IFERROR(__xludf.DUMMYFUNCTION("IMPORTRANGE(""https://docs.google.com/spreadsheets/d/1-uDff_7J0KD5mKrp0Vvzr7lt3OU09vwQwhkpOPPYv2Y/edit?usp=sharing"",""งบพรบ!IA68"")"),0)</f>
        <v>0</v>
      </c>
      <c r="J68" s="151">
        <f t="shared" ca="1" si="23"/>
        <v>0</v>
      </c>
      <c r="K68" s="154">
        <f t="shared" ca="1" si="24"/>
        <v>0</v>
      </c>
      <c r="L68" s="151">
        <f ca="1">IFERROR(__xludf.DUMMYFUNCTION("IMPORTRANGE(""https://docs.google.com/spreadsheets/d/1-uDff_7J0KD5mKrp0Vvzr7lt3OU09vwQwhkpOPPYv2Y/edit?usp=sharing"",""งบพรบ!IB68"")"),0)</f>
        <v>0</v>
      </c>
      <c r="M68" s="68">
        <f t="shared" ca="1" si="25"/>
        <v>0</v>
      </c>
      <c r="N68" s="68">
        <f t="shared" ca="1" si="26"/>
        <v>0</v>
      </c>
      <c r="O68" s="151">
        <f ca="1">IFERROR(__xludf.DUMMYFUNCTION("IMPORTRANGE(""https://docs.google.com/spreadsheets/d/1-uDff_7J0KD5mKrp0Vvzr7lt3OU09vwQwhkpOPPYv2Y/edit?usp=sharing"",""งบพรบ!IC68"")"),0)</f>
        <v>0</v>
      </c>
      <c r="P68" s="67">
        <f t="shared" ca="1" si="27"/>
        <v>0</v>
      </c>
      <c r="Q68" s="68">
        <f t="shared" ca="1" si="28"/>
        <v>0</v>
      </c>
      <c r="R68" s="68">
        <f ca="1">IFERROR(__xludf.DUMMYFUNCTION("IMPORTRANGE(""https://docs.google.com/spreadsheets/d/1lufeA2cfFqM-elVq2hznhDzC6Pr7wkJ9ZG_sYNGCMCU/edit?usp=sharing"",""ลพบุรี!Q498"")"),0)</f>
        <v>0</v>
      </c>
      <c r="S68" s="68">
        <f ca="1">IFERROR(__xludf.DUMMYFUNCTION("IMPORTRANGE(""https://docs.google.com/spreadsheets/d/1lufeA2cfFqM-elVq2hznhDzC6Pr7wkJ9ZG_sYNGCMCU/edit?usp=sharing"",""ลพบุรี!R498"")"),0)</f>
        <v>0</v>
      </c>
      <c r="T68" s="68">
        <f ca="1">IFERROR(__xludf.DUMMYFUNCTION("IMPORTRANGE(""https://docs.google.com/spreadsheets/d/1lufeA2cfFqM-elVq2hznhDzC6Pr7wkJ9ZG_sYNGCMCU/edit?usp=sharing"",""ลพบุรี!S498"")"),0)</f>
        <v>0</v>
      </c>
      <c r="U68" s="68">
        <f t="shared" ca="1" si="30"/>
        <v>0</v>
      </c>
      <c r="V68" s="68">
        <f t="shared" ca="1" si="31"/>
        <v>0</v>
      </c>
      <c r="W68" s="278">
        <f ca="1">IFERROR(__xludf.DUMMYFUNCTION("IMPORTRANGE(""https://docs.google.com/spreadsheets/d/1lufeA2cfFqM-elVq2hznhDzC6Pr7wkJ9ZG_sYNGCMCU/edit?usp=sharing"",""ลพบุรี!I503"")"),0)</f>
        <v>0</v>
      </c>
      <c r="X68" s="152">
        <f ca="1">IFERROR(__xludf.DUMMYFUNCTION("IMPORTRANGE(""https://docs.google.com/spreadsheets/d/1lufeA2cfFqM-elVq2hznhDzC6Pr7wkJ9ZG_sYNGCMCU/edit?usp=sharing"",""ลพบุรี!J503"")"),0)</f>
        <v>0</v>
      </c>
      <c r="Y68" s="216">
        <f t="shared" ca="1" si="33"/>
        <v>0</v>
      </c>
      <c r="Z68" s="152">
        <f ca="1">IFERROR(__xludf.DUMMYFUNCTION("IMPORTRANGE(""https://docs.google.com/spreadsheets/d/1lufeA2cfFqM-elVq2hznhDzC6Pr7wkJ9ZG_sYNGCMCU/edit?usp=sharing"",""ลพบุรี!J504"")"),0)</f>
        <v>0</v>
      </c>
      <c r="AA68" s="152">
        <f ca="1">IFERROR(__xludf.DUMMYFUNCTION("IMPORTRANGE(""https://docs.google.com/spreadsheets/d/1lufeA2cfFqM-elVq2hznhDzC6Pr7wkJ9ZG_sYNGCMCU/edit?usp=sharing"",""ลพบุรี!J505"")"),0)</f>
        <v>0</v>
      </c>
      <c r="AB68" s="152">
        <f ca="1">IFERROR(__xludf.DUMMYFUNCTION("IMPORTRANGE(""https://docs.google.com/spreadsheets/d/1lufeA2cfFqM-elVq2hznhDzC6Pr7wkJ9ZG_sYNGCMCU/edit?usp=sharing"",""ลพบุรี!J506"")"),0)</f>
        <v>0</v>
      </c>
      <c r="AC68" s="152">
        <f ca="1">IFERROR(__xludf.DUMMYFUNCTION("IMPORTRANGE(""https://docs.google.com/spreadsheets/d/1lufeA2cfFqM-elVq2hznhDzC6Pr7wkJ9ZG_sYNGCMCU/edit?usp=sharing"",""ลพบุรี!J507"")"),0)</f>
        <v>0</v>
      </c>
      <c r="AD68" s="152">
        <f ca="1">IFERROR(__xludf.DUMMYFUNCTION("IMPORTRANGE(""https://docs.google.com/spreadsheets/d/1lufeA2cfFqM-elVq2hznhDzC6Pr7wkJ9ZG_sYNGCMCU/edit?usp=sharing"",""ลพบุรี!J508"")"),0)</f>
        <v>0</v>
      </c>
      <c r="AE68" s="152">
        <f ca="1">IFERROR(__xludf.DUMMYFUNCTION("IMPORTRANGE(""https://docs.google.com/spreadsheets/d/1lufeA2cfFqM-elVq2hznhDzC6Pr7wkJ9ZG_sYNGCMCU/edit?usp=sharing"",""ลพบุรี!J509"")"),0)</f>
        <v>0</v>
      </c>
    </row>
    <row r="69" spans="1:31" ht="21" customHeight="1" x14ac:dyDescent="0.3">
      <c r="A69" s="70">
        <v>17</v>
      </c>
      <c r="B69" s="71" t="s">
        <v>97</v>
      </c>
      <c r="C69" s="149">
        <f t="shared" ca="1" si="21"/>
        <v>58100</v>
      </c>
      <c r="D69" s="150">
        <f t="shared" ca="1" si="45"/>
        <v>58100</v>
      </c>
      <c r="E69" s="151">
        <f ca="1">IFERROR(__xludf.DUMMYFUNCTION("IMPORTRANGE(""https://docs.google.com/spreadsheets/d/1-uDff_7J0KD5mKrp0Vvzr7lt3OU09vwQwhkpOPPYv2Y/edit?usp=sharing"",""งบพรบ!HV69"")"),0)</f>
        <v>0</v>
      </c>
      <c r="F69" s="151">
        <f ca="1">IFERROR(__xludf.DUMMYFUNCTION("IMPORTRANGE(""https://docs.google.com/spreadsheets/d/1-uDff_7J0KD5mKrp0Vvzr7lt3OU09vwQwhkpOPPYv2Y/edit?usp=sharing"",""งบพรบ!HW69"")"),58100)</f>
        <v>58100</v>
      </c>
      <c r="G69" s="151">
        <f ca="1">IFERROR(__xludf.DUMMYFUNCTION("IMPORTRANGE(""https://docs.google.com/spreadsheets/d/1-uDff_7J0KD5mKrp0Vvzr7lt3OU09vwQwhkpOPPYv2Y/edit?usp=sharing"",""งบพรบ!HX69"")"),0)</f>
        <v>0</v>
      </c>
      <c r="H69" s="151">
        <f ca="1">IFERROR(__xludf.DUMMYFUNCTION("IMPORTRANGE(""https://docs.google.com/spreadsheets/d/1-uDff_7J0KD5mKrp0Vvzr7lt3OU09vwQwhkpOPPYv2Y/edit?usp=sharing"",""งบพรบ!HZ69"")"),58100)</f>
        <v>58100</v>
      </c>
      <c r="I69" s="151">
        <f ca="1">IFERROR(__xludf.DUMMYFUNCTION("IMPORTRANGE(""https://docs.google.com/spreadsheets/d/1-uDff_7J0KD5mKrp0Vvzr7lt3OU09vwQwhkpOPPYv2Y/edit?usp=sharing"",""งบพรบ!IA69"")"),0)</f>
        <v>0</v>
      </c>
      <c r="J69" s="151">
        <f t="shared" ca="1" si="23"/>
        <v>48140</v>
      </c>
      <c r="K69" s="154">
        <f t="shared" ca="1" si="24"/>
        <v>82.857142857142861</v>
      </c>
      <c r="L69" s="151">
        <f ca="1">IFERROR(__xludf.DUMMYFUNCTION("IMPORTRANGE(""https://docs.google.com/spreadsheets/d/1-uDff_7J0KD5mKrp0Vvzr7lt3OU09vwQwhkpOPPYv2Y/edit?usp=sharing"",""งบพรบ!IB69"")"),48140)</f>
        <v>48140</v>
      </c>
      <c r="M69" s="68">
        <f t="shared" ca="1" si="25"/>
        <v>82.857142857142861</v>
      </c>
      <c r="N69" s="68">
        <f t="shared" ca="1" si="26"/>
        <v>82.857142857142861</v>
      </c>
      <c r="O69" s="151">
        <f ca="1">IFERROR(__xludf.DUMMYFUNCTION("IMPORTRANGE(""https://docs.google.com/spreadsheets/d/1-uDff_7J0KD5mKrp0Vvzr7lt3OU09vwQwhkpOPPYv2Y/edit?usp=sharing"",""งบพรบ!IC69"")"),0)</f>
        <v>0</v>
      </c>
      <c r="P69" s="67">
        <f t="shared" ca="1" si="27"/>
        <v>0</v>
      </c>
      <c r="Q69" s="68">
        <f t="shared" ca="1" si="28"/>
        <v>0</v>
      </c>
      <c r="R69" s="68">
        <f ca="1">IFERROR(__xludf.DUMMYFUNCTION("IMPORTRANGE(""https://docs.google.com/spreadsheets/d/10oOiF7loTyfsTkbd4MpaIm0HQ9SwB7IYHdIUvt-U1Uc/edit?usp=sharing"",""สระแก้ว!Q498"")"),1074460)</f>
        <v>1074460</v>
      </c>
      <c r="S69" s="68">
        <f ca="1">IFERROR(__xludf.DUMMYFUNCTION("IMPORTRANGE(""https://docs.google.com/spreadsheets/d/10oOiF7loTyfsTkbd4MpaIm0HQ9SwB7IYHdIUvt-U1Uc/edit?usp=sharing"",""สระแก้ว!R498"")"),1082160)</f>
        <v>1082160</v>
      </c>
      <c r="T69" s="68">
        <f ca="1">IFERROR(__xludf.DUMMYFUNCTION("IMPORTRANGE(""https://docs.google.com/spreadsheets/d/10oOiF7loTyfsTkbd4MpaIm0HQ9SwB7IYHdIUvt-U1Uc/edit?usp=sharing"",""สระแก้ว!S498"")"),929356.37)</f>
        <v>929356.37</v>
      </c>
      <c r="U69" s="68">
        <f t="shared" ca="1" si="30"/>
        <v>86.495204102525918</v>
      </c>
      <c r="V69" s="68">
        <f t="shared" ca="1" si="31"/>
        <v>85.879756228284165</v>
      </c>
      <c r="W69" s="278">
        <f ca="1">IFERROR(__xludf.DUMMYFUNCTION("IMPORTRANGE(""https://docs.google.com/spreadsheets/d/10oOiF7loTyfsTkbd4MpaIm0HQ9SwB7IYHdIUvt-U1Uc/edit?usp=sharing"",""สระแก้ว!I503"")"),80)</f>
        <v>80</v>
      </c>
      <c r="X69" s="152">
        <f ca="1">IFERROR(__xludf.DUMMYFUNCTION("IMPORTRANGE(""https://docs.google.com/spreadsheets/d/10oOiF7loTyfsTkbd4MpaIm0HQ9SwB7IYHdIUvt-U1Uc/edit?usp=sharing"",""สระแก้ว!J503"")"),80)</f>
        <v>80</v>
      </c>
      <c r="Y69" s="216">
        <f t="shared" ca="1" si="33"/>
        <v>100</v>
      </c>
      <c r="Z69" s="152">
        <f ca="1">IFERROR(__xludf.DUMMYFUNCTION("IMPORTRANGE(""https://docs.google.com/spreadsheets/d/10oOiF7loTyfsTkbd4MpaIm0HQ9SwB7IYHdIUvt-U1Uc/edit?usp=sharing"",""สระแก้ว!J504"")"),80)</f>
        <v>80</v>
      </c>
      <c r="AA69" s="152">
        <f ca="1">IFERROR(__xludf.DUMMYFUNCTION("IMPORTRANGE(""https://docs.google.com/spreadsheets/d/10oOiF7loTyfsTkbd4MpaIm0HQ9SwB7IYHdIUvt-U1Uc/edit?usp=sharing"",""สระแก้ว!J505"")"),80)</f>
        <v>80</v>
      </c>
      <c r="AB69" s="152">
        <f ca="1">IFERROR(__xludf.DUMMYFUNCTION("IMPORTRANGE(""https://docs.google.com/spreadsheets/d/10oOiF7loTyfsTkbd4MpaIm0HQ9SwB7IYHdIUvt-U1Uc/edit?usp=sharing"",""สระแก้ว!J506"")"),80)</f>
        <v>80</v>
      </c>
      <c r="AC69" s="152">
        <f ca="1">IFERROR(__xludf.DUMMYFUNCTION("IMPORTRANGE(""https://docs.google.com/spreadsheets/d/10oOiF7loTyfsTkbd4MpaIm0HQ9SwB7IYHdIUvt-U1Uc/edit?usp=sharing"",""สระแก้ว!J507"")"),40)</f>
        <v>40</v>
      </c>
      <c r="AD69" s="152">
        <f ca="1">IFERROR(__xludf.DUMMYFUNCTION("IMPORTRANGE(""https://docs.google.com/spreadsheets/d/10oOiF7loTyfsTkbd4MpaIm0HQ9SwB7IYHdIUvt-U1Uc/edit?usp=sharing"",""สระแก้ว!J508"")"),0)</f>
        <v>0</v>
      </c>
      <c r="AE69" s="152">
        <f ca="1">IFERROR(__xludf.DUMMYFUNCTION("IMPORTRANGE(""https://docs.google.com/spreadsheets/d/10oOiF7loTyfsTkbd4MpaIm0HQ9SwB7IYHdIUvt-U1Uc/edit?usp=sharing"",""สระแก้ว!J509"")"),80)</f>
        <v>80</v>
      </c>
    </row>
    <row r="70" spans="1:31" ht="21" customHeight="1" x14ac:dyDescent="0.3">
      <c r="A70" s="70">
        <v>18</v>
      </c>
      <c r="B70" s="71" t="s">
        <v>98</v>
      </c>
      <c r="C70" s="149">
        <f t="shared" ca="1" si="21"/>
        <v>0</v>
      </c>
      <c r="D70" s="150">
        <f t="shared" ca="1" si="45"/>
        <v>0</v>
      </c>
      <c r="E70" s="151">
        <f ca="1">IFERROR(__xludf.DUMMYFUNCTION("IMPORTRANGE(""https://docs.google.com/spreadsheets/d/1-uDff_7J0KD5mKrp0Vvzr7lt3OU09vwQwhkpOPPYv2Y/edit?usp=sharing"",""งบพรบ!HV70"")"),0)</f>
        <v>0</v>
      </c>
      <c r="F70" s="151">
        <f ca="1">IFERROR(__xludf.DUMMYFUNCTION("IMPORTRANGE(""https://docs.google.com/spreadsheets/d/1-uDff_7J0KD5mKrp0Vvzr7lt3OU09vwQwhkpOPPYv2Y/edit?usp=sharing"",""งบพรบ!HW70"")"),0)</f>
        <v>0</v>
      </c>
      <c r="G70" s="151">
        <f ca="1">IFERROR(__xludf.DUMMYFUNCTION("IMPORTRANGE(""https://docs.google.com/spreadsheets/d/1-uDff_7J0KD5mKrp0Vvzr7lt3OU09vwQwhkpOPPYv2Y/edit?usp=sharing"",""งบพรบ!HX70"")"),0)</f>
        <v>0</v>
      </c>
      <c r="H70" s="151">
        <f ca="1">IFERROR(__xludf.DUMMYFUNCTION("IMPORTRANGE(""https://docs.google.com/spreadsheets/d/1-uDff_7J0KD5mKrp0Vvzr7lt3OU09vwQwhkpOPPYv2Y/edit?usp=sharing"",""งบพรบ!HZ70"")"),0)</f>
        <v>0</v>
      </c>
      <c r="I70" s="151">
        <f ca="1">IFERROR(__xludf.DUMMYFUNCTION("IMPORTRANGE(""https://docs.google.com/spreadsheets/d/1-uDff_7J0KD5mKrp0Vvzr7lt3OU09vwQwhkpOPPYv2Y/edit?usp=sharing"",""งบพรบ!IA70"")"),0)</f>
        <v>0</v>
      </c>
      <c r="J70" s="151">
        <f t="shared" ca="1" si="23"/>
        <v>0</v>
      </c>
      <c r="K70" s="154">
        <f t="shared" ca="1" si="24"/>
        <v>0</v>
      </c>
      <c r="L70" s="151">
        <f ca="1">IFERROR(__xludf.DUMMYFUNCTION("IMPORTRANGE(""https://docs.google.com/spreadsheets/d/1-uDff_7J0KD5mKrp0Vvzr7lt3OU09vwQwhkpOPPYv2Y/edit?usp=sharing"",""งบพรบ!IB70"")"),0)</f>
        <v>0</v>
      </c>
      <c r="M70" s="68">
        <f t="shared" ca="1" si="25"/>
        <v>0</v>
      </c>
      <c r="N70" s="68">
        <f t="shared" ca="1" si="26"/>
        <v>0</v>
      </c>
      <c r="O70" s="151">
        <f ca="1">IFERROR(__xludf.DUMMYFUNCTION("IMPORTRANGE(""https://docs.google.com/spreadsheets/d/1-uDff_7J0KD5mKrp0Vvzr7lt3OU09vwQwhkpOPPYv2Y/edit?usp=sharing"",""งบพรบ!IC70"")"),0)</f>
        <v>0</v>
      </c>
      <c r="P70" s="67">
        <f t="shared" ca="1" si="27"/>
        <v>0</v>
      </c>
      <c r="Q70" s="68">
        <f t="shared" ca="1" si="28"/>
        <v>0</v>
      </c>
      <c r="R70" s="68">
        <f ca="1">IFERROR(__xludf.DUMMYFUNCTION("IMPORTRANGE(""https://docs.google.com/spreadsheets/d/1xmPlrr1QbdSIKvl1dWUl9K4PjAfSL9oeMr_37QVzcxc/edit?usp=sharing"",""สระบุรี!Q498"")"),0)</f>
        <v>0</v>
      </c>
      <c r="S70" s="68">
        <f ca="1">IFERROR(__xludf.DUMMYFUNCTION("IMPORTRANGE(""https://docs.google.com/spreadsheets/d/1xmPlrr1QbdSIKvl1dWUl9K4PjAfSL9oeMr_37QVzcxc/edit?usp=sharing"",""สระบุรี!R498"")"),0)</f>
        <v>0</v>
      </c>
      <c r="T70" s="68">
        <f ca="1">IFERROR(__xludf.DUMMYFUNCTION("IMPORTRANGE(""https://docs.google.com/spreadsheets/d/1xmPlrr1QbdSIKvl1dWUl9K4PjAfSL9oeMr_37QVzcxc/edit?usp=sharing"",""สระบุรี!S498"")"),0)</f>
        <v>0</v>
      </c>
      <c r="U70" s="68">
        <f t="shared" ca="1" si="30"/>
        <v>0</v>
      </c>
      <c r="V70" s="68">
        <f t="shared" ca="1" si="31"/>
        <v>0</v>
      </c>
      <c r="W70" s="278">
        <f ca="1">IFERROR(__xludf.DUMMYFUNCTION("IMPORTRANGE(""https://docs.google.com/spreadsheets/d/1xmPlrr1QbdSIKvl1dWUl9K4PjAfSL9oeMr_37QVzcxc/edit?usp=sharing"",""สระบุรี!I503"")"),0)</f>
        <v>0</v>
      </c>
      <c r="X70" s="152">
        <f ca="1">IFERROR(__xludf.DUMMYFUNCTION("IMPORTRANGE(""https://docs.google.com/spreadsheets/d/1xmPlrr1QbdSIKvl1dWUl9K4PjAfSL9oeMr_37QVzcxc/edit?usp=sharing"",""สระบุรี!J503"")"),0)</f>
        <v>0</v>
      </c>
      <c r="Y70" s="216">
        <f t="shared" ca="1" si="33"/>
        <v>0</v>
      </c>
      <c r="Z70" s="152">
        <f ca="1">IFERROR(__xludf.DUMMYFUNCTION("IMPORTRANGE(""https://docs.google.com/spreadsheets/d/1xmPlrr1QbdSIKvl1dWUl9K4PjAfSL9oeMr_37QVzcxc/edit?usp=sharing"",""สระบุรี!J504"")"),0)</f>
        <v>0</v>
      </c>
      <c r="AA70" s="152">
        <f ca="1">IFERROR(__xludf.DUMMYFUNCTION("IMPORTRANGE(""https://docs.google.com/spreadsheets/d/1xmPlrr1QbdSIKvl1dWUl9K4PjAfSL9oeMr_37QVzcxc/edit?usp=sharing"",""สระบุรี!J505"")"),0)</f>
        <v>0</v>
      </c>
      <c r="AB70" s="152">
        <f ca="1">IFERROR(__xludf.DUMMYFUNCTION("IMPORTRANGE(""https://docs.google.com/spreadsheets/d/1xmPlrr1QbdSIKvl1dWUl9K4PjAfSL9oeMr_37QVzcxc/edit?usp=sharing"",""สระบุรี!J506"")"),0)</f>
        <v>0</v>
      </c>
      <c r="AC70" s="152">
        <f ca="1">IFERROR(__xludf.DUMMYFUNCTION("IMPORTRANGE(""https://docs.google.com/spreadsheets/d/1xmPlrr1QbdSIKvl1dWUl9K4PjAfSL9oeMr_37QVzcxc/edit?usp=sharing"",""สระบุรี!J507"")"),0)</f>
        <v>0</v>
      </c>
      <c r="AD70" s="152">
        <f ca="1">IFERROR(__xludf.DUMMYFUNCTION("IMPORTRANGE(""https://docs.google.com/spreadsheets/d/1xmPlrr1QbdSIKvl1dWUl9K4PjAfSL9oeMr_37QVzcxc/edit?usp=sharing"",""สระบุรี!J508"")"),0)</f>
        <v>0</v>
      </c>
      <c r="AE70" s="152">
        <f ca="1">IFERROR(__xludf.DUMMYFUNCTION("IMPORTRANGE(""https://docs.google.com/spreadsheets/d/1xmPlrr1QbdSIKvl1dWUl9K4PjAfSL9oeMr_37QVzcxc/edit?usp=sharing"",""สระบุรี!J509"")"),0)</f>
        <v>0</v>
      </c>
    </row>
    <row r="71" spans="1:31" ht="21" customHeight="1" x14ac:dyDescent="0.3">
      <c r="A71" s="70">
        <v>19</v>
      </c>
      <c r="B71" s="71" t="s">
        <v>99</v>
      </c>
      <c r="C71" s="149">
        <f t="shared" ca="1" si="21"/>
        <v>0</v>
      </c>
      <c r="D71" s="150">
        <f t="shared" ca="1" si="45"/>
        <v>0</v>
      </c>
      <c r="E71" s="151">
        <f ca="1">IFERROR(__xludf.DUMMYFUNCTION("IMPORTRANGE(""https://docs.google.com/spreadsheets/d/1-uDff_7J0KD5mKrp0Vvzr7lt3OU09vwQwhkpOPPYv2Y/edit?usp=sharing"",""งบพรบ!HV71"")"),0)</f>
        <v>0</v>
      </c>
      <c r="F71" s="151">
        <f ca="1">IFERROR(__xludf.DUMMYFUNCTION("IMPORTRANGE(""https://docs.google.com/spreadsheets/d/1-uDff_7J0KD5mKrp0Vvzr7lt3OU09vwQwhkpOPPYv2Y/edit?usp=sharing"",""งบพรบ!HW71"")"),0)</f>
        <v>0</v>
      </c>
      <c r="G71" s="151">
        <f ca="1">IFERROR(__xludf.DUMMYFUNCTION("IMPORTRANGE(""https://docs.google.com/spreadsheets/d/1-uDff_7J0KD5mKrp0Vvzr7lt3OU09vwQwhkpOPPYv2Y/edit?usp=sharing"",""งบพรบ!HX71"")"),0)</f>
        <v>0</v>
      </c>
      <c r="H71" s="151">
        <f ca="1">IFERROR(__xludf.DUMMYFUNCTION("IMPORTRANGE(""https://docs.google.com/spreadsheets/d/1-uDff_7J0KD5mKrp0Vvzr7lt3OU09vwQwhkpOPPYv2Y/edit?usp=sharing"",""งบพรบ!HZ71"")"),0)</f>
        <v>0</v>
      </c>
      <c r="I71" s="151">
        <f ca="1">IFERROR(__xludf.DUMMYFUNCTION("IMPORTRANGE(""https://docs.google.com/spreadsheets/d/1-uDff_7J0KD5mKrp0Vvzr7lt3OU09vwQwhkpOPPYv2Y/edit?usp=sharing"",""งบพรบ!IA71"")"),0)</f>
        <v>0</v>
      </c>
      <c r="J71" s="151">
        <f t="shared" ca="1" si="23"/>
        <v>0</v>
      </c>
      <c r="K71" s="154">
        <f t="shared" ca="1" si="24"/>
        <v>0</v>
      </c>
      <c r="L71" s="151">
        <f ca="1">IFERROR(__xludf.DUMMYFUNCTION("IMPORTRANGE(""https://docs.google.com/spreadsheets/d/1-uDff_7J0KD5mKrp0Vvzr7lt3OU09vwQwhkpOPPYv2Y/edit?usp=sharing"",""งบพรบ!IB71"")"),0)</f>
        <v>0</v>
      </c>
      <c r="M71" s="68">
        <f t="shared" ca="1" si="25"/>
        <v>0</v>
      </c>
      <c r="N71" s="68">
        <f t="shared" ca="1" si="26"/>
        <v>0</v>
      </c>
      <c r="O71" s="151">
        <f ca="1">IFERROR(__xludf.DUMMYFUNCTION("IMPORTRANGE(""https://docs.google.com/spreadsheets/d/1-uDff_7J0KD5mKrp0Vvzr7lt3OU09vwQwhkpOPPYv2Y/edit?usp=sharing"",""งบพรบ!IC71"")"),0)</f>
        <v>0</v>
      </c>
      <c r="P71" s="67">
        <f t="shared" ca="1" si="27"/>
        <v>0</v>
      </c>
      <c r="Q71" s="68">
        <f t="shared" ca="1" si="28"/>
        <v>0</v>
      </c>
      <c r="R71" s="68">
        <f ca="1">IFERROR(__xludf.DUMMYFUNCTION("IMPORTRANGE(""https://docs.google.com/spreadsheets/d/1j51vR6CYVGhABJpv6tkstgok82RLpXieLzW1yOY5rHw/edit?usp=sharing"",""สิงห์บุรี!Q498"")"),0)</f>
        <v>0</v>
      </c>
      <c r="S71" s="68">
        <f ca="1">IFERROR(__xludf.DUMMYFUNCTION("IMPORTRANGE(""https://docs.google.com/spreadsheets/d/1j51vR6CYVGhABJpv6tkstgok82RLpXieLzW1yOY5rHw/edit?usp=sharing"",""สิงห์บุรี!R498"")"),0)</f>
        <v>0</v>
      </c>
      <c r="T71" s="68">
        <f ca="1">IFERROR(__xludf.DUMMYFUNCTION("IMPORTRANGE(""https://docs.google.com/spreadsheets/d/1j51vR6CYVGhABJpv6tkstgok82RLpXieLzW1yOY5rHw/edit?usp=sharing"",""สิงห์บุรี!S498"")"),0)</f>
        <v>0</v>
      </c>
      <c r="U71" s="68">
        <f t="shared" ca="1" si="30"/>
        <v>0</v>
      </c>
      <c r="V71" s="68">
        <f t="shared" ca="1" si="31"/>
        <v>0</v>
      </c>
      <c r="W71" s="278">
        <f ca="1">IFERROR(__xludf.DUMMYFUNCTION("IMPORTRANGE(""https://docs.google.com/spreadsheets/d/1j51vR6CYVGhABJpv6tkstgok82RLpXieLzW1yOY5rHw/edit?usp=sharing"",""สิงห์บุรี!I503"")"),0)</f>
        <v>0</v>
      </c>
      <c r="X71" s="152">
        <f ca="1">IFERROR(__xludf.DUMMYFUNCTION("IMPORTRANGE(""https://docs.google.com/spreadsheets/d/1j51vR6CYVGhABJpv6tkstgok82RLpXieLzW1yOY5rHw/edit?usp=sharing"",""สิงห์บุรี!J503"")"),0)</f>
        <v>0</v>
      </c>
      <c r="Y71" s="216">
        <f t="shared" ca="1" si="33"/>
        <v>0</v>
      </c>
      <c r="Z71" s="152">
        <f ca="1">IFERROR(__xludf.DUMMYFUNCTION("IMPORTRANGE(""https://docs.google.com/spreadsheets/d/1j51vR6CYVGhABJpv6tkstgok82RLpXieLzW1yOY5rHw/edit?usp=sharing"",""สิงห์บุรี!J504"")"),0)</f>
        <v>0</v>
      </c>
      <c r="AA71" s="152">
        <f ca="1">IFERROR(__xludf.DUMMYFUNCTION("IMPORTRANGE(""https://docs.google.com/spreadsheets/d/1j51vR6CYVGhABJpv6tkstgok82RLpXieLzW1yOY5rHw/edit?usp=sharing"",""สิงห์บุรี!J505"")"),0)</f>
        <v>0</v>
      </c>
      <c r="AB71" s="152">
        <f ca="1">IFERROR(__xludf.DUMMYFUNCTION("IMPORTRANGE(""https://docs.google.com/spreadsheets/d/1j51vR6CYVGhABJpv6tkstgok82RLpXieLzW1yOY5rHw/edit?usp=sharing"",""สิงห์บุรี!J506"")"),0)</f>
        <v>0</v>
      </c>
      <c r="AC71" s="152">
        <f ca="1">IFERROR(__xludf.DUMMYFUNCTION("IMPORTRANGE(""https://docs.google.com/spreadsheets/d/1j51vR6CYVGhABJpv6tkstgok82RLpXieLzW1yOY5rHw/edit?usp=sharing"",""สิงห์บุรี!J507"")"),0)</f>
        <v>0</v>
      </c>
      <c r="AD71" s="152">
        <f ca="1">IFERROR(__xludf.DUMMYFUNCTION("IMPORTRANGE(""https://docs.google.com/spreadsheets/d/1j51vR6CYVGhABJpv6tkstgok82RLpXieLzW1yOY5rHw/edit?usp=sharing"",""สิงห์บุรี!J508"")"),0)</f>
        <v>0</v>
      </c>
      <c r="AE71" s="152">
        <f ca="1">IFERROR(__xludf.DUMMYFUNCTION("IMPORTRANGE(""https://docs.google.com/spreadsheets/d/1j51vR6CYVGhABJpv6tkstgok82RLpXieLzW1yOY5rHw/edit?usp=sharing"",""สิงห์บุรี!J509"")"),0)</f>
        <v>0</v>
      </c>
    </row>
    <row r="72" spans="1:31" ht="21" customHeight="1" x14ac:dyDescent="0.3">
      <c r="A72" s="70">
        <v>20</v>
      </c>
      <c r="B72" s="71" t="s">
        <v>100</v>
      </c>
      <c r="C72" s="149">
        <f t="shared" ca="1" si="21"/>
        <v>0</v>
      </c>
      <c r="D72" s="150">
        <f t="shared" ca="1" si="45"/>
        <v>0</v>
      </c>
      <c r="E72" s="151">
        <f ca="1">IFERROR(__xludf.DUMMYFUNCTION("IMPORTRANGE(""https://docs.google.com/spreadsheets/d/1-uDff_7J0KD5mKrp0Vvzr7lt3OU09vwQwhkpOPPYv2Y/edit?usp=sharing"",""งบพรบ!HV72"")"),0)</f>
        <v>0</v>
      </c>
      <c r="F72" s="151">
        <f ca="1">IFERROR(__xludf.DUMMYFUNCTION("IMPORTRANGE(""https://docs.google.com/spreadsheets/d/1-uDff_7J0KD5mKrp0Vvzr7lt3OU09vwQwhkpOPPYv2Y/edit?usp=sharing"",""งบพรบ!HW72"")"),0)</f>
        <v>0</v>
      </c>
      <c r="G72" s="151">
        <f ca="1">IFERROR(__xludf.DUMMYFUNCTION("IMPORTRANGE(""https://docs.google.com/spreadsheets/d/1-uDff_7J0KD5mKrp0Vvzr7lt3OU09vwQwhkpOPPYv2Y/edit?usp=sharing"",""งบพรบ!HX72"")"),0)</f>
        <v>0</v>
      </c>
      <c r="H72" s="151">
        <f ca="1">IFERROR(__xludf.DUMMYFUNCTION("IMPORTRANGE(""https://docs.google.com/spreadsheets/d/1-uDff_7J0KD5mKrp0Vvzr7lt3OU09vwQwhkpOPPYv2Y/edit?usp=sharing"",""งบพรบ!HZ72"")"),0)</f>
        <v>0</v>
      </c>
      <c r="I72" s="151">
        <f ca="1">IFERROR(__xludf.DUMMYFUNCTION("IMPORTRANGE(""https://docs.google.com/spreadsheets/d/1-uDff_7J0KD5mKrp0Vvzr7lt3OU09vwQwhkpOPPYv2Y/edit?usp=sharing"",""งบพรบ!IA72"")"),0)</f>
        <v>0</v>
      </c>
      <c r="J72" s="151">
        <f t="shared" ca="1" si="23"/>
        <v>0</v>
      </c>
      <c r="K72" s="154">
        <f t="shared" ca="1" si="24"/>
        <v>0</v>
      </c>
      <c r="L72" s="151">
        <f ca="1">IFERROR(__xludf.DUMMYFUNCTION("IMPORTRANGE(""https://docs.google.com/spreadsheets/d/1-uDff_7J0KD5mKrp0Vvzr7lt3OU09vwQwhkpOPPYv2Y/edit?usp=sharing"",""งบพรบ!IB72"")"),0)</f>
        <v>0</v>
      </c>
      <c r="M72" s="68">
        <f t="shared" ca="1" si="25"/>
        <v>0</v>
      </c>
      <c r="N72" s="68">
        <f t="shared" ca="1" si="26"/>
        <v>0</v>
      </c>
      <c r="O72" s="151">
        <f ca="1">IFERROR(__xludf.DUMMYFUNCTION("IMPORTRANGE(""https://docs.google.com/spreadsheets/d/1-uDff_7J0KD5mKrp0Vvzr7lt3OU09vwQwhkpOPPYv2Y/edit?usp=sharing"",""งบพรบ!IC72"")"),0)</f>
        <v>0</v>
      </c>
      <c r="P72" s="67">
        <f t="shared" ca="1" si="27"/>
        <v>0</v>
      </c>
      <c r="Q72" s="68">
        <f t="shared" ca="1" si="28"/>
        <v>0</v>
      </c>
      <c r="R72" s="68">
        <f ca="1">IFERROR(__xludf.DUMMYFUNCTION("IMPORTRANGE(""https://docs.google.com/spreadsheets/d/1H1EalTWKUSzO4Z1-1CwzoDUaVffgrThEBe2sl74kKG0/edit?usp=sharing"",""สุพรรณบุรี!Q498"")"),0)</f>
        <v>0</v>
      </c>
      <c r="S72" s="68">
        <f ca="1">IFERROR(__xludf.DUMMYFUNCTION("IMPORTRANGE(""https://docs.google.com/spreadsheets/d/1H1EalTWKUSzO4Z1-1CwzoDUaVffgrThEBe2sl74kKG0/edit?usp=sharing"",""สุพรรณบุรี!R498"")"),0)</f>
        <v>0</v>
      </c>
      <c r="T72" s="68">
        <f ca="1">IFERROR(__xludf.DUMMYFUNCTION("IMPORTRANGE(""https://docs.google.com/spreadsheets/d/1H1EalTWKUSzO4Z1-1CwzoDUaVffgrThEBe2sl74kKG0/edit?usp=sharing"",""สุพรรณบุรี!S498"")"),0)</f>
        <v>0</v>
      </c>
      <c r="U72" s="68">
        <f t="shared" ca="1" si="30"/>
        <v>0</v>
      </c>
      <c r="V72" s="68">
        <f t="shared" ca="1" si="31"/>
        <v>0</v>
      </c>
      <c r="W72" s="278">
        <f ca="1">IFERROR(__xludf.DUMMYFUNCTION("IMPORTRANGE(""https://docs.google.com/spreadsheets/d/1H1EalTWKUSzO4Z1-1CwzoDUaVffgrThEBe2sl74kKG0/edit?usp=sharing"",""สุพรรณบุรี!I503"")"),0)</f>
        <v>0</v>
      </c>
      <c r="X72" s="152">
        <f ca="1">IFERROR(__xludf.DUMMYFUNCTION("IMPORTRANGE(""https://docs.google.com/spreadsheets/d/1H1EalTWKUSzO4Z1-1CwzoDUaVffgrThEBe2sl74kKG0/edit?usp=sharing"",""สุพรรณบุรี!J503"")"),0)</f>
        <v>0</v>
      </c>
      <c r="Y72" s="216">
        <f t="shared" ca="1" si="33"/>
        <v>0</v>
      </c>
      <c r="Z72" s="152">
        <f ca="1">IFERROR(__xludf.DUMMYFUNCTION("IMPORTRANGE(""https://docs.google.com/spreadsheets/d/1H1EalTWKUSzO4Z1-1CwzoDUaVffgrThEBe2sl74kKG0/edit?usp=sharing"",""สุพรรณบุรี!J504"")"),0)</f>
        <v>0</v>
      </c>
      <c r="AA72" s="152">
        <f ca="1">IFERROR(__xludf.DUMMYFUNCTION("IMPORTRANGE(""https://docs.google.com/spreadsheets/d/1H1EalTWKUSzO4Z1-1CwzoDUaVffgrThEBe2sl74kKG0/edit?usp=sharing"",""สุพรรณบุรี!J505"")"),0)</f>
        <v>0</v>
      </c>
      <c r="AB72" s="152">
        <f ca="1">IFERROR(__xludf.DUMMYFUNCTION("IMPORTRANGE(""https://docs.google.com/spreadsheets/d/1H1EalTWKUSzO4Z1-1CwzoDUaVffgrThEBe2sl74kKG0/edit?usp=sharing"",""สุพรรณบุรี!J506"")"),0)</f>
        <v>0</v>
      </c>
      <c r="AC72" s="152">
        <f ca="1">IFERROR(__xludf.DUMMYFUNCTION("IMPORTRANGE(""https://docs.google.com/spreadsheets/d/1H1EalTWKUSzO4Z1-1CwzoDUaVffgrThEBe2sl74kKG0/edit?usp=sharing"",""สุพรรณบุรี!J507"")"),0)</f>
        <v>0</v>
      </c>
      <c r="AD72" s="152">
        <f ca="1">IFERROR(__xludf.DUMMYFUNCTION("IMPORTRANGE(""https://docs.google.com/spreadsheets/d/1H1EalTWKUSzO4Z1-1CwzoDUaVffgrThEBe2sl74kKG0/edit?usp=sharing"",""สุพรรณบุรี!J508"")"),0)</f>
        <v>0</v>
      </c>
      <c r="AE72" s="152">
        <f ca="1">IFERROR(__xludf.DUMMYFUNCTION("IMPORTRANGE(""https://docs.google.com/spreadsheets/d/1H1EalTWKUSzO4Z1-1CwzoDUaVffgrThEBe2sl74kKG0/edit?usp=sharing"",""สุพรรณบุรี!J509"")"),0)</f>
        <v>0</v>
      </c>
    </row>
    <row r="73" spans="1:31" ht="21" customHeight="1" x14ac:dyDescent="0.3">
      <c r="A73" s="80">
        <v>21</v>
      </c>
      <c r="B73" s="81" t="s">
        <v>101</v>
      </c>
      <c r="C73" s="157">
        <f t="shared" ca="1" si="21"/>
        <v>0</v>
      </c>
      <c r="D73" s="158">
        <f t="shared" ca="1" si="45"/>
        <v>0</v>
      </c>
      <c r="E73" s="159">
        <f ca="1">IFERROR(__xludf.DUMMYFUNCTION("IMPORTRANGE(""https://docs.google.com/spreadsheets/d/1-uDff_7J0KD5mKrp0Vvzr7lt3OU09vwQwhkpOPPYv2Y/edit?usp=sharing"",""งบพรบ!HV73"")"),0)</f>
        <v>0</v>
      </c>
      <c r="F73" s="159">
        <f ca="1">IFERROR(__xludf.DUMMYFUNCTION("IMPORTRANGE(""https://docs.google.com/spreadsheets/d/1-uDff_7J0KD5mKrp0Vvzr7lt3OU09vwQwhkpOPPYv2Y/edit?usp=sharing"",""งบพรบ!HW73"")"),0)</f>
        <v>0</v>
      </c>
      <c r="G73" s="159">
        <f ca="1">IFERROR(__xludf.DUMMYFUNCTION("IMPORTRANGE(""https://docs.google.com/spreadsheets/d/1-uDff_7J0KD5mKrp0Vvzr7lt3OU09vwQwhkpOPPYv2Y/edit?usp=sharing"",""งบพรบ!HX73"")"),0)</f>
        <v>0</v>
      </c>
      <c r="H73" s="159">
        <f ca="1">IFERROR(__xludf.DUMMYFUNCTION("IMPORTRANGE(""https://docs.google.com/spreadsheets/d/1-uDff_7J0KD5mKrp0Vvzr7lt3OU09vwQwhkpOPPYv2Y/edit?usp=sharing"",""งบพรบ!HZ73"")"),0)</f>
        <v>0</v>
      </c>
      <c r="I73" s="159">
        <f ca="1">IFERROR(__xludf.DUMMYFUNCTION("IMPORTRANGE(""https://docs.google.com/spreadsheets/d/1-uDff_7J0KD5mKrp0Vvzr7lt3OU09vwQwhkpOPPYv2Y/edit?usp=sharing"",""งบพรบ!IA73"")"),0)</f>
        <v>0</v>
      </c>
      <c r="J73" s="159">
        <f t="shared" ca="1" si="23"/>
        <v>0</v>
      </c>
      <c r="K73" s="160">
        <f t="shared" ca="1" si="24"/>
        <v>0</v>
      </c>
      <c r="L73" s="159">
        <f ca="1">IFERROR(__xludf.DUMMYFUNCTION("IMPORTRANGE(""https://docs.google.com/spreadsheets/d/1-uDff_7J0KD5mKrp0Vvzr7lt3OU09vwQwhkpOPPYv2Y/edit?usp=sharing"",""งบพรบ!IB73"")"),0)</f>
        <v>0</v>
      </c>
      <c r="M73" s="89">
        <f t="shared" ca="1" si="25"/>
        <v>0</v>
      </c>
      <c r="N73" s="89">
        <f t="shared" ca="1" si="26"/>
        <v>0</v>
      </c>
      <c r="O73" s="159">
        <f ca="1">IFERROR(__xludf.DUMMYFUNCTION("IMPORTRANGE(""https://docs.google.com/spreadsheets/d/1-uDff_7J0KD5mKrp0Vvzr7lt3OU09vwQwhkpOPPYv2Y/edit?usp=sharing"",""งบพรบ!IC73"")"),0)</f>
        <v>0</v>
      </c>
      <c r="P73" s="88">
        <f t="shared" ca="1" si="27"/>
        <v>0</v>
      </c>
      <c r="Q73" s="89">
        <f t="shared" ca="1" si="28"/>
        <v>0</v>
      </c>
      <c r="R73" s="89">
        <f ca="1">IFERROR(__xludf.DUMMYFUNCTION("IMPORTRANGE(""https://docs.google.com/spreadsheets/d/1BmIruG_sIrJLYao_Pdr7zVArWsfoBt2692TMi6x_854/edit?usp=sharing"",""อ่างทอง!Q498"")"),0)</f>
        <v>0</v>
      </c>
      <c r="S73" s="89">
        <f ca="1">IFERROR(__xludf.DUMMYFUNCTION("IMPORTRANGE(""https://docs.google.com/spreadsheets/d/1BmIruG_sIrJLYao_Pdr7zVArWsfoBt2692TMi6x_854/edit?usp=sharing"",""อ่างทอง!R498"")"),0)</f>
        <v>0</v>
      </c>
      <c r="T73" s="89">
        <f ca="1">IFERROR(__xludf.DUMMYFUNCTION("IMPORTRANGE(""https://docs.google.com/spreadsheets/d/1BmIruG_sIrJLYao_Pdr7zVArWsfoBt2692TMi6x_854/edit?usp=sharing"",""อ่างทอง!S498"")"),0)</f>
        <v>0</v>
      </c>
      <c r="U73" s="89">
        <f t="shared" ca="1" si="30"/>
        <v>0</v>
      </c>
      <c r="V73" s="89">
        <f t="shared" ca="1" si="31"/>
        <v>0</v>
      </c>
      <c r="W73" s="280">
        <f ca="1">IFERROR(__xludf.DUMMYFUNCTION("IMPORTRANGE(""https://docs.google.com/spreadsheets/d/1BmIruG_sIrJLYao_Pdr7zVArWsfoBt2692TMi6x_854/edit?usp=sharing"",""อ่างทอง!I503"")"),0)</f>
        <v>0</v>
      </c>
      <c r="X73" s="191">
        <f ca="1">IFERROR(__xludf.DUMMYFUNCTION("IMPORTRANGE(""https://docs.google.com/spreadsheets/d/1BmIruG_sIrJLYao_Pdr7zVArWsfoBt2692TMi6x_854/edit?usp=sharing"",""อ่างทอง!J503"")"),0)</f>
        <v>0</v>
      </c>
      <c r="Y73" s="218">
        <f t="shared" ca="1" si="33"/>
        <v>0</v>
      </c>
      <c r="Z73" s="191">
        <f ca="1">IFERROR(__xludf.DUMMYFUNCTION("IMPORTRANGE(""https://docs.google.com/spreadsheets/d/1BmIruG_sIrJLYao_Pdr7zVArWsfoBt2692TMi6x_854/edit?usp=sharing"",""อ่างทอง!J504"")"),0)</f>
        <v>0</v>
      </c>
      <c r="AA73" s="191">
        <f ca="1">IFERROR(__xludf.DUMMYFUNCTION("IMPORTRANGE(""https://docs.google.com/spreadsheets/d/1BmIruG_sIrJLYao_Pdr7zVArWsfoBt2692TMi6x_854/edit?usp=sharing"",""อ่างทอง!J505"")"),0)</f>
        <v>0</v>
      </c>
      <c r="AB73" s="191">
        <f ca="1">IFERROR(__xludf.DUMMYFUNCTION("IMPORTRANGE(""https://docs.google.com/spreadsheets/d/1BmIruG_sIrJLYao_Pdr7zVArWsfoBt2692TMi6x_854/edit?usp=sharing"",""อ่างทอง!J506"")"),0)</f>
        <v>0</v>
      </c>
      <c r="AC73" s="191">
        <f ca="1">IFERROR(__xludf.DUMMYFUNCTION("IMPORTRANGE(""https://docs.google.com/spreadsheets/d/1BmIruG_sIrJLYao_Pdr7zVArWsfoBt2692TMi6x_854/edit?usp=sharing"",""อ่างทอง!J507"")"),0)</f>
        <v>0</v>
      </c>
      <c r="AD73" s="191">
        <f ca="1">IFERROR(__xludf.DUMMYFUNCTION("IMPORTRANGE(""https://docs.google.com/spreadsheets/d/1BmIruG_sIrJLYao_Pdr7zVArWsfoBt2692TMi6x_854/edit?usp=sharing"",""อ่างทอง!J508"")"),0)</f>
        <v>0</v>
      </c>
      <c r="AE73" s="191">
        <f ca="1">IFERROR(__xludf.DUMMYFUNCTION("IMPORTRANGE(""https://docs.google.com/spreadsheets/d/1BmIruG_sIrJLYao_Pdr7zVArWsfoBt2692TMi6x_854/edit?usp=sharing"",""อ่างทอง!J509"")"),0)</f>
        <v>0</v>
      </c>
    </row>
    <row r="74" spans="1:31" ht="21" customHeight="1" x14ac:dyDescent="0.3">
      <c r="A74" s="664" t="s">
        <v>102</v>
      </c>
      <c r="B74" s="647"/>
      <c r="C74" s="161">
        <f t="shared" ca="1" si="21"/>
        <v>124100</v>
      </c>
      <c r="D74" s="161">
        <f t="shared" ref="D74:I74" ca="1" si="46">SUM(D75:D88)</f>
        <v>124100</v>
      </c>
      <c r="E74" s="161">
        <f t="shared" ca="1" si="46"/>
        <v>0</v>
      </c>
      <c r="F74" s="161">
        <f t="shared" ca="1" si="46"/>
        <v>124100</v>
      </c>
      <c r="G74" s="161">
        <f t="shared" ca="1" si="46"/>
        <v>0</v>
      </c>
      <c r="H74" s="161">
        <f t="shared" ca="1" si="46"/>
        <v>124100</v>
      </c>
      <c r="I74" s="161">
        <f t="shared" ca="1" si="46"/>
        <v>0</v>
      </c>
      <c r="J74" s="161">
        <f t="shared" ca="1" si="23"/>
        <v>68380</v>
      </c>
      <c r="K74" s="162">
        <f t="shared" ca="1" si="24"/>
        <v>55.100725221595489</v>
      </c>
      <c r="L74" s="161">
        <f ca="1">SUM(L75:L88)</f>
        <v>68380</v>
      </c>
      <c r="M74" s="94">
        <f t="shared" ca="1" si="25"/>
        <v>55.100725221595489</v>
      </c>
      <c r="N74" s="94">
        <f t="shared" ca="1" si="26"/>
        <v>55.100725221595489</v>
      </c>
      <c r="O74" s="93">
        <f ca="1">SUM(O75:O88)</f>
        <v>0</v>
      </c>
      <c r="P74" s="93">
        <f t="shared" ca="1" si="27"/>
        <v>0</v>
      </c>
      <c r="Q74" s="94">
        <f t="shared" ca="1" si="28"/>
        <v>0</v>
      </c>
      <c r="R74" s="94">
        <f t="shared" ref="R74:T74" ca="1" si="47">SUM(R75:R88)</f>
        <v>2737845</v>
      </c>
      <c r="S74" s="94">
        <f t="shared" ca="1" si="47"/>
        <v>2726848.34</v>
      </c>
      <c r="T74" s="94">
        <f t="shared" ca="1" si="47"/>
        <v>1825098.9300000002</v>
      </c>
      <c r="U74" s="94">
        <f t="shared" ca="1" si="30"/>
        <v>66.661879324797439</v>
      </c>
      <c r="V74" s="94">
        <f t="shared" ca="1" si="31"/>
        <v>66.930709098401877</v>
      </c>
      <c r="W74" s="282">
        <f t="shared" ref="W74:X74" ca="1" si="48">SUM(W75:W88)</f>
        <v>210</v>
      </c>
      <c r="X74" s="161">
        <f t="shared" ca="1" si="48"/>
        <v>210</v>
      </c>
      <c r="Y74" s="94">
        <f t="shared" ca="1" si="33"/>
        <v>100</v>
      </c>
      <c r="Z74" s="161">
        <f t="shared" ref="Z74:AE74" ca="1" si="49">SUM(Z75:Z88)</f>
        <v>210</v>
      </c>
      <c r="AA74" s="161">
        <f t="shared" ca="1" si="49"/>
        <v>210</v>
      </c>
      <c r="AB74" s="161">
        <f t="shared" ca="1" si="49"/>
        <v>190</v>
      </c>
      <c r="AC74" s="161">
        <f t="shared" ca="1" si="49"/>
        <v>30</v>
      </c>
      <c r="AD74" s="161">
        <f t="shared" ca="1" si="49"/>
        <v>0</v>
      </c>
      <c r="AE74" s="161">
        <f t="shared" ca="1" si="49"/>
        <v>30</v>
      </c>
    </row>
    <row r="75" spans="1:31" ht="21" customHeight="1" x14ac:dyDescent="0.3">
      <c r="A75" s="58">
        <v>1</v>
      </c>
      <c r="B75" s="59" t="s">
        <v>103</v>
      </c>
      <c r="C75" s="149">
        <f t="shared" ca="1" si="21"/>
        <v>47800</v>
      </c>
      <c r="D75" s="150">
        <f t="shared" ref="D75:D88" ca="1" si="50">+E75+F75</f>
        <v>47800</v>
      </c>
      <c r="E75" s="151">
        <f ca="1">IFERROR(__xludf.DUMMYFUNCTION("IMPORTRANGE(""https://docs.google.com/spreadsheets/d/1-uDff_7J0KD5mKrp0Vvzr7lt3OU09vwQwhkpOPPYv2Y/edit?usp=sharing"",""งบพรบ!HV75"")"),0)</f>
        <v>0</v>
      </c>
      <c r="F75" s="151">
        <f ca="1">IFERROR(__xludf.DUMMYFUNCTION("IMPORTRANGE(""https://docs.google.com/spreadsheets/d/1-uDff_7J0KD5mKrp0Vvzr7lt3OU09vwQwhkpOPPYv2Y/edit?usp=sharing"",""งบพรบ!HW75"")"),47800)</f>
        <v>47800</v>
      </c>
      <c r="G75" s="151">
        <f ca="1">IFERROR(__xludf.DUMMYFUNCTION("IMPORTRANGE(""https://docs.google.com/spreadsheets/d/1-uDff_7J0KD5mKrp0Vvzr7lt3OU09vwQwhkpOPPYv2Y/edit?usp=sharing"",""งบพรบ!HX75"")"),0)</f>
        <v>0</v>
      </c>
      <c r="H75" s="151">
        <f ca="1">IFERROR(__xludf.DUMMYFUNCTION("IMPORTRANGE(""https://docs.google.com/spreadsheets/d/1-uDff_7J0KD5mKrp0Vvzr7lt3OU09vwQwhkpOPPYv2Y/edit?usp=sharing"",""งบพรบ!HZ75"")"),47800)</f>
        <v>47800</v>
      </c>
      <c r="I75" s="151">
        <f ca="1">IFERROR(__xludf.DUMMYFUNCTION("IMPORTRANGE(""https://docs.google.com/spreadsheets/d/1-uDff_7J0KD5mKrp0Vvzr7lt3OU09vwQwhkpOPPYv2Y/edit?usp=sharing"",""งบพรบ!IA75"")"),0)</f>
        <v>0</v>
      </c>
      <c r="J75" s="151">
        <f t="shared" ca="1" si="23"/>
        <v>2700</v>
      </c>
      <c r="K75" s="154">
        <f t="shared" ca="1" si="24"/>
        <v>5.6485355648535567</v>
      </c>
      <c r="L75" s="151">
        <f ca="1">IFERROR(__xludf.DUMMYFUNCTION("IMPORTRANGE(""https://docs.google.com/spreadsheets/d/1-uDff_7J0KD5mKrp0Vvzr7lt3OU09vwQwhkpOPPYv2Y/edit?usp=sharing"",""งบพรบ!IB75"")"),2700)</f>
        <v>2700</v>
      </c>
      <c r="M75" s="68">
        <f t="shared" ca="1" si="25"/>
        <v>5.6485355648535567</v>
      </c>
      <c r="N75" s="68">
        <f t="shared" ca="1" si="26"/>
        <v>5.6485355648535567</v>
      </c>
      <c r="O75" s="151">
        <f ca="1">IFERROR(__xludf.DUMMYFUNCTION("IMPORTRANGE(""https://docs.google.com/spreadsheets/d/1-uDff_7J0KD5mKrp0Vvzr7lt3OU09vwQwhkpOPPYv2Y/edit?usp=sharing"",""งบพรบ!IC75"")"),0)</f>
        <v>0</v>
      </c>
      <c r="P75" s="67">
        <f t="shared" ca="1" si="27"/>
        <v>0</v>
      </c>
      <c r="Q75" s="68">
        <f t="shared" ca="1" si="28"/>
        <v>0</v>
      </c>
      <c r="R75" s="68">
        <f ca="1">IFERROR(__xludf.DUMMYFUNCTION("IMPORTRANGE(""https://docs.google.com/spreadsheets/d/1kKUcYdkIfrgTSj8iHHHB2MD2FAtwyyocFgqGQn6ADyI/edit?usp=sharing"",""กระบี่!Q498"")"),1169450)</f>
        <v>1169450</v>
      </c>
      <c r="S75" s="68">
        <f ca="1">IFERROR(__xludf.DUMMYFUNCTION("IMPORTRANGE(""https://docs.google.com/spreadsheets/d/1kKUcYdkIfrgTSj8iHHHB2MD2FAtwyyocFgqGQn6ADyI/edit?usp=sharing"",""กระบี่!R498"")"),1177150)</f>
        <v>1177150</v>
      </c>
      <c r="T75" s="68">
        <f ca="1">IFERROR(__xludf.DUMMYFUNCTION("IMPORTRANGE(""https://docs.google.com/spreadsheets/d/1kKUcYdkIfrgTSj8iHHHB2MD2FAtwyyocFgqGQn6ADyI/edit?usp=sharing"",""กระบี่!S498"")"),424958.59)</f>
        <v>424958.59</v>
      </c>
      <c r="U75" s="68">
        <f t="shared" ca="1" si="30"/>
        <v>36.338329129077771</v>
      </c>
      <c r="V75" s="68">
        <f t="shared" ca="1" si="31"/>
        <v>36.100632034999791</v>
      </c>
      <c r="W75" s="278">
        <f ca="1">IFERROR(__xludf.DUMMYFUNCTION("IMPORTRANGE(""https://docs.google.com/spreadsheets/d/1kKUcYdkIfrgTSj8iHHHB2MD2FAtwyyocFgqGQn6ADyI/edit?usp=sharing"",""กระบี่!I503"")"),100)</f>
        <v>100</v>
      </c>
      <c r="X75" s="152">
        <f ca="1">IFERROR(__xludf.DUMMYFUNCTION("IMPORTRANGE(""https://docs.google.com/spreadsheets/d/1kKUcYdkIfrgTSj8iHHHB2MD2FAtwyyocFgqGQn6ADyI/edit?usp=sharing"",""กระบี่!J503"")"),100)</f>
        <v>100</v>
      </c>
      <c r="Y75" s="216">
        <f t="shared" ca="1" si="33"/>
        <v>100</v>
      </c>
      <c r="Z75" s="152">
        <f ca="1">IFERROR(__xludf.DUMMYFUNCTION("IMPORTRANGE(""https://docs.google.com/spreadsheets/d/1kKUcYdkIfrgTSj8iHHHB2MD2FAtwyyocFgqGQn6ADyI/edit?usp=sharing"",""กระบี่!J504"")"),100)</f>
        <v>100</v>
      </c>
      <c r="AA75" s="152">
        <f ca="1">IFERROR(__xludf.DUMMYFUNCTION("IMPORTRANGE(""https://docs.google.com/spreadsheets/d/1kKUcYdkIfrgTSj8iHHHB2MD2FAtwyyocFgqGQn6ADyI/edit?usp=sharing"",""กระบี่!J505"")"),100)</f>
        <v>100</v>
      </c>
      <c r="AB75" s="152">
        <f ca="1">IFERROR(__xludf.DUMMYFUNCTION("IMPORTRANGE(""https://docs.google.com/spreadsheets/d/1kKUcYdkIfrgTSj8iHHHB2MD2FAtwyyocFgqGQn6ADyI/edit?usp=sharing"",""กระบี่!J506"")"),100)</f>
        <v>100</v>
      </c>
      <c r="AC75" s="152" t="str">
        <f ca="1">IFERROR(__xludf.DUMMYFUNCTION("IMPORTRANGE(""https://docs.google.com/spreadsheets/d/1kKUcYdkIfrgTSj8iHHHB2MD2FAtwyyocFgqGQn6ADyI/edit?usp=sharing"",""กระบี่!J507"")"),"")</f>
        <v/>
      </c>
      <c r="AD75" s="152">
        <f ca="1">IFERROR(__xludf.DUMMYFUNCTION("IMPORTRANGE(""https://docs.google.com/spreadsheets/d/1kKUcYdkIfrgTSj8iHHHB2MD2FAtwyyocFgqGQn6ADyI/edit?usp=sharing"",""กระบี่!J508"")"),0)</f>
        <v>0</v>
      </c>
      <c r="AE75" s="152">
        <f ca="1">IFERROR(__xludf.DUMMYFUNCTION("IMPORTRANGE(""https://docs.google.com/spreadsheets/d/1kKUcYdkIfrgTSj8iHHHB2MD2FAtwyyocFgqGQn6ADyI/edit?usp=sharing"",""กระบี่!J509"")"),0)</f>
        <v>0</v>
      </c>
    </row>
    <row r="76" spans="1:31" ht="21" customHeight="1" x14ac:dyDescent="0.3">
      <c r="A76" s="70">
        <v>2</v>
      </c>
      <c r="B76" s="71" t="s">
        <v>104</v>
      </c>
      <c r="C76" s="149">
        <f t="shared" ca="1" si="21"/>
        <v>28100</v>
      </c>
      <c r="D76" s="150">
        <f t="shared" ca="1" si="50"/>
        <v>28100</v>
      </c>
      <c r="E76" s="151">
        <f ca="1">IFERROR(__xludf.DUMMYFUNCTION("IMPORTRANGE(""https://docs.google.com/spreadsheets/d/1-uDff_7J0KD5mKrp0Vvzr7lt3OU09vwQwhkpOPPYv2Y/edit?usp=sharing"",""งบพรบ!HV76"")"),0)</f>
        <v>0</v>
      </c>
      <c r="F76" s="151">
        <f ca="1">IFERROR(__xludf.DUMMYFUNCTION("IMPORTRANGE(""https://docs.google.com/spreadsheets/d/1-uDff_7J0KD5mKrp0Vvzr7lt3OU09vwQwhkpOPPYv2Y/edit?usp=sharing"",""งบพรบ!HW76"")"),28100)</f>
        <v>28100</v>
      </c>
      <c r="G76" s="151">
        <f ca="1">IFERROR(__xludf.DUMMYFUNCTION("IMPORTRANGE(""https://docs.google.com/spreadsheets/d/1-uDff_7J0KD5mKrp0Vvzr7lt3OU09vwQwhkpOPPYv2Y/edit?usp=sharing"",""งบพรบ!HX76"")"),0)</f>
        <v>0</v>
      </c>
      <c r="H76" s="151">
        <f ca="1">IFERROR(__xludf.DUMMYFUNCTION("IMPORTRANGE(""https://docs.google.com/spreadsheets/d/1-uDff_7J0KD5mKrp0Vvzr7lt3OU09vwQwhkpOPPYv2Y/edit?usp=sharing"",""งบพรบ!HZ76"")"),28100)</f>
        <v>28100</v>
      </c>
      <c r="I76" s="151">
        <f ca="1">IFERROR(__xludf.DUMMYFUNCTION("IMPORTRANGE(""https://docs.google.com/spreadsheets/d/1-uDff_7J0KD5mKrp0Vvzr7lt3OU09vwQwhkpOPPYv2Y/edit?usp=sharing"",""งบพรบ!IA76"")"),0)</f>
        <v>0</v>
      </c>
      <c r="J76" s="151">
        <f t="shared" ca="1" si="23"/>
        <v>28000</v>
      </c>
      <c r="K76" s="154">
        <f t="shared" ca="1" si="24"/>
        <v>99.644128113879006</v>
      </c>
      <c r="L76" s="151">
        <f ca="1">IFERROR(__xludf.DUMMYFUNCTION("IMPORTRANGE(""https://docs.google.com/spreadsheets/d/1-uDff_7J0KD5mKrp0Vvzr7lt3OU09vwQwhkpOPPYv2Y/edit?usp=sharing"",""งบพรบ!IB76"")"),28000)</f>
        <v>28000</v>
      </c>
      <c r="M76" s="68">
        <f t="shared" ca="1" si="25"/>
        <v>99.644128113879006</v>
      </c>
      <c r="N76" s="68">
        <f t="shared" ca="1" si="26"/>
        <v>99.644128113879006</v>
      </c>
      <c r="O76" s="151">
        <f ca="1">IFERROR(__xludf.DUMMYFUNCTION("IMPORTRANGE(""https://docs.google.com/spreadsheets/d/1-uDff_7J0KD5mKrp0Vvzr7lt3OU09vwQwhkpOPPYv2Y/edit?usp=sharing"",""งบพรบ!IC76"")"),0)</f>
        <v>0</v>
      </c>
      <c r="P76" s="67">
        <f t="shared" ca="1" si="27"/>
        <v>0</v>
      </c>
      <c r="Q76" s="68">
        <f t="shared" ca="1" si="28"/>
        <v>0</v>
      </c>
      <c r="R76" s="68">
        <f ca="1">IFERROR(__xludf.DUMMYFUNCTION("IMPORTRANGE(""https://docs.google.com/spreadsheets/d/1GwtLaSlNZkLk7iDqcyZz22giiy40b_usZZBXYciEN1U/edit?usp=sharing"",""ชุมพร!Q498"")"),648025)</f>
        <v>648025</v>
      </c>
      <c r="S76" s="68">
        <f ca="1">IFERROR(__xludf.DUMMYFUNCTION("IMPORTRANGE(""https://docs.google.com/spreadsheets/d/1GwtLaSlNZkLk7iDqcyZz22giiy40b_usZZBXYciEN1U/edit?usp=sharing"",""ชุมพร!R498"")"),655725)</f>
        <v>655725</v>
      </c>
      <c r="T76" s="68">
        <f ca="1">IFERROR(__xludf.DUMMYFUNCTION("IMPORTRANGE(""https://docs.google.com/spreadsheets/d/1GwtLaSlNZkLk7iDqcyZz22giiy40b_usZZBXYciEN1U/edit?usp=sharing"",""ชุมพร!S498"")"),571387)</f>
        <v>571387</v>
      </c>
      <c r="U76" s="68">
        <f t="shared" ca="1" si="30"/>
        <v>88.173604413409976</v>
      </c>
      <c r="V76" s="68">
        <f t="shared" ca="1" si="31"/>
        <v>87.138205802737431</v>
      </c>
      <c r="W76" s="278">
        <f ca="1">IFERROR(__xludf.DUMMYFUNCTION("IMPORTRANGE(""https://docs.google.com/spreadsheets/d/1GwtLaSlNZkLk7iDqcyZz22giiy40b_usZZBXYciEN1U/edit?usp=sharing"",""ชุมพร!I503"")"),50)</f>
        <v>50</v>
      </c>
      <c r="X76" s="152">
        <f ca="1">IFERROR(__xludf.DUMMYFUNCTION("IMPORTRANGE(""https://docs.google.com/spreadsheets/d/1GwtLaSlNZkLk7iDqcyZz22giiy40b_usZZBXYciEN1U/edit?usp=sharing"",""ชุมพร!J503"")"),50)</f>
        <v>50</v>
      </c>
      <c r="Y76" s="216">
        <f t="shared" ca="1" si="33"/>
        <v>100</v>
      </c>
      <c r="Z76" s="152">
        <f ca="1">IFERROR(__xludf.DUMMYFUNCTION("IMPORTRANGE(""https://docs.google.com/spreadsheets/d/1GwtLaSlNZkLk7iDqcyZz22giiy40b_usZZBXYciEN1U/edit?usp=sharing"",""ชุมพร!J504"")"),50)</f>
        <v>50</v>
      </c>
      <c r="AA76" s="152">
        <f ca="1">IFERROR(__xludf.DUMMYFUNCTION("IMPORTRANGE(""https://docs.google.com/spreadsheets/d/1GwtLaSlNZkLk7iDqcyZz22giiy40b_usZZBXYciEN1U/edit?usp=sharing"",""ชุมพร!J505"")"),50)</f>
        <v>50</v>
      </c>
      <c r="AB76" s="152">
        <f ca="1">IFERROR(__xludf.DUMMYFUNCTION("IMPORTRANGE(""https://docs.google.com/spreadsheets/d/1GwtLaSlNZkLk7iDqcyZz22giiy40b_usZZBXYciEN1U/edit?usp=sharing"",""ชุมพร!J506"")"),50)</f>
        <v>50</v>
      </c>
      <c r="AC76" s="152">
        <f ca="1">IFERROR(__xludf.DUMMYFUNCTION("IMPORTRANGE(""https://docs.google.com/spreadsheets/d/1GwtLaSlNZkLk7iDqcyZz22giiy40b_usZZBXYciEN1U/edit?usp=sharing"",""ชุมพร!J507"")"),10)</f>
        <v>10</v>
      </c>
      <c r="AD76" s="152">
        <f ca="1">IFERROR(__xludf.DUMMYFUNCTION("IMPORTRANGE(""https://docs.google.com/spreadsheets/d/1GwtLaSlNZkLk7iDqcyZz22giiy40b_usZZBXYciEN1U/edit?usp=sharing"",""ชุมพร!J508"")"),0)</f>
        <v>0</v>
      </c>
      <c r="AE76" s="152">
        <f ca="1">IFERROR(__xludf.DUMMYFUNCTION("IMPORTRANGE(""https://docs.google.com/spreadsheets/d/1GwtLaSlNZkLk7iDqcyZz22giiy40b_usZZBXYciEN1U/edit?usp=sharing"",""ชุมพร!J509"")"),0)</f>
        <v>0</v>
      </c>
    </row>
    <row r="77" spans="1:31" ht="21" customHeight="1" x14ac:dyDescent="0.3">
      <c r="A77" s="70">
        <v>3</v>
      </c>
      <c r="B77" s="71" t="s">
        <v>105</v>
      </c>
      <c r="C77" s="149">
        <f t="shared" ca="1" si="21"/>
        <v>0</v>
      </c>
      <c r="D77" s="150">
        <f t="shared" ca="1" si="50"/>
        <v>0</v>
      </c>
      <c r="E77" s="151">
        <f ca="1">IFERROR(__xludf.DUMMYFUNCTION("IMPORTRANGE(""https://docs.google.com/spreadsheets/d/1-uDff_7J0KD5mKrp0Vvzr7lt3OU09vwQwhkpOPPYv2Y/edit?usp=sharing"",""งบพรบ!HV77"")"),0)</f>
        <v>0</v>
      </c>
      <c r="F77" s="151">
        <f ca="1">IFERROR(__xludf.DUMMYFUNCTION("IMPORTRANGE(""https://docs.google.com/spreadsheets/d/1-uDff_7J0KD5mKrp0Vvzr7lt3OU09vwQwhkpOPPYv2Y/edit?usp=sharing"",""งบพรบ!HW77"")"),0)</f>
        <v>0</v>
      </c>
      <c r="G77" s="151">
        <f ca="1">IFERROR(__xludf.DUMMYFUNCTION("IMPORTRANGE(""https://docs.google.com/spreadsheets/d/1-uDff_7J0KD5mKrp0Vvzr7lt3OU09vwQwhkpOPPYv2Y/edit?usp=sharing"",""งบพรบ!HX77"")"),0)</f>
        <v>0</v>
      </c>
      <c r="H77" s="151">
        <f ca="1">IFERROR(__xludf.DUMMYFUNCTION("IMPORTRANGE(""https://docs.google.com/spreadsheets/d/1-uDff_7J0KD5mKrp0Vvzr7lt3OU09vwQwhkpOPPYv2Y/edit?usp=sharing"",""งบพรบ!HZ77"")"),0)</f>
        <v>0</v>
      </c>
      <c r="I77" s="151">
        <f ca="1">IFERROR(__xludf.DUMMYFUNCTION("IMPORTRANGE(""https://docs.google.com/spreadsheets/d/1-uDff_7J0KD5mKrp0Vvzr7lt3OU09vwQwhkpOPPYv2Y/edit?usp=sharing"",""งบพรบ!IA77"")"),0)</f>
        <v>0</v>
      </c>
      <c r="J77" s="151">
        <f t="shared" ca="1" si="23"/>
        <v>0</v>
      </c>
      <c r="K77" s="154">
        <f t="shared" ca="1" si="24"/>
        <v>0</v>
      </c>
      <c r="L77" s="151">
        <f ca="1">IFERROR(__xludf.DUMMYFUNCTION("IMPORTRANGE(""https://docs.google.com/spreadsheets/d/1-uDff_7J0KD5mKrp0Vvzr7lt3OU09vwQwhkpOPPYv2Y/edit?usp=sharing"",""งบพรบ!IB77"")"),0)</f>
        <v>0</v>
      </c>
      <c r="M77" s="68">
        <f t="shared" ca="1" si="25"/>
        <v>0</v>
      </c>
      <c r="N77" s="68">
        <f t="shared" ca="1" si="26"/>
        <v>0</v>
      </c>
      <c r="O77" s="151">
        <f ca="1">IFERROR(__xludf.DUMMYFUNCTION("IMPORTRANGE(""https://docs.google.com/spreadsheets/d/1-uDff_7J0KD5mKrp0Vvzr7lt3OU09vwQwhkpOPPYv2Y/edit?usp=sharing"",""งบพรบ!IC77"")"),0)</f>
        <v>0</v>
      </c>
      <c r="P77" s="67">
        <f t="shared" ca="1" si="27"/>
        <v>0</v>
      </c>
      <c r="Q77" s="68">
        <f t="shared" ca="1" si="28"/>
        <v>0</v>
      </c>
      <c r="R77" s="68">
        <f ca="1">IFERROR(__xludf.DUMMYFUNCTION("IMPORTRANGE(""https://docs.google.com/spreadsheets/d/16pAz3pOhQEZBhvFNMa5KGgZS6iKWpsKX0pg6tQmwFpo/edit?usp=sharing"",""ตรัง!Q498"")"),0)</f>
        <v>0</v>
      </c>
      <c r="S77" s="68">
        <f ca="1">IFERROR(__xludf.DUMMYFUNCTION("IMPORTRANGE(""https://docs.google.com/spreadsheets/d/16pAz3pOhQEZBhvFNMa5KGgZS6iKWpsKX0pg6tQmwFpo/edit?usp=sharing"",""ตรัง!R498"")"),0)</f>
        <v>0</v>
      </c>
      <c r="T77" s="68">
        <f ca="1">IFERROR(__xludf.DUMMYFUNCTION("IMPORTRANGE(""https://docs.google.com/spreadsheets/d/16pAz3pOhQEZBhvFNMa5KGgZS6iKWpsKX0pg6tQmwFpo/edit?usp=sharing"",""ตรัง!S498"")"),0)</f>
        <v>0</v>
      </c>
      <c r="U77" s="68">
        <f t="shared" ca="1" si="30"/>
        <v>0</v>
      </c>
      <c r="V77" s="68">
        <f t="shared" ca="1" si="31"/>
        <v>0</v>
      </c>
      <c r="W77" s="278">
        <f ca="1">IFERROR(__xludf.DUMMYFUNCTION("IMPORTRANGE(""https://docs.google.com/spreadsheets/d/16pAz3pOhQEZBhvFNMa5KGgZS6iKWpsKX0pg6tQmwFpo/edit?usp=sharing"",""ตรัง!I503"")"),0)</f>
        <v>0</v>
      </c>
      <c r="X77" s="152">
        <f ca="1">IFERROR(__xludf.DUMMYFUNCTION("IMPORTRANGE(""https://docs.google.com/spreadsheets/d/16pAz3pOhQEZBhvFNMa5KGgZS6iKWpsKX0pg6tQmwFpo/edit?usp=sharing"",""ตรัง!J503"")"),0)</f>
        <v>0</v>
      </c>
      <c r="Y77" s="216">
        <f t="shared" ca="1" si="33"/>
        <v>0</v>
      </c>
      <c r="Z77" s="152">
        <f ca="1">IFERROR(__xludf.DUMMYFUNCTION("IMPORTRANGE(""https://docs.google.com/spreadsheets/d/16pAz3pOhQEZBhvFNMa5KGgZS6iKWpsKX0pg6tQmwFpo/edit?usp=sharing"",""ตรัง!J504"")"),0)</f>
        <v>0</v>
      </c>
      <c r="AA77" s="152">
        <f ca="1">IFERROR(__xludf.DUMMYFUNCTION("IMPORTRANGE(""https://docs.google.com/spreadsheets/d/16pAz3pOhQEZBhvFNMa5KGgZS6iKWpsKX0pg6tQmwFpo/edit?usp=sharing"",""ตรัง!J505"")"),0)</f>
        <v>0</v>
      </c>
      <c r="AB77" s="152">
        <f ca="1">IFERROR(__xludf.DUMMYFUNCTION("IMPORTRANGE(""https://docs.google.com/spreadsheets/d/16pAz3pOhQEZBhvFNMa5KGgZS6iKWpsKX0pg6tQmwFpo/edit?usp=sharing"",""ตรัง!J506"")"),0)</f>
        <v>0</v>
      </c>
      <c r="AC77" s="152">
        <f ca="1">IFERROR(__xludf.DUMMYFUNCTION("IMPORTRANGE(""https://docs.google.com/spreadsheets/d/16pAz3pOhQEZBhvFNMa5KGgZS6iKWpsKX0pg6tQmwFpo/edit?usp=sharing"",""ตรัง!J507"")"),0)</f>
        <v>0</v>
      </c>
      <c r="AD77" s="152">
        <f ca="1">IFERROR(__xludf.DUMMYFUNCTION("IMPORTRANGE(""https://docs.google.com/spreadsheets/d/16pAz3pOhQEZBhvFNMa5KGgZS6iKWpsKX0pg6tQmwFpo/edit?usp=sharing"",""ตรัง!J508"")"),0)</f>
        <v>0</v>
      </c>
      <c r="AE77" s="152">
        <f ca="1">IFERROR(__xludf.DUMMYFUNCTION("IMPORTRANGE(""https://docs.google.com/spreadsheets/d/16pAz3pOhQEZBhvFNMa5KGgZS6iKWpsKX0pg6tQmwFpo/edit?usp=sharing"",""ตรัง!J509"")"),0)</f>
        <v>0</v>
      </c>
    </row>
    <row r="78" spans="1:31" ht="21" customHeight="1" x14ac:dyDescent="0.3">
      <c r="A78" s="70">
        <v>4</v>
      </c>
      <c r="B78" s="71" t="s">
        <v>106</v>
      </c>
      <c r="C78" s="149">
        <f t="shared" ca="1" si="21"/>
        <v>0</v>
      </c>
      <c r="D78" s="150">
        <f t="shared" ca="1" si="50"/>
        <v>0</v>
      </c>
      <c r="E78" s="151">
        <f ca="1">IFERROR(__xludf.DUMMYFUNCTION("IMPORTRANGE(""https://docs.google.com/spreadsheets/d/1-uDff_7J0KD5mKrp0Vvzr7lt3OU09vwQwhkpOPPYv2Y/edit?usp=sharing"",""งบพรบ!HV78"")"),0)</f>
        <v>0</v>
      </c>
      <c r="F78" s="151">
        <f ca="1">IFERROR(__xludf.DUMMYFUNCTION("IMPORTRANGE(""https://docs.google.com/spreadsheets/d/1-uDff_7J0KD5mKrp0Vvzr7lt3OU09vwQwhkpOPPYv2Y/edit?usp=sharing"",""งบพรบ!HW78"")"),0)</f>
        <v>0</v>
      </c>
      <c r="G78" s="151">
        <f ca="1">IFERROR(__xludf.DUMMYFUNCTION("IMPORTRANGE(""https://docs.google.com/spreadsheets/d/1-uDff_7J0KD5mKrp0Vvzr7lt3OU09vwQwhkpOPPYv2Y/edit?usp=sharing"",""งบพรบ!HX78"")"),0)</f>
        <v>0</v>
      </c>
      <c r="H78" s="151">
        <f ca="1">IFERROR(__xludf.DUMMYFUNCTION("IMPORTRANGE(""https://docs.google.com/spreadsheets/d/1-uDff_7J0KD5mKrp0Vvzr7lt3OU09vwQwhkpOPPYv2Y/edit?usp=sharing"",""งบพรบ!HZ78"")"),0)</f>
        <v>0</v>
      </c>
      <c r="I78" s="151">
        <f ca="1">IFERROR(__xludf.DUMMYFUNCTION("IMPORTRANGE(""https://docs.google.com/spreadsheets/d/1-uDff_7J0KD5mKrp0Vvzr7lt3OU09vwQwhkpOPPYv2Y/edit?usp=sharing"",""งบพรบ!IA78"")"),0)</f>
        <v>0</v>
      </c>
      <c r="J78" s="151">
        <f t="shared" ca="1" si="23"/>
        <v>0</v>
      </c>
      <c r="K78" s="154">
        <f t="shared" ca="1" si="24"/>
        <v>0</v>
      </c>
      <c r="L78" s="151">
        <f ca="1">IFERROR(__xludf.DUMMYFUNCTION("IMPORTRANGE(""https://docs.google.com/spreadsheets/d/1-uDff_7J0KD5mKrp0Vvzr7lt3OU09vwQwhkpOPPYv2Y/edit?usp=sharing"",""งบพรบ!IB78"")"),0)</f>
        <v>0</v>
      </c>
      <c r="M78" s="68">
        <f t="shared" ca="1" si="25"/>
        <v>0</v>
      </c>
      <c r="N78" s="68">
        <f t="shared" ca="1" si="26"/>
        <v>0</v>
      </c>
      <c r="O78" s="151">
        <f ca="1">IFERROR(__xludf.DUMMYFUNCTION("IMPORTRANGE(""https://docs.google.com/spreadsheets/d/1-uDff_7J0KD5mKrp0Vvzr7lt3OU09vwQwhkpOPPYv2Y/edit?usp=sharing"",""งบพรบ!IC78"")"),0)</f>
        <v>0</v>
      </c>
      <c r="P78" s="67">
        <f t="shared" ca="1" si="27"/>
        <v>0</v>
      </c>
      <c r="Q78" s="68">
        <f t="shared" ca="1" si="28"/>
        <v>0</v>
      </c>
      <c r="R78" s="68">
        <f ca="1">IFERROR(__xludf.DUMMYFUNCTION("IMPORTRANGE(""https://docs.google.com/spreadsheets/d/1Dj4jcHCTV9JXKCaMoheSXS52JE63kDKyG7bPXnFogHk/edit?usp=sharing"",""นครศรีธรรมราช!Q498"")"),0)</f>
        <v>0</v>
      </c>
      <c r="S78" s="68">
        <f ca="1">IFERROR(__xludf.DUMMYFUNCTION("IMPORTRANGE(""https://docs.google.com/spreadsheets/d/1Dj4jcHCTV9JXKCaMoheSXS52JE63kDKyG7bPXnFogHk/edit?usp=sharing"",""นครศรีธรรมราช!R498"")"),0)</f>
        <v>0</v>
      </c>
      <c r="T78" s="68">
        <f ca="1">IFERROR(__xludf.DUMMYFUNCTION("IMPORTRANGE(""https://docs.google.com/spreadsheets/d/1Dj4jcHCTV9JXKCaMoheSXS52JE63kDKyG7bPXnFogHk/edit?usp=sharing"",""นครศรีธรรมราช!S498"")"),0)</f>
        <v>0</v>
      </c>
      <c r="U78" s="68">
        <f t="shared" ca="1" si="30"/>
        <v>0</v>
      </c>
      <c r="V78" s="68">
        <f t="shared" ca="1" si="31"/>
        <v>0</v>
      </c>
      <c r="W78" s="278">
        <f ca="1">IFERROR(__xludf.DUMMYFUNCTION("IMPORTRANGE(""https://docs.google.com/spreadsheets/d/1Dj4jcHCTV9JXKCaMoheSXS52JE63kDKyG7bPXnFogHk/edit?usp=sharing"",""นครศรีธรรมราช!I503"")"),0)</f>
        <v>0</v>
      </c>
      <c r="X78" s="152">
        <f ca="1">IFERROR(__xludf.DUMMYFUNCTION("IMPORTRANGE(""https://docs.google.com/spreadsheets/d/1Dj4jcHCTV9JXKCaMoheSXS52JE63kDKyG7bPXnFogHk/edit?usp=sharing"",""นครศรีธรรมราช!J503"")"),0)</f>
        <v>0</v>
      </c>
      <c r="Y78" s="216">
        <f t="shared" ca="1" si="33"/>
        <v>0</v>
      </c>
      <c r="Z78" s="152">
        <f ca="1">IFERROR(__xludf.DUMMYFUNCTION("IMPORTRANGE(""https://docs.google.com/spreadsheets/d/1Dj4jcHCTV9JXKCaMoheSXS52JE63kDKyG7bPXnFogHk/edit?usp=sharing"",""นครศรีธรรมราช!J504"")"),0)</f>
        <v>0</v>
      </c>
      <c r="AA78" s="152">
        <f ca="1">IFERROR(__xludf.DUMMYFUNCTION("IMPORTRANGE(""https://docs.google.com/spreadsheets/d/1Dj4jcHCTV9JXKCaMoheSXS52JE63kDKyG7bPXnFogHk/edit?usp=sharing"",""นครศรีธรรมราช!J505"")"),0)</f>
        <v>0</v>
      </c>
      <c r="AB78" s="152">
        <f ca="1">IFERROR(__xludf.DUMMYFUNCTION("IMPORTRANGE(""https://docs.google.com/spreadsheets/d/1Dj4jcHCTV9JXKCaMoheSXS52JE63kDKyG7bPXnFogHk/edit?usp=sharing"",""นครศรีธรรมราช!J506"")"),0)</f>
        <v>0</v>
      </c>
      <c r="AC78" s="152">
        <f ca="1">IFERROR(__xludf.DUMMYFUNCTION("IMPORTRANGE(""https://docs.google.com/spreadsheets/d/1Dj4jcHCTV9JXKCaMoheSXS52JE63kDKyG7bPXnFogHk/edit?usp=sharing"",""นครศรีธรรมราช!J507"")"),0)</f>
        <v>0</v>
      </c>
      <c r="AD78" s="152">
        <f ca="1">IFERROR(__xludf.DUMMYFUNCTION("IMPORTRANGE(""https://docs.google.com/spreadsheets/d/1Dj4jcHCTV9JXKCaMoheSXS52JE63kDKyG7bPXnFogHk/edit?usp=sharing"",""นครศรีธรรมราช!J508"")"),0)</f>
        <v>0</v>
      </c>
      <c r="AE78" s="152">
        <f ca="1">IFERROR(__xludf.DUMMYFUNCTION("IMPORTRANGE(""https://docs.google.com/spreadsheets/d/1Dj4jcHCTV9JXKCaMoheSXS52JE63kDKyG7bPXnFogHk/edit?usp=sharing"",""นครศรีธรรมราช!J509"")"),0)</f>
        <v>0</v>
      </c>
    </row>
    <row r="79" spans="1:31" ht="21" customHeight="1" x14ac:dyDescent="0.3">
      <c r="A79" s="70">
        <v>5</v>
      </c>
      <c r="B79" s="71" t="s">
        <v>107</v>
      </c>
      <c r="C79" s="149">
        <f t="shared" ca="1" si="21"/>
        <v>0</v>
      </c>
      <c r="D79" s="150">
        <f t="shared" ca="1" si="50"/>
        <v>0</v>
      </c>
      <c r="E79" s="151">
        <f ca="1">IFERROR(__xludf.DUMMYFUNCTION("IMPORTRANGE(""https://docs.google.com/spreadsheets/d/1-uDff_7J0KD5mKrp0Vvzr7lt3OU09vwQwhkpOPPYv2Y/edit?usp=sharing"",""งบพรบ!HV79"")"),0)</f>
        <v>0</v>
      </c>
      <c r="F79" s="151">
        <f ca="1">IFERROR(__xludf.DUMMYFUNCTION("IMPORTRANGE(""https://docs.google.com/spreadsheets/d/1-uDff_7J0KD5mKrp0Vvzr7lt3OU09vwQwhkpOPPYv2Y/edit?usp=sharing"",""งบพรบ!HW79"")"),0)</f>
        <v>0</v>
      </c>
      <c r="G79" s="151">
        <f ca="1">IFERROR(__xludf.DUMMYFUNCTION("IMPORTRANGE(""https://docs.google.com/spreadsheets/d/1-uDff_7J0KD5mKrp0Vvzr7lt3OU09vwQwhkpOPPYv2Y/edit?usp=sharing"",""งบพรบ!HX79"")"),0)</f>
        <v>0</v>
      </c>
      <c r="H79" s="151">
        <f ca="1">IFERROR(__xludf.DUMMYFUNCTION("IMPORTRANGE(""https://docs.google.com/spreadsheets/d/1-uDff_7J0KD5mKrp0Vvzr7lt3OU09vwQwhkpOPPYv2Y/edit?usp=sharing"",""งบพรบ!HZ79"")"),0)</f>
        <v>0</v>
      </c>
      <c r="I79" s="151">
        <f ca="1">IFERROR(__xludf.DUMMYFUNCTION("IMPORTRANGE(""https://docs.google.com/spreadsheets/d/1-uDff_7J0KD5mKrp0Vvzr7lt3OU09vwQwhkpOPPYv2Y/edit?usp=sharing"",""งบพรบ!IA79"")"),0)</f>
        <v>0</v>
      </c>
      <c r="J79" s="151">
        <f t="shared" ca="1" si="23"/>
        <v>0</v>
      </c>
      <c r="K79" s="154">
        <f t="shared" ca="1" si="24"/>
        <v>0</v>
      </c>
      <c r="L79" s="151">
        <f ca="1">IFERROR(__xludf.DUMMYFUNCTION("IMPORTRANGE(""https://docs.google.com/spreadsheets/d/1-uDff_7J0KD5mKrp0Vvzr7lt3OU09vwQwhkpOPPYv2Y/edit?usp=sharing"",""งบพรบ!IB79"")"),0)</f>
        <v>0</v>
      </c>
      <c r="M79" s="68">
        <f t="shared" ca="1" si="25"/>
        <v>0</v>
      </c>
      <c r="N79" s="68">
        <f t="shared" ca="1" si="26"/>
        <v>0</v>
      </c>
      <c r="O79" s="151">
        <f ca="1">IFERROR(__xludf.DUMMYFUNCTION("IMPORTRANGE(""https://docs.google.com/spreadsheets/d/1-uDff_7J0KD5mKrp0Vvzr7lt3OU09vwQwhkpOPPYv2Y/edit?usp=sharing"",""งบพรบ!IC79"")"),0)</f>
        <v>0</v>
      </c>
      <c r="P79" s="67">
        <f t="shared" ca="1" si="27"/>
        <v>0</v>
      </c>
      <c r="Q79" s="68">
        <f t="shared" ca="1" si="28"/>
        <v>0</v>
      </c>
      <c r="R79" s="68">
        <f ca="1">IFERROR(__xludf.DUMMYFUNCTION("IMPORTRANGE(""https://docs.google.com/spreadsheets/d/1iodCdmuK2GR3jzUwk8tpccY2JHQQA-87DLOtJP-ooyU/edit?usp=sharing"",""นราธิวาส!Q498"")"),0)</f>
        <v>0</v>
      </c>
      <c r="S79" s="68">
        <f ca="1">IFERROR(__xludf.DUMMYFUNCTION("IMPORTRANGE(""https://docs.google.com/spreadsheets/d/1iodCdmuK2GR3jzUwk8tpccY2JHQQA-87DLOtJP-ooyU/edit?usp=sharing"",""นราธิวาส!R498"")"),0)</f>
        <v>0</v>
      </c>
      <c r="T79" s="68">
        <f ca="1">IFERROR(__xludf.DUMMYFUNCTION("IMPORTRANGE(""https://docs.google.com/spreadsheets/d/1iodCdmuK2GR3jzUwk8tpccY2JHQQA-87DLOtJP-ooyU/edit?usp=sharing"",""นราธิวาส!S498"")"),0)</f>
        <v>0</v>
      </c>
      <c r="U79" s="68">
        <f t="shared" ca="1" si="30"/>
        <v>0</v>
      </c>
      <c r="V79" s="68">
        <f t="shared" ca="1" si="31"/>
        <v>0</v>
      </c>
      <c r="W79" s="278">
        <f ca="1">IFERROR(__xludf.DUMMYFUNCTION("IMPORTRANGE(""https://docs.google.com/spreadsheets/d/1iodCdmuK2GR3jzUwk8tpccY2JHQQA-87DLOtJP-ooyU/edit?usp=sharing"",""นราธิวาส!I503"")"),0)</f>
        <v>0</v>
      </c>
      <c r="X79" s="152">
        <f ca="1">IFERROR(__xludf.DUMMYFUNCTION("IMPORTRANGE(""https://docs.google.com/spreadsheets/d/1iodCdmuK2GR3jzUwk8tpccY2JHQQA-87DLOtJP-ooyU/edit?usp=sharing"",""นราธิวาส!J503"")"),0)</f>
        <v>0</v>
      </c>
      <c r="Y79" s="216">
        <f t="shared" ca="1" si="33"/>
        <v>0</v>
      </c>
      <c r="Z79" s="152">
        <f ca="1">IFERROR(__xludf.DUMMYFUNCTION("IMPORTRANGE(""https://docs.google.com/spreadsheets/d/1iodCdmuK2GR3jzUwk8tpccY2JHQQA-87DLOtJP-ooyU/edit?usp=sharing"",""นราธิวาส!J504"")"),0)</f>
        <v>0</v>
      </c>
      <c r="AA79" s="152">
        <f ca="1">IFERROR(__xludf.DUMMYFUNCTION("IMPORTRANGE(""https://docs.google.com/spreadsheets/d/1iodCdmuK2GR3jzUwk8tpccY2JHQQA-87DLOtJP-ooyU/edit?usp=sharing"",""นราธิวาส!J505"")"),0)</f>
        <v>0</v>
      </c>
      <c r="AB79" s="152">
        <f ca="1">IFERROR(__xludf.DUMMYFUNCTION("IMPORTRANGE(""https://docs.google.com/spreadsheets/d/1iodCdmuK2GR3jzUwk8tpccY2JHQQA-87DLOtJP-ooyU/edit?usp=sharing"",""นราธิวาส!J506"")"),0)</f>
        <v>0</v>
      </c>
      <c r="AC79" s="152">
        <f ca="1">IFERROR(__xludf.DUMMYFUNCTION("IMPORTRANGE(""https://docs.google.com/spreadsheets/d/1iodCdmuK2GR3jzUwk8tpccY2JHQQA-87DLOtJP-ooyU/edit?usp=sharing"",""นราธิวาส!J507"")"),0)</f>
        <v>0</v>
      </c>
      <c r="AD79" s="152">
        <f ca="1">IFERROR(__xludf.DUMMYFUNCTION("IMPORTRANGE(""https://docs.google.com/spreadsheets/d/1iodCdmuK2GR3jzUwk8tpccY2JHQQA-87DLOtJP-ooyU/edit?usp=sharing"",""นราธิวาส!J508"")"),0)</f>
        <v>0</v>
      </c>
      <c r="AE79" s="152">
        <f ca="1">IFERROR(__xludf.DUMMYFUNCTION("IMPORTRANGE(""https://docs.google.com/spreadsheets/d/1iodCdmuK2GR3jzUwk8tpccY2JHQQA-87DLOtJP-ooyU/edit?usp=sharing"",""นราธิวาส!J509"")"),0)</f>
        <v>0</v>
      </c>
    </row>
    <row r="80" spans="1:31" ht="21" customHeight="1" x14ac:dyDescent="0.3">
      <c r="A80" s="70">
        <v>6</v>
      </c>
      <c r="B80" s="71" t="s">
        <v>108</v>
      </c>
      <c r="C80" s="149">
        <f t="shared" ca="1" si="21"/>
        <v>0</v>
      </c>
      <c r="D80" s="150">
        <f t="shared" ca="1" si="50"/>
        <v>0</v>
      </c>
      <c r="E80" s="151">
        <f ca="1">IFERROR(__xludf.DUMMYFUNCTION("IMPORTRANGE(""https://docs.google.com/spreadsheets/d/1-uDff_7J0KD5mKrp0Vvzr7lt3OU09vwQwhkpOPPYv2Y/edit?usp=sharing"",""งบพรบ!HV80"")"),0)</f>
        <v>0</v>
      </c>
      <c r="F80" s="151">
        <f ca="1">IFERROR(__xludf.DUMMYFUNCTION("IMPORTRANGE(""https://docs.google.com/spreadsheets/d/1-uDff_7J0KD5mKrp0Vvzr7lt3OU09vwQwhkpOPPYv2Y/edit?usp=sharing"",""งบพรบ!HW80"")"),0)</f>
        <v>0</v>
      </c>
      <c r="G80" s="151">
        <f ca="1">IFERROR(__xludf.DUMMYFUNCTION("IMPORTRANGE(""https://docs.google.com/spreadsheets/d/1-uDff_7J0KD5mKrp0Vvzr7lt3OU09vwQwhkpOPPYv2Y/edit?usp=sharing"",""งบพรบ!HX80"")"),0)</f>
        <v>0</v>
      </c>
      <c r="H80" s="151">
        <f ca="1">IFERROR(__xludf.DUMMYFUNCTION("IMPORTRANGE(""https://docs.google.com/spreadsheets/d/1-uDff_7J0KD5mKrp0Vvzr7lt3OU09vwQwhkpOPPYv2Y/edit?usp=sharing"",""งบพรบ!HZ80"")"),0)</f>
        <v>0</v>
      </c>
      <c r="I80" s="151">
        <f ca="1">IFERROR(__xludf.DUMMYFUNCTION("IMPORTRANGE(""https://docs.google.com/spreadsheets/d/1-uDff_7J0KD5mKrp0Vvzr7lt3OU09vwQwhkpOPPYv2Y/edit?usp=sharing"",""งบพรบ!IA80"")"),0)</f>
        <v>0</v>
      </c>
      <c r="J80" s="151">
        <f t="shared" ca="1" si="23"/>
        <v>0</v>
      </c>
      <c r="K80" s="154">
        <f t="shared" ca="1" si="24"/>
        <v>0</v>
      </c>
      <c r="L80" s="151">
        <f ca="1">IFERROR(__xludf.DUMMYFUNCTION("IMPORTRANGE(""https://docs.google.com/spreadsheets/d/1-uDff_7J0KD5mKrp0Vvzr7lt3OU09vwQwhkpOPPYv2Y/edit?usp=sharing"",""งบพรบ!IB80"")"),0)</f>
        <v>0</v>
      </c>
      <c r="M80" s="68">
        <f t="shared" ca="1" si="25"/>
        <v>0</v>
      </c>
      <c r="N80" s="68">
        <f t="shared" ca="1" si="26"/>
        <v>0</v>
      </c>
      <c r="O80" s="151">
        <f ca="1">IFERROR(__xludf.DUMMYFUNCTION("IMPORTRANGE(""https://docs.google.com/spreadsheets/d/1-uDff_7J0KD5mKrp0Vvzr7lt3OU09vwQwhkpOPPYv2Y/edit?usp=sharing"",""งบพรบ!IC80"")"),0)</f>
        <v>0</v>
      </c>
      <c r="P80" s="67">
        <f t="shared" ca="1" si="27"/>
        <v>0</v>
      </c>
      <c r="Q80" s="68">
        <f t="shared" ca="1" si="28"/>
        <v>0</v>
      </c>
      <c r="R80" s="68">
        <f ca="1">IFERROR(__xludf.DUMMYFUNCTION("IMPORTRANGE(""https://docs.google.com/spreadsheets/d/1SDNX3JhDdYRuIOsj0Wh2M-Qa_eaXl0NbWmhAOTbfQAs/edit?usp=sharing"",""ปัตตานี!Q498"")"),0)</f>
        <v>0</v>
      </c>
      <c r="S80" s="68">
        <f ca="1">IFERROR(__xludf.DUMMYFUNCTION("IMPORTRANGE(""https://docs.google.com/spreadsheets/d/1SDNX3JhDdYRuIOsj0Wh2M-Qa_eaXl0NbWmhAOTbfQAs/edit?usp=sharing"",""ปัตตานี!R498"")"),0)</f>
        <v>0</v>
      </c>
      <c r="T80" s="68">
        <f ca="1">IFERROR(__xludf.DUMMYFUNCTION("IMPORTRANGE(""https://docs.google.com/spreadsheets/d/1SDNX3JhDdYRuIOsj0Wh2M-Qa_eaXl0NbWmhAOTbfQAs/edit?usp=sharing"",""ปัตตานี!S498"")"),0)</f>
        <v>0</v>
      </c>
      <c r="U80" s="68">
        <f t="shared" ca="1" si="30"/>
        <v>0</v>
      </c>
      <c r="V80" s="68">
        <f t="shared" ca="1" si="31"/>
        <v>0</v>
      </c>
      <c r="W80" s="279">
        <f ca="1">IFERROR(__xludf.DUMMYFUNCTION("IMPORTRANGE(""https://docs.google.com/spreadsheets/d/1SDNX3JhDdYRuIOsj0Wh2M-Qa_eaXl0NbWmhAOTbfQAs/edit?usp=sharing"",""ปัตตานี!I503"")"),0)</f>
        <v>0</v>
      </c>
      <c r="X80" s="152">
        <f ca="1">IFERROR(__xludf.DUMMYFUNCTION("IMPORTRANGE(""https://docs.google.com/spreadsheets/d/1SDNX3JhDdYRuIOsj0Wh2M-Qa_eaXl0NbWmhAOTbfQAs/edit?usp=sharing"",""ปัตตานี!J503"")"),0)</f>
        <v>0</v>
      </c>
      <c r="Y80" s="216">
        <f t="shared" ca="1" si="33"/>
        <v>0</v>
      </c>
      <c r="Z80" s="152">
        <f ca="1">IFERROR(__xludf.DUMMYFUNCTION("IMPORTRANGE(""https://docs.google.com/spreadsheets/d/1SDNX3JhDdYRuIOsj0Wh2M-Qa_eaXl0NbWmhAOTbfQAs/edit?usp=sharing"",""ปัตตานี!J504"")"),0)</f>
        <v>0</v>
      </c>
      <c r="AA80" s="152">
        <f ca="1">IFERROR(__xludf.DUMMYFUNCTION("IMPORTRANGE(""https://docs.google.com/spreadsheets/d/1SDNX3JhDdYRuIOsj0Wh2M-Qa_eaXl0NbWmhAOTbfQAs/edit?usp=sharing"",""ปัตตานี!J505"")"),0)</f>
        <v>0</v>
      </c>
      <c r="AB80" s="152">
        <f ca="1">IFERROR(__xludf.DUMMYFUNCTION("IMPORTRANGE(""https://docs.google.com/spreadsheets/d/1SDNX3JhDdYRuIOsj0Wh2M-Qa_eaXl0NbWmhAOTbfQAs/edit?usp=sharing"",""ปัตตานี!J506"")"),0)</f>
        <v>0</v>
      </c>
      <c r="AC80" s="152">
        <f ca="1">IFERROR(__xludf.DUMMYFUNCTION("IMPORTRANGE(""https://docs.google.com/spreadsheets/d/1SDNX3JhDdYRuIOsj0Wh2M-Qa_eaXl0NbWmhAOTbfQAs/edit?usp=sharing"",""ปัตตานี!J507"")"),0)</f>
        <v>0</v>
      </c>
      <c r="AD80" s="152">
        <f ca="1">IFERROR(__xludf.DUMMYFUNCTION("IMPORTRANGE(""https://docs.google.com/spreadsheets/d/1SDNX3JhDdYRuIOsj0Wh2M-Qa_eaXl0NbWmhAOTbfQAs/edit?usp=sharing"",""ปัตตานี!J508"")"),0)</f>
        <v>0</v>
      </c>
      <c r="AE80" s="152">
        <f ca="1">IFERROR(__xludf.DUMMYFUNCTION("IMPORTRANGE(""https://docs.google.com/spreadsheets/d/1SDNX3JhDdYRuIOsj0Wh2M-Qa_eaXl0NbWmhAOTbfQAs/edit?usp=sharing"",""ปัตตานี!J509"")"),0)</f>
        <v>0</v>
      </c>
    </row>
    <row r="81" spans="1:31" ht="21" customHeight="1" x14ac:dyDescent="0.3">
      <c r="A81" s="70">
        <v>7</v>
      </c>
      <c r="B81" s="71" t="s">
        <v>109</v>
      </c>
      <c r="C81" s="149">
        <f t="shared" ca="1" si="21"/>
        <v>0</v>
      </c>
      <c r="D81" s="150">
        <f t="shared" ca="1" si="50"/>
        <v>0</v>
      </c>
      <c r="E81" s="151">
        <f ca="1">IFERROR(__xludf.DUMMYFUNCTION("IMPORTRANGE(""https://docs.google.com/spreadsheets/d/1-uDff_7J0KD5mKrp0Vvzr7lt3OU09vwQwhkpOPPYv2Y/edit?usp=sharing"",""งบพรบ!HV81"")"),0)</f>
        <v>0</v>
      </c>
      <c r="F81" s="151">
        <f ca="1">IFERROR(__xludf.DUMMYFUNCTION("IMPORTRANGE(""https://docs.google.com/spreadsheets/d/1-uDff_7J0KD5mKrp0Vvzr7lt3OU09vwQwhkpOPPYv2Y/edit?usp=sharing"",""งบพรบ!HW81"")"),0)</f>
        <v>0</v>
      </c>
      <c r="G81" s="151">
        <f ca="1">IFERROR(__xludf.DUMMYFUNCTION("IMPORTRANGE(""https://docs.google.com/spreadsheets/d/1-uDff_7J0KD5mKrp0Vvzr7lt3OU09vwQwhkpOPPYv2Y/edit?usp=sharing"",""งบพรบ!HX81"")"),0)</f>
        <v>0</v>
      </c>
      <c r="H81" s="151">
        <f ca="1">IFERROR(__xludf.DUMMYFUNCTION("IMPORTRANGE(""https://docs.google.com/spreadsheets/d/1-uDff_7J0KD5mKrp0Vvzr7lt3OU09vwQwhkpOPPYv2Y/edit?usp=sharing"",""งบพรบ!HZ81"")"),0)</f>
        <v>0</v>
      </c>
      <c r="I81" s="151">
        <f ca="1">IFERROR(__xludf.DUMMYFUNCTION("IMPORTRANGE(""https://docs.google.com/spreadsheets/d/1-uDff_7J0KD5mKrp0Vvzr7lt3OU09vwQwhkpOPPYv2Y/edit?usp=sharing"",""งบพรบ!IA81"")"),0)</f>
        <v>0</v>
      </c>
      <c r="J81" s="151">
        <f t="shared" ca="1" si="23"/>
        <v>0</v>
      </c>
      <c r="K81" s="154">
        <f t="shared" ca="1" si="24"/>
        <v>0</v>
      </c>
      <c r="L81" s="151">
        <f ca="1">IFERROR(__xludf.DUMMYFUNCTION("IMPORTRANGE(""https://docs.google.com/spreadsheets/d/1-uDff_7J0KD5mKrp0Vvzr7lt3OU09vwQwhkpOPPYv2Y/edit?usp=sharing"",""งบพรบ!IB81"")"),0)</f>
        <v>0</v>
      </c>
      <c r="M81" s="68">
        <f t="shared" ca="1" si="25"/>
        <v>0</v>
      </c>
      <c r="N81" s="68">
        <f t="shared" ca="1" si="26"/>
        <v>0</v>
      </c>
      <c r="O81" s="151">
        <f ca="1">IFERROR(__xludf.DUMMYFUNCTION("IMPORTRANGE(""https://docs.google.com/spreadsheets/d/1-uDff_7J0KD5mKrp0Vvzr7lt3OU09vwQwhkpOPPYv2Y/edit?usp=sharing"",""งบพรบ!IC81"")"),0)</f>
        <v>0</v>
      </c>
      <c r="P81" s="67">
        <f t="shared" ca="1" si="27"/>
        <v>0</v>
      </c>
      <c r="Q81" s="68">
        <f t="shared" ca="1" si="28"/>
        <v>0</v>
      </c>
      <c r="R81" s="68">
        <f ca="1">IFERROR(__xludf.DUMMYFUNCTION("IMPORTRANGE(""https://docs.google.com/spreadsheets/d/16JDLGguT8s5DsGCND1KcwHP_AWR_zDMTqLHPLJUKhaU/edit?usp=sharing"",""พังงา!Q498"")"),0)</f>
        <v>0</v>
      </c>
      <c r="S81" s="68">
        <f ca="1">IFERROR(__xludf.DUMMYFUNCTION("IMPORTRANGE(""https://docs.google.com/spreadsheets/d/16JDLGguT8s5DsGCND1KcwHP_AWR_zDMTqLHPLJUKhaU/edit?usp=sharing"",""พังงา!R498"")"),0)</f>
        <v>0</v>
      </c>
      <c r="T81" s="68">
        <f ca="1">IFERROR(__xludf.DUMMYFUNCTION("IMPORTRANGE(""https://docs.google.com/spreadsheets/d/16JDLGguT8s5DsGCND1KcwHP_AWR_zDMTqLHPLJUKhaU/edit?usp=sharing"",""พังงา!S498"")"),0)</f>
        <v>0</v>
      </c>
      <c r="U81" s="68">
        <f t="shared" ca="1" si="30"/>
        <v>0</v>
      </c>
      <c r="V81" s="68">
        <f t="shared" ca="1" si="31"/>
        <v>0</v>
      </c>
      <c r="W81" s="278">
        <f ca="1">IFERROR(__xludf.DUMMYFUNCTION("IMPORTRANGE(""https://docs.google.com/spreadsheets/d/16JDLGguT8s5DsGCND1KcwHP_AWR_zDMTqLHPLJUKhaU/edit?usp=sharing"",""พังงา!I503"")"),0)</f>
        <v>0</v>
      </c>
      <c r="X81" s="152">
        <f ca="1">IFERROR(__xludf.DUMMYFUNCTION("IMPORTRANGE(""https://docs.google.com/spreadsheets/d/16JDLGguT8s5DsGCND1KcwHP_AWR_zDMTqLHPLJUKhaU/edit?usp=sharing"",""พังงา!J503"")"),0)</f>
        <v>0</v>
      </c>
      <c r="Y81" s="216">
        <f t="shared" ca="1" si="33"/>
        <v>0</v>
      </c>
      <c r="Z81" s="152">
        <f ca="1">IFERROR(__xludf.DUMMYFUNCTION("IMPORTRANGE(""https://docs.google.com/spreadsheets/d/16JDLGguT8s5DsGCND1KcwHP_AWR_zDMTqLHPLJUKhaU/edit?usp=sharing"",""พังงา!J504"")"),0)</f>
        <v>0</v>
      </c>
      <c r="AA81" s="152">
        <f ca="1">IFERROR(__xludf.DUMMYFUNCTION("IMPORTRANGE(""https://docs.google.com/spreadsheets/d/16JDLGguT8s5DsGCND1KcwHP_AWR_zDMTqLHPLJUKhaU/edit?usp=sharing"",""พังงา!J505"")"),0)</f>
        <v>0</v>
      </c>
      <c r="AB81" s="152">
        <f ca="1">IFERROR(__xludf.DUMMYFUNCTION("IMPORTRANGE(""https://docs.google.com/spreadsheets/d/16JDLGguT8s5DsGCND1KcwHP_AWR_zDMTqLHPLJUKhaU/edit?usp=sharing"",""พังงา!J506"")"),0)</f>
        <v>0</v>
      </c>
      <c r="AC81" s="152">
        <f ca="1">IFERROR(__xludf.DUMMYFUNCTION("IMPORTRANGE(""https://docs.google.com/spreadsheets/d/16JDLGguT8s5DsGCND1KcwHP_AWR_zDMTqLHPLJUKhaU/edit?usp=sharing"",""พังงา!J507"")"),0)</f>
        <v>0</v>
      </c>
      <c r="AD81" s="152">
        <f ca="1">IFERROR(__xludf.DUMMYFUNCTION("IMPORTRANGE(""https://docs.google.com/spreadsheets/d/16JDLGguT8s5DsGCND1KcwHP_AWR_zDMTqLHPLJUKhaU/edit?usp=sharing"",""พังงา!J508"")"),0)</f>
        <v>0</v>
      </c>
      <c r="AE81" s="152">
        <f ca="1">IFERROR(__xludf.DUMMYFUNCTION("IMPORTRANGE(""https://docs.google.com/spreadsheets/d/16JDLGguT8s5DsGCND1KcwHP_AWR_zDMTqLHPLJUKhaU/edit?usp=sharing"",""พังงา!J509"")"),0)</f>
        <v>0</v>
      </c>
    </row>
    <row r="82" spans="1:31" ht="21" customHeight="1" x14ac:dyDescent="0.3">
      <c r="A82" s="70">
        <v>8</v>
      </c>
      <c r="B82" s="71" t="s">
        <v>110</v>
      </c>
      <c r="C82" s="149">
        <f t="shared" ca="1" si="21"/>
        <v>0</v>
      </c>
      <c r="D82" s="150">
        <f t="shared" ca="1" si="50"/>
        <v>0</v>
      </c>
      <c r="E82" s="151">
        <f ca="1">IFERROR(__xludf.DUMMYFUNCTION("IMPORTRANGE(""https://docs.google.com/spreadsheets/d/1-uDff_7J0KD5mKrp0Vvzr7lt3OU09vwQwhkpOPPYv2Y/edit?usp=sharing"",""งบพรบ!HV82"")"),0)</f>
        <v>0</v>
      </c>
      <c r="F82" s="151">
        <f ca="1">IFERROR(__xludf.DUMMYFUNCTION("IMPORTRANGE(""https://docs.google.com/spreadsheets/d/1-uDff_7J0KD5mKrp0Vvzr7lt3OU09vwQwhkpOPPYv2Y/edit?usp=sharing"",""งบพรบ!HW82"")"),0)</f>
        <v>0</v>
      </c>
      <c r="G82" s="151">
        <f ca="1">IFERROR(__xludf.DUMMYFUNCTION("IMPORTRANGE(""https://docs.google.com/spreadsheets/d/1-uDff_7J0KD5mKrp0Vvzr7lt3OU09vwQwhkpOPPYv2Y/edit?usp=sharing"",""งบพรบ!HX82"")"),0)</f>
        <v>0</v>
      </c>
      <c r="H82" s="151">
        <f ca="1">IFERROR(__xludf.DUMMYFUNCTION("IMPORTRANGE(""https://docs.google.com/spreadsheets/d/1-uDff_7J0KD5mKrp0Vvzr7lt3OU09vwQwhkpOPPYv2Y/edit?usp=sharing"",""งบพรบ!HZ82"")"),0)</f>
        <v>0</v>
      </c>
      <c r="I82" s="151">
        <f ca="1">IFERROR(__xludf.DUMMYFUNCTION("IMPORTRANGE(""https://docs.google.com/spreadsheets/d/1-uDff_7J0KD5mKrp0Vvzr7lt3OU09vwQwhkpOPPYv2Y/edit?usp=sharing"",""งบพรบ!IA82"")"),0)</f>
        <v>0</v>
      </c>
      <c r="J82" s="151">
        <f t="shared" ca="1" si="23"/>
        <v>0</v>
      </c>
      <c r="K82" s="154">
        <f t="shared" ca="1" si="24"/>
        <v>0</v>
      </c>
      <c r="L82" s="151">
        <f ca="1">IFERROR(__xludf.DUMMYFUNCTION("IMPORTRANGE(""https://docs.google.com/spreadsheets/d/1-uDff_7J0KD5mKrp0Vvzr7lt3OU09vwQwhkpOPPYv2Y/edit?usp=sharing"",""งบพรบ!IB82"")"),0)</f>
        <v>0</v>
      </c>
      <c r="M82" s="68">
        <f t="shared" ca="1" si="25"/>
        <v>0</v>
      </c>
      <c r="N82" s="68">
        <f t="shared" ca="1" si="26"/>
        <v>0</v>
      </c>
      <c r="O82" s="151">
        <f ca="1">IFERROR(__xludf.DUMMYFUNCTION("IMPORTRANGE(""https://docs.google.com/spreadsheets/d/1-uDff_7J0KD5mKrp0Vvzr7lt3OU09vwQwhkpOPPYv2Y/edit?usp=sharing"",""งบพรบ!IC82"")"),0)</f>
        <v>0</v>
      </c>
      <c r="P82" s="67">
        <f t="shared" ca="1" si="27"/>
        <v>0</v>
      </c>
      <c r="Q82" s="68">
        <f t="shared" ca="1" si="28"/>
        <v>0</v>
      </c>
      <c r="R82" s="68">
        <f ca="1">IFERROR(__xludf.DUMMYFUNCTION("IMPORTRANGE(""https://docs.google.com/spreadsheets/d/17ht0gPKzzT3PObBL1XJkeRmntBXI7wGjpLV7QorqlTk/edit?usp=sharing"",""พัทลุง!Q498"")"),0)</f>
        <v>0</v>
      </c>
      <c r="S82" s="68">
        <f ca="1">IFERROR(__xludf.DUMMYFUNCTION("IMPORTRANGE(""https://docs.google.com/spreadsheets/d/17ht0gPKzzT3PObBL1XJkeRmntBXI7wGjpLV7QorqlTk/edit?usp=sharing"",""พัทลุง!R498"")"),0)</f>
        <v>0</v>
      </c>
      <c r="T82" s="68">
        <f ca="1">IFERROR(__xludf.DUMMYFUNCTION("IMPORTRANGE(""https://docs.google.com/spreadsheets/d/17ht0gPKzzT3PObBL1XJkeRmntBXI7wGjpLV7QorqlTk/edit?usp=sharing"",""พัทลุง!S498"")"),0)</f>
        <v>0</v>
      </c>
      <c r="U82" s="68">
        <f t="shared" ca="1" si="30"/>
        <v>0</v>
      </c>
      <c r="V82" s="68">
        <f t="shared" ca="1" si="31"/>
        <v>0</v>
      </c>
      <c r="W82" s="278">
        <f ca="1">IFERROR(__xludf.DUMMYFUNCTION("IMPORTRANGE(""https://docs.google.com/spreadsheets/d/17ht0gPKzzT3PObBL1XJkeRmntBXI7wGjpLV7QorqlTk/edit?usp=sharing"",""พัทลุง!I503"")"),0)</f>
        <v>0</v>
      </c>
      <c r="X82" s="152">
        <f ca="1">IFERROR(__xludf.DUMMYFUNCTION("IMPORTRANGE(""https://docs.google.com/spreadsheets/d/17ht0gPKzzT3PObBL1XJkeRmntBXI7wGjpLV7QorqlTk/edit?usp=sharing"",""พัทลุง!J503"")"),0)</f>
        <v>0</v>
      </c>
      <c r="Y82" s="216">
        <f t="shared" ca="1" si="33"/>
        <v>0</v>
      </c>
      <c r="Z82" s="152">
        <f ca="1">IFERROR(__xludf.DUMMYFUNCTION("IMPORTRANGE(""https://docs.google.com/spreadsheets/d/17ht0gPKzzT3PObBL1XJkeRmntBXI7wGjpLV7QorqlTk/edit?usp=sharing"",""พัทลุง!J504"")"),0)</f>
        <v>0</v>
      </c>
      <c r="AA82" s="152">
        <f ca="1">IFERROR(__xludf.DUMMYFUNCTION("IMPORTRANGE(""https://docs.google.com/spreadsheets/d/17ht0gPKzzT3PObBL1XJkeRmntBXI7wGjpLV7QorqlTk/edit?usp=sharing"",""พัทลุง!J505"")"),0)</f>
        <v>0</v>
      </c>
      <c r="AB82" s="152">
        <f ca="1">IFERROR(__xludf.DUMMYFUNCTION("IMPORTRANGE(""https://docs.google.com/spreadsheets/d/17ht0gPKzzT3PObBL1XJkeRmntBXI7wGjpLV7QorqlTk/edit?usp=sharing"",""พัทลุง!J506"")"),0)</f>
        <v>0</v>
      </c>
      <c r="AC82" s="152">
        <f ca="1">IFERROR(__xludf.DUMMYFUNCTION("IMPORTRANGE(""https://docs.google.com/spreadsheets/d/17ht0gPKzzT3PObBL1XJkeRmntBXI7wGjpLV7QorqlTk/edit?usp=sharing"",""พัทลุง!J507"")"),0)</f>
        <v>0</v>
      </c>
      <c r="AD82" s="152">
        <f ca="1">IFERROR(__xludf.DUMMYFUNCTION("IMPORTRANGE(""https://docs.google.com/spreadsheets/d/17ht0gPKzzT3PObBL1XJkeRmntBXI7wGjpLV7QorqlTk/edit?usp=sharing"",""พัทลุง!J508"")"),0)</f>
        <v>0</v>
      </c>
      <c r="AE82" s="152">
        <f ca="1">IFERROR(__xludf.DUMMYFUNCTION("IMPORTRANGE(""https://docs.google.com/spreadsheets/d/17ht0gPKzzT3PObBL1XJkeRmntBXI7wGjpLV7QorqlTk/edit?usp=sharing"",""พัทลุง!J509"")"),0)</f>
        <v>0</v>
      </c>
    </row>
    <row r="83" spans="1:31" ht="21" customHeight="1" x14ac:dyDescent="0.3">
      <c r="A83" s="70">
        <v>9</v>
      </c>
      <c r="B83" s="71" t="s">
        <v>111</v>
      </c>
      <c r="C83" s="149">
        <f t="shared" ca="1" si="21"/>
        <v>0</v>
      </c>
      <c r="D83" s="150">
        <f t="shared" ca="1" si="50"/>
        <v>0</v>
      </c>
      <c r="E83" s="151">
        <f ca="1">IFERROR(__xludf.DUMMYFUNCTION("IMPORTRANGE(""https://docs.google.com/spreadsheets/d/1-uDff_7J0KD5mKrp0Vvzr7lt3OU09vwQwhkpOPPYv2Y/edit?usp=sharing"",""งบพรบ!HV83"")"),0)</f>
        <v>0</v>
      </c>
      <c r="F83" s="151">
        <f ca="1">IFERROR(__xludf.DUMMYFUNCTION("IMPORTRANGE(""https://docs.google.com/spreadsheets/d/1-uDff_7J0KD5mKrp0Vvzr7lt3OU09vwQwhkpOPPYv2Y/edit?usp=sharing"",""งบพรบ!HW83"")"),0)</f>
        <v>0</v>
      </c>
      <c r="G83" s="151">
        <f ca="1">IFERROR(__xludf.DUMMYFUNCTION("IMPORTRANGE(""https://docs.google.com/spreadsheets/d/1-uDff_7J0KD5mKrp0Vvzr7lt3OU09vwQwhkpOPPYv2Y/edit?usp=sharing"",""งบพรบ!HX83"")"),0)</f>
        <v>0</v>
      </c>
      <c r="H83" s="151">
        <f ca="1">IFERROR(__xludf.DUMMYFUNCTION("IMPORTRANGE(""https://docs.google.com/spreadsheets/d/1-uDff_7J0KD5mKrp0Vvzr7lt3OU09vwQwhkpOPPYv2Y/edit?usp=sharing"",""งบพรบ!HZ83"")"),0)</f>
        <v>0</v>
      </c>
      <c r="I83" s="151">
        <f ca="1">IFERROR(__xludf.DUMMYFUNCTION("IMPORTRANGE(""https://docs.google.com/spreadsheets/d/1-uDff_7J0KD5mKrp0Vvzr7lt3OU09vwQwhkpOPPYv2Y/edit?usp=sharing"",""งบพรบ!IA83"")"),0)</f>
        <v>0</v>
      </c>
      <c r="J83" s="151">
        <f t="shared" ca="1" si="23"/>
        <v>0</v>
      </c>
      <c r="K83" s="154">
        <f t="shared" ca="1" si="24"/>
        <v>0</v>
      </c>
      <c r="L83" s="151">
        <f ca="1">IFERROR(__xludf.DUMMYFUNCTION("IMPORTRANGE(""https://docs.google.com/spreadsheets/d/1-uDff_7J0KD5mKrp0Vvzr7lt3OU09vwQwhkpOPPYv2Y/edit?usp=sharing"",""งบพรบ!IB83"")"),0)</f>
        <v>0</v>
      </c>
      <c r="M83" s="68">
        <f t="shared" ca="1" si="25"/>
        <v>0</v>
      </c>
      <c r="N83" s="68">
        <f t="shared" ca="1" si="26"/>
        <v>0</v>
      </c>
      <c r="O83" s="151">
        <f ca="1">IFERROR(__xludf.DUMMYFUNCTION("IMPORTRANGE(""https://docs.google.com/spreadsheets/d/1-uDff_7J0KD5mKrp0Vvzr7lt3OU09vwQwhkpOPPYv2Y/edit?usp=sharing"",""งบพรบ!IC83"")"),0)</f>
        <v>0</v>
      </c>
      <c r="P83" s="67">
        <f t="shared" ca="1" si="27"/>
        <v>0</v>
      </c>
      <c r="Q83" s="68">
        <f t="shared" ca="1" si="28"/>
        <v>0</v>
      </c>
      <c r="R83" s="68">
        <f ca="1">IFERROR(__xludf.DUMMYFUNCTION("IMPORTRANGE(""https://docs.google.com/spreadsheets/d/1rd4qoM1q_hsgaolqNGfrim9gbsoLxQsda4-vOz5x_BM/edit?usp=sharing"",""ภูเก็ต!Q498"")"),0)</f>
        <v>0</v>
      </c>
      <c r="S83" s="68">
        <f ca="1">IFERROR(__xludf.DUMMYFUNCTION("IMPORTRANGE(""https://docs.google.com/spreadsheets/d/1rd4qoM1q_hsgaolqNGfrim9gbsoLxQsda4-vOz5x_BM/edit?usp=sharing"",""ภูเก็ต!R498"")"),0)</f>
        <v>0</v>
      </c>
      <c r="T83" s="68">
        <f ca="1">IFERROR(__xludf.DUMMYFUNCTION("IMPORTRANGE(""https://docs.google.com/spreadsheets/d/1rd4qoM1q_hsgaolqNGfrim9gbsoLxQsda4-vOz5x_BM/edit?usp=sharing"",""ภูเก็ต!S498"")"),0)</f>
        <v>0</v>
      </c>
      <c r="U83" s="68">
        <f t="shared" ca="1" si="30"/>
        <v>0</v>
      </c>
      <c r="V83" s="68">
        <f t="shared" ca="1" si="31"/>
        <v>0</v>
      </c>
      <c r="W83" s="278">
        <f ca="1">IFERROR(__xludf.DUMMYFUNCTION("IMPORTRANGE(""https://docs.google.com/spreadsheets/d/1rd4qoM1q_hsgaolqNGfrim9gbsoLxQsda4-vOz5x_BM/edit?usp=sharing"",""ภูเก็ต!I503"")"),0)</f>
        <v>0</v>
      </c>
      <c r="X83" s="152">
        <f ca="1">IFERROR(__xludf.DUMMYFUNCTION("IMPORTRANGE(""https://docs.google.com/spreadsheets/d/1rd4qoM1q_hsgaolqNGfrim9gbsoLxQsda4-vOz5x_BM/edit?usp=sharing"",""ภูเก็ต!J503"")"),0)</f>
        <v>0</v>
      </c>
      <c r="Y83" s="216">
        <f t="shared" ca="1" si="33"/>
        <v>0</v>
      </c>
      <c r="Z83" s="152">
        <f ca="1">IFERROR(__xludf.DUMMYFUNCTION("IMPORTRANGE(""https://docs.google.com/spreadsheets/d/1rd4qoM1q_hsgaolqNGfrim9gbsoLxQsda4-vOz5x_BM/edit?usp=sharing"",""ภูเก็ต!J504"")"),0)</f>
        <v>0</v>
      </c>
      <c r="AA83" s="152">
        <f ca="1">IFERROR(__xludf.DUMMYFUNCTION("IMPORTRANGE(""https://docs.google.com/spreadsheets/d/1rd4qoM1q_hsgaolqNGfrim9gbsoLxQsda4-vOz5x_BM/edit?usp=sharing"",""ภูเก็ต!J505"")"),0)</f>
        <v>0</v>
      </c>
      <c r="AB83" s="152">
        <f ca="1">IFERROR(__xludf.DUMMYFUNCTION("IMPORTRANGE(""https://docs.google.com/spreadsheets/d/1rd4qoM1q_hsgaolqNGfrim9gbsoLxQsda4-vOz5x_BM/edit?usp=sharing"",""ภูเก็ต!J506"")"),0)</f>
        <v>0</v>
      </c>
      <c r="AC83" s="152">
        <f ca="1">IFERROR(__xludf.DUMMYFUNCTION("IMPORTRANGE(""https://docs.google.com/spreadsheets/d/1rd4qoM1q_hsgaolqNGfrim9gbsoLxQsda4-vOz5x_BM/edit?usp=sharing"",""ภูเก็ต!J507"")"),0)</f>
        <v>0</v>
      </c>
      <c r="AD83" s="152">
        <f ca="1">IFERROR(__xludf.DUMMYFUNCTION("IMPORTRANGE(""https://docs.google.com/spreadsheets/d/1rd4qoM1q_hsgaolqNGfrim9gbsoLxQsda4-vOz5x_BM/edit?usp=sharing"",""ภูเก็ต!J508"")"),0)</f>
        <v>0</v>
      </c>
      <c r="AE83" s="152">
        <f ca="1">IFERROR(__xludf.DUMMYFUNCTION("IMPORTRANGE(""https://docs.google.com/spreadsheets/d/1rd4qoM1q_hsgaolqNGfrim9gbsoLxQsda4-vOz5x_BM/edit?usp=sharing"",""ภูเก็ต!J509"")"),0)</f>
        <v>0</v>
      </c>
    </row>
    <row r="84" spans="1:31" ht="21" customHeight="1" x14ac:dyDescent="0.3">
      <c r="A84" s="70">
        <v>10</v>
      </c>
      <c r="B84" s="71" t="s">
        <v>112</v>
      </c>
      <c r="C84" s="149">
        <f t="shared" ca="1" si="21"/>
        <v>0</v>
      </c>
      <c r="D84" s="150">
        <f t="shared" ca="1" si="50"/>
        <v>0</v>
      </c>
      <c r="E84" s="151">
        <f ca="1">IFERROR(__xludf.DUMMYFUNCTION("IMPORTRANGE(""https://docs.google.com/spreadsheets/d/1-uDff_7J0KD5mKrp0Vvzr7lt3OU09vwQwhkpOPPYv2Y/edit?usp=sharing"",""งบพรบ!HV84"")"),0)</f>
        <v>0</v>
      </c>
      <c r="F84" s="151">
        <f ca="1">IFERROR(__xludf.DUMMYFUNCTION("IMPORTRANGE(""https://docs.google.com/spreadsheets/d/1-uDff_7J0KD5mKrp0Vvzr7lt3OU09vwQwhkpOPPYv2Y/edit?usp=sharing"",""งบพรบ!HW84"")"),0)</f>
        <v>0</v>
      </c>
      <c r="G84" s="151">
        <f ca="1">IFERROR(__xludf.DUMMYFUNCTION("IMPORTRANGE(""https://docs.google.com/spreadsheets/d/1-uDff_7J0KD5mKrp0Vvzr7lt3OU09vwQwhkpOPPYv2Y/edit?usp=sharing"",""งบพรบ!HX84"")"),0)</f>
        <v>0</v>
      </c>
      <c r="H84" s="151">
        <f ca="1">IFERROR(__xludf.DUMMYFUNCTION("IMPORTRANGE(""https://docs.google.com/spreadsheets/d/1-uDff_7J0KD5mKrp0Vvzr7lt3OU09vwQwhkpOPPYv2Y/edit?usp=sharing"",""งบพรบ!HZ84"")"),0)</f>
        <v>0</v>
      </c>
      <c r="I84" s="151">
        <f ca="1">IFERROR(__xludf.DUMMYFUNCTION("IMPORTRANGE(""https://docs.google.com/spreadsheets/d/1-uDff_7J0KD5mKrp0Vvzr7lt3OU09vwQwhkpOPPYv2Y/edit?usp=sharing"",""งบพรบ!IA84"")"),0)</f>
        <v>0</v>
      </c>
      <c r="J84" s="151">
        <f t="shared" ca="1" si="23"/>
        <v>0</v>
      </c>
      <c r="K84" s="154">
        <f t="shared" ca="1" si="24"/>
        <v>0</v>
      </c>
      <c r="L84" s="151">
        <f ca="1">IFERROR(__xludf.DUMMYFUNCTION("IMPORTRANGE(""https://docs.google.com/spreadsheets/d/1-uDff_7J0KD5mKrp0Vvzr7lt3OU09vwQwhkpOPPYv2Y/edit?usp=sharing"",""งบพรบ!IB84"")"),0)</f>
        <v>0</v>
      </c>
      <c r="M84" s="68">
        <f t="shared" ca="1" si="25"/>
        <v>0</v>
      </c>
      <c r="N84" s="68">
        <f t="shared" ca="1" si="26"/>
        <v>0</v>
      </c>
      <c r="O84" s="151">
        <f ca="1">IFERROR(__xludf.DUMMYFUNCTION("IMPORTRANGE(""https://docs.google.com/spreadsheets/d/1-uDff_7J0KD5mKrp0Vvzr7lt3OU09vwQwhkpOPPYv2Y/edit?usp=sharing"",""งบพรบ!IC84"")"),0)</f>
        <v>0</v>
      </c>
      <c r="P84" s="67">
        <f t="shared" ca="1" si="27"/>
        <v>0</v>
      </c>
      <c r="Q84" s="68">
        <f t="shared" ca="1" si="28"/>
        <v>0</v>
      </c>
      <c r="R84" s="68">
        <f ca="1">IFERROR(__xludf.DUMMYFUNCTION("IMPORTRANGE(""https://docs.google.com/spreadsheets/d/1woKwKjgoLssDvPcPeVyezB5izizAn4X1JDrys69n6xI/edit?usp=sharing"",""ยะลา!Q498"")"),0)</f>
        <v>0</v>
      </c>
      <c r="S84" s="68">
        <f ca="1">IFERROR(__xludf.DUMMYFUNCTION("IMPORTRANGE(""https://docs.google.com/spreadsheets/d/1woKwKjgoLssDvPcPeVyezB5izizAn4X1JDrys69n6xI/edit?usp=sharing"",""ยะลา!R498"")"),0)</f>
        <v>0</v>
      </c>
      <c r="T84" s="68">
        <f ca="1">IFERROR(__xludf.DUMMYFUNCTION("IMPORTRANGE(""https://docs.google.com/spreadsheets/d/1woKwKjgoLssDvPcPeVyezB5izizAn4X1JDrys69n6xI/edit?usp=sharing"",""ยะลา!S498"")"),0)</f>
        <v>0</v>
      </c>
      <c r="U84" s="68">
        <f t="shared" ca="1" si="30"/>
        <v>0</v>
      </c>
      <c r="V84" s="68">
        <f t="shared" ca="1" si="31"/>
        <v>0</v>
      </c>
      <c r="W84" s="278">
        <f ca="1">IFERROR(__xludf.DUMMYFUNCTION("IMPORTRANGE(""https://docs.google.com/spreadsheets/d/1woKwKjgoLssDvPcPeVyezB5izizAn4X1JDrys69n6xI/edit?usp=sharing"",""ยะลา!I503"")"),0)</f>
        <v>0</v>
      </c>
      <c r="X84" s="152">
        <f ca="1">IFERROR(__xludf.DUMMYFUNCTION("IMPORTRANGE(""https://docs.google.com/spreadsheets/d/1woKwKjgoLssDvPcPeVyezB5izizAn4X1JDrys69n6xI/edit?usp=sharing"",""ยะลา!J503"")"),0)</f>
        <v>0</v>
      </c>
      <c r="Y84" s="216">
        <f t="shared" ca="1" si="33"/>
        <v>0</v>
      </c>
      <c r="Z84" s="152">
        <f ca="1">IFERROR(__xludf.DUMMYFUNCTION("IMPORTRANGE(""https://docs.google.com/spreadsheets/d/1woKwKjgoLssDvPcPeVyezB5izizAn4X1JDrys69n6xI/edit?usp=sharing"",""ยะลา!J504"")"),0)</f>
        <v>0</v>
      </c>
      <c r="AA84" s="152">
        <f ca="1">IFERROR(__xludf.DUMMYFUNCTION("IMPORTRANGE(""https://docs.google.com/spreadsheets/d/1woKwKjgoLssDvPcPeVyezB5izizAn4X1JDrys69n6xI/edit?usp=sharing"",""ยะลา!J505"")"),0)</f>
        <v>0</v>
      </c>
      <c r="AB84" s="152">
        <f ca="1">IFERROR(__xludf.DUMMYFUNCTION("IMPORTRANGE(""https://docs.google.com/spreadsheets/d/1woKwKjgoLssDvPcPeVyezB5izizAn4X1JDrys69n6xI/edit?usp=sharing"",""ยะลา!J506"")"),0)</f>
        <v>0</v>
      </c>
      <c r="AC84" s="152">
        <f ca="1">IFERROR(__xludf.DUMMYFUNCTION("IMPORTRANGE(""https://docs.google.com/spreadsheets/d/1woKwKjgoLssDvPcPeVyezB5izizAn4X1JDrys69n6xI/edit?usp=sharing"",""ยะลา!J507"")"),0)</f>
        <v>0</v>
      </c>
      <c r="AD84" s="152">
        <f ca="1">IFERROR(__xludf.DUMMYFUNCTION("IMPORTRANGE(""https://docs.google.com/spreadsheets/d/1woKwKjgoLssDvPcPeVyezB5izizAn4X1JDrys69n6xI/edit?usp=sharing"",""ยะลา!J508"")"),0)</f>
        <v>0</v>
      </c>
      <c r="AE84" s="152">
        <f ca="1">IFERROR(__xludf.DUMMYFUNCTION("IMPORTRANGE(""https://docs.google.com/spreadsheets/d/1woKwKjgoLssDvPcPeVyezB5izizAn4X1JDrys69n6xI/edit?usp=sharing"",""ยะลา!J509"")"),0)</f>
        <v>0</v>
      </c>
    </row>
    <row r="85" spans="1:31" ht="21" customHeight="1" x14ac:dyDescent="0.3">
      <c r="A85" s="70">
        <v>11</v>
      </c>
      <c r="B85" s="71" t="s">
        <v>113</v>
      </c>
      <c r="C85" s="149">
        <f t="shared" ca="1" si="21"/>
        <v>0</v>
      </c>
      <c r="D85" s="150">
        <f t="shared" ca="1" si="50"/>
        <v>0</v>
      </c>
      <c r="E85" s="151">
        <f ca="1">IFERROR(__xludf.DUMMYFUNCTION("IMPORTRANGE(""https://docs.google.com/spreadsheets/d/1-uDff_7J0KD5mKrp0Vvzr7lt3OU09vwQwhkpOPPYv2Y/edit?usp=sharing"",""งบพรบ!HV85"")"),0)</f>
        <v>0</v>
      </c>
      <c r="F85" s="151">
        <f ca="1">IFERROR(__xludf.DUMMYFUNCTION("IMPORTRANGE(""https://docs.google.com/spreadsheets/d/1-uDff_7J0KD5mKrp0Vvzr7lt3OU09vwQwhkpOPPYv2Y/edit?usp=sharing"",""งบพรบ!HW85"")"),0)</f>
        <v>0</v>
      </c>
      <c r="G85" s="151">
        <f ca="1">IFERROR(__xludf.DUMMYFUNCTION("IMPORTRANGE(""https://docs.google.com/spreadsheets/d/1-uDff_7J0KD5mKrp0Vvzr7lt3OU09vwQwhkpOPPYv2Y/edit?usp=sharing"",""งบพรบ!HX85"")"),0)</f>
        <v>0</v>
      </c>
      <c r="H85" s="151">
        <f ca="1">IFERROR(__xludf.DUMMYFUNCTION("IMPORTRANGE(""https://docs.google.com/spreadsheets/d/1-uDff_7J0KD5mKrp0Vvzr7lt3OU09vwQwhkpOPPYv2Y/edit?usp=sharing"",""งบพรบ!HZ85"")"),0)</f>
        <v>0</v>
      </c>
      <c r="I85" s="151">
        <f ca="1">IFERROR(__xludf.DUMMYFUNCTION("IMPORTRANGE(""https://docs.google.com/spreadsheets/d/1-uDff_7J0KD5mKrp0Vvzr7lt3OU09vwQwhkpOPPYv2Y/edit?usp=sharing"",""งบพรบ!IA85"")"),0)</f>
        <v>0</v>
      </c>
      <c r="J85" s="151">
        <f t="shared" ca="1" si="23"/>
        <v>0</v>
      </c>
      <c r="K85" s="154">
        <f t="shared" ca="1" si="24"/>
        <v>0</v>
      </c>
      <c r="L85" s="151">
        <f ca="1">IFERROR(__xludf.DUMMYFUNCTION("IMPORTRANGE(""https://docs.google.com/spreadsheets/d/1-uDff_7J0KD5mKrp0Vvzr7lt3OU09vwQwhkpOPPYv2Y/edit?usp=sharing"",""งบพรบ!IB85"")"),0)</f>
        <v>0</v>
      </c>
      <c r="M85" s="68">
        <f t="shared" ca="1" si="25"/>
        <v>0</v>
      </c>
      <c r="N85" s="68">
        <f t="shared" ca="1" si="26"/>
        <v>0</v>
      </c>
      <c r="O85" s="151">
        <f ca="1">IFERROR(__xludf.DUMMYFUNCTION("IMPORTRANGE(""https://docs.google.com/spreadsheets/d/1-uDff_7J0KD5mKrp0Vvzr7lt3OU09vwQwhkpOPPYv2Y/edit?usp=sharing"",""งบพรบ!IC85"")"),0)</f>
        <v>0</v>
      </c>
      <c r="P85" s="67">
        <f t="shared" ca="1" si="27"/>
        <v>0</v>
      </c>
      <c r="Q85" s="68">
        <f t="shared" ca="1" si="28"/>
        <v>0</v>
      </c>
      <c r="R85" s="68">
        <f ca="1">IFERROR(__xludf.DUMMYFUNCTION("IMPORTRANGE(""https://docs.google.com/spreadsheets/d/1qfrKjzMhm2HJfxQ-qVlJlJQ25Hne1d0khsySbZyGtPA/edit?usp=sharing"",""ระนอง!Q498"")"),0)</f>
        <v>0</v>
      </c>
      <c r="S85" s="68">
        <f ca="1">IFERROR(__xludf.DUMMYFUNCTION("IMPORTRANGE(""https://docs.google.com/spreadsheets/d/1qfrKjzMhm2HJfxQ-qVlJlJQ25Hne1d0khsySbZyGtPA/edit?usp=sharing"",""ระนอง!R498"")"),0)</f>
        <v>0</v>
      </c>
      <c r="T85" s="68">
        <f ca="1">IFERROR(__xludf.DUMMYFUNCTION("IMPORTRANGE(""https://docs.google.com/spreadsheets/d/1qfrKjzMhm2HJfxQ-qVlJlJQ25Hne1d0khsySbZyGtPA/edit?usp=sharing"",""ระนอง!S498"")"),0)</f>
        <v>0</v>
      </c>
      <c r="U85" s="68">
        <f t="shared" ca="1" si="30"/>
        <v>0</v>
      </c>
      <c r="V85" s="68">
        <f t="shared" ca="1" si="31"/>
        <v>0</v>
      </c>
      <c r="W85" s="278">
        <f ca="1">IFERROR(__xludf.DUMMYFUNCTION("IMPORTRANGE(""https://docs.google.com/spreadsheets/d/1qfrKjzMhm2HJfxQ-qVlJlJQ25Hne1d0khsySbZyGtPA/edit?usp=sharing"",""ระนอง!I503"")"),0)</f>
        <v>0</v>
      </c>
      <c r="X85" s="152">
        <f ca="1">IFERROR(__xludf.DUMMYFUNCTION("IMPORTRANGE(""https://docs.google.com/spreadsheets/d/1qfrKjzMhm2HJfxQ-qVlJlJQ25Hne1d0khsySbZyGtPA/edit?usp=sharing"",""ระนอง!J503"")"),0)</f>
        <v>0</v>
      </c>
      <c r="Y85" s="216">
        <f t="shared" ca="1" si="33"/>
        <v>0</v>
      </c>
      <c r="Z85" s="152">
        <f ca="1">IFERROR(__xludf.DUMMYFUNCTION("IMPORTRANGE(""https://docs.google.com/spreadsheets/d/1qfrKjzMhm2HJfxQ-qVlJlJQ25Hne1d0khsySbZyGtPA/edit?usp=sharing"",""ระนอง!J504"")"),0)</f>
        <v>0</v>
      </c>
      <c r="AA85" s="152">
        <f ca="1">IFERROR(__xludf.DUMMYFUNCTION("IMPORTRANGE(""https://docs.google.com/spreadsheets/d/1qfrKjzMhm2HJfxQ-qVlJlJQ25Hne1d0khsySbZyGtPA/edit?usp=sharing"",""ระนอง!J505"")"),0)</f>
        <v>0</v>
      </c>
      <c r="AB85" s="152">
        <f ca="1">IFERROR(__xludf.DUMMYFUNCTION("IMPORTRANGE(""https://docs.google.com/spreadsheets/d/1qfrKjzMhm2HJfxQ-qVlJlJQ25Hne1d0khsySbZyGtPA/edit?usp=sharing"",""ระนอง!J506"")"),0)</f>
        <v>0</v>
      </c>
      <c r="AC85" s="152">
        <f ca="1">IFERROR(__xludf.DUMMYFUNCTION("IMPORTRANGE(""https://docs.google.com/spreadsheets/d/1qfrKjzMhm2HJfxQ-qVlJlJQ25Hne1d0khsySbZyGtPA/edit?usp=sharing"",""ระนอง!J507"")"),0)</f>
        <v>0</v>
      </c>
      <c r="AD85" s="152">
        <f ca="1">IFERROR(__xludf.DUMMYFUNCTION("IMPORTRANGE(""https://docs.google.com/spreadsheets/d/1qfrKjzMhm2HJfxQ-qVlJlJQ25Hne1d0khsySbZyGtPA/edit?usp=sharing"",""ระนอง!J508"")"),0)</f>
        <v>0</v>
      </c>
      <c r="AE85" s="152">
        <f ca="1">IFERROR(__xludf.DUMMYFUNCTION("IMPORTRANGE(""https://docs.google.com/spreadsheets/d/1qfrKjzMhm2HJfxQ-qVlJlJQ25Hne1d0khsySbZyGtPA/edit?usp=sharing"",""ระนอง!J509"")"),0)</f>
        <v>0</v>
      </c>
    </row>
    <row r="86" spans="1:31" ht="24" customHeight="1" x14ac:dyDescent="0.3">
      <c r="A86" s="70">
        <v>12</v>
      </c>
      <c r="B86" s="71" t="s">
        <v>114</v>
      </c>
      <c r="C86" s="149">
        <f t="shared" ca="1" si="21"/>
        <v>24100</v>
      </c>
      <c r="D86" s="150">
        <f t="shared" ca="1" si="50"/>
        <v>24100</v>
      </c>
      <c r="E86" s="151">
        <f ca="1">IFERROR(__xludf.DUMMYFUNCTION("IMPORTRANGE(""https://docs.google.com/spreadsheets/d/1-uDff_7J0KD5mKrp0Vvzr7lt3OU09vwQwhkpOPPYv2Y/edit?usp=sharing"",""งบพรบ!HV86"")"),0)</f>
        <v>0</v>
      </c>
      <c r="F86" s="151">
        <f ca="1">IFERROR(__xludf.DUMMYFUNCTION("IMPORTRANGE(""https://docs.google.com/spreadsheets/d/1-uDff_7J0KD5mKrp0Vvzr7lt3OU09vwQwhkpOPPYv2Y/edit?usp=sharing"",""งบพรบ!HW86"")"),24100)</f>
        <v>24100</v>
      </c>
      <c r="G86" s="151">
        <f ca="1">IFERROR(__xludf.DUMMYFUNCTION("IMPORTRANGE(""https://docs.google.com/spreadsheets/d/1-uDff_7J0KD5mKrp0Vvzr7lt3OU09vwQwhkpOPPYv2Y/edit?usp=sharing"",""งบพรบ!HX86"")"),0)</f>
        <v>0</v>
      </c>
      <c r="H86" s="151">
        <f ca="1">IFERROR(__xludf.DUMMYFUNCTION("IMPORTRANGE(""https://docs.google.com/spreadsheets/d/1-uDff_7J0KD5mKrp0Vvzr7lt3OU09vwQwhkpOPPYv2Y/edit?usp=sharing"",""งบพรบ!HZ86"")"),24100)</f>
        <v>24100</v>
      </c>
      <c r="I86" s="151">
        <f ca="1">IFERROR(__xludf.DUMMYFUNCTION("IMPORTRANGE(""https://docs.google.com/spreadsheets/d/1-uDff_7J0KD5mKrp0Vvzr7lt3OU09vwQwhkpOPPYv2Y/edit?usp=sharing"",""งบพรบ!IA86"")"),0)</f>
        <v>0</v>
      </c>
      <c r="J86" s="151">
        <f t="shared" ca="1" si="23"/>
        <v>13580</v>
      </c>
      <c r="K86" s="154">
        <f t="shared" ca="1" si="24"/>
        <v>56.348547717842322</v>
      </c>
      <c r="L86" s="151">
        <f ca="1">IFERROR(__xludf.DUMMYFUNCTION("IMPORTRANGE(""https://docs.google.com/spreadsheets/d/1-uDff_7J0KD5mKrp0Vvzr7lt3OU09vwQwhkpOPPYv2Y/edit?usp=sharing"",""งบพรบ!IB86"")"),13580)</f>
        <v>13580</v>
      </c>
      <c r="M86" s="68">
        <f t="shared" ca="1" si="25"/>
        <v>56.348547717842322</v>
      </c>
      <c r="N86" s="68">
        <f t="shared" ca="1" si="26"/>
        <v>56.348547717842322</v>
      </c>
      <c r="O86" s="151">
        <f ca="1">IFERROR(__xludf.DUMMYFUNCTION("IMPORTRANGE(""https://docs.google.com/spreadsheets/d/1-uDff_7J0KD5mKrp0Vvzr7lt3OU09vwQwhkpOPPYv2Y/edit?usp=sharing"",""งบพรบ!IC86"")"),0)</f>
        <v>0</v>
      </c>
      <c r="P86" s="67">
        <f t="shared" ca="1" si="27"/>
        <v>0</v>
      </c>
      <c r="Q86" s="68">
        <f t="shared" ca="1" si="28"/>
        <v>0</v>
      </c>
      <c r="R86" s="68">
        <f ca="1">IFERROR(__xludf.DUMMYFUNCTION("IMPORTRANGE(""https://docs.google.com/spreadsheets/d/1IbSCnFOKpZsnFogBHJnL_isstZVaOMnFiIN0fGTPZZw/edit?usp=sharing"",""สงขลา!Q498"")"),460185)</f>
        <v>460185</v>
      </c>
      <c r="S86" s="68">
        <f ca="1">IFERROR(__xludf.DUMMYFUNCTION("IMPORTRANGE(""https://docs.google.com/spreadsheets/d/1IbSCnFOKpZsnFogBHJnL_isstZVaOMnFiIN0fGTPZZw/edit?usp=sharing"",""สงขลา!R498"")"),467885)</f>
        <v>467885</v>
      </c>
      <c r="T86" s="68">
        <f ca="1">IFERROR(__xludf.DUMMYFUNCTION("IMPORTRANGE(""https://docs.google.com/spreadsheets/d/1IbSCnFOKpZsnFogBHJnL_isstZVaOMnFiIN0fGTPZZw/edit?usp=sharing"",""สงขลา!S498"")"),428665)</f>
        <v>428665</v>
      </c>
      <c r="U86" s="68">
        <f t="shared" ca="1" si="30"/>
        <v>93.150580744700505</v>
      </c>
      <c r="V86" s="68">
        <f t="shared" ca="1" si="31"/>
        <v>91.617598341472799</v>
      </c>
      <c r="W86" s="278">
        <f ca="1">IFERROR(__xludf.DUMMYFUNCTION("IMPORTRANGE(""https://docs.google.com/spreadsheets/d/1IbSCnFOKpZsnFogBHJnL_isstZVaOMnFiIN0fGTPZZw/edit?usp=sharing"",""สงขลา!I503"")"),30)</f>
        <v>30</v>
      </c>
      <c r="X86" s="152">
        <f ca="1">IFERROR(__xludf.DUMMYFUNCTION("IMPORTRANGE(""https://docs.google.com/spreadsheets/d/1IbSCnFOKpZsnFogBHJnL_isstZVaOMnFiIN0fGTPZZw/edit?usp=sharing"",""สงขลา!J503"")"),30)</f>
        <v>30</v>
      </c>
      <c r="Y86" s="216">
        <f t="shared" ca="1" si="33"/>
        <v>100</v>
      </c>
      <c r="Z86" s="152">
        <f ca="1">IFERROR(__xludf.DUMMYFUNCTION("IMPORTRANGE(""https://docs.google.com/spreadsheets/d/1IbSCnFOKpZsnFogBHJnL_isstZVaOMnFiIN0fGTPZZw/edit?usp=sharing"",""สงขลา!J504"")"),30)</f>
        <v>30</v>
      </c>
      <c r="AA86" s="152">
        <f ca="1">IFERROR(__xludf.DUMMYFUNCTION("IMPORTRANGE(""https://docs.google.com/spreadsheets/d/1IbSCnFOKpZsnFogBHJnL_isstZVaOMnFiIN0fGTPZZw/edit?usp=sharing"",""สงขลา!J505"")"),30)</f>
        <v>30</v>
      </c>
      <c r="AB86" s="152">
        <f ca="1">IFERROR(__xludf.DUMMYFUNCTION("IMPORTRANGE(""https://docs.google.com/spreadsheets/d/1IbSCnFOKpZsnFogBHJnL_isstZVaOMnFiIN0fGTPZZw/edit?usp=sharing"",""สงขลา!J506"")"),10)</f>
        <v>10</v>
      </c>
      <c r="AC86" s="152">
        <f ca="1">IFERROR(__xludf.DUMMYFUNCTION("IMPORTRANGE(""https://docs.google.com/spreadsheets/d/1IbSCnFOKpZsnFogBHJnL_isstZVaOMnFiIN0fGTPZZw/edit?usp=sharing"",""สงขลา!J507"")"),10)</f>
        <v>10</v>
      </c>
      <c r="AD86" s="152">
        <f ca="1">IFERROR(__xludf.DUMMYFUNCTION("IMPORTRANGE(""https://docs.google.com/spreadsheets/d/1IbSCnFOKpZsnFogBHJnL_isstZVaOMnFiIN0fGTPZZw/edit?usp=sharing"",""สงขลา!J508"")"),0)</f>
        <v>0</v>
      </c>
      <c r="AE86" s="152">
        <f ca="1">IFERROR(__xludf.DUMMYFUNCTION("IMPORTRANGE(""https://docs.google.com/spreadsheets/d/1IbSCnFOKpZsnFogBHJnL_isstZVaOMnFiIN0fGTPZZw/edit?usp=sharing"",""สงขลา!J509"")"),0)</f>
        <v>0</v>
      </c>
    </row>
    <row r="87" spans="1:31" ht="24" customHeight="1" x14ac:dyDescent="0.3">
      <c r="A87" s="70">
        <v>13</v>
      </c>
      <c r="B87" s="71" t="s">
        <v>115</v>
      </c>
      <c r="C87" s="149">
        <f t="shared" ca="1" si="21"/>
        <v>0</v>
      </c>
      <c r="D87" s="150">
        <f t="shared" ca="1" si="50"/>
        <v>0</v>
      </c>
      <c r="E87" s="151">
        <f ca="1">IFERROR(__xludf.DUMMYFUNCTION("IMPORTRANGE(""https://docs.google.com/spreadsheets/d/1-uDff_7J0KD5mKrp0Vvzr7lt3OU09vwQwhkpOPPYv2Y/edit?usp=sharing"",""งบพรบ!HV87"")"),0)</f>
        <v>0</v>
      </c>
      <c r="F87" s="151">
        <f ca="1">IFERROR(__xludf.DUMMYFUNCTION("IMPORTRANGE(""https://docs.google.com/spreadsheets/d/1-uDff_7J0KD5mKrp0Vvzr7lt3OU09vwQwhkpOPPYv2Y/edit?usp=sharing"",""งบพรบ!HW87"")"),0)</f>
        <v>0</v>
      </c>
      <c r="G87" s="151">
        <f ca="1">IFERROR(__xludf.DUMMYFUNCTION("IMPORTRANGE(""https://docs.google.com/spreadsheets/d/1-uDff_7J0KD5mKrp0Vvzr7lt3OU09vwQwhkpOPPYv2Y/edit?usp=sharing"",""งบพรบ!HX87"")"),0)</f>
        <v>0</v>
      </c>
      <c r="H87" s="151">
        <f ca="1">IFERROR(__xludf.DUMMYFUNCTION("IMPORTRANGE(""https://docs.google.com/spreadsheets/d/1-uDff_7J0KD5mKrp0Vvzr7lt3OU09vwQwhkpOPPYv2Y/edit?usp=sharing"",""งบพรบ!HZ87"")"),0)</f>
        <v>0</v>
      </c>
      <c r="I87" s="151">
        <f ca="1">IFERROR(__xludf.DUMMYFUNCTION("IMPORTRANGE(""https://docs.google.com/spreadsheets/d/1-uDff_7J0KD5mKrp0Vvzr7lt3OU09vwQwhkpOPPYv2Y/edit?usp=sharing"",""งบพรบ!IA87"")"),0)</f>
        <v>0</v>
      </c>
      <c r="J87" s="151">
        <f t="shared" ca="1" si="23"/>
        <v>0</v>
      </c>
      <c r="K87" s="154">
        <f t="shared" ca="1" si="24"/>
        <v>0</v>
      </c>
      <c r="L87" s="151">
        <f ca="1">IFERROR(__xludf.DUMMYFUNCTION("IMPORTRANGE(""https://docs.google.com/spreadsheets/d/1-uDff_7J0KD5mKrp0Vvzr7lt3OU09vwQwhkpOPPYv2Y/edit?usp=sharing"",""งบพรบ!IB87"")"),0)</f>
        <v>0</v>
      </c>
      <c r="M87" s="68">
        <f t="shared" ca="1" si="25"/>
        <v>0</v>
      </c>
      <c r="N87" s="68">
        <f t="shared" ca="1" si="26"/>
        <v>0</v>
      </c>
      <c r="O87" s="151">
        <f ca="1">IFERROR(__xludf.DUMMYFUNCTION("IMPORTRANGE(""https://docs.google.com/spreadsheets/d/1-uDff_7J0KD5mKrp0Vvzr7lt3OU09vwQwhkpOPPYv2Y/edit?usp=sharing"",""งบพรบ!IC87"")"),0)</f>
        <v>0</v>
      </c>
      <c r="P87" s="67">
        <f t="shared" ca="1" si="27"/>
        <v>0</v>
      </c>
      <c r="Q87" s="68">
        <f t="shared" ca="1" si="28"/>
        <v>0</v>
      </c>
      <c r="R87" s="68">
        <f ca="1">IFERROR(__xludf.DUMMYFUNCTION("IMPORTRANGE(""https://docs.google.com/spreadsheets/d/1q9nWasZJ-K8bFGvbE9n0qSRuKGA4Toe3Y89cKCiVtCU/edit?usp=sharing"",""สตูล!Q498"")"),0)</f>
        <v>0</v>
      </c>
      <c r="S87" s="68">
        <f ca="1">IFERROR(__xludf.DUMMYFUNCTION("IMPORTRANGE(""https://docs.google.com/spreadsheets/d/1q9nWasZJ-K8bFGvbE9n0qSRuKGA4Toe3Y89cKCiVtCU/edit?usp=sharing"",""สตูล!R498"")"),0)</f>
        <v>0</v>
      </c>
      <c r="T87" s="68">
        <f ca="1">IFERROR(__xludf.DUMMYFUNCTION("IMPORTRANGE(""https://docs.google.com/spreadsheets/d/1q9nWasZJ-K8bFGvbE9n0qSRuKGA4Toe3Y89cKCiVtCU/edit?usp=sharing"",""สตูล!S498"")"),0)</f>
        <v>0</v>
      </c>
      <c r="U87" s="68">
        <f t="shared" ca="1" si="30"/>
        <v>0</v>
      </c>
      <c r="V87" s="68">
        <f t="shared" ca="1" si="31"/>
        <v>0</v>
      </c>
      <c r="W87" s="278">
        <f ca="1">IFERROR(__xludf.DUMMYFUNCTION("IMPORTRANGE(""https://docs.google.com/spreadsheets/d/1q9nWasZJ-K8bFGvbE9n0qSRuKGA4Toe3Y89cKCiVtCU/edit?usp=sharing"",""สตูล!I503"")"),0)</f>
        <v>0</v>
      </c>
      <c r="X87" s="152">
        <f ca="1">IFERROR(__xludf.DUMMYFUNCTION("IMPORTRANGE(""https://docs.google.com/spreadsheets/d/1q9nWasZJ-K8bFGvbE9n0qSRuKGA4Toe3Y89cKCiVtCU/edit?usp=sharing"",""สตูล!J503"")"),0)</f>
        <v>0</v>
      </c>
      <c r="Y87" s="216">
        <f t="shared" ca="1" si="33"/>
        <v>0</v>
      </c>
      <c r="Z87" s="152">
        <f ca="1">IFERROR(__xludf.DUMMYFUNCTION("IMPORTRANGE(""https://docs.google.com/spreadsheets/d/1q9nWasZJ-K8bFGvbE9n0qSRuKGA4Toe3Y89cKCiVtCU/edit?usp=sharing"",""สตูล!J504"")"),0)</f>
        <v>0</v>
      </c>
      <c r="AA87" s="152">
        <f ca="1">IFERROR(__xludf.DUMMYFUNCTION("IMPORTRANGE(""https://docs.google.com/spreadsheets/d/1q9nWasZJ-K8bFGvbE9n0qSRuKGA4Toe3Y89cKCiVtCU/edit?usp=sharing"",""สตูล!J505"")"),0)</f>
        <v>0</v>
      </c>
      <c r="AB87" s="152">
        <f ca="1">IFERROR(__xludf.DUMMYFUNCTION("IMPORTRANGE(""https://docs.google.com/spreadsheets/d/1q9nWasZJ-K8bFGvbE9n0qSRuKGA4Toe3Y89cKCiVtCU/edit?usp=sharing"",""สตูล!J506"")"),0)</f>
        <v>0</v>
      </c>
      <c r="AC87" s="152">
        <f ca="1">IFERROR(__xludf.DUMMYFUNCTION("IMPORTRANGE(""https://docs.google.com/spreadsheets/d/1q9nWasZJ-K8bFGvbE9n0qSRuKGA4Toe3Y89cKCiVtCU/edit?usp=sharing"",""สตูล!J507"")"),0)</f>
        <v>0</v>
      </c>
      <c r="AD87" s="152">
        <f ca="1">IFERROR(__xludf.DUMMYFUNCTION("IMPORTRANGE(""https://docs.google.com/spreadsheets/d/1q9nWasZJ-K8bFGvbE9n0qSRuKGA4Toe3Y89cKCiVtCU/edit?usp=sharing"",""สตูล!J508"")"),0)</f>
        <v>0</v>
      </c>
      <c r="AE87" s="152">
        <f ca="1">IFERROR(__xludf.DUMMYFUNCTION("IMPORTRANGE(""https://docs.google.com/spreadsheets/d/1q9nWasZJ-K8bFGvbE9n0qSRuKGA4Toe3Y89cKCiVtCU/edit?usp=sharing"",""สตูล!J509"")"),0)</f>
        <v>0</v>
      </c>
    </row>
    <row r="88" spans="1:31" ht="24" customHeight="1" x14ac:dyDescent="0.3">
      <c r="A88" s="80">
        <v>14</v>
      </c>
      <c r="B88" s="81" t="s">
        <v>116</v>
      </c>
      <c r="C88" s="157">
        <f t="shared" ca="1" si="21"/>
        <v>24100</v>
      </c>
      <c r="D88" s="158">
        <f t="shared" ca="1" si="50"/>
        <v>24100</v>
      </c>
      <c r="E88" s="159">
        <f ca="1">IFERROR(__xludf.DUMMYFUNCTION("IMPORTRANGE(""https://docs.google.com/spreadsheets/d/1-uDff_7J0KD5mKrp0Vvzr7lt3OU09vwQwhkpOPPYv2Y/edit?usp=sharing"",""งบพรบ!HV88"")"),0)</f>
        <v>0</v>
      </c>
      <c r="F88" s="159">
        <f ca="1">IFERROR(__xludf.DUMMYFUNCTION("IMPORTRANGE(""https://docs.google.com/spreadsheets/d/1-uDff_7J0KD5mKrp0Vvzr7lt3OU09vwQwhkpOPPYv2Y/edit?usp=sharing"",""งบพรบ!HW88"")"),24100)</f>
        <v>24100</v>
      </c>
      <c r="G88" s="159">
        <f ca="1">IFERROR(__xludf.DUMMYFUNCTION("IMPORTRANGE(""https://docs.google.com/spreadsheets/d/1-uDff_7J0KD5mKrp0Vvzr7lt3OU09vwQwhkpOPPYv2Y/edit?usp=sharing"",""งบพรบ!HX88"")"),0)</f>
        <v>0</v>
      </c>
      <c r="H88" s="159">
        <f ca="1">IFERROR(__xludf.DUMMYFUNCTION("IMPORTRANGE(""https://docs.google.com/spreadsheets/d/1-uDff_7J0KD5mKrp0Vvzr7lt3OU09vwQwhkpOPPYv2Y/edit?usp=sharing"",""งบพรบ!HZ88"")"),24100)</f>
        <v>24100</v>
      </c>
      <c r="I88" s="159">
        <f ca="1">IFERROR(__xludf.DUMMYFUNCTION("IMPORTRANGE(""https://docs.google.com/spreadsheets/d/1-uDff_7J0KD5mKrp0Vvzr7lt3OU09vwQwhkpOPPYv2Y/edit?usp=sharing"",""งบพรบ!IA88"")"),0)</f>
        <v>0</v>
      </c>
      <c r="J88" s="159">
        <f t="shared" ca="1" si="23"/>
        <v>24100</v>
      </c>
      <c r="K88" s="160">
        <f t="shared" ca="1" si="24"/>
        <v>100</v>
      </c>
      <c r="L88" s="159">
        <f ca="1">IFERROR(__xludf.DUMMYFUNCTION("IMPORTRANGE(""https://docs.google.com/spreadsheets/d/1-uDff_7J0KD5mKrp0Vvzr7lt3OU09vwQwhkpOPPYv2Y/edit?usp=sharing"",""งบพรบ!IB88"")"),24100)</f>
        <v>24100</v>
      </c>
      <c r="M88" s="89">
        <f t="shared" ca="1" si="25"/>
        <v>100</v>
      </c>
      <c r="N88" s="89">
        <f t="shared" ca="1" si="26"/>
        <v>100</v>
      </c>
      <c r="O88" s="159">
        <f ca="1">IFERROR(__xludf.DUMMYFUNCTION("IMPORTRANGE(""https://docs.google.com/spreadsheets/d/1-uDff_7J0KD5mKrp0Vvzr7lt3OU09vwQwhkpOPPYv2Y/edit?usp=sharing"",""งบพรบ!IC88"")"),0)</f>
        <v>0</v>
      </c>
      <c r="P88" s="88">
        <f t="shared" ca="1" si="27"/>
        <v>0</v>
      </c>
      <c r="Q88" s="89">
        <f t="shared" ca="1" si="28"/>
        <v>0</v>
      </c>
      <c r="R88" s="89">
        <f ca="1">IFERROR(__xludf.DUMMYFUNCTION("IMPORTRANGE(""https://docs.google.com/spreadsheets/d/18T20gbkS_WBjdscyTOV05cvq_JqvqQ17C81mpxf7Ncs/edit?usp=sharing"",""สุราษฎร์ธานี!Q498"")"),460185)</f>
        <v>460185</v>
      </c>
      <c r="S88" s="89">
        <f ca="1">IFERROR(__xludf.DUMMYFUNCTION("IMPORTRANGE(""https://docs.google.com/spreadsheets/d/18T20gbkS_WBjdscyTOV05cvq_JqvqQ17C81mpxf7Ncs/edit?usp=sharing"",""สุราษฎร์ธานี!R498"")"),426088.34)</f>
        <v>426088.34</v>
      </c>
      <c r="T88" s="89">
        <f ca="1">IFERROR(__xludf.DUMMYFUNCTION("IMPORTRANGE(""https://docs.google.com/spreadsheets/d/18T20gbkS_WBjdscyTOV05cvq_JqvqQ17C81mpxf7Ncs/edit?usp=sharing"",""สุราษฎร์ธานี!S498"")"),400088.34)</f>
        <v>400088.34</v>
      </c>
      <c r="U88" s="89">
        <f t="shared" ca="1" si="30"/>
        <v>86.94076078099026</v>
      </c>
      <c r="V88" s="89">
        <f t="shared" ca="1" si="31"/>
        <v>93.897978996562074</v>
      </c>
      <c r="W88" s="280">
        <f ca="1">IFERROR(__xludf.DUMMYFUNCTION("IMPORTRANGE(""https://docs.google.com/spreadsheets/d/18T20gbkS_WBjdscyTOV05cvq_JqvqQ17C81mpxf7Ncs/edit?usp=sharing"",""สุราษฎร์ธานี!I503"")"),30)</f>
        <v>30</v>
      </c>
      <c r="X88" s="191">
        <f ca="1">IFERROR(__xludf.DUMMYFUNCTION("IMPORTRANGE(""https://docs.google.com/spreadsheets/d/18T20gbkS_WBjdscyTOV05cvq_JqvqQ17C81mpxf7Ncs/edit?usp=sharing"",""สุราษฎร์ธานี!J503"")"),30)</f>
        <v>30</v>
      </c>
      <c r="Y88" s="218">
        <f t="shared" ca="1" si="33"/>
        <v>100</v>
      </c>
      <c r="Z88" s="191">
        <f ca="1">IFERROR(__xludf.DUMMYFUNCTION("IMPORTRANGE(""https://docs.google.com/spreadsheets/d/18T20gbkS_WBjdscyTOV05cvq_JqvqQ17C81mpxf7Ncs/edit?usp=sharing"",""สุราษฎร์ธานี!J504"")"),30)</f>
        <v>30</v>
      </c>
      <c r="AA88" s="191">
        <f ca="1">IFERROR(__xludf.DUMMYFUNCTION("IMPORTRANGE(""https://docs.google.com/spreadsheets/d/18T20gbkS_WBjdscyTOV05cvq_JqvqQ17C81mpxf7Ncs/edit?usp=sharing"",""สุราษฎร์ธานี!J505"")"),30)</f>
        <v>30</v>
      </c>
      <c r="AB88" s="191">
        <f ca="1">IFERROR(__xludf.DUMMYFUNCTION("IMPORTRANGE(""https://docs.google.com/spreadsheets/d/18T20gbkS_WBjdscyTOV05cvq_JqvqQ17C81mpxf7Ncs/edit?usp=sharing"",""สุราษฎร์ธานี!J506"")"),30)</f>
        <v>30</v>
      </c>
      <c r="AC88" s="191">
        <f ca="1">IFERROR(__xludf.DUMMYFUNCTION("IMPORTRANGE(""https://docs.google.com/spreadsheets/d/18T20gbkS_WBjdscyTOV05cvq_JqvqQ17C81mpxf7Ncs/edit?usp=sharing"",""สุราษฎร์ธานี!J507"")"),10)</f>
        <v>10</v>
      </c>
      <c r="AD88" s="191">
        <f ca="1">IFERROR(__xludf.DUMMYFUNCTION("IMPORTRANGE(""https://docs.google.com/spreadsheets/d/18T20gbkS_WBjdscyTOV05cvq_JqvqQ17C81mpxf7Ncs/edit?usp=sharing"",""สุราษฎร์ธานี!J508"")"),0)</f>
        <v>0</v>
      </c>
      <c r="AE88" s="191">
        <f ca="1">IFERROR(__xludf.DUMMYFUNCTION("IMPORTRANGE(""https://docs.google.com/spreadsheets/d/18T20gbkS_WBjdscyTOV05cvq_JqvqQ17C81mpxf7Ncs/edit?usp=sharing"",""สุราษฎร์ธานี!J509"")"),30)</f>
        <v>30</v>
      </c>
    </row>
    <row r="89" spans="1:31" ht="21" customHeight="1" x14ac:dyDescent="0.3">
      <c r="A89" s="698" t="s">
        <v>117</v>
      </c>
      <c r="B89" s="662"/>
      <c r="C89" s="200">
        <f t="shared" ref="C89:T89" ca="1" si="51">SUM(C90:C106)</f>
        <v>273100</v>
      </c>
      <c r="D89" s="39">
        <f t="shared" ca="1" si="51"/>
        <v>273100</v>
      </c>
      <c r="E89" s="39">
        <f t="shared" ca="1" si="51"/>
        <v>273100</v>
      </c>
      <c r="F89" s="39">
        <f t="shared" ca="1" si="51"/>
        <v>0</v>
      </c>
      <c r="G89" s="39">
        <f t="shared" ca="1" si="51"/>
        <v>0</v>
      </c>
      <c r="H89" s="39">
        <f t="shared" ca="1" si="51"/>
        <v>273100</v>
      </c>
      <c r="I89" s="39">
        <f t="shared" ca="1" si="51"/>
        <v>0</v>
      </c>
      <c r="J89" s="39">
        <f t="shared" ca="1" si="51"/>
        <v>273100</v>
      </c>
      <c r="K89" s="40">
        <f t="shared" ca="1" si="51"/>
        <v>0</v>
      </c>
      <c r="L89" s="39">
        <f t="shared" ca="1" si="51"/>
        <v>273100</v>
      </c>
      <c r="M89" s="40">
        <f t="shared" ca="1" si="51"/>
        <v>0</v>
      </c>
      <c r="N89" s="40">
        <f t="shared" ca="1" si="51"/>
        <v>100</v>
      </c>
      <c r="O89" s="39">
        <f t="shared" ca="1" si="51"/>
        <v>0</v>
      </c>
      <c r="P89" s="39">
        <f t="shared" ca="1" si="51"/>
        <v>0</v>
      </c>
      <c r="Q89" s="39">
        <f t="shared" ca="1" si="51"/>
        <v>0</v>
      </c>
      <c r="R89" s="39">
        <f t="shared" ca="1" si="51"/>
        <v>1411600</v>
      </c>
      <c r="S89" s="39">
        <f t="shared" ca="1" si="51"/>
        <v>1334600</v>
      </c>
      <c r="T89" s="39">
        <f t="shared" ca="1" si="51"/>
        <v>99572.83</v>
      </c>
      <c r="U89" s="39">
        <f t="shared" ca="1" si="30"/>
        <v>7.0538984131482003</v>
      </c>
      <c r="V89" s="39">
        <f t="shared" ca="1" si="31"/>
        <v>7.4608744193016632</v>
      </c>
      <c r="W89" s="39"/>
      <c r="X89" s="39"/>
      <c r="Y89" s="41"/>
      <c r="Z89" s="39"/>
      <c r="AA89" s="39"/>
      <c r="AB89" s="39"/>
      <c r="AC89" s="39"/>
      <c r="AD89" s="39"/>
      <c r="AE89" s="39"/>
    </row>
    <row r="90" spans="1:31" ht="24" customHeight="1" x14ac:dyDescent="0.3">
      <c r="A90" s="102"/>
      <c r="B90" s="103" t="s">
        <v>118</v>
      </c>
      <c r="C90" s="170">
        <f t="shared" ref="C90:C108" ca="1" si="52">D90+G90</f>
        <v>0</v>
      </c>
      <c r="D90" s="171">
        <f t="shared" ref="D90:D108" ca="1" si="53">+E90+F90</f>
        <v>0</v>
      </c>
      <c r="E90" s="62">
        <f ca="1">IFERROR(__xludf.DUMMYFUNCTION("IMPORTRANGE(""https://docs.google.com/spreadsheets/d/1-uDff_7J0KD5mKrp0Vvzr7lt3OU09vwQwhkpOPPYv2Y/edit?usp=sharing"",""งบพรบ!HV90"")"),0)</f>
        <v>0</v>
      </c>
      <c r="F90" s="62">
        <f ca="1">IFERROR(__xludf.DUMMYFUNCTION("IMPORTRANGE(""https://docs.google.com/spreadsheets/d/1-uDff_7J0KD5mKrp0Vvzr7lt3OU09vwQwhkpOPPYv2Y/edit?usp=sharing"",""งบพรบ!HW90"")"),0)</f>
        <v>0</v>
      </c>
      <c r="G90" s="62">
        <f ca="1">IFERROR(__xludf.DUMMYFUNCTION("IMPORTRANGE(""https://docs.google.com/spreadsheets/d/1-uDff_7J0KD5mKrp0Vvzr7lt3OU09vwQwhkpOPPYv2Y/edit?usp=sharing"",""งบพรบ!HX90"")"),0)</f>
        <v>0</v>
      </c>
      <c r="H90" s="62">
        <f ca="1">IFERROR(__xludf.DUMMYFUNCTION("IMPORTRANGE(""https://docs.google.com/spreadsheets/d/1-uDff_7J0KD5mKrp0Vvzr7lt3OU09vwQwhkpOPPYv2Y/edit?usp=sharing"",""งบพรบ!HZ90"")"),0)</f>
        <v>0</v>
      </c>
      <c r="I90" s="62">
        <f ca="1">IFERROR(__xludf.DUMMYFUNCTION("IMPORTRANGE(""https://docs.google.com/spreadsheets/d/1-uDff_7J0KD5mKrp0Vvzr7lt3OU09vwQwhkpOPPYv2Y/edit?usp=sharing"",""งบพรบ!IA90"")"),0)</f>
        <v>0</v>
      </c>
      <c r="J90" s="62">
        <f t="shared" ref="J90:J108" ca="1" si="54">L90+O90</f>
        <v>0</v>
      </c>
      <c r="K90" s="104">
        <f t="shared" ref="K90:K108" ca="1" si="55">IF(C90&gt;0,J90*100/C90,0)</f>
        <v>0</v>
      </c>
      <c r="L90" s="62">
        <f ca="1">IFERROR(__xludf.DUMMYFUNCTION("IMPORTRANGE(""https://docs.google.com/spreadsheets/d/1-uDff_7J0KD5mKrp0Vvzr7lt3OU09vwQwhkpOPPYv2Y/edit?usp=sharing"",""งบพรบ!IB90"")"),0)</f>
        <v>0</v>
      </c>
      <c r="M90" s="65">
        <f t="shared" ref="M90:M108" ca="1" si="56">IF(D90&gt;0,L90*100/D90,0)</f>
        <v>0</v>
      </c>
      <c r="N90" s="65">
        <f t="shared" ref="N90:N108" ca="1" si="57">IF(H90&gt;0,L90*100/H90,0)</f>
        <v>0</v>
      </c>
      <c r="O90" s="451">
        <f ca="1">IFERROR(__xludf.DUMMYFUNCTION("IMPORTRANGE(""https://docs.google.com/spreadsheets/d/1-uDff_7J0KD5mKrp0Vvzr7lt3OU09vwQwhkpOPPYv2Y/edit?usp=sharing"",""งบพรบ!IC90"")"),0)</f>
        <v>0</v>
      </c>
      <c r="P90" s="66">
        <f t="shared" ref="P90:P108" ca="1" si="58">IF(G90&gt;0,O90*100/G90,0)</f>
        <v>0</v>
      </c>
      <c r="Q90" s="65">
        <f t="shared" ref="Q90:Q108" ca="1" si="59">IF(I90&gt;0,O90*100/I90,0)</f>
        <v>0</v>
      </c>
      <c r="R90" s="66">
        <v>0</v>
      </c>
      <c r="S90" s="66">
        <v>0</v>
      </c>
      <c r="T90" s="66">
        <v>0</v>
      </c>
      <c r="U90" s="65">
        <f t="shared" si="30"/>
        <v>0</v>
      </c>
      <c r="V90" s="65">
        <f t="shared" si="31"/>
        <v>0</v>
      </c>
      <c r="W90" s="62"/>
      <c r="X90" s="62"/>
      <c r="Y90" s="65"/>
      <c r="Z90" s="62"/>
      <c r="AA90" s="62"/>
      <c r="AB90" s="62"/>
      <c r="AC90" s="62"/>
      <c r="AD90" s="62"/>
      <c r="AE90" s="62"/>
    </row>
    <row r="91" spans="1:31" ht="24" customHeight="1" x14ac:dyDescent="0.3">
      <c r="A91" s="105"/>
      <c r="B91" s="106" t="s">
        <v>119</v>
      </c>
      <c r="C91" s="173">
        <f t="shared" ca="1" si="52"/>
        <v>0</v>
      </c>
      <c r="D91" s="174">
        <f t="shared" ca="1" si="53"/>
        <v>0</v>
      </c>
      <c r="E91" s="74">
        <f ca="1">IFERROR(__xludf.DUMMYFUNCTION("IMPORTRANGE(""https://docs.google.com/spreadsheets/d/1-uDff_7J0KD5mKrp0Vvzr7lt3OU09vwQwhkpOPPYv2Y/edit?usp=sharing"",""งบพรบ!HV91"")"),0)</f>
        <v>0</v>
      </c>
      <c r="F91" s="74">
        <f ca="1">IFERROR(__xludf.DUMMYFUNCTION("IMPORTRANGE(""https://docs.google.com/spreadsheets/d/1-uDff_7J0KD5mKrp0Vvzr7lt3OU09vwQwhkpOPPYv2Y/edit?usp=sharing"",""งบพรบ!HW91"")"),0)</f>
        <v>0</v>
      </c>
      <c r="G91" s="74">
        <f ca="1">IFERROR(__xludf.DUMMYFUNCTION("IMPORTRANGE(""https://docs.google.com/spreadsheets/d/1-uDff_7J0KD5mKrp0Vvzr7lt3OU09vwQwhkpOPPYv2Y/edit?usp=sharing"",""งบพรบ!HX91"")"),0)</f>
        <v>0</v>
      </c>
      <c r="H91" s="74">
        <f ca="1">IFERROR(__xludf.DUMMYFUNCTION("IMPORTRANGE(""https://docs.google.com/spreadsheets/d/1-uDff_7J0KD5mKrp0Vvzr7lt3OU09vwQwhkpOPPYv2Y/edit?usp=sharing"",""งบพรบ!HZ91"")"),0)</f>
        <v>0</v>
      </c>
      <c r="I91" s="74">
        <f ca="1">IFERROR(__xludf.DUMMYFUNCTION("IMPORTRANGE(""https://docs.google.com/spreadsheets/d/1-uDff_7J0KD5mKrp0Vvzr7lt3OU09vwQwhkpOPPYv2Y/edit?usp=sharing"",""งบพรบ!IA91"")"),0)</f>
        <v>0</v>
      </c>
      <c r="J91" s="74">
        <f t="shared" ca="1" si="54"/>
        <v>0</v>
      </c>
      <c r="K91" s="75">
        <f t="shared" ca="1" si="55"/>
        <v>0</v>
      </c>
      <c r="L91" s="74">
        <f ca="1">IFERROR(__xludf.DUMMYFUNCTION("IMPORTRANGE(""https://docs.google.com/spreadsheets/d/1-uDff_7J0KD5mKrp0Vvzr7lt3OU09vwQwhkpOPPYv2Y/edit?usp=sharing"",""งบพรบ!IB91"")"),0)</f>
        <v>0</v>
      </c>
      <c r="M91" s="76">
        <f t="shared" ca="1" si="56"/>
        <v>0</v>
      </c>
      <c r="N91" s="76">
        <f t="shared" ca="1" si="57"/>
        <v>0</v>
      </c>
      <c r="O91" s="452">
        <f ca="1">IFERROR(__xludf.DUMMYFUNCTION("IMPORTRANGE(""https://docs.google.com/spreadsheets/d/1-uDff_7J0KD5mKrp0Vvzr7lt3OU09vwQwhkpOPPYv2Y/edit?usp=sharing"",""งบพรบ!IC91"")"),0)</f>
        <v>0</v>
      </c>
      <c r="P91" s="77">
        <f t="shared" ca="1" si="58"/>
        <v>0</v>
      </c>
      <c r="Q91" s="76">
        <f t="shared" ca="1" si="59"/>
        <v>0</v>
      </c>
      <c r="R91" s="77">
        <v>0</v>
      </c>
      <c r="S91" s="77">
        <v>0</v>
      </c>
      <c r="T91" s="77">
        <v>0</v>
      </c>
      <c r="U91" s="76">
        <f t="shared" si="30"/>
        <v>0</v>
      </c>
      <c r="V91" s="76">
        <f t="shared" si="31"/>
        <v>0</v>
      </c>
      <c r="W91" s="74"/>
      <c r="X91" s="74"/>
      <c r="Y91" s="76"/>
      <c r="Z91" s="74"/>
      <c r="AA91" s="74"/>
      <c r="AB91" s="74"/>
      <c r="AC91" s="74"/>
      <c r="AD91" s="74"/>
      <c r="AE91" s="74"/>
    </row>
    <row r="92" spans="1:31" ht="24" customHeight="1" x14ac:dyDescent="0.3">
      <c r="A92" s="105"/>
      <c r="B92" s="106" t="s">
        <v>120</v>
      </c>
      <c r="C92" s="173">
        <f t="shared" ca="1" si="52"/>
        <v>0</v>
      </c>
      <c r="D92" s="174">
        <f t="shared" ca="1" si="53"/>
        <v>0</v>
      </c>
      <c r="E92" s="74">
        <f ca="1">IFERROR(__xludf.DUMMYFUNCTION("IMPORTRANGE(""https://docs.google.com/spreadsheets/d/1-uDff_7J0KD5mKrp0Vvzr7lt3OU09vwQwhkpOPPYv2Y/edit?usp=sharing"",""งบพรบ!HV92"")"),0)</f>
        <v>0</v>
      </c>
      <c r="F92" s="74">
        <f ca="1">IFERROR(__xludf.DUMMYFUNCTION("IMPORTRANGE(""https://docs.google.com/spreadsheets/d/1-uDff_7J0KD5mKrp0Vvzr7lt3OU09vwQwhkpOPPYv2Y/edit?usp=sharing"",""งบพรบ!HW92"")"),0)</f>
        <v>0</v>
      </c>
      <c r="G92" s="74">
        <f ca="1">IFERROR(__xludf.DUMMYFUNCTION("IMPORTRANGE(""https://docs.google.com/spreadsheets/d/1-uDff_7J0KD5mKrp0Vvzr7lt3OU09vwQwhkpOPPYv2Y/edit?usp=sharing"",""งบพรบ!HX92"")"),0)</f>
        <v>0</v>
      </c>
      <c r="H92" s="74">
        <f ca="1">IFERROR(__xludf.DUMMYFUNCTION("IMPORTRANGE(""https://docs.google.com/spreadsheets/d/1-uDff_7J0KD5mKrp0Vvzr7lt3OU09vwQwhkpOPPYv2Y/edit?usp=sharing"",""งบพรบ!HZ92"")"),0)</f>
        <v>0</v>
      </c>
      <c r="I92" s="74">
        <f ca="1">IFERROR(__xludf.DUMMYFUNCTION("IMPORTRANGE(""https://docs.google.com/spreadsheets/d/1-uDff_7J0KD5mKrp0Vvzr7lt3OU09vwQwhkpOPPYv2Y/edit?usp=sharing"",""งบพรบ!IA92"")"),0)</f>
        <v>0</v>
      </c>
      <c r="J92" s="74">
        <f t="shared" ca="1" si="54"/>
        <v>0</v>
      </c>
      <c r="K92" s="75">
        <f t="shared" ca="1" si="55"/>
        <v>0</v>
      </c>
      <c r="L92" s="74">
        <f ca="1">IFERROR(__xludf.DUMMYFUNCTION("IMPORTRANGE(""https://docs.google.com/spreadsheets/d/1-uDff_7J0KD5mKrp0Vvzr7lt3OU09vwQwhkpOPPYv2Y/edit?usp=sharing"",""งบพรบ!IB92"")"),0)</f>
        <v>0</v>
      </c>
      <c r="M92" s="76">
        <f t="shared" ca="1" si="56"/>
        <v>0</v>
      </c>
      <c r="N92" s="76">
        <f t="shared" ca="1" si="57"/>
        <v>0</v>
      </c>
      <c r="O92" s="452">
        <f ca="1">IFERROR(__xludf.DUMMYFUNCTION("IMPORTRANGE(""https://docs.google.com/spreadsheets/d/1-uDff_7J0KD5mKrp0Vvzr7lt3OU09vwQwhkpOPPYv2Y/edit?usp=sharing"",""งบพรบ!IC92"")"),0)</f>
        <v>0</v>
      </c>
      <c r="P92" s="77">
        <f t="shared" ca="1" si="58"/>
        <v>0</v>
      </c>
      <c r="Q92" s="76">
        <f t="shared" ca="1" si="59"/>
        <v>0</v>
      </c>
      <c r="R92" s="77">
        <v>0</v>
      </c>
      <c r="S92" s="77">
        <v>0</v>
      </c>
      <c r="T92" s="77">
        <v>0</v>
      </c>
      <c r="U92" s="76">
        <f t="shared" si="30"/>
        <v>0</v>
      </c>
      <c r="V92" s="76">
        <f t="shared" si="31"/>
        <v>0</v>
      </c>
      <c r="W92" s="74"/>
      <c r="X92" s="74"/>
      <c r="Y92" s="76"/>
      <c r="Z92" s="74"/>
      <c r="AA92" s="74"/>
      <c r="AB92" s="74"/>
      <c r="AC92" s="74"/>
      <c r="AD92" s="74"/>
      <c r="AE92" s="74"/>
    </row>
    <row r="93" spans="1:31" ht="24" customHeight="1" x14ac:dyDescent="0.3">
      <c r="A93" s="105"/>
      <c r="B93" s="106" t="s">
        <v>121</v>
      </c>
      <c r="C93" s="173">
        <f t="shared" ca="1" si="52"/>
        <v>0</v>
      </c>
      <c r="D93" s="174">
        <f t="shared" ca="1" si="53"/>
        <v>0</v>
      </c>
      <c r="E93" s="74">
        <f ca="1">IFERROR(__xludf.DUMMYFUNCTION("IMPORTRANGE(""https://docs.google.com/spreadsheets/d/1-uDff_7J0KD5mKrp0Vvzr7lt3OU09vwQwhkpOPPYv2Y/edit?usp=sharing"",""งบพรบ!HV93"")"),0)</f>
        <v>0</v>
      </c>
      <c r="F93" s="74">
        <f ca="1">IFERROR(__xludf.DUMMYFUNCTION("IMPORTRANGE(""https://docs.google.com/spreadsheets/d/1-uDff_7J0KD5mKrp0Vvzr7lt3OU09vwQwhkpOPPYv2Y/edit?usp=sharing"",""งบพรบ!HW93"")"),0)</f>
        <v>0</v>
      </c>
      <c r="G93" s="74">
        <f ca="1">IFERROR(__xludf.DUMMYFUNCTION("IMPORTRANGE(""https://docs.google.com/spreadsheets/d/1-uDff_7J0KD5mKrp0Vvzr7lt3OU09vwQwhkpOPPYv2Y/edit?usp=sharing"",""งบพรบ!HX93"")"),0)</f>
        <v>0</v>
      </c>
      <c r="H93" s="74">
        <f ca="1">IFERROR(__xludf.DUMMYFUNCTION("IMPORTRANGE(""https://docs.google.com/spreadsheets/d/1-uDff_7J0KD5mKrp0Vvzr7lt3OU09vwQwhkpOPPYv2Y/edit?usp=sharing"",""งบพรบ!HZ93"")"),273100)</f>
        <v>273100</v>
      </c>
      <c r="I93" s="74">
        <f ca="1">IFERROR(__xludf.DUMMYFUNCTION("IMPORTRANGE(""https://docs.google.com/spreadsheets/d/1-uDff_7J0KD5mKrp0Vvzr7lt3OU09vwQwhkpOPPYv2Y/edit?usp=sharing"",""งบพรบ!IA93"")"),0)</f>
        <v>0</v>
      </c>
      <c r="J93" s="74">
        <f t="shared" ca="1" si="54"/>
        <v>273100</v>
      </c>
      <c r="K93" s="75">
        <f t="shared" ca="1" si="55"/>
        <v>0</v>
      </c>
      <c r="L93" s="74">
        <f ca="1">IFERROR(__xludf.DUMMYFUNCTION("IMPORTRANGE(""https://docs.google.com/spreadsheets/d/1-uDff_7J0KD5mKrp0Vvzr7lt3OU09vwQwhkpOPPYv2Y/edit?usp=sharing"",""งบพรบ!IB93"")"),273100)</f>
        <v>273100</v>
      </c>
      <c r="M93" s="76">
        <f t="shared" ca="1" si="56"/>
        <v>0</v>
      </c>
      <c r="N93" s="76">
        <f t="shared" ca="1" si="57"/>
        <v>100</v>
      </c>
      <c r="O93" s="452">
        <f ca="1">IFERROR(__xludf.DUMMYFUNCTION("IMPORTRANGE(""https://docs.google.com/spreadsheets/d/1-uDff_7J0KD5mKrp0Vvzr7lt3OU09vwQwhkpOPPYv2Y/edit?usp=sharing"",""งบพรบ!IC93"")"),0)</f>
        <v>0</v>
      </c>
      <c r="P93" s="77">
        <f t="shared" ca="1" si="58"/>
        <v>0</v>
      </c>
      <c r="Q93" s="76">
        <f t="shared" ca="1" si="59"/>
        <v>0</v>
      </c>
      <c r="R93" s="77">
        <v>0</v>
      </c>
      <c r="S93" s="77">
        <v>0</v>
      </c>
      <c r="T93" s="77">
        <v>0</v>
      </c>
      <c r="U93" s="76">
        <f t="shared" si="30"/>
        <v>0</v>
      </c>
      <c r="V93" s="76">
        <f t="shared" si="31"/>
        <v>0</v>
      </c>
      <c r="W93" s="74"/>
      <c r="X93" s="74"/>
      <c r="Y93" s="76"/>
      <c r="Z93" s="74"/>
      <c r="AA93" s="74"/>
      <c r="AB93" s="74"/>
      <c r="AC93" s="74"/>
      <c r="AD93" s="74"/>
      <c r="AE93" s="74"/>
    </row>
    <row r="94" spans="1:31" ht="24" customHeight="1" x14ac:dyDescent="0.3">
      <c r="A94" s="105"/>
      <c r="B94" s="106" t="s">
        <v>122</v>
      </c>
      <c r="C94" s="173">
        <f t="shared" ca="1" si="52"/>
        <v>0</v>
      </c>
      <c r="D94" s="174">
        <f t="shared" ca="1" si="53"/>
        <v>0</v>
      </c>
      <c r="E94" s="74">
        <f ca="1">IFERROR(__xludf.DUMMYFUNCTION("IMPORTRANGE(""https://docs.google.com/spreadsheets/d/1-uDff_7J0KD5mKrp0Vvzr7lt3OU09vwQwhkpOPPYv2Y/edit?usp=sharing"",""งบพรบ!HV94"")"),0)</f>
        <v>0</v>
      </c>
      <c r="F94" s="74">
        <f ca="1">IFERROR(__xludf.DUMMYFUNCTION("IMPORTRANGE(""https://docs.google.com/spreadsheets/d/1-uDff_7J0KD5mKrp0Vvzr7lt3OU09vwQwhkpOPPYv2Y/edit?usp=sharing"",""งบพรบ!HW94"")"),0)</f>
        <v>0</v>
      </c>
      <c r="G94" s="74">
        <f ca="1">IFERROR(__xludf.DUMMYFUNCTION("IMPORTRANGE(""https://docs.google.com/spreadsheets/d/1-uDff_7J0KD5mKrp0Vvzr7lt3OU09vwQwhkpOPPYv2Y/edit?usp=sharing"",""งบพรบ!HX94"")"),0)</f>
        <v>0</v>
      </c>
      <c r="H94" s="74">
        <f ca="1">IFERROR(__xludf.DUMMYFUNCTION("IMPORTRANGE(""https://docs.google.com/spreadsheets/d/1-uDff_7J0KD5mKrp0Vvzr7lt3OU09vwQwhkpOPPYv2Y/edit?usp=sharing"",""งบพรบ!HZ94"")"),0)</f>
        <v>0</v>
      </c>
      <c r="I94" s="74">
        <f ca="1">IFERROR(__xludf.DUMMYFUNCTION("IMPORTRANGE(""https://docs.google.com/spreadsheets/d/1-uDff_7J0KD5mKrp0Vvzr7lt3OU09vwQwhkpOPPYv2Y/edit?usp=sharing"",""งบพรบ!IA94"")"),0)</f>
        <v>0</v>
      </c>
      <c r="J94" s="74">
        <f t="shared" ca="1" si="54"/>
        <v>0</v>
      </c>
      <c r="K94" s="75">
        <f t="shared" ca="1" si="55"/>
        <v>0</v>
      </c>
      <c r="L94" s="74">
        <f ca="1">IFERROR(__xludf.DUMMYFUNCTION("IMPORTRANGE(""https://docs.google.com/spreadsheets/d/1-uDff_7J0KD5mKrp0Vvzr7lt3OU09vwQwhkpOPPYv2Y/edit?usp=sharing"",""งบพรบ!IB94"")"),0)</f>
        <v>0</v>
      </c>
      <c r="M94" s="76">
        <f t="shared" ca="1" si="56"/>
        <v>0</v>
      </c>
      <c r="N94" s="76">
        <f t="shared" ca="1" si="57"/>
        <v>0</v>
      </c>
      <c r="O94" s="452">
        <f ca="1">IFERROR(__xludf.DUMMYFUNCTION("IMPORTRANGE(""https://docs.google.com/spreadsheets/d/1-uDff_7J0KD5mKrp0Vvzr7lt3OU09vwQwhkpOPPYv2Y/edit?usp=sharing"",""งบพรบ!IC94"")"),0)</f>
        <v>0</v>
      </c>
      <c r="P94" s="77">
        <f t="shared" ca="1" si="58"/>
        <v>0</v>
      </c>
      <c r="Q94" s="76">
        <f t="shared" ca="1" si="59"/>
        <v>0</v>
      </c>
      <c r="R94" s="77">
        <v>0</v>
      </c>
      <c r="S94" s="77">
        <v>0</v>
      </c>
      <c r="T94" s="77">
        <v>0</v>
      </c>
      <c r="U94" s="76">
        <f t="shared" si="30"/>
        <v>0</v>
      </c>
      <c r="V94" s="76">
        <f t="shared" si="31"/>
        <v>0</v>
      </c>
      <c r="W94" s="74"/>
      <c r="X94" s="74"/>
      <c r="Y94" s="76"/>
      <c r="Z94" s="74"/>
      <c r="AA94" s="74"/>
      <c r="AB94" s="74"/>
      <c r="AC94" s="74"/>
      <c r="AD94" s="74"/>
      <c r="AE94" s="74"/>
    </row>
    <row r="95" spans="1:31" ht="24" customHeight="1" x14ac:dyDescent="0.3">
      <c r="A95" s="105"/>
      <c r="B95" s="106" t="s">
        <v>123</v>
      </c>
      <c r="C95" s="173">
        <f t="shared" ca="1" si="52"/>
        <v>0</v>
      </c>
      <c r="D95" s="174">
        <f t="shared" ca="1" si="53"/>
        <v>0</v>
      </c>
      <c r="E95" s="74">
        <f ca="1">IFERROR(__xludf.DUMMYFUNCTION("IMPORTRANGE(""https://docs.google.com/spreadsheets/d/1-uDff_7J0KD5mKrp0Vvzr7lt3OU09vwQwhkpOPPYv2Y/edit?usp=sharing"",""งบพรบ!HV95"")"),0)</f>
        <v>0</v>
      </c>
      <c r="F95" s="74">
        <f ca="1">IFERROR(__xludf.DUMMYFUNCTION("IMPORTRANGE(""https://docs.google.com/spreadsheets/d/1-uDff_7J0KD5mKrp0Vvzr7lt3OU09vwQwhkpOPPYv2Y/edit?usp=sharing"",""งบพรบ!HW95"")"),0)</f>
        <v>0</v>
      </c>
      <c r="G95" s="74">
        <f ca="1">IFERROR(__xludf.DUMMYFUNCTION("IMPORTRANGE(""https://docs.google.com/spreadsheets/d/1-uDff_7J0KD5mKrp0Vvzr7lt3OU09vwQwhkpOPPYv2Y/edit?usp=sharing"",""งบพรบ!HX95"")"),0)</f>
        <v>0</v>
      </c>
      <c r="H95" s="74">
        <f ca="1">IFERROR(__xludf.DUMMYFUNCTION("IMPORTRANGE(""https://docs.google.com/spreadsheets/d/1-uDff_7J0KD5mKrp0Vvzr7lt3OU09vwQwhkpOPPYv2Y/edit?usp=sharing"",""งบพรบ!HZ95"")"),0)</f>
        <v>0</v>
      </c>
      <c r="I95" s="74">
        <f ca="1">IFERROR(__xludf.DUMMYFUNCTION("IMPORTRANGE(""https://docs.google.com/spreadsheets/d/1-uDff_7J0KD5mKrp0Vvzr7lt3OU09vwQwhkpOPPYv2Y/edit?usp=sharing"",""งบพรบ!IA95"")"),0)</f>
        <v>0</v>
      </c>
      <c r="J95" s="74">
        <f t="shared" ca="1" si="54"/>
        <v>0</v>
      </c>
      <c r="K95" s="75">
        <f t="shared" ca="1" si="55"/>
        <v>0</v>
      </c>
      <c r="L95" s="74">
        <f ca="1">IFERROR(__xludf.DUMMYFUNCTION("IMPORTRANGE(""https://docs.google.com/spreadsheets/d/1-uDff_7J0KD5mKrp0Vvzr7lt3OU09vwQwhkpOPPYv2Y/edit?usp=sharing"",""งบพรบ!IB95"")"),0)</f>
        <v>0</v>
      </c>
      <c r="M95" s="76">
        <f t="shared" ca="1" si="56"/>
        <v>0</v>
      </c>
      <c r="N95" s="76">
        <f t="shared" ca="1" si="57"/>
        <v>0</v>
      </c>
      <c r="O95" s="452">
        <f ca="1">IFERROR(__xludf.DUMMYFUNCTION("IMPORTRANGE(""https://docs.google.com/spreadsheets/d/1-uDff_7J0KD5mKrp0Vvzr7lt3OU09vwQwhkpOPPYv2Y/edit?usp=sharing"",""งบพรบ!IC95"")"),0)</f>
        <v>0</v>
      </c>
      <c r="P95" s="77">
        <f t="shared" ca="1" si="58"/>
        <v>0</v>
      </c>
      <c r="Q95" s="76">
        <f t="shared" ca="1" si="59"/>
        <v>0</v>
      </c>
      <c r="R95" s="77">
        <v>0</v>
      </c>
      <c r="S95" s="77">
        <v>0</v>
      </c>
      <c r="T95" s="77">
        <v>0</v>
      </c>
      <c r="U95" s="76">
        <f t="shared" si="30"/>
        <v>0</v>
      </c>
      <c r="V95" s="76">
        <f t="shared" si="31"/>
        <v>0</v>
      </c>
      <c r="W95" s="74"/>
      <c r="X95" s="74"/>
      <c r="Y95" s="76"/>
      <c r="Z95" s="74"/>
      <c r="AA95" s="74"/>
      <c r="AB95" s="74"/>
      <c r="AC95" s="74"/>
      <c r="AD95" s="74"/>
      <c r="AE95" s="74"/>
    </row>
    <row r="96" spans="1:31" ht="24" customHeight="1" x14ac:dyDescent="0.3">
      <c r="A96" s="105"/>
      <c r="B96" s="106" t="s">
        <v>124</v>
      </c>
      <c r="C96" s="173">
        <f t="shared" ca="1" si="52"/>
        <v>0</v>
      </c>
      <c r="D96" s="174">
        <f t="shared" ca="1" si="53"/>
        <v>0</v>
      </c>
      <c r="E96" s="74">
        <f ca="1">IFERROR(__xludf.DUMMYFUNCTION("IMPORTRANGE(""https://docs.google.com/spreadsheets/d/1-uDff_7J0KD5mKrp0Vvzr7lt3OU09vwQwhkpOPPYv2Y/edit?usp=sharing"",""งบพรบ!HV96"")"),0)</f>
        <v>0</v>
      </c>
      <c r="F96" s="74">
        <f ca="1">IFERROR(__xludf.DUMMYFUNCTION("IMPORTRANGE(""https://docs.google.com/spreadsheets/d/1-uDff_7J0KD5mKrp0Vvzr7lt3OU09vwQwhkpOPPYv2Y/edit?usp=sharing"",""งบพรบ!HW96"")"),0)</f>
        <v>0</v>
      </c>
      <c r="G96" s="74">
        <f ca="1">IFERROR(__xludf.DUMMYFUNCTION("IMPORTRANGE(""https://docs.google.com/spreadsheets/d/1-uDff_7J0KD5mKrp0Vvzr7lt3OU09vwQwhkpOPPYv2Y/edit?usp=sharing"",""งบพรบ!HX96"")"),0)</f>
        <v>0</v>
      </c>
      <c r="H96" s="74">
        <f ca="1">IFERROR(__xludf.DUMMYFUNCTION("IMPORTRANGE(""https://docs.google.com/spreadsheets/d/1-uDff_7J0KD5mKrp0Vvzr7lt3OU09vwQwhkpOPPYv2Y/edit?usp=sharing"",""งบพรบ!HZ96"")"),0)</f>
        <v>0</v>
      </c>
      <c r="I96" s="74">
        <f ca="1">IFERROR(__xludf.DUMMYFUNCTION("IMPORTRANGE(""https://docs.google.com/spreadsheets/d/1-uDff_7J0KD5mKrp0Vvzr7lt3OU09vwQwhkpOPPYv2Y/edit?usp=sharing"",""งบพรบ!IA96"")"),0)</f>
        <v>0</v>
      </c>
      <c r="J96" s="74">
        <f t="shared" ca="1" si="54"/>
        <v>0</v>
      </c>
      <c r="K96" s="75">
        <f t="shared" ca="1" si="55"/>
        <v>0</v>
      </c>
      <c r="L96" s="74">
        <f ca="1">IFERROR(__xludf.DUMMYFUNCTION("IMPORTRANGE(""https://docs.google.com/spreadsheets/d/1-uDff_7J0KD5mKrp0Vvzr7lt3OU09vwQwhkpOPPYv2Y/edit?usp=sharing"",""งบพรบ!IB96"")"),0)</f>
        <v>0</v>
      </c>
      <c r="M96" s="76">
        <f t="shared" ca="1" si="56"/>
        <v>0</v>
      </c>
      <c r="N96" s="76">
        <f t="shared" ca="1" si="57"/>
        <v>0</v>
      </c>
      <c r="O96" s="452">
        <f ca="1">IFERROR(__xludf.DUMMYFUNCTION("IMPORTRANGE(""https://docs.google.com/spreadsheets/d/1-uDff_7J0KD5mKrp0Vvzr7lt3OU09vwQwhkpOPPYv2Y/edit?usp=sharing"",""งบพรบ!IC96"")"),0)</f>
        <v>0</v>
      </c>
      <c r="P96" s="77">
        <f t="shared" ca="1" si="58"/>
        <v>0</v>
      </c>
      <c r="Q96" s="76">
        <f t="shared" ca="1" si="59"/>
        <v>0</v>
      </c>
      <c r="R96" s="77">
        <v>0</v>
      </c>
      <c r="S96" s="77">
        <v>0</v>
      </c>
      <c r="T96" s="77">
        <v>0</v>
      </c>
      <c r="U96" s="76">
        <f t="shared" si="30"/>
        <v>0</v>
      </c>
      <c r="V96" s="76">
        <f t="shared" si="31"/>
        <v>0</v>
      </c>
      <c r="W96" s="74"/>
      <c r="X96" s="74"/>
      <c r="Y96" s="76"/>
      <c r="Z96" s="74"/>
      <c r="AA96" s="74"/>
      <c r="AB96" s="74"/>
      <c r="AC96" s="74"/>
      <c r="AD96" s="74"/>
      <c r="AE96" s="74"/>
    </row>
    <row r="97" spans="1:31" ht="24" customHeight="1" x14ac:dyDescent="0.3">
      <c r="A97" s="105"/>
      <c r="B97" s="106" t="s">
        <v>125</v>
      </c>
      <c r="C97" s="173">
        <f t="shared" ca="1" si="52"/>
        <v>0</v>
      </c>
      <c r="D97" s="174">
        <f t="shared" ca="1" si="53"/>
        <v>0</v>
      </c>
      <c r="E97" s="74">
        <f ca="1">IFERROR(__xludf.DUMMYFUNCTION("IMPORTRANGE(""https://docs.google.com/spreadsheets/d/1-uDff_7J0KD5mKrp0Vvzr7lt3OU09vwQwhkpOPPYv2Y/edit?usp=sharing"",""งบพรบ!HV97"")"),0)</f>
        <v>0</v>
      </c>
      <c r="F97" s="74">
        <f ca="1">IFERROR(__xludf.DUMMYFUNCTION("IMPORTRANGE(""https://docs.google.com/spreadsheets/d/1-uDff_7J0KD5mKrp0Vvzr7lt3OU09vwQwhkpOPPYv2Y/edit?usp=sharing"",""งบพรบ!HW97"")"),0)</f>
        <v>0</v>
      </c>
      <c r="G97" s="74">
        <f ca="1">IFERROR(__xludf.DUMMYFUNCTION("IMPORTRANGE(""https://docs.google.com/spreadsheets/d/1-uDff_7J0KD5mKrp0Vvzr7lt3OU09vwQwhkpOPPYv2Y/edit?usp=sharing"",""งบพรบ!HX97"")"),0)</f>
        <v>0</v>
      </c>
      <c r="H97" s="74">
        <f ca="1">IFERROR(__xludf.DUMMYFUNCTION("IMPORTRANGE(""https://docs.google.com/spreadsheets/d/1-uDff_7J0KD5mKrp0Vvzr7lt3OU09vwQwhkpOPPYv2Y/edit?usp=sharing"",""งบพรบ!HZ97"")"),0)</f>
        <v>0</v>
      </c>
      <c r="I97" s="74">
        <f ca="1">IFERROR(__xludf.DUMMYFUNCTION("IMPORTRANGE(""https://docs.google.com/spreadsheets/d/1-uDff_7J0KD5mKrp0Vvzr7lt3OU09vwQwhkpOPPYv2Y/edit?usp=sharing"",""งบพรบ!IA97"")"),0)</f>
        <v>0</v>
      </c>
      <c r="J97" s="74">
        <f t="shared" ca="1" si="54"/>
        <v>0</v>
      </c>
      <c r="K97" s="75">
        <f t="shared" ca="1" si="55"/>
        <v>0</v>
      </c>
      <c r="L97" s="74">
        <f ca="1">IFERROR(__xludf.DUMMYFUNCTION("IMPORTRANGE(""https://docs.google.com/spreadsheets/d/1-uDff_7J0KD5mKrp0Vvzr7lt3OU09vwQwhkpOPPYv2Y/edit?usp=sharing"",""งบพรบ!IB97"")"),0)</f>
        <v>0</v>
      </c>
      <c r="M97" s="76">
        <f t="shared" ca="1" si="56"/>
        <v>0</v>
      </c>
      <c r="N97" s="76">
        <f t="shared" ca="1" si="57"/>
        <v>0</v>
      </c>
      <c r="O97" s="452">
        <f ca="1">IFERROR(__xludf.DUMMYFUNCTION("IMPORTRANGE(""https://docs.google.com/spreadsheets/d/1-uDff_7J0KD5mKrp0Vvzr7lt3OU09vwQwhkpOPPYv2Y/edit?usp=sharing"",""งบพรบ!IC97"")"),0)</f>
        <v>0</v>
      </c>
      <c r="P97" s="77">
        <f t="shared" ca="1" si="58"/>
        <v>0</v>
      </c>
      <c r="Q97" s="76">
        <f t="shared" ca="1" si="59"/>
        <v>0</v>
      </c>
      <c r="R97" s="77">
        <v>0</v>
      </c>
      <c r="S97" s="77">
        <v>0</v>
      </c>
      <c r="T97" s="77">
        <v>0</v>
      </c>
      <c r="U97" s="76">
        <f t="shared" si="30"/>
        <v>0</v>
      </c>
      <c r="V97" s="76">
        <f t="shared" si="31"/>
        <v>0</v>
      </c>
      <c r="W97" s="74"/>
      <c r="X97" s="74"/>
      <c r="Y97" s="76"/>
      <c r="Z97" s="74"/>
      <c r="AA97" s="74"/>
      <c r="AB97" s="74"/>
      <c r="AC97" s="74"/>
      <c r="AD97" s="74"/>
      <c r="AE97" s="74"/>
    </row>
    <row r="98" spans="1:31" ht="24" customHeight="1" x14ac:dyDescent="0.3">
      <c r="A98" s="105"/>
      <c r="B98" s="106" t="s">
        <v>126</v>
      </c>
      <c r="C98" s="173">
        <f t="shared" ca="1" si="52"/>
        <v>0</v>
      </c>
      <c r="D98" s="174">
        <f t="shared" ca="1" si="53"/>
        <v>0</v>
      </c>
      <c r="E98" s="74">
        <f ca="1">IFERROR(__xludf.DUMMYFUNCTION("IMPORTRANGE(""https://docs.google.com/spreadsheets/d/1-uDff_7J0KD5mKrp0Vvzr7lt3OU09vwQwhkpOPPYv2Y/edit?usp=sharing"",""งบพรบ!HV98"")"),0)</f>
        <v>0</v>
      </c>
      <c r="F98" s="74">
        <f ca="1">IFERROR(__xludf.DUMMYFUNCTION("IMPORTRANGE(""https://docs.google.com/spreadsheets/d/1-uDff_7J0KD5mKrp0Vvzr7lt3OU09vwQwhkpOPPYv2Y/edit?usp=sharing"",""งบพรบ!HW98"")"),0)</f>
        <v>0</v>
      </c>
      <c r="G98" s="74">
        <f ca="1">IFERROR(__xludf.DUMMYFUNCTION("IMPORTRANGE(""https://docs.google.com/spreadsheets/d/1-uDff_7J0KD5mKrp0Vvzr7lt3OU09vwQwhkpOPPYv2Y/edit?usp=sharing"",""งบพรบ!HX98"")"),0)</f>
        <v>0</v>
      </c>
      <c r="H98" s="74">
        <f ca="1">IFERROR(__xludf.DUMMYFUNCTION("IMPORTRANGE(""https://docs.google.com/spreadsheets/d/1-uDff_7J0KD5mKrp0Vvzr7lt3OU09vwQwhkpOPPYv2Y/edit?usp=sharing"",""งบพรบ!HZ98"")"),0)</f>
        <v>0</v>
      </c>
      <c r="I98" s="74">
        <f ca="1">IFERROR(__xludf.DUMMYFUNCTION("IMPORTRANGE(""https://docs.google.com/spreadsheets/d/1-uDff_7J0KD5mKrp0Vvzr7lt3OU09vwQwhkpOPPYv2Y/edit?usp=sharing"",""งบพรบ!IA98"")"),0)</f>
        <v>0</v>
      </c>
      <c r="J98" s="74">
        <f t="shared" ca="1" si="54"/>
        <v>0</v>
      </c>
      <c r="K98" s="75">
        <f t="shared" ca="1" si="55"/>
        <v>0</v>
      </c>
      <c r="L98" s="74">
        <f ca="1">IFERROR(__xludf.DUMMYFUNCTION("IMPORTRANGE(""https://docs.google.com/spreadsheets/d/1-uDff_7J0KD5mKrp0Vvzr7lt3OU09vwQwhkpOPPYv2Y/edit?usp=sharing"",""งบพรบ!IB98"")"),0)</f>
        <v>0</v>
      </c>
      <c r="M98" s="76">
        <f t="shared" ca="1" si="56"/>
        <v>0</v>
      </c>
      <c r="N98" s="76">
        <f t="shared" ca="1" si="57"/>
        <v>0</v>
      </c>
      <c r="O98" s="452">
        <f ca="1">IFERROR(__xludf.DUMMYFUNCTION("IMPORTRANGE(""https://docs.google.com/spreadsheets/d/1-uDff_7J0KD5mKrp0Vvzr7lt3OU09vwQwhkpOPPYv2Y/edit?usp=sharing"",""งบพรบ!IC98"")"),0)</f>
        <v>0</v>
      </c>
      <c r="P98" s="77">
        <f t="shared" ca="1" si="58"/>
        <v>0</v>
      </c>
      <c r="Q98" s="76">
        <f t="shared" ca="1" si="59"/>
        <v>0</v>
      </c>
      <c r="R98" s="77">
        <v>0</v>
      </c>
      <c r="S98" s="77">
        <v>0</v>
      </c>
      <c r="T98" s="77">
        <v>0</v>
      </c>
      <c r="U98" s="76">
        <f t="shared" si="30"/>
        <v>0</v>
      </c>
      <c r="V98" s="76">
        <f t="shared" si="31"/>
        <v>0</v>
      </c>
      <c r="W98" s="74"/>
      <c r="X98" s="74"/>
      <c r="Y98" s="76"/>
      <c r="Z98" s="74"/>
      <c r="AA98" s="74"/>
      <c r="AB98" s="74"/>
      <c r="AC98" s="74"/>
      <c r="AD98" s="74"/>
      <c r="AE98" s="74"/>
    </row>
    <row r="99" spans="1:31" ht="24" customHeight="1" x14ac:dyDescent="0.3">
      <c r="A99" s="105"/>
      <c r="B99" s="106" t="s">
        <v>127</v>
      </c>
      <c r="C99" s="173">
        <f t="shared" ca="1" si="52"/>
        <v>0</v>
      </c>
      <c r="D99" s="174">
        <f t="shared" ca="1" si="53"/>
        <v>0</v>
      </c>
      <c r="E99" s="74">
        <f ca="1">IFERROR(__xludf.DUMMYFUNCTION("IMPORTRANGE(""https://docs.google.com/spreadsheets/d/1-uDff_7J0KD5mKrp0Vvzr7lt3OU09vwQwhkpOPPYv2Y/edit?usp=sharing"",""งบพรบ!HV99"")"),0)</f>
        <v>0</v>
      </c>
      <c r="F99" s="74">
        <f ca="1">IFERROR(__xludf.DUMMYFUNCTION("IMPORTRANGE(""https://docs.google.com/spreadsheets/d/1-uDff_7J0KD5mKrp0Vvzr7lt3OU09vwQwhkpOPPYv2Y/edit?usp=sharing"",""งบพรบ!HW99"")"),0)</f>
        <v>0</v>
      </c>
      <c r="G99" s="74">
        <f ca="1">IFERROR(__xludf.DUMMYFUNCTION("IMPORTRANGE(""https://docs.google.com/spreadsheets/d/1-uDff_7J0KD5mKrp0Vvzr7lt3OU09vwQwhkpOPPYv2Y/edit?usp=sharing"",""งบพรบ!HX99"")"),0)</f>
        <v>0</v>
      </c>
      <c r="H99" s="74">
        <f ca="1">IFERROR(__xludf.DUMMYFUNCTION("IMPORTRANGE(""https://docs.google.com/spreadsheets/d/1-uDff_7J0KD5mKrp0Vvzr7lt3OU09vwQwhkpOPPYv2Y/edit?usp=sharing"",""งบพรบ!HZ99"")"),0)</f>
        <v>0</v>
      </c>
      <c r="I99" s="74">
        <f ca="1">IFERROR(__xludf.DUMMYFUNCTION("IMPORTRANGE(""https://docs.google.com/spreadsheets/d/1-uDff_7J0KD5mKrp0Vvzr7lt3OU09vwQwhkpOPPYv2Y/edit?usp=sharing"",""งบพรบ!IA99"")"),0)</f>
        <v>0</v>
      </c>
      <c r="J99" s="74">
        <f t="shared" ca="1" si="54"/>
        <v>0</v>
      </c>
      <c r="K99" s="75">
        <f t="shared" ca="1" si="55"/>
        <v>0</v>
      </c>
      <c r="L99" s="74">
        <f ca="1">IFERROR(__xludf.DUMMYFUNCTION("IMPORTRANGE(""https://docs.google.com/spreadsheets/d/1-uDff_7J0KD5mKrp0Vvzr7lt3OU09vwQwhkpOPPYv2Y/edit?usp=sharing"",""งบพรบ!IB99"")"),0)</f>
        <v>0</v>
      </c>
      <c r="M99" s="76">
        <f t="shared" ca="1" si="56"/>
        <v>0</v>
      </c>
      <c r="N99" s="76">
        <f t="shared" ca="1" si="57"/>
        <v>0</v>
      </c>
      <c r="O99" s="452">
        <f ca="1">IFERROR(__xludf.DUMMYFUNCTION("IMPORTRANGE(""https://docs.google.com/spreadsheets/d/1-uDff_7J0KD5mKrp0Vvzr7lt3OU09vwQwhkpOPPYv2Y/edit?usp=sharing"",""งบพรบ!IC99"")"),0)</f>
        <v>0</v>
      </c>
      <c r="P99" s="77">
        <f t="shared" ca="1" si="58"/>
        <v>0</v>
      </c>
      <c r="Q99" s="76">
        <f t="shared" ca="1" si="59"/>
        <v>0</v>
      </c>
      <c r="R99" s="77">
        <v>0</v>
      </c>
      <c r="S99" s="77">
        <v>0</v>
      </c>
      <c r="T99" s="77">
        <v>0</v>
      </c>
      <c r="U99" s="76">
        <f t="shared" si="30"/>
        <v>0</v>
      </c>
      <c r="V99" s="76">
        <f t="shared" si="31"/>
        <v>0</v>
      </c>
      <c r="W99" s="74"/>
      <c r="X99" s="74"/>
      <c r="Y99" s="76"/>
      <c r="Z99" s="74"/>
      <c r="AA99" s="74"/>
      <c r="AB99" s="74"/>
      <c r="AC99" s="74"/>
      <c r="AD99" s="74"/>
      <c r="AE99" s="74"/>
    </row>
    <row r="100" spans="1:31" ht="24" customHeight="1" x14ac:dyDescent="0.3">
      <c r="A100" s="105"/>
      <c r="B100" s="106" t="s">
        <v>128</v>
      </c>
      <c r="C100" s="173">
        <f t="shared" ca="1" si="52"/>
        <v>0</v>
      </c>
      <c r="D100" s="174">
        <f t="shared" ca="1" si="53"/>
        <v>0</v>
      </c>
      <c r="E100" s="74">
        <f ca="1">IFERROR(__xludf.DUMMYFUNCTION("IMPORTRANGE(""https://docs.google.com/spreadsheets/d/1-uDff_7J0KD5mKrp0Vvzr7lt3OU09vwQwhkpOPPYv2Y/edit?usp=sharing"",""งบพรบ!HV100"")"),0)</f>
        <v>0</v>
      </c>
      <c r="F100" s="74">
        <f ca="1">IFERROR(__xludf.DUMMYFUNCTION("IMPORTRANGE(""https://docs.google.com/spreadsheets/d/1-uDff_7J0KD5mKrp0Vvzr7lt3OU09vwQwhkpOPPYv2Y/edit?usp=sharing"",""งบพรบ!HW100"")"),0)</f>
        <v>0</v>
      </c>
      <c r="G100" s="74">
        <f ca="1">IFERROR(__xludf.DUMMYFUNCTION("IMPORTRANGE(""https://docs.google.com/spreadsheets/d/1-uDff_7J0KD5mKrp0Vvzr7lt3OU09vwQwhkpOPPYv2Y/edit?usp=sharing"",""งบพรบ!HX100"")"),0)</f>
        <v>0</v>
      </c>
      <c r="H100" s="74">
        <f ca="1">IFERROR(__xludf.DUMMYFUNCTION("IMPORTRANGE(""https://docs.google.com/spreadsheets/d/1-uDff_7J0KD5mKrp0Vvzr7lt3OU09vwQwhkpOPPYv2Y/edit?usp=sharing"",""งบพรบ!HZ100"")"),0)</f>
        <v>0</v>
      </c>
      <c r="I100" s="74">
        <f ca="1">IFERROR(__xludf.DUMMYFUNCTION("IMPORTRANGE(""https://docs.google.com/spreadsheets/d/1-uDff_7J0KD5mKrp0Vvzr7lt3OU09vwQwhkpOPPYv2Y/edit?usp=sharing"",""งบพรบ!IA100"")"),0)</f>
        <v>0</v>
      </c>
      <c r="J100" s="74">
        <f t="shared" ca="1" si="54"/>
        <v>0</v>
      </c>
      <c r="K100" s="75">
        <f t="shared" ca="1" si="55"/>
        <v>0</v>
      </c>
      <c r="L100" s="74">
        <f ca="1">IFERROR(__xludf.DUMMYFUNCTION("IMPORTRANGE(""https://docs.google.com/spreadsheets/d/1-uDff_7J0KD5mKrp0Vvzr7lt3OU09vwQwhkpOPPYv2Y/edit?usp=sharing"",""งบพรบ!IB100"")"),0)</f>
        <v>0</v>
      </c>
      <c r="M100" s="76">
        <f t="shared" ca="1" si="56"/>
        <v>0</v>
      </c>
      <c r="N100" s="76">
        <f t="shared" ca="1" si="57"/>
        <v>0</v>
      </c>
      <c r="O100" s="452">
        <f ca="1">IFERROR(__xludf.DUMMYFUNCTION("IMPORTRANGE(""https://docs.google.com/spreadsheets/d/1-uDff_7J0KD5mKrp0Vvzr7lt3OU09vwQwhkpOPPYv2Y/edit?usp=sharing"",""งบพรบ!IC100"")"),0)</f>
        <v>0</v>
      </c>
      <c r="P100" s="77">
        <f t="shared" ca="1" si="58"/>
        <v>0</v>
      </c>
      <c r="Q100" s="76">
        <f t="shared" ca="1" si="59"/>
        <v>0</v>
      </c>
      <c r="R100" s="77">
        <v>0</v>
      </c>
      <c r="S100" s="77">
        <v>0</v>
      </c>
      <c r="T100" s="77">
        <v>0</v>
      </c>
      <c r="U100" s="76">
        <f t="shared" si="30"/>
        <v>0</v>
      </c>
      <c r="V100" s="76">
        <f t="shared" si="31"/>
        <v>0</v>
      </c>
      <c r="W100" s="74"/>
      <c r="X100" s="74"/>
      <c r="Y100" s="76"/>
      <c r="Z100" s="74"/>
      <c r="AA100" s="74"/>
      <c r="AB100" s="74"/>
      <c r="AC100" s="74"/>
      <c r="AD100" s="74"/>
      <c r="AE100" s="74"/>
    </row>
    <row r="101" spans="1:31" ht="24" customHeight="1" x14ac:dyDescent="0.3">
      <c r="A101" s="105"/>
      <c r="B101" s="106" t="s">
        <v>129</v>
      </c>
      <c r="C101" s="173">
        <f t="shared" ca="1" si="52"/>
        <v>0</v>
      </c>
      <c r="D101" s="174">
        <f t="shared" ca="1" si="53"/>
        <v>0</v>
      </c>
      <c r="E101" s="74">
        <f ca="1">IFERROR(__xludf.DUMMYFUNCTION("IMPORTRANGE(""https://docs.google.com/spreadsheets/d/1-uDff_7J0KD5mKrp0Vvzr7lt3OU09vwQwhkpOPPYv2Y/edit?usp=sharing"",""งบพรบ!HV101"")"),0)</f>
        <v>0</v>
      </c>
      <c r="F101" s="74">
        <f ca="1">IFERROR(__xludf.DUMMYFUNCTION("IMPORTRANGE(""https://docs.google.com/spreadsheets/d/1-uDff_7J0KD5mKrp0Vvzr7lt3OU09vwQwhkpOPPYv2Y/edit?usp=sharing"",""งบพรบ!HW101"")"),0)</f>
        <v>0</v>
      </c>
      <c r="G101" s="74">
        <f ca="1">IFERROR(__xludf.DUMMYFUNCTION("IMPORTRANGE(""https://docs.google.com/spreadsheets/d/1-uDff_7J0KD5mKrp0Vvzr7lt3OU09vwQwhkpOPPYv2Y/edit?usp=sharing"",""งบพรบ!HX101"")"),0)</f>
        <v>0</v>
      </c>
      <c r="H101" s="74">
        <f ca="1">IFERROR(__xludf.DUMMYFUNCTION("IMPORTRANGE(""https://docs.google.com/spreadsheets/d/1-uDff_7J0KD5mKrp0Vvzr7lt3OU09vwQwhkpOPPYv2Y/edit?usp=sharing"",""งบพรบ!HZ101"")"),0)</f>
        <v>0</v>
      </c>
      <c r="I101" s="74">
        <f ca="1">IFERROR(__xludf.DUMMYFUNCTION("IMPORTRANGE(""https://docs.google.com/spreadsheets/d/1-uDff_7J0KD5mKrp0Vvzr7lt3OU09vwQwhkpOPPYv2Y/edit?usp=sharing"",""งบพรบ!IA101"")"),0)</f>
        <v>0</v>
      </c>
      <c r="J101" s="74">
        <f t="shared" ca="1" si="54"/>
        <v>0</v>
      </c>
      <c r="K101" s="75">
        <f t="shared" ca="1" si="55"/>
        <v>0</v>
      </c>
      <c r="L101" s="74">
        <f ca="1">IFERROR(__xludf.DUMMYFUNCTION("IMPORTRANGE(""https://docs.google.com/spreadsheets/d/1-uDff_7J0KD5mKrp0Vvzr7lt3OU09vwQwhkpOPPYv2Y/edit?usp=sharing"",""งบพรบ!IB101"")"),0)</f>
        <v>0</v>
      </c>
      <c r="M101" s="76">
        <f t="shared" ca="1" si="56"/>
        <v>0</v>
      </c>
      <c r="N101" s="76">
        <f t="shared" ca="1" si="57"/>
        <v>0</v>
      </c>
      <c r="O101" s="452">
        <f ca="1">IFERROR(__xludf.DUMMYFUNCTION("IMPORTRANGE(""https://docs.google.com/spreadsheets/d/1-uDff_7J0KD5mKrp0Vvzr7lt3OU09vwQwhkpOPPYv2Y/edit?usp=sharing"",""งบพรบ!IC101"")"),0)</f>
        <v>0</v>
      </c>
      <c r="P101" s="77">
        <f t="shared" ca="1" si="58"/>
        <v>0</v>
      </c>
      <c r="Q101" s="76">
        <f t="shared" ca="1" si="59"/>
        <v>0</v>
      </c>
      <c r="R101" s="77">
        <f ca="1">IFERROR(__xludf.DUMMYFUNCTION("IMPORTRANGE(""https://docs.google.com/spreadsheets/d/1ItG2mGa2ceCfYo0BwxsXqNm01IGEUdYcSSLTEv9YCik/edit?usp=sharing"",""เบิกจ่ายกองทุน!AD92"")"),1411600)</f>
        <v>1411600</v>
      </c>
      <c r="S101" s="77">
        <f ca="1">IFERROR(__xludf.DUMMYFUNCTION("IMPORTRANGE(""https://docs.google.com/spreadsheets/d/1ItG2mGa2ceCfYo0BwxsXqNm01IGEUdYcSSLTEv9YCik/edit?usp=sharing"",""เบิกจ่ายกองทุน!AE92"")"),1334600)</f>
        <v>1334600</v>
      </c>
      <c r="T101" s="77">
        <f ca="1">IFERROR(__xludf.DUMMYFUNCTION("IMPORTRANGE(""https://docs.google.com/spreadsheets/d/1ItG2mGa2ceCfYo0BwxsXqNm01IGEUdYcSSLTEv9YCik/edit?usp=sharing"",""เบิกจ่ายกองทุน!AF92"")"),99572.83)</f>
        <v>99572.83</v>
      </c>
      <c r="U101" s="76">
        <f t="shared" ca="1" si="30"/>
        <v>7.0538984131482003</v>
      </c>
      <c r="V101" s="76">
        <f t="shared" ca="1" si="31"/>
        <v>7.4608744193016632</v>
      </c>
      <c r="W101" s="74"/>
      <c r="X101" s="74"/>
      <c r="Y101" s="76"/>
      <c r="Z101" s="74"/>
      <c r="AA101" s="74"/>
      <c r="AB101" s="74"/>
      <c r="AC101" s="74"/>
      <c r="AD101" s="74"/>
      <c r="AE101" s="74"/>
    </row>
    <row r="102" spans="1:31" ht="24" customHeight="1" x14ac:dyDescent="0.3">
      <c r="A102" s="105"/>
      <c r="B102" s="106" t="s">
        <v>130</v>
      </c>
      <c r="C102" s="173">
        <f t="shared" ca="1" si="52"/>
        <v>0</v>
      </c>
      <c r="D102" s="174">
        <f t="shared" ca="1" si="53"/>
        <v>0</v>
      </c>
      <c r="E102" s="74">
        <f ca="1">IFERROR(__xludf.DUMMYFUNCTION("IMPORTRANGE(""https://docs.google.com/spreadsheets/d/1-uDff_7J0KD5mKrp0Vvzr7lt3OU09vwQwhkpOPPYv2Y/edit?usp=sharing"",""งบพรบ!HV102"")"),0)</f>
        <v>0</v>
      </c>
      <c r="F102" s="74">
        <f ca="1">IFERROR(__xludf.DUMMYFUNCTION("IMPORTRANGE(""https://docs.google.com/spreadsheets/d/1-uDff_7J0KD5mKrp0Vvzr7lt3OU09vwQwhkpOPPYv2Y/edit?usp=sharing"",""งบพรบ!HW102"")"),0)</f>
        <v>0</v>
      </c>
      <c r="G102" s="74">
        <f ca="1">IFERROR(__xludf.DUMMYFUNCTION("IMPORTRANGE(""https://docs.google.com/spreadsheets/d/1-uDff_7J0KD5mKrp0Vvzr7lt3OU09vwQwhkpOPPYv2Y/edit?usp=sharing"",""งบพรบ!HX102"")"),0)</f>
        <v>0</v>
      </c>
      <c r="H102" s="74">
        <f ca="1">IFERROR(__xludf.DUMMYFUNCTION("IMPORTRANGE(""https://docs.google.com/spreadsheets/d/1-uDff_7J0KD5mKrp0Vvzr7lt3OU09vwQwhkpOPPYv2Y/edit?usp=sharing"",""งบพรบ!HZ102"")"),0)</f>
        <v>0</v>
      </c>
      <c r="I102" s="74">
        <f ca="1">IFERROR(__xludf.DUMMYFUNCTION("IMPORTRANGE(""https://docs.google.com/spreadsheets/d/1-uDff_7J0KD5mKrp0Vvzr7lt3OU09vwQwhkpOPPYv2Y/edit?usp=sharing"",""งบพรบ!IA102"")"),0)</f>
        <v>0</v>
      </c>
      <c r="J102" s="74">
        <f t="shared" ca="1" si="54"/>
        <v>0</v>
      </c>
      <c r="K102" s="75">
        <f t="shared" ca="1" si="55"/>
        <v>0</v>
      </c>
      <c r="L102" s="74">
        <f ca="1">IFERROR(__xludf.DUMMYFUNCTION("IMPORTRANGE(""https://docs.google.com/spreadsheets/d/1-uDff_7J0KD5mKrp0Vvzr7lt3OU09vwQwhkpOPPYv2Y/edit?usp=sharing"",""งบพรบ!IB102"")"),0)</f>
        <v>0</v>
      </c>
      <c r="M102" s="76">
        <f t="shared" ca="1" si="56"/>
        <v>0</v>
      </c>
      <c r="N102" s="76">
        <f t="shared" ca="1" si="57"/>
        <v>0</v>
      </c>
      <c r="O102" s="452">
        <f ca="1">IFERROR(__xludf.DUMMYFUNCTION("IMPORTRANGE(""https://docs.google.com/spreadsheets/d/1-uDff_7J0KD5mKrp0Vvzr7lt3OU09vwQwhkpOPPYv2Y/edit?usp=sharing"",""งบพรบ!IC102"")"),0)</f>
        <v>0</v>
      </c>
      <c r="P102" s="77">
        <f t="shared" ca="1" si="58"/>
        <v>0</v>
      </c>
      <c r="Q102" s="76">
        <f t="shared" ca="1" si="59"/>
        <v>0</v>
      </c>
      <c r="R102" s="77">
        <v>0</v>
      </c>
      <c r="S102" s="77">
        <v>0</v>
      </c>
      <c r="T102" s="77">
        <v>0</v>
      </c>
      <c r="U102" s="76">
        <f t="shared" si="30"/>
        <v>0</v>
      </c>
      <c r="V102" s="76">
        <f t="shared" si="31"/>
        <v>0</v>
      </c>
      <c r="W102" s="74"/>
      <c r="X102" s="74"/>
      <c r="Y102" s="76"/>
      <c r="Z102" s="74"/>
      <c r="AA102" s="74"/>
      <c r="AB102" s="74"/>
      <c r="AC102" s="74"/>
      <c r="AD102" s="74"/>
      <c r="AE102" s="74"/>
    </row>
    <row r="103" spans="1:31" ht="24" customHeight="1" x14ac:dyDescent="0.3">
      <c r="A103" s="105"/>
      <c r="B103" s="106" t="s">
        <v>131</v>
      </c>
      <c r="C103" s="173">
        <f t="shared" ca="1" si="52"/>
        <v>0</v>
      </c>
      <c r="D103" s="174">
        <f t="shared" ca="1" si="53"/>
        <v>0</v>
      </c>
      <c r="E103" s="74">
        <f ca="1">IFERROR(__xludf.DUMMYFUNCTION("IMPORTRANGE(""https://docs.google.com/spreadsheets/d/1-uDff_7J0KD5mKrp0Vvzr7lt3OU09vwQwhkpOPPYv2Y/edit?usp=sharing"",""งบพรบ!HV103"")"),0)</f>
        <v>0</v>
      </c>
      <c r="F103" s="74">
        <f ca="1">IFERROR(__xludf.DUMMYFUNCTION("IMPORTRANGE(""https://docs.google.com/spreadsheets/d/1-uDff_7J0KD5mKrp0Vvzr7lt3OU09vwQwhkpOPPYv2Y/edit?usp=sharing"",""งบพรบ!HW103"")"),0)</f>
        <v>0</v>
      </c>
      <c r="G103" s="74">
        <f ca="1">IFERROR(__xludf.DUMMYFUNCTION("IMPORTRANGE(""https://docs.google.com/spreadsheets/d/1-uDff_7J0KD5mKrp0Vvzr7lt3OU09vwQwhkpOPPYv2Y/edit?usp=sharing"",""งบพรบ!HX103"")"),0)</f>
        <v>0</v>
      </c>
      <c r="H103" s="74">
        <f ca="1">IFERROR(__xludf.DUMMYFUNCTION("IMPORTRANGE(""https://docs.google.com/spreadsheets/d/1-uDff_7J0KD5mKrp0Vvzr7lt3OU09vwQwhkpOPPYv2Y/edit?usp=sharing"",""งบพรบ!HZ103"")"),0)</f>
        <v>0</v>
      </c>
      <c r="I103" s="74">
        <f ca="1">IFERROR(__xludf.DUMMYFUNCTION("IMPORTRANGE(""https://docs.google.com/spreadsheets/d/1-uDff_7J0KD5mKrp0Vvzr7lt3OU09vwQwhkpOPPYv2Y/edit?usp=sharing"",""งบพรบ!IA103"")"),0)</f>
        <v>0</v>
      </c>
      <c r="J103" s="74">
        <f t="shared" ca="1" si="54"/>
        <v>0</v>
      </c>
      <c r="K103" s="75">
        <f t="shared" ca="1" si="55"/>
        <v>0</v>
      </c>
      <c r="L103" s="74">
        <f ca="1">IFERROR(__xludf.DUMMYFUNCTION("IMPORTRANGE(""https://docs.google.com/spreadsheets/d/1-uDff_7J0KD5mKrp0Vvzr7lt3OU09vwQwhkpOPPYv2Y/edit?usp=sharing"",""งบพรบ!IB103"")"),0)</f>
        <v>0</v>
      </c>
      <c r="M103" s="76">
        <f t="shared" ca="1" si="56"/>
        <v>0</v>
      </c>
      <c r="N103" s="76">
        <f t="shared" ca="1" si="57"/>
        <v>0</v>
      </c>
      <c r="O103" s="452">
        <f ca="1">IFERROR(__xludf.DUMMYFUNCTION("IMPORTRANGE(""https://docs.google.com/spreadsheets/d/1-uDff_7J0KD5mKrp0Vvzr7lt3OU09vwQwhkpOPPYv2Y/edit?usp=sharing"",""งบพรบ!IC103"")"),0)</f>
        <v>0</v>
      </c>
      <c r="P103" s="77">
        <f t="shared" ca="1" si="58"/>
        <v>0</v>
      </c>
      <c r="Q103" s="76">
        <f t="shared" ca="1" si="59"/>
        <v>0</v>
      </c>
      <c r="R103" s="107">
        <v>0</v>
      </c>
      <c r="S103" s="107">
        <v>0</v>
      </c>
      <c r="T103" s="107">
        <v>0</v>
      </c>
      <c r="U103" s="108">
        <f t="shared" si="30"/>
        <v>0</v>
      </c>
      <c r="V103" s="108">
        <f t="shared" si="31"/>
        <v>0</v>
      </c>
      <c r="W103" s="203"/>
      <c r="X103" s="203"/>
      <c r="Y103" s="108"/>
      <c r="Z103" s="203"/>
      <c r="AA103" s="203"/>
      <c r="AB103" s="203"/>
      <c r="AC103" s="203"/>
      <c r="AD103" s="203"/>
      <c r="AE103" s="203"/>
    </row>
    <row r="104" spans="1:31" ht="21" customHeight="1" x14ac:dyDescent="0.3">
      <c r="A104" s="105"/>
      <c r="B104" s="106" t="s">
        <v>132</v>
      </c>
      <c r="C104" s="173">
        <f t="shared" ca="1" si="52"/>
        <v>273100</v>
      </c>
      <c r="D104" s="174">
        <f t="shared" ca="1" si="53"/>
        <v>273100</v>
      </c>
      <c r="E104" s="74">
        <f ca="1">IFERROR(__xludf.DUMMYFUNCTION("IMPORTRANGE(""https://docs.google.com/spreadsheets/d/1-uDff_7J0KD5mKrp0Vvzr7lt3OU09vwQwhkpOPPYv2Y/edit?usp=sharing"",""งบพรบ!HV104"")"),273100)</f>
        <v>273100</v>
      </c>
      <c r="F104" s="74">
        <f ca="1">IFERROR(__xludf.DUMMYFUNCTION("IMPORTRANGE(""https://docs.google.com/spreadsheets/d/1-uDff_7J0KD5mKrp0Vvzr7lt3OU09vwQwhkpOPPYv2Y/edit?usp=sharing"",""งบพรบ!HW104"")"),0)</f>
        <v>0</v>
      </c>
      <c r="G104" s="74">
        <f ca="1">IFERROR(__xludf.DUMMYFUNCTION("IMPORTRANGE(""https://docs.google.com/spreadsheets/d/1-uDff_7J0KD5mKrp0Vvzr7lt3OU09vwQwhkpOPPYv2Y/edit?usp=sharing"",""งบพรบ!HX104"")"),0)</f>
        <v>0</v>
      </c>
      <c r="H104" s="74">
        <f ca="1">IFERROR(__xludf.DUMMYFUNCTION("IMPORTRANGE(""https://docs.google.com/spreadsheets/d/1-uDff_7J0KD5mKrp0Vvzr7lt3OU09vwQwhkpOPPYv2Y/edit?usp=sharing"",""งบพรบ!HZ104"")"),0)</f>
        <v>0</v>
      </c>
      <c r="I104" s="74">
        <f ca="1">IFERROR(__xludf.DUMMYFUNCTION("IMPORTRANGE(""https://docs.google.com/spreadsheets/d/1-uDff_7J0KD5mKrp0Vvzr7lt3OU09vwQwhkpOPPYv2Y/edit?usp=sharing"",""งบพรบ!IA104"")"),0)</f>
        <v>0</v>
      </c>
      <c r="J104" s="74">
        <f t="shared" ca="1" si="54"/>
        <v>0</v>
      </c>
      <c r="K104" s="75">
        <f t="shared" ca="1" si="55"/>
        <v>0</v>
      </c>
      <c r="L104" s="74">
        <f ca="1">IFERROR(__xludf.DUMMYFUNCTION("IMPORTRANGE(""https://docs.google.com/spreadsheets/d/1-uDff_7J0KD5mKrp0Vvzr7lt3OU09vwQwhkpOPPYv2Y/edit?usp=sharing"",""งบพรบ!IB104"")"),0)</f>
        <v>0</v>
      </c>
      <c r="M104" s="76">
        <f t="shared" ca="1" si="56"/>
        <v>0</v>
      </c>
      <c r="N104" s="76">
        <f t="shared" ca="1" si="57"/>
        <v>0</v>
      </c>
      <c r="O104" s="452">
        <f ca="1">IFERROR(__xludf.DUMMYFUNCTION("IMPORTRANGE(""https://docs.google.com/spreadsheets/d/1-uDff_7J0KD5mKrp0Vvzr7lt3OU09vwQwhkpOPPYv2Y/edit?usp=sharing"",""งบพรบ!IC104"")"),0)</f>
        <v>0</v>
      </c>
      <c r="P104" s="77">
        <f t="shared" ca="1" si="58"/>
        <v>0</v>
      </c>
      <c r="Q104" s="76">
        <f t="shared" ca="1" si="59"/>
        <v>0</v>
      </c>
      <c r="R104" s="77">
        <v>0</v>
      </c>
      <c r="S104" s="77">
        <v>0</v>
      </c>
      <c r="T104" s="77">
        <v>0</v>
      </c>
      <c r="U104" s="76">
        <f t="shared" si="30"/>
        <v>0</v>
      </c>
      <c r="V104" s="76">
        <f t="shared" si="31"/>
        <v>0</v>
      </c>
      <c r="W104" s="287"/>
      <c r="X104" s="287"/>
      <c r="Y104" s="287"/>
      <c r="Z104" s="287"/>
      <c r="AA104" s="287"/>
      <c r="AB104" s="287"/>
      <c r="AC104" s="287"/>
      <c r="AD104" s="287"/>
      <c r="AE104" s="287"/>
    </row>
    <row r="105" spans="1:31" ht="24" customHeight="1" x14ac:dyDescent="0.3">
      <c r="A105" s="105"/>
      <c r="B105" s="109" t="s">
        <v>133</v>
      </c>
      <c r="C105" s="173">
        <f t="shared" ca="1" si="52"/>
        <v>0</v>
      </c>
      <c r="D105" s="174">
        <f t="shared" ca="1" si="53"/>
        <v>0</v>
      </c>
      <c r="E105" s="74">
        <f ca="1">IFERROR(__xludf.DUMMYFUNCTION("IMPORTRANGE(""https://docs.google.com/spreadsheets/d/1-uDff_7J0KD5mKrp0Vvzr7lt3OU09vwQwhkpOPPYv2Y/edit?usp=sharing"",""งบพรบ!HV105"")"),0)</f>
        <v>0</v>
      </c>
      <c r="F105" s="74">
        <f ca="1">IFERROR(__xludf.DUMMYFUNCTION("IMPORTRANGE(""https://docs.google.com/spreadsheets/d/1-uDff_7J0KD5mKrp0Vvzr7lt3OU09vwQwhkpOPPYv2Y/edit?usp=sharing"",""งบพรบ!HW105"")"),0)</f>
        <v>0</v>
      </c>
      <c r="G105" s="74">
        <f ca="1">IFERROR(__xludf.DUMMYFUNCTION("IMPORTRANGE(""https://docs.google.com/spreadsheets/d/1-uDff_7J0KD5mKrp0Vvzr7lt3OU09vwQwhkpOPPYv2Y/edit?usp=sharing"",""งบพรบ!HX105"")"),0)</f>
        <v>0</v>
      </c>
      <c r="H105" s="74">
        <f ca="1">IFERROR(__xludf.DUMMYFUNCTION("IMPORTRANGE(""https://docs.google.com/spreadsheets/d/1-uDff_7J0KD5mKrp0Vvzr7lt3OU09vwQwhkpOPPYv2Y/edit?usp=sharing"",""งบพรบ!HZ105"")"),0)</f>
        <v>0</v>
      </c>
      <c r="I105" s="74">
        <f ca="1">IFERROR(__xludf.DUMMYFUNCTION("IMPORTRANGE(""https://docs.google.com/spreadsheets/d/1-uDff_7J0KD5mKrp0Vvzr7lt3OU09vwQwhkpOPPYv2Y/edit?usp=sharing"",""งบพรบ!IA105"")"),0)</f>
        <v>0</v>
      </c>
      <c r="J105" s="74">
        <f t="shared" ca="1" si="54"/>
        <v>0</v>
      </c>
      <c r="K105" s="75">
        <f t="shared" ca="1" si="55"/>
        <v>0</v>
      </c>
      <c r="L105" s="74">
        <f ca="1">IFERROR(__xludf.DUMMYFUNCTION("IMPORTRANGE(""https://docs.google.com/spreadsheets/d/1-uDff_7J0KD5mKrp0Vvzr7lt3OU09vwQwhkpOPPYv2Y/edit?usp=sharing"",""งบพรบ!IB105"")"),0)</f>
        <v>0</v>
      </c>
      <c r="M105" s="76">
        <f t="shared" ca="1" si="56"/>
        <v>0</v>
      </c>
      <c r="N105" s="76">
        <f t="shared" ca="1" si="57"/>
        <v>0</v>
      </c>
      <c r="O105" s="452">
        <f ca="1">IFERROR(__xludf.DUMMYFUNCTION("IMPORTRANGE(""https://docs.google.com/spreadsheets/d/1-uDff_7J0KD5mKrp0Vvzr7lt3OU09vwQwhkpOPPYv2Y/edit?usp=sharing"",""งบพรบ!IC105"")"),0)</f>
        <v>0</v>
      </c>
      <c r="P105" s="77">
        <f t="shared" ca="1" si="58"/>
        <v>0</v>
      </c>
      <c r="Q105" s="76">
        <f t="shared" ca="1" si="59"/>
        <v>0</v>
      </c>
      <c r="R105" s="110">
        <v>0</v>
      </c>
      <c r="S105" s="110">
        <v>0</v>
      </c>
      <c r="T105" s="110">
        <v>0</v>
      </c>
      <c r="U105" s="111">
        <f t="shared" si="30"/>
        <v>0</v>
      </c>
      <c r="V105" s="111">
        <f t="shared" si="31"/>
        <v>0</v>
      </c>
      <c r="W105" s="100"/>
      <c r="X105" s="100"/>
      <c r="Y105" s="100"/>
      <c r="Z105" s="100"/>
      <c r="AA105" s="100"/>
      <c r="AB105" s="100"/>
      <c r="AC105" s="100"/>
      <c r="AD105" s="100"/>
      <c r="AE105" s="100"/>
    </row>
    <row r="106" spans="1:31" ht="24" customHeight="1" x14ac:dyDescent="0.3">
      <c r="A106" s="105"/>
      <c r="B106" s="109" t="s">
        <v>134</v>
      </c>
      <c r="C106" s="173">
        <f t="shared" ca="1" si="52"/>
        <v>0</v>
      </c>
      <c r="D106" s="174">
        <f t="shared" ca="1" si="53"/>
        <v>0</v>
      </c>
      <c r="E106" s="74">
        <f ca="1">IFERROR(__xludf.DUMMYFUNCTION("IMPORTRANGE(""https://docs.google.com/spreadsheets/d/1-uDff_7J0KD5mKrp0Vvzr7lt3OU09vwQwhkpOPPYv2Y/edit?usp=sharing"",""งบพรบ!HV106"")"),0)</f>
        <v>0</v>
      </c>
      <c r="F106" s="74">
        <f ca="1">IFERROR(__xludf.DUMMYFUNCTION("IMPORTRANGE(""https://docs.google.com/spreadsheets/d/1-uDff_7J0KD5mKrp0Vvzr7lt3OU09vwQwhkpOPPYv2Y/edit?usp=sharing"",""งบพรบ!HW106"")"),0)</f>
        <v>0</v>
      </c>
      <c r="G106" s="74">
        <f ca="1">IFERROR(__xludf.DUMMYFUNCTION("IMPORTRANGE(""https://docs.google.com/spreadsheets/d/1-uDff_7J0KD5mKrp0Vvzr7lt3OU09vwQwhkpOPPYv2Y/edit?usp=sharing"",""งบพรบ!HX106"")"),0)</f>
        <v>0</v>
      </c>
      <c r="H106" s="74">
        <f ca="1">IFERROR(__xludf.DUMMYFUNCTION("IMPORTRANGE(""https://docs.google.com/spreadsheets/d/1-uDff_7J0KD5mKrp0Vvzr7lt3OU09vwQwhkpOPPYv2Y/edit?usp=sharing"",""งบพรบ!HZ106"")"),0)</f>
        <v>0</v>
      </c>
      <c r="I106" s="74">
        <f ca="1">IFERROR(__xludf.DUMMYFUNCTION("IMPORTRANGE(""https://docs.google.com/spreadsheets/d/1-uDff_7J0KD5mKrp0Vvzr7lt3OU09vwQwhkpOPPYv2Y/edit?usp=sharing"",""งบพรบ!IA106"")"),0)</f>
        <v>0</v>
      </c>
      <c r="J106" s="74">
        <f t="shared" ca="1" si="54"/>
        <v>0</v>
      </c>
      <c r="K106" s="75">
        <f t="shared" ca="1" si="55"/>
        <v>0</v>
      </c>
      <c r="L106" s="74">
        <f ca="1">IFERROR(__xludf.DUMMYFUNCTION("IMPORTRANGE(""https://docs.google.com/spreadsheets/d/1-uDff_7J0KD5mKrp0Vvzr7lt3OU09vwQwhkpOPPYv2Y/edit?usp=sharing"",""งบพรบ!IB106"")"),0)</f>
        <v>0</v>
      </c>
      <c r="M106" s="76">
        <f t="shared" ca="1" si="56"/>
        <v>0</v>
      </c>
      <c r="N106" s="76">
        <f t="shared" ca="1" si="57"/>
        <v>0</v>
      </c>
      <c r="O106" s="452">
        <f ca="1">IFERROR(__xludf.DUMMYFUNCTION("IMPORTRANGE(""https://docs.google.com/spreadsheets/d/1-uDff_7J0KD5mKrp0Vvzr7lt3OU09vwQwhkpOPPYv2Y/edit?usp=sharing"",""งบพรบ!IC106"")"),0)</f>
        <v>0</v>
      </c>
      <c r="P106" s="77">
        <f t="shared" ca="1" si="58"/>
        <v>0</v>
      </c>
      <c r="Q106" s="76">
        <f t="shared" ca="1" si="59"/>
        <v>0</v>
      </c>
      <c r="R106" s="77">
        <v>0</v>
      </c>
      <c r="S106" s="77">
        <v>0</v>
      </c>
      <c r="T106" s="77">
        <v>0</v>
      </c>
      <c r="U106" s="76">
        <f t="shared" si="30"/>
        <v>0</v>
      </c>
      <c r="V106" s="76">
        <f t="shared" si="31"/>
        <v>0</v>
      </c>
      <c r="W106" s="74"/>
      <c r="X106" s="74"/>
      <c r="Y106" s="74"/>
      <c r="Z106" s="74"/>
      <c r="AA106" s="74"/>
      <c r="AB106" s="74"/>
      <c r="AC106" s="74"/>
      <c r="AD106" s="74"/>
      <c r="AE106" s="74"/>
    </row>
    <row r="107" spans="1:31" ht="24" customHeight="1" x14ac:dyDescent="0.3">
      <c r="A107" s="105"/>
      <c r="B107" s="109" t="s">
        <v>26</v>
      </c>
      <c r="C107" s="173">
        <f t="shared" ca="1" si="52"/>
        <v>0</v>
      </c>
      <c r="D107" s="174">
        <f t="shared" ca="1" si="53"/>
        <v>0</v>
      </c>
      <c r="E107" s="74">
        <f ca="1">IFERROR(__xludf.DUMMYFUNCTION("IMPORTRANGE(""https://docs.google.com/spreadsheets/d/1-uDff_7J0KD5mKrp0Vvzr7lt3OU09vwQwhkpOPPYv2Y/edit?usp=sharing"",""งบพรบ!HV107"")"),0)</f>
        <v>0</v>
      </c>
      <c r="F107" s="74">
        <f ca="1">IFERROR(__xludf.DUMMYFUNCTION("IMPORTRANGE(""https://docs.google.com/spreadsheets/d/1-uDff_7J0KD5mKrp0Vvzr7lt3OU09vwQwhkpOPPYv2Y/edit?usp=sharing"",""งบพรบ!HW107"")"),0)</f>
        <v>0</v>
      </c>
      <c r="G107" s="74">
        <f ca="1">IFERROR(__xludf.DUMMYFUNCTION("IMPORTRANGE(""https://docs.google.com/spreadsheets/d/1-uDff_7J0KD5mKrp0Vvzr7lt3OU09vwQwhkpOPPYv2Y/edit?usp=sharing"",""งบพรบ!HX107"")"),0)</f>
        <v>0</v>
      </c>
      <c r="H107" s="74">
        <f ca="1">IFERROR(__xludf.DUMMYFUNCTION("IMPORTRANGE(""https://docs.google.com/spreadsheets/d/1-uDff_7J0KD5mKrp0Vvzr7lt3OU09vwQwhkpOPPYv2Y/edit?usp=sharing"",""งบพรบ!HZ107"")"),0)</f>
        <v>0</v>
      </c>
      <c r="I107" s="74">
        <f ca="1">IFERROR(__xludf.DUMMYFUNCTION("IMPORTRANGE(""https://docs.google.com/spreadsheets/d/1-uDff_7J0KD5mKrp0Vvzr7lt3OU09vwQwhkpOPPYv2Y/edit?usp=sharing"",""งบพรบ!IA107"")"),0)</f>
        <v>0</v>
      </c>
      <c r="J107" s="74">
        <f t="shared" ca="1" si="54"/>
        <v>0</v>
      </c>
      <c r="K107" s="75">
        <f t="shared" ca="1" si="55"/>
        <v>0</v>
      </c>
      <c r="L107" s="74">
        <f ca="1">IFERROR(__xludf.DUMMYFUNCTION("IMPORTRANGE(""https://docs.google.com/spreadsheets/d/1-uDff_7J0KD5mKrp0Vvzr7lt3OU09vwQwhkpOPPYv2Y/edit?usp=sharing"",""งบพรบ!IB107"")"),0)</f>
        <v>0</v>
      </c>
      <c r="M107" s="76">
        <f t="shared" ca="1" si="56"/>
        <v>0</v>
      </c>
      <c r="N107" s="76">
        <f t="shared" ca="1" si="57"/>
        <v>0</v>
      </c>
      <c r="O107" s="452">
        <f ca="1">IFERROR(__xludf.DUMMYFUNCTION("IMPORTRANGE(""https://docs.google.com/spreadsheets/d/1-uDff_7J0KD5mKrp0Vvzr7lt3OU09vwQwhkpOPPYv2Y/edit?usp=sharing"",""งบพรบ!IC107"")"),0)</f>
        <v>0</v>
      </c>
      <c r="P107" s="77">
        <f t="shared" ca="1" si="58"/>
        <v>0</v>
      </c>
      <c r="Q107" s="76">
        <f t="shared" ca="1" si="59"/>
        <v>0</v>
      </c>
      <c r="R107" s="77">
        <v>0</v>
      </c>
      <c r="S107" s="77">
        <v>0</v>
      </c>
      <c r="T107" s="77">
        <v>0</v>
      </c>
      <c r="U107" s="76">
        <f t="shared" si="30"/>
        <v>0</v>
      </c>
      <c r="V107" s="76">
        <f t="shared" si="31"/>
        <v>0</v>
      </c>
      <c r="W107" s="74"/>
      <c r="X107" s="74"/>
      <c r="Y107" s="74"/>
      <c r="Z107" s="74"/>
      <c r="AA107" s="74"/>
      <c r="AB107" s="74"/>
      <c r="AC107" s="74"/>
      <c r="AD107" s="74"/>
      <c r="AE107" s="74"/>
    </row>
    <row r="108" spans="1:31" ht="24" customHeight="1" x14ac:dyDescent="0.3">
      <c r="A108" s="112"/>
      <c r="B108" s="113" t="s">
        <v>135</v>
      </c>
      <c r="C108" s="193">
        <f t="shared" ca="1" si="52"/>
        <v>0</v>
      </c>
      <c r="D108" s="194">
        <f t="shared" ca="1" si="53"/>
        <v>0</v>
      </c>
      <c r="E108" s="84">
        <f ca="1">IFERROR(__xludf.DUMMYFUNCTION("IMPORTRANGE(""https://docs.google.com/spreadsheets/d/1-uDff_7J0KD5mKrp0Vvzr7lt3OU09vwQwhkpOPPYv2Y/edit?usp=sharing"",""งบพรบ!HV108"")"),0)</f>
        <v>0</v>
      </c>
      <c r="F108" s="84">
        <f ca="1">IFERROR(__xludf.DUMMYFUNCTION("IMPORTRANGE(""https://docs.google.com/spreadsheets/d/1-uDff_7J0KD5mKrp0Vvzr7lt3OU09vwQwhkpOPPYv2Y/edit?usp=sharing"",""งบพรบ!HW108"")"),0)</f>
        <v>0</v>
      </c>
      <c r="G108" s="84">
        <f ca="1">IFERROR(__xludf.DUMMYFUNCTION("IMPORTRANGE(""https://docs.google.com/spreadsheets/d/1-uDff_7J0KD5mKrp0Vvzr7lt3OU09vwQwhkpOPPYv2Y/edit?usp=sharing"",""งบพรบ!HX108"")"),0)</f>
        <v>0</v>
      </c>
      <c r="H108" s="84">
        <f ca="1">IFERROR(__xludf.DUMMYFUNCTION("IMPORTRANGE(""https://docs.google.com/spreadsheets/d/1-uDff_7J0KD5mKrp0Vvzr7lt3OU09vwQwhkpOPPYv2Y/edit?usp=sharing"",""งบพรบ!HZ108"")"),0)</f>
        <v>0</v>
      </c>
      <c r="I108" s="84">
        <f ca="1">IFERROR(__xludf.DUMMYFUNCTION("IMPORTRANGE(""https://docs.google.com/spreadsheets/d/1-uDff_7J0KD5mKrp0Vvzr7lt3OU09vwQwhkpOPPYv2Y/edit?usp=sharing"",""งบพรบ!IA108"")"),0)</f>
        <v>0</v>
      </c>
      <c r="J108" s="84">
        <f t="shared" ca="1" si="54"/>
        <v>0</v>
      </c>
      <c r="K108" s="85">
        <f t="shared" ca="1" si="55"/>
        <v>0</v>
      </c>
      <c r="L108" s="84">
        <f ca="1">IFERROR(__xludf.DUMMYFUNCTION("IMPORTRANGE(""https://docs.google.com/spreadsheets/d/1-uDff_7J0KD5mKrp0Vvzr7lt3OU09vwQwhkpOPPYv2Y/edit?usp=sharing"",""งบพรบ!IB108"")"),0)</f>
        <v>0</v>
      </c>
      <c r="M108" s="86">
        <f t="shared" ca="1" si="56"/>
        <v>0</v>
      </c>
      <c r="N108" s="86">
        <f t="shared" ca="1" si="57"/>
        <v>0</v>
      </c>
      <c r="O108" s="453">
        <f ca="1">IFERROR(__xludf.DUMMYFUNCTION("IMPORTRANGE(""https://docs.google.com/spreadsheets/d/1-uDff_7J0KD5mKrp0Vvzr7lt3OU09vwQwhkpOPPYv2Y/edit?usp=sharing"",""งบพรบ!IC108"")"),0)</f>
        <v>0</v>
      </c>
      <c r="P108" s="87">
        <f t="shared" ca="1" si="58"/>
        <v>0</v>
      </c>
      <c r="Q108" s="86">
        <f t="shared" ca="1" si="59"/>
        <v>0</v>
      </c>
      <c r="R108" s="87">
        <v>0</v>
      </c>
      <c r="S108" s="87">
        <v>0</v>
      </c>
      <c r="T108" s="87">
        <v>0</v>
      </c>
      <c r="U108" s="86">
        <f t="shared" si="30"/>
        <v>0</v>
      </c>
      <c r="V108" s="86">
        <f t="shared" si="31"/>
        <v>0</v>
      </c>
      <c r="W108" s="84"/>
      <c r="X108" s="84"/>
      <c r="Y108" s="84"/>
      <c r="Z108" s="84"/>
      <c r="AA108" s="84"/>
      <c r="AB108" s="84"/>
      <c r="AC108" s="84"/>
      <c r="AD108" s="84"/>
      <c r="AE108" s="84"/>
    </row>
  </sheetData>
  <mergeCells count="38">
    <mergeCell ref="A13:B13"/>
    <mergeCell ref="A31:B31"/>
    <mergeCell ref="A52:B52"/>
    <mergeCell ref="A74:B74"/>
    <mergeCell ref="A89:B89"/>
    <mergeCell ref="AB4:AB5"/>
    <mergeCell ref="AC4:AC5"/>
    <mergeCell ref="AD4:AD5"/>
    <mergeCell ref="A2:B6"/>
    <mergeCell ref="A7:B7"/>
    <mergeCell ref="C5:C6"/>
    <mergeCell ref="D5:D6"/>
    <mergeCell ref="E5:E6"/>
    <mergeCell ref="F5:F6"/>
    <mergeCell ref="G5:G6"/>
    <mergeCell ref="H5:H6"/>
    <mergeCell ref="I5:I6"/>
    <mergeCell ref="W2:AE2"/>
    <mergeCell ref="C3:Q3"/>
    <mergeCell ref="R3:V3"/>
    <mergeCell ref="W3:AE3"/>
    <mergeCell ref="C4:G4"/>
    <mergeCell ref="AE4:AE5"/>
    <mergeCell ref="O5:Q5"/>
    <mergeCell ref="R4:R6"/>
    <mergeCell ref="S4:S6"/>
    <mergeCell ref="T4:T6"/>
    <mergeCell ref="U4:U6"/>
    <mergeCell ref="V4:V6"/>
    <mergeCell ref="W4:W5"/>
    <mergeCell ref="X4:Y5"/>
    <mergeCell ref="Z4:Z5"/>
    <mergeCell ref="AA4:AA5"/>
    <mergeCell ref="H4:I4"/>
    <mergeCell ref="J4:Q4"/>
    <mergeCell ref="J5:K5"/>
    <mergeCell ref="L5:N5"/>
    <mergeCell ref="C2:V2"/>
  </mergeCells>
  <conditionalFormatting sqref="K14:K30 K32:K51 K53:K73 K75:K88 K90:K108">
    <cfRule type="colorScale" priority="2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U14:U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Y14:Y30 Y32:Y51 Y53:Y73 Y75:Y88">
    <cfRule type="colorScale" priority="3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FF00"/>
    <outlinePr summaryBelow="0" summaryRight="0"/>
  </sheetPr>
  <dimension ref="A1:U108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C14" sqref="C14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5.140625" customWidth="1"/>
    <col min="7" max="9" width="15.140625" customWidth="1"/>
    <col min="10" max="10" width="16.5703125" customWidth="1"/>
    <col min="15" max="15" width="15.42578125" customWidth="1"/>
    <col min="18" max="20" width="17.5703125" customWidth="1"/>
  </cols>
  <sheetData>
    <row r="1" spans="1:21" ht="19.5" x14ac:dyDescent="0.3">
      <c r="A1" s="234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8"/>
      <c r="S1" s="118"/>
      <c r="T1" s="339"/>
    </row>
    <row r="2" spans="1:21" ht="30" customHeight="1" x14ac:dyDescent="0.2">
      <c r="A2" s="692" t="s">
        <v>1</v>
      </c>
      <c r="B2" s="658"/>
      <c r="C2" s="689" t="s">
        <v>301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7"/>
      <c r="R2" s="689" t="s">
        <v>29</v>
      </c>
      <c r="S2" s="646"/>
      <c r="T2" s="647"/>
      <c r="U2" s="594"/>
    </row>
    <row r="3" spans="1:21" ht="30" customHeight="1" x14ac:dyDescent="0.2">
      <c r="A3" s="659"/>
      <c r="B3" s="660"/>
      <c r="C3" s="717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87" t="s">
        <v>302</v>
      </c>
      <c r="S3" s="674"/>
      <c r="T3" s="658"/>
      <c r="U3" s="594"/>
    </row>
    <row r="4" spans="1:21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661"/>
      <c r="S4" s="675"/>
      <c r="T4" s="662"/>
      <c r="U4" s="594"/>
    </row>
    <row r="5" spans="1:21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119" t="s">
        <v>28</v>
      </c>
      <c r="S5" s="780" t="s">
        <v>29</v>
      </c>
      <c r="T5" s="647"/>
      <c r="U5" s="594"/>
    </row>
    <row r="6" spans="1:21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119" t="s">
        <v>153</v>
      </c>
      <c r="S6" s="180" t="s">
        <v>153</v>
      </c>
      <c r="T6" s="210" t="s">
        <v>31</v>
      </c>
      <c r="U6" s="594"/>
    </row>
    <row r="7" spans="1:21" ht="19.5" x14ac:dyDescent="0.3">
      <c r="A7" s="694" t="s">
        <v>38</v>
      </c>
      <c r="B7" s="647"/>
      <c r="C7" s="454">
        <f t="shared" ref="C7:C9" ca="1" si="0">D7+G7</f>
        <v>33423500</v>
      </c>
      <c r="D7" s="455">
        <f t="shared" ref="D7:E7" si="1">D8+D9+D12</f>
        <v>0</v>
      </c>
      <c r="E7" s="456">
        <f t="shared" si="1"/>
        <v>0</v>
      </c>
      <c r="F7" s="457">
        <f>F8+F9</f>
        <v>0</v>
      </c>
      <c r="G7" s="458">
        <f t="shared" ref="G7:I7" ca="1" si="2">G8+G9+G12</f>
        <v>33423500</v>
      </c>
      <c r="H7" s="459">
        <f t="shared" si="2"/>
        <v>0</v>
      </c>
      <c r="I7" s="459">
        <f t="shared" ca="1" si="2"/>
        <v>33423500</v>
      </c>
      <c r="J7" s="460">
        <f t="shared" ref="J7:J9" ca="1" si="3">L7+O7</f>
        <v>33423500</v>
      </c>
      <c r="K7" s="461">
        <f t="shared" ref="K7:K9" ca="1" si="4">IF(C7&gt;0,J7*100/C7,0)</f>
        <v>100</v>
      </c>
      <c r="L7" s="460">
        <f>L8+L9+L12</f>
        <v>0</v>
      </c>
      <c r="M7" s="462">
        <f t="shared" ref="M7:M9" si="5">IF(D7&gt;0,L7*100/D7,0)</f>
        <v>0</v>
      </c>
      <c r="N7" s="462">
        <f t="shared" ref="N7:N9" si="6">IF(H7&gt;0,L7*100/H7,0)</f>
        <v>0</v>
      </c>
      <c r="O7" s="463">
        <f ca="1">O8+O9+O12</f>
        <v>33423500</v>
      </c>
      <c r="P7" s="463">
        <f t="shared" ref="P7:P9" ca="1" si="7">IF(G7&gt;0,O7*100/G7,0)</f>
        <v>100</v>
      </c>
      <c r="Q7" s="462">
        <f t="shared" ref="Q7:Q9" ca="1" si="8">IF(I7&gt;0,O7*100/I7,0)</f>
        <v>100</v>
      </c>
      <c r="R7" s="211">
        <f t="shared" ref="R7:S7" ca="1" si="9">R8</f>
        <v>1</v>
      </c>
      <c r="S7" s="212">
        <f t="shared" ca="1" si="9"/>
        <v>0</v>
      </c>
      <c r="T7" s="213">
        <f t="shared" ref="T7:T9" ca="1" si="10">IF(R7&gt;0,S7*100/R7,0)</f>
        <v>0</v>
      </c>
    </row>
    <row r="8" spans="1:21" ht="19.5" x14ac:dyDescent="0.3">
      <c r="A8" s="134" t="s">
        <v>39</v>
      </c>
      <c r="B8" s="135"/>
      <c r="C8" s="464">
        <f t="shared" ca="1" si="0"/>
        <v>33423500</v>
      </c>
      <c r="D8" s="464">
        <f t="shared" ref="D8:I8" si="11">+D13+D31+D52+D74</f>
        <v>0</v>
      </c>
      <c r="E8" s="464">
        <f t="shared" si="11"/>
        <v>0</v>
      </c>
      <c r="F8" s="464">
        <f t="shared" si="11"/>
        <v>0</v>
      </c>
      <c r="G8" s="464">
        <f t="shared" ca="1" si="11"/>
        <v>33423500</v>
      </c>
      <c r="H8" s="464">
        <f t="shared" si="11"/>
        <v>0</v>
      </c>
      <c r="I8" s="464">
        <f t="shared" ca="1" si="11"/>
        <v>33423500</v>
      </c>
      <c r="J8" s="464">
        <f t="shared" ca="1" si="3"/>
        <v>33423500</v>
      </c>
      <c r="K8" s="465">
        <f t="shared" ca="1" si="4"/>
        <v>100</v>
      </c>
      <c r="L8" s="464">
        <f>+L13+L31+L52+L74</f>
        <v>0</v>
      </c>
      <c r="M8" s="466">
        <f t="shared" si="5"/>
        <v>0</v>
      </c>
      <c r="N8" s="466">
        <f t="shared" si="6"/>
        <v>0</v>
      </c>
      <c r="O8" s="467">
        <f ca="1">+O13+O31+O52+O74</f>
        <v>33423500</v>
      </c>
      <c r="P8" s="467">
        <f t="shared" ca="1" si="7"/>
        <v>100</v>
      </c>
      <c r="Q8" s="466">
        <f t="shared" ca="1" si="8"/>
        <v>100</v>
      </c>
      <c r="R8" s="276">
        <f t="shared" ref="R8:S8" ca="1" si="12">+R13+R31+R52+R74</f>
        <v>1</v>
      </c>
      <c r="S8" s="276">
        <f t="shared" ca="1" si="12"/>
        <v>0</v>
      </c>
      <c r="T8" s="37">
        <f t="shared" ca="1" si="10"/>
        <v>0</v>
      </c>
    </row>
    <row r="9" spans="1:21" ht="19.5" x14ac:dyDescent="0.3">
      <c r="A9" s="245" t="s">
        <v>40</v>
      </c>
      <c r="B9" s="138"/>
      <c r="C9" s="248">
        <f t="shared" si="0"/>
        <v>0</v>
      </c>
      <c r="D9" s="248">
        <f t="shared" ref="D9:I9" si="13">+D89</f>
        <v>0</v>
      </c>
      <c r="E9" s="248">
        <f t="shared" si="13"/>
        <v>0</v>
      </c>
      <c r="F9" s="248">
        <f t="shared" si="13"/>
        <v>0</v>
      </c>
      <c r="G9" s="248">
        <f t="shared" si="13"/>
        <v>0</v>
      </c>
      <c r="H9" s="248">
        <f t="shared" si="13"/>
        <v>0</v>
      </c>
      <c r="I9" s="248">
        <f t="shared" si="13"/>
        <v>0</v>
      </c>
      <c r="J9" s="248">
        <f t="shared" si="3"/>
        <v>0</v>
      </c>
      <c r="K9" s="469">
        <f t="shared" si="4"/>
        <v>0</v>
      </c>
      <c r="L9" s="248">
        <f>+L89</f>
        <v>0</v>
      </c>
      <c r="M9" s="470">
        <f t="shared" si="5"/>
        <v>0</v>
      </c>
      <c r="N9" s="470">
        <f t="shared" si="6"/>
        <v>0</v>
      </c>
      <c r="O9" s="471">
        <f>+O89</f>
        <v>0</v>
      </c>
      <c r="P9" s="471">
        <f t="shared" si="7"/>
        <v>0</v>
      </c>
      <c r="Q9" s="470">
        <f t="shared" si="8"/>
        <v>0</v>
      </c>
      <c r="R9" s="248">
        <v>0</v>
      </c>
      <c r="S9" s="248">
        <v>0</v>
      </c>
      <c r="T9" s="595">
        <f t="shared" si="10"/>
        <v>0</v>
      </c>
    </row>
    <row r="10" spans="1:21" ht="12.75" hidden="1" x14ac:dyDescent="0.2">
      <c r="A10" s="142"/>
      <c r="B10" s="142"/>
      <c r="C10" s="214"/>
      <c r="D10" s="214"/>
      <c r="E10" s="214"/>
      <c r="F10" s="214"/>
      <c r="G10" s="214"/>
      <c r="H10" s="214"/>
      <c r="I10" s="214"/>
      <c r="J10" s="214"/>
      <c r="K10" s="249"/>
      <c r="L10" s="214"/>
      <c r="M10" s="196"/>
      <c r="N10" s="196"/>
      <c r="O10" s="195"/>
      <c r="P10" s="195"/>
      <c r="Q10" s="196"/>
      <c r="R10" s="214"/>
      <c r="S10" s="214"/>
      <c r="T10" s="196"/>
    </row>
    <row r="11" spans="1:21" ht="12.75" hidden="1" x14ac:dyDescent="0.2">
      <c r="A11" s="142"/>
      <c r="B11" s="142"/>
      <c r="C11" s="214"/>
      <c r="D11" s="214"/>
      <c r="E11" s="214"/>
      <c r="F11" s="214"/>
      <c r="G11" s="214"/>
      <c r="H11" s="214"/>
      <c r="I11" s="214"/>
      <c r="J11" s="214"/>
      <c r="K11" s="249"/>
      <c r="L11" s="214"/>
      <c r="M11" s="196"/>
      <c r="N11" s="196"/>
      <c r="O11" s="195"/>
      <c r="P11" s="195"/>
      <c r="Q11" s="196"/>
      <c r="R11" s="214"/>
      <c r="S11" s="214"/>
      <c r="T11" s="196"/>
    </row>
    <row r="12" spans="1:21" ht="19.5" hidden="1" x14ac:dyDescent="0.3">
      <c r="A12" s="142"/>
      <c r="B12" s="142"/>
      <c r="C12" s="214"/>
      <c r="D12" s="214"/>
      <c r="E12" s="214"/>
      <c r="F12" s="214"/>
      <c r="G12" s="214"/>
      <c r="H12" s="214"/>
      <c r="I12" s="214"/>
      <c r="J12" s="214"/>
      <c r="K12" s="249"/>
      <c r="L12" s="214"/>
      <c r="M12" s="196"/>
      <c r="N12" s="196"/>
      <c r="O12" s="195"/>
      <c r="P12" s="195"/>
      <c r="Q12" s="196"/>
      <c r="R12" s="143"/>
      <c r="S12" s="143"/>
      <c r="T12" s="51"/>
    </row>
    <row r="13" spans="1:21" ht="19.5" x14ac:dyDescent="0.3">
      <c r="A13" s="695" t="s">
        <v>41</v>
      </c>
      <c r="B13" s="647"/>
      <c r="C13" s="596">
        <f t="shared" ref="C13:C88" si="14">D13+G13</f>
        <v>0</v>
      </c>
      <c r="D13" s="596">
        <f t="shared" ref="D13:I13" si="15">SUM(D14:D30)</f>
        <v>0</v>
      </c>
      <c r="E13" s="596">
        <f t="shared" si="15"/>
        <v>0</v>
      </c>
      <c r="F13" s="596">
        <f t="shared" si="15"/>
        <v>0</v>
      </c>
      <c r="G13" s="596">
        <f t="shared" si="15"/>
        <v>0</v>
      </c>
      <c r="H13" s="596">
        <f t="shared" si="15"/>
        <v>0</v>
      </c>
      <c r="I13" s="596">
        <f t="shared" si="15"/>
        <v>0</v>
      </c>
      <c r="J13" s="596">
        <f t="shared" ref="J13:J88" si="16">L13+O13</f>
        <v>0</v>
      </c>
      <c r="K13" s="597">
        <f t="shared" ref="K13:K88" si="17">IF(C13&gt;0,J13*100/C13,0)</f>
        <v>0</v>
      </c>
      <c r="L13" s="596">
        <f>SUM(L14:L30)</f>
        <v>0</v>
      </c>
      <c r="M13" s="598">
        <f t="shared" ref="M13:M88" si="18">IF(D13&gt;0,L13*100/D13,0)</f>
        <v>0</v>
      </c>
      <c r="N13" s="598">
        <f t="shared" ref="N13:N88" si="19">IF(H13&gt;0,L13*100/H13,0)</f>
        <v>0</v>
      </c>
      <c r="O13" s="599">
        <f>SUM(O14:O30)</f>
        <v>0</v>
      </c>
      <c r="P13" s="599">
        <f t="shared" ref="P13:P88" si="20">IF(G13&gt;0,O13*100/G13,0)</f>
        <v>0</v>
      </c>
      <c r="Q13" s="598">
        <f t="shared" ref="Q13:Q88" si="21">IF(I13&gt;0,O13*100/I13,0)</f>
        <v>0</v>
      </c>
      <c r="R13" s="277">
        <f t="shared" ref="R13:S13" si="22">SUM(R14:R30)</f>
        <v>0</v>
      </c>
      <c r="S13" s="277">
        <f t="shared" si="22"/>
        <v>0</v>
      </c>
      <c r="T13" s="57">
        <f t="shared" ref="T13:T88" si="23">IF(R13&gt;0,S13*100/R13,0)</f>
        <v>0</v>
      </c>
      <c r="U13" s="600"/>
    </row>
    <row r="14" spans="1:21" ht="19.5" x14ac:dyDescent="0.3">
      <c r="A14" s="147">
        <v>1</v>
      </c>
      <c r="B14" s="148" t="s">
        <v>42</v>
      </c>
      <c r="C14" s="472">
        <f t="shared" si="14"/>
        <v>0</v>
      </c>
      <c r="D14" s="473">
        <f t="shared" ref="D14:D30" si="24">+E14+F14</f>
        <v>0</v>
      </c>
      <c r="E14" s="151">
        <v>0</v>
      </c>
      <c r="F14" s="151">
        <v>0</v>
      </c>
      <c r="G14" s="152">
        <v>0</v>
      </c>
      <c r="H14" s="152">
        <v>0</v>
      </c>
      <c r="I14" s="152">
        <v>0</v>
      </c>
      <c r="J14" s="251">
        <f t="shared" si="16"/>
        <v>0</v>
      </c>
      <c r="K14" s="474">
        <f t="shared" si="17"/>
        <v>0</v>
      </c>
      <c r="L14" s="152">
        <v>0</v>
      </c>
      <c r="M14" s="260">
        <f t="shared" si="18"/>
        <v>0</v>
      </c>
      <c r="N14" s="260">
        <f t="shared" si="19"/>
        <v>0</v>
      </c>
      <c r="O14" s="151">
        <v>0</v>
      </c>
      <c r="P14" s="475">
        <f t="shared" si="20"/>
        <v>0</v>
      </c>
      <c r="Q14" s="260">
        <f t="shared" si="21"/>
        <v>0</v>
      </c>
      <c r="R14" s="279">
        <v>0</v>
      </c>
      <c r="S14" s="397">
        <v>0</v>
      </c>
      <c r="T14" s="216">
        <f t="shared" si="23"/>
        <v>0</v>
      </c>
    </row>
    <row r="15" spans="1:21" ht="19.5" x14ac:dyDescent="0.3">
      <c r="A15" s="147">
        <v>2</v>
      </c>
      <c r="B15" s="148" t="s">
        <v>43</v>
      </c>
      <c r="C15" s="472">
        <f t="shared" si="14"/>
        <v>0</v>
      </c>
      <c r="D15" s="473">
        <f t="shared" si="24"/>
        <v>0</v>
      </c>
      <c r="E15" s="151">
        <v>0</v>
      </c>
      <c r="F15" s="151">
        <v>0</v>
      </c>
      <c r="G15" s="151">
        <v>0</v>
      </c>
      <c r="H15" s="151">
        <v>0</v>
      </c>
      <c r="I15" s="151">
        <v>0</v>
      </c>
      <c r="J15" s="262">
        <f t="shared" si="16"/>
        <v>0</v>
      </c>
      <c r="K15" s="476">
        <f t="shared" si="17"/>
        <v>0</v>
      </c>
      <c r="L15" s="151">
        <v>0</v>
      </c>
      <c r="M15" s="260">
        <f t="shared" si="18"/>
        <v>0</v>
      </c>
      <c r="N15" s="260">
        <f t="shared" si="19"/>
        <v>0</v>
      </c>
      <c r="O15" s="151">
        <v>0</v>
      </c>
      <c r="P15" s="475">
        <f t="shared" si="20"/>
        <v>0</v>
      </c>
      <c r="Q15" s="260">
        <f t="shared" si="21"/>
        <v>0</v>
      </c>
      <c r="R15" s="278">
        <v>0</v>
      </c>
      <c r="S15" s="152">
        <v>0</v>
      </c>
      <c r="T15" s="216">
        <f t="shared" si="23"/>
        <v>0</v>
      </c>
    </row>
    <row r="16" spans="1:21" ht="19.5" x14ac:dyDescent="0.3">
      <c r="A16" s="147">
        <v>3</v>
      </c>
      <c r="B16" s="148" t="s">
        <v>44</v>
      </c>
      <c r="C16" s="472">
        <f t="shared" si="14"/>
        <v>0</v>
      </c>
      <c r="D16" s="473">
        <f t="shared" si="24"/>
        <v>0</v>
      </c>
      <c r="E16" s="151">
        <v>0</v>
      </c>
      <c r="F16" s="151">
        <v>0</v>
      </c>
      <c r="G16" s="151">
        <v>0</v>
      </c>
      <c r="H16" s="151">
        <v>0</v>
      </c>
      <c r="I16" s="151">
        <v>0</v>
      </c>
      <c r="J16" s="262">
        <f t="shared" si="16"/>
        <v>0</v>
      </c>
      <c r="K16" s="476">
        <f t="shared" si="17"/>
        <v>0</v>
      </c>
      <c r="L16" s="151">
        <v>0</v>
      </c>
      <c r="M16" s="260">
        <f t="shared" si="18"/>
        <v>0</v>
      </c>
      <c r="N16" s="260">
        <f t="shared" si="19"/>
        <v>0</v>
      </c>
      <c r="O16" s="151">
        <v>0</v>
      </c>
      <c r="P16" s="475">
        <f t="shared" si="20"/>
        <v>0</v>
      </c>
      <c r="Q16" s="260">
        <f t="shared" si="21"/>
        <v>0</v>
      </c>
      <c r="R16" s="279">
        <v>0</v>
      </c>
      <c r="S16" s="397">
        <v>0</v>
      </c>
      <c r="T16" s="216">
        <f t="shared" si="23"/>
        <v>0</v>
      </c>
    </row>
    <row r="17" spans="1:21" ht="19.5" x14ac:dyDescent="0.3">
      <c r="A17" s="147">
        <v>4</v>
      </c>
      <c r="B17" s="148" t="s">
        <v>45</v>
      </c>
      <c r="C17" s="472">
        <f t="shared" si="14"/>
        <v>0</v>
      </c>
      <c r="D17" s="473">
        <f t="shared" si="24"/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262">
        <f t="shared" si="16"/>
        <v>0</v>
      </c>
      <c r="K17" s="476">
        <f t="shared" si="17"/>
        <v>0</v>
      </c>
      <c r="L17" s="151">
        <v>0</v>
      </c>
      <c r="M17" s="260">
        <f t="shared" si="18"/>
        <v>0</v>
      </c>
      <c r="N17" s="260">
        <f t="shared" si="19"/>
        <v>0</v>
      </c>
      <c r="O17" s="151">
        <v>0</v>
      </c>
      <c r="P17" s="475">
        <f t="shared" si="20"/>
        <v>0</v>
      </c>
      <c r="Q17" s="260">
        <f t="shared" si="21"/>
        <v>0</v>
      </c>
      <c r="R17" s="278">
        <v>0</v>
      </c>
      <c r="S17" s="152">
        <v>0</v>
      </c>
      <c r="T17" s="216">
        <f t="shared" si="23"/>
        <v>0</v>
      </c>
    </row>
    <row r="18" spans="1:21" ht="19.5" x14ac:dyDescent="0.3">
      <c r="A18" s="147">
        <v>5</v>
      </c>
      <c r="B18" s="148" t="s">
        <v>46</v>
      </c>
      <c r="C18" s="472">
        <f t="shared" si="14"/>
        <v>0</v>
      </c>
      <c r="D18" s="473">
        <f t="shared" si="24"/>
        <v>0</v>
      </c>
      <c r="E18" s="151">
        <v>0</v>
      </c>
      <c r="F18" s="151">
        <v>0</v>
      </c>
      <c r="G18" s="151">
        <v>0</v>
      </c>
      <c r="H18" s="151">
        <v>0</v>
      </c>
      <c r="I18" s="151">
        <v>0</v>
      </c>
      <c r="J18" s="262">
        <f t="shared" si="16"/>
        <v>0</v>
      </c>
      <c r="K18" s="476">
        <f t="shared" si="17"/>
        <v>0</v>
      </c>
      <c r="L18" s="151">
        <v>0</v>
      </c>
      <c r="M18" s="260">
        <f t="shared" si="18"/>
        <v>0</v>
      </c>
      <c r="N18" s="260">
        <f t="shared" si="19"/>
        <v>0</v>
      </c>
      <c r="O18" s="151">
        <v>0</v>
      </c>
      <c r="P18" s="475">
        <f t="shared" si="20"/>
        <v>0</v>
      </c>
      <c r="Q18" s="260">
        <f t="shared" si="21"/>
        <v>0</v>
      </c>
      <c r="R18" s="278">
        <v>0</v>
      </c>
      <c r="S18" s="152">
        <v>0</v>
      </c>
      <c r="T18" s="216">
        <f t="shared" si="23"/>
        <v>0</v>
      </c>
    </row>
    <row r="19" spans="1:21" ht="19.5" x14ac:dyDescent="0.3">
      <c r="A19" s="147">
        <v>6</v>
      </c>
      <c r="B19" s="148" t="s">
        <v>47</v>
      </c>
      <c r="C19" s="472">
        <f t="shared" si="14"/>
        <v>0</v>
      </c>
      <c r="D19" s="473">
        <f t="shared" si="24"/>
        <v>0</v>
      </c>
      <c r="E19" s="151">
        <v>0</v>
      </c>
      <c r="F19" s="151">
        <v>0</v>
      </c>
      <c r="G19" s="151">
        <v>0</v>
      </c>
      <c r="H19" s="151">
        <v>0</v>
      </c>
      <c r="I19" s="151">
        <v>0</v>
      </c>
      <c r="J19" s="262">
        <f t="shared" si="16"/>
        <v>0</v>
      </c>
      <c r="K19" s="476">
        <f t="shared" si="17"/>
        <v>0</v>
      </c>
      <c r="L19" s="151">
        <v>0</v>
      </c>
      <c r="M19" s="260">
        <f t="shared" si="18"/>
        <v>0</v>
      </c>
      <c r="N19" s="260">
        <f t="shared" si="19"/>
        <v>0</v>
      </c>
      <c r="O19" s="151">
        <v>0</v>
      </c>
      <c r="P19" s="475">
        <f t="shared" si="20"/>
        <v>0</v>
      </c>
      <c r="Q19" s="260">
        <f t="shared" si="21"/>
        <v>0</v>
      </c>
      <c r="R19" s="278">
        <v>0</v>
      </c>
      <c r="S19" s="152">
        <v>0</v>
      </c>
      <c r="T19" s="216">
        <f t="shared" si="23"/>
        <v>0</v>
      </c>
    </row>
    <row r="20" spans="1:21" ht="19.5" x14ac:dyDescent="0.3">
      <c r="A20" s="147">
        <v>7</v>
      </c>
      <c r="B20" s="148" t="s">
        <v>48</v>
      </c>
      <c r="C20" s="472">
        <f t="shared" si="14"/>
        <v>0</v>
      </c>
      <c r="D20" s="473">
        <f t="shared" si="24"/>
        <v>0</v>
      </c>
      <c r="E20" s="151">
        <v>0</v>
      </c>
      <c r="F20" s="151">
        <v>0</v>
      </c>
      <c r="G20" s="151">
        <v>0</v>
      </c>
      <c r="H20" s="151">
        <v>0</v>
      </c>
      <c r="I20" s="151">
        <v>0</v>
      </c>
      <c r="J20" s="262">
        <f t="shared" si="16"/>
        <v>0</v>
      </c>
      <c r="K20" s="476">
        <f t="shared" si="17"/>
        <v>0</v>
      </c>
      <c r="L20" s="151">
        <v>0</v>
      </c>
      <c r="M20" s="260">
        <f t="shared" si="18"/>
        <v>0</v>
      </c>
      <c r="N20" s="260">
        <f t="shared" si="19"/>
        <v>0</v>
      </c>
      <c r="O20" s="151">
        <v>0</v>
      </c>
      <c r="P20" s="475">
        <f t="shared" si="20"/>
        <v>0</v>
      </c>
      <c r="Q20" s="260">
        <f t="shared" si="21"/>
        <v>0</v>
      </c>
      <c r="R20" s="278">
        <v>0</v>
      </c>
      <c r="S20" s="152">
        <v>0</v>
      </c>
      <c r="T20" s="216">
        <f t="shared" si="23"/>
        <v>0</v>
      </c>
    </row>
    <row r="21" spans="1:21" ht="19.5" x14ac:dyDescent="0.3">
      <c r="A21" s="147">
        <v>8</v>
      </c>
      <c r="B21" s="148" t="s">
        <v>49</v>
      </c>
      <c r="C21" s="472">
        <f t="shared" si="14"/>
        <v>0</v>
      </c>
      <c r="D21" s="473">
        <f t="shared" si="24"/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262">
        <f t="shared" si="16"/>
        <v>0</v>
      </c>
      <c r="K21" s="476">
        <f t="shared" si="17"/>
        <v>0</v>
      </c>
      <c r="L21" s="151">
        <v>0</v>
      </c>
      <c r="M21" s="260">
        <f t="shared" si="18"/>
        <v>0</v>
      </c>
      <c r="N21" s="260">
        <f t="shared" si="19"/>
        <v>0</v>
      </c>
      <c r="O21" s="151">
        <v>0</v>
      </c>
      <c r="P21" s="475">
        <f t="shared" si="20"/>
        <v>0</v>
      </c>
      <c r="Q21" s="260">
        <f t="shared" si="21"/>
        <v>0</v>
      </c>
      <c r="R21" s="278">
        <v>0</v>
      </c>
      <c r="S21" s="152">
        <v>0</v>
      </c>
      <c r="T21" s="216">
        <f t="shared" si="23"/>
        <v>0</v>
      </c>
    </row>
    <row r="22" spans="1:21" ht="19.5" x14ac:dyDescent="0.3">
      <c r="A22" s="147">
        <v>9</v>
      </c>
      <c r="B22" s="148" t="s">
        <v>50</v>
      </c>
      <c r="C22" s="472">
        <f t="shared" si="14"/>
        <v>0</v>
      </c>
      <c r="D22" s="473">
        <f t="shared" si="24"/>
        <v>0</v>
      </c>
      <c r="E22" s="151">
        <v>0</v>
      </c>
      <c r="F22" s="151">
        <v>0</v>
      </c>
      <c r="G22" s="151">
        <v>0</v>
      </c>
      <c r="H22" s="151">
        <v>0</v>
      </c>
      <c r="I22" s="151">
        <v>0</v>
      </c>
      <c r="J22" s="262">
        <f t="shared" si="16"/>
        <v>0</v>
      </c>
      <c r="K22" s="476">
        <f t="shared" si="17"/>
        <v>0</v>
      </c>
      <c r="L22" s="151">
        <v>0</v>
      </c>
      <c r="M22" s="260">
        <f t="shared" si="18"/>
        <v>0</v>
      </c>
      <c r="N22" s="260">
        <f t="shared" si="19"/>
        <v>0</v>
      </c>
      <c r="O22" s="151">
        <v>0</v>
      </c>
      <c r="P22" s="475">
        <f t="shared" si="20"/>
        <v>0</v>
      </c>
      <c r="Q22" s="260">
        <f t="shared" si="21"/>
        <v>0</v>
      </c>
      <c r="R22" s="278">
        <v>0</v>
      </c>
      <c r="S22" s="152">
        <v>0</v>
      </c>
      <c r="T22" s="216">
        <f t="shared" si="23"/>
        <v>0</v>
      </c>
    </row>
    <row r="23" spans="1:21" ht="19.5" x14ac:dyDescent="0.3">
      <c r="A23" s="147">
        <v>10</v>
      </c>
      <c r="B23" s="148" t="s">
        <v>51</v>
      </c>
      <c r="C23" s="472">
        <f t="shared" si="14"/>
        <v>0</v>
      </c>
      <c r="D23" s="473">
        <f t="shared" si="24"/>
        <v>0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262">
        <f t="shared" si="16"/>
        <v>0</v>
      </c>
      <c r="K23" s="476">
        <f t="shared" si="17"/>
        <v>0</v>
      </c>
      <c r="L23" s="151">
        <v>0</v>
      </c>
      <c r="M23" s="260">
        <f t="shared" si="18"/>
        <v>0</v>
      </c>
      <c r="N23" s="260">
        <f t="shared" si="19"/>
        <v>0</v>
      </c>
      <c r="O23" s="151">
        <v>0</v>
      </c>
      <c r="P23" s="475">
        <f t="shared" si="20"/>
        <v>0</v>
      </c>
      <c r="Q23" s="260">
        <f t="shared" si="21"/>
        <v>0</v>
      </c>
      <c r="R23" s="279">
        <v>0</v>
      </c>
      <c r="S23" s="397">
        <v>0</v>
      </c>
      <c r="T23" s="216">
        <f t="shared" si="23"/>
        <v>0</v>
      </c>
    </row>
    <row r="24" spans="1:21" ht="19.5" x14ac:dyDescent="0.3">
      <c r="A24" s="147">
        <v>11</v>
      </c>
      <c r="B24" s="148" t="s">
        <v>52</v>
      </c>
      <c r="C24" s="472">
        <f t="shared" si="14"/>
        <v>0</v>
      </c>
      <c r="D24" s="473">
        <f t="shared" si="24"/>
        <v>0</v>
      </c>
      <c r="E24" s="151">
        <v>0</v>
      </c>
      <c r="F24" s="151">
        <v>0</v>
      </c>
      <c r="G24" s="151">
        <v>0</v>
      </c>
      <c r="H24" s="151">
        <v>0</v>
      </c>
      <c r="I24" s="151">
        <v>0</v>
      </c>
      <c r="J24" s="262">
        <f t="shared" si="16"/>
        <v>0</v>
      </c>
      <c r="K24" s="476">
        <f t="shared" si="17"/>
        <v>0</v>
      </c>
      <c r="L24" s="151">
        <v>0</v>
      </c>
      <c r="M24" s="260">
        <f t="shared" si="18"/>
        <v>0</v>
      </c>
      <c r="N24" s="260">
        <f t="shared" si="19"/>
        <v>0</v>
      </c>
      <c r="O24" s="151">
        <v>0</v>
      </c>
      <c r="P24" s="475">
        <f t="shared" si="20"/>
        <v>0</v>
      </c>
      <c r="Q24" s="260">
        <f t="shared" si="21"/>
        <v>0</v>
      </c>
      <c r="R24" s="278">
        <v>0</v>
      </c>
      <c r="S24" s="152">
        <v>0</v>
      </c>
      <c r="T24" s="216">
        <f t="shared" si="23"/>
        <v>0</v>
      </c>
    </row>
    <row r="25" spans="1:21" ht="19.5" x14ac:dyDescent="0.3">
      <c r="A25" s="147">
        <v>12</v>
      </c>
      <c r="B25" s="148" t="s">
        <v>53</v>
      </c>
      <c r="C25" s="472">
        <f t="shared" si="14"/>
        <v>0</v>
      </c>
      <c r="D25" s="473">
        <f t="shared" si="24"/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262">
        <f t="shared" si="16"/>
        <v>0</v>
      </c>
      <c r="K25" s="476">
        <f t="shared" si="17"/>
        <v>0</v>
      </c>
      <c r="L25" s="151">
        <v>0</v>
      </c>
      <c r="M25" s="260">
        <f t="shared" si="18"/>
        <v>0</v>
      </c>
      <c r="N25" s="260">
        <f t="shared" si="19"/>
        <v>0</v>
      </c>
      <c r="O25" s="151">
        <v>0</v>
      </c>
      <c r="P25" s="475">
        <f t="shared" si="20"/>
        <v>0</v>
      </c>
      <c r="Q25" s="260">
        <f t="shared" si="21"/>
        <v>0</v>
      </c>
      <c r="R25" s="278">
        <v>0</v>
      </c>
      <c r="S25" s="152">
        <v>0</v>
      </c>
      <c r="T25" s="216">
        <f t="shared" si="23"/>
        <v>0</v>
      </c>
    </row>
    <row r="26" spans="1:21" ht="19.5" x14ac:dyDescent="0.3">
      <c r="A26" s="147">
        <v>13</v>
      </c>
      <c r="B26" s="148" t="s">
        <v>54</v>
      </c>
      <c r="C26" s="472">
        <f t="shared" si="14"/>
        <v>0</v>
      </c>
      <c r="D26" s="473">
        <f t="shared" si="24"/>
        <v>0</v>
      </c>
      <c r="E26" s="151">
        <v>0</v>
      </c>
      <c r="F26" s="151">
        <v>0</v>
      </c>
      <c r="G26" s="151">
        <v>0</v>
      </c>
      <c r="H26" s="151">
        <v>0</v>
      </c>
      <c r="I26" s="151">
        <v>0</v>
      </c>
      <c r="J26" s="262">
        <f t="shared" si="16"/>
        <v>0</v>
      </c>
      <c r="K26" s="476">
        <f t="shared" si="17"/>
        <v>0</v>
      </c>
      <c r="L26" s="151">
        <v>0</v>
      </c>
      <c r="M26" s="260">
        <f t="shared" si="18"/>
        <v>0</v>
      </c>
      <c r="N26" s="260">
        <f t="shared" si="19"/>
        <v>0</v>
      </c>
      <c r="O26" s="151">
        <v>0</v>
      </c>
      <c r="P26" s="475">
        <f t="shared" si="20"/>
        <v>0</v>
      </c>
      <c r="Q26" s="260">
        <f t="shared" si="21"/>
        <v>0</v>
      </c>
      <c r="R26" s="279">
        <v>0</v>
      </c>
      <c r="S26" s="397">
        <v>0</v>
      </c>
      <c r="T26" s="216">
        <f t="shared" si="23"/>
        <v>0</v>
      </c>
    </row>
    <row r="27" spans="1:21" ht="19.5" x14ac:dyDescent="0.3">
      <c r="A27" s="147">
        <v>14</v>
      </c>
      <c r="B27" s="148" t="s">
        <v>55</v>
      </c>
      <c r="C27" s="472">
        <f t="shared" si="14"/>
        <v>0</v>
      </c>
      <c r="D27" s="473">
        <f t="shared" si="24"/>
        <v>0</v>
      </c>
      <c r="E27" s="151">
        <v>0</v>
      </c>
      <c r="F27" s="151">
        <v>0</v>
      </c>
      <c r="G27" s="151">
        <v>0</v>
      </c>
      <c r="H27" s="151">
        <v>0</v>
      </c>
      <c r="I27" s="151">
        <v>0</v>
      </c>
      <c r="J27" s="262">
        <f t="shared" si="16"/>
        <v>0</v>
      </c>
      <c r="K27" s="476">
        <f t="shared" si="17"/>
        <v>0</v>
      </c>
      <c r="L27" s="151">
        <v>0</v>
      </c>
      <c r="M27" s="260">
        <f t="shared" si="18"/>
        <v>0</v>
      </c>
      <c r="N27" s="260">
        <f t="shared" si="19"/>
        <v>0</v>
      </c>
      <c r="O27" s="151">
        <v>0</v>
      </c>
      <c r="P27" s="475">
        <f t="shared" si="20"/>
        <v>0</v>
      </c>
      <c r="Q27" s="260">
        <f t="shared" si="21"/>
        <v>0</v>
      </c>
      <c r="R27" s="278">
        <v>0</v>
      </c>
      <c r="S27" s="152">
        <v>0</v>
      </c>
      <c r="T27" s="216">
        <f t="shared" si="23"/>
        <v>0</v>
      </c>
    </row>
    <row r="28" spans="1:21" ht="19.5" x14ac:dyDescent="0.3">
      <c r="A28" s="147">
        <v>15</v>
      </c>
      <c r="B28" s="148" t="s">
        <v>56</v>
      </c>
      <c r="C28" s="472">
        <f t="shared" si="14"/>
        <v>0</v>
      </c>
      <c r="D28" s="473">
        <f t="shared" si="24"/>
        <v>0</v>
      </c>
      <c r="E28" s="151">
        <v>0</v>
      </c>
      <c r="F28" s="151">
        <v>0</v>
      </c>
      <c r="G28" s="151">
        <v>0</v>
      </c>
      <c r="H28" s="151">
        <v>0</v>
      </c>
      <c r="I28" s="151">
        <v>0</v>
      </c>
      <c r="J28" s="262">
        <f t="shared" si="16"/>
        <v>0</v>
      </c>
      <c r="K28" s="476">
        <f t="shared" si="17"/>
        <v>0</v>
      </c>
      <c r="L28" s="151">
        <v>0</v>
      </c>
      <c r="M28" s="260">
        <f t="shared" si="18"/>
        <v>0</v>
      </c>
      <c r="N28" s="260">
        <f t="shared" si="19"/>
        <v>0</v>
      </c>
      <c r="O28" s="151">
        <v>0</v>
      </c>
      <c r="P28" s="475">
        <f t="shared" si="20"/>
        <v>0</v>
      </c>
      <c r="Q28" s="260">
        <f t="shared" si="21"/>
        <v>0</v>
      </c>
      <c r="R28" s="278">
        <v>0</v>
      </c>
      <c r="S28" s="152">
        <v>0</v>
      </c>
      <c r="T28" s="216">
        <f t="shared" si="23"/>
        <v>0</v>
      </c>
    </row>
    <row r="29" spans="1:21" ht="19.5" x14ac:dyDescent="0.3">
      <c r="A29" s="147">
        <v>16</v>
      </c>
      <c r="B29" s="148" t="s">
        <v>57</v>
      </c>
      <c r="C29" s="472">
        <f t="shared" si="14"/>
        <v>0</v>
      </c>
      <c r="D29" s="473">
        <f t="shared" si="24"/>
        <v>0</v>
      </c>
      <c r="E29" s="151">
        <v>0</v>
      </c>
      <c r="F29" s="151">
        <v>0</v>
      </c>
      <c r="G29" s="151">
        <v>0</v>
      </c>
      <c r="H29" s="151">
        <v>0</v>
      </c>
      <c r="I29" s="151">
        <v>0</v>
      </c>
      <c r="J29" s="262">
        <f t="shared" si="16"/>
        <v>0</v>
      </c>
      <c r="K29" s="476">
        <f t="shared" si="17"/>
        <v>0</v>
      </c>
      <c r="L29" s="151">
        <v>0</v>
      </c>
      <c r="M29" s="260">
        <f t="shared" si="18"/>
        <v>0</v>
      </c>
      <c r="N29" s="260">
        <f t="shared" si="19"/>
        <v>0</v>
      </c>
      <c r="O29" s="151">
        <v>0</v>
      </c>
      <c r="P29" s="475">
        <f t="shared" si="20"/>
        <v>0</v>
      </c>
      <c r="Q29" s="260">
        <f t="shared" si="21"/>
        <v>0</v>
      </c>
      <c r="R29" s="278">
        <v>0</v>
      </c>
      <c r="S29" s="152">
        <v>0</v>
      </c>
      <c r="T29" s="216">
        <f t="shared" si="23"/>
        <v>0</v>
      </c>
    </row>
    <row r="30" spans="1:21" ht="19.5" x14ac:dyDescent="0.3">
      <c r="A30" s="155">
        <v>17</v>
      </c>
      <c r="B30" s="156" t="s">
        <v>58</v>
      </c>
      <c r="C30" s="477">
        <f t="shared" si="14"/>
        <v>0</v>
      </c>
      <c r="D30" s="478">
        <f t="shared" si="24"/>
        <v>0</v>
      </c>
      <c r="E30" s="159">
        <v>0</v>
      </c>
      <c r="F30" s="159">
        <v>0</v>
      </c>
      <c r="G30" s="159">
        <v>0</v>
      </c>
      <c r="H30" s="159">
        <v>0</v>
      </c>
      <c r="I30" s="159">
        <v>0</v>
      </c>
      <c r="J30" s="479">
        <f t="shared" si="16"/>
        <v>0</v>
      </c>
      <c r="K30" s="480">
        <f t="shared" si="17"/>
        <v>0</v>
      </c>
      <c r="L30" s="159">
        <v>0</v>
      </c>
      <c r="M30" s="481">
        <f t="shared" si="18"/>
        <v>0</v>
      </c>
      <c r="N30" s="481">
        <f t="shared" si="19"/>
        <v>0</v>
      </c>
      <c r="O30" s="159">
        <v>0</v>
      </c>
      <c r="P30" s="482">
        <f t="shared" si="20"/>
        <v>0</v>
      </c>
      <c r="Q30" s="481">
        <f t="shared" si="21"/>
        <v>0</v>
      </c>
      <c r="R30" s="280">
        <v>0</v>
      </c>
      <c r="S30" s="191">
        <v>0</v>
      </c>
      <c r="T30" s="218">
        <f t="shared" si="23"/>
        <v>0</v>
      </c>
    </row>
    <row r="31" spans="1:21" ht="19.5" x14ac:dyDescent="0.3">
      <c r="A31" s="696" t="s">
        <v>59</v>
      </c>
      <c r="B31" s="662"/>
      <c r="C31" s="601">
        <f t="shared" si="14"/>
        <v>0</v>
      </c>
      <c r="D31" s="601">
        <f t="shared" ref="D31:I31" si="25">SUM(D32:D51)</f>
        <v>0</v>
      </c>
      <c r="E31" s="601">
        <f t="shared" si="25"/>
        <v>0</v>
      </c>
      <c r="F31" s="601">
        <f t="shared" si="25"/>
        <v>0</v>
      </c>
      <c r="G31" s="601">
        <f t="shared" si="25"/>
        <v>0</v>
      </c>
      <c r="H31" s="601">
        <f t="shared" si="25"/>
        <v>0</v>
      </c>
      <c r="I31" s="601">
        <f t="shared" si="25"/>
        <v>0</v>
      </c>
      <c r="J31" s="601">
        <f t="shared" si="16"/>
        <v>0</v>
      </c>
      <c r="K31" s="602">
        <f t="shared" si="17"/>
        <v>0</v>
      </c>
      <c r="L31" s="601">
        <f>SUM(L32:L51)</f>
        <v>0</v>
      </c>
      <c r="M31" s="603">
        <f t="shared" si="18"/>
        <v>0</v>
      </c>
      <c r="N31" s="603">
        <f t="shared" si="19"/>
        <v>0</v>
      </c>
      <c r="O31" s="604">
        <f>SUM(O32:O51)</f>
        <v>0</v>
      </c>
      <c r="P31" s="604">
        <f t="shared" si="20"/>
        <v>0</v>
      </c>
      <c r="Q31" s="603">
        <f t="shared" si="21"/>
        <v>0</v>
      </c>
      <c r="R31" s="282">
        <f t="shared" ref="R31:S31" si="26">SUM(R32:R51)</f>
        <v>0</v>
      </c>
      <c r="S31" s="369">
        <f t="shared" si="26"/>
        <v>0</v>
      </c>
      <c r="T31" s="94">
        <f t="shared" si="23"/>
        <v>0</v>
      </c>
      <c r="U31" s="600"/>
    </row>
    <row r="32" spans="1:21" ht="19.5" x14ac:dyDescent="0.3">
      <c r="A32" s="147">
        <v>1</v>
      </c>
      <c r="B32" s="148" t="s">
        <v>60</v>
      </c>
      <c r="C32" s="472">
        <f t="shared" si="14"/>
        <v>0</v>
      </c>
      <c r="D32" s="473">
        <f t="shared" ref="D32:D51" si="27">+E32+F32</f>
        <v>0</v>
      </c>
      <c r="E32" s="151">
        <v>0</v>
      </c>
      <c r="F32" s="151">
        <v>0</v>
      </c>
      <c r="G32" s="152">
        <v>0</v>
      </c>
      <c r="H32" s="152">
        <v>0</v>
      </c>
      <c r="I32" s="152">
        <v>0</v>
      </c>
      <c r="J32" s="251">
        <f t="shared" si="16"/>
        <v>0</v>
      </c>
      <c r="K32" s="474">
        <f t="shared" si="17"/>
        <v>0</v>
      </c>
      <c r="L32" s="152">
        <v>0</v>
      </c>
      <c r="M32" s="260">
        <f t="shared" si="18"/>
        <v>0</v>
      </c>
      <c r="N32" s="260">
        <f t="shared" si="19"/>
        <v>0</v>
      </c>
      <c r="O32" s="151">
        <v>0</v>
      </c>
      <c r="P32" s="475">
        <f t="shared" si="20"/>
        <v>0</v>
      </c>
      <c r="Q32" s="260">
        <f t="shared" si="21"/>
        <v>0</v>
      </c>
      <c r="R32" s="278">
        <v>0</v>
      </c>
      <c r="S32" s="152">
        <v>0</v>
      </c>
      <c r="T32" s="216">
        <f t="shared" si="23"/>
        <v>0</v>
      </c>
    </row>
    <row r="33" spans="1:20" ht="19.5" x14ac:dyDescent="0.3">
      <c r="A33" s="147">
        <v>2</v>
      </c>
      <c r="B33" s="148" t="s">
        <v>61</v>
      </c>
      <c r="C33" s="472">
        <f t="shared" si="14"/>
        <v>0</v>
      </c>
      <c r="D33" s="473">
        <f t="shared" si="27"/>
        <v>0</v>
      </c>
      <c r="E33" s="151">
        <v>0</v>
      </c>
      <c r="F33" s="151">
        <v>0</v>
      </c>
      <c r="G33" s="151">
        <v>0</v>
      </c>
      <c r="H33" s="151">
        <v>0</v>
      </c>
      <c r="I33" s="151">
        <v>0</v>
      </c>
      <c r="J33" s="262">
        <f t="shared" si="16"/>
        <v>0</v>
      </c>
      <c r="K33" s="476">
        <f t="shared" si="17"/>
        <v>0</v>
      </c>
      <c r="L33" s="151">
        <v>0</v>
      </c>
      <c r="M33" s="260">
        <f t="shared" si="18"/>
        <v>0</v>
      </c>
      <c r="N33" s="260">
        <f t="shared" si="19"/>
        <v>0</v>
      </c>
      <c r="O33" s="151">
        <v>0</v>
      </c>
      <c r="P33" s="475">
        <f t="shared" si="20"/>
        <v>0</v>
      </c>
      <c r="Q33" s="260">
        <f t="shared" si="21"/>
        <v>0</v>
      </c>
      <c r="R33" s="278">
        <v>0</v>
      </c>
      <c r="S33" s="152">
        <v>0</v>
      </c>
      <c r="T33" s="216">
        <f t="shared" si="23"/>
        <v>0</v>
      </c>
    </row>
    <row r="34" spans="1:20" ht="19.5" x14ac:dyDescent="0.3">
      <c r="A34" s="147">
        <v>3</v>
      </c>
      <c r="B34" s="148" t="s">
        <v>62</v>
      </c>
      <c r="C34" s="472">
        <f t="shared" si="14"/>
        <v>0</v>
      </c>
      <c r="D34" s="473">
        <f t="shared" si="27"/>
        <v>0</v>
      </c>
      <c r="E34" s="151">
        <v>0</v>
      </c>
      <c r="F34" s="151">
        <v>0</v>
      </c>
      <c r="G34" s="151">
        <v>0</v>
      </c>
      <c r="H34" s="151">
        <v>0</v>
      </c>
      <c r="I34" s="151">
        <v>0</v>
      </c>
      <c r="J34" s="262">
        <f t="shared" si="16"/>
        <v>0</v>
      </c>
      <c r="K34" s="476">
        <f t="shared" si="17"/>
        <v>0</v>
      </c>
      <c r="L34" s="151">
        <v>0</v>
      </c>
      <c r="M34" s="260">
        <f t="shared" si="18"/>
        <v>0</v>
      </c>
      <c r="N34" s="260">
        <f t="shared" si="19"/>
        <v>0</v>
      </c>
      <c r="O34" s="151">
        <v>0</v>
      </c>
      <c r="P34" s="475">
        <f t="shared" si="20"/>
        <v>0</v>
      </c>
      <c r="Q34" s="260">
        <f t="shared" si="21"/>
        <v>0</v>
      </c>
      <c r="R34" s="278">
        <v>0</v>
      </c>
      <c r="S34" s="152">
        <v>0</v>
      </c>
      <c r="T34" s="216">
        <f t="shared" si="23"/>
        <v>0</v>
      </c>
    </row>
    <row r="35" spans="1:20" ht="19.5" x14ac:dyDescent="0.3">
      <c r="A35" s="147">
        <v>4</v>
      </c>
      <c r="B35" s="148" t="s">
        <v>63</v>
      </c>
      <c r="C35" s="472">
        <f t="shared" si="14"/>
        <v>0</v>
      </c>
      <c r="D35" s="473">
        <f t="shared" si="27"/>
        <v>0</v>
      </c>
      <c r="E35" s="151">
        <v>0</v>
      </c>
      <c r="F35" s="151">
        <v>0</v>
      </c>
      <c r="G35" s="151">
        <v>0</v>
      </c>
      <c r="H35" s="151">
        <v>0</v>
      </c>
      <c r="I35" s="151">
        <v>0</v>
      </c>
      <c r="J35" s="262">
        <f t="shared" si="16"/>
        <v>0</v>
      </c>
      <c r="K35" s="476">
        <f t="shared" si="17"/>
        <v>0</v>
      </c>
      <c r="L35" s="151">
        <v>0</v>
      </c>
      <c r="M35" s="260">
        <f t="shared" si="18"/>
        <v>0</v>
      </c>
      <c r="N35" s="260">
        <f t="shared" si="19"/>
        <v>0</v>
      </c>
      <c r="O35" s="151">
        <v>0</v>
      </c>
      <c r="P35" s="475">
        <f t="shared" si="20"/>
        <v>0</v>
      </c>
      <c r="Q35" s="260">
        <f t="shared" si="21"/>
        <v>0</v>
      </c>
      <c r="R35" s="278">
        <v>0</v>
      </c>
      <c r="S35" s="152">
        <v>0</v>
      </c>
      <c r="T35" s="216">
        <f t="shared" si="23"/>
        <v>0</v>
      </c>
    </row>
    <row r="36" spans="1:20" ht="19.5" x14ac:dyDescent="0.3">
      <c r="A36" s="147">
        <v>5</v>
      </c>
      <c r="B36" s="148" t="s">
        <v>64</v>
      </c>
      <c r="C36" s="472">
        <f t="shared" si="14"/>
        <v>0</v>
      </c>
      <c r="D36" s="473">
        <f t="shared" si="27"/>
        <v>0</v>
      </c>
      <c r="E36" s="151">
        <v>0</v>
      </c>
      <c r="F36" s="151">
        <v>0</v>
      </c>
      <c r="G36" s="151">
        <v>0</v>
      </c>
      <c r="H36" s="151">
        <v>0</v>
      </c>
      <c r="I36" s="151">
        <v>0</v>
      </c>
      <c r="J36" s="262">
        <f t="shared" si="16"/>
        <v>0</v>
      </c>
      <c r="K36" s="476">
        <f t="shared" si="17"/>
        <v>0</v>
      </c>
      <c r="L36" s="151">
        <v>0</v>
      </c>
      <c r="M36" s="260">
        <f t="shared" si="18"/>
        <v>0</v>
      </c>
      <c r="N36" s="260">
        <f t="shared" si="19"/>
        <v>0</v>
      </c>
      <c r="O36" s="151">
        <v>0</v>
      </c>
      <c r="P36" s="475">
        <f t="shared" si="20"/>
        <v>0</v>
      </c>
      <c r="Q36" s="260">
        <f t="shared" si="21"/>
        <v>0</v>
      </c>
      <c r="R36" s="279">
        <v>0</v>
      </c>
      <c r="S36" s="397">
        <v>0</v>
      </c>
      <c r="T36" s="216">
        <f t="shared" si="23"/>
        <v>0</v>
      </c>
    </row>
    <row r="37" spans="1:20" ht="19.5" x14ac:dyDescent="0.3">
      <c r="A37" s="147">
        <v>6</v>
      </c>
      <c r="B37" s="148" t="s">
        <v>65</v>
      </c>
      <c r="C37" s="472">
        <f t="shared" si="14"/>
        <v>0</v>
      </c>
      <c r="D37" s="473">
        <f t="shared" si="27"/>
        <v>0</v>
      </c>
      <c r="E37" s="151">
        <v>0</v>
      </c>
      <c r="F37" s="151">
        <v>0</v>
      </c>
      <c r="G37" s="151">
        <v>0</v>
      </c>
      <c r="H37" s="151">
        <v>0</v>
      </c>
      <c r="I37" s="151">
        <v>0</v>
      </c>
      <c r="J37" s="262">
        <f t="shared" si="16"/>
        <v>0</v>
      </c>
      <c r="K37" s="476">
        <f t="shared" si="17"/>
        <v>0</v>
      </c>
      <c r="L37" s="151">
        <v>0</v>
      </c>
      <c r="M37" s="260">
        <f t="shared" si="18"/>
        <v>0</v>
      </c>
      <c r="N37" s="260">
        <f t="shared" si="19"/>
        <v>0</v>
      </c>
      <c r="O37" s="151">
        <v>0</v>
      </c>
      <c r="P37" s="475">
        <f t="shared" si="20"/>
        <v>0</v>
      </c>
      <c r="Q37" s="260">
        <f t="shared" si="21"/>
        <v>0</v>
      </c>
      <c r="R37" s="278">
        <v>0</v>
      </c>
      <c r="S37" s="152">
        <v>0</v>
      </c>
      <c r="T37" s="216">
        <f t="shared" si="23"/>
        <v>0</v>
      </c>
    </row>
    <row r="38" spans="1:20" ht="19.5" x14ac:dyDescent="0.3">
      <c r="A38" s="147">
        <v>7</v>
      </c>
      <c r="B38" s="148" t="s">
        <v>66</v>
      </c>
      <c r="C38" s="472">
        <f t="shared" si="14"/>
        <v>0</v>
      </c>
      <c r="D38" s="473">
        <f t="shared" si="27"/>
        <v>0</v>
      </c>
      <c r="E38" s="151">
        <v>0</v>
      </c>
      <c r="F38" s="151">
        <v>0</v>
      </c>
      <c r="G38" s="151">
        <v>0</v>
      </c>
      <c r="H38" s="151">
        <v>0</v>
      </c>
      <c r="I38" s="151">
        <v>0</v>
      </c>
      <c r="J38" s="262">
        <f t="shared" si="16"/>
        <v>0</v>
      </c>
      <c r="K38" s="476">
        <f t="shared" si="17"/>
        <v>0</v>
      </c>
      <c r="L38" s="151">
        <v>0</v>
      </c>
      <c r="M38" s="260">
        <f t="shared" si="18"/>
        <v>0</v>
      </c>
      <c r="N38" s="260">
        <f t="shared" si="19"/>
        <v>0</v>
      </c>
      <c r="O38" s="151">
        <v>0</v>
      </c>
      <c r="P38" s="475">
        <f t="shared" si="20"/>
        <v>0</v>
      </c>
      <c r="Q38" s="260">
        <f t="shared" si="21"/>
        <v>0</v>
      </c>
      <c r="R38" s="279">
        <v>0</v>
      </c>
      <c r="S38" s="397">
        <v>0</v>
      </c>
      <c r="T38" s="216">
        <f t="shared" si="23"/>
        <v>0</v>
      </c>
    </row>
    <row r="39" spans="1:20" ht="19.5" x14ac:dyDescent="0.3">
      <c r="A39" s="147">
        <v>8</v>
      </c>
      <c r="B39" s="148" t="s">
        <v>67</v>
      </c>
      <c r="C39" s="472">
        <f t="shared" si="14"/>
        <v>0</v>
      </c>
      <c r="D39" s="473">
        <f t="shared" si="27"/>
        <v>0</v>
      </c>
      <c r="E39" s="151">
        <v>0</v>
      </c>
      <c r="F39" s="151">
        <v>0</v>
      </c>
      <c r="G39" s="151">
        <v>0</v>
      </c>
      <c r="H39" s="151">
        <v>0</v>
      </c>
      <c r="I39" s="151">
        <v>0</v>
      </c>
      <c r="J39" s="262">
        <f t="shared" si="16"/>
        <v>0</v>
      </c>
      <c r="K39" s="476">
        <f t="shared" si="17"/>
        <v>0</v>
      </c>
      <c r="L39" s="151">
        <v>0</v>
      </c>
      <c r="M39" s="260">
        <f t="shared" si="18"/>
        <v>0</v>
      </c>
      <c r="N39" s="260">
        <f t="shared" si="19"/>
        <v>0</v>
      </c>
      <c r="O39" s="151">
        <v>0</v>
      </c>
      <c r="P39" s="475">
        <f t="shared" si="20"/>
        <v>0</v>
      </c>
      <c r="Q39" s="260">
        <f t="shared" si="21"/>
        <v>0</v>
      </c>
      <c r="R39" s="278">
        <v>0</v>
      </c>
      <c r="S39" s="152">
        <v>0</v>
      </c>
      <c r="T39" s="216">
        <f t="shared" si="23"/>
        <v>0</v>
      </c>
    </row>
    <row r="40" spans="1:20" ht="19.5" x14ac:dyDescent="0.3">
      <c r="A40" s="147">
        <v>9</v>
      </c>
      <c r="B40" s="148" t="s">
        <v>68</v>
      </c>
      <c r="C40" s="472">
        <f t="shared" si="14"/>
        <v>0</v>
      </c>
      <c r="D40" s="473">
        <f t="shared" si="27"/>
        <v>0</v>
      </c>
      <c r="E40" s="151">
        <v>0</v>
      </c>
      <c r="F40" s="151">
        <v>0</v>
      </c>
      <c r="G40" s="151">
        <v>0</v>
      </c>
      <c r="H40" s="151">
        <v>0</v>
      </c>
      <c r="I40" s="151">
        <v>0</v>
      </c>
      <c r="J40" s="262">
        <f t="shared" si="16"/>
        <v>0</v>
      </c>
      <c r="K40" s="476">
        <f t="shared" si="17"/>
        <v>0</v>
      </c>
      <c r="L40" s="151">
        <v>0</v>
      </c>
      <c r="M40" s="260">
        <f t="shared" si="18"/>
        <v>0</v>
      </c>
      <c r="N40" s="260">
        <f t="shared" si="19"/>
        <v>0</v>
      </c>
      <c r="O40" s="151">
        <v>0</v>
      </c>
      <c r="P40" s="475">
        <f t="shared" si="20"/>
        <v>0</v>
      </c>
      <c r="Q40" s="260">
        <f t="shared" si="21"/>
        <v>0</v>
      </c>
      <c r="R40" s="278">
        <v>0</v>
      </c>
      <c r="S40" s="152">
        <v>0</v>
      </c>
      <c r="T40" s="216">
        <f t="shared" si="23"/>
        <v>0</v>
      </c>
    </row>
    <row r="41" spans="1:20" ht="19.5" x14ac:dyDescent="0.3">
      <c r="A41" s="147">
        <v>10</v>
      </c>
      <c r="B41" s="148" t="s">
        <v>69</v>
      </c>
      <c r="C41" s="472">
        <f t="shared" si="14"/>
        <v>0</v>
      </c>
      <c r="D41" s="473">
        <f t="shared" si="27"/>
        <v>0</v>
      </c>
      <c r="E41" s="151">
        <v>0</v>
      </c>
      <c r="F41" s="151">
        <v>0</v>
      </c>
      <c r="G41" s="151">
        <v>0</v>
      </c>
      <c r="H41" s="151">
        <v>0</v>
      </c>
      <c r="I41" s="151">
        <v>0</v>
      </c>
      <c r="J41" s="262">
        <f t="shared" si="16"/>
        <v>0</v>
      </c>
      <c r="K41" s="476">
        <f t="shared" si="17"/>
        <v>0</v>
      </c>
      <c r="L41" s="151">
        <v>0</v>
      </c>
      <c r="M41" s="260">
        <f t="shared" si="18"/>
        <v>0</v>
      </c>
      <c r="N41" s="260">
        <f t="shared" si="19"/>
        <v>0</v>
      </c>
      <c r="O41" s="151">
        <v>0</v>
      </c>
      <c r="P41" s="475">
        <f t="shared" si="20"/>
        <v>0</v>
      </c>
      <c r="Q41" s="260">
        <f t="shared" si="21"/>
        <v>0</v>
      </c>
      <c r="R41" s="279">
        <v>0</v>
      </c>
      <c r="S41" s="397">
        <v>0</v>
      </c>
      <c r="T41" s="216">
        <f t="shared" si="23"/>
        <v>0</v>
      </c>
    </row>
    <row r="42" spans="1:20" ht="19.5" x14ac:dyDescent="0.3">
      <c r="A42" s="147">
        <v>11</v>
      </c>
      <c r="B42" s="148" t="s">
        <v>70</v>
      </c>
      <c r="C42" s="472">
        <f t="shared" si="14"/>
        <v>0</v>
      </c>
      <c r="D42" s="473">
        <f t="shared" si="27"/>
        <v>0</v>
      </c>
      <c r="E42" s="151">
        <v>0</v>
      </c>
      <c r="F42" s="151">
        <v>0</v>
      </c>
      <c r="G42" s="151">
        <v>0</v>
      </c>
      <c r="H42" s="151">
        <v>0</v>
      </c>
      <c r="I42" s="151">
        <v>0</v>
      </c>
      <c r="J42" s="262">
        <f t="shared" si="16"/>
        <v>0</v>
      </c>
      <c r="K42" s="476">
        <f t="shared" si="17"/>
        <v>0</v>
      </c>
      <c r="L42" s="151">
        <v>0</v>
      </c>
      <c r="M42" s="260">
        <f t="shared" si="18"/>
        <v>0</v>
      </c>
      <c r="N42" s="260">
        <f t="shared" si="19"/>
        <v>0</v>
      </c>
      <c r="O42" s="151">
        <v>0</v>
      </c>
      <c r="P42" s="475">
        <f t="shared" si="20"/>
        <v>0</v>
      </c>
      <c r="Q42" s="260">
        <f t="shared" si="21"/>
        <v>0</v>
      </c>
      <c r="R42" s="278">
        <v>0</v>
      </c>
      <c r="S42" s="152">
        <v>0</v>
      </c>
      <c r="T42" s="216">
        <f t="shared" si="23"/>
        <v>0</v>
      </c>
    </row>
    <row r="43" spans="1:20" ht="19.5" x14ac:dyDescent="0.3">
      <c r="A43" s="147">
        <v>12</v>
      </c>
      <c r="B43" s="148" t="s">
        <v>71</v>
      </c>
      <c r="C43" s="472">
        <f t="shared" si="14"/>
        <v>0</v>
      </c>
      <c r="D43" s="473">
        <f t="shared" si="27"/>
        <v>0</v>
      </c>
      <c r="E43" s="151">
        <v>0</v>
      </c>
      <c r="F43" s="151">
        <v>0</v>
      </c>
      <c r="G43" s="151">
        <v>0</v>
      </c>
      <c r="H43" s="151">
        <v>0</v>
      </c>
      <c r="I43" s="151">
        <v>0</v>
      </c>
      <c r="J43" s="262">
        <f t="shared" si="16"/>
        <v>0</v>
      </c>
      <c r="K43" s="476">
        <f t="shared" si="17"/>
        <v>0</v>
      </c>
      <c r="L43" s="151">
        <v>0</v>
      </c>
      <c r="M43" s="260">
        <f t="shared" si="18"/>
        <v>0</v>
      </c>
      <c r="N43" s="260">
        <f t="shared" si="19"/>
        <v>0</v>
      </c>
      <c r="O43" s="151">
        <v>0</v>
      </c>
      <c r="P43" s="475">
        <f t="shared" si="20"/>
        <v>0</v>
      </c>
      <c r="Q43" s="260">
        <f t="shared" si="21"/>
        <v>0</v>
      </c>
      <c r="R43" s="278">
        <v>0</v>
      </c>
      <c r="S43" s="152">
        <v>0</v>
      </c>
      <c r="T43" s="216">
        <f t="shared" si="23"/>
        <v>0</v>
      </c>
    </row>
    <row r="44" spans="1:20" ht="19.5" x14ac:dyDescent="0.3">
      <c r="A44" s="147">
        <v>13</v>
      </c>
      <c r="B44" s="148" t="s">
        <v>72</v>
      </c>
      <c r="C44" s="472">
        <f t="shared" si="14"/>
        <v>0</v>
      </c>
      <c r="D44" s="473">
        <f t="shared" si="27"/>
        <v>0</v>
      </c>
      <c r="E44" s="151">
        <v>0</v>
      </c>
      <c r="F44" s="151">
        <v>0</v>
      </c>
      <c r="G44" s="151">
        <v>0</v>
      </c>
      <c r="H44" s="151">
        <v>0</v>
      </c>
      <c r="I44" s="151">
        <v>0</v>
      </c>
      <c r="J44" s="262">
        <f t="shared" si="16"/>
        <v>0</v>
      </c>
      <c r="K44" s="476">
        <f t="shared" si="17"/>
        <v>0</v>
      </c>
      <c r="L44" s="151">
        <v>0</v>
      </c>
      <c r="M44" s="260">
        <f t="shared" si="18"/>
        <v>0</v>
      </c>
      <c r="N44" s="260">
        <f t="shared" si="19"/>
        <v>0</v>
      </c>
      <c r="O44" s="151">
        <v>0</v>
      </c>
      <c r="P44" s="475">
        <f t="shared" si="20"/>
        <v>0</v>
      </c>
      <c r="Q44" s="260">
        <f t="shared" si="21"/>
        <v>0</v>
      </c>
      <c r="R44" s="278">
        <v>0</v>
      </c>
      <c r="S44" s="152">
        <v>0</v>
      </c>
      <c r="T44" s="216">
        <f t="shared" si="23"/>
        <v>0</v>
      </c>
    </row>
    <row r="45" spans="1:20" ht="19.5" x14ac:dyDescent="0.3">
      <c r="A45" s="147">
        <v>14</v>
      </c>
      <c r="B45" s="148" t="s">
        <v>73</v>
      </c>
      <c r="C45" s="472">
        <f t="shared" si="14"/>
        <v>0</v>
      </c>
      <c r="D45" s="473">
        <f t="shared" si="27"/>
        <v>0</v>
      </c>
      <c r="E45" s="151">
        <v>0</v>
      </c>
      <c r="F45" s="151">
        <v>0</v>
      </c>
      <c r="G45" s="151">
        <v>0</v>
      </c>
      <c r="H45" s="151">
        <v>0</v>
      </c>
      <c r="I45" s="151">
        <v>0</v>
      </c>
      <c r="J45" s="262">
        <f t="shared" si="16"/>
        <v>0</v>
      </c>
      <c r="K45" s="476">
        <f t="shared" si="17"/>
        <v>0</v>
      </c>
      <c r="L45" s="151">
        <v>0</v>
      </c>
      <c r="M45" s="260">
        <f t="shared" si="18"/>
        <v>0</v>
      </c>
      <c r="N45" s="260">
        <f t="shared" si="19"/>
        <v>0</v>
      </c>
      <c r="O45" s="151">
        <v>0</v>
      </c>
      <c r="P45" s="475">
        <f t="shared" si="20"/>
        <v>0</v>
      </c>
      <c r="Q45" s="260">
        <f t="shared" si="21"/>
        <v>0</v>
      </c>
      <c r="R45" s="278">
        <v>0</v>
      </c>
      <c r="S45" s="152">
        <v>0</v>
      </c>
      <c r="T45" s="216">
        <f t="shared" si="23"/>
        <v>0</v>
      </c>
    </row>
    <row r="46" spans="1:20" ht="19.5" x14ac:dyDescent="0.3">
      <c r="A46" s="147">
        <v>15</v>
      </c>
      <c r="B46" s="148" t="s">
        <v>74</v>
      </c>
      <c r="C46" s="472">
        <f t="shared" si="14"/>
        <v>0</v>
      </c>
      <c r="D46" s="473">
        <f t="shared" si="27"/>
        <v>0</v>
      </c>
      <c r="E46" s="151">
        <v>0</v>
      </c>
      <c r="F46" s="151">
        <v>0</v>
      </c>
      <c r="G46" s="151">
        <v>0</v>
      </c>
      <c r="H46" s="151">
        <v>0</v>
      </c>
      <c r="I46" s="151">
        <v>0</v>
      </c>
      <c r="J46" s="262">
        <f t="shared" si="16"/>
        <v>0</v>
      </c>
      <c r="K46" s="476">
        <f t="shared" si="17"/>
        <v>0</v>
      </c>
      <c r="L46" s="151">
        <v>0</v>
      </c>
      <c r="M46" s="260">
        <f t="shared" si="18"/>
        <v>0</v>
      </c>
      <c r="N46" s="260">
        <f t="shared" si="19"/>
        <v>0</v>
      </c>
      <c r="O46" s="151">
        <v>0</v>
      </c>
      <c r="P46" s="475">
        <f t="shared" si="20"/>
        <v>0</v>
      </c>
      <c r="Q46" s="260">
        <f t="shared" si="21"/>
        <v>0</v>
      </c>
      <c r="R46" s="278">
        <v>0</v>
      </c>
      <c r="S46" s="152">
        <v>0</v>
      </c>
      <c r="T46" s="216">
        <f t="shared" si="23"/>
        <v>0</v>
      </c>
    </row>
    <row r="47" spans="1:20" ht="19.5" x14ac:dyDescent="0.3">
      <c r="A47" s="147">
        <v>16</v>
      </c>
      <c r="B47" s="148" t="s">
        <v>75</v>
      </c>
      <c r="C47" s="472">
        <f t="shared" si="14"/>
        <v>0</v>
      </c>
      <c r="D47" s="473">
        <f t="shared" si="27"/>
        <v>0</v>
      </c>
      <c r="E47" s="151">
        <v>0</v>
      </c>
      <c r="F47" s="151">
        <v>0</v>
      </c>
      <c r="G47" s="151">
        <v>0</v>
      </c>
      <c r="H47" s="151">
        <v>0</v>
      </c>
      <c r="I47" s="151">
        <v>0</v>
      </c>
      <c r="J47" s="262">
        <f t="shared" si="16"/>
        <v>0</v>
      </c>
      <c r="K47" s="476">
        <f t="shared" si="17"/>
        <v>0</v>
      </c>
      <c r="L47" s="151">
        <v>0</v>
      </c>
      <c r="M47" s="260">
        <f t="shared" si="18"/>
        <v>0</v>
      </c>
      <c r="N47" s="260">
        <f t="shared" si="19"/>
        <v>0</v>
      </c>
      <c r="O47" s="151">
        <v>0</v>
      </c>
      <c r="P47" s="475">
        <f t="shared" si="20"/>
        <v>0</v>
      </c>
      <c r="Q47" s="260">
        <f t="shared" si="21"/>
        <v>0</v>
      </c>
      <c r="R47" s="279">
        <v>0</v>
      </c>
      <c r="S47" s="397">
        <v>0</v>
      </c>
      <c r="T47" s="216">
        <f t="shared" si="23"/>
        <v>0</v>
      </c>
    </row>
    <row r="48" spans="1:20" ht="19.5" x14ac:dyDescent="0.3">
      <c r="A48" s="147">
        <v>17</v>
      </c>
      <c r="B48" s="148" t="s">
        <v>76</v>
      </c>
      <c r="C48" s="472">
        <f t="shared" si="14"/>
        <v>0</v>
      </c>
      <c r="D48" s="473">
        <f t="shared" si="27"/>
        <v>0</v>
      </c>
      <c r="E48" s="151">
        <v>0</v>
      </c>
      <c r="F48" s="151">
        <v>0</v>
      </c>
      <c r="G48" s="151">
        <v>0</v>
      </c>
      <c r="H48" s="151">
        <v>0</v>
      </c>
      <c r="I48" s="151">
        <v>0</v>
      </c>
      <c r="J48" s="262">
        <f t="shared" si="16"/>
        <v>0</v>
      </c>
      <c r="K48" s="476">
        <f t="shared" si="17"/>
        <v>0</v>
      </c>
      <c r="L48" s="151">
        <v>0</v>
      </c>
      <c r="M48" s="260">
        <f t="shared" si="18"/>
        <v>0</v>
      </c>
      <c r="N48" s="260">
        <f t="shared" si="19"/>
        <v>0</v>
      </c>
      <c r="O48" s="151">
        <v>0</v>
      </c>
      <c r="P48" s="475">
        <f t="shared" si="20"/>
        <v>0</v>
      </c>
      <c r="Q48" s="260">
        <f t="shared" si="21"/>
        <v>0</v>
      </c>
      <c r="R48" s="278">
        <v>0</v>
      </c>
      <c r="S48" s="152">
        <v>0</v>
      </c>
      <c r="T48" s="216">
        <f t="shared" si="23"/>
        <v>0</v>
      </c>
    </row>
    <row r="49" spans="1:21" ht="19.5" x14ac:dyDescent="0.3">
      <c r="A49" s="147">
        <v>18</v>
      </c>
      <c r="B49" s="148" t="s">
        <v>77</v>
      </c>
      <c r="C49" s="472">
        <f t="shared" si="14"/>
        <v>0</v>
      </c>
      <c r="D49" s="473">
        <f t="shared" si="27"/>
        <v>0</v>
      </c>
      <c r="E49" s="151">
        <v>0</v>
      </c>
      <c r="F49" s="151">
        <v>0</v>
      </c>
      <c r="G49" s="151">
        <v>0</v>
      </c>
      <c r="H49" s="151">
        <v>0</v>
      </c>
      <c r="I49" s="151">
        <v>0</v>
      </c>
      <c r="J49" s="262">
        <f t="shared" si="16"/>
        <v>0</v>
      </c>
      <c r="K49" s="476">
        <f t="shared" si="17"/>
        <v>0</v>
      </c>
      <c r="L49" s="151">
        <v>0</v>
      </c>
      <c r="M49" s="260">
        <f t="shared" si="18"/>
        <v>0</v>
      </c>
      <c r="N49" s="260">
        <f t="shared" si="19"/>
        <v>0</v>
      </c>
      <c r="O49" s="151">
        <v>0</v>
      </c>
      <c r="P49" s="475">
        <f t="shared" si="20"/>
        <v>0</v>
      </c>
      <c r="Q49" s="260">
        <f t="shared" si="21"/>
        <v>0</v>
      </c>
      <c r="R49" s="278">
        <v>0</v>
      </c>
      <c r="S49" s="152">
        <v>0</v>
      </c>
      <c r="T49" s="216">
        <f t="shared" si="23"/>
        <v>0</v>
      </c>
    </row>
    <row r="50" spans="1:21" ht="19.5" x14ac:dyDescent="0.3">
      <c r="A50" s="147">
        <v>19</v>
      </c>
      <c r="B50" s="148" t="s">
        <v>78</v>
      </c>
      <c r="C50" s="472">
        <f t="shared" si="14"/>
        <v>0</v>
      </c>
      <c r="D50" s="473">
        <f t="shared" si="27"/>
        <v>0</v>
      </c>
      <c r="E50" s="151">
        <v>0</v>
      </c>
      <c r="F50" s="151">
        <v>0</v>
      </c>
      <c r="G50" s="151">
        <v>0</v>
      </c>
      <c r="H50" s="151">
        <v>0</v>
      </c>
      <c r="I50" s="151">
        <v>0</v>
      </c>
      <c r="J50" s="262">
        <f t="shared" si="16"/>
        <v>0</v>
      </c>
      <c r="K50" s="476">
        <f t="shared" si="17"/>
        <v>0</v>
      </c>
      <c r="L50" s="151">
        <v>0</v>
      </c>
      <c r="M50" s="260">
        <f t="shared" si="18"/>
        <v>0</v>
      </c>
      <c r="N50" s="260">
        <f t="shared" si="19"/>
        <v>0</v>
      </c>
      <c r="O50" s="151">
        <v>0</v>
      </c>
      <c r="P50" s="475">
        <f t="shared" si="20"/>
        <v>0</v>
      </c>
      <c r="Q50" s="260">
        <f t="shared" si="21"/>
        <v>0</v>
      </c>
      <c r="R50" s="278">
        <v>0</v>
      </c>
      <c r="S50" s="152">
        <v>0</v>
      </c>
      <c r="T50" s="216">
        <f t="shared" si="23"/>
        <v>0</v>
      </c>
    </row>
    <row r="51" spans="1:21" ht="19.5" x14ac:dyDescent="0.3">
      <c r="A51" s="155">
        <v>20</v>
      </c>
      <c r="B51" s="156" t="s">
        <v>79</v>
      </c>
      <c r="C51" s="477">
        <f t="shared" si="14"/>
        <v>0</v>
      </c>
      <c r="D51" s="478">
        <f t="shared" si="27"/>
        <v>0</v>
      </c>
      <c r="E51" s="159">
        <v>0</v>
      </c>
      <c r="F51" s="159">
        <v>0</v>
      </c>
      <c r="G51" s="159">
        <v>0</v>
      </c>
      <c r="H51" s="159">
        <v>0</v>
      </c>
      <c r="I51" s="159">
        <v>0</v>
      </c>
      <c r="J51" s="479">
        <f t="shared" si="16"/>
        <v>0</v>
      </c>
      <c r="K51" s="480">
        <f t="shared" si="17"/>
        <v>0</v>
      </c>
      <c r="L51" s="159">
        <v>0</v>
      </c>
      <c r="M51" s="481">
        <f t="shared" si="18"/>
        <v>0</v>
      </c>
      <c r="N51" s="481">
        <f t="shared" si="19"/>
        <v>0</v>
      </c>
      <c r="O51" s="159">
        <v>0</v>
      </c>
      <c r="P51" s="482">
        <f t="shared" si="20"/>
        <v>0</v>
      </c>
      <c r="Q51" s="481">
        <f t="shared" si="21"/>
        <v>0</v>
      </c>
      <c r="R51" s="280">
        <v>0</v>
      </c>
      <c r="S51" s="191">
        <v>0</v>
      </c>
      <c r="T51" s="218">
        <f t="shared" si="23"/>
        <v>0</v>
      </c>
    </row>
    <row r="52" spans="1:21" ht="19.5" x14ac:dyDescent="0.3">
      <c r="A52" s="716" t="s">
        <v>80</v>
      </c>
      <c r="B52" s="662"/>
      <c r="C52" s="601">
        <f t="shared" si="14"/>
        <v>0</v>
      </c>
      <c r="D52" s="601">
        <f t="shared" ref="D52:I52" si="28">SUM(D53:D73)</f>
        <v>0</v>
      </c>
      <c r="E52" s="601">
        <f t="shared" si="28"/>
        <v>0</v>
      </c>
      <c r="F52" s="601">
        <f t="shared" si="28"/>
        <v>0</v>
      </c>
      <c r="G52" s="601">
        <f t="shared" si="28"/>
        <v>0</v>
      </c>
      <c r="H52" s="601">
        <f t="shared" si="28"/>
        <v>0</v>
      </c>
      <c r="I52" s="601">
        <f t="shared" si="28"/>
        <v>0</v>
      </c>
      <c r="J52" s="601">
        <f t="shared" si="16"/>
        <v>0</v>
      </c>
      <c r="K52" s="602">
        <f t="shared" si="17"/>
        <v>0</v>
      </c>
      <c r="L52" s="601">
        <f>SUM(L53:L73)</f>
        <v>0</v>
      </c>
      <c r="M52" s="603">
        <f t="shared" si="18"/>
        <v>0</v>
      </c>
      <c r="N52" s="603">
        <f t="shared" si="19"/>
        <v>0</v>
      </c>
      <c r="O52" s="604">
        <f>SUM(O53:O73)</f>
        <v>0</v>
      </c>
      <c r="P52" s="604">
        <f t="shared" si="20"/>
        <v>0</v>
      </c>
      <c r="Q52" s="603">
        <f t="shared" si="21"/>
        <v>0</v>
      </c>
      <c r="R52" s="282">
        <f t="shared" ref="R52:S52" si="29">SUM(R53:R73)</f>
        <v>0</v>
      </c>
      <c r="S52" s="369">
        <f t="shared" si="29"/>
        <v>0</v>
      </c>
      <c r="T52" s="94">
        <f t="shared" si="23"/>
        <v>0</v>
      </c>
      <c r="U52" s="600"/>
    </row>
    <row r="53" spans="1:21" ht="19.5" x14ac:dyDescent="0.3">
      <c r="A53" s="147">
        <v>1</v>
      </c>
      <c r="B53" s="148" t="s">
        <v>81</v>
      </c>
      <c r="C53" s="472">
        <f t="shared" si="14"/>
        <v>0</v>
      </c>
      <c r="D53" s="473">
        <f t="shared" ref="D53:D73" si="30">+E53+F53</f>
        <v>0</v>
      </c>
      <c r="E53" s="151">
        <v>0</v>
      </c>
      <c r="F53" s="151">
        <v>0</v>
      </c>
      <c r="G53" s="152">
        <v>0</v>
      </c>
      <c r="H53" s="152">
        <v>0</v>
      </c>
      <c r="I53" s="152">
        <v>0</v>
      </c>
      <c r="J53" s="251">
        <f t="shared" si="16"/>
        <v>0</v>
      </c>
      <c r="K53" s="474">
        <f t="shared" si="17"/>
        <v>0</v>
      </c>
      <c r="L53" s="152">
        <v>0</v>
      </c>
      <c r="M53" s="260">
        <f t="shared" si="18"/>
        <v>0</v>
      </c>
      <c r="N53" s="260">
        <f t="shared" si="19"/>
        <v>0</v>
      </c>
      <c r="O53" s="151">
        <v>0</v>
      </c>
      <c r="P53" s="475">
        <f t="shared" si="20"/>
        <v>0</v>
      </c>
      <c r="Q53" s="260">
        <f t="shared" si="21"/>
        <v>0</v>
      </c>
      <c r="R53" s="278">
        <v>0</v>
      </c>
      <c r="S53" s="152">
        <v>0</v>
      </c>
      <c r="T53" s="216">
        <f t="shared" si="23"/>
        <v>0</v>
      </c>
    </row>
    <row r="54" spans="1:21" ht="19.5" x14ac:dyDescent="0.3">
      <c r="A54" s="147">
        <v>2</v>
      </c>
      <c r="B54" s="148" t="s">
        <v>82</v>
      </c>
      <c r="C54" s="472">
        <f t="shared" si="14"/>
        <v>0</v>
      </c>
      <c r="D54" s="473">
        <f t="shared" si="30"/>
        <v>0</v>
      </c>
      <c r="E54" s="151">
        <v>0</v>
      </c>
      <c r="F54" s="151">
        <v>0</v>
      </c>
      <c r="G54" s="151">
        <v>0</v>
      </c>
      <c r="H54" s="151">
        <v>0</v>
      </c>
      <c r="I54" s="151">
        <v>0</v>
      </c>
      <c r="J54" s="262">
        <f t="shared" si="16"/>
        <v>0</v>
      </c>
      <c r="K54" s="476">
        <f t="shared" si="17"/>
        <v>0</v>
      </c>
      <c r="L54" s="151">
        <v>0</v>
      </c>
      <c r="M54" s="260">
        <f t="shared" si="18"/>
        <v>0</v>
      </c>
      <c r="N54" s="260">
        <f t="shared" si="19"/>
        <v>0</v>
      </c>
      <c r="O54" s="151">
        <v>0</v>
      </c>
      <c r="P54" s="475">
        <f t="shared" si="20"/>
        <v>0</v>
      </c>
      <c r="Q54" s="260">
        <f t="shared" si="21"/>
        <v>0</v>
      </c>
      <c r="R54" s="278">
        <v>0</v>
      </c>
      <c r="S54" s="152">
        <v>0</v>
      </c>
      <c r="T54" s="216">
        <f t="shared" si="23"/>
        <v>0</v>
      </c>
    </row>
    <row r="55" spans="1:21" ht="19.5" x14ac:dyDescent="0.3">
      <c r="A55" s="147">
        <v>3</v>
      </c>
      <c r="B55" s="148" t="s">
        <v>83</v>
      </c>
      <c r="C55" s="472">
        <f t="shared" si="14"/>
        <v>0</v>
      </c>
      <c r="D55" s="473">
        <f t="shared" si="30"/>
        <v>0</v>
      </c>
      <c r="E55" s="151">
        <v>0</v>
      </c>
      <c r="F55" s="151">
        <v>0</v>
      </c>
      <c r="G55" s="151">
        <v>0</v>
      </c>
      <c r="H55" s="151">
        <v>0</v>
      </c>
      <c r="I55" s="151">
        <v>0</v>
      </c>
      <c r="J55" s="262">
        <f t="shared" si="16"/>
        <v>0</v>
      </c>
      <c r="K55" s="476">
        <f t="shared" si="17"/>
        <v>0</v>
      </c>
      <c r="L55" s="151">
        <v>0</v>
      </c>
      <c r="M55" s="260">
        <f t="shared" si="18"/>
        <v>0</v>
      </c>
      <c r="N55" s="260">
        <f t="shared" si="19"/>
        <v>0</v>
      </c>
      <c r="O55" s="151">
        <v>0</v>
      </c>
      <c r="P55" s="475">
        <f t="shared" si="20"/>
        <v>0</v>
      </c>
      <c r="Q55" s="260">
        <f t="shared" si="21"/>
        <v>0</v>
      </c>
      <c r="R55" s="278">
        <v>0</v>
      </c>
      <c r="S55" s="152">
        <v>0</v>
      </c>
      <c r="T55" s="216">
        <f t="shared" si="23"/>
        <v>0</v>
      </c>
    </row>
    <row r="56" spans="1:21" ht="19.5" x14ac:dyDescent="0.3">
      <c r="A56" s="147">
        <v>4</v>
      </c>
      <c r="B56" s="148" t="s">
        <v>84</v>
      </c>
      <c r="C56" s="472">
        <f t="shared" si="14"/>
        <v>0</v>
      </c>
      <c r="D56" s="473">
        <f t="shared" si="30"/>
        <v>0</v>
      </c>
      <c r="E56" s="151">
        <v>0</v>
      </c>
      <c r="F56" s="151">
        <v>0</v>
      </c>
      <c r="G56" s="151">
        <v>0</v>
      </c>
      <c r="H56" s="151">
        <v>0</v>
      </c>
      <c r="I56" s="151">
        <v>0</v>
      </c>
      <c r="J56" s="262">
        <f t="shared" si="16"/>
        <v>0</v>
      </c>
      <c r="K56" s="476">
        <f t="shared" si="17"/>
        <v>0</v>
      </c>
      <c r="L56" s="151">
        <v>0</v>
      </c>
      <c r="M56" s="260">
        <f t="shared" si="18"/>
        <v>0</v>
      </c>
      <c r="N56" s="260">
        <f t="shared" si="19"/>
        <v>0</v>
      </c>
      <c r="O56" s="151">
        <v>0</v>
      </c>
      <c r="P56" s="475">
        <f t="shared" si="20"/>
        <v>0</v>
      </c>
      <c r="Q56" s="260">
        <f t="shared" si="21"/>
        <v>0</v>
      </c>
      <c r="R56" s="278">
        <v>0</v>
      </c>
      <c r="S56" s="152">
        <v>0</v>
      </c>
      <c r="T56" s="216">
        <f t="shared" si="23"/>
        <v>0</v>
      </c>
    </row>
    <row r="57" spans="1:21" ht="19.5" x14ac:dyDescent="0.3">
      <c r="A57" s="147">
        <v>5</v>
      </c>
      <c r="B57" s="148" t="s">
        <v>85</v>
      </c>
      <c r="C57" s="472">
        <f t="shared" si="14"/>
        <v>0</v>
      </c>
      <c r="D57" s="473">
        <f t="shared" si="30"/>
        <v>0</v>
      </c>
      <c r="E57" s="151">
        <v>0</v>
      </c>
      <c r="F57" s="151">
        <v>0</v>
      </c>
      <c r="G57" s="151">
        <v>0</v>
      </c>
      <c r="H57" s="151">
        <v>0</v>
      </c>
      <c r="I57" s="151">
        <v>0</v>
      </c>
      <c r="J57" s="262">
        <f t="shared" si="16"/>
        <v>0</v>
      </c>
      <c r="K57" s="476">
        <f t="shared" si="17"/>
        <v>0</v>
      </c>
      <c r="L57" s="151">
        <v>0</v>
      </c>
      <c r="M57" s="260">
        <f t="shared" si="18"/>
        <v>0</v>
      </c>
      <c r="N57" s="260">
        <f t="shared" si="19"/>
        <v>0</v>
      </c>
      <c r="O57" s="151">
        <v>0</v>
      </c>
      <c r="P57" s="475">
        <f t="shared" si="20"/>
        <v>0</v>
      </c>
      <c r="Q57" s="260">
        <f t="shared" si="21"/>
        <v>0</v>
      </c>
      <c r="R57" s="278">
        <v>0</v>
      </c>
      <c r="S57" s="152">
        <v>0</v>
      </c>
      <c r="T57" s="216">
        <f t="shared" si="23"/>
        <v>0</v>
      </c>
    </row>
    <row r="58" spans="1:21" ht="19.5" x14ac:dyDescent="0.3">
      <c r="A58" s="147">
        <v>6</v>
      </c>
      <c r="B58" s="148" t="s">
        <v>86</v>
      </c>
      <c r="C58" s="472">
        <f t="shared" si="14"/>
        <v>0</v>
      </c>
      <c r="D58" s="473">
        <f t="shared" si="30"/>
        <v>0</v>
      </c>
      <c r="E58" s="151">
        <v>0</v>
      </c>
      <c r="F58" s="151">
        <v>0</v>
      </c>
      <c r="G58" s="151">
        <v>0</v>
      </c>
      <c r="H58" s="151">
        <v>0</v>
      </c>
      <c r="I58" s="151">
        <v>0</v>
      </c>
      <c r="J58" s="262">
        <f t="shared" si="16"/>
        <v>0</v>
      </c>
      <c r="K58" s="476">
        <f t="shared" si="17"/>
        <v>0</v>
      </c>
      <c r="L58" s="151">
        <v>0</v>
      </c>
      <c r="M58" s="260">
        <f t="shared" si="18"/>
        <v>0</v>
      </c>
      <c r="N58" s="260">
        <f t="shared" si="19"/>
        <v>0</v>
      </c>
      <c r="O58" s="151">
        <v>0</v>
      </c>
      <c r="P58" s="475">
        <f t="shared" si="20"/>
        <v>0</v>
      </c>
      <c r="Q58" s="260">
        <f t="shared" si="21"/>
        <v>0</v>
      </c>
      <c r="R58" s="278">
        <v>0</v>
      </c>
      <c r="S58" s="152">
        <v>0</v>
      </c>
      <c r="T58" s="216">
        <f t="shared" si="23"/>
        <v>0</v>
      </c>
    </row>
    <row r="59" spans="1:21" ht="19.5" x14ac:dyDescent="0.3">
      <c r="A59" s="147">
        <v>7</v>
      </c>
      <c r="B59" s="148" t="s">
        <v>87</v>
      </c>
      <c r="C59" s="472">
        <f t="shared" si="14"/>
        <v>0</v>
      </c>
      <c r="D59" s="473">
        <f t="shared" si="30"/>
        <v>0</v>
      </c>
      <c r="E59" s="151">
        <v>0</v>
      </c>
      <c r="F59" s="151">
        <v>0</v>
      </c>
      <c r="G59" s="151">
        <v>0</v>
      </c>
      <c r="H59" s="151">
        <v>0</v>
      </c>
      <c r="I59" s="151">
        <v>0</v>
      </c>
      <c r="J59" s="262">
        <f t="shared" si="16"/>
        <v>0</v>
      </c>
      <c r="K59" s="476">
        <f t="shared" si="17"/>
        <v>0</v>
      </c>
      <c r="L59" s="151">
        <v>0</v>
      </c>
      <c r="M59" s="260">
        <f t="shared" si="18"/>
        <v>0</v>
      </c>
      <c r="N59" s="260">
        <f t="shared" si="19"/>
        <v>0</v>
      </c>
      <c r="O59" s="151">
        <v>0</v>
      </c>
      <c r="P59" s="475">
        <f t="shared" si="20"/>
        <v>0</v>
      </c>
      <c r="Q59" s="260">
        <f t="shared" si="21"/>
        <v>0</v>
      </c>
      <c r="R59" s="278">
        <v>0</v>
      </c>
      <c r="S59" s="152">
        <v>0</v>
      </c>
      <c r="T59" s="216">
        <f t="shared" si="23"/>
        <v>0</v>
      </c>
    </row>
    <row r="60" spans="1:21" ht="19.5" x14ac:dyDescent="0.3">
      <c r="A60" s="147">
        <v>8</v>
      </c>
      <c r="B60" s="148" t="s">
        <v>88</v>
      </c>
      <c r="C60" s="472">
        <f t="shared" si="14"/>
        <v>0</v>
      </c>
      <c r="D60" s="473">
        <f t="shared" si="30"/>
        <v>0</v>
      </c>
      <c r="E60" s="151">
        <v>0</v>
      </c>
      <c r="F60" s="151">
        <v>0</v>
      </c>
      <c r="G60" s="151">
        <v>0</v>
      </c>
      <c r="H60" s="151">
        <v>0</v>
      </c>
      <c r="I60" s="151">
        <v>0</v>
      </c>
      <c r="J60" s="262">
        <f t="shared" si="16"/>
        <v>0</v>
      </c>
      <c r="K60" s="476">
        <f t="shared" si="17"/>
        <v>0</v>
      </c>
      <c r="L60" s="151">
        <v>0</v>
      </c>
      <c r="M60" s="260">
        <f t="shared" si="18"/>
        <v>0</v>
      </c>
      <c r="N60" s="260">
        <f t="shared" si="19"/>
        <v>0</v>
      </c>
      <c r="O60" s="151">
        <v>0</v>
      </c>
      <c r="P60" s="475">
        <f t="shared" si="20"/>
        <v>0</v>
      </c>
      <c r="Q60" s="260">
        <f t="shared" si="21"/>
        <v>0</v>
      </c>
      <c r="R60" s="278">
        <v>0</v>
      </c>
      <c r="S60" s="152">
        <v>0</v>
      </c>
      <c r="T60" s="216">
        <f t="shared" si="23"/>
        <v>0</v>
      </c>
    </row>
    <row r="61" spans="1:21" ht="19.5" x14ac:dyDescent="0.3">
      <c r="A61" s="147">
        <v>9</v>
      </c>
      <c r="B61" s="148" t="s">
        <v>89</v>
      </c>
      <c r="C61" s="472">
        <f t="shared" si="14"/>
        <v>0</v>
      </c>
      <c r="D61" s="473">
        <f t="shared" si="30"/>
        <v>0</v>
      </c>
      <c r="E61" s="151">
        <v>0</v>
      </c>
      <c r="F61" s="151">
        <v>0</v>
      </c>
      <c r="G61" s="151">
        <v>0</v>
      </c>
      <c r="H61" s="151">
        <v>0</v>
      </c>
      <c r="I61" s="151">
        <v>0</v>
      </c>
      <c r="J61" s="262">
        <f t="shared" si="16"/>
        <v>0</v>
      </c>
      <c r="K61" s="476">
        <f t="shared" si="17"/>
        <v>0</v>
      </c>
      <c r="L61" s="151">
        <v>0</v>
      </c>
      <c r="M61" s="260">
        <f t="shared" si="18"/>
        <v>0</v>
      </c>
      <c r="N61" s="260">
        <f t="shared" si="19"/>
        <v>0</v>
      </c>
      <c r="O61" s="151">
        <v>0</v>
      </c>
      <c r="P61" s="475">
        <f t="shared" si="20"/>
        <v>0</v>
      </c>
      <c r="Q61" s="260">
        <f t="shared" si="21"/>
        <v>0</v>
      </c>
      <c r="R61" s="278">
        <v>0</v>
      </c>
      <c r="S61" s="152">
        <v>0</v>
      </c>
      <c r="T61" s="216">
        <f t="shared" si="23"/>
        <v>0</v>
      </c>
    </row>
    <row r="62" spans="1:21" ht="19.5" x14ac:dyDescent="0.3">
      <c r="A62" s="147">
        <v>10</v>
      </c>
      <c r="B62" s="148" t="s">
        <v>90</v>
      </c>
      <c r="C62" s="472">
        <f t="shared" si="14"/>
        <v>0</v>
      </c>
      <c r="D62" s="473">
        <f t="shared" si="30"/>
        <v>0</v>
      </c>
      <c r="E62" s="151">
        <v>0</v>
      </c>
      <c r="F62" s="151">
        <v>0</v>
      </c>
      <c r="G62" s="151">
        <v>0</v>
      </c>
      <c r="H62" s="151">
        <v>0</v>
      </c>
      <c r="I62" s="151">
        <v>0</v>
      </c>
      <c r="J62" s="262">
        <f t="shared" si="16"/>
        <v>0</v>
      </c>
      <c r="K62" s="476">
        <f t="shared" si="17"/>
        <v>0</v>
      </c>
      <c r="L62" s="151">
        <v>0</v>
      </c>
      <c r="M62" s="260">
        <f t="shared" si="18"/>
        <v>0</v>
      </c>
      <c r="N62" s="260">
        <f t="shared" si="19"/>
        <v>0</v>
      </c>
      <c r="O62" s="151">
        <v>0</v>
      </c>
      <c r="P62" s="475">
        <f t="shared" si="20"/>
        <v>0</v>
      </c>
      <c r="Q62" s="260">
        <f t="shared" si="21"/>
        <v>0</v>
      </c>
      <c r="R62" s="278">
        <v>0</v>
      </c>
      <c r="S62" s="152">
        <v>0</v>
      </c>
      <c r="T62" s="216">
        <f t="shared" si="23"/>
        <v>0</v>
      </c>
    </row>
    <row r="63" spans="1:21" ht="19.5" x14ac:dyDescent="0.3">
      <c r="A63" s="147">
        <v>11</v>
      </c>
      <c r="B63" s="148" t="s">
        <v>91</v>
      </c>
      <c r="C63" s="472">
        <f t="shared" si="14"/>
        <v>0</v>
      </c>
      <c r="D63" s="473">
        <f t="shared" si="30"/>
        <v>0</v>
      </c>
      <c r="E63" s="151">
        <v>0</v>
      </c>
      <c r="F63" s="151">
        <v>0</v>
      </c>
      <c r="G63" s="151">
        <v>0</v>
      </c>
      <c r="H63" s="151">
        <v>0</v>
      </c>
      <c r="I63" s="151">
        <v>0</v>
      </c>
      <c r="J63" s="262">
        <f t="shared" si="16"/>
        <v>0</v>
      </c>
      <c r="K63" s="476">
        <f t="shared" si="17"/>
        <v>0</v>
      </c>
      <c r="L63" s="151">
        <v>0</v>
      </c>
      <c r="M63" s="260">
        <f t="shared" si="18"/>
        <v>0</v>
      </c>
      <c r="N63" s="260">
        <f t="shared" si="19"/>
        <v>0</v>
      </c>
      <c r="O63" s="151">
        <v>0</v>
      </c>
      <c r="P63" s="475">
        <f t="shared" si="20"/>
        <v>0</v>
      </c>
      <c r="Q63" s="260">
        <f t="shared" si="21"/>
        <v>0</v>
      </c>
      <c r="R63" s="278">
        <v>0</v>
      </c>
      <c r="S63" s="152">
        <v>0</v>
      </c>
      <c r="T63" s="216">
        <f t="shared" si="23"/>
        <v>0</v>
      </c>
    </row>
    <row r="64" spans="1:21" ht="19.5" x14ac:dyDescent="0.3">
      <c r="A64" s="147">
        <v>12</v>
      </c>
      <c r="B64" s="148" t="s">
        <v>92</v>
      </c>
      <c r="C64" s="472">
        <f t="shared" si="14"/>
        <v>0</v>
      </c>
      <c r="D64" s="473">
        <f t="shared" si="30"/>
        <v>0</v>
      </c>
      <c r="E64" s="151">
        <v>0</v>
      </c>
      <c r="F64" s="151">
        <v>0</v>
      </c>
      <c r="G64" s="151">
        <v>0</v>
      </c>
      <c r="H64" s="151">
        <v>0</v>
      </c>
      <c r="I64" s="151">
        <v>0</v>
      </c>
      <c r="J64" s="262">
        <f t="shared" si="16"/>
        <v>0</v>
      </c>
      <c r="K64" s="476">
        <f t="shared" si="17"/>
        <v>0</v>
      </c>
      <c r="L64" s="151">
        <v>0</v>
      </c>
      <c r="M64" s="260">
        <f t="shared" si="18"/>
        <v>0</v>
      </c>
      <c r="N64" s="260">
        <f t="shared" si="19"/>
        <v>0</v>
      </c>
      <c r="O64" s="151">
        <v>0</v>
      </c>
      <c r="P64" s="475">
        <f t="shared" si="20"/>
        <v>0</v>
      </c>
      <c r="Q64" s="260">
        <f t="shared" si="21"/>
        <v>0</v>
      </c>
      <c r="R64" s="278">
        <v>0</v>
      </c>
      <c r="S64" s="152">
        <v>0</v>
      </c>
      <c r="T64" s="216">
        <f t="shared" si="23"/>
        <v>0</v>
      </c>
    </row>
    <row r="65" spans="1:21" ht="19.5" x14ac:dyDescent="0.3">
      <c r="A65" s="147">
        <v>13</v>
      </c>
      <c r="B65" s="148" t="s">
        <v>93</v>
      </c>
      <c r="C65" s="472">
        <f t="shared" si="14"/>
        <v>0</v>
      </c>
      <c r="D65" s="473">
        <f t="shared" si="30"/>
        <v>0</v>
      </c>
      <c r="E65" s="151">
        <v>0</v>
      </c>
      <c r="F65" s="151">
        <v>0</v>
      </c>
      <c r="G65" s="151">
        <v>0</v>
      </c>
      <c r="H65" s="151">
        <v>0</v>
      </c>
      <c r="I65" s="151">
        <v>0</v>
      </c>
      <c r="J65" s="262">
        <f t="shared" si="16"/>
        <v>0</v>
      </c>
      <c r="K65" s="476">
        <f t="shared" si="17"/>
        <v>0</v>
      </c>
      <c r="L65" s="151">
        <v>0</v>
      </c>
      <c r="M65" s="260">
        <f t="shared" si="18"/>
        <v>0</v>
      </c>
      <c r="N65" s="260">
        <f t="shared" si="19"/>
        <v>0</v>
      </c>
      <c r="O65" s="151">
        <v>0</v>
      </c>
      <c r="P65" s="475">
        <f t="shared" si="20"/>
        <v>0</v>
      </c>
      <c r="Q65" s="260">
        <f t="shared" si="21"/>
        <v>0</v>
      </c>
      <c r="R65" s="278">
        <v>0</v>
      </c>
      <c r="S65" s="152">
        <v>0</v>
      </c>
      <c r="T65" s="216">
        <f t="shared" si="23"/>
        <v>0</v>
      </c>
    </row>
    <row r="66" spans="1:21" ht="19.5" x14ac:dyDescent="0.3">
      <c r="A66" s="147">
        <v>14</v>
      </c>
      <c r="B66" s="148" t="s">
        <v>94</v>
      </c>
      <c r="C66" s="472">
        <f t="shared" si="14"/>
        <v>0</v>
      </c>
      <c r="D66" s="473">
        <f t="shared" si="30"/>
        <v>0</v>
      </c>
      <c r="E66" s="151">
        <v>0</v>
      </c>
      <c r="F66" s="151">
        <v>0</v>
      </c>
      <c r="G66" s="151">
        <v>0</v>
      </c>
      <c r="H66" s="151">
        <v>0</v>
      </c>
      <c r="I66" s="151">
        <v>0</v>
      </c>
      <c r="J66" s="262">
        <f t="shared" si="16"/>
        <v>0</v>
      </c>
      <c r="K66" s="476">
        <f t="shared" si="17"/>
        <v>0</v>
      </c>
      <c r="L66" s="151">
        <v>0</v>
      </c>
      <c r="M66" s="260">
        <f t="shared" si="18"/>
        <v>0</v>
      </c>
      <c r="N66" s="260">
        <f t="shared" si="19"/>
        <v>0</v>
      </c>
      <c r="O66" s="151">
        <v>0</v>
      </c>
      <c r="P66" s="475">
        <f t="shared" si="20"/>
        <v>0</v>
      </c>
      <c r="Q66" s="260">
        <f t="shared" si="21"/>
        <v>0</v>
      </c>
      <c r="R66" s="278">
        <v>0</v>
      </c>
      <c r="S66" s="152">
        <v>0</v>
      </c>
      <c r="T66" s="216">
        <f t="shared" si="23"/>
        <v>0</v>
      </c>
    </row>
    <row r="67" spans="1:21" ht="19.5" x14ac:dyDescent="0.3">
      <c r="A67" s="147">
        <v>15</v>
      </c>
      <c r="B67" s="148" t="s">
        <v>95</v>
      </c>
      <c r="C67" s="472">
        <f t="shared" si="14"/>
        <v>0</v>
      </c>
      <c r="D67" s="473">
        <f t="shared" si="30"/>
        <v>0</v>
      </c>
      <c r="E67" s="151">
        <v>0</v>
      </c>
      <c r="F67" s="151">
        <v>0</v>
      </c>
      <c r="G67" s="151">
        <v>0</v>
      </c>
      <c r="H67" s="151">
        <v>0</v>
      </c>
      <c r="I67" s="151">
        <v>0</v>
      </c>
      <c r="J67" s="262">
        <f t="shared" si="16"/>
        <v>0</v>
      </c>
      <c r="K67" s="476">
        <f t="shared" si="17"/>
        <v>0</v>
      </c>
      <c r="L67" s="151">
        <v>0</v>
      </c>
      <c r="M67" s="260">
        <f t="shared" si="18"/>
        <v>0</v>
      </c>
      <c r="N67" s="260">
        <f t="shared" si="19"/>
        <v>0</v>
      </c>
      <c r="O67" s="151">
        <v>0</v>
      </c>
      <c r="P67" s="475">
        <f t="shared" si="20"/>
        <v>0</v>
      </c>
      <c r="Q67" s="260">
        <f t="shared" si="21"/>
        <v>0</v>
      </c>
      <c r="R67" s="278">
        <v>0</v>
      </c>
      <c r="S67" s="152">
        <v>0</v>
      </c>
      <c r="T67" s="216">
        <f t="shared" si="23"/>
        <v>0</v>
      </c>
    </row>
    <row r="68" spans="1:21" ht="19.5" x14ac:dyDescent="0.3">
      <c r="A68" s="147">
        <v>16</v>
      </c>
      <c r="B68" s="148" t="s">
        <v>96</v>
      </c>
      <c r="C68" s="472">
        <f t="shared" si="14"/>
        <v>0</v>
      </c>
      <c r="D68" s="473">
        <f t="shared" si="30"/>
        <v>0</v>
      </c>
      <c r="E68" s="151">
        <v>0</v>
      </c>
      <c r="F68" s="151">
        <v>0</v>
      </c>
      <c r="G68" s="151">
        <v>0</v>
      </c>
      <c r="H68" s="151">
        <v>0</v>
      </c>
      <c r="I68" s="151">
        <v>0</v>
      </c>
      <c r="J68" s="262">
        <f t="shared" si="16"/>
        <v>0</v>
      </c>
      <c r="K68" s="476">
        <f t="shared" si="17"/>
        <v>0</v>
      </c>
      <c r="L68" s="151">
        <v>0</v>
      </c>
      <c r="M68" s="260">
        <f t="shared" si="18"/>
        <v>0</v>
      </c>
      <c r="N68" s="260">
        <f t="shared" si="19"/>
        <v>0</v>
      </c>
      <c r="O68" s="151">
        <v>0</v>
      </c>
      <c r="P68" s="475">
        <f t="shared" si="20"/>
        <v>0</v>
      </c>
      <c r="Q68" s="260">
        <f t="shared" si="21"/>
        <v>0</v>
      </c>
      <c r="R68" s="278">
        <v>0</v>
      </c>
      <c r="S68" s="152">
        <v>0</v>
      </c>
      <c r="T68" s="216">
        <f t="shared" si="23"/>
        <v>0</v>
      </c>
    </row>
    <row r="69" spans="1:21" ht="19.5" x14ac:dyDescent="0.3">
      <c r="A69" s="147">
        <v>17</v>
      </c>
      <c r="B69" s="148" t="s">
        <v>97</v>
      </c>
      <c r="C69" s="472">
        <f t="shared" si="14"/>
        <v>0</v>
      </c>
      <c r="D69" s="473">
        <f t="shared" si="30"/>
        <v>0</v>
      </c>
      <c r="E69" s="151">
        <v>0</v>
      </c>
      <c r="F69" s="151">
        <v>0</v>
      </c>
      <c r="G69" s="151">
        <v>0</v>
      </c>
      <c r="H69" s="151">
        <v>0</v>
      </c>
      <c r="I69" s="151">
        <v>0</v>
      </c>
      <c r="J69" s="262">
        <f t="shared" si="16"/>
        <v>0</v>
      </c>
      <c r="K69" s="476">
        <f t="shared" si="17"/>
        <v>0</v>
      </c>
      <c r="L69" s="151">
        <v>0</v>
      </c>
      <c r="M69" s="260">
        <f t="shared" si="18"/>
        <v>0</v>
      </c>
      <c r="N69" s="260">
        <f t="shared" si="19"/>
        <v>0</v>
      </c>
      <c r="O69" s="151">
        <v>0</v>
      </c>
      <c r="P69" s="475">
        <f t="shared" si="20"/>
        <v>0</v>
      </c>
      <c r="Q69" s="260">
        <f t="shared" si="21"/>
        <v>0</v>
      </c>
      <c r="R69" s="278">
        <v>0</v>
      </c>
      <c r="S69" s="152">
        <v>0</v>
      </c>
      <c r="T69" s="216">
        <f t="shared" si="23"/>
        <v>0</v>
      </c>
    </row>
    <row r="70" spans="1:21" ht="19.5" x14ac:dyDescent="0.3">
      <c r="A70" s="147">
        <v>18</v>
      </c>
      <c r="B70" s="148" t="s">
        <v>98</v>
      </c>
      <c r="C70" s="472">
        <f t="shared" si="14"/>
        <v>0</v>
      </c>
      <c r="D70" s="473">
        <f t="shared" si="30"/>
        <v>0</v>
      </c>
      <c r="E70" s="151">
        <v>0</v>
      </c>
      <c r="F70" s="151">
        <v>0</v>
      </c>
      <c r="G70" s="151">
        <v>0</v>
      </c>
      <c r="H70" s="151">
        <v>0</v>
      </c>
      <c r="I70" s="151">
        <v>0</v>
      </c>
      <c r="J70" s="262">
        <f t="shared" si="16"/>
        <v>0</v>
      </c>
      <c r="K70" s="476">
        <f t="shared" si="17"/>
        <v>0</v>
      </c>
      <c r="L70" s="151">
        <v>0</v>
      </c>
      <c r="M70" s="260">
        <f t="shared" si="18"/>
        <v>0</v>
      </c>
      <c r="N70" s="260">
        <f t="shared" si="19"/>
        <v>0</v>
      </c>
      <c r="O70" s="151">
        <v>0</v>
      </c>
      <c r="P70" s="475">
        <f t="shared" si="20"/>
        <v>0</v>
      </c>
      <c r="Q70" s="260">
        <f t="shared" si="21"/>
        <v>0</v>
      </c>
      <c r="R70" s="278">
        <v>0</v>
      </c>
      <c r="S70" s="152">
        <v>0</v>
      </c>
      <c r="T70" s="216">
        <f t="shared" si="23"/>
        <v>0</v>
      </c>
    </row>
    <row r="71" spans="1:21" ht="19.5" x14ac:dyDescent="0.3">
      <c r="A71" s="147">
        <v>19</v>
      </c>
      <c r="B71" s="148" t="s">
        <v>99</v>
      </c>
      <c r="C71" s="472">
        <f t="shared" si="14"/>
        <v>0</v>
      </c>
      <c r="D71" s="473">
        <f t="shared" si="30"/>
        <v>0</v>
      </c>
      <c r="E71" s="151">
        <v>0</v>
      </c>
      <c r="F71" s="151">
        <v>0</v>
      </c>
      <c r="G71" s="151">
        <v>0</v>
      </c>
      <c r="H71" s="151">
        <v>0</v>
      </c>
      <c r="I71" s="151">
        <v>0</v>
      </c>
      <c r="J71" s="262">
        <f t="shared" si="16"/>
        <v>0</v>
      </c>
      <c r="K71" s="476">
        <f t="shared" si="17"/>
        <v>0</v>
      </c>
      <c r="L71" s="151">
        <v>0</v>
      </c>
      <c r="M71" s="260">
        <f t="shared" si="18"/>
        <v>0</v>
      </c>
      <c r="N71" s="260">
        <f t="shared" si="19"/>
        <v>0</v>
      </c>
      <c r="O71" s="151">
        <v>0</v>
      </c>
      <c r="P71" s="475">
        <f t="shared" si="20"/>
        <v>0</v>
      </c>
      <c r="Q71" s="260">
        <f t="shared" si="21"/>
        <v>0</v>
      </c>
      <c r="R71" s="278">
        <v>0</v>
      </c>
      <c r="S71" s="152">
        <v>0</v>
      </c>
      <c r="T71" s="216">
        <f t="shared" si="23"/>
        <v>0</v>
      </c>
    </row>
    <row r="72" spans="1:21" ht="19.5" x14ac:dyDescent="0.3">
      <c r="A72" s="147">
        <v>20</v>
      </c>
      <c r="B72" s="148" t="s">
        <v>100</v>
      </c>
      <c r="C72" s="472">
        <f t="shared" si="14"/>
        <v>0</v>
      </c>
      <c r="D72" s="473">
        <f t="shared" si="30"/>
        <v>0</v>
      </c>
      <c r="E72" s="151">
        <v>0</v>
      </c>
      <c r="F72" s="151">
        <v>0</v>
      </c>
      <c r="G72" s="151">
        <v>0</v>
      </c>
      <c r="H72" s="151">
        <v>0</v>
      </c>
      <c r="I72" s="151">
        <v>0</v>
      </c>
      <c r="J72" s="262">
        <f t="shared" si="16"/>
        <v>0</v>
      </c>
      <c r="K72" s="476">
        <f t="shared" si="17"/>
        <v>0</v>
      </c>
      <c r="L72" s="151">
        <v>0</v>
      </c>
      <c r="M72" s="260">
        <f t="shared" si="18"/>
        <v>0</v>
      </c>
      <c r="N72" s="260">
        <f t="shared" si="19"/>
        <v>0</v>
      </c>
      <c r="O72" s="151">
        <v>0</v>
      </c>
      <c r="P72" s="475">
        <f t="shared" si="20"/>
        <v>0</v>
      </c>
      <c r="Q72" s="260">
        <f t="shared" si="21"/>
        <v>0</v>
      </c>
      <c r="R72" s="278">
        <v>0</v>
      </c>
      <c r="S72" s="152">
        <v>0</v>
      </c>
      <c r="T72" s="216">
        <f t="shared" si="23"/>
        <v>0</v>
      </c>
    </row>
    <row r="73" spans="1:21" ht="19.5" x14ac:dyDescent="0.3">
      <c r="A73" s="155">
        <v>21</v>
      </c>
      <c r="B73" s="156" t="s">
        <v>101</v>
      </c>
      <c r="C73" s="477">
        <f t="shared" si="14"/>
        <v>0</v>
      </c>
      <c r="D73" s="478">
        <f t="shared" si="30"/>
        <v>0</v>
      </c>
      <c r="E73" s="159">
        <v>0</v>
      </c>
      <c r="F73" s="159">
        <v>0</v>
      </c>
      <c r="G73" s="159">
        <v>0</v>
      </c>
      <c r="H73" s="159">
        <v>0</v>
      </c>
      <c r="I73" s="159">
        <v>0</v>
      </c>
      <c r="J73" s="479">
        <f t="shared" si="16"/>
        <v>0</v>
      </c>
      <c r="K73" s="480">
        <f t="shared" si="17"/>
        <v>0</v>
      </c>
      <c r="L73" s="159">
        <v>0</v>
      </c>
      <c r="M73" s="481">
        <f t="shared" si="18"/>
        <v>0</v>
      </c>
      <c r="N73" s="481">
        <f t="shared" si="19"/>
        <v>0</v>
      </c>
      <c r="O73" s="159">
        <v>0</v>
      </c>
      <c r="P73" s="482">
        <f t="shared" si="20"/>
        <v>0</v>
      </c>
      <c r="Q73" s="481">
        <f t="shared" si="21"/>
        <v>0</v>
      </c>
      <c r="R73" s="487">
        <v>0</v>
      </c>
      <c r="S73" s="488">
        <v>0</v>
      </c>
      <c r="T73" s="218">
        <f t="shared" si="23"/>
        <v>0</v>
      </c>
    </row>
    <row r="74" spans="1:21" ht="19.5" x14ac:dyDescent="0.3">
      <c r="A74" s="696" t="s">
        <v>102</v>
      </c>
      <c r="B74" s="662"/>
      <c r="C74" s="601">
        <f t="shared" ca="1" si="14"/>
        <v>33423500</v>
      </c>
      <c r="D74" s="601">
        <f t="shared" ref="D74:I74" si="31">SUM(D75:D88)</f>
        <v>0</v>
      </c>
      <c r="E74" s="601">
        <f t="shared" si="31"/>
        <v>0</v>
      </c>
      <c r="F74" s="601">
        <f t="shared" si="31"/>
        <v>0</v>
      </c>
      <c r="G74" s="601">
        <f t="shared" ca="1" si="31"/>
        <v>33423500</v>
      </c>
      <c r="H74" s="601">
        <f t="shared" si="31"/>
        <v>0</v>
      </c>
      <c r="I74" s="601">
        <f t="shared" ca="1" si="31"/>
        <v>33423500</v>
      </c>
      <c r="J74" s="601">
        <f t="shared" ca="1" si="16"/>
        <v>33423500</v>
      </c>
      <c r="K74" s="602">
        <f t="shared" ca="1" si="17"/>
        <v>100</v>
      </c>
      <c r="L74" s="601">
        <f>SUM(L75:L88)</f>
        <v>0</v>
      </c>
      <c r="M74" s="603">
        <f t="shared" si="18"/>
        <v>0</v>
      </c>
      <c r="N74" s="603">
        <f t="shared" si="19"/>
        <v>0</v>
      </c>
      <c r="O74" s="604">
        <f ca="1">SUM(O75:O88)</f>
        <v>33423500</v>
      </c>
      <c r="P74" s="604">
        <f t="shared" ca="1" si="20"/>
        <v>100</v>
      </c>
      <c r="Q74" s="603">
        <f t="shared" ca="1" si="21"/>
        <v>100</v>
      </c>
      <c r="R74" s="282">
        <f t="shared" ref="R74:S74" ca="1" si="32">SUM(R75:R88)</f>
        <v>1</v>
      </c>
      <c r="S74" s="369">
        <f t="shared" ca="1" si="32"/>
        <v>0</v>
      </c>
      <c r="T74" s="94">
        <f t="shared" ca="1" si="23"/>
        <v>0</v>
      </c>
      <c r="U74" s="600"/>
    </row>
    <row r="75" spans="1:21" ht="19.5" x14ac:dyDescent="0.3">
      <c r="A75" s="147">
        <v>1</v>
      </c>
      <c r="B75" s="148" t="s">
        <v>103</v>
      </c>
      <c r="C75" s="472">
        <f t="shared" ca="1" si="14"/>
        <v>33423500</v>
      </c>
      <c r="D75" s="473">
        <f t="shared" ref="D75:D88" si="33">+E75+F75</f>
        <v>0</v>
      </c>
      <c r="E75" s="151">
        <v>0</v>
      </c>
      <c r="F75" s="151">
        <v>0</v>
      </c>
      <c r="G75" s="151">
        <f ca="1">IFERROR(__xludf.DUMMYFUNCTION("IMPORTRANGE(""https://docs.google.com/spreadsheets/d/1-uDff_7J0KD5mKrp0Vvzr7lt3OU09vwQwhkpOPPYv2Y/edit?usp=sharing"",""งบพรบ!FP75"")"),33423500)</f>
        <v>33423500</v>
      </c>
      <c r="H75" s="151">
        <v>0</v>
      </c>
      <c r="I75" s="151">
        <f ca="1">IFERROR(__xludf.DUMMYFUNCTION("IMPORTRANGE(""https://docs.google.com/spreadsheets/d/1-uDff_7J0KD5mKrp0Vvzr7lt3OU09vwQwhkpOPPYv2Y/edit?usp=sharing"",""งบพรบ!FS75"")"),33423500)</f>
        <v>33423500</v>
      </c>
      <c r="J75" s="262">
        <f t="shared" ca="1" si="16"/>
        <v>33423500</v>
      </c>
      <c r="K75" s="476">
        <f t="shared" ca="1" si="17"/>
        <v>100</v>
      </c>
      <c r="L75" s="151">
        <v>0</v>
      </c>
      <c r="M75" s="260">
        <f t="shared" si="18"/>
        <v>0</v>
      </c>
      <c r="N75" s="260">
        <f t="shared" si="19"/>
        <v>0</v>
      </c>
      <c r="O75" s="151">
        <f ca="1">IFERROR(__xludf.DUMMYFUNCTION("IMPORTRANGE(""https://docs.google.com/spreadsheets/d/1-uDff_7J0KD5mKrp0Vvzr7lt3OU09vwQwhkpOPPYv2Y/edit?usp=sharing"",""งบพรบ!FU75"")"),33423500)</f>
        <v>33423500</v>
      </c>
      <c r="P75" s="475">
        <f t="shared" ca="1" si="20"/>
        <v>100</v>
      </c>
      <c r="Q75" s="260">
        <f t="shared" ca="1" si="21"/>
        <v>100</v>
      </c>
      <c r="R75" s="278">
        <f ca="1">IFERROR(__xludf.DUMMYFUNCTION("IMPORTRANGE(""https://docs.google.com/spreadsheets/d/1kKUcYdkIfrgTSj8iHHHB2MD2FAtwyyocFgqGQn6ADyI/edit?usp=sharing"",""กระบี่!I524"")"),1)</f>
        <v>1</v>
      </c>
      <c r="S75" s="152">
        <f ca="1">IFERROR(__xludf.DUMMYFUNCTION("IMPORTRANGE(""https://docs.google.com/spreadsheets/d/1kKUcYdkIfrgTSj8iHHHB2MD2FAtwyyocFgqGQn6ADyI/edit?usp=sharing"",""กระบี่!J524"")"),0)</f>
        <v>0</v>
      </c>
      <c r="T75" s="216">
        <f t="shared" ca="1" si="23"/>
        <v>0</v>
      </c>
    </row>
    <row r="76" spans="1:21" ht="19.5" x14ac:dyDescent="0.3">
      <c r="A76" s="147">
        <v>2</v>
      </c>
      <c r="B76" s="148" t="s">
        <v>104</v>
      </c>
      <c r="C76" s="472">
        <f t="shared" si="14"/>
        <v>0</v>
      </c>
      <c r="D76" s="473">
        <f t="shared" si="33"/>
        <v>0</v>
      </c>
      <c r="E76" s="151">
        <v>0</v>
      </c>
      <c r="F76" s="151">
        <v>0</v>
      </c>
      <c r="G76" s="151">
        <v>0</v>
      </c>
      <c r="H76" s="151">
        <v>0</v>
      </c>
      <c r="I76" s="151">
        <v>0</v>
      </c>
      <c r="J76" s="262">
        <f t="shared" si="16"/>
        <v>0</v>
      </c>
      <c r="K76" s="476">
        <f t="shared" si="17"/>
        <v>0</v>
      </c>
      <c r="L76" s="151">
        <v>0</v>
      </c>
      <c r="M76" s="260">
        <f t="shared" si="18"/>
        <v>0</v>
      </c>
      <c r="N76" s="260">
        <f t="shared" si="19"/>
        <v>0</v>
      </c>
      <c r="O76" s="151">
        <v>0</v>
      </c>
      <c r="P76" s="475">
        <f t="shared" si="20"/>
        <v>0</v>
      </c>
      <c r="Q76" s="260">
        <f t="shared" si="21"/>
        <v>0</v>
      </c>
      <c r="R76" s="278">
        <v>0</v>
      </c>
      <c r="S76" s="152">
        <v>0</v>
      </c>
      <c r="T76" s="216">
        <f t="shared" si="23"/>
        <v>0</v>
      </c>
    </row>
    <row r="77" spans="1:21" ht="19.5" x14ac:dyDescent="0.3">
      <c r="A77" s="147">
        <v>3</v>
      </c>
      <c r="B77" s="148" t="s">
        <v>105</v>
      </c>
      <c r="C77" s="472">
        <f t="shared" si="14"/>
        <v>0</v>
      </c>
      <c r="D77" s="473">
        <f t="shared" si="33"/>
        <v>0</v>
      </c>
      <c r="E77" s="151">
        <v>0</v>
      </c>
      <c r="F77" s="151">
        <v>0</v>
      </c>
      <c r="G77" s="151">
        <v>0</v>
      </c>
      <c r="H77" s="151">
        <v>0</v>
      </c>
      <c r="I77" s="151">
        <v>0</v>
      </c>
      <c r="J77" s="262">
        <f t="shared" si="16"/>
        <v>0</v>
      </c>
      <c r="K77" s="476">
        <f t="shared" si="17"/>
        <v>0</v>
      </c>
      <c r="L77" s="151">
        <v>0</v>
      </c>
      <c r="M77" s="260">
        <f t="shared" si="18"/>
        <v>0</v>
      </c>
      <c r="N77" s="260">
        <f t="shared" si="19"/>
        <v>0</v>
      </c>
      <c r="O77" s="151">
        <v>0</v>
      </c>
      <c r="P77" s="475">
        <f t="shared" si="20"/>
        <v>0</v>
      </c>
      <c r="Q77" s="260">
        <f t="shared" si="21"/>
        <v>0</v>
      </c>
      <c r="R77" s="278">
        <v>0</v>
      </c>
      <c r="S77" s="152">
        <v>0</v>
      </c>
      <c r="T77" s="216">
        <f t="shared" si="23"/>
        <v>0</v>
      </c>
    </row>
    <row r="78" spans="1:21" ht="19.5" x14ac:dyDescent="0.3">
      <c r="A78" s="147">
        <v>4</v>
      </c>
      <c r="B78" s="148" t="s">
        <v>106</v>
      </c>
      <c r="C78" s="472">
        <f t="shared" si="14"/>
        <v>0</v>
      </c>
      <c r="D78" s="473">
        <f t="shared" si="33"/>
        <v>0</v>
      </c>
      <c r="E78" s="151">
        <v>0</v>
      </c>
      <c r="F78" s="151">
        <v>0</v>
      </c>
      <c r="G78" s="151">
        <v>0</v>
      </c>
      <c r="H78" s="151">
        <v>0</v>
      </c>
      <c r="I78" s="151">
        <v>0</v>
      </c>
      <c r="J78" s="262">
        <f t="shared" si="16"/>
        <v>0</v>
      </c>
      <c r="K78" s="476">
        <f t="shared" si="17"/>
        <v>0</v>
      </c>
      <c r="L78" s="151">
        <v>0</v>
      </c>
      <c r="M78" s="260">
        <f t="shared" si="18"/>
        <v>0</v>
      </c>
      <c r="N78" s="260">
        <f t="shared" si="19"/>
        <v>0</v>
      </c>
      <c r="O78" s="151">
        <v>0</v>
      </c>
      <c r="P78" s="475">
        <f t="shared" si="20"/>
        <v>0</v>
      </c>
      <c r="Q78" s="260">
        <f t="shared" si="21"/>
        <v>0</v>
      </c>
      <c r="R78" s="278">
        <v>0</v>
      </c>
      <c r="S78" s="152">
        <v>0</v>
      </c>
      <c r="T78" s="216">
        <f t="shared" si="23"/>
        <v>0</v>
      </c>
    </row>
    <row r="79" spans="1:21" ht="19.5" x14ac:dyDescent="0.3">
      <c r="A79" s="147">
        <v>5</v>
      </c>
      <c r="B79" s="148" t="s">
        <v>107</v>
      </c>
      <c r="C79" s="472">
        <f t="shared" si="14"/>
        <v>0</v>
      </c>
      <c r="D79" s="473">
        <f t="shared" si="33"/>
        <v>0</v>
      </c>
      <c r="E79" s="151">
        <v>0</v>
      </c>
      <c r="F79" s="151">
        <v>0</v>
      </c>
      <c r="G79" s="151">
        <v>0</v>
      </c>
      <c r="H79" s="151">
        <v>0</v>
      </c>
      <c r="I79" s="151">
        <v>0</v>
      </c>
      <c r="J79" s="262">
        <f t="shared" si="16"/>
        <v>0</v>
      </c>
      <c r="K79" s="476">
        <f t="shared" si="17"/>
        <v>0</v>
      </c>
      <c r="L79" s="151">
        <v>0</v>
      </c>
      <c r="M79" s="260">
        <f t="shared" si="18"/>
        <v>0</v>
      </c>
      <c r="N79" s="260">
        <f t="shared" si="19"/>
        <v>0</v>
      </c>
      <c r="O79" s="151">
        <v>0</v>
      </c>
      <c r="P79" s="475">
        <f t="shared" si="20"/>
        <v>0</v>
      </c>
      <c r="Q79" s="260">
        <f t="shared" si="21"/>
        <v>0</v>
      </c>
      <c r="R79" s="278">
        <v>0</v>
      </c>
      <c r="S79" s="152">
        <v>0</v>
      </c>
      <c r="T79" s="216">
        <f t="shared" si="23"/>
        <v>0</v>
      </c>
    </row>
    <row r="80" spans="1:21" ht="19.5" x14ac:dyDescent="0.3">
      <c r="A80" s="147">
        <v>6</v>
      </c>
      <c r="B80" s="148" t="s">
        <v>108</v>
      </c>
      <c r="C80" s="472">
        <f t="shared" si="14"/>
        <v>0</v>
      </c>
      <c r="D80" s="473">
        <f t="shared" si="33"/>
        <v>0</v>
      </c>
      <c r="E80" s="151">
        <v>0</v>
      </c>
      <c r="F80" s="151">
        <v>0</v>
      </c>
      <c r="G80" s="151">
        <v>0</v>
      </c>
      <c r="H80" s="151">
        <v>0</v>
      </c>
      <c r="I80" s="151">
        <v>0</v>
      </c>
      <c r="J80" s="262">
        <f t="shared" si="16"/>
        <v>0</v>
      </c>
      <c r="K80" s="476">
        <f t="shared" si="17"/>
        <v>0</v>
      </c>
      <c r="L80" s="151">
        <v>0</v>
      </c>
      <c r="M80" s="260">
        <f t="shared" si="18"/>
        <v>0</v>
      </c>
      <c r="N80" s="260">
        <f t="shared" si="19"/>
        <v>0</v>
      </c>
      <c r="O80" s="151">
        <v>0</v>
      </c>
      <c r="P80" s="475">
        <f t="shared" si="20"/>
        <v>0</v>
      </c>
      <c r="Q80" s="260">
        <f t="shared" si="21"/>
        <v>0</v>
      </c>
      <c r="R80" s="278">
        <v>0</v>
      </c>
      <c r="S80" s="152">
        <v>0</v>
      </c>
      <c r="T80" s="216">
        <f t="shared" si="23"/>
        <v>0</v>
      </c>
    </row>
    <row r="81" spans="1:20" ht="19.5" x14ac:dyDescent="0.3">
      <c r="A81" s="147">
        <v>7</v>
      </c>
      <c r="B81" s="148" t="s">
        <v>109</v>
      </c>
      <c r="C81" s="472">
        <f t="shared" si="14"/>
        <v>0</v>
      </c>
      <c r="D81" s="473">
        <f t="shared" si="33"/>
        <v>0</v>
      </c>
      <c r="E81" s="151">
        <v>0</v>
      </c>
      <c r="F81" s="151">
        <v>0</v>
      </c>
      <c r="G81" s="151">
        <v>0</v>
      </c>
      <c r="H81" s="151">
        <v>0</v>
      </c>
      <c r="I81" s="151">
        <v>0</v>
      </c>
      <c r="J81" s="262">
        <f t="shared" si="16"/>
        <v>0</v>
      </c>
      <c r="K81" s="476">
        <f t="shared" si="17"/>
        <v>0</v>
      </c>
      <c r="L81" s="151">
        <v>0</v>
      </c>
      <c r="M81" s="260">
        <f t="shared" si="18"/>
        <v>0</v>
      </c>
      <c r="N81" s="260">
        <f t="shared" si="19"/>
        <v>0</v>
      </c>
      <c r="O81" s="151">
        <v>0</v>
      </c>
      <c r="P81" s="475">
        <f t="shared" si="20"/>
        <v>0</v>
      </c>
      <c r="Q81" s="260">
        <f t="shared" si="21"/>
        <v>0</v>
      </c>
      <c r="R81" s="278">
        <v>0</v>
      </c>
      <c r="S81" s="152">
        <v>0</v>
      </c>
      <c r="T81" s="216">
        <f t="shared" si="23"/>
        <v>0</v>
      </c>
    </row>
    <row r="82" spans="1:20" ht="19.5" x14ac:dyDescent="0.3">
      <c r="A82" s="147">
        <v>8</v>
      </c>
      <c r="B82" s="148" t="s">
        <v>110</v>
      </c>
      <c r="C82" s="472">
        <f t="shared" si="14"/>
        <v>0</v>
      </c>
      <c r="D82" s="473">
        <f t="shared" si="33"/>
        <v>0</v>
      </c>
      <c r="E82" s="151">
        <v>0</v>
      </c>
      <c r="F82" s="151">
        <v>0</v>
      </c>
      <c r="G82" s="151">
        <v>0</v>
      </c>
      <c r="H82" s="151">
        <v>0</v>
      </c>
      <c r="I82" s="151">
        <v>0</v>
      </c>
      <c r="J82" s="262">
        <f t="shared" si="16"/>
        <v>0</v>
      </c>
      <c r="K82" s="476">
        <f t="shared" si="17"/>
        <v>0</v>
      </c>
      <c r="L82" s="151">
        <v>0</v>
      </c>
      <c r="M82" s="260">
        <f t="shared" si="18"/>
        <v>0</v>
      </c>
      <c r="N82" s="260">
        <f t="shared" si="19"/>
        <v>0</v>
      </c>
      <c r="O82" s="151">
        <v>0</v>
      </c>
      <c r="P82" s="475">
        <f t="shared" si="20"/>
        <v>0</v>
      </c>
      <c r="Q82" s="260">
        <f t="shared" si="21"/>
        <v>0</v>
      </c>
      <c r="R82" s="278">
        <v>0</v>
      </c>
      <c r="S82" s="152">
        <v>0</v>
      </c>
      <c r="T82" s="216">
        <f t="shared" si="23"/>
        <v>0</v>
      </c>
    </row>
    <row r="83" spans="1:20" ht="19.5" x14ac:dyDescent="0.3">
      <c r="A83" s="147">
        <v>9</v>
      </c>
      <c r="B83" s="148" t="s">
        <v>111</v>
      </c>
      <c r="C83" s="472">
        <f t="shared" si="14"/>
        <v>0</v>
      </c>
      <c r="D83" s="473">
        <f t="shared" si="33"/>
        <v>0</v>
      </c>
      <c r="E83" s="151">
        <v>0</v>
      </c>
      <c r="F83" s="151">
        <v>0</v>
      </c>
      <c r="G83" s="151">
        <v>0</v>
      </c>
      <c r="H83" s="151">
        <v>0</v>
      </c>
      <c r="I83" s="151">
        <v>0</v>
      </c>
      <c r="J83" s="262">
        <f t="shared" si="16"/>
        <v>0</v>
      </c>
      <c r="K83" s="476">
        <f t="shared" si="17"/>
        <v>0</v>
      </c>
      <c r="L83" s="151">
        <v>0</v>
      </c>
      <c r="M83" s="260">
        <f t="shared" si="18"/>
        <v>0</v>
      </c>
      <c r="N83" s="260">
        <f t="shared" si="19"/>
        <v>0</v>
      </c>
      <c r="O83" s="151">
        <v>0</v>
      </c>
      <c r="P83" s="475">
        <f t="shared" si="20"/>
        <v>0</v>
      </c>
      <c r="Q83" s="260">
        <f t="shared" si="21"/>
        <v>0</v>
      </c>
      <c r="R83" s="278">
        <v>0</v>
      </c>
      <c r="S83" s="152">
        <v>0</v>
      </c>
      <c r="T83" s="216">
        <f t="shared" si="23"/>
        <v>0</v>
      </c>
    </row>
    <row r="84" spans="1:20" ht="19.5" x14ac:dyDescent="0.3">
      <c r="A84" s="147">
        <v>10</v>
      </c>
      <c r="B84" s="148" t="s">
        <v>112</v>
      </c>
      <c r="C84" s="472">
        <f t="shared" si="14"/>
        <v>0</v>
      </c>
      <c r="D84" s="473">
        <f t="shared" si="33"/>
        <v>0</v>
      </c>
      <c r="E84" s="151">
        <v>0</v>
      </c>
      <c r="F84" s="151">
        <v>0</v>
      </c>
      <c r="G84" s="151">
        <v>0</v>
      </c>
      <c r="H84" s="151">
        <v>0</v>
      </c>
      <c r="I84" s="151">
        <v>0</v>
      </c>
      <c r="J84" s="262">
        <f t="shared" si="16"/>
        <v>0</v>
      </c>
      <c r="K84" s="476">
        <f t="shared" si="17"/>
        <v>0</v>
      </c>
      <c r="L84" s="151">
        <v>0</v>
      </c>
      <c r="M84" s="260">
        <f t="shared" si="18"/>
        <v>0</v>
      </c>
      <c r="N84" s="260">
        <f t="shared" si="19"/>
        <v>0</v>
      </c>
      <c r="O84" s="151">
        <v>0</v>
      </c>
      <c r="P84" s="475">
        <f t="shared" si="20"/>
        <v>0</v>
      </c>
      <c r="Q84" s="260">
        <f t="shared" si="21"/>
        <v>0</v>
      </c>
      <c r="R84" s="278">
        <v>0</v>
      </c>
      <c r="S84" s="152">
        <v>0</v>
      </c>
      <c r="T84" s="216">
        <f t="shared" si="23"/>
        <v>0</v>
      </c>
    </row>
    <row r="85" spans="1:20" ht="19.5" x14ac:dyDescent="0.3">
      <c r="A85" s="147">
        <v>11</v>
      </c>
      <c r="B85" s="148" t="s">
        <v>113</v>
      </c>
      <c r="C85" s="472">
        <f t="shared" si="14"/>
        <v>0</v>
      </c>
      <c r="D85" s="473">
        <f t="shared" si="33"/>
        <v>0</v>
      </c>
      <c r="E85" s="151">
        <v>0</v>
      </c>
      <c r="F85" s="151">
        <v>0</v>
      </c>
      <c r="G85" s="151">
        <v>0</v>
      </c>
      <c r="H85" s="151">
        <v>0</v>
      </c>
      <c r="I85" s="151">
        <v>0</v>
      </c>
      <c r="J85" s="262">
        <f t="shared" si="16"/>
        <v>0</v>
      </c>
      <c r="K85" s="476">
        <f t="shared" si="17"/>
        <v>0</v>
      </c>
      <c r="L85" s="151">
        <v>0</v>
      </c>
      <c r="M85" s="260">
        <f t="shared" si="18"/>
        <v>0</v>
      </c>
      <c r="N85" s="260">
        <f t="shared" si="19"/>
        <v>0</v>
      </c>
      <c r="O85" s="151">
        <v>0</v>
      </c>
      <c r="P85" s="475">
        <f t="shared" si="20"/>
        <v>0</v>
      </c>
      <c r="Q85" s="260">
        <f t="shared" si="21"/>
        <v>0</v>
      </c>
      <c r="R85" s="278">
        <v>0</v>
      </c>
      <c r="S85" s="152">
        <v>0</v>
      </c>
      <c r="T85" s="216">
        <f t="shared" si="23"/>
        <v>0</v>
      </c>
    </row>
    <row r="86" spans="1:20" ht="19.5" x14ac:dyDescent="0.3">
      <c r="A86" s="147">
        <v>12</v>
      </c>
      <c r="B86" s="148" t="s">
        <v>114</v>
      </c>
      <c r="C86" s="472">
        <f t="shared" si="14"/>
        <v>0</v>
      </c>
      <c r="D86" s="473">
        <f t="shared" si="33"/>
        <v>0</v>
      </c>
      <c r="E86" s="151">
        <v>0</v>
      </c>
      <c r="F86" s="151">
        <v>0</v>
      </c>
      <c r="G86" s="151">
        <v>0</v>
      </c>
      <c r="H86" s="151">
        <v>0</v>
      </c>
      <c r="I86" s="151">
        <v>0</v>
      </c>
      <c r="J86" s="262">
        <f t="shared" si="16"/>
        <v>0</v>
      </c>
      <c r="K86" s="476">
        <f t="shared" si="17"/>
        <v>0</v>
      </c>
      <c r="L86" s="151">
        <v>0</v>
      </c>
      <c r="M86" s="260">
        <f t="shared" si="18"/>
        <v>0</v>
      </c>
      <c r="N86" s="260">
        <f t="shared" si="19"/>
        <v>0</v>
      </c>
      <c r="O86" s="151">
        <v>0</v>
      </c>
      <c r="P86" s="475">
        <f t="shared" si="20"/>
        <v>0</v>
      </c>
      <c r="Q86" s="260">
        <f t="shared" si="21"/>
        <v>0</v>
      </c>
      <c r="R86" s="279">
        <v>0</v>
      </c>
      <c r="S86" s="397">
        <v>0</v>
      </c>
      <c r="T86" s="216">
        <f t="shared" si="23"/>
        <v>0</v>
      </c>
    </row>
    <row r="87" spans="1:20" ht="19.5" x14ac:dyDescent="0.3">
      <c r="A87" s="147">
        <v>13</v>
      </c>
      <c r="B87" s="148" t="s">
        <v>115</v>
      </c>
      <c r="C87" s="472">
        <f t="shared" si="14"/>
        <v>0</v>
      </c>
      <c r="D87" s="473">
        <f t="shared" si="33"/>
        <v>0</v>
      </c>
      <c r="E87" s="151">
        <v>0</v>
      </c>
      <c r="F87" s="151">
        <v>0</v>
      </c>
      <c r="G87" s="151">
        <v>0</v>
      </c>
      <c r="H87" s="151">
        <v>0</v>
      </c>
      <c r="I87" s="151">
        <v>0</v>
      </c>
      <c r="J87" s="262">
        <f t="shared" si="16"/>
        <v>0</v>
      </c>
      <c r="K87" s="476">
        <f t="shared" si="17"/>
        <v>0</v>
      </c>
      <c r="L87" s="151">
        <v>0</v>
      </c>
      <c r="M87" s="260">
        <f t="shared" si="18"/>
        <v>0</v>
      </c>
      <c r="N87" s="260">
        <f t="shared" si="19"/>
        <v>0</v>
      </c>
      <c r="O87" s="151">
        <v>0</v>
      </c>
      <c r="P87" s="475">
        <f t="shared" si="20"/>
        <v>0</v>
      </c>
      <c r="Q87" s="260">
        <f t="shared" si="21"/>
        <v>0</v>
      </c>
      <c r="R87" s="278">
        <v>0</v>
      </c>
      <c r="S87" s="152">
        <v>0</v>
      </c>
      <c r="T87" s="216">
        <f t="shared" si="23"/>
        <v>0</v>
      </c>
    </row>
    <row r="88" spans="1:20" ht="19.5" x14ac:dyDescent="0.3">
      <c r="A88" s="155">
        <v>14</v>
      </c>
      <c r="B88" s="156" t="s">
        <v>116</v>
      </c>
      <c r="C88" s="477">
        <f t="shared" si="14"/>
        <v>0</v>
      </c>
      <c r="D88" s="478">
        <f t="shared" si="33"/>
        <v>0</v>
      </c>
      <c r="E88" s="159">
        <v>0</v>
      </c>
      <c r="F88" s="159">
        <v>0</v>
      </c>
      <c r="G88" s="159">
        <v>0</v>
      </c>
      <c r="H88" s="159">
        <v>0</v>
      </c>
      <c r="I88" s="159">
        <v>0</v>
      </c>
      <c r="J88" s="479">
        <f t="shared" si="16"/>
        <v>0</v>
      </c>
      <c r="K88" s="480">
        <f t="shared" si="17"/>
        <v>0</v>
      </c>
      <c r="L88" s="159">
        <v>0</v>
      </c>
      <c r="M88" s="481">
        <f t="shared" si="18"/>
        <v>0</v>
      </c>
      <c r="N88" s="481">
        <f t="shared" si="19"/>
        <v>0</v>
      </c>
      <c r="O88" s="159">
        <v>0</v>
      </c>
      <c r="P88" s="482">
        <f t="shared" si="20"/>
        <v>0</v>
      </c>
      <c r="Q88" s="481">
        <f t="shared" si="21"/>
        <v>0</v>
      </c>
      <c r="R88" s="280">
        <v>0</v>
      </c>
      <c r="S88" s="191">
        <v>0</v>
      </c>
      <c r="T88" s="218">
        <f t="shared" si="23"/>
        <v>0</v>
      </c>
    </row>
    <row r="89" spans="1:20" ht="19.5" x14ac:dyDescent="0.3">
      <c r="A89" s="698" t="s">
        <v>117</v>
      </c>
      <c r="B89" s="662"/>
      <c r="C89" s="489">
        <f t="shared" ref="C89:Q89" si="34">SUM(C90:C106)</f>
        <v>0</v>
      </c>
      <c r="D89" s="489">
        <f t="shared" si="34"/>
        <v>0</v>
      </c>
      <c r="E89" s="489">
        <f t="shared" si="34"/>
        <v>0</v>
      </c>
      <c r="F89" s="489">
        <f t="shared" si="34"/>
        <v>0</v>
      </c>
      <c r="G89" s="489">
        <f t="shared" si="34"/>
        <v>0</v>
      </c>
      <c r="H89" s="489">
        <f t="shared" si="34"/>
        <v>0</v>
      </c>
      <c r="I89" s="489">
        <f t="shared" si="34"/>
        <v>0</v>
      </c>
      <c r="J89" s="489">
        <f t="shared" si="34"/>
        <v>0</v>
      </c>
      <c r="K89" s="490">
        <f t="shared" si="34"/>
        <v>0</v>
      </c>
      <c r="L89" s="489">
        <f t="shared" si="34"/>
        <v>0</v>
      </c>
      <c r="M89" s="490">
        <f t="shared" si="34"/>
        <v>0</v>
      </c>
      <c r="N89" s="490">
        <f t="shared" si="34"/>
        <v>0</v>
      </c>
      <c r="O89" s="489">
        <f t="shared" si="34"/>
        <v>0</v>
      </c>
      <c r="P89" s="489">
        <f t="shared" si="34"/>
        <v>0</v>
      </c>
      <c r="Q89" s="489">
        <f t="shared" si="34"/>
        <v>0</v>
      </c>
      <c r="R89" s="489">
        <v>0</v>
      </c>
      <c r="S89" s="489">
        <v>0</v>
      </c>
      <c r="T89" s="256">
        <v>0</v>
      </c>
    </row>
    <row r="90" spans="1:20" ht="19.5" x14ac:dyDescent="0.3">
      <c r="A90" s="257"/>
      <c r="B90" s="258" t="s">
        <v>118</v>
      </c>
      <c r="C90" s="472">
        <f t="shared" ref="C90:C108" si="35">D90+G90</f>
        <v>0</v>
      </c>
      <c r="D90" s="473">
        <f t="shared" ref="D90:D108" si="36">+E90+F90</f>
        <v>0</v>
      </c>
      <c r="E90" s="151">
        <v>0</v>
      </c>
      <c r="F90" s="151">
        <v>0</v>
      </c>
      <c r="G90" s="151">
        <v>0</v>
      </c>
      <c r="H90" s="151">
        <v>0</v>
      </c>
      <c r="I90" s="151">
        <v>0</v>
      </c>
      <c r="J90" s="262">
        <f t="shared" ref="J90:J108" si="37">L90+O90</f>
        <v>0</v>
      </c>
      <c r="K90" s="476">
        <f t="shared" ref="K90:K108" si="38">IF(C90&gt;0,J90*100/C90,0)</f>
        <v>0</v>
      </c>
      <c r="L90" s="151">
        <v>0</v>
      </c>
      <c r="M90" s="260">
        <f t="shared" ref="M90:M108" si="39">IF(D90&gt;0,L90*100/D90,0)</f>
        <v>0</v>
      </c>
      <c r="N90" s="260">
        <f t="shared" ref="N90:N108" si="40">IF(H90&gt;0,L90*100/H90,0)</f>
        <v>0</v>
      </c>
      <c r="O90" s="151">
        <v>0</v>
      </c>
      <c r="P90" s="475">
        <f t="shared" ref="P90:P108" si="41">IF(G90&gt;0,O90*100/G90,0)</f>
        <v>0</v>
      </c>
      <c r="Q90" s="260">
        <f t="shared" ref="Q90:Q108" si="42">IF(I90&gt;0,O90*100/I90,0)</f>
        <v>0</v>
      </c>
      <c r="R90" s="262">
        <v>0</v>
      </c>
      <c r="S90" s="262">
        <v>0</v>
      </c>
      <c r="T90" s="260">
        <v>0</v>
      </c>
    </row>
    <row r="91" spans="1:20" ht="19.5" x14ac:dyDescent="0.3">
      <c r="A91" s="257"/>
      <c r="B91" s="258" t="s">
        <v>119</v>
      </c>
      <c r="C91" s="472">
        <f t="shared" si="35"/>
        <v>0</v>
      </c>
      <c r="D91" s="473">
        <f t="shared" si="36"/>
        <v>0</v>
      </c>
      <c r="E91" s="151">
        <v>0</v>
      </c>
      <c r="F91" s="151">
        <v>0</v>
      </c>
      <c r="G91" s="151">
        <v>0</v>
      </c>
      <c r="H91" s="151">
        <v>0</v>
      </c>
      <c r="I91" s="151">
        <v>0</v>
      </c>
      <c r="J91" s="262">
        <f t="shared" si="37"/>
        <v>0</v>
      </c>
      <c r="K91" s="476">
        <f t="shared" si="38"/>
        <v>0</v>
      </c>
      <c r="L91" s="151">
        <v>0</v>
      </c>
      <c r="M91" s="260">
        <f t="shared" si="39"/>
        <v>0</v>
      </c>
      <c r="N91" s="260">
        <f t="shared" si="40"/>
        <v>0</v>
      </c>
      <c r="O91" s="151">
        <v>0</v>
      </c>
      <c r="P91" s="475">
        <f t="shared" si="41"/>
        <v>0</v>
      </c>
      <c r="Q91" s="260">
        <f t="shared" si="42"/>
        <v>0</v>
      </c>
      <c r="R91" s="262">
        <v>0</v>
      </c>
      <c r="S91" s="262">
        <v>0</v>
      </c>
      <c r="T91" s="260">
        <v>0</v>
      </c>
    </row>
    <row r="92" spans="1:20" ht="19.5" x14ac:dyDescent="0.3">
      <c r="A92" s="257"/>
      <c r="B92" s="258" t="s">
        <v>120</v>
      </c>
      <c r="C92" s="472">
        <f t="shared" si="35"/>
        <v>0</v>
      </c>
      <c r="D92" s="473">
        <f t="shared" si="36"/>
        <v>0</v>
      </c>
      <c r="E92" s="151">
        <v>0</v>
      </c>
      <c r="F92" s="151">
        <v>0</v>
      </c>
      <c r="G92" s="151">
        <v>0</v>
      </c>
      <c r="H92" s="151">
        <v>0</v>
      </c>
      <c r="I92" s="151">
        <v>0</v>
      </c>
      <c r="J92" s="262">
        <f t="shared" si="37"/>
        <v>0</v>
      </c>
      <c r="K92" s="476">
        <f t="shared" si="38"/>
        <v>0</v>
      </c>
      <c r="L92" s="151">
        <v>0</v>
      </c>
      <c r="M92" s="260">
        <f t="shared" si="39"/>
        <v>0</v>
      </c>
      <c r="N92" s="260">
        <f t="shared" si="40"/>
        <v>0</v>
      </c>
      <c r="O92" s="151">
        <v>0</v>
      </c>
      <c r="P92" s="475">
        <f t="shared" si="41"/>
        <v>0</v>
      </c>
      <c r="Q92" s="260">
        <f t="shared" si="42"/>
        <v>0</v>
      </c>
      <c r="R92" s="262">
        <v>0</v>
      </c>
      <c r="S92" s="262">
        <v>0</v>
      </c>
      <c r="T92" s="260">
        <v>0</v>
      </c>
    </row>
    <row r="93" spans="1:20" ht="19.5" x14ac:dyDescent="0.3">
      <c r="A93" s="257"/>
      <c r="B93" s="258" t="s">
        <v>121</v>
      </c>
      <c r="C93" s="472">
        <f t="shared" si="35"/>
        <v>0</v>
      </c>
      <c r="D93" s="473">
        <f t="shared" si="36"/>
        <v>0</v>
      </c>
      <c r="E93" s="151">
        <v>0</v>
      </c>
      <c r="F93" s="151">
        <v>0</v>
      </c>
      <c r="G93" s="151">
        <v>0</v>
      </c>
      <c r="H93" s="151">
        <v>0</v>
      </c>
      <c r="I93" s="151">
        <v>0</v>
      </c>
      <c r="J93" s="262">
        <f t="shared" si="37"/>
        <v>0</v>
      </c>
      <c r="K93" s="476">
        <f t="shared" si="38"/>
        <v>0</v>
      </c>
      <c r="L93" s="151">
        <v>0</v>
      </c>
      <c r="M93" s="260">
        <f t="shared" si="39"/>
        <v>0</v>
      </c>
      <c r="N93" s="260">
        <f t="shared" si="40"/>
        <v>0</v>
      </c>
      <c r="O93" s="151">
        <v>0</v>
      </c>
      <c r="P93" s="475">
        <f t="shared" si="41"/>
        <v>0</v>
      </c>
      <c r="Q93" s="260">
        <f t="shared" si="42"/>
        <v>0</v>
      </c>
      <c r="R93" s="262">
        <v>0</v>
      </c>
      <c r="S93" s="262">
        <v>0</v>
      </c>
      <c r="T93" s="260">
        <v>0</v>
      </c>
    </row>
    <row r="94" spans="1:20" ht="19.5" x14ac:dyDescent="0.3">
      <c r="A94" s="257"/>
      <c r="B94" s="258" t="s">
        <v>122</v>
      </c>
      <c r="C94" s="472">
        <f t="shared" si="35"/>
        <v>0</v>
      </c>
      <c r="D94" s="473">
        <f t="shared" si="36"/>
        <v>0</v>
      </c>
      <c r="E94" s="151">
        <v>0</v>
      </c>
      <c r="F94" s="151">
        <v>0</v>
      </c>
      <c r="G94" s="151">
        <v>0</v>
      </c>
      <c r="H94" s="151">
        <v>0</v>
      </c>
      <c r="I94" s="151">
        <v>0</v>
      </c>
      <c r="J94" s="262">
        <f t="shared" si="37"/>
        <v>0</v>
      </c>
      <c r="K94" s="476">
        <f t="shared" si="38"/>
        <v>0</v>
      </c>
      <c r="L94" s="151">
        <v>0</v>
      </c>
      <c r="M94" s="260">
        <f t="shared" si="39"/>
        <v>0</v>
      </c>
      <c r="N94" s="260">
        <f t="shared" si="40"/>
        <v>0</v>
      </c>
      <c r="O94" s="151">
        <v>0</v>
      </c>
      <c r="P94" s="475">
        <f t="shared" si="41"/>
        <v>0</v>
      </c>
      <c r="Q94" s="260">
        <f t="shared" si="42"/>
        <v>0</v>
      </c>
      <c r="R94" s="262">
        <v>0</v>
      </c>
      <c r="S94" s="262">
        <v>0</v>
      </c>
      <c r="T94" s="260">
        <v>0</v>
      </c>
    </row>
    <row r="95" spans="1:20" ht="19.5" x14ac:dyDescent="0.3">
      <c r="A95" s="257"/>
      <c r="B95" s="258" t="s">
        <v>123</v>
      </c>
      <c r="C95" s="472">
        <f t="shared" si="35"/>
        <v>0</v>
      </c>
      <c r="D95" s="473">
        <f t="shared" si="36"/>
        <v>0</v>
      </c>
      <c r="E95" s="151">
        <v>0</v>
      </c>
      <c r="F95" s="151">
        <v>0</v>
      </c>
      <c r="G95" s="151">
        <v>0</v>
      </c>
      <c r="H95" s="151">
        <v>0</v>
      </c>
      <c r="I95" s="151">
        <v>0</v>
      </c>
      <c r="J95" s="262">
        <f t="shared" si="37"/>
        <v>0</v>
      </c>
      <c r="K95" s="476">
        <f t="shared" si="38"/>
        <v>0</v>
      </c>
      <c r="L95" s="151">
        <v>0</v>
      </c>
      <c r="M95" s="260">
        <f t="shared" si="39"/>
        <v>0</v>
      </c>
      <c r="N95" s="260">
        <f t="shared" si="40"/>
        <v>0</v>
      </c>
      <c r="O95" s="151">
        <v>0</v>
      </c>
      <c r="P95" s="475">
        <f t="shared" si="41"/>
        <v>0</v>
      </c>
      <c r="Q95" s="260">
        <f t="shared" si="42"/>
        <v>0</v>
      </c>
      <c r="R95" s="262">
        <v>0</v>
      </c>
      <c r="S95" s="262">
        <v>0</v>
      </c>
      <c r="T95" s="260">
        <v>0</v>
      </c>
    </row>
    <row r="96" spans="1:20" ht="19.5" x14ac:dyDescent="0.3">
      <c r="A96" s="257"/>
      <c r="B96" s="258" t="s">
        <v>124</v>
      </c>
      <c r="C96" s="472">
        <f t="shared" si="35"/>
        <v>0</v>
      </c>
      <c r="D96" s="473">
        <f t="shared" si="36"/>
        <v>0</v>
      </c>
      <c r="E96" s="151">
        <v>0</v>
      </c>
      <c r="F96" s="151">
        <v>0</v>
      </c>
      <c r="G96" s="151">
        <v>0</v>
      </c>
      <c r="H96" s="151">
        <v>0</v>
      </c>
      <c r="I96" s="151">
        <v>0</v>
      </c>
      <c r="J96" s="262">
        <f t="shared" si="37"/>
        <v>0</v>
      </c>
      <c r="K96" s="476">
        <f t="shared" si="38"/>
        <v>0</v>
      </c>
      <c r="L96" s="151">
        <v>0</v>
      </c>
      <c r="M96" s="260">
        <f t="shared" si="39"/>
        <v>0</v>
      </c>
      <c r="N96" s="260">
        <f t="shared" si="40"/>
        <v>0</v>
      </c>
      <c r="O96" s="151">
        <v>0</v>
      </c>
      <c r="P96" s="475">
        <f t="shared" si="41"/>
        <v>0</v>
      </c>
      <c r="Q96" s="260">
        <f t="shared" si="42"/>
        <v>0</v>
      </c>
      <c r="R96" s="262">
        <v>0</v>
      </c>
      <c r="S96" s="262">
        <v>0</v>
      </c>
      <c r="T96" s="260">
        <v>0</v>
      </c>
    </row>
    <row r="97" spans="1:20" ht="19.5" x14ac:dyDescent="0.3">
      <c r="A97" s="257"/>
      <c r="B97" s="258" t="s">
        <v>125</v>
      </c>
      <c r="C97" s="472">
        <f t="shared" si="35"/>
        <v>0</v>
      </c>
      <c r="D97" s="473">
        <f t="shared" si="36"/>
        <v>0</v>
      </c>
      <c r="E97" s="151">
        <v>0</v>
      </c>
      <c r="F97" s="151">
        <v>0</v>
      </c>
      <c r="G97" s="151">
        <v>0</v>
      </c>
      <c r="H97" s="151">
        <v>0</v>
      </c>
      <c r="I97" s="151">
        <v>0</v>
      </c>
      <c r="J97" s="262">
        <f t="shared" si="37"/>
        <v>0</v>
      </c>
      <c r="K97" s="476">
        <f t="shared" si="38"/>
        <v>0</v>
      </c>
      <c r="L97" s="151">
        <v>0</v>
      </c>
      <c r="M97" s="260">
        <f t="shared" si="39"/>
        <v>0</v>
      </c>
      <c r="N97" s="260">
        <f t="shared" si="40"/>
        <v>0</v>
      </c>
      <c r="O97" s="151">
        <v>0</v>
      </c>
      <c r="P97" s="475">
        <f t="shared" si="41"/>
        <v>0</v>
      </c>
      <c r="Q97" s="260">
        <f t="shared" si="42"/>
        <v>0</v>
      </c>
      <c r="R97" s="262">
        <v>0</v>
      </c>
      <c r="S97" s="262">
        <v>0</v>
      </c>
      <c r="T97" s="260">
        <v>0</v>
      </c>
    </row>
    <row r="98" spans="1:20" ht="19.5" x14ac:dyDescent="0.3">
      <c r="A98" s="257"/>
      <c r="B98" s="258" t="s">
        <v>126</v>
      </c>
      <c r="C98" s="472">
        <f t="shared" si="35"/>
        <v>0</v>
      </c>
      <c r="D98" s="473">
        <f t="shared" si="36"/>
        <v>0</v>
      </c>
      <c r="E98" s="151">
        <v>0</v>
      </c>
      <c r="F98" s="151">
        <v>0</v>
      </c>
      <c r="G98" s="151">
        <v>0</v>
      </c>
      <c r="H98" s="151">
        <v>0</v>
      </c>
      <c r="I98" s="151">
        <v>0</v>
      </c>
      <c r="J98" s="262">
        <f t="shared" si="37"/>
        <v>0</v>
      </c>
      <c r="K98" s="476">
        <f t="shared" si="38"/>
        <v>0</v>
      </c>
      <c r="L98" s="151">
        <v>0</v>
      </c>
      <c r="M98" s="260">
        <f t="shared" si="39"/>
        <v>0</v>
      </c>
      <c r="N98" s="260">
        <f t="shared" si="40"/>
        <v>0</v>
      </c>
      <c r="O98" s="151">
        <v>0</v>
      </c>
      <c r="P98" s="475">
        <f t="shared" si="41"/>
        <v>0</v>
      </c>
      <c r="Q98" s="260">
        <f t="shared" si="42"/>
        <v>0</v>
      </c>
      <c r="R98" s="262">
        <v>0</v>
      </c>
      <c r="S98" s="262">
        <v>0</v>
      </c>
      <c r="T98" s="260">
        <v>0</v>
      </c>
    </row>
    <row r="99" spans="1:20" ht="19.5" x14ac:dyDescent="0.3">
      <c r="A99" s="257"/>
      <c r="B99" s="258" t="s">
        <v>127</v>
      </c>
      <c r="C99" s="472">
        <f t="shared" si="35"/>
        <v>0</v>
      </c>
      <c r="D99" s="473">
        <f t="shared" si="36"/>
        <v>0</v>
      </c>
      <c r="E99" s="151">
        <v>0</v>
      </c>
      <c r="F99" s="151">
        <v>0</v>
      </c>
      <c r="G99" s="151">
        <v>0</v>
      </c>
      <c r="H99" s="151">
        <v>0</v>
      </c>
      <c r="I99" s="151">
        <v>0</v>
      </c>
      <c r="J99" s="262">
        <f t="shared" si="37"/>
        <v>0</v>
      </c>
      <c r="K99" s="476">
        <f t="shared" si="38"/>
        <v>0</v>
      </c>
      <c r="L99" s="151">
        <v>0</v>
      </c>
      <c r="M99" s="260">
        <f t="shared" si="39"/>
        <v>0</v>
      </c>
      <c r="N99" s="260">
        <f t="shared" si="40"/>
        <v>0</v>
      </c>
      <c r="O99" s="151">
        <v>0</v>
      </c>
      <c r="P99" s="475">
        <f t="shared" si="41"/>
        <v>0</v>
      </c>
      <c r="Q99" s="260">
        <f t="shared" si="42"/>
        <v>0</v>
      </c>
      <c r="R99" s="262">
        <v>0</v>
      </c>
      <c r="S99" s="262">
        <v>0</v>
      </c>
      <c r="T99" s="260">
        <v>0</v>
      </c>
    </row>
    <row r="100" spans="1:20" ht="19.5" x14ac:dyDescent="0.3">
      <c r="A100" s="257"/>
      <c r="B100" s="258" t="s">
        <v>128</v>
      </c>
      <c r="C100" s="472">
        <f t="shared" si="35"/>
        <v>0</v>
      </c>
      <c r="D100" s="473">
        <f t="shared" si="36"/>
        <v>0</v>
      </c>
      <c r="E100" s="151">
        <v>0</v>
      </c>
      <c r="F100" s="151">
        <v>0</v>
      </c>
      <c r="G100" s="151">
        <v>0</v>
      </c>
      <c r="H100" s="151">
        <v>0</v>
      </c>
      <c r="I100" s="151">
        <v>0</v>
      </c>
      <c r="J100" s="262">
        <f t="shared" si="37"/>
        <v>0</v>
      </c>
      <c r="K100" s="476">
        <f t="shared" si="38"/>
        <v>0</v>
      </c>
      <c r="L100" s="151">
        <v>0</v>
      </c>
      <c r="M100" s="260">
        <f t="shared" si="39"/>
        <v>0</v>
      </c>
      <c r="N100" s="260">
        <f t="shared" si="40"/>
        <v>0</v>
      </c>
      <c r="O100" s="151">
        <v>0</v>
      </c>
      <c r="P100" s="475">
        <f t="shared" si="41"/>
        <v>0</v>
      </c>
      <c r="Q100" s="260">
        <f t="shared" si="42"/>
        <v>0</v>
      </c>
      <c r="R100" s="262">
        <v>0</v>
      </c>
      <c r="S100" s="262">
        <v>0</v>
      </c>
      <c r="T100" s="260">
        <v>0</v>
      </c>
    </row>
    <row r="101" spans="1:20" ht="19.5" x14ac:dyDescent="0.3">
      <c r="A101" s="257"/>
      <c r="B101" s="258" t="s">
        <v>129</v>
      </c>
      <c r="C101" s="472">
        <f t="shared" si="35"/>
        <v>0</v>
      </c>
      <c r="D101" s="473">
        <f t="shared" si="36"/>
        <v>0</v>
      </c>
      <c r="E101" s="151">
        <v>0</v>
      </c>
      <c r="F101" s="151">
        <v>0</v>
      </c>
      <c r="G101" s="151">
        <v>0</v>
      </c>
      <c r="H101" s="151">
        <v>0</v>
      </c>
      <c r="I101" s="151">
        <v>0</v>
      </c>
      <c r="J101" s="262">
        <f t="shared" si="37"/>
        <v>0</v>
      </c>
      <c r="K101" s="476">
        <f t="shared" si="38"/>
        <v>0</v>
      </c>
      <c r="L101" s="151">
        <v>0</v>
      </c>
      <c r="M101" s="260">
        <f t="shared" si="39"/>
        <v>0</v>
      </c>
      <c r="N101" s="260">
        <f t="shared" si="40"/>
        <v>0</v>
      </c>
      <c r="O101" s="151">
        <v>0</v>
      </c>
      <c r="P101" s="475">
        <f t="shared" si="41"/>
        <v>0</v>
      </c>
      <c r="Q101" s="260">
        <f t="shared" si="42"/>
        <v>0</v>
      </c>
      <c r="R101" s="262">
        <v>0</v>
      </c>
      <c r="S101" s="262">
        <v>0</v>
      </c>
      <c r="T101" s="260">
        <v>0</v>
      </c>
    </row>
    <row r="102" spans="1:20" ht="19.5" x14ac:dyDescent="0.3">
      <c r="A102" s="257"/>
      <c r="B102" s="258" t="s">
        <v>130</v>
      </c>
      <c r="C102" s="472">
        <f t="shared" si="35"/>
        <v>0</v>
      </c>
      <c r="D102" s="473">
        <f t="shared" si="36"/>
        <v>0</v>
      </c>
      <c r="E102" s="151">
        <v>0</v>
      </c>
      <c r="F102" s="151">
        <v>0</v>
      </c>
      <c r="G102" s="151">
        <v>0</v>
      </c>
      <c r="H102" s="151">
        <v>0</v>
      </c>
      <c r="I102" s="151">
        <v>0</v>
      </c>
      <c r="J102" s="262">
        <f t="shared" si="37"/>
        <v>0</v>
      </c>
      <c r="K102" s="476">
        <f t="shared" si="38"/>
        <v>0</v>
      </c>
      <c r="L102" s="151">
        <v>0</v>
      </c>
      <c r="M102" s="260">
        <f t="shared" si="39"/>
        <v>0</v>
      </c>
      <c r="N102" s="260">
        <f t="shared" si="40"/>
        <v>0</v>
      </c>
      <c r="O102" s="151">
        <v>0</v>
      </c>
      <c r="P102" s="475">
        <f t="shared" si="41"/>
        <v>0</v>
      </c>
      <c r="Q102" s="260">
        <f t="shared" si="42"/>
        <v>0</v>
      </c>
      <c r="R102" s="262">
        <v>0</v>
      </c>
      <c r="S102" s="262">
        <v>0</v>
      </c>
      <c r="T102" s="260">
        <v>0</v>
      </c>
    </row>
    <row r="103" spans="1:20" ht="19.5" x14ac:dyDescent="0.3">
      <c r="A103" s="257"/>
      <c r="B103" s="258" t="s">
        <v>131</v>
      </c>
      <c r="C103" s="472">
        <f t="shared" si="35"/>
        <v>0</v>
      </c>
      <c r="D103" s="473">
        <f t="shared" si="36"/>
        <v>0</v>
      </c>
      <c r="E103" s="151">
        <v>0</v>
      </c>
      <c r="F103" s="151">
        <v>0</v>
      </c>
      <c r="G103" s="151">
        <v>0</v>
      </c>
      <c r="H103" s="151">
        <v>0</v>
      </c>
      <c r="I103" s="151">
        <v>0</v>
      </c>
      <c r="J103" s="262">
        <f t="shared" si="37"/>
        <v>0</v>
      </c>
      <c r="K103" s="476">
        <f t="shared" si="38"/>
        <v>0</v>
      </c>
      <c r="L103" s="151">
        <v>0</v>
      </c>
      <c r="M103" s="260">
        <f t="shared" si="39"/>
        <v>0</v>
      </c>
      <c r="N103" s="260">
        <f t="shared" si="40"/>
        <v>0</v>
      </c>
      <c r="O103" s="151">
        <v>0</v>
      </c>
      <c r="P103" s="475">
        <f t="shared" si="41"/>
        <v>0</v>
      </c>
      <c r="Q103" s="260">
        <f t="shared" si="42"/>
        <v>0</v>
      </c>
      <c r="R103" s="262">
        <v>0</v>
      </c>
      <c r="S103" s="262">
        <v>0</v>
      </c>
      <c r="T103" s="260">
        <v>0</v>
      </c>
    </row>
    <row r="104" spans="1:20" ht="19.5" x14ac:dyDescent="0.3">
      <c r="A104" s="257"/>
      <c r="B104" s="258" t="s">
        <v>132</v>
      </c>
      <c r="C104" s="472">
        <f t="shared" si="35"/>
        <v>0</v>
      </c>
      <c r="D104" s="473">
        <f t="shared" si="36"/>
        <v>0</v>
      </c>
      <c r="E104" s="151">
        <v>0</v>
      </c>
      <c r="F104" s="151">
        <v>0</v>
      </c>
      <c r="G104" s="151">
        <v>0</v>
      </c>
      <c r="H104" s="151">
        <v>0</v>
      </c>
      <c r="I104" s="151">
        <v>0</v>
      </c>
      <c r="J104" s="262">
        <f t="shared" si="37"/>
        <v>0</v>
      </c>
      <c r="K104" s="476">
        <f t="shared" si="38"/>
        <v>0</v>
      </c>
      <c r="L104" s="151">
        <v>0</v>
      </c>
      <c r="M104" s="260">
        <f t="shared" si="39"/>
        <v>0</v>
      </c>
      <c r="N104" s="260">
        <f t="shared" si="40"/>
        <v>0</v>
      </c>
      <c r="O104" s="151">
        <v>0</v>
      </c>
      <c r="P104" s="475">
        <f t="shared" si="41"/>
        <v>0</v>
      </c>
      <c r="Q104" s="260">
        <f t="shared" si="42"/>
        <v>0</v>
      </c>
      <c r="R104" s="251">
        <v>0</v>
      </c>
      <c r="S104" s="251">
        <v>0</v>
      </c>
      <c r="T104" s="605">
        <v>0</v>
      </c>
    </row>
    <row r="105" spans="1:20" ht="19.5" x14ac:dyDescent="0.3">
      <c r="A105" s="257"/>
      <c r="B105" s="261" t="s">
        <v>133</v>
      </c>
      <c r="C105" s="472">
        <f t="shared" si="35"/>
        <v>0</v>
      </c>
      <c r="D105" s="473">
        <f t="shared" si="36"/>
        <v>0</v>
      </c>
      <c r="E105" s="151">
        <v>0</v>
      </c>
      <c r="F105" s="151">
        <v>0</v>
      </c>
      <c r="G105" s="151">
        <v>0</v>
      </c>
      <c r="H105" s="151">
        <v>0</v>
      </c>
      <c r="I105" s="151">
        <v>0</v>
      </c>
      <c r="J105" s="262">
        <f t="shared" si="37"/>
        <v>0</v>
      </c>
      <c r="K105" s="476">
        <f t="shared" si="38"/>
        <v>0</v>
      </c>
      <c r="L105" s="151">
        <v>0</v>
      </c>
      <c r="M105" s="260">
        <f t="shared" si="39"/>
        <v>0</v>
      </c>
      <c r="N105" s="260">
        <f t="shared" si="40"/>
        <v>0</v>
      </c>
      <c r="O105" s="151">
        <v>0</v>
      </c>
      <c r="P105" s="475">
        <f t="shared" si="41"/>
        <v>0</v>
      </c>
      <c r="Q105" s="260">
        <f t="shared" si="42"/>
        <v>0</v>
      </c>
      <c r="R105" s="262">
        <v>0</v>
      </c>
      <c r="S105" s="262">
        <v>0</v>
      </c>
      <c r="T105" s="260">
        <v>0</v>
      </c>
    </row>
    <row r="106" spans="1:20" ht="19.5" x14ac:dyDescent="0.3">
      <c r="A106" s="257"/>
      <c r="B106" s="261" t="s">
        <v>134</v>
      </c>
      <c r="C106" s="472">
        <f t="shared" si="35"/>
        <v>0</v>
      </c>
      <c r="D106" s="473">
        <f t="shared" si="36"/>
        <v>0</v>
      </c>
      <c r="E106" s="151">
        <v>0</v>
      </c>
      <c r="F106" s="151">
        <v>0</v>
      </c>
      <c r="G106" s="151">
        <v>0</v>
      </c>
      <c r="H106" s="151">
        <v>0</v>
      </c>
      <c r="I106" s="151">
        <v>0</v>
      </c>
      <c r="J106" s="262">
        <f t="shared" si="37"/>
        <v>0</v>
      </c>
      <c r="K106" s="476">
        <f t="shared" si="38"/>
        <v>0</v>
      </c>
      <c r="L106" s="151">
        <v>0</v>
      </c>
      <c r="M106" s="260">
        <f t="shared" si="39"/>
        <v>0</v>
      </c>
      <c r="N106" s="260">
        <f t="shared" si="40"/>
        <v>0</v>
      </c>
      <c r="O106" s="151">
        <v>0</v>
      </c>
      <c r="P106" s="475">
        <f t="shared" si="41"/>
        <v>0</v>
      </c>
      <c r="Q106" s="260">
        <f t="shared" si="42"/>
        <v>0</v>
      </c>
      <c r="R106" s="262">
        <v>0</v>
      </c>
      <c r="S106" s="262">
        <v>0</v>
      </c>
      <c r="T106" s="260">
        <v>0</v>
      </c>
    </row>
    <row r="107" spans="1:20" ht="19.5" x14ac:dyDescent="0.3">
      <c r="A107" s="263"/>
      <c r="B107" s="264" t="s">
        <v>26</v>
      </c>
      <c r="C107" s="495">
        <f t="shared" si="35"/>
        <v>0</v>
      </c>
      <c r="D107" s="496">
        <f t="shared" si="36"/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7">
        <f t="shared" si="37"/>
        <v>0</v>
      </c>
      <c r="K107" s="497">
        <f t="shared" si="38"/>
        <v>0</v>
      </c>
      <c r="L107" s="265">
        <v>0</v>
      </c>
      <c r="M107" s="498">
        <f t="shared" si="39"/>
        <v>0</v>
      </c>
      <c r="N107" s="498">
        <f t="shared" si="40"/>
        <v>0</v>
      </c>
      <c r="O107" s="265">
        <v>0</v>
      </c>
      <c r="P107" s="499">
        <f t="shared" si="41"/>
        <v>0</v>
      </c>
      <c r="Q107" s="498">
        <f t="shared" si="42"/>
        <v>0</v>
      </c>
      <c r="R107" s="267"/>
      <c r="S107" s="267"/>
      <c r="T107" s="498"/>
    </row>
    <row r="108" spans="1:20" ht="19.5" x14ac:dyDescent="0.3">
      <c r="A108" s="268"/>
      <c r="B108" s="269" t="s">
        <v>135</v>
      </c>
      <c r="C108" s="502">
        <f t="shared" si="35"/>
        <v>0</v>
      </c>
      <c r="D108" s="503">
        <f t="shared" si="36"/>
        <v>0</v>
      </c>
      <c r="E108" s="270">
        <v>0</v>
      </c>
      <c r="F108" s="270">
        <v>0</v>
      </c>
      <c r="G108" s="270">
        <v>0</v>
      </c>
      <c r="H108" s="270">
        <v>0</v>
      </c>
      <c r="I108" s="270">
        <v>0</v>
      </c>
      <c r="J108" s="272">
        <f t="shared" si="37"/>
        <v>0</v>
      </c>
      <c r="K108" s="504">
        <f t="shared" si="38"/>
        <v>0</v>
      </c>
      <c r="L108" s="270">
        <v>0</v>
      </c>
      <c r="M108" s="505">
        <f t="shared" si="39"/>
        <v>0</v>
      </c>
      <c r="N108" s="505">
        <f t="shared" si="40"/>
        <v>0</v>
      </c>
      <c r="O108" s="270">
        <v>0</v>
      </c>
      <c r="P108" s="506">
        <f t="shared" si="41"/>
        <v>0</v>
      </c>
      <c r="Q108" s="505">
        <f t="shared" si="42"/>
        <v>0</v>
      </c>
      <c r="R108" s="272"/>
      <c r="S108" s="272"/>
      <c r="T108" s="505"/>
    </row>
  </sheetData>
  <mergeCells count="25">
    <mergeCell ref="F5:F6"/>
    <mergeCell ref="G5:G6"/>
    <mergeCell ref="H5:H6"/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I5:I6"/>
    <mergeCell ref="J5:K5"/>
    <mergeCell ref="L5:N5"/>
    <mergeCell ref="O5:Q5"/>
    <mergeCell ref="S5:T5"/>
    <mergeCell ref="C2:Q2"/>
    <mergeCell ref="R2:T2"/>
    <mergeCell ref="C3:Q3"/>
    <mergeCell ref="R3:T4"/>
    <mergeCell ref="C4:G4"/>
    <mergeCell ref="H4:I4"/>
    <mergeCell ref="J4:Q4"/>
  </mergeCells>
  <conditionalFormatting sqref="K14:K30 K32:K51 K53:K73 K75:K88 K90:K108">
    <cfRule type="colorScale" priority="2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T14:T30 T32:T51 T53:T73 T75:T88">
    <cfRule type="colorScale" priority="1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FF00"/>
    <outlinePr summaryBelow="0" summaryRight="0"/>
  </sheetPr>
  <dimension ref="A1:U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5.140625" customWidth="1"/>
    <col min="7" max="7" width="15.140625" customWidth="1"/>
    <col min="8" max="8" width="14.42578125" customWidth="1"/>
    <col min="9" max="9" width="15.140625" customWidth="1"/>
    <col min="18" max="20" width="17.5703125" customWidth="1"/>
  </cols>
  <sheetData>
    <row r="1" spans="1:21" ht="19.5" x14ac:dyDescent="0.3">
      <c r="A1" s="234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4"/>
      <c r="S1" s="114"/>
      <c r="T1" s="116"/>
    </row>
    <row r="2" spans="1:21" ht="30" customHeight="1" x14ac:dyDescent="0.2">
      <c r="A2" s="692" t="s">
        <v>1</v>
      </c>
      <c r="B2" s="658"/>
      <c r="C2" s="689" t="s">
        <v>303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7"/>
      <c r="R2" s="689" t="s">
        <v>29</v>
      </c>
      <c r="S2" s="646"/>
      <c r="T2" s="647"/>
      <c r="U2" s="594"/>
    </row>
    <row r="3" spans="1:21" ht="30" customHeight="1" x14ac:dyDescent="0.2">
      <c r="A3" s="659"/>
      <c r="B3" s="660"/>
      <c r="C3" s="717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87" t="s">
        <v>304</v>
      </c>
      <c r="S3" s="674"/>
      <c r="T3" s="658"/>
      <c r="U3" s="594"/>
    </row>
    <row r="4" spans="1:21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661"/>
      <c r="S4" s="675"/>
      <c r="T4" s="662"/>
      <c r="U4" s="594"/>
    </row>
    <row r="5" spans="1:21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119" t="s">
        <v>28</v>
      </c>
      <c r="S5" s="780" t="s">
        <v>29</v>
      </c>
      <c r="T5" s="647"/>
      <c r="U5" s="594"/>
    </row>
    <row r="6" spans="1:21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119" t="s">
        <v>153</v>
      </c>
      <c r="S6" s="180" t="s">
        <v>153</v>
      </c>
      <c r="T6" s="210" t="s">
        <v>31</v>
      </c>
      <c r="U6" s="594"/>
    </row>
    <row r="7" spans="1:21" ht="19.5" x14ac:dyDescent="0.3">
      <c r="A7" s="694" t="s">
        <v>38</v>
      </c>
      <c r="B7" s="647"/>
      <c r="C7" s="454">
        <f t="shared" ref="C7:C9" ca="1" si="0">D7+G7</f>
        <v>3228800</v>
      </c>
      <c r="D7" s="455">
        <f t="shared" ref="D7:I7" ca="1" si="1">D8+D9</f>
        <v>122800</v>
      </c>
      <c r="E7" s="456">
        <f t="shared" ca="1" si="1"/>
        <v>122800</v>
      </c>
      <c r="F7" s="457">
        <f t="shared" ca="1" si="1"/>
        <v>0</v>
      </c>
      <c r="G7" s="458">
        <f t="shared" ca="1" si="1"/>
        <v>3106000</v>
      </c>
      <c r="H7" s="459">
        <f t="shared" ca="1" si="1"/>
        <v>122800</v>
      </c>
      <c r="I7" s="459">
        <f t="shared" ca="1" si="1"/>
        <v>2414000</v>
      </c>
      <c r="J7" s="460">
        <f t="shared" ref="J7:J9" ca="1" si="2">L7+O7</f>
        <v>189132</v>
      </c>
      <c r="K7" s="461">
        <f t="shared" ref="K7:K9" ca="1" si="3">IF(C7&gt;0,J7*100/C7,0)</f>
        <v>5.8576560951437067</v>
      </c>
      <c r="L7" s="460">
        <f ca="1">L8+L9</f>
        <v>0</v>
      </c>
      <c r="M7" s="462">
        <f t="shared" ref="M7:M9" ca="1" si="4">IF(D7&gt;0,L7*100/D7,0)</f>
        <v>0</v>
      </c>
      <c r="N7" s="462">
        <f t="shared" ref="N7:N9" ca="1" si="5">IF(H7&gt;0,L7*100/H7,0)</f>
        <v>0</v>
      </c>
      <c r="O7" s="463">
        <f ca="1">O8+O9</f>
        <v>189132</v>
      </c>
      <c r="P7" s="463">
        <f t="shared" ref="P7:P9" ca="1" si="6">IF(G7&gt;0,O7*100/G7,0)</f>
        <v>6.0892466194462331</v>
      </c>
      <c r="Q7" s="462">
        <f t="shared" ref="Q7:Q9" ca="1" si="7">IF(I7&gt;0,O7*100/I7,0)</f>
        <v>7.8347970173985084</v>
      </c>
      <c r="R7" s="211">
        <f t="shared" ref="R7:S7" ca="1" si="8">R8</f>
        <v>3</v>
      </c>
      <c r="S7" s="212">
        <f t="shared" ca="1" si="8"/>
        <v>1</v>
      </c>
      <c r="T7" s="213">
        <f t="shared" ref="T7:T9" ca="1" si="9">IF(R7&gt;0,S7*100/R7,0)</f>
        <v>33.333333333333336</v>
      </c>
    </row>
    <row r="8" spans="1:21" ht="19.5" x14ac:dyDescent="0.3">
      <c r="A8" s="134" t="s">
        <v>39</v>
      </c>
      <c r="B8" s="135"/>
      <c r="C8" s="464">
        <f t="shared" ca="1" si="0"/>
        <v>3106000</v>
      </c>
      <c r="D8" s="464">
        <f t="shared" ref="D8:I8" ca="1" si="10">+D13+D31+D52+D74</f>
        <v>0</v>
      </c>
      <c r="E8" s="464">
        <f t="shared" ca="1" si="10"/>
        <v>0</v>
      </c>
      <c r="F8" s="464">
        <f t="shared" ca="1" si="10"/>
        <v>0</v>
      </c>
      <c r="G8" s="464">
        <f t="shared" ca="1" si="10"/>
        <v>3106000</v>
      </c>
      <c r="H8" s="464">
        <f t="shared" ca="1" si="10"/>
        <v>0</v>
      </c>
      <c r="I8" s="464">
        <f t="shared" ca="1" si="10"/>
        <v>2414000</v>
      </c>
      <c r="J8" s="464">
        <f t="shared" ca="1" si="2"/>
        <v>189132</v>
      </c>
      <c r="K8" s="465">
        <f t="shared" ca="1" si="3"/>
        <v>6.0892466194462331</v>
      </c>
      <c r="L8" s="464">
        <f ca="1">+L13+L31+L52+L74</f>
        <v>0</v>
      </c>
      <c r="M8" s="466">
        <f t="shared" ca="1" si="4"/>
        <v>0</v>
      </c>
      <c r="N8" s="466">
        <f t="shared" ca="1" si="5"/>
        <v>0</v>
      </c>
      <c r="O8" s="467">
        <f ca="1">+O13+O31+O52+O74</f>
        <v>189132</v>
      </c>
      <c r="P8" s="467">
        <f t="shared" ca="1" si="6"/>
        <v>6.0892466194462331</v>
      </c>
      <c r="Q8" s="466">
        <f t="shared" ca="1" si="7"/>
        <v>7.8347970173985084</v>
      </c>
      <c r="R8" s="276">
        <f t="shared" ref="R8:S8" ca="1" si="11">+R13+R31+R52+R74</f>
        <v>3</v>
      </c>
      <c r="S8" s="276">
        <f t="shared" ca="1" si="11"/>
        <v>1</v>
      </c>
      <c r="T8" s="37">
        <f t="shared" ca="1" si="9"/>
        <v>33.333333333333336</v>
      </c>
    </row>
    <row r="9" spans="1:21" ht="19.5" x14ac:dyDescent="0.3">
      <c r="A9" s="245" t="s">
        <v>40</v>
      </c>
      <c r="B9" s="138"/>
      <c r="C9" s="248">
        <f t="shared" ca="1" si="0"/>
        <v>122800</v>
      </c>
      <c r="D9" s="248">
        <f t="shared" ref="D9:I9" ca="1" si="12">+D89</f>
        <v>122800</v>
      </c>
      <c r="E9" s="248">
        <f t="shared" ca="1" si="12"/>
        <v>122800</v>
      </c>
      <c r="F9" s="248">
        <f t="shared" ca="1" si="12"/>
        <v>0</v>
      </c>
      <c r="G9" s="248">
        <f t="shared" ca="1" si="12"/>
        <v>0</v>
      </c>
      <c r="H9" s="248">
        <f t="shared" ca="1" si="12"/>
        <v>122800</v>
      </c>
      <c r="I9" s="248">
        <f t="shared" ca="1" si="12"/>
        <v>0</v>
      </c>
      <c r="J9" s="248">
        <f t="shared" ca="1" si="2"/>
        <v>0</v>
      </c>
      <c r="K9" s="469">
        <f t="shared" ca="1" si="3"/>
        <v>0</v>
      </c>
      <c r="L9" s="248">
        <f ca="1">+L89</f>
        <v>0</v>
      </c>
      <c r="M9" s="470">
        <f t="shared" ca="1" si="4"/>
        <v>0</v>
      </c>
      <c r="N9" s="470">
        <f t="shared" ca="1" si="5"/>
        <v>0</v>
      </c>
      <c r="O9" s="471">
        <f ca="1">+O89</f>
        <v>0</v>
      </c>
      <c r="P9" s="471">
        <f t="shared" ca="1" si="6"/>
        <v>0</v>
      </c>
      <c r="Q9" s="470">
        <f t="shared" ca="1" si="7"/>
        <v>0</v>
      </c>
      <c r="R9" s="248"/>
      <c r="S9" s="248"/>
      <c r="T9" s="595">
        <f t="shared" si="9"/>
        <v>0</v>
      </c>
    </row>
    <row r="10" spans="1:21" ht="12.75" hidden="1" x14ac:dyDescent="0.2">
      <c r="A10" s="142"/>
      <c r="B10" s="142"/>
      <c r="C10" s="214"/>
      <c r="D10" s="214"/>
      <c r="E10" s="214"/>
      <c r="F10" s="214"/>
      <c r="G10" s="214"/>
      <c r="H10" s="214"/>
      <c r="I10" s="214"/>
      <c r="J10" s="214"/>
      <c r="K10" s="249"/>
      <c r="L10" s="214"/>
      <c r="M10" s="196"/>
      <c r="N10" s="196"/>
      <c r="O10" s="195"/>
      <c r="P10" s="195"/>
      <c r="Q10" s="196"/>
      <c r="R10" s="214"/>
      <c r="S10" s="214"/>
      <c r="T10" s="196"/>
    </row>
    <row r="11" spans="1:21" ht="12.75" hidden="1" x14ac:dyDescent="0.2">
      <c r="A11" s="142"/>
      <c r="B11" s="142"/>
      <c r="C11" s="214"/>
      <c r="D11" s="214"/>
      <c r="E11" s="214"/>
      <c r="F11" s="214"/>
      <c r="G11" s="214"/>
      <c r="H11" s="214"/>
      <c r="I11" s="214"/>
      <c r="J11" s="214"/>
      <c r="K11" s="249"/>
      <c r="L11" s="214"/>
      <c r="M11" s="196"/>
      <c r="N11" s="196"/>
      <c r="O11" s="195"/>
      <c r="P11" s="195"/>
      <c r="Q11" s="196"/>
      <c r="R11" s="214"/>
      <c r="S11" s="214"/>
      <c r="T11" s="196"/>
    </row>
    <row r="12" spans="1:21" ht="19.5" hidden="1" x14ac:dyDescent="0.3">
      <c r="A12" s="142"/>
      <c r="B12" s="142"/>
      <c r="C12" s="214"/>
      <c r="D12" s="214"/>
      <c r="E12" s="214"/>
      <c r="F12" s="214"/>
      <c r="G12" s="214"/>
      <c r="H12" s="214"/>
      <c r="I12" s="214"/>
      <c r="J12" s="214"/>
      <c r="K12" s="249"/>
      <c r="L12" s="214"/>
      <c r="M12" s="196"/>
      <c r="N12" s="196"/>
      <c r="O12" s="195"/>
      <c r="P12" s="195"/>
      <c r="Q12" s="196"/>
      <c r="R12" s="143"/>
      <c r="S12" s="143"/>
      <c r="T12" s="51"/>
    </row>
    <row r="13" spans="1:21" ht="19.5" x14ac:dyDescent="0.3">
      <c r="A13" s="695" t="s">
        <v>41</v>
      </c>
      <c r="B13" s="647"/>
      <c r="C13" s="596">
        <f t="shared" ref="C13:C88" ca="1" si="13">D13+G13</f>
        <v>2916000</v>
      </c>
      <c r="D13" s="596">
        <f t="shared" ref="D13:I13" ca="1" si="14">SUM(D14:D30)</f>
        <v>0</v>
      </c>
      <c r="E13" s="596">
        <f t="shared" ca="1" si="14"/>
        <v>0</v>
      </c>
      <c r="F13" s="596">
        <f t="shared" ca="1" si="14"/>
        <v>0</v>
      </c>
      <c r="G13" s="596">
        <f t="shared" ca="1" si="14"/>
        <v>2916000</v>
      </c>
      <c r="H13" s="596">
        <f t="shared" ca="1" si="14"/>
        <v>0</v>
      </c>
      <c r="I13" s="596">
        <f t="shared" ca="1" si="14"/>
        <v>2224000</v>
      </c>
      <c r="J13" s="596">
        <f t="shared" ref="J13:J88" ca="1" si="15">L13+O13</f>
        <v>0</v>
      </c>
      <c r="K13" s="597">
        <f t="shared" ref="K13:K88" ca="1" si="16">IF(C13&gt;0,J13*100/C13,0)</f>
        <v>0</v>
      </c>
      <c r="L13" s="596">
        <f ca="1">SUM(L14:L30)</f>
        <v>0</v>
      </c>
      <c r="M13" s="598">
        <f t="shared" ref="M13:M88" ca="1" si="17">IF(D13&gt;0,L13*100/D13,0)</f>
        <v>0</v>
      </c>
      <c r="N13" s="598">
        <f t="shared" ref="N13:N88" ca="1" si="18">IF(H13&gt;0,L13*100/H13,0)</f>
        <v>0</v>
      </c>
      <c r="O13" s="599">
        <f ca="1">SUM(O14:O30)</f>
        <v>0</v>
      </c>
      <c r="P13" s="599">
        <f t="shared" ref="P13:P88" ca="1" si="19">IF(G13&gt;0,O13*100/G13,0)</f>
        <v>0</v>
      </c>
      <c r="Q13" s="598">
        <f t="shared" ref="Q13:Q88" ca="1" si="20">IF(I13&gt;0,O13*100/I13,0)</f>
        <v>0</v>
      </c>
      <c r="R13" s="277">
        <f t="shared" ref="R13:S13" ca="1" si="21">SUM(R14:R30)</f>
        <v>2</v>
      </c>
      <c r="S13" s="277">
        <f t="shared" ca="1" si="21"/>
        <v>0</v>
      </c>
      <c r="T13" s="57">
        <f t="shared" ref="T13:T88" ca="1" si="22">IF(R13&gt;0,S13*100/R13,0)</f>
        <v>0</v>
      </c>
      <c r="U13" s="600"/>
    </row>
    <row r="14" spans="1:21" ht="19.5" x14ac:dyDescent="0.3">
      <c r="A14" s="147">
        <v>1</v>
      </c>
      <c r="B14" s="148" t="s">
        <v>42</v>
      </c>
      <c r="C14" s="472">
        <f t="shared" ca="1" si="13"/>
        <v>0</v>
      </c>
      <c r="D14" s="473">
        <f t="shared" ref="D14:D30" ca="1" si="23">+E14+F14</f>
        <v>0</v>
      </c>
      <c r="E14" s="151">
        <f ca="1">IFERROR(__xludf.DUMMYFUNCTION("IMPORTRANGE(""https://docs.google.com/spreadsheets/d/1-uDff_7J0KD5mKrp0Vvzr7lt3OU09vwQwhkpOPPYv2Y/edit?usp=sharing"",""งบพรบ!FX14"")"),0)</f>
        <v>0</v>
      </c>
      <c r="F14" s="151">
        <f ca="1">IFERROR(__xludf.DUMMYFUNCTION("IMPORTRANGE(""https://docs.google.com/spreadsheets/d/1-uDff_7J0KD5mKrp0Vvzr7lt3OU09vwQwhkpOPPYv2Y/edit?usp=sharing"",""งบพรบ!FY14"")"),0)</f>
        <v>0</v>
      </c>
      <c r="G14" s="152">
        <f ca="1">IFERROR(__xludf.DUMMYFUNCTION("IMPORTRANGE(""https://docs.google.com/spreadsheets/d/1-uDff_7J0KD5mKrp0Vvzr7lt3OU09vwQwhkpOPPYv2Y/edit?usp=sharing"",""งบพรบ!FZ14"")"),0)</f>
        <v>0</v>
      </c>
      <c r="H14" s="152">
        <f ca="1">IFERROR(__xludf.DUMMYFUNCTION("IMPORTRANGE(""https://docs.google.com/spreadsheets/d/1-uDff_7J0KD5mKrp0Vvzr7lt3OU09vwQwhkpOPPYv2Y/edit?usp=sharing"",""งบพรบ!GB14"")"),0)</f>
        <v>0</v>
      </c>
      <c r="I14" s="152">
        <f ca="1">IFERROR(__xludf.DUMMYFUNCTION("IMPORTRANGE(""https://docs.google.com/spreadsheets/d/1-uDff_7J0KD5mKrp0Vvzr7lt3OU09vwQwhkpOPPYv2Y/edit?usp=sharing"",""งบพรบ!GC14"")"),0)</f>
        <v>0</v>
      </c>
      <c r="J14" s="251">
        <f t="shared" ca="1" si="15"/>
        <v>0</v>
      </c>
      <c r="K14" s="474">
        <f t="shared" ca="1" si="16"/>
        <v>0</v>
      </c>
      <c r="L14" s="152">
        <f ca="1">IFERROR(__xludf.DUMMYFUNCTION("IMPORTRANGE(""https://docs.google.com/spreadsheets/d/1-uDff_7J0KD5mKrp0Vvzr7lt3OU09vwQwhkpOPPYv2Y/edit?usp=sharing"",""งบพรบ!GD14"")"),0)</f>
        <v>0</v>
      </c>
      <c r="M14" s="260">
        <f t="shared" ca="1" si="17"/>
        <v>0</v>
      </c>
      <c r="N14" s="260">
        <f t="shared" ca="1" si="18"/>
        <v>0</v>
      </c>
      <c r="O14" s="151">
        <f ca="1">IFERROR(__xludf.DUMMYFUNCTION("IMPORTRANGE(""https://docs.google.com/spreadsheets/d/1-uDff_7J0KD5mKrp0Vvzr7lt3OU09vwQwhkpOPPYv2Y/edit?usp=sharing"",""งบพรบ!GE14"")"),0)</f>
        <v>0</v>
      </c>
      <c r="P14" s="475">
        <f t="shared" ca="1" si="19"/>
        <v>0</v>
      </c>
      <c r="Q14" s="260">
        <f t="shared" ca="1" si="20"/>
        <v>0</v>
      </c>
      <c r="R14" s="279">
        <v>0</v>
      </c>
      <c r="S14" s="397">
        <v>0</v>
      </c>
      <c r="T14" s="216">
        <f t="shared" si="22"/>
        <v>0</v>
      </c>
    </row>
    <row r="15" spans="1:21" ht="19.5" x14ac:dyDescent="0.3">
      <c r="A15" s="147">
        <v>2</v>
      </c>
      <c r="B15" s="148" t="s">
        <v>43</v>
      </c>
      <c r="C15" s="472">
        <f t="shared" ca="1" si="13"/>
        <v>0</v>
      </c>
      <c r="D15" s="473">
        <f t="shared" ca="1" si="23"/>
        <v>0</v>
      </c>
      <c r="E15" s="151">
        <f ca="1">IFERROR(__xludf.DUMMYFUNCTION("IMPORTRANGE(""https://docs.google.com/spreadsheets/d/1-uDff_7J0KD5mKrp0Vvzr7lt3OU09vwQwhkpOPPYv2Y/edit?usp=sharing"",""งบพรบ!FX15"")"),0)</f>
        <v>0</v>
      </c>
      <c r="F15" s="151">
        <f ca="1">IFERROR(__xludf.DUMMYFUNCTION("IMPORTRANGE(""https://docs.google.com/spreadsheets/d/1-uDff_7J0KD5mKrp0Vvzr7lt3OU09vwQwhkpOPPYv2Y/edit?usp=sharing"",""งบพรบ!FY15"")"),0)</f>
        <v>0</v>
      </c>
      <c r="G15" s="151">
        <f ca="1">IFERROR(__xludf.DUMMYFUNCTION("IMPORTRANGE(""https://docs.google.com/spreadsheets/d/1-uDff_7J0KD5mKrp0Vvzr7lt3OU09vwQwhkpOPPYv2Y/edit?usp=sharing"",""งบพรบ!FZ15"")"),0)</f>
        <v>0</v>
      </c>
      <c r="H15" s="151">
        <f ca="1">IFERROR(__xludf.DUMMYFUNCTION("IMPORTRANGE(""https://docs.google.com/spreadsheets/d/1-uDff_7J0KD5mKrp0Vvzr7lt3OU09vwQwhkpOPPYv2Y/edit?usp=sharing"",""งบพรบ!GB15"")"),0)</f>
        <v>0</v>
      </c>
      <c r="I15" s="151">
        <f ca="1">IFERROR(__xludf.DUMMYFUNCTION("IMPORTRANGE(""https://docs.google.com/spreadsheets/d/1-uDff_7J0KD5mKrp0Vvzr7lt3OU09vwQwhkpOPPYv2Y/edit?usp=sharing"",""งบพรบ!GC15"")"),0)</f>
        <v>0</v>
      </c>
      <c r="J15" s="262">
        <f t="shared" ca="1" si="15"/>
        <v>0</v>
      </c>
      <c r="K15" s="476">
        <f t="shared" ca="1" si="16"/>
        <v>0</v>
      </c>
      <c r="L15" s="151">
        <f ca="1">IFERROR(__xludf.DUMMYFUNCTION("IMPORTRANGE(""https://docs.google.com/spreadsheets/d/1-uDff_7J0KD5mKrp0Vvzr7lt3OU09vwQwhkpOPPYv2Y/edit?usp=sharing"",""งบพรบ!GD15"")"),0)</f>
        <v>0</v>
      </c>
      <c r="M15" s="260">
        <f t="shared" ca="1" si="17"/>
        <v>0</v>
      </c>
      <c r="N15" s="260">
        <f t="shared" ca="1" si="18"/>
        <v>0</v>
      </c>
      <c r="O15" s="151">
        <f ca="1">IFERROR(__xludf.DUMMYFUNCTION("IMPORTRANGE(""https://docs.google.com/spreadsheets/d/1-uDff_7J0KD5mKrp0Vvzr7lt3OU09vwQwhkpOPPYv2Y/edit?usp=sharing"",""งบพรบ!GE15"")"),0)</f>
        <v>0</v>
      </c>
      <c r="P15" s="475">
        <f t="shared" ca="1" si="19"/>
        <v>0</v>
      </c>
      <c r="Q15" s="260">
        <f t="shared" ca="1" si="20"/>
        <v>0</v>
      </c>
      <c r="R15" s="278">
        <v>0</v>
      </c>
      <c r="S15" s="152">
        <v>0</v>
      </c>
      <c r="T15" s="216">
        <f t="shared" si="22"/>
        <v>0</v>
      </c>
    </row>
    <row r="16" spans="1:21" ht="19.5" x14ac:dyDescent="0.3">
      <c r="A16" s="147">
        <v>3</v>
      </c>
      <c r="B16" s="148" t="s">
        <v>44</v>
      </c>
      <c r="C16" s="472">
        <f t="shared" ca="1" si="13"/>
        <v>0</v>
      </c>
      <c r="D16" s="473">
        <f t="shared" ca="1" si="23"/>
        <v>0</v>
      </c>
      <c r="E16" s="151">
        <f ca="1">IFERROR(__xludf.DUMMYFUNCTION("IMPORTRANGE(""https://docs.google.com/spreadsheets/d/1-uDff_7J0KD5mKrp0Vvzr7lt3OU09vwQwhkpOPPYv2Y/edit?usp=sharing"",""งบพรบ!FX16"")"),0)</f>
        <v>0</v>
      </c>
      <c r="F16" s="151">
        <f ca="1">IFERROR(__xludf.DUMMYFUNCTION("IMPORTRANGE(""https://docs.google.com/spreadsheets/d/1-uDff_7J0KD5mKrp0Vvzr7lt3OU09vwQwhkpOPPYv2Y/edit?usp=sharing"",""งบพรบ!FY16"")"),0)</f>
        <v>0</v>
      </c>
      <c r="G16" s="151">
        <f ca="1">IFERROR(__xludf.DUMMYFUNCTION("IMPORTRANGE(""https://docs.google.com/spreadsheets/d/1-uDff_7J0KD5mKrp0Vvzr7lt3OU09vwQwhkpOPPYv2Y/edit?usp=sharing"",""งบพรบ!FZ16"")"),0)</f>
        <v>0</v>
      </c>
      <c r="H16" s="151">
        <f ca="1">IFERROR(__xludf.DUMMYFUNCTION("IMPORTRANGE(""https://docs.google.com/spreadsheets/d/1-uDff_7J0KD5mKrp0Vvzr7lt3OU09vwQwhkpOPPYv2Y/edit?usp=sharing"",""งบพรบ!GB16"")"),0)</f>
        <v>0</v>
      </c>
      <c r="I16" s="151">
        <f ca="1">IFERROR(__xludf.DUMMYFUNCTION("IMPORTRANGE(""https://docs.google.com/spreadsheets/d/1-uDff_7J0KD5mKrp0Vvzr7lt3OU09vwQwhkpOPPYv2Y/edit?usp=sharing"",""งบพรบ!GC16"")"),0)</f>
        <v>0</v>
      </c>
      <c r="J16" s="262">
        <f t="shared" ca="1" si="15"/>
        <v>0</v>
      </c>
      <c r="K16" s="476">
        <f t="shared" ca="1" si="16"/>
        <v>0</v>
      </c>
      <c r="L16" s="151">
        <f ca="1">IFERROR(__xludf.DUMMYFUNCTION("IMPORTRANGE(""https://docs.google.com/spreadsheets/d/1-uDff_7J0KD5mKrp0Vvzr7lt3OU09vwQwhkpOPPYv2Y/edit?usp=sharing"",""งบพรบ!GD16"")"),0)</f>
        <v>0</v>
      </c>
      <c r="M16" s="260">
        <f t="shared" ca="1" si="17"/>
        <v>0</v>
      </c>
      <c r="N16" s="260">
        <f t="shared" ca="1" si="18"/>
        <v>0</v>
      </c>
      <c r="O16" s="151">
        <f ca="1">IFERROR(__xludf.DUMMYFUNCTION("IMPORTRANGE(""https://docs.google.com/spreadsheets/d/1-uDff_7J0KD5mKrp0Vvzr7lt3OU09vwQwhkpOPPYv2Y/edit?usp=sharing"",""งบพรบ!GE16"")"),0)</f>
        <v>0</v>
      </c>
      <c r="P16" s="475">
        <f t="shared" ca="1" si="19"/>
        <v>0</v>
      </c>
      <c r="Q16" s="260">
        <f t="shared" ca="1" si="20"/>
        <v>0</v>
      </c>
      <c r="R16" s="279">
        <v>0</v>
      </c>
      <c r="S16" s="397">
        <v>0</v>
      </c>
      <c r="T16" s="216">
        <f t="shared" si="22"/>
        <v>0</v>
      </c>
    </row>
    <row r="17" spans="1:21" ht="19.5" x14ac:dyDescent="0.3">
      <c r="A17" s="147">
        <v>4</v>
      </c>
      <c r="B17" s="148" t="s">
        <v>45</v>
      </c>
      <c r="C17" s="472">
        <f t="shared" ca="1" si="13"/>
        <v>0</v>
      </c>
      <c r="D17" s="473">
        <f t="shared" ca="1" si="23"/>
        <v>0</v>
      </c>
      <c r="E17" s="151">
        <f ca="1">IFERROR(__xludf.DUMMYFUNCTION("IMPORTRANGE(""https://docs.google.com/spreadsheets/d/1-uDff_7J0KD5mKrp0Vvzr7lt3OU09vwQwhkpOPPYv2Y/edit?usp=sharing"",""งบพรบ!FX17"")"),0)</f>
        <v>0</v>
      </c>
      <c r="F17" s="151">
        <f ca="1">IFERROR(__xludf.DUMMYFUNCTION("IMPORTRANGE(""https://docs.google.com/spreadsheets/d/1-uDff_7J0KD5mKrp0Vvzr7lt3OU09vwQwhkpOPPYv2Y/edit?usp=sharing"",""งบพรบ!FY17"")"),0)</f>
        <v>0</v>
      </c>
      <c r="G17" s="151">
        <f ca="1">IFERROR(__xludf.DUMMYFUNCTION("IMPORTRANGE(""https://docs.google.com/spreadsheets/d/1-uDff_7J0KD5mKrp0Vvzr7lt3OU09vwQwhkpOPPYv2Y/edit?usp=sharing"",""งบพรบ!FZ17"")"),0)</f>
        <v>0</v>
      </c>
      <c r="H17" s="151">
        <f ca="1">IFERROR(__xludf.DUMMYFUNCTION("IMPORTRANGE(""https://docs.google.com/spreadsheets/d/1-uDff_7J0KD5mKrp0Vvzr7lt3OU09vwQwhkpOPPYv2Y/edit?usp=sharing"",""งบพรบ!GB17"")"),0)</f>
        <v>0</v>
      </c>
      <c r="I17" s="151">
        <f ca="1">IFERROR(__xludf.DUMMYFUNCTION("IMPORTRANGE(""https://docs.google.com/spreadsheets/d/1-uDff_7J0KD5mKrp0Vvzr7lt3OU09vwQwhkpOPPYv2Y/edit?usp=sharing"",""งบพรบ!GC17"")"),0)</f>
        <v>0</v>
      </c>
      <c r="J17" s="262">
        <f t="shared" ca="1" si="15"/>
        <v>0</v>
      </c>
      <c r="K17" s="476">
        <f t="shared" ca="1" si="16"/>
        <v>0</v>
      </c>
      <c r="L17" s="151">
        <f ca="1">IFERROR(__xludf.DUMMYFUNCTION("IMPORTRANGE(""https://docs.google.com/spreadsheets/d/1-uDff_7J0KD5mKrp0Vvzr7lt3OU09vwQwhkpOPPYv2Y/edit?usp=sharing"",""งบพรบ!GD17"")"),0)</f>
        <v>0</v>
      </c>
      <c r="M17" s="260">
        <f t="shared" ca="1" si="17"/>
        <v>0</v>
      </c>
      <c r="N17" s="260">
        <f t="shared" ca="1" si="18"/>
        <v>0</v>
      </c>
      <c r="O17" s="151">
        <f ca="1">IFERROR(__xludf.DUMMYFUNCTION("IMPORTRANGE(""https://docs.google.com/spreadsheets/d/1-uDff_7J0KD5mKrp0Vvzr7lt3OU09vwQwhkpOPPYv2Y/edit?usp=sharing"",""งบพรบ!GE17"")"),0)</f>
        <v>0</v>
      </c>
      <c r="P17" s="475">
        <f t="shared" ca="1" si="19"/>
        <v>0</v>
      </c>
      <c r="Q17" s="260">
        <f t="shared" ca="1" si="20"/>
        <v>0</v>
      </c>
      <c r="R17" s="278">
        <v>0</v>
      </c>
      <c r="S17" s="152">
        <v>0</v>
      </c>
      <c r="T17" s="216">
        <f t="shared" si="22"/>
        <v>0</v>
      </c>
    </row>
    <row r="18" spans="1:21" ht="19.5" x14ac:dyDescent="0.3">
      <c r="A18" s="147">
        <v>5</v>
      </c>
      <c r="B18" s="148" t="s">
        <v>46</v>
      </c>
      <c r="C18" s="472">
        <f t="shared" ca="1" si="13"/>
        <v>0</v>
      </c>
      <c r="D18" s="473">
        <f t="shared" ca="1" si="23"/>
        <v>0</v>
      </c>
      <c r="E18" s="151">
        <f ca="1">IFERROR(__xludf.DUMMYFUNCTION("IMPORTRANGE(""https://docs.google.com/spreadsheets/d/1-uDff_7J0KD5mKrp0Vvzr7lt3OU09vwQwhkpOPPYv2Y/edit?usp=sharing"",""งบพรบ!FX18"")"),0)</f>
        <v>0</v>
      </c>
      <c r="F18" s="151">
        <f ca="1">IFERROR(__xludf.DUMMYFUNCTION("IMPORTRANGE(""https://docs.google.com/spreadsheets/d/1-uDff_7J0KD5mKrp0Vvzr7lt3OU09vwQwhkpOPPYv2Y/edit?usp=sharing"",""งบพรบ!FY18"")"),0)</f>
        <v>0</v>
      </c>
      <c r="G18" s="151">
        <f ca="1">IFERROR(__xludf.DUMMYFUNCTION("IMPORTRANGE(""https://docs.google.com/spreadsheets/d/1-uDff_7J0KD5mKrp0Vvzr7lt3OU09vwQwhkpOPPYv2Y/edit?usp=sharing"",""งบพรบ!FZ18"")"),0)</f>
        <v>0</v>
      </c>
      <c r="H18" s="151">
        <f ca="1">IFERROR(__xludf.DUMMYFUNCTION("IMPORTRANGE(""https://docs.google.com/spreadsheets/d/1-uDff_7J0KD5mKrp0Vvzr7lt3OU09vwQwhkpOPPYv2Y/edit?usp=sharing"",""งบพรบ!GB18"")"),0)</f>
        <v>0</v>
      </c>
      <c r="I18" s="151">
        <f ca="1">IFERROR(__xludf.DUMMYFUNCTION("IMPORTRANGE(""https://docs.google.com/spreadsheets/d/1-uDff_7J0KD5mKrp0Vvzr7lt3OU09vwQwhkpOPPYv2Y/edit?usp=sharing"",""งบพรบ!GC18"")"),0)</f>
        <v>0</v>
      </c>
      <c r="J18" s="262">
        <f t="shared" ca="1" si="15"/>
        <v>0</v>
      </c>
      <c r="K18" s="476">
        <f t="shared" ca="1" si="16"/>
        <v>0</v>
      </c>
      <c r="L18" s="151">
        <f ca="1">IFERROR(__xludf.DUMMYFUNCTION("IMPORTRANGE(""https://docs.google.com/spreadsheets/d/1-uDff_7J0KD5mKrp0Vvzr7lt3OU09vwQwhkpOPPYv2Y/edit?usp=sharing"",""งบพรบ!GD18"")"),0)</f>
        <v>0</v>
      </c>
      <c r="M18" s="260">
        <f t="shared" ca="1" si="17"/>
        <v>0</v>
      </c>
      <c r="N18" s="260">
        <f t="shared" ca="1" si="18"/>
        <v>0</v>
      </c>
      <c r="O18" s="151">
        <f ca="1">IFERROR(__xludf.DUMMYFUNCTION("IMPORTRANGE(""https://docs.google.com/spreadsheets/d/1-uDff_7J0KD5mKrp0Vvzr7lt3OU09vwQwhkpOPPYv2Y/edit?usp=sharing"",""งบพรบ!GE18"")"),0)</f>
        <v>0</v>
      </c>
      <c r="P18" s="475">
        <f t="shared" ca="1" si="19"/>
        <v>0</v>
      </c>
      <c r="Q18" s="260">
        <f t="shared" ca="1" si="20"/>
        <v>0</v>
      </c>
      <c r="R18" s="278">
        <v>0</v>
      </c>
      <c r="S18" s="152">
        <v>0</v>
      </c>
      <c r="T18" s="216">
        <f t="shared" si="22"/>
        <v>0</v>
      </c>
    </row>
    <row r="19" spans="1:21" ht="19.5" x14ac:dyDescent="0.3">
      <c r="A19" s="147">
        <v>6</v>
      </c>
      <c r="B19" s="148" t="s">
        <v>47</v>
      </c>
      <c r="C19" s="472">
        <f t="shared" ca="1" si="13"/>
        <v>1934000</v>
      </c>
      <c r="D19" s="473">
        <f t="shared" ca="1" si="23"/>
        <v>0</v>
      </c>
      <c r="E19" s="151">
        <f ca="1">IFERROR(__xludf.DUMMYFUNCTION("IMPORTRANGE(""https://docs.google.com/spreadsheets/d/1-uDff_7J0KD5mKrp0Vvzr7lt3OU09vwQwhkpOPPYv2Y/edit?usp=sharing"",""งบพรบ!FX19"")"),0)</f>
        <v>0</v>
      </c>
      <c r="F19" s="151">
        <f ca="1">IFERROR(__xludf.DUMMYFUNCTION("IMPORTRANGE(""https://docs.google.com/spreadsheets/d/1-uDff_7J0KD5mKrp0Vvzr7lt3OU09vwQwhkpOPPYv2Y/edit?usp=sharing"",""งบพรบ!FY19"")"),0)</f>
        <v>0</v>
      </c>
      <c r="G19" s="151">
        <f ca="1">IFERROR(__xludf.DUMMYFUNCTION("IMPORTRANGE(""https://docs.google.com/spreadsheets/d/1-uDff_7J0KD5mKrp0Vvzr7lt3OU09vwQwhkpOPPYv2Y/edit?usp=sharing"",""งบพรบ!FZ19"")"),1934000)</f>
        <v>1934000</v>
      </c>
      <c r="H19" s="151">
        <f ca="1">IFERROR(__xludf.DUMMYFUNCTION("IMPORTRANGE(""https://docs.google.com/spreadsheets/d/1-uDff_7J0KD5mKrp0Vvzr7lt3OU09vwQwhkpOPPYv2Y/edit?usp=sharing"",""งบพรบ!GB19"")"),0)</f>
        <v>0</v>
      </c>
      <c r="I19" s="151">
        <f ca="1">IFERROR(__xludf.DUMMYFUNCTION("IMPORTRANGE(""https://docs.google.com/spreadsheets/d/1-uDff_7J0KD5mKrp0Vvzr7lt3OU09vwQwhkpOPPYv2Y/edit?usp=sharing"",""งบพรบ!GC19"")"),1934000)</f>
        <v>1934000</v>
      </c>
      <c r="J19" s="262">
        <f t="shared" ca="1" si="15"/>
        <v>0</v>
      </c>
      <c r="K19" s="476">
        <f t="shared" ca="1" si="16"/>
        <v>0</v>
      </c>
      <c r="L19" s="151">
        <f ca="1">IFERROR(__xludf.DUMMYFUNCTION("IMPORTRANGE(""https://docs.google.com/spreadsheets/d/1-uDff_7J0KD5mKrp0Vvzr7lt3OU09vwQwhkpOPPYv2Y/edit?usp=sharing"",""งบพรบ!GD19"")"),0)</f>
        <v>0</v>
      </c>
      <c r="M19" s="260">
        <f t="shared" ca="1" si="17"/>
        <v>0</v>
      </c>
      <c r="N19" s="260">
        <f t="shared" ca="1" si="18"/>
        <v>0</v>
      </c>
      <c r="O19" s="151">
        <f ca="1">IFERROR(__xludf.DUMMYFUNCTION("IMPORTRANGE(""https://docs.google.com/spreadsheets/d/1-uDff_7J0KD5mKrp0Vvzr7lt3OU09vwQwhkpOPPYv2Y/edit?usp=sharing"",""งบพรบ!GE19"")"),0)</f>
        <v>0</v>
      </c>
      <c r="P19" s="475">
        <f t="shared" ca="1" si="19"/>
        <v>0</v>
      </c>
      <c r="Q19" s="260">
        <f t="shared" ca="1" si="20"/>
        <v>0</v>
      </c>
      <c r="R19" s="278">
        <f ca="1">IFERROR(__xludf.DUMMYFUNCTION("IMPORTRANGE(""https://docs.google.com/spreadsheets/d/10s13Sk5xrltsiR-Zkbmk5DwIaDIKO8XlbJAfqyT7Gvg/edit?usp=sharing"",""น่าน!I544"")"),1)</f>
        <v>1</v>
      </c>
      <c r="S19" s="152">
        <f ca="1">IFERROR(__xludf.DUMMYFUNCTION("IMPORTRANGE(""https://docs.google.com/spreadsheets/d/10s13Sk5xrltsiR-Zkbmk5DwIaDIKO8XlbJAfqyT7Gvg/edit?usp=sharing"",""น่าน!J544"")"),0)</f>
        <v>0</v>
      </c>
      <c r="T19" s="216">
        <f t="shared" ca="1" si="22"/>
        <v>0</v>
      </c>
    </row>
    <row r="20" spans="1:21" ht="19.5" x14ac:dyDescent="0.3">
      <c r="A20" s="147">
        <v>7</v>
      </c>
      <c r="B20" s="148" t="s">
        <v>48</v>
      </c>
      <c r="C20" s="472">
        <f t="shared" ca="1" si="13"/>
        <v>0</v>
      </c>
      <c r="D20" s="473">
        <f t="shared" ca="1" si="23"/>
        <v>0</v>
      </c>
      <c r="E20" s="151">
        <f ca="1">IFERROR(__xludf.DUMMYFUNCTION("IMPORTRANGE(""https://docs.google.com/spreadsheets/d/1-uDff_7J0KD5mKrp0Vvzr7lt3OU09vwQwhkpOPPYv2Y/edit?usp=sharing"",""งบพรบ!FX20"")"),0)</f>
        <v>0</v>
      </c>
      <c r="F20" s="151">
        <f ca="1">IFERROR(__xludf.DUMMYFUNCTION("IMPORTRANGE(""https://docs.google.com/spreadsheets/d/1-uDff_7J0KD5mKrp0Vvzr7lt3OU09vwQwhkpOPPYv2Y/edit?usp=sharing"",""งบพรบ!FY20"")"),0)</f>
        <v>0</v>
      </c>
      <c r="G20" s="151">
        <f ca="1">IFERROR(__xludf.DUMMYFUNCTION("IMPORTRANGE(""https://docs.google.com/spreadsheets/d/1-uDff_7J0KD5mKrp0Vvzr7lt3OU09vwQwhkpOPPYv2Y/edit?usp=sharing"",""งบพรบ!FZ20"")"),0)</f>
        <v>0</v>
      </c>
      <c r="H20" s="151">
        <f ca="1">IFERROR(__xludf.DUMMYFUNCTION("IMPORTRANGE(""https://docs.google.com/spreadsheets/d/1-uDff_7J0KD5mKrp0Vvzr7lt3OU09vwQwhkpOPPYv2Y/edit?usp=sharing"",""งบพรบ!GB20"")"),0)</f>
        <v>0</v>
      </c>
      <c r="I20" s="151">
        <f ca="1">IFERROR(__xludf.DUMMYFUNCTION("IMPORTRANGE(""https://docs.google.com/spreadsheets/d/1-uDff_7J0KD5mKrp0Vvzr7lt3OU09vwQwhkpOPPYv2Y/edit?usp=sharing"",""งบพรบ!GC20"")"),0)</f>
        <v>0</v>
      </c>
      <c r="J20" s="262">
        <f t="shared" ca="1" si="15"/>
        <v>0</v>
      </c>
      <c r="K20" s="476">
        <f t="shared" ca="1" si="16"/>
        <v>0</v>
      </c>
      <c r="L20" s="151">
        <f ca="1">IFERROR(__xludf.DUMMYFUNCTION("IMPORTRANGE(""https://docs.google.com/spreadsheets/d/1-uDff_7J0KD5mKrp0Vvzr7lt3OU09vwQwhkpOPPYv2Y/edit?usp=sharing"",""งบพรบ!GD20"")"),0)</f>
        <v>0</v>
      </c>
      <c r="M20" s="260">
        <f t="shared" ca="1" si="17"/>
        <v>0</v>
      </c>
      <c r="N20" s="260">
        <f t="shared" ca="1" si="18"/>
        <v>0</v>
      </c>
      <c r="O20" s="151">
        <f ca="1">IFERROR(__xludf.DUMMYFUNCTION("IMPORTRANGE(""https://docs.google.com/spreadsheets/d/1-uDff_7J0KD5mKrp0Vvzr7lt3OU09vwQwhkpOPPYv2Y/edit?usp=sharing"",""งบพรบ!GE20"")"),0)</f>
        <v>0</v>
      </c>
      <c r="P20" s="475">
        <f t="shared" ca="1" si="19"/>
        <v>0</v>
      </c>
      <c r="Q20" s="260">
        <f t="shared" ca="1" si="20"/>
        <v>0</v>
      </c>
      <c r="R20" s="278">
        <v>0</v>
      </c>
      <c r="S20" s="152">
        <v>0</v>
      </c>
      <c r="T20" s="216">
        <f t="shared" si="22"/>
        <v>0</v>
      </c>
    </row>
    <row r="21" spans="1:21" ht="19.5" x14ac:dyDescent="0.3">
      <c r="A21" s="147">
        <v>8</v>
      </c>
      <c r="B21" s="148" t="s">
        <v>49</v>
      </c>
      <c r="C21" s="472">
        <f t="shared" ca="1" si="13"/>
        <v>0</v>
      </c>
      <c r="D21" s="473">
        <f t="shared" ca="1" si="23"/>
        <v>0</v>
      </c>
      <c r="E21" s="151">
        <f ca="1">IFERROR(__xludf.DUMMYFUNCTION("IMPORTRANGE(""https://docs.google.com/spreadsheets/d/1-uDff_7J0KD5mKrp0Vvzr7lt3OU09vwQwhkpOPPYv2Y/edit?usp=sharing"",""งบพรบ!FX21"")"),0)</f>
        <v>0</v>
      </c>
      <c r="F21" s="151">
        <f ca="1">IFERROR(__xludf.DUMMYFUNCTION("IMPORTRANGE(""https://docs.google.com/spreadsheets/d/1-uDff_7J0KD5mKrp0Vvzr7lt3OU09vwQwhkpOPPYv2Y/edit?usp=sharing"",""งบพรบ!FY21"")"),0)</f>
        <v>0</v>
      </c>
      <c r="G21" s="151">
        <f ca="1">IFERROR(__xludf.DUMMYFUNCTION("IMPORTRANGE(""https://docs.google.com/spreadsheets/d/1-uDff_7J0KD5mKrp0Vvzr7lt3OU09vwQwhkpOPPYv2Y/edit?usp=sharing"",""งบพรบ!FZ21"")"),0)</f>
        <v>0</v>
      </c>
      <c r="H21" s="151">
        <f ca="1">IFERROR(__xludf.DUMMYFUNCTION("IMPORTRANGE(""https://docs.google.com/spreadsheets/d/1-uDff_7J0KD5mKrp0Vvzr7lt3OU09vwQwhkpOPPYv2Y/edit?usp=sharing"",""งบพรบ!GB21"")"),0)</f>
        <v>0</v>
      </c>
      <c r="I21" s="151">
        <f ca="1">IFERROR(__xludf.DUMMYFUNCTION("IMPORTRANGE(""https://docs.google.com/spreadsheets/d/1-uDff_7J0KD5mKrp0Vvzr7lt3OU09vwQwhkpOPPYv2Y/edit?usp=sharing"",""งบพรบ!GC21"")"),0)</f>
        <v>0</v>
      </c>
      <c r="J21" s="262">
        <f t="shared" ca="1" si="15"/>
        <v>0</v>
      </c>
      <c r="K21" s="476">
        <f t="shared" ca="1" si="16"/>
        <v>0</v>
      </c>
      <c r="L21" s="151">
        <f ca="1">IFERROR(__xludf.DUMMYFUNCTION("IMPORTRANGE(""https://docs.google.com/spreadsheets/d/1-uDff_7J0KD5mKrp0Vvzr7lt3OU09vwQwhkpOPPYv2Y/edit?usp=sharing"",""งบพรบ!GD21"")"),0)</f>
        <v>0</v>
      </c>
      <c r="M21" s="260">
        <f t="shared" ca="1" si="17"/>
        <v>0</v>
      </c>
      <c r="N21" s="260">
        <f t="shared" ca="1" si="18"/>
        <v>0</v>
      </c>
      <c r="O21" s="151">
        <f ca="1">IFERROR(__xludf.DUMMYFUNCTION("IMPORTRANGE(""https://docs.google.com/spreadsheets/d/1-uDff_7J0KD5mKrp0Vvzr7lt3OU09vwQwhkpOPPYv2Y/edit?usp=sharing"",""งบพรบ!GE21"")"),0)</f>
        <v>0</v>
      </c>
      <c r="P21" s="475">
        <f t="shared" ca="1" si="19"/>
        <v>0</v>
      </c>
      <c r="Q21" s="260">
        <f t="shared" ca="1" si="20"/>
        <v>0</v>
      </c>
      <c r="R21" s="278">
        <v>0</v>
      </c>
      <c r="S21" s="152">
        <v>0</v>
      </c>
      <c r="T21" s="216">
        <f t="shared" si="22"/>
        <v>0</v>
      </c>
    </row>
    <row r="22" spans="1:21" ht="19.5" x14ac:dyDescent="0.3">
      <c r="A22" s="147">
        <v>9</v>
      </c>
      <c r="B22" s="148" t="s">
        <v>50</v>
      </c>
      <c r="C22" s="472">
        <f t="shared" ca="1" si="13"/>
        <v>0</v>
      </c>
      <c r="D22" s="473">
        <f t="shared" ca="1" si="23"/>
        <v>0</v>
      </c>
      <c r="E22" s="151">
        <f ca="1">IFERROR(__xludf.DUMMYFUNCTION("IMPORTRANGE(""https://docs.google.com/spreadsheets/d/1-uDff_7J0KD5mKrp0Vvzr7lt3OU09vwQwhkpOPPYv2Y/edit?usp=sharing"",""งบพรบ!FX22"")"),0)</f>
        <v>0</v>
      </c>
      <c r="F22" s="151">
        <f ca="1">IFERROR(__xludf.DUMMYFUNCTION("IMPORTRANGE(""https://docs.google.com/spreadsheets/d/1-uDff_7J0KD5mKrp0Vvzr7lt3OU09vwQwhkpOPPYv2Y/edit?usp=sharing"",""งบพรบ!FY22"")"),0)</f>
        <v>0</v>
      </c>
      <c r="G22" s="151">
        <f ca="1">IFERROR(__xludf.DUMMYFUNCTION("IMPORTRANGE(""https://docs.google.com/spreadsheets/d/1-uDff_7J0KD5mKrp0Vvzr7lt3OU09vwQwhkpOPPYv2Y/edit?usp=sharing"",""งบพรบ!FZ22"")"),0)</f>
        <v>0</v>
      </c>
      <c r="H22" s="151">
        <f ca="1">IFERROR(__xludf.DUMMYFUNCTION("IMPORTRANGE(""https://docs.google.com/spreadsheets/d/1-uDff_7J0KD5mKrp0Vvzr7lt3OU09vwQwhkpOPPYv2Y/edit?usp=sharing"",""งบพรบ!GB22"")"),0)</f>
        <v>0</v>
      </c>
      <c r="I22" s="151">
        <f ca="1">IFERROR(__xludf.DUMMYFUNCTION("IMPORTRANGE(""https://docs.google.com/spreadsheets/d/1-uDff_7J0KD5mKrp0Vvzr7lt3OU09vwQwhkpOPPYv2Y/edit?usp=sharing"",""งบพรบ!GC22"")"),0)</f>
        <v>0</v>
      </c>
      <c r="J22" s="262">
        <f t="shared" ca="1" si="15"/>
        <v>0</v>
      </c>
      <c r="K22" s="476">
        <f t="shared" ca="1" si="16"/>
        <v>0</v>
      </c>
      <c r="L22" s="151">
        <f ca="1">IFERROR(__xludf.DUMMYFUNCTION("IMPORTRANGE(""https://docs.google.com/spreadsheets/d/1-uDff_7J0KD5mKrp0Vvzr7lt3OU09vwQwhkpOPPYv2Y/edit?usp=sharing"",""งบพรบ!GD22"")"),0)</f>
        <v>0</v>
      </c>
      <c r="M22" s="260">
        <f t="shared" ca="1" si="17"/>
        <v>0</v>
      </c>
      <c r="N22" s="260">
        <f t="shared" ca="1" si="18"/>
        <v>0</v>
      </c>
      <c r="O22" s="151">
        <f ca="1">IFERROR(__xludf.DUMMYFUNCTION("IMPORTRANGE(""https://docs.google.com/spreadsheets/d/1-uDff_7J0KD5mKrp0Vvzr7lt3OU09vwQwhkpOPPYv2Y/edit?usp=sharing"",""งบพรบ!GE22"")"),0)</f>
        <v>0</v>
      </c>
      <c r="P22" s="475">
        <f t="shared" ca="1" si="19"/>
        <v>0</v>
      </c>
      <c r="Q22" s="260">
        <f t="shared" ca="1" si="20"/>
        <v>0</v>
      </c>
      <c r="R22" s="278">
        <v>0</v>
      </c>
      <c r="S22" s="152">
        <v>0</v>
      </c>
      <c r="T22" s="216">
        <f t="shared" si="22"/>
        <v>0</v>
      </c>
    </row>
    <row r="23" spans="1:21" ht="19.5" x14ac:dyDescent="0.3">
      <c r="A23" s="147">
        <v>10</v>
      </c>
      <c r="B23" s="148" t="s">
        <v>51</v>
      </c>
      <c r="C23" s="472">
        <f t="shared" ca="1" si="13"/>
        <v>692000</v>
      </c>
      <c r="D23" s="473">
        <f t="shared" ca="1" si="23"/>
        <v>0</v>
      </c>
      <c r="E23" s="151">
        <f ca="1">IFERROR(__xludf.DUMMYFUNCTION("IMPORTRANGE(""https://docs.google.com/spreadsheets/d/1-uDff_7J0KD5mKrp0Vvzr7lt3OU09vwQwhkpOPPYv2Y/edit?usp=sharing"",""งบพรบ!FX23"")"),0)</f>
        <v>0</v>
      </c>
      <c r="F23" s="151">
        <f ca="1">IFERROR(__xludf.DUMMYFUNCTION("IMPORTRANGE(""https://docs.google.com/spreadsheets/d/1-uDff_7J0KD5mKrp0Vvzr7lt3OU09vwQwhkpOPPYv2Y/edit?usp=sharing"",""งบพรบ!FY23"")"),0)</f>
        <v>0</v>
      </c>
      <c r="G23" s="151">
        <f ca="1">IFERROR(__xludf.DUMMYFUNCTION("IMPORTRANGE(""https://docs.google.com/spreadsheets/d/1-uDff_7J0KD5mKrp0Vvzr7lt3OU09vwQwhkpOPPYv2Y/edit?usp=sharing"",""งบพรบ!FZ23"")"),692000)</f>
        <v>692000</v>
      </c>
      <c r="H23" s="151">
        <f ca="1">IFERROR(__xludf.DUMMYFUNCTION("IMPORTRANGE(""https://docs.google.com/spreadsheets/d/1-uDff_7J0KD5mKrp0Vvzr7lt3OU09vwQwhkpOPPYv2Y/edit?usp=sharing"",""งบพรบ!GB23"")"),0)</f>
        <v>0</v>
      </c>
      <c r="I23" s="151">
        <f ca="1">IFERROR(__xludf.DUMMYFUNCTION("IMPORTRANGE(""https://docs.google.com/spreadsheets/d/1-uDff_7J0KD5mKrp0Vvzr7lt3OU09vwQwhkpOPPYv2Y/edit?usp=sharing"",""งบพรบ!GC23"")"),0)</f>
        <v>0</v>
      </c>
      <c r="J23" s="262">
        <f t="shared" ca="1" si="15"/>
        <v>0</v>
      </c>
      <c r="K23" s="476">
        <f t="shared" ca="1" si="16"/>
        <v>0</v>
      </c>
      <c r="L23" s="151">
        <f ca="1">IFERROR(__xludf.DUMMYFUNCTION("IMPORTRANGE(""https://docs.google.com/spreadsheets/d/1-uDff_7J0KD5mKrp0Vvzr7lt3OU09vwQwhkpOPPYv2Y/edit?usp=sharing"",""งบพรบ!GD23"")"),0)</f>
        <v>0</v>
      </c>
      <c r="M23" s="260">
        <f t="shared" ca="1" si="17"/>
        <v>0</v>
      </c>
      <c r="N23" s="260">
        <f t="shared" ca="1" si="18"/>
        <v>0</v>
      </c>
      <c r="O23" s="151">
        <f ca="1">IFERROR(__xludf.DUMMYFUNCTION("IMPORTRANGE(""https://docs.google.com/spreadsheets/d/1-uDff_7J0KD5mKrp0Vvzr7lt3OU09vwQwhkpOPPYv2Y/edit?usp=sharing"",""งบพรบ!GE23"")"),0)</f>
        <v>0</v>
      </c>
      <c r="P23" s="475">
        <f t="shared" ca="1" si="19"/>
        <v>0</v>
      </c>
      <c r="Q23" s="260">
        <f t="shared" ca="1" si="20"/>
        <v>0</v>
      </c>
      <c r="R23" s="279">
        <f ca="1">IFERROR(__xludf.DUMMYFUNCTION("IMPORTRANGE(""https://docs.google.com/spreadsheets/d/1xlcVZWUNn6SuWm0c307h32SiGkd9BaeQWlAktfD3KO8/edit?usp=sharing"",""เพชรบูรณ์!I544"")"),0)</f>
        <v>0</v>
      </c>
      <c r="S23" s="397">
        <f ca="1">IFERROR(__xludf.DUMMYFUNCTION("IMPORTRANGE(""https://docs.google.com/spreadsheets/d/1xlcVZWUNn6SuWm0c307h32SiGkd9BaeQWlAktfD3KO8/edit?usp=sharing"",""เพชรบูรณ์!J544"")"),0)</f>
        <v>0</v>
      </c>
      <c r="T23" s="216">
        <f t="shared" ca="1" si="22"/>
        <v>0</v>
      </c>
    </row>
    <row r="24" spans="1:21" ht="19.5" x14ac:dyDescent="0.3">
      <c r="A24" s="147">
        <v>11</v>
      </c>
      <c r="B24" s="148" t="s">
        <v>52</v>
      </c>
      <c r="C24" s="472">
        <f t="shared" ca="1" si="13"/>
        <v>0</v>
      </c>
      <c r="D24" s="473">
        <f t="shared" ca="1" si="23"/>
        <v>0</v>
      </c>
      <c r="E24" s="151">
        <f ca="1">IFERROR(__xludf.DUMMYFUNCTION("IMPORTRANGE(""https://docs.google.com/spreadsheets/d/1-uDff_7J0KD5mKrp0Vvzr7lt3OU09vwQwhkpOPPYv2Y/edit?usp=sharing"",""งบพรบ!FX24"")"),0)</f>
        <v>0</v>
      </c>
      <c r="F24" s="151">
        <f ca="1">IFERROR(__xludf.DUMMYFUNCTION("IMPORTRANGE(""https://docs.google.com/spreadsheets/d/1-uDff_7J0KD5mKrp0Vvzr7lt3OU09vwQwhkpOPPYv2Y/edit?usp=sharing"",""งบพรบ!FY24"")"),0)</f>
        <v>0</v>
      </c>
      <c r="G24" s="151">
        <f ca="1">IFERROR(__xludf.DUMMYFUNCTION("IMPORTRANGE(""https://docs.google.com/spreadsheets/d/1-uDff_7J0KD5mKrp0Vvzr7lt3OU09vwQwhkpOPPYv2Y/edit?usp=sharing"",""งบพรบ!FZ24"")"),0)</f>
        <v>0</v>
      </c>
      <c r="H24" s="151">
        <f ca="1">IFERROR(__xludf.DUMMYFUNCTION("IMPORTRANGE(""https://docs.google.com/spreadsheets/d/1-uDff_7J0KD5mKrp0Vvzr7lt3OU09vwQwhkpOPPYv2Y/edit?usp=sharing"",""งบพรบ!GB24"")"),0)</f>
        <v>0</v>
      </c>
      <c r="I24" s="151">
        <f ca="1">IFERROR(__xludf.DUMMYFUNCTION("IMPORTRANGE(""https://docs.google.com/spreadsheets/d/1-uDff_7J0KD5mKrp0Vvzr7lt3OU09vwQwhkpOPPYv2Y/edit?usp=sharing"",""งบพรบ!GC24"")"),0)</f>
        <v>0</v>
      </c>
      <c r="J24" s="262">
        <f t="shared" ca="1" si="15"/>
        <v>0</v>
      </c>
      <c r="K24" s="476">
        <f t="shared" ca="1" si="16"/>
        <v>0</v>
      </c>
      <c r="L24" s="151">
        <f ca="1">IFERROR(__xludf.DUMMYFUNCTION("IMPORTRANGE(""https://docs.google.com/spreadsheets/d/1-uDff_7J0KD5mKrp0Vvzr7lt3OU09vwQwhkpOPPYv2Y/edit?usp=sharing"",""งบพรบ!GD24"")"),0)</f>
        <v>0</v>
      </c>
      <c r="M24" s="260">
        <f t="shared" ca="1" si="17"/>
        <v>0</v>
      </c>
      <c r="N24" s="260">
        <f t="shared" ca="1" si="18"/>
        <v>0</v>
      </c>
      <c r="O24" s="151">
        <f ca="1">IFERROR(__xludf.DUMMYFUNCTION("IMPORTRANGE(""https://docs.google.com/spreadsheets/d/1-uDff_7J0KD5mKrp0Vvzr7lt3OU09vwQwhkpOPPYv2Y/edit?usp=sharing"",""งบพรบ!GE24"")"),0)</f>
        <v>0</v>
      </c>
      <c r="P24" s="475">
        <f t="shared" ca="1" si="19"/>
        <v>0</v>
      </c>
      <c r="Q24" s="260">
        <f t="shared" ca="1" si="20"/>
        <v>0</v>
      </c>
      <c r="R24" s="278">
        <v>0</v>
      </c>
      <c r="S24" s="152">
        <v>0</v>
      </c>
      <c r="T24" s="216">
        <f t="shared" si="22"/>
        <v>0</v>
      </c>
    </row>
    <row r="25" spans="1:21" ht="19.5" x14ac:dyDescent="0.3">
      <c r="A25" s="147">
        <v>12</v>
      </c>
      <c r="B25" s="148" t="s">
        <v>53</v>
      </c>
      <c r="C25" s="472">
        <f t="shared" ca="1" si="13"/>
        <v>0</v>
      </c>
      <c r="D25" s="473">
        <f t="shared" ca="1" si="23"/>
        <v>0</v>
      </c>
      <c r="E25" s="151">
        <f ca="1">IFERROR(__xludf.DUMMYFUNCTION("IMPORTRANGE(""https://docs.google.com/spreadsheets/d/1-uDff_7J0KD5mKrp0Vvzr7lt3OU09vwQwhkpOPPYv2Y/edit?usp=sharing"",""งบพรบ!FX25"")"),0)</f>
        <v>0</v>
      </c>
      <c r="F25" s="151">
        <f ca="1">IFERROR(__xludf.DUMMYFUNCTION("IMPORTRANGE(""https://docs.google.com/spreadsheets/d/1-uDff_7J0KD5mKrp0Vvzr7lt3OU09vwQwhkpOPPYv2Y/edit?usp=sharing"",""งบพรบ!FY25"")"),0)</f>
        <v>0</v>
      </c>
      <c r="G25" s="151">
        <f ca="1">IFERROR(__xludf.DUMMYFUNCTION("IMPORTRANGE(""https://docs.google.com/spreadsheets/d/1-uDff_7J0KD5mKrp0Vvzr7lt3OU09vwQwhkpOPPYv2Y/edit?usp=sharing"",""งบพรบ!FZ25"")"),0)</f>
        <v>0</v>
      </c>
      <c r="H25" s="151">
        <f ca="1">IFERROR(__xludf.DUMMYFUNCTION("IMPORTRANGE(""https://docs.google.com/spreadsheets/d/1-uDff_7J0KD5mKrp0Vvzr7lt3OU09vwQwhkpOPPYv2Y/edit?usp=sharing"",""งบพรบ!GB25"")"),0)</f>
        <v>0</v>
      </c>
      <c r="I25" s="151">
        <f ca="1">IFERROR(__xludf.DUMMYFUNCTION("IMPORTRANGE(""https://docs.google.com/spreadsheets/d/1-uDff_7J0KD5mKrp0Vvzr7lt3OU09vwQwhkpOPPYv2Y/edit?usp=sharing"",""งบพรบ!GC25"")"),0)</f>
        <v>0</v>
      </c>
      <c r="J25" s="262">
        <f t="shared" ca="1" si="15"/>
        <v>0</v>
      </c>
      <c r="K25" s="476">
        <f t="shared" ca="1" si="16"/>
        <v>0</v>
      </c>
      <c r="L25" s="151">
        <f ca="1">IFERROR(__xludf.DUMMYFUNCTION("IMPORTRANGE(""https://docs.google.com/spreadsheets/d/1-uDff_7J0KD5mKrp0Vvzr7lt3OU09vwQwhkpOPPYv2Y/edit?usp=sharing"",""งบพรบ!GD25"")"),0)</f>
        <v>0</v>
      </c>
      <c r="M25" s="260">
        <f t="shared" ca="1" si="17"/>
        <v>0</v>
      </c>
      <c r="N25" s="260">
        <f t="shared" ca="1" si="18"/>
        <v>0</v>
      </c>
      <c r="O25" s="151">
        <f ca="1">IFERROR(__xludf.DUMMYFUNCTION("IMPORTRANGE(""https://docs.google.com/spreadsheets/d/1-uDff_7J0KD5mKrp0Vvzr7lt3OU09vwQwhkpOPPYv2Y/edit?usp=sharing"",""งบพรบ!GE25"")"),0)</f>
        <v>0</v>
      </c>
      <c r="P25" s="475">
        <f t="shared" ca="1" si="19"/>
        <v>0</v>
      </c>
      <c r="Q25" s="260">
        <f t="shared" ca="1" si="20"/>
        <v>0</v>
      </c>
      <c r="R25" s="278">
        <v>0</v>
      </c>
      <c r="S25" s="152">
        <v>0</v>
      </c>
      <c r="T25" s="216">
        <f t="shared" si="22"/>
        <v>0</v>
      </c>
    </row>
    <row r="26" spans="1:21" ht="19.5" x14ac:dyDescent="0.3">
      <c r="A26" s="147">
        <v>13</v>
      </c>
      <c r="B26" s="148" t="s">
        <v>54</v>
      </c>
      <c r="C26" s="472">
        <f t="shared" ca="1" si="13"/>
        <v>290000</v>
      </c>
      <c r="D26" s="473">
        <f t="shared" ca="1" si="23"/>
        <v>0</v>
      </c>
      <c r="E26" s="151">
        <f ca="1">IFERROR(__xludf.DUMMYFUNCTION("IMPORTRANGE(""https://docs.google.com/spreadsheets/d/1-uDff_7J0KD5mKrp0Vvzr7lt3OU09vwQwhkpOPPYv2Y/edit?usp=sharing"",""งบพรบ!FX26"")"),0)</f>
        <v>0</v>
      </c>
      <c r="F26" s="151">
        <f ca="1">IFERROR(__xludf.DUMMYFUNCTION("IMPORTRANGE(""https://docs.google.com/spreadsheets/d/1-uDff_7J0KD5mKrp0Vvzr7lt3OU09vwQwhkpOPPYv2Y/edit?usp=sharing"",""งบพรบ!FY26"")"),0)</f>
        <v>0</v>
      </c>
      <c r="G26" s="151">
        <f ca="1">IFERROR(__xludf.DUMMYFUNCTION("IMPORTRANGE(""https://docs.google.com/spreadsheets/d/1-uDff_7J0KD5mKrp0Vvzr7lt3OU09vwQwhkpOPPYv2Y/edit?usp=sharing"",""งบพรบ!FZ26"")"),290000)</f>
        <v>290000</v>
      </c>
      <c r="H26" s="151">
        <f ca="1">IFERROR(__xludf.DUMMYFUNCTION("IMPORTRANGE(""https://docs.google.com/spreadsheets/d/1-uDff_7J0KD5mKrp0Vvzr7lt3OU09vwQwhkpOPPYv2Y/edit?usp=sharing"",""งบพรบ!GB26"")"),0)</f>
        <v>0</v>
      </c>
      <c r="I26" s="151">
        <f ca="1">IFERROR(__xludf.DUMMYFUNCTION("IMPORTRANGE(""https://docs.google.com/spreadsheets/d/1-uDff_7J0KD5mKrp0Vvzr7lt3OU09vwQwhkpOPPYv2Y/edit?usp=sharing"",""งบพรบ!GC26"")"),290000)</f>
        <v>290000</v>
      </c>
      <c r="J26" s="262">
        <f t="shared" ca="1" si="15"/>
        <v>0</v>
      </c>
      <c r="K26" s="476">
        <f t="shared" ca="1" si="16"/>
        <v>0</v>
      </c>
      <c r="L26" s="151">
        <f ca="1">IFERROR(__xludf.DUMMYFUNCTION("IMPORTRANGE(""https://docs.google.com/spreadsheets/d/1-uDff_7J0KD5mKrp0Vvzr7lt3OU09vwQwhkpOPPYv2Y/edit?usp=sharing"",""งบพรบ!GD26"")"),0)</f>
        <v>0</v>
      </c>
      <c r="M26" s="260">
        <f t="shared" ca="1" si="17"/>
        <v>0</v>
      </c>
      <c r="N26" s="260">
        <f t="shared" ca="1" si="18"/>
        <v>0</v>
      </c>
      <c r="O26" s="151">
        <f ca="1">IFERROR(__xludf.DUMMYFUNCTION("IMPORTRANGE(""https://docs.google.com/spreadsheets/d/1-uDff_7J0KD5mKrp0Vvzr7lt3OU09vwQwhkpOPPYv2Y/edit?usp=sharing"",""งบพรบ!GE26"")"),0)</f>
        <v>0</v>
      </c>
      <c r="P26" s="475">
        <f t="shared" ca="1" si="19"/>
        <v>0</v>
      </c>
      <c r="Q26" s="260">
        <f t="shared" ca="1" si="20"/>
        <v>0</v>
      </c>
      <c r="R26" s="279">
        <f ca="1">IFERROR(__xludf.DUMMYFUNCTION("IMPORTRANGE(""https://docs.google.com/spreadsheets/d/1DY4XTNNwjluuxqdfdn6qvOSlMRrZqUtmYcZR0ttFiG4/edit?usp=sharing"",""ลำปาง!I544"")"),1)</f>
        <v>1</v>
      </c>
      <c r="S26" s="397">
        <f ca="1">IFERROR(__xludf.DUMMYFUNCTION("IMPORTRANGE(""https://docs.google.com/spreadsheets/d/1DY4XTNNwjluuxqdfdn6qvOSlMRrZqUtmYcZR0ttFiG4/edit?usp=sharing"",""ลำปาง!J544"")"),0)</f>
        <v>0</v>
      </c>
      <c r="T26" s="216">
        <f t="shared" ca="1" si="22"/>
        <v>0</v>
      </c>
    </row>
    <row r="27" spans="1:21" ht="19.5" x14ac:dyDescent="0.3">
      <c r="A27" s="147">
        <v>14</v>
      </c>
      <c r="B27" s="148" t="s">
        <v>55</v>
      </c>
      <c r="C27" s="472">
        <f t="shared" ca="1" si="13"/>
        <v>0</v>
      </c>
      <c r="D27" s="473">
        <f t="shared" ca="1" si="23"/>
        <v>0</v>
      </c>
      <c r="E27" s="151">
        <f ca="1">IFERROR(__xludf.DUMMYFUNCTION("IMPORTRANGE(""https://docs.google.com/spreadsheets/d/1-uDff_7J0KD5mKrp0Vvzr7lt3OU09vwQwhkpOPPYv2Y/edit?usp=sharing"",""งบพรบ!FX27"")"),0)</f>
        <v>0</v>
      </c>
      <c r="F27" s="151">
        <f ca="1">IFERROR(__xludf.DUMMYFUNCTION("IMPORTRANGE(""https://docs.google.com/spreadsheets/d/1-uDff_7J0KD5mKrp0Vvzr7lt3OU09vwQwhkpOPPYv2Y/edit?usp=sharing"",""งบพรบ!FY27"")"),0)</f>
        <v>0</v>
      </c>
      <c r="G27" s="151">
        <f ca="1">IFERROR(__xludf.DUMMYFUNCTION("IMPORTRANGE(""https://docs.google.com/spreadsheets/d/1-uDff_7J0KD5mKrp0Vvzr7lt3OU09vwQwhkpOPPYv2Y/edit?usp=sharing"",""งบพรบ!FZ27"")"),0)</f>
        <v>0</v>
      </c>
      <c r="H27" s="151">
        <f ca="1">IFERROR(__xludf.DUMMYFUNCTION("IMPORTRANGE(""https://docs.google.com/spreadsheets/d/1-uDff_7J0KD5mKrp0Vvzr7lt3OU09vwQwhkpOPPYv2Y/edit?usp=sharing"",""งบพรบ!GB27"")"),0)</f>
        <v>0</v>
      </c>
      <c r="I27" s="151">
        <f ca="1">IFERROR(__xludf.DUMMYFUNCTION("IMPORTRANGE(""https://docs.google.com/spreadsheets/d/1-uDff_7J0KD5mKrp0Vvzr7lt3OU09vwQwhkpOPPYv2Y/edit?usp=sharing"",""งบพรบ!GC27"")"),0)</f>
        <v>0</v>
      </c>
      <c r="J27" s="262">
        <f t="shared" ca="1" si="15"/>
        <v>0</v>
      </c>
      <c r="K27" s="476">
        <f t="shared" ca="1" si="16"/>
        <v>0</v>
      </c>
      <c r="L27" s="151">
        <f ca="1">IFERROR(__xludf.DUMMYFUNCTION("IMPORTRANGE(""https://docs.google.com/spreadsheets/d/1-uDff_7J0KD5mKrp0Vvzr7lt3OU09vwQwhkpOPPYv2Y/edit?usp=sharing"",""งบพรบ!GD27"")"),0)</f>
        <v>0</v>
      </c>
      <c r="M27" s="260">
        <f t="shared" ca="1" si="17"/>
        <v>0</v>
      </c>
      <c r="N27" s="260">
        <f t="shared" ca="1" si="18"/>
        <v>0</v>
      </c>
      <c r="O27" s="151">
        <f ca="1">IFERROR(__xludf.DUMMYFUNCTION("IMPORTRANGE(""https://docs.google.com/spreadsheets/d/1-uDff_7J0KD5mKrp0Vvzr7lt3OU09vwQwhkpOPPYv2Y/edit?usp=sharing"",""งบพรบ!GE27"")"),0)</f>
        <v>0</v>
      </c>
      <c r="P27" s="475">
        <f t="shared" ca="1" si="19"/>
        <v>0</v>
      </c>
      <c r="Q27" s="260">
        <f t="shared" ca="1" si="20"/>
        <v>0</v>
      </c>
      <c r="R27" s="278">
        <v>0</v>
      </c>
      <c r="S27" s="152">
        <v>0</v>
      </c>
      <c r="T27" s="216">
        <f t="shared" si="22"/>
        <v>0</v>
      </c>
    </row>
    <row r="28" spans="1:21" ht="19.5" x14ac:dyDescent="0.3">
      <c r="A28" s="147">
        <v>15</v>
      </c>
      <c r="B28" s="148" t="s">
        <v>56</v>
      </c>
      <c r="C28" s="472">
        <f t="shared" ca="1" si="13"/>
        <v>0</v>
      </c>
      <c r="D28" s="473">
        <f t="shared" ca="1" si="23"/>
        <v>0</v>
      </c>
      <c r="E28" s="151">
        <f ca="1">IFERROR(__xludf.DUMMYFUNCTION("IMPORTRANGE(""https://docs.google.com/spreadsheets/d/1-uDff_7J0KD5mKrp0Vvzr7lt3OU09vwQwhkpOPPYv2Y/edit?usp=sharing"",""งบพรบ!FX28"")"),0)</f>
        <v>0</v>
      </c>
      <c r="F28" s="151">
        <f ca="1">IFERROR(__xludf.DUMMYFUNCTION("IMPORTRANGE(""https://docs.google.com/spreadsheets/d/1-uDff_7J0KD5mKrp0Vvzr7lt3OU09vwQwhkpOPPYv2Y/edit?usp=sharing"",""งบพรบ!FY28"")"),0)</f>
        <v>0</v>
      </c>
      <c r="G28" s="151">
        <f ca="1">IFERROR(__xludf.DUMMYFUNCTION("IMPORTRANGE(""https://docs.google.com/spreadsheets/d/1-uDff_7J0KD5mKrp0Vvzr7lt3OU09vwQwhkpOPPYv2Y/edit?usp=sharing"",""งบพรบ!FZ28"")"),0)</f>
        <v>0</v>
      </c>
      <c r="H28" s="151">
        <f ca="1">IFERROR(__xludf.DUMMYFUNCTION("IMPORTRANGE(""https://docs.google.com/spreadsheets/d/1-uDff_7J0KD5mKrp0Vvzr7lt3OU09vwQwhkpOPPYv2Y/edit?usp=sharing"",""งบพรบ!GB28"")"),0)</f>
        <v>0</v>
      </c>
      <c r="I28" s="151">
        <f ca="1">IFERROR(__xludf.DUMMYFUNCTION("IMPORTRANGE(""https://docs.google.com/spreadsheets/d/1-uDff_7J0KD5mKrp0Vvzr7lt3OU09vwQwhkpOPPYv2Y/edit?usp=sharing"",""งบพรบ!GC28"")"),0)</f>
        <v>0</v>
      </c>
      <c r="J28" s="262">
        <f t="shared" ca="1" si="15"/>
        <v>0</v>
      </c>
      <c r="K28" s="476">
        <f t="shared" ca="1" si="16"/>
        <v>0</v>
      </c>
      <c r="L28" s="151">
        <f ca="1">IFERROR(__xludf.DUMMYFUNCTION("IMPORTRANGE(""https://docs.google.com/spreadsheets/d/1-uDff_7J0KD5mKrp0Vvzr7lt3OU09vwQwhkpOPPYv2Y/edit?usp=sharing"",""งบพรบ!GD28"")"),0)</f>
        <v>0</v>
      </c>
      <c r="M28" s="260">
        <f t="shared" ca="1" si="17"/>
        <v>0</v>
      </c>
      <c r="N28" s="260">
        <f t="shared" ca="1" si="18"/>
        <v>0</v>
      </c>
      <c r="O28" s="151">
        <f ca="1">IFERROR(__xludf.DUMMYFUNCTION("IMPORTRANGE(""https://docs.google.com/spreadsheets/d/1-uDff_7J0KD5mKrp0Vvzr7lt3OU09vwQwhkpOPPYv2Y/edit?usp=sharing"",""งบพรบ!GE28"")"),0)</f>
        <v>0</v>
      </c>
      <c r="P28" s="475">
        <f t="shared" ca="1" si="19"/>
        <v>0</v>
      </c>
      <c r="Q28" s="260">
        <f t="shared" ca="1" si="20"/>
        <v>0</v>
      </c>
      <c r="R28" s="278">
        <v>0</v>
      </c>
      <c r="S28" s="152">
        <v>0</v>
      </c>
      <c r="T28" s="216">
        <f t="shared" si="22"/>
        <v>0</v>
      </c>
    </row>
    <row r="29" spans="1:21" ht="19.5" x14ac:dyDescent="0.3">
      <c r="A29" s="147">
        <v>16</v>
      </c>
      <c r="B29" s="148" t="s">
        <v>57</v>
      </c>
      <c r="C29" s="472">
        <f t="shared" ca="1" si="13"/>
        <v>0</v>
      </c>
      <c r="D29" s="473">
        <f t="shared" ca="1" si="23"/>
        <v>0</v>
      </c>
      <c r="E29" s="151">
        <f ca="1">IFERROR(__xludf.DUMMYFUNCTION("IMPORTRANGE(""https://docs.google.com/spreadsheets/d/1-uDff_7J0KD5mKrp0Vvzr7lt3OU09vwQwhkpOPPYv2Y/edit?usp=sharing"",""งบพรบ!FX29"")"),0)</f>
        <v>0</v>
      </c>
      <c r="F29" s="151">
        <f ca="1">IFERROR(__xludf.DUMMYFUNCTION("IMPORTRANGE(""https://docs.google.com/spreadsheets/d/1-uDff_7J0KD5mKrp0Vvzr7lt3OU09vwQwhkpOPPYv2Y/edit?usp=sharing"",""งบพรบ!FY29"")"),0)</f>
        <v>0</v>
      </c>
      <c r="G29" s="151">
        <f ca="1">IFERROR(__xludf.DUMMYFUNCTION("IMPORTRANGE(""https://docs.google.com/spreadsheets/d/1-uDff_7J0KD5mKrp0Vvzr7lt3OU09vwQwhkpOPPYv2Y/edit?usp=sharing"",""งบพรบ!FZ29"")"),0)</f>
        <v>0</v>
      </c>
      <c r="H29" s="151">
        <f ca="1">IFERROR(__xludf.DUMMYFUNCTION("IMPORTRANGE(""https://docs.google.com/spreadsheets/d/1-uDff_7J0KD5mKrp0Vvzr7lt3OU09vwQwhkpOPPYv2Y/edit?usp=sharing"",""งบพรบ!GB29"")"),0)</f>
        <v>0</v>
      </c>
      <c r="I29" s="151">
        <f ca="1">IFERROR(__xludf.DUMMYFUNCTION("IMPORTRANGE(""https://docs.google.com/spreadsheets/d/1-uDff_7J0KD5mKrp0Vvzr7lt3OU09vwQwhkpOPPYv2Y/edit?usp=sharing"",""งบพรบ!GC29"")"),0)</f>
        <v>0</v>
      </c>
      <c r="J29" s="262">
        <f t="shared" ca="1" si="15"/>
        <v>0</v>
      </c>
      <c r="K29" s="476">
        <f t="shared" ca="1" si="16"/>
        <v>0</v>
      </c>
      <c r="L29" s="151">
        <f ca="1">IFERROR(__xludf.DUMMYFUNCTION("IMPORTRANGE(""https://docs.google.com/spreadsheets/d/1-uDff_7J0KD5mKrp0Vvzr7lt3OU09vwQwhkpOPPYv2Y/edit?usp=sharing"",""งบพรบ!GD29"")"),0)</f>
        <v>0</v>
      </c>
      <c r="M29" s="260">
        <f t="shared" ca="1" si="17"/>
        <v>0</v>
      </c>
      <c r="N29" s="260">
        <f t="shared" ca="1" si="18"/>
        <v>0</v>
      </c>
      <c r="O29" s="151">
        <f ca="1">IFERROR(__xludf.DUMMYFUNCTION("IMPORTRANGE(""https://docs.google.com/spreadsheets/d/1-uDff_7J0KD5mKrp0Vvzr7lt3OU09vwQwhkpOPPYv2Y/edit?usp=sharing"",""งบพรบ!GE29"")"),0)</f>
        <v>0</v>
      </c>
      <c r="P29" s="475">
        <f t="shared" ca="1" si="19"/>
        <v>0</v>
      </c>
      <c r="Q29" s="260">
        <f t="shared" ca="1" si="20"/>
        <v>0</v>
      </c>
      <c r="R29" s="278">
        <v>0</v>
      </c>
      <c r="S29" s="152">
        <v>0</v>
      </c>
      <c r="T29" s="216">
        <f t="shared" si="22"/>
        <v>0</v>
      </c>
    </row>
    <row r="30" spans="1:21" ht="19.5" x14ac:dyDescent="0.3">
      <c r="A30" s="155">
        <v>17</v>
      </c>
      <c r="B30" s="156" t="s">
        <v>58</v>
      </c>
      <c r="C30" s="477">
        <f t="shared" ca="1" si="13"/>
        <v>0</v>
      </c>
      <c r="D30" s="478">
        <f t="shared" ca="1" si="23"/>
        <v>0</v>
      </c>
      <c r="E30" s="159">
        <f ca="1">IFERROR(__xludf.DUMMYFUNCTION("IMPORTRANGE(""https://docs.google.com/spreadsheets/d/1-uDff_7J0KD5mKrp0Vvzr7lt3OU09vwQwhkpOPPYv2Y/edit?usp=sharing"",""งบพรบ!FX30"")"),0)</f>
        <v>0</v>
      </c>
      <c r="F30" s="159">
        <f ca="1">IFERROR(__xludf.DUMMYFUNCTION("IMPORTRANGE(""https://docs.google.com/spreadsheets/d/1-uDff_7J0KD5mKrp0Vvzr7lt3OU09vwQwhkpOPPYv2Y/edit?usp=sharing"",""งบพรบ!FY30"")"),0)</f>
        <v>0</v>
      </c>
      <c r="G30" s="159">
        <f ca="1">IFERROR(__xludf.DUMMYFUNCTION("IMPORTRANGE(""https://docs.google.com/spreadsheets/d/1-uDff_7J0KD5mKrp0Vvzr7lt3OU09vwQwhkpOPPYv2Y/edit?usp=sharing"",""งบพรบ!FZ30"")"),0)</f>
        <v>0</v>
      </c>
      <c r="H30" s="159">
        <f ca="1">IFERROR(__xludf.DUMMYFUNCTION("IMPORTRANGE(""https://docs.google.com/spreadsheets/d/1-uDff_7J0KD5mKrp0Vvzr7lt3OU09vwQwhkpOPPYv2Y/edit?usp=sharing"",""งบพรบ!GB30"")"),0)</f>
        <v>0</v>
      </c>
      <c r="I30" s="159">
        <f ca="1">IFERROR(__xludf.DUMMYFUNCTION("IMPORTRANGE(""https://docs.google.com/spreadsheets/d/1-uDff_7J0KD5mKrp0Vvzr7lt3OU09vwQwhkpOPPYv2Y/edit?usp=sharing"",""งบพรบ!GC30"")"),0)</f>
        <v>0</v>
      </c>
      <c r="J30" s="479">
        <f t="shared" ca="1" si="15"/>
        <v>0</v>
      </c>
      <c r="K30" s="480">
        <f t="shared" ca="1" si="16"/>
        <v>0</v>
      </c>
      <c r="L30" s="159">
        <f ca="1">IFERROR(__xludf.DUMMYFUNCTION("IMPORTRANGE(""https://docs.google.com/spreadsheets/d/1-uDff_7J0KD5mKrp0Vvzr7lt3OU09vwQwhkpOPPYv2Y/edit?usp=sharing"",""งบพรบ!GD30"")"),0)</f>
        <v>0</v>
      </c>
      <c r="M30" s="481">
        <f t="shared" ca="1" si="17"/>
        <v>0</v>
      </c>
      <c r="N30" s="481">
        <f t="shared" ca="1" si="18"/>
        <v>0</v>
      </c>
      <c r="O30" s="159">
        <f ca="1">IFERROR(__xludf.DUMMYFUNCTION("IMPORTRANGE(""https://docs.google.com/spreadsheets/d/1-uDff_7J0KD5mKrp0Vvzr7lt3OU09vwQwhkpOPPYv2Y/edit?usp=sharing"",""งบพรบ!GE30"")"),0)</f>
        <v>0</v>
      </c>
      <c r="P30" s="482">
        <f t="shared" ca="1" si="19"/>
        <v>0</v>
      </c>
      <c r="Q30" s="481">
        <f t="shared" ca="1" si="20"/>
        <v>0</v>
      </c>
      <c r="R30" s="280">
        <v>0</v>
      </c>
      <c r="S30" s="191">
        <v>0</v>
      </c>
      <c r="T30" s="218">
        <f t="shared" si="22"/>
        <v>0</v>
      </c>
    </row>
    <row r="31" spans="1:21" ht="19.5" x14ac:dyDescent="0.3">
      <c r="A31" s="696" t="s">
        <v>59</v>
      </c>
      <c r="B31" s="662"/>
      <c r="C31" s="601">
        <f t="shared" ca="1" si="13"/>
        <v>190000</v>
      </c>
      <c r="D31" s="601">
        <f t="shared" ref="D31:I31" ca="1" si="24">SUM(D32:D51)</f>
        <v>0</v>
      </c>
      <c r="E31" s="601">
        <f t="shared" ca="1" si="24"/>
        <v>0</v>
      </c>
      <c r="F31" s="601">
        <f t="shared" ca="1" si="24"/>
        <v>0</v>
      </c>
      <c r="G31" s="601">
        <f t="shared" ca="1" si="24"/>
        <v>190000</v>
      </c>
      <c r="H31" s="601">
        <f t="shared" ca="1" si="24"/>
        <v>0</v>
      </c>
      <c r="I31" s="601">
        <f t="shared" ca="1" si="24"/>
        <v>190000</v>
      </c>
      <c r="J31" s="601">
        <f t="shared" ca="1" si="15"/>
        <v>189132</v>
      </c>
      <c r="K31" s="602">
        <f t="shared" ca="1" si="16"/>
        <v>99.543157894736837</v>
      </c>
      <c r="L31" s="601">
        <f ca="1">SUM(L32:L51)</f>
        <v>0</v>
      </c>
      <c r="M31" s="603">
        <f t="shared" ca="1" si="17"/>
        <v>0</v>
      </c>
      <c r="N31" s="603">
        <f t="shared" ca="1" si="18"/>
        <v>0</v>
      </c>
      <c r="O31" s="604">
        <f ca="1">SUM(O32:O51)</f>
        <v>189132</v>
      </c>
      <c r="P31" s="604">
        <f t="shared" ca="1" si="19"/>
        <v>99.543157894736837</v>
      </c>
      <c r="Q31" s="603">
        <f t="shared" ca="1" si="20"/>
        <v>99.543157894736837</v>
      </c>
      <c r="R31" s="282">
        <f t="shared" ref="R31:S31" ca="1" si="25">SUM(R32:R51)</f>
        <v>1</v>
      </c>
      <c r="S31" s="369">
        <f t="shared" ca="1" si="25"/>
        <v>1</v>
      </c>
      <c r="T31" s="94">
        <f t="shared" ca="1" si="22"/>
        <v>100</v>
      </c>
      <c r="U31" s="600"/>
    </row>
    <row r="32" spans="1:21" ht="19.5" x14ac:dyDescent="0.3">
      <c r="A32" s="147">
        <v>1</v>
      </c>
      <c r="B32" s="148" t="s">
        <v>60</v>
      </c>
      <c r="C32" s="472">
        <f t="shared" ca="1" si="13"/>
        <v>0</v>
      </c>
      <c r="D32" s="473">
        <f t="shared" ref="D32:D51" ca="1" si="26">+E32+F32</f>
        <v>0</v>
      </c>
      <c r="E32" s="151">
        <f ca="1">IFERROR(__xludf.DUMMYFUNCTION("IMPORTRANGE(""https://docs.google.com/spreadsheets/d/1-uDff_7J0KD5mKrp0Vvzr7lt3OU09vwQwhkpOPPYv2Y/edit?usp=sharing"",""งบพรบ!FX32"")"),0)</f>
        <v>0</v>
      </c>
      <c r="F32" s="151">
        <f ca="1">IFERROR(__xludf.DUMMYFUNCTION("IMPORTRANGE(""https://docs.google.com/spreadsheets/d/1-uDff_7J0KD5mKrp0Vvzr7lt3OU09vwQwhkpOPPYv2Y/edit?usp=sharing"",""งบพรบ!FY32"")"),0)</f>
        <v>0</v>
      </c>
      <c r="G32" s="152">
        <f ca="1">IFERROR(__xludf.DUMMYFUNCTION("IMPORTRANGE(""https://docs.google.com/spreadsheets/d/1-uDff_7J0KD5mKrp0Vvzr7lt3OU09vwQwhkpOPPYv2Y/edit?usp=sharing"",""งบพรบ!FZ32"")"),0)</f>
        <v>0</v>
      </c>
      <c r="H32" s="152">
        <f ca="1">IFERROR(__xludf.DUMMYFUNCTION("IMPORTRANGE(""https://docs.google.com/spreadsheets/d/1-uDff_7J0KD5mKrp0Vvzr7lt3OU09vwQwhkpOPPYv2Y/edit?usp=sharing"",""งบพรบ!GB32"")"),0)</f>
        <v>0</v>
      </c>
      <c r="I32" s="152">
        <f ca="1">IFERROR(__xludf.DUMMYFUNCTION("IMPORTRANGE(""https://docs.google.com/spreadsheets/d/1-uDff_7J0KD5mKrp0Vvzr7lt3OU09vwQwhkpOPPYv2Y/edit?usp=sharing"",""งบพรบ!GC32"")"),0)</f>
        <v>0</v>
      </c>
      <c r="J32" s="251">
        <f t="shared" ca="1" si="15"/>
        <v>0</v>
      </c>
      <c r="K32" s="474">
        <f t="shared" ca="1" si="16"/>
        <v>0</v>
      </c>
      <c r="L32" s="152">
        <f ca="1">IFERROR(__xludf.DUMMYFUNCTION("IMPORTRANGE(""https://docs.google.com/spreadsheets/d/1-uDff_7J0KD5mKrp0Vvzr7lt3OU09vwQwhkpOPPYv2Y/edit?usp=sharing"",""งบพรบ!GD32"")"),0)</f>
        <v>0</v>
      </c>
      <c r="M32" s="260">
        <f t="shared" ca="1" si="17"/>
        <v>0</v>
      </c>
      <c r="N32" s="260">
        <f t="shared" ca="1" si="18"/>
        <v>0</v>
      </c>
      <c r="O32" s="151">
        <f ca="1">IFERROR(__xludf.DUMMYFUNCTION("IMPORTRANGE(""https://docs.google.com/spreadsheets/d/1-uDff_7J0KD5mKrp0Vvzr7lt3OU09vwQwhkpOPPYv2Y/edit?usp=sharing"",""งบพรบ!GE32"")"),0)</f>
        <v>0</v>
      </c>
      <c r="P32" s="475">
        <f t="shared" ca="1" si="19"/>
        <v>0</v>
      </c>
      <c r="Q32" s="260">
        <f t="shared" ca="1" si="20"/>
        <v>0</v>
      </c>
      <c r="R32" s="278">
        <v>0</v>
      </c>
      <c r="S32" s="152">
        <v>0</v>
      </c>
      <c r="T32" s="216">
        <f t="shared" si="22"/>
        <v>0</v>
      </c>
    </row>
    <row r="33" spans="1:20" ht="19.5" x14ac:dyDescent="0.3">
      <c r="A33" s="147">
        <v>2</v>
      </c>
      <c r="B33" s="148" t="s">
        <v>61</v>
      </c>
      <c r="C33" s="472">
        <f t="shared" ca="1" si="13"/>
        <v>0</v>
      </c>
      <c r="D33" s="473">
        <f t="shared" ca="1" si="26"/>
        <v>0</v>
      </c>
      <c r="E33" s="151">
        <f ca="1">IFERROR(__xludf.DUMMYFUNCTION("IMPORTRANGE(""https://docs.google.com/spreadsheets/d/1-uDff_7J0KD5mKrp0Vvzr7lt3OU09vwQwhkpOPPYv2Y/edit?usp=sharing"",""งบพรบ!FX33"")"),0)</f>
        <v>0</v>
      </c>
      <c r="F33" s="151">
        <f ca="1">IFERROR(__xludf.DUMMYFUNCTION("IMPORTRANGE(""https://docs.google.com/spreadsheets/d/1-uDff_7J0KD5mKrp0Vvzr7lt3OU09vwQwhkpOPPYv2Y/edit?usp=sharing"",""งบพรบ!FY33"")"),0)</f>
        <v>0</v>
      </c>
      <c r="G33" s="151">
        <f ca="1">IFERROR(__xludf.DUMMYFUNCTION("IMPORTRANGE(""https://docs.google.com/spreadsheets/d/1-uDff_7J0KD5mKrp0Vvzr7lt3OU09vwQwhkpOPPYv2Y/edit?usp=sharing"",""งบพรบ!FZ33"")"),0)</f>
        <v>0</v>
      </c>
      <c r="H33" s="151">
        <f ca="1">IFERROR(__xludf.DUMMYFUNCTION("IMPORTRANGE(""https://docs.google.com/spreadsheets/d/1-uDff_7J0KD5mKrp0Vvzr7lt3OU09vwQwhkpOPPYv2Y/edit?usp=sharing"",""งบพรบ!GB33"")"),0)</f>
        <v>0</v>
      </c>
      <c r="I33" s="151">
        <f ca="1">IFERROR(__xludf.DUMMYFUNCTION("IMPORTRANGE(""https://docs.google.com/spreadsheets/d/1-uDff_7J0KD5mKrp0Vvzr7lt3OU09vwQwhkpOPPYv2Y/edit?usp=sharing"",""งบพรบ!GC33"")"),0)</f>
        <v>0</v>
      </c>
      <c r="J33" s="262">
        <f t="shared" ca="1" si="15"/>
        <v>0</v>
      </c>
      <c r="K33" s="476">
        <f t="shared" ca="1" si="16"/>
        <v>0</v>
      </c>
      <c r="L33" s="151">
        <f ca="1">IFERROR(__xludf.DUMMYFUNCTION("IMPORTRANGE(""https://docs.google.com/spreadsheets/d/1-uDff_7J0KD5mKrp0Vvzr7lt3OU09vwQwhkpOPPYv2Y/edit?usp=sharing"",""งบพรบ!GD33"")"),0)</f>
        <v>0</v>
      </c>
      <c r="M33" s="260">
        <f t="shared" ca="1" si="17"/>
        <v>0</v>
      </c>
      <c r="N33" s="260">
        <f t="shared" ca="1" si="18"/>
        <v>0</v>
      </c>
      <c r="O33" s="151">
        <f ca="1">IFERROR(__xludf.DUMMYFUNCTION("IMPORTRANGE(""https://docs.google.com/spreadsheets/d/1-uDff_7J0KD5mKrp0Vvzr7lt3OU09vwQwhkpOPPYv2Y/edit?usp=sharing"",""งบพรบ!GE33"")"),0)</f>
        <v>0</v>
      </c>
      <c r="P33" s="475">
        <f t="shared" ca="1" si="19"/>
        <v>0</v>
      </c>
      <c r="Q33" s="260">
        <f t="shared" ca="1" si="20"/>
        <v>0</v>
      </c>
      <c r="R33" s="278">
        <v>0</v>
      </c>
      <c r="S33" s="152">
        <v>0</v>
      </c>
      <c r="T33" s="216">
        <f t="shared" si="22"/>
        <v>0</v>
      </c>
    </row>
    <row r="34" spans="1:20" ht="19.5" x14ac:dyDescent="0.3">
      <c r="A34" s="147">
        <v>3</v>
      </c>
      <c r="B34" s="148" t="s">
        <v>62</v>
      </c>
      <c r="C34" s="472">
        <f t="shared" ca="1" si="13"/>
        <v>0</v>
      </c>
      <c r="D34" s="473">
        <f t="shared" ca="1" si="26"/>
        <v>0</v>
      </c>
      <c r="E34" s="151">
        <f ca="1">IFERROR(__xludf.DUMMYFUNCTION("IMPORTRANGE(""https://docs.google.com/spreadsheets/d/1-uDff_7J0KD5mKrp0Vvzr7lt3OU09vwQwhkpOPPYv2Y/edit?usp=sharing"",""งบพรบ!FX34"")"),0)</f>
        <v>0</v>
      </c>
      <c r="F34" s="151">
        <f ca="1">IFERROR(__xludf.DUMMYFUNCTION("IMPORTRANGE(""https://docs.google.com/spreadsheets/d/1-uDff_7J0KD5mKrp0Vvzr7lt3OU09vwQwhkpOPPYv2Y/edit?usp=sharing"",""งบพรบ!FY34"")"),0)</f>
        <v>0</v>
      </c>
      <c r="G34" s="151">
        <f ca="1">IFERROR(__xludf.DUMMYFUNCTION("IMPORTRANGE(""https://docs.google.com/spreadsheets/d/1-uDff_7J0KD5mKrp0Vvzr7lt3OU09vwQwhkpOPPYv2Y/edit?usp=sharing"",""งบพรบ!FZ34"")"),0)</f>
        <v>0</v>
      </c>
      <c r="H34" s="151">
        <f ca="1">IFERROR(__xludf.DUMMYFUNCTION("IMPORTRANGE(""https://docs.google.com/spreadsheets/d/1-uDff_7J0KD5mKrp0Vvzr7lt3OU09vwQwhkpOPPYv2Y/edit?usp=sharing"",""งบพรบ!GB34"")"),0)</f>
        <v>0</v>
      </c>
      <c r="I34" s="151">
        <f ca="1">IFERROR(__xludf.DUMMYFUNCTION("IMPORTRANGE(""https://docs.google.com/spreadsheets/d/1-uDff_7J0KD5mKrp0Vvzr7lt3OU09vwQwhkpOPPYv2Y/edit?usp=sharing"",""งบพรบ!GC34"")"),0)</f>
        <v>0</v>
      </c>
      <c r="J34" s="262">
        <f t="shared" ca="1" si="15"/>
        <v>0</v>
      </c>
      <c r="K34" s="476">
        <f t="shared" ca="1" si="16"/>
        <v>0</v>
      </c>
      <c r="L34" s="151">
        <f ca="1">IFERROR(__xludf.DUMMYFUNCTION("IMPORTRANGE(""https://docs.google.com/spreadsheets/d/1-uDff_7J0KD5mKrp0Vvzr7lt3OU09vwQwhkpOPPYv2Y/edit?usp=sharing"",""งบพรบ!GD34"")"),0)</f>
        <v>0</v>
      </c>
      <c r="M34" s="260">
        <f t="shared" ca="1" si="17"/>
        <v>0</v>
      </c>
      <c r="N34" s="260">
        <f t="shared" ca="1" si="18"/>
        <v>0</v>
      </c>
      <c r="O34" s="151">
        <f ca="1">IFERROR(__xludf.DUMMYFUNCTION("IMPORTRANGE(""https://docs.google.com/spreadsheets/d/1-uDff_7J0KD5mKrp0Vvzr7lt3OU09vwQwhkpOPPYv2Y/edit?usp=sharing"",""งบพรบ!GE34"")"),0)</f>
        <v>0</v>
      </c>
      <c r="P34" s="475">
        <f t="shared" ca="1" si="19"/>
        <v>0</v>
      </c>
      <c r="Q34" s="260">
        <f t="shared" ca="1" si="20"/>
        <v>0</v>
      </c>
      <c r="R34" s="278">
        <v>0</v>
      </c>
      <c r="S34" s="152">
        <v>0</v>
      </c>
      <c r="T34" s="216">
        <f t="shared" si="22"/>
        <v>0</v>
      </c>
    </row>
    <row r="35" spans="1:20" ht="19.5" x14ac:dyDescent="0.3">
      <c r="A35" s="147">
        <v>4</v>
      </c>
      <c r="B35" s="148" t="s">
        <v>63</v>
      </c>
      <c r="C35" s="472">
        <f t="shared" ca="1" si="13"/>
        <v>0</v>
      </c>
      <c r="D35" s="473">
        <f t="shared" ca="1" si="26"/>
        <v>0</v>
      </c>
      <c r="E35" s="151">
        <f ca="1">IFERROR(__xludf.DUMMYFUNCTION("IMPORTRANGE(""https://docs.google.com/spreadsheets/d/1-uDff_7J0KD5mKrp0Vvzr7lt3OU09vwQwhkpOPPYv2Y/edit?usp=sharing"",""งบพรบ!FX35"")"),0)</f>
        <v>0</v>
      </c>
      <c r="F35" s="151">
        <f ca="1">IFERROR(__xludf.DUMMYFUNCTION("IMPORTRANGE(""https://docs.google.com/spreadsheets/d/1-uDff_7J0KD5mKrp0Vvzr7lt3OU09vwQwhkpOPPYv2Y/edit?usp=sharing"",""งบพรบ!FY35"")"),0)</f>
        <v>0</v>
      </c>
      <c r="G35" s="151">
        <f ca="1">IFERROR(__xludf.DUMMYFUNCTION("IMPORTRANGE(""https://docs.google.com/spreadsheets/d/1-uDff_7J0KD5mKrp0Vvzr7lt3OU09vwQwhkpOPPYv2Y/edit?usp=sharing"",""งบพรบ!FZ35"")"),0)</f>
        <v>0</v>
      </c>
      <c r="H35" s="151">
        <f ca="1">IFERROR(__xludf.DUMMYFUNCTION("IMPORTRANGE(""https://docs.google.com/spreadsheets/d/1-uDff_7J0KD5mKrp0Vvzr7lt3OU09vwQwhkpOPPYv2Y/edit?usp=sharing"",""งบพรบ!GB35"")"),0)</f>
        <v>0</v>
      </c>
      <c r="I35" s="151">
        <f ca="1">IFERROR(__xludf.DUMMYFUNCTION("IMPORTRANGE(""https://docs.google.com/spreadsheets/d/1-uDff_7J0KD5mKrp0Vvzr7lt3OU09vwQwhkpOPPYv2Y/edit?usp=sharing"",""งบพรบ!GC35"")"),0)</f>
        <v>0</v>
      </c>
      <c r="J35" s="262">
        <f t="shared" ca="1" si="15"/>
        <v>0</v>
      </c>
      <c r="K35" s="476">
        <f t="shared" ca="1" si="16"/>
        <v>0</v>
      </c>
      <c r="L35" s="151">
        <f ca="1">IFERROR(__xludf.DUMMYFUNCTION("IMPORTRANGE(""https://docs.google.com/spreadsheets/d/1-uDff_7J0KD5mKrp0Vvzr7lt3OU09vwQwhkpOPPYv2Y/edit?usp=sharing"",""งบพรบ!GD35"")"),0)</f>
        <v>0</v>
      </c>
      <c r="M35" s="260">
        <f t="shared" ca="1" si="17"/>
        <v>0</v>
      </c>
      <c r="N35" s="260">
        <f t="shared" ca="1" si="18"/>
        <v>0</v>
      </c>
      <c r="O35" s="151">
        <f ca="1">IFERROR(__xludf.DUMMYFUNCTION("IMPORTRANGE(""https://docs.google.com/spreadsheets/d/1-uDff_7J0KD5mKrp0Vvzr7lt3OU09vwQwhkpOPPYv2Y/edit?usp=sharing"",""งบพรบ!GE35"")"),0)</f>
        <v>0</v>
      </c>
      <c r="P35" s="475">
        <f t="shared" ca="1" si="19"/>
        <v>0</v>
      </c>
      <c r="Q35" s="260">
        <f t="shared" ca="1" si="20"/>
        <v>0</v>
      </c>
      <c r="R35" s="278">
        <v>0</v>
      </c>
      <c r="S35" s="152">
        <v>0</v>
      </c>
      <c r="T35" s="216">
        <f t="shared" si="22"/>
        <v>0</v>
      </c>
    </row>
    <row r="36" spans="1:20" ht="19.5" x14ac:dyDescent="0.3">
      <c r="A36" s="147">
        <v>5</v>
      </c>
      <c r="B36" s="148" t="s">
        <v>64</v>
      </c>
      <c r="C36" s="472">
        <f t="shared" ca="1" si="13"/>
        <v>0</v>
      </c>
      <c r="D36" s="473">
        <f t="shared" ca="1" si="26"/>
        <v>0</v>
      </c>
      <c r="E36" s="151">
        <f ca="1">IFERROR(__xludf.DUMMYFUNCTION("IMPORTRANGE(""https://docs.google.com/spreadsheets/d/1-uDff_7J0KD5mKrp0Vvzr7lt3OU09vwQwhkpOPPYv2Y/edit?usp=sharing"",""งบพรบ!FX36"")"),0)</f>
        <v>0</v>
      </c>
      <c r="F36" s="151">
        <f ca="1">IFERROR(__xludf.DUMMYFUNCTION("IMPORTRANGE(""https://docs.google.com/spreadsheets/d/1-uDff_7J0KD5mKrp0Vvzr7lt3OU09vwQwhkpOPPYv2Y/edit?usp=sharing"",""งบพรบ!FY36"")"),0)</f>
        <v>0</v>
      </c>
      <c r="G36" s="151">
        <f ca="1">IFERROR(__xludf.DUMMYFUNCTION("IMPORTRANGE(""https://docs.google.com/spreadsheets/d/1-uDff_7J0KD5mKrp0Vvzr7lt3OU09vwQwhkpOPPYv2Y/edit?usp=sharing"",""งบพรบ!FZ36"")"),0)</f>
        <v>0</v>
      </c>
      <c r="H36" s="151">
        <f ca="1">IFERROR(__xludf.DUMMYFUNCTION("IMPORTRANGE(""https://docs.google.com/spreadsheets/d/1-uDff_7J0KD5mKrp0Vvzr7lt3OU09vwQwhkpOPPYv2Y/edit?usp=sharing"",""งบพรบ!GB36"")"),0)</f>
        <v>0</v>
      </c>
      <c r="I36" s="151">
        <f ca="1">IFERROR(__xludf.DUMMYFUNCTION("IMPORTRANGE(""https://docs.google.com/spreadsheets/d/1-uDff_7J0KD5mKrp0Vvzr7lt3OU09vwQwhkpOPPYv2Y/edit?usp=sharing"",""งบพรบ!GC36"")"),0)</f>
        <v>0</v>
      </c>
      <c r="J36" s="262">
        <f t="shared" ca="1" si="15"/>
        <v>0</v>
      </c>
      <c r="K36" s="476">
        <f t="shared" ca="1" si="16"/>
        <v>0</v>
      </c>
      <c r="L36" s="151">
        <f ca="1">IFERROR(__xludf.DUMMYFUNCTION("IMPORTRANGE(""https://docs.google.com/spreadsheets/d/1-uDff_7J0KD5mKrp0Vvzr7lt3OU09vwQwhkpOPPYv2Y/edit?usp=sharing"",""งบพรบ!GD36"")"),0)</f>
        <v>0</v>
      </c>
      <c r="M36" s="260">
        <f t="shared" ca="1" si="17"/>
        <v>0</v>
      </c>
      <c r="N36" s="260">
        <f t="shared" ca="1" si="18"/>
        <v>0</v>
      </c>
      <c r="O36" s="151">
        <f ca="1">IFERROR(__xludf.DUMMYFUNCTION("IMPORTRANGE(""https://docs.google.com/spreadsheets/d/1-uDff_7J0KD5mKrp0Vvzr7lt3OU09vwQwhkpOPPYv2Y/edit?usp=sharing"",""งบพรบ!GE36"")"),0)</f>
        <v>0</v>
      </c>
      <c r="P36" s="475">
        <f t="shared" ca="1" si="19"/>
        <v>0</v>
      </c>
      <c r="Q36" s="260">
        <f t="shared" ca="1" si="20"/>
        <v>0</v>
      </c>
      <c r="R36" s="279">
        <v>0</v>
      </c>
      <c r="S36" s="397">
        <v>0</v>
      </c>
      <c r="T36" s="216">
        <f t="shared" si="22"/>
        <v>0</v>
      </c>
    </row>
    <row r="37" spans="1:20" ht="19.5" x14ac:dyDescent="0.3">
      <c r="A37" s="147">
        <v>6</v>
      </c>
      <c r="B37" s="148" t="s">
        <v>65</v>
      </c>
      <c r="C37" s="472">
        <f t="shared" ca="1" si="13"/>
        <v>0</v>
      </c>
      <c r="D37" s="473">
        <f t="shared" ca="1" si="26"/>
        <v>0</v>
      </c>
      <c r="E37" s="151">
        <f ca="1">IFERROR(__xludf.DUMMYFUNCTION("IMPORTRANGE(""https://docs.google.com/spreadsheets/d/1-uDff_7J0KD5mKrp0Vvzr7lt3OU09vwQwhkpOPPYv2Y/edit?usp=sharing"",""งบพรบ!FX37"")"),0)</f>
        <v>0</v>
      </c>
      <c r="F37" s="151">
        <f ca="1">IFERROR(__xludf.DUMMYFUNCTION("IMPORTRANGE(""https://docs.google.com/spreadsheets/d/1-uDff_7J0KD5mKrp0Vvzr7lt3OU09vwQwhkpOPPYv2Y/edit?usp=sharing"",""งบพรบ!FY37"")"),0)</f>
        <v>0</v>
      </c>
      <c r="G37" s="151">
        <f ca="1">IFERROR(__xludf.DUMMYFUNCTION("IMPORTRANGE(""https://docs.google.com/spreadsheets/d/1-uDff_7J0KD5mKrp0Vvzr7lt3OU09vwQwhkpOPPYv2Y/edit?usp=sharing"",""งบพรบ!FZ37"")"),0)</f>
        <v>0</v>
      </c>
      <c r="H37" s="151">
        <f ca="1">IFERROR(__xludf.DUMMYFUNCTION("IMPORTRANGE(""https://docs.google.com/spreadsheets/d/1-uDff_7J0KD5mKrp0Vvzr7lt3OU09vwQwhkpOPPYv2Y/edit?usp=sharing"",""งบพรบ!GB37"")"),0)</f>
        <v>0</v>
      </c>
      <c r="I37" s="151">
        <f ca="1">IFERROR(__xludf.DUMMYFUNCTION("IMPORTRANGE(""https://docs.google.com/spreadsheets/d/1-uDff_7J0KD5mKrp0Vvzr7lt3OU09vwQwhkpOPPYv2Y/edit?usp=sharing"",""งบพรบ!GC37"")"),0)</f>
        <v>0</v>
      </c>
      <c r="J37" s="262">
        <f t="shared" ca="1" si="15"/>
        <v>0</v>
      </c>
      <c r="K37" s="476">
        <f t="shared" ca="1" si="16"/>
        <v>0</v>
      </c>
      <c r="L37" s="151">
        <f ca="1">IFERROR(__xludf.DUMMYFUNCTION("IMPORTRANGE(""https://docs.google.com/spreadsheets/d/1-uDff_7J0KD5mKrp0Vvzr7lt3OU09vwQwhkpOPPYv2Y/edit?usp=sharing"",""งบพรบ!GD37"")"),0)</f>
        <v>0</v>
      </c>
      <c r="M37" s="260">
        <f t="shared" ca="1" si="17"/>
        <v>0</v>
      </c>
      <c r="N37" s="260">
        <f t="shared" ca="1" si="18"/>
        <v>0</v>
      </c>
      <c r="O37" s="151">
        <f ca="1">IFERROR(__xludf.DUMMYFUNCTION("IMPORTRANGE(""https://docs.google.com/spreadsheets/d/1-uDff_7J0KD5mKrp0Vvzr7lt3OU09vwQwhkpOPPYv2Y/edit?usp=sharing"",""งบพรบ!GE37"")"),0)</f>
        <v>0</v>
      </c>
      <c r="P37" s="475">
        <f t="shared" ca="1" si="19"/>
        <v>0</v>
      </c>
      <c r="Q37" s="260">
        <f t="shared" ca="1" si="20"/>
        <v>0</v>
      </c>
      <c r="R37" s="278">
        <v>0</v>
      </c>
      <c r="S37" s="152">
        <v>0</v>
      </c>
      <c r="T37" s="216">
        <f t="shared" si="22"/>
        <v>0</v>
      </c>
    </row>
    <row r="38" spans="1:20" ht="19.5" x14ac:dyDescent="0.3">
      <c r="A38" s="147">
        <v>7</v>
      </c>
      <c r="B38" s="148" t="s">
        <v>66</v>
      </c>
      <c r="C38" s="472">
        <f t="shared" ca="1" si="13"/>
        <v>0</v>
      </c>
      <c r="D38" s="473">
        <f t="shared" ca="1" si="26"/>
        <v>0</v>
      </c>
      <c r="E38" s="151">
        <f ca="1">IFERROR(__xludf.DUMMYFUNCTION("IMPORTRANGE(""https://docs.google.com/spreadsheets/d/1-uDff_7J0KD5mKrp0Vvzr7lt3OU09vwQwhkpOPPYv2Y/edit?usp=sharing"",""งบพรบ!FX38"")"),0)</f>
        <v>0</v>
      </c>
      <c r="F38" s="151">
        <f ca="1">IFERROR(__xludf.DUMMYFUNCTION("IMPORTRANGE(""https://docs.google.com/spreadsheets/d/1-uDff_7J0KD5mKrp0Vvzr7lt3OU09vwQwhkpOPPYv2Y/edit?usp=sharing"",""งบพรบ!FY38"")"),0)</f>
        <v>0</v>
      </c>
      <c r="G38" s="151">
        <f ca="1">IFERROR(__xludf.DUMMYFUNCTION("IMPORTRANGE(""https://docs.google.com/spreadsheets/d/1-uDff_7J0KD5mKrp0Vvzr7lt3OU09vwQwhkpOPPYv2Y/edit?usp=sharing"",""งบพรบ!FZ38"")"),0)</f>
        <v>0</v>
      </c>
      <c r="H38" s="151">
        <f ca="1">IFERROR(__xludf.DUMMYFUNCTION("IMPORTRANGE(""https://docs.google.com/spreadsheets/d/1-uDff_7J0KD5mKrp0Vvzr7lt3OU09vwQwhkpOPPYv2Y/edit?usp=sharing"",""งบพรบ!GB38"")"),0)</f>
        <v>0</v>
      </c>
      <c r="I38" s="151">
        <f ca="1">IFERROR(__xludf.DUMMYFUNCTION("IMPORTRANGE(""https://docs.google.com/spreadsheets/d/1-uDff_7J0KD5mKrp0Vvzr7lt3OU09vwQwhkpOPPYv2Y/edit?usp=sharing"",""งบพรบ!GC38"")"),0)</f>
        <v>0</v>
      </c>
      <c r="J38" s="262">
        <f t="shared" ca="1" si="15"/>
        <v>0</v>
      </c>
      <c r="K38" s="476">
        <f t="shared" ca="1" si="16"/>
        <v>0</v>
      </c>
      <c r="L38" s="151">
        <f ca="1">IFERROR(__xludf.DUMMYFUNCTION("IMPORTRANGE(""https://docs.google.com/spreadsheets/d/1-uDff_7J0KD5mKrp0Vvzr7lt3OU09vwQwhkpOPPYv2Y/edit?usp=sharing"",""งบพรบ!GD38"")"),0)</f>
        <v>0</v>
      </c>
      <c r="M38" s="260">
        <f t="shared" ca="1" si="17"/>
        <v>0</v>
      </c>
      <c r="N38" s="260">
        <f t="shared" ca="1" si="18"/>
        <v>0</v>
      </c>
      <c r="O38" s="151">
        <f ca="1">IFERROR(__xludf.DUMMYFUNCTION("IMPORTRANGE(""https://docs.google.com/spreadsheets/d/1-uDff_7J0KD5mKrp0Vvzr7lt3OU09vwQwhkpOPPYv2Y/edit?usp=sharing"",""งบพรบ!GE38"")"),0)</f>
        <v>0</v>
      </c>
      <c r="P38" s="475">
        <f t="shared" ca="1" si="19"/>
        <v>0</v>
      </c>
      <c r="Q38" s="260">
        <f t="shared" ca="1" si="20"/>
        <v>0</v>
      </c>
      <c r="R38" s="279">
        <v>0</v>
      </c>
      <c r="S38" s="397">
        <v>0</v>
      </c>
      <c r="T38" s="216">
        <f t="shared" si="22"/>
        <v>0</v>
      </c>
    </row>
    <row r="39" spans="1:20" ht="19.5" x14ac:dyDescent="0.3">
      <c r="A39" s="147">
        <v>8</v>
      </c>
      <c r="B39" s="148" t="s">
        <v>67</v>
      </c>
      <c r="C39" s="472">
        <f t="shared" ca="1" si="13"/>
        <v>0</v>
      </c>
      <c r="D39" s="473">
        <f t="shared" ca="1" si="26"/>
        <v>0</v>
      </c>
      <c r="E39" s="151">
        <f ca="1">IFERROR(__xludf.DUMMYFUNCTION("IMPORTRANGE(""https://docs.google.com/spreadsheets/d/1-uDff_7J0KD5mKrp0Vvzr7lt3OU09vwQwhkpOPPYv2Y/edit?usp=sharing"",""งบพรบ!FX39"")"),0)</f>
        <v>0</v>
      </c>
      <c r="F39" s="151">
        <f ca="1">IFERROR(__xludf.DUMMYFUNCTION("IMPORTRANGE(""https://docs.google.com/spreadsheets/d/1-uDff_7J0KD5mKrp0Vvzr7lt3OU09vwQwhkpOPPYv2Y/edit?usp=sharing"",""งบพรบ!FY39"")"),0)</f>
        <v>0</v>
      </c>
      <c r="G39" s="151">
        <f ca="1">IFERROR(__xludf.DUMMYFUNCTION("IMPORTRANGE(""https://docs.google.com/spreadsheets/d/1-uDff_7J0KD5mKrp0Vvzr7lt3OU09vwQwhkpOPPYv2Y/edit?usp=sharing"",""งบพรบ!FZ39"")"),0)</f>
        <v>0</v>
      </c>
      <c r="H39" s="151">
        <f ca="1">IFERROR(__xludf.DUMMYFUNCTION("IMPORTRANGE(""https://docs.google.com/spreadsheets/d/1-uDff_7J0KD5mKrp0Vvzr7lt3OU09vwQwhkpOPPYv2Y/edit?usp=sharing"",""งบพรบ!GB39"")"),0)</f>
        <v>0</v>
      </c>
      <c r="I39" s="151">
        <f ca="1">IFERROR(__xludf.DUMMYFUNCTION("IMPORTRANGE(""https://docs.google.com/spreadsheets/d/1-uDff_7J0KD5mKrp0Vvzr7lt3OU09vwQwhkpOPPYv2Y/edit?usp=sharing"",""งบพรบ!GC39"")"),0)</f>
        <v>0</v>
      </c>
      <c r="J39" s="262">
        <f t="shared" ca="1" si="15"/>
        <v>0</v>
      </c>
      <c r="K39" s="476">
        <f t="shared" ca="1" si="16"/>
        <v>0</v>
      </c>
      <c r="L39" s="151">
        <f ca="1">IFERROR(__xludf.DUMMYFUNCTION("IMPORTRANGE(""https://docs.google.com/spreadsheets/d/1-uDff_7J0KD5mKrp0Vvzr7lt3OU09vwQwhkpOPPYv2Y/edit?usp=sharing"",""งบพรบ!GD39"")"),0)</f>
        <v>0</v>
      </c>
      <c r="M39" s="260">
        <f t="shared" ca="1" si="17"/>
        <v>0</v>
      </c>
      <c r="N39" s="260">
        <f t="shared" ca="1" si="18"/>
        <v>0</v>
      </c>
      <c r="O39" s="151">
        <f ca="1">IFERROR(__xludf.DUMMYFUNCTION("IMPORTRANGE(""https://docs.google.com/spreadsheets/d/1-uDff_7J0KD5mKrp0Vvzr7lt3OU09vwQwhkpOPPYv2Y/edit?usp=sharing"",""งบพรบ!GE39"")"),0)</f>
        <v>0</v>
      </c>
      <c r="P39" s="475">
        <f t="shared" ca="1" si="19"/>
        <v>0</v>
      </c>
      <c r="Q39" s="260">
        <f t="shared" ca="1" si="20"/>
        <v>0</v>
      </c>
      <c r="R39" s="278">
        <v>0</v>
      </c>
      <c r="S39" s="152">
        <v>0</v>
      </c>
      <c r="T39" s="216">
        <f t="shared" si="22"/>
        <v>0</v>
      </c>
    </row>
    <row r="40" spans="1:20" ht="19.5" x14ac:dyDescent="0.3">
      <c r="A40" s="147">
        <v>9</v>
      </c>
      <c r="B40" s="148" t="s">
        <v>68</v>
      </c>
      <c r="C40" s="472">
        <f t="shared" ca="1" si="13"/>
        <v>0</v>
      </c>
      <c r="D40" s="473">
        <f t="shared" ca="1" si="26"/>
        <v>0</v>
      </c>
      <c r="E40" s="151">
        <f ca="1">IFERROR(__xludf.DUMMYFUNCTION("IMPORTRANGE(""https://docs.google.com/spreadsheets/d/1-uDff_7J0KD5mKrp0Vvzr7lt3OU09vwQwhkpOPPYv2Y/edit?usp=sharing"",""งบพรบ!FX40"")"),0)</f>
        <v>0</v>
      </c>
      <c r="F40" s="151">
        <f ca="1">IFERROR(__xludf.DUMMYFUNCTION("IMPORTRANGE(""https://docs.google.com/spreadsheets/d/1-uDff_7J0KD5mKrp0Vvzr7lt3OU09vwQwhkpOPPYv2Y/edit?usp=sharing"",""งบพรบ!FY40"")"),0)</f>
        <v>0</v>
      </c>
      <c r="G40" s="151">
        <f ca="1">IFERROR(__xludf.DUMMYFUNCTION("IMPORTRANGE(""https://docs.google.com/spreadsheets/d/1-uDff_7J0KD5mKrp0Vvzr7lt3OU09vwQwhkpOPPYv2Y/edit?usp=sharing"",""งบพรบ!FZ40"")"),0)</f>
        <v>0</v>
      </c>
      <c r="H40" s="151">
        <f ca="1">IFERROR(__xludf.DUMMYFUNCTION("IMPORTRANGE(""https://docs.google.com/spreadsheets/d/1-uDff_7J0KD5mKrp0Vvzr7lt3OU09vwQwhkpOPPYv2Y/edit?usp=sharing"",""งบพรบ!GB40"")"),0)</f>
        <v>0</v>
      </c>
      <c r="I40" s="151">
        <f ca="1">IFERROR(__xludf.DUMMYFUNCTION("IMPORTRANGE(""https://docs.google.com/spreadsheets/d/1-uDff_7J0KD5mKrp0Vvzr7lt3OU09vwQwhkpOPPYv2Y/edit?usp=sharing"",""งบพรบ!GC40"")"),0)</f>
        <v>0</v>
      </c>
      <c r="J40" s="262">
        <f t="shared" ca="1" si="15"/>
        <v>0</v>
      </c>
      <c r="K40" s="476">
        <f t="shared" ca="1" si="16"/>
        <v>0</v>
      </c>
      <c r="L40" s="151">
        <f ca="1">IFERROR(__xludf.DUMMYFUNCTION("IMPORTRANGE(""https://docs.google.com/spreadsheets/d/1-uDff_7J0KD5mKrp0Vvzr7lt3OU09vwQwhkpOPPYv2Y/edit?usp=sharing"",""งบพรบ!GD40"")"),0)</f>
        <v>0</v>
      </c>
      <c r="M40" s="260">
        <f t="shared" ca="1" si="17"/>
        <v>0</v>
      </c>
      <c r="N40" s="260">
        <f t="shared" ca="1" si="18"/>
        <v>0</v>
      </c>
      <c r="O40" s="151">
        <f ca="1">IFERROR(__xludf.DUMMYFUNCTION("IMPORTRANGE(""https://docs.google.com/spreadsheets/d/1-uDff_7J0KD5mKrp0Vvzr7lt3OU09vwQwhkpOPPYv2Y/edit?usp=sharing"",""งบพรบ!GE40"")"),0)</f>
        <v>0</v>
      </c>
      <c r="P40" s="475">
        <f t="shared" ca="1" si="19"/>
        <v>0</v>
      </c>
      <c r="Q40" s="260">
        <f t="shared" ca="1" si="20"/>
        <v>0</v>
      </c>
      <c r="R40" s="278">
        <v>0</v>
      </c>
      <c r="S40" s="152">
        <v>0</v>
      </c>
      <c r="T40" s="216">
        <f t="shared" si="22"/>
        <v>0</v>
      </c>
    </row>
    <row r="41" spans="1:20" ht="19.5" x14ac:dyDescent="0.3">
      <c r="A41" s="147">
        <v>10</v>
      </c>
      <c r="B41" s="148" t="s">
        <v>69</v>
      </c>
      <c r="C41" s="472">
        <f t="shared" ca="1" si="13"/>
        <v>0</v>
      </c>
      <c r="D41" s="473">
        <f t="shared" ca="1" si="26"/>
        <v>0</v>
      </c>
      <c r="E41" s="151">
        <f ca="1">IFERROR(__xludf.DUMMYFUNCTION("IMPORTRANGE(""https://docs.google.com/spreadsheets/d/1-uDff_7J0KD5mKrp0Vvzr7lt3OU09vwQwhkpOPPYv2Y/edit?usp=sharing"",""งบพรบ!FX41"")"),0)</f>
        <v>0</v>
      </c>
      <c r="F41" s="151">
        <f ca="1">IFERROR(__xludf.DUMMYFUNCTION("IMPORTRANGE(""https://docs.google.com/spreadsheets/d/1-uDff_7J0KD5mKrp0Vvzr7lt3OU09vwQwhkpOPPYv2Y/edit?usp=sharing"",""งบพรบ!FY41"")"),0)</f>
        <v>0</v>
      </c>
      <c r="G41" s="151">
        <f ca="1">IFERROR(__xludf.DUMMYFUNCTION("IMPORTRANGE(""https://docs.google.com/spreadsheets/d/1-uDff_7J0KD5mKrp0Vvzr7lt3OU09vwQwhkpOPPYv2Y/edit?usp=sharing"",""งบพรบ!FZ41"")"),0)</f>
        <v>0</v>
      </c>
      <c r="H41" s="151">
        <f ca="1">IFERROR(__xludf.DUMMYFUNCTION("IMPORTRANGE(""https://docs.google.com/spreadsheets/d/1-uDff_7J0KD5mKrp0Vvzr7lt3OU09vwQwhkpOPPYv2Y/edit?usp=sharing"",""งบพรบ!GB41"")"),0)</f>
        <v>0</v>
      </c>
      <c r="I41" s="151">
        <f ca="1">IFERROR(__xludf.DUMMYFUNCTION("IMPORTRANGE(""https://docs.google.com/spreadsheets/d/1-uDff_7J0KD5mKrp0Vvzr7lt3OU09vwQwhkpOPPYv2Y/edit?usp=sharing"",""งบพรบ!GC41"")"),0)</f>
        <v>0</v>
      </c>
      <c r="J41" s="262">
        <f t="shared" ca="1" si="15"/>
        <v>0</v>
      </c>
      <c r="K41" s="476">
        <f t="shared" ca="1" si="16"/>
        <v>0</v>
      </c>
      <c r="L41" s="151">
        <f ca="1">IFERROR(__xludf.DUMMYFUNCTION("IMPORTRANGE(""https://docs.google.com/spreadsheets/d/1-uDff_7J0KD5mKrp0Vvzr7lt3OU09vwQwhkpOPPYv2Y/edit?usp=sharing"",""งบพรบ!GD41"")"),0)</f>
        <v>0</v>
      </c>
      <c r="M41" s="260">
        <f t="shared" ca="1" si="17"/>
        <v>0</v>
      </c>
      <c r="N41" s="260">
        <f t="shared" ca="1" si="18"/>
        <v>0</v>
      </c>
      <c r="O41" s="151">
        <f ca="1">IFERROR(__xludf.DUMMYFUNCTION("IMPORTRANGE(""https://docs.google.com/spreadsheets/d/1-uDff_7J0KD5mKrp0Vvzr7lt3OU09vwQwhkpOPPYv2Y/edit?usp=sharing"",""งบพรบ!GE41"")"),0)</f>
        <v>0</v>
      </c>
      <c r="P41" s="475">
        <f t="shared" ca="1" si="19"/>
        <v>0</v>
      </c>
      <c r="Q41" s="260">
        <f t="shared" ca="1" si="20"/>
        <v>0</v>
      </c>
      <c r="R41" s="279">
        <v>0</v>
      </c>
      <c r="S41" s="397">
        <v>0</v>
      </c>
      <c r="T41" s="216">
        <f t="shared" si="22"/>
        <v>0</v>
      </c>
    </row>
    <row r="42" spans="1:20" ht="19.5" x14ac:dyDescent="0.3">
      <c r="A42" s="147">
        <v>11</v>
      </c>
      <c r="B42" s="148" t="s">
        <v>70</v>
      </c>
      <c r="C42" s="472">
        <f t="shared" ca="1" si="13"/>
        <v>0</v>
      </c>
      <c r="D42" s="473">
        <f t="shared" ca="1" si="26"/>
        <v>0</v>
      </c>
      <c r="E42" s="151">
        <f ca="1">IFERROR(__xludf.DUMMYFUNCTION("IMPORTRANGE(""https://docs.google.com/spreadsheets/d/1-uDff_7J0KD5mKrp0Vvzr7lt3OU09vwQwhkpOPPYv2Y/edit?usp=sharing"",""งบพรบ!FX42"")"),0)</f>
        <v>0</v>
      </c>
      <c r="F42" s="151">
        <f ca="1">IFERROR(__xludf.DUMMYFUNCTION("IMPORTRANGE(""https://docs.google.com/spreadsheets/d/1-uDff_7J0KD5mKrp0Vvzr7lt3OU09vwQwhkpOPPYv2Y/edit?usp=sharing"",""งบพรบ!FY42"")"),0)</f>
        <v>0</v>
      </c>
      <c r="G42" s="151">
        <f ca="1">IFERROR(__xludf.DUMMYFUNCTION("IMPORTRANGE(""https://docs.google.com/spreadsheets/d/1-uDff_7J0KD5mKrp0Vvzr7lt3OU09vwQwhkpOPPYv2Y/edit?usp=sharing"",""งบพรบ!FZ42"")"),0)</f>
        <v>0</v>
      </c>
      <c r="H42" s="151">
        <f ca="1">IFERROR(__xludf.DUMMYFUNCTION("IMPORTRANGE(""https://docs.google.com/spreadsheets/d/1-uDff_7J0KD5mKrp0Vvzr7lt3OU09vwQwhkpOPPYv2Y/edit?usp=sharing"",""งบพรบ!GB42"")"),0)</f>
        <v>0</v>
      </c>
      <c r="I42" s="151">
        <f ca="1">IFERROR(__xludf.DUMMYFUNCTION("IMPORTRANGE(""https://docs.google.com/spreadsheets/d/1-uDff_7J0KD5mKrp0Vvzr7lt3OU09vwQwhkpOPPYv2Y/edit?usp=sharing"",""งบพรบ!GC42"")"),0)</f>
        <v>0</v>
      </c>
      <c r="J42" s="262">
        <f t="shared" ca="1" si="15"/>
        <v>0</v>
      </c>
      <c r="K42" s="476">
        <f t="shared" ca="1" si="16"/>
        <v>0</v>
      </c>
      <c r="L42" s="151">
        <f ca="1">IFERROR(__xludf.DUMMYFUNCTION("IMPORTRANGE(""https://docs.google.com/spreadsheets/d/1-uDff_7J0KD5mKrp0Vvzr7lt3OU09vwQwhkpOPPYv2Y/edit?usp=sharing"",""งบพรบ!GD42"")"),0)</f>
        <v>0</v>
      </c>
      <c r="M42" s="260">
        <f t="shared" ca="1" si="17"/>
        <v>0</v>
      </c>
      <c r="N42" s="260">
        <f t="shared" ca="1" si="18"/>
        <v>0</v>
      </c>
      <c r="O42" s="151">
        <f ca="1">IFERROR(__xludf.DUMMYFUNCTION("IMPORTRANGE(""https://docs.google.com/spreadsheets/d/1-uDff_7J0KD5mKrp0Vvzr7lt3OU09vwQwhkpOPPYv2Y/edit?usp=sharing"",""งบพรบ!GE42"")"),0)</f>
        <v>0</v>
      </c>
      <c r="P42" s="475">
        <f t="shared" ca="1" si="19"/>
        <v>0</v>
      </c>
      <c r="Q42" s="260">
        <f t="shared" ca="1" si="20"/>
        <v>0</v>
      </c>
      <c r="R42" s="278">
        <v>0</v>
      </c>
      <c r="S42" s="152">
        <v>0</v>
      </c>
      <c r="T42" s="216">
        <f t="shared" si="22"/>
        <v>0</v>
      </c>
    </row>
    <row r="43" spans="1:20" ht="19.5" x14ac:dyDescent="0.3">
      <c r="A43" s="147">
        <v>12</v>
      </c>
      <c r="B43" s="148" t="s">
        <v>71</v>
      </c>
      <c r="C43" s="472">
        <f t="shared" ca="1" si="13"/>
        <v>190000</v>
      </c>
      <c r="D43" s="473">
        <f t="shared" ca="1" si="26"/>
        <v>0</v>
      </c>
      <c r="E43" s="151">
        <f ca="1">IFERROR(__xludf.DUMMYFUNCTION("IMPORTRANGE(""https://docs.google.com/spreadsheets/d/1-uDff_7J0KD5mKrp0Vvzr7lt3OU09vwQwhkpOPPYv2Y/edit?usp=sharing"",""งบพรบ!FX43"")"),0)</f>
        <v>0</v>
      </c>
      <c r="F43" s="151">
        <f ca="1">IFERROR(__xludf.DUMMYFUNCTION("IMPORTRANGE(""https://docs.google.com/spreadsheets/d/1-uDff_7J0KD5mKrp0Vvzr7lt3OU09vwQwhkpOPPYv2Y/edit?usp=sharing"",""งบพรบ!FY43"")"),0)</f>
        <v>0</v>
      </c>
      <c r="G43" s="151">
        <f ca="1">IFERROR(__xludf.DUMMYFUNCTION("IMPORTRANGE(""https://docs.google.com/spreadsheets/d/1-uDff_7J0KD5mKrp0Vvzr7lt3OU09vwQwhkpOPPYv2Y/edit?usp=sharing"",""งบพรบ!FZ43"")"),190000)</f>
        <v>190000</v>
      </c>
      <c r="H43" s="151">
        <f ca="1">IFERROR(__xludf.DUMMYFUNCTION("IMPORTRANGE(""https://docs.google.com/spreadsheets/d/1-uDff_7J0KD5mKrp0Vvzr7lt3OU09vwQwhkpOPPYv2Y/edit?usp=sharing"",""งบพรบ!GB43"")"),0)</f>
        <v>0</v>
      </c>
      <c r="I43" s="151">
        <f ca="1">IFERROR(__xludf.DUMMYFUNCTION("IMPORTRANGE(""https://docs.google.com/spreadsheets/d/1-uDff_7J0KD5mKrp0Vvzr7lt3OU09vwQwhkpOPPYv2Y/edit?usp=sharing"",""งบพรบ!GC43"")"),190000)</f>
        <v>190000</v>
      </c>
      <c r="J43" s="262">
        <f t="shared" ca="1" si="15"/>
        <v>189132</v>
      </c>
      <c r="K43" s="476">
        <f t="shared" ca="1" si="16"/>
        <v>99.543157894736837</v>
      </c>
      <c r="L43" s="151">
        <f ca="1">IFERROR(__xludf.DUMMYFUNCTION("IMPORTRANGE(""https://docs.google.com/spreadsheets/d/1-uDff_7J0KD5mKrp0Vvzr7lt3OU09vwQwhkpOPPYv2Y/edit?usp=sharing"",""งบพรบ!GD43"")"),0)</f>
        <v>0</v>
      </c>
      <c r="M43" s="260">
        <f t="shared" ca="1" si="17"/>
        <v>0</v>
      </c>
      <c r="N43" s="260">
        <f t="shared" ca="1" si="18"/>
        <v>0</v>
      </c>
      <c r="O43" s="151">
        <f ca="1">IFERROR(__xludf.DUMMYFUNCTION("IMPORTRANGE(""https://docs.google.com/spreadsheets/d/1-uDff_7J0KD5mKrp0Vvzr7lt3OU09vwQwhkpOPPYv2Y/edit?usp=sharing"",""งบพรบ!GE43"")"),189132)</f>
        <v>189132</v>
      </c>
      <c r="P43" s="475">
        <f t="shared" ca="1" si="19"/>
        <v>99.543157894736837</v>
      </c>
      <c r="Q43" s="260">
        <f t="shared" ca="1" si="20"/>
        <v>99.543157894736837</v>
      </c>
      <c r="R43" s="278">
        <f ca="1">IFERROR(__xludf.DUMMYFUNCTION("IMPORTRANGE(""https://docs.google.com/spreadsheets/d/1Ul4RCpCX66NxYADU1QpwAPjOmBzW64SsT11s1wzXw_c/edit?usp=sharing"",""เลย!I544"")"),1)</f>
        <v>1</v>
      </c>
      <c r="S43" s="152">
        <f ca="1">IFERROR(__xludf.DUMMYFUNCTION("IMPORTRANGE(""https://docs.google.com/spreadsheets/d/1Ul4RCpCX66NxYADU1QpwAPjOmBzW64SsT11s1wzXw_c/edit?usp=sharing"",""เลย!J544"")"),1)</f>
        <v>1</v>
      </c>
      <c r="T43" s="216">
        <f t="shared" ca="1" si="22"/>
        <v>100</v>
      </c>
    </row>
    <row r="44" spans="1:20" ht="19.5" x14ac:dyDescent="0.3">
      <c r="A44" s="147">
        <v>13</v>
      </c>
      <c r="B44" s="148" t="s">
        <v>72</v>
      </c>
      <c r="C44" s="472">
        <f t="shared" ca="1" si="13"/>
        <v>0</v>
      </c>
      <c r="D44" s="473">
        <f t="shared" ca="1" si="26"/>
        <v>0</v>
      </c>
      <c r="E44" s="151">
        <f ca="1">IFERROR(__xludf.DUMMYFUNCTION("IMPORTRANGE(""https://docs.google.com/spreadsheets/d/1-uDff_7J0KD5mKrp0Vvzr7lt3OU09vwQwhkpOPPYv2Y/edit?usp=sharing"",""งบพรบ!FX44"")"),0)</f>
        <v>0</v>
      </c>
      <c r="F44" s="151">
        <f ca="1">IFERROR(__xludf.DUMMYFUNCTION("IMPORTRANGE(""https://docs.google.com/spreadsheets/d/1-uDff_7J0KD5mKrp0Vvzr7lt3OU09vwQwhkpOPPYv2Y/edit?usp=sharing"",""งบพรบ!FY44"")"),0)</f>
        <v>0</v>
      </c>
      <c r="G44" s="151">
        <f ca="1">IFERROR(__xludf.DUMMYFUNCTION("IMPORTRANGE(""https://docs.google.com/spreadsheets/d/1-uDff_7J0KD5mKrp0Vvzr7lt3OU09vwQwhkpOPPYv2Y/edit?usp=sharing"",""งบพรบ!FZ44"")"),0)</f>
        <v>0</v>
      </c>
      <c r="H44" s="151">
        <f ca="1">IFERROR(__xludf.DUMMYFUNCTION("IMPORTRANGE(""https://docs.google.com/spreadsheets/d/1-uDff_7J0KD5mKrp0Vvzr7lt3OU09vwQwhkpOPPYv2Y/edit?usp=sharing"",""งบพรบ!GB44"")"),0)</f>
        <v>0</v>
      </c>
      <c r="I44" s="151">
        <f ca="1">IFERROR(__xludf.DUMMYFUNCTION("IMPORTRANGE(""https://docs.google.com/spreadsheets/d/1-uDff_7J0KD5mKrp0Vvzr7lt3OU09vwQwhkpOPPYv2Y/edit?usp=sharing"",""งบพรบ!GC44"")"),0)</f>
        <v>0</v>
      </c>
      <c r="J44" s="262">
        <f t="shared" ca="1" si="15"/>
        <v>0</v>
      </c>
      <c r="K44" s="476">
        <f t="shared" ca="1" si="16"/>
        <v>0</v>
      </c>
      <c r="L44" s="151">
        <f ca="1">IFERROR(__xludf.DUMMYFUNCTION("IMPORTRANGE(""https://docs.google.com/spreadsheets/d/1-uDff_7J0KD5mKrp0Vvzr7lt3OU09vwQwhkpOPPYv2Y/edit?usp=sharing"",""งบพรบ!GD44"")"),0)</f>
        <v>0</v>
      </c>
      <c r="M44" s="260">
        <f t="shared" ca="1" si="17"/>
        <v>0</v>
      </c>
      <c r="N44" s="260">
        <f t="shared" ca="1" si="18"/>
        <v>0</v>
      </c>
      <c r="O44" s="151">
        <f ca="1">IFERROR(__xludf.DUMMYFUNCTION("IMPORTRANGE(""https://docs.google.com/spreadsheets/d/1-uDff_7J0KD5mKrp0Vvzr7lt3OU09vwQwhkpOPPYv2Y/edit?usp=sharing"",""งบพรบ!GE44"")"),0)</f>
        <v>0</v>
      </c>
      <c r="P44" s="475">
        <f t="shared" ca="1" si="19"/>
        <v>0</v>
      </c>
      <c r="Q44" s="260">
        <f t="shared" ca="1" si="20"/>
        <v>0</v>
      </c>
      <c r="R44" s="278">
        <v>0</v>
      </c>
      <c r="S44" s="152">
        <v>0</v>
      </c>
      <c r="T44" s="216">
        <f t="shared" si="22"/>
        <v>0</v>
      </c>
    </row>
    <row r="45" spans="1:20" ht="19.5" x14ac:dyDescent="0.3">
      <c r="A45" s="147">
        <v>14</v>
      </c>
      <c r="B45" s="148" t="s">
        <v>73</v>
      </c>
      <c r="C45" s="472">
        <f t="shared" ca="1" si="13"/>
        <v>0</v>
      </c>
      <c r="D45" s="473">
        <f t="shared" ca="1" si="26"/>
        <v>0</v>
      </c>
      <c r="E45" s="151">
        <f ca="1">IFERROR(__xludf.DUMMYFUNCTION("IMPORTRANGE(""https://docs.google.com/spreadsheets/d/1-uDff_7J0KD5mKrp0Vvzr7lt3OU09vwQwhkpOPPYv2Y/edit?usp=sharing"",""งบพรบ!FX45"")"),0)</f>
        <v>0</v>
      </c>
      <c r="F45" s="151">
        <f ca="1">IFERROR(__xludf.DUMMYFUNCTION("IMPORTRANGE(""https://docs.google.com/spreadsheets/d/1-uDff_7J0KD5mKrp0Vvzr7lt3OU09vwQwhkpOPPYv2Y/edit?usp=sharing"",""งบพรบ!FY45"")"),0)</f>
        <v>0</v>
      </c>
      <c r="G45" s="151">
        <f ca="1">IFERROR(__xludf.DUMMYFUNCTION("IMPORTRANGE(""https://docs.google.com/spreadsheets/d/1-uDff_7J0KD5mKrp0Vvzr7lt3OU09vwQwhkpOPPYv2Y/edit?usp=sharing"",""งบพรบ!FZ45"")"),0)</f>
        <v>0</v>
      </c>
      <c r="H45" s="151">
        <f ca="1">IFERROR(__xludf.DUMMYFUNCTION("IMPORTRANGE(""https://docs.google.com/spreadsheets/d/1-uDff_7J0KD5mKrp0Vvzr7lt3OU09vwQwhkpOPPYv2Y/edit?usp=sharing"",""งบพรบ!GB45"")"),0)</f>
        <v>0</v>
      </c>
      <c r="I45" s="151">
        <f ca="1">IFERROR(__xludf.DUMMYFUNCTION("IMPORTRANGE(""https://docs.google.com/spreadsheets/d/1-uDff_7J0KD5mKrp0Vvzr7lt3OU09vwQwhkpOPPYv2Y/edit?usp=sharing"",""งบพรบ!GC45"")"),0)</f>
        <v>0</v>
      </c>
      <c r="J45" s="262">
        <f t="shared" ca="1" si="15"/>
        <v>0</v>
      </c>
      <c r="K45" s="476">
        <f t="shared" ca="1" si="16"/>
        <v>0</v>
      </c>
      <c r="L45" s="151">
        <f ca="1">IFERROR(__xludf.DUMMYFUNCTION("IMPORTRANGE(""https://docs.google.com/spreadsheets/d/1-uDff_7J0KD5mKrp0Vvzr7lt3OU09vwQwhkpOPPYv2Y/edit?usp=sharing"",""งบพรบ!GD45"")"),0)</f>
        <v>0</v>
      </c>
      <c r="M45" s="260">
        <f t="shared" ca="1" si="17"/>
        <v>0</v>
      </c>
      <c r="N45" s="260">
        <f t="shared" ca="1" si="18"/>
        <v>0</v>
      </c>
      <c r="O45" s="151">
        <f ca="1">IFERROR(__xludf.DUMMYFUNCTION("IMPORTRANGE(""https://docs.google.com/spreadsheets/d/1-uDff_7J0KD5mKrp0Vvzr7lt3OU09vwQwhkpOPPYv2Y/edit?usp=sharing"",""งบพรบ!GE45"")"),0)</f>
        <v>0</v>
      </c>
      <c r="P45" s="475">
        <f t="shared" ca="1" si="19"/>
        <v>0</v>
      </c>
      <c r="Q45" s="260">
        <f t="shared" ca="1" si="20"/>
        <v>0</v>
      </c>
      <c r="R45" s="278">
        <v>0</v>
      </c>
      <c r="S45" s="152">
        <v>0</v>
      </c>
      <c r="T45" s="216">
        <f t="shared" si="22"/>
        <v>0</v>
      </c>
    </row>
    <row r="46" spans="1:20" ht="19.5" x14ac:dyDescent="0.3">
      <c r="A46" s="147">
        <v>15</v>
      </c>
      <c r="B46" s="148" t="s">
        <v>74</v>
      </c>
      <c r="C46" s="472">
        <f t="shared" ca="1" si="13"/>
        <v>0</v>
      </c>
      <c r="D46" s="473">
        <f t="shared" ca="1" si="26"/>
        <v>0</v>
      </c>
      <c r="E46" s="151">
        <f ca="1">IFERROR(__xludf.DUMMYFUNCTION("IMPORTRANGE(""https://docs.google.com/spreadsheets/d/1-uDff_7J0KD5mKrp0Vvzr7lt3OU09vwQwhkpOPPYv2Y/edit?usp=sharing"",""งบพรบ!FX46"")"),0)</f>
        <v>0</v>
      </c>
      <c r="F46" s="151">
        <f ca="1">IFERROR(__xludf.DUMMYFUNCTION("IMPORTRANGE(""https://docs.google.com/spreadsheets/d/1-uDff_7J0KD5mKrp0Vvzr7lt3OU09vwQwhkpOPPYv2Y/edit?usp=sharing"",""งบพรบ!FY46"")"),0)</f>
        <v>0</v>
      </c>
      <c r="G46" s="151">
        <f ca="1">IFERROR(__xludf.DUMMYFUNCTION("IMPORTRANGE(""https://docs.google.com/spreadsheets/d/1-uDff_7J0KD5mKrp0Vvzr7lt3OU09vwQwhkpOPPYv2Y/edit?usp=sharing"",""งบพรบ!FZ46"")"),0)</f>
        <v>0</v>
      </c>
      <c r="H46" s="151">
        <f ca="1">IFERROR(__xludf.DUMMYFUNCTION("IMPORTRANGE(""https://docs.google.com/spreadsheets/d/1-uDff_7J0KD5mKrp0Vvzr7lt3OU09vwQwhkpOPPYv2Y/edit?usp=sharing"",""งบพรบ!GB46"")"),0)</f>
        <v>0</v>
      </c>
      <c r="I46" s="151">
        <f ca="1">IFERROR(__xludf.DUMMYFUNCTION("IMPORTRANGE(""https://docs.google.com/spreadsheets/d/1-uDff_7J0KD5mKrp0Vvzr7lt3OU09vwQwhkpOPPYv2Y/edit?usp=sharing"",""งบพรบ!GC46"")"),0)</f>
        <v>0</v>
      </c>
      <c r="J46" s="262">
        <f t="shared" ca="1" si="15"/>
        <v>0</v>
      </c>
      <c r="K46" s="476">
        <f t="shared" ca="1" si="16"/>
        <v>0</v>
      </c>
      <c r="L46" s="151">
        <f ca="1">IFERROR(__xludf.DUMMYFUNCTION("IMPORTRANGE(""https://docs.google.com/spreadsheets/d/1-uDff_7J0KD5mKrp0Vvzr7lt3OU09vwQwhkpOPPYv2Y/edit?usp=sharing"",""งบพรบ!GD46"")"),0)</f>
        <v>0</v>
      </c>
      <c r="M46" s="260">
        <f t="shared" ca="1" si="17"/>
        <v>0</v>
      </c>
      <c r="N46" s="260">
        <f t="shared" ca="1" si="18"/>
        <v>0</v>
      </c>
      <c r="O46" s="151">
        <f ca="1">IFERROR(__xludf.DUMMYFUNCTION("IMPORTRANGE(""https://docs.google.com/spreadsheets/d/1-uDff_7J0KD5mKrp0Vvzr7lt3OU09vwQwhkpOPPYv2Y/edit?usp=sharing"",""งบพรบ!GE46"")"),0)</f>
        <v>0</v>
      </c>
      <c r="P46" s="475">
        <f t="shared" ca="1" si="19"/>
        <v>0</v>
      </c>
      <c r="Q46" s="260">
        <f t="shared" ca="1" si="20"/>
        <v>0</v>
      </c>
      <c r="R46" s="278">
        <v>0</v>
      </c>
      <c r="S46" s="152">
        <v>0</v>
      </c>
      <c r="T46" s="216">
        <f t="shared" si="22"/>
        <v>0</v>
      </c>
    </row>
    <row r="47" spans="1:20" ht="19.5" x14ac:dyDescent="0.3">
      <c r="A47" s="147">
        <v>16</v>
      </c>
      <c r="B47" s="148" t="s">
        <v>75</v>
      </c>
      <c r="C47" s="472">
        <f t="shared" ca="1" si="13"/>
        <v>0</v>
      </c>
      <c r="D47" s="473">
        <f t="shared" ca="1" si="26"/>
        <v>0</v>
      </c>
      <c r="E47" s="151">
        <f ca="1">IFERROR(__xludf.DUMMYFUNCTION("IMPORTRANGE(""https://docs.google.com/spreadsheets/d/1-uDff_7J0KD5mKrp0Vvzr7lt3OU09vwQwhkpOPPYv2Y/edit?usp=sharing"",""งบพรบ!FX47"")"),0)</f>
        <v>0</v>
      </c>
      <c r="F47" s="151">
        <f ca="1">IFERROR(__xludf.DUMMYFUNCTION("IMPORTRANGE(""https://docs.google.com/spreadsheets/d/1-uDff_7J0KD5mKrp0Vvzr7lt3OU09vwQwhkpOPPYv2Y/edit?usp=sharing"",""งบพรบ!FY47"")"),0)</f>
        <v>0</v>
      </c>
      <c r="G47" s="151">
        <f ca="1">IFERROR(__xludf.DUMMYFUNCTION("IMPORTRANGE(""https://docs.google.com/spreadsheets/d/1-uDff_7J0KD5mKrp0Vvzr7lt3OU09vwQwhkpOPPYv2Y/edit?usp=sharing"",""งบพรบ!FZ47"")"),0)</f>
        <v>0</v>
      </c>
      <c r="H47" s="151">
        <f ca="1">IFERROR(__xludf.DUMMYFUNCTION("IMPORTRANGE(""https://docs.google.com/spreadsheets/d/1-uDff_7J0KD5mKrp0Vvzr7lt3OU09vwQwhkpOPPYv2Y/edit?usp=sharing"",""งบพรบ!GB47"")"),0)</f>
        <v>0</v>
      </c>
      <c r="I47" s="151">
        <f ca="1">IFERROR(__xludf.DUMMYFUNCTION("IMPORTRANGE(""https://docs.google.com/spreadsheets/d/1-uDff_7J0KD5mKrp0Vvzr7lt3OU09vwQwhkpOPPYv2Y/edit?usp=sharing"",""งบพรบ!GC47"")"),0)</f>
        <v>0</v>
      </c>
      <c r="J47" s="262">
        <f t="shared" ca="1" si="15"/>
        <v>0</v>
      </c>
      <c r="K47" s="476">
        <f t="shared" ca="1" si="16"/>
        <v>0</v>
      </c>
      <c r="L47" s="151">
        <f ca="1">IFERROR(__xludf.DUMMYFUNCTION("IMPORTRANGE(""https://docs.google.com/spreadsheets/d/1-uDff_7J0KD5mKrp0Vvzr7lt3OU09vwQwhkpOPPYv2Y/edit?usp=sharing"",""งบพรบ!GD47"")"),0)</f>
        <v>0</v>
      </c>
      <c r="M47" s="260">
        <f t="shared" ca="1" si="17"/>
        <v>0</v>
      </c>
      <c r="N47" s="260">
        <f t="shared" ca="1" si="18"/>
        <v>0</v>
      </c>
      <c r="O47" s="151">
        <f ca="1">IFERROR(__xludf.DUMMYFUNCTION("IMPORTRANGE(""https://docs.google.com/spreadsheets/d/1-uDff_7J0KD5mKrp0Vvzr7lt3OU09vwQwhkpOPPYv2Y/edit?usp=sharing"",""งบพรบ!GE47"")"),0)</f>
        <v>0</v>
      </c>
      <c r="P47" s="475">
        <f t="shared" ca="1" si="19"/>
        <v>0</v>
      </c>
      <c r="Q47" s="260">
        <f t="shared" ca="1" si="20"/>
        <v>0</v>
      </c>
      <c r="R47" s="279">
        <v>0</v>
      </c>
      <c r="S47" s="397">
        <v>0</v>
      </c>
      <c r="T47" s="216">
        <f t="shared" si="22"/>
        <v>0</v>
      </c>
    </row>
    <row r="48" spans="1:20" ht="19.5" x14ac:dyDescent="0.3">
      <c r="A48" s="147">
        <v>17</v>
      </c>
      <c r="B48" s="148" t="s">
        <v>76</v>
      </c>
      <c r="C48" s="472">
        <f t="shared" ca="1" si="13"/>
        <v>0</v>
      </c>
      <c r="D48" s="473">
        <f t="shared" ca="1" si="26"/>
        <v>0</v>
      </c>
      <c r="E48" s="151">
        <f ca="1">IFERROR(__xludf.DUMMYFUNCTION("IMPORTRANGE(""https://docs.google.com/spreadsheets/d/1-uDff_7J0KD5mKrp0Vvzr7lt3OU09vwQwhkpOPPYv2Y/edit?usp=sharing"",""งบพรบ!FX48"")"),0)</f>
        <v>0</v>
      </c>
      <c r="F48" s="151">
        <f ca="1">IFERROR(__xludf.DUMMYFUNCTION("IMPORTRANGE(""https://docs.google.com/spreadsheets/d/1-uDff_7J0KD5mKrp0Vvzr7lt3OU09vwQwhkpOPPYv2Y/edit?usp=sharing"",""งบพรบ!FY48"")"),0)</f>
        <v>0</v>
      </c>
      <c r="G48" s="151">
        <f ca="1">IFERROR(__xludf.DUMMYFUNCTION("IMPORTRANGE(""https://docs.google.com/spreadsheets/d/1-uDff_7J0KD5mKrp0Vvzr7lt3OU09vwQwhkpOPPYv2Y/edit?usp=sharing"",""งบพรบ!FZ48"")"),0)</f>
        <v>0</v>
      </c>
      <c r="H48" s="151">
        <f ca="1">IFERROR(__xludf.DUMMYFUNCTION("IMPORTRANGE(""https://docs.google.com/spreadsheets/d/1-uDff_7J0KD5mKrp0Vvzr7lt3OU09vwQwhkpOPPYv2Y/edit?usp=sharing"",""งบพรบ!GB48"")"),0)</f>
        <v>0</v>
      </c>
      <c r="I48" s="151">
        <f ca="1">IFERROR(__xludf.DUMMYFUNCTION("IMPORTRANGE(""https://docs.google.com/spreadsheets/d/1-uDff_7J0KD5mKrp0Vvzr7lt3OU09vwQwhkpOPPYv2Y/edit?usp=sharing"",""งบพรบ!GC48"")"),0)</f>
        <v>0</v>
      </c>
      <c r="J48" s="262">
        <f t="shared" ca="1" si="15"/>
        <v>0</v>
      </c>
      <c r="K48" s="476">
        <f t="shared" ca="1" si="16"/>
        <v>0</v>
      </c>
      <c r="L48" s="151">
        <f ca="1">IFERROR(__xludf.DUMMYFUNCTION("IMPORTRANGE(""https://docs.google.com/spreadsheets/d/1-uDff_7J0KD5mKrp0Vvzr7lt3OU09vwQwhkpOPPYv2Y/edit?usp=sharing"",""งบพรบ!GD48"")"),0)</f>
        <v>0</v>
      </c>
      <c r="M48" s="260">
        <f t="shared" ca="1" si="17"/>
        <v>0</v>
      </c>
      <c r="N48" s="260">
        <f t="shared" ca="1" si="18"/>
        <v>0</v>
      </c>
      <c r="O48" s="151">
        <f ca="1">IFERROR(__xludf.DUMMYFUNCTION("IMPORTRANGE(""https://docs.google.com/spreadsheets/d/1-uDff_7J0KD5mKrp0Vvzr7lt3OU09vwQwhkpOPPYv2Y/edit?usp=sharing"",""งบพรบ!GE48"")"),0)</f>
        <v>0</v>
      </c>
      <c r="P48" s="475">
        <f t="shared" ca="1" si="19"/>
        <v>0</v>
      </c>
      <c r="Q48" s="260">
        <f t="shared" ca="1" si="20"/>
        <v>0</v>
      </c>
      <c r="R48" s="278">
        <v>0</v>
      </c>
      <c r="S48" s="152">
        <v>0</v>
      </c>
      <c r="T48" s="216">
        <f t="shared" si="22"/>
        <v>0</v>
      </c>
    </row>
    <row r="49" spans="1:21" ht="19.5" x14ac:dyDescent="0.3">
      <c r="A49" s="147">
        <v>18</v>
      </c>
      <c r="B49" s="148" t="s">
        <v>77</v>
      </c>
      <c r="C49" s="472">
        <f t="shared" ca="1" si="13"/>
        <v>0</v>
      </c>
      <c r="D49" s="473">
        <f t="shared" ca="1" si="26"/>
        <v>0</v>
      </c>
      <c r="E49" s="151">
        <f ca="1">IFERROR(__xludf.DUMMYFUNCTION("IMPORTRANGE(""https://docs.google.com/spreadsheets/d/1-uDff_7J0KD5mKrp0Vvzr7lt3OU09vwQwhkpOPPYv2Y/edit?usp=sharing"",""งบพรบ!FX49"")"),0)</f>
        <v>0</v>
      </c>
      <c r="F49" s="151">
        <f ca="1">IFERROR(__xludf.DUMMYFUNCTION("IMPORTRANGE(""https://docs.google.com/spreadsheets/d/1-uDff_7J0KD5mKrp0Vvzr7lt3OU09vwQwhkpOPPYv2Y/edit?usp=sharing"",""งบพรบ!FY49"")"),0)</f>
        <v>0</v>
      </c>
      <c r="G49" s="151">
        <f ca="1">IFERROR(__xludf.DUMMYFUNCTION("IMPORTRANGE(""https://docs.google.com/spreadsheets/d/1-uDff_7J0KD5mKrp0Vvzr7lt3OU09vwQwhkpOPPYv2Y/edit?usp=sharing"",""งบพรบ!FZ49"")"),0)</f>
        <v>0</v>
      </c>
      <c r="H49" s="151">
        <f ca="1">IFERROR(__xludf.DUMMYFUNCTION("IMPORTRANGE(""https://docs.google.com/spreadsheets/d/1-uDff_7J0KD5mKrp0Vvzr7lt3OU09vwQwhkpOPPYv2Y/edit?usp=sharing"",""งบพรบ!GB49"")"),0)</f>
        <v>0</v>
      </c>
      <c r="I49" s="151">
        <f ca="1">IFERROR(__xludf.DUMMYFUNCTION("IMPORTRANGE(""https://docs.google.com/spreadsheets/d/1-uDff_7J0KD5mKrp0Vvzr7lt3OU09vwQwhkpOPPYv2Y/edit?usp=sharing"",""งบพรบ!GC49"")"),0)</f>
        <v>0</v>
      </c>
      <c r="J49" s="262">
        <f t="shared" ca="1" si="15"/>
        <v>0</v>
      </c>
      <c r="K49" s="476">
        <f t="shared" ca="1" si="16"/>
        <v>0</v>
      </c>
      <c r="L49" s="151">
        <f ca="1">IFERROR(__xludf.DUMMYFUNCTION("IMPORTRANGE(""https://docs.google.com/spreadsheets/d/1-uDff_7J0KD5mKrp0Vvzr7lt3OU09vwQwhkpOPPYv2Y/edit?usp=sharing"",""งบพรบ!GD49"")"),0)</f>
        <v>0</v>
      </c>
      <c r="M49" s="260">
        <f t="shared" ca="1" si="17"/>
        <v>0</v>
      </c>
      <c r="N49" s="260">
        <f t="shared" ca="1" si="18"/>
        <v>0</v>
      </c>
      <c r="O49" s="151">
        <f ca="1">IFERROR(__xludf.DUMMYFUNCTION("IMPORTRANGE(""https://docs.google.com/spreadsheets/d/1-uDff_7J0KD5mKrp0Vvzr7lt3OU09vwQwhkpOPPYv2Y/edit?usp=sharing"",""งบพรบ!GE49"")"),0)</f>
        <v>0</v>
      </c>
      <c r="P49" s="475">
        <f t="shared" ca="1" si="19"/>
        <v>0</v>
      </c>
      <c r="Q49" s="260">
        <f t="shared" ca="1" si="20"/>
        <v>0</v>
      </c>
      <c r="R49" s="278">
        <v>0</v>
      </c>
      <c r="S49" s="152">
        <v>0</v>
      </c>
      <c r="T49" s="216">
        <f t="shared" si="22"/>
        <v>0</v>
      </c>
    </row>
    <row r="50" spans="1:21" ht="19.5" x14ac:dyDescent="0.3">
      <c r="A50" s="147">
        <v>19</v>
      </c>
      <c r="B50" s="148" t="s">
        <v>78</v>
      </c>
      <c r="C50" s="472">
        <f t="shared" ca="1" si="13"/>
        <v>0</v>
      </c>
      <c r="D50" s="473">
        <f t="shared" ca="1" si="26"/>
        <v>0</v>
      </c>
      <c r="E50" s="151">
        <f ca="1">IFERROR(__xludf.DUMMYFUNCTION("IMPORTRANGE(""https://docs.google.com/spreadsheets/d/1-uDff_7J0KD5mKrp0Vvzr7lt3OU09vwQwhkpOPPYv2Y/edit?usp=sharing"",""งบพรบ!FX50"")"),0)</f>
        <v>0</v>
      </c>
      <c r="F50" s="151">
        <f ca="1">IFERROR(__xludf.DUMMYFUNCTION("IMPORTRANGE(""https://docs.google.com/spreadsheets/d/1-uDff_7J0KD5mKrp0Vvzr7lt3OU09vwQwhkpOPPYv2Y/edit?usp=sharing"",""งบพรบ!FY50"")"),0)</f>
        <v>0</v>
      </c>
      <c r="G50" s="151">
        <f ca="1">IFERROR(__xludf.DUMMYFUNCTION("IMPORTRANGE(""https://docs.google.com/spreadsheets/d/1-uDff_7J0KD5mKrp0Vvzr7lt3OU09vwQwhkpOPPYv2Y/edit?usp=sharing"",""งบพรบ!FZ50"")"),0)</f>
        <v>0</v>
      </c>
      <c r="H50" s="151">
        <f ca="1">IFERROR(__xludf.DUMMYFUNCTION("IMPORTRANGE(""https://docs.google.com/spreadsheets/d/1-uDff_7J0KD5mKrp0Vvzr7lt3OU09vwQwhkpOPPYv2Y/edit?usp=sharing"",""งบพรบ!GB50"")"),0)</f>
        <v>0</v>
      </c>
      <c r="I50" s="151">
        <f ca="1">IFERROR(__xludf.DUMMYFUNCTION("IMPORTRANGE(""https://docs.google.com/spreadsheets/d/1-uDff_7J0KD5mKrp0Vvzr7lt3OU09vwQwhkpOPPYv2Y/edit?usp=sharing"",""งบพรบ!GC50"")"),0)</f>
        <v>0</v>
      </c>
      <c r="J50" s="262">
        <f t="shared" ca="1" si="15"/>
        <v>0</v>
      </c>
      <c r="K50" s="476">
        <f t="shared" ca="1" si="16"/>
        <v>0</v>
      </c>
      <c r="L50" s="151">
        <f ca="1">IFERROR(__xludf.DUMMYFUNCTION("IMPORTRANGE(""https://docs.google.com/spreadsheets/d/1-uDff_7J0KD5mKrp0Vvzr7lt3OU09vwQwhkpOPPYv2Y/edit?usp=sharing"",""งบพรบ!GD50"")"),0)</f>
        <v>0</v>
      </c>
      <c r="M50" s="260">
        <f t="shared" ca="1" si="17"/>
        <v>0</v>
      </c>
      <c r="N50" s="260">
        <f t="shared" ca="1" si="18"/>
        <v>0</v>
      </c>
      <c r="O50" s="151">
        <f ca="1">IFERROR(__xludf.DUMMYFUNCTION("IMPORTRANGE(""https://docs.google.com/spreadsheets/d/1-uDff_7J0KD5mKrp0Vvzr7lt3OU09vwQwhkpOPPYv2Y/edit?usp=sharing"",""งบพรบ!GE50"")"),0)</f>
        <v>0</v>
      </c>
      <c r="P50" s="475">
        <f t="shared" ca="1" si="19"/>
        <v>0</v>
      </c>
      <c r="Q50" s="260">
        <f t="shared" ca="1" si="20"/>
        <v>0</v>
      </c>
      <c r="R50" s="278">
        <v>0</v>
      </c>
      <c r="S50" s="152">
        <v>0</v>
      </c>
      <c r="T50" s="216">
        <f t="shared" si="22"/>
        <v>0</v>
      </c>
    </row>
    <row r="51" spans="1:21" ht="19.5" x14ac:dyDescent="0.3">
      <c r="A51" s="155">
        <v>20</v>
      </c>
      <c r="B51" s="156" t="s">
        <v>79</v>
      </c>
      <c r="C51" s="477">
        <f t="shared" ca="1" si="13"/>
        <v>0</v>
      </c>
      <c r="D51" s="478">
        <f t="shared" ca="1" si="26"/>
        <v>0</v>
      </c>
      <c r="E51" s="159">
        <f ca="1">IFERROR(__xludf.DUMMYFUNCTION("IMPORTRANGE(""https://docs.google.com/spreadsheets/d/1-uDff_7J0KD5mKrp0Vvzr7lt3OU09vwQwhkpOPPYv2Y/edit?usp=sharing"",""งบพรบ!FX51"")"),0)</f>
        <v>0</v>
      </c>
      <c r="F51" s="159">
        <f ca="1">IFERROR(__xludf.DUMMYFUNCTION("IMPORTRANGE(""https://docs.google.com/spreadsheets/d/1-uDff_7J0KD5mKrp0Vvzr7lt3OU09vwQwhkpOPPYv2Y/edit?usp=sharing"",""งบพรบ!FY51"")"),0)</f>
        <v>0</v>
      </c>
      <c r="G51" s="159">
        <f ca="1">IFERROR(__xludf.DUMMYFUNCTION("IMPORTRANGE(""https://docs.google.com/spreadsheets/d/1-uDff_7J0KD5mKrp0Vvzr7lt3OU09vwQwhkpOPPYv2Y/edit?usp=sharing"",""งบพรบ!FZ51"")"),0)</f>
        <v>0</v>
      </c>
      <c r="H51" s="159">
        <f ca="1">IFERROR(__xludf.DUMMYFUNCTION("IMPORTRANGE(""https://docs.google.com/spreadsheets/d/1-uDff_7J0KD5mKrp0Vvzr7lt3OU09vwQwhkpOPPYv2Y/edit?usp=sharing"",""งบพรบ!GB51"")"),0)</f>
        <v>0</v>
      </c>
      <c r="I51" s="159">
        <f ca="1">IFERROR(__xludf.DUMMYFUNCTION("IMPORTRANGE(""https://docs.google.com/spreadsheets/d/1-uDff_7J0KD5mKrp0Vvzr7lt3OU09vwQwhkpOPPYv2Y/edit?usp=sharing"",""งบพรบ!GC51"")"),0)</f>
        <v>0</v>
      </c>
      <c r="J51" s="479">
        <f t="shared" ca="1" si="15"/>
        <v>0</v>
      </c>
      <c r="K51" s="480">
        <f t="shared" ca="1" si="16"/>
        <v>0</v>
      </c>
      <c r="L51" s="159">
        <f ca="1">IFERROR(__xludf.DUMMYFUNCTION("IMPORTRANGE(""https://docs.google.com/spreadsheets/d/1-uDff_7J0KD5mKrp0Vvzr7lt3OU09vwQwhkpOPPYv2Y/edit?usp=sharing"",""งบพรบ!GD51"")"),0)</f>
        <v>0</v>
      </c>
      <c r="M51" s="481">
        <f t="shared" ca="1" si="17"/>
        <v>0</v>
      </c>
      <c r="N51" s="481">
        <f t="shared" ca="1" si="18"/>
        <v>0</v>
      </c>
      <c r="O51" s="159">
        <f ca="1">IFERROR(__xludf.DUMMYFUNCTION("IMPORTRANGE(""https://docs.google.com/spreadsheets/d/1-uDff_7J0KD5mKrp0Vvzr7lt3OU09vwQwhkpOPPYv2Y/edit?usp=sharing"",""งบพรบ!GE51"")"),0)</f>
        <v>0</v>
      </c>
      <c r="P51" s="482">
        <f t="shared" ca="1" si="19"/>
        <v>0</v>
      </c>
      <c r="Q51" s="481">
        <f t="shared" ca="1" si="20"/>
        <v>0</v>
      </c>
      <c r="R51" s="280">
        <v>0</v>
      </c>
      <c r="S51" s="191">
        <v>0</v>
      </c>
      <c r="T51" s="218">
        <f t="shared" si="22"/>
        <v>0</v>
      </c>
    </row>
    <row r="52" spans="1:21" ht="19.5" x14ac:dyDescent="0.3">
      <c r="A52" s="716" t="s">
        <v>80</v>
      </c>
      <c r="B52" s="662"/>
      <c r="C52" s="601">
        <f t="shared" ca="1" si="13"/>
        <v>0</v>
      </c>
      <c r="D52" s="601">
        <f t="shared" ref="D52:I52" ca="1" si="27">SUM(D53:D73)</f>
        <v>0</v>
      </c>
      <c r="E52" s="601">
        <f t="shared" ca="1" si="27"/>
        <v>0</v>
      </c>
      <c r="F52" s="601">
        <f t="shared" ca="1" si="27"/>
        <v>0</v>
      </c>
      <c r="G52" s="601">
        <f t="shared" ca="1" si="27"/>
        <v>0</v>
      </c>
      <c r="H52" s="601">
        <f t="shared" ca="1" si="27"/>
        <v>0</v>
      </c>
      <c r="I52" s="601">
        <f t="shared" ca="1" si="27"/>
        <v>0</v>
      </c>
      <c r="J52" s="601">
        <f t="shared" ca="1" si="15"/>
        <v>0</v>
      </c>
      <c r="K52" s="602">
        <f t="shared" ca="1" si="16"/>
        <v>0</v>
      </c>
      <c r="L52" s="601">
        <f ca="1">SUM(L53:L73)</f>
        <v>0</v>
      </c>
      <c r="M52" s="603">
        <f t="shared" ca="1" si="17"/>
        <v>0</v>
      </c>
      <c r="N52" s="603">
        <f t="shared" ca="1" si="18"/>
        <v>0</v>
      </c>
      <c r="O52" s="604">
        <f ca="1">SUM(O53:O73)</f>
        <v>0</v>
      </c>
      <c r="P52" s="604">
        <f t="shared" ca="1" si="19"/>
        <v>0</v>
      </c>
      <c r="Q52" s="603">
        <f t="shared" ca="1" si="20"/>
        <v>0</v>
      </c>
      <c r="R52" s="282">
        <f t="shared" ref="R52:S52" si="28">SUM(R53:R73)</f>
        <v>0</v>
      </c>
      <c r="S52" s="369">
        <f t="shared" si="28"/>
        <v>0</v>
      </c>
      <c r="T52" s="94">
        <f t="shared" si="22"/>
        <v>0</v>
      </c>
      <c r="U52" s="600"/>
    </row>
    <row r="53" spans="1:21" ht="19.5" x14ac:dyDescent="0.3">
      <c r="A53" s="147">
        <v>1</v>
      </c>
      <c r="B53" s="148" t="s">
        <v>81</v>
      </c>
      <c r="C53" s="472">
        <f t="shared" ca="1" si="13"/>
        <v>0</v>
      </c>
      <c r="D53" s="473">
        <f t="shared" ref="D53:D73" ca="1" si="29">+E53+F53</f>
        <v>0</v>
      </c>
      <c r="E53" s="151">
        <f ca="1">IFERROR(__xludf.DUMMYFUNCTION("IMPORTRANGE(""https://docs.google.com/spreadsheets/d/1-uDff_7J0KD5mKrp0Vvzr7lt3OU09vwQwhkpOPPYv2Y/edit?usp=sharing"",""งบพรบ!FX53"")"),0)</f>
        <v>0</v>
      </c>
      <c r="F53" s="151">
        <f ca="1">IFERROR(__xludf.DUMMYFUNCTION("IMPORTRANGE(""https://docs.google.com/spreadsheets/d/1-uDff_7J0KD5mKrp0Vvzr7lt3OU09vwQwhkpOPPYv2Y/edit?usp=sharing"",""งบพรบ!FY53"")"),0)</f>
        <v>0</v>
      </c>
      <c r="G53" s="152">
        <f ca="1">IFERROR(__xludf.DUMMYFUNCTION("IMPORTRANGE(""https://docs.google.com/spreadsheets/d/1-uDff_7J0KD5mKrp0Vvzr7lt3OU09vwQwhkpOPPYv2Y/edit?usp=sharing"",""งบพรบ!FZ53"")"),0)</f>
        <v>0</v>
      </c>
      <c r="H53" s="152">
        <f ca="1">IFERROR(__xludf.DUMMYFUNCTION("IMPORTRANGE(""https://docs.google.com/spreadsheets/d/1-uDff_7J0KD5mKrp0Vvzr7lt3OU09vwQwhkpOPPYv2Y/edit?usp=sharing"",""งบพรบ!GB53"")"),0)</f>
        <v>0</v>
      </c>
      <c r="I53" s="152">
        <f ca="1">IFERROR(__xludf.DUMMYFUNCTION("IMPORTRANGE(""https://docs.google.com/spreadsheets/d/1-uDff_7J0KD5mKrp0Vvzr7lt3OU09vwQwhkpOPPYv2Y/edit?usp=sharing"",""งบพรบ!GC53"")"),0)</f>
        <v>0</v>
      </c>
      <c r="J53" s="251">
        <f t="shared" ca="1" si="15"/>
        <v>0</v>
      </c>
      <c r="K53" s="474">
        <f t="shared" ca="1" si="16"/>
        <v>0</v>
      </c>
      <c r="L53" s="152">
        <f ca="1">IFERROR(__xludf.DUMMYFUNCTION("IMPORTRANGE(""https://docs.google.com/spreadsheets/d/1-uDff_7J0KD5mKrp0Vvzr7lt3OU09vwQwhkpOPPYv2Y/edit?usp=sharing"",""งบพรบ!GD53"")"),0)</f>
        <v>0</v>
      </c>
      <c r="M53" s="260">
        <f t="shared" ca="1" si="17"/>
        <v>0</v>
      </c>
      <c r="N53" s="260">
        <f t="shared" ca="1" si="18"/>
        <v>0</v>
      </c>
      <c r="O53" s="151">
        <f ca="1">IFERROR(__xludf.DUMMYFUNCTION("IMPORTRANGE(""https://docs.google.com/spreadsheets/d/1-uDff_7J0KD5mKrp0Vvzr7lt3OU09vwQwhkpOPPYv2Y/edit?usp=sharing"",""งบพรบ!GE53"")"),0)</f>
        <v>0</v>
      </c>
      <c r="P53" s="475">
        <f t="shared" ca="1" si="19"/>
        <v>0</v>
      </c>
      <c r="Q53" s="260">
        <f t="shared" ca="1" si="20"/>
        <v>0</v>
      </c>
      <c r="R53" s="278">
        <v>0</v>
      </c>
      <c r="S53" s="152">
        <v>0</v>
      </c>
      <c r="T53" s="216">
        <f t="shared" si="22"/>
        <v>0</v>
      </c>
    </row>
    <row r="54" spans="1:21" ht="19.5" x14ac:dyDescent="0.3">
      <c r="A54" s="147">
        <v>2</v>
      </c>
      <c r="B54" s="148" t="s">
        <v>82</v>
      </c>
      <c r="C54" s="472">
        <f t="shared" ca="1" si="13"/>
        <v>0</v>
      </c>
      <c r="D54" s="473">
        <f t="shared" ca="1" si="29"/>
        <v>0</v>
      </c>
      <c r="E54" s="151">
        <f ca="1">IFERROR(__xludf.DUMMYFUNCTION("IMPORTRANGE(""https://docs.google.com/spreadsheets/d/1-uDff_7J0KD5mKrp0Vvzr7lt3OU09vwQwhkpOPPYv2Y/edit?usp=sharing"",""งบพรบ!FX54"")"),0)</f>
        <v>0</v>
      </c>
      <c r="F54" s="151">
        <f ca="1">IFERROR(__xludf.DUMMYFUNCTION("IMPORTRANGE(""https://docs.google.com/spreadsheets/d/1-uDff_7J0KD5mKrp0Vvzr7lt3OU09vwQwhkpOPPYv2Y/edit?usp=sharing"",""งบพรบ!FY54"")"),0)</f>
        <v>0</v>
      </c>
      <c r="G54" s="151">
        <f ca="1">IFERROR(__xludf.DUMMYFUNCTION("IMPORTRANGE(""https://docs.google.com/spreadsheets/d/1-uDff_7J0KD5mKrp0Vvzr7lt3OU09vwQwhkpOPPYv2Y/edit?usp=sharing"",""งบพรบ!FZ54"")"),0)</f>
        <v>0</v>
      </c>
      <c r="H54" s="151">
        <f ca="1">IFERROR(__xludf.DUMMYFUNCTION("IMPORTRANGE(""https://docs.google.com/spreadsheets/d/1-uDff_7J0KD5mKrp0Vvzr7lt3OU09vwQwhkpOPPYv2Y/edit?usp=sharing"",""งบพรบ!GB54"")"),0)</f>
        <v>0</v>
      </c>
      <c r="I54" s="151">
        <f ca="1">IFERROR(__xludf.DUMMYFUNCTION("IMPORTRANGE(""https://docs.google.com/spreadsheets/d/1-uDff_7J0KD5mKrp0Vvzr7lt3OU09vwQwhkpOPPYv2Y/edit?usp=sharing"",""งบพรบ!GC54"")"),0)</f>
        <v>0</v>
      </c>
      <c r="J54" s="262">
        <f t="shared" ca="1" si="15"/>
        <v>0</v>
      </c>
      <c r="K54" s="476">
        <f t="shared" ca="1" si="16"/>
        <v>0</v>
      </c>
      <c r="L54" s="151">
        <f ca="1">IFERROR(__xludf.DUMMYFUNCTION("IMPORTRANGE(""https://docs.google.com/spreadsheets/d/1-uDff_7J0KD5mKrp0Vvzr7lt3OU09vwQwhkpOPPYv2Y/edit?usp=sharing"",""งบพรบ!GD54"")"),0)</f>
        <v>0</v>
      </c>
      <c r="M54" s="260">
        <f t="shared" ca="1" si="17"/>
        <v>0</v>
      </c>
      <c r="N54" s="260">
        <f t="shared" ca="1" si="18"/>
        <v>0</v>
      </c>
      <c r="O54" s="151">
        <f ca="1">IFERROR(__xludf.DUMMYFUNCTION("IMPORTRANGE(""https://docs.google.com/spreadsheets/d/1-uDff_7J0KD5mKrp0Vvzr7lt3OU09vwQwhkpOPPYv2Y/edit?usp=sharing"",""งบพรบ!GE54"")"),0)</f>
        <v>0</v>
      </c>
      <c r="P54" s="475">
        <f t="shared" ca="1" si="19"/>
        <v>0</v>
      </c>
      <c r="Q54" s="260">
        <f t="shared" ca="1" si="20"/>
        <v>0</v>
      </c>
      <c r="R54" s="278">
        <v>0</v>
      </c>
      <c r="S54" s="152">
        <v>0</v>
      </c>
      <c r="T54" s="216">
        <f t="shared" si="22"/>
        <v>0</v>
      </c>
    </row>
    <row r="55" spans="1:21" ht="19.5" x14ac:dyDescent="0.3">
      <c r="A55" s="147">
        <v>3</v>
      </c>
      <c r="B55" s="148" t="s">
        <v>83</v>
      </c>
      <c r="C55" s="472">
        <f t="shared" ca="1" si="13"/>
        <v>0</v>
      </c>
      <c r="D55" s="473">
        <f t="shared" ca="1" si="29"/>
        <v>0</v>
      </c>
      <c r="E55" s="151">
        <f ca="1">IFERROR(__xludf.DUMMYFUNCTION("IMPORTRANGE(""https://docs.google.com/spreadsheets/d/1-uDff_7J0KD5mKrp0Vvzr7lt3OU09vwQwhkpOPPYv2Y/edit?usp=sharing"",""งบพรบ!FX55"")"),0)</f>
        <v>0</v>
      </c>
      <c r="F55" s="151">
        <f ca="1">IFERROR(__xludf.DUMMYFUNCTION("IMPORTRANGE(""https://docs.google.com/spreadsheets/d/1-uDff_7J0KD5mKrp0Vvzr7lt3OU09vwQwhkpOPPYv2Y/edit?usp=sharing"",""งบพรบ!FY55"")"),0)</f>
        <v>0</v>
      </c>
      <c r="G55" s="151">
        <f ca="1">IFERROR(__xludf.DUMMYFUNCTION("IMPORTRANGE(""https://docs.google.com/spreadsheets/d/1-uDff_7J0KD5mKrp0Vvzr7lt3OU09vwQwhkpOPPYv2Y/edit?usp=sharing"",""งบพรบ!FZ55"")"),0)</f>
        <v>0</v>
      </c>
      <c r="H55" s="151">
        <f ca="1">IFERROR(__xludf.DUMMYFUNCTION("IMPORTRANGE(""https://docs.google.com/spreadsheets/d/1-uDff_7J0KD5mKrp0Vvzr7lt3OU09vwQwhkpOPPYv2Y/edit?usp=sharing"",""งบพรบ!GB55"")"),0)</f>
        <v>0</v>
      </c>
      <c r="I55" s="151">
        <f ca="1">IFERROR(__xludf.DUMMYFUNCTION("IMPORTRANGE(""https://docs.google.com/spreadsheets/d/1-uDff_7J0KD5mKrp0Vvzr7lt3OU09vwQwhkpOPPYv2Y/edit?usp=sharing"",""งบพรบ!GC55"")"),0)</f>
        <v>0</v>
      </c>
      <c r="J55" s="262">
        <f t="shared" ca="1" si="15"/>
        <v>0</v>
      </c>
      <c r="K55" s="476">
        <f t="shared" ca="1" si="16"/>
        <v>0</v>
      </c>
      <c r="L55" s="151">
        <f ca="1">IFERROR(__xludf.DUMMYFUNCTION("IMPORTRANGE(""https://docs.google.com/spreadsheets/d/1-uDff_7J0KD5mKrp0Vvzr7lt3OU09vwQwhkpOPPYv2Y/edit?usp=sharing"",""งบพรบ!GD55"")"),0)</f>
        <v>0</v>
      </c>
      <c r="M55" s="260">
        <f t="shared" ca="1" si="17"/>
        <v>0</v>
      </c>
      <c r="N55" s="260">
        <f t="shared" ca="1" si="18"/>
        <v>0</v>
      </c>
      <c r="O55" s="151">
        <f ca="1">IFERROR(__xludf.DUMMYFUNCTION("IMPORTRANGE(""https://docs.google.com/spreadsheets/d/1-uDff_7J0KD5mKrp0Vvzr7lt3OU09vwQwhkpOPPYv2Y/edit?usp=sharing"",""งบพรบ!GE55"")"),0)</f>
        <v>0</v>
      </c>
      <c r="P55" s="475">
        <f t="shared" ca="1" si="19"/>
        <v>0</v>
      </c>
      <c r="Q55" s="260">
        <f t="shared" ca="1" si="20"/>
        <v>0</v>
      </c>
      <c r="R55" s="278">
        <v>0</v>
      </c>
      <c r="S55" s="152">
        <v>0</v>
      </c>
      <c r="T55" s="216">
        <f t="shared" si="22"/>
        <v>0</v>
      </c>
    </row>
    <row r="56" spans="1:21" ht="19.5" x14ac:dyDescent="0.3">
      <c r="A56" s="147">
        <v>4</v>
      </c>
      <c r="B56" s="148" t="s">
        <v>84</v>
      </c>
      <c r="C56" s="472">
        <f t="shared" ca="1" si="13"/>
        <v>0</v>
      </c>
      <c r="D56" s="473">
        <f t="shared" ca="1" si="29"/>
        <v>0</v>
      </c>
      <c r="E56" s="151">
        <f ca="1">IFERROR(__xludf.DUMMYFUNCTION("IMPORTRANGE(""https://docs.google.com/spreadsheets/d/1-uDff_7J0KD5mKrp0Vvzr7lt3OU09vwQwhkpOPPYv2Y/edit?usp=sharing"",""งบพรบ!FX56"")"),0)</f>
        <v>0</v>
      </c>
      <c r="F56" s="151">
        <f ca="1">IFERROR(__xludf.DUMMYFUNCTION("IMPORTRANGE(""https://docs.google.com/spreadsheets/d/1-uDff_7J0KD5mKrp0Vvzr7lt3OU09vwQwhkpOPPYv2Y/edit?usp=sharing"",""งบพรบ!FY56"")"),0)</f>
        <v>0</v>
      </c>
      <c r="G56" s="151">
        <f ca="1">IFERROR(__xludf.DUMMYFUNCTION("IMPORTRANGE(""https://docs.google.com/spreadsheets/d/1-uDff_7J0KD5mKrp0Vvzr7lt3OU09vwQwhkpOPPYv2Y/edit?usp=sharing"",""งบพรบ!FZ56"")"),0)</f>
        <v>0</v>
      </c>
      <c r="H56" s="151">
        <f ca="1">IFERROR(__xludf.DUMMYFUNCTION("IMPORTRANGE(""https://docs.google.com/spreadsheets/d/1-uDff_7J0KD5mKrp0Vvzr7lt3OU09vwQwhkpOPPYv2Y/edit?usp=sharing"",""งบพรบ!GB56"")"),0)</f>
        <v>0</v>
      </c>
      <c r="I56" s="151">
        <f ca="1">IFERROR(__xludf.DUMMYFUNCTION("IMPORTRANGE(""https://docs.google.com/spreadsheets/d/1-uDff_7J0KD5mKrp0Vvzr7lt3OU09vwQwhkpOPPYv2Y/edit?usp=sharing"",""งบพรบ!GC56"")"),0)</f>
        <v>0</v>
      </c>
      <c r="J56" s="262">
        <f t="shared" ca="1" si="15"/>
        <v>0</v>
      </c>
      <c r="K56" s="476">
        <f t="shared" ca="1" si="16"/>
        <v>0</v>
      </c>
      <c r="L56" s="151">
        <f ca="1">IFERROR(__xludf.DUMMYFUNCTION("IMPORTRANGE(""https://docs.google.com/spreadsheets/d/1-uDff_7J0KD5mKrp0Vvzr7lt3OU09vwQwhkpOPPYv2Y/edit?usp=sharing"",""งบพรบ!GD56"")"),0)</f>
        <v>0</v>
      </c>
      <c r="M56" s="260">
        <f t="shared" ca="1" si="17"/>
        <v>0</v>
      </c>
      <c r="N56" s="260">
        <f t="shared" ca="1" si="18"/>
        <v>0</v>
      </c>
      <c r="O56" s="151">
        <f ca="1">IFERROR(__xludf.DUMMYFUNCTION("IMPORTRANGE(""https://docs.google.com/spreadsheets/d/1-uDff_7J0KD5mKrp0Vvzr7lt3OU09vwQwhkpOPPYv2Y/edit?usp=sharing"",""งบพรบ!GE56"")"),0)</f>
        <v>0</v>
      </c>
      <c r="P56" s="475">
        <f t="shared" ca="1" si="19"/>
        <v>0</v>
      </c>
      <c r="Q56" s="260">
        <f t="shared" ca="1" si="20"/>
        <v>0</v>
      </c>
      <c r="R56" s="278">
        <v>0</v>
      </c>
      <c r="S56" s="152">
        <v>0</v>
      </c>
      <c r="T56" s="216">
        <f t="shared" si="22"/>
        <v>0</v>
      </c>
    </row>
    <row r="57" spans="1:21" ht="19.5" x14ac:dyDescent="0.3">
      <c r="A57" s="147">
        <v>5</v>
      </c>
      <c r="B57" s="148" t="s">
        <v>85</v>
      </c>
      <c r="C57" s="472">
        <f t="shared" ca="1" si="13"/>
        <v>0</v>
      </c>
      <c r="D57" s="473">
        <f t="shared" ca="1" si="29"/>
        <v>0</v>
      </c>
      <c r="E57" s="151">
        <f ca="1">IFERROR(__xludf.DUMMYFUNCTION("IMPORTRANGE(""https://docs.google.com/spreadsheets/d/1-uDff_7J0KD5mKrp0Vvzr7lt3OU09vwQwhkpOPPYv2Y/edit?usp=sharing"",""งบพรบ!FX57"")"),0)</f>
        <v>0</v>
      </c>
      <c r="F57" s="151">
        <f ca="1">IFERROR(__xludf.DUMMYFUNCTION("IMPORTRANGE(""https://docs.google.com/spreadsheets/d/1-uDff_7J0KD5mKrp0Vvzr7lt3OU09vwQwhkpOPPYv2Y/edit?usp=sharing"",""งบพรบ!FY57"")"),0)</f>
        <v>0</v>
      </c>
      <c r="G57" s="151">
        <f ca="1">IFERROR(__xludf.DUMMYFUNCTION("IMPORTRANGE(""https://docs.google.com/spreadsheets/d/1-uDff_7J0KD5mKrp0Vvzr7lt3OU09vwQwhkpOPPYv2Y/edit?usp=sharing"",""งบพรบ!FZ57"")"),0)</f>
        <v>0</v>
      </c>
      <c r="H57" s="151">
        <f ca="1">IFERROR(__xludf.DUMMYFUNCTION("IMPORTRANGE(""https://docs.google.com/spreadsheets/d/1-uDff_7J0KD5mKrp0Vvzr7lt3OU09vwQwhkpOPPYv2Y/edit?usp=sharing"",""งบพรบ!GB57"")"),0)</f>
        <v>0</v>
      </c>
      <c r="I57" s="151">
        <f ca="1">IFERROR(__xludf.DUMMYFUNCTION("IMPORTRANGE(""https://docs.google.com/spreadsheets/d/1-uDff_7J0KD5mKrp0Vvzr7lt3OU09vwQwhkpOPPYv2Y/edit?usp=sharing"",""งบพรบ!GC57"")"),0)</f>
        <v>0</v>
      </c>
      <c r="J57" s="262">
        <f t="shared" ca="1" si="15"/>
        <v>0</v>
      </c>
      <c r="K57" s="476">
        <f t="shared" ca="1" si="16"/>
        <v>0</v>
      </c>
      <c r="L57" s="151">
        <f ca="1">IFERROR(__xludf.DUMMYFUNCTION("IMPORTRANGE(""https://docs.google.com/spreadsheets/d/1-uDff_7J0KD5mKrp0Vvzr7lt3OU09vwQwhkpOPPYv2Y/edit?usp=sharing"",""งบพรบ!GD57"")"),0)</f>
        <v>0</v>
      </c>
      <c r="M57" s="260">
        <f t="shared" ca="1" si="17"/>
        <v>0</v>
      </c>
      <c r="N57" s="260">
        <f t="shared" ca="1" si="18"/>
        <v>0</v>
      </c>
      <c r="O57" s="151">
        <f ca="1">IFERROR(__xludf.DUMMYFUNCTION("IMPORTRANGE(""https://docs.google.com/spreadsheets/d/1-uDff_7J0KD5mKrp0Vvzr7lt3OU09vwQwhkpOPPYv2Y/edit?usp=sharing"",""งบพรบ!GE57"")"),0)</f>
        <v>0</v>
      </c>
      <c r="P57" s="475">
        <f t="shared" ca="1" si="19"/>
        <v>0</v>
      </c>
      <c r="Q57" s="260">
        <f t="shared" ca="1" si="20"/>
        <v>0</v>
      </c>
      <c r="R57" s="278">
        <v>0</v>
      </c>
      <c r="S57" s="152">
        <v>0</v>
      </c>
      <c r="T57" s="216">
        <f t="shared" si="22"/>
        <v>0</v>
      </c>
    </row>
    <row r="58" spans="1:21" ht="19.5" x14ac:dyDescent="0.3">
      <c r="A58" s="147">
        <v>6</v>
      </c>
      <c r="B58" s="148" t="s">
        <v>86</v>
      </c>
      <c r="C58" s="472">
        <f t="shared" ca="1" si="13"/>
        <v>0</v>
      </c>
      <c r="D58" s="473">
        <f t="shared" ca="1" si="29"/>
        <v>0</v>
      </c>
      <c r="E58" s="151">
        <f ca="1">IFERROR(__xludf.DUMMYFUNCTION("IMPORTRANGE(""https://docs.google.com/spreadsheets/d/1-uDff_7J0KD5mKrp0Vvzr7lt3OU09vwQwhkpOPPYv2Y/edit?usp=sharing"",""งบพรบ!FX58"")"),0)</f>
        <v>0</v>
      </c>
      <c r="F58" s="151">
        <f ca="1">IFERROR(__xludf.DUMMYFUNCTION("IMPORTRANGE(""https://docs.google.com/spreadsheets/d/1-uDff_7J0KD5mKrp0Vvzr7lt3OU09vwQwhkpOPPYv2Y/edit?usp=sharing"",""งบพรบ!FY58"")"),0)</f>
        <v>0</v>
      </c>
      <c r="G58" s="151">
        <f ca="1">IFERROR(__xludf.DUMMYFUNCTION("IMPORTRANGE(""https://docs.google.com/spreadsheets/d/1-uDff_7J0KD5mKrp0Vvzr7lt3OU09vwQwhkpOPPYv2Y/edit?usp=sharing"",""งบพรบ!FZ58"")"),0)</f>
        <v>0</v>
      </c>
      <c r="H58" s="151">
        <f ca="1">IFERROR(__xludf.DUMMYFUNCTION("IMPORTRANGE(""https://docs.google.com/spreadsheets/d/1-uDff_7J0KD5mKrp0Vvzr7lt3OU09vwQwhkpOPPYv2Y/edit?usp=sharing"",""งบพรบ!GB58"")"),0)</f>
        <v>0</v>
      </c>
      <c r="I58" s="151">
        <f ca="1">IFERROR(__xludf.DUMMYFUNCTION("IMPORTRANGE(""https://docs.google.com/spreadsheets/d/1-uDff_7J0KD5mKrp0Vvzr7lt3OU09vwQwhkpOPPYv2Y/edit?usp=sharing"",""งบพรบ!GC58"")"),0)</f>
        <v>0</v>
      </c>
      <c r="J58" s="262">
        <f t="shared" ca="1" si="15"/>
        <v>0</v>
      </c>
      <c r="K58" s="476">
        <f t="shared" ca="1" si="16"/>
        <v>0</v>
      </c>
      <c r="L58" s="151">
        <f ca="1">IFERROR(__xludf.DUMMYFUNCTION("IMPORTRANGE(""https://docs.google.com/spreadsheets/d/1-uDff_7J0KD5mKrp0Vvzr7lt3OU09vwQwhkpOPPYv2Y/edit?usp=sharing"",""งบพรบ!GD58"")"),0)</f>
        <v>0</v>
      </c>
      <c r="M58" s="260">
        <f t="shared" ca="1" si="17"/>
        <v>0</v>
      </c>
      <c r="N58" s="260">
        <f t="shared" ca="1" si="18"/>
        <v>0</v>
      </c>
      <c r="O58" s="151">
        <f ca="1">IFERROR(__xludf.DUMMYFUNCTION("IMPORTRANGE(""https://docs.google.com/spreadsheets/d/1-uDff_7J0KD5mKrp0Vvzr7lt3OU09vwQwhkpOPPYv2Y/edit?usp=sharing"",""งบพรบ!GE58"")"),0)</f>
        <v>0</v>
      </c>
      <c r="P58" s="475">
        <f t="shared" ca="1" si="19"/>
        <v>0</v>
      </c>
      <c r="Q58" s="260">
        <f t="shared" ca="1" si="20"/>
        <v>0</v>
      </c>
      <c r="R58" s="278">
        <v>0</v>
      </c>
      <c r="S58" s="152">
        <v>0</v>
      </c>
      <c r="T58" s="216">
        <f t="shared" si="22"/>
        <v>0</v>
      </c>
    </row>
    <row r="59" spans="1:21" ht="19.5" x14ac:dyDescent="0.3">
      <c r="A59" s="147">
        <v>7</v>
      </c>
      <c r="B59" s="148" t="s">
        <v>87</v>
      </c>
      <c r="C59" s="472">
        <f t="shared" ca="1" si="13"/>
        <v>0</v>
      </c>
      <c r="D59" s="473">
        <f t="shared" ca="1" si="29"/>
        <v>0</v>
      </c>
      <c r="E59" s="151">
        <f ca="1">IFERROR(__xludf.DUMMYFUNCTION("IMPORTRANGE(""https://docs.google.com/spreadsheets/d/1-uDff_7J0KD5mKrp0Vvzr7lt3OU09vwQwhkpOPPYv2Y/edit?usp=sharing"",""งบพรบ!FX59"")"),0)</f>
        <v>0</v>
      </c>
      <c r="F59" s="151">
        <f ca="1">IFERROR(__xludf.DUMMYFUNCTION("IMPORTRANGE(""https://docs.google.com/spreadsheets/d/1-uDff_7J0KD5mKrp0Vvzr7lt3OU09vwQwhkpOPPYv2Y/edit?usp=sharing"",""งบพรบ!FY59"")"),0)</f>
        <v>0</v>
      </c>
      <c r="G59" s="151">
        <f ca="1">IFERROR(__xludf.DUMMYFUNCTION("IMPORTRANGE(""https://docs.google.com/spreadsheets/d/1-uDff_7J0KD5mKrp0Vvzr7lt3OU09vwQwhkpOPPYv2Y/edit?usp=sharing"",""งบพรบ!FZ59"")"),0)</f>
        <v>0</v>
      </c>
      <c r="H59" s="151">
        <f ca="1">IFERROR(__xludf.DUMMYFUNCTION("IMPORTRANGE(""https://docs.google.com/spreadsheets/d/1-uDff_7J0KD5mKrp0Vvzr7lt3OU09vwQwhkpOPPYv2Y/edit?usp=sharing"",""งบพรบ!GB59"")"),0)</f>
        <v>0</v>
      </c>
      <c r="I59" s="151">
        <f ca="1">IFERROR(__xludf.DUMMYFUNCTION("IMPORTRANGE(""https://docs.google.com/spreadsheets/d/1-uDff_7J0KD5mKrp0Vvzr7lt3OU09vwQwhkpOPPYv2Y/edit?usp=sharing"",""งบพรบ!GC59"")"),0)</f>
        <v>0</v>
      </c>
      <c r="J59" s="262">
        <f t="shared" ca="1" si="15"/>
        <v>0</v>
      </c>
      <c r="K59" s="476">
        <f t="shared" ca="1" si="16"/>
        <v>0</v>
      </c>
      <c r="L59" s="151">
        <f ca="1">IFERROR(__xludf.DUMMYFUNCTION("IMPORTRANGE(""https://docs.google.com/spreadsheets/d/1-uDff_7J0KD5mKrp0Vvzr7lt3OU09vwQwhkpOPPYv2Y/edit?usp=sharing"",""งบพรบ!GD59"")"),0)</f>
        <v>0</v>
      </c>
      <c r="M59" s="260">
        <f t="shared" ca="1" si="17"/>
        <v>0</v>
      </c>
      <c r="N59" s="260">
        <f t="shared" ca="1" si="18"/>
        <v>0</v>
      </c>
      <c r="O59" s="151">
        <f ca="1">IFERROR(__xludf.DUMMYFUNCTION("IMPORTRANGE(""https://docs.google.com/spreadsheets/d/1-uDff_7J0KD5mKrp0Vvzr7lt3OU09vwQwhkpOPPYv2Y/edit?usp=sharing"",""งบพรบ!GE59"")"),0)</f>
        <v>0</v>
      </c>
      <c r="P59" s="475">
        <f t="shared" ca="1" si="19"/>
        <v>0</v>
      </c>
      <c r="Q59" s="260">
        <f t="shared" ca="1" si="20"/>
        <v>0</v>
      </c>
      <c r="R59" s="278">
        <v>0</v>
      </c>
      <c r="S59" s="152">
        <v>0</v>
      </c>
      <c r="T59" s="216">
        <f t="shared" si="22"/>
        <v>0</v>
      </c>
    </row>
    <row r="60" spans="1:21" ht="19.5" x14ac:dyDescent="0.3">
      <c r="A60" s="147">
        <v>8</v>
      </c>
      <c r="B60" s="148" t="s">
        <v>88</v>
      </c>
      <c r="C60" s="472">
        <f t="shared" ca="1" si="13"/>
        <v>0</v>
      </c>
      <c r="D60" s="473">
        <f t="shared" ca="1" si="29"/>
        <v>0</v>
      </c>
      <c r="E60" s="151">
        <f ca="1">IFERROR(__xludf.DUMMYFUNCTION("IMPORTRANGE(""https://docs.google.com/spreadsheets/d/1-uDff_7J0KD5mKrp0Vvzr7lt3OU09vwQwhkpOPPYv2Y/edit?usp=sharing"",""งบพรบ!FX60"")"),0)</f>
        <v>0</v>
      </c>
      <c r="F60" s="151">
        <f ca="1">IFERROR(__xludf.DUMMYFUNCTION("IMPORTRANGE(""https://docs.google.com/spreadsheets/d/1-uDff_7J0KD5mKrp0Vvzr7lt3OU09vwQwhkpOPPYv2Y/edit?usp=sharing"",""งบพรบ!FY60"")"),0)</f>
        <v>0</v>
      </c>
      <c r="G60" s="151">
        <f ca="1">IFERROR(__xludf.DUMMYFUNCTION("IMPORTRANGE(""https://docs.google.com/spreadsheets/d/1-uDff_7J0KD5mKrp0Vvzr7lt3OU09vwQwhkpOPPYv2Y/edit?usp=sharing"",""งบพรบ!FZ60"")"),0)</f>
        <v>0</v>
      </c>
      <c r="H60" s="151">
        <f ca="1">IFERROR(__xludf.DUMMYFUNCTION("IMPORTRANGE(""https://docs.google.com/spreadsheets/d/1-uDff_7J0KD5mKrp0Vvzr7lt3OU09vwQwhkpOPPYv2Y/edit?usp=sharing"",""งบพรบ!GB60"")"),0)</f>
        <v>0</v>
      </c>
      <c r="I60" s="151">
        <f ca="1">IFERROR(__xludf.DUMMYFUNCTION("IMPORTRANGE(""https://docs.google.com/spreadsheets/d/1-uDff_7J0KD5mKrp0Vvzr7lt3OU09vwQwhkpOPPYv2Y/edit?usp=sharing"",""งบพรบ!GC60"")"),0)</f>
        <v>0</v>
      </c>
      <c r="J60" s="262">
        <f t="shared" ca="1" si="15"/>
        <v>0</v>
      </c>
      <c r="K60" s="476">
        <f t="shared" ca="1" si="16"/>
        <v>0</v>
      </c>
      <c r="L60" s="151">
        <f ca="1">IFERROR(__xludf.DUMMYFUNCTION("IMPORTRANGE(""https://docs.google.com/spreadsheets/d/1-uDff_7J0KD5mKrp0Vvzr7lt3OU09vwQwhkpOPPYv2Y/edit?usp=sharing"",""งบพรบ!GD60"")"),0)</f>
        <v>0</v>
      </c>
      <c r="M60" s="260">
        <f t="shared" ca="1" si="17"/>
        <v>0</v>
      </c>
      <c r="N60" s="260">
        <f t="shared" ca="1" si="18"/>
        <v>0</v>
      </c>
      <c r="O60" s="151">
        <f ca="1">IFERROR(__xludf.DUMMYFUNCTION("IMPORTRANGE(""https://docs.google.com/spreadsheets/d/1-uDff_7J0KD5mKrp0Vvzr7lt3OU09vwQwhkpOPPYv2Y/edit?usp=sharing"",""งบพรบ!GE60"")"),0)</f>
        <v>0</v>
      </c>
      <c r="P60" s="475">
        <f t="shared" ca="1" si="19"/>
        <v>0</v>
      </c>
      <c r="Q60" s="260">
        <f t="shared" ca="1" si="20"/>
        <v>0</v>
      </c>
      <c r="R60" s="278">
        <v>0</v>
      </c>
      <c r="S60" s="152">
        <v>0</v>
      </c>
      <c r="T60" s="216">
        <f t="shared" si="22"/>
        <v>0</v>
      </c>
    </row>
    <row r="61" spans="1:21" ht="19.5" x14ac:dyDescent="0.3">
      <c r="A61" s="147">
        <v>9</v>
      </c>
      <c r="B61" s="148" t="s">
        <v>89</v>
      </c>
      <c r="C61" s="472">
        <f t="shared" ca="1" si="13"/>
        <v>0</v>
      </c>
      <c r="D61" s="473">
        <f t="shared" ca="1" si="29"/>
        <v>0</v>
      </c>
      <c r="E61" s="151">
        <f ca="1">IFERROR(__xludf.DUMMYFUNCTION("IMPORTRANGE(""https://docs.google.com/spreadsheets/d/1-uDff_7J0KD5mKrp0Vvzr7lt3OU09vwQwhkpOPPYv2Y/edit?usp=sharing"",""งบพรบ!FX61"")"),0)</f>
        <v>0</v>
      </c>
      <c r="F61" s="151">
        <f ca="1">IFERROR(__xludf.DUMMYFUNCTION("IMPORTRANGE(""https://docs.google.com/spreadsheets/d/1-uDff_7J0KD5mKrp0Vvzr7lt3OU09vwQwhkpOPPYv2Y/edit?usp=sharing"",""งบพรบ!FY61"")"),0)</f>
        <v>0</v>
      </c>
      <c r="G61" s="151">
        <f ca="1">IFERROR(__xludf.DUMMYFUNCTION("IMPORTRANGE(""https://docs.google.com/spreadsheets/d/1-uDff_7J0KD5mKrp0Vvzr7lt3OU09vwQwhkpOPPYv2Y/edit?usp=sharing"",""งบพรบ!FZ61"")"),0)</f>
        <v>0</v>
      </c>
      <c r="H61" s="151">
        <f ca="1">IFERROR(__xludf.DUMMYFUNCTION("IMPORTRANGE(""https://docs.google.com/spreadsheets/d/1-uDff_7J0KD5mKrp0Vvzr7lt3OU09vwQwhkpOPPYv2Y/edit?usp=sharing"",""งบพรบ!GB61"")"),0)</f>
        <v>0</v>
      </c>
      <c r="I61" s="151">
        <f ca="1">IFERROR(__xludf.DUMMYFUNCTION("IMPORTRANGE(""https://docs.google.com/spreadsheets/d/1-uDff_7J0KD5mKrp0Vvzr7lt3OU09vwQwhkpOPPYv2Y/edit?usp=sharing"",""งบพรบ!GC61"")"),0)</f>
        <v>0</v>
      </c>
      <c r="J61" s="262">
        <f t="shared" ca="1" si="15"/>
        <v>0</v>
      </c>
      <c r="K61" s="476">
        <f t="shared" ca="1" si="16"/>
        <v>0</v>
      </c>
      <c r="L61" s="151">
        <f ca="1">IFERROR(__xludf.DUMMYFUNCTION("IMPORTRANGE(""https://docs.google.com/spreadsheets/d/1-uDff_7J0KD5mKrp0Vvzr7lt3OU09vwQwhkpOPPYv2Y/edit?usp=sharing"",""งบพรบ!GD61"")"),0)</f>
        <v>0</v>
      </c>
      <c r="M61" s="260">
        <f t="shared" ca="1" si="17"/>
        <v>0</v>
      </c>
      <c r="N61" s="260">
        <f t="shared" ca="1" si="18"/>
        <v>0</v>
      </c>
      <c r="O61" s="151">
        <f ca="1">IFERROR(__xludf.DUMMYFUNCTION("IMPORTRANGE(""https://docs.google.com/spreadsheets/d/1-uDff_7J0KD5mKrp0Vvzr7lt3OU09vwQwhkpOPPYv2Y/edit?usp=sharing"",""งบพรบ!GE61"")"),0)</f>
        <v>0</v>
      </c>
      <c r="P61" s="475">
        <f t="shared" ca="1" si="19"/>
        <v>0</v>
      </c>
      <c r="Q61" s="260">
        <f t="shared" ca="1" si="20"/>
        <v>0</v>
      </c>
      <c r="R61" s="278">
        <v>0</v>
      </c>
      <c r="S61" s="152">
        <v>0</v>
      </c>
      <c r="T61" s="216">
        <f t="shared" si="22"/>
        <v>0</v>
      </c>
    </row>
    <row r="62" spans="1:21" ht="19.5" x14ac:dyDescent="0.3">
      <c r="A62" s="147">
        <v>10</v>
      </c>
      <c r="B62" s="148" t="s">
        <v>90</v>
      </c>
      <c r="C62" s="472">
        <f t="shared" ca="1" si="13"/>
        <v>0</v>
      </c>
      <c r="D62" s="473">
        <f t="shared" ca="1" si="29"/>
        <v>0</v>
      </c>
      <c r="E62" s="151">
        <f ca="1">IFERROR(__xludf.DUMMYFUNCTION("IMPORTRANGE(""https://docs.google.com/spreadsheets/d/1-uDff_7J0KD5mKrp0Vvzr7lt3OU09vwQwhkpOPPYv2Y/edit?usp=sharing"",""งบพรบ!FX62"")"),0)</f>
        <v>0</v>
      </c>
      <c r="F62" s="151">
        <f ca="1">IFERROR(__xludf.DUMMYFUNCTION("IMPORTRANGE(""https://docs.google.com/spreadsheets/d/1-uDff_7J0KD5mKrp0Vvzr7lt3OU09vwQwhkpOPPYv2Y/edit?usp=sharing"",""งบพรบ!FY62"")"),0)</f>
        <v>0</v>
      </c>
      <c r="G62" s="151">
        <f ca="1">IFERROR(__xludf.DUMMYFUNCTION("IMPORTRANGE(""https://docs.google.com/spreadsheets/d/1-uDff_7J0KD5mKrp0Vvzr7lt3OU09vwQwhkpOPPYv2Y/edit?usp=sharing"",""งบพรบ!FZ62"")"),0)</f>
        <v>0</v>
      </c>
      <c r="H62" s="151">
        <f ca="1">IFERROR(__xludf.DUMMYFUNCTION("IMPORTRANGE(""https://docs.google.com/spreadsheets/d/1-uDff_7J0KD5mKrp0Vvzr7lt3OU09vwQwhkpOPPYv2Y/edit?usp=sharing"",""งบพรบ!GB62"")"),0)</f>
        <v>0</v>
      </c>
      <c r="I62" s="151">
        <f ca="1">IFERROR(__xludf.DUMMYFUNCTION("IMPORTRANGE(""https://docs.google.com/spreadsheets/d/1-uDff_7J0KD5mKrp0Vvzr7lt3OU09vwQwhkpOPPYv2Y/edit?usp=sharing"",""งบพรบ!GC62"")"),0)</f>
        <v>0</v>
      </c>
      <c r="J62" s="262">
        <f t="shared" ca="1" si="15"/>
        <v>0</v>
      </c>
      <c r="K62" s="476">
        <f t="shared" ca="1" si="16"/>
        <v>0</v>
      </c>
      <c r="L62" s="151">
        <f ca="1">IFERROR(__xludf.DUMMYFUNCTION("IMPORTRANGE(""https://docs.google.com/spreadsheets/d/1-uDff_7J0KD5mKrp0Vvzr7lt3OU09vwQwhkpOPPYv2Y/edit?usp=sharing"",""งบพรบ!GD62"")"),0)</f>
        <v>0</v>
      </c>
      <c r="M62" s="260">
        <f t="shared" ca="1" si="17"/>
        <v>0</v>
      </c>
      <c r="N62" s="260">
        <f t="shared" ca="1" si="18"/>
        <v>0</v>
      </c>
      <c r="O62" s="151">
        <f ca="1">IFERROR(__xludf.DUMMYFUNCTION("IMPORTRANGE(""https://docs.google.com/spreadsheets/d/1-uDff_7J0KD5mKrp0Vvzr7lt3OU09vwQwhkpOPPYv2Y/edit?usp=sharing"",""งบพรบ!GE62"")"),0)</f>
        <v>0</v>
      </c>
      <c r="P62" s="475">
        <f t="shared" ca="1" si="19"/>
        <v>0</v>
      </c>
      <c r="Q62" s="260">
        <f t="shared" ca="1" si="20"/>
        <v>0</v>
      </c>
      <c r="R62" s="278">
        <v>0</v>
      </c>
      <c r="S62" s="152">
        <v>0</v>
      </c>
      <c r="T62" s="216">
        <f t="shared" si="22"/>
        <v>0</v>
      </c>
    </row>
    <row r="63" spans="1:21" ht="19.5" x14ac:dyDescent="0.3">
      <c r="A63" s="147">
        <v>11</v>
      </c>
      <c r="B63" s="148" t="s">
        <v>91</v>
      </c>
      <c r="C63" s="472">
        <f t="shared" ca="1" si="13"/>
        <v>0</v>
      </c>
      <c r="D63" s="473">
        <f t="shared" ca="1" si="29"/>
        <v>0</v>
      </c>
      <c r="E63" s="151">
        <f ca="1">IFERROR(__xludf.DUMMYFUNCTION("IMPORTRANGE(""https://docs.google.com/spreadsheets/d/1-uDff_7J0KD5mKrp0Vvzr7lt3OU09vwQwhkpOPPYv2Y/edit?usp=sharing"",""งบพรบ!FX63"")"),0)</f>
        <v>0</v>
      </c>
      <c r="F63" s="151">
        <f ca="1">IFERROR(__xludf.DUMMYFUNCTION("IMPORTRANGE(""https://docs.google.com/spreadsheets/d/1-uDff_7J0KD5mKrp0Vvzr7lt3OU09vwQwhkpOPPYv2Y/edit?usp=sharing"",""งบพรบ!FY63"")"),0)</f>
        <v>0</v>
      </c>
      <c r="G63" s="151">
        <f ca="1">IFERROR(__xludf.DUMMYFUNCTION("IMPORTRANGE(""https://docs.google.com/spreadsheets/d/1-uDff_7J0KD5mKrp0Vvzr7lt3OU09vwQwhkpOPPYv2Y/edit?usp=sharing"",""งบพรบ!FZ63"")"),0)</f>
        <v>0</v>
      </c>
      <c r="H63" s="151">
        <f ca="1">IFERROR(__xludf.DUMMYFUNCTION("IMPORTRANGE(""https://docs.google.com/spreadsheets/d/1-uDff_7J0KD5mKrp0Vvzr7lt3OU09vwQwhkpOPPYv2Y/edit?usp=sharing"",""งบพรบ!GB63"")"),0)</f>
        <v>0</v>
      </c>
      <c r="I63" s="151">
        <f ca="1">IFERROR(__xludf.DUMMYFUNCTION("IMPORTRANGE(""https://docs.google.com/spreadsheets/d/1-uDff_7J0KD5mKrp0Vvzr7lt3OU09vwQwhkpOPPYv2Y/edit?usp=sharing"",""งบพรบ!GC63"")"),0)</f>
        <v>0</v>
      </c>
      <c r="J63" s="262">
        <f t="shared" ca="1" si="15"/>
        <v>0</v>
      </c>
      <c r="K63" s="476">
        <f t="shared" ca="1" si="16"/>
        <v>0</v>
      </c>
      <c r="L63" s="151">
        <f ca="1">IFERROR(__xludf.DUMMYFUNCTION("IMPORTRANGE(""https://docs.google.com/spreadsheets/d/1-uDff_7J0KD5mKrp0Vvzr7lt3OU09vwQwhkpOPPYv2Y/edit?usp=sharing"",""งบพรบ!GD63"")"),0)</f>
        <v>0</v>
      </c>
      <c r="M63" s="260">
        <f t="shared" ca="1" si="17"/>
        <v>0</v>
      </c>
      <c r="N63" s="260">
        <f t="shared" ca="1" si="18"/>
        <v>0</v>
      </c>
      <c r="O63" s="151">
        <f ca="1">IFERROR(__xludf.DUMMYFUNCTION("IMPORTRANGE(""https://docs.google.com/spreadsheets/d/1-uDff_7J0KD5mKrp0Vvzr7lt3OU09vwQwhkpOPPYv2Y/edit?usp=sharing"",""งบพรบ!GE63"")"),0)</f>
        <v>0</v>
      </c>
      <c r="P63" s="475">
        <f t="shared" ca="1" si="19"/>
        <v>0</v>
      </c>
      <c r="Q63" s="260">
        <f t="shared" ca="1" si="20"/>
        <v>0</v>
      </c>
      <c r="R63" s="278">
        <v>0</v>
      </c>
      <c r="S63" s="152">
        <v>0</v>
      </c>
      <c r="T63" s="216">
        <f t="shared" si="22"/>
        <v>0</v>
      </c>
    </row>
    <row r="64" spans="1:21" ht="19.5" x14ac:dyDescent="0.3">
      <c r="A64" s="147">
        <v>12</v>
      </c>
      <c r="B64" s="148" t="s">
        <v>92</v>
      </c>
      <c r="C64" s="472">
        <f t="shared" ca="1" si="13"/>
        <v>0</v>
      </c>
      <c r="D64" s="473">
        <f t="shared" ca="1" si="29"/>
        <v>0</v>
      </c>
      <c r="E64" s="151">
        <f ca="1">IFERROR(__xludf.DUMMYFUNCTION("IMPORTRANGE(""https://docs.google.com/spreadsheets/d/1-uDff_7J0KD5mKrp0Vvzr7lt3OU09vwQwhkpOPPYv2Y/edit?usp=sharing"",""งบพรบ!FX64"")"),0)</f>
        <v>0</v>
      </c>
      <c r="F64" s="151">
        <f ca="1">IFERROR(__xludf.DUMMYFUNCTION("IMPORTRANGE(""https://docs.google.com/spreadsheets/d/1-uDff_7J0KD5mKrp0Vvzr7lt3OU09vwQwhkpOPPYv2Y/edit?usp=sharing"",""งบพรบ!FY64"")"),0)</f>
        <v>0</v>
      </c>
      <c r="G64" s="151">
        <f ca="1">IFERROR(__xludf.DUMMYFUNCTION("IMPORTRANGE(""https://docs.google.com/spreadsheets/d/1-uDff_7J0KD5mKrp0Vvzr7lt3OU09vwQwhkpOPPYv2Y/edit?usp=sharing"",""งบพรบ!FZ64"")"),0)</f>
        <v>0</v>
      </c>
      <c r="H64" s="151">
        <f ca="1">IFERROR(__xludf.DUMMYFUNCTION("IMPORTRANGE(""https://docs.google.com/spreadsheets/d/1-uDff_7J0KD5mKrp0Vvzr7lt3OU09vwQwhkpOPPYv2Y/edit?usp=sharing"",""งบพรบ!GB64"")"),0)</f>
        <v>0</v>
      </c>
      <c r="I64" s="151">
        <f ca="1">IFERROR(__xludf.DUMMYFUNCTION("IMPORTRANGE(""https://docs.google.com/spreadsheets/d/1-uDff_7J0KD5mKrp0Vvzr7lt3OU09vwQwhkpOPPYv2Y/edit?usp=sharing"",""งบพรบ!GC64"")"),0)</f>
        <v>0</v>
      </c>
      <c r="J64" s="262">
        <f t="shared" ca="1" si="15"/>
        <v>0</v>
      </c>
      <c r="K64" s="476">
        <f t="shared" ca="1" si="16"/>
        <v>0</v>
      </c>
      <c r="L64" s="151">
        <f ca="1">IFERROR(__xludf.DUMMYFUNCTION("IMPORTRANGE(""https://docs.google.com/spreadsheets/d/1-uDff_7J0KD5mKrp0Vvzr7lt3OU09vwQwhkpOPPYv2Y/edit?usp=sharing"",""งบพรบ!GD64"")"),0)</f>
        <v>0</v>
      </c>
      <c r="M64" s="260">
        <f t="shared" ca="1" si="17"/>
        <v>0</v>
      </c>
      <c r="N64" s="260">
        <f t="shared" ca="1" si="18"/>
        <v>0</v>
      </c>
      <c r="O64" s="151">
        <f ca="1">IFERROR(__xludf.DUMMYFUNCTION("IMPORTRANGE(""https://docs.google.com/spreadsheets/d/1-uDff_7J0KD5mKrp0Vvzr7lt3OU09vwQwhkpOPPYv2Y/edit?usp=sharing"",""งบพรบ!GE64"")"),0)</f>
        <v>0</v>
      </c>
      <c r="P64" s="475">
        <f t="shared" ca="1" si="19"/>
        <v>0</v>
      </c>
      <c r="Q64" s="260">
        <f t="shared" ca="1" si="20"/>
        <v>0</v>
      </c>
      <c r="R64" s="278">
        <v>0</v>
      </c>
      <c r="S64" s="152">
        <v>0</v>
      </c>
      <c r="T64" s="216">
        <f t="shared" si="22"/>
        <v>0</v>
      </c>
    </row>
    <row r="65" spans="1:21" ht="19.5" x14ac:dyDescent="0.3">
      <c r="A65" s="147">
        <v>13</v>
      </c>
      <c r="B65" s="148" t="s">
        <v>93</v>
      </c>
      <c r="C65" s="472">
        <f t="shared" ca="1" si="13"/>
        <v>0</v>
      </c>
      <c r="D65" s="473">
        <f t="shared" ca="1" si="29"/>
        <v>0</v>
      </c>
      <c r="E65" s="151">
        <f ca="1">IFERROR(__xludf.DUMMYFUNCTION("IMPORTRANGE(""https://docs.google.com/spreadsheets/d/1-uDff_7J0KD5mKrp0Vvzr7lt3OU09vwQwhkpOPPYv2Y/edit?usp=sharing"",""งบพรบ!FX65"")"),0)</f>
        <v>0</v>
      </c>
      <c r="F65" s="151">
        <f ca="1">IFERROR(__xludf.DUMMYFUNCTION("IMPORTRANGE(""https://docs.google.com/spreadsheets/d/1-uDff_7J0KD5mKrp0Vvzr7lt3OU09vwQwhkpOPPYv2Y/edit?usp=sharing"",""งบพรบ!FY65"")"),0)</f>
        <v>0</v>
      </c>
      <c r="G65" s="151">
        <f ca="1">IFERROR(__xludf.DUMMYFUNCTION("IMPORTRANGE(""https://docs.google.com/spreadsheets/d/1-uDff_7J0KD5mKrp0Vvzr7lt3OU09vwQwhkpOPPYv2Y/edit?usp=sharing"",""งบพรบ!FZ65"")"),0)</f>
        <v>0</v>
      </c>
      <c r="H65" s="151">
        <f ca="1">IFERROR(__xludf.DUMMYFUNCTION("IMPORTRANGE(""https://docs.google.com/spreadsheets/d/1-uDff_7J0KD5mKrp0Vvzr7lt3OU09vwQwhkpOPPYv2Y/edit?usp=sharing"",""งบพรบ!GB65"")"),0)</f>
        <v>0</v>
      </c>
      <c r="I65" s="151">
        <f ca="1">IFERROR(__xludf.DUMMYFUNCTION("IMPORTRANGE(""https://docs.google.com/spreadsheets/d/1-uDff_7J0KD5mKrp0Vvzr7lt3OU09vwQwhkpOPPYv2Y/edit?usp=sharing"",""งบพรบ!GC65"")"),0)</f>
        <v>0</v>
      </c>
      <c r="J65" s="262">
        <f t="shared" ca="1" si="15"/>
        <v>0</v>
      </c>
      <c r="K65" s="476">
        <f t="shared" ca="1" si="16"/>
        <v>0</v>
      </c>
      <c r="L65" s="151">
        <f ca="1">IFERROR(__xludf.DUMMYFUNCTION("IMPORTRANGE(""https://docs.google.com/spreadsheets/d/1-uDff_7J0KD5mKrp0Vvzr7lt3OU09vwQwhkpOPPYv2Y/edit?usp=sharing"",""งบพรบ!GD65"")"),0)</f>
        <v>0</v>
      </c>
      <c r="M65" s="260">
        <f t="shared" ca="1" si="17"/>
        <v>0</v>
      </c>
      <c r="N65" s="260">
        <f t="shared" ca="1" si="18"/>
        <v>0</v>
      </c>
      <c r="O65" s="151">
        <f ca="1">IFERROR(__xludf.DUMMYFUNCTION("IMPORTRANGE(""https://docs.google.com/spreadsheets/d/1-uDff_7J0KD5mKrp0Vvzr7lt3OU09vwQwhkpOPPYv2Y/edit?usp=sharing"",""งบพรบ!GE65"")"),0)</f>
        <v>0</v>
      </c>
      <c r="P65" s="475">
        <f t="shared" ca="1" si="19"/>
        <v>0</v>
      </c>
      <c r="Q65" s="260">
        <f t="shared" ca="1" si="20"/>
        <v>0</v>
      </c>
      <c r="R65" s="278">
        <v>0</v>
      </c>
      <c r="S65" s="152">
        <v>0</v>
      </c>
      <c r="T65" s="216">
        <f t="shared" si="22"/>
        <v>0</v>
      </c>
    </row>
    <row r="66" spans="1:21" ht="19.5" x14ac:dyDescent="0.3">
      <c r="A66" s="147">
        <v>14</v>
      </c>
      <c r="B66" s="148" t="s">
        <v>94</v>
      </c>
      <c r="C66" s="472">
        <f t="shared" ca="1" si="13"/>
        <v>0</v>
      </c>
      <c r="D66" s="473">
        <f t="shared" ca="1" si="29"/>
        <v>0</v>
      </c>
      <c r="E66" s="151">
        <f ca="1">IFERROR(__xludf.DUMMYFUNCTION("IMPORTRANGE(""https://docs.google.com/spreadsheets/d/1-uDff_7J0KD5mKrp0Vvzr7lt3OU09vwQwhkpOPPYv2Y/edit?usp=sharing"",""งบพรบ!FX66"")"),0)</f>
        <v>0</v>
      </c>
      <c r="F66" s="151">
        <f ca="1">IFERROR(__xludf.DUMMYFUNCTION("IMPORTRANGE(""https://docs.google.com/spreadsheets/d/1-uDff_7J0KD5mKrp0Vvzr7lt3OU09vwQwhkpOPPYv2Y/edit?usp=sharing"",""งบพรบ!FY66"")"),0)</f>
        <v>0</v>
      </c>
      <c r="G66" s="151">
        <f ca="1">IFERROR(__xludf.DUMMYFUNCTION("IMPORTRANGE(""https://docs.google.com/spreadsheets/d/1-uDff_7J0KD5mKrp0Vvzr7lt3OU09vwQwhkpOPPYv2Y/edit?usp=sharing"",""งบพรบ!FZ66"")"),0)</f>
        <v>0</v>
      </c>
      <c r="H66" s="151">
        <f ca="1">IFERROR(__xludf.DUMMYFUNCTION("IMPORTRANGE(""https://docs.google.com/spreadsheets/d/1-uDff_7J0KD5mKrp0Vvzr7lt3OU09vwQwhkpOPPYv2Y/edit?usp=sharing"",""งบพรบ!GB66"")"),0)</f>
        <v>0</v>
      </c>
      <c r="I66" s="151">
        <f ca="1">IFERROR(__xludf.DUMMYFUNCTION("IMPORTRANGE(""https://docs.google.com/spreadsheets/d/1-uDff_7J0KD5mKrp0Vvzr7lt3OU09vwQwhkpOPPYv2Y/edit?usp=sharing"",""งบพรบ!GC66"")"),0)</f>
        <v>0</v>
      </c>
      <c r="J66" s="262">
        <f t="shared" ca="1" si="15"/>
        <v>0</v>
      </c>
      <c r="K66" s="476">
        <f t="shared" ca="1" si="16"/>
        <v>0</v>
      </c>
      <c r="L66" s="151">
        <f ca="1">IFERROR(__xludf.DUMMYFUNCTION("IMPORTRANGE(""https://docs.google.com/spreadsheets/d/1-uDff_7J0KD5mKrp0Vvzr7lt3OU09vwQwhkpOPPYv2Y/edit?usp=sharing"",""งบพรบ!GD66"")"),0)</f>
        <v>0</v>
      </c>
      <c r="M66" s="260">
        <f t="shared" ca="1" si="17"/>
        <v>0</v>
      </c>
      <c r="N66" s="260">
        <f t="shared" ca="1" si="18"/>
        <v>0</v>
      </c>
      <c r="O66" s="151">
        <f ca="1">IFERROR(__xludf.DUMMYFUNCTION("IMPORTRANGE(""https://docs.google.com/spreadsheets/d/1-uDff_7J0KD5mKrp0Vvzr7lt3OU09vwQwhkpOPPYv2Y/edit?usp=sharing"",""งบพรบ!GE66"")"),0)</f>
        <v>0</v>
      </c>
      <c r="P66" s="475">
        <f t="shared" ca="1" si="19"/>
        <v>0</v>
      </c>
      <c r="Q66" s="260">
        <f t="shared" ca="1" si="20"/>
        <v>0</v>
      </c>
      <c r="R66" s="278">
        <v>0</v>
      </c>
      <c r="S66" s="152">
        <v>0</v>
      </c>
      <c r="T66" s="216">
        <f t="shared" si="22"/>
        <v>0</v>
      </c>
    </row>
    <row r="67" spans="1:21" ht="19.5" x14ac:dyDescent="0.3">
      <c r="A67" s="147">
        <v>15</v>
      </c>
      <c r="B67" s="148" t="s">
        <v>95</v>
      </c>
      <c r="C67" s="472">
        <f t="shared" ca="1" si="13"/>
        <v>0</v>
      </c>
      <c r="D67" s="473">
        <f t="shared" ca="1" si="29"/>
        <v>0</v>
      </c>
      <c r="E67" s="151">
        <f ca="1">IFERROR(__xludf.DUMMYFUNCTION("IMPORTRANGE(""https://docs.google.com/spreadsheets/d/1-uDff_7J0KD5mKrp0Vvzr7lt3OU09vwQwhkpOPPYv2Y/edit?usp=sharing"",""งบพรบ!FX67"")"),0)</f>
        <v>0</v>
      </c>
      <c r="F67" s="151">
        <f ca="1">IFERROR(__xludf.DUMMYFUNCTION("IMPORTRANGE(""https://docs.google.com/spreadsheets/d/1-uDff_7J0KD5mKrp0Vvzr7lt3OU09vwQwhkpOPPYv2Y/edit?usp=sharing"",""งบพรบ!FY67"")"),0)</f>
        <v>0</v>
      </c>
      <c r="G67" s="151">
        <f ca="1">IFERROR(__xludf.DUMMYFUNCTION("IMPORTRANGE(""https://docs.google.com/spreadsheets/d/1-uDff_7J0KD5mKrp0Vvzr7lt3OU09vwQwhkpOPPYv2Y/edit?usp=sharing"",""งบพรบ!FZ67"")"),0)</f>
        <v>0</v>
      </c>
      <c r="H67" s="151">
        <f ca="1">IFERROR(__xludf.DUMMYFUNCTION("IMPORTRANGE(""https://docs.google.com/spreadsheets/d/1-uDff_7J0KD5mKrp0Vvzr7lt3OU09vwQwhkpOPPYv2Y/edit?usp=sharing"",""งบพรบ!GB67"")"),0)</f>
        <v>0</v>
      </c>
      <c r="I67" s="151">
        <f ca="1">IFERROR(__xludf.DUMMYFUNCTION("IMPORTRANGE(""https://docs.google.com/spreadsheets/d/1-uDff_7J0KD5mKrp0Vvzr7lt3OU09vwQwhkpOPPYv2Y/edit?usp=sharing"",""งบพรบ!GC67"")"),0)</f>
        <v>0</v>
      </c>
      <c r="J67" s="262">
        <f t="shared" ca="1" si="15"/>
        <v>0</v>
      </c>
      <c r="K67" s="476">
        <f t="shared" ca="1" si="16"/>
        <v>0</v>
      </c>
      <c r="L67" s="151">
        <f ca="1">IFERROR(__xludf.DUMMYFUNCTION("IMPORTRANGE(""https://docs.google.com/spreadsheets/d/1-uDff_7J0KD5mKrp0Vvzr7lt3OU09vwQwhkpOPPYv2Y/edit?usp=sharing"",""งบพรบ!GD67"")"),0)</f>
        <v>0</v>
      </c>
      <c r="M67" s="260">
        <f t="shared" ca="1" si="17"/>
        <v>0</v>
      </c>
      <c r="N67" s="260">
        <f t="shared" ca="1" si="18"/>
        <v>0</v>
      </c>
      <c r="O67" s="151">
        <f ca="1">IFERROR(__xludf.DUMMYFUNCTION("IMPORTRANGE(""https://docs.google.com/spreadsheets/d/1-uDff_7J0KD5mKrp0Vvzr7lt3OU09vwQwhkpOPPYv2Y/edit?usp=sharing"",""งบพรบ!GE67"")"),0)</f>
        <v>0</v>
      </c>
      <c r="P67" s="475">
        <f t="shared" ca="1" si="19"/>
        <v>0</v>
      </c>
      <c r="Q67" s="260">
        <f t="shared" ca="1" si="20"/>
        <v>0</v>
      </c>
      <c r="R67" s="278">
        <v>0</v>
      </c>
      <c r="S67" s="152">
        <v>0</v>
      </c>
      <c r="T67" s="216">
        <f t="shared" si="22"/>
        <v>0</v>
      </c>
    </row>
    <row r="68" spans="1:21" ht="19.5" x14ac:dyDescent="0.3">
      <c r="A68" s="147">
        <v>16</v>
      </c>
      <c r="B68" s="148" t="s">
        <v>96</v>
      </c>
      <c r="C68" s="472">
        <f t="shared" ca="1" si="13"/>
        <v>0</v>
      </c>
      <c r="D68" s="473">
        <f t="shared" ca="1" si="29"/>
        <v>0</v>
      </c>
      <c r="E68" s="151">
        <f ca="1">IFERROR(__xludf.DUMMYFUNCTION("IMPORTRANGE(""https://docs.google.com/spreadsheets/d/1-uDff_7J0KD5mKrp0Vvzr7lt3OU09vwQwhkpOPPYv2Y/edit?usp=sharing"",""งบพรบ!FX68"")"),0)</f>
        <v>0</v>
      </c>
      <c r="F68" s="151">
        <f ca="1">IFERROR(__xludf.DUMMYFUNCTION("IMPORTRANGE(""https://docs.google.com/spreadsheets/d/1-uDff_7J0KD5mKrp0Vvzr7lt3OU09vwQwhkpOPPYv2Y/edit?usp=sharing"",""งบพรบ!FY68"")"),0)</f>
        <v>0</v>
      </c>
      <c r="G68" s="151">
        <f ca="1">IFERROR(__xludf.DUMMYFUNCTION("IMPORTRANGE(""https://docs.google.com/spreadsheets/d/1-uDff_7J0KD5mKrp0Vvzr7lt3OU09vwQwhkpOPPYv2Y/edit?usp=sharing"",""งบพรบ!FZ68"")"),0)</f>
        <v>0</v>
      </c>
      <c r="H68" s="151">
        <f ca="1">IFERROR(__xludf.DUMMYFUNCTION("IMPORTRANGE(""https://docs.google.com/spreadsheets/d/1-uDff_7J0KD5mKrp0Vvzr7lt3OU09vwQwhkpOPPYv2Y/edit?usp=sharing"",""งบพรบ!GB68"")"),0)</f>
        <v>0</v>
      </c>
      <c r="I68" s="151">
        <f ca="1">IFERROR(__xludf.DUMMYFUNCTION("IMPORTRANGE(""https://docs.google.com/spreadsheets/d/1-uDff_7J0KD5mKrp0Vvzr7lt3OU09vwQwhkpOPPYv2Y/edit?usp=sharing"",""งบพรบ!GC68"")"),0)</f>
        <v>0</v>
      </c>
      <c r="J68" s="262">
        <f t="shared" ca="1" si="15"/>
        <v>0</v>
      </c>
      <c r="K68" s="476">
        <f t="shared" ca="1" si="16"/>
        <v>0</v>
      </c>
      <c r="L68" s="151">
        <f ca="1">IFERROR(__xludf.DUMMYFUNCTION("IMPORTRANGE(""https://docs.google.com/spreadsheets/d/1-uDff_7J0KD5mKrp0Vvzr7lt3OU09vwQwhkpOPPYv2Y/edit?usp=sharing"",""งบพรบ!GD68"")"),0)</f>
        <v>0</v>
      </c>
      <c r="M68" s="260">
        <f t="shared" ca="1" si="17"/>
        <v>0</v>
      </c>
      <c r="N68" s="260">
        <f t="shared" ca="1" si="18"/>
        <v>0</v>
      </c>
      <c r="O68" s="151">
        <f ca="1">IFERROR(__xludf.DUMMYFUNCTION("IMPORTRANGE(""https://docs.google.com/spreadsheets/d/1-uDff_7J0KD5mKrp0Vvzr7lt3OU09vwQwhkpOPPYv2Y/edit?usp=sharing"",""งบพรบ!GE68"")"),0)</f>
        <v>0</v>
      </c>
      <c r="P68" s="475">
        <f t="shared" ca="1" si="19"/>
        <v>0</v>
      </c>
      <c r="Q68" s="260">
        <f t="shared" ca="1" si="20"/>
        <v>0</v>
      </c>
      <c r="R68" s="278">
        <v>0</v>
      </c>
      <c r="S68" s="152">
        <v>0</v>
      </c>
      <c r="T68" s="216">
        <f t="shared" si="22"/>
        <v>0</v>
      </c>
    </row>
    <row r="69" spans="1:21" ht="19.5" x14ac:dyDescent="0.3">
      <c r="A69" s="147">
        <v>17</v>
      </c>
      <c r="B69" s="148" t="s">
        <v>97</v>
      </c>
      <c r="C69" s="472">
        <f t="shared" ca="1" si="13"/>
        <v>0</v>
      </c>
      <c r="D69" s="473">
        <f t="shared" ca="1" si="29"/>
        <v>0</v>
      </c>
      <c r="E69" s="151">
        <f ca="1">IFERROR(__xludf.DUMMYFUNCTION("IMPORTRANGE(""https://docs.google.com/spreadsheets/d/1-uDff_7J0KD5mKrp0Vvzr7lt3OU09vwQwhkpOPPYv2Y/edit?usp=sharing"",""งบพรบ!FX69"")"),0)</f>
        <v>0</v>
      </c>
      <c r="F69" s="151">
        <f ca="1">IFERROR(__xludf.DUMMYFUNCTION("IMPORTRANGE(""https://docs.google.com/spreadsheets/d/1-uDff_7J0KD5mKrp0Vvzr7lt3OU09vwQwhkpOPPYv2Y/edit?usp=sharing"",""งบพรบ!FY69"")"),0)</f>
        <v>0</v>
      </c>
      <c r="G69" s="151">
        <f ca="1">IFERROR(__xludf.DUMMYFUNCTION("IMPORTRANGE(""https://docs.google.com/spreadsheets/d/1-uDff_7J0KD5mKrp0Vvzr7lt3OU09vwQwhkpOPPYv2Y/edit?usp=sharing"",""งบพรบ!FZ69"")"),0)</f>
        <v>0</v>
      </c>
      <c r="H69" s="151">
        <f ca="1">IFERROR(__xludf.DUMMYFUNCTION("IMPORTRANGE(""https://docs.google.com/spreadsheets/d/1-uDff_7J0KD5mKrp0Vvzr7lt3OU09vwQwhkpOPPYv2Y/edit?usp=sharing"",""งบพรบ!GB69"")"),0)</f>
        <v>0</v>
      </c>
      <c r="I69" s="151">
        <f ca="1">IFERROR(__xludf.DUMMYFUNCTION("IMPORTRANGE(""https://docs.google.com/spreadsheets/d/1-uDff_7J0KD5mKrp0Vvzr7lt3OU09vwQwhkpOPPYv2Y/edit?usp=sharing"",""งบพรบ!GC69"")"),0)</f>
        <v>0</v>
      </c>
      <c r="J69" s="262">
        <f t="shared" ca="1" si="15"/>
        <v>0</v>
      </c>
      <c r="K69" s="476">
        <f t="shared" ca="1" si="16"/>
        <v>0</v>
      </c>
      <c r="L69" s="151">
        <f ca="1">IFERROR(__xludf.DUMMYFUNCTION("IMPORTRANGE(""https://docs.google.com/spreadsheets/d/1-uDff_7J0KD5mKrp0Vvzr7lt3OU09vwQwhkpOPPYv2Y/edit?usp=sharing"",""งบพรบ!GD69"")"),0)</f>
        <v>0</v>
      </c>
      <c r="M69" s="260">
        <f t="shared" ca="1" si="17"/>
        <v>0</v>
      </c>
      <c r="N69" s="260">
        <f t="shared" ca="1" si="18"/>
        <v>0</v>
      </c>
      <c r="O69" s="151">
        <f ca="1">IFERROR(__xludf.DUMMYFUNCTION("IMPORTRANGE(""https://docs.google.com/spreadsheets/d/1-uDff_7J0KD5mKrp0Vvzr7lt3OU09vwQwhkpOPPYv2Y/edit?usp=sharing"",""งบพรบ!GE69"")"),0)</f>
        <v>0</v>
      </c>
      <c r="P69" s="475">
        <f t="shared" ca="1" si="19"/>
        <v>0</v>
      </c>
      <c r="Q69" s="260">
        <f t="shared" ca="1" si="20"/>
        <v>0</v>
      </c>
      <c r="R69" s="278">
        <v>0</v>
      </c>
      <c r="S69" s="152">
        <v>0</v>
      </c>
      <c r="T69" s="216">
        <f t="shared" si="22"/>
        <v>0</v>
      </c>
    </row>
    <row r="70" spans="1:21" ht="19.5" x14ac:dyDescent="0.3">
      <c r="A70" s="147">
        <v>18</v>
      </c>
      <c r="B70" s="148" t="s">
        <v>98</v>
      </c>
      <c r="C70" s="472">
        <f t="shared" ca="1" si="13"/>
        <v>0</v>
      </c>
      <c r="D70" s="473">
        <f t="shared" ca="1" si="29"/>
        <v>0</v>
      </c>
      <c r="E70" s="151">
        <f ca="1">IFERROR(__xludf.DUMMYFUNCTION("IMPORTRANGE(""https://docs.google.com/spreadsheets/d/1-uDff_7J0KD5mKrp0Vvzr7lt3OU09vwQwhkpOPPYv2Y/edit?usp=sharing"",""งบพรบ!FX70"")"),0)</f>
        <v>0</v>
      </c>
      <c r="F70" s="151">
        <f ca="1">IFERROR(__xludf.DUMMYFUNCTION("IMPORTRANGE(""https://docs.google.com/spreadsheets/d/1-uDff_7J0KD5mKrp0Vvzr7lt3OU09vwQwhkpOPPYv2Y/edit?usp=sharing"",""งบพรบ!FY70"")"),0)</f>
        <v>0</v>
      </c>
      <c r="G70" s="151">
        <f ca="1">IFERROR(__xludf.DUMMYFUNCTION("IMPORTRANGE(""https://docs.google.com/spreadsheets/d/1-uDff_7J0KD5mKrp0Vvzr7lt3OU09vwQwhkpOPPYv2Y/edit?usp=sharing"",""งบพรบ!FZ70"")"),0)</f>
        <v>0</v>
      </c>
      <c r="H70" s="151">
        <f ca="1">IFERROR(__xludf.DUMMYFUNCTION("IMPORTRANGE(""https://docs.google.com/spreadsheets/d/1-uDff_7J0KD5mKrp0Vvzr7lt3OU09vwQwhkpOPPYv2Y/edit?usp=sharing"",""งบพรบ!GB70"")"),0)</f>
        <v>0</v>
      </c>
      <c r="I70" s="151">
        <f ca="1">IFERROR(__xludf.DUMMYFUNCTION("IMPORTRANGE(""https://docs.google.com/spreadsheets/d/1-uDff_7J0KD5mKrp0Vvzr7lt3OU09vwQwhkpOPPYv2Y/edit?usp=sharing"",""งบพรบ!GC70"")"),0)</f>
        <v>0</v>
      </c>
      <c r="J70" s="262">
        <f t="shared" ca="1" si="15"/>
        <v>0</v>
      </c>
      <c r="K70" s="476">
        <f t="shared" ca="1" si="16"/>
        <v>0</v>
      </c>
      <c r="L70" s="151">
        <f ca="1">IFERROR(__xludf.DUMMYFUNCTION("IMPORTRANGE(""https://docs.google.com/spreadsheets/d/1-uDff_7J0KD5mKrp0Vvzr7lt3OU09vwQwhkpOPPYv2Y/edit?usp=sharing"",""งบพรบ!GD70"")"),0)</f>
        <v>0</v>
      </c>
      <c r="M70" s="260">
        <f t="shared" ca="1" si="17"/>
        <v>0</v>
      </c>
      <c r="N70" s="260">
        <f t="shared" ca="1" si="18"/>
        <v>0</v>
      </c>
      <c r="O70" s="151">
        <f ca="1">IFERROR(__xludf.DUMMYFUNCTION("IMPORTRANGE(""https://docs.google.com/spreadsheets/d/1-uDff_7J0KD5mKrp0Vvzr7lt3OU09vwQwhkpOPPYv2Y/edit?usp=sharing"",""งบพรบ!GE70"")"),0)</f>
        <v>0</v>
      </c>
      <c r="P70" s="475">
        <f t="shared" ca="1" si="19"/>
        <v>0</v>
      </c>
      <c r="Q70" s="260">
        <f t="shared" ca="1" si="20"/>
        <v>0</v>
      </c>
      <c r="R70" s="278">
        <v>0</v>
      </c>
      <c r="S70" s="152">
        <v>0</v>
      </c>
      <c r="T70" s="216">
        <f t="shared" si="22"/>
        <v>0</v>
      </c>
    </row>
    <row r="71" spans="1:21" ht="19.5" x14ac:dyDescent="0.3">
      <c r="A71" s="147">
        <v>19</v>
      </c>
      <c r="B71" s="148" t="s">
        <v>99</v>
      </c>
      <c r="C71" s="472">
        <f t="shared" ca="1" si="13"/>
        <v>0</v>
      </c>
      <c r="D71" s="473">
        <f t="shared" ca="1" si="29"/>
        <v>0</v>
      </c>
      <c r="E71" s="151">
        <f ca="1">IFERROR(__xludf.DUMMYFUNCTION("IMPORTRANGE(""https://docs.google.com/spreadsheets/d/1-uDff_7J0KD5mKrp0Vvzr7lt3OU09vwQwhkpOPPYv2Y/edit?usp=sharing"",""งบพรบ!FX71"")"),0)</f>
        <v>0</v>
      </c>
      <c r="F71" s="151">
        <f ca="1">IFERROR(__xludf.DUMMYFUNCTION("IMPORTRANGE(""https://docs.google.com/spreadsheets/d/1-uDff_7J0KD5mKrp0Vvzr7lt3OU09vwQwhkpOPPYv2Y/edit?usp=sharing"",""งบพรบ!FY71"")"),0)</f>
        <v>0</v>
      </c>
      <c r="G71" s="151">
        <f ca="1">IFERROR(__xludf.DUMMYFUNCTION("IMPORTRANGE(""https://docs.google.com/spreadsheets/d/1-uDff_7J0KD5mKrp0Vvzr7lt3OU09vwQwhkpOPPYv2Y/edit?usp=sharing"",""งบพรบ!FZ71"")"),0)</f>
        <v>0</v>
      </c>
      <c r="H71" s="151">
        <f ca="1">IFERROR(__xludf.DUMMYFUNCTION("IMPORTRANGE(""https://docs.google.com/spreadsheets/d/1-uDff_7J0KD5mKrp0Vvzr7lt3OU09vwQwhkpOPPYv2Y/edit?usp=sharing"",""งบพรบ!GB71"")"),0)</f>
        <v>0</v>
      </c>
      <c r="I71" s="151">
        <f ca="1">IFERROR(__xludf.DUMMYFUNCTION("IMPORTRANGE(""https://docs.google.com/spreadsheets/d/1-uDff_7J0KD5mKrp0Vvzr7lt3OU09vwQwhkpOPPYv2Y/edit?usp=sharing"",""งบพรบ!GC71"")"),0)</f>
        <v>0</v>
      </c>
      <c r="J71" s="262">
        <f t="shared" ca="1" si="15"/>
        <v>0</v>
      </c>
      <c r="K71" s="476">
        <f t="shared" ca="1" si="16"/>
        <v>0</v>
      </c>
      <c r="L71" s="151">
        <f ca="1">IFERROR(__xludf.DUMMYFUNCTION("IMPORTRANGE(""https://docs.google.com/spreadsheets/d/1-uDff_7J0KD5mKrp0Vvzr7lt3OU09vwQwhkpOPPYv2Y/edit?usp=sharing"",""งบพรบ!GD71"")"),0)</f>
        <v>0</v>
      </c>
      <c r="M71" s="260">
        <f t="shared" ca="1" si="17"/>
        <v>0</v>
      </c>
      <c r="N71" s="260">
        <f t="shared" ca="1" si="18"/>
        <v>0</v>
      </c>
      <c r="O71" s="151">
        <f ca="1">IFERROR(__xludf.DUMMYFUNCTION("IMPORTRANGE(""https://docs.google.com/spreadsheets/d/1-uDff_7J0KD5mKrp0Vvzr7lt3OU09vwQwhkpOPPYv2Y/edit?usp=sharing"",""งบพรบ!GE71"")"),0)</f>
        <v>0</v>
      </c>
      <c r="P71" s="475">
        <f t="shared" ca="1" si="19"/>
        <v>0</v>
      </c>
      <c r="Q71" s="260">
        <f t="shared" ca="1" si="20"/>
        <v>0</v>
      </c>
      <c r="R71" s="278">
        <v>0</v>
      </c>
      <c r="S71" s="152">
        <v>0</v>
      </c>
      <c r="T71" s="216">
        <f t="shared" si="22"/>
        <v>0</v>
      </c>
    </row>
    <row r="72" spans="1:21" ht="19.5" x14ac:dyDescent="0.3">
      <c r="A72" s="147">
        <v>20</v>
      </c>
      <c r="B72" s="148" t="s">
        <v>100</v>
      </c>
      <c r="C72" s="472">
        <f t="shared" ca="1" si="13"/>
        <v>0</v>
      </c>
      <c r="D72" s="473">
        <f t="shared" ca="1" si="29"/>
        <v>0</v>
      </c>
      <c r="E72" s="151">
        <f ca="1">IFERROR(__xludf.DUMMYFUNCTION("IMPORTRANGE(""https://docs.google.com/spreadsheets/d/1-uDff_7J0KD5mKrp0Vvzr7lt3OU09vwQwhkpOPPYv2Y/edit?usp=sharing"",""งบพรบ!FX72"")"),0)</f>
        <v>0</v>
      </c>
      <c r="F72" s="151">
        <f ca="1">IFERROR(__xludf.DUMMYFUNCTION("IMPORTRANGE(""https://docs.google.com/spreadsheets/d/1-uDff_7J0KD5mKrp0Vvzr7lt3OU09vwQwhkpOPPYv2Y/edit?usp=sharing"",""งบพรบ!FY72"")"),0)</f>
        <v>0</v>
      </c>
      <c r="G72" s="151">
        <f ca="1">IFERROR(__xludf.DUMMYFUNCTION("IMPORTRANGE(""https://docs.google.com/spreadsheets/d/1-uDff_7J0KD5mKrp0Vvzr7lt3OU09vwQwhkpOPPYv2Y/edit?usp=sharing"",""งบพรบ!FZ72"")"),0)</f>
        <v>0</v>
      </c>
      <c r="H72" s="151">
        <f ca="1">IFERROR(__xludf.DUMMYFUNCTION("IMPORTRANGE(""https://docs.google.com/spreadsheets/d/1-uDff_7J0KD5mKrp0Vvzr7lt3OU09vwQwhkpOPPYv2Y/edit?usp=sharing"",""งบพรบ!GB72"")"),0)</f>
        <v>0</v>
      </c>
      <c r="I72" s="151">
        <f ca="1">IFERROR(__xludf.DUMMYFUNCTION("IMPORTRANGE(""https://docs.google.com/spreadsheets/d/1-uDff_7J0KD5mKrp0Vvzr7lt3OU09vwQwhkpOPPYv2Y/edit?usp=sharing"",""งบพรบ!GC72"")"),0)</f>
        <v>0</v>
      </c>
      <c r="J72" s="262">
        <f t="shared" ca="1" si="15"/>
        <v>0</v>
      </c>
      <c r="K72" s="476">
        <f t="shared" ca="1" si="16"/>
        <v>0</v>
      </c>
      <c r="L72" s="151">
        <f ca="1">IFERROR(__xludf.DUMMYFUNCTION("IMPORTRANGE(""https://docs.google.com/spreadsheets/d/1-uDff_7J0KD5mKrp0Vvzr7lt3OU09vwQwhkpOPPYv2Y/edit?usp=sharing"",""งบพรบ!GD72"")"),0)</f>
        <v>0</v>
      </c>
      <c r="M72" s="260">
        <f t="shared" ca="1" si="17"/>
        <v>0</v>
      </c>
      <c r="N72" s="260">
        <f t="shared" ca="1" si="18"/>
        <v>0</v>
      </c>
      <c r="O72" s="151">
        <f ca="1">IFERROR(__xludf.DUMMYFUNCTION("IMPORTRANGE(""https://docs.google.com/spreadsheets/d/1-uDff_7J0KD5mKrp0Vvzr7lt3OU09vwQwhkpOPPYv2Y/edit?usp=sharing"",""งบพรบ!GE72"")"),0)</f>
        <v>0</v>
      </c>
      <c r="P72" s="475">
        <f t="shared" ca="1" si="19"/>
        <v>0</v>
      </c>
      <c r="Q72" s="260">
        <f t="shared" ca="1" si="20"/>
        <v>0</v>
      </c>
      <c r="R72" s="278">
        <v>0</v>
      </c>
      <c r="S72" s="152">
        <v>0</v>
      </c>
      <c r="T72" s="216">
        <f t="shared" si="22"/>
        <v>0</v>
      </c>
    </row>
    <row r="73" spans="1:21" ht="19.5" x14ac:dyDescent="0.3">
      <c r="A73" s="155">
        <v>21</v>
      </c>
      <c r="B73" s="156" t="s">
        <v>101</v>
      </c>
      <c r="C73" s="477">
        <f t="shared" ca="1" si="13"/>
        <v>0</v>
      </c>
      <c r="D73" s="478">
        <f t="shared" ca="1" si="29"/>
        <v>0</v>
      </c>
      <c r="E73" s="159">
        <f ca="1">IFERROR(__xludf.DUMMYFUNCTION("IMPORTRANGE(""https://docs.google.com/spreadsheets/d/1-uDff_7J0KD5mKrp0Vvzr7lt3OU09vwQwhkpOPPYv2Y/edit?usp=sharing"",""งบพรบ!FX73"")"),0)</f>
        <v>0</v>
      </c>
      <c r="F73" s="159">
        <f ca="1">IFERROR(__xludf.DUMMYFUNCTION("IMPORTRANGE(""https://docs.google.com/spreadsheets/d/1-uDff_7J0KD5mKrp0Vvzr7lt3OU09vwQwhkpOPPYv2Y/edit?usp=sharing"",""งบพรบ!FY73"")"),0)</f>
        <v>0</v>
      </c>
      <c r="G73" s="159">
        <f ca="1">IFERROR(__xludf.DUMMYFUNCTION("IMPORTRANGE(""https://docs.google.com/spreadsheets/d/1-uDff_7J0KD5mKrp0Vvzr7lt3OU09vwQwhkpOPPYv2Y/edit?usp=sharing"",""งบพรบ!FZ73"")"),0)</f>
        <v>0</v>
      </c>
      <c r="H73" s="159">
        <f ca="1">IFERROR(__xludf.DUMMYFUNCTION("IMPORTRANGE(""https://docs.google.com/spreadsheets/d/1-uDff_7J0KD5mKrp0Vvzr7lt3OU09vwQwhkpOPPYv2Y/edit?usp=sharing"",""งบพรบ!GB73"")"),0)</f>
        <v>0</v>
      </c>
      <c r="I73" s="159">
        <f ca="1">IFERROR(__xludf.DUMMYFUNCTION("IMPORTRANGE(""https://docs.google.com/spreadsheets/d/1-uDff_7J0KD5mKrp0Vvzr7lt3OU09vwQwhkpOPPYv2Y/edit?usp=sharing"",""งบพรบ!GC73"")"),0)</f>
        <v>0</v>
      </c>
      <c r="J73" s="479">
        <f t="shared" ca="1" si="15"/>
        <v>0</v>
      </c>
      <c r="K73" s="480">
        <f t="shared" ca="1" si="16"/>
        <v>0</v>
      </c>
      <c r="L73" s="159">
        <f ca="1">IFERROR(__xludf.DUMMYFUNCTION("IMPORTRANGE(""https://docs.google.com/spreadsheets/d/1-uDff_7J0KD5mKrp0Vvzr7lt3OU09vwQwhkpOPPYv2Y/edit?usp=sharing"",""งบพรบ!GD73"")"),0)</f>
        <v>0</v>
      </c>
      <c r="M73" s="481">
        <f t="shared" ca="1" si="17"/>
        <v>0</v>
      </c>
      <c r="N73" s="481">
        <f t="shared" ca="1" si="18"/>
        <v>0</v>
      </c>
      <c r="O73" s="159">
        <f ca="1">IFERROR(__xludf.DUMMYFUNCTION("IMPORTRANGE(""https://docs.google.com/spreadsheets/d/1-uDff_7J0KD5mKrp0Vvzr7lt3OU09vwQwhkpOPPYv2Y/edit?usp=sharing"",""งบพรบ!GE73"")"),0)</f>
        <v>0</v>
      </c>
      <c r="P73" s="482">
        <f t="shared" ca="1" si="19"/>
        <v>0</v>
      </c>
      <c r="Q73" s="481">
        <f t="shared" ca="1" si="20"/>
        <v>0</v>
      </c>
      <c r="R73" s="487">
        <v>0</v>
      </c>
      <c r="S73" s="488">
        <v>0</v>
      </c>
      <c r="T73" s="218">
        <f t="shared" si="22"/>
        <v>0</v>
      </c>
    </row>
    <row r="74" spans="1:21" ht="19.5" x14ac:dyDescent="0.3">
      <c r="A74" s="696" t="s">
        <v>102</v>
      </c>
      <c r="B74" s="662"/>
      <c r="C74" s="601">
        <f t="shared" ca="1" si="13"/>
        <v>0</v>
      </c>
      <c r="D74" s="601">
        <f t="shared" ref="D74:I74" ca="1" si="30">SUM(D75:D88)</f>
        <v>0</v>
      </c>
      <c r="E74" s="601">
        <f t="shared" ca="1" si="30"/>
        <v>0</v>
      </c>
      <c r="F74" s="601">
        <f t="shared" ca="1" si="30"/>
        <v>0</v>
      </c>
      <c r="G74" s="601">
        <f t="shared" ca="1" si="30"/>
        <v>0</v>
      </c>
      <c r="H74" s="601">
        <f t="shared" ca="1" si="30"/>
        <v>0</v>
      </c>
      <c r="I74" s="601">
        <f t="shared" ca="1" si="30"/>
        <v>0</v>
      </c>
      <c r="J74" s="601">
        <f t="shared" ca="1" si="15"/>
        <v>0</v>
      </c>
      <c r="K74" s="602">
        <f t="shared" ca="1" si="16"/>
        <v>0</v>
      </c>
      <c r="L74" s="601">
        <f ca="1">SUM(L75:L88)</f>
        <v>0</v>
      </c>
      <c r="M74" s="603">
        <f t="shared" ca="1" si="17"/>
        <v>0</v>
      </c>
      <c r="N74" s="603">
        <f t="shared" ca="1" si="18"/>
        <v>0</v>
      </c>
      <c r="O74" s="604">
        <f ca="1">SUM(O75:O88)</f>
        <v>0</v>
      </c>
      <c r="P74" s="604">
        <f t="shared" ca="1" si="19"/>
        <v>0</v>
      </c>
      <c r="Q74" s="603">
        <f t="shared" ca="1" si="20"/>
        <v>0</v>
      </c>
      <c r="R74" s="282">
        <f t="shared" ref="R74:S74" si="31">SUM(R75:R88)</f>
        <v>0</v>
      </c>
      <c r="S74" s="369">
        <f t="shared" si="31"/>
        <v>0</v>
      </c>
      <c r="T74" s="94">
        <f t="shared" si="22"/>
        <v>0</v>
      </c>
      <c r="U74" s="600"/>
    </row>
    <row r="75" spans="1:21" ht="19.5" x14ac:dyDescent="0.3">
      <c r="A75" s="147">
        <v>1</v>
      </c>
      <c r="B75" s="148" t="s">
        <v>103</v>
      </c>
      <c r="C75" s="472">
        <f t="shared" ca="1" si="13"/>
        <v>0</v>
      </c>
      <c r="D75" s="473">
        <f t="shared" ref="D75:D88" ca="1" si="32">+E75+F75</f>
        <v>0</v>
      </c>
      <c r="E75" s="151">
        <f ca="1">IFERROR(__xludf.DUMMYFUNCTION("IMPORTRANGE(""https://docs.google.com/spreadsheets/d/1-uDff_7J0KD5mKrp0Vvzr7lt3OU09vwQwhkpOPPYv2Y/edit?usp=sharing"",""งบพรบ!FX75"")"),0)</f>
        <v>0</v>
      </c>
      <c r="F75" s="151">
        <f ca="1">IFERROR(__xludf.DUMMYFUNCTION("IMPORTRANGE(""https://docs.google.com/spreadsheets/d/1-uDff_7J0KD5mKrp0Vvzr7lt3OU09vwQwhkpOPPYv2Y/edit?usp=sharing"",""งบพรบ!FY75"")"),0)</f>
        <v>0</v>
      </c>
      <c r="G75" s="151">
        <f ca="1">IFERROR(__xludf.DUMMYFUNCTION("IMPORTRANGE(""https://docs.google.com/spreadsheets/d/1-uDff_7J0KD5mKrp0Vvzr7lt3OU09vwQwhkpOPPYv2Y/edit?usp=sharing"",""งบพรบ!FZ75"")"),0)</f>
        <v>0</v>
      </c>
      <c r="H75" s="151">
        <f ca="1">IFERROR(__xludf.DUMMYFUNCTION("IMPORTRANGE(""https://docs.google.com/spreadsheets/d/1-uDff_7J0KD5mKrp0Vvzr7lt3OU09vwQwhkpOPPYv2Y/edit?usp=sharing"",""งบพรบ!GB75"")"),0)</f>
        <v>0</v>
      </c>
      <c r="I75" s="151">
        <f ca="1">IFERROR(__xludf.DUMMYFUNCTION("IMPORTRANGE(""https://docs.google.com/spreadsheets/d/1-uDff_7J0KD5mKrp0Vvzr7lt3OU09vwQwhkpOPPYv2Y/edit?usp=sharing"",""งบพรบ!GC75"")"),0)</f>
        <v>0</v>
      </c>
      <c r="J75" s="262">
        <f t="shared" ca="1" si="15"/>
        <v>0</v>
      </c>
      <c r="K75" s="476">
        <f t="shared" ca="1" si="16"/>
        <v>0</v>
      </c>
      <c r="L75" s="151">
        <f ca="1">IFERROR(__xludf.DUMMYFUNCTION("IMPORTRANGE(""https://docs.google.com/spreadsheets/d/1-uDff_7J0KD5mKrp0Vvzr7lt3OU09vwQwhkpOPPYv2Y/edit?usp=sharing"",""งบพรบ!GD75"")"),0)</f>
        <v>0</v>
      </c>
      <c r="M75" s="260">
        <f t="shared" ca="1" si="17"/>
        <v>0</v>
      </c>
      <c r="N75" s="260">
        <f t="shared" ca="1" si="18"/>
        <v>0</v>
      </c>
      <c r="O75" s="151">
        <f ca="1">IFERROR(__xludf.DUMMYFUNCTION("IMPORTRANGE(""https://docs.google.com/spreadsheets/d/1-uDff_7J0KD5mKrp0Vvzr7lt3OU09vwQwhkpOPPYv2Y/edit?usp=sharing"",""งบพรบ!GE75"")"),0)</f>
        <v>0</v>
      </c>
      <c r="P75" s="475">
        <f t="shared" ca="1" si="19"/>
        <v>0</v>
      </c>
      <c r="Q75" s="260">
        <f t="shared" ca="1" si="20"/>
        <v>0</v>
      </c>
      <c r="R75" s="278">
        <v>0</v>
      </c>
      <c r="S75" s="152">
        <v>0</v>
      </c>
      <c r="T75" s="216">
        <f t="shared" si="22"/>
        <v>0</v>
      </c>
    </row>
    <row r="76" spans="1:21" ht="19.5" x14ac:dyDescent="0.3">
      <c r="A76" s="147">
        <v>2</v>
      </c>
      <c r="B76" s="148" t="s">
        <v>104</v>
      </c>
      <c r="C76" s="472">
        <f t="shared" ca="1" si="13"/>
        <v>0</v>
      </c>
      <c r="D76" s="473">
        <f t="shared" ca="1" si="32"/>
        <v>0</v>
      </c>
      <c r="E76" s="151">
        <f ca="1">IFERROR(__xludf.DUMMYFUNCTION("IMPORTRANGE(""https://docs.google.com/spreadsheets/d/1-uDff_7J0KD5mKrp0Vvzr7lt3OU09vwQwhkpOPPYv2Y/edit?usp=sharing"",""งบพรบ!FX76"")"),0)</f>
        <v>0</v>
      </c>
      <c r="F76" s="151">
        <f ca="1">IFERROR(__xludf.DUMMYFUNCTION("IMPORTRANGE(""https://docs.google.com/spreadsheets/d/1-uDff_7J0KD5mKrp0Vvzr7lt3OU09vwQwhkpOPPYv2Y/edit?usp=sharing"",""งบพรบ!FY76"")"),0)</f>
        <v>0</v>
      </c>
      <c r="G76" s="151">
        <f ca="1">IFERROR(__xludf.DUMMYFUNCTION("IMPORTRANGE(""https://docs.google.com/spreadsheets/d/1-uDff_7J0KD5mKrp0Vvzr7lt3OU09vwQwhkpOPPYv2Y/edit?usp=sharing"",""งบพรบ!FZ76"")"),0)</f>
        <v>0</v>
      </c>
      <c r="H76" s="151">
        <f ca="1">IFERROR(__xludf.DUMMYFUNCTION("IMPORTRANGE(""https://docs.google.com/spreadsheets/d/1-uDff_7J0KD5mKrp0Vvzr7lt3OU09vwQwhkpOPPYv2Y/edit?usp=sharing"",""งบพรบ!GB76"")"),0)</f>
        <v>0</v>
      </c>
      <c r="I76" s="151">
        <f ca="1">IFERROR(__xludf.DUMMYFUNCTION("IMPORTRANGE(""https://docs.google.com/spreadsheets/d/1-uDff_7J0KD5mKrp0Vvzr7lt3OU09vwQwhkpOPPYv2Y/edit?usp=sharing"",""งบพรบ!GC76"")"),0)</f>
        <v>0</v>
      </c>
      <c r="J76" s="262">
        <f t="shared" ca="1" si="15"/>
        <v>0</v>
      </c>
      <c r="K76" s="476">
        <f t="shared" ca="1" si="16"/>
        <v>0</v>
      </c>
      <c r="L76" s="151">
        <f ca="1">IFERROR(__xludf.DUMMYFUNCTION("IMPORTRANGE(""https://docs.google.com/spreadsheets/d/1-uDff_7J0KD5mKrp0Vvzr7lt3OU09vwQwhkpOPPYv2Y/edit?usp=sharing"",""งบพรบ!GD76"")"),0)</f>
        <v>0</v>
      </c>
      <c r="M76" s="260">
        <f t="shared" ca="1" si="17"/>
        <v>0</v>
      </c>
      <c r="N76" s="260">
        <f t="shared" ca="1" si="18"/>
        <v>0</v>
      </c>
      <c r="O76" s="151">
        <f ca="1">IFERROR(__xludf.DUMMYFUNCTION("IMPORTRANGE(""https://docs.google.com/spreadsheets/d/1-uDff_7J0KD5mKrp0Vvzr7lt3OU09vwQwhkpOPPYv2Y/edit?usp=sharing"",""งบพรบ!GE76"")"),0)</f>
        <v>0</v>
      </c>
      <c r="P76" s="475">
        <f t="shared" ca="1" si="19"/>
        <v>0</v>
      </c>
      <c r="Q76" s="260">
        <f t="shared" ca="1" si="20"/>
        <v>0</v>
      </c>
      <c r="R76" s="278">
        <v>0</v>
      </c>
      <c r="S76" s="152">
        <v>0</v>
      </c>
      <c r="T76" s="216">
        <f t="shared" si="22"/>
        <v>0</v>
      </c>
    </row>
    <row r="77" spans="1:21" ht="19.5" x14ac:dyDescent="0.3">
      <c r="A77" s="147">
        <v>3</v>
      </c>
      <c r="B77" s="148" t="s">
        <v>105</v>
      </c>
      <c r="C77" s="472">
        <f t="shared" ca="1" si="13"/>
        <v>0</v>
      </c>
      <c r="D77" s="473">
        <f t="shared" ca="1" si="32"/>
        <v>0</v>
      </c>
      <c r="E77" s="151">
        <f ca="1">IFERROR(__xludf.DUMMYFUNCTION("IMPORTRANGE(""https://docs.google.com/spreadsheets/d/1-uDff_7J0KD5mKrp0Vvzr7lt3OU09vwQwhkpOPPYv2Y/edit?usp=sharing"",""งบพรบ!FX77"")"),0)</f>
        <v>0</v>
      </c>
      <c r="F77" s="151">
        <f ca="1">IFERROR(__xludf.DUMMYFUNCTION("IMPORTRANGE(""https://docs.google.com/spreadsheets/d/1-uDff_7J0KD5mKrp0Vvzr7lt3OU09vwQwhkpOPPYv2Y/edit?usp=sharing"",""งบพรบ!FY77"")"),0)</f>
        <v>0</v>
      </c>
      <c r="G77" s="151">
        <f ca="1">IFERROR(__xludf.DUMMYFUNCTION("IMPORTRANGE(""https://docs.google.com/spreadsheets/d/1-uDff_7J0KD5mKrp0Vvzr7lt3OU09vwQwhkpOPPYv2Y/edit?usp=sharing"",""งบพรบ!FZ77"")"),0)</f>
        <v>0</v>
      </c>
      <c r="H77" s="151">
        <f ca="1">IFERROR(__xludf.DUMMYFUNCTION("IMPORTRANGE(""https://docs.google.com/spreadsheets/d/1-uDff_7J0KD5mKrp0Vvzr7lt3OU09vwQwhkpOPPYv2Y/edit?usp=sharing"",""งบพรบ!GB77"")"),0)</f>
        <v>0</v>
      </c>
      <c r="I77" s="151">
        <f ca="1">IFERROR(__xludf.DUMMYFUNCTION("IMPORTRANGE(""https://docs.google.com/spreadsheets/d/1-uDff_7J0KD5mKrp0Vvzr7lt3OU09vwQwhkpOPPYv2Y/edit?usp=sharing"",""งบพรบ!GC77"")"),0)</f>
        <v>0</v>
      </c>
      <c r="J77" s="262">
        <f t="shared" ca="1" si="15"/>
        <v>0</v>
      </c>
      <c r="K77" s="476">
        <f t="shared" ca="1" si="16"/>
        <v>0</v>
      </c>
      <c r="L77" s="151">
        <f ca="1">IFERROR(__xludf.DUMMYFUNCTION("IMPORTRANGE(""https://docs.google.com/spreadsheets/d/1-uDff_7J0KD5mKrp0Vvzr7lt3OU09vwQwhkpOPPYv2Y/edit?usp=sharing"",""งบพรบ!GD77"")"),0)</f>
        <v>0</v>
      </c>
      <c r="M77" s="260">
        <f t="shared" ca="1" si="17"/>
        <v>0</v>
      </c>
      <c r="N77" s="260">
        <f t="shared" ca="1" si="18"/>
        <v>0</v>
      </c>
      <c r="O77" s="151">
        <f ca="1">IFERROR(__xludf.DUMMYFUNCTION("IMPORTRANGE(""https://docs.google.com/spreadsheets/d/1-uDff_7J0KD5mKrp0Vvzr7lt3OU09vwQwhkpOPPYv2Y/edit?usp=sharing"",""งบพรบ!GE77"")"),0)</f>
        <v>0</v>
      </c>
      <c r="P77" s="475">
        <f t="shared" ca="1" si="19"/>
        <v>0</v>
      </c>
      <c r="Q77" s="260">
        <f t="shared" ca="1" si="20"/>
        <v>0</v>
      </c>
      <c r="R77" s="278">
        <v>0</v>
      </c>
      <c r="S77" s="152">
        <v>0</v>
      </c>
      <c r="T77" s="216">
        <f t="shared" si="22"/>
        <v>0</v>
      </c>
    </row>
    <row r="78" spans="1:21" ht="19.5" x14ac:dyDescent="0.3">
      <c r="A78" s="147">
        <v>4</v>
      </c>
      <c r="B78" s="148" t="s">
        <v>106</v>
      </c>
      <c r="C78" s="472">
        <f t="shared" ca="1" si="13"/>
        <v>0</v>
      </c>
      <c r="D78" s="473">
        <f t="shared" ca="1" si="32"/>
        <v>0</v>
      </c>
      <c r="E78" s="151">
        <f ca="1">IFERROR(__xludf.DUMMYFUNCTION("IMPORTRANGE(""https://docs.google.com/spreadsheets/d/1-uDff_7J0KD5mKrp0Vvzr7lt3OU09vwQwhkpOPPYv2Y/edit?usp=sharing"",""งบพรบ!FX78"")"),0)</f>
        <v>0</v>
      </c>
      <c r="F78" s="151">
        <f ca="1">IFERROR(__xludf.DUMMYFUNCTION("IMPORTRANGE(""https://docs.google.com/spreadsheets/d/1-uDff_7J0KD5mKrp0Vvzr7lt3OU09vwQwhkpOPPYv2Y/edit?usp=sharing"",""งบพรบ!FY78"")"),0)</f>
        <v>0</v>
      </c>
      <c r="G78" s="151">
        <f ca="1">IFERROR(__xludf.DUMMYFUNCTION("IMPORTRANGE(""https://docs.google.com/spreadsheets/d/1-uDff_7J0KD5mKrp0Vvzr7lt3OU09vwQwhkpOPPYv2Y/edit?usp=sharing"",""งบพรบ!FZ78"")"),0)</f>
        <v>0</v>
      </c>
      <c r="H78" s="151">
        <f ca="1">IFERROR(__xludf.DUMMYFUNCTION("IMPORTRANGE(""https://docs.google.com/spreadsheets/d/1-uDff_7J0KD5mKrp0Vvzr7lt3OU09vwQwhkpOPPYv2Y/edit?usp=sharing"",""งบพรบ!GB78"")"),0)</f>
        <v>0</v>
      </c>
      <c r="I78" s="151">
        <f ca="1">IFERROR(__xludf.DUMMYFUNCTION("IMPORTRANGE(""https://docs.google.com/spreadsheets/d/1-uDff_7J0KD5mKrp0Vvzr7lt3OU09vwQwhkpOPPYv2Y/edit?usp=sharing"",""งบพรบ!GC78"")"),0)</f>
        <v>0</v>
      </c>
      <c r="J78" s="262">
        <f t="shared" ca="1" si="15"/>
        <v>0</v>
      </c>
      <c r="K78" s="476">
        <f t="shared" ca="1" si="16"/>
        <v>0</v>
      </c>
      <c r="L78" s="151">
        <f ca="1">IFERROR(__xludf.DUMMYFUNCTION("IMPORTRANGE(""https://docs.google.com/spreadsheets/d/1-uDff_7J0KD5mKrp0Vvzr7lt3OU09vwQwhkpOPPYv2Y/edit?usp=sharing"",""งบพรบ!GD78"")"),0)</f>
        <v>0</v>
      </c>
      <c r="M78" s="260">
        <f t="shared" ca="1" si="17"/>
        <v>0</v>
      </c>
      <c r="N78" s="260">
        <f t="shared" ca="1" si="18"/>
        <v>0</v>
      </c>
      <c r="O78" s="151">
        <f ca="1">IFERROR(__xludf.DUMMYFUNCTION("IMPORTRANGE(""https://docs.google.com/spreadsheets/d/1-uDff_7J0KD5mKrp0Vvzr7lt3OU09vwQwhkpOPPYv2Y/edit?usp=sharing"",""งบพรบ!GE78"")"),0)</f>
        <v>0</v>
      </c>
      <c r="P78" s="475">
        <f t="shared" ca="1" si="19"/>
        <v>0</v>
      </c>
      <c r="Q78" s="260">
        <f t="shared" ca="1" si="20"/>
        <v>0</v>
      </c>
      <c r="R78" s="278">
        <v>0</v>
      </c>
      <c r="S78" s="152">
        <v>0</v>
      </c>
      <c r="T78" s="216">
        <f t="shared" si="22"/>
        <v>0</v>
      </c>
    </row>
    <row r="79" spans="1:21" ht="19.5" x14ac:dyDescent="0.3">
      <c r="A79" s="147">
        <v>5</v>
      </c>
      <c r="B79" s="148" t="s">
        <v>107</v>
      </c>
      <c r="C79" s="472">
        <f t="shared" ca="1" si="13"/>
        <v>0</v>
      </c>
      <c r="D79" s="473">
        <f t="shared" ca="1" si="32"/>
        <v>0</v>
      </c>
      <c r="E79" s="151">
        <f ca="1">IFERROR(__xludf.DUMMYFUNCTION("IMPORTRANGE(""https://docs.google.com/spreadsheets/d/1-uDff_7J0KD5mKrp0Vvzr7lt3OU09vwQwhkpOPPYv2Y/edit?usp=sharing"",""งบพรบ!FX79"")"),0)</f>
        <v>0</v>
      </c>
      <c r="F79" s="151">
        <f ca="1">IFERROR(__xludf.DUMMYFUNCTION("IMPORTRANGE(""https://docs.google.com/spreadsheets/d/1-uDff_7J0KD5mKrp0Vvzr7lt3OU09vwQwhkpOPPYv2Y/edit?usp=sharing"",""งบพรบ!FY79"")"),0)</f>
        <v>0</v>
      </c>
      <c r="G79" s="151">
        <f ca="1">IFERROR(__xludf.DUMMYFUNCTION("IMPORTRANGE(""https://docs.google.com/spreadsheets/d/1-uDff_7J0KD5mKrp0Vvzr7lt3OU09vwQwhkpOPPYv2Y/edit?usp=sharing"",""งบพรบ!FZ79"")"),0)</f>
        <v>0</v>
      </c>
      <c r="H79" s="151">
        <f ca="1">IFERROR(__xludf.DUMMYFUNCTION("IMPORTRANGE(""https://docs.google.com/spreadsheets/d/1-uDff_7J0KD5mKrp0Vvzr7lt3OU09vwQwhkpOPPYv2Y/edit?usp=sharing"",""งบพรบ!GB79"")"),0)</f>
        <v>0</v>
      </c>
      <c r="I79" s="151">
        <f ca="1">IFERROR(__xludf.DUMMYFUNCTION("IMPORTRANGE(""https://docs.google.com/spreadsheets/d/1-uDff_7J0KD5mKrp0Vvzr7lt3OU09vwQwhkpOPPYv2Y/edit?usp=sharing"",""งบพรบ!GC79"")"),0)</f>
        <v>0</v>
      </c>
      <c r="J79" s="262">
        <f t="shared" ca="1" si="15"/>
        <v>0</v>
      </c>
      <c r="K79" s="476">
        <f t="shared" ca="1" si="16"/>
        <v>0</v>
      </c>
      <c r="L79" s="151">
        <f ca="1">IFERROR(__xludf.DUMMYFUNCTION("IMPORTRANGE(""https://docs.google.com/spreadsheets/d/1-uDff_7J0KD5mKrp0Vvzr7lt3OU09vwQwhkpOPPYv2Y/edit?usp=sharing"",""งบพรบ!GD79"")"),0)</f>
        <v>0</v>
      </c>
      <c r="M79" s="260">
        <f t="shared" ca="1" si="17"/>
        <v>0</v>
      </c>
      <c r="N79" s="260">
        <f t="shared" ca="1" si="18"/>
        <v>0</v>
      </c>
      <c r="O79" s="151">
        <f ca="1">IFERROR(__xludf.DUMMYFUNCTION("IMPORTRANGE(""https://docs.google.com/spreadsheets/d/1-uDff_7J0KD5mKrp0Vvzr7lt3OU09vwQwhkpOPPYv2Y/edit?usp=sharing"",""งบพรบ!GE79"")"),0)</f>
        <v>0</v>
      </c>
      <c r="P79" s="475">
        <f t="shared" ca="1" si="19"/>
        <v>0</v>
      </c>
      <c r="Q79" s="260">
        <f t="shared" ca="1" si="20"/>
        <v>0</v>
      </c>
      <c r="R79" s="278">
        <v>0</v>
      </c>
      <c r="S79" s="152">
        <v>0</v>
      </c>
      <c r="T79" s="216">
        <f t="shared" si="22"/>
        <v>0</v>
      </c>
    </row>
    <row r="80" spans="1:21" ht="19.5" x14ac:dyDescent="0.3">
      <c r="A80" s="147">
        <v>6</v>
      </c>
      <c r="B80" s="148" t="s">
        <v>108</v>
      </c>
      <c r="C80" s="472">
        <f t="shared" ca="1" si="13"/>
        <v>0</v>
      </c>
      <c r="D80" s="473">
        <f t="shared" ca="1" si="32"/>
        <v>0</v>
      </c>
      <c r="E80" s="151">
        <f ca="1">IFERROR(__xludf.DUMMYFUNCTION("IMPORTRANGE(""https://docs.google.com/spreadsheets/d/1-uDff_7J0KD5mKrp0Vvzr7lt3OU09vwQwhkpOPPYv2Y/edit?usp=sharing"",""งบพรบ!FX80"")"),0)</f>
        <v>0</v>
      </c>
      <c r="F80" s="151">
        <f ca="1">IFERROR(__xludf.DUMMYFUNCTION("IMPORTRANGE(""https://docs.google.com/spreadsheets/d/1-uDff_7J0KD5mKrp0Vvzr7lt3OU09vwQwhkpOPPYv2Y/edit?usp=sharing"",""งบพรบ!FY80"")"),0)</f>
        <v>0</v>
      </c>
      <c r="G80" s="151">
        <f ca="1">IFERROR(__xludf.DUMMYFUNCTION("IMPORTRANGE(""https://docs.google.com/spreadsheets/d/1-uDff_7J0KD5mKrp0Vvzr7lt3OU09vwQwhkpOPPYv2Y/edit?usp=sharing"",""งบพรบ!FZ80"")"),0)</f>
        <v>0</v>
      </c>
      <c r="H80" s="151">
        <f ca="1">IFERROR(__xludf.DUMMYFUNCTION("IMPORTRANGE(""https://docs.google.com/spreadsheets/d/1-uDff_7J0KD5mKrp0Vvzr7lt3OU09vwQwhkpOPPYv2Y/edit?usp=sharing"",""งบพรบ!GB80"")"),0)</f>
        <v>0</v>
      </c>
      <c r="I80" s="151">
        <f ca="1">IFERROR(__xludf.DUMMYFUNCTION("IMPORTRANGE(""https://docs.google.com/spreadsheets/d/1-uDff_7J0KD5mKrp0Vvzr7lt3OU09vwQwhkpOPPYv2Y/edit?usp=sharing"",""งบพรบ!GC80"")"),0)</f>
        <v>0</v>
      </c>
      <c r="J80" s="262">
        <f t="shared" ca="1" si="15"/>
        <v>0</v>
      </c>
      <c r="K80" s="476">
        <f t="shared" ca="1" si="16"/>
        <v>0</v>
      </c>
      <c r="L80" s="151">
        <f ca="1">IFERROR(__xludf.DUMMYFUNCTION("IMPORTRANGE(""https://docs.google.com/spreadsheets/d/1-uDff_7J0KD5mKrp0Vvzr7lt3OU09vwQwhkpOPPYv2Y/edit?usp=sharing"",""งบพรบ!GD80"")"),0)</f>
        <v>0</v>
      </c>
      <c r="M80" s="260">
        <f t="shared" ca="1" si="17"/>
        <v>0</v>
      </c>
      <c r="N80" s="260">
        <f t="shared" ca="1" si="18"/>
        <v>0</v>
      </c>
      <c r="O80" s="151">
        <f ca="1">IFERROR(__xludf.DUMMYFUNCTION("IMPORTRANGE(""https://docs.google.com/spreadsheets/d/1-uDff_7J0KD5mKrp0Vvzr7lt3OU09vwQwhkpOPPYv2Y/edit?usp=sharing"",""งบพรบ!GE80"")"),0)</f>
        <v>0</v>
      </c>
      <c r="P80" s="475">
        <f t="shared" ca="1" si="19"/>
        <v>0</v>
      </c>
      <c r="Q80" s="260">
        <f t="shared" ca="1" si="20"/>
        <v>0</v>
      </c>
      <c r="R80" s="278">
        <v>0</v>
      </c>
      <c r="S80" s="152">
        <v>0</v>
      </c>
      <c r="T80" s="216">
        <f t="shared" si="22"/>
        <v>0</v>
      </c>
    </row>
    <row r="81" spans="1:20" ht="19.5" x14ac:dyDescent="0.3">
      <c r="A81" s="147">
        <v>7</v>
      </c>
      <c r="B81" s="148" t="s">
        <v>109</v>
      </c>
      <c r="C81" s="472">
        <f t="shared" ca="1" si="13"/>
        <v>0</v>
      </c>
      <c r="D81" s="473">
        <f t="shared" ca="1" si="32"/>
        <v>0</v>
      </c>
      <c r="E81" s="151">
        <f ca="1">IFERROR(__xludf.DUMMYFUNCTION("IMPORTRANGE(""https://docs.google.com/spreadsheets/d/1-uDff_7J0KD5mKrp0Vvzr7lt3OU09vwQwhkpOPPYv2Y/edit?usp=sharing"",""งบพรบ!FX81"")"),0)</f>
        <v>0</v>
      </c>
      <c r="F81" s="151">
        <f ca="1">IFERROR(__xludf.DUMMYFUNCTION("IMPORTRANGE(""https://docs.google.com/spreadsheets/d/1-uDff_7J0KD5mKrp0Vvzr7lt3OU09vwQwhkpOPPYv2Y/edit?usp=sharing"",""งบพรบ!FY81"")"),0)</f>
        <v>0</v>
      </c>
      <c r="G81" s="151">
        <f ca="1">IFERROR(__xludf.DUMMYFUNCTION("IMPORTRANGE(""https://docs.google.com/spreadsheets/d/1-uDff_7J0KD5mKrp0Vvzr7lt3OU09vwQwhkpOPPYv2Y/edit?usp=sharing"",""งบพรบ!FZ81"")"),0)</f>
        <v>0</v>
      </c>
      <c r="H81" s="151">
        <f ca="1">IFERROR(__xludf.DUMMYFUNCTION("IMPORTRANGE(""https://docs.google.com/spreadsheets/d/1-uDff_7J0KD5mKrp0Vvzr7lt3OU09vwQwhkpOPPYv2Y/edit?usp=sharing"",""งบพรบ!GB81"")"),0)</f>
        <v>0</v>
      </c>
      <c r="I81" s="151">
        <f ca="1">IFERROR(__xludf.DUMMYFUNCTION("IMPORTRANGE(""https://docs.google.com/spreadsheets/d/1-uDff_7J0KD5mKrp0Vvzr7lt3OU09vwQwhkpOPPYv2Y/edit?usp=sharing"",""งบพรบ!GC81"")"),0)</f>
        <v>0</v>
      </c>
      <c r="J81" s="262">
        <f t="shared" ca="1" si="15"/>
        <v>0</v>
      </c>
      <c r="K81" s="476">
        <f t="shared" ca="1" si="16"/>
        <v>0</v>
      </c>
      <c r="L81" s="151">
        <f ca="1">IFERROR(__xludf.DUMMYFUNCTION("IMPORTRANGE(""https://docs.google.com/spreadsheets/d/1-uDff_7J0KD5mKrp0Vvzr7lt3OU09vwQwhkpOPPYv2Y/edit?usp=sharing"",""งบพรบ!GD81"")"),0)</f>
        <v>0</v>
      </c>
      <c r="M81" s="260">
        <f t="shared" ca="1" si="17"/>
        <v>0</v>
      </c>
      <c r="N81" s="260">
        <f t="shared" ca="1" si="18"/>
        <v>0</v>
      </c>
      <c r="O81" s="151">
        <f ca="1">IFERROR(__xludf.DUMMYFUNCTION("IMPORTRANGE(""https://docs.google.com/spreadsheets/d/1-uDff_7J0KD5mKrp0Vvzr7lt3OU09vwQwhkpOPPYv2Y/edit?usp=sharing"",""งบพรบ!GE81"")"),0)</f>
        <v>0</v>
      </c>
      <c r="P81" s="475">
        <f t="shared" ca="1" si="19"/>
        <v>0</v>
      </c>
      <c r="Q81" s="260">
        <f t="shared" ca="1" si="20"/>
        <v>0</v>
      </c>
      <c r="R81" s="278">
        <v>0</v>
      </c>
      <c r="S81" s="152">
        <v>0</v>
      </c>
      <c r="T81" s="216">
        <f t="shared" si="22"/>
        <v>0</v>
      </c>
    </row>
    <row r="82" spans="1:20" ht="19.5" x14ac:dyDescent="0.3">
      <c r="A82" s="147">
        <v>8</v>
      </c>
      <c r="B82" s="148" t="s">
        <v>110</v>
      </c>
      <c r="C82" s="472">
        <f t="shared" ca="1" si="13"/>
        <v>0</v>
      </c>
      <c r="D82" s="473">
        <f t="shared" ca="1" si="32"/>
        <v>0</v>
      </c>
      <c r="E82" s="151">
        <f ca="1">IFERROR(__xludf.DUMMYFUNCTION("IMPORTRANGE(""https://docs.google.com/spreadsheets/d/1-uDff_7J0KD5mKrp0Vvzr7lt3OU09vwQwhkpOPPYv2Y/edit?usp=sharing"",""งบพรบ!FX82"")"),0)</f>
        <v>0</v>
      </c>
      <c r="F82" s="151">
        <f ca="1">IFERROR(__xludf.DUMMYFUNCTION("IMPORTRANGE(""https://docs.google.com/spreadsheets/d/1-uDff_7J0KD5mKrp0Vvzr7lt3OU09vwQwhkpOPPYv2Y/edit?usp=sharing"",""งบพรบ!FY82"")"),0)</f>
        <v>0</v>
      </c>
      <c r="G82" s="151">
        <f ca="1">IFERROR(__xludf.DUMMYFUNCTION("IMPORTRANGE(""https://docs.google.com/spreadsheets/d/1-uDff_7J0KD5mKrp0Vvzr7lt3OU09vwQwhkpOPPYv2Y/edit?usp=sharing"",""งบพรบ!FZ82"")"),0)</f>
        <v>0</v>
      </c>
      <c r="H82" s="151">
        <f ca="1">IFERROR(__xludf.DUMMYFUNCTION("IMPORTRANGE(""https://docs.google.com/spreadsheets/d/1-uDff_7J0KD5mKrp0Vvzr7lt3OU09vwQwhkpOPPYv2Y/edit?usp=sharing"",""งบพรบ!GB82"")"),0)</f>
        <v>0</v>
      </c>
      <c r="I82" s="151">
        <f ca="1">IFERROR(__xludf.DUMMYFUNCTION("IMPORTRANGE(""https://docs.google.com/spreadsheets/d/1-uDff_7J0KD5mKrp0Vvzr7lt3OU09vwQwhkpOPPYv2Y/edit?usp=sharing"",""งบพรบ!GC82"")"),0)</f>
        <v>0</v>
      </c>
      <c r="J82" s="262">
        <f t="shared" ca="1" si="15"/>
        <v>0</v>
      </c>
      <c r="K82" s="476">
        <f t="shared" ca="1" si="16"/>
        <v>0</v>
      </c>
      <c r="L82" s="151">
        <f ca="1">IFERROR(__xludf.DUMMYFUNCTION("IMPORTRANGE(""https://docs.google.com/spreadsheets/d/1-uDff_7J0KD5mKrp0Vvzr7lt3OU09vwQwhkpOPPYv2Y/edit?usp=sharing"",""งบพรบ!GD82"")"),0)</f>
        <v>0</v>
      </c>
      <c r="M82" s="260">
        <f t="shared" ca="1" si="17"/>
        <v>0</v>
      </c>
      <c r="N82" s="260">
        <f t="shared" ca="1" si="18"/>
        <v>0</v>
      </c>
      <c r="O82" s="151">
        <f ca="1">IFERROR(__xludf.DUMMYFUNCTION("IMPORTRANGE(""https://docs.google.com/spreadsheets/d/1-uDff_7J0KD5mKrp0Vvzr7lt3OU09vwQwhkpOPPYv2Y/edit?usp=sharing"",""งบพรบ!GE82"")"),0)</f>
        <v>0</v>
      </c>
      <c r="P82" s="475">
        <f t="shared" ca="1" si="19"/>
        <v>0</v>
      </c>
      <c r="Q82" s="260">
        <f t="shared" ca="1" si="20"/>
        <v>0</v>
      </c>
      <c r="R82" s="278">
        <v>0</v>
      </c>
      <c r="S82" s="152">
        <v>0</v>
      </c>
      <c r="T82" s="216">
        <f t="shared" si="22"/>
        <v>0</v>
      </c>
    </row>
    <row r="83" spans="1:20" ht="19.5" x14ac:dyDescent="0.3">
      <c r="A83" s="147">
        <v>9</v>
      </c>
      <c r="B83" s="148" t="s">
        <v>111</v>
      </c>
      <c r="C83" s="472">
        <f t="shared" ca="1" si="13"/>
        <v>0</v>
      </c>
      <c r="D83" s="473">
        <f t="shared" ca="1" si="32"/>
        <v>0</v>
      </c>
      <c r="E83" s="151">
        <f ca="1">IFERROR(__xludf.DUMMYFUNCTION("IMPORTRANGE(""https://docs.google.com/spreadsheets/d/1-uDff_7J0KD5mKrp0Vvzr7lt3OU09vwQwhkpOPPYv2Y/edit?usp=sharing"",""งบพรบ!FX83"")"),0)</f>
        <v>0</v>
      </c>
      <c r="F83" s="151">
        <f ca="1">IFERROR(__xludf.DUMMYFUNCTION("IMPORTRANGE(""https://docs.google.com/spreadsheets/d/1-uDff_7J0KD5mKrp0Vvzr7lt3OU09vwQwhkpOPPYv2Y/edit?usp=sharing"",""งบพรบ!FY83"")"),0)</f>
        <v>0</v>
      </c>
      <c r="G83" s="151">
        <f ca="1">IFERROR(__xludf.DUMMYFUNCTION("IMPORTRANGE(""https://docs.google.com/spreadsheets/d/1-uDff_7J0KD5mKrp0Vvzr7lt3OU09vwQwhkpOPPYv2Y/edit?usp=sharing"",""งบพรบ!FZ83"")"),0)</f>
        <v>0</v>
      </c>
      <c r="H83" s="151">
        <f ca="1">IFERROR(__xludf.DUMMYFUNCTION("IMPORTRANGE(""https://docs.google.com/spreadsheets/d/1-uDff_7J0KD5mKrp0Vvzr7lt3OU09vwQwhkpOPPYv2Y/edit?usp=sharing"",""งบพรบ!GB83"")"),0)</f>
        <v>0</v>
      </c>
      <c r="I83" s="151">
        <f ca="1">IFERROR(__xludf.DUMMYFUNCTION("IMPORTRANGE(""https://docs.google.com/spreadsheets/d/1-uDff_7J0KD5mKrp0Vvzr7lt3OU09vwQwhkpOPPYv2Y/edit?usp=sharing"",""งบพรบ!GC83"")"),0)</f>
        <v>0</v>
      </c>
      <c r="J83" s="262">
        <f t="shared" ca="1" si="15"/>
        <v>0</v>
      </c>
      <c r="K83" s="476">
        <f t="shared" ca="1" si="16"/>
        <v>0</v>
      </c>
      <c r="L83" s="151">
        <f ca="1">IFERROR(__xludf.DUMMYFUNCTION("IMPORTRANGE(""https://docs.google.com/spreadsheets/d/1-uDff_7J0KD5mKrp0Vvzr7lt3OU09vwQwhkpOPPYv2Y/edit?usp=sharing"",""งบพรบ!GD83"")"),0)</f>
        <v>0</v>
      </c>
      <c r="M83" s="260">
        <f t="shared" ca="1" si="17"/>
        <v>0</v>
      </c>
      <c r="N83" s="260">
        <f t="shared" ca="1" si="18"/>
        <v>0</v>
      </c>
      <c r="O83" s="151">
        <f ca="1">IFERROR(__xludf.DUMMYFUNCTION("IMPORTRANGE(""https://docs.google.com/spreadsheets/d/1-uDff_7J0KD5mKrp0Vvzr7lt3OU09vwQwhkpOPPYv2Y/edit?usp=sharing"",""งบพรบ!GE83"")"),0)</f>
        <v>0</v>
      </c>
      <c r="P83" s="475">
        <f t="shared" ca="1" si="19"/>
        <v>0</v>
      </c>
      <c r="Q83" s="260">
        <f t="shared" ca="1" si="20"/>
        <v>0</v>
      </c>
      <c r="R83" s="278">
        <v>0</v>
      </c>
      <c r="S83" s="152">
        <v>0</v>
      </c>
      <c r="T83" s="216">
        <f t="shared" si="22"/>
        <v>0</v>
      </c>
    </row>
    <row r="84" spans="1:20" ht="19.5" x14ac:dyDescent="0.3">
      <c r="A84" s="147">
        <v>10</v>
      </c>
      <c r="B84" s="148" t="s">
        <v>112</v>
      </c>
      <c r="C84" s="472">
        <f t="shared" ca="1" si="13"/>
        <v>0</v>
      </c>
      <c r="D84" s="473">
        <f t="shared" ca="1" si="32"/>
        <v>0</v>
      </c>
      <c r="E84" s="151">
        <f ca="1">IFERROR(__xludf.DUMMYFUNCTION("IMPORTRANGE(""https://docs.google.com/spreadsheets/d/1-uDff_7J0KD5mKrp0Vvzr7lt3OU09vwQwhkpOPPYv2Y/edit?usp=sharing"",""งบพรบ!FX84"")"),0)</f>
        <v>0</v>
      </c>
      <c r="F84" s="151">
        <f ca="1">IFERROR(__xludf.DUMMYFUNCTION("IMPORTRANGE(""https://docs.google.com/spreadsheets/d/1-uDff_7J0KD5mKrp0Vvzr7lt3OU09vwQwhkpOPPYv2Y/edit?usp=sharing"",""งบพรบ!FY84"")"),0)</f>
        <v>0</v>
      </c>
      <c r="G84" s="151">
        <f ca="1">IFERROR(__xludf.DUMMYFUNCTION("IMPORTRANGE(""https://docs.google.com/spreadsheets/d/1-uDff_7J0KD5mKrp0Vvzr7lt3OU09vwQwhkpOPPYv2Y/edit?usp=sharing"",""งบพรบ!FZ84"")"),0)</f>
        <v>0</v>
      </c>
      <c r="H84" s="151">
        <f ca="1">IFERROR(__xludf.DUMMYFUNCTION("IMPORTRANGE(""https://docs.google.com/spreadsheets/d/1-uDff_7J0KD5mKrp0Vvzr7lt3OU09vwQwhkpOPPYv2Y/edit?usp=sharing"",""งบพรบ!GB84"")"),0)</f>
        <v>0</v>
      </c>
      <c r="I84" s="151">
        <f ca="1">IFERROR(__xludf.DUMMYFUNCTION("IMPORTRANGE(""https://docs.google.com/spreadsheets/d/1-uDff_7J0KD5mKrp0Vvzr7lt3OU09vwQwhkpOPPYv2Y/edit?usp=sharing"",""งบพรบ!GC84"")"),0)</f>
        <v>0</v>
      </c>
      <c r="J84" s="262">
        <f t="shared" ca="1" si="15"/>
        <v>0</v>
      </c>
      <c r="K84" s="476">
        <f t="shared" ca="1" si="16"/>
        <v>0</v>
      </c>
      <c r="L84" s="151">
        <f ca="1">IFERROR(__xludf.DUMMYFUNCTION("IMPORTRANGE(""https://docs.google.com/spreadsheets/d/1-uDff_7J0KD5mKrp0Vvzr7lt3OU09vwQwhkpOPPYv2Y/edit?usp=sharing"",""งบพรบ!GD84"")"),0)</f>
        <v>0</v>
      </c>
      <c r="M84" s="260">
        <f t="shared" ca="1" si="17"/>
        <v>0</v>
      </c>
      <c r="N84" s="260">
        <f t="shared" ca="1" si="18"/>
        <v>0</v>
      </c>
      <c r="O84" s="151">
        <f ca="1">IFERROR(__xludf.DUMMYFUNCTION("IMPORTRANGE(""https://docs.google.com/spreadsheets/d/1-uDff_7J0KD5mKrp0Vvzr7lt3OU09vwQwhkpOPPYv2Y/edit?usp=sharing"",""งบพรบ!GE84"")"),0)</f>
        <v>0</v>
      </c>
      <c r="P84" s="475">
        <f t="shared" ca="1" si="19"/>
        <v>0</v>
      </c>
      <c r="Q84" s="260">
        <f t="shared" ca="1" si="20"/>
        <v>0</v>
      </c>
      <c r="R84" s="278">
        <v>0</v>
      </c>
      <c r="S84" s="152">
        <v>0</v>
      </c>
      <c r="T84" s="216">
        <f t="shared" si="22"/>
        <v>0</v>
      </c>
    </row>
    <row r="85" spans="1:20" ht="19.5" x14ac:dyDescent="0.3">
      <c r="A85" s="147">
        <v>11</v>
      </c>
      <c r="B85" s="148" t="s">
        <v>113</v>
      </c>
      <c r="C85" s="472">
        <f t="shared" ca="1" si="13"/>
        <v>0</v>
      </c>
      <c r="D85" s="473">
        <f t="shared" ca="1" si="32"/>
        <v>0</v>
      </c>
      <c r="E85" s="151">
        <f ca="1">IFERROR(__xludf.DUMMYFUNCTION("IMPORTRANGE(""https://docs.google.com/spreadsheets/d/1-uDff_7J0KD5mKrp0Vvzr7lt3OU09vwQwhkpOPPYv2Y/edit?usp=sharing"",""งบพรบ!FX85"")"),0)</f>
        <v>0</v>
      </c>
      <c r="F85" s="151">
        <f ca="1">IFERROR(__xludf.DUMMYFUNCTION("IMPORTRANGE(""https://docs.google.com/spreadsheets/d/1-uDff_7J0KD5mKrp0Vvzr7lt3OU09vwQwhkpOPPYv2Y/edit?usp=sharing"",""งบพรบ!FY85"")"),0)</f>
        <v>0</v>
      </c>
      <c r="G85" s="151">
        <f ca="1">IFERROR(__xludf.DUMMYFUNCTION("IMPORTRANGE(""https://docs.google.com/spreadsheets/d/1-uDff_7J0KD5mKrp0Vvzr7lt3OU09vwQwhkpOPPYv2Y/edit?usp=sharing"",""งบพรบ!FZ85"")"),0)</f>
        <v>0</v>
      </c>
      <c r="H85" s="151">
        <f ca="1">IFERROR(__xludf.DUMMYFUNCTION("IMPORTRANGE(""https://docs.google.com/spreadsheets/d/1-uDff_7J0KD5mKrp0Vvzr7lt3OU09vwQwhkpOPPYv2Y/edit?usp=sharing"",""งบพรบ!GB85"")"),0)</f>
        <v>0</v>
      </c>
      <c r="I85" s="151">
        <f ca="1">IFERROR(__xludf.DUMMYFUNCTION("IMPORTRANGE(""https://docs.google.com/spreadsheets/d/1-uDff_7J0KD5mKrp0Vvzr7lt3OU09vwQwhkpOPPYv2Y/edit?usp=sharing"",""งบพรบ!GC85"")"),0)</f>
        <v>0</v>
      </c>
      <c r="J85" s="262">
        <f t="shared" ca="1" si="15"/>
        <v>0</v>
      </c>
      <c r="K85" s="476">
        <f t="shared" ca="1" si="16"/>
        <v>0</v>
      </c>
      <c r="L85" s="151">
        <f ca="1">IFERROR(__xludf.DUMMYFUNCTION("IMPORTRANGE(""https://docs.google.com/spreadsheets/d/1-uDff_7J0KD5mKrp0Vvzr7lt3OU09vwQwhkpOPPYv2Y/edit?usp=sharing"",""งบพรบ!GD85"")"),0)</f>
        <v>0</v>
      </c>
      <c r="M85" s="260">
        <f t="shared" ca="1" si="17"/>
        <v>0</v>
      </c>
      <c r="N85" s="260">
        <f t="shared" ca="1" si="18"/>
        <v>0</v>
      </c>
      <c r="O85" s="151">
        <f ca="1">IFERROR(__xludf.DUMMYFUNCTION("IMPORTRANGE(""https://docs.google.com/spreadsheets/d/1-uDff_7J0KD5mKrp0Vvzr7lt3OU09vwQwhkpOPPYv2Y/edit?usp=sharing"",""งบพรบ!GE85"")"),0)</f>
        <v>0</v>
      </c>
      <c r="P85" s="475">
        <f t="shared" ca="1" si="19"/>
        <v>0</v>
      </c>
      <c r="Q85" s="260">
        <f t="shared" ca="1" si="20"/>
        <v>0</v>
      </c>
      <c r="R85" s="278">
        <v>0</v>
      </c>
      <c r="S85" s="152">
        <v>0</v>
      </c>
      <c r="T85" s="216">
        <f t="shared" si="22"/>
        <v>0</v>
      </c>
    </row>
    <row r="86" spans="1:20" ht="19.5" x14ac:dyDescent="0.3">
      <c r="A86" s="147">
        <v>12</v>
      </c>
      <c r="B86" s="148" t="s">
        <v>114</v>
      </c>
      <c r="C86" s="472">
        <f t="shared" ca="1" si="13"/>
        <v>0</v>
      </c>
      <c r="D86" s="473">
        <f t="shared" ca="1" si="32"/>
        <v>0</v>
      </c>
      <c r="E86" s="151">
        <f ca="1">IFERROR(__xludf.DUMMYFUNCTION("IMPORTRANGE(""https://docs.google.com/spreadsheets/d/1-uDff_7J0KD5mKrp0Vvzr7lt3OU09vwQwhkpOPPYv2Y/edit?usp=sharing"",""งบพรบ!FX86"")"),0)</f>
        <v>0</v>
      </c>
      <c r="F86" s="151">
        <f ca="1">IFERROR(__xludf.DUMMYFUNCTION("IMPORTRANGE(""https://docs.google.com/spreadsheets/d/1-uDff_7J0KD5mKrp0Vvzr7lt3OU09vwQwhkpOPPYv2Y/edit?usp=sharing"",""งบพรบ!FY86"")"),0)</f>
        <v>0</v>
      </c>
      <c r="G86" s="151">
        <f ca="1">IFERROR(__xludf.DUMMYFUNCTION("IMPORTRANGE(""https://docs.google.com/spreadsheets/d/1-uDff_7J0KD5mKrp0Vvzr7lt3OU09vwQwhkpOPPYv2Y/edit?usp=sharing"",""งบพรบ!FZ86"")"),0)</f>
        <v>0</v>
      </c>
      <c r="H86" s="151">
        <f ca="1">IFERROR(__xludf.DUMMYFUNCTION("IMPORTRANGE(""https://docs.google.com/spreadsheets/d/1-uDff_7J0KD5mKrp0Vvzr7lt3OU09vwQwhkpOPPYv2Y/edit?usp=sharing"",""งบพรบ!GB86"")"),0)</f>
        <v>0</v>
      </c>
      <c r="I86" s="151">
        <f ca="1">IFERROR(__xludf.DUMMYFUNCTION("IMPORTRANGE(""https://docs.google.com/spreadsheets/d/1-uDff_7J0KD5mKrp0Vvzr7lt3OU09vwQwhkpOPPYv2Y/edit?usp=sharing"",""งบพรบ!GC86"")"),0)</f>
        <v>0</v>
      </c>
      <c r="J86" s="262">
        <f t="shared" ca="1" si="15"/>
        <v>0</v>
      </c>
      <c r="K86" s="476">
        <f t="shared" ca="1" si="16"/>
        <v>0</v>
      </c>
      <c r="L86" s="151">
        <f ca="1">IFERROR(__xludf.DUMMYFUNCTION("IMPORTRANGE(""https://docs.google.com/spreadsheets/d/1-uDff_7J0KD5mKrp0Vvzr7lt3OU09vwQwhkpOPPYv2Y/edit?usp=sharing"",""งบพรบ!GD86"")"),0)</f>
        <v>0</v>
      </c>
      <c r="M86" s="260">
        <f t="shared" ca="1" si="17"/>
        <v>0</v>
      </c>
      <c r="N86" s="260">
        <f t="shared" ca="1" si="18"/>
        <v>0</v>
      </c>
      <c r="O86" s="151">
        <f ca="1">IFERROR(__xludf.DUMMYFUNCTION("IMPORTRANGE(""https://docs.google.com/spreadsheets/d/1-uDff_7J0KD5mKrp0Vvzr7lt3OU09vwQwhkpOPPYv2Y/edit?usp=sharing"",""งบพรบ!GE86"")"),0)</f>
        <v>0</v>
      </c>
      <c r="P86" s="475">
        <f t="shared" ca="1" si="19"/>
        <v>0</v>
      </c>
      <c r="Q86" s="260">
        <f t="shared" ca="1" si="20"/>
        <v>0</v>
      </c>
      <c r="R86" s="279">
        <v>0</v>
      </c>
      <c r="S86" s="397">
        <v>0</v>
      </c>
      <c r="T86" s="216">
        <f t="shared" si="22"/>
        <v>0</v>
      </c>
    </row>
    <row r="87" spans="1:20" ht="19.5" x14ac:dyDescent="0.3">
      <c r="A87" s="147">
        <v>13</v>
      </c>
      <c r="B87" s="148" t="s">
        <v>115</v>
      </c>
      <c r="C87" s="472">
        <f t="shared" ca="1" si="13"/>
        <v>0</v>
      </c>
      <c r="D87" s="473">
        <f t="shared" ca="1" si="32"/>
        <v>0</v>
      </c>
      <c r="E87" s="151">
        <f ca="1">IFERROR(__xludf.DUMMYFUNCTION("IMPORTRANGE(""https://docs.google.com/spreadsheets/d/1-uDff_7J0KD5mKrp0Vvzr7lt3OU09vwQwhkpOPPYv2Y/edit?usp=sharing"",""งบพรบ!FX87"")"),0)</f>
        <v>0</v>
      </c>
      <c r="F87" s="151">
        <f ca="1">IFERROR(__xludf.DUMMYFUNCTION("IMPORTRANGE(""https://docs.google.com/spreadsheets/d/1-uDff_7J0KD5mKrp0Vvzr7lt3OU09vwQwhkpOPPYv2Y/edit?usp=sharing"",""งบพรบ!FY87"")"),0)</f>
        <v>0</v>
      </c>
      <c r="G87" s="151">
        <f ca="1">IFERROR(__xludf.DUMMYFUNCTION("IMPORTRANGE(""https://docs.google.com/spreadsheets/d/1-uDff_7J0KD5mKrp0Vvzr7lt3OU09vwQwhkpOPPYv2Y/edit?usp=sharing"",""งบพรบ!FZ87"")"),0)</f>
        <v>0</v>
      </c>
      <c r="H87" s="151">
        <f ca="1">IFERROR(__xludf.DUMMYFUNCTION("IMPORTRANGE(""https://docs.google.com/spreadsheets/d/1-uDff_7J0KD5mKrp0Vvzr7lt3OU09vwQwhkpOPPYv2Y/edit?usp=sharing"",""งบพรบ!GB87"")"),0)</f>
        <v>0</v>
      </c>
      <c r="I87" s="151">
        <f ca="1">IFERROR(__xludf.DUMMYFUNCTION("IMPORTRANGE(""https://docs.google.com/spreadsheets/d/1-uDff_7J0KD5mKrp0Vvzr7lt3OU09vwQwhkpOPPYv2Y/edit?usp=sharing"",""งบพรบ!GC87"")"),0)</f>
        <v>0</v>
      </c>
      <c r="J87" s="262">
        <f t="shared" ca="1" si="15"/>
        <v>0</v>
      </c>
      <c r="K87" s="476">
        <f t="shared" ca="1" si="16"/>
        <v>0</v>
      </c>
      <c r="L87" s="151">
        <f ca="1">IFERROR(__xludf.DUMMYFUNCTION("IMPORTRANGE(""https://docs.google.com/spreadsheets/d/1-uDff_7J0KD5mKrp0Vvzr7lt3OU09vwQwhkpOPPYv2Y/edit?usp=sharing"",""งบพรบ!GD87"")"),0)</f>
        <v>0</v>
      </c>
      <c r="M87" s="260">
        <f t="shared" ca="1" si="17"/>
        <v>0</v>
      </c>
      <c r="N87" s="260">
        <f t="shared" ca="1" si="18"/>
        <v>0</v>
      </c>
      <c r="O87" s="151">
        <f ca="1">IFERROR(__xludf.DUMMYFUNCTION("IMPORTRANGE(""https://docs.google.com/spreadsheets/d/1-uDff_7J0KD5mKrp0Vvzr7lt3OU09vwQwhkpOPPYv2Y/edit?usp=sharing"",""งบพรบ!GE87"")"),0)</f>
        <v>0</v>
      </c>
      <c r="P87" s="475">
        <f t="shared" ca="1" si="19"/>
        <v>0</v>
      </c>
      <c r="Q87" s="260">
        <f t="shared" ca="1" si="20"/>
        <v>0</v>
      </c>
      <c r="R87" s="278">
        <v>0</v>
      </c>
      <c r="S87" s="152">
        <v>0</v>
      </c>
      <c r="T87" s="216">
        <f t="shared" si="22"/>
        <v>0</v>
      </c>
    </row>
    <row r="88" spans="1:20" ht="19.5" x14ac:dyDescent="0.3">
      <c r="A88" s="155">
        <v>14</v>
      </c>
      <c r="B88" s="156" t="s">
        <v>116</v>
      </c>
      <c r="C88" s="477">
        <f t="shared" ca="1" si="13"/>
        <v>0</v>
      </c>
      <c r="D88" s="478">
        <f t="shared" ca="1" si="32"/>
        <v>0</v>
      </c>
      <c r="E88" s="159">
        <f ca="1">IFERROR(__xludf.DUMMYFUNCTION("IMPORTRANGE(""https://docs.google.com/spreadsheets/d/1-uDff_7J0KD5mKrp0Vvzr7lt3OU09vwQwhkpOPPYv2Y/edit?usp=sharing"",""งบพรบ!FX88"")"),0)</f>
        <v>0</v>
      </c>
      <c r="F88" s="159">
        <f ca="1">IFERROR(__xludf.DUMMYFUNCTION("IMPORTRANGE(""https://docs.google.com/spreadsheets/d/1-uDff_7J0KD5mKrp0Vvzr7lt3OU09vwQwhkpOPPYv2Y/edit?usp=sharing"",""งบพรบ!FY88"")"),0)</f>
        <v>0</v>
      </c>
      <c r="G88" s="159">
        <f ca="1">IFERROR(__xludf.DUMMYFUNCTION("IMPORTRANGE(""https://docs.google.com/spreadsheets/d/1-uDff_7J0KD5mKrp0Vvzr7lt3OU09vwQwhkpOPPYv2Y/edit?usp=sharing"",""งบพรบ!FZ88"")"),0)</f>
        <v>0</v>
      </c>
      <c r="H88" s="159">
        <f ca="1">IFERROR(__xludf.DUMMYFUNCTION("IMPORTRANGE(""https://docs.google.com/spreadsheets/d/1-uDff_7J0KD5mKrp0Vvzr7lt3OU09vwQwhkpOPPYv2Y/edit?usp=sharing"",""งบพรบ!GB88"")"),0)</f>
        <v>0</v>
      </c>
      <c r="I88" s="159">
        <f ca="1">IFERROR(__xludf.DUMMYFUNCTION("IMPORTRANGE(""https://docs.google.com/spreadsheets/d/1-uDff_7J0KD5mKrp0Vvzr7lt3OU09vwQwhkpOPPYv2Y/edit?usp=sharing"",""งบพรบ!GC88"")"),0)</f>
        <v>0</v>
      </c>
      <c r="J88" s="479">
        <f t="shared" ca="1" si="15"/>
        <v>0</v>
      </c>
      <c r="K88" s="480">
        <f t="shared" ca="1" si="16"/>
        <v>0</v>
      </c>
      <c r="L88" s="159">
        <f ca="1">IFERROR(__xludf.DUMMYFUNCTION("IMPORTRANGE(""https://docs.google.com/spreadsheets/d/1-uDff_7J0KD5mKrp0Vvzr7lt3OU09vwQwhkpOPPYv2Y/edit?usp=sharing"",""งบพรบ!GD88"")"),0)</f>
        <v>0</v>
      </c>
      <c r="M88" s="481">
        <f t="shared" ca="1" si="17"/>
        <v>0</v>
      </c>
      <c r="N88" s="481">
        <f t="shared" ca="1" si="18"/>
        <v>0</v>
      </c>
      <c r="O88" s="159">
        <f ca="1">IFERROR(__xludf.DUMMYFUNCTION("IMPORTRANGE(""https://docs.google.com/spreadsheets/d/1-uDff_7J0KD5mKrp0Vvzr7lt3OU09vwQwhkpOPPYv2Y/edit?usp=sharing"",""งบพรบ!GE88"")"),0)</f>
        <v>0</v>
      </c>
      <c r="P88" s="482">
        <f t="shared" ca="1" si="19"/>
        <v>0</v>
      </c>
      <c r="Q88" s="481">
        <f t="shared" ca="1" si="20"/>
        <v>0</v>
      </c>
      <c r="R88" s="280">
        <v>0</v>
      </c>
      <c r="S88" s="191">
        <v>0</v>
      </c>
      <c r="T88" s="218">
        <f t="shared" si="22"/>
        <v>0</v>
      </c>
    </row>
    <row r="89" spans="1:20" ht="19.5" x14ac:dyDescent="0.3">
      <c r="A89" s="698" t="s">
        <v>117</v>
      </c>
      <c r="B89" s="662"/>
      <c r="C89" s="489">
        <f t="shared" ref="C89:Q89" ca="1" si="33">SUM(C90:C106)</f>
        <v>122800</v>
      </c>
      <c r="D89" s="489">
        <f t="shared" ca="1" si="33"/>
        <v>122800</v>
      </c>
      <c r="E89" s="489">
        <f t="shared" ca="1" si="33"/>
        <v>122800</v>
      </c>
      <c r="F89" s="489">
        <f t="shared" ca="1" si="33"/>
        <v>0</v>
      </c>
      <c r="G89" s="489">
        <f t="shared" ca="1" si="33"/>
        <v>0</v>
      </c>
      <c r="H89" s="489">
        <f t="shared" ca="1" si="33"/>
        <v>122800</v>
      </c>
      <c r="I89" s="489">
        <f t="shared" ca="1" si="33"/>
        <v>0</v>
      </c>
      <c r="J89" s="489">
        <f t="shared" ca="1" si="33"/>
        <v>0</v>
      </c>
      <c r="K89" s="490">
        <f t="shared" ca="1" si="33"/>
        <v>0</v>
      </c>
      <c r="L89" s="489">
        <f t="shared" ca="1" si="33"/>
        <v>0</v>
      </c>
      <c r="M89" s="490">
        <f t="shared" ca="1" si="33"/>
        <v>0</v>
      </c>
      <c r="N89" s="490">
        <f t="shared" ca="1" si="33"/>
        <v>0</v>
      </c>
      <c r="O89" s="489">
        <f t="shared" ca="1" si="33"/>
        <v>0</v>
      </c>
      <c r="P89" s="489">
        <f t="shared" ca="1" si="33"/>
        <v>0</v>
      </c>
      <c r="Q89" s="489">
        <f t="shared" ca="1" si="33"/>
        <v>0</v>
      </c>
      <c r="R89" s="489"/>
      <c r="S89" s="489"/>
      <c r="T89" s="256">
        <v>0</v>
      </c>
    </row>
    <row r="90" spans="1:20" ht="19.5" x14ac:dyDescent="0.3">
      <c r="A90" s="257"/>
      <c r="B90" s="258" t="s">
        <v>118</v>
      </c>
      <c r="C90" s="472">
        <f t="shared" ref="C90:C108" ca="1" si="34">D90+G90</f>
        <v>0</v>
      </c>
      <c r="D90" s="473">
        <f t="shared" ref="D90:D108" ca="1" si="35">+E90+F90</f>
        <v>0</v>
      </c>
      <c r="E90" s="151">
        <f ca="1">IFERROR(__xludf.DUMMYFUNCTION("IMPORTRANGE(""https://docs.google.com/spreadsheets/d/1-uDff_7J0KD5mKrp0Vvzr7lt3OU09vwQwhkpOPPYv2Y/edit?usp=sharing"",""งบพรบ!FX90"")"),0)</f>
        <v>0</v>
      </c>
      <c r="F90" s="151">
        <f ca="1">IFERROR(__xludf.DUMMYFUNCTION("IMPORTRANGE(""https://docs.google.com/spreadsheets/d/1-uDff_7J0KD5mKrp0Vvzr7lt3OU09vwQwhkpOPPYv2Y/edit?usp=sharing"",""งบพรบ!FY90"")"),0)</f>
        <v>0</v>
      </c>
      <c r="G90" s="151">
        <f ca="1">IFERROR(__xludf.DUMMYFUNCTION("IMPORTRANGE(""https://docs.google.com/spreadsheets/d/1-uDff_7J0KD5mKrp0Vvzr7lt3OU09vwQwhkpOPPYv2Y/edit?usp=sharing"",""งบพรบ!FZ90"")"),0)</f>
        <v>0</v>
      </c>
      <c r="H90" s="151">
        <f ca="1">IFERROR(__xludf.DUMMYFUNCTION("IMPORTRANGE(""https://docs.google.com/spreadsheets/d/1-uDff_7J0KD5mKrp0Vvzr7lt3OU09vwQwhkpOPPYv2Y/edit?usp=sharing"",""งบพรบ!GB90"")"),0)</f>
        <v>0</v>
      </c>
      <c r="I90" s="151">
        <f ca="1">IFERROR(__xludf.DUMMYFUNCTION("IMPORTRANGE(""https://docs.google.com/spreadsheets/d/1-uDff_7J0KD5mKrp0Vvzr7lt3OU09vwQwhkpOPPYv2Y/edit?usp=sharing"",""งบพรบ!GC90"")"),0)</f>
        <v>0</v>
      </c>
      <c r="J90" s="262">
        <f t="shared" ref="J90:J108" ca="1" si="36">L90+O90</f>
        <v>0</v>
      </c>
      <c r="K90" s="476">
        <f t="shared" ref="K90:K108" ca="1" si="37">IF(C90&gt;0,J90*100/C90,0)</f>
        <v>0</v>
      </c>
      <c r="L90" s="151">
        <f ca="1">IFERROR(__xludf.DUMMYFUNCTION("IMPORTRANGE(""https://docs.google.com/spreadsheets/d/1-uDff_7J0KD5mKrp0Vvzr7lt3OU09vwQwhkpOPPYv2Y/edit?usp=sharing"",""งบพรบ!GD90"")"),0)</f>
        <v>0</v>
      </c>
      <c r="M90" s="260">
        <f t="shared" ref="M90:M108" ca="1" si="38">IF(D90&gt;0,L90*100/D90,0)</f>
        <v>0</v>
      </c>
      <c r="N90" s="260">
        <f t="shared" ref="N90:N108" ca="1" si="39">IF(H90&gt;0,L90*100/H90,0)</f>
        <v>0</v>
      </c>
      <c r="O90" s="151">
        <f ca="1">IFERROR(__xludf.DUMMYFUNCTION("IMPORTRANGE(""https://docs.google.com/spreadsheets/d/1-uDff_7J0KD5mKrp0Vvzr7lt3OU09vwQwhkpOPPYv2Y/edit?usp=sharing"",""งบพรบ!GE90"")"),0)</f>
        <v>0</v>
      </c>
      <c r="P90" s="475">
        <f t="shared" ref="P90:P108" ca="1" si="40">IF(G90&gt;0,O90*100/G90,0)</f>
        <v>0</v>
      </c>
      <c r="Q90" s="260">
        <f t="shared" ref="Q90:Q108" ca="1" si="41">IF(I90&gt;0,O90*100/I90,0)</f>
        <v>0</v>
      </c>
      <c r="R90" s="262"/>
      <c r="S90" s="262"/>
      <c r="T90" s="260">
        <v>0</v>
      </c>
    </row>
    <row r="91" spans="1:20" ht="19.5" x14ac:dyDescent="0.3">
      <c r="A91" s="257"/>
      <c r="B91" s="258" t="s">
        <v>119</v>
      </c>
      <c r="C91" s="472">
        <f t="shared" ca="1" si="34"/>
        <v>0</v>
      </c>
      <c r="D91" s="473">
        <f t="shared" ca="1" si="35"/>
        <v>0</v>
      </c>
      <c r="E91" s="151">
        <f ca="1">IFERROR(__xludf.DUMMYFUNCTION("IMPORTRANGE(""https://docs.google.com/spreadsheets/d/1-uDff_7J0KD5mKrp0Vvzr7lt3OU09vwQwhkpOPPYv2Y/edit?usp=sharing"",""งบพรบ!FX91"")"),0)</f>
        <v>0</v>
      </c>
      <c r="F91" s="151">
        <f ca="1">IFERROR(__xludf.DUMMYFUNCTION("IMPORTRANGE(""https://docs.google.com/spreadsheets/d/1-uDff_7J0KD5mKrp0Vvzr7lt3OU09vwQwhkpOPPYv2Y/edit?usp=sharing"",""งบพรบ!FY91"")"),0)</f>
        <v>0</v>
      </c>
      <c r="G91" s="151">
        <f ca="1">IFERROR(__xludf.DUMMYFUNCTION("IMPORTRANGE(""https://docs.google.com/spreadsheets/d/1-uDff_7J0KD5mKrp0Vvzr7lt3OU09vwQwhkpOPPYv2Y/edit?usp=sharing"",""งบพรบ!FZ91"")"),0)</f>
        <v>0</v>
      </c>
      <c r="H91" s="151">
        <f ca="1">IFERROR(__xludf.DUMMYFUNCTION("IMPORTRANGE(""https://docs.google.com/spreadsheets/d/1-uDff_7J0KD5mKrp0Vvzr7lt3OU09vwQwhkpOPPYv2Y/edit?usp=sharing"",""งบพรบ!GB91"")"),0)</f>
        <v>0</v>
      </c>
      <c r="I91" s="151">
        <f ca="1">IFERROR(__xludf.DUMMYFUNCTION("IMPORTRANGE(""https://docs.google.com/spreadsheets/d/1-uDff_7J0KD5mKrp0Vvzr7lt3OU09vwQwhkpOPPYv2Y/edit?usp=sharing"",""งบพรบ!GC91"")"),0)</f>
        <v>0</v>
      </c>
      <c r="J91" s="262">
        <f t="shared" ca="1" si="36"/>
        <v>0</v>
      </c>
      <c r="K91" s="476">
        <f t="shared" ca="1" si="37"/>
        <v>0</v>
      </c>
      <c r="L91" s="151">
        <f ca="1">IFERROR(__xludf.DUMMYFUNCTION("IMPORTRANGE(""https://docs.google.com/spreadsheets/d/1-uDff_7J0KD5mKrp0Vvzr7lt3OU09vwQwhkpOPPYv2Y/edit?usp=sharing"",""งบพรบ!GD91"")"),0)</f>
        <v>0</v>
      </c>
      <c r="M91" s="260">
        <f t="shared" ca="1" si="38"/>
        <v>0</v>
      </c>
      <c r="N91" s="260">
        <f t="shared" ca="1" si="39"/>
        <v>0</v>
      </c>
      <c r="O91" s="151">
        <f ca="1">IFERROR(__xludf.DUMMYFUNCTION("IMPORTRANGE(""https://docs.google.com/spreadsheets/d/1-uDff_7J0KD5mKrp0Vvzr7lt3OU09vwQwhkpOPPYv2Y/edit?usp=sharing"",""งบพรบ!GE91"")"),0)</f>
        <v>0</v>
      </c>
      <c r="P91" s="475">
        <f t="shared" ca="1" si="40"/>
        <v>0</v>
      </c>
      <c r="Q91" s="260">
        <f t="shared" ca="1" si="41"/>
        <v>0</v>
      </c>
      <c r="R91" s="262"/>
      <c r="S91" s="262"/>
      <c r="T91" s="260">
        <v>0</v>
      </c>
    </row>
    <row r="92" spans="1:20" ht="19.5" x14ac:dyDescent="0.3">
      <c r="A92" s="257"/>
      <c r="B92" s="258" t="s">
        <v>120</v>
      </c>
      <c r="C92" s="472">
        <f t="shared" ca="1" si="34"/>
        <v>0</v>
      </c>
      <c r="D92" s="473">
        <f t="shared" ca="1" si="35"/>
        <v>0</v>
      </c>
      <c r="E92" s="151">
        <f ca="1">IFERROR(__xludf.DUMMYFUNCTION("IMPORTRANGE(""https://docs.google.com/spreadsheets/d/1-uDff_7J0KD5mKrp0Vvzr7lt3OU09vwQwhkpOPPYv2Y/edit?usp=sharing"",""งบพรบ!FX92"")"),0)</f>
        <v>0</v>
      </c>
      <c r="F92" s="151">
        <f ca="1">IFERROR(__xludf.DUMMYFUNCTION("IMPORTRANGE(""https://docs.google.com/spreadsheets/d/1-uDff_7J0KD5mKrp0Vvzr7lt3OU09vwQwhkpOPPYv2Y/edit?usp=sharing"",""งบพรบ!FY92"")"),0)</f>
        <v>0</v>
      </c>
      <c r="G92" s="151">
        <f ca="1">IFERROR(__xludf.DUMMYFUNCTION("IMPORTRANGE(""https://docs.google.com/spreadsheets/d/1-uDff_7J0KD5mKrp0Vvzr7lt3OU09vwQwhkpOPPYv2Y/edit?usp=sharing"",""งบพรบ!FZ92"")"),0)</f>
        <v>0</v>
      </c>
      <c r="H92" s="151">
        <f ca="1">IFERROR(__xludf.DUMMYFUNCTION("IMPORTRANGE(""https://docs.google.com/spreadsheets/d/1-uDff_7J0KD5mKrp0Vvzr7lt3OU09vwQwhkpOPPYv2Y/edit?usp=sharing"",""งบพรบ!GB92"")"),0)</f>
        <v>0</v>
      </c>
      <c r="I92" s="151">
        <f ca="1">IFERROR(__xludf.DUMMYFUNCTION("IMPORTRANGE(""https://docs.google.com/spreadsheets/d/1-uDff_7J0KD5mKrp0Vvzr7lt3OU09vwQwhkpOPPYv2Y/edit?usp=sharing"",""งบพรบ!GC92"")"),0)</f>
        <v>0</v>
      </c>
      <c r="J92" s="262">
        <f t="shared" ca="1" si="36"/>
        <v>0</v>
      </c>
      <c r="K92" s="476">
        <f t="shared" ca="1" si="37"/>
        <v>0</v>
      </c>
      <c r="L92" s="151">
        <f ca="1">IFERROR(__xludf.DUMMYFUNCTION("IMPORTRANGE(""https://docs.google.com/spreadsheets/d/1-uDff_7J0KD5mKrp0Vvzr7lt3OU09vwQwhkpOPPYv2Y/edit?usp=sharing"",""งบพรบ!GD92"")"),0)</f>
        <v>0</v>
      </c>
      <c r="M92" s="260">
        <f t="shared" ca="1" si="38"/>
        <v>0</v>
      </c>
      <c r="N92" s="260">
        <f t="shared" ca="1" si="39"/>
        <v>0</v>
      </c>
      <c r="O92" s="151">
        <f ca="1">IFERROR(__xludf.DUMMYFUNCTION("IMPORTRANGE(""https://docs.google.com/spreadsheets/d/1-uDff_7J0KD5mKrp0Vvzr7lt3OU09vwQwhkpOPPYv2Y/edit?usp=sharing"",""งบพรบ!GE92"")"),0)</f>
        <v>0</v>
      </c>
      <c r="P92" s="475">
        <f t="shared" ca="1" si="40"/>
        <v>0</v>
      </c>
      <c r="Q92" s="260">
        <f t="shared" ca="1" si="41"/>
        <v>0</v>
      </c>
      <c r="R92" s="262"/>
      <c r="S92" s="262"/>
      <c r="T92" s="260">
        <v>0</v>
      </c>
    </row>
    <row r="93" spans="1:20" ht="19.5" x14ac:dyDescent="0.3">
      <c r="A93" s="257"/>
      <c r="B93" s="258" t="s">
        <v>121</v>
      </c>
      <c r="C93" s="472">
        <f t="shared" ca="1" si="34"/>
        <v>0</v>
      </c>
      <c r="D93" s="473">
        <f t="shared" ca="1" si="35"/>
        <v>0</v>
      </c>
      <c r="E93" s="151">
        <f ca="1">IFERROR(__xludf.DUMMYFUNCTION("IMPORTRANGE(""https://docs.google.com/spreadsheets/d/1-uDff_7J0KD5mKrp0Vvzr7lt3OU09vwQwhkpOPPYv2Y/edit?usp=sharing"",""งบพรบ!FX93"")"),0)</f>
        <v>0</v>
      </c>
      <c r="F93" s="151">
        <f ca="1">IFERROR(__xludf.DUMMYFUNCTION("IMPORTRANGE(""https://docs.google.com/spreadsheets/d/1-uDff_7J0KD5mKrp0Vvzr7lt3OU09vwQwhkpOPPYv2Y/edit?usp=sharing"",""งบพรบ!FY93"")"),0)</f>
        <v>0</v>
      </c>
      <c r="G93" s="151">
        <f ca="1">IFERROR(__xludf.DUMMYFUNCTION("IMPORTRANGE(""https://docs.google.com/spreadsheets/d/1-uDff_7J0KD5mKrp0Vvzr7lt3OU09vwQwhkpOPPYv2Y/edit?usp=sharing"",""งบพรบ!FZ93"")"),0)</f>
        <v>0</v>
      </c>
      <c r="H93" s="151">
        <f ca="1">IFERROR(__xludf.DUMMYFUNCTION("IMPORTRANGE(""https://docs.google.com/spreadsheets/d/1-uDff_7J0KD5mKrp0Vvzr7lt3OU09vwQwhkpOPPYv2Y/edit?usp=sharing"",""งบพรบ!GB93"")"),0)</f>
        <v>0</v>
      </c>
      <c r="I93" s="151">
        <f ca="1">IFERROR(__xludf.DUMMYFUNCTION("IMPORTRANGE(""https://docs.google.com/spreadsheets/d/1-uDff_7J0KD5mKrp0Vvzr7lt3OU09vwQwhkpOPPYv2Y/edit?usp=sharing"",""งบพรบ!GC93"")"),0)</f>
        <v>0</v>
      </c>
      <c r="J93" s="262">
        <f t="shared" ca="1" si="36"/>
        <v>0</v>
      </c>
      <c r="K93" s="476">
        <f t="shared" ca="1" si="37"/>
        <v>0</v>
      </c>
      <c r="L93" s="151">
        <f ca="1">IFERROR(__xludf.DUMMYFUNCTION("IMPORTRANGE(""https://docs.google.com/spreadsheets/d/1-uDff_7J0KD5mKrp0Vvzr7lt3OU09vwQwhkpOPPYv2Y/edit?usp=sharing"",""งบพรบ!GD93"")"),0)</f>
        <v>0</v>
      </c>
      <c r="M93" s="260">
        <f t="shared" ca="1" si="38"/>
        <v>0</v>
      </c>
      <c r="N93" s="260">
        <f t="shared" ca="1" si="39"/>
        <v>0</v>
      </c>
      <c r="O93" s="151">
        <f ca="1">IFERROR(__xludf.DUMMYFUNCTION("IMPORTRANGE(""https://docs.google.com/spreadsheets/d/1-uDff_7J0KD5mKrp0Vvzr7lt3OU09vwQwhkpOPPYv2Y/edit?usp=sharing"",""งบพรบ!GE93"")"),0)</f>
        <v>0</v>
      </c>
      <c r="P93" s="475">
        <f t="shared" ca="1" si="40"/>
        <v>0</v>
      </c>
      <c r="Q93" s="260">
        <f t="shared" ca="1" si="41"/>
        <v>0</v>
      </c>
      <c r="R93" s="262"/>
      <c r="S93" s="262"/>
      <c r="T93" s="260">
        <v>0</v>
      </c>
    </row>
    <row r="94" spans="1:20" ht="19.5" x14ac:dyDescent="0.3">
      <c r="A94" s="257"/>
      <c r="B94" s="258" t="s">
        <v>122</v>
      </c>
      <c r="C94" s="472">
        <f t="shared" ca="1" si="34"/>
        <v>0</v>
      </c>
      <c r="D94" s="473">
        <f t="shared" ca="1" si="35"/>
        <v>0</v>
      </c>
      <c r="E94" s="151">
        <f ca="1">IFERROR(__xludf.DUMMYFUNCTION("IMPORTRANGE(""https://docs.google.com/spreadsheets/d/1-uDff_7J0KD5mKrp0Vvzr7lt3OU09vwQwhkpOPPYv2Y/edit?usp=sharing"",""งบพรบ!FX94"")"),0)</f>
        <v>0</v>
      </c>
      <c r="F94" s="151">
        <f ca="1">IFERROR(__xludf.DUMMYFUNCTION("IMPORTRANGE(""https://docs.google.com/spreadsheets/d/1-uDff_7J0KD5mKrp0Vvzr7lt3OU09vwQwhkpOPPYv2Y/edit?usp=sharing"",""งบพรบ!FY94"")"),0)</f>
        <v>0</v>
      </c>
      <c r="G94" s="151">
        <f ca="1">IFERROR(__xludf.DUMMYFUNCTION("IMPORTRANGE(""https://docs.google.com/spreadsheets/d/1-uDff_7J0KD5mKrp0Vvzr7lt3OU09vwQwhkpOPPYv2Y/edit?usp=sharing"",""งบพรบ!FZ94"")"),0)</f>
        <v>0</v>
      </c>
      <c r="H94" s="151">
        <f ca="1">IFERROR(__xludf.DUMMYFUNCTION("IMPORTRANGE(""https://docs.google.com/spreadsheets/d/1-uDff_7J0KD5mKrp0Vvzr7lt3OU09vwQwhkpOPPYv2Y/edit?usp=sharing"",""งบพรบ!GB94"")"),0)</f>
        <v>0</v>
      </c>
      <c r="I94" s="151">
        <f ca="1">IFERROR(__xludf.DUMMYFUNCTION("IMPORTRANGE(""https://docs.google.com/spreadsheets/d/1-uDff_7J0KD5mKrp0Vvzr7lt3OU09vwQwhkpOPPYv2Y/edit?usp=sharing"",""งบพรบ!GC94"")"),0)</f>
        <v>0</v>
      </c>
      <c r="J94" s="262">
        <f t="shared" ca="1" si="36"/>
        <v>0</v>
      </c>
      <c r="K94" s="476">
        <f t="shared" ca="1" si="37"/>
        <v>0</v>
      </c>
      <c r="L94" s="151">
        <f ca="1">IFERROR(__xludf.DUMMYFUNCTION("IMPORTRANGE(""https://docs.google.com/spreadsheets/d/1-uDff_7J0KD5mKrp0Vvzr7lt3OU09vwQwhkpOPPYv2Y/edit?usp=sharing"",""งบพรบ!GD94"")"),0)</f>
        <v>0</v>
      </c>
      <c r="M94" s="260">
        <f t="shared" ca="1" si="38"/>
        <v>0</v>
      </c>
      <c r="N94" s="260">
        <f t="shared" ca="1" si="39"/>
        <v>0</v>
      </c>
      <c r="O94" s="151">
        <f ca="1">IFERROR(__xludf.DUMMYFUNCTION("IMPORTRANGE(""https://docs.google.com/spreadsheets/d/1-uDff_7J0KD5mKrp0Vvzr7lt3OU09vwQwhkpOPPYv2Y/edit?usp=sharing"",""งบพรบ!GE94"")"),0)</f>
        <v>0</v>
      </c>
      <c r="P94" s="475">
        <f t="shared" ca="1" si="40"/>
        <v>0</v>
      </c>
      <c r="Q94" s="260">
        <f t="shared" ca="1" si="41"/>
        <v>0</v>
      </c>
      <c r="R94" s="262"/>
      <c r="S94" s="262"/>
      <c r="T94" s="260">
        <v>0</v>
      </c>
    </row>
    <row r="95" spans="1:20" ht="19.5" x14ac:dyDescent="0.3">
      <c r="A95" s="257"/>
      <c r="B95" s="258" t="s">
        <v>123</v>
      </c>
      <c r="C95" s="472">
        <f t="shared" ca="1" si="34"/>
        <v>0</v>
      </c>
      <c r="D95" s="473">
        <f t="shared" ca="1" si="35"/>
        <v>0</v>
      </c>
      <c r="E95" s="151">
        <f ca="1">IFERROR(__xludf.DUMMYFUNCTION("IMPORTRANGE(""https://docs.google.com/spreadsheets/d/1-uDff_7J0KD5mKrp0Vvzr7lt3OU09vwQwhkpOPPYv2Y/edit?usp=sharing"",""งบพรบ!FX95"")"),0)</f>
        <v>0</v>
      </c>
      <c r="F95" s="151">
        <f ca="1">IFERROR(__xludf.DUMMYFUNCTION("IMPORTRANGE(""https://docs.google.com/spreadsheets/d/1-uDff_7J0KD5mKrp0Vvzr7lt3OU09vwQwhkpOPPYv2Y/edit?usp=sharing"",""งบพรบ!FY95"")"),0)</f>
        <v>0</v>
      </c>
      <c r="G95" s="151">
        <f ca="1">IFERROR(__xludf.DUMMYFUNCTION("IMPORTRANGE(""https://docs.google.com/spreadsheets/d/1-uDff_7J0KD5mKrp0Vvzr7lt3OU09vwQwhkpOPPYv2Y/edit?usp=sharing"",""งบพรบ!FZ95"")"),0)</f>
        <v>0</v>
      </c>
      <c r="H95" s="151">
        <f ca="1">IFERROR(__xludf.DUMMYFUNCTION("IMPORTRANGE(""https://docs.google.com/spreadsheets/d/1-uDff_7J0KD5mKrp0Vvzr7lt3OU09vwQwhkpOPPYv2Y/edit?usp=sharing"",""งบพรบ!GB95"")"),0)</f>
        <v>0</v>
      </c>
      <c r="I95" s="151">
        <f ca="1">IFERROR(__xludf.DUMMYFUNCTION("IMPORTRANGE(""https://docs.google.com/spreadsheets/d/1-uDff_7J0KD5mKrp0Vvzr7lt3OU09vwQwhkpOPPYv2Y/edit?usp=sharing"",""งบพรบ!GC95"")"),0)</f>
        <v>0</v>
      </c>
      <c r="J95" s="262">
        <f t="shared" ca="1" si="36"/>
        <v>0</v>
      </c>
      <c r="K95" s="476">
        <f t="shared" ca="1" si="37"/>
        <v>0</v>
      </c>
      <c r="L95" s="151">
        <f ca="1">IFERROR(__xludf.DUMMYFUNCTION("IMPORTRANGE(""https://docs.google.com/spreadsheets/d/1-uDff_7J0KD5mKrp0Vvzr7lt3OU09vwQwhkpOPPYv2Y/edit?usp=sharing"",""งบพรบ!GD95"")"),0)</f>
        <v>0</v>
      </c>
      <c r="M95" s="260">
        <f t="shared" ca="1" si="38"/>
        <v>0</v>
      </c>
      <c r="N95" s="260">
        <f t="shared" ca="1" si="39"/>
        <v>0</v>
      </c>
      <c r="O95" s="151">
        <f ca="1">IFERROR(__xludf.DUMMYFUNCTION("IMPORTRANGE(""https://docs.google.com/spreadsheets/d/1-uDff_7J0KD5mKrp0Vvzr7lt3OU09vwQwhkpOPPYv2Y/edit?usp=sharing"",""งบพรบ!GE95"")"),0)</f>
        <v>0</v>
      </c>
      <c r="P95" s="475">
        <f t="shared" ca="1" si="40"/>
        <v>0</v>
      </c>
      <c r="Q95" s="260">
        <f t="shared" ca="1" si="41"/>
        <v>0</v>
      </c>
      <c r="R95" s="262"/>
      <c r="S95" s="262"/>
      <c r="T95" s="260">
        <v>0</v>
      </c>
    </row>
    <row r="96" spans="1:20" ht="19.5" x14ac:dyDescent="0.3">
      <c r="A96" s="257"/>
      <c r="B96" s="258" t="s">
        <v>124</v>
      </c>
      <c r="C96" s="472">
        <f t="shared" ca="1" si="34"/>
        <v>0</v>
      </c>
      <c r="D96" s="473">
        <f t="shared" ca="1" si="35"/>
        <v>0</v>
      </c>
      <c r="E96" s="151">
        <f ca="1">IFERROR(__xludf.DUMMYFUNCTION("IMPORTRANGE(""https://docs.google.com/spreadsheets/d/1-uDff_7J0KD5mKrp0Vvzr7lt3OU09vwQwhkpOPPYv2Y/edit?usp=sharing"",""งบพรบ!FX96"")"),0)</f>
        <v>0</v>
      </c>
      <c r="F96" s="151">
        <f ca="1">IFERROR(__xludf.DUMMYFUNCTION("IMPORTRANGE(""https://docs.google.com/spreadsheets/d/1-uDff_7J0KD5mKrp0Vvzr7lt3OU09vwQwhkpOPPYv2Y/edit?usp=sharing"",""งบพรบ!FY96"")"),0)</f>
        <v>0</v>
      </c>
      <c r="G96" s="151">
        <f ca="1">IFERROR(__xludf.DUMMYFUNCTION("IMPORTRANGE(""https://docs.google.com/spreadsheets/d/1-uDff_7J0KD5mKrp0Vvzr7lt3OU09vwQwhkpOPPYv2Y/edit?usp=sharing"",""งบพรบ!FZ96"")"),0)</f>
        <v>0</v>
      </c>
      <c r="H96" s="151">
        <f ca="1">IFERROR(__xludf.DUMMYFUNCTION("IMPORTRANGE(""https://docs.google.com/spreadsheets/d/1-uDff_7J0KD5mKrp0Vvzr7lt3OU09vwQwhkpOPPYv2Y/edit?usp=sharing"",""งบพรบ!GB96"")"),0)</f>
        <v>0</v>
      </c>
      <c r="I96" s="151">
        <f ca="1">IFERROR(__xludf.DUMMYFUNCTION("IMPORTRANGE(""https://docs.google.com/spreadsheets/d/1-uDff_7J0KD5mKrp0Vvzr7lt3OU09vwQwhkpOPPYv2Y/edit?usp=sharing"",""งบพรบ!GC96"")"),0)</f>
        <v>0</v>
      </c>
      <c r="J96" s="262">
        <f t="shared" ca="1" si="36"/>
        <v>0</v>
      </c>
      <c r="K96" s="476">
        <f t="shared" ca="1" si="37"/>
        <v>0</v>
      </c>
      <c r="L96" s="151">
        <f ca="1">IFERROR(__xludf.DUMMYFUNCTION("IMPORTRANGE(""https://docs.google.com/spreadsheets/d/1-uDff_7J0KD5mKrp0Vvzr7lt3OU09vwQwhkpOPPYv2Y/edit?usp=sharing"",""งบพรบ!GD96"")"),0)</f>
        <v>0</v>
      </c>
      <c r="M96" s="260">
        <f t="shared" ca="1" si="38"/>
        <v>0</v>
      </c>
      <c r="N96" s="260">
        <f t="shared" ca="1" si="39"/>
        <v>0</v>
      </c>
      <c r="O96" s="151">
        <f ca="1">IFERROR(__xludf.DUMMYFUNCTION("IMPORTRANGE(""https://docs.google.com/spreadsheets/d/1-uDff_7J0KD5mKrp0Vvzr7lt3OU09vwQwhkpOPPYv2Y/edit?usp=sharing"",""งบพรบ!GE96"")"),0)</f>
        <v>0</v>
      </c>
      <c r="P96" s="475">
        <f t="shared" ca="1" si="40"/>
        <v>0</v>
      </c>
      <c r="Q96" s="260">
        <f t="shared" ca="1" si="41"/>
        <v>0</v>
      </c>
      <c r="R96" s="262"/>
      <c r="S96" s="262"/>
      <c r="T96" s="260">
        <v>0</v>
      </c>
    </row>
    <row r="97" spans="1:21" ht="19.5" x14ac:dyDescent="0.3">
      <c r="A97" s="257"/>
      <c r="B97" s="258" t="s">
        <v>125</v>
      </c>
      <c r="C97" s="472">
        <f t="shared" ca="1" si="34"/>
        <v>0</v>
      </c>
      <c r="D97" s="473">
        <f t="shared" ca="1" si="35"/>
        <v>0</v>
      </c>
      <c r="E97" s="151">
        <f ca="1">IFERROR(__xludf.DUMMYFUNCTION("IMPORTRANGE(""https://docs.google.com/spreadsheets/d/1-uDff_7J0KD5mKrp0Vvzr7lt3OU09vwQwhkpOPPYv2Y/edit?usp=sharing"",""งบพรบ!FX97"")"),0)</f>
        <v>0</v>
      </c>
      <c r="F97" s="151">
        <f ca="1">IFERROR(__xludf.DUMMYFUNCTION("IMPORTRANGE(""https://docs.google.com/spreadsheets/d/1-uDff_7J0KD5mKrp0Vvzr7lt3OU09vwQwhkpOPPYv2Y/edit?usp=sharing"",""งบพรบ!FY97"")"),0)</f>
        <v>0</v>
      </c>
      <c r="G97" s="151">
        <f ca="1">IFERROR(__xludf.DUMMYFUNCTION("IMPORTRANGE(""https://docs.google.com/spreadsheets/d/1-uDff_7J0KD5mKrp0Vvzr7lt3OU09vwQwhkpOPPYv2Y/edit?usp=sharing"",""งบพรบ!FZ97"")"),0)</f>
        <v>0</v>
      </c>
      <c r="H97" s="151">
        <f ca="1">IFERROR(__xludf.DUMMYFUNCTION("IMPORTRANGE(""https://docs.google.com/spreadsheets/d/1-uDff_7J0KD5mKrp0Vvzr7lt3OU09vwQwhkpOPPYv2Y/edit?usp=sharing"",""งบพรบ!GB97"")"),0)</f>
        <v>0</v>
      </c>
      <c r="I97" s="151">
        <f ca="1">IFERROR(__xludf.DUMMYFUNCTION("IMPORTRANGE(""https://docs.google.com/spreadsheets/d/1-uDff_7J0KD5mKrp0Vvzr7lt3OU09vwQwhkpOPPYv2Y/edit?usp=sharing"",""งบพรบ!GC97"")"),0)</f>
        <v>0</v>
      </c>
      <c r="J97" s="262">
        <f t="shared" ca="1" si="36"/>
        <v>0</v>
      </c>
      <c r="K97" s="476">
        <f t="shared" ca="1" si="37"/>
        <v>0</v>
      </c>
      <c r="L97" s="151">
        <f ca="1">IFERROR(__xludf.DUMMYFUNCTION("IMPORTRANGE(""https://docs.google.com/spreadsheets/d/1-uDff_7J0KD5mKrp0Vvzr7lt3OU09vwQwhkpOPPYv2Y/edit?usp=sharing"",""งบพรบ!GD97"")"),0)</f>
        <v>0</v>
      </c>
      <c r="M97" s="260">
        <f t="shared" ca="1" si="38"/>
        <v>0</v>
      </c>
      <c r="N97" s="260">
        <f t="shared" ca="1" si="39"/>
        <v>0</v>
      </c>
      <c r="O97" s="151">
        <f ca="1">IFERROR(__xludf.DUMMYFUNCTION("IMPORTRANGE(""https://docs.google.com/spreadsheets/d/1-uDff_7J0KD5mKrp0Vvzr7lt3OU09vwQwhkpOPPYv2Y/edit?usp=sharing"",""งบพรบ!GE97"")"),0)</f>
        <v>0</v>
      </c>
      <c r="P97" s="475">
        <f t="shared" ca="1" si="40"/>
        <v>0</v>
      </c>
      <c r="Q97" s="260">
        <f t="shared" ca="1" si="41"/>
        <v>0</v>
      </c>
      <c r="R97" s="262"/>
      <c r="S97" s="262"/>
      <c r="T97" s="260">
        <v>0</v>
      </c>
    </row>
    <row r="98" spans="1:21" ht="19.5" x14ac:dyDescent="0.3">
      <c r="A98" s="257"/>
      <c r="B98" s="258" t="s">
        <v>126</v>
      </c>
      <c r="C98" s="472">
        <f t="shared" ca="1" si="34"/>
        <v>0</v>
      </c>
      <c r="D98" s="473">
        <f t="shared" ca="1" si="35"/>
        <v>0</v>
      </c>
      <c r="E98" s="151">
        <f ca="1">IFERROR(__xludf.DUMMYFUNCTION("IMPORTRANGE(""https://docs.google.com/spreadsheets/d/1-uDff_7J0KD5mKrp0Vvzr7lt3OU09vwQwhkpOPPYv2Y/edit?usp=sharing"",""งบพรบ!FX98"")"),0)</f>
        <v>0</v>
      </c>
      <c r="F98" s="151">
        <f ca="1">IFERROR(__xludf.DUMMYFUNCTION("IMPORTRANGE(""https://docs.google.com/spreadsheets/d/1-uDff_7J0KD5mKrp0Vvzr7lt3OU09vwQwhkpOPPYv2Y/edit?usp=sharing"",""งบพรบ!FY98"")"),0)</f>
        <v>0</v>
      </c>
      <c r="G98" s="151">
        <f ca="1">IFERROR(__xludf.DUMMYFUNCTION("IMPORTRANGE(""https://docs.google.com/spreadsheets/d/1-uDff_7J0KD5mKrp0Vvzr7lt3OU09vwQwhkpOPPYv2Y/edit?usp=sharing"",""งบพรบ!FZ98"")"),0)</f>
        <v>0</v>
      </c>
      <c r="H98" s="151">
        <f ca="1">IFERROR(__xludf.DUMMYFUNCTION("IMPORTRANGE(""https://docs.google.com/spreadsheets/d/1-uDff_7J0KD5mKrp0Vvzr7lt3OU09vwQwhkpOPPYv2Y/edit?usp=sharing"",""งบพรบ!GB98"")"),0)</f>
        <v>0</v>
      </c>
      <c r="I98" s="151">
        <f ca="1">IFERROR(__xludf.DUMMYFUNCTION("IMPORTRANGE(""https://docs.google.com/spreadsheets/d/1-uDff_7J0KD5mKrp0Vvzr7lt3OU09vwQwhkpOPPYv2Y/edit?usp=sharing"",""งบพรบ!GC98"")"),0)</f>
        <v>0</v>
      </c>
      <c r="J98" s="262">
        <f t="shared" ca="1" si="36"/>
        <v>0</v>
      </c>
      <c r="K98" s="476">
        <f t="shared" ca="1" si="37"/>
        <v>0</v>
      </c>
      <c r="L98" s="151">
        <f ca="1">IFERROR(__xludf.DUMMYFUNCTION("IMPORTRANGE(""https://docs.google.com/spreadsheets/d/1-uDff_7J0KD5mKrp0Vvzr7lt3OU09vwQwhkpOPPYv2Y/edit?usp=sharing"",""งบพรบ!GD98"")"),0)</f>
        <v>0</v>
      </c>
      <c r="M98" s="260">
        <f t="shared" ca="1" si="38"/>
        <v>0</v>
      </c>
      <c r="N98" s="260">
        <f t="shared" ca="1" si="39"/>
        <v>0</v>
      </c>
      <c r="O98" s="151">
        <f ca="1">IFERROR(__xludf.DUMMYFUNCTION("IMPORTRANGE(""https://docs.google.com/spreadsheets/d/1-uDff_7J0KD5mKrp0Vvzr7lt3OU09vwQwhkpOPPYv2Y/edit?usp=sharing"",""งบพรบ!GE98"")"),0)</f>
        <v>0</v>
      </c>
      <c r="P98" s="475">
        <f t="shared" ca="1" si="40"/>
        <v>0</v>
      </c>
      <c r="Q98" s="260">
        <f t="shared" ca="1" si="41"/>
        <v>0</v>
      </c>
      <c r="R98" s="262"/>
      <c r="S98" s="262"/>
      <c r="T98" s="260">
        <v>0</v>
      </c>
    </row>
    <row r="99" spans="1:21" ht="19.5" x14ac:dyDescent="0.3">
      <c r="A99" s="257"/>
      <c r="B99" s="258" t="s">
        <v>127</v>
      </c>
      <c r="C99" s="472">
        <f t="shared" ca="1" si="34"/>
        <v>0</v>
      </c>
      <c r="D99" s="473">
        <f t="shared" ca="1" si="35"/>
        <v>0</v>
      </c>
      <c r="E99" s="151">
        <f ca="1">IFERROR(__xludf.DUMMYFUNCTION("IMPORTRANGE(""https://docs.google.com/spreadsheets/d/1-uDff_7J0KD5mKrp0Vvzr7lt3OU09vwQwhkpOPPYv2Y/edit?usp=sharing"",""งบพรบ!FX99"")"),0)</f>
        <v>0</v>
      </c>
      <c r="F99" s="151">
        <f ca="1">IFERROR(__xludf.DUMMYFUNCTION("IMPORTRANGE(""https://docs.google.com/spreadsheets/d/1-uDff_7J0KD5mKrp0Vvzr7lt3OU09vwQwhkpOPPYv2Y/edit?usp=sharing"",""งบพรบ!FY99"")"),0)</f>
        <v>0</v>
      </c>
      <c r="G99" s="151">
        <f ca="1">IFERROR(__xludf.DUMMYFUNCTION("IMPORTRANGE(""https://docs.google.com/spreadsheets/d/1-uDff_7J0KD5mKrp0Vvzr7lt3OU09vwQwhkpOPPYv2Y/edit?usp=sharing"",""งบพรบ!FZ99"")"),0)</f>
        <v>0</v>
      </c>
      <c r="H99" s="151">
        <f ca="1">IFERROR(__xludf.DUMMYFUNCTION("IMPORTRANGE(""https://docs.google.com/spreadsheets/d/1-uDff_7J0KD5mKrp0Vvzr7lt3OU09vwQwhkpOPPYv2Y/edit?usp=sharing"",""งบพรบ!GB99"")"),0)</f>
        <v>0</v>
      </c>
      <c r="I99" s="151">
        <f ca="1">IFERROR(__xludf.DUMMYFUNCTION("IMPORTRANGE(""https://docs.google.com/spreadsheets/d/1-uDff_7J0KD5mKrp0Vvzr7lt3OU09vwQwhkpOPPYv2Y/edit?usp=sharing"",""งบพรบ!GC99"")"),0)</f>
        <v>0</v>
      </c>
      <c r="J99" s="262">
        <f t="shared" ca="1" si="36"/>
        <v>0</v>
      </c>
      <c r="K99" s="476">
        <f t="shared" ca="1" si="37"/>
        <v>0</v>
      </c>
      <c r="L99" s="151">
        <f ca="1">IFERROR(__xludf.DUMMYFUNCTION("IMPORTRANGE(""https://docs.google.com/spreadsheets/d/1-uDff_7J0KD5mKrp0Vvzr7lt3OU09vwQwhkpOPPYv2Y/edit?usp=sharing"",""งบพรบ!GD99"")"),0)</f>
        <v>0</v>
      </c>
      <c r="M99" s="260">
        <f t="shared" ca="1" si="38"/>
        <v>0</v>
      </c>
      <c r="N99" s="260">
        <f t="shared" ca="1" si="39"/>
        <v>0</v>
      </c>
      <c r="O99" s="151">
        <f ca="1">IFERROR(__xludf.DUMMYFUNCTION("IMPORTRANGE(""https://docs.google.com/spreadsheets/d/1-uDff_7J0KD5mKrp0Vvzr7lt3OU09vwQwhkpOPPYv2Y/edit?usp=sharing"",""งบพรบ!GE99"")"),0)</f>
        <v>0</v>
      </c>
      <c r="P99" s="475">
        <f t="shared" ca="1" si="40"/>
        <v>0</v>
      </c>
      <c r="Q99" s="260">
        <f t="shared" ca="1" si="41"/>
        <v>0</v>
      </c>
      <c r="R99" s="262"/>
      <c r="S99" s="262"/>
      <c r="T99" s="260">
        <v>0</v>
      </c>
    </row>
    <row r="100" spans="1:21" ht="19.5" x14ac:dyDescent="0.3">
      <c r="A100" s="257"/>
      <c r="B100" s="258" t="s">
        <v>128</v>
      </c>
      <c r="C100" s="472">
        <f t="shared" ca="1" si="34"/>
        <v>0</v>
      </c>
      <c r="D100" s="473">
        <f t="shared" ca="1" si="35"/>
        <v>0</v>
      </c>
      <c r="E100" s="151">
        <f ca="1">IFERROR(__xludf.DUMMYFUNCTION("IMPORTRANGE(""https://docs.google.com/spreadsheets/d/1-uDff_7J0KD5mKrp0Vvzr7lt3OU09vwQwhkpOPPYv2Y/edit?usp=sharing"",""งบพรบ!FX100"")"),0)</f>
        <v>0</v>
      </c>
      <c r="F100" s="151">
        <f ca="1">IFERROR(__xludf.DUMMYFUNCTION("IMPORTRANGE(""https://docs.google.com/spreadsheets/d/1-uDff_7J0KD5mKrp0Vvzr7lt3OU09vwQwhkpOPPYv2Y/edit?usp=sharing"",""งบพรบ!FY100"")"),0)</f>
        <v>0</v>
      </c>
      <c r="G100" s="151">
        <f ca="1">IFERROR(__xludf.DUMMYFUNCTION("IMPORTRANGE(""https://docs.google.com/spreadsheets/d/1-uDff_7J0KD5mKrp0Vvzr7lt3OU09vwQwhkpOPPYv2Y/edit?usp=sharing"",""งบพรบ!FZ100"")"),0)</f>
        <v>0</v>
      </c>
      <c r="H100" s="151">
        <f ca="1">IFERROR(__xludf.DUMMYFUNCTION("IMPORTRANGE(""https://docs.google.com/spreadsheets/d/1-uDff_7J0KD5mKrp0Vvzr7lt3OU09vwQwhkpOPPYv2Y/edit?usp=sharing"",""งบพรบ!GB100"")"),0)</f>
        <v>0</v>
      </c>
      <c r="I100" s="151">
        <f ca="1">IFERROR(__xludf.DUMMYFUNCTION("IMPORTRANGE(""https://docs.google.com/spreadsheets/d/1-uDff_7J0KD5mKrp0Vvzr7lt3OU09vwQwhkpOPPYv2Y/edit?usp=sharing"",""งบพรบ!GC100"")"),0)</f>
        <v>0</v>
      </c>
      <c r="J100" s="262">
        <f t="shared" ca="1" si="36"/>
        <v>0</v>
      </c>
      <c r="K100" s="476">
        <f t="shared" ca="1" si="37"/>
        <v>0</v>
      </c>
      <c r="L100" s="151">
        <f ca="1">IFERROR(__xludf.DUMMYFUNCTION("IMPORTRANGE(""https://docs.google.com/spreadsheets/d/1-uDff_7J0KD5mKrp0Vvzr7lt3OU09vwQwhkpOPPYv2Y/edit?usp=sharing"",""งบพรบ!GD100"")"),0)</f>
        <v>0</v>
      </c>
      <c r="M100" s="260">
        <f t="shared" ca="1" si="38"/>
        <v>0</v>
      </c>
      <c r="N100" s="260">
        <f t="shared" ca="1" si="39"/>
        <v>0</v>
      </c>
      <c r="O100" s="151">
        <f ca="1">IFERROR(__xludf.DUMMYFUNCTION("IMPORTRANGE(""https://docs.google.com/spreadsheets/d/1-uDff_7J0KD5mKrp0Vvzr7lt3OU09vwQwhkpOPPYv2Y/edit?usp=sharing"",""งบพรบ!GE100"")"),0)</f>
        <v>0</v>
      </c>
      <c r="P100" s="475">
        <f t="shared" ca="1" si="40"/>
        <v>0</v>
      </c>
      <c r="Q100" s="260">
        <f t="shared" ca="1" si="41"/>
        <v>0</v>
      </c>
      <c r="R100" s="262"/>
      <c r="S100" s="262"/>
      <c r="T100" s="260">
        <v>0</v>
      </c>
    </row>
    <row r="101" spans="1:21" ht="19.5" x14ac:dyDescent="0.3">
      <c r="A101" s="257"/>
      <c r="B101" s="258" t="s">
        <v>129</v>
      </c>
      <c r="C101" s="472">
        <f t="shared" ca="1" si="34"/>
        <v>0</v>
      </c>
      <c r="D101" s="473">
        <f t="shared" ca="1" si="35"/>
        <v>0</v>
      </c>
      <c r="E101" s="151">
        <f ca="1">IFERROR(__xludf.DUMMYFUNCTION("IMPORTRANGE(""https://docs.google.com/spreadsheets/d/1-uDff_7J0KD5mKrp0Vvzr7lt3OU09vwQwhkpOPPYv2Y/edit?usp=sharing"",""งบพรบ!FX101"")"),0)</f>
        <v>0</v>
      </c>
      <c r="F101" s="151">
        <f ca="1">IFERROR(__xludf.DUMMYFUNCTION("IMPORTRANGE(""https://docs.google.com/spreadsheets/d/1-uDff_7J0KD5mKrp0Vvzr7lt3OU09vwQwhkpOPPYv2Y/edit?usp=sharing"",""งบพรบ!FY101"")"),0)</f>
        <v>0</v>
      </c>
      <c r="G101" s="151">
        <f ca="1">IFERROR(__xludf.DUMMYFUNCTION("IMPORTRANGE(""https://docs.google.com/spreadsheets/d/1-uDff_7J0KD5mKrp0Vvzr7lt3OU09vwQwhkpOPPYv2Y/edit?usp=sharing"",""งบพรบ!FZ101"")"),0)</f>
        <v>0</v>
      </c>
      <c r="H101" s="151">
        <f ca="1">IFERROR(__xludf.DUMMYFUNCTION("IMPORTRANGE(""https://docs.google.com/spreadsheets/d/1-uDff_7J0KD5mKrp0Vvzr7lt3OU09vwQwhkpOPPYv2Y/edit?usp=sharing"",""งบพรบ!GB101"")"),0)</f>
        <v>0</v>
      </c>
      <c r="I101" s="151">
        <f ca="1">IFERROR(__xludf.DUMMYFUNCTION("IMPORTRANGE(""https://docs.google.com/spreadsheets/d/1-uDff_7J0KD5mKrp0Vvzr7lt3OU09vwQwhkpOPPYv2Y/edit?usp=sharing"",""งบพรบ!GC101"")"),0)</f>
        <v>0</v>
      </c>
      <c r="J101" s="262">
        <f t="shared" ca="1" si="36"/>
        <v>0</v>
      </c>
      <c r="K101" s="476">
        <f t="shared" ca="1" si="37"/>
        <v>0</v>
      </c>
      <c r="L101" s="151">
        <f ca="1">IFERROR(__xludf.DUMMYFUNCTION("IMPORTRANGE(""https://docs.google.com/spreadsheets/d/1-uDff_7J0KD5mKrp0Vvzr7lt3OU09vwQwhkpOPPYv2Y/edit?usp=sharing"",""งบพรบ!GD101"")"),0)</f>
        <v>0</v>
      </c>
      <c r="M101" s="260">
        <f t="shared" ca="1" si="38"/>
        <v>0</v>
      </c>
      <c r="N101" s="260">
        <f t="shared" ca="1" si="39"/>
        <v>0</v>
      </c>
      <c r="O101" s="151">
        <f ca="1">IFERROR(__xludf.DUMMYFUNCTION("IMPORTRANGE(""https://docs.google.com/spreadsheets/d/1-uDff_7J0KD5mKrp0Vvzr7lt3OU09vwQwhkpOPPYv2Y/edit?usp=sharing"",""งบพรบ!GE101"")"),0)</f>
        <v>0</v>
      </c>
      <c r="P101" s="475">
        <f t="shared" ca="1" si="40"/>
        <v>0</v>
      </c>
      <c r="Q101" s="260">
        <f t="shared" ca="1" si="41"/>
        <v>0</v>
      </c>
      <c r="R101" s="262"/>
      <c r="S101" s="262"/>
      <c r="T101" s="260">
        <v>0</v>
      </c>
    </row>
    <row r="102" spans="1:21" ht="19.5" x14ac:dyDescent="0.3">
      <c r="A102" s="257"/>
      <c r="B102" s="258" t="s">
        <v>130</v>
      </c>
      <c r="C102" s="472">
        <f t="shared" ca="1" si="34"/>
        <v>0</v>
      </c>
      <c r="D102" s="473">
        <f t="shared" ca="1" si="35"/>
        <v>0</v>
      </c>
      <c r="E102" s="151">
        <f ca="1">IFERROR(__xludf.DUMMYFUNCTION("IMPORTRANGE(""https://docs.google.com/spreadsheets/d/1-uDff_7J0KD5mKrp0Vvzr7lt3OU09vwQwhkpOPPYv2Y/edit?usp=sharing"",""งบพรบ!FX102"")"),0)</f>
        <v>0</v>
      </c>
      <c r="F102" s="151">
        <f ca="1">IFERROR(__xludf.DUMMYFUNCTION("IMPORTRANGE(""https://docs.google.com/spreadsheets/d/1-uDff_7J0KD5mKrp0Vvzr7lt3OU09vwQwhkpOPPYv2Y/edit?usp=sharing"",""งบพรบ!FY102"")"),0)</f>
        <v>0</v>
      </c>
      <c r="G102" s="151">
        <f ca="1">IFERROR(__xludf.DUMMYFUNCTION("IMPORTRANGE(""https://docs.google.com/spreadsheets/d/1-uDff_7J0KD5mKrp0Vvzr7lt3OU09vwQwhkpOPPYv2Y/edit?usp=sharing"",""งบพรบ!FZ102"")"),0)</f>
        <v>0</v>
      </c>
      <c r="H102" s="151">
        <f ca="1">IFERROR(__xludf.DUMMYFUNCTION("IMPORTRANGE(""https://docs.google.com/spreadsheets/d/1-uDff_7J0KD5mKrp0Vvzr7lt3OU09vwQwhkpOPPYv2Y/edit?usp=sharing"",""งบพรบ!GB102"")"),0)</f>
        <v>0</v>
      </c>
      <c r="I102" s="151">
        <f ca="1">IFERROR(__xludf.DUMMYFUNCTION("IMPORTRANGE(""https://docs.google.com/spreadsheets/d/1-uDff_7J0KD5mKrp0Vvzr7lt3OU09vwQwhkpOPPYv2Y/edit?usp=sharing"",""งบพรบ!GC102"")"),0)</f>
        <v>0</v>
      </c>
      <c r="J102" s="262">
        <f t="shared" ca="1" si="36"/>
        <v>0</v>
      </c>
      <c r="K102" s="476">
        <f t="shared" ca="1" si="37"/>
        <v>0</v>
      </c>
      <c r="L102" s="151">
        <f ca="1">IFERROR(__xludf.DUMMYFUNCTION("IMPORTRANGE(""https://docs.google.com/spreadsheets/d/1-uDff_7J0KD5mKrp0Vvzr7lt3OU09vwQwhkpOPPYv2Y/edit?usp=sharing"",""งบพรบ!GD102"")"),0)</f>
        <v>0</v>
      </c>
      <c r="M102" s="260">
        <f t="shared" ca="1" si="38"/>
        <v>0</v>
      </c>
      <c r="N102" s="260">
        <f t="shared" ca="1" si="39"/>
        <v>0</v>
      </c>
      <c r="O102" s="151">
        <f ca="1">IFERROR(__xludf.DUMMYFUNCTION("IMPORTRANGE(""https://docs.google.com/spreadsheets/d/1-uDff_7J0KD5mKrp0Vvzr7lt3OU09vwQwhkpOPPYv2Y/edit?usp=sharing"",""งบพรบ!GE102"")"),0)</f>
        <v>0</v>
      </c>
      <c r="P102" s="475">
        <f t="shared" ca="1" si="40"/>
        <v>0</v>
      </c>
      <c r="Q102" s="260">
        <f t="shared" ca="1" si="41"/>
        <v>0</v>
      </c>
      <c r="R102" s="262"/>
      <c r="S102" s="262"/>
      <c r="T102" s="260">
        <v>0</v>
      </c>
    </row>
    <row r="103" spans="1:21" ht="19.5" x14ac:dyDescent="0.3">
      <c r="A103" s="257"/>
      <c r="B103" s="258" t="s">
        <v>131</v>
      </c>
      <c r="C103" s="472">
        <f t="shared" ca="1" si="34"/>
        <v>0</v>
      </c>
      <c r="D103" s="473">
        <f t="shared" ca="1" si="35"/>
        <v>0</v>
      </c>
      <c r="E103" s="151">
        <f ca="1">IFERROR(__xludf.DUMMYFUNCTION("IMPORTRANGE(""https://docs.google.com/spreadsheets/d/1-uDff_7J0KD5mKrp0Vvzr7lt3OU09vwQwhkpOPPYv2Y/edit?usp=sharing"",""งบพรบ!FX103"")"),0)</f>
        <v>0</v>
      </c>
      <c r="F103" s="151">
        <f ca="1">IFERROR(__xludf.DUMMYFUNCTION("IMPORTRANGE(""https://docs.google.com/spreadsheets/d/1-uDff_7J0KD5mKrp0Vvzr7lt3OU09vwQwhkpOPPYv2Y/edit?usp=sharing"",""งบพรบ!FY103"")"),0)</f>
        <v>0</v>
      </c>
      <c r="G103" s="151">
        <f ca="1">IFERROR(__xludf.DUMMYFUNCTION("IMPORTRANGE(""https://docs.google.com/spreadsheets/d/1-uDff_7J0KD5mKrp0Vvzr7lt3OU09vwQwhkpOPPYv2Y/edit?usp=sharing"",""งบพรบ!FZ103"")"),0)</f>
        <v>0</v>
      </c>
      <c r="H103" s="151">
        <f ca="1">IFERROR(__xludf.DUMMYFUNCTION("IMPORTRANGE(""https://docs.google.com/spreadsheets/d/1-uDff_7J0KD5mKrp0Vvzr7lt3OU09vwQwhkpOPPYv2Y/edit?usp=sharing"",""งบพรบ!GB103"")"),0)</f>
        <v>0</v>
      </c>
      <c r="I103" s="151">
        <f ca="1">IFERROR(__xludf.DUMMYFUNCTION("IMPORTRANGE(""https://docs.google.com/spreadsheets/d/1-uDff_7J0KD5mKrp0Vvzr7lt3OU09vwQwhkpOPPYv2Y/edit?usp=sharing"",""งบพรบ!GC103"")"),0)</f>
        <v>0</v>
      </c>
      <c r="J103" s="262">
        <f t="shared" ca="1" si="36"/>
        <v>0</v>
      </c>
      <c r="K103" s="476">
        <f t="shared" ca="1" si="37"/>
        <v>0</v>
      </c>
      <c r="L103" s="151">
        <f ca="1">IFERROR(__xludf.DUMMYFUNCTION("IMPORTRANGE(""https://docs.google.com/spreadsheets/d/1-uDff_7J0KD5mKrp0Vvzr7lt3OU09vwQwhkpOPPYv2Y/edit?usp=sharing"",""งบพรบ!GD103"")"),0)</f>
        <v>0</v>
      </c>
      <c r="M103" s="260">
        <f t="shared" ca="1" si="38"/>
        <v>0</v>
      </c>
      <c r="N103" s="260">
        <f t="shared" ca="1" si="39"/>
        <v>0</v>
      </c>
      <c r="O103" s="151">
        <f ca="1">IFERROR(__xludf.DUMMYFUNCTION("IMPORTRANGE(""https://docs.google.com/spreadsheets/d/1-uDff_7J0KD5mKrp0Vvzr7lt3OU09vwQwhkpOPPYv2Y/edit?usp=sharing"",""งบพรบ!GE103"")"),0)</f>
        <v>0</v>
      </c>
      <c r="P103" s="475">
        <f t="shared" ca="1" si="40"/>
        <v>0</v>
      </c>
      <c r="Q103" s="260">
        <f t="shared" ca="1" si="41"/>
        <v>0</v>
      </c>
      <c r="R103" s="262"/>
      <c r="S103" s="262"/>
      <c r="T103" s="260">
        <v>0</v>
      </c>
    </row>
    <row r="104" spans="1:21" ht="19.5" x14ac:dyDescent="0.3">
      <c r="A104" s="257"/>
      <c r="B104" s="258" t="s">
        <v>132</v>
      </c>
      <c r="C104" s="472">
        <f t="shared" ca="1" si="34"/>
        <v>122800</v>
      </c>
      <c r="D104" s="473">
        <f t="shared" ca="1" si="35"/>
        <v>122800</v>
      </c>
      <c r="E104" s="151">
        <f ca="1">IFERROR(__xludf.DUMMYFUNCTION("IMPORTRANGE(""https://docs.google.com/spreadsheets/d/1-uDff_7J0KD5mKrp0Vvzr7lt3OU09vwQwhkpOPPYv2Y/edit?usp=sharing"",""งบพรบ!FX104"")"),122800)</f>
        <v>122800</v>
      </c>
      <c r="F104" s="151">
        <f ca="1">IFERROR(__xludf.DUMMYFUNCTION("IMPORTRANGE(""https://docs.google.com/spreadsheets/d/1-uDff_7J0KD5mKrp0Vvzr7lt3OU09vwQwhkpOPPYv2Y/edit?usp=sharing"",""งบพรบ!FY104"")"),0)</f>
        <v>0</v>
      </c>
      <c r="G104" s="151">
        <f ca="1">IFERROR(__xludf.DUMMYFUNCTION("IMPORTRANGE(""https://docs.google.com/spreadsheets/d/1-uDff_7J0KD5mKrp0Vvzr7lt3OU09vwQwhkpOPPYv2Y/edit?usp=sharing"",""งบพรบ!FZ104"")"),0)</f>
        <v>0</v>
      </c>
      <c r="H104" s="151">
        <f ca="1">IFERROR(__xludf.DUMMYFUNCTION("IMPORTRANGE(""https://docs.google.com/spreadsheets/d/1-uDff_7J0KD5mKrp0Vvzr7lt3OU09vwQwhkpOPPYv2Y/edit?usp=sharing"",""งบพรบ!GB104"")"),122800)</f>
        <v>122800</v>
      </c>
      <c r="I104" s="151">
        <f ca="1">IFERROR(__xludf.DUMMYFUNCTION("IMPORTRANGE(""https://docs.google.com/spreadsheets/d/1-uDff_7J0KD5mKrp0Vvzr7lt3OU09vwQwhkpOPPYv2Y/edit?usp=sharing"",""งบพรบ!GC104"")"),0)</f>
        <v>0</v>
      </c>
      <c r="J104" s="262">
        <f t="shared" ca="1" si="36"/>
        <v>0</v>
      </c>
      <c r="K104" s="476">
        <f t="shared" ca="1" si="37"/>
        <v>0</v>
      </c>
      <c r="L104" s="151">
        <f ca="1">IFERROR(__xludf.DUMMYFUNCTION("IMPORTRANGE(""https://docs.google.com/spreadsheets/d/1-uDff_7J0KD5mKrp0Vvzr7lt3OU09vwQwhkpOPPYv2Y/edit?usp=sharing"",""งบพรบ!GD104"")"),0)</f>
        <v>0</v>
      </c>
      <c r="M104" s="260">
        <f t="shared" ca="1" si="38"/>
        <v>0</v>
      </c>
      <c r="N104" s="260">
        <f t="shared" ca="1" si="39"/>
        <v>0</v>
      </c>
      <c r="O104" s="151">
        <f ca="1">IFERROR(__xludf.DUMMYFUNCTION("IMPORTRANGE(""https://docs.google.com/spreadsheets/d/1-uDff_7J0KD5mKrp0Vvzr7lt3OU09vwQwhkpOPPYv2Y/edit?usp=sharing"",""งบพรบ!GE104"")"),0)</f>
        <v>0</v>
      </c>
      <c r="P104" s="475">
        <f t="shared" ca="1" si="40"/>
        <v>0</v>
      </c>
      <c r="Q104" s="260">
        <f t="shared" ca="1" si="41"/>
        <v>0</v>
      </c>
      <c r="R104" s="251"/>
      <c r="S104" s="251"/>
      <c r="T104" s="605">
        <v>0</v>
      </c>
    </row>
    <row r="105" spans="1:21" ht="19.5" x14ac:dyDescent="0.3">
      <c r="A105" s="257"/>
      <c r="B105" s="261" t="s">
        <v>133</v>
      </c>
      <c r="C105" s="472">
        <f t="shared" ca="1" si="34"/>
        <v>0</v>
      </c>
      <c r="D105" s="473">
        <f t="shared" ca="1" si="35"/>
        <v>0</v>
      </c>
      <c r="E105" s="151">
        <f ca="1">IFERROR(__xludf.DUMMYFUNCTION("IMPORTRANGE(""https://docs.google.com/spreadsheets/d/1-uDff_7J0KD5mKrp0Vvzr7lt3OU09vwQwhkpOPPYv2Y/edit?usp=sharing"",""งบพรบ!FX105"")"),0)</f>
        <v>0</v>
      </c>
      <c r="F105" s="151">
        <f ca="1">IFERROR(__xludf.DUMMYFUNCTION("IMPORTRANGE(""https://docs.google.com/spreadsheets/d/1-uDff_7J0KD5mKrp0Vvzr7lt3OU09vwQwhkpOPPYv2Y/edit?usp=sharing"",""งบพรบ!FY105"")"),0)</f>
        <v>0</v>
      </c>
      <c r="G105" s="151">
        <f ca="1">IFERROR(__xludf.DUMMYFUNCTION("IMPORTRANGE(""https://docs.google.com/spreadsheets/d/1-uDff_7J0KD5mKrp0Vvzr7lt3OU09vwQwhkpOPPYv2Y/edit?usp=sharing"",""งบพรบ!FZ105"")"),0)</f>
        <v>0</v>
      </c>
      <c r="H105" s="151">
        <f ca="1">IFERROR(__xludf.DUMMYFUNCTION("IMPORTRANGE(""https://docs.google.com/spreadsheets/d/1-uDff_7J0KD5mKrp0Vvzr7lt3OU09vwQwhkpOPPYv2Y/edit?usp=sharing"",""งบพรบ!GB105"")"),0)</f>
        <v>0</v>
      </c>
      <c r="I105" s="151">
        <f ca="1">IFERROR(__xludf.DUMMYFUNCTION("IMPORTRANGE(""https://docs.google.com/spreadsheets/d/1-uDff_7J0KD5mKrp0Vvzr7lt3OU09vwQwhkpOPPYv2Y/edit?usp=sharing"",""งบพรบ!GC105"")"),0)</f>
        <v>0</v>
      </c>
      <c r="J105" s="262">
        <f t="shared" ca="1" si="36"/>
        <v>0</v>
      </c>
      <c r="K105" s="476">
        <f t="shared" ca="1" si="37"/>
        <v>0</v>
      </c>
      <c r="L105" s="151">
        <f ca="1">IFERROR(__xludf.DUMMYFUNCTION("IMPORTRANGE(""https://docs.google.com/spreadsheets/d/1-uDff_7J0KD5mKrp0Vvzr7lt3OU09vwQwhkpOPPYv2Y/edit?usp=sharing"",""งบพรบ!GD105"")"),0)</f>
        <v>0</v>
      </c>
      <c r="M105" s="260">
        <f t="shared" ca="1" si="38"/>
        <v>0</v>
      </c>
      <c r="N105" s="260">
        <f t="shared" ca="1" si="39"/>
        <v>0</v>
      </c>
      <c r="O105" s="151">
        <f ca="1">IFERROR(__xludf.DUMMYFUNCTION("IMPORTRANGE(""https://docs.google.com/spreadsheets/d/1-uDff_7J0KD5mKrp0Vvzr7lt3OU09vwQwhkpOPPYv2Y/edit?usp=sharing"",""งบพรบ!GE105"")"),0)</f>
        <v>0</v>
      </c>
      <c r="P105" s="475">
        <f t="shared" ca="1" si="40"/>
        <v>0</v>
      </c>
      <c r="Q105" s="260">
        <f t="shared" ca="1" si="41"/>
        <v>0</v>
      </c>
      <c r="R105" s="262"/>
      <c r="S105" s="262"/>
      <c r="T105" s="260">
        <v>0</v>
      </c>
    </row>
    <row r="106" spans="1:21" ht="19.5" x14ac:dyDescent="0.3">
      <c r="A106" s="257"/>
      <c r="B106" s="261" t="s">
        <v>134</v>
      </c>
      <c r="C106" s="472">
        <f t="shared" ca="1" si="34"/>
        <v>0</v>
      </c>
      <c r="D106" s="473">
        <f t="shared" ca="1" si="35"/>
        <v>0</v>
      </c>
      <c r="E106" s="151">
        <f ca="1">IFERROR(__xludf.DUMMYFUNCTION("IMPORTRANGE(""https://docs.google.com/spreadsheets/d/1-uDff_7J0KD5mKrp0Vvzr7lt3OU09vwQwhkpOPPYv2Y/edit?usp=sharing"",""งบพรบ!FX106"")"),0)</f>
        <v>0</v>
      </c>
      <c r="F106" s="151">
        <f ca="1">IFERROR(__xludf.DUMMYFUNCTION("IMPORTRANGE(""https://docs.google.com/spreadsheets/d/1-uDff_7J0KD5mKrp0Vvzr7lt3OU09vwQwhkpOPPYv2Y/edit?usp=sharing"",""งบพรบ!FY106"")"),0)</f>
        <v>0</v>
      </c>
      <c r="G106" s="151">
        <f ca="1">IFERROR(__xludf.DUMMYFUNCTION("IMPORTRANGE(""https://docs.google.com/spreadsheets/d/1-uDff_7J0KD5mKrp0Vvzr7lt3OU09vwQwhkpOPPYv2Y/edit?usp=sharing"",""งบพรบ!FZ106"")"),0)</f>
        <v>0</v>
      </c>
      <c r="H106" s="151">
        <f ca="1">IFERROR(__xludf.DUMMYFUNCTION("IMPORTRANGE(""https://docs.google.com/spreadsheets/d/1-uDff_7J0KD5mKrp0Vvzr7lt3OU09vwQwhkpOPPYv2Y/edit?usp=sharing"",""งบพรบ!GB106"")"),0)</f>
        <v>0</v>
      </c>
      <c r="I106" s="151">
        <f ca="1">IFERROR(__xludf.DUMMYFUNCTION("IMPORTRANGE(""https://docs.google.com/spreadsheets/d/1-uDff_7J0KD5mKrp0Vvzr7lt3OU09vwQwhkpOPPYv2Y/edit?usp=sharing"",""งบพรบ!GC106"")"),0)</f>
        <v>0</v>
      </c>
      <c r="J106" s="262">
        <f t="shared" ca="1" si="36"/>
        <v>0</v>
      </c>
      <c r="K106" s="476">
        <f t="shared" ca="1" si="37"/>
        <v>0</v>
      </c>
      <c r="L106" s="151">
        <f ca="1">IFERROR(__xludf.DUMMYFUNCTION("IMPORTRANGE(""https://docs.google.com/spreadsheets/d/1-uDff_7J0KD5mKrp0Vvzr7lt3OU09vwQwhkpOPPYv2Y/edit?usp=sharing"",""งบพรบ!GD106"")"),0)</f>
        <v>0</v>
      </c>
      <c r="M106" s="260">
        <f t="shared" ca="1" si="38"/>
        <v>0</v>
      </c>
      <c r="N106" s="260">
        <f t="shared" ca="1" si="39"/>
        <v>0</v>
      </c>
      <c r="O106" s="151">
        <f ca="1">IFERROR(__xludf.DUMMYFUNCTION("IMPORTRANGE(""https://docs.google.com/spreadsheets/d/1-uDff_7J0KD5mKrp0Vvzr7lt3OU09vwQwhkpOPPYv2Y/edit?usp=sharing"",""งบพรบ!GE106"")"),0)</f>
        <v>0</v>
      </c>
      <c r="P106" s="475">
        <f t="shared" ca="1" si="40"/>
        <v>0</v>
      </c>
      <c r="Q106" s="260">
        <f t="shared" ca="1" si="41"/>
        <v>0</v>
      </c>
      <c r="R106" s="262"/>
      <c r="S106" s="262"/>
      <c r="T106" s="260">
        <v>0</v>
      </c>
    </row>
    <row r="107" spans="1:21" ht="19.5" x14ac:dyDescent="0.3">
      <c r="A107" s="263"/>
      <c r="B107" s="264" t="s">
        <v>26</v>
      </c>
      <c r="C107" s="173">
        <f t="shared" ca="1" si="34"/>
        <v>0</v>
      </c>
      <c r="D107" s="174">
        <f t="shared" ca="1" si="35"/>
        <v>0</v>
      </c>
      <c r="E107" s="265">
        <f ca="1">IFERROR(__xludf.DUMMYFUNCTION("IMPORTRANGE(""https://docs.google.com/spreadsheets/d/1-uDff_7J0KD5mKrp0Vvzr7lt3OU09vwQwhkpOPPYv2Y/edit?usp=sharing"",""งบพรบ!FX107"")"),0)</f>
        <v>0</v>
      </c>
      <c r="F107" s="265">
        <f ca="1">IFERROR(__xludf.DUMMYFUNCTION("IMPORTRANGE(""https://docs.google.com/spreadsheets/d/1-uDff_7J0KD5mKrp0Vvzr7lt3OU09vwQwhkpOPPYv2Y/edit?usp=sharing"",""งบพรบ!FY107"")"),0)</f>
        <v>0</v>
      </c>
      <c r="G107" s="265">
        <f ca="1">IFERROR(__xludf.DUMMYFUNCTION("IMPORTRANGE(""https://docs.google.com/spreadsheets/d/1-uDff_7J0KD5mKrp0Vvzr7lt3OU09vwQwhkpOPPYv2Y/edit?usp=sharing"",""งบพรบ!FZ107"")"),0)</f>
        <v>0</v>
      </c>
      <c r="H107" s="265">
        <f ca="1">IFERROR(__xludf.DUMMYFUNCTION("IMPORTRANGE(""https://docs.google.com/spreadsheets/d/1-uDff_7J0KD5mKrp0Vvzr7lt3OU09vwQwhkpOPPYv2Y/edit?usp=sharing"",""งบพรบ!GB107"")"),0)</f>
        <v>0</v>
      </c>
      <c r="I107" s="265">
        <f ca="1">IFERROR(__xludf.DUMMYFUNCTION("IMPORTRANGE(""https://docs.google.com/spreadsheets/d/1-uDff_7J0KD5mKrp0Vvzr7lt3OU09vwQwhkpOPPYv2Y/edit?usp=sharing"",""งบพรบ!GC107"")"),0)</f>
        <v>0</v>
      </c>
      <c r="J107" s="606">
        <f t="shared" ca="1" si="36"/>
        <v>0</v>
      </c>
      <c r="K107" s="266">
        <f t="shared" ca="1" si="37"/>
        <v>0</v>
      </c>
      <c r="L107" s="265">
        <f ca="1">IFERROR(__xludf.DUMMYFUNCTION("IMPORTRANGE(""https://docs.google.com/spreadsheets/d/1-uDff_7J0KD5mKrp0Vvzr7lt3OU09vwQwhkpOPPYv2Y/edit?usp=sharing"",""งบพรบ!GD107"")"),0)</f>
        <v>0</v>
      </c>
      <c r="M107" s="206">
        <f t="shared" ca="1" si="38"/>
        <v>0</v>
      </c>
      <c r="N107" s="206">
        <f t="shared" ca="1" si="39"/>
        <v>0</v>
      </c>
      <c r="O107" s="265">
        <f ca="1">IFERROR(__xludf.DUMMYFUNCTION("IMPORTRANGE(""https://docs.google.com/spreadsheets/d/1-uDff_7J0KD5mKrp0Vvzr7lt3OU09vwQwhkpOPPYv2Y/edit?usp=sharing"",""งบพรบ!GE107"")"),0)</f>
        <v>0</v>
      </c>
      <c r="P107" s="205">
        <f t="shared" ca="1" si="40"/>
        <v>0</v>
      </c>
      <c r="Q107" s="607">
        <f t="shared" ca="1" si="41"/>
        <v>0</v>
      </c>
      <c r="R107" s="175"/>
      <c r="S107" s="175"/>
      <c r="T107" s="206"/>
      <c r="U107" s="118"/>
    </row>
    <row r="108" spans="1:21" ht="19.5" x14ac:dyDescent="0.3">
      <c r="A108" s="268"/>
      <c r="B108" s="269" t="s">
        <v>135</v>
      </c>
      <c r="C108" s="193">
        <f t="shared" ca="1" si="34"/>
        <v>0</v>
      </c>
      <c r="D108" s="194">
        <f t="shared" ca="1" si="35"/>
        <v>0</v>
      </c>
      <c r="E108" s="270">
        <f ca="1">IFERROR(__xludf.DUMMYFUNCTION("IMPORTRANGE(""https://docs.google.com/spreadsheets/d/1-uDff_7J0KD5mKrp0Vvzr7lt3OU09vwQwhkpOPPYv2Y/edit?usp=sharing"",""งบพรบ!FX108"")"),0)</f>
        <v>0</v>
      </c>
      <c r="F108" s="270">
        <f ca="1">IFERROR(__xludf.DUMMYFUNCTION("IMPORTRANGE(""https://docs.google.com/spreadsheets/d/1-uDff_7J0KD5mKrp0Vvzr7lt3OU09vwQwhkpOPPYv2Y/edit?usp=sharing"",""งบพรบ!FY108"")"),0)</f>
        <v>0</v>
      </c>
      <c r="G108" s="270">
        <f ca="1">IFERROR(__xludf.DUMMYFUNCTION("IMPORTRANGE(""https://docs.google.com/spreadsheets/d/1-uDff_7J0KD5mKrp0Vvzr7lt3OU09vwQwhkpOPPYv2Y/edit?usp=sharing"",""งบพรบ!FZ108"")"),0)</f>
        <v>0</v>
      </c>
      <c r="H108" s="270">
        <f ca="1">IFERROR(__xludf.DUMMYFUNCTION("IMPORTRANGE(""https://docs.google.com/spreadsheets/d/1-uDff_7J0KD5mKrp0Vvzr7lt3OU09vwQwhkpOPPYv2Y/edit?usp=sharing"",""งบพรบ!GB108"")"),0)</f>
        <v>0</v>
      </c>
      <c r="I108" s="270">
        <f ca="1">IFERROR(__xludf.DUMMYFUNCTION("IMPORTRANGE(""https://docs.google.com/spreadsheets/d/1-uDff_7J0KD5mKrp0Vvzr7lt3OU09vwQwhkpOPPYv2Y/edit?usp=sharing"",""งบพรบ!GC108"")"),0)</f>
        <v>0</v>
      </c>
      <c r="J108" s="608">
        <f t="shared" ca="1" si="36"/>
        <v>0</v>
      </c>
      <c r="K108" s="271">
        <f t="shared" ca="1" si="37"/>
        <v>0</v>
      </c>
      <c r="L108" s="270">
        <f ca="1">IFERROR(__xludf.DUMMYFUNCTION("IMPORTRANGE(""https://docs.google.com/spreadsheets/d/1-uDff_7J0KD5mKrp0Vvzr7lt3OU09vwQwhkpOPPYv2Y/edit?usp=sharing"",""งบพรบ!GD108"")"),0)</f>
        <v>0</v>
      </c>
      <c r="M108" s="209">
        <f t="shared" ca="1" si="38"/>
        <v>0</v>
      </c>
      <c r="N108" s="209">
        <f t="shared" ca="1" si="39"/>
        <v>0</v>
      </c>
      <c r="O108" s="270">
        <f ca="1">IFERROR(__xludf.DUMMYFUNCTION("IMPORTRANGE(""https://docs.google.com/spreadsheets/d/1-uDff_7J0KD5mKrp0Vvzr7lt3OU09vwQwhkpOPPYv2Y/edit?usp=sharing"",""งบพรบ!GE108"")"),0)</f>
        <v>0</v>
      </c>
      <c r="P108" s="208">
        <f t="shared" ca="1" si="40"/>
        <v>0</v>
      </c>
      <c r="Q108" s="609">
        <f t="shared" ca="1" si="41"/>
        <v>0</v>
      </c>
      <c r="R108" s="222"/>
      <c r="S108" s="222"/>
      <c r="T108" s="209"/>
      <c r="U108" s="118"/>
    </row>
  </sheetData>
  <mergeCells count="25">
    <mergeCell ref="F5:F6"/>
    <mergeCell ref="G5:G6"/>
    <mergeCell ref="H5:H6"/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I5:I6"/>
    <mergeCell ref="J5:K5"/>
    <mergeCell ref="L5:N5"/>
    <mergeCell ref="O5:Q5"/>
    <mergeCell ref="S5:T5"/>
    <mergeCell ref="C2:Q2"/>
    <mergeCell ref="R2:T2"/>
    <mergeCell ref="C3:Q3"/>
    <mergeCell ref="R3:T4"/>
    <mergeCell ref="C4:G4"/>
    <mergeCell ref="H4:I4"/>
    <mergeCell ref="J4:Q4"/>
  </mergeCells>
  <conditionalFormatting sqref="K14:K30 K32:K51 K53:K73 K75:K88 K90:K108">
    <cfRule type="colorScale" priority="1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T14:T30 T32:T51 T53:T73 T75:T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outlinePr summaryBelow="0" summaryRight="0"/>
  </sheetPr>
  <dimension ref="A1:AH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0.140625" customWidth="1"/>
    <col min="8" max="8" width="16.42578125" customWidth="1"/>
    <col min="9" max="9" width="11.5703125" customWidth="1"/>
    <col min="10" max="10" width="15.140625" customWidth="1"/>
    <col min="11" max="11" width="11.42578125" customWidth="1"/>
    <col min="12" max="14" width="15.140625" customWidth="1"/>
    <col min="15" max="15" width="10.42578125" customWidth="1"/>
    <col min="16" max="22" width="15.140625" customWidth="1"/>
    <col min="23" max="34" width="11.42578125" customWidth="1"/>
  </cols>
  <sheetData>
    <row r="1" spans="1:34" ht="24" customHeight="1" x14ac:dyDescent="0.3">
      <c r="A1" s="1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7"/>
      <c r="S1" s="117"/>
      <c r="T1" s="117"/>
      <c r="U1" s="117"/>
      <c r="V1" s="117"/>
      <c r="W1" s="114"/>
      <c r="X1" s="114"/>
      <c r="Y1" s="114"/>
      <c r="Z1" s="114"/>
      <c r="AA1" s="114"/>
      <c r="AB1" s="114"/>
      <c r="AC1" s="114"/>
      <c r="AD1" s="114"/>
      <c r="AE1" s="114"/>
      <c r="AF1" s="118"/>
      <c r="AG1" s="118"/>
      <c r="AH1" s="118"/>
    </row>
    <row r="2" spans="1:34" ht="30" customHeight="1" x14ac:dyDescent="0.2">
      <c r="A2" s="692" t="s">
        <v>1</v>
      </c>
      <c r="B2" s="658"/>
      <c r="C2" s="689" t="s">
        <v>136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90" t="s">
        <v>137</v>
      </c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7"/>
    </row>
    <row r="3" spans="1:34" ht="30" customHeight="1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45" t="s">
        <v>5</v>
      </c>
      <c r="S3" s="646"/>
      <c r="T3" s="646"/>
      <c r="U3" s="646"/>
      <c r="V3" s="647"/>
      <c r="W3" s="687" t="s">
        <v>138</v>
      </c>
      <c r="X3" s="674"/>
      <c r="Y3" s="658"/>
      <c r="Z3" s="687" t="s">
        <v>139</v>
      </c>
      <c r="AA3" s="674"/>
      <c r="AB3" s="658"/>
      <c r="AC3" s="687" t="s">
        <v>7</v>
      </c>
      <c r="AD3" s="674"/>
      <c r="AE3" s="674"/>
      <c r="AF3" s="674"/>
      <c r="AG3" s="674"/>
      <c r="AH3" s="658"/>
    </row>
    <row r="4" spans="1:34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648" t="s">
        <v>11</v>
      </c>
      <c r="S4" s="651" t="s">
        <v>12</v>
      </c>
      <c r="T4" s="652" t="s">
        <v>13</v>
      </c>
      <c r="U4" s="652" t="s">
        <v>14</v>
      </c>
      <c r="V4" s="652" t="s">
        <v>15</v>
      </c>
      <c r="W4" s="661"/>
      <c r="X4" s="675"/>
      <c r="Y4" s="662"/>
      <c r="Z4" s="661"/>
      <c r="AA4" s="675"/>
      <c r="AB4" s="662"/>
      <c r="AC4" s="661"/>
      <c r="AD4" s="675"/>
      <c r="AE4" s="675"/>
      <c r="AF4" s="675"/>
      <c r="AG4" s="675"/>
      <c r="AH4" s="662"/>
    </row>
    <row r="5" spans="1:34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649"/>
      <c r="S5" s="649"/>
      <c r="T5" s="649"/>
      <c r="U5" s="649"/>
      <c r="V5" s="649"/>
      <c r="W5" s="119" t="s">
        <v>28</v>
      </c>
      <c r="X5" s="688" t="s">
        <v>29</v>
      </c>
      <c r="Y5" s="647"/>
      <c r="Z5" s="119" t="s">
        <v>28</v>
      </c>
      <c r="AA5" s="688" t="s">
        <v>29</v>
      </c>
      <c r="AB5" s="647"/>
      <c r="AC5" s="119" t="s">
        <v>28</v>
      </c>
      <c r="AD5" s="688" t="s">
        <v>29</v>
      </c>
      <c r="AE5" s="647"/>
      <c r="AF5" s="119" t="s">
        <v>28</v>
      </c>
      <c r="AG5" s="688" t="s">
        <v>29</v>
      </c>
      <c r="AH5" s="647"/>
    </row>
    <row r="6" spans="1:34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650"/>
      <c r="S6" s="650"/>
      <c r="T6" s="650"/>
      <c r="U6" s="650"/>
      <c r="V6" s="650"/>
      <c r="W6" s="124" t="s">
        <v>140</v>
      </c>
      <c r="X6" s="125" t="s">
        <v>140</v>
      </c>
      <c r="Y6" s="125" t="s">
        <v>31</v>
      </c>
      <c r="Z6" s="124" t="s">
        <v>35</v>
      </c>
      <c r="AA6" s="125" t="s">
        <v>35</v>
      </c>
      <c r="AB6" s="125" t="s">
        <v>31</v>
      </c>
      <c r="AC6" s="124" t="s">
        <v>140</v>
      </c>
      <c r="AD6" s="125" t="s">
        <v>140</v>
      </c>
      <c r="AE6" s="125" t="s">
        <v>31</v>
      </c>
      <c r="AF6" s="124" t="s">
        <v>35</v>
      </c>
      <c r="AG6" s="125" t="s">
        <v>35</v>
      </c>
      <c r="AH6" s="125" t="s">
        <v>31</v>
      </c>
    </row>
    <row r="7" spans="1:34" ht="24" customHeight="1" x14ac:dyDescent="0.3">
      <c r="A7" s="694" t="s">
        <v>38</v>
      </c>
      <c r="B7" s="647"/>
      <c r="C7" s="126">
        <f t="shared" ref="C7:C9" ca="1" si="0">D7+G7</f>
        <v>1756000</v>
      </c>
      <c r="D7" s="127">
        <f t="shared" ref="D7:E7" ca="1" si="1">D8+D9+D12</f>
        <v>1756000</v>
      </c>
      <c r="E7" s="128">
        <f t="shared" ca="1" si="1"/>
        <v>790200</v>
      </c>
      <c r="F7" s="129">
        <f ca="1">F8+F9</f>
        <v>965800</v>
      </c>
      <c r="G7" s="130">
        <f t="shared" ref="G7:I7" ca="1" si="2">G8+G9+G12</f>
        <v>0</v>
      </c>
      <c r="H7" s="131">
        <f t="shared" ca="1" si="2"/>
        <v>1756000</v>
      </c>
      <c r="I7" s="131">
        <f t="shared" ca="1" si="2"/>
        <v>0</v>
      </c>
      <c r="J7" s="132">
        <f t="shared" ref="J7:J9" ca="1" si="3">L7+O7</f>
        <v>1470580.83</v>
      </c>
      <c r="K7" s="133">
        <f t="shared" ref="K7:K9" ca="1" si="4">IF(C7&gt;0,J7*100/C7,0)</f>
        <v>83.746060933940768</v>
      </c>
      <c r="L7" s="132">
        <f ca="1">L8+L9+L12</f>
        <v>1470580.83</v>
      </c>
      <c r="M7" s="27">
        <f t="shared" ref="M7:M9" ca="1" si="5">IF(D7&gt;0,L7*100/D7,0)</f>
        <v>83.746060933940768</v>
      </c>
      <c r="N7" s="27">
        <f t="shared" ref="N7:N9" ca="1" si="6">IF(H7&gt;0,L7*100/H7,0)</f>
        <v>83.746060933940768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4990240</v>
      </c>
      <c r="S7" s="26">
        <f t="shared" ca="1" si="9"/>
        <v>4882864.2</v>
      </c>
      <c r="T7" s="26">
        <f t="shared" ca="1" si="9"/>
        <v>1966573.1099999999</v>
      </c>
      <c r="U7" s="27">
        <f t="shared" ref="U7:U9" ca="1" si="10">IF(R7&gt;0,T7*100/R7,0)</f>
        <v>39.408387372150436</v>
      </c>
      <c r="V7" s="27">
        <f t="shared" ref="V7:V9" ca="1" si="11">IF(S7&gt;0,T7*100/S7,0)</f>
        <v>40.274990854752829</v>
      </c>
      <c r="W7" s="28">
        <f t="shared" ref="W7:X7" ca="1" si="12">W8</f>
        <v>1500</v>
      </c>
      <c r="X7" s="29">
        <f t="shared" ca="1" si="12"/>
        <v>1470</v>
      </c>
      <c r="Y7" s="30">
        <f t="shared" ref="Y7:Y8" ca="1" si="13">IF(W7&gt;0,X7*100/W7,0)</f>
        <v>98</v>
      </c>
      <c r="Z7" s="28">
        <f t="shared" ref="Z7:AA7" ca="1" si="14">Z8</f>
        <v>500</v>
      </c>
      <c r="AA7" s="29">
        <f t="shared" ca="1" si="14"/>
        <v>490</v>
      </c>
      <c r="AB7" s="30">
        <f t="shared" ref="AB7:AB8" ca="1" si="15">IF(Z7&gt;0,AA7*100/Z7,0)</f>
        <v>98</v>
      </c>
      <c r="AC7" s="28">
        <f t="shared" ref="AC7:AD7" ca="1" si="16">AC8</f>
        <v>1500</v>
      </c>
      <c r="AD7" s="29">
        <f t="shared" ca="1" si="16"/>
        <v>1182</v>
      </c>
      <c r="AE7" s="30">
        <f t="shared" ref="AE7:AE8" ca="1" si="17">IF(AC7&gt;0,AD7*100/AC7,0)</f>
        <v>78.8</v>
      </c>
      <c r="AF7" s="28">
        <f t="shared" ref="AF7:AG7" ca="1" si="18">AF8</f>
        <v>500</v>
      </c>
      <c r="AG7" s="29">
        <f t="shared" ca="1" si="18"/>
        <v>394</v>
      </c>
      <c r="AH7" s="30">
        <f t="shared" ref="AH7:AH8" ca="1" si="19">IF(AF7&gt;0,AG7*100/AF7,0)</f>
        <v>78.8</v>
      </c>
    </row>
    <row r="8" spans="1:34" ht="28.5" customHeight="1" x14ac:dyDescent="0.3">
      <c r="A8" s="134" t="s">
        <v>39</v>
      </c>
      <c r="B8" s="135"/>
      <c r="C8" s="136">
        <f t="shared" ca="1" si="0"/>
        <v>1184800</v>
      </c>
      <c r="D8" s="136">
        <f t="shared" ref="D8:I8" ca="1" si="20">+D13+D31+D52+D74</f>
        <v>1184800</v>
      </c>
      <c r="E8" s="136">
        <f t="shared" ca="1" si="20"/>
        <v>351000</v>
      </c>
      <c r="F8" s="136">
        <f t="shared" ca="1" si="20"/>
        <v>833800</v>
      </c>
      <c r="G8" s="136">
        <f t="shared" ca="1" si="20"/>
        <v>0</v>
      </c>
      <c r="H8" s="136">
        <f t="shared" ca="1" si="20"/>
        <v>1184760</v>
      </c>
      <c r="I8" s="136">
        <f t="shared" ca="1" si="20"/>
        <v>0</v>
      </c>
      <c r="J8" s="136">
        <f t="shared" ca="1" si="3"/>
        <v>1077159.02</v>
      </c>
      <c r="K8" s="137">
        <f t="shared" ca="1" si="4"/>
        <v>90.914839635381497</v>
      </c>
      <c r="L8" s="136">
        <f ca="1">+L13+L31+L52+L74</f>
        <v>1077159.02</v>
      </c>
      <c r="M8" s="37">
        <f t="shared" ca="1" si="5"/>
        <v>90.914839635381497</v>
      </c>
      <c r="N8" s="37">
        <f t="shared" ca="1" si="6"/>
        <v>90.917909112394071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21">+R13+R31+R52+R74</f>
        <v>3699340</v>
      </c>
      <c r="S8" s="36">
        <f t="shared" ca="1" si="21"/>
        <v>3591964.2</v>
      </c>
      <c r="T8" s="36">
        <f t="shared" ca="1" si="21"/>
        <v>1829657.45</v>
      </c>
      <c r="U8" s="37">
        <f t="shared" ca="1" si="10"/>
        <v>49.459023771807942</v>
      </c>
      <c r="V8" s="37">
        <f t="shared" ca="1" si="11"/>
        <v>50.937519087745919</v>
      </c>
      <c r="W8" s="32">
        <f t="shared" ref="W8:X8" ca="1" si="22">+W13+W31+W52+W74</f>
        <v>1500</v>
      </c>
      <c r="X8" s="32">
        <f t="shared" ca="1" si="22"/>
        <v>1470</v>
      </c>
      <c r="Y8" s="34">
        <f t="shared" ca="1" si="13"/>
        <v>98</v>
      </c>
      <c r="Z8" s="32">
        <f t="shared" ref="Z8:AA8" ca="1" si="23">+Z13+Z31+Z52+Z74</f>
        <v>500</v>
      </c>
      <c r="AA8" s="32">
        <f t="shared" ca="1" si="23"/>
        <v>490</v>
      </c>
      <c r="AB8" s="34">
        <f t="shared" ca="1" si="15"/>
        <v>98</v>
      </c>
      <c r="AC8" s="32">
        <f t="shared" ref="AC8:AD8" ca="1" si="24">+AC13+AC31+AC52+AC74</f>
        <v>1500</v>
      </c>
      <c r="AD8" s="32">
        <f t="shared" ca="1" si="24"/>
        <v>1182</v>
      </c>
      <c r="AE8" s="34">
        <f t="shared" ca="1" si="17"/>
        <v>78.8</v>
      </c>
      <c r="AF8" s="32">
        <f t="shared" ref="AF8:AG8" ca="1" si="25">+AF13+AF31+AF52+AF74</f>
        <v>500</v>
      </c>
      <c r="AG8" s="32">
        <f t="shared" ca="1" si="25"/>
        <v>394</v>
      </c>
      <c r="AH8" s="34">
        <f t="shared" ca="1" si="19"/>
        <v>78.8</v>
      </c>
    </row>
    <row r="9" spans="1:34" ht="28.5" customHeight="1" x14ac:dyDescent="0.3">
      <c r="A9" s="38" t="s">
        <v>40</v>
      </c>
      <c r="B9" s="138"/>
      <c r="C9" s="139">
        <f t="shared" ca="1" si="0"/>
        <v>571200</v>
      </c>
      <c r="D9" s="139">
        <f t="shared" ref="D9:I9" ca="1" si="26">+D89</f>
        <v>571200</v>
      </c>
      <c r="E9" s="139">
        <f t="shared" ca="1" si="26"/>
        <v>439200</v>
      </c>
      <c r="F9" s="139">
        <f t="shared" ca="1" si="26"/>
        <v>132000</v>
      </c>
      <c r="G9" s="139">
        <f t="shared" ca="1" si="26"/>
        <v>0</v>
      </c>
      <c r="H9" s="139">
        <f t="shared" ca="1" si="26"/>
        <v>571240</v>
      </c>
      <c r="I9" s="139">
        <f t="shared" ca="1" si="26"/>
        <v>0</v>
      </c>
      <c r="J9" s="139">
        <f t="shared" ca="1" si="3"/>
        <v>393421.81000000006</v>
      </c>
      <c r="K9" s="140">
        <f t="shared" ca="1" si="4"/>
        <v>68.876367296918787</v>
      </c>
      <c r="L9" s="139">
        <f ca="1">+L89</f>
        <v>393421.81000000006</v>
      </c>
      <c r="M9" s="44">
        <f t="shared" ca="1" si="5"/>
        <v>68.876367296918787</v>
      </c>
      <c r="N9" s="44">
        <f t="shared" ca="1" si="6"/>
        <v>68.87154435963869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7">+R89</f>
        <v>1290900</v>
      </c>
      <c r="S9" s="43">
        <f t="shared" ca="1" si="27"/>
        <v>1290900</v>
      </c>
      <c r="T9" s="43">
        <f t="shared" ca="1" si="27"/>
        <v>136915.66</v>
      </c>
      <c r="U9" s="44">
        <f t="shared" ca="1" si="10"/>
        <v>10.606217367727941</v>
      </c>
      <c r="V9" s="44">
        <f t="shared" ca="1" si="11"/>
        <v>10.606217367727941</v>
      </c>
      <c r="W9" s="39"/>
      <c r="X9" s="39"/>
      <c r="Y9" s="41"/>
      <c r="Z9" s="39"/>
      <c r="AA9" s="39"/>
      <c r="AB9" s="41"/>
      <c r="AC9" s="39"/>
      <c r="AD9" s="39"/>
      <c r="AE9" s="41"/>
      <c r="AF9" s="39"/>
      <c r="AG9" s="39"/>
      <c r="AH9" s="41"/>
    </row>
    <row r="10" spans="1:34" ht="28.5" hidden="1" customHeight="1" x14ac:dyDescent="0.3">
      <c r="A10" s="141"/>
      <c r="B10" s="142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48"/>
      <c r="Z10" s="46"/>
      <c r="AA10" s="46"/>
      <c r="AB10" s="48"/>
      <c r="AC10" s="46"/>
      <c r="AD10" s="46"/>
      <c r="AE10" s="48"/>
      <c r="AF10" s="46"/>
      <c r="AG10" s="46"/>
      <c r="AH10" s="48"/>
    </row>
    <row r="11" spans="1:34" ht="28.5" hidden="1" customHeight="1" x14ac:dyDescent="0.3">
      <c r="A11" s="141"/>
      <c r="B11" s="142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48"/>
      <c r="Z11" s="46"/>
      <c r="AA11" s="46"/>
      <c r="AB11" s="48"/>
      <c r="AC11" s="46"/>
      <c r="AD11" s="46"/>
      <c r="AE11" s="48"/>
      <c r="AF11" s="46"/>
      <c r="AG11" s="46"/>
      <c r="AH11" s="48"/>
    </row>
    <row r="12" spans="1:34" ht="28.5" hidden="1" customHeight="1" x14ac:dyDescent="0.3">
      <c r="A12" s="141"/>
      <c r="B12" s="142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48"/>
      <c r="Z12" s="46"/>
      <c r="AA12" s="46"/>
      <c r="AB12" s="48"/>
      <c r="AC12" s="46"/>
      <c r="AD12" s="46"/>
      <c r="AE12" s="48"/>
      <c r="AF12" s="46"/>
      <c r="AG12" s="46"/>
      <c r="AH12" s="48"/>
    </row>
    <row r="13" spans="1:34" ht="28.5" customHeight="1" x14ac:dyDescent="0.3">
      <c r="A13" s="695" t="s">
        <v>41</v>
      </c>
      <c r="B13" s="647"/>
      <c r="C13" s="145">
        <f t="shared" ref="C13:C88" ca="1" si="28">D13+G13</f>
        <v>295000</v>
      </c>
      <c r="D13" s="145">
        <f t="shared" ref="D13:I13" ca="1" si="29">SUM(D14:D30)</f>
        <v>295000</v>
      </c>
      <c r="E13" s="145">
        <f t="shared" ca="1" si="29"/>
        <v>61000</v>
      </c>
      <c r="F13" s="145">
        <f t="shared" ca="1" si="29"/>
        <v>234000</v>
      </c>
      <c r="G13" s="145">
        <f t="shared" ca="1" si="29"/>
        <v>0</v>
      </c>
      <c r="H13" s="145">
        <f t="shared" ca="1" si="29"/>
        <v>295000</v>
      </c>
      <c r="I13" s="145">
        <f t="shared" ca="1" si="29"/>
        <v>0</v>
      </c>
      <c r="J13" s="145">
        <f t="shared" ref="J13:J88" ca="1" si="30">L13+O13</f>
        <v>282317.90000000002</v>
      </c>
      <c r="K13" s="146">
        <f t="shared" ref="K13:K88" ca="1" si="31">IF(C13&gt;0,J13*100/C13,0)</f>
        <v>95.700983050847469</v>
      </c>
      <c r="L13" s="145">
        <f ca="1">SUM(L14:L30)</f>
        <v>282317.90000000002</v>
      </c>
      <c r="M13" s="57">
        <f t="shared" ref="M13:M88" ca="1" si="32">IF(D13&gt;0,L13*100/D13,0)</f>
        <v>95.700983050847469</v>
      </c>
      <c r="N13" s="57">
        <f t="shared" ref="N13:N88" ca="1" si="33">IF(H13&gt;0,L13*100/H13,0)</f>
        <v>95.700983050847469</v>
      </c>
      <c r="O13" s="56">
        <f ca="1">SUM(O14:O30)</f>
        <v>0</v>
      </c>
      <c r="P13" s="56">
        <f t="shared" ref="P13:P88" ca="1" si="34">IF(G13&gt;0,O13*100/G13,0)</f>
        <v>0</v>
      </c>
      <c r="Q13" s="57">
        <f t="shared" ref="Q13:Q88" ca="1" si="35">IF(I13&gt;0,O13*100/I13,0)</f>
        <v>0</v>
      </c>
      <c r="R13" s="56">
        <f t="shared" ref="R13:T13" ca="1" si="36">SUM(R14:R30)</f>
        <v>942780</v>
      </c>
      <c r="S13" s="56">
        <f t="shared" ca="1" si="36"/>
        <v>942780</v>
      </c>
      <c r="T13" s="56">
        <f t="shared" ca="1" si="36"/>
        <v>440659.5</v>
      </c>
      <c r="U13" s="57">
        <f t="shared" ref="U13:U108" ca="1" si="37">IF(R13&gt;0,T13*100/R13,0)</f>
        <v>46.740437854006238</v>
      </c>
      <c r="V13" s="57">
        <f t="shared" ref="V13:V108" ca="1" si="38">IF(S13&gt;0,T13*100/S13,0)</f>
        <v>46.740437854006238</v>
      </c>
      <c r="W13" s="52">
        <f t="shared" ref="W13:X13" ca="1" si="39">SUM(W14:W30)</f>
        <v>390</v>
      </c>
      <c r="X13" s="52">
        <f t="shared" ca="1" si="39"/>
        <v>390</v>
      </c>
      <c r="Y13" s="54">
        <f t="shared" ref="Y13:Y88" ca="1" si="40">IF(W13&gt;0,X13*100/W13,0)</f>
        <v>100</v>
      </c>
      <c r="Z13" s="52">
        <f t="shared" ref="Z13:AA13" ca="1" si="41">SUM(Z14:Z30)</f>
        <v>130</v>
      </c>
      <c r="AA13" s="52">
        <f t="shared" ca="1" si="41"/>
        <v>130</v>
      </c>
      <c r="AB13" s="54">
        <f t="shared" ref="AB13:AB88" ca="1" si="42">IF(Z13&gt;0,AA13*100/Z13,0)</f>
        <v>100</v>
      </c>
      <c r="AC13" s="52">
        <f t="shared" ref="AC13:AD13" ca="1" si="43">SUM(AC14:AC30)</f>
        <v>390</v>
      </c>
      <c r="AD13" s="52">
        <f t="shared" ca="1" si="43"/>
        <v>330</v>
      </c>
      <c r="AE13" s="54">
        <f t="shared" ref="AE13:AE88" ca="1" si="44">IF(AC13&gt;0,AD13*100/AC13,0)</f>
        <v>84.615384615384613</v>
      </c>
      <c r="AF13" s="52">
        <f t="shared" ref="AF13:AG13" ca="1" si="45">SUM(AF14:AF30)</f>
        <v>130</v>
      </c>
      <c r="AG13" s="52">
        <f t="shared" ca="1" si="45"/>
        <v>110</v>
      </c>
      <c r="AH13" s="54">
        <f t="shared" ref="AH13:AH88" ca="1" si="46">IF(AF13&gt;0,AG13*100/AF13,0)</f>
        <v>84.615384615384613</v>
      </c>
    </row>
    <row r="14" spans="1:34" ht="24" customHeight="1" x14ac:dyDescent="0.3">
      <c r="A14" s="147">
        <v>1</v>
      </c>
      <c r="B14" s="148" t="s">
        <v>42</v>
      </c>
      <c r="C14" s="149">
        <f t="shared" ca="1" si="28"/>
        <v>0</v>
      </c>
      <c r="D14" s="150">
        <f t="shared" ref="D14:D30" ca="1" si="47">+E14+F14</f>
        <v>0</v>
      </c>
      <c r="E14" s="151">
        <f ca="1">IFERROR(__xludf.DUMMYFUNCTION("IMPORTRANGE(""https://docs.google.com/spreadsheets/d/1-uDff_7J0KD5mKrp0Vvzr7lt3OU09vwQwhkpOPPYv2Y/edit?usp=sharing"",""งบพรบ!AX14"")"),0)</f>
        <v>0</v>
      </c>
      <c r="F14" s="151">
        <f ca="1">IFERROR(__xludf.DUMMYFUNCTION("IMPORTRANGE(""https://docs.google.com/spreadsheets/d/1-uDff_7J0KD5mKrp0Vvzr7lt3OU09vwQwhkpOPPYv2Y/edit?usp=sharing"",""งบพรบ!AY14"")"),0)</f>
        <v>0</v>
      </c>
      <c r="G14" s="152">
        <f ca="1">IFERROR(__xludf.DUMMYFUNCTION("IMPORTRANGE(""https://docs.google.com/spreadsheets/d/1-uDff_7J0KD5mKrp0Vvzr7lt3OU09vwQwhkpOPPYv2Y/edit?usp=sharing"",""งบพรบ!AZ14"")"),0)</f>
        <v>0</v>
      </c>
      <c r="H14" s="152">
        <f ca="1">IFERROR(__xludf.DUMMYFUNCTION("IMPORTRANGE(""https://docs.google.com/spreadsheets/d/1-uDff_7J0KD5mKrp0Vvzr7lt3OU09vwQwhkpOPPYv2Y/edit?usp=sharing"",""งบพรบ!BB14"")"),0)</f>
        <v>0</v>
      </c>
      <c r="I14" s="152">
        <f ca="1">IFERROR(__xludf.DUMMYFUNCTION("IMPORTRANGE(""https://docs.google.com/spreadsheets/d/1-uDff_7J0KD5mKrp0Vvzr7lt3OU09vwQwhkpOPPYv2Y/edit?usp=sharing"",""งบพรบ!BC14"")"),0)</f>
        <v>0</v>
      </c>
      <c r="J14" s="152">
        <f t="shared" ca="1" si="30"/>
        <v>0</v>
      </c>
      <c r="K14" s="153">
        <f t="shared" ca="1" si="31"/>
        <v>0</v>
      </c>
      <c r="L14" s="152">
        <f ca="1">IFERROR(__xludf.DUMMYFUNCTION("IMPORTRANGE(""https://docs.google.com/spreadsheets/d/1-uDff_7J0KD5mKrp0Vvzr7lt3OU09vwQwhkpOPPYv2Y/edit?usp=sharing"",""งบพรบ!BD14"")"),0)</f>
        <v>0</v>
      </c>
      <c r="M14" s="68">
        <f t="shared" ca="1" si="32"/>
        <v>0</v>
      </c>
      <c r="N14" s="68">
        <f t="shared" ca="1" si="33"/>
        <v>0</v>
      </c>
      <c r="O14" s="67">
        <f ca="1">IFERROR(__xludf.DUMMYFUNCTION("IMPORTRANGE(""https://docs.google.com/spreadsheets/d/1-uDff_7J0KD5mKrp0Vvzr7lt3OU09vwQwhkpOPPYv2Y/edit?usp=sharing"",""งบพรบ!BE14"")"),0)</f>
        <v>0</v>
      </c>
      <c r="P14" s="67">
        <f t="shared" ca="1" si="34"/>
        <v>0</v>
      </c>
      <c r="Q14" s="68">
        <f t="shared" ca="1" si="35"/>
        <v>0</v>
      </c>
      <c r="R14" s="67">
        <f ca="1">IFERROR(__xludf.DUMMYFUNCTION("IMPORTRANGE(""https://docs.google.com/spreadsheets/d/1jTcq05yEiRwXcBMLjiodW9e4biSGYWAHcDj22rKWQ3s/edit?usp=sharing"",""กำแพงเพชร!Q94"")"),0)</f>
        <v>0</v>
      </c>
      <c r="S14" s="67">
        <f ca="1">IFERROR(__xludf.DUMMYFUNCTION("IMPORTRANGE(""https://docs.google.com/spreadsheets/d/1jTcq05yEiRwXcBMLjiodW9e4biSGYWAHcDj22rKWQ3s/edit?usp=sharing"",""กำแพงเพชร!R94"")"),0)</f>
        <v>0</v>
      </c>
      <c r="T14" s="67">
        <f ca="1">IFERROR(__xludf.DUMMYFUNCTION("IMPORTRANGE(""https://docs.google.com/spreadsheets/d/1jTcq05yEiRwXcBMLjiodW9e4biSGYWAHcDj22rKWQ3s/edit?usp=sharing"",""กำแพงเพชร!S94"")"),0)</f>
        <v>0</v>
      </c>
      <c r="U14" s="68">
        <f t="shared" ca="1" si="37"/>
        <v>0</v>
      </c>
      <c r="V14" s="68">
        <f t="shared" ca="1" si="38"/>
        <v>0</v>
      </c>
      <c r="W14" s="62">
        <f ca="1">IFERROR(__xludf.DUMMYFUNCTION("IMPORTRANGE(""https://docs.google.com/spreadsheets/d/1jTcq05yEiRwXcBMLjiodW9e4biSGYWAHcDj22rKWQ3s/edit?usp=sharing"",""กำแพงเพชร!I108"")"),0)</f>
        <v>0</v>
      </c>
      <c r="X14" s="62">
        <f ca="1">IFERROR(__xludf.DUMMYFUNCTION("IMPORTRANGE(""https://docs.google.com/spreadsheets/d/1jTcq05yEiRwXcBMLjiodW9e4biSGYWAHcDj22rKWQ3s/edit?usp=sharing"",""กำแพงเพชร!J108"")"),0)</f>
        <v>0</v>
      </c>
      <c r="Y14" s="69">
        <f t="shared" ca="1" si="40"/>
        <v>0</v>
      </c>
      <c r="Z14" s="62">
        <f ca="1">IFERROR(__xludf.DUMMYFUNCTION("IMPORTRANGE(""https://docs.google.com/spreadsheets/d/1jTcq05yEiRwXcBMLjiodW9e4biSGYWAHcDj22rKWQ3s/edit?usp=sharing"",""กำแพงเพชร!I109"")"),0)</f>
        <v>0</v>
      </c>
      <c r="AA14" s="62">
        <f ca="1">IFERROR(__xludf.DUMMYFUNCTION("IMPORTRANGE(""https://docs.google.com/spreadsheets/d/1jTcq05yEiRwXcBMLjiodW9e4biSGYWAHcDj22rKWQ3s/edit?usp=sharing"",""กำแพงเพชร!J109"")"),0)</f>
        <v>0</v>
      </c>
      <c r="AB14" s="69">
        <f t="shared" ca="1" si="42"/>
        <v>0</v>
      </c>
      <c r="AC14" s="62">
        <f ca="1">IFERROR(__xludf.DUMMYFUNCTION("IMPORTRANGE(""https://docs.google.com/spreadsheets/d/1jTcq05yEiRwXcBMLjiodW9e4biSGYWAHcDj22rKWQ3s/edit?usp=sharing"",""กำแพงเพชร!I113"")"),0)</f>
        <v>0</v>
      </c>
      <c r="AD14" s="62">
        <f ca="1">IFERROR(__xludf.DUMMYFUNCTION("IMPORTRANGE(""https://docs.google.com/spreadsheets/d/1jTcq05yEiRwXcBMLjiodW9e4biSGYWAHcDj22rKWQ3s/edit?usp=sharing"",""กำแพงเพชร!J113"")"),0)</f>
        <v>0</v>
      </c>
      <c r="AE14" s="69">
        <f t="shared" ca="1" si="44"/>
        <v>0</v>
      </c>
      <c r="AF14" s="62">
        <f ca="1">IFERROR(__xludf.DUMMYFUNCTION("IMPORTRANGE(""https://docs.google.com/spreadsheets/d/1jTcq05yEiRwXcBMLjiodW9e4biSGYWAHcDj22rKWQ3s/edit?usp=sharing"",""กำแพงเพชร!I114"")"),0)</f>
        <v>0</v>
      </c>
      <c r="AG14" s="62">
        <f ca="1">IFERROR(__xludf.DUMMYFUNCTION("IMPORTRANGE(""https://docs.google.com/spreadsheets/d/1jTcq05yEiRwXcBMLjiodW9e4biSGYWAHcDj22rKWQ3s/edit?usp=sharing"",""กำแพงเพชร!J114"")"),0)</f>
        <v>0</v>
      </c>
      <c r="AH14" s="69">
        <f t="shared" ca="1" si="46"/>
        <v>0</v>
      </c>
    </row>
    <row r="15" spans="1:34" ht="24" customHeight="1" x14ac:dyDescent="0.3">
      <c r="A15" s="147">
        <v>2</v>
      </c>
      <c r="B15" s="148" t="s">
        <v>43</v>
      </c>
      <c r="C15" s="149">
        <f t="shared" ca="1" si="28"/>
        <v>0</v>
      </c>
      <c r="D15" s="150">
        <f t="shared" ca="1" si="47"/>
        <v>0</v>
      </c>
      <c r="E15" s="151">
        <f ca="1">IFERROR(__xludf.DUMMYFUNCTION("IMPORTRANGE(""https://docs.google.com/spreadsheets/d/1-uDff_7J0KD5mKrp0Vvzr7lt3OU09vwQwhkpOPPYv2Y/edit?usp=sharing"",""งบพรบ!AX15"")"),0)</f>
        <v>0</v>
      </c>
      <c r="F15" s="151">
        <f ca="1">IFERROR(__xludf.DUMMYFUNCTION("IMPORTRANGE(""https://docs.google.com/spreadsheets/d/1-uDff_7J0KD5mKrp0Vvzr7lt3OU09vwQwhkpOPPYv2Y/edit?usp=sharing"",""งบพรบ!AY15"")"),0)</f>
        <v>0</v>
      </c>
      <c r="G15" s="151">
        <f ca="1">IFERROR(__xludf.DUMMYFUNCTION("IMPORTRANGE(""https://docs.google.com/spreadsheets/d/1-uDff_7J0KD5mKrp0Vvzr7lt3OU09vwQwhkpOPPYv2Y/edit?usp=sharing"",""งบพรบ!AZ15"")"),0)</f>
        <v>0</v>
      </c>
      <c r="H15" s="151">
        <f ca="1">IFERROR(__xludf.DUMMYFUNCTION("IMPORTRANGE(""https://docs.google.com/spreadsheets/d/1-uDff_7J0KD5mKrp0Vvzr7lt3OU09vwQwhkpOPPYv2Y/edit?usp=sharing"",""งบพรบ!BB15"")"),0)</f>
        <v>0</v>
      </c>
      <c r="I15" s="151">
        <f ca="1">IFERROR(__xludf.DUMMYFUNCTION("IMPORTRANGE(""https://docs.google.com/spreadsheets/d/1-uDff_7J0KD5mKrp0Vvzr7lt3OU09vwQwhkpOPPYv2Y/edit?usp=sharing"",""งบพรบ!BC15"")"),0)</f>
        <v>0</v>
      </c>
      <c r="J15" s="151">
        <f t="shared" ca="1" si="30"/>
        <v>0</v>
      </c>
      <c r="K15" s="154">
        <f t="shared" ca="1" si="31"/>
        <v>0</v>
      </c>
      <c r="L15" s="151">
        <f ca="1">IFERROR(__xludf.DUMMYFUNCTION("IMPORTRANGE(""https://docs.google.com/spreadsheets/d/1-uDff_7J0KD5mKrp0Vvzr7lt3OU09vwQwhkpOPPYv2Y/edit?usp=sharing"",""งบพรบ!BD15"")"),0)</f>
        <v>0</v>
      </c>
      <c r="M15" s="68">
        <f t="shared" ca="1" si="32"/>
        <v>0</v>
      </c>
      <c r="N15" s="68">
        <f t="shared" ca="1" si="33"/>
        <v>0</v>
      </c>
      <c r="O15" s="67">
        <f ca="1">IFERROR(__xludf.DUMMYFUNCTION("IMPORTRANGE(""https://docs.google.com/spreadsheets/d/1-uDff_7J0KD5mKrp0Vvzr7lt3OU09vwQwhkpOPPYv2Y/edit?usp=sharing"",""งบพรบ!BE15"")"),0)</f>
        <v>0</v>
      </c>
      <c r="P15" s="67">
        <f t="shared" ca="1" si="34"/>
        <v>0</v>
      </c>
      <c r="Q15" s="68">
        <f t="shared" ca="1" si="35"/>
        <v>0</v>
      </c>
      <c r="R15" s="67">
        <f ca="1">IFERROR(__xludf.DUMMYFUNCTION("IMPORTRANGE(""https://docs.google.com/spreadsheets/d/1KS0zmDSZPk8KnTAbGN-Xk6MtX1YRZD0ldgdt20K4CRk/edit?usp=sharing"",""เชียงราย!Q94"")"),0)</f>
        <v>0</v>
      </c>
      <c r="S15" s="67">
        <f ca="1">IFERROR(__xludf.DUMMYFUNCTION("IMPORTRANGE(""https://docs.google.com/spreadsheets/d/1KS0zmDSZPk8KnTAbGN-Xk6MtX1YRZD0ldgdt20K4CRk/edit?usp=sharing"",""เชียงราย!R94"")"),0)</f>
        <v>0</v>
      </c>
      <c r="T15" s="67">
        <f ca="1">IFERROR(__xludf.DUMMYFUNCTION("IMPORTRANGE(""https://docs.google.com/spreadsheets/d/1KS0zmDSZPk8KnTAbGN-Xk6MtX1YRZD0ldgdt20K4CRk/edit?usp=sharing"",""เชียงราย!S94"")"),0)</f>
        <v>0</v>
      </c>
      <c r="U15" s="68">
        <f t="shared" ca="1" si="37"/>
        <v>0</v>
      </c>
      <c r="V15" s="68">
        <f t="shared" ca="1" si="38"/>
        <v>0</v>
      </c>
      <c r="W15" s="78">
        <f ca="1">IFERROR(__xludf.DUMMYFUNCTION("IMPORTRANGE(""https://docs.google.com/spreadsheets/d/1KS0zmDSZPk8KnTAbGN-Xk6MtX1YRZD0ldgdt20K4CRk/edit?usp=sharing"",""เชียงราย!I108"")"),0)</f>
        <v>0</v>
      </c>
      <c r="X15" s="78">
        <f ca="1">IFERROR(__xludf.DUMMYFUNCTION("IMPORTRANGE(""https://docs.google.com/spreadsheets/d/1KS0zmDSZPk8KnTAbGN-Xk6MtX1YRZD0ldgdt20K4CRk/edit?usp=sharing"",""เชียงราย!J108"")"),0)</f>
        <v>0</v>
      </c>
      <c r="Y15" s="79">
        <f t="shared" ca="1" si="40"/>
        <v>0</v>
      </c>
      <c r="Z15" s="78">
        <f ca="1">IFERROR(__xludf.DUMMYFUNCTION("IMPORTRANGE(""https://docs.google.com/spreadsheets/d/1KS0zmDSZPk8KnTAbGN-Xk6MtX1YRZD0ldgdt20K4CRk/edit?usp=sharing"",""เชียงราย!I109"")"),0)</f>
        <v>0</v>
      </c>
      <c r="AA15" s="78">
        <f ca="1">IFERROR(__xludf.DUMMYFUNCTION("IMPORTRANGE(""https://docs.google.com/spreadsheets/d/1KS0zmDSZPk8KnTAbGN-Xk6MtX1YRZD0ldgdt20K4CRk/edit?usp=sharing"",""เชียงราย!J109"")"),0)</f>
        <v>0</v>
      </c>
      <c r="AB15" s="79">
        <f t="shared" ca="1" si="42"/>
        <v>0</v>
      </c>
      <c r="AC15" s="78">
        <f ca="1">IFERROR(__xludf.DUMMYFUNCTION("IMPORTRANGE(""https://docs.google.com/spreadsheets/d/1KS0zmDSZPk8KnTAbGN-Xk6MtX1YRZD0ldgdt20K4CRk/edit?usp=sharing"",""เชียงราย!I113"")"),0)</f>
        <v>0</v>
      </c>
      <c r="AD15" s="78">
        <f ca="1">IFERROR(__xludf.DUMMYFUNCTION("IMPORTRANGE(""https://docs.google.com/spreadsheets/d/1KS0zmDSZPk8KnTAbGN-Xk6MtX1YRZD0ldgdt20K4CRk/edit?usp=sharing"",""เชียงราย!J113"")"),0)</f>
        <v>0</v>
      </c>
      <c r="AE15" s="79">
        <f t="shared" ca="1" si="44"/>
        <v>0</v>
      </c>
      <c r="AF15" s="78">
        <f ca="1">IFERROR(__xludf.DUMMYFUNCTION("IMPORTRANGE(""https://docs.google.com/spreadsheets/d/1KS0zmDSZPk8KnTAbGN-Xk6MtX1YRZD0ldgdt20K4CRk/edit?usp=sharing"",""เชียงราย!I114"")"),0)</f>
        <v>0</v>
      </c>
      <c r="AG15" s="78">
        <f ca="1">IFERROR(__xludf.DUMMYFUNCTION("IMPORTRANGE(""https://docs.google.com/spreadsheets/d/1KS0zmDSZPk8KnTAbGN-Xk6MtX1YRZD0ldgdt20K4CRk/edit?usp=sharing"",""เชียงราย!J114"")"),0)</f>
        <v>0</v>
      </c>
      <c r="AH15" s="79">
        <f t="shared" ca="1" si="46"/>
        <v>0</v>
      </c>
    </row>
    <row r="16" spans="1:34" ht="24" customHeight="1" x14ac:dyDescent="0.3">
      <c r="A16" s="147">
        <v>3</v>
      </c>
      <c r="B16" s="148" t="s">
        <v>44</v>
      </c>
      <c r="C16" s="149">
        <f t="shared" ca="1" si="28"/>
        <v>25500</v>
      </c>
      <c r="D16" s="150">
        <f t="shared" ca="1" si="47"/>
        <v>25500</v>
      </c>
      <c r="E16" s="151">
        <f ca="1">IFERROR(__xludf.DUMMYFUNCTION("IMPORTRANGE(""https://docs.google.com/spreadsheets/d/1-uDff_7J0KD5mKrp0Vvzr7lt3OU09vwQwhkpOPPYv2Y/edit?usp=sharing"",""งบพรบ!AX16"")"),0)</f>
        <v>0</v>
      </c>
      <c r="F16" s="151">
        <f ca="1">IFERROR(__xludf.DUMMYFUNCTION("IMPORTRANGE(""https://docs.google.com/spreadsheets/d/1-uDff_7J0KD5mKrp0Vvzr7lt3OU09vwQwhkpOPPYv2Y/edit?usp=sharing"",""งบพรบ!AY16"")"),25500)</f>
        <v>25500</v>
      </c>
      <c r="G16" s="151">
        <f ca="1">IFERROR(__xludf.DUMMYFUNCTION("IMPORTRANGE(""https://docs.google.com/spreadsheets/d/1-uDff_7J0KD5mKrp0Vvzr7lt3OU09vwQwhkpOPPYv2Y/edit?usp=sharing"",""งบพรบ!AZ16"")"),0)</f>
        <v>0</v>
      </c>
      <c r="H16" s="151">
        <f ca="1">IFERROR(__xludf.DUMMYFUNCTION("IMPORTRANGE(""https://docs.google.com/spreadsheets/d/1-uDff_7J0KD5mKrp0Vvzr7lt3OU09vwQwhkpOPPYv2Y/edit?usp=sharing"",""งบพรบ!BB16"")"),25500)</f>
        <v>25500</v>
      </c>
      <c r="I16" s="151">
        <f ca="1">IFERROR(__xludf.DUMMYFUNCTION("IMPORTRANGE(""https://docs.google.com/spreadsheets/d/1-uDff_7J0KD5mKrp0Vvzr7lt3OU09vwQwhkpOPPYv2Y/edit?usp=sharing"",""งบพรบ!BC16"")"),0)</f>
        <v>0</v>
      </c>
      <c r="J16" s="151">
        <f t="shared" ca="1" si="30"/>
        <v>25500</v>
      </c>
      <c r="K16" s="154">
        <f t="shared" ca="1" si="31"/>
        <v>100</v>
      </c>
      <c r="L16" s="151">
        <f ca="1">IFERROR(__xludf.DUMMYFUNCTION("IMPORTRANGE(""https://docs.google.com/spreadsheets/d/1-uDff_7J0KD5mKrp0Vvzr7lt3OU09vwQwhkpOPPYv2Y/edit?usp=sharing"",""งบพรบ!BD16"")"),25500)</f>
        <v>25500</v>
      </c>
      <c r="M16" s="68">
        <f t="shared" ca="1" si="32"/>
        <v>100</v>
      </c>
      <c r="N16" s="68">
        <f t="shared" ca="1" si="33"/>
        <v>100</v>
      </c>
      <c r="O16" s="67">
        <f ca="1">IFERROR(__xludf.DUMMYFUNCTION("IMPORTRANGE(""https://docs.google.com/spreadsheets/d/1-uDff_7J0KD5mKrp0Vvzr7lt3OU09vwQwhkpOPPYv2Y/edit?usp=sharing"",""งบพรบ!BE16"")"),0)</f>
        <v>0</v>
      </c>
      <c r="P16" s="67">
        <f t="shared" ca="1" si="34"/>
        <v>0</v>
      </c>
      <c r="Q16" s="68">
        <f t="shared" ca="1" si="35"/>
        <v>0</v>
      </c>
      <c r="R16" s="67">
        <f ca="1">IFERROR(__xludf.DUMMYFUNCTION("IMPORTRANGE(""https://docs.google.com/spreadsheets/d/1rEDxBtusbi64tE0zunoIbsTVV16HeL0oJ6trHQeQ7K8/edit?usp=sharing"",""เชียงใหม่!Q94"")"),64920)</f>
        <v>64920</v>
      </c>
      <c r="S16" s="67">
        <f ca="1">IFERROR(__xludf.DUMMYFUNCTION("IMPORTRANGE(""https://docs.google.com/spreadsheets/d/1rEDxBtusbi64tE0zunoIbsTVV16HeL0oJ6trHQeQ7K8/edit?usp=sharing"",""เชียงใหม่!R94"")"),64920)</f>
        <v>64920</v>
      </c>
      <c r="T16" s="67">
        <f ca="1">IFERROR(__xludf.DUMMYFUNCTION("IMPORTRANGE(""https://docs.google.com/spreadsheets/d/1rEDxBtusbi64tE0zunoIbsTVV16HeL0oJ6trHQeQ7K8/edit?usp=sharing"",""เชียงใหม่!S94"")"),33300)</f>
        <v>33300</v>
      </c>
      <c r="U16" s="68">
        <f t="shared" ca="1" si="37"/>
        <v>51.293900184842883</v>
      </c>
      <c r="V16" s="68">
        <f t="shared" ca="1" si="38"/>
        <v>51.293900184842883</v>
      </c>
      <c r="W16" s="74">
        <f ca="1">IFERROR(__xludf.DUMMYFUNCTION("IMPORTRANGE(""https://docs.google.com/spreadsheets/d/1rEDxBtusbi64tE0zunoIbsTVV16HeL0oJ6trHQeQ7K8/edit?usp=sharing"",""เชียงใหม่!I108"")"),30)</f>
        <v>30</v>
      </c>
      <c r="X16" s="74">
        <f ca="1">IFERROR(__xludf.DUMMYFUNCTION("IMPORTRANGE(""https://docs.google.com/spreadsheets/d/1rEDxBtusbi64tE0zunoIbsTVV16HeL0oJ6trHQeQ7K8/edit?usp=sharing"",""เชียงใหม่!J108"")"),30)</f>
        <v>30</v>
      </c>
      <c r="Y16" s="79">
        <f t="shared" ca="1" si="40"/>
        <v>100</v>
      </c>
      <c r="Z16" s="74">
        <f ca="1">IFERROR(__xludf.DUMMYFUNCTION("IMPORTRANGE(""https://docs.google.com/spreadsheets/d/1rEDxBtusbi64tE0zunoIbsTVV16HeL0oJ6trHQeQ7K8/edit?usp=sharing"",""เชียงใหม่!I109"")"),10)</f>
        <v>10</v>
      </c>
      <c r="AA16" s="74">
        <f ca="1">IFERROR(__xludf.DUMMYFUNCTION("IMPORTRANGE(""https://docs.google.com/spreadsheets/d/1rEDxBtusbi64tE0zunoIbsTVV16HeL0oJ6trHQeQ7K8/edit?usp=sharing"",""เชียงใหม่!J109"")"),10)</f>
        <v>10</v>
      </c>
      <c r="AB16" s="79">
        <f t="shared" ca="1" si="42"/>
        <v>100</v>
      </c>
      <c r="AC16" s="74">
        <f ca="1">IFERROR(__xludf.DUMMYFUNCTION("IMPORTRANGE(""https://docs.google.com/spreadsheets/d/1rEDxBtusbi64tE0zunoIbsTVV16HeL0oJ6trHQeQ7K8/edit?usp=sharing"",""เชียงใหม่!I113"")"),30)</f>
        <v>30</v>
      </c>
      <c r="AD16" s="74">
        <f ca="1">IFERROR(__xludf.DUMMYFUNCTION("IMPORTRANGE(""https://docs.google.com/spreadsheets/d/1rEDxBtusbi64tE0zunoIbsTVV16HeL0oJ6trHQeQ7K8/edit?usp=sharing"",""เชียงใหม่!J113"")"),30)</f>
        <v>30</v>
      </c>
      <c r="AE16" s="79">
        <f t="shared" ca="1" si="44"/>
        <v>100</v>
      </c>
      <c r="AF16" s="74">
        <f ca="1">IFERROR(__xludf.DUMMYFUNCTION("IMPORTRANGE(""https://docs.google.com/spreadsheets/d/1rEDxBtusbi64tE0zunoIbsTVV16HeL0oJ6trHQeQ7K8/edit?usp=sharing"",""เชียงใหม่!I114"")"),10)</f>
        <v>10</v>
      </c>
      <c r="AG16" s="74">
        <f ca="1">IFERROR(__xludf.DUMMYFUNCTION("IMPORTRANGE(""https://docs.google.com/spreadsheets/d/1rEDxBtusbi64tE0zunoIbsTVV16HeL0oJ6trHQeQ7K8/edit?usp=sharing"",""เชียงใหม่!J114"")"),10)</f>
        <v>10</v>
      </c>
      <c r="AH16" s="79">
        <f t="shared" ca="1" si="46"/>
        <v>100</v>
      </c>
    </row>
    <row r="17" spans="1:34" ht="24" customHeight="1" x14ac:dyDescent="0.3">
      <c r="A17" s="147">
        <v>4</v>
      </c>
      <c r="B17" s="148" t="s">
        <v>45</v>
      </c>
      <c r="C17" s="149">
        <f t="shared" ca="1" si="28"/>
        <v>0</v>
      </c>
      <c r="D17" s="150">
        <f t="shared" ca="1" si="47"/>
        <v>0</v>
      </c>
      <c r="E17" s="151">
        <f ca="1">IFERROR(__xludf.DUMMYFUNCTION("IMPORTRANGE(""https://docs.google.com/spreadsheets/d/1-uDff_7J0KD5mKrp0Vvzr7lt3OU09vwQwhkpOPPYv2Y/edit?usp=sharing"",""งบพรบ!AX17"")"),0)</f>
        <v>0</v>
      </c>
      <c r="F17" s="151">
        <f ca="1">IFERROR(__xludf.DUMMYFUNCTION("IMPORTRANGE(""https://docs.google.com/spreadsheets/d/1-uDff_7J0KD5mKrp0Vvzr7lt3OU09vwQwhkpOPPYv2Y/edit?usp=sharing"",""งบพรบ!AY17"")"),0)</f>
        <v>0</v>
      </c>
      <c r="G17" s="151">
        <f ca="1">IFERROR(__xludf.DUMMYFUNCTION("IMPORTRANGE(""https://docs.google.com/spreadsheets/d/1-uDff_7J0KD5mKrp0Vvzr7lt3OU09vwQwhkpOPPYv2Y/edit?usp=sharing"",""งบพรบ!AZ17"")"),0)</f>
        <v>0</v>
      </c>
      <c r="H17" s="151">
        <f ca="1">IFERROR(__xludf.DUMMYFUNCTION("IMPORTRANGE(""https://docs.google.com/spreadsheets/d/1-uDff_7J0KD5mKrp0Vvzr7lt3OU09vwQwhkpOPPYv2Y/edit?usp=sharing"",""งบพรบ!BB17"")"),0)</f>
        <v>0</v>
      </c>
      <c r="I17" s="151">
        <f ca="1">IFERROR(__xludf.DUMMYFUNCTION("IMPORTRANGE(""https://docs.google.com/spreadsheets/d/1-uDff_7J0KD5mKrp0Vvzr7lt3OU09vwQwhkpOPPYv2Y/edit?usp=sharing"",""งบพรบ!BC17"")"),0)</f>
        <v>0</v>
      </c>
      <c r="J17" s="151">
        <f t="shared" ca="1" si="30"/>
        <v>0</v>
      </c>
      <c r="K17" s="154">
        <f t="shared" ca="1" si="31"/>
        <v>0</v>
      </c>
      <c r="L17" s="151">
        <f ca="1">IFERROR(__xludf.DUMMYFUNCTION("IMPORTRANGE(""https://docs.google.com/spreadsheets/d/1-uDff_7J0KD5mKrp0Vvzr7lt3OU09vwQwhkpOPPYv2Y/edit?usp=sharing"",""งบพรบ!BD17"")"),0)</f>
        <v>0</v>
      </c>
      <c r="M17" s="68">
        <f t="shared" ca="1" si="32"/>
        <v>0</v>
      </c>
      <c r="N17" s="68">
        <f t="shared" ca="1" si="33"/>
        <v>0</v>
      </c>
      <c r="O17" s="67">
        <f ca="1">IFERROR(__xludf.DUMMYFUNCTION("IMPORTRANGE(""https://docs.google.com/spreadsheets/d/1-uDff_7J0KD5mKrp0Vvzr7lt3OU09vwQwhkpOPPYv2Y/edit?usp=sharing"",""งบพรบ!BE17"")"),0)</f>
        <v>0</v>
      </c>
      <c r="P17" s="67">
        <f t="shared" ca="1" si="34"/>
        <v>0</v>
      </c>
      <c r="Q17" s="68">
        <f t="shared" ca="1" si="35"/>
        <v>0</v>
      </c>
      <c r="R17" s="67">
        <f ca="1">IFERROR(__xludf.DUMMYFUNCTION("IMPORTRANGE(""https://docs.google.com/spreadsheets/d/1W6MnUbDkMi6xHnHko_XkFDO9kkuL6Wqyc-6OCDFjW9I/edit?usp=sharing"",""ตาก!Q94"")"),0)</f>
        <v>0</v>
      </c>
      <c r="S17" s="67">
        <f ca="1">IFERROR(__xludf.DUMMYFUNCTION("IMPORTRANGE(""https://docs.google.com/spreadsheets/d/1W6MnUbDkMi6xHnHko_XkFDO9kkuL6Wqyc-6OCDFjW9I/edit?usp=sharing"",""ตาก!R94"")"),0)</f>
        <v>0</v>
      </c>
      <c r="T17" s="67">
        <f ca="1">IFERROR(__xludf.DUMMYFUNCTION("IMPORTRANGE(""https://docs.google.com/spreadsheets/d/1W6MnUbDkMi6xHnHko_XkFDO9kkuL6Wqyc-6OCDFjW9I/edit?usp=sharing"",""ตาก!S94"")"),0)</f>
        <v>0</v>
      </c>
      <c r="U17" s="68">
        <f t="shared" ca="1" si="37"/>
        <v>0</v>
      </c>
      <c r="V17" s="68">
        <f t="shared" ca="1" si="38"/>
        <v>0</v>
      </c>
      <c r="W17" s="74">
        <f ca="1">IFERROR(__xludf.DUMMYFUNCTION("IMPORTRANGE(""https://docs.google.com/spreadsheets/d/1W6MnUbDkMi6xHnHko_XkFDO9kkuL6Wqyc-6OCDFjW9I/edit?usp=sharing"",""ตาก!I108"")"),0)</f>
        <v>0</v>
      </c>
      <c r="X17" s="74">
        <f ca="1">IFERROR(__xludf.DUMMYFUNCTION("IMPORTRANGE(""https://docs.google.com/spreadsheets/d/1W6MnUbDkMi6xHnHko_XkFDO9kkuL6Wqyc-6OCDFjW9I/edit?usp=sharing"",""ตาก!J108"")"),0)</f>
        <v>0</v>
      </c>
      <c r="Y17" s="79">
        <f t="shared" ca="1" si="40"/>
        <v>0</v>
      </c>
      <c r="Z17" s="74">
        <f ca="1">IFERROR(__xludf.DUMMYFUNCTION("IMPORTRANGE(""https://docs.google.com/spreadsheets/d/1W6MnUbDkMi6xHnHko_XkFDO9kkuL6Wqyc-6OCDFjW9I/edit?usp=sharing"",""ตาก!I109"")"),0)</f>
        <v>0</v>
      </c>
      <c r="AA17" s="74">
        <f ca="1">IFERROR(__xludf.DUMMYFUNCTION("IMPORTRANGE(""https://docs.google.com/spreadsheets/d/1W6MnUbDkMi6xHnHko_XkFDO9kkuL6Wqyc-6OCDFjW9I/edit?usp=sharing"",""ตาก!J109"")"),0)</f>
        <v>0</v>
      </c>
      <c r="AB17" s="79">
        <f t="shared" ca="1" si="42"/>
        <v>0</v>
      </c>
      <c r="AC17" s="74">
        <f ca="1">IFERROR(__xludf.DUMMYFUNCTION("IMPORTRANGE(""https://docs.google.com/spreadsheets/d/1W6MnUbDkMi6xHnHko_XkFDO9kkuL6Wqyc-6OCDFjW9I/edit?usp=sharing"",""ตาก!I113"")"),0)</f>
        <v>0</v>
      </c>
      <c r="AD17" s="74">
        <f ca="1">IFERROR(__xludf.DUMMYFUNCTION("IMPORTRANGE(""https://docs.google.com/spreadsheets/d/1W6MnUbDkMi6xHnHko_XkFDO9kkuL6Wqyc-6OCDFjW9I/edit?usp=sharing"",""ตาก!J113"")"),0)</f>
        <v>0</v>
      </c>
      <c r="AE17" s="79">
        <f t="shared" ca="1" si="44"/>
        <v>0</v>
      </c>
      <c r="AF17" s="74">
        <f ca="1">IFERROR(__xludf.DUMMYFUNCTION("IMPORTRANGE(""https://docs.google.com/spreadsheets/d/1W6MnUbDkMi6xHnHko_XkFDO9kkuL6Wqyc-6OCDFjW9I/edit?usp=sharing"",""ตาก!I114"")"),0)</f>
        <v>0</v>
      </c>
      <c r="AG17" s="74">
        <f ca="1">IFERROR(__xludf.DUMMYFUNCTION("IMPORTRANGE(""https://docs.google.com/spreadsheets/d/1W6MnUbDkMi6xHnHko_XkFDO9kkuL6Wqyc-6OCDFjW9I/edit?usp=sharing"",""ตาก!J114"")"),0)</f>
        <v>0</v>
      </c>
      <c r="AH17" s="79">
        <f t="shared" ca="1" si="46"/>
        <v>0</v>
      </c>
    </row>
    <row r="18" spans="1:34" ht="24" customHeight="1" x14ac:dyDescent="0.3">
      <c r="A18" s="147">
        <v>5</v>
      </c>
      <c r="B18" s="148" t="s">
        <v>46</v>
      </c>
      <c r="C18" s="149">
        <f t="shared" ca="1" si="28"/>
        <v>25500</v>
      </c>
      <c r="D18" s="150">
        <f t="shared" ca="1" si="47"/>
        <v>25500</v>
      </c>
      <c r="E18" s="151">
        <f ca="1">IFERROR(__xludf.DUMMYFUNCTION("IMPORTRANGE(""https://docs.google.com/spreadsheets/d/1-uDff_7J0KD5mKrp0Vvzr7lt3OU09vwQwhkpOPPYv2Y/edit?usp=sharing"",""งบพรบ!AX18"")"),0)</f>
        <v>0</v>
      </c>
      <c r="F18" s="151">
        <f ca="1">IFERROR(__xludf.DUMMYFUNCTION("IMPORTRANGE(""https://docs.google.com/spreadsheets/d/1-uDff_7J0KD5mKrp0Vvzr7lt3OU09vwQwhkpOPPYv2Y/edit?usp=sharing"",""งบพรบ!AY18"")"),25500)</f>
        <v>25500</v>
      </c>
      <c r="G18" s="151">
        <f ca="1">IFERROR(__xludf.DUMMYFUNCTION("IMPORTRANGE(""https://docs.google.com/spreadsheets/d/1-uDff_7J0KD5mKrp0Vvzr7lt3OU09vwQwhkpOPPYv2Y/edit?usp=sharing"",""งบพรบ!AZ18"")"),0)</f>
        <v>0</v>
      </c>
      <c r="H18" s="151">
        <f ca="1">IFERROR(__xludf.DUMMYFUNCTION("IMPORTRANGE(""https://docs.google.com/spreadsheets/d/1-uDff_7J0KD5mKrp0Vvzr7lt3OU09vwQwhkpOPPYv2Y/edit?usp=sharing"",""งบพรบ!BB18"")"),25500)</f>
        <v>25500</v>
      </c>
      <c r="I18" s="151">
        <f ca="1">IFERROR(__xludf.DUMMYFUNCTION("IMPORTRANGE(""https://docs.google.com/spreadsheets/d/1-uDff_7J0KD5mKrp0Vvzr7lt3OU09vwQwhkpOPPYv2Y/edit?usp=sharing"",""งบพรบ!BC18"")"),0)</f>
        <v>0</v>
      </c>
      <c r="J18" s="151">
        <f t="shared" ca="1" si="30"/>
        <v>25500</v>
      </c>
      <c r="K18" s="154">
        <f t="shared" ca="1" si="31"/>
        <v>100</v>
      </c>
      <c r="L18" s="151">
        <f ca="1">IFERROR(__xludf.DUMMYFUNCTION("IMPORTRANGE(""https://docs.google.com/spreadsheets/d/1-uDff_7J0KD5mKrp0Vvzr7lt3OU09vwQwhkpOPPYv2Y/edit?usp=sharing"",""งบพรบ!BD18"")"),25500)</f>
        <v>25500</v>
      </c>
      <c r="M18" s="68">
        <f t="shared" ca="1" si="32"/>
        <v>100</v>
      </c>
      <c r="N18" s="68">
        <f t="shared" ca="1" si="33"/>
        <v>100</v>
      </c>
      <c r="O18" s="67">
        <f ca="1">IFERROR(__xludf.DUMMYFUNCTION("IMPORTRANGE(""https://docs.google.com/spreadsheets/d/1-uDff_7J0KD5mKrp0Vvzr7lt3OU09vwQwhkpOPPYv2Y/edit?usp=sharing"",""งบพรบ!BE18"")"),0)</f>
        <v>0</v>
      </c>
      <c r="P18" s="67">
        <f t="shared" ca="1" si="34"/>
        <v>0</v>
      </c>
      <c r="Q18" s="68">
        <f t="shared" ca="1" si="35"/>
        <v>0</v>
      </c>
      <c r="R18" s="67">
        <f ca="1">IFERROR(__xludf.DUMMYFUNCTION("IMPORTRANGE(""https://docs.google.com/spreadsheets/d/1IQAWArduLkta9LpYo4a_ULsyqdta6-6aDDiwpUnQT6c/edit?usp=sharing"",""นครสวรรค์!Q94"")"),64920)</f>
        <v>64920</v>
      </c>
      <c r="S18" s="67">
        <f ca="1">IFERROR(__xludf.DUMMYFUNCTION("IMPORTRANGE(""https://docs.google.com/spreadsheets/d/1IQAWArduLkta9LpYo4a_ULsyqdta6-6aDDiwpUnQT6c/edit?usp=sharing"",""นครสวรรค์!R94"")"),64920)</f>
        <v>64920</v>
      </c>
      <c r="T18" s="67">
        <f ca="1">IFERROR(__xludf.DUMMYFUNCTION("IMPORTRANGE(""https://docs.google.com/spreadsheets/d/1IQAWArduLkta9LpYo4a_ULsyqdta6-6aDDiwpUnQT6c/edit?usp=sharing"",""นครสวรรค์!S94"")"),32987)</f>
        <v>32987</v>
      </c>
      <c r="U18" s="68">
        <f t="shared" ca="1" si="37"/>
        <v>50.811768330252619</v>
      </c>
      <c r="V18" s="68">
        <f t="shared" ca="1" si="38"/>
        <v>50.811768330252619</v>
      </c>
      <c r="W18" s="74">
        <f ca="1">IFERROR(__xludf.DUMMYFUNCTION("IMPORTRANGE(""https://docs.google.com/spreadsheets/d/1IQAWArduLkta9LpYo4a_ULsyqdta6-6aDDiwpUnQT6c/edit?usp=sharing"",""นครสวรรค์!I108"")"),30)</f>
        <v>30</v>
      </c>
      <c r="X18" s="74">
        <f ca="1">IFERROR(__xludf.DUMMYFUNCTION("IMPORTRANGE(""https://docs.google.com/spreadsheets/d/1IQAWArduLkta9LpYo4a_ULsyqdta6-6aDDiwpUnQT6c/edit?usp=sharing"",""นครสวรรค์!J108"")"),30)</f>
        <v>30</v>
      </c>
      <c r="Y18" s="79">
        <f t="shared" ca="1" si="40"/>
        <v>100</v>
      </c>
      <c r="Z18" s="74">
        <f ca="1">IFERROR(__xludf.DUMMYFUNCTION("IMPORTRANGE(""https://docs.google.com/spreadsheets/d/1IQAWArduLkta9LpYo4a_ULsyqdta6-6aDDiwpUnQT6c/edit?usp=sharing"",""นครสวรรค์!I109"")"),10)</f>
        <v>10</v>
      </c>
      <c r="AA18" s="74">
        <f ca="1">IFERROR(__xludf.DUMMYFUNCTION("IMPORTRANGE(""https://docs.google.com/spreadsheets/d/1IQAWArduLkta9LpYo4a_ULsyqdta6-6aDDiwpUnQT6c/edit?usp=sharing"",""นครสวรรค์!J109"")"),10)</f>
        <v>10</v>
      </c>
      <c r="AB18" s="79">
        <f t="shared" ca="1" si="42"/>
        <v>100</v>
      </c>
      <c r="AC18" s="74">
        <f ca="1">IFERROR(__xludf.DUMMYFUNCTION("IMPORTRANGE(""https://docs.google.com/spreadsheets/d/1IQAWArduLkta9LpYo4a_ULsyqdta6-6aDDiwpUnQT6c/edit?usp=sharing"",""นครสวรรค์!I113"")"),30)</f>
        <v>30</v>
      </c>
      <c r="AD18" s="74">
        <f ca="1">IFERROR(__xludf.DUMMYFUNCTION("IMPORTRANGE(""https://docs.google.com/spreadsheets/d/1IQAWArduLkta9LpYo4a_ULsyqdta6-6aDDiwpUnQT6c/edit?usp=sharing"",""นครสวรรค์!J113"")"),30)</f>
        <v>30</v>
      </c>
      <c r="AE18" s="79">
        <f t="shared" ca="1" si="44"/>
        <v>100</v>
      </c>
      <c r="AF18" s="74">
        <f ca="1">IFERROR(__xludf.DUMMYFUNCTION("IMPORTRANGE(""https://docs.google.com/spreadsheets/d/1IQAWArduLkta9LpYo4a_ULsyqdta6-6aDDiwpUnQT6c/edit?usp=sharing"",""นครสวรรค์!I114"")"),10)</f>
        <v>10</v>
      </c>
      <c r="AG18" s="74">
        <f ca="1">IFERROR(__xludf.DUMMYFUNCTION("IMPORTRANGE(""https://docs.google.com/spreadsheets/d/1IQAWArduLkta9LpYo4a_ULsyqdta6-6aDDiwpUnQT6c/edit?usp=sharing"",""นครสวรรค์!J114"")"),10)</f>
        <v>10</v>
      </c>
      <c r="AH18" s="79">
        <f t="shared" ca="1" si="46"/>
        <v>100</v>
      </c>
    </row>
    <row r="19" spans="1:34" ht="24" customHeight="1" x14ac:dyDescent="0.3">
      <c r="A19" s="147">
        <v>6</v>
      </c>
      <c r="B19" s="148" t="s">
        <v>47</v>
      </c>
      <c r="C19" s="149">
        <f t="shared" ca="1" si="28"/>
        <v>51000</v>
      </c>
      <c r="D19" s="150">
        <f t="shared" ca="1" si="47"/>
        <v>51000</v>
      </c>
      <c r="E19" s="151">
        <f ca="1">IFERROR(__xludf.DUMMYFUNCTION("IMPORTRANGE(""https://docs.google.com/spreadsheets/d/1-uDff_7J0KD5mKrp0Vvzr7lt3OU09vwQwhkpOPPYv2Y/edit?usp=sharing"",""งบพรบ!AX19"")"),0)</f>
        <v>0</v>
      </c>
      <c r="F19" s="151">
        <f ca="1">IFERROR(__xludf.DUMMYFUNCTION("IMPORTRANGE(""https://docs.google.com/spreadsheets/d/1-uDff_7J0KD5mKrp0Vvzr7lt3OU09vwQwhkpOPPYv2Y/edit?usp=sharing"",""งบพรบ!AY19"")"),51000)</f>
        <v>51000</v>
      </c>
      <c r="G19" s="151">
        <f ca="1">IFERROR(__xludf.DUMMYFUNCTION("IMPORTRANGE(""https://docs.google.com/spreadsheets/d/1-uDff_7J0KD5mKrp0Vvzr7lt3OU09vwQwhkpOPPYv2Y/edit?usp=sharing"",""งบพรบ!AZ19"")"),0)</f>
        <v>0</v>
      </c>
      <c r="H19" s="151">
        <f ca="1">IFERROR(__xludf.DUMMYFUNCTION("IMPORTRANGE(""https://docs.google.com/spreadsheets/d/1-uDff_7J0KD5mKrp0Vvzr7lt3OU09vwQwhkpOPPYv2Y/edit?usp=sharing"",""งบพรบ!BB19"")"),51000)</f>
        <v>51000</v>
      </c>
      <c r="I19" s="151">
        <f ca="1">IFERROR(__xludf.DUMMYFUNCTION("IMPORTRANGE(""https://docs.google.com/spreadsheets/d/1-uDff_7J0KD5mKrp0Vvzr7lt3OU09vwQwhkpOPPYv2Y/edit?usp=sharing"",""งบพรบ!BC19"")"),0)</f>
        <v>0</v>
      </c>
      <c r="J19" s="151">
        <f t="shared" ca="1" si="30"/>
        <v>51000</v>
      </c>
      <c r="K19" s="154">
        <f t="shared" ca="1" si="31"/>
        <v>100</v>
      </c>
      <c r="L19" s="151">
        <f ca="1">IFERROR(__xludf.DUMMYFUNCTION("IMPORTRANGE(""https://docs.google.com/spreadsheets/d/1-uDff_7J0KD5mKrp0Vvzr7lt3OU09vwQwhkpOPPYv2Y/edit?usp=sharing"",""งบพรบ!BD19"")"),51000)</f>
        <v>51000</v>
      </c>
      <c r="M19" s="68">
        <f t="shared" ca="1" si="32"/>
        <v>100</v>
      </c>
      <c r="N19" s="68">
        <f t="shared" ca="1" si="33"/>
        <v>100</v>
      </c>
      <c r="O19" s="67">
        <f ca="1">IFERROR(__xludf.DUMMYFUNCTION("IMPORTRANGE(""https://docs.google.com/spreadsheets/d/1-uDff_7J0KD5mKrp0Vvzr7lt3OU09vwQwhkpOPPYv2Y/edit?usp=sharing"",""งบพรบ!BE19"")"),0)</f>
        <v>0</v>
      </c>
      <c r="P19" s="67">
        <f t="shared" ca="1" si="34"/>
        <v>0</v>
      </c>
      <c r="Q19" s="68">
        <f t="shared" ca="1" si="35"/>
        <v>0</v>
      </c>
      <c r="R19" s="67">
        <f ca="1">IFERROR(__xludf.DUMMYFUNCTION("IMPORTRANGE(""https://docs.google.com/spreadsheets/d/10s13Sk5xrltsiR-Zkbmk5DwIaDIKO8XlbJAfqyT7Gvg/edit?usp=sharing"",""น่าน!Q94"")"),129840)</f>
        <v>129840</v>
      </c>
      <c r="S19" s="67">
        <f ca="1">IFERROR(__xludf.DUMMYFUNCTION("IMPORTRANGE(""https://docs.google.com/spreadsheets/d/10s13Sk5xrltsiR-Zkbmk5DwIaDIKO8XlbJAfqyT7Gvg/edit?usp=sharing"",""น่าน!R94"")"),129840)</f>
        <v>129840</v>
      </c>
      <c r="T19" s="67">
        <f ca="1">IFERROR(__xludf.DUMMYFUNCTION("IMPORTRANGE(""https://docs.google.com/spreadsheets/d/10s13Sk5xrltsiR-Zkbmk5DwIaDIKO8XlbJAfqyT7Gvg/edit?usp=sharing"",""น่าน!S94"")"),45320)</f>
        <v>45320</v>
      </c>
      <c r="U19" s="68">
        <f t="shared" ca="1" si="37"/>
        <v>34.904497843499691</v>
      </c>
      <c r="V19" s="68">
        <f t="shared" ca="1" si="38"/>
        <v>34.904497843499691</v>
      </c>
      <c r="W19" s="74">
        <f ca="1">IFERROR(__xludf.DUMMYFUNCTION("IMPORTRANGE(""https://docs.google.com/spreadsheets/d/10s13Sk5xrltsiR-Zkbmk5DwIaDIKO8XlbJAfqyT7Gvg/edit?usp=sharing"",""น่าน!I108"")"),60)</f>
        <v>60</v>
      </c>
      <c r="X19" s="74">
        <f ca="1">IFERROR(__xludf.DUMMYFUNCTION("IMPORTRANGE(""https://docs.google.com/spreadsheets/d/10s13Sk5xrltsiR-Zkbmk5DwIaDIKO8XlbJAfqyT7Gvg/edit?usp=sharing"",""น่าน!J108"")"),60)</f>
        <v>60</v>
      </c>
      <c r="Y19" s="79">
        <f t="shared" ca="1" si="40"/>
        <v>100</v>
      </c>
      <c r="Z19" s="74">
        <f ca="1">IFERROR(__xludf.DUMMYFUNCTION("IMPORTRANGE(""https://docs.google.com/spreadsheets/d/10s13Sk5xrltsiR-Zkbmk5DwIaDIKO8XlbJAfqyT7Gvg/edit?usp=sharing"",""น่าน!I109"")"),20)</f>
        <v>20</v>
      </c>
      <c r="AA19" s="74">
        <f ca="1">IFERROR(__xludf.DUMMYFUNCTION("IMPORTRANGE(""https://docs.google.com/spreadsheets/d/10s13Sk5xrltsiR-Zkbmk5DwIaDIKO8XlbJAfqyT7Gvg/edit?usp=sharing"",""น่าน!J109"")"),20)</f>
        <v>20</v>
      </c>
      <c r="AB19" s="79">
        <f t="shared" ca="1" si="42"/>
        <v>100</v>
      </c>
      <c r="AC19" s="74">
        <f ca="1">IFERROR(__xludf.DUMMYFUNCTION("IMPORTRANGE(""https://docs.google.com/spreadsheets/d/10s13Sk5xrltsiR-Zkbmk5DwIaDIKO8XlbJAfqyT7Gvg/edit?usp=sharing"",""น่าน!I113"")"),60)</f>
        <v>60</v>
      </c>
      <c r="AD19" s="74">
        <f ca="1">IFERROR(__xludf.DUMMYFUNCTION("IMPORTRANGE(""https://docs.google.com/spreadsheets/d/10s13Sk5xrltsiR-Zkbmk5DwIaDIKO8XlbJAfqyT7Gvg/edit?usp=sharing"",""น่าน!J113"")"),0)</f>
        <v>0</v>
      </c>
      <c r="AE19" s="79">
        <f t="shared" ca="1" si="44"/>
        <v>0</v>
      </c>
      <c r="AF19" s="74">
        <f ca="1">IFERROR(__xludf.DUMMYFUNCTION("IMPORTRANGE(""https://docs.google.com/spreadsheets/d/10s13Sk5xrltsiR-Zkbmk5DwIaDIKO8XlbJAfqyT7Gvg/edit?usp=sharing"",""น่าน!I114"")"),20)</f>
        <v>20</v>
      </c>
      <c r="AG19" s="74">
        <f ca="1">IFERROR(__xludf.DUMMYFUNCTION("IMPORTRANGE(""https://docs.google.com/spreadsheets/d/10s13Sk5xrltsiR-Zkbmk5DwIaDIKO8XlbJAfqyT7Gvg/edit?usp=sharing"",""น่าน!J114"")"),0)</f>
        <v>0</v>
      </c>
      <c r="AH19" s="79">
        <f t="shared" ca="1" si="46"/>
        <v>0</v>
      </c>
    </row>
    <row r="20" spans="1:34" ht="24" customHeight="1" x14ac:dyDescent="0.3">
      <c r="A20" s="147">
        <v>7</v>
      </c>
      <c r="B20" s="148" t="s">
        <v>48</v>
      </c>
      <c r="C20" s="149">
        <f t="shared" ca="1" si="28"/>
        <v>0</v>
      </c>
      <c r="D20" s="150">
        <f t="shared" ca="1" si="47"/>
        <v>0</v>
      </c>
      <c r="E20" s="151">
        <f ca="1">IFERROR(__xludf.DUMMYFUNCTION("IMPORTRANGE(""https://docs.google.com/spreadsheets/d/1-uDff_7J0KD5mKrp0Vvzr7lt3OU09vwQwhkpOPPYv2Y/edit?usp=sharing"",""งบพรบ!AX20"")"),0)</f>
        <v>0</v>
      </c>
      <c r="F20" s="151">
        <f ca="1">IFERROR(__xludf.DUMMYFUNCTION("IMPORTRANGE(""https://docs.google.com/spreadsheets/d/1-uDff_7J0KD5mKrp0Vvzr7lt3OU09vwQwhkpOPPYv2Y/edit?usp=sharing"",""งบพรบ!AY20"")"),0)</f>
        <v>0</v>
      </c>
      <c r="G20" s="151">
        <f ca="1">IFERROR(__xludf.DUMMYFUNCTION("IMPORTRANGE(""https://docs.google.com/spreadsheets/d/1-uDff_7J0KD5mKrp0Vvzr7lt3OU09vwQwhkpOPPYv2Y/edit?usp=sharing"",""งบพรบ!AZ20"")"),0)</f>
        <v>0</v>
      </c>
      <c r="H20" s="151">
        <f ca="1">IFERROR(__xludf.DUMMYFUNCTION("IMPORTRANGE(""https://docs.google.com/spreadsheets/d/1-uDff_7J0KD5mKrp0Vvzr7lt3OU09vwQwhkpOPPYv2Y/edit?usp=sharing"",""งบพรบ!BB20"")"),0)</f>
        <v>0</v>
      </c>
      <c r="I20" s="151">
        <f ca="1">IFERROR(__xludf.DUMMYFUNCTION("IMPORTRANGE(""https://docs.google.com/spreadsheets/d/1-uDff_7J0KD5mKrp0Vvzr7lt3OU09vwQwhkpOPPYv2Y/edit?usp=sharing"",""งบพรบ!BC20"")"),0)</f>
        <v>0</v>
      </c>
      <c r="J20" s="151">
        <f t="shared" ca="1" si="30"/>
        <v>0</v>
      </c>
      <c r="K20" s="154">
        <f t="shared" ca="1" si="31"/>
        <v>0</v>
      </c>
      <c r="L20" s="151">
        <f ca="1">IFERROR(__xludf.DUMMYFUNCTION("IMPORTRANGE(""https://docs.google.com/spreadsheets/d/1-uDff_7J0KD5mKrp0Vvzr7lt3OU09vwQwhkpOPPYv2Y/edit?usp=sharing"",""งบพรบ!BD20"")"),0)</f>
        <v>0</v>
      </c>
      <c r="M20" s="68">
        <f t="shared" ca="1" si="32"/>
        <v>0</v>
      </c>
      <c r="N20" s="68">
        <f t="shared" ca="1" si="33"/>
        <v>0</v>
      </c>
      <c r="O20" s="67">
        <f ca="1">IFERROR(__xludf.DUMMYFUNCTION("IMPORTRANGE(""https://docs.google.com/spreadsheets/d/1-uDff_7J0KD5mKrp0Vvzr7lt3OU09vwQwhkpOPPYv2Y/edit?usp=sharing"",""งบพรบ!BE20"")"),0)</f>
        <v>0</v>
      </c>
      <c r="P20" s="67">
        <f t="shared" ca="1" si="34"/>
        <v>0</v>
      </c>
      <c r="Q20" s="68">
        <f t="shared" ca="1" si="35"/>
        <v>0</v>
      </c>
      <c r="R20" s="67">
        <f ca="1">IFERROR(__xludf.DUMMYFUNCTION("IMPORTRANGE(""https://docs.google.com/spreadsheets/d/1uu4nAn4Dbi1XREnLKKotUANlKXa7yCgRcgq8HEzQYW8/edit?usp=sharing"",""พะเยา!Q94"")"),0)</f>
        <v>0</v>
      </c>
      <c r="S20" s="67">
        <f ca="1">IFERROR(__xludf.DUMMYFUNCTION("IMPORTRANGE(""https://docs.google.com/spreadsheets/d/1uu4nAn4Dbi1XREnLKKotUANlKXa7yCgRcgq8HEzQYW8/edit?usp=sharing"",""พะเยา!R94"")"),0)</f>
        <v>0</v>
      </c>
      <c r="T20" s="67">
        <f ca="1">IFERROR(__xludf.DUMMYFUNCTION("IMPORTRANGE(""https://docs.google.com/spreadsheets/d/1uu4nAn4Dbi1XREnLKKotUANlKXa7yCgRcgq8HEzQYW8/edit?usp=sharing"",""พะเยา!S94"")"),0)</f>
        <v>0</v>
      </c>
      <c r="U20" s="68">
        <f t="shared" ca="1" si="37"/>
        <v>0</v>
      </c>
      <c r="V20" s="68">
        <f t="shared" ca="1" si="38"/>
        <v>0</v>
      </c>
      <c r="W20" s="74">
        <f ca="1">IFERROR(__xludf.DUMMYFUNCTION("IMPORTRANGE(""https://docs.google.com/spreadsheets/d/1uu4nAn4Dbi1XREnLKKotUANlKXa7yCgRcgq8HEzQYW8/edit?usp=sharing"",""พะเยา!I108"")"),0)</f>
        <v>0</v>
      </c>
      <c r="X20" s="74">
        <f ca="1">IFERROR(__xludf.DUMMYFUNCTION("IMPORTRANGE(""https://docs.google.com/spreadsheets/d/1uu4nAn4Dbi1XREnLKKotUANlKXa7yCgRcgq8HEzQYW8/edit?usp=sharing"",""พะเยา!J108"")"),0)</f>
        <v>0</v>
      </c>
      <c r="Y20" s="79">
        <f t="shared" ca="1" si="40"/>
        <v>0</v>
      </c>
      <c r="Z20" s="74">
        <f ca="1">IFERROR(__xludf.DUMMYFUNCTION("IMPORTRANGE(""https://docs.google.com/spreadsheets/d/1uu4nAn4Dbi1XREnLKKotUANlKXa7yCgRcgq8HEzQYW8/edit?usp=sharing"",""พะเยา!I109"")"),0)</f>
        <v>0</v>
      </c>
      <c r="AA20" s="74">
        <f ca="1">IFERROR(__xludf.DUMMYFUNCTION("IMPORTRANGE(""https://docs.google.com/spreadsheets/d/1uu4nAn4Dbi1XREnLKKotUANlKXa7yCgRcgq8HEzQYW8/edit?usp=sharing"",""พะเยา!J109"")"),0)</f>
        <v>0</v>
      </c>
      <c r="AB20" s="79">
        <f t="shared" ca="1" si="42"/>
        <v>0</v>
      </c>
      <c r="AC20" s="74">
        <f ca="1">IFERROR(__xludf.DUMMYFUNCTION("IMPORTRANGE(""https://docs.google.com/spreadsheets/d/1uu4nAn4Dbi1XREnLKKotUANlKXa7yCgRcgq8HEzQYW8/edit?usp=sharing"",""พะเยา!I113"")"),0)</f>
        <v>0</v>
      </c>
      <c r="AD20" s="74">
        <f ca="1">IFERROR(__xludf.DUMMYFUNCTION("IMPORTRANGE(""https://docs.google.com/spreadsheets/d/1uu4nAn4Dbi1XREnLKKotUANlKXa7yCgRcgq8HEzQYW8/edit?usp=sharing"",""พะเยา!J113"")"),0)</f>
        <v>0</v>
      </c>
      <c r="AE20" s="79">
        <f t="shared" ca="1" si="44"/>
        <v>0</v>
      </c>
      <c r="AF20" s="74">
        <f ca="1">IFERROR(__xludf.DUMMYFUNCTION("IMPORTRANGE(""https://docs.google.com/spreadsheets/d/1uu4nAn4Dbi1XREnLKKotUANlKXa7yCgRcgq8HEzQYW8/edit?usp=sharing"",""พะเยา!I114"")"),0)</f>
        <v>0</v>
      </c>
      <c r="AG20" s="74">
        <f ca="1">IFERROR(__xludf.DUMMYFUNCTION("IMPORTRANGE(""https://docs.google.com/spreadsheets/d/1uu4nAn4Dbi1XREnLKKotUANlKXa7yCgRcgq8HEzQYW8/edit?usp=sharing"",""พะเยา!J114"")"),0)</f>
        <v>0</v>
      </c>
      <c r="AH20" s="79">
        <f t="shared" ca="1" si="46"/>
        <v>0</v>
      </c>
    </row>
    <row r="21" spans="1:34" ht="24" customHeight="1" x14ac:dyDescent="0.3">
      <c r="A21" s="147">
        <v>8</v>
      </c>
      <c r="B21" s="148" t="s">
        <v>49</v>
      </c>
      <c r="C21" s="149">
        <f t="shared" ca="1" si="28"/>
        <v>6000</v>
      </c>
      <c r="D21" s="150">
        <f t="shared" ca="1" si="47"/>
        <v>6000</v>
      </c>
      <c r="E21" s="151">
        <f ca="1">IFERROR(__xludf.DUMMYFUNCTION("IMPORTRANGE(""https://docs.google.com/spreadsheets/d/1-uDff_7J0KD5mKrp0Vvzr7lt3OU09vwQwhkpOPPYv2Y/edit?usp=sharing"",""งบพรบ!AX21"")"),0)</f>
        <v>0</v>
      </c>
      <c r="F21" s="151">
        <f ca="1">IFERROR(__xludf.DUMMYFUNCTION("IMPORTRANGE(""https://docs.google.com/spreadsheets/d/1-uDff_7J0KD5mKrp0Vvzr7lt3OU09vwQwhkpOPPYv2Y/edit?usp=sharing"",""งบพรบ!AY21"")"),6000)</f>
        <v>6000</v>
      </c>
      <c r="G21" s="151">
        <f ca="1">IFERROR(__xludf.DUMMYFUNCTION("IMPORTRANGE(""https://docs.google.com/spreadsheets/d/1-uDff_7J0KD5mKrp0Vvzr7lt3OU09vwQwhkpOPPYv2Y/edit?usp=sharing"",""งบพรบ!AZ21"")"),0)</f>
        <v>0</v>
      </c>
      <c r="H21" s="151">
        <f ca="1">IFERROR(__xludf.DUMMYFUNCTION("IMPORTRANGE(""https://docs.google.com/spreadsheets/d/1-uDff_7J0KD5mKrp0Vvzr7lt3OU09vwQwhkpOPPYv2Y/edit?usp=sharing"",""งบพรบ!BB21"")"),6000)</f>
        <v>6000</v>
      </c>
      <c r="I21" s="151">
        <f ca="1">IFERROR(__xludf.DUMMYFUNCTION("IMPORTRANGE(""https://docs.google.com/spreadsheets/d/1-uDff_7J0KD5mKrp0Vvzr7lt3OU09vwQwhkpOPPYv2Y/edit?usp=sharing"",""งบพรบ!BC21"")"),0)</f>
        <v>0</v>
      </c>
      <c r="J21" s="151">
        <f t="shared" ca="1" si="30"/>
        <v>6000</v>
      </c>
      <c r="K21" s="154">
        <f t="shared" ca="1" si="31"/>
        <v>100</v>
      </c>
      <c r="L21" s="151">
        <f ca="1">IFERROR(__xludf.DUMMYFUNCTION("IMPORTRANGE(""https://docs.google.com/spreadsheets/d/1-uDff_7J0KD5mKrp0Vvzr7lt3OU09vwQwhkpOPPYv2Y/edit?usp=sharing"",""งบพรบ!BD21"")"),6000)</f>
        <v>6000</v>
      </c>
      <c r="M21" s="68">
        <f t="shared" ca="1" si="32"/>
        <v>100</v>
      </c>
      <c r="N21" s="68">
        <f t="shared" ca="1" si="33"/>
        <v>100</v>
      </c>
      <c r="O21" s="67">
        <f ca="1">IFERROR(__xludf.DUMMYFUNCTION("IMPORTRANGE(""https://docs.google.com/spreadsheets/d/1-uDff_7J0KD5mKrp0Vvzr7lt3OU09vwQwhkpOPPYv2Y/edit?usp=sharing"",""งบพรบ!BE21"")"),0)</f>
        <v>0</v>
      </c>
      <c r="P21" s="67">
        <f t="shared" ca="1" si="34"/>
        <v>0</v>
      </c>
      <c r="Q21" s="68">
        <f t="shared" ca="1" si="35"/>
        <v>0</v>
      </c>
      <c r="R21" s="67">
        <f ca="1">IFERROR(__xludf.DUMMYFUNCTION("IMPORTRANGE(""https://docs.google.com/spreadsheets/d/1xfJKIQxVOaPDIICqsflNlLu3JacTDk1FP9RH4phX7mI/edit?usp=sharing"",""พิจิตร!Q94"")"),84420)</f>
        <v>84420</v>
      </c>
      <c r="S21" s="67">
        <f ca="1">IFERROR(__xludf.DUMMYFUNCTION("IMPORTRANGE(""https://docs.google.com/spreadsheets/d/1xfJKIQxVOaPDIICqsflNlLu3JacTDk1FP9RH4phX7mI/edit?usp=sharing"",""พิจิตร!R94"")"),84420)</f>
        <v>84420</v>
      </c>
      <c r="T21" s="67">
        <f ca="1">IFERROR(__xludf.DUMMYFUNCTION("IMPORTRANGE(""https://docs.google.com/spreadsheets/d/1xfJKIQxVOaPDIICqsflNlLu3JacTDk1FP9RH4phX7mI/edit?usp=sharing"",""พิจิตร!S94"")"),52830)</f>
        <v>52830</v>
      </c>
      <c r="U21" s="68">
        <f t="shared" ca="1" si="37"/>
        <v>62.579957356076761</v>
      </c>
      <c r="V21" s="68">
        <f t="shared" ca="1" si="38"/>
        <v>62.579957356076761</v>
      </c>
      <c r="W21" s="74">
        <f ca="1">IFERROR(__xludf.DUMMYFUNCTION("IMPORTRANGE(""https://docs.google.com/spreadsheets/d/1xfJKIQxVOaPDIICqsflNlLu3JacTDk1FP9RH4phX7mI/edit?usp=sharing"",""พิจิตร!I108"")"),30)</f>
        <v>30</v>
      </c>
      <c r="X21" s="74">
        <f ca="1">IFERROR(__xludf.DUMMYFUNCTION("IMPORTRANGE(""https://docs.google.com/spreadsheets/d/1xfJKIQxVOaPDIICqsflNlLu3JacTDk1FP9RH4phX7mI/edit?usp=sharing"",""พิจิตร!J108"")"),30)</f>
        <v>30</v>
      </c>
      <c r="Y21" s="79">
        <f t="shared" ca="1" si="40"/>
        <v>100</v>
      </c>
      <c r="Z21" s="74">
        <f ca="1">IFERROR(__xludf.DUMMYFUNCTION("IMPORTRANGE(""https://docs.google.com/spreadsheets/d/1xfJKIQxVOaPDIICqsflNlLu3JacTDk1FP9RH4phX7mI/edit?usp=sharing"",""พิจิตร!I109"")"),10)</f>
        <v>10</v>
      </c>
      <c r="AA21" s="74">
        <f ca="1">IFERROR(__xludf.DUMMYFUNCTION("IMPORTRANGE(""https://docs.google.com/spreadsheets/d/1xfJKIQxVOaPDIICqsflNlLu3JacTDk1FP9RH4phX7mI/edit?usp=sharing"",""พิจิตร!J109"")"),10)</f>
        <v>10</v>
      </c>
      <c r="AB21" s="79">
        <f t="shared" ca="1" si="42"/>
        <v>100</v>
      </c>
      <c r="AC21" s="74">
        <f ca="1">IFERROR(__xludf.DUMMYFUNCTION("IMPORTRANGE(""https://docs.google.com/spreadsheets/d/1xfJKIQxVOaPDIICqsflNlLu3JacTDk1FP9RH4phX7mI/edit?usp=sharing"",""พิจิตร!I113"")"),30)</f>
        <v>30</v>
      </c>
      <c r="AD21" s="74">
        <f ca="1">IFERROR(__xludf.DUMMYFUNCTION("IMPORTRANGE(""https://docs.google.com/spreadsheets/d/1xfJKIQxVOaPDIICqsflNlLu3JacTDk1FP9RH4phX7mI/edit?usp=sharing"",""พิจิตร!J113"")"),30)</f>
        <v>30</v>
      </c>
      <c r="AE21" s="79">
        <f t="shared" ca="1" si="44"/>
        <v>100</v>
      </c>
      <c r="AF21" s="74">
        <f ca="1">IFERROR(__xludf.DUMMYFUNCTION("IMPORTRANGE(""https://docs.google.com/spreadsheets/d/1xfJKIQxVOaPDIICqsflNlLu3JacTDk1FP9RH4phX7mI/edit?usp=sharing"",""พิจิตร!I114"")"),10)</f>
        <v>10</v>
      </c>
      <c r="AG21" s="74">
        <f ca="1">IFERROR(__xludf.DUMMYFUNCTION("IMPORTRANGE(""https://docs.google.com/spreadsheets/d/1xfJKIQxVOaPDIICqsflNlLu3JacTDk1FP9RH4phX7mI/edit?usp=sharing"",""พิจิตร!J114"")"),10)</f>
        <v>10</v>
      </c>
      <c r="AH21" s="79">
        <f t="shared" ca="1" si="46"/>
        <v>100</v>
      </c>
    </row>
    <row r="22" spans="1:34" ht="24" customHeight="1" x14ac:dyDescent="0.3">
      <c r="A22" s="147">
        <v>9</v>
      </c>
      <c r="B22" s="148" t="s">
        <v>50</v>
      </c>
      <c r="C22" s="149">
        <f t="shared" ca="1" si="28"/>
        <v>51000</v>
      </c>
      <c r="D22" s="150">
        <f t="shared" ca="1" si="47"/>
        <v>51000</v>
      </c>
      <c r="E22" s="151">
        <f ca="1">IFERROR(__xludf.DUMMYFUNCTION("IMPORTRANGE(""https://docs.google.com/spreadsheets/d/1-uDff_7J0KD5mKrp0Vvzr7lt3OU09vwQwhkpOPPYv2Y/edit?usp=sharing"",""งบพรบ!AX22"")"),0)</f>
        <v>0</v>
      </c>
      <c r="F22" s="151">
        <f ca="1">IFERROR(__xludf.DUMMYFUNCTION("IMPORTRANGE(""https://docs.google.com/spreadsheets/d/1-uDff_7J0KD5mKrp0Vvzr7lt3OU09vwQwhkpOPPYv2Y/edit?usp=sharing"",""งบพรบ!AY22"")"),51000)</f>
        <v>51000</v>
      </c>
      <c r="G22" s="151">
        <f ca="1">IFERROR(__xludf.DUMMYFUNCTION("IMPORTRANGE(""https://docs.google.com/spreadsheets/d/1-uDff_7J0KD5mKrp0Vvzr7lt3OU09vwQwhkpOPPYv2Y/edit?usp=sharing"",""งบพรบ!AZ22"")"),0)</f>
        <v>0</v>
      </c>
      <c r="H22" s="151">
        <f ca="1">IFERROR(__xludf.DUMMYFUNCTION("IMPORTRANGE(""https://docs.google.com/spreadsheets/d/1-uDff_7J0KD5mKrp0Vvzr7lt3OU09vwQwhkpOPPYv2Y/edit?usp=sharing"",""งบพรบ!BB22"")"),51000)</f>
        <v>51000</v>
      </c>
      <c r="I22" s="151">
        <f ca="1">IFERROR(__xludf.DUMMYFUNCTION("IMPORTRANGE(""https://docs.google.com/spreadsheets/d/1-uDff_7J0KD5mKrp0Vvzr7lt3OU09vwQwhkpOPPYv2Y/edit?usp=sharing"",""งบพรบ!BC22"")"),0)</f>
        <v>0</v>
      </c>
      <c r="J22" s="151">
        <f t="shared" ca="1" si="30"/>
        <v>39000</v>
      </c>
      <c r="K22" s="154">
        <f t="shared" ca="1" si="31"/>
        <v>76.470588235294116</v>
      </c>
      <c r="L22" s="151">
        <f ca="1">IFERROR(__xludf.DUMMYFUNCTION("IMPORTRANGE(""https://docs.google.com/spreadsheets/d/1-uDff_7J0KD5mKrp0Vvzr7lt3OU09vwQwhkpOPPYv2Y/edit?usp=sharing"",""งบพรบ!BD22"")"),39000)</f>
        <v>39000</v>
      </c>
      <c r="M22" s="68">
        <f t="shared" ca="1" si="32"/>
        <v>76.470588235294116</v>
      </c>
      <c r="N22" s="68">
        <f t="shared" ca="1" si="33"/>
        <v>76.470588235294116</v>
      </c>
      <c r="O22" s="67">
        <f ca="1">IFERROR(__xludf.DUMMYFUNCTION("IMPORTRANGE(""https://docs.google.com/spreadsheets/d/1-uDff_7J0KD5mKrp0Vvzr7lt3OU09vwQwhkpOPPYv2Y/edit?usp=sharing"",""งบพรบ!BE22"")"),0)</f>
        <v>0</v>
      </c>
      <c r="P22" s="67">
        <f t="shared" ca="1" si="34"/>
        <v>0</v>
      </c>
      <c r="Q22" s="68">
        <f t="shared" ca="1" si="35"/>
        <v>0</v>
      </c>
      <c r="R22" s="67">
        <f ca="1">IFERROR(__xludf.DUMMYFUNCTION("IMPORTRANGE(""https://docs.google.com/spreadsheets/d/1JtRfZkJMHtEhI5RdRHxYUG4FIZHqKDpNyIuN7A1Q0_k/edit?usp=sharing"",""พิษณุโลก!Q94"")"),129840)</f>
        <v>129840</v>
      </c>
      <c r="S22" s="67">
        <f ca="1">IFERROR(__xludf.DUMMYFUNCTION("IMPORTRANGE(""https://docs.google.com/spreadsheets/d/1JtRfZkJMHtEhI5RdRHxYUG4FIZHqKDpNyIuN7A1Q0_k/edit?usp=sharing"",""พิษณุโลก!R94"")"),129840)</f>
        <v>129840</v>
      </c>
      <c r="T22" s="67">
        <f ca="1">IFERROR(__xludf.DUMMYFUNCTION("IMPORTRANGE(""https://docs.google.com/spreadsheets/d/1JtRfZkJMHtEhI5RdRHxYUG4FIZHqKDpNyIuN7A1Q0_k/edit?usp=sharing"",""พิษณุโลก!S94"")"),40980)</f>
        <v>40980</v>
      </c>
      <c r="U22" s="68">
        <f t="shared" ca="1" si="37"/>
        <v>31.561922365988909</v>
      </c>
      <c r="V22" s="68">
        <f t="shared" ca="1" si="38"/>
        <v>31.561922365988909</v>
      </c>
      <c r="W22" s="74">
        <f ca="1">IFERROR(__xludf.DUMMYFUNCTION("IMPORTRANGE(""https://docs.google.com/spreadsheets/d/1JtRfZkJMHtEhI5RdRHxYUG4FIZHqKDpNyIuN7A1Q0_k/edit?usp=sharing"",""พิษณุโลก!I108"")"),60)</f>
        <v>60</v>
      </c>
      <c r="X22" s="74">
        <f ca="1">IFERROR(__xludf.DUMMYFUNCTION("IMPORTRANGE(""https://docs.google.com/spreadsheets/d/1JtRfZkJMHtEhI5RdRHxYUG4FIZHqKDpNyIuN7A1Q0_k/edit?usp=sharing"",""พิษณุโลก!J108"")"),60)</f>
        <v>60</v>
      </c>
      <c r="Y22" s="79">
        <f t="shared" ca="1" si="40"/>
        <v>100</v>
      </c>
      <c r="Z22" s="74">
        <f ca="1">IFERROR(__xludf.DUMMYFUNCTION("IMPORTRANGE(""https://docs.google.com/spreadsheets/d/1JtRfZkJMHtEhI5RdRHxYUG4FIZHqKDpNyIuN7A1Q0_k/edit?usp=sharing"",""พิษณุโลก!I109"")"),20)</f>
        <v>20</v>
      </c>
      <c r="AA22" s="74">
        <f ca="1">IFERROR(__xludf.DUMMYFUNCTION("IMPORTRANGE(""https://docs.google.com/spreadsheets/d/1JtRfZkJMHtEhI5RdRHxYUG4FIZHqKDpNyIuN7A1Q0_k/edit?usp=sharing"",""พิษณุโลก!J109"")"),20)</f>
        <v>20</v>
      </c>
      <c r="AB22" s="79">
        <f t="shared" ca="1" si="42"/>
        <v>100</v>
      </c>
      <c r="AC22" s="74">
        <f ca="1">IFERROR(__xludf.DUMMYFUNCTION("IMPORTRANGE(""https://docs.google.com/spreadsheets/d/1JtRfZkJMHtEhI5RdRHxYUG4FIZHqKDpNyIuN7A1Q0_k/edit?usp=sharing"",""พิษณุโลก!I113"")"),60)</f>
        <v>60</v>
      </c>
      <c r="AD22" s="74">
        <f ca="1">IFERROR(__xludf.DUMMYFUNCTION("IMPORTRANGE(""https://docs.google.com/spreadsheets/d/1JtRfZkJMHtEhI5RdRHxYUG4FIZHqKDpNyIuN7A1Q0_k/edit?usp=sharing"",""พิษณุโลก!J113"")"),60)</f>
        <v>60</v>
      </c>
      <c r="AE22" s="79">
        <f t="shared" ca="1" si="44"/>
        <v>100</v>
      </c>
      <c r="AF22" s="74">
        <f ca="1">IFERROR(__xludf.DUMMYFUNCTION("IMPORTRANGE(""https://docs.google.com/spreadsheets/d/1JtRfZkJMHtEhI5RdRHxYUG4FIZHqKDpNyIuN7A1Q0_k/edit?usp=sharing"",""พิษณุโลก!I114"")"),20)</f>
        <v>20</v>
      </c>
      <c r="AG22" s="74">
        <f ca="1">IFERROR(__xludf.DUMMYFUNCTION("IMPORTRANGE(""https://docs.google.com/spreadsheets/d/1JtRfZkJMHtEhI5RdRHxYUG4FIZHqKDpNyIuN7A1Q0_k/edit?usp=sharing"",""พิษณุโลก!J114"")"),20)</f>
        <v>20</v>
      </c>
      <c r="AH22" s="79">
        <f t="shared" ca="1" si="46"/>
        <v>100</v>
      </c>
    </row>
    <row r="23" spans="1:34" ht="24" customHeight="1" x14ac:dyDescent="0.3">
      <c r="A23" s="147">
        <v>10</v>
      </c>
      <c r="B23" s="148" t="s">
        <v>51</v>
      </c>
      <c r="C23" s="149">
        <f t="shared" ca="1" si="28"/>
        <v>51000</v>
      </c>
      <c r="D23" s="150">
        <f t="shared" ca="1" si="47"/>
        <v>51000</v>
      </c>
      <c r="E23" s="151">
        <f ca="1">IFERROR(__xludf.DUMMYFUNCTION("IMPORTRANGE(""https://docs.google.com/spreadsheets/d/1-uDff_7J0KD5mKrp0Vvzr7lt3OU09vwQwhkpOPPYv2Y/edit?usp=sharing"",""งบพรบ!AX23"")"),0)</f>
        <v>0</v>
      </c>
      <c r="F23" s="151">
        <f ca="1">IFERROR(__xludf.DUMMYFUNCTION("IMPORTRANGE(""https://docs.google.com/spreadsheets/d/1-uDff_7J0KD5mKrp0Vvzr7lt3OU09vwQwhkpOPPYv2Y/edit?usp=sharing"",""งบพรบ!AY23"")"),51000)</f>
        <v>51000</v>
      </c>
      <c r="G23" s="151">
        <f ca="1">IFERROR(__xludf.DUMMYFUNCTION("IMPORTRANGE(""https://docs.google.com/spreadsheets/d/1-uDff_7J0KD5mKrp0Vvzr7lt3OU09vwQwhkpOPPYv2Y/edit?usp=sharing"",""งบพรบ!AZ23"")"),0)</f>
        <v>0</v>
      </c>
      <c r="H23" s="151">
        <f ca="1">IFERROR(__xludf.DUMMYFUNCTION("IMPORTRANGE(""https://docs.google.com/spreadsheets/d/1-uDff_7J0KD5mKrp0Vvzr7lt3OU09vwQwhkpOPPYv2Y/edit?usp=sharing"",""งบพรบ!BB23"")"),51000)</f>
        <v>51000</v>
      </c>
      <c r="I23" s="151">
        <f ca="1">IFERROR(__xludf.DUMMYFUNCTION("IMPORTRANGE(""https://docs.google.com/spreadsheets/d/1-uDff_7J0KD5mKrp0Vvzr7lt3OU09vwQwhkpOPPYv2Y/edit?usp=sharing"",""งบพรบ!BC23"")"),0)</f>
        <v>0</v>
      </c>
      <c r="J23" s="151">
        <f t="shared" ca="1" si="30"/>
        <v>50400</v>
      </c>
      <c r="K23" s="154">
        <f t="shared" ca="1" si="31"/>
        <v>98.82352941176471</v>
      </c>
      <c r="L23" s="151">
        <f ca="1">IFERROR(__xludf.DUMMYFUNCTION("IMPORTRANGE(""https://docs.google.com/spreadsheets/d/1-uDff_7J0KD5mKrp0Vvzr7lt3OU09vwQwhkpOPPYv2Y/edit?usp=sharing"",""งบพรบ!BD23"")"),50400)</f>
        <v>50400</v>
      </c>
      <c r="M23" s="68">
        <f t="shared" ca="1" si="32"/>
        <v>98.82352941176471</v>
      </c>
      <c r="N23" s="68">
        <f t="shared" ca="1" si="33"/>
        <v>98.82352941176471</v>
      </c>
      <c r="O23" s="67">
        <f ca="1">IFERROR(__xludf.DUMMYFUNCTION("IMPORTRANGE(""https://docs.google.com/spreadsheets/d/1-uDff_7J0KD5mKrp0Vvzr7lt3OU09vwQwhkpOPPYv2Y/edit?usp=sharing"",""งบพรบ!BE23"")"),0)</f>
        <v>0</v>
      </c>
      <c r="P23" s="67">
        <f t="shared" ca="1" si="34"/>
        <v>0</v>
      </c>
      <c r="Q23" s="68">
        <f t="shared" ca="1" si="35"/>
        <v>0</v>
      </c>
      <c r="R23" s="67">
        <f ca="1">IFERROR(__xludf.DUMMYFUNCTION("IMPORTRANGE(""https://docs.google.com/spreadsheets/d/1xlcVZWUNn6SuWm0c307h32SiGkd9BaeQWlAktfD3KO8/edit?usp=sharing"",""เพชรบูรณ์!Q94"")"),129840)</f>
        <v>129840</v>
      </c>
      <c r="S23" s="67">
        <f ca="1">IFERROR(__xludf.DUMMYFUNCTION("IMPORTRANGE(""https://docs.google.com/spreadsheets/d/1xlcVZWUNn6SuWm0c307h32SiGkd9BaeQWlAktfD3KO8/edit?usp=sharing"",""เพชรบูรณ์!R94"")"),129840)</f>
        <v>129840</v>
      </c>
      <c r="T23" s="67">
        <f ca="1">IFERROR(__xludf.DUMMYFUNCTION("IMPORTRANGE(""https://docs.google.com/spreadsheets/d/1xlcVZWUNn6SuWm0c307h32SiGkd9BaeQWlAktfD3KO8/edit?usp=sharing"",""เพชรบูรณ์!S94"")"),36792.5)</f>
        <v>36792.5</v>
      </c>
      <c r="U23" s="68">
        <f t="shared" ca="1" si="37"/>
        <v>28.336799137399876</v>
      </c>
      <c r="V23" s="68">
        <f t="shared" ca="1" si="38"/>
        <v>28.336799137399876</v>
      </c>
      <c r="W23" s="74">
        <f ca="1">IFERROR(__xludf.DUMMYFUNCTION("IMPORTRANGE(""https://docs.google.com/spreadsheets/d/1xlcVZWUNn6SuWm0c307h32SiGkd9BaeQWlAktfD3KO8/edit?usp=sharing"",""เพชรบูรณ์!I108"")"),60)</f>
        <v>60</v>
      </c>
      <c r="X23" s="74">
        <f ca="1">IFERROR(__xludf.DUMMYFUNCTION("IMPORTRANGE(""https://docs.google.com/spreadsheets/d/1xlcVZWUNn6SuWm0c307h32SiGkd9BaeQWlAktfD3KO8/edit?usp=sharing"",""เพชรบูรณ์!J108"")"),60)</f>
        <v>60</v>
      </c>
      <c r="Y23" s="79">
        <f t="shared" ca="1" si="40"/>
        <v>100</v>
      </c>
      <c r="Z23" s="74">
        <f ca="1">IFERROR(__xludf.DUMMYFUNCTION("IMPORTRANGE(""https://docs.google.com/spreadsheets/d/1xlcVZWUNn6SuWm0c307h32SiGkd9BaeQWlAktfD3KO8/edit?usp=sharing"",""เพชรบูรณ์!I109"")"),20)</f>
        <v>20</v>
      </c>
      <c r="AA23" s="74">
        <f ca="1">IFERROR(__xludf.DUMMYFUNCTION("IMPORTRANGE(""https://docs.google.com/spreadsheets/d/1xlcVZWUNn6SuWm0c307h32SiGkd9BaeQWlAktfD3KO8/edit?usp=sharing"",""เพชรบูรณ์!J109"")"),20)</f>
        <v>20</v>
      </c>
      <c r="AB23" s="79">
        <f t="shared" ca="1" si="42"/>
        <v>100</v>
      </c>
      <c r="AC23" s="74">
        <f ca="1">IFERROR(__xludf.DUMMYFUNCTION("IMPORTRANGE(""https://docs.google.com/spreadsheets/d/1xlcVZWUNn6SuWm0c307h32SiGkd9BaeQWlAktfD3KO8/edit?usp=sharing"",""เพชรบูรณ์!I113"")"),60)</f>
        <v>60</v>
      </c>
      <c r="AD23" s="74">
        <f ca="1">IFERROR(__xludf.DUMMYFUNCTION("IMPORTRANGE(""https://docs.google.com/spreadsheets/d/1xlcVZWUNn6SuWm0c307h32SiGkd9BaeQWlAktfD3KO8/edit?usp=sharing"",""เพชรบูรณ์!J113"")"),60)</f>
        <v>60</v>
      </c>
      <c r="AE23" s="79">
        <f t="shared" ca="1" si="44"/>
        <v>100</v>
      </c>
      <c r="AF23" s="74">
        <f ca="1">IFERROR(__xludf.DUMMYFUNCTION("IMPORTRANGE(""https://docs.google.com/spreadsheets/d/1xlcVZWUNn6SuWm0c307h32SiGkd9BaeQWlAktfD3KO8/edit?usp=sharing"",""เพชรบูรณ์!I114"")"),20)</f>
        <v>20</v>
      </c>
      <c r="AG23" s="74">
        <f ca="1">IFERROR(__xludf.DUMMYFUNCTION("IMPORTRANGE(""https://docs.google.com/spreadsheets/d/1xlcVZWUNn6SuWm0c307h32SiGkd9BaeQWlAktfD3KO8/edit?usp=sharing"",""เพชรบูรณ์!J114"")"),20)</f>
        <v>20</v>
      </c>
      <c r="AH23" s="79">
        <f t="shared" ca="1" si="46"/>
        <v>100</v>
      </c>
    </row>
    <row r="24" spans="1:34" ht="24" customHeight="1" x14ac:dyDescent="0.3">
      <c r="A24" s="147">
        <v>11</v>
      </c>
      <c r="B24" s="148" t="s">
        <v>52</v>
      </c>
      <c r="C24" s="149">
        <f t="shared" ca="1" si="28"/>
        <v>0</v>
      </c>
      <c r="D24" s="150">
        <f t="shared" ca="1" si="47"/>
        <v>0</v>
      </c>
      <c r="E24" s="151">
        <f ca="1">IFERROR(__xludf.DUMMYFUNCTION("IMPORTRANGE(""https://docs.google.com/spreadsheets/d/1-uDff_7J0KD5mKrp0Vvzr7lt3OU09vwQwhkpOPPYv2Y/edit?usp=sharing"",""งบพรบ!AX24"")"),0)</f>
        <v>0</v>
      </c>
      <c r="F24" s="151">
        <f ca="1">IFERROR(__xludf.DUMMYFUNCTION("IMPORTRANGE(""https://docs.google.com/spreadsheets/d/1-uDff_7J0KD5mKrp0Vvzr7lt3OU09vwQwhkpOPPYv2Y/edit?usp=sharing"",""งบพรบ!AY24"")"),0)</f>
        <v>0</v>
      </c>
      <c r="G24" s="151">
        <f ca="1">IFERROR(__xludf.DUMMYFUNCTION("IMPORTRANGE(""https://docs.google.com/spreadsheets/d/1-uDff_7J0KD5mKrp0Vvzr7lt3OU09vwQwhkpOPPYv2Y/edit?usp=sharing"",""งบพรบ!AZ24"")"),0)</f>
        <v>0</v>
      </c>
      <c r="H24" s="151">
        <f ca="1">IFERROR(__xludf.DUMMYFUNCTION("IMPORTRANGE(""https://docs.google.com/spreadsheets/d/1-uDff_7J0KD5mKrp0Vvzr7lt3OU09vwQwhkpOPPYv2Y/edit?usp=sharing"",""งบพรบ!BB24"")"),0)</f>
        <v>0</v>
      </c>
      <c r="I24" s="151">
        <f ca="1">IFERROR(__xludf.DUMMYFUNCTION("IMPORTRANGE(""https://docs.google.com/spreadsheets/d/1-uDff_7J0KD5mKrp0Vvzr7lt3OU09vwQwhkpOPPYv2Y/edit?usp=sharing"",""งบพรบ!BC24"")"),0)</f>
        <v>0</v>
      </c>
      <c r="J24" s="151">
        <f t="shared" ca="1" si="30"/>
        <v>0</v>
      </c>
      <c r="K24" s="154">
        <f t="shared" ca="1" si="31"/>
        <v>0</v>
      </c>
      <c r="L24" s="151">
        <f ca="1">IFERROR(__xludf.DUMMYFUNCTION("IMPORTRANGE(""https://docs.google.com/spreadsheets/d/1-uDff_7J0KD5mKrp0Vvzr7lt3OU09vwQwhkpOPPYv2Y/edit?usp=sharing"",""งบพรบ!BD24"")"),0)</f>
        <v>0</v>
      </c>
      <c r="M24" s="68">
        <f t="shared" ca="1" si="32"/>
        <v>0</v>
      </c>
      <c r="N24" s="68">
        <f t="shared" ca="1" si="33"/>
        <v>0</v>
      </c>
      <c r="O24" s="67">
        <f ca="1">IFERROR(__xludf.DUMMYFUNCTION("IMPORTRANGE(""https://docs.google.com/spreadsheets/d/1-uDff_7J0KD5mKrp0Vvzr7lt3OU09vwQwhkpOPPYv2Y/edit?usp=sharing"",""งบพรบ!BE24"")"),0)</f>
        <v>0</v>
      </c>
      <c r="P24" s="67">
        <f t="shared" ca="1" si="34"/>
        <v>0</v>
      </c>
      <c r="Q24" s="68">
        <f t="shared" ca="1" si="35"/>
        <v>0</v>
      </c>
      <c r="R24" s="67">
        <f ca="1">IFERROR(__xludf.DUMMYFUNCTION("IMPORTRANGE(""https://docs.google.com/spreadsheets/d/1lOVebEIsI9qjGXl6EX66luk7wiuP2tBaryw-wKvv4e0/edit?usp=sharing"",""แพร่!Q94"")"),0)</f>
        <v>0</v>
      </c>
      <c r="S24" s="67">
        <f ca="1">IFERROR(__xludf.DUMMYFUNCTION("IMPORTRANGE(""https://docs.google.com/spreadsheets/d/1lOVebEIsI9qjGXl6EX66luk7wiuP2tBaryw-wKvv4e0/edit?usp=sharing"",""แพร่!R94"")"),0)</f>
        <v>0</v>
      </c>
      <c r="T24" s="67">
        <f ca="1">IFERROR(__xludf.DUMMYFUNCTION("IMPORTRANGE(""https://docs.google.com/spreadsheets/d/1lOVebEIsI9qjGXl6EX66luk7wiuP2tBaryw-wKvv4e0/edit?usp=sharing"",""แพร่!S94"")"),0)</f>
        <v>0</v>
      </c>
      <c r="U24" s="68">
        <f t="shared" ca="1" si="37"/>
        <v>0</v>
      </c>
      <c r="V24" s="68">
        <f t="shared" ca="1" si="38"/>
        <v>0</v>
      </c>
      <c r="W24" s="74">
        <f ca="1">IFERROR(__xludf.DUMMYFUNCTION("IMPORTRANGE(""https://docs.google.com/spreadsheets/d/1lOVebEIsI9qjGXl6EX66luk7wiuP2tBaryw-wKvv4e0/edit?usp=sharing"",""แพร่!I108"")"),0)</f>
        <v>0</v>
      </c>
      <c r="X24" s="74">
        <f ca="1">IFERROR(__xludf.DUMMYFUNCTION("IMPORTRANGE(""https://docs.google.com/spreadsheets/d/1lOVebEIsI9qjGXl6EX66luk7wiuP2tBaryw-wKvv4e0/edit?usp=sharing"",""แพร่!J108"")"),0)</f>
        <v>0</v>
      </c>
      <c r="Y24" s="79">
        <f t="shared" ca="1" si="40"/>
        <v>0</v>
      </c>
      <c r="Z24" s="74">
        <f ca="1">IFERROR(__xludf.DUMMYFUNCTION("IMPORTRANGE(""https://docs.google.com/spreadsheets/d/1lOVebEIsI9qjGXl6EX66luk7wiuP2tBaryw-wKvv4e0/edit?usp=sharing"",""แพร่!I109"")"),0)</f>
        <v>0</v>
      </c>
      <c r="AA24" s="74">
        <f ca="1">IFERROR(__xludf.DUMMYFUNCTION("IMPORTRANGE(""https://docs.google.com/spreadsheets/d/1lOVebEIsI9qjGXl6EX66luk7wiuP2tBaryw-wKvv4e0/edit?usp=sharing"",""แพร่!J109"")"),0)</f>
        <v>0</v>
      </c>
      <c r="AB24" s="79">
        <f t="shared" ca="1" si="42"/>
        <v>0</v>
      </c>
      <c r="AC24" s="74">
        <f ca="1">IFERROR(__xludf.DUMMYFUNCTION("IMPORTRANGE(""https://docs.google.com/spreadsheets/d/1lOVebEIsI9qjGXl6EX66luk7wiuP2tBaryw-wKvv4e0/edit?usp=sharing"",""แพร่!I113"")"),0)</f>
        <v>0</v>
      </c>
      <c r="AD24" s="74">
        <f ca="1">IFERROR(__xludf.DUMMYFUNCTION("IMPORTRANGE(""https://docs.google.com/spreadsheets/d/1lOVebEIsI9qjGXl6EX66luk7wiuP2tBaryw-wKvv4e0/edit?usp=sharing"",""แพร่!J113"")"),0)</f>
        <v>0</v>
      </c>
      <c r="AE24" s="79">
        <f t="shared" ca="1" si="44"/>
        <v>0</v>
      </c>
      <c r="AF24" s="74">
        <f ca="1">IFERROR(__xludf.DUMMYFUNCTION("IMPORTRANGE(""https://docs.google.com/spreadsheets/d/1lOVebEIsI9qjGXl6EX66luk7wiuP2tBaryw-wKvv4e0/edit?usp=sharing"",""แพร่!I114"")"),0)</f>
        <v>0</v>
      </c>
      <c r="AG24" s="74">
        <f ca="1">IFERROR(__xludf.DUMMYFUNCTION("IMPORTRANGE(""https://docs.google.com/spreadsheets/d/1lOVebEIsI9qjGXl6EX66luk7wiuP2tBaryw-wKvv4e0/edit?usp=sharing"",""แพร่!J114"")"),0)</f>
        <v>0</v>
      </c>
      <c r="AH24" s="79">
        <f t="shared" ca="1" si="46"/>
        <v>0</v>
      </c>
    </row>
    <row r="25" spans="1:34" ht="24" customHeight="1" x14ac:dyDescent="0.3">
      <c r="A25" s="147">
        <v>12</v>
      </c>
      <c r="B25" s="148" t="s">
        <v>53</v>
      </c>
      <c r="C25" s="149">
        <f t="shared" ca="1" si="28"/>
        <v>12000</v>
      </c>
      <c r="D25" s="150">
        <f t="shared" ca="1" si="47"/>
        <v>12000</v>
      </c>
      <c r="E25" s="151">
        <f ca="1">IFERROR(__xludf.DUMMYFUNCTION("IMPORTRANGE(""https://docs.google.com/spreadsheets/d/1-uDff_7J0KD5mKrp0Vvzr7lt3OU09vwQwhkpOPPYv2Y/edit?usp=sharing"",""งบพรบ!AX25"")"),0)</f>
        <v>0</v>
      </c>
      <c r="F25" s="151">
        <f ca="1">IFERROR(__xludf.DUMMYFUNCTION("IMPORTRANGE(""https://docs.google.com/spreadsheets/d/1-uDff_7J0KD5mKrp0Vvzr7lt3OU09vwQwhkpOPPYv2Y/edit?usp=sharing"",""งบพรบ!AY25"")"),12000)</f>
        <v>12000</v>
      </c>
      <c r="G25" s="151">
        <f ca="1">IFERROR(__xludf.DUMMYFUNCTION("IMPORTRANGE(""https://docs.google.com/spreadsheets/d/1-uDff_7J0KD5mKrp0Vvzr7lt3OU09vwQwhkpOPPYv2Y/edit?usp=sharing"",""งบพรบ!AZ25"")"),0)</f>
        <v>0</v>
      </c>
      <c r="H25" s="151">
        <f ca="1">IFERROR(__xludf.DUMMYFUNCTION("IMPORTRANGE(""https://docs.google.com/spreadsheets/d/1-uDff_7J0KD5mKrp0Vvzr7lt3OU09vwQwhkpOPPYv2Y/edit?usp=sharing"",""งบพรบ!BB25"")"),12000)</f>
        <v>12000</v>
      </c>
      <c r="I25" s="151">
        <f ca="1">IFERROR(__xludf.DUMMYFUNCTION("IMPORTRANGE(""https://docs.google.com/spreadsheets/d/1-uDff_7J0KD5mKrp0Vvzr7lt3OU09vwQwhkpOPPYv2Y/edit?usp=sharing"",""งบพรบ!BC25"")"),0)</f>
        <v>0</v>
      </c>
      <c r="J25" s="151">
        <f t="shared" ca="1" si="30"/>
        <v>12000</v>
      </c>
      <c r="K25" s="154">
        <f t="shared" ca="1" si="31"/>
        <v>100</v>
      </c>
      <c r="L25" s="151">
        <f ca="1">IFERROR(__xludf.DUMMYFUNCTION("IMPORTRANGE(""https://docs.google.com/spreadsheets/d/1-uDff_7J0KD5mKrp0Vvzr7lt3OU09vwQwhkpOPPYv2Y/edit?usp=sharing"",""งบพรบ!BD25"")"),12000)</f>
        <v>12000</v>
      </c>
      <c r="M25" s="68">
        <f t="shared" ca="1" si="32"/>
        <v>100</v>
      </c>
      <c r="N25" s="68">
        <f t="shared" ca="1" si="33"/>
        <v>100</v>
      </c>
      <c r="O25" s="67">
        <f ca="1">IFERROR(__xludf.DUMMYFUNCTION("IMPORTRANGE(""https://docs.google.com/spreadsheets/d/1-uDff_7J0KD5mKrp0Vvzr7lt3OU09vwQwhkpOPPYv2Y/edit?usp=sharing"",""งบพรบ!BE25"")"),0)</f>
        <v>0</v>
      </c>
      <c r="P25" s="67">
        <f t="shared" ca="1" si="34"/>
        <v>0</v>
      </c>
      <c r="Q25" s="68">
        <f t="shared" ca="1" si="35"/>
        <v>0</v>
      </c>
      <c r="R25" s="67">
        <f ca="1">IFERROR(__xludf.DUMMYFUNCTION("IMPORTRANGE(""https://docs.google.com/spreadsheets/d/1dQrvX0vEcN7Gu0fnZ0B5S90AeR19zth4XlExFBeExMY/edit?usp=sharing"",""แม่ฮ่องสอน!Q94"")"),170160)</f>
        <v>170160</v>
      </c>
      <c r="S25" s="67">
        <f ca="1">IFERROR(__xludf.DUMMYFUNCTION("IMPORTRANGE(""https://docs.google.com/spreadsheets/d/1dQrvX0vEcN7Gu0fnZ0B5S90AeR19zth4XlExFBeExMY/edit?usp=sharing"",""แม่ฮ่องสอน!R94"")"),170160)</f>
        <v>170160</v>
      </c>
      <c r="T25" s="67">
        <f ca="1">IFERROR(__xludf.DUMMYFUNCTION("IMPORTRANGE(""https://docs.google.com/spreadsheets/d/1dQrvX0vEcN7Gu0fnZ0B5S90AeR19zth4XlExFBeExMY/edit?usp=sharing"",""แม่ฮ่องสอน!S94"")"),104860)</f>
        <v>104860</v>
      </c>
      <c r="U25" s="68">
        <f t="shared" ca="1" si="37"/>
        <v>61.624353549600379</v>
      </c>
      <c r="V25" s="68">
        <f t="shared" ca="1" si="38"/>
        <v>61.624353549600379</v>
      </c>
      <c r="W25" s="74">
        <f ca="1">IFERROR(__xludf.DUMMYFUNCTION("IMPORTRANGE(""https://docs.google.com/spreadsheets/d/1dQrvX0vEcN7Gu0fnZ0B5S90AeR19zth4XlExFBeExMY/edit?usp=sharing"",""แม่ฮ่องสอน!I108"")"),60)</f>
        <v>60</v>
      </c>
      <c r="X25" s="74">
        <f ca="1">IFERROR(__xludf.DUMMYFUNCTION("IMPORTRANGE(""https://docs.google.com/spreadsheets/d/1dQrvX0vEcN7Gu0fnZ0B5S90AeR19zth4XlExFBeExMY/edit?usp=sharing"",""แม่ฮ่องสอน!J108"")"),60)</f>
        <v>60</v>
      </c>
      <c r="Y25" s="79">
        <f t="shared" ca="1" si="40"/>
        <v>100</v>
      </c>
      <c r="Z25" s="74">
        <f ca="1">IFERROR(__xludf.DUMMYFUNCTION("IMPORTRANGE(""https://docs.google.com/spreadsheets/d/1dQrvX0vEcN7Gu0fnZ0B5S90AeR19zth4XlExFBeExMY/edit?usp=sharing"",""แม่ฮ่องสอน!I109"")"),20)</f>
        <v>20</v>
      </c>
      <c r="AA25" s="74">
        <f ca="1">IFERROR(__xludf.DUMMYFUNCTION("IMPORTRANGE(""https://docs.google.com/spreadsheets/d/1dQrvX0vEcN7Gu0fnZ0B5S90AeR19zth4XlExFBeExMY/edit?usp=sharing"",""แม่ฮ่องสอน!J109"")"),20)</f>
        <v>20</v>
      </c>
      <c r="AB25" s="79">
        <f t="shared" ca="1" si="42"/>
        <v>100</v>
      </c>
      <c r="AC25" s="74">
        <f ca="1">IFERROR(__xludf.DUMMYFUNCTION("IMPORTRANGE(""https://docs.google.com/spreadsheets/d/1dQrvX0vEcN7Gu0fnZ0B5S90AeR19zth4XlExFBeExMY/edit?usp=sharing"",""แม่ฮ่องสอน!I113"")"),60)</f>
        <v>60</v>
      </c>
      <c r="AD25" s="74">
        <f ca="1">IFERROR(__xludf.DUMMYFUNCTION("IMPORTRANGE(""https://docs.google.com/spreadsheets/d/1dQrvX0vEcN7Gu0fnZ0B5S90AeR19zth4XlExFBeExMY/edit?usp=sharing"",""แม่ฮ่องสอน!J113"")"),60)</f>
        <v>60</v>
      </c>
      <c r="AE25" s="79">
        <f t="shared" ca="1" si="44"/>
        <v>100</v>
      </c>
      <c r="AF25" s="74">
        <f ca="1">IFERROR(__xludf.DUMMYFUNCTION("IMPORTRANGE(""https://docs.google.com/spreadsheets/d/1dQrvX0vEcN7Gu0fnZ0B5S90AeR19zth4XlExFBeExMY/edit?usp=sharing"",""แม่ฮ่องสอน!I114"")"),20)</f>
        <v>20</v>
      </c>
      <c r="AG25" s="74">
        <f ca="1">IFERROR(__xludf.DUMMYFUNCTION("IMPORTRANGE(""https://docs.google.com/spreadsheets/d/1dQrvX0vEcN7Gu0fnZ0B5S90AeR19zth4XlExFBeExMY/edit?usp=sharing"",""แม่ฮ่องสอน!J114"")"),20)</f>
        <v>20</v>
      </c>
      <c r="AH25" s="79">
        <f t="shared" ca="1" si="46"/>
        <v>100</v>
      </c>
    </row>
    <row r="26" spans="1:34" ht="24" customHeight="1" x14ac:dyDescent="0.3">
      <c r="A26" s="147">
        <v>13</v>
      </c>
      <c r="B26" s="148" t="s">
        <v>54</v>
      </c>
      <c r="C26" s="149">
        <f t="shared" ca="1" si="28"/>
        <v>6000</v>
      </c>
      <c r="D26" s="150">
        <f t="shared" ca="1" si="47"/>
        <v>6000</v>
      </c>
      <c r="E26" s="151">
        <f ca="1">IFERROR(__xludf.DUMMYFUNCTION("IMPORTRANGE(""https://docs.google.com/spreadsheets/d/1-uDff_7J0KD5mKrp0Vvzr7lt3OU09vwQwhkpOPPYv2Y/edit?usp=sharing"",""งบพรบ!AX26"")"),0)</f>
        <v>0</v>
      </c>
      <c r="F26" s="151">
        <f ca="1">IFERROR(__xludf.DUMMYFUNCTION("IMPORTRANGE(""https://docs.google.com/spreadsheets/d/1-uDff_7J0KD5mKrp0Vvzr7lt3OU09vwQwhkpOPPYv2Y/edit?usp=sharing"",""งบพรบ!AY26"")"),6000)</f>
        <v>6000</v>
      </c>
      <c r="G26" s="151">
        <f ca="1">IFERROR(__xludf.DUMMYFUNCTION("IMPORTRANGE(""https://docs.google.com/spreadsheets/d/1-uDff_7J0KD5mKrp0Vvzr7lt3OU09vwQwhkpOPPYv2Y/edit?usp=sharing"",""งบพรบ!AZ26"")"),0)</f>
        <v>0</v>
      </c>
      <c r="H26" s="151">
        <f ca="1">IFERROR(__xludf.DUMMYFUNCTION("IMPORTRANGE(""https://docs.google.com/spreadsheets/d/1-uDff_7J0KD5mKrp0Vvzr7lt3OU09vwQwhkpOPPYv2Y/edit?usp=sharing"",""งบพรบ!BB26"")"),6000)</f>
        <v>6000</v>
      </c>
      <c r="I26" s="151">
        <f ca="1">IFERROR(__xludf.DUMMYFUNCTION("IMPORTRANGE(""https://docs.google.com/spreadsheets/d/1-uDff_7J0KD5mKrp0Vvzr7lt3OU09vwQwhkpOPPYv2Y/edit?usp=sharing"",""งบพรบ!BC26"")"),0)</f>
        <v>0</v>
      </c>
      <c r="J26" s="151">
        <f t="shared" ca="1" si="30"/>
        <v>6000</v>
      </c>
      <c r="K26" s="154">
        <f t="shared" ca="1" si="31"/>
        <v>100</v>
      </c>
      <c r="L26" s="151">
        <f ca="1">IFERROR(__xludf.DUMMYFUNCTION("IMPORTRANGE(""https://docs.google.com/spreadsheets/d/1-uDff_7J0KD5mKrp0Vvzr7lt3OU09vwQwhkpOPPYv2Y/edit?usp=sharing"",""งบพรบ!BD26"")"),6000)</f>
        <v>6000</v>
      </c>
      <c r="M26" s="68">
        <f t="shared" ca="1" si="32"/>
        <v>100</v>
      </c>
      <c r="N26" s="68">
        <f t="shared" ca="1" si="33"/>
        <v>100</v>
      </c>
      <c r="O26" s="67">
        <f ca="1">IFERROR(__xludf.DUMMYFUNCTION("IMPORTRANGE(""https://docs.google.com/spreadsheets/d/1-uDff_7J0KD5mKrp0Vvzr7lt3OU09vwQwhkpOPPYv2Y/edit?usp=sharing"",""งบพรบ!BE26"")"),0)</f>
        <v>0</v>
      </c>
      <c r="P26" s="67">
        <f t="shared" ca="1" si="34"/>
        <v>0</v>
      </c>
      <c r="Q26" s="68">
        <f t="shared" ca="1" si="35"/>
        <v>0</v>
      </c>
      <c r="R26" s="67">
        <f ca="1">IFERROR(__xludf.DUMMYFUNCTION("IMPORTRANGE(""https://docs.google.com/spreadsheets/d/1DY4XTNNwjluuxqdfdn6qvOSlMRrZqUtmYcZR0ttFiG4/edit?usp=sharing"",""ลำปาง!Q94"")"),84420)</f>
        <v>84420</v>
      </c>
      <c r="S26" s="67">
        <f ca="1">IFERROR(__xludf.DUMMYFUNCTION("IMPORTRANGE(""https://docs.google.com/spreadsheets/d/1DY4XTNNwjluuxqdfdn6qvOSlMRrZqUtmYcZR0ttFiG4/edit?usp=sharing"",""ลำปาง!R94"")"),84420)</f>
        <v>84420</v>
      </c>
      <c r="T26" s="67">
        <f ca="1">IFERROR(__xludf.DUMMYFUNCTION("IMPORTRANGE(""https://docs.google.com/spreadsheets/d/1DY4XTNNwjluuxqdfdn6qvOSlMRrZqUtmYcZR0ttFiG4/edit?usp=sharing"",""ลำปาง!S94"")"),31650)</f>
        <v>31650</v>
      </c>
      <c r="U26" s="68">
        <f t="shared" ca="1" si="37"/>
        <v>37.491115849324807</v>
      </c>
      <c r="V26" s="68">
        <f t="shared" ca="1" si="38"/>
        <v>37.491115849324807</v>
      </c>
      <c r="W26" s="74">
        <f ca="1">IFERROR(__xludf.DUMMYFUNCTION("IMPORTRANGE(""https://docs.google.com/spreadsheets/d/1DY4XTNNwjluuxqdfdn6qvOSlMRrZqUtmYcZR0ttFiG4/edit?usp=sharing"",""ลำปาง!I108"")"),30)</f>
        <v>30</v>
      </c>
      <c r="X26" s="74">
        <f ca="1">IFERROR(__xludf.DUMMYFUNCTION("IMPORTRANGE(""https://docs.google.com/spreadsheets/d/1DY4XTNNwjluuxqdfdn6qvOSlMRrZqUtmYcZR0ttFiG4/edit?usp=sharing"",""ลำปาง!J108"")"),30)</f>
        <v>30</v>
      </c>
      <c r="Y26" s="79">
        <f t="shared" ca="1" si="40"/>
        <v>100</v>
      </c>
      <c r="Z26" s="74">
        <f ca="1">IFERROR(__xludf.DUMMYFUNCTION("IMPORTRANGE(""https://docs.google.com/spreadsheets/d/1DY4XTNNwjluuxqdfdn6qvOSlMRrZqUtmYcZR0ttFiG4/edit?usp=sharing"",""ลำปาง!I109"")"),10)</f>
        <v>10</v>
      </c>
      <c r="AA26" s="74">
        <f ca="1">IFERROR(__xludf.DUMMYFUNCTION("IMPORTRANGE(""https://docs.google.com/spreadsheets/d/1DY4XTNNwjluuxqdfdn6qvOSlMRrZqUtmYcZR0ttFiG4/edit?usp=sharing"",""ลำปาง!J109"")"),10)</f>
        <v>10</v>
      </c>
      <c r="AB26" s="79">
        <f t="shared" ca="1" si="42"/>
        <v>100</v>
      </c>
      <c r="AC26" s="74">
        <f ca="1">IFERROR(__xludf.DUMMYFUNCTION("IMPORTRANGE(""https://docs.google.com/spreadsheets/d/1DY4XTNNwjluuxqdfdn6qvOSlMRrZqUtmYcZR0ttFiG4/edit?usp=sharing"",""ลำปาง!I113"")"),30)</f>
        <v>30</v>
      </c>
      <c r="AD26" s="74">
        <f ca="1">IFERROR(__xludf.DUMMYFUNCTION("IMPORTRANGE(""https://docs.google.com/spreadsheets/d/1DY4XTNNwjluuxqdfdn6qvOSlMRrZqUtmYcZR0ttFiG4/edit?usp=sharing"",""ลำปาง!J113"")"),30)</f>
        <v>30</v>
      </c>
      <c r="AE26" s="79">
        <f t="shared" ca="1" si="44"/>
        <v>100</v>
      </c>
      <c r="AF26" s="74">
        <f ca="1">IFERROR(__xludf.DUMMYFUNCTION("IMPORTRANGE(""https://docs.google.com/spreadsheets/d/1DY4XTNNwjluuxqdfdn6qvOSlMRrZqUtmYcZR0ttFiG4/edit?usp=sharing"",""ลำปาง!I114"")"),10)</f>
        <v>10</v>
      </c>
      <c r="AG26" s="74">
        <f ca="1">IFERROR(__xludf.DUMMYFUNCTION("IMPORTRANGE(""https://docs.google.com/spreadsheets/d/1DY4XTNNwjluuxqdfdn6qvOSlMRrZqUtmYcZR0ttFiG4/edit?usp=sharing"",""ลำปาง!J114"")"),10)</f>
        <v>10</v>
      </c>
      <c r="AH26" s="79">
        <f t="shared" ca="1" si="46"/>
        <v>100</v>
      </c>
    </row>
    <row r="27" spans="1:34" ht="24" customHeight="1" x14ac:dyDescent="0.3">
      <c r="A27" s="147">
        <v>14</v>
      </c>
      <c r="B27" s="148" t="s">
        <v>55</v>
      </c>
      <c r="C27" s="149">
        <f t="shared" ca="1" si="28"/>
        <v>67000</v>
      </c>
      <c r="D27" s="150">
        <f t="shared" ca="1" si="47"/>
        <v>67000</v>
      </c>
      <c r="E27" s="151">
        <f ca="1">IFERROR(__xludf.DUMMYFUNCTION("IMPORTRANGE(""https://docs.google.com/spreadsheets/d/1-uDff_7J0KD5mKrp0Vvzr7lt3OU09vwQwhkpOPPYv2Y/edit?usp=sharing"",""งบพรบ!AX27"")"),61000)</f>
        <v>61000</v>
      </c>
      <c r="F27" s="151">
        <f ca="1">IFERROR(__xludf.DUMMYFUNCTION("IMPORTRANGE(""https://docs.google.com/spreadsheets/d/1-uDff_7J0KD5mKrp0Vvzr7lt3OU09vwQwhkpOPPYv2Y/edit?usp=sharing"",""งบพรบ!AY27"")"),6000)</f>
        <v>6000</v>
      </c>
      <c r="G27" s="151">
        <f ca="1">IFERROR(__xludf.DUMMYFUNCTION("IMPORTRANGE(""https://docs.google.com/spreadsheets/d/1-uDff_7J0KD5mKrp0Vvzr7lt3OU09vwQwhkpOPPYv2Y/edit?usp=sharing"",""งบพรบ!AZ27"")"),0)</f>
        <v>0</v>
      </c>
      <c r="H27" s="151">
        <f ca="1">IFERROR(__xludf.DUMMYFUNCTION("IMPORTRANGE(""https://docs.google.com/spreadsheets/d/1-uDff_7J0KD5mKrp0Vvzr7lt3OU09vwQwhkpOPPYv2Y/edit?usp=sharing"",""งบพรบ!BB27"")"),67000)</f>
        <v>67000</v>
      </c>
      <c r="I27" s="151">
        <f ca="1">IFERROR(__xludf.DUMMYFUNCTION("IMPORTRANGE(""https://docs.google.com/spreadsheets/d/1-uDff_7J0KD5mKrp0Vvzr7lt3OU09vwQwhkpOPPYv2Y/edit?usp=sharing"",""งบพรบ!BC27"")"),0)</f>
        <v>0</v>
      </c>
      <c r="J27" s="151">
        <f t="shared" ca="1" si="30"/>
        <v>66917.899999999994</v>
      </c>
      <c r="K27" s="154">
        <f t="shared" ca="1" si="31"/>
        <v>99.877462686567156</v>
      </c>
      <c r="L27" s="151">
        <f ca="1">IFERROR(__xludf.DUMMYFUNCTION("IMPORTRANGE(""https://docs.google.com/spreadsheets/d/1-uDff_7J0KD5mKrp0Vvzr7lt3OU09vwQwhkpOPPYv2Y/edit?usp=sharing"",""งบพรบ!BD27"")"),66917.9)</f>
        <v>66917.899999999994</v>
      </c>
      <c r="M27" s="68">
        <f t="shared" ca="1" si="32"/>
        <v>99.877462686567156</v>
      </c>
      <c r="N27" s="68">
        <f t="shared" ca="1" si="33"/>
        <v>99.877462686567156</v>
      </c>
      <c r="O27" s="67">
        <f ca="1">IFERROR(__xludf.DUMMYFUNCTION("IMPORTRANGE(""https://docs.google.com/spreadsheets/d/1-uDff_7J0KD5mKrp0Vvzr7lt3OU09vwQwhkpOPPYv2Y/edit?usp=sharing"",""งบพรบ!BE27"")"),0)</f>
        <v>0</v>
      </c>
      <c r="P27" s="67">
        <f t="shared" ca="1" si="34"/>
        <v>0</v>
      </c>
      <c r="Q27" s="68">
        <f t="shared" ca="1" si="35"/>
        <v>0</v>
      </c>
      <c r="R27" s="67">
        <f ca="1">IFERROR(__xludf.DUMMYFUNCTION("IMPORTRANGE(""https://docs.google.com/spreadsheets/d/1ICwG78r0OFT8biBlxnBF8r7she7gNSzOvJ958PWT09c/edit?usp=sharing"",""ลำพูน!Q94"")"),84420)</f>
        <v>84420</v>
      </c>
      <c r="S27" s="67">
        <f ca="1">IFERROR(__xludf.DUMMYFUNCTION("IMPORTRANGE(""https://docs.google.com/spreadsheets/d/1ICwG78r0OFT8biBlxnBF8r7she7gNSzOvJ958PWT09c/edit?usp=sharing"",""ลำพูน!R94"")"),84420)</f>
        <v>84420</v>
      </c>
      <c r="T27" s="67">
        <f ca="1">IFERROR(__xludf.DUMMYFUNCTION("IMPORTRANGE(""https://docs.google.com/spreadsheets/d/1ICwG78r0OFT8biBlxnBF8r7she7gNSzOvJ958PWT09c/edit?usp=sharing"",""ลำพูน!S94"")"),61940)</f>
        <v>61940</v>
      </c>
      <c r="U27" s="68">
        <f t="shared" ca="1" si="37"/>
        <v>73.371239042880831</v>
      </c>
      <c r="V27" s="68">
        <f t="shared" ca="1" si="38"/>
        <v>73.371239042880831</v>
      </c>
      <c r="W27" s="74">
        <f ca="1">IFERROR(__xludf.DUMMYFUNCTION("IMPORTRANGE(""https://docs.google.com/spreadsheets/d/1ICwG78r0OFT8biBlxnBF8r7she7gNSzOvJ958PWT09c/edit?usp=sharing"",""ลำพูน!I108"")"),30)</f>
        <v>30</v>
      </c>
      <c r="X27" s="74">
        <f ca="1">IFERROR(__xludf.DUMMYFUNCTION("IMPORTRANGE(""https://docs.google.com/spreadsheets/d/1ICwG78r0OFT8biBlxnBF8r7she7gNSzOvJ958PWT09c/edit?usp=sharing"",""ลำพูน!J108"")"),30)</f>
        <v>30</v>
      </c>
      <c r="Y27" s="79">
        <f t="shared" ca="1" si="40"/>
        <v>100</v>
      </c>
      <c r="Z27" s="74">
        <f ca="1">IFERROR(__xludf.DUMMYFUNCTION("IMPORTRANGE(""https://docs.google.com/spreadsheets/d/1ICwG78r0OFT8biBlxnBF8r7she7gNSzOvJ958PWT09c/edit?usp=sharing"",""ลำพูน!I109"")"),10)</f>
        <v>10</v>
      </c>
      <c r="AA27" s="74">
        <f ca="1">IFERROR(__xludf.DUMMYFUNCTION("IMPORTRANGE(""https://docs.google.com/spreadsheets/d/1ICwG78r0OFT8biBlxnBF8r7she7gNSzOvJ958PWT09c/edit?usp=sharing"",""ลำพูน!J109"")"),10)</f>
        <v>10</v>
      </c>
      <c r="AB27" s="79">
        <f t="shared" ca="1" si="42"/>
        <v>100</v>
      </c>
      <c r="AC27" s="74">
        <f ca="1">IFERROR(__xludf.DUMMYFUNCTION("IMPORTRANGE(""https://docs.google.com/spreadsheets/d/1ICwG78r0OFT8biBlxnBF8r7she7gNSzOvJ958PWT09c/edit?usp=sharing"",""ลำพูน!I113"")"),30)</f>
        <v>30</v>
      </c>
      <c r="AD27" s="74">
        <f ca="1">IFERROR(__xludf.DUMMYFUNCTION("IMPORTRANGE(""https://docs.google.com/spreadsheets/d/1ICwG78r0OFT8biBlxnBF8r7she7gNSzOvJ958PWT09c/edit?usp=sharing"",""ลำพูน!J113"")"),30)</f>
        <v>30</v>
      </c>
      <c r="AE27" s="79">
        <f t="shared" ca="1" si="44"/>
        <v>100</v>
      </c>
      <c r="AF27" s="74">
        <f ca="1">IFERROR(__xludf.DUMMYFUNCTION("IMPORTRANGE(""https://docs.google.com/spreadsheets/d/1ICwG78r0OFT8biBlxnBF8r7she7gNSzOvJ958PWT09c/edit?usp=sharing"",""ลำพูน!I114"")"),10)</f>
        <v>10</v>
      </c>
      <c r="AG27" s="74">
        <f ca="1">IFERROR(__xludf.DUMMYFUNCTION("IMPORTRANGE(""https://docs.google.com/spreadsheets/d/1ICwG78r0OFT8biBlxnBF8r7she7gNSzOvJ958PWT09c/edit?usp=sharing"",""ลำพูน!J114"")"),10)</f>
        <v>10</v>
      </c>
      <c r="AH27" s="79">
        <f t="shared" ca="1" si="46"/>
        <v>100</v>
      </c>
    </row>
    <row r="28" spans="1:34" ht="24" customHeight="1" x14ac:dyDescent="0.3">
      <c r="A28" s="147">
        <v>15</v>
      </c>
      <c r="B28" s="148" t="s">
        <v>56</v>
      </c>
      <c r="C28" s="149">
        <f t="shared" ca="1" si="28"/>
        <v>0</v>
      </c>
      <c r="D28" s="150">
        <f t="shared" ca="1" si="47"/>
        <v>0</v>
      </c>
      <c r="E28" s="151">
        <f ca="1">IFERROR(__xludf.DUMMYFUNCTION("IMPORTRANGE(""https://docs.google.com/spreadsheets/d/1-uDff_7J0KD5mKrp0Vvzr7lt3OU09vwQwhkpOPPYv2Y/edit?usp=sharing"",""งบพรบ!AX28"")"),0)</f>
        <v>0</v>
      </c>
      <c r="F28" s="151">
        <f ca="1">IFERROR(__xludf.DUMMYFUNCTION("IMPORTRANGE(""https://docs.google.com/spreadsheets/d/1-uDff_7J0KD5mKrp0Vvzr7lt3OU09vwQwhkpOPPYv2Y/edit?usp=sharing"",""งบพรบ!AY28"")"),0)</f>
        <v>0</v>
      </c>
      <c r="G28" s="151">
        <f ca="1">IFERROR(__xludf.DUMMYFUNCTION("IMPORTRANGE(""https://docs.google.com/spreadsheets/d/1-uDff_7J0KD5mKrp0Vvzr7lt3OU09vwQwhkpOPPYv2Y/edit?usp=sharing"",""งบพรบ!AZ28"")"),0)</f>
        <v>0</v>
      </c>
      <c r="H28" s="151">
        <f ca="1">IFERROR(__xludf.DUMMYFUNCTION("IMPORTRANGE(""https://docs.google.com/spreadsheets/d/1-uDff_7J0KD5mKrp0Vvzr7lt3OU09vwQwhkpOPPYv2Y/edit?usp=sharing"",""งบพรบ!BB28"")"),0)</f>
        <v>0</v>
      </c>
      <c r="I28" s="151">
        <f ca="1">IFERROR(__xludf.DUMMYFUNCTION("IMPORTRANGE(""https://docs.google.com/spreadsheets/d/1-uDff_7J0KD5mKrp0Vvzr7lt3OU09vwQwhkpOPPYv2Y/edit?usp=sharing"",""งบพรบ!BC28"")"),0)</f>
        <v>0</v>
      </c>
      <c r="J28" s="151">
        <f t="shared" ca="1" si="30"/>
        <v>0</v>
      </c>
      <c r="K28" s="154">
        <f t="shared" ca="1" si="31"/>
        <v>0</v>
      </c>
      <c r="L28" s="151">
        <f ca="1">IFERROR(__xludf.DUMMYFUNCTION("IMPORTRANGE(""https://docs.google.com/spreadsheets/d/1-uDff_7J0KD5mKrp0Vvzr7lt3OU09vwQwhkpOPPYv2Y/edit?usp=sharing"",""งบพรบ!BD28"")"),0)</f>
        <v>0</v>
      </c>
      <c r="M28" s="68">
        <f t="shared" ca="1" si="32"/>
        <v>0</v>
      </c>
      <c r="N28" s="68">
        <f t="shared" ca="1" si="33"/>
        <v>0</v>
      </c>
      <c r="O28" s="67">
        <f ca="1">IFERROR(__xludf.DUMMYFUNCTION("IMPORTRANGE(""https://docs.google.com/spreadsheets/d/1-uDff_7J0KD5mKrp0Vvzr7lt3OU09vwQwhkpOPPYv2Y/edit?usp=sharing"",""งบพรบ!BE28"")"),0)</f>
        <v>0</v>
      </c>
      <c r="P28" s="67">
        <f t="shared" ca="1" si="34"/>
        <v>0</v>
      </c>
      <c r="Q28" s="68">
        <f t="shared" ca="1" si="35"/>
        <v>0</v>
      </c>
      <c r="R28" s="67">
        <f ca="1">IFERROR(__xludf.DUMMYFUNCTION("IMPORTRANGE(""https://docs.google.com/spreadsheets/d/1B0f2xJpZUC6Z0xXnqKlZtEPzsf6L84eP1r1Q15seqRM/edit?usp=sharing"",""สุโขทัย!Q94"")"),0)</f>
        <v>0</v>
      </c>
      <c r="S28" s="67">
        <f ca="1">IFERROR(__xludf.DUMMYFUNCTION("IMPORTRANGE(""https://docs.google.com/spreadsheets/d/1B0f2xJpZUC6Z0xXnqKlZtEPzsf6L84eP1r1Q15seqRM/edit?usp=sharing"",""สุโขทัย!R94"")"),0)</f>
        <v>0</v>
      </c>
      <c r="T28" s="67">
        <f ca="1">IFERROR(__xludf.DUMMYFUNCTION("IMPORTRANGE(""https://docs.google.com/spreadsheets/d/1B0f2xJpZUC6Z0xXnqKlZtEPzsf6L84eP1r1Q15seqRM/edit?usp=sharing"",""สุโขทัย!S94"")"),0)</f>
        <v>0</v>
      </c>
      <c r="U28" s="68">
        <f t="shared" ca="1" si="37"/>
        <v>0</v>
      </c>
      <c r="V28" s="68">
        <f t="shared" ca="1" si="38"/>
        <v>0</v>
      </c>
      <c r="W28" s="74">
        <f ca="1">IFERROR(__xludf.DUMMYFUNCTION("IMPORTRANGE(""https://docs.google.com/spreadsheets/d/1B0f2xJpZUC6Z0xXnqKlZtEPzsf6L84eP1r1Q15seqRM/edit?usp=sharing"",""สุโขทัย!I108"")"),0)</f>
        <v>0</v>
      </c>
      <c r="X28" s="74">
        <f ca="1">IFERROR(__xludf.DUMMYFUNCTION("IMPORTRANGE(""https://docs.google.com/spreadsheets/d/1B0f2xJpZUC6Z0xXnqKlZtEPzsf6L84eP1r1Q15seqRM/edit?usp=sharing"",""สุโขทัย!J108"")"),0)</f>
        <v>0</v>
      </c>
      <c r="Y28" s="79">
        <f t="shared" ca="1" si="40"/>
        <v>0</v>
      </c>
      <c r="Z28" s="74">
        <f ca="1">IFERROR(__xludf.DUMMYFUNCTION("IMPORTRANGE(""https://docs.google.com/spreadsheets/d/1B0f2xJpZUC6Z0xXnqKlZtEPzsf6L84eP1r1Q15seqRM/edit?usp=sharing"",""สุโขทัย!I109"")"),0)</f>
        <v>0</v>
      </c>
      <c r="AA28" s="74">
        <f ca="1">IFERROR(__xludf.DUMMYFUNCTION("IMPORTRANGE(""https://docs.google.com/spreadsheets/d/1B0f2xJpZUC6Z0xXnqKlZtEPzsf6L84eP1r1Q15seqRM/edit?usp=sharing"",""สุโขทัย!J109"")"),0)</f>
        <v>0</v>
      </c>
      <c r="AB28" s="79">
        <f t="shared" ca="1" si="42"/>
        <v>0</v>
      </c>
      <c r="AC28" s="74">
        <f ca="1">IFERROR(__xludf.DUMMYFUNCTION("IMPORTRANGE(""https://docs.google.com/spreadsheets/d/1B0f2xJpZUC6Z0xXnqKlZtEPzsf6L84eP1r1Q15seqRM/edit?usp=sharing"",""สุโขทัย!I113"")"),0)</f>
        <v>0</v>
      </c>
      <c r="AD28" s="74">
        <f ca="1">IFERROR(__xludf.DUMMYFUNCTION("IMPORTRANGE(""https://docs.google.com/spreadsheets/d/1B0f2xJpZUC6Z0xXnqKlZtEPzsf6L84eP1r1Q15seqRM/edit?usp=sharing"",""สุโขทัย!J113"")"),0)</f>
        <v>0</v>
      </c>
      <c r="AE28" s="79">
        <f t="shared" ca="1" si="44"/>
        <v>0</v>
      </c>
      <c r="AF28" s="74">
        <f ca="1">IFERROR(__xludf.DUMMYFUNCTION("IMPORTRANGE(""https://docs.google.com/spreadsheets/d/1B0f2xJpZUC6Z0xXnqKlZtEPzsf6L84eP1r1Q15seqRM/edit?usp=sharing"",""สุโขทัย!I114"")"),0)</f>
        <v>0</v>
      </c>
      <c r="AG28" s="74">
        <f ca="1">IFERROR(__xludf.DUMMYFUNCTION("IMPORTRANGE(""https://docs.google.com/spreadsheets/d/1B0f2xJpZUC6Z0xXnqKlZtEPzsf6L84eP1r1Q15seqRM/edit?usp=sharing"",""สุโขทัย!J114"")"),0)</f>
        <v>0</v>
      </c>
      <c r="AH28" s="79">
        <f t="shared" ca="1" si="46"/>
        <v>0</v>
      </c>
    </row>
    <row r="29" spans="1:34" ht="24" customHeight="1" x14ac:dyDescent="0.3">
      <c r="A29" s="147">
        <v>16</v>
      </c>
      <c r="B29" s="148" t="s">
        <v>57</v>
      </c>
      <c r="C29" s="149">
        <f t="shared" ca="1" si="28"/>
        <v>0</v>
      </c>
      <c r="D29" s="150">
        <f t="shared" ca="1" si="47"/>
        <v>0</v>
      </c>
      <c r="E29" s="151">
        <f ca="1">IFERROR(__xludf.DUMMYFUNCTION("IMPORTRANGE(""https://docs.google.com/spreadsheets/d/1-uDff_7J0KD5mKrp0Vvzr7lt3OU09vwQwhkpOPPYv2Y/edit?usp=sharing"",""งบพรบ!AX29"")"),0)</f>
        <v>0</v>
      </c>
      <c r="F29" s="151">
        <f ca="1">IFERROR(__xludf.DUMMYFUNCTION("IMPORTRANGE(""https://docs.google.com/spreadsheets/d/1-uDff_7J0KD5mKrp0Vvzr7lt3OU09vwQwhkpOPPYv2Y/edit?usp=sharing"",""งบพรบ!AY29"")"),0)</f>
        <v>0</v>
      </c>
      <c r="G29" s="151">
        <f ca="1">IFERROR(__xludf.DUMMYFUNCTION("IMPORTRANGE(""https://docs.google.com/spreadsheets/d/1-uDff_7J0KD5mKrp0Vvzr7lt3OU09vwQwhkpOPPYv2Y/edit?usp=sharing"",""งบพรบ!AZ29"")"),0)</f>
        <v>0</v>
      </c>
      <c r="H29" s="151">
        <f ca="1">IFERROR(__xludf.DUMMYFUNCTION("IMPORTRANGE(""https://docs.google.com/spreadsheets/d/1-uDff_7J0KD5mKrp0Vvzr7lt3OU09vwQwhkpOPPYv2Y/edit?usp=sharing"",""งบพรบ!BB29"")"),0)</f>
        <v>0</v>
      </c>
      <c r="I29" s="151">
        <f ca="1">IFERROR(__xludf.DUMMYFUNCTION("IMPORTRANGE(""https://docs.google.com/spreadsheets/d/1-uDff_7J0KD5mKrp0Vvzr7lt3OU09vwQwhkpOPPYv2Y/edit?usp=sharing"",""งบพรบ!BC29"")"),0)</f>
        <v>0</v>
      </c>
      <c r="J29" s="151">
        <f t="shared" ca="1" si="30"/>
        <v>0</v>
      </c>
      <c r="K29" s="154">
        <f t="shared" ca="1" si="31"/>
        <v>0</v>
      </c>
      <c r="L29" s="151">
        <f ca="1">IFERROR(__xludf.DUMMYFUNCTION("IMPORTRANGE(""https://docs.google.com/spreadsheets/d/1-uDff_7J0KD5mKrp0Vvzr7lt3OU09vwQwhkpOPPYv2Y/edit?usp=sharing"",""งบพรบ!BD29"")"),0)</f>
        <v>0</v>
      </c>
      <c r="M29" s="68">
        <f t="shared" ca="1" si="32"/>
        <v>0</v>
      </c>
      <c r="N29" s="68">
        <f t="shared" ca="1" si="33"/>
        <v>0</v>
      </c>
      <c r="O29" s="67">
        <f ca="1">IFERROR(__xludf.DUMMYFUNCTION("IMPORTRANGE(""https://docs.google.com/spreadsheets/d/1-uDff_7J0KD5mKrp0Vvzr7lt3OU09vwQwhkpOPPYv2Y/edit?usp=sharing"",""งบพรบ!BE29"")"),0)</f>
        <v>0</v>
      </c>
      <c r="P29" s="67">
        <f t="shared" ca="1" si="34"/>
        <v>0</v>
      </c>
      <c r="Q29" s="68">
        <f t="shared" ca="1" si="35"/>
        <v>0</v>
      </c>
      <c r="R29" s="67">
        <f ca="1">IFERROR(__xludf.DUMMYFUNCTION("IMPORTRANGE(""https://docs.google.com/spreadsheets/d/1v0b9pFQCsKUVExMei7AgY2yQkdeNQvtOssygGsXbiKo/edit?usp=sharing"",""อุตรดิตถ์!Q94"")"),0)</f>
        <v>0</v>
      </c>
      <c r="S29" s="67">
        <f ca="1">IFERROR(__xludf.DUMMYFUNCTION("IMPORTRANGE(""https://docs.google.com/spreadsheets/d/1v0b9pFQCsKUVExMei7AgY2yQkdeNQvtOssygGsXbiKo/edit?usp=sharing"",""อุตรดิตถ์!R94"")"),0)</f>
        <v>0</v>
      </c>
      <c r="T29" s="67">
        <f ca="1">IFERROR(__xludf.DUMMYFUNCTION("IMPORTRANGE(""https://docs.google.com/spreadsheets/d/1v0b9pFQCsKUVExMei7AgY2yQkdeNQvtOssygGsXbiKo/edit?usp=sharing"",""อุตรดิตถ์!S94"")"),0)</f>
        <v>0</v>
      </c>
      <c r="U29" s="68">
        <f t="shared" ca="1" si="37"/>
        <v>0</v>
      </c>
      <c r="V29" s="68">
        <f t="shared" ca="1" si="38"/>
        <v>0</v>
      </c>
      <c r="W29" s="74">
        <f ca="1">IFERROR(__xludf.DUMMYFUNCTION("IMPORTRANGE(""https://docs.google.com/spreadsheets/d/1v0b9pFQCsKUVExMei7AgY2yQkdeNQvtOssygGsXbiKo/edit?usp=sharing"",""อุตรดิตถ์!I108"")"),0)</f>
        <v>0</v>
      </c>
      <c r="X29" s="74">
        <f ca="1">IFERROR(__xludf.DUMMYFUNCTION("IMPORTRANGE(""https://docs.google.com/spreadsheets/d/1v0b9pFQCsKUVExMei7AgY2yQkdeNQvtOssygGsXbiKo/edit?usp=sharing"",""อุตรดิตถ์!J108"")"),0)</f>
        <v>0</v>
      </c>
      <c r="Y29" s="79">
        <f t="shared" ca="1" si="40"/>
        <v>0</v>
      </c>
      <c r="Z29" s="74">
        <f ca="1">IFERROR(__xludf.DUMMYFUNCTION("IMPORTRANGE(""https://docs.google.com/spreadsheets/d/1v0b9pFQCsKUVExMei7AgY2yQkdeNQvtOssygGsXbiKo/edit?usp=sharing"",""อุตรดิตถ์!I109"")"),0)</f>
        <v>0</v>
      </c>
      <c r="AA29" s="74">
        <f ca="1">IFERROR(__xludf.DUMMYFUNCTION("IMPORTRANGE(""https://docs.google.com/spreadsheets/d/1v0b9pFQCsKUVExMei7AgY2yQkdeNQvtOssygGsXbiKo/edit?usp=sharing"",""อุตรดิตถ์!J109"")"),0)</f>
        <v>0</v>
      </c>
      <c r="AB29" s="79">
        <f t="shared" ca="1" si="42"/>
        <v>0</v>
      </c>
      <c r="AC29" s="74">
        <f ca="1">IFERROR(__xludf.DUMMYFUNCTION("IMPORTRANGE(""https://docs.google.com/spreadsheets/d/1v0b9pFQCsKUVExMei7AgY2yQkdeNQvtOssygGsXbiKo/edit?usp=sharing"",""อุตรดิตถ์!I113"")"),0)</f>
        <v>0</v>
      </c>
      <c r="AD29" s="74">
        <f ca="1">IFERROR(__xludf.DUMMYFUNCTION("IMPORTRANGE(""https://docs.google.com/spreadsheets/d/1v0b9pFQCsKUVExMei7AgY2yQkdeNQvtOssygGsXbiKo/edit?usp=sharing"",""อุตรดิตถ์!J113"")"),0)</f>
        <v>0</v>
      </c>
      <c r="AE29" s="79">
        <f t="shared" ca="1" si="44"/>
        <v>0</v>
      </c>
      <c r="AF29" s="74">
        <f ca="1">IFERROR(__xludf.DUMMYFUNCTION("IMPORTRANGE(""https://docs.google.com/spreadsheets/d/1v0b9pFQCsKUVExMei7AgY2yQkdeNQvtOssygGsXbiKo/edit?usp=sharing"",""อุตรดิตถ์!I114"")"),0)</f>
        <v>0</v>
      </c>
      <c r="AG29" s="74">
        <f ca="1">IFERROR(__xludf.DUMMYFUNCTION("IMPORTRANGE(""https://docs.google.com/spreadsheets/d/1v0b9pFQCsKUVExMei7AgY2yQkdeNQvtOssygGsXbiKo/edit?usp=sharing"",""อุตรดิตถ์!J114"")"),0)</f>
        <v>0</v>
      </c>
      <c r="AH29" s="79">
        <f t="shared" ca="1" si="46"/>
        <v>0</v>
      </c>
    </row>
    <row r="30" spans="1:34" ht="24" customHeight="1" x14ac:dyDescent="0.3">
      <c r="A30" s="155">
        <v>17</v>
      </c>
      <c r="B30" s="156" t="s">
        <v>58</v>
      </c>
      <c r="C30" s="157">
        <f t="shared" ca="1" si="28"/>
        <v>0</v>
      </c>
      <c r="D30" s="158">
        <f t="shared" ca="1" si="47"/>
        <v>0</v>
      </c>
      <c r="E30" s="159">
        <f ca="1">IFERROR(__xludf.DUMMYFUNCTION("IMPORTRANGE(""https://docs.google.com/spreadsheets/d/1-uDff_7J0KD5mKrp0Vvzr7lt3OU09vwQwhkpOPPYv2Y/edit?usp=sharing"",""งบพรบ!AX30"")"),0)</f>
        <v>0</v>
      </c>
      <c r="F30" s="159">
        <f ca="1">IFERROR(__xludf.DUMMYFUNCTION("IMPORTRANGE(""https://docs.google.com/spreadsheets/d/1-uDff_7J0KD5mKrp0Vvzr7lt3OU09vwQwhkpOPPYv2Y/edit?usp=sharing"",""งบพรบ!AY30"")"),0)</f>
        <v>0</v>
      </c>
      <c r="G30" s="159">
        <f ca="1">IFERROR(__xludf.DUMMYFUNCTION("IMPORTRANGE(""https://docs.google.com/spreadsheets/d/1-uDff_7J0KD5mKrp0Vvzr7lt3OU09vwQwhkpOPPYv2Y/edit?usp=sharing"",""งบพรบ!AZ30"")"),0)</f>
        <v>0</v>
      </c>
      <c r="H30" s="159">
        <f ca="1">IFERROR(__xludf.DUMMYFUNCTION("IMPORTRANGE(""https://docs.google.com/spreadsheets/d/1-uDff_7J0KD5mKrp0Vvzr7lt3OU09vwQwhkpOPPYv2Y/edit?usp=sharing"",""งบพรบ!BB30"")"),0)</f>
        <v>0</v>
      </c>
      <c r="I30" s="159">
        <f ca="1">IFERROR(__xludf.DUMMYFUNCTION("IMPORTRANGE(""https://docs.google.com/spreadsheets/d/1-uDff_7J0KD5mKrp0Vvzr7lt3OU09vwQwhkpOPPYv2Y/edit?usp=sharing"",""งบพรบ!BC30"")"),0)</f>
        <v>0</v>
      </c>
      <c r="J30" s="159">
        <f t="shared" ca="1" si="30"/>
        <v>0</v>
      </c>
      <c r="K30" s="160">
        <f t="shared" ca="1" si="31"/>
        <v>0</v>
      </c>
      <c r="L30" s="159">
        <f ca="1">IFERROR(__xludf.DUMMYFUNCTION("IMPORTRANGE(""https://docs.google.com/spreadsheets/d/1-uDff_7J0KD5mKrp0Vvzr7lt3OU09vwQwhkpOPPYv2Y/edit?usp=sharing"",""งบพรบ!BD30"")"),0)</f>
        <v>0</v>
      </c>
      <c r="M30" s="89">
        <f t="shared" ca="1" si="32"/>
        <v>0</v>
      </c>
      <c r="N30" s="89">
        <f t="shared" ca="1" si="33"/>
        <v>0</v>
      </c>
      <c r="O30" s="88">
        <f ca="1">IFERROR(__xludf.DUMMYFUNCTION("IMPORTRANGE(""https://docs.google.com/spreadsheets/d/1-uDff_7J0KD5mKrp0Vvzr7lt3OU09vwQwhkpOPPYv2Y/edit?usp=sharing"",""งบพรบ!BE30"")"),0)</f>
        <v>0</v>
      </c>
      <c r="P30" s="88">
        <f t="shared" ca="1" si="34"/>
        <v>0</v>
      </c>
      <c r="Q30" s="89">
        <f t="shared" ca="1" si="35"/>
        <v>0</v>
      </c>
      <c r="R30" s="88">
        <f ca="1">IFERROR(__xludf.DUMMYFUNCTION("IMPORTRANGE(""https://docs.google.com/spreadsheets/d/1UsNK1e-WWiCo2PvGqdNfdme4m17_Ezd3J69EeeiQPD0/edit?usp=sharing"",""อุทัยธานี!Q94"")"),0)</f>
        <v>0</v>
      </c>
      <c r="S30" s="88">
        <f ca="1">IFERROR(__xludf.DUMMYFUNCTION("IMPORTRANGE(""https://docs.google.com/spreadsheets/d/1UsNK1e-WWiCo2PvGqdNfdme4m17_Ezd3J69EeeiQPD0/edit?usp=sharing"",""อุทัยธานี!R94"")"),0)</f>
        <v>0</v>
      </c>
      <c r="T30" s="88">
        <f ca="1">IFERROR(__xludf.DUMMYFUNCTION("IMPORTRANGE(""https://docs.google.com/spreadsheets/d/1UsNK1e-WWiCo2PvGqdNfdme4m17_Ezd3J69EeeiQPD0/edit?usp=sharing"",""อุทัยธานี!S94"")"),0)</f>
        <v>0</v>
      </c>
      <c r="U30" s="89">
        <f t="shared" ca="1" si="37"/>
        <v>0</v>
      </c>
      <c r="V30" s="89">
        <f t="shared" ca="1" si="38"/>
        <v>0</v>
      </c>
      <c r="W30" s="84">
        <f ca="1">IFERROR(__xludf.DUMMYFUNCTION("IMPORTRANGE(""https://docs.google.com/spreadsheets/d/1UsNK1e-WWiCo2PvGqdNfdme4m17_Ezd3J69EeeiQPD0/edit?usp=sharing"",""อุทัยธานี!I108"")"),0)</f>
        <v>0</v>
      </c>
      <c r="X30" s="84">
        <f ca="1">IFERROR(__xludf.DUMMYFUNCTION("IMPORTRANGE(""https://docs.google.com/spreadsheets/d/1UsNK1e-WWiCo2PvGqdNfdme4m17_Ezd3J69EeeiQPD0/edit?usp=sharing"",""อุทัยธานี!J108"")"),0)</f>
        <v>0</v>
      </c>
      <c r="Y30" s="91">
        <f t="shared" ca="1" si="40"/>
        <v>0</v>
      </c>
      <c r="Z30" s="84">
        <f ca="1">IFERROR(__xludf.DUMMYFUNCTION("IMPORTRANGE(""https://docs.google.com/spreadsheets/d/1UsNK1e-WWiCo2PvGqdNfdme4m17_Ezd3J69EeeiQPD0/edit?usp=sharing"",""อุทัยธานี!I109"")"),0)</f>
        <v>0</v>
      </c>
      <c r="AA30" s="84">
        <f ca="1">IFERROR(__xludf.DUMMYFUNCTION("IMPORTRANGE(""https://docs.google.com/spreadsheets/d/1UsNK1e-WWiCo2PvGqdNfdme4m17_Ezd3J69EeeiQPD0/edit?usp=sharing"",""อุทัยธานี!J109"")"),0)</f>
        <v>0</v>
      </c>
      <c r="AB30" s="91">
        <f t="shared" ca="1" si="42"/>
        <v>0</v>
      </c>
      <c r="AC30" s="84">
        <f ca="1">IFERROR(__xludf.DUMMYFUNCTION("IMPORTRANGE(""https://docs.google.com/spreadsheets/d/1UsNK1e-WWiCo2PvGqdNfdme4m17_Ezd3J69EeeiQPD0/edit?usp=sharing"",""อุทัยธานี!I113"")"),0)</f>
        <v>0</v>
      </c>
      <c r="AD30" s="84">
        <f ca="1">IFERROR(__xludf.DUMMYFUNCTION("IMPORTRANGE(""https://docs.google.com/spreadsheets/d/1UsNK1e-WWiCo2PvGqdNfdme4m17_Ezd3J69EeeiQPD0/edit?usp=sharing"",""อุทัยธานี!J113"")"),0)</f>
        <v>0</v>
      </c>
      <c r="AE30" s="91">
        <f t="shared" ca="1" si="44"/>
        <v>0</v>
      </c>
      <c r="AF30" s="84">
        <f ca="1">IFERROR(__xludf.DUMMYFUNCTION("IMPORTRANGE(""https://docs.google.com/spreadsheets/d/1UsNK1e-WWiCo2PvGqdNfdme4m17_Ezd3J69EeeiQPD0/edit?usp=sharing"",""อุทัยธานี!I114"")"),0)</f>
        <v>0</v>
      </c>
      <c r="AG30" s="84">
        <f ca="1">IFERROR(__xludf.DUMMYFUNCTION("IMPORTRANGE(""https://docs.google.com/spreadsheets/d/1UsNK1e-WWiCo2PvGqdNfdme4m17_Ezd3J69EeeiQPD0/edit?usp=sharing"",""อุทัยธานี!J114"")"),0)</f>
        <v>0</v>
      </c>
      <c r="AH30" s="91">
        <f t="shared" ca="1" si="46"/>
        <v>0</v>
      </c>
    </row>
    <row r="31" spans="1:34" ht="21" customHeight="1" x14ac:dyDescent="0.3">
      <c r="A31" s="696" t="s">
        <v>59</v>
      </c>
      <c r="B31" s="662"/>
      <c r="C31" s="161">
        <f t="shared" ca="1" si="28"/>
        <v>614780</v>
      </c>
      <c r="D31" s="161">
        <f t="shared" ref="D31:I31" ca="1" si="48">SUM(D32:D51)</f>
        <v>614780</v>
      </c>
      <c r="E31" s="161">
        <f t="shared" ca="1" si="48"/>
        <v>235500</v>
      </c>
      <c r="F31" s="161">
        <f t="shared" ca="1" si="48"/>
        <v>379280</v>
      </c>
      <c r="G31" s="161">
        <f t="shared" ca="1" si="48"/>
        <v>0</v>
      </c>
      <c r="H31" s="161">
        <f t="shared" ca="1" si="48"/>
        <v>614740</v>
      </c>
      <c r="I31" s="161">
        <f t="shared" ca="1" si="48"/>
        <v>0</v>
      </c>
      <c r="J31" s="161">
        <f t="shared" ca="1" si="30"/>
        <v>557021.62</v>
      </c>
      <c r="K31" s="162">
        <f t="shared" ca="1" si="31"/>
        <v>90.605032694622466</v>
      </c>
      <c r="L31" s="161">
        <f ca="1">SUM(L32:L51)</f>
        <v>557021.62</v>
      </c>
      <c r="M31" s="94">
        <f t="shared" ca="1" si="32"/>
        <v>90.605032694622466</v>
      </c>
      <c r="N31" s="94">
        <f t="shared" ca="1" si="33"/>
        <v>90.610928197286654</v>
      </c>
      <c r="O31" s="93">
        <f ca="1">SUM(O32:O51)</f>
        <v>0</v>
      </c>
      <c r="P31" s="93">
        <f t="shared" ca="1" si="34"/>
        <v>0</v>
      </c>
      <c r="Q31" s="94">
        <f t="shared" ca="1" si="35"/>
        <v>0</v>
      </c>
      <c r="R31" s="93">
        <f t="shared" ref="R31:T31" ca="1" si="49">SUM(R32:R51)</f>
        <v>934848</v>
      </c>
      <c r="S31" s="93">
        <f t="shared" ca="1" si="49"/>
        <v>872622.2</v>
      </c>
      <c r="T31" s="93">
        <f t="shared" ca="1" si="49"/>
        <v>427423.95</v>
      </c>
      <c r="U31" s="94">
        <f t="shared" ca="1" si="37"/>
        <v>45.721224199014173</v>
      </c>
      <c r="V31" s="94">
        <f t="shared" ca="1" si="38"/>
        <v>48.981558113006983</v>
      </c>
      <c r="W31" s="52">
        <f t="shared" ref="W31:X31" ca="1" si="50">SUM(W32:W51)</f>
        <v>432</v>
      </c>
      <c r="X31" s="52">
        <f t="shared" ca="1" si="50"/>
        <v>432</v>
      </c>
      <c r="Y31" s="54">
        <f t="shared" ca="1" si="40"/>
        <v>100</v>
      </c>
      <c r="Z31" s="52">
        <f t="shared" ref="Z31:AA31" ca="1" si="51">SUM(Z32:Z51)</f>
        <v>144</v>
      </c>
      <c r="AA31" s="52">
        <f t="shared" ca="1" si="51"/>
        <v>144</v>
      </c>
      <c r="AB31" s="54">
        <f t="shared" ca="1" si="42"/>
        <v>100</v>
      </c>
      <c r="AC31" s="52">
        <f t="shared" ref="AC31:AD31" ca="1" si="52">SUM(AC32:AC51)</f>
        <v>432</v>
      </c>
      <c r="AD31" s="52">
        <f t="shared" ca="1" si="52"/>
        <v>381</v>
      </c>
      <c r="AE31" s="54">
        <f t="shared" ca="1" si="44"/>
        <v>88.194444444444443</v>
      </c>
      <c r="AF31" s="52">
        <f t="shared" ref="AF31:AG31" ca="1" si="53">SUM(AF32:AF51)</f>
        <v>144</v>
      </c>
      <c r="AG31" s="52">
        <f t="shared" ca="1" si="53"/>
        <v>127</v>
      </c>
      <c r="AH31" s="54">
        <f t="shared" ca="1" si="46"/>
        <v>88.194444444444443</v>
      </c>
    </row>
    <row r="32" spans="1:34" ht="21" customHeight="1" x14ac:dyDescent="0.3">
      <c r="A32" s="147">
        <v>1</v>
      </c>
      <c r="B32" s="148" t="s">
        <v>60</v>
      </c>
      <c r="C32" s="149">
        <f t="shared" ca="1" si="28"/>
        <v>0</v>
      </c>
      <c r="D32" s="150">
        <f t="shared" ref="D32:D51" ca="1" si="54">+E32+F32</f>
        <v>0</v>
      </c>
      <c r="E32" s="151">
        <f ca="1">IFERROR(__xludf.DUMMYFUNCTION("IMPORTRANGE(""https://docs.google.com/spreadsheets/d/1-uDff_7J0KD5mKrp0Vvzr7lt3OU09vwQwhkpOPPYv2Y/edit?usp=sharing"",""งบพรบ!AX32"")"),0)</f>
        <v>0</v>
      </c>
      <c r="F32" s="151">
        <f ca="1">IFERROR(__xludf.DUMMYFUNCTION("IMPORTRANGE(""https://docs.google.com/spreadsheets/d/1-uDff_7J0KD5mKrp0Vvzr7lt3OU09vwQwhkpOPPYv2Y/edit?usp=sharing"",""งบพรบ!AY32"")"),0)</f>
        <v>0</v>
      </c>
      <c r="G32" s="152">
        <f ca="1">IFERROR(__xludf.DUMMYFUNCTION("IMPORTRANGE(""https://docs.google.com/spreadsheets/d/1-uDff_7J0KD5mKrp0Vvzr7lt3OU09vwQwhkpOPPYv2Y/edit?usp=sharing"",""งบพรบ!AZ32"")"),0)</f>
        <v>0</v>
      </c>
      <c r="H32" s="152">
        <f ca="1">IFERROR(__xludf.DUMMYFUNCTION("IMPORTRANGE(""https://docs.google.com/spreadsheets/d/1-uDff_7J0KD5mKrp0Vvzr7lt3OU09vwQwhkpOPPYv2Y/edit?usp=sharing"",""งบพรบ!BB32"")"),0)</f>
        <v>0</v>
      </c>
      <c r="I32" s="152">
        <f ca="1">IFERROR(__xludf.DUMMYFUNCTION("IMPORTRANGE(""https://docs.google.com/spreadsheets/d/1-uDff_7J0KD5mKrp0Vvzr7lt3OU09vwQwhkpOPPYv2Y/edit?usp=sharing"",""งบพรบ!BC32"")"),0)</f>
        <v>0</v>
      </c>
      <c r="J32" s="152">
        <f t="shared" ca="1" si="30"/>
        <v>0</v>
      </c>
      <c r="K32" s="153">
        <f t="shared" ca="1" si="31"/>
        <v>0</v>
      </c>
      <c r="L32" s="152">
        <f ca="1">IFERROR(__xludf.DUMMYFUNCTION("IMPORTRANGE(""https://docs.google.com/spreadsheets/d/1-uDff_7J0KD5mKrp0Vvzr7lt3OU09vwQwhkpOPPYv2Y/edit?usp=sharing"",""งบพรบ!BD32"")"),0)</f>
        <v>0</v>
      </c>
      <c r="M32" s="68">
        <f t="shared" ca="1" si="32"/>
        <v>0</v>
      </c>
      <c r="N32" s="68">
        <f t="shared" ca="1" si="33"/>
        <v>0</v>
      </c>
      <c r="O32" s="67">
        <f ca="1">IFERROR(__xludf.DUMMYFUNCTION("IMPORTRANGE(""https://docs.google.com/spreadsheets/d/1-uDff_7J0KD5mKrp0Vvzr7lt3OU09vwQwhkpOPPYv2Y/edit?usp=sharing"",""งบพรบ!BE32"")"),0)</f>
        <v>0</v>
      </c>
      <c r="P32" s="67">
        <f t="shared" ca="1" si="34"/>
        <v>0</v>
      </c>
      <c r="Q32" s="68">
        <f t="shared" ca="1" si="35"/>
        <v>0</v>
      </c>
      <c r="R32" s="67">
        <f ca="1">IFERROR(__xludf.DUMMYFUNCTION("IMPORTRANGE(""https://docs.google.com/spreadsheets/d/1yhBcrRPreicbMKl9Bu_Snb2-OcQAF62RKfhTLhJ2eAA/edit?usp=sharing"",""กาฬสินธุ์!Q94"")"),0)</f>
        <v>0</v>
      </c>
      <c r="S32" s="67">
        <f ca="1">IFERROR(__xludf.DUMMYFUNCTION("IMPORTRANGE(""https://docs.google.com/spreadsheets/d/1yhBcrRPreicbMKl9Bu_Snb2-OcQAF62RKfhTLhJ2eAA/edit?usp=sharing"",""กาฬสินธุ์!R94"")"),0)</f>
        <v>0</v>
      </c>
      <c r="T32" s="67">
        <f ca="1">IFERROR(__xludf.DUMMYFUNCTION("IMPORTRANGE(""https://docs.google.com/spreadsheets/d/1yhBcrRPreicbMKl9Bu_Snb2-OcQAF62RKfhTLhJ2eAA/edit?usp=sharing"",""กาฬสินธุ์!S94"")"),0)</f>
        <v>0</v>
      </c>
      <c r="U32" s="68">
        <f t="shared" ca="1" si="37"/>
        <v>0</v>
      </c>
      <c r="V32" s="68">
        <f t="shared" ca="1" si="38"/>
        <v>0</v>
      </c>
      <c r="W32" s="62">
        <f ca="1">IFERROR(__xludf.DUMMYFUNCTION("IMPORTRANGE(""https://docs.google.com/spreadsheets/d/1yhBcrRPreicbMKl9Bu_Snb2-OcQAF62RKfhTLhJ2eAA/edit?usp=sharing"",""กาฬสินธุ์!I108"")"),0)</f>
        <v>0</v>
      </c>
      <c r="X32" s="62">
        <f ca="1">IFERROR(__xludf.DUMMYFUNCTION("IMPORTRANGE(""https://docs.google.com/spreadsheets/d/1yhBcrRPreicbMKl9Bu_Snb2-OcQAF62RKfhTLhJ2eAA/edit?usp=sharing"",""กาฬสินธุ์!J108"")"),0)</f>
        <v>0</v>
      </c>
      <c r="Y32" s="69">
        <f t="shared" ca="1" si="40"/>
        <v>0</v>
      </c>
      <c r="Z32" s="62">
        <f ca="1">IFERROR(__xludf.DUMMYFUNCTION("IMPORTRANGE(""https://docs.google.com/spreadsheets/d/1yhBcrRPreicbMKl9Bu_Snb2-OcQAF62RKfhTLhJ2eAA/edit?usp=sharing"",""กาฬสินธุ์!I109"")"),0)</f>
        <v>0</v>
      </c>
      <c r="AA32" s="62">
        <f ca="1">IFERROR(__xludf.DUMMYFUNCTION("IMPORTRANGE(""https://docs.google.com/spreadsheets/d/1yhBcrRPreicbMKl9Bu_Snb2-OcQAF62RKfhTLhJ2eAA/edit?usp=sharing"",""กาฬสินธุ์!J109"")"),0)</f>
        <v>0</v>
      </c>
      <c r="AB32" s="69">
        <f t="shared" ca="1" si="42"/>
        <v>0</v>
      </c>
      <c r="AC32" s="62">
        <f ca="1">IFERROR(__xludf.DUMMYFUNCTION("IMPORTRANGE(""https://docs.google.com/spreadsheets/d/1yhBcrRPreicbMKl9Bu_Snb2-OcQAF62RKfhTLhJ2eAA/edit?usp=sharing"",""กาฬสินธุ์!I113"")"),0)</f>
        <v>0</v>
      </c>
      <c r="AD32" s="62">
        <f ca="1">IFERROR(__xludf.DUMMYFUNCTION("IMPORTRANGE(""https://docs.google.com/spreadsheets/d/1yhBcrRPreicbMKl9Bu_Snb2-OcQAF62RKfhTLhJ2eAA/edit?usp=sharing"",""กาฬสินธุ์!J113"")"),0)</f>
        <v>0</v>
      </c>
      <c r="AE32" s="69">
        <f t="shared" ca="1" si="44"/>
        <v>0</v>
      </c>
      <c r="AF32" s="62">
        <f ca="1">IFERROR(__xludf.DUMMYFUNCTION("IMPORTRANGE(""https://docs.google.com/spreadsheets/d/1yhBcrRPreicbMKl9Bu_Snb2-OcQAF62RKfhTLhJ2eAA/edit?usp=sharing"",""กาฬสินธุ์!I114"")"),0)</f>
        <v>0</v>
      </c>
      <c r="AG32" s="62">
        <f ca="1">IFERROR(__xludf.DUMMYFUNCTION("IMPORTRANGE(""https://docs.google.com/spreadsheets/d/1yhBcrRPreicbMKl9Bu_Snb2-OcQAF62RKfhTLhJ2eAA/edit?usp=sharing"",""กาฬสินธุ์!J114"")"),0)</f>
        <v>0</v>
      </c>
      <c r="AH32" s="69">
        <f t="shared" ca="1" si="46"/>
        <v>0</v>
      </c>
    </row>
    <row r="33" spans="1:34" ht="21" customHeight="1" x14ac:dyDescent="0.3">
      <c r="A33" s="147">
        <v>2</v>
      </c>
      <c r="B33" s="148" t="s">
        <v>61</v>
      </c>
      <c r="C33" s="149">
        <f t="shared" ca="1" si="28"/>
        <v>48380</v>
      </c>
      <c r="D33" s="150">
        <f t="shared" ca="1" si="54"/>
        <v>48380</v>
      </c>
      <c r="E33" s="151">
        <f ca="1">IFERROR(__xludf.DUMMYFUNCTION("IMPORTRANGE(""https://docs.google.com/spreadsheets/d/1-uDff_7J0KD5mKrp0Vvzr7lt3OU09vwQwhkpOPPYv2Y/edit?usp=sharing"",""งบพรบ!AX33"")"),0)</f>
        <v>0</v>
      </c>
      <c r="F33" s="151">
        <f ca="1">IFERROR(__xludf.DUMMYFUNCTION("IMPORTRANGE(""https://docs.google.com/spreadsheets/d/1-uDff_7J0KD5mKrp0Vvzr7lt3OU09vwQwhkpOPPYv2Y/edit?usp=sharing"",""งบพรบ!AY33"")"),48380)</f>
        <v>48380</v>
      </c>
      <c r="G33" s="151">
        <f ca="1">IFERROR(__xludf.DUMMYFUNCTION("IMPORTRANGE(""https://docs.google.com/spreadsheets/d/1-uDff_7J0KD5mKrp0Vvzr7lt3OU09vwQwhkpOPPYv2Y/edit?usp=sharing"",""งบพรบ!AZ33"")"),0)</f>
        <v>0</v>
      </c>
      <c r="H33" s="151">
        <f ca="1">IFERROR(__xludf.DUMMYFUNCTION("IMPORTRANGE(""https://docs.google.com/spreadsheets/d/1-uDff_7J0KD5mKrp0Vvzr7lt3OU09vwQwhkpOPPYv2Y/edit?usp=sharing"",""งบพรบ!BB33"")"),48340)</f>
        <v>48340</v>
      </c>
      <c r="I33" s="151">
        <f ca="1">IFERROR(__xludf.DUMMYFUNCTION("IMPORTRANGE(""https://docs.google.com/spreadsheets/d/1-uDff_7J0KD5mKrp0Vvzr7lt3OU09vwQwhkpOPPYv2Y/edit?usp=sharing"",""งบพรบ!BC33"")"),0)</f>
        <v>0</v>
      </c>
      <c r="J33" s="151">
        <f t="shared" ca="1" si="30"/>
        <v>48340</v>
      </c>
      <c r="K33" s="154">
        <f t="shared" ca="1" si="31"/>
        <v>99.917321207110376</v>
      </c>
      <c r="L33" s="151">
        <f ca="1">IFERROR(__xludf.DUMMYFUNCTION("IMPORTRANGE(""https://docs.google.com/spreadsheets/d/1-uDff_7J0KD5mKrp0Vvzr7lt3OU09vwQwhkpOPPYv2Y/edit?usp=sharing"",""งบพรบ!BD33"")"),48340)</f>
        <v>48340</v>
      </c>
      <c r="M33" s="68">
        <f t="shared" ca="1" si="32"/>
        <v>99.917321207110376</v>
      </c>
      <c r="N33" s="68">
        <f t="shared" ca="1" si="33"/>
        <v>100</v>
      </c>
      <c r="O33" s="67">
        <f ca="1">IFERROR(__xludf.DUMMYFUNCTION("IMPORTRANGE(""https://docs.google.com/spreadsheets/d/1-uDff_7J0KD5mKrp0Vvzr7lt3OU09vwQwhkpOPPYv2Y/edit?usp=sharing"",""งบพรบ!BE33"")"),0)</f>
        <v>0</v>
      </c>
      <c r="P33" s="67">
        <f t="shared" ca="1" si="34"/>
        <v>0</v>
      </c>
      <c r="Q33" s="68">
        <f t="shared" ca="1" si="35"/>
        <v>0</v>
      </c>
      <c r="R33" s="67">
        <f ca="1">IFERROR(__xludf.DUMMYFUNCTION("IMPORTRANGE(""https://docs.google.com/spreadsheets/d/1aHkj4IaQMThhwWwevcOymEh837vdxeC_PycurhTbGFA/edit?usp=sharing"",""ขอนแก่น!Q94"")"),116856)</f>
        <v>116856</v>
      </c>
      <c r="S33" s="67">
        <f ca="1">IFERROR(__xludf.DUMMYFUNCTION("IMPORTRANGE(""https://docs.google.com/spreadsheets/d/1aHkj4IaQMThhwWwevcOymEh837vdxeC_PycurhTbGFA/edit?usp=sharing"",""ขอนแก่น!R94"")"),116856)</f>
        <v>116856</v>
      </c>
      <c r="T33" s="67">
        <f ca="1">IFERROR(__xludf.DUMMYFUNCTION("IMPORTRANGE(""https://docs.google.com/spreadsheets/d/1aHkj4IaQMThhwWwevcOymEh837vdxeC_PycurhTbGFA/edit?usp=sharing"",""ขอนแก่น!S94"")"),29190)</f>
        <v>29190</v>
      </c>
      <c r="U33" s="68">
        <f t="shared" ca="1" si="37"/>
        <v>24.979461901827889</v>
      </c>
      <c r="V33" s="68">
        <f t="shared" ca="1" si="38"/>
        <v>24.979461901827889</v>
      </c>
      <c r="W33" s="74">
        <f ca="1">IFERROR(__xludf.DUMMYFUNCTION("IMPORTRANGE(""https://docs.google.com/spreadsheets/d/1aHkj4IaQMThhwWwevcOymEh837vdxeC_PycurhTbGFA/edit?usp=sharing"",""ขอนแก่น!I108"")"),54)</f>
        <v>54</v>
      </c>
      <c r="X33" s="74">
        <f ca="1">IFERROR(__xludf.DUMMYFUNCTION("IMPORTRANGE(""https://docs.google.com/spreadsheets/d/1aHkj4IaQMThhwWwevcOymEh837vdxeC_PycurhTbGFA/edit?usp=sharing"",""ขอนแก่น!J108"")"),54)</f>
        <v>54</v>
      </c>
      <c r="Y33" s="79">
        <f t="shared" ca="1" si="40"/>
        <v>100</v>
      </c>
      <c r="Z33" s="74">
        <f ca="1">IFERROR(__xludf.DUMMYFUNCTION("IMPORTRANGE(""https://docs.google.com/spreadsheets/d/1aHkj4IaQMThhwWwevcOymEh837vdxeC_PycurhTbGFA/edit?usp=sharing"",""ขอนแก่น!I109"")"),18)</f>
        <v>18</v>
      </c>
      <c r="AA33" s="74">
        <f ca="1">IFERROR(__xludf.DUMMYFUNCTION("IMPORTRANGE(""https://docs.google.com/spreadsheets/d/1aHkj4IaQMThhwWwevcOymEh837vdxeC_PycurhTbGFA/edit?usp=sharing"",""ขอนแก่น!J109"")"),18)</f>
        <v>18</v>
      </c>
      <c r="AB33" s="79">
        <f t="shared" ca="1" si="42"/>
        <v>100</v>
      </c>
      <c r="AC33" s="74">
        <f ca="1">IFERROR(__xludf.DUMMYFUNCTION("IMPORTRANGE(""https://docs.google.com/spreadsheets/d/1aHkj4IaQMThhwWwevcOymEh837vdxeC_PycurhTbGFA/edit?usp=sharing"",""ขอนแก่น!I113"")"),54)</f>
        <v>54</v>
      </c>
      <c r="AD33" s="74">
        <f ca="1">IFERROR(__xludf.DUMMYFUNCTION("IMPORTRANGE(""https://docs.google.com/spreadsheets/d/1aHkj4IaQMThhwWwevcOymEh837vdxeC_PycurhTbGFA/edit?usp=sharing"",""ขอนแก่น!J113"")"),54)</f>
        <v>54</v>
      </c>
      <c r="AE33" s="79">
        <f t="shared" ca="1" si="44"/>
        <v>100</v>
      </c>
      <c r="AF33" s="74">
        <f ca="1">IFERROR(__xludf.DUMMYFUNCTION("IMPORTRANGE(""https://docs.google.com/spreadsheets/d/1aHkj4IaQMThhwWwevcOymEh837vdxeC_PycurhTbGFA/edit?usp=sharing"",""ขอนแก่น!I114"")"),18)</f>
        <v>18</v>
      </c>
      <c r="AG33" s="74">
        <f ca="1">IFERROR(__xludf.DUMMYFUNCTION("IMPORTRANGE(""https://docs.google.com/spreadsheets/d/1aHkj4IaQMThhwWwevcOymEh837vdxeC_PycurhTbGFA/edit?usp=sharing"",""ขอนแก่น!J114"")"),18)</f>
        <v>18</v>
      </c>
      <c r="AH33" s="79">
        <f t="shared" ca="1" si="46"/>
        <v>100</v>
      </c>
    </row>
    <row r="34" spans="1:34" ht="21" customHeight="1" x14ac:dyDescent="0.3">
      <c r="A34" s="147">
        <v>3</v>
      </c>
      <c r="B34" s="148" t="s">
        <v>62</v>
      </c>
      <c r="C34" s="149">
        <f t="shared" ca="1" si="28"/>
        <v>0</v>
      </c>
      <c r="D34" s="150">
        <f t="shared" ca="1" si="54"/>
        <v>0</v>
      </c>
      <c r="E34" s="151">
        <f ca="1">IFERROR(__xludf.DUMMYFUNCTION("IMPORTRANGE(""https://docs.google.com/spreadsheets/d/1-uDff_7J0KD5mKrp0Vvzr7lt3OU09vwQwhkpOPPYv2Y/edit?usp=sharing"",""งบพรบ!AX34"")"),0)</f>
        <v>0</v>
      </c>
      <c r="F34" s="151">
        <f ca="1">IFERROR(__xludf.DUMMYFUNCTION("IMPORTRANGE(""https://docs.google.com/spreadsheets/d/1-uDff_7J0KD5mKrp0Vvzr7lt3OU09vwQwhkpOPPYv2Y/edit?usp=sharing"",""งบพรบ!AY34"")"),0)</f>
        <v>0</v>
      </c>
      <c r="G34" s="151">
        <f ca="1">IFERROR(__xludf.DUMMYFUNCTION("IMPORTRANGE(""https://docs.google.com/spreadsheets/d/1-uDff_7J0KD5mKrp0Vvzr7lt3OU09vwQwhkpOPPYv2Y/edit?usp=sharing"",""งบพรบ!AZ34"")"),0)</f>
        <v>0</v>
      </c>
      <c r="H34" s="151">
        <f ca="1">IFERROR(__xludf.DUMMYFUNCTION("IMPORTRANGE(""https://docs.google.com/spreadsheets/d/1-uDff_7J0KD5mKrp0Vvzr7lt3OU09vwQwhkpOPPYv2Y/edit?usp=sharing"",""งบพรบ!BB34"")"),0)</f>
        <v>0</v>
      </c>
      <c r="I34" s="151">
        <f ca="1">IFERROR(__xludf.DUMMYFUNCTION("IMPORTRANGE(""https://docs.google.com/spreadsheets/d/1-uDff_7J0KD5mKrp0Vvzr7lt3OU09vwQwhkpOPPYv2Y/edit?usp=sharing"",""งบพรบ!BC34"")"),0)</f>
        <v>0</v>
      </c>
      <c r="J34" s="151">
        <f t="shared" ca="1" si="30"/>
        <v>0</v>
      </c>
      <c r="K34" s="154">
        <f t="shared" ca="1" si="31"/>
        <v>0</v>
      </c>
      <c r="L34" s="151">
        <f ca="1">IFERROR(__xludf.DUMMYFUNCTION("IMPORTRANGE(""https://docs.google.com/spreadsheets/d/1-uDff_7J0KD5mKrp0Vvzr7lt3OU09vwQwhkpOPPYv2Y/edit?usp=sharing"",""งบพรบ!BD34"")"),0)</f>
        <v>0</v>
      </c>
      <c r="M34" s="68">
        <f t="shared" ca="1" si="32"/>
        <v>0</v>
      </c>
      <c r="N34" s="68">
        <f t="shared" ca="1" si="33"/>
        <v>0</v>
      </c>
      <c r="O34" s="67">
        <f ca="1">IFERROR(__xludf.DUMMYFUNCTION("IMPORTRANGE(""https://docs.google.com/spreadsheets/d/1-uDff_7J0KD5mKrp0Vvzr7lt3OU09vwQwhkpOPPYv2Y/edit?usp=sharing"",""งบพรบ!BE34"")"),0)</f>
        <v>0</v>
      </c>
      <c r="P34" s="67">
        <f t="shared" ca="1" si="34"/>
        <v>0</v>
      </c>
      <c r="Q34" s="68">
        <f t="shared" ca="1" si="35"/>
        <v>0</v>
      </c>
      <c r="R34" s="67">
        <f ca="1">IFERROR(__xludf.DUMMYFUNCTION("IMPORTRANGE(""https://docs.google.com/spreadsheets/d/1FvTu2DsIWUjP6WCWra38Bkj_oOl_sOMf14r5Fg5srxU/edit?usp=sharing"",""ชัยภูมิ!Q94"")"),0)</f>
        <v>0</v>
      </c>
      <c r="S34" s="67">
        <f ca="1">IFERROR(__xludf.DUMMYFUNCTION("IMPORTRANGE(""https://docs.google.com/spreadsheets/d/1FvTu2DsIWUjP6WCWra38Bkj_oOl_sOMf14r5Fg5srxU/edit?usp=sharing"",""ชัยภูมิ!R94"")"),0)</f>
        <v>0</v>
      </c>
      <c r="T34" s="67">
        <f ca="1">IFERROR(__xludf.DUMMYFUNCTION("IMPORTRANGE(""https://docs.google.com/spreadsheets/d/1FvTu2DsIWUjP6WCWra38Bkj_oOl_sOMf14r5Fg5srxU/edit?usp=sharing"",""ชัยภูมิ!S94"")"),0)</f>
        <v>0</v>
      </c>
      <c r="U34" s="68">
        <f t="shared" ca="1" si="37"/>
        <v>0</v>
      </c>
      <c r="V34" s="68">
        <f t="shared" ca="1" si="38"/>
        <v>0</v>
      </c>
      <c r="W34" s="74">
        <f ca="1">IFERROR(__xludf.DUMMYFUNCTION("IMPORTRANGE(""https://docs.google.com/spreadsheets/d/1FvTu2DsIWUjP6WCWra38Bkj_oOl_sOMf14r5Fg5srxU/edit?usp=sharing"",""ชัยภูมิ!I108"")"),0)</f>
        <v>0</v>
      </c>
      <c r="X34" s="74">
        <f ca="1">IFERROR(__xludf.DUMMYFUNCTION("IMPORTRANGE(""https://docs.google.com/spreadsheets/d/1FvTu2DsIWUjP6WCWra38Bkj_oOl_sOMf14r5Fg5srxU/edit?usp=sharing"",""ชัยภูมิ!J108"")"),0)</f>
        <v>0</v>
      </c>
      <c r="Y34" s="79">
        <f t="shared" ca="1" si="40"/>
        <v>0</v>
      </c>
      <c r="Z34" s="74">
        <f ca="1">IFERROR(__xludf.DUMMYFUNCTION("IMPORTRANGE(""https://docs.google.com/spreadsheets/d/1FvTu2DsIWUjP6WCWra38Bkj_oOl_sOMf14r5Fg5srxU/edit?usp=sharing"",""ชัยภูมิ!I109"")"),0)</f>
        <v>0</v>
      </c>
      <c r="AA34" s="74">
        <f ca="1">IFERROR(__xludf.DUMMYFUNCTION("IMPORTRANGE(""https://docs.google.com/spreadsheets/d/1FvTu2DsIWUjP6WCWra38Bkj_oOl_sOMf14r5Fg5srxU/edit?usp=sharing"",""ชัยภูมิ!J109"")"),0)</f>
        <v>0</v>
      </c>
      <c r="AB34" s="79">
        <f t="shared" ca="1" si="42"/>
        <v>0</v>
      </c>
      <c r="AC34" s="74">
        <f ca="1">IFERROR(__xludf.DUMMYFUNCTION("IMPORTRANGE(""https://docs.google.com/spreadsheets/d/1FvTu2DsIWUjP6WCWra38Bkj_oOl_sOMf14r5Fg5srxU/edit?usp=sharing"",""ชัยภูมิ!I113"")"),0)</f>
        <v>0</v>
      </c>
      <c r="AD34" s="74">
        <f ca="1">IFERROR(__xludf.DUMMYFUNCTION("IMPORTRANGE(""https://docs.google.com/spreadsheets/d/1FvTu2DsIWUjP6WCWra38Bkj_oOl_sOMf14r5Fg5srxU/edit?usp=sharing"",""ชัยภูมิ!J113"")"),0)</f>
        <v>0</v>
      </c>
      <c r="AE34" s="79">
        <f t="shared" ca="1" si="44"/>
        <v>0</v>
      </c>
      <c r="AF34" s="74">
        <f ca="1">IFERROR(__xludf.DUMMYFUNCTION("IMPORTRANGE(""https://docs.google.com/spreadsheets/d/1FvTu2DsIWUjP6WCWra38Bkj_oOl_sOMf14r5Fg5srxU/edit?usp=sharing"",""ชัยภูมิ!I114"")"),0)</f>
        <v>0</v>
      </c>
      <c r="AG34" s="74">
        <f ca="1">IFERROR(__xludf.DUMMYFUNCTION("IMPORTRANGE(""https://docs.google.com/spreadsheets/d/1FvTu2DsIWUjP6WCWra38Bkj_oOl_sOMf14r5Fg5srxU/edit?usp=sharing"",""ชัยภูมิ!J114"")"),0)</f>
        <v>0</v>
      </c>
      <c r="AH34" s="79">
        <f t="shared" ca="1" si="46"/>
        <v>0</v>
      </c>
    </row>
    <row r="35" spans="1:34" ht="21" customHeight="1" x14ac:dyDescent="0.3">
      <c r="A35" s="147">
        <v>4</v>
      </c>
      <c r="B35" s="148" t="s">
        <v>63</v>
      </c>
      <c r="C35" s="149">
        <f t="shared" ca="1" si="28"/>
        <v>28050</v>
      </c>
      <c r="D35" s="150">
        <f t="shared" ca="1" si="54"/>
        <v>28050</v>
      </c>
      <c r="E35" s="151">
        <f ca="1">IFERROR(__xludf.DUMMYFUNCTION("IMPORTRANGE(""https://docs.google.com/spreadsheets/d/1-uDff_7J0KD5mKrp0Vvzr7lt3OU09vwQwhkpOPPYv2Y/edit?usp=sharing"",""งบพรบ!AX35"")"),0)</f>
        <v>0</v>
      </c>
      <c r="F35" s="151">
        <f ca="1">IFERROR(__xludf.DUMMYFUNCTION("IMPORTRANGE(""https://docs.google.com/spreadsheets/d/1-uDff_7J0KD5mKrp0Vvzr7lt3OU09vwQwhkpOPPYv2Y/edit?usp=sharing"",""งบพรบ!AY35"")"),28050)</f>
        <v>28050</v>
      </c>
      <c r="G35" s="151">
        <f ca="1">IFERROR(__xludf.DUMMYFUNCTION("IMPORTRANGE(""https://docs.google.com/spreadsheets/d/1-uDff_7J0KD5mKrp0Vvzr7lt3OU09vwQwhkpOPPYv2Y/edit?usp=sharing"",""งบพรบ!AZ35"")"),0)</f>
        <v>0</v>
      </c>
      <c r="H35" s="151">
        <f ca="1">IFERROR(__xludf.DUMMYFUNCTION("IMPORTRANGE(""https://docs.google.com/spreadsheets/d/1-uDff_7J0KD5mKrp0Vvzr7lt3OU09vwQwhkpOPPYv2Y/edit?usp=sharing"",""งบพรบ!BB35"")"),28050)</f>
        <v>28050</v>
      </c>
      <c r="I35" s="151">
        <f ca="1">IFERROR(__xludf.DUMMYFUNCTION("IMPORTRANGE(""https://docs.google.com/spreadsheets/d/1-uDff_7J0KD5mKrp0Vvzr7lt3OU09vwQwhkpOPPYv2Y/edit?usp=sharing"",""งบพรบ!BC35"")"),0)</f>
        <v>0</v>
      </c>
      <c r="J35" s="151">
        <f t="shared" ca="1" si="30"/>
        <v>28050</v>
      </c>
      <c r="K35" s="154">
        <f t="shared" ca="1" si="31"/>
        <v>100</v>
      </c>
      <c r="L35" s="151">
        <f ca="1">IFERROR(__xludf.DUMMYFUNCTION("IMPORTRANGE(""https://docs.google.com/spreadsheets/d/1-uDff_7J0KD5mKrp0Vvzr7lt3OU09vwQwhkpOPPYv2Y/edit?usp=sharing"",""งบพรบ!BD35"")"),28050)</f>
        <v>28050</v>
      </c>
      <c r="M35" s="68">
        <f t="shared" ca="1" si="32"/>
        <v>100</v>
      </c>
      <c r="N35" s="68">
        <f t="shared" ca="1" si="33"/>
        <v>100</v>
      </c>
      <c r="O35" s="67">
        <f ca="1">IFERROR(__xludf.DUMMYFUNCTION("IMPORTRANGE(""https://docs.google.com/spreadsheets/d/1-uDff_7J0KD5mKrp0Vvzr7lt3OU09vwQwhkpOPPYv2Y/edit?usp=sharing"",""งบพรบ!BE35"")"),0)</f>
        <v>0</v>
      </c>
      <c r="P35" s="67">
        <f t="shared" ca="1" si="34"/>
        <v>0</v>
      </c>
      <c r="Q35" s="68">
        <f t="shared" ca="1" si="35"/>
        <v>0</v>
      </c>
      <c r="R35" s="67">
        <f ca="1">IFERROR(__xludf.DUMMYFUNCTION("IMPORTRANGE(""https://docs.google.com/spreadsheets/d/1XVB7oCJ3pr-vBUdflwPQ8Z2LlzhnCvZaaYjAfP-647E/edit?usp=sharing"",""นครพนม!Q94"")"),71412)</f>
        <v>71412</v>
      </c>
      <c r="S35" s="67">
        <f ca="1">IFERROR(__xludf.DUMMYFUNCTION("IMPORTRANGE(""https://docs.google.com/spreadsheets/d/1XVB7oCJ3pr-vBUdflwPQ8Z2LlzhnCvZaaYjAfP-647E/edit?usp=sharing"",""นครพนม!R94"")"),71412)</f>
        <v>71412</v>
      </c>
      <c r="T35" s="67">
        <f ca="1">IFERROR(__xludf.DUMMYFUNCTION("IMPORTRANGE(""https://docs.google.com/spreadsheets/d/1XVB7oCJ3pr-vBUdflwPQ8Z2LlzhnCvZaaYjAfP-647E/edit?usp=sharing"",""นครพนม!S94"")"),40280)</f>
        <v>40280</v>
      </c>
      <c r="U35" s="68">
        <f t="shared" ca="1" si="37"/>
        <v>56.405085979947344</v>
      </c>
      <c r="V35" s="68">
        <f t="shared" ca="1" si="38"/>
        <v>56.405085979947344</v>
      </c>
      <c r="W35" s="74">
        <f ca="1">IFERROR(__xludf.DUMMYFUNCTION("IMPORTRANGE(""https://docs.google.com/spreadsheets/d/1XVB7oCJ3pr-vBUdflwPQ8Z2LlzhnCvZaaYjAfP-647E/edit?usp=sharing"",""นครพนม!I108"")"),33)</f>
        <v>33</v>
      </c>
      <c r="X35" s="74">
        <f ca="1">IFERROR(__xludf.DUMMYFUNCTION("IMPORTRANGE(""https://docs.google.com/spreadsheets/d/1XVB7oCJ3pr-vBUdflwPQ8Z2LlzhnCvZaaYjAfP-647E/edit?usp=sharing"",""นครพนม!J108"")"),33)</f>
        <v>33</v>
      </c>
      <c r="Y35" s="79">
        <f t="shared" ca="1" si="40"/>
        <v>100</v>
      </c>
      <c r="Z35" s="74">
        <f ca="1">IFERROR(__xludf.DUMMYFUNCTION("IMPORTRANGE(""https://docs.google.com/spreadsheets/d/1XVB7oCJ3pr-vBUdflwPQ8Z2LlzhnCvZaaYjAfP-647E/edit?usp=sharing"",""นครพนม!I109"")"),11)</f>
        <v>11</v>
      </c>
      <c r="AA35" s="74">
        <f ca="1">IFERROR(__xludf.DUMMYFUNCTION("IMPORTRANGE(""https://docs.google.com/spreadsheets/d/1XVB7oCJ3pr-vBUdflwPQ8Z2LlzhnCvZaaYjAfP-647E/edit?usp=sharing"",""นครพนม!J109"")"),11)</f>
        <v>11</v>
      </c>
      <c r="AB35" s="79">
        <f t="shared" ca="1" si="42"/>
        <v>100</v>
      </c>
      <c r="AC35" s="74">
        <f ca="1">IFERROR(__xludf.DUMMYFUNCTION("IMPORTRANGE(""https://docs.google.com/spreadsheets/d/1XVB7oCJ3pr-vBUdflwPQ8Z2LlzhnCvZaaYjAfP-647E/edit?usp=sharing"",""นครพนม!I113"")"),33)</f>
        <v>33</v>
      </c>
      <c r="AD35" s="74">
        <f ca="1">IFERROR(__xludf.DUMMYFUNCTION("IMPORTRANGE(""https://docs.google.com/spreadsheets/d/1XVB7oCJ3pr-vBUdflwPQ8Z2LlzhnCvZaaYjAfP-647E/edit?usp=sharing"",""นครพนม!J113"")"),33)</f>
        <v>33</v>
      </c>
      <c r="AE35" s="79">
        <f t="shared" ca="1" si="44"/>
        <v>100</v>
      </c>
      <c r="AF35" s="74">
        <f ca="1">IFERROR(__xludf.DUMMYFUNCTION("IMPORTRANGE(""https://docs.google.com/spreadsheets/d/1XVB7oCJ3pr-vBUdflwPQ8Z2LlzhnCvZaaYjAfP-647E/edit?usp=sharing"",""นครพนม!I114"")"),11)</f>
        <v>11</v>
      </c>
      <c r="AG35" s="74">
        <f ca="1">IFERROR(__xludf.DUMMYFUNCTION("IMPORTRANGE(""https://docs.google.com/spreadsheets/d/1XVB7oCJ3pr-vBUdflwPQ8Z2LlzhnCvZaaYjAfP-647E/edit?usp=sharing"",""นครพนม!J114"")"),11)</f>
        <v>11</v>
      </c>
      <c r="AH35" s="79">
        <f t="shared" ca="1" si="46"/>
        <v>100</v>
      </c>
    </row>
    <row r="36" spans="1:34" ht="21" customHeight="1" x14ac:dyDescent="0.3">
      <c r="A36" s="147">
        <v>5</v>
      </c>
      <c r="B36" s="148" t="s">
        <v>64</v>
      </c>
      <c r="C36" s="149">
        <f t="shared" ca="1" si="28"/>
        <v>51000</v>
      </c>
      <c r="D36" s="150">
        <f t="shared" ca="1" si="54"/>
        <v>51000</v>
      </c>
      <c r="E36" s="151">
        <f ca="1">IFERROR(__xludf.DUMMYFUNCTION("IMPORTRANGE(""https://docs.google.com/spreadsheets/d/1-uDff_7J0KD5mKrp0Vvzr7lt3OU09vwQwhkpOPPYv2Y/edit?usp=sharing"",""งบพรบ!AX36"")"),0)</f>
        <v>0</v>
      </c>
      <c r="F36" s="151">
        <f ca="1">IFERROR(__xludf.DUMMYFUNCTION("IMPORTRANGE(""https://docs.google.com/spreadsheets/d/1-uDff_7J0KD5mKrp0Vvzr7lt3OU09vwQwhkpOPPYv2Y/edit?usp=sharing"",""งบพรบ!AY36"")"),51000)</f>
        <v>51000</v>
      </c>
      <c r="G36" s="151">
        <f ca="1">IFERROR(__xludf.DUMMYFUNCTION("IMPORTRANGE(""https://docs.google.com/spreadsheets/d/1-uDff_7J0KD5mKrp0Vvzr7lt3OU09vwQwhkpOPPYv2Y/edit?usp=sharing"",""งบพรบ!AZ36"")"),0)</f>
        <v>0</v>
      </c>
      <c r="H36" s="151">
        <f ca="1">IFERROR(__xludf.DUMMYFUNCTION("IMPORTRANGE(""https://docs.google.com/spreadsheets/d/1-uDff_7J0KD5mKrp0Vvzr7lt3OU09vwQwhkpOPPYv2Y/edit?usp=sharing"",""งบพรบ!BB36"")"),51000)</f>
        <v>51000</v>
      </c>
      <c r="I36" s="151">
        <f ca="1">IFERROR(__xludf.DUMMYFUNCTION("IMPORTRANGE(""https://docs.google.com/spreadsheets/d/1-uDff_7J0KD5mKrp0Vvzr7lt3OU09vwQwhkpOPPYv2Y/edit?usp=sharing"",""งบพรบ!BC36"")"),0)</f>
        <v>0</v>
      </c>
      <c r="J36" s="151">
        <f t="shared" ca="1" si="30"/>
        <v>39000</v>
      </c>
      <c r="K36" s="154">
        <f t="shared" ca="1" si="31"/>
        <v>76.470588235294116</v>
      </c>
      <c r="L36" s="151">
        <f ca="1">IFERROR(__xludf.DUMMYFUNCTION("IMPORTRANGE(""https://docs.google.com/spreadsheets/d/1-uDff_7J0KD5mKrp0Vvzr7lt3OU09vwQwhkpOPPYv2Y/edit?usp=sharing"",""งบพรบ!BD36"")"),39000)</f>
        <v>39000</v>
      </c>
      <c r="M36" s="68">
        <f t="shared" ca="1" si="32"/>
        <v>76.470588235294116</v>
      </c>
      <c r="N36" s="68">
        <f t="shared" ca="1" si="33"/>
        <v>76.470588235294116</v>
      </c>
      <c r="O36" s="67">
        <f ca="1">IFERROR(__xludf.DUMMYFUNCTION("IMPORTRANGE(""https://docs.google.com/spreadsheets/d/1-uDff_7J0KD5mKrp0Vvzr7lt3OU09vwQwhkpOPPYv2Y/edit?usp=sharing"",""งบพรบ!BE36"")"),0)</f>
        <v>0</v>
      </c>
      <c r="P36" s="67">
        <f t="shared" ca="1" si="34"/>
        <v>0</v>
      </c>
      <c r="Q36" s="68">
        <f t="shared" ca="1" si="35"/>
        <v>0</v>
      </c>
      <c r="R36" s="67">
        <f ca="1">IFERROR(__xludf.DUMMYFUNCTION("IMPORTRANGE(""https://docs.google.com/spreadsheets/d/1Mnpb-8PYAgn85W6KOTD40hc_Xc55CaLfHoGAbrZ8tls/edit?usp=sharing"",""นครราชสีมา!Q94"")"),129840)</f>
        <v>129840</v>
      </c>
      <c r="S36" s="67">
        <f ca="1">IFERROR(__xludf.DUMMYFUNCTION("IMPORTRANGE(""https://docs.google.com/spreadsheets/d/1Mnpb-8PYAgn85W6KOTD40hc_Xc55CaLfHoGAbrZ8tls/edit?usp=sharing"",""นครราชสีมา!R94"")"),129840)</f>
        <v>129840</v>
      </c>
      <c r="T36" s="67">
        <f ca="1">IFERROR(__xludf.DUMMYFUNCTION("IMPORTRANGE(""https://docs.google.com/spreadsheets/d/1Mnpb-8PYAgn85W6KOTD40hc_Xc55CaLfHoGAbrZ8tls/edit?usp=sharing"",""นครราชสีมา!S94"")"),27273.75)</f>
        <v>27273.75</v>
      </c>
      <c r="U36" s="68">
        <f t="shared" ca="1" si="37"/>
        <v>21.005660813308687</v>
      </c>
      <c r="V36" s="68">
        <f t="shared" ca="1" si="38"/>
        <v>21.005660813308687</v>
      </c>
      <c r="W36" s="74">
        <f ca="1">IFERROR(__xludf.DUMMYFUNCTION("IMPORTRANGE(""https://docs.google.com/spreadsheets/d/1Mnpb-8PYAgn85W6KOTD40hc_Xc55CaLfHoGAbrZ8tls/edit?usp=sharing"",""นครราชสีมา!I108"")"),60)</f>
        <v>60</v>
      </c>
      <c r="X36" s="74">
        <f ca="1">IFERROR(__xludf.DUMMYFUNCTION("IMPORTRANGE(""https://docs.google.com/spreadsheets/d/1Mnpb-8PYAgn85W6KOTD40hc_Xc55CaLfHoGAbrZ8tls/edit?usp=sharing"",""นครราชสีมา!J108"")"),60)</f>
        <v>60</v>
      </c>
      <c r="Y36" s="79">
        <f t="shared" ca="1" si="40"/>
        <v>100</v>
      </c>
      <c r="Z36" s="74">
        <f ca="1">IFERROR(__xludf.DUMMYFUNCTION("IMPORTRANGE(""https://docs.google.com/spreadsheets/d/1Mnpb-8PYAgn85W6KOTD40hc_Xc55CaLfHoGAbrZ8tls/edit?usp=sharing"",""นครราชสีมา!I109"")"),20)</f>
        <v>20</v>
      </c>
      <c r="AA36" s="74">
        <f ca="1">IFERROR(__xludf.DUMMYFUNCTION("IMPORTRANGE(""https://docs.google.com/spreadsheets/d/1Mnpb-8PYAgn85W6KOTD40hc_Xc55CaLfHoGAbrZ8tls/edit?usp=sharing"",""นครราชสีมา!J109"")"),20)</f>
        <v>20</v>
      </c>
      <c r="AB36" s="79">
        <f t="shared" ca="1" si="42"/>
        <v>100</v>
      </c>
      <c r="AC36" s="74">
        <f ca="1">IFERROR(__xludf.DUMMYFUNCTION("IMPORTRANGE(""https://docs.google.com/spreadsheets/d/1Mnpb-8PYAgn85W6KOTD40hc_Xc55CaLfHoGAbrZ8tls/edit?usp=sharing"",""นครราชสีมา!I113"")"),60)</f>
        <v>60</v>
      </c>
      <c r="AD36" s="74">
        <f ca="1">IFERROR(__xludf.DUMMYFUNCTION("IMPORTRANGE(""https://docs.google.com/spreadsheets/d/1Mnpb-8PYAgn85W6KOTD40hc_Xc55CaLfHoGAbrZ8tls/edit?usp=sharing"",""นครราชสีมา!J113"")"),60)</f>
        <v>60</v>
      </c>
      <c r="AE36" s="79">
        <f t="shared" ca="1" si="44"/>
        <v>100</v>
      </c>
      <c r="AF36" s="74">
        <f ca="1">IFERROR(__xludf.DUMMYFUNCTION("IMPORTRANGE(""https://docs.google.com/spreadsheets/d/1Mnpb-8PYAgn85W6KOTD40hc_Xc55CaLfHoGAbrZ8tls/edit?usp=sharing"",""นครราชสีมา!I114"")"),20)</f>
        <v>20</v>
      </c>
      <c r="AG36" s="74">
        <f ca="1">IFERROR(__xludf.DUMMYFUNCTION("IMPORTRANGE(""https://docs.google.com/spreadsheets/d/1Mnpb-8PYAgn85W6KOTD40hc_Xc55CaLfHoGAbrZ8tls/edit?usp=sharing"",""นครราชสีมา!J114"")"),20)</f>
        <v>20</v>
      </c>
      <c r="AH36" s="79">
        <f t="shared" ca="1" si="46"/>
        <v>100</v>
      </c>
    </row>
    <row r="37" spans="1:34" ht="21" customHeight="1" x14ac:dyDescent="0.3">
      <c r="A37" s="147">
        <v>6</v>
      </c>
      <c r="B37" s="148" t="s">
        <v>65</v>
      </c>
      <c r="C37" s="149">
        <f t="shared" ca="1" si="28"/>
        <v>101350</v>
      </c>
      <c r="D37" s="150">
        <f t="shared" ca="1" si="54"/>
        <v>101350</v>
      </c>
      <c r="E37" s="151">
        <f ca="1">IFERROR(__xludf.DUMMYFUNCTION("IMPORTRANGE(""https://docs.google.com/spreadsheets/d/1-uDff_7J0KD5mKrp0Vvzr7lt3OU09vwQwhkpOPPYv2Y/edit?usp=sharing"",""งบพรบ!AX37"")"),58000)</f>
        <v>58000</v>
      </c>
      <c r="F37" s="151">
        <f ca="1">IFERROR(__xludf.DUMMYFUNCTION("IMPORTRANGE(""https://docs.google.com/spreadsheets/d/1-uDff_7J0KD5mKrp0Vvzr7lt3OU09vwQwhkpOPPYv2Y/edit?usp=sharing"",""งบพรบ!AY37"")"),43350)</f>
        <v>43350</v>
      </c>
      <c r="G37" s="151">
        <f ca="1">IFERROR(__xludf.DUMMYFUNCTION("IMPORTRANGE(""https://docs.google.com/spreadsheets/d/1-uDff_7J0KD5mKrp0Vvzr7lt3OU09vwQwhkpOPPYv2Y/edit?usp=sharing"",""งบพรบ!AZ37"")"),0)</f>
        <v>0</v>
      </c>
      <c r="H37" s="151">
        <f ca="1">IFERROR(__xludf.DUMMYFUNCTION("IMPORTRANGE(""https://docs.google.com/spreadsheets/d/1-uDff_7J0KD5mKrp0Vvzr7lt3OU09vwQwhkpOPPYv2Y/edit?usp=sharing"",""งบพรบ!BB37"")"),101350)</f>
        <v>101350</v>
      </c>
      <c r="I37" s="151">
        <f ca="1">IFERROR(__xludf.DUMMYFUNCTION("IMPORTRANGE(""https://docs.google.com/spreadsheets/d/1-uDff_7J0KD5mKrp0Vvzr7lt3OU09vwQwhkpOPPYv2Y/edit?usp=sharing"",""งบพรบ!BC37"")"),0)</f>
        <v>0</v>
      </c>
      <c r="J37" s="151">
        <f t="shared" ca="1" si="30"/>
        <v>93037</v>
      </c>
      <c r="K37" s="154">
        <f t="shared" ca="1" si="31"/>
        <v>91.797730636408488</v>
      </c>
      <c r="L37" s="151">
        <f ca="1">IFERROR(__xludf.DUMMYFUNCTION("IMPORTRANGE(""https://docs.google.com/spreadsheets/d/1-uDff_7J0KD5mKrp0Vvzr7lt3OU09vwQwhkpOPPYv2Y/edit?usp=sharing"",""งบพรบ!BD37"")"),93037)</f>
        <v>93037</v>
      </c>
      <c r="M37" s="68">
        <f t="shared" ca="1" si="32"/>
        <v>91.797730636408488</v>
      </c>
      <c r="N37" s="68">
        <f t="shared" ca="1" si="33"/>
        <v>91.797730636408488</v>
      </c>
      <c r="O37" s="67">
        <f ca="1">IFERROR(__xludf.DUMMYFUNCTION("IMPORTRANGE(""https://docs.google.com/spreadsheets/d/1-uDff_7J0KD5mKrp0Vvzr7lt3OU09vwQwhkpOPPYv2Y/edit?usp=sharing"",""งบพรบ!BE37"")"),0)</f>
        <v>0</v>
      </c>
      <c r="P37" s="67">
        <f t="shared" ca="1" si="34"/>
        <v>0</v>
      </c>
      <c r="Q37" s="68">
        <f t="shared" ca="1" si="35"/>
        <v>0</v>
      </c>
      <c r="R37" s="67">
        <f ca="1">IFERROR(__xludf.DUMMYFUNCTION("IMPORTRANGE(""https://docs.google.com/spreadsheets/d/1xoDLGBv9CYbyosIhki0kTq6IpYNj-gpjxfobnaDiut0/edit?usp=sharing"",""บึงกาฬ!Q94"")"),110364)</f>
        <v>110364</v>
      </c>
      <c r="S37" s="67">
        <f ca="1">IFERROR(__xludf.DUMMYFUNCTION("IMPORTRANGE(""https://docs.google.com/spreadsheets/d/1xoDLGBv9CYbyosIhki0kTq6IpYNj-gpjxfobnaDiut0/edit?usp=sharing"",""บึงกาฬ!R94"")"),110364)</f>
        <v>110364</v>
      </c>
      <c r="T37" s="67">
        <f ca="1">IFERROR(__xludf.DUMMYFUNCTION("IMPORTRANGE(""https://docs.google.com/spreadsheets/d/1xoDLGBv9CYbyosIhki0kTq6IpYNj-gpjxfobnaDiut0/edit?usp=sharing"",""บึงกาฬ!S94"")"),89725)</f>
        <v>89725</v>
      </c>
      <c r="U37" s="68">
        <f t="shared" ca="1" si="37"/>
        <v>81.299155521728096</v>
      </c>
      <c r="V37" s="68">
        <f t="shared" ca="1" si="38"/>
        <v>81.299155521728096</v>
      </c>
      <c r="W37" s="74">
        <f ca="1">IFERROR(__xludf.DUMMYFUNCTION("IMPORTRANGE(""https://docs.google.com/spreadsheets/d/1xoDLGBv9CYbyosIhki0kTq6IpYNj-gpjxfobnaDiut0/edit?usp=sharing"",""บึงกาฬ!I108"")"),51)</f>
        <v>51</v>
      </c>
      <c r="X37" s="74">
        <f ca="1">IFERROR(__xludf.DUMMYFUNCTION("IMPORTRANGE(""https://docs.google.com/spreadsheets/d/1xoDLGBv9CYbyosIhki0kTq6IpYNj-gpjxfobnaDiut0/edit?usp=sharing"",""บึงกาฬ!J108"")"),51)</f>
        <v>51</v>
      </c>
      <c r="Y37" s="79">
        <f t="shared" ca="1" si="40"/>
        <v>100</v>
      </c>
      <c r="Z37" s="74">
        <f ca="1">IFERROR(__xludf.DUMMYFUNCTION("IMPORTRANGE(""https://docs.google.com/spreadsheets/d/1xoDLGBv9CYbyosIhki0kTq6IpYNj-gpjxfobnaDiut0/edit?usp=sharing"",""บึงกาฬ!I109"")"),17)</f>
        <v>17</v>
      </c>
      <c r="AA37" s="74">
        <f ca="1">IFERROR(__xludf.DUMMYFUNCTION("IMPORTRANGE(""https://docs.google.com/spreadsheets/d/1xoDLGBv9CYbyosIhki0kTq6IpYNj-gpjxfobnaDiut0/edit?usp=sharing"",""บึงกาฬ!J109"")"),17)</f>
        <v>17</v>
      </c>
      <c r="AB37" s="79">
        <f t="shared" ca="1" si="42"/>
        <v>100</v>
      </c>
      <c r="AC37" s="74">
        <f ca="1">IFERROR(__xludf.DUMMYFUNCTION("IMPORTRANGE(""https://docs.google.com/spreadsheets/d/1xoDLGBv9CYbyosIhki0kTq6IpYNj-gpjxfobnaDiut0/edit?usp=sharing"",""บึงกาฬ!I113"")"),51)</f>
        <v>51</v>
      </c>
      <c r="AD37" s="74">
        <f ca="1">IFERROR(__xludf.DUMMYFUNCTION("IMPORTRANGE(""https://docs.google.com/spreadsheets/d/1xoDLGBv9CYbyosIhki0kTq6IpYNj-gpjxfobnaDiut0/edit?usp=sharing"",""บึงกาฬ!J113"")"),0)</f>
        <v>0</v>
      </c>
      <c r="AE37" s="79">
        <f t="shared" ca="1" si="44"/>
        <v>0</v>
      </c>
      <c r="AF37" s="74">
        <f ca="1">IFERROR(__xludf.DUMMYFUNCTION("IMPORTRANGE(""https://docs.google.com/spreadsheets/d/1xoDLGBv9CYbyosIhki0kTq6IpYNj-gpjxfobnaDiut0/edit?usp=sharing"",""บึงกาฬ!I114"")"),17)</f>
        <v>17</v>
      </c>
      <c r="AG37" s="74">
        <f ca="1">IFERROR(__xludf.DUMMYFUNCTION("IMPORTRANGE(""https://docs.google.com/spreadsheets/d/1xoDLGBv9CYbyosIhki0kTq6IpYNj-gpjxfobnaDiut0/edit?usp=sharing"",""บึงกาฬ!J114"")"),0)</f>
        <v>0</v>
      </c>
      <c r="AH37" s="79">
        <f t="shared" ca="1" si="46"/>
        <v>0</v>
      </c>
    </row>
    <row r="38" spans="1:34" ht="21" customHeight="1" x14ac:dyDescent="0.3">
      <c r="A38" s="147">
        <v>7</v>
      </c>
      <c r="B38" s="148" t="s">
        <v>66</v>
      </c>
      <c r="C38" s="149">
        <f t="shared" ca="1" si="28"/>
        <v>85500</v>
      </c>
      <c r="D38" s="150">
        <f t="shared" ca="1" si="54"/>
        <v>85500</v>
      </c>
      <c r="E38" s="151">
        <f ca="1">IFERROR(__xludf.DUMMYFUNCTION("IMPORTRANGE(""https://docs.google.com/spreadsheets/d/1-uDff_7J0KD5mKrp0Vvzr7lt3OU09vwQwhkpOPPYv2Y/edit?usp=sharing"",""งบพรบ!AX38"")"),60000)</f>
        <v>60000</v>
      </c>
      <c r="F38" s="151">
        <f ca="1">IFERROR(__xludf.DUMMYFUNCTION("IMPORTRANGE(""https://docs.google.com/spreadsheets/d/1-uDff_7J0KD5mKrp0Vvzr7lt3OU09vwQwhkpOPPYv2Y/edit?usp=sharing"",""งบพรบ!AY38"")"),25500)</f>
        <v>25500</v>
      </c>
      <c r="G38" s="151">
        <f ca="1">IFERROR(__xludf.DUMMYFUNCTION("IMPORTRANGE(""https://docs.google.com/spreadsheets/d/1-uDff_7J0KD5mKrp0Vvzr7lt3OU09vwQwhkpOPPYv2Y/edit?usp=sharing"",""งบพรบ!AZ38"")"),0)</f>
        <v>0</v>
      </c>
      <c r="H38" s="151">
        <f ca="1">IFERROR(__xludf.DUMMYFUNCTION("IMPORTRANGE(""https://docs.google.com/spreadsheets/d/1-uDff_7J0KD5mKrp0Vvzr7lt3OU09vwQwhkpOPPYv2Y/edit?usp=sharing"",""งบพรบ!BB38"")"),85500)</f>
        <v>85500</v>
      </c>
      <c r="I38" s="151">
        <f ca="1">IFERROR(__xludf.DUMMYFUNCTION("IMPORTRANGE(""https://docs.google.com/spreadsheets/d/1-uDff_7J0KD5mKrp0Vvzr7lt3OU09vwQwhkpOPPYv2Y/edit?usp=sharing"",""งบพรบ!BC38"")"),0)</f>
        <v>0</v>
      </c>
      <c r="J38" s="151">
        <f t="shared" ca="1" si="30"/>
        <v>81194.62</v>
      </c>
      <c r="K38" s="154">
        <f t="shared" ca="1" si="31"/>
        <v>94.964467836257313</v>
      </c>
      <c r="L38" s="151">
        <f ca="1">IFERROR(__xludf.DUMMYFUNCTION("IMPORTRANGE(""https://docs.google.com/spreadsheets/d/1-uDff_7J0KD5mKrp0Vvzr7lt3OU09vwQwhkpOPPYv2Y/edit?usp=sharing"",""งบพรบ!BD38"")"),81194.62)</f>
        <v>81194.62</v>
      </c>
      <c r="M38" s="68">
        <f t="shared" ca="1" si="32"/>
        <v>94.964467836257313</v>
      </c>
      <c r="N38" s="68">
        <f t="shared" ca="1" si="33"/>
        <v>94.964467836257313</v>
      </c>
      <c r="O38" s="67">
        <f ca="1">IFERROR(__xludf.DUMMYFUNCTION("IMPORTRANGE(""https://docs.google.com/spreadsheets/d/1-uDff_7J0KD5mKrp0Vvzr7lt3OU09vwQwhkpOPPYv2Y/edit?usp=sharing"",""งบพรบ!BE38"")"),0)</f>
        <v>0</v>
      </c>
      <c r="P38" s="67">
        <f t="shared" ca="1" si="34"/>
        <v>0</v>
      </c>
      <c r="Q38" s="68">
        <f t="shared" ca="1" si="35"/>
        <v>0</v>
      </c>
      <c r="R38" s="67">
        <f ca="1">IFERROR(__xludf.DUMMYFUNCTION("IMPORTRANGE(""https://docs.google.com/spreadsheets/d/1MMPq-JyI6DSgQETxuSiXkesP-P7JHuemnE6QJIa-Nlw/edit?usp=sharing"",""บุรีรัมย์!Q94"")"),64920)</f>
        <v>64920</v>
      </c>
      <c r="S38" s="67">
        <f ca="1">IFERROR(__xludf.DUMMYFUNCTION("IMPORTRANGE(""https://docs.google.com/spreadsheets/d/1MMPq-JyI6DSgQETxuSiXkesP-P7JHuemnE6QJIa-Nlw/edit?usp=sharing"",""บุรีรัมย์!R94"")"),64920)</f>
        <v>64920</v>
      </c>
      <c r="T38" s="67">
        <f ca="1">IFERROR(__xludf.DUMMYFUNCTION("IMPORTRANGE(""https://docs.google.com/spreadsheets/d/1MMPq-JyI6DSgQETxuSiXkesP-P7JHuemnE6QJIa-Nlw/edit?usp=sharing"",""บุรีรัมย์!S94"")"),30110)</f>
        <v>30110</v>
      </c>
      <c r="U38" s="68">
        <f t="shared" ca="1" si="37"/>
        <v>46.380160197165743</v>
      </c>
      <c r="V38" s="68">
        <f t="shared" ca="1" si="38"/>
        <v>46.380160197165743</v>
      </c>
      <c r="W38" s="78">
        <f ca="1">IFERROR(__xludf.DUMMYFUNCTION("IMPORTRANGE(""https://docs.google.com/spreadsheets/d/1MMPq-JyI6DSgQETxuSiXkesP-P7JHuemnE6QJIa-Nlw/edit?usp=sharing"",""บุรีรัมย์!I108"")"),30)</f>
        <v>30</v>
      </c>
      <c r="X38" s="78">
        <f ca="1">IFERROR(__xludf.DUMMYFUNCTION("IMPORTRANGE(""https://docs.google.com/spreadsheets/d/1MMPq-JyI6DSgQETxuSiXkesP-P7JHuemnE6QJIa-Nlw/edit?usp=sharing"",""บุรีรัมย์!J108"")"),30)</f>
        <v>30</v>
      </c>
      <c r="Y38" s="79">
        <f t="shared" ca="1" si="40"/>
        <v>100</v>
      </c>
      <c r="Z38" s="78">
        <f ca="1">IFERROR(__xludf.DUMMYFUNCTION("IMPORTRANGE(""https://docs.google.com/spreadsheets/d/1MMPq-JyI6DSgQETxuSiXkesP-P7JHuemnE6QJIa-Nlw/edit?usp=sharing"",""บุรีรัมย์!I109"")"),10)</f>
        <v>10</v>
      </c>
      <c r="AA38" s="78">
        <f ca="1">IFERROR(__xludf.DUMMYFUNCTION("IMPORTRANGE(""https://docs.google.com/spreadsheets/d/1MMPq-JyI6DSgQETxuSiXkesP-P7JHuemnE6QJIa-Nlw/edit?usp=sharing"",""บุรีรัมย์!J109"")"),10)</f>
        <v>10</v>
      </c>
      <c r="AB38" s="79">
        <f t="shared" ca="1" si="42"/>
        <v>100</v>
      </c>
      <c r="AC38" s="78">
        <f ca="1">IFERROR(__xludf.DUMMYFUNCTION("IMPORTRANGE(""https://docs.google.com/spreadsheets/d/1MMPq-JyI6DSgQETxuSiXkesP-P7JHuemnE6QJIa-Nlw/edit?usp=sharing"",""บุรีรัมย์!I113"")"),30)</f>
        <v>30</v>
      </c>
      <c r="AD38" s="78">
        <f ca="1">IFERROR(__xludf.DUMMYFUNCTION("IMPORTRANGE(""https://docs.google.com/spreadsheets/d/1MMPq-JyI6DSgQETxuSiXkesP-P7JHuemnE6QJIa-Nlw/edit?usp=sharing"",""บุรีรัมย์!J113"")"),30)</f>
        <v>30</v>
      </c>
      <c r="AE38" s="79">
        <f t="shared" ca="1" si="44"/>
        <v>100</v>
      </c>
      <c r="AF38" s="78">
        <f ca="1">IFERROR(__xludf.DUMMYFUNCTION("IMPORTRANGE(""https://docs.google.com/spreadsheets/d/1MMPq-JyI6DSgQETxuSiXkesP-P7JHuemnE6QJIa-Nlw/edit?usp=sharing"",""บุรีรัมย์!I114"")"),10)</f>
        <v>10</v>
      </c>
      <c r="AG38" s="78">
        <f ca="1">IFERROR(__xludf.DUMMYFUNCTION("IMPORTRANGE(""https://docs.google.com/spreadsheets/d/1MMPq-JyI6DSgQETxuSiXkesP-P7JHuemnE6QJIa-Nlw/edit?usp=sharing"",""บุรีรัมย์!J114"")"),10)</f>
        <v>10</v>
      </c>
      <c r="AH38" s="79">
        <f t="shared" ca="1" si="46"/>
        <v>100</v>
      </c>
    </row>
    <row r="39" spans="1:34" ht="21" customHeight="1" x14ac:dyDescent="0.3">
      <c r="A39" s="147">
        <v>8</v>
      </c>
      <c r="B39" s="148" t="s">
        <v>67</v>
      </c>
      <c r="C39" s="149">
        <f t="shared" ca="1" si="28"/>
        <v>35100</v>
      </c>
      <c r="D39" s="150">
        <f t="shared" ca="1" si="54"/>
        <v>35100</v>
      </c>
      <c r="E39" s="151">
        <f ca="1">IFERROR(__xludf.DUMMYFUNCTION("IMPORTRANGE(""https://docs.google.com/spreadsheets/d/1-uDff_7J0KD5mKrp0Vvzr7lt3OU09vwQwhkpOPPYv2Y/edit?usp=sharing"",""งบพรบ!AX39"")"),0)</f>
        <v>0</v>
      </c>
      <c r="F39" s="151">
        <f ca="1">IFERROR(__xludf.DUMMYFUNCTION("IMPORTRANGE(""https://docs.google.com/spreadsheets/d/1-uDff_7J0KD5mKrp0Vvzr7lt3OU09vwQwhkpOPPYv2Y/edit?usp=sharing"",""งบพรบ!AY39"")"),35100)</f>
        <v>35100</v>
      </c>
      <c r="G39" s="151">
        <f ca="1">IFERROR(__xludf.DUMMYFUNCTION("IMPORTRANGE(""https://docs.google.com/spreadsheets/d/1-uDff_7J0KD5mKrp0Vvzr7lt3OU09vwQwhkpOPPYv2Y/edit?usp=sharing"",""งบพรบ!AZ39"")"),0)</f>
        <v>0</v>
      </c>
      <c r="H39" s="151">
        <f ca="1">IFERROR(__xludf.DUMMYFUNCTION("IMPORTRANGE(""https://docs.google.com/spreadsheets/d/1-uDff_7J0KD5mKrp0Vvzr7lt3OU09vwQwhkpOPPYv2Y/edit?usp=sharing"",""งบพรบ!BB39"")"),35100)</f>
        <v>35100</v>
      </c>
      <c r="I39" s="151">
        <f ca="1">IFERROR(__xludf.DUMMYFUNCTION("IMPORTRANGE(""https://docs.google.com/spreadsheets/d/1-uDff_7J0KD5mKrp0Vvzr7lt3OU09vwQwhkpOPPYv2Y/edit?usp=sharing"",""งบพรบ!BC39"")"),0)</f>
        <v>0</v>
      </c>
      <c r="J39" s="151">
        <f t="shared" ca="1" si="30"/>
        <v>24700</v>
      </c>
      <c r="K39" s="154">
        <f t="shared" ca="1" si="31"/>
        <v>70.370370370370367</v>
      </c>
      <c r="L39" s="151">
        <f ca="1">IFERROR(__xludf.DUMMYFUNCTION("IMPORTRANGE(""https://docs.google.com/spreadsheets/d/1-uDff_7J0KD5mKrp0Vvzr7lt3OU09vwQwhkpOPPYv2Y/edit?usp=sharing"",""งบพรบ!BD39"")"),24700)</f>
        <v>24700</v>
      </c>
      <c r="M39" s="68">
        <f t="shared" ca="1" si="32"/>
        <v>70.370370370370367</v>
      </c>
      <c r="N39" s="68">
        <f t="shared" ca="1" si="33"/>
        <v>70.370370370370367</v>
      </c>
      <c r="O39" s="67">
        <f ca="1">IFERROR(__xludf.DUMMYFUNCTION("IMPORTRANGE(""https://docs.google.com/spreadsheets/d/1-uDff_7J0KD5mKrp0Vvzr7lt3OU09vwQwhkpOPPYv2Y/edit?usp=sharing"",""งบพรบ!BE39"")"),0)</f>
        <v>0</v>
      </c>
      <c r="P39" s="67">
        <f t="shared" ca="1" si="34"/>
        <v>0</v>
      </c>
      <c r="Q39" s="68">
        <f t="shared" ca="1" si="35"/>
        <v>0</v>
      </c>
      <c r="R39" s="67">
        <f ca="1">IFERROR(__xludf.DUMMYFUNCTION("IMPORTRANGE(""https://docs.google.com/spreadsheets/d/1l6IZ8xUPgMrESzcTYwhA1k_tPjeQjJPTqlm8Gd9eU5g/edit?usp=sharing"",""มหาสารคาม!Q94"")"),64920)</f>
        <v>64920</v>
      </c>
      <c r="S39" s="67">
        <f ca="1">IFERROR(__xludf.DUMMYFUNCTION("IMPORTRANGE(""https://docs.google.com/spreadsheets/d/1l6IZ8xUPgMrESzcTYwhA1k_tPjeQjJPTqlm8Gd9eU5g/edit?usp=sharing"",""มหาสารคาม!R94"")"),64920)</f>
        <v>64920</v>
      </c>
      <c r="T39" s="67">
        <f ca="1">IFERROR(__xludf.DUMMYFUNCTION("IMPORTRANGE(""https://docs.google.com/spreadsheets/d/1l6IZ8xUPgMrESzcTYwhA1k_tPjeQjJPTqlm8Gd9eU5g/edit?usp=sharing"",""มหาสารคาม!S94"")"),12940)</f>
        <v>12940</v>
      </c>
      <c r="U39" s="68">
        <f t="shared" ca="1" si="37"/>
        <v>19.932224276032038</v>
      </c>
      <c r="V39" s="68">
        <f t="shared" ca="1" si="38"/>
        <v>19.932224276032038</v>
      </c>
      <c r="W39" s="78">
        <f ca="1">IFERROR(__xludf.DUMMYFUNCTION("IMPORTRANGE(""https://docs.google.com/spreadsheets/d/1l6IZ8xUPgMrESzcTYwhA1k_tPjeQjJPTqlm8Gd9eU5g/edit?usp=sharing"",""มหาสารคาม!I108"")"),30)</f>
        <v>30</v>
      </c>
      <c r="X39" s="78">
        <f ca="1">IFERROR(__xludf.DUMMYFUNCTION("IMPORTRANGE(""https://docs.google.com/spreadsheets/d/1l6IZ8xUPgMrESzcTYwhA1k_tPjeQjJPTqlm8Gd9eU5g/edit?usp=sharing"",""มหาสารคาม!J108"")"),30)</f>
        <v>30</v>
      </c>
      <c r="Y39" s="79">
        <f t="shared" ca="1" si="40"/>
        <v>100</v>
      </c>
      <c r="Z39" s="78">
        <f ca="1">IFERROR(__xludf.DUMMYFUNCTION("IMPORTRANGE(""https://docs.google.com/spreadsheets/d/1l6IZ8xUPgMrESzcTYwhA1k_tPjeQjJPTqlm8Gd9eU5g/edit?usp=sharing"",""มหาสารคาม!I109"")"),10)</f>
        <v>10</v>
      </c>
      <c r="AA39" s="78">
        <f ca="1">IFERROR(__xludf.DUMMYFUNCTION("IMPORTRANGE(""https://docs.google.com/spreadsheets/d/1l6IZ8xUPgMrESzcTYwhA1k_tPjeQjJPTqlm8Gd9eU5g/edit?usp=sharing"",""มหาสารคาม!J109"")"),10)</f>
        <v>10</v>
      </c>
      <c r="AB39" s="79">
        <f t="shared" ca="1" si="42"/>
        <v>100</v>
      </c>
      <c r="AC39" s="78">
        <f ca="1">IFERROR(__xludf.DUMMYFUNCTION("IMPORTRANGE(""https://docs.google.com/spreadsheets/d/1l6IZ8xUPgMrESzcTYwhA1k_tPjeQjJPTqlm8Gd9eU5g/edit?usp=sharing"",""มหาสารคาม!I113"")"),30)</f>
        <v>30</v>
      </c>
      <c r="AD39" s="78">
        <f ca="1">IFERROR(__xludf.DUMMYFUNCTION("IMPORTRANGE(""https://docs.google.com/spreadsheets/d/1l6IZ8xUPgMrESzcTYwhA1k_tPjeQjJPTqlm8Gd9eU5g/edit?usp=sharing"",""มหาสารคาม!J113"")"),30)</f>
        <v>30</v>
      </c>
      <c r="AE39" s="79">
        <f t="shared" ca="1" si="44"/>
        <v>100</v>
      </c>
      <c r="AF39" s="78">
        <f ca="1">IFERROR(__xludf.DUMMYFUNCTION("IMPORTRANGE(""https://docs.google.com/spreadsheets/d/1l6IZ8xUPgMrESzcTYwhA1k_tPjeQjJPTqlm8Gd9eU5g/edit?usp=sharing"",""มหาสารคาม!I114"")"),10)</f>
        <v>10</v>
      </c>
      <c r="AG39" s="78">
        <f ca="1">IFERROR(__xludf.DUMMYFUNCTION("IMPORTRANGE(""https://docs.google.com/spreadsheets/d/1l6IZ8xUPgMrESzcTYwhA1k_tPjeQjJPTqlm8Gd9eU5g/edit?usp=sharing"",""มหาสารคาม!J114"")"),10)</f>
        <v>10</v>
      </c>
      <c r="AH39" s="79">
        <f t="shared" ca="1" si="46"/>
        <v>100</v>
      </c>
    </row>
    <row r="40" spans="1:34" ht="21" customHeight="1" x14ac:dyDescent="0.3">
      <c r="A40" s="147">
        <v>9</v>
      </c>
      <c r="B40" s="148" t="s">
        <v>68</v>
      </c>
      <c r="C40" s="149">
        <f t="shared" ca="1" si="28"/>
        <v>106900</v>
      </c>
      <c r="D40" s="150">
        <f t="shared" ca="1" si="54"/>
        <v>106900</v>
      </c>
      <c r="E40" s="151">
        <f ca="1">IFERROR(__xludf.DUMMYFUNCTION("IMPORTRANGE(""https://docs.google.com/spreadsheets/d/1-uDff_7J0KD5mKrp0Vvzr7lt3OU09vwQwhkpOPPYv2Y/edit?usp=sharing"",""งบพรบ!AX40"")"),61000)</f>
        <v>61000</v>
      </c>
      <c r="F40" s="151">
        <f ca="1">IFERROR(__xludf.DUMMYFUNCTION("IMPORTRANGE(""https://docs.google.com/spreadsheets/d/1-uDff_7J0KD5mKrp0Vvzr7lt3OU09vwQwhkpOPPYv2Y/edit?usp=sharing"",""งบพรบ!AY40"")"),45900)</f>
        <v>45900</v>
      </c>
      <c r="G40" s="151">
        <f ca="1">IFERROR(__xludf.DUMMYFUNCTION("IMPORTRANGE(""https://docs.google.com/spreadsheets/d/1-uDff_7J0KD5mKrp0Vvzr7lt3OU09vwQwhkpOPPYv2Y/edit?usp=sharing"",""งบพรบ!AZ40"")"),0)</f>
        <v>0</v>
      </c>
      <c r="H40" s="151">
        <f ca="1">IFERROR(__xludf.DUMMYFUNCTION("IMPORTRANGE(""https://docs.google.com/spreadsheets/d/1-uDff_7J0KD5mKrp0Vvzr7lt3OU09vwQwhkpOPPYv2Y/edit?usp=sharing"",""งบพรบ!BB40"")"),106900)</f>
        <v>106900</v>
      </c>
      <c r="I40" s="151">
        <f ca="1">IFERROR(__xludf.DUMMYFUNCTION("IMPORTRANGE(""https://docs.google.com/spreadsheets/d/1-uDff_7J0KD5mKrp0Vvzr7lt3OU09vwQwhkpOPPYv2Y/edit?usp=sharing"",""งบพรบ!BC40"")"),0)</f>
        <v>0</v>
      </c>
      <c r="J40" s="151">
        <f t="shared" ca="1" si="30"/>
        <v>103700</v>
      </c>
      <c r="K40" s="154">
        <f t="shared" ca="1" si="31"/>
        <v>97.006548175865291</v>
      </c>
      <c r="L40" s="151">
        <f ca="1">IFERROR(__xludf.DUMMYFUNCTION("IMPORTRANGE(""https://docs.google.com/spreadsheets/d/1-uDff_7J0KD5mKrp0Vvzr7lt3OU09vwQwhkpOPPYv2Y/edit?usp=sharing"",""งบพรบ!BD40"")"),103700)</f>
        <v>103700</v>
      </c>
      <c r="M40" s="68">
        <f t="shared" ca="1" si="32"/>
        <v>97.006548175865291</v>
      </c>
      <c r="N40" s="68">
        <f t="shared" ca="1" si="33"/>
        <v>97.006548175865291</v>
      </c>
      <c r="O40" s="67">
        <f ca="1">IFERROR(__xludf.DUMMYFUNCTION("IMPORTRANGE(""https://docs.google.com/spreadsheets/d/1-uDff_7J0KD5mKrp0Vvzr7lt3OU09vwQwhkpOPPYv2Y/edit?usp=sharing"",""งบพรบ!BE40"")"),0)</f>
        <v>0</v>
      </c>
      <c r="P40" s="67">
        <f t="shared" ca="1" si="34"/>
        <v>0</v>
      </c>
      <c r="Q40" s="68">
        <f t="shared" ca="1" si="35"/>
        <v>0</v>
      </c>
      <c r="R40" s="67">
        <f ca="1">IFERROR(__xludf.DUMMYFUNCTION("IMPORTRANGE(""https://docs.google.com/spreadsheets/d/1uB74YLqNjWX6FObjekfB2NtSYigTQyR2rq9u4Ub2Sq4/edit?usp=sharing"",""มุกดาหาร!Q94"")"),116856)</f>
        <v>116856</v>
      </c>
      <c r="S40" s="67">
        <f ca="1">IFERROR(__xludf.DUMMYFUNCTION("IMPORTRANGE(""https://docs.google.com/spreadsheets/d/1uB74YLqNjWX6FObjekfB2NtSYigTQyR2rq9u4Ub2Sq4/edit?usp=sharing"",""มุกดาหาร!R94"")"),54630.2)</f>
        <v>54630.2</v>
      </c>
      <c r="T40" s="67">
        <f ca="1">IFERROR(__xludf.DUMMYFUNCTION("IMPORTRANGE(""https://docs.google.com/spreadsheets/d/1uB74YLqNjWX6FObjekfB2NtSYigTQyR2rq9u4Ub2Sq4/edit?usp=sharing"",""มุกดาหาร!S94"")"),54630.2)</f>
        <v>54630.2</v>
      </c>
      <c r="U40" s="68">
        <f t="shared" ca="1" si="37"/>
        <v>46.75001711508181</v>
      </c>
      <c r="V40" s="68">
        <f t="shared" ca="1" si="38"/>
        <v>100</v>
      </c>
      <c r="W40" s="78">
        <f ca="1">IFERROR(__xludf.DUMMYFUNCTION("IMPORTRANGE(""https://docs.google.com/spreadsheets/d/1uB74YLqNjWX6FObjekfB2NtSYigTQyR2rq9u4Ub2Sq4/edit?usp=sharing"",""มุกดาหาร!I108"")"),54)</f>
        <v>54</v>
      </c>
      <c r="X40" s="78">
        <f ca="1">IFERROR(__xludf.DUMMYFUNCTION("IMPORTRANGE(""https://docs.google.com/spreadsheets/d/1uB74YLqNjWX6FObjekfB2NtSYigTQyR2rq9u4Ub2Sq4/edit?usp=sharing"",""มุกดาหาร!J108"")"),54)</f>
        <v>54</v>
      </c>
      <c r="Y40" s="79">
        <f t="shared" ca="1" si="40"/>
        <v>100</v>
      </c>
      <c r="Z40" s="78">
        <f ca="1">IFERROR(__xludf.DUMMYFUNCTION("IMPORTRANGE(""https://docs.google.com/spreadsheets/d/1uB74YLqNjWX6FObjekfB2NtSYigTQyR2rq9u4Ub2Sq4/edit?usp=sharing"",""มุกดาหาร!I109"")"),18)</f>
        <v>18</v>
      </c>
      <c r="AA40" s="78">
        <f ca="1">IFERROR(__xludf.DUMMYFUNCTION("IMPORTRANGE(""https://docs.google.com/spreadsheets/d/1uB74YLqNjWX6FObjekfB2NtSYigTQyR2rq9u4Ub2Sq4/edit?usp=sharing"",""มุกดาหาร!J109"")"),18)</f>
        <v>18</v>
      </c>
      <c r="AB40" s="79">
        <f t="shared" ca="1" si="42"/>
        <v>100</v>
      </c>
      <c r="AC40" s="78">
        <f ca="1">IFERROR(__xludf.DUMMYFUNCTION("IMPORTRANGE(""https://docs.google.com/spreadsheets/d/1uB74YLqNjWX6FObjekfB2NtSYigTQyR2rq9u4Ub2Sq4/edit?usp=sharing"",""มุกดาหาร!I113"")"),54)</f>
        <v>54</v>
      </c>
      <c r="AD40" s="78">
        <f ca="1">IFERROR(__xludf.DUMMYFUNCTION("IMPORTRANGE(""https://docs.google.com/spreadsheets/d/1uB74YLqNjWX6FObjekfB2NtSYigTQyR2rq9u4Ub2Sq4/edit?usp=sharing"",""มุกดาหาร!J113"")"),54)</f>
        <v>54</v>
      </c>
      <c r="AE40" s="79">
        <f t="shared" ca="1" si="44"/>
        <v>100</v>
      </c>
      <c r="AF40" s="78">
        <f ca="1">IFERROR(__xludf.DUMMYFUNCTION("IMPORTRANGE(""https://docs.google.com/spreadsheets/d/1uB74YLqNjWX6FObjekfB2NtSYigTQyR2rq9u4Ub2Sq4/edit?usp=sharing"",""มุกดาหาร!I114"")"),18)</f>
        <v>18</v>
      </c>
      <c r="AG40" s="78">
        <f ca="1">IFERROR(__xludf.DUMMYFUNCTION("IMPORTRANGE(""https://docs.google.com/spreadsheets/d/1uB74YLqNjWX6FObjekfB2NtSYigTQyR2rq9u4Ub2Sq4/edit?usp=sharing"",""มุกดาหาร!J114"")"),18)</f>
        <v>18</v>
      </c>
      <c r="AH40" s="79">
        <f t="shared" ca="1" si="46"/>
        <v>100</v>
      </c>
    </row>
    <row r="41" spans="1:34" ht="21" customHeight="1" x14ac:dyDescent="0.3">
      <c r="A41" s="147">
        <v>10</v>
      </c>
      <c r="B41" s="148" t="s">
        <v>69</v>
      </c>
      <c r="C41" s="149">
        <f t="shared" ca="1" si="28"/>
        <v>51000</v>
      </c>
      <c r="D41" s="150">
        <f t="shared" ca="1" si="54"/>
        <v>51000</v>
      </c>
      <c r="E41" s="151">
        <f ca="1">IFERROR(__xludf.DUMMYFUNCTION("IMPORTRANGE(""https://docs.google.com/spreadsheets/d/1-uDff_7J0KD5mKrp0Vvzr7lt3OU09vwQwhkpOPPYv2Y/edit?usp=sharing"",""งบพรบ!AX41"")"),0)</f>
        <v>0</v>
      </c>
      <c r="F41" s="151">
        <f ca="1">IFERROR(__xludf.DUMMYFUNCTION("IMPORTRANGE(""https://docs.google.com/spreadsheets/d/1-uDff_7J0KD5mKrp0Vvzr7lt3OU09vwQwhkpOPPYv2Y/edit?usp=sharing"",""งบพรบ!AY41"")"),51000)</f>
        <v>51000</v>
      </c>
      <c r="G41" s="151">
        <f ca="1">IFERROR(__xludf.DUMMYFUNCTION("IMPORTRANGE(""https://docs.google.com/spreadsheets/d/1-uDff_7J0KD5mKrp0Vvzr7lt3OU09vwQwhkpOPPYv2Y/edit?usp=sharing"",""งบพรบ!AZ41"")"),0)</f>
        <v>0</v>
      </c>
      <c r="H41" s="151">
        <f ca="1">IFERROR(__xludf.DUMMYFUNCTION("IMPORTRANGE(""https://docs.google.com/spreadsheets/d/1-uDff_7J0KD5mKrp0Vvzr7lt3OU09vwQwhkpOPPYv2Y/edit?usp=sharing"",""งบพรบ!BB41"")"),51000)</f>
        <v>51000</v>
      </c>
      <c r="I41" s="151">
        <f ca="1">IFERROR(__xludf.DUMMYFUNCTION("IMPORTRANGE(""https://docs.google.com/spreadsheets/d/1-uDff_7J0KD5mKrp0Vvzr7lt3OU09vwQwhkpOPPYv2Y/edit?usp=sharing"",""งบพรบ!BC41"")"),0)</f>
        <v>0</v>
      </c>
      <c r="J41" s="151">
        <f t="shared" ca="1" si="30"/>
        <v>51000</v>
      </c>
      <c r="K41" s="154">
        <f t="shared" ca="1" si="31"/>
        <v>100</v>
      </c>
      <c r="L41" s="151">
        <f ca="1">IFERROR(__xludf.DUMMYFUNCTION("IMPORTRANGE(""https://docs.google.com/spreadsheets/d/1-uDff_7J0KD5mKrp0Vvzr7lt3OU09vwQwhkpOPPYv2Y/edit?usp=sharing"",""งบพรบ!BD41"")"),51000)</f>
        <v>51000</v>
      </c>
      <c r="M41" s="68">
        <f t="shared" ca="1" si="32"/>
        <v>100</v>
      </c>
      <c r="N41" s="68">
        <f t="shared" ca="1" si="33"/>
        <v>100</v>
      </c>
      <c r="O41" s="67">
        <f ca="1">IFERROR(__xludf.DUMMYFUNCTION("IMPORTRANGE(""https://docs.google.com/spreadsheets/d/1-uDff_7J0KD5mKrp0Vvzr7lt3OU09vwQwhkpOPPYv2Y/edit?usp=sharing"",""งบพรบ!BE41"")"),0)</f>
        <v>0</v>
      </c>
      <c r="P41" s="67">
        <f t="shared" ca="1" si="34"/>
        <v>0</v>
      </c>
      <c r="Q41" s="68">
        <f t="shared" ca="1" si="35"/>
        <v>0</v>
      </c>
      <c r="R41" s="67">
        <f ca="1">IFERROR(__xludf.DUMMYFUNCTION("IMPORTRANGE(""https://docs.google.com/spreadsheets/d/1NexK3geCPxCTO1fzNF8dPec7yZyUx3OaWkFBC9HsQOo/edit?usp=sharing"",""ยโสธร!Q94"")"),129840)</f>
        <v>129840</v>
      </c>
      <c r="S41" s="67">
        <f ca="1">IFERROR(__xludf.DUMMYFUNCTION("IMPORTRANGE(""https://docs.google.com/spreadsheets/d/1NexK3geCPxCTO1fzNF8dPec7yZyUx3OaWkFBC9HsQOo/edit?usp=sharing"",""ยโสธร!R94"")"),129840)</f>
        <v>129840</v>
      </c>
      <c r="T41" s="67">
        <f ca="1">IFERROR(__xludf.DUMMYFUNCTION("IMPORTRANGE(""https://docs.google.com/spreadsheets/d/1NexK3geCPxCTO1fzNF8dPec7yZyUx3OaWkFBC9HsQOo/edit?usp=sharing"",""ยโสธร!S94"")"),62880)</f>
        <v>62880</v>
      </c>
      <c r="U41" s="68">
        <f t="shared" ca="1" si="37"/>
        <v>48.428835489833638</v>
      </c>
      <c r="V41" s="68">
        <f t="shared" ca="1" si="38"/>
        <v>48.428835489833638</v>
      </c>
      <c r="W41" s="78">
        <f ca="1">IFERROR(__xludf.DUMMYFUNCTION("IMPORTRANGE(""https://docs.google.com/spreadsheets/d/1NexK3geCPxCTO1fzNF8dPec7yZyUx3OaWkFBC9HsQOo/edit?usp=sharing"",""ยโสธร!I108"")"),60)</f>
        <v>60</v>
      </c>
      <c r="X41" s="78">
        <f ca="1">IFERROR(__xludf.DUMMYFUNCTION("IMPORTRANGE(""https://docs.google.com/spreadsheets/d/1NexK3geCPxCTO1fzNF8dPec7yZyUx3OaWkFBC9HsQOo/edit?usp=sharing"",""ยโสธร!J108"")"),60)</f>
        <v>60</v>
      </c>
      <c r="Y41" s="79">
        <f t="shared" ca="1" si="40"/>
        <v>100</v>
      </c>
      <c r="Z41" s="78">
        <f ca="1">IFERROR(__xludf.DUMMYFUNCTION("IMPORTRANGE(""https://docs.google.com/spreadsheets/d/1NexK3geCPxCTO1fzNF8dPec7yZyUx3OaWkFBC9HsQOo/edit?usp=sharing"",""ยโสธร!I109"")"),20)</f>
        <v>20</v>
      </c>
      <c r="AA41" s="78">
        <f ca="1">IFERROR(__xludf.DUMMYFUNCTION("IMPORTRANGE(""https://docs.google.com/spreadsheets/d/1NexK3geCPxCTO1fzNF8dPec7yZyUx3OaWkFBC9HsQOo/edit?usp=sharing"",""ยโสธร!J109"")"),20)</f>
        <v>20</v>
      </c>
      <c r="AB41" s="79">
        <f t="shared" ca="1" si="42"/>
        <v>100</v>
      </c>
      <c r="AC41" s="78">
        <f ca="1">IFERROR(__xludf.DUMMYFUNCTION("IMPORTRANGE(""https://docs.google.com/spreadsheets/d/1NexK3geCPxCTO1fzNF8dPec7yZyUx3OaWkFBC9HsQOo/edit?usp=sharing"",""ยโสธร!I113"")"),60)</f>
        <v>60</v>
      </c>
      <c r="AD41" s="78">
        <f ca="1">IFERROR(__xludf.DUMMYFUNCTION("IMPORTRANGE(""https://docs.google.com/spreadsheets/d/1NexK3geCPxCTO1fzNF8dPec7yZyUx3OaWkFBC9HsQOo/edit?usp=sharing"",""ยโสธร!J113"")"),60)</f>
        <v>60</v>
      </c>
      <c r="AE41" s="79">
        <f t="shared" ca="1" si="44"/>
        <v>100</v>
      </c>
      <c r="AF41" s="78">
        <f ca="1">IFERROR(__xludf.DUMMYFUNCTION("IMPORTRANGE(""https://docs.google.com/spreadsheets/d/1NexK3geCPxCTO1fzNF8dPec7yZyUx3OaWkFBC9HsQOo/edit?usp=sharing"",""ยโสธร!I114"")"),20)</f>
        <v>20</v>
      </c>
      <c r="AG41" s="78">
        <f ca="1">IFERROR(__xludf.DUMMYFUNCTION("IMPORTRANGE(""https://docs.google.com/spreadsheets/d/1NexK3geCPxCTO1fzNF8dPec7yZyUx3OaWkFBC9HsQOo/edit?usp=sharing"",""ยโสธร!J114"")"),20)</f>
        <v>20</v>
      </c>
      <c r="AH41" s="79">
        <f t="shared" ca="1" si="46"/>
        <v>100</v>
      </c>
    </row>
    <row r="42" spans="1:34" ht="21" customHeight="1" x14ac:dyDescent="0.3">
      <c r="A42" s="147">
        <v>11</v>
      </c>
      <c r="B42" s="148" t="s">
        <v>70</v>
      </c>
      <c r="C42" s="149">
        <f t="shared" ca="1" si="28"/>
        <v>0</v>
      </c>
      <c r="D42" s="150">
        <f t="shared" ca="1" si="54"/>
        <v>0</v>
      </c>
      <c r="E42" s="151">
        <f ca="1">IFERROR(__xludf.DUMMYFUNCTION("IMPORTRANGE(""https://docs.google.com/spreadsheets/d/1-uDff_7J0KD5mKrp0Vvzr7lt3OU09vwQwhkpOPPYv2Y/edit?usp=sharing"",""งบพรบ!AX42"")"),0)</f>
        <v>0</v>
      </c>
      <c r="F42" s="151">
        <f ca="1">IFERROR(__xludf.DUMMYFUNCTION("IMPORTRANGE(""https://docs.google.com/spreadsheets/d/1-uDff_7J0KD5mKrp0Vvzr7lt3OU09vwQwhkpOPPYv2Y/edit?usp=sharing"",""งบพรบ!AY42"")"),0)</f>
        <v>0</v>
      </c>
      <c r="G42" s="151">
        <f ca="1">IFERROR(__xludf.DUMMYFUNCTION("IMPORTRANGE(""https://docs.google.com/spreadsheets/d/1-uDff_7J0KD5mKrp0Vvzr7lt3OU09vwQwhkpOPPYv2Y/edit?usp=sharing"",""งบพรบ!AZ42"")"),0)</f>
        <v>0</v>
      </c>
      <c r="H42" s="151">
        <f ca="1">IFERROR(__xludf.DUMMYFUNCTION("IMPORTRANGE(""https://docs.google.com/spreadsheets/d/1-uDff_7J0KD5mKrp0Vvzr7lt3OU09vwQwhkpOPPYv2Y/edit?usp=sharing"",""งบพรบ!BB42"")"),0)</f>
        <v>0</v>
      </c>
      <c r="I42" s="151">
        <f ca="1">IFERROR(__xludf.DUMMYFUNCTION("IMPORTRANGE(""https://docs.google.com/spreadsheets/d/1-uDff_7J0KD5mKrp0Vvzr7lt3OU09vwQwhkpOPPYv2Y/edit?usp=sharing"",""งบพรบ!BC42"")"),0)</f>
        <v>0</v>
      </c>
      <c r="J42" s="151">
        <f t="shared" ca="1" si="30"/>
        <v>0</v>
      </c>
      <c r="K42" s="154">
        <f t="shared" ca="1" si="31"/>
        <v>0</v>
      </c>
      <c r="L42" s="151">
        <f ca="1">IFERROR(__xludf.DUMMYFUNCTION("IMPORTRANGE(""https://docs.google.com/spreadsheets/d/1-uDff_7J0KD5mKrp0Vvzr7lt3OU09vwQwhkpOPPYv2Y/edit?usp=sharing"",""งบพรบ!BD42"")"),0)</f>
        <v>0</v>
      </c>
      <c r="M42" s="68">
        <f t="shared" ca="1" si="32"/>
        <v>0</v>
      </c>
      <c r="N42" s="68">
        <f t="shared" ca="1" si="33"/>
        <v>0</v>
      </c>
      <c r="O42" s="67">
        <f ca="1">IFERROR(__xludf.DUMMYFUNCTION("IMPORTRANGE(""https://docs.google.com/spreadsheets/d/1-uDff_7J0KD5mKrp0Vvzr7lt3OU09vwQwhkpOPPYv2Y/edit?usp=sharing"",""งบพรบ!BE42"")"),0)</f>
        <v>0</v>
      </c>
      <c r="P42" s="67">
        <f t="shared" ca="1" si="34"/>
        <v>0</v>
      </c>
      <c r="Q42" s="68">
        <f t="shared" ca="1" si="35"/>
        <v>0</v>
      </c>
      <c r="R42" s="67">
        <f ca="1">IFERROR(__xludf.DUMMYFUNCTION("IMPORTRANGE(""https://docs.google.com/spreadsheets/d/1v_cJrbBlyqmnHPReHk44g9NrMRdENNlSy_E_c5M9fIg/edit?usp=sharing"",""ร้อยเอ็ด!Q94"")"),0)</f>
        <v>0</v>
      </c>
      <c r="S42" s="67">
        <f ca="1">IFERROR(__xludf.DUMMYFUNCTION("IMPORTRANGE(""https://docs.google.com/spreadsheets/d/1v_cJrbBlyqmnHPReHk44g9NrMRdENNlSy_E_c5M9fIg/edit?usp=sharing"",""ร้อยเอ็ด!R94"")"),0)</f>
        <v>0</v>
      </c>
      <c r="T42" s="67">
        <f ca="1">IFERROR(__xludf.DUMMYFUNCTION("IMPORTRANGE(""https://docs.google.com/spreadsheets/d/1v_cJrbBlyqmnHPReHk44g9NrMRdENNlSy_E_c5M9fIg/edit?usp=sharing"",""ร้อยเอ็ด!S94"")"),0)</f>
        <v>0</v>
      </c>
      <c r="U42" s="68">
        <f t="shared" ca="1" si="37"/>
        <v>0</v>
      </c>
      <c r="V42" s="68">
        <f t="shared" ca="1" si="38"/>
        <v>0</v>
      </c>
      <c r="W42" s="74">
        <f ca="1">IFERROR(__xludf.DUMMYFUNCTION("IMPORTRANGE(""https://docs.google.com/spreadsheets/d/1v_cJrbBlyqmnHPReHk44g9NrMRdENNlSy_E_c5M9fIg/edit?usp=sharing"",""ร้อยเอ็ด!I108"")"),0)</f>
        <v>0</v>
      </c>
      <c r="X42" s="74">
        <f ca="1">IFERROR(__xludf.DUMMYFUNCTION("IMPORTRANGE(""https://docs.google.com/spreadsheets/d/1v_cJrbBlyqmnHPReHk44g9NrMRdENNlSy_E_c5M9fIg/edit?usp=sharing"",""ร้อยเอ็ด!J108"")"),0)</f>
        <v>0</v>
      </c>
      <c r="Y42" s="79">
        <f t="shared" ca="1" si="40"/>
        <v>0</v>
      </c>
      <c r="Z42" s="74">
        <f ca="1">IFERROR(__xludf.DUMMYFUNCTION("IMPORTRANGE(""https://docs.google.com/spreadsheets/d/1v_cJrbBlyqmnHPReHk44g9NrMRdENNlSy_E_c5M9fIg/edit?usp=sharing"",""ร้อยเอ็ด!I109"")"),0)</f>
        <v>0</v>
      </c>
      <c r="AA42" s="74">
        <f ca="1">IFERROR(__xludf.DUMMYFUNCTION("IMPORTRANGE(""https://docs.google.com/spreadsheets/d/1v_cJrbBlyqmnHPReHk44g9NrMRdENNlSy_E_c5M9fIg/edit?usp=sharing"",""ร้อยเอ็ด!J109"")"),0)</f>
        <v>0</v>
      </c>
      <c r="AB42" s="79">
        <f t="shared" ca="1" si="42"/>
        <v>0</v>
      </c>
      <c r="AC42" s="74">
        <f ca="1">IFERROR(__xludf.DUMMYFUNCTION("IMPORTRANGE(""https://docs.google.com/spreadsheets/d/1v_cJrbBlyqmnHPReHk44g9NrMRdENNlSy_E_c5M9fIg/edit?usp=sharing"",""ร้อยเอ็ด!I113"")"),0)</f>
        <v>0</v>
      </c>
      <c r="AD42" s="74">
        <f ca="1">IFERROR(__xludf.DUMMYFUNCTION("IMPORTRANGE(""https://docs.google.com/spreadsheets/d/1v_cJrbBlyqmnHPReHk44g9NrMRdENNlSy_E_c5M9fIg/edit?usp=sharing"",""ร้อยเอ็ด!J113"")"),0)</f>
        <v>0</v>
      </c>
      <c r="AE42" s="79">
        <f t="shared" ca="1" si="44"/>
        <v>0</v>
      </c>
      <c r="AF42" s="74">
        <f ca="1">IFERROR(__xludf.DUMMYFUNCTION("IMPORTRANGE(""https://docs.google.com/spreadsheets/d/1v_cJrbBlyqmnHPReHk44g9NrMRdENNlSy_E_c5M9fIg/edit?usp=sharing"",""ร้อยเอ็ด!I114"")"),0)</f>
        <v>0</v>
      </c>
      <c r="AG42" s="74">
        <f ca="1">IFERROR(__xludf.DUMMYFUNCTION("IMPORTRANGE(""https://docs.google.com/spreadsheets/d/1v_cJrbBlyqmnHPReHk44g9NrMRdENNlSy_E_c5M9fIg/edit?usp=sharing"",""ร้อยเอ็ด!J114"")"),0)</f>
        <v>0</v>
      </c>
      <c r="AH42" s="79">
        <f t="shared" ca="1" si="46"/>
        <v>0</v>
      </c>
    </row>
    <row r="43" spans="1:34" ht="21" customHeight="1" x14ac:dyDescent="0.3">
      <c r="A43" s="147">
        <v>12</v>
      </c>
      <c r="B43" s="148" t="s">
        <v>71</v>
      </c>
      <c r="C43" s="149">
        <f t="shared" ca="1" si="28"/>
        <v>0</v>
      </c>
      <c r="D43" s="150">
        <f t="shared" ca="1" si="54"/>
        <v>0</v>
      </c>
      <c r="E43" s="151">
        <f ca="1">IFERROR(__xludf.DUMMYFUNCTION("IMPORTRANGE(""https://docs.google.com/spreadsheets/d/1-uDff_7J0KD5mKrp0Vvzr7lt3OU09vwQwhkpOPPYv2Y/edit?usp=sharing"",""งบพรบ!AX43"")"),0)</f>
        <v>0</v>
      </c>
      <c r="F43" s="151">
        <f ca="1">IFERROR(__xludf.DUMMYFUNCTION("IMPORTRANGE(""https://docs.google.com/spreadsheets/d/1-uDff_7J0KD5mKrp0Vvzr7lt3OU09vwQwhkpOPPYv2Y/edit?usp=sharing"",""งบพรบ!AY43"")"),0)</f>
        <v>0</v>
      </c>
      <c r="G43" s="151">
        <f ca="1">IFERROR(__xludf.DUMMYFUNCTION("IMPORTRANGE(""https://docs.google.com/spreadsheets/d/1-uDff_7J0KD5mKrp0Vvzr7lt3OU09vwQwhkpOPPYv2Y/edit?usp=sharing"",""งบพรบ!AZ43"")"),0)</f>
        <v>0</v>
      </c>
      <c r="H43" s="151">
        <f ca="1">IFERROR(__xludf.DUMMYFUNCTION("IMPORTRANGE(""https://docs.google.com/spreadsheets/d/1-uDff_7J0KD5mKrp0Vvzr7lt3OU09vwQwhkpOPPYv2Y/edit?usp=sharing"",""งบพรบ!BB43"")"),0)</f>
        <v>0</v>
      </c>
      <c r="I43" s="151">
        <f ca="1">IFERROR(__xludf.DUMMYFUNCTION("IMPORTRANGE(""https://docs.google.com/spreadsheets/d/1-uDff_7J0KD5mKrp0Vvzr7lt3OU09vwQwhkpOPPYv2Y/edit?usp=sharing"",""งบพรบ!BC43"")"),0)</f>
        <v>0</v>
      </c>
      <c r="J43" s="151">
        <f t="shared" ca="1" si="30"/>
        <v>0</v>
      </c>
      <c r="K43" s="154">
        <f t="shared" ca="1" si="31"/>
        <v>0</v>
      </c>
      <c r="L43" s="151">
        <f ca="1">IFERROR(__xludf.DUMMYFUNCTION("IMPORTRANGE(""https://docs.google.com/spreadsheets/d/1-uDff_7J0KD5mKrp0Vvzr7lt3OU09vwQwhkpOPPYv2Y/edit?usp=sharing"",""งบพรบ!BD43"")"),0)</f>
        <v>0</v>
      </c>
      <c r="M43" s="68">
        <f t="shared" ca="1" si="32"/>
        <v>0</v>
      </c>
      <c r="N43" s="68">
        <f t="shared" ca="1" si="33"/>
        <v>0</v>
      </c>
      <c r="O43" s="67">
        <f ca="1">IFERROR(__xludf.DUMMYFUNCTION("IMPORTRANGE(""https://docs.google.com/spreadsheets/d/1-uDff_7J0KD5mKrp0Vvzr7lt3OU09vwQwhkpOPPYv2Y/edit?usp=sharing"",""งบพรบ!BE43"")"),0)</f>
        <v>0</v>
      </c>
      <c r="P43" s="67">
        <f t="shared" ca="1" si="34"/>
        <v>0</v>
      </c>
      <c r="Q43" s="68">
        <f t="shared" ca="1" si="35"/>
        <v>0</v>
      </c>
      <c r="R43" s="67">
        <f ca="1">IFERROR(__xludf.DUMMYFUNCTION("IMPORTRANGE(""https://docs.google.com/spreadsheets/d/1Ul4RCpCX66NxYADU1QpwAPjOmBzW64SsT11s1wzXw_c/edit?usp=sharing"",""เลย!Q94"")"),0)</f>
        <v>0</v>
      </c>
      <c r="S43" s="67">
        <f ca="1">IFERROR(__xludf.DUMMYFUNCTION("IMPORTRANGE(""https://docs.google.com/spreadsheets/d/1Ul4RCpCX66NxYADU1QpwAPjOmBzW64SsT11s1wzXw_c/edit?usp=sharing"",""เลย!R94"")"),0)</f>
        <v>0</v>
      </c>
      <c r="T43" s="67">
        <f ca="1">IFERROR(__xludf.DUMMYFUNCTION("IMPORTRANGE(""https://docs.google.com/spreadsheets/d/1Ul4RCpCX66NxYADU1QpwAPjOmBzW64SsT11s1wzXw_c/edit?usp=sharing"",""เลย!S94"")"),0)</f>
        <v>0</v>
      </c>
      <c r="U43" s="68">
        <f t="shared" ca="1" si="37"/>
        <v>0</v>
      </c>
      <c r="V43" s="68">
        <f t="shared" ca="1" si="38"/>
        <v>0</v>
      </c>
      <c r="W43" s="74">
        <f ca="1">IFERROR(__xludf.DUMMYFUNCTION("IMPORTRANGE(""https://docs.google.com/spreadsheets/d/1Ul4RCpCX66NxYADU1QpwAPjOmBzW64SsT11s1wzXw_c/edit?usp=sharing"",""เลย!I108"")"),0)</f>
        <v>0</v>
      </c>
      <c r="X43" s="74">
        <f ca="1">IFERROR(__xludf.DUMMYFUNCTION("IMPORTRANGE(""https://docs.google.com/spreadsheets/d/1Ul4RCpCX66NxYADU1QpwAPjOmBzW64SsT11s1wzXw_c/edit?usp=sharing"",""เลย!J108"")"),0)</f>
        <v>0</v>
      </c>
      <c r="Y43" s="79">
        <f t="shared" ca="1" si="40"/>
        <v>0</v>
      </c>
      <c r="Z43" s="74">
        <f ca="1">IFERROR(__xludf.DUMMYFUNCTION("IMPORTRANGE(""https://docs.google.com/spreadsheets/d/1Ul4RCpCX66NxYADU1QpwAPjOmBzW64SsT11s1wzXw_c/edit?usp=sharing"",""เลย!I109"")"),0)</f>
        <v>0</v>
      </c>
      <c r="AA43" s="74">
        <f ca="1">IFERROR(__xludf.DUMMYFUNCTION("IMPORTRANGE(""https://docs.google.com/spreadsheets/d/1Ul4RCpCX66NxYADU1QpwAPjOmBzW64SsT11s1wzXw_c/edit?usp=sharing"",""เลย!J109"")"),0)</f>
        <v>0</v>
      </c>
      <c r="AB43" s="79">
        <f t="shared" ca="1" si="42"/>
        <v>0</v>
      </c>
      <c r="AC43" s="74">
        <f ca="1">IFERROR(__xludf.DUMMYFUNCTION("IMPORTRANGE(""https://docs.google.com/spreadsheets/d/1Ul4RCpCX66NxYADU1QpwAPjOmBzW64SsT11s1wzXw_c/edit?usp=sharing"",""เลย!I113"")"),0)</f>
        <v>0</v>
      </c>
      <c r="AD43" s="74">
        <f ca="1">IFERROR(__xludf.DUMMYFUNCTION("IMPORTRANGE(""https://docs.google.com/spreadsheets/d/1Ul4RCpCX66NxYADU1QpwAPjOmBzW64SsT11s1wzXw_c/edit?usp=sharing"",""เลย!J113"")"),0)</f>
        <v>0</v>
      </c>
      <c r="AE43" s="79">
        <f t="shared" ca="1" si="44"/>
        <v>0</v>
      </c>
      <c r="AF43" s="74">
        <f ca="1">IFERROR(__xludf.DUMMYFUNCTION("IMPORTRANGE(""https://docs.google.com/spreadsheets/d/1Ul4RCpCX66NxYADU1QpwAPjOmBzW64SsT11s1wzXw_c/edit?usp=sharing"",""เลย!I114"")"),0)</f>
        <v>0</v>
      </c>
      <c r="AG43" s="74">
        <f ca="1">IFERROR(__xludf.DUMMYFUNCTION("IMPORTRANGE(""https://docs.google.com/spreadsheets/d/1Ul4RCpCX66NxYADU1QpwAPjOmBzW64SsT11s1wzXw_c/edit?usp=sharing"",""เลย!J114"")"),0)</f>
        <v>0</v>
      </c>
      <c r="AH43" s="79">
        <f t="shared" ca="1" si="46"/>
        <v>0</v>
      </c>
    </row>
    <row r="44" spans="1:34" ht="21" customHeight="1" x14ac:dyDescent="0.3">
      <c r="A44" s="147">
        <v>13</v>
      </c>
      <c r="B44" s="148" t="s">
        <v>72</v>
      </c>
      <c r="C44" s="149">
        <f t="shared" ca="1" si="28"/>
        <v>0</v>
      </c>
      <c r="D44" s="150">
        <f t="shared" ca="1" si="54"/>
        <v>0</v>
      </c>
      <c r="E44" s="151">
        <f ca="1">IFERROR(__xludf.DUMMYFUNCTION("IMPORTRANGE(""https://docs.google.com/spreadsheets/d/1-uDff_7J0KD5mKrp0Vvzr7lt3OU09vwQwhkpOPPYv2Y/edit?usp=sharing"",""งบพรบ!AX44"")"),0)</f>
        <v>0</v>
      </c>
      <c r="F44" s="151">
        <f ca="1">IFERROR(__xludf.DUMMYFUNCTION("IMPORTRANGE(""https://docs.google.com/spreadsheets/d/1-uDff_7J0KD5mKrp0Vvzr7lt3OU09vwQwhkpOPPYv2Y/edit?usp=sharing"",""งบพรบ!AY44"")"),0)</f>
        <v>0</v>
      </c>
      <c r="G44" s="151">
        <f ca="1">IFERROR(__xludf.DUMMYFUNCTION("IMPORTRANGE(""https://docs.google.com/spreadsheets/d/1-uDff_7J0KD5mKrp0Vvzr7lt3OU09vwQwhkpOPPYv2Y/edit?usp=sharing"",""งบพรบ!AZ44"")"),0)</f>
        <v>0</v>
      </c>
      <c r="H44" s="151">
        <f ca="1">IFERROR(__xludf.DUMMYFUNCTION("IMPORTRANGE(""https://docs.google.com/spreadsheets/d/1-uDff_7J0KD5mKrp0Vvzr7lt3OU09vwQwhkpOPPYv2Y/edit?usp=sharing"",""งบพรบ!BB44"")"),0)</f>
        <v>0</v>
      </c>
      <c r="I44" s="151">
        <f ca="1">IFERROR(__xludf.DUMMYFUNCTION("IMPORTRANGE(""https://docs.google.com/spreadsheets/d/1-uDff_7J0KD5mKrp0Vvzr7lt3OU09vwQwhkpOPPYv2Y/edit?usp=sharing"",""งบพรบ!BC44"")"),0)</f>
        <v>0</v>
      </c>
      <c r="J44" s="151">
        <f t="shared" ca="1" si="30"/>
        <v>0</v>
      </c>
      <c r="K44" s="154">
        <f t="shared" ca="1" si="31"/>
        <v>0</v>
      </c>
      <c r="L44" s="151">
        <f ca="1">IFERROR(__xludf.DUMMYFUNCTION("IMPORTRANGE(""https://docs.google.com/spreadsheets/d/1-uDff_7J0KD5mKrp0Vvzr7lt3OU09vwQwhkpOPPYv2Y/edit?usp=sharing"",""งบพรบ!BD44"")"),0)</f>
        <v>0</v>
      </c>
      <c r="M44" s="68">
        <f t="shared" ca="1" si="32"/>
        <v>0</v>
      </c>
      <c r="N44" s="68">
        <f t="shared" ca="1" si="33"/>
        <v>0</v>
      </c>
      <c r="O44" s="67">
        <f ca="1">IFERROR(__xludf.DUMMYFUNCTION("IMPORTRANGE(""https://docs.google.com/spreadsheets/d/1-uDff_7J0KD5mKrp0Vvzr7lt3OU09vwQwhkpOPPYv2Y/edit?usp=sharing"",""งบพรบ!BE44"")"),0)</f>
        <v>0</v>
      </c>
      <c r="P44" s="67">
        <f t="shared" ca="1" si="34"/>
        <v>0</v>
      </c>
      <c r="Q44" s="68">
        <f t="shared" ca="1" si="35"/>
        <v>0</v>
      </c>
      <c r="R44" s="67">
        <f ca="1">IFERROR(__xludf.DUMMYFUNCTION("IMPORTRANGE(""https://docs.google.com/spreadsheets/d/1bRrNKwbHDVktQG10isr5vbWRtt5spIZPpkOSWgbT5ug/edit?usp=sharing"",""ศรีสะเกษ!Q94"")"),0)</f>
        <v>0</v>
      </c>
      <c r="S44" s="67">
        <f ca="1">IFERROR(__xludf.DUMMYFUNCTION("IMPORTRANGE(""https://docs.google.com/spreadsheets/d/1bRrNKwbHDVktQG10isr5vbWRtt5spIZPpkOSWgbT5ug/edit?usp=sharing"",""ศรีสะเกษ!R94"")"),0)</f>
        <v>0</v>
      </c>
      <c r="T44" s="67">
        <f ca="1">IFERROR(__xludf.DUMMYFUNCTION("IMPORTRANGE(""https://docs.google.com/spreadsheets/d/1bRrNKwbHDVktQG10isr5vbWRtt5spIZPpkOSWgbT5ug/edit?usp=sharing"",""ศรีสะเกษ!S94"")"),0)</f>
        <v>0</v>
      </c>
      <c r="U44" s="68">
        <f t="shared" ca="1" si="37"/>
        <v>0</v>
      </c>
      <c r="V44" s="68">
        <f t="shared" ca="1" si="38"/>
        <v>0</v>
      </c>
      <c r="W44" s="74">
        <f ca="1">IFERROR(__xludf.DUMMYFUNCTION("IMPORTRANGE(""https://docs.google.com/spreadsheets/d/1bRrNKwbHDVktQG10isr5vbWRtt5spIZPpkOSWgbT5ug/edit?usp=sharing"",""ศรีสะเกษ!I108"")"),0)</f>
        <v>0</v>
      </c>
      <c r="X44" s="74">
        <f ca="1">IFERROR(__xludf.DUMMYFUNCTION("IMPORTRANGE(""https://docs.google.com/spreadsheets/d/1bRrNKwbHDVktQG10isr5vbWRtt5spIZPpkOSWgbT5ug/edit?usp=sharing"",""ศรีสะเกษ!J108"")"),0)</f>
        <v>0</v>
      </c>
      <c r="Y44" s="79">
        <f t="shared" ca="1" si="40"/>
        <v>0</v>
      </c>
      <c r="Z44" s="74">
        <f ca="1">IFERROR(__xludf.DUMMYFUNCTION("IMPORTRANGE(""https://docs.google.com/spreadsheets/d/1bRrNKwbHDVktQG10isr5vbWRtt5spIZPpkOSWgbT5ug/edit?usp=sharing"",""ศรีสะเกษ!I109"")"),0)</f>
        <v>0</v>
      </c>
      <c r="AA44" s="74">
        <f ca="1">IFERROR(__xludf.DUMMYFUNCTION("IMPORTRANGE(""https://docs.google.com/spreadsheets/d/1bRrNKwbHDVktQG10isr5vbWRtt5spIZPpkOSWgbT5ug/edit?usp=sharing"",""ศรีสะเกษ!J109"")"),0)</f>
        <v>0</v>
      </c>
      <c r="AB44" s="79">
        <f t="shared" ca="1" si="42"/>
        <v>0</v>
      </c>
      <c r="AC44" s="74">
        <f ca="1">IFERROR(__xludf.DUMMYFUNCTION("IMPORTRANGE(""https://docs.google.com/spreadsheets/d/1bRrNKwbHDVktQG10isr5vbWRtt5spIZPpkOSWgbT5ug/edit?usp=sharing"",""ศรีสะเกษ!I113"")"),0)</f>
        <v>0</v>
      </c>
      <c r="AD44" s="74">
        <f ca="1">IFERROR(__xludf.DUMMYFUNCTION("IMPORTRANGE(""https://docs.google.com/spreadsheets/d/1bRrNKwbHDVktQG10isr5vbWRtt5spIZPpkOSWgbT5ug/edit?usp=sharing"",""ศรีสะเกษ!J113"")"),0)</f>
        <v>0</v>
      </c>
      <c r="AE44" s="79">
        <f t="shared" ca="1" si="44"/>
        <v>0</v>
      </c>
      <c r="AF44" s="74">
        <f ca="1">IFERROR(__xludf.DUMMYFUNCTION("IMPORTRANGE(""https://docs.google.com/spreadsheets/d/1bRrNKwbHDVktQG10isr5vbWRtt5spIZPpkOSWgbT5ug/edit?usp=sharing"",""ศรีสะเกษ!I114"")"),0)</f>
        <v>0</v>
      </c>
      <c r="AG44" s="74">
        <f ca="1">IFERROR(__xludf.DUMMYFUNCTION("IMPORTRANGE(""https://docs.google.com/spreadsheets/d/1bRrNKwbHDVktQG10isr5vbWRtt5spIZPpkOSWgbT5ug/edit?usp=sharing"",""ศรีสะเกษ!J114"")"),0)</f>
        <v>0</v>
      </c>
      <c r="AH44" s="79">
        <f t="shared" ca="1" si="46"/>
        <v>0</v>
      </c>
    </row>
    <row r="45" spans="1:34" ht="21" customHeight="1" x14ac:dyDescent="0.3">
      <c r="A45" s="147">
        <v>14</v>
      </c>
      <c r="B45" s="148" t="s">
        <v>73</v>
      </c>
      <c r="C45" s="149">
        <f t="shared" ca="1" si="28"/>
        <v>0</v>
      </c>
      <c r="D45" s="150">
        <f t="shared" ca="1" si="54"/>
        <v>0</v>
      </c>
      <c r="E45" s="151">
        <f ca="1">IFERROR(__xludf.DUMMYFUNCTION("IMPORTRANGE(""https://docs.google.com/spreadsheets/d/1-uDff_7J0KD5mKrp0Vvzr7lt3OU09vwQwhkpOPPYv2Y/edit?usp=sharing"",""งบพรบ!AX45"")"),0)</f>
        <v>0</v>
      </c>
      <c r="F45" s="151">
        <f ca="1">IFERROR(__xludf.DUMMYFUNCTION("IMPORTRANGE(""https://docs.google.com/spreadsheets/d/1-uDff_7J0KD5mKrp0Vvzr7lt3OU09vwQwhkpOPPYv2Y/edit?usp=sharing"",""งบพรบ!AY45"")"),0)</f>
        <v>0</v>
      </c>
      <c r="G45" s="151">
        <f ca="1">IFERROR(__xludf.DUMMYFUNCTION("IMPORTRANGE(""https://docs.google.com/spreadsheets/d/1-uDff_7J0KD5mKrp0Vvzr7lt3OU09vwQwhkpOPPYv2Y/edit?usp=sharing"",""งบพรบ!AZ45"")"),0)</f>
        <v>0</v>
      </c>
      <c r="H45" s="151">
        <f ca="1">IFERROR(__xludf.DUMMYFUNCTION("IMPORTRANGE(""https://docs.google.com/spreadsheets/d/1-uDff_7J0KD5mKrp0Vvzr7lt3OU09vwQwhkpOPPYv2Y/edit?usp=sharing"",""งบพรบ!BB45"")"),0)</f>
        <v>0</v>
      </c>
      <c r="I45" s="151">
        <f ca="1">IFERROR(__xludf.DUMMYFUNCTION("IMPORTRANGE(""https://docs.google.com/spreadsheets/d/1-uDff_7J0KD5mKrp0Vvzr7lt3OU09vwQwhkpOPPYv2Y/edit?usp=sharing"",""งบพรบ!BC45"")"),0)</f>
        <v>0</v>
      </c>
      <c r="J45" s="151">
        <f t="shared" ca="1" si="30"/>
        <v>0</v>
      </c>
      <c r="K45" s="154">
        <f t="shared" ca="1" si="31"/>
        <v>0</v>
      </c>
      <c r="L45" s="151">
        <f ca="1">IFERROR(__xludf.DUMMYFUNCTION("IMPORTRANGE(""https://docs.google.com/spreadsheets/d/1-uDff_7J0KD5mKrp0Vvzr7lt3OU09vwQwhkpOPPYv2Y/edit?usp=sharing"",""งบพรบ!BD45"")"),0)</f>
        <v>0</v>
      </c>
      <c r="M45" s="68">
        <f t="shared" ca="1" si="32"/>
        <v>0</v>
      </c>
      <c r="N45" s="68">
        <f t="shared" ca="1" si="33"/>
        <v>0</v>
      </c>
      <c r="O45" s="67">
        <f ca="1">IFERROR(__xludf.DUMMYFUNCTION("IMPORTRANGE(""https://docs.google.com/spreadsheets/d/1-uDff_7J0KD5mKrp0Vvzr7lt3OU09vwQwhkpOPPYv2Y/edit?usp=sharing"",""งบพรบ!BE45"")"),0)</f>
        <v>0</v>
      </c>
      <c r="P45" s="67">
        <f t="shared" ca="1" si="34"/>
        <v>0</v>
      </c>
      <c r="Q45" s="68">
        <f t="shared" ca="1" si="35"/>
        <v>0</v>
      </c>
      <c r="R45" s="67">
        <f ca="1">IFERROR(__xludf.DUMMYFUNCTION("IMPORTRANGE(""https://docs.google.com/spreadsheets/d/17P34_Ow5kFBfdQD0qspb2UuPX5zpi6WMrQzslghyvrI/edit?usp=sharing"",""สกลนคร!Q94"")"),0)</f>
        <v>0</v>
      </c>
      <c r="S45" s="67">
        <f ca="1">IFERROR(__xludf.DUMMYFUNCTION("IMPORTRANGE(""https://docs.google.com/spreadsheets/d/17P34_Ow5kFBfdQD0qspb2UuPX5zpi6WMrQzslghyvrI/edit?usp=sharing"",""สกลนคร!R94"")"),0)</f>
        <v>0</v>
      </c>
      <c r="T45" s="67">
        <f ca="1">IFERROR(__xludf.DUMMYFUNCTION("IMPORTRANGE(""https://docs.google.com/spreadsheets/d/17P34_Ow5kFBfdQD0qspb2UuPX5zpi6WMrQzslghyvrI/edit?usp=sharing"",""สกลนคร!S94"")"),0)</f>
        <v>0</v>
      </c>
      <c r="U45" s="68">
        <f t="shared" ca="1" si="37"/>
        <v>0</v>
      </c>
      <c r="V45" s="68">
        <f t="shared" ca="1" si="38"/>
        <v>0</v>
      </c>
      <c r="W45" s="74">
        <f ca="1">IFERROR(__xludf.DUMMYFUNCTION("IMPORTRANGE(""https://docs.google.com/spreadsheets/d/17P34_Ow5kFBfdQD0qspb2UuPX5zpi6WMrQzslghyvrI/edit?usp=sharing"",""สกลนคร!I108"")"),0)</f>
        <v>0</v>
      </c>
      <c r="X45" s="74">
        <f ca="1">IFERROR(__xludf.DUMMYFUNCTION("IMPORTRANGE(""https://docs.google.com/spreadsheets/d/17P34_Ow5kFBfdQD0qspb2UuPX5zpi6WMrQzslghyvrI/edit?usp=sharing"",""สกลนคร!J108"")"),0)</f>
        <v>0</v>
      </c>
      <c r="Y45" s="79">
        <f t="shared" ca="1" si="40"/>
        <v>0</v>
      </c>
      <c r="Z45" s="74">
        <f ca="1">IFERROR(__xludf.DUMMYFUNCTION("IMPORTRANGE(""https://docs.google.com/spreadsheets/d/17P34_Ow5kFBfdQD0qspb2UuPX5zpi6WMrQzslghyvrI/edit?usp=sharing"",""สกลนคร!I109"")"),0)</f>
        <v>0</v>
      </c>
      <c r="AA45" s="74">
        <f ca="1">IFERROR(__xludf.DUMMYFUNCTION("IMPORTRANGE(""https://docs.google.com/spreadsheets/d/17P34_Ow5kFBfdQD0qspb2UuPX5zpi6WMrQzslghyvrI/edit?usp=sharing"",""สกลนคร!J109"")"),0)</f>
        <v>0</v>
      </c>
      <c r="AB45" s="79">
        <f t="shared" ca="1" si="42"/>
        <v>0</v>
      </c>
      <c r="AC45" s="74">
        <f ca="1">IFERROR(__xludf.DUMMYFUNCTION("IMPORTRANGE(""https://docs.google.com/spreadsheets/d/17P34_Ow5kFBfdQD0qspb2UuPX5zpi6WMrQzslghyvrI/edit?usp=sharing"",""สกลนคร!I113"")"),0)</f>
        <v>0</v>
      </c>
      <c r="AD45" s="74">
        <f ca="1">IFERROR(__xludf.DUMMYFUNCTION("IMPORTRANGE(""https://docs.google.com/spreadsheets/d/17P34_Ow5kFBfdQD0qspb2UuPX5zpi6WMrQzslghyvrI/edit?usp=sharing"",""สกลนคร!J113"")"),0)</f>
        <v>0</v>
      </c>
      <c r="AE45" s="79">
        <f t="shared" ca="1" si="44"/>
        <v>0</v>
      </c>
      <c r="AF45" s="74">
        <f ca="1">IFERROR(__xludf.DUMMYFUNCTION("IMPORTRANGE(""https://docs.google.com/spreadsheets/d/17P34_Ow5kFBfdQD0qspb2UuPX5zpi6WMrQzslghyvrI/edit?usp=sharing"",""สกลนคร!I114"")"),0)</f>
        <v>0</v>
      </c>
      <c r="AG45" s="74">
        <f ca="1">IFERROR(__xludf.DUMMYFUNCTION("IMPORTRANGE(""https://docs.google.com/spreadsheets/d/17P34_Ow5kFBfdQD0qspb2UuPX5zpi6WMrQzslghyvrI/edit?usp=sharing"",""สกลนคร!J114"")"),0)</f>
        <v>0</v>
      </c>
      <c r="AH45" s="79">
        <f t="shared" ca="1" si="46"/>
        <v>0</v>
      </c>
    </row>
    <row r="46" spans="1:34" ht="21" customHeight="1" x14ac:dyDescent="0.3">
      <c r="A46" s="147">
        <v>15</v>
      </c>
      <c r="B46" s="148" t="s">
        <v>74</v>
      </c>
      <c r="C46" s="149">
        <f t="shared" ca="1" si="28"/>
        <v>0</v>
      </c>
      <c r="D46" s="150">
        <f t="shared" ca="1" si="54"/>
        <v>0</v>
      </c>
      <c r="E46" s="151">
        <f ca="1">IFERROR(__xludf.DUMMYFUNCTION("IMPORTRANGE(""https://docs.google.com/spreadsheets/d/1-uDff_7J0KD5mKrp0Vvzr7lt3OU09vwQwhkpOPPYv2Y/edit?usp=sharing"",""งบพรบ!AX46"")"),0)</f>
        <v>0</v>
      </c>
      <c r="F46" s="151">
        <f ca="1">IFERROR(__xludf.DUMMYFUNCTION("IMPORTRANGE(""https://docs.google.com/spreadsheets/d/1-uDff_7J0KD5mKrp0Vvzr7lt3OU09vwQwhkpOPPYv2Y/edit?usp=sharing"",""งบพรบ!AY46"")"),0)</f>
        <v>0</v>
      </c>
      <c r="G46" s="151">
        <f ca="1">IFERROR(__xludf.DUMMYFUNCTION("IMPORTRANGE(""https://docs.google.com/spreadsheets/d/1-uDff_7J0KD5mKrp0Vvzr7lt3OU09vwQwhkpOPPYv2Y/edit?usp=sharing"",""งบพรบ!AZ46"")"),0)</f>
        <v>0</v>
      </c>
      <c r="H46" s="151">
        <f ca="1">IFERROR(__xludf.DUMMYFUNCTION("IMPORTRANGE(""https://docs.google.com/spreadsheets/d/1-uDff_7J0KD5mKrp0Vvzr7lt3OU09vwQwhkpOPPYv2Y/edit?usp=sharing"",""งบพรบ!BB46"")"),0)</f>
        <v>0</v>
      </c>
      <c r="I46" s="151">
        <f ca="1">IFERROR(__xludf.DUMMYFUNCTION("IMPORTRANGE(""https://docs.google.com/spreadsheets/d/1-uDff_7J0KD5mKrp0Vvzr7lt3OU09vwQwhkpOPPYv2Y/edit?usp=sharing"",""งบพรบ!BC46"")"),0)</f>
        <v>0</v>
      </c>
      <c r="J46" s="151">
        <f t="shared" ca="1" si="30"/>
        <v>0</v>
      </c>
      <c r="K46" s="154">
        <f t="shared" ca="1" si="31"/>
        <v>0</v>
      </c>
      <c r="L46" s="151">
        <f ca="1">IFERROR(__xludf.DUMMYFUNCTION("IMPORTRANGE(""https://docs.google.com/spreadsheets/d/1-uDff_7J0KD5mKrp0Vvzr7lt3OU09vwQwhkpOPPYv2Y/edit?usp=sharing"",""งบพรบ!BD46"")"),0)</f>
        <v>0</v>
      </c>
      <c r="M46" s="68">
        <f t="shared" ca="1" si="32"/>
        <v>0</v>
      </c>
      <c r="N46" s="68">
        <f t="shared" ca="1" si="33"/>
        <v>0</v>
      </c>
      <c r="O46" s="67">
        <f ca="1">IFERROR(__xludf.DUMMYFUNCTION("IMPORTRANGE(""https://docs.google.com/spreadsheets/d/1-uDff_7J0KD5mKrp0Vvzr7lt3OU09vwQwhkpOPPYv2Y/edit?usp=sharing"",""งบพรบ!BE46"")"),0)</f>
        <v>0</v>
      </c>
      <c r="P46" s="67">
        <f t="shared" ca="1" si="34"/>
        <v>0</v>
      </c>
      <c r="Q46" s="68">
        <f t="shared" ca="1" si="35"/>
        <v>0</v>
      </c>
      <c r="R46" s="67">
        <f ca="1">IFERROR(__xludf.DUMMYFUNCTION("IMPORTRANGE(""https://docs.google.com/spreadsheets/d/1yswqbM3-AEpThF3ZSUa1AcmHnmRTF1vlJ1CZGcJ8YuU/edit?usp=sharing"",""สุรินทร์!Q94"")"),0)</f>
        <v>0</v>
      </c>
      <c r="S46" s="67">
        <f ca="1">IFERROR(__xludf.DUMMYFUNCTION("IMPORTRANGE(""https://docs.google.com/spreadsheets/d/1yswqbM3-AEpThF3ZSUa1AcmHnmRTF1vlJ1CZGcJ8YuU/edit?usp=sharing"",""สุรินทร์!R94"")"),0)</f>
        <v>0</v>
      </c>
      <c r="T46" s="67">
        <f ca="1">IFERROR(__xludf.DUMMYFUNCTION("IMPORTRANGE(""https://docs.google.com/spreadsheets/d/1yswqbM3-AEpThF3ZSUa1AcmHnmRTF1vlJ1CZGcJ8YuU/edit?usp=sharing"",""สุรินทร์!S94"")"),0)</f>
        <v>0</v>
      </c>
      <c r="U46" s="68">
        <f t="shared" ca="1" si="37"/>
        <v>0</v>
      </c>
      <c r="V46" s="68">
        <f t="shared" ca="1" si="38"/>
        <v>0</v>
      </c>
      <c r="W46" s="74">
        <f ca="1">IFERROR(__xludf.DUMMYFUNCTION("IMPORTRANGE(""https://docs.google.com/spreadsheets/d/1yswqbM3-AEpThF3ZSUa1AcmHnmRTF1vlJ1CZGcJ8YuU/edit?usp=sharing"",""สุรินทร์!I108"")"),0)</f>
        <v>0</v>
      </c>
      <c r="X46" s="74">
        <f ca="1">IFERROR(__xludf.DUMMYFUNCTION("IMPORTRANGE(""https://docs.google.com/spreadsheets/d/1yswqbM3-AEpThF3ZSUa1AcmHnmRTF1vlJ1CZGcJ8YuU/edit?usp=sharing"",""สุรินทร์!J108"")"),0)</f>
        <v>0</v>
      </c>
      <c r="Y46" s="79">
        <f t="shared" ca="1" si="40"/>
        <v>0</v>
      </c>
      <c r="Z46" s="74">
        <f ca="1">IFERROR(__xludf.DUMMYFUNCTION("IMPORTRANGE(""https://docs.google.com/spreadsheets/d/1yswqbM3-AEpThF3ZSUa1AcmHnmRTF1vlJ1CZGcJ8YuU/edit?usp=sharing"",""สุรินทร์!I109"")"),0)</f>
        <v>0</v>
      </c>
      <c r="AA46" s="74">
        <f ca="1">IFERROR(__xludf.DUMMYFUNCTION("IMPORTRANGE(""https://docs.google.com/spreadsheets/d/1yswqbM3-AEpThF3ZSUa1AcmHnmRTF1vlJ1CZGcJ8YuU/edit?usp=sharing"",""สุรินทร์!J109"")"),0)</f>
        <v>0</v>
      </c>
      <c r="AB46" s="79">
        <f t="shared" ca="1" si="42"/>
        <v>0</v>
      </c>
      <c r="AC46" s="74">
        <f ca="1">IFERROR(__xludf.DUMMYFUNCTION("IMPORTRANGE(""https://docs.google.com/spreadsheets/d/1yswqbM3-AEpThF3ZSUa1AcmHnmRTF1vlJ1CZGcJ8YuU/edit?usp=sharing"",""สุรินทร์!I113"")"),0)</f>
        <v>0</v>
      </c>
      <c r="AD46" s="74">
        <f ca="1">IFERROR(__xludf.DUMMYFUNCTION("IMPORTRANGE(""https://docs.google.com/spreadsheets/d/1yswqbM3-AEpThF3ZSUa1AcmHnmRTF1vlJ1CZGcJ8YuU/edit?usp=sharing"",""สุรินทร์!J113"")"),0)</f>
        <v>0</v>
      </c>
      <c r="AE46" s="79">
        <f t="shared" ca="1" si="44"/>
        <v>0</v>
      </c>
      <c r="AF46" s="74">
        <f ca="1">IFERROR(__xludf.DUMMYFUNCTION("IMPORTRANGE(""https://docs.google.com/spreadsheets/d/1yswqbM3-AEpThF3ZSUa1AcmHnmRTF1vlJ1CZGcJ8YuU/edit?usp=sharing"",""สุรินทร์!I114"")"),0)</f>
        <v>0</v>
      </c>
      <c r="AG46" s="74">
        <f ca="1">IFERROR(__xludf.DUMMYFUNCTION("IMPORTRANGE(""https://docs.google.com/spreadsheets/d/1yswqbM3-AEpThF3ZSUa1AcmHnmRTF1vlJ1CZGcJ8YuU/edit?usp=sharing"",""สุรินทร์!J114"")"),0)</f>
        <v>0</v>
      </c>
      <c r="AH46" s="79">
        <f t="shared" ca="1" si="46"/>
        <v>0</v>
      </c>
    </row>
    <row r="47" spans="1:34" ht="21" customHeight="1" x14ac:dyDescent="0.3">
      <c r="A47" s="147">
        <v>16</v>
      </c>
      <c r="B47" s="148" t="s">
        <v>75</v>
      </c>
      <c r="C47" s="149">
        <f t="shared" ca="1" si="28"/>
        <v>0</v>
      </c>
      <c r="D47" s="150">
        <f t="shared" ca="1" si="54"/>
        <v>0</v>
      </c>
      <c r="E47" s="151">
        <f ca="1">IFERROR(__xludf.DUMMYFUNCTION("IMPORTRANGE(""https://docs.google.com/spreadsheets/d/1-uDff_7J0KD5mKrp0Vvzr7lt3OU09vwQwhkpOPPYv2Y/edit?usp=sharing"",""งบพรบ!AX47"")"),0)</f>
        <v>0</v>
      </c>
      <c r="F47" s="151">
        <f ca="1">IFERROR(__xludf.DUMMYFUNCTION("IMPORTRANGE(""https://docs.google.com/spreadsheets/d/1-uDff_7J0KD5mKrp0Vvzr7lt3OU09vwQwhkpOPPYv2Y/edit?usp=sharing"",""งบพรบ!AY47"")"),0)</f>
        <v>0</v>
      </c>
      <c r="G47" s="151">
        <f ca="1">IFERROR(__xludf.DUMMYFUNCTION("IMPORTRANGE(""https://docs.google.com/spreadsheets/d/1-uDff_7J0KD5mKrp0Vvzr7lt3OU09vwQwhkpOPPYv2Y/edit?usp=sharing"",""งบพรบ!AZ47"")"),0)</f>
        <v>0</v>
      </c>
      <c r="H47" s="151">
        <f ca="1">IFERROR(__xludf.DUMMYFUNCTION("IMPORTRANGE(""https://docs.google.com/spreadsheets/d/1-uDff_7J0KD5mKrp0Vvzr7lt3OU09vwQwhkpOPPYv2Y/edit?usp=sharing"",""งบพรบ!BB47"")"),0)</f>
        <v>0</v>
      </c>
      <c r="I47" s="151">
        <f ca="1">IFERROR(__xludf.DUMMYFUNCTION("IMPORTRANGE(""https://docs.google.com/spreadsheets/d/1-uDff_7J0KD5mKrp0Vvzr7lt3OU09vwQwhkpOPPYv2Y/edit?usp=sharing"",""งบพรบ!BC47"")"),0)</f>
        <v>0</v>
      </c>
      <c r="J47" s="151">
        <f t="shared" ca="1" si="30"/>
        <v>0</v>
      </c>
      <c r="K47" s="154">
        <f t="shared" ca="1" si="31"/>
        <v>0</v>
      </c>
      <c r="L47" s="151">
        <f ca="1">IFERROR(__xludf.DUMMYFUNCTION("IMPORTRANGE(""https://docs.google.com/spreadsheets/d/1-uDff_7J0KD5mKrp0Vvzr7lt3OU09vwQwhkpOPPYv2Y/edit?usp=sharing"",""งบพรบ!BD47"")"),0)</f>
        <v>0</v>
      </c>
      <c r="M47" s="68">
        <f t="shared" ca="1" si="32"/>
        <v>0</v>
      </c>
      <c r="N47" s="68">
        <f t="shared" ca="1" si="33"/>
        <v>0</v>
      </c>
      <c r="O47" s="67">
        <f ca="1">IFERROR(__xludf.DUMMYFUNCTION("IMPORTRANGE(""https://docs.google.com/spreadsheets/d/1-uDff_7J0KD5mKrp0Vvzr7lt3OU09vwQwhkpOPPYv2Y/edit?usp=sharing"",""งบพรบ!BE47"")"),0)</f>
        <v>0</v>
      </c>
      <c r="P47" s="67">
        <f t="shared" ca="1" si="34"/>
        <v>0</v>
      </c>
      <c r="Q47" s="68">
        <f t="shared" ca="1" si="35"/>
        <v>0</v>
      </c>
      <c r="R47" s="67">
        <f ca="1">IFERROR(__xludf.DUMMYFUNCTION("IMPORTRANGE(""https://docs.google.com/spreadsheets/d/13JHU_EFbsQOUQ0JSQ3dWy1VTRosIWcDq6Nc99z2qzdc/edit?usp=sharing"",""หนองคาย!Q94"")"),0)</f>
        <v>0</v>
      </c>
      <c r="S47" s="67">
        <f ca="1">IFERROR(__xludf.DUMMYFUNCTION("IMPORTRANGE(""https://docs.google.com/spreadsheets/d/13JHU_EFbsQOUQ0JSQ3dWy1VTRosIWcDq6Nc99z2qzdc/edit?usp=sharing"",""หนองคาย!R94"")"),0)</f>
        <v>0</v>
      </c>
      <c r="T47" s="67">
        <f ca="1">IFERROR(__xludf.DUMMYFUNCTION("IMPORTRANGE(""https://docs.google.com/spreadsheets/d/13JHU_EFbsQOUQ0JSQ3dWy1VTRosIWcDq6Nc99z2qzdc/edit?usp=sharing"",""หนองคาย!S94"")"),0)</f>
        <v>0</v>
      </c>
      <c r="U47" s="68">
        <f t="shared" ca="1" si="37"/>
        <v>0</v>
      </c>
      <c r="V47" s="68">
        <f t="shared" ca="1" si="38"/>
        <v>0</v>
      </c>
      <c r="W47" s="74">
        <f ca="1">IFERROR(__xludf.DUMMYFUNCTION("IMPORTRANGE(""https://docs.google.com/spreadsheets/d/13JHU_EFbsQOUQ0JSQ3dWy1VTRosIWcDq6Nc99z2qzdc/edit?usp=sharing"",""หนองคาย!I108"")"),0)</f>
        <v>0</v>
      </c>
      <c r="X47" s="74">
        <f ca="1">IFERROR(__xludf.DUMMYFUNCTION("IMPORTRANGE(""https://docs.google.com/spreadsheets/d/13JHU_EFbsQOUQ0JSQ3dWy1VTRosIWcDq6Nc99z2qzdc/edit?usp=sharing"",""หนองคาย!J108"")"),0)</f>
        <v>0</v>
      </c>
      <c r="Y47" s="79">
        <f t="shared" ca="1" si="40"/>
        <v>0</v>
      </c>
      <c r="Z47" s="74">
        <f ca="1">IFERROR(__xludf.DUMMYFUNCTION("IMPORTRANGE(""https://docs.google.com/spreadsheets/d/13JHU_EFbsQOUQ0JSQ3dWy1VTRosIWcDq6Nc99z2qzdc/edit?usp=sharing"",""หนองคาย!I109"")"),0)</f>
        <v>0</v>
      </c>
      <c r="AA47" s="74">
        <f ca="1">IFERROR(__xludf.DUMMYFUNCTION("IMPORTRANGE(""https://docs.google.com/spreadsheets/d/13JHU_EFbsQOUQ0JSQ3dWy1VTRosIWcDq6Nc99z2qzdc/edit?usp=sharing"",""หนองคาย!J109"")"),0)</f>
        <v>0</v>
      </c>
      <c r="AB47" s="79">
        <f t="shared" ca="1" si="42"/>
        <v>0</v>
      </c>
      <c r="AC47" s="74">
        <f ca="1">IFERROR(__xludf.DUMMYFUNCTION("IMPORTRANGE(""https://docs.google.com/spreadsheets/d/13JHU_EFbsQOUQ0JSQ3dWy1VTRosIWcDq6Nc99z2qzdc/edit?usp=sharing"",""หนองคาย!I113"")"),0)</f>
        <v>0</v>
      </c>
      <c r="AD47" s="74">
        <f ca="1">IFERROR(__xludf.DUMMYFUNCTION("IMPORTRANGE(""https://docs.google.com/spreadsheets/d/13JHU_EFbsQOUQ0JSQ3dWy1VTRosIWcDq6Nc99z2qzdc/edit?usp=sharing"",""หนองคาย!J113"")"),0)</f>
        <v>0</v>
      </c>
      <c r="AE47" s="79">
        <f t="shared" ca="1" si="44"/>
        <v>0</v>
      </c>
      <c r="AF47" s="74">
        <f ca="1">IFERROR(__xludf.DUMMYFUNCTION("IMPORTRANGE(""https://docs.google.com/spreadsheets/d/13JHU_EFbsQOUQ0JSQ3dWy1VTRosIWcDq6Nc99z2qzdc/edit?usp=sharing"",""หนองคาย!I114"")"),0)</f>
        <v>0</v>
      </c>
      <c r="AG47" s="74">
        <f ca="1">IFERROR(__xludf.DUMMYFUNCTION("IMPORTRANGE(""https://docs.google.com/spreadsheets/d/13JHU_EFbsQOUQ0JSQ3dWy1VTRosIWcDq6Nc99z2qzdc/edit?usp=sharing"",""หนองคาย!J114"")"),0)</f>
        <v>0</v>
      </c>
      <c r="AH47" s="79">
        <f t="shared" ca="1" si="46"/>
        <v>0</v>
      </c>
    </row>
    <row r="48" spans="1:34" ht="21" customHeight="1" x14ac:dyDescent="0.3">
      <c r="A48" s="147">
        <v>17</v>
      </c>
      <c r="B48" s="148" t="s">
        <v>76</v>
      </c>
      <c r="C48" s="149">
        <f t="shared" ca="1" si="28"/>
        <v>25500</v>
      </c>
      <c r="D48" s="150">
        <f t="shared" ca="1" si="54"/>
        <v>25500</v>
      </c>
      <c r="E48" s="151">
        <f ca="1">IFERROR(__xludf.DUMMYFUNCTION("IMPORTRANGE(""https://docs.google.com/spreadsheets/d/1-uDff_7J0KD5mKrp0Vvzr7lt3OU09vwQwhkpOPPYv2Y/edit?usp=sharing"",""งบพรบ!AX48"")"),0)</f>
        <v>0</v>
      </c>
      <c r="F48" s="151">
        <f ca="1">IFERROR(__xludf.DUMMYFUNCTION("IMPORTRANGE(""https://docs.google.com/spreadsheets/d/1-uDff_7J0KD5mKrp0Vvzr7lt3OU09vwQwhkpOPPYv2Y/edit?usp=sharing"",""งบพรบ!AY48"")"),25500)</f>
        <v>25500</v>
      </c>
      <c r="G48" s="151">
        <f ca="1">IFERROR(__xludf.DUMMYFUNCTION("IMPORTRANGE(""https://docs.google.com/spreadsheets/d/1-uDff_7J0KD5mKrp0Vvzr7lt3OU09vwQwhkpOPPYv2Y/edit?usp=sharing"",""งบพรบ!AZ48"")"),0)</f>
        <v>0</v>
      </c>
      <c r="H48" s="151">
        <f ca="1">IFERROR(__xludf.DUMMYFUNCTION("IMPORTRANGE(""https://docs.google.com/spreadsheets/d/1-uDff_7J0KD5mKrp0Vvzr7lt3OU09vwQwhkpOPPYv2Y/edit?usp=sharing"",""งบพรบ!BB48"")"),25500)</f>
        <v>25500</v>
      </c>
      <c r="I48" s="151">
        <f ca="1">IFERROR(__xludf.DUMMYFUNCTION("IMPORTRANGE(""https://docs.google.com/spreadsheets/d/1-uDff_7J0KD5mKrp0Vvzr7lt3OU09vwQwhkpOPPYv2Y/edit?usp=sharing"",""งบพรบ!BC48"")"),0)</f>
        <v>0</v>
      </c>
      <c r="J48" s="151">
        <f t="shared" ca="1" si="30"/>
        <v>6000</v>
      </c>
      <c r="K48" s="154">
        <f t="shared" ca="1" si="31"/>
        <v>23.529411764705884</v>
      </c>
      <c r="L48" s="151">
        <f ca="1">IFERROR(__xludf.DUMMYFUNCTION("IMPORTRANGE(""https://docs.google.com/spreadsheets/d/1-uDff_7J0KD5mKrp0Vvzr7lt3OU09vwQwhkpOPPYv2Y/edit?usp=sharing"",""งบพรบ!BD48"")"),6000)</f>
        <v>6000</v>
      </c>
      <c r="M48" s="68">
        <f t="shared" ca="1" si="32"/>
        <v>23.529411764705884</v>
      </c>
      <c r="N48" s="68">
        <f t="shared" ca="1" si="33"/>
        <v>23.529411764705884</v>
      </c>
      <c r="O48" s="67">
        <f ca="1">IFERROR(__xludf.DUMMYFUNCTION("IMPORTRANGE(""https://docs.google.com/spreadsheets/d/1-uDff_7J0KD5mKrp0Vvzr7lt3OU09vwQwhkpOPPYv2Y/edit?usp=sharing"",""งบพรบ!BE48"")"),0)</f>
        <v>0</v>
      </c>
      <c r="P48" s="67">
        <f t="shared" ca="1" si="34"/>
        <v>0</v>
      </c>
      <c r="Q48" s="68">
        <f t="shared" ca="1" si="35"/>
        <v>0</v>
      </c>
      <c r="R48" s="67">
        <f ca="1">IFERROR(__xludf.DUMMYFUNCTION("IMPORTRANGE(""https://docs.google.com/spreadsheets/d/1Hx73zIEgVdDZZaYSTc46Dqv64atFhpr3GelxLbaIN8A/edit?usp=sharing"",""หนองบัวลำภู!Q94"")"),64920)</f>
        <v>64920</v>
      </c>
      <c r="S48" s="67">
        <f ca="1">IFERROR(__xludf.DUMMYFUNCTION("IMPORTRANGE(""https://docs.google.com/spreadsheets/d/1Hx73zIEgVdDZZaYSTc46Dqv64atFhpr3GelxLbaIN8A/edit?usp=sharing"",""หนองบัวลำภู!R94"")"),64920)</f>
        <v>64920</v>
      </c>
      <c r="T48" s="67">
        <f ca="1">IFERROR(__xludf.DUMMYFUNCTION("IMPORTRANGE(""https://docs.google.com/spreadsheets/d/1Hx73zIEgVdDZZaYSTc46Dqv64atFhpr3GelxLbaIN8A/edit?usp=sharing"",""หนองบัวลำภู!S94"")"),47355)</f>
        <v>47355</v>
      </c>
      <c r="U48" s="68">
        <f t="shared" ca="1" si="37"/>
        <v>72.943622920517555</v>
      </c>
      <c r="V48" s="68">
        <f t="shared" ca="1" si="38"/>
        <v>72.943622920517555</v>
      </c>
      <c r="W48" s="74">
        <f ca="1">IFERROR(__xludf.DUMMYFUNCTION("IMPORTRANGE(""https://docs.google.com/spreadsheets/d/1Hx73zIEgVdDZZaYSTc46Dqv64atFhpr3GelxLbaIN8A/edit?usp=sharing"",""หนองบัวลำภู!I108"")"),30)</f>
        <v>30</v>
      </c>
      <c r="X48" s="74">
        <f ca="1">IFERROR(__xludf.DUMMYFUNCTION("IMPORTRANGE(""https://docs.google.com/spreadsheets/d/1Hx73zIEgVdDZZaYSTc46Dqv64atFhpr3GelxLbaIN8A/edit?usp=sharing"",""หนองบัวลำภู!J108"")"),30)</f>
        <v>30</v>
      </c>
      <c r="Y48" s="79">
        <f t="shared" ca="1" si="40"/>
        <v>100</v>
      </c>
      <c r="Z48" s="74">
        <f ca="1">IFERROR(__xludf.DUMMYFUNCTION("IMPORTRANGE(""https://docs.google.com/spreadsheets/d/1Hx73zIEgVdDZZaYSTc46Dqv64atFhpr3GelxLbaIN8A/edit?usp=sharing"",""หนองบัวลำภู!I109"")"),10)</f>
        <v>10</v>
      </c>
      <c r="AA48" s="74">
        <f ca="1">IFERROR(__xludf.DUMMYFUNCTION("IMPORTRANGE(""https://docs.google.com/spreadsheets/d/1Hx73zIEgVdDZZaYSTc46Dqv64atFhpr3GelxLbaIN8A/edit?usp=sharing"",""หนองบัวลำภู!J109"")"),10)</f>
        <v>10</v>
      </c>
      <c r="AB48" s="79">
        <f t="shared" ca="1" si="42"/>
        <v>100</v>
      </c>
      <c r="AC48" s="74">
        <f ca="1">IFERROR(__xludf.DUMMYFUNCTION("IMPORTRANGE(""https://docs.google.com/spreadsheets/d/1Hx73zIEgVdDZZaYSTc46Dqv64atFhpr3GelxLbaIN8A/edit?usp=sharing"",""หนองบัวลำภู!I113"")"),30)</f>
        <v>30</v>
      </c>
      <c r="AD48" s="74">
        <f ca="1">IFERROR(__xludf.DUMMYFUNCTION("IMPORTRANGE(""https://docs.google.com/spreadsheets/d/1Hx73zIEgVdDZZaYSTc46Dqv64atFhpr3GelxLbaIN8A/edit?usp=sharing"",""หนองบัวลำภู!J113"")"),30)</f>
        <v>30</v>
      </c>
      <c r="AE48" s="79">
        <f t="shared" ca="1" si="44"/>
        <v>100</v>
      </c>
      <c r="AF48" s="74">
        <f ca="1">IFERROR(__xludf.DUMMYFUNCTION("IMPORTRANGE(""https://docs.google.com/spreadsheets/d/1Hx73zIEgVdDZZaYSTc46Dqv64atFhpr3GelxLbaIN8A/edit?usp=sharing"",""หนองบัวลำภู!I114"")"),10)</f>
        <v>10</v>
      </c>
      <c r="AG48" s="74">
        <f ca="1">IFERROR(__xludf.DUMMYFUNCTION("IMPORTRANGE(""https://docs.google.com/spreadsheets/d/1Hx73zIEgVdDZZaYSTc46Dqv64atFhpr3GelxLbaIN8A/edit?usp=sharing"",""หนองบัวลำภู!J114"")"),10)</f>
        <v>10</v>
      </c>
      <c r="AH48" s="79">
        <f t="shared" ca="1" si="46"/>
        <v>100</v>
      </c>
    </row>
    <row r="49" spans="1:34" ht="21" customHeight="1" x14ac:dyDescent="0.3">
      <c r="A49" s="147">
        <v>18</v>
      </c>
      <c r="B49" s="148" t="s">
        <v>77</v>
      </c>
      <c r="C49" s="149">
        <f t="shared" ca="1" si="28"/>
        <v>82000</v>
      </c>
      <c r="D49" s="150">
        <f t="shared" ca="1" si="54"/>
        <v>82000</v>
      </c>
      <c r="E49" s="151">
        <f ca="1">IFERROR(__xludf.DUMMYFUNCTION("IMPORTRANGE(""https://docs.google.com/spreadsheets/d/1-uDff_7J0KD5mKrp0Vvzr7lt3OU09vwQwhkpOPPYv2Y/edit?usp=sharing"",""งบพรบ!AX49"")"),56500)</f>
        <v>56500</v>
      </c>
      <c r="F49" s="151">
        <f ca="1">IFERROR(__xludf.DUMMYFUNCTION("IMPORTRANGE(""https://docs.google.com/spreadsheets/d/1-uDff_7J0KD5mKrp0Vvzr7lt3OU09vwQwhkpOPPYv2Y/edit?usp=sharing"",""งบพรบ!AY49"")"),25500)</f>
        <v>25500</v>
      </c>
      <c r="G49" s="151">
        <f ca="1">IFERROR(__xludf.DUMMYFUNCTION("IMPORTRANGE(""https://docs.google.com/spreadsheets/d/1-uDff_7J0KD5mKrp0Vvzr7lt3OU09vwQwhkpOPPYv2Y/edit?usp=sharing"",""งบพรบ!AZ49"")"),0)</f>
        <v>0</v>
      </c>
      <c r="H49" s="151">
        <f ca="1">IFERROR(__xludf.DUMMYFUNCTION("IMPORTRANGE(""https://docs.google.com/spreadsheets/d/1-uDff_7J0KD5mKrp0Vvzr7lt3OU09vwQwhkpOPPYv2Y/edit?usp=sharing"",""งบพรบ!BB49"")"),82000)</f>
        <v>82000</v>
      </c>
      <c r="I49" s="151">
        <f ca="1">IFERROR(__xludf.DUMMYFUNCTION("IMPORTRANGE(""https://docs.google.com/spreadsheets/d/1-uDff_7J0KD5mKrp0Vvzr7lt3OU09vwQwhkpOPPYv2Y/edit?usp=sharing"",""งบพรบ!BC49"")"),0)</f>
        <v>0</v>
      </c>
      <c r="J49" s="151">
        <f t="shared" ca="1" si="30"/>
        <v>82000</v>
      </c>
      <c r="K49" s="154">
        <f t="shared" ca="1" si="31"/>
        <v>100</v>
      </c>
      <c r="L49" s="151">
        <f ca="1">IFERROR(__xludf.DUMMYFUNCTION("IMPORTRANGE(""https://docs.google.com/spreadsheets/d/1-uDff_7J0KD5mKrp0Vvzr7lt3OU09vwQwhkpOPPYv2Y/edit?usp=sharing"",""งบพรบ!BD49"")"),82000)</f>
        <v>82000</v>
      </c>
      <c r="M49" s="68">
        <f t="shared" ca="1" si="32"/>
        <v>100</v>
      </c>
      <c r="N49" s="68">
        <f t="shared" ca="1" si="33"/>
        <v>100</v>
      </c>
      <c r="O49" s="67">
        <f ca="1">IFERROR(__xludf.DUMMYFUNCTION("IMPORTRANGE(""https://docs.google.com/spreadsheets/d/1-uDff_7J0KD5mKrp0Vvzr7lt3OU09vwQwhkpOPPYv2Y/edit?usp=sharing"",""งบพรบ!BE49"")"),0)</f>
        <v>0</v>
      </c>
      <c r="P49" s="67">
        <f t="shared" ca="1" si="34"/>
        <v>0</v>
      </c>
      <c r="Q49" s="68">
        <f t="shared" ca="1" si="35"/>
        <v>0</v>
      </c>
      <c r="R49" s="67">
        <f ca="1">IFERROR(__xludf.DUMMYFUNCTION("IMPORTRANGE(""https://docs.google.com/spreadsheets/d/1lFxr3ctmjFN90yc-xV6jrQ9Ty8BKYVBWnAZ15wcNIJc/edit?usp=sharing"",""อำนาจเจริญ!Q94"")"),64920)</f>
        <v>64920</v>
      </c>
      <c r="S49" s="67">
        <f ca="1">IFERROR(__xludf.DUMMYFUNCTION("IMPORTRANGE(""https://docs.google.com/spreadsheets/d/1lFxr3ctmjFN90yc-xV6jrQ9Ty8BKYVBWnAZ15wcNIJc/edit?usp=sharing"",""อำนาจเจริญ!R94"")"),64920)</f>
        <v>64920</v>
      </c>
      <c r="T49" s="67">
        <f ca="1">IFERROR(__xludf.DUMMYFUNCTION("IMPORTRANGE(""https://docs.google.com/spreadsheets/d/1lFxr3ctmjFN90yc-xV6jrQ9Ty8BKYVBWnAZ15wcNIJc/edit?usp=sharing"",""อำนาจเจริญ!S94"")"),33040)</f>
        <v>33040</v>
      </c>
      <c r="U49" s="68">
        <f t="shared" ca="1" si="37"/>
        <v>50.893407270486755</v>
      </c>
      <c r="V49" s="68">
        <f t="shared" ca="1" si="38"/>
        <v>50.893407270486755</v>
      </c>
      <c r="W49" s="74">
        <f ca="1">IFERROR(__xludf.DUMMYFUNCTION("IMPORTRANGE(""https://docs.google.com/spreadsheets/d/1lFxr3ctmjFN90yc-xV6jrQ9Ty8BKYVBWnAZ15wcNIJc/edit?usp=sharing"",""อำนาจเจริญ!I108"")"),30)</f>
        <v>30</v>
      </c>
      <c r="X49" s="74">
        <f ca="1">IFERROR(__xludf.DUMMYFUNCTION("IMPORTRANGE(""https://docs.google.com/spreadsheets/d/1lFxr3ctmjFN90yc-xV6jrQ9Ty8BKYVBWnAZ15wcNIJc/edit?usp=sharing"",""อำนาจเจริญ!J108"")"),30)</f>
        <v>30</v>
      </c>
      <c r="Y49" s="79">
        <f t="shared" ca="1" si="40"/>
        <v>100</v>
      </c>
      <c r="Z49" s="74">
        <f ca="1">IFERROR(__xludf.DUMMYFUNCTION("IMPORTRANGE(""https://docs.google.com/spreadsheets/d/1lFxr3ctmjFN90yc-xV6jrQ9Ty8BKYVBWnAZ15wcNIJc/edit?usp=sharing"",""อำนาจเจริญ!I109"")"),10)</f>
        <v>10</v>
      </c>
      <c r="AA49" s="74">
        <f ca="1">IFERROR(__xludf.DUMMYFUNCTION("IMPORTRANGE(""https://docs.google.com/spreadsheets/d/1lFxr3ctmjFN90yc-xV6jrQ9Ty8BKYVBWnAZ15wcNIJc/edit?usp=sharing"",""อำนาจเจริญ!J109"")"),10)</f>
        <v>10</v>
      </c>
      <c r="AB49" s="79">
        <f t="shared" ca="1" si="42"/>
        <v>100</v>
      </c>
      <c r="AC49" s="74">
        <f ca="1">IFERROR(__xludf.DUMMYFUNCTION("IMPORTRANGE(""https://docs.google.com/spreadsheets/d/1lFxr3ctmjFN90yc-xV6jrQ9Ty8BKYVBWnAZ15wcNIJc/edit?usp=sharing"",""อำนาจเจริญ!I113"")"),30)</f>
        <v>30</v>
      </c>
      <c r="AD49" s="74">
        <f ca="1">IFERROR(__xludf.DUMMYFUNCTION("IMPORTRANGE(""https://docs.google.com/spreadsheets/d/1lFxr3ctmjFN90yc-xV6jrQ9Ty8BKYVBWnAZ15wcNIJc/edit?usp=sharing"",""อำนาจเจริญ!J113"")"),30)</f>
        <v>30</v>
      </c>
      <c r="AE49" s="79">
        <f t="shared" ca="1" si="44"/>
        <v>100</v>
      </c>
      <c r="AF49" s="74">
        <f ca="1">IFERROR(__xludf.DUMMYFUNCTION("IMPORTRANGE(""https://docs.google.com/spreadsheets/d/1lFxr3ctmjFN90yc-xV6jrQ9Ty8BKYVBWnAZ15wcNIJc/edit?usp=sharing"",""อำนาจเจริญ!I114"")"),10)</f>
        <v>10</v>
      </c>
      <c r="AG49" s="74">
        <f ca="1">IFERROR(__xludf.DUMMYFUNCTION("IMPORTRANGE(""https://docs.google.com/spreadsheets/d/1lFxr3ctmjFN90yc-xV6jrQ9Ty8BKYVBWnAZ15wcNIJc/edit?usp=sharing"",""อำนาจเจริญ!J114"")"),10)</f>
        <v>10</v>
      </c>
      <c r="AH49" s="79">
        <f t="shared" ca="1" si="46"/>
        <v>100</v>
      </c>
    </row>
    <row r="50" spans="1:34" ht="21" customHeight="1" x14ac:dyDescent="0.3">
      <c r="A50" s="147">
        <v>19</v>
      </c>
      <c r="B50" s="148" t="s">
        <v>78</v>
      </c>
      <c r="C50" s="149">
        <f t="shared" ca="1" si="28"/>
        <v>0</v>
      </c>
      <c r="D50" s="150">
        <f t="shared" ca="1" si="54"/>
        <v>0</v>
      </c>
      <c r="E50" s="151">
        <f ca="1">IFERROR(__xludf.DUMMYFUNCTION("IMPORTRANGE(""https://docs.google.com/spreadsheets/d/1-uDff_7J0KD5mKrp0Vvzr7lt3OU09vwQwhkpOPPYv2Y/edit?usp=sharing"",""งบพรบ!AX50"")"),0)</f>
        <v>0</v>
      </c>
      <c r="F50" s="151">
        <f ca="1">IFERROR(__xludf.DUMMYFUNCTION("IMPORTRANGE(""https://docs.google.com/spreadsheets/d/1-uDff_7J0KD5mKrp0Vvzr7lt3OU09vwQwhkpOPPYv2Y/edit?usp=sharing"",""งบพรบ!AY50"")"),0)</f>
        <v>0</v>
      </c>
      <c r="G50" s="151">
        <f ca="1">IFERROR(__xludf.DUMMYFUNCTION("IMPORTRANGE(""https://docs.google.com/spreadsheets/d/1-uDff_7J0KD5mKrp0Vvzr7lt3OU09vwQwhkpOPPYv2Y/edit?usp=sharing"",""งบพรบ!AZ50"")"),0)</f>
        <v>0</v>
      </c>
      <c r="H50" s="151">
        <f ca="1">IFERROR(__xludf.DUMMYFUNCTION("IMPORTRANGE(""https://docs.google.com/spreadsheets/d/1-uDff_7J0KD5mKrp0Vvzr7lt3OU09vwQwhkpOPPYv2Y/edit?usp=sharing"",""งบพรบ!BB50"")"),0)</f>
        <v>0</v>
      </c>
      <c r="I50" s="151">
        <f ca="1">IFERROR(__xludf.DUMMYFUNCTION("IMPORTRANGE(""https://docs.google.com/spreadsheets/d/1-uDff_7J0KD5mKrp0Vvzr7lt3OU09vwQwhkpOPPYv2Y/edit?usp=sharing"",""งบพรบ!BC50"")"),0)</f>
        <v>0</v>
      </c>
      <c r="J50" s="151">
        <f t="shared" ca="1" si="30"/>
        <v>0</v>
      </c>
      <c r="K50" s="154">
        <f t="shared" ca="1" si="31"/>
        <v>0</v>
      </c>
      <c r="L50" s="151">
        <f ca="1">IFERROR(__xludf.DUMMYFUNCTION("IMPORTRANGE(""https://docs.google.com/spreadsheets/d/1-uDff_7J0KD5mKrp0Vvzr7lt3OU09vwQwhkpOPPYv2Y/edit?usp=sharing"",""งบพรบ!BD50"")"),0)</f>
        <v>0</v>
      </c>
      <c r="M50" s="68">
        <f t="shared" ca="1" si="32"/>
        <v>0</v>
      </c>
      <c r="N50" s="68">
        <f t="shared" ca="1" si="33"/>
        <v>0</v>
      </c>
      <c r="O50" s="67">
        <f ca="1">IFERROR(__xludf.DUMMYFUNCTION("IMPORTRANGE(""https://docs.google.com/spreadsheets/d/1-uDff_7J0KD5mKrp0Vvzr7lt3OU09vwQwhkpOPPYv2Y/edit?usp=sharing"",""งบพรบ!BE50"")"),0)</f>
        <v>0</v>
      </c>
      <c r="P50" s="67">
        <f t="shared" ca="1" si="34"/>
        <v>0</v>
      </c>
      <c r="Q50" s="68">
        <f t="shared" ca="1" si="35"/>
        <v>0</v>
      </c>
      <c r="R50" s="67">
        <f ca="1">IFERROR(__xludf.DUMMYFUNCTION("IMPORTRANGE(""https://docs.google.com/spreadsheets/d/1gF7RJpRnL-1oyjyeWxs5SFWEH7y8ahOZsQlyp2A2e-A/edit?usp=sharing"",""อุดรธานี!Q94"")"),0)</f>
        <v>0</v>
      </c>
      <c r="S50" s="67">
        <f ca="1">IFERROR(__xludf.DUMMYFUNCTION("IMPORTRANGE(""https://docs.google.com/spreadsheets/d/1gF7RJpRnL-1oyjyeWxs5SFWEH7y8ahOZsQlyp2A2e-A/edit?usp=sharing"",""อุดรธานี!R94"")"),0)</f>
        <v>0</v>
      </c>
      <c r="T50" s="67">
        <f ca="1">IFERROR(__xludf.DUMMYFUNCTION("IMPORTRANGE(""https://docs.google.com/spreadsheets/d/1gF7RJpRnL-1oyjyeWxs5SFWEH7y8ahOZsQlyp2A2e-A/edit?usp=sharing"",""อุดรธานี!S94"")"),0)</f>
        <v>0</v>
      </c>
      <c r="U50" s="68">
        <f t="shared" ca="1" si="37"/>
        <v>0</v>
      </c>
      <c r="V50" s="68">
        <f t="shared" ca="1" si="38"/>
        <v>0</v>
      </c>
      <c r="W50" s="74">
        <f ca="1">IFERROR(__xludf.DUMMYFUNCTION("IMPORTRANGE(""https://docs.google.com/spreadsheets/d/1gF7RJpRnL-1oyjyeWxs5SFWEH7y8ahOZsQlyp2A2e-A/edit?usp=sharing"",""อุดรธานี!I108"")"),0)</f>
        <v>0</v>
      </c>
      <c r="X50" s="74">
        <f ca="1">IFERROR(__xludf.DUMMYFUNCTION("IMPORTRANGE(""https://docs.google.com/spreadsheets/d/1gF7RJpRnL-1oyjyeWxs5SFWEH7y8ahOZsQlyp2A2e-A/edit?usp=sharing"",""อุดรธานี!J108"")"),0)</f>
        <v>0</v>
      </c>
      <c r="Y50" s="79">
        <f t="shared" ca="1" si="40"/>
        <v>0</v>
      </c>
      <c r="Z50" s="74">
        <f ca="1">IFERROR(__xludf.DUMMYFUNCTION("IMPORTRANGE(""https://docs.google.com/spreadsheets/d/1gF7RJpRnL-1oyjyeWxs5SFWEH7y8ahOZsQlyp2A2e-A/edit?usp=sharing"",""อุดรธานี!I109"")"),0)</f>
        <v>0</v>
      </c>
      <c r="AA50" s="74">
        <f ca="1">IFERROR(__xludf.DUMMYFUNCTION("IMPORTRANGE(""https://docs.google.com/spreadsheets/d/1gF7RJpRnL-1oyjyeWxs5SFWEH7y8ahOZsQlyp2A2e-A/edit?usp=sharing"",""อุดรธานี!J109"")"),0)</f>
        <v>0</v>
      </c>
      <c r="AB50" s="79">
        <f t="shared" ca="1" si="42"/>
        <v>0</v>
      </c>
      <c r="AC50" s="74">
        <f ca="1">IFERROR(__xludf.DUMMYFUNCTION("IMPORTRANGE(""https://docs.google.com/spreadsheets/d/1gF7RJpRnL-1oyjyeWxs5SFWEH7y8ahOZsQlyp2A2e-A/edit?usp=sharing"",""อุดรธานี!I113"")"),0)</f>
        <v>0</v>
      </c>
      <c r="AD50" s="74">
        <f ca="1">IFERROR(__xludf.DUMMYFUNCTION("IMPORTRANGE(""https://docs.google.com/spreadsheets/d/1gF7RJpRnL-1oyjyeWxs5SFWEH7y8ahOZsQlyp2A2e-A/edit?usp=sharing"",""อุดรธานี!J113"")"),0)</f>
        <v>0</v>
      </c>
      <c r="AE50" s="79">
        <f t="shared" ca="1" si="44"/>
        <v>0</v>
      </c>
      <c r="AF50" s="74">
        <f ca="1">IFERROR(__xludf.DUMMYFUNCTION("IMPORTRANGE(""https://docs.google.com/spreadsheets/d/1gF7RJpRnL-1oyjyeWxs5SFWEH7y8ahOZsQlyp2A2e-A/edit?usp=sharing"",""อุดรธานี!I114"")"),0)</f>
        <v>0</v>
      </c>
      <c r="AG50" s="74">
        <f ca="1">IFERROR(__xludf.DUMMYFUNCTION("IMPORTRANGE(""https://docs.google.com/spreadsheets/d/1gF7RJpRnL-1oyjyeWxs5SFWEH7y8ahOZsQlyp2A2e-A/edit?usp=sharing"",""อุดรธานี!J114"")"),0)</f>
        <v>0</v>
      </c>
      <c r="AH50" s="79">
        <f t="shared" ca="1" si="46"/>
        <v>0</v>
      </c>
    </row>
    <row r="51" spans="1:34" ht="21" customHeight="1" x14ac:dyDescent="0.3">
      <c r="A51" s="163">
        <v>20</v>
      </c>
      <c r="B51" s="164" t="s">
        <v>79</v>
      </c>
      <c r="C51" s="165">
        <f t="shared" ca="1" si="28"/>
        <v>0</v>
      </c>
      <c r="D51" s="166">
        <f t="shared" ca="1" si="54"/>
        <v>0</v>
      </c>
      <c r="E51" s="167">
        <f ca="1">IFERROR(__xludf.DUMMYFUNCTION("IMPORTRANGE(""https://docs.google.com/spreadsheets/d/1-uDff_7J0KD5mKrp0Vvzr7lt3OU09vwQwhkpOPPYv2Y/edit?usp=sharing"",""งบพรบ!AX51"")"),0)</f>
        <v>0</v>
      </c>
      <c r="F51" s="167">
        <f ca="1">IFERROR(__xludf.DUMMYFUNCTION("IMPORTRANGE(""https://docs.google.com/spreadsheets/d/1-uDff_7J0KD5mKrp0Vvzr7lt3OU09vwQwhkpOPPYv2Y/edit?usp=sharing"",""งบพรบ!AY51"")"),0)</f>
        <v>0</v>
      </c>
      <c r="G51" s="167">
        <f ca="1">IFERROR(__xludf.DUMMYFUNCTION("IMPORTRANGE(""https://docs.google.com/spreadsheets/d/1-uDff_7J0KD5mKrp0Vvzr7lt3OU09vwQwhkpOPPYv2Y/edit?usp=sharing"",""งบพรบ!AZ51"")"),0)</f>
        <v>0</v>
      </c>
      <c r="H51" s="167">
        <f ca="1">IFERROR(__xludf.DUMMYFUNCTION("IMPORTRANGE(""https://docs.google.com/spreadsheets/d/1-uDff_7J0KD5mKrp0Vvzr7lt3OU09vwQwhkpOPPYv2Y/edit?usp=sharing"",""งบพรบ!BB51"")"),0)</f>
        <v>0</v>
      </c>
      <c r="I51" s="167">
        <f ca="1">IFERROR(__xludf.DUMMYFUNCTION("IMPORTRANGE(""https://docs.google.com/spreadsheets/d/1-uDff_7J0KD5mKrp0Vvzr7lt3OU09vwQwhkpOPPYv2Y/edit?usp=sharing"",""งบพรบ!BC51"")"),0)</f>
        <v>0</v>
      </c>
      <c r="J51" s="167">
        <f t="shared" ca="1" si="30"/>
        <v>0</v>
      </c>
      <c r="K51" s="168">
        <f t="shared" ca="1" si="31"/>
        <v>0</v>
      </c>
      <c r="L51" s="167">
        <f ca="1">IFERROR(__xludf.DUMMYFUNCTION("IMPORTRANGE(""https://docs.google.com/spreadsheets/d/1-uDff_7J0KD5mKrp0Vvzr7lt3OU09vwQwhkpOPPYv2Y/edit?usp=sharing"",""งบพรบ!BD51"")"),0)</f>
        <v>0</v>
      </c>
      <c r="M51" s="97">
        <f t="shared" ca="1" si="32"/>
        <v>0</v>
      </c>
      <c r="N51" s="97">
        <f t="shared" ca="1" si="33"/>
        <v>0</v>
      </c>
      <c r="O51" s="96">
        <f ca="1">IFERROR(__xludf.DUMMYFUNCTION("IMPORTRANGE(""https://docs.google.com/spreadsheets/d/1-uDff_7J0KD5mKrp0Vvzr7lt3OU09vwQwhkpOPPYv2Y/edit?usp=sharing"",""งบพรบ!BE51"")"),0)</f>
        <v>0</v>
      </c>
      <c r="P51" s="96">
        <f t="shared" ca="1" si="34"/>
        <v>0</v>
      </c>
      <c r="Q51" s="97">
        <f t="shared" ca="1" si="35"/>
        <v>0</v>
      </c>
      <c r="R51" s="96">
        <f ca="1">IFERROR(__xludf.DUMMYFUNCTION("IMPORTRANGE(""https://docs.google.com/spreadsheets/d/1kfLP0j3INXRa8bTDpcEmoWewMBV61jlFlfzczfjWIgc/edit?usp=sharing"",""อุบลราชธานี!Q94"")"),0)</f>
        <v>0</v>
      </c>
      <c r="S51" s="96">
        <f ca="1">IFERROR(__xludf.DUMMYFUNCTION("IMPORTRANGE(""https://docs.google.com/spreadsheets/d/1kfLP0j3INXRa8bTDpcEmoWewMBV61jlFlfzczfjWIgc/edit?usp=sharing"",""อุบลราชธานี!R94"")"),0)</f>
        <v>0</v>
      </c>
      <c r="T51" s="96">
        <f ca="1">IFERROR(__xludf.DUMMYFUNCTION("IMPORTRANGE(""https://docs.google.com/spreadsheets/d/1kfLP0j3INXRa8bTDpcEmoWewMBV61jlFlfzczfjWIgc/edit?usp=sharing"",""อุบลราชธานี!S94"")"),0)</f>
        <v>0</v>
      </c>
      <c r="U51" s="97">
        <f t="shared" ca="1" si="37"/>
        <v>0</v>
      </c>
      <c r="V51" s="97">
        <f t="shared" ca="1" si="38"/>
        <v>0</v>
      </c>
      <c r="W51" s="84">
        <f ca="1">IFERROR(__xludf.DUMMYFUNCTION("IMPORTRANGE(""https://docs.google.com/spreadsheets/d/1kfLP0j3INXRa8bTDpcEmoWewMBV61jlFlfzczfjWIgc/edit?usp=sharing"",""อุบลราชธานี!I108"")"),0)</f>
        <v>0</v>
      </c>
      <c r="X51" s="84">
        <f ca="1">IFERROR(__xludf.DUMMYFUNCTION("IMPORTRANGE(""https://docs.google.com/spreadsheets/d/1kfLP0j3INXRa8bTDpcEmoWewMBV61jlFlfzczfjWIgc/edit?usp=sharing"",""อุบลราชธานี!J108"")"),0)</f>
        <v>0</v>
      </c>
      <c r="Y51" s="91">
        <f t="shared" ca="1" si="40"/>
        <v>0</v>
      </c>
      <c r="Z51" s="84">
        <f ca="1">IFERROR(__xludf.DUMMYFUNCTION("IMPORTRANGE(""https://docs.google.com/spreadsheets/d/1kfLP0j3INXRa8bTDpcEmoWewMBV61jlFlfzczfjWIgc/edit?usp=sharing"",""อุบลราชธานี!I109"")"),0)</f>
        <v>0</v>
      </c>
      <c r="AA51" s="84">
        <f ca="1">IFERROR(__xludf.DUMMYFUNCTION("IMPORTRANGE(""https://docs.google.com/spreadsheets/d/1kfLP0j3INXRa8bTDpcEmoWewMBV61jlFlfzczfjWIgc/edit?usp=sharing"",""อุบลราชธานี!J109"")"),0)</f>
        <v>0</v>
      </c>
      <c r="AB51" s="91">
        <f t="shared" ca="1" si="42"/>
        <v>0</v>
      </c>
      <c r="AC51" s="84">
        <f ca="1">IFERROR(__xludf.DUMMYFUNCTION("IMPORTRANGE(""https://docs.google.com/spreadsheets/d/1kfLP0j3INXRa8bTDpcEmoWewMBV61jlFlfzczfjWIgc/edit?usp=sharing"",""อุบลราชธานี!I113"")"),0)</f>
        <v>0</v>
      </c>
      <c r="AD51" s="84">
        <f ca="1">IFERROR(__xludf.DUMMYFUNCTION("IMPORTRANGE(""https://docs.google.com/spreadsheets/d/1kfLP0j3INXRa8bTDpcEmoWewMBV61jlFlfzczfjWIgc/edit?usp=sharing"",""อุบลราชธานี!J113"")"),0)</f>
        <v>0</v>
      </c>
      <c r="AE51" s="91">
        <f t="shared" ca="1" si="44"/>
        <v>0</v>
      </c>
      <c r="AF51" s="84">
        <f ca="1">IFERROR(__xludf.DUMMYFUNCTION("IMPORTRANGE(""https://docs.google.com/spreadsheets/d/1kfLP0j3INXRa8bTDpcEmoWewMBV61jlFlfzczfjWIgc/edit?usp=sharing"",""อุบลราชธานี!I114"")"),0)</f>
        <v>0</v>
      </c>
      <c r="AG51" s="84">
        <f ca="1">IFERROR(__xludf.DUMMYFUNCTION("IMPORTRANGE(""https://docs.google.com/spreadsheets/d/1kfLP0j3INXRa8bTDpcEmoWewMBV61jlFlfzczfjWIgc/edit?usp=sharing"",""อุบลราชธานี!J114"")"),0)</f>
        <v>0</v>
      </c>
      <c r="AH51" s="91">
        <f t="shared" ca="1" si="46"/>
        <v>0</v>
      </c>
    </row>
    <row r="52" spans="1:34" ht="21" customHeight="1" x14ac:dyDescent="0.3">
      <c r="A52" s="697" t="s">
        <v>80</v>
      </c>
      <c r="B52" s="647"/>
      <c r="C52" s="145">
        <f t="shared" ca="1" si="28"/>
        <v>215620</v>
      </c>
      <c r="D52" s="145">
        <f t="shared" ref="D52:I52" ca="1" si="55">SUM(D53:D73)</f>
        <v>215620</v>
      </c>
      <c r="E52" s="145">
        <f t="shared" ca="1" si="55"/>
        <v>54500</v>
      </c>
      <c r="F52" s="145">
        <f t="shared" ca="1" si="55"/>
        <v>161120</v>
      </c>
      <c r="G52" s="145">
        <f t="shared" ca="1" si="55"/>
        <v>0</v>
      </c>
      <c r="H52" s="145">
        <f t="shared" ca="1" si="55"/>
        <v>215620</v>
      </c>
      <c r="I52" s="145">
        <f t="shared" ca="1" si="55"/>
        <v>0</v>
      </c>
      <c r="J52" s="145">
        <f t="shared" ca="1" si="30"/>
        <v>178419.5</v>
      </c>
      <c r="K52" s="146">
        <f t="shared" ca="1" si="31"/>
        <v>82.747194137835081</v>
      </c>
      <c r="L52" s="145">
        <f ca="1">SUM(L53:L73)</f>
        <v>178419.5</v>
      </c>
      <c r="M52" s="57">
        <f t="shared" ca="1" si="32"/>
        <v>82.747194137835081</v>
      </c>
      <c r="N52" s="57">
        <f t="shared" ca="1" si="33"/>
        <v>82.747194137835081</v>
      </c>
      <c r="O52" s="56">
        <f ca="1">SUM(O53:O73)</f>
        <v>0</v>
      </c>
      <c r="P52" s="56">
        <f t="shared" ca="1" si="34"/>
        <v>0</v>
      </c>
      <c r="Q52" s="57">
        <f t="shared" ca="1" si="35"/>
        <v>0</v>
      </c>
      <c r="R52" s="56">
        <f t="shared" ref="R52:T52" ca="1" si="56">SUM(R53:R73)</f>
        <v>985954</v>
      </c>
      <c r="S52" s="56">
        <f t="shared" ca="1" si="56"/>
        <v>985954</v>
      </c>
      <c r="T52" s="56">
        <f t="shared" ca="1" si="56"/>
        <v>469964</v>
      </c>
      <c r="U52" s="57">
        <f t="shared" ca="1" si="37"/>
        <v>47.665915448388056</v>
      </c>
      <c r="V52" s="57">
        <f t="shared" ca="1" si="38"/>
        <v>47.665915448388056</v>
      </c>
      <c r="W52" s="52">
        <f t="shared" ref="W52:X52" ca="1" si="57">SUM(W53:W73)</f>
        <v>381</v>
      </c>
      <c r="X52" s="52">
        <f t="shared" ca="1" si="57"/>
        <v>351</v>
      </c>
      <c r="Y52" s="54">
        <f t="shared" ca="1" si="40"/>
        <v>92.125984251968504</v>
      </c>
      <c r="Z52" s="52">
        <f t="shared" ref="Z52:AA52" ca="1" si="58">SUM(Z53:Z73)</f>
        <v>127</v>
      </c>
      <c r="AA52" s="52">
        <f t="shared" ca="1" si="58"/>
        <v>117</v>
      </c>
      <c r="AB52" s="54">
        <f t="shared" ca="1" si="42"/>
        <v>92.125984251968504</v>
      </c>
      <c r="AC52" s="52">
        <f t="shared" ref="AC52:AD52" ca="1" si="59">SUM(AC53:AC73)</f>
        <v>381</v>
      </c>
      <c r="AD52" s="52">
        <f t="shared" ca="1" si="59"/>
        <v>321</v>
      </c>
      <c r="AE52" s="54">
        <f t="shared" ca="1" si="44"/>
        <v>84.251968503937007</v>
      </c>
      <c r="AF52" s="52">
        <f t="shared" ref="AF52:AG52" ca="1" si="60">SUM(AF53:AF73)</f>
        <v>127</v>
      </c>
      <c r="AG52" s="52">
        <f t="shared" ca="1" si="60"/>
        <v>107</v>
      </c>
      <c r="AH52" s="54">
        <f t="shared" ca="1" si="46"/>
        <v>84.251968503937007</v>
      </c>
    </row>
    <row r="53" spans="1:34" ht="21" customHeight="1" x14ac:dyDescent="0.3">
      <c r="A53" s="147">
        <v>1</v>
      </c>
      <c r="B53" s="148" t="s">
        <v>81</v>
      </c>
      <c r="C53" s="149">
        <f t="shared" ca="1" si="28"/>
        <v>6000</v>
      </c>
      <c r="D53" s="150">
        <f t="shared" ref="D53:D73" ca="1" si="61">+E53+F53</f>
        <v>6000</v>
      </c>
      <c r="E53" s="151">
        <f ca="1">IFERROR(__xludf.DUMMYFUNCTION("IMPORTRANGE(""https://docs.google.com/spreadsheets/d/1-uDff_7J0KD5mKrp0Vvzr7lt3OU09vwQwhkpOPPYv2Y/edit?usp=sharing"",""งบพรบ!AX53"")"),0)</f>
        <v>0</v>
      </c>
      <c r="F53" s="151">
        <f ca="1">IFERROR(__xludf.DUMMYFUNCTION("IMPORTRANGE(""https://docs.google.com/spreadsheets/d/1-uDff_7J0KD5mKrp0Vvzr7lt3OU09vwQwhkpOPPYv2Y/edit?usp=sharing"",""งบพรบ!AY53"")"),6000)</f>
        <v>6000</v>
      </c>
      <c r="G53" s="152">
        <f ca="1">IFERROR(__xludf.DUMMYFUNCTION("IMPORTRANGE(""https://docs.google.com/spreadsheets/d/1-uDff_7J0KD5mKrp0Vvzr7lt3OU09vwQwhkpOPPYv2Y/edit?usp=sharing"",""งบพรบ!AZ53"")"),0)</f>
        <v>0</v>
      </c>
      <c r="H53" s="152">
        <f ca="1">IFERROR(__xludf.DUMMYFUNCTION("IMPORTRANGE(""https://docs.google.com/spreadsheets/d/1-uDff_7J0KD5mKrp0Vvzr7lt3OU09vwQwhkpOPPYv2Y/edit?usp=sharing"",""งบพรบ!BB53"")"),6000)</f>
        <v>6000</v>
      </c>
      <c r="I53" s="152">
        <f ca="1">IFERROR(__xludf.DUMMYFUNCTION("IMPORTRANGE(""https://docs.google.com/spreadsheets/d/1-uDff_7J0KD5mKrp0Vvzr7lt3OU09vwQwhkpOPPYv2Y/edit?usp=sharing"",""งบพรบ!BC53"")"),0)</f>
        <v>0</v>
      </c>
      <c r="J53" s="152">
        <f t="shared" ca="1" si="30"/>
        <v>0</v>
      </c>
      <c r="K53" s="153">
        <f t="shared" ca="1" si="31"/>
        <v>0</v>
      </c>
      <c r="L53" s="152">
        <f ca="1">IFERROR(__xludf.DUMMYFUNCTION("IMPORTRANGE(""https://docs.google.com/spreadsheets/d/1-uDff_7J0KD5mKrp0Vvzr7lt3OU09vwQwhkpOPPYv2Y/edit?usp=sharing"",""งบพรบ!BD53"")"),0)</f>
        <v>0</v>
      </c>
      <c r="M53" s="68">
        <f t="shared" ca="1" si="32"/>
        <v>0</v>
      </c>
      <c r="N53" s="68">
        <f t="shared" ca="1" si="33"/>
        <v>0</v>
      </c>
      <c r="O53" s="67">
        <f ca="1">IFERROR(__xludf.DUMMYFUNCTION("IMPORTRANGE(""https://docs.google.com/spreadsheets/d/1-uDff_7J0KD5mKrp0Vvzr7lt3OU09vwQwhkpOPPYv2Y/edit?usp=sharing"",""งบพรบ!BE53"")"),0)</f>
        <v>0</v>
      </c>
      <c r="P53" s="67">
        <f t="shared" ca="1" si="34"/>
        <v>0</v>
      </c>
      <c r="Q53" s="68">
        <f t="shared" ca="1" si="35"/>
        <v>0</v>
      </c>
      <c r="R53" s="67">
        <f ca="1">IFERROR(__xludf.DUMMYFUNCTION("IMPORTRANGE(""https://docs.google.com/spreadsheets/d/13wPX838HrBrQMCywv1BsuMkt4PEKTChp52zj44s2izQ/edit?usp=sharing"",""กาญจนบุรี!Q94"")"),84420)</f>
        <v>84420</v>
      </c>
      <c r="S53" s="67">
        <f ca="1">IFERROR(__xludf.DUMMYFUNCTION("IMPORTRANGE(""https://docs.google.com/spreadsheets/d/13wPX838HrBrQMCywv1BsuMkt4PEKTChp52zj44s2izQ/edit?usp=sharing"",""กาญจนบุรี!R94"")"),84420)</f>
        <v>84420</v>
      </c>
      <c r="T53" s="67">
        <f ca="1">IFERROR(__xludf.DUMMYFUNCTION("IMPORTRANGE(""https://docs.google.com/spreadsheets/d/13wPX838HrBrQMCywv1BsuMkt4PEKTChp52zj44s2izQ/edit?usp=sharing"",""กาญจนบุรี!S94"")"),57460)</f>
        <v>57460</v>
      </c>
      <c r="U53" s="68">
        <f t="shared" ca="1" si="37"/>
        <v>68.064439706230758</v>
      </c>
      <c r="V53" s="68">
        <f t="shared" ca="1" si="38"/>
        <v>68.064439706230758</v>
      </c>
      <c r="W53" s="62">
        <f ca="1">IFERROR(__xludf.DUMMYFUNCTION("IMPORTRANGE(""https://docs.google.com/spreadsheets/d/13wPX838HrBrQMCywv1BsuMkt4PEKTChp52zj44s2izQ/edit?usp=sharing"",""กาญจนบุรี!I108"")"),30)</f>
        <v>30</v>
      </c>
      <c r="X53" s="62">
        <f ca="1">IFERROR(__xludf.DUMMYFUNCTION("IMPORTRANGE(""https://docs.google.com/spreadsheets/d/13wPX838HrBrQMCywv1BsuMkt4PEKTChp52zj44s2izQ/edit?usp=sharing"",""กาญจนบุรี!J108"")"),30)</f>
        <v>30</v>
      </c>
      <c r="Y53" s="69">
        <f t="shared" ca="1" si="40"/>
        <v>100</v>
      </c>
      <c r="Z53" s="62">
        <f ca="1">IFERROR(__xludf.DUMMYFUNCTION("IMPORTRANGE(""https://docs.google.com/spreadsheets/d/13wPX838HrBrQMCywv1BsuMkt4PEKTChp52zj44s2izQ/edit?usp=sharing"",""กาญจนบุรี!I109"")"),10)</f>
        <v>10</v>
      </c>
      <c r="AA53" s="62">
        <f ca="1">IFERROR(__xludf.DUMMYFUNCTION("IMPORTRANGE(""https://docs.google.com/spreadsheets/d/13wPX838HrBrQMCywv1BsuMkt4PEKTChp52zj44s2izQ/edit?usp=sharing"",""กาญจนบุรี!J109"")"),10)</f>
        <v>10</v>
      </c>
      <c r="AB53" s="69">
        <f t="shared" ca="1" si="42"/>
        <v>100</v>
      </c>
      <c r="AC53" s="62">
        <f ca="1">IFERROR(__xludf.DUMMYFUNCTION("IMPORTRANGE(""https://docs.google.com/spreadsheets/d/13wPX838HrBrQMCywv1BsuMkt4PEKTChp52zj44s2izQ/edit?usp=sharing"",""กาญจนบุรี!I113"")"),30)</f>
        <v>30</v>
      </c>
      <c r="AD53" s="62">
        <f ca="1">IFERROR(__xludf.DUMMYFUNCTION("IMPORTRANGE(""https://docs.google.com/spreadsheets/d/13wPX838HrBrQMCywv1BsuMkt4PEKTChp52zj44s2izQ/edit?usp=sharing"",""กาญจนบุรี!J113"")"),30)</f>
        <v>30</v>
      </c>
      <c r="AE53" s="69">
        <f t="shared" ca="1" si="44"/>
        <v>100</v>
      </c>
      <c r="AF53" s="62">
        <f ca="1">IFERROR(__xludf.DUMMYFUNCTION("IMPORTRANGE(""https://docs.google.com/spreadsheets/d/13wPX838HrBrQMCywv1BsuMkt4PEKTChp52zj44s2izQ/edit?usp=sharing"",""กาญจนบุรี!I114"")"),10)</f>
        <v>10</v>
      </c>
      <c r="AG53" s="62">
        <f ca="1">IFERROR(__xludf.DUMMYFUNCTION("IMPORTRANGE(""https://docs.google.com/spreadsheets/d/13wPX838HrBrQMCywv1BsuMkt4PEKTChp52zj44s2izQ/edit?usp=sharing"",""กาญจนบุรี!J114"")"),10)</f>
        <v>10</v>
      </c>
      <c r="AH53" s="69">
        <f t="shared" ca="1" si="46"/>
        <v>100</v>
      </c>
    </row>
    <row r="54" spans="1:34" ht="21" customHeight="1" x14ac:dyDescent="0.3">
      <c r="A54" s="147">
        <v>2</v>
      </c>
      <c r="B54" s="148" t="s">
        <v>82</v>
      </c>
      <c r="C54" s="149">
        <f t="shared" ca="1" si="28"/>
        <v>7200</v>
      </c>
      <c r="D54" s="150">
        <f t="shared" ca="1" si="61"/>
        <v>7200</v>
      </c>
      <c r="E54" s="151">
        <f ca="1">IFERROR(__xludf.DUMMYFUNCTION("IMPORTRANGE(""https://docs.google.com/spreadsheets/d/1-uDff_7J0KD5mKrp0Vvzr7lt3OU09vwQwhkpOPPYv2Y/edit?usp=sharing"",""งบพรบ!AX54"")"),0)</f>
        <v>0</v>
      </c>
      <c r="F54" s="151">
        <f ca="1">IFERROR(__xludf.DUMMYFUNCTION("IMPORTRANGE(""https://docs.google.com/spreadsheets/d/1-uDff_7J0KD5mKrp0Vvzr7lt3OU09vwQwhkpOPPYv2Y/edit?usp=sharing"",""งบพรบ!AY54"")"),7200)</f>
        <v>7200</v>
      </c>
      <c r="G54" s="151">
        <f ca="1">IFERROR(__xludf.DUMMYFUNCTION("IMPORTRANGE(""https://docs.google.com/spreadsheets/d/1-uDff_7J0KD5mKrp0Vvzr7lt3OU09vwQwhkpOPPYv2Y/edit?usp=sharing"",""งบพรบ!AZ54"")"),0)</f>
        <v>0</v>
      </c>
      <c r="H54" s="151">
        <f ca="1">IFERROR(__xludf.DUMMYFUNCTION("IMPORTRANGE(""https://docs.google.com/spreadsheets/d/1-uDff_7J0KD5mKrp0Vvzr7lt3OU09vwQwhkpOPPYv2Y/edit?usp=sharing"",""งบพรบ!BB54"")"),7200)</f>
        <v>7200</v>
      </c>
      <c r="I54" s="151">
        <f ca="1">IFERROR(__xludf.DUMMYFUNCTION("IMPORTRANGE(""https://docs.google.com/spreadsheets/d/1-uDff_7J0KD5mKrp0Vvzr7lt3OU09vwQwhkpOPPYv2Y/edit?usp=sharing"",""งบพรบ!BC54"")"),0)</f>
        <v>0</v>
      </c>
      <c r="J54" s="151">
        <f t="shared" ca="1" si="30"/>
        <v>7200</v>
      </c>
      <c r="K54" s="154">
        <f t="shared" ca="1" si="31"/>
        <v>100</v>
      </c>
      <c r="L54" s="151">
        <f ca="1">IFERROR(__xludf.DUMMYFUNCTION("IMPORTRANGE(""https://docs.google.com/spreadsheets/d/1-uDff_7J0KD5mKrp0Vvzr7lt3OU09vwQwhkpOPPYv2Y/edit?usp=sharing"",""งบพรบ!BD54"")"),7200)</f>
        <v>7200</v>
      </c>
      <c r="M54" s="68">
        <f t="shared" ca="1" si="32"/>
        <v>100</v>
      </c>
      <c r="N54" s="68">
        <f t="shared" ca="1" si="33"/>
        <v>100</v>
      </c>
      <c r="O54" s="67">
        <f ca="1">IFERROR(__xludf.DUMMYFUNCTION("IMPORTRANGE(""https://docs.google.com/spreadsheets/d/1-uDff_7J0KD5mKrp0Vvzr7lt3OU09vwQwhkpOPPYv2Y/edit?usp=sharing"",""งบพรบ!BE54"")"),0)</f>
        <v>0</v>
      </c>
      <c r="P54" s="67">
        <f t="shared" ca="1" si="34"/>
        <v>0</v>
      </c>
      <c r="Q54" s="68">
        <f t="shared" ca="1" si="35"/>
        <v>0</v>
      </c>
      <c r="R54" s="67">
        <f ca="1">IFERROR(__xludf.DUMMYFUNCTION("IMPORTRANGE(""https://docs.google.com/spreadsheets/d/1ddFKvqj1W1NEiWytbGlB1zMx_ykJDVtmfEQ-6-lIUBA/edit?usp=sharing"",""จันทบุรี!Q94"")"),101304)</f>
        <v>101304</v>
      </c>
      <c r="S54" s="67">
        <f ca="1">IFERROR(__xludf.DUMMYFUNCTION("IMPORTRANGE(""https://docs.google.com/spreadsheets/d/1ddFKvqj1W1NEiWytbGlB1zMx_ykJDVtmfEQ-6-lIUBA/edit?usp=sharing"",""จันทบุรี!R94"")"),101304)</f>
        <v>101304</v>
      </c>
      <c r="T54" s="67">
        <f ca="1">IFERROR(__xludf.DUMMYFUNCTION("IMPORTRANGE(""https://docs.google.com/spreadsheets/d/1ddFKvqj1W1NEiWytbGlB1zMx_ykJDVtmfEQ-6-lIUBA/edit?usp=sharing"",""จันทบุรี!S94"")"),58740)</f>
        <v>58740</v>
      </c>
      <c r="U54" s="68">
        <f t="shared" ca="1" si="37"/>
        <v>57.983890073442311</v>
      </c>
      <c r="V54" s="68">
        <f t="shared" ca="1" si="38"/>
        <v>57.983890073442311</v>
      </c>
      <c r="W54" s="74">
        <f ca="1">IFERROR(__xludf.DUMMYFUNCTION("IMPORTRANGE(""https://docs.google.com/spreadsheets/d/1ddFKvqj1W1NEiWytbGlB1zMx_ykJDVtmfEQ-6-lIUBA/edit?usp=sharing"",""จันทบุรี!I108"")"),36)</f>
        <v>36</v>
      </c>
      <c r="X54" s="74">
        <f ca="1">IFERROR(__xludf.DUMMYFUNCTION("IMPORTRANGE(""https://docs.google.com/spreadsheets/d/1ddFKvqj1W1NEiWytbGlB1zMx_ykJDVtmfEQ-6-lIUBA/edit?usp=sharing"",""จันทบุรี!J108"")"),36)</f>
        <v>36</v>
      </c>
      <c r="Y54" s="79">
        <f t="shared" ca="1" si="40"/>
        <v>100</v>
      </c>
      <c r="Z54" s="74">
        <f ca="1">IFERROR(__xludf.DUMMYFUNCTION("IMPORTRANGE(""https://docs.google.com/spreadsheets/d/1ddFKvqj1W1NEiWytbGlB1zMx_ykJDVtmfEQ-6-lIUBA/edit?usp=sharing"",""จันทบุรี!I109"")"),12)</f>
        <v>12</v>
      </c>
      <c r="AA54" s="74">
        <f ca="1">IFERROR(__xludf.DUMMYFUNCTION("IMPORTRANGE(""https://docs.google.com/spreadsheets/d/1ddFKvqj1W1NEiWytbGlB1zMx_ykJDVtmfEQ-6-lIUBA/edit?usp=sharing"",""จันทบุรี!J109"")"),12)</f>
        <v>12</v>
      </c>
      <c r="AB54" s="79">
        <f t="shared" ca="1" si="42"/>
        <v>100</v>
      </c>
      <c r="AC54" s="74">
        <f ca="1">IFERROR(__xludf.DUMMYFUNCTION("IMPORTRANGE(""https://docs.google.com/spreadsheets/d/1ddFKvqj1W1NEiWytbGlB1zMx_ykJDVtmfEQ-6-lIUBA/edit?usp=sharing"",""จันทบุรี!I113"")"),36)</f>
        <v>36</v>
      </c>
      <c r="AD54" s="74">
        <f ca="1">IFERROR(__xludf.DUMMYFUNCTION("IMPORTRANGE(""https://docs.google.com/spreadsheets/d/1ddFKvqj1W1NEiWytbGlB1zMx_ykJDVtmfEQ-6-lIUBA/edit?usp=sharing"",""จันทบุรี!J113"")"),36)</f>
        <v>36</v>
      </c>
      <c r="AE54" s="79">
        <f t="shared" ca="1" si="44"/>
        <v>100</v>
      </c>
      <c r="AF54" s="74">
        <f ca="1">IFERROR(__xludf.DUMMYFUNCTION("IMPORTRANGE(""https://docs.google.com/spreadsheets/d/1ddFKvqj1W1NEiWytbGlB1zMx_ykJDVtmfEQ-6-lIUBA/edit?usp=sharing"",""จันทบุรี!I114"")"),12)</f>
        <v>12</v>
      </c>
      <c r="AG54" s="74">
        <f ca="1">IFERROR(__xludf.DUMMYFUNCTION("IMPORTRANGE(""https://docs.google.com/spreadsheets/d/1ddFKvqj1W1NEiWytbGlB1zMx_ykJDVtmfEQ-6-lIUBA/edit?usp=sharing"",""จันทบุรี!J114"")"),12)</f>
        <v>12</v>
      </c>
      <c r="AH54" s="79">
        <f t="shared" ca="1" si="46"/>
        <v>100</v>
      </c>
    </row>
    <row r="55" spans="1:34" ht="21" customHeight="1" x14ac:dyDescent="0.3">
      <c r="A55" s="147">
        <v>3</v>
      </c>
      <c r="B55" s="148" t="s">
        <v>83</v>
      </c>
      <c r="C55" s="149">
        <f t="shared" ca="1" si="28"/>
        <v>0</v>
      </c>
      <c r="D55" s="150">
        <f t="shared" ca="1" si="61"/>
        <v>0</v>
      </c>
      <c r="E55" s="151">
        <f ca="1">IFERROR(__xludf.DUMMYFUNCTION("IMPORTRANGE(""https://docs.google.com/spreadsheets/d/1-uDff_7J0KD5mKrp0Vvzr7lt3OU09vwQwhkpOPPYv2Y/edit?usp=sharing"",""งบพรบ!AX55"")"),0)</f>
        <v>0</v>
      </c>
      <c r="F55" s="151">
        <f ca="1">IFERROR(__xludf.DUMMYFUNCTION("IMPORTRANGE(""https://docs.google.com/spreadsheets/d/1-uDff_7J0KD5mKrp0Vvzr7lt3OU09vwQwhkpOPPYv2Y/edit?usp=sharing"",""งบพรบ!AY55"")"),0)</f>
        <v>0</v>
      </c>
      <c r="G55" s="151">
        <f ca="1">IFERROR(__xludf.DUMMYFUNCTION("IMPORTRANGE(""https://docs.google.com/spreadsheets/d/1-uDff_7J0KD5mKrp0Vvzr7lt3OU09vwQwhkpOPPYv2Y/edit?usp=sharing"",""งบพรบ!AZ55"")"),0)</f>
        <v>0</v>
      </c>
      <c r="H55" s="151">
        <f ca="1">IFERROR(__xludf.DUMMYFUNCTION("IMPORTRANGE(""https://docs.google.com/spreadsheets/d/1-uDff_7J0KD5mKrp0Vvzr7lt3OU09vwQwhkpOPPYv2Y/edit?usp=sharing"",""งบพรบ!BB55"")"),0)</f>
        <v>0</v>
      </c>
      <c r="I55" s="151">
        <f ca="1">IFERROR(__xludf.DUMMYFUNCTION("IMPORTRANGE(""https://docs.google.com/spreadsheets/d/1-uDff_7J0KD5mKrp0Vvzr7lt3OU09vwQwhkpOPPYv2Y/edit?usp=sharing"",""งบพรบ!BC55"")"),0)</f>
        <v>0</v>
      </c>
      <c r="J55" s="151">
        <f t="shared" ca="1" si="30"/>
        <v>0</v>
      </c>
      <c r="K55" s="154">
        <f t="shared" ca="1" si="31"/>
        <v>0</v>
      </c>
      <c r="L55" s="151">
        <f ca="1">IFERROR(__xludf.DUMMYFUNCTION("IMPORTRANGE(""https://docs.google.com/spreadsheets/d/1-uDff_7J0KD5mKrp0Vvzr7lt3OU09vwQwhkpOPPYv2Y/edit?usp=sharing"",""งบพรบ!BD55"")"),0)</f>
        <v>0</v>
      </c>
      <c r="M55" s="68">
        <f t="shared" ca="1" si="32"/>
        <v>0</v>
      </c>
      <c r="N55" s="68">
        <f t="shared" ca="1" si="33"/>
        <v>0</v>
      </c>
      <c r="O55" s="67">
        <f ca="1">IFERROR(__xludf.DUMMYFUNCTION("IMPORTRANGE(""https://docs.google.com/spreadsheets/d/1-uDff_7J0KD5mKrp0Vvzr7lt3OU09vwQwhkpOPPYv2Y/edit?usp=sharing"",""งบพรบ!BE55"")"),0)</f>
        <v>0</v>
      </c>
      <c r="P55" s="67">
        <f t="shared" ca="1" si="34"/>
        <v>0</v>
      </c>
      <c r="Q55" s="68">
        <f t="shared" ca="1" si="35"/>
        <v>0</v>
      </c>
      <c r="R55" s="67">
        <f ca="1">IFERROR(__xludf.DUMMYFUNCTION("IMPORTRANGE(""https://docs.google.com/spreadsheets/d/1T1PQvRODqOBZk8BRht_U031fIS1beLA0Ub2CEytj2q0/edit?usp=sharing"",""ฉะเชิงเทรา!Q94"")"),0)</f>
        <v>0</v>
      </c>
      <c r="S55" s="67">
        <f ca="1">IFERROR(__xludf.DUMMYFUNCTION("IMPORTRANGE(""https://docs.google.com/spreadsheets/d/1T1PQvRODqOBZk8BRht_U031fIS1beLA0Ub2CEytj2q0/edit?usp=sharing"",""ฉะเชิงเทรา!R94"")"),0)</f>
        <v>0</v>
      </c>
      <c r="T55" s="67">
        <f ca="1">IFERROR(__xludf.DUMMYFUNCTION("IMPORTRANGE(""https://docs.google.com/spreadsheets/d/1T1PQvRODqOBZk8BRht_U031fIS1beLA0Ub2CEytj2q0/edit?usp=sharing"",""ฉะเชิงเทรา!S94"")"),0)</f>
        <v>0</v>
      </c>
      <c r="U55" s="68">
        <f t="shared" ca="1" si="37"/>
        <v>0</v>
      </c>
      <c r="V55" s="68">
        <f t="shared" ca="1" si="38"/>
        <v>0</v>
      </c>
      <c r="W55" s="74">
        <f ca="1">IFERROR(__xludf.DUMMYFUNCTION("IMPORTRANGE(""https://docs.google.com/spreadsheets/d/1T1PQvRODqOBZk8BRht_U031fIS1beLA0Ub2CEytj2q0/edit?usp=sharing"",""ฉะเชิงเทรา!I108"")"),0)</f>
        <v>0</v>
      </c>
      <c r="X55" s="74">
        <f ca="1">IFERROR(__xludf.DUMMYFUNCTION("IMPORTRANGE(""https://docs.google.com/spreadsheets/d/1T1PQvRODqOBZk8BRht_U031fIS1beLA0Ub2CEytj2q0/edit?usp=sharing"",""ฉะเชิงเทรา!J108"")"),0)</f>
        <v>0</v>
      </c>
      <c r="Y55" s="79">
        <f t="shared" ca="1" si="40"/>
        <v>0</v>
      </c>
      <c r="Z55" s="74">
        <f ca="1">IFERROR(__xludf.DUMMYFUNCTION("IMPORTRANGE(""https://docs.google.com/spreadsheets/d/1T1PQvRODqOBZk8BRht_U031fIS1beLA0Ub2CEytj2q0/edit?usp=sharing"",""ฉะเชิงเทรา!I109"")"),0)</f>
        <v>0</v>
      </c>
      <c r="AA55" s="74">
        <f ca="1">IFERROR(__xludf.DUMMYFUNCTION("IMPORTRANGE(""https://docs.google.com/spreadsheets/d/1T1PQvRODqOBZk8BRht_U031fIS1beLA0Ub2CEytj2q0/edit?usp=sharing"",""ฉะเชิงเทรา!J109"")"),0)</f>
        <v>0</v>
      </c>
      <c r="AB55" s="79">
        <f t="shared" ca="1" si="42"/>
        <v>0</v>
      </c>
      <c r="AC55" s="74">
        <f ca="1">IFERROR(__xludf.DUMMYFUNCTION("IMPORTRANGE(""https://docs.google.com/spreadsheets/d/1T1PQvRODqOBZk8BRht_U031fIS1beLA0Ub2CEytj2q0/edit?usp=sharing"",""ฉะเชิงเทรา!I113"")"),0)</f>
        <v>0</v>
      </c>
      <c r="AD55" s="74">
        <f ca="1">IFERROR(__xludf.DUMMYFUNCTION("IMPORTRANGE(""https://docs.google.com/spreadsheets/d/1T1PQvRODqOBZk8BRht_U031fIS1beLA0Ub2CEytj2q0/edit?usp=sharing"",""ฉะเชิงเทรา!J113"")"),0)</f>
        <v>0</v>
      </c>
      <c r="AE55" s="79">
        <f t="shared" ca="1" si="44"/>
        <v>0</v>
      </c>
      <c r="AF55" s="74">
        <f ca="1">IFERROR(__xludf.DUMMYFUNCTION("IMPORTRANGE(""https://docs.google.com/spreadsheets/d/1T1PQvRODqOBZk8BRht_U031fIS1beLA0Ub2CEytj2q0/edit?usp=sharing"",""ฉะเชิงเทรา!I114"")"),0)</f>
        <v>0</v>
      </c>
      <c r="AG55" s="74">
        <f ca="1">IFERROR(__xludf.DUMMYFUNCTION("IMPORTRANGE(""https://docs.google.com/spreadsheets/d/1T1PQvRODqOBZk8BRht_U031fIS1beLA0Ub2CEytj2q0/edit?usp=sharing"",""ฉะเชิงเทรา!J114"")"),0)</f>
        <v>0</v>
      </c>
      <c r="AH55" s="79">
        <f t="shared" ca="1" si="46"/>
        <v>0</v>
      </c>
    </row>
    <row r="56" spans="1:34" ht="21" customHeight="1" x14ac:dyDescent="0.3">
      <c r="A56" s="147">
        <v>4</v>
      </c>
      <c r="B56" s="148" t="s">
        <v>84</v>
      </c>
      <c r="C56" s="149">
        <f t="shared" ca="1" si="28"/>
        <v>0</v>
      </c>
      <c r="D56" s="150">
        <f t="shared" ca="1" si="61"/>
        <v>0</v>
      </c>
      <c r="E56" s="151">
        <f ca="1">IFERROR(__xludf.DUMMYFUNCTION("IMPORTRANGE(""https://docs.google.com/spreadsheets/d/1-uDff_7J0KD5mKrp0Vvzr7lt3OU09vwQwhkpOPPYv2Y/edit?usp=sharing"",""งบพรบ!AX56"")"),0)</f>
        <v>0</v>
      </c>
      <c r="F56" s="151">
        <f ca="1">IFERROR(__xludf.DUMMYFUNCTION("IMPORTRANGE(""https://docs.google.com/spreadsheets/d/1-uDff_7J0KD5mKrp0Vvzr7lt3OU09vwQwhkpOPPYv2Y/edit?usp=sharing"",""งบพรบ!AY56"")"),0)</f>
        <v>0</v>
      </c>
      <c r="G56" s="151">
        <f ca="1">IFERROR(__xludf.DUMMYFUNCTION("IMPORTRANGE(""https://docs.google.com/spreadsheets/d/1-uDff_7J0KD5mKrp0Vvzr7lt3OU09vwQwhkpOPPYv2Y/edit?usp=sharing"",""งบพรบ!AZ56"")"),0)</f>
        <v>0</v>
      </c>
      <c r="H56" s="151">
        <f ca="1">IFERROR(__xludf.DUMMYFUNCTION("IMPORTRANGE(""https://docs.google.com/spreadsheets/d/1-uDff_7J0KD5mKrp0Vvzr7lt3OU09vwQwhkpOPPYv2Y/edit?usp=sharing"",""งบพรบ!BB56"")"),0)</f>
        <v>0</v>
      </c>
      <c r="I56" s="151">
        <f ca="1">IFERROR(__xludf.DUMMYFUNCTION("IMPORTRANGE(""https://docs.google.com/spreadsheets/d/1-uDff_7J0KD5mKrp0Vvzr7lt3OU09vwQwhkpOPPYv2Y/edit?usp=sharing"",""งบพรบ!BC56"")"),0)</f>
        <v>0</v>
      </c>
      <c r="J56" s="151">
        <f t="shared" ca="1" si="30"/>
        <v>0</v>
      </c>
      <c r="K56" s="154">
        <f t="shared" ca="1" si="31"/>
        <v>0</v>
      </c>
      <c r="L56" s="151">
        <f ca="1">IFERROR(__xludf.DUMMYFUNCTION("IMPORTRANGE(""https://docs.google.com/spreadsheets/d/1-uDff_7J0KD5mKrp0Vvzr7lt3OU09vwQwhkpOPPYv2Y/edit?usp=sharing"",""งบพรบ!BD56"")"),0)</f>
        <v>0</v>
      </c>
      <c r="M56" s="68">
        <f t="shared" ca="1" si="32"/>
        <v>0</v>
      </c>
      <c r="N56" s="68">
        <f t="shared" ca="1" si="33"/>
        <v>0</v>
      </c>
      <c r="O56" s="67">
        <f ca="1">IFERROR(__xludf.DUMMYFUNCTION("IMPORTRANGE(""https://docs.google.com/spreadsheets/d/1-uDff_7J0KD5mKrp0Vvzr7lt3OU09vwQwhkpOPPYv2Y/edit?usp=sharing"",""งบพรบ!BE56"")"),0)</f>
        <v>0</v>
      </c>
      <c r="P56" s="67">
        <f t="shared" ca="1" si="34"/>
        <v>0</v>
      </c>
      <c r="Q56" s="68">
        <f t="shared" ca="1" si="35"/>
        <v>0</v>
      </c>
      <c r="R56" s="67">
        <f ca="1">IFERROR(__xludf.DUMMYFUNCTION("IMPORTRANGE(""https://docs.google.com/spreadsheets/d/11tr1B-Bhyr79v2bkwVh5h_fR-PStkgjlZtkrZpYurG0/edit?usp=sharing"",""ชลบุรี!Q94"")"),0)</f>
        <v>0</v>
      </c>
      <c r="S56" s="67">
        <f ca="1">IFERROR(__xludf.DUMMYFUNCTION("IMPORTRANGE(""https://docs.google.com/spreadsheets/d/11tr1B-Bhyr79v2bkwVh5h_fR-PStkgjlZtkrZpYurG0/edit?usp=sharing"",""ชลบุรี!R94"")"),0)</f>
        <v>0</v>
      </c>
      <c r="T56" s="67">
        <f ca="1">IFERROR(__xludf.DUMMYFUNCTION("IMPORTRANGE(""https://docs.google.com/spreadsheets/d/11tr1B-Bhyr79v2bkwVh5h_fR-PStkgjlZtkrZpYurG0/edit?usp=sharing"",""ชลบุรี!S94"")"),0)</f>
        <v>0</v>
      </c>
      <c r="U56" s="68">
        <f t="shared" ca="1" si="37"/>
        <v>0</v>
      </c>
      <c r="V56" s="68">
        <f t="shared" ca="1" si="38"/>
        <v>0</v>
      </c>
      <c r="W56" s="74">
        <f ca="1">IFERROR(__xludf.DUMMYFUNCTION("IMPORTRANGE(""https://docs.google.com/spreadsheets/d/11tr1B-Bhyr79v2bkwVh5h_fR-PStkgjlZtkrZpYurG0/edit?usp=sharing"",""ชลบุรี!I108"")"),0)</f>
        <v>0</v>
      </c>
      <c r="X56" s="74">
        <f ca="1">IFERROR(__xludf.DUMMYFUNCTION("IMPORTRANGE(""https://docs.google.com/spreadsheets/d/11tr1B-Bhyr79v2bkwVh5h_fR-PStkgjlZtkrZpYurG0/edit?usp=sharing"",""ชลบุรี!J108"")"),0)</f>
        <v>0</v>
      </c>
      <c r="Y56" s="79">
        <f t="shared" ca="1" si="40"/>
        <v>0</v>
      </c>
      <c r="Z56" s="74">
        <f ca="1">IFERROR(__xludf.DUMMYFUNCTION("IMPORTRANGE(""https://docs.google.com/spreadsheets/d/11tr1B-Bhyr79v2bkwVh5h_fR-PStkgjlZtkrZpYurG0/edit?usp=sharing"",""ชลบุรี!I109"")"),0)</f>
        <v>0</v>
      </c>
      <c r="AA56" s="74">
        <f ca="1">IFERROR(__xludf.DUMMYFUNCTION("IMPORTRANGE(""https://docs.google.com/spreadsheets/d/11tr1B-Bhyr79v2bkwVh5h_fR-PStkgjlZtkrZpYurG0/edit?usp=sharing"",""ชลบุรี!J109"")"),0)</f>
        <v>0</v>
      </c>
      <c r="AB56" s="79">
        <f t="shared" ca="1" si="42"/>
        <v>0</v>
      </c>
      <c r="AC56" s="74">
        <f ca="1">IFERROR(__xludf.DUMMYFUNCTION("IMPORTRANGE(""https://docs.google.com/spreadsheets/d/11tr1B-Bhyr79v2bkwVh5h_fR-PStkgjlZtkrZpYurG0/edit?usp=sharing"",""ชลบุรี!I113"")"),0)</f>
        <v>0</v>
      </c>
      <c r="AD56" s="74">
        <f ca="1">IFERROR(__xludf.DUMMYFUNCTION("IMPORTRANGE(""https://docs.google.com/spreadsheets/d/11tr1B-Bhyr79v2bkwVh5h_fR-PStkgjlZtkrZpYurG0/edit?usp=sharing"",""ชลบุรี!J113"")"),0)</f>
        <v>0</v>
      </c>
      <c r="AE56" s="79">
        <f t="shared" ca="1" si="44"/>
        <v>0</v>
      </c>
      <c r="AF56" s="74">
        <f ca="1">IFERROR(__xludf.DUMMYFUNCTION("IMPORTRANGE(""https://docs.google.com/spreadsheets/d/11tr1B-Bhyr79v2bkwVh5h_fR-PStkgjlZtkrZpYurG0/edit?usp=sharing"",""ชลบุรี!I114"")"),0)</f>
        <v>0</v>
      </c>
      <c r="AG56" s="74">
        <f ca="1">IFERROR(__xludf.DUMMYFUNCTION("IMPORTRANGE(""https://docs.google.com/spreadsheets/d/11tr1B-Bhyr79v2bkwVh5h_fR-PStkgjlZtkrZpYurG0/edit?usp=sharing"",""ชลบุรี!J114"")"),0)</f>
        <v>0</v>
      </c>
      <c r="AH56" s="79">
        <f t="shared" ca="1" si="46"/>
        <v>0</v>
      </c>
    </row>
    <row r="57" spans="1:34" ht="21" customHeight="1" x14ac:dyDescent="0.3">
      <c r="A57" s="147">
        <v>5</v>
      </c>
      <c r="B57" s="148" t="s">
        <v>85</v>
      </c>
      <c r="C57" s="149">
        <f t="shared" ca="1" si="28"/>
        <v>7200</v>
      </c>
      <c r="D57" s="150">
        <f t="shared" ca="1" si="61"/>
        <v>7200</v>
      </c>
      <c r="E57" s="151">
        <f ca="1">IFERROR(__xludf.DUMMYFUNCTION("IMPORTRANGE(""https://docs.google.com/spreadsheets/d/1-uDff_7J0KD5mKrp0Vvzr7lt3OU09vwQwhkpOPPYv2Y/edit?usp=sharing"",""งบพรบ!AX57"")"),0)</f>
        <v>0</v>
      </c>
      <c r="F57" s="151">
        <f ca="1">IFERROR(__xludf.DUMMYFUNCTION("IMPORTRANGE(""https://docs.google.com/spreadsheets/d/1-uDff_7J0KD5mKrp0Vvzr7lt3OU09vwQwhkpOPPYv2Y/edit?usp=sharing"",""งบพรบ!AY57"")"),7200)</f>
        <v>7200</v>
      </c>
      <c r="G57" s="151">
        <f ca="1">IFERROR(__xludf.DUMMYFUNCTION("IMPORTRANGE(""https://docs.google.com/spreadsheets/d/1-uDff_7J0KD5mKrp0Vvzr7lt3OU09vwQwhkpOPPYv2Y/edit?usp=sharing"",""งบพรบ!AZ57"")"),0)</f>
        <v>0</v>
      </c>
      <c r="H57" s="151">
        <f ca="1">IFERROR(__xludf.DUMMYFUNCTION("IMPORTRANGE(""https://docs.google.com/spreadsheets/d/1-uDff_7J0KD5mKrp0Vvzr7lt3OU09vwQwhkpOPPYv2Y/edit?usp=sharing"",""งบพรบ!BB57"")"),7200)</f>
        <v>7200</v>
      </c>
      <c r="I57" s="151">
        <f ca="1">IFERROR(__xludf.DUMMYFUNCTION("IMPORTRANGE(""https://docs.google.com/spreadsheets/d/1-uDff_7J0KD5mKrp0Vvzr7lt3OU09vwQwhkpOPPYv2Y/edit?usp=sharing"",""งบพรบ!BC57"")"),0)</f>
        <v>0</v>
      </c>
      <c r="J57" s="151">
        <f t="shared" ca="1" si="30"/>
        <v>7200</v>
      </c>
      <c r="K57" s="154">
        <f t="shared" ca="1" si="31"/>
        <v>100</v>
      </c>
      <c r="L57" s="151">
        <f ca="1">IFERROR(__xludf.DUMMYFUNCTION("IMPORTRANGE(""https://docs.google.com/spreadsheets/d/1-uDff_7J0KD5mKrp0Vvzr7lt3OU09vwQwhkpOPPYv2Y/edit?usp=sharing"",""งบพรบ!BD57"")"),7200)</f>
        <v>7200</v>
      </c>
      <c r="M57" s="68">
        <f t="shared" ca="1" si="32"/>
        <v>100</v>
      </c>
      <c r="N57" s="68">
        <f t="shared" ca="1" si="33"/>
        <v>100</v>
      </c>
      <c r="O57" s="67">
        <f ca="1">IFERROR(__xludf.DUMMYFUNCTION("IMPORTRANGE(""https://docs.google.com/spreadsheets/d/1-uDff_7J0KD5mKrp0Vvzr7lt3OU09vwQwhkpOPPYv2Y/edit?usp=sharing"",""งบพรบ!BE57"")"),0)</f>
        <v>0</v>
      </c>
      <c r="P57" s="67">
        <f t="shared" ca="1" si="34"/>
        <v>0</v>
      </c>
      <c r="Q57" s="68">
        <f t="shared" ca="1" si="35"/>
        <v>0</v>
      </c>
      <c r="R57" s="67">
        <f ca="1">IFERROR(__xludf.DUMMYFUNCTION("IMPORTRANGE(""https://docs.google.com/spreadsheets/d/1hh-FVnSX0vozXhGluamEcS54Dw9_zqW0N7qJUWgJ0Sw/edit?usp=sharing"",""ชัยนาท!Q94"")"),101304)</f>
        <v>101304</v>
      </c>
      <c r="S57" s="67">
        <f ca="1">IFERROR(__xludf.DUMMYFUNCTION("IMPORTRANGE(""https://docs.google.com/spreadsheets/d/1hh-FVnSX0vozXhGluamEcS54Dw9_zqW0N7qJUWgJ0Sw/edit?usp=sharing"",""ชัยนาท!R94"")"),101304)</f>
        <v>101304</v>
      </c>
      <c r="T57" s="67">
        <f ca="1">IFERROR(__xludf.DUMMYFUNCTION("IMPORTRANGE(""https://docs.google.com/spreadsheets/d/1hh-FVnSX0vozXhGluamEcS54Dw9_zqW0N7qJUWgJ0Sw/edit?usp=sharing"",""ชัยนาท!S94"")"),81304)</f>
        <v>81304</v>
      </c>
      <c r="U57" s="68">
        <f t="shared" ca="1" si="37"/>
        <v>80.257442944010108</v>
      </c>
      <c r="V57" s="68">
        <f t="shared" ca="1" si="38"/>
        <v>80.257442944010108</v>
      </c>
      <c r="W57" s="74">
        <f ca="1">IFERROR(__xludf.DUMMYFUNCTION("IMPORTRANGE(""https://docs.google.com/spreadsheets/d/1hh-FVnSX0vozXhGluamEcS54Dw9_zqW0N7qJUWgJ0Sw/edit?usp=sharing"",""ชัยนาท!I108"")"),36)</f>
        <v>36</v>
      </c>
      <c r="X57" s="74">
        <f ca="1">IFERROR(__xludf.DUMMYFUNCTION("IMPORTRANGE(""https://docs.google.com/spreadsheets/d/1hh-FVnSX0vozXhGluamEcS54Dw9_zqW0N7qJUWgJ0Sw/edit?usp=sharing"",""ชัยนาท!J108"")"),36)</f>
        <v>36</v>
      </c>
      <c r="Y57" s="79">
        <f t="shared" ca="1" si="40"/>
        <v>100</v>
      </c>
      <c r="Z57" s="74">
        <f ca="1">IFERROR(__xludf.DUMMYFUNCTION("IMPORTRANGE(""https://docs.google.com/spreadsheets/d/1hh-FVnSX0vozXhGluamEcS54Dw9_zqW0N7qJUWgJ0Sw/edit?usp=sharing"",""ชัยนาท!I109"")"),12)</f>
        <v>12</v>
      </c>
      <c r="AA57" s="74">
        <f ca="1">IFERROR(__xludf.DUMMYFUNCTION("IMPORTRANGE(""https://docs.google.com/spreadsheets/d/1hh-FVnSX0vozXhGluamEcS54Dw9_zqW0N7qJUWgJ0Sw/edit?usp=sharing"",""ชัยนาท!J109"")"),12)</f>
        <v>12</v>
      </c>
      <c r="AB57" s="79">
        <f t="shared" ca="1" si="42"/>
        <v>100</v>
      </c>
      <c r="AC57" s="74">
        <f ca="1">IFERROR(__xludf.DUMMYFUNCTION("IMPORTRANGE(""https://docs.google.com/spreadsheets/d/1hh-FVnSX0vozXhGluamEcS54Dw9_zqW0N7qJUWgJ0Sw/edit?usp=sharing"",""ชัยนาท!I113"")"),36)</f>
        <v>36</v>
      </c>
      <c r="AD57" s="74">
        <f ca="1">IFERROR(__xludf.DUMMYFUNCTION("IMPORTRANGE(""https://docs.google.com/spreadsheets/d/1hh-FVnSX0vozXhGluamEcS54Dw9_zqW0N7qJUWgJ0Sw/edit?usp=sharing"",""ชัยนาท!J113"")"),36)</f>
        <v>36</v>
      </c>
      <c r="AE57" s="79">
        <f t="shared" ca="1" si="44"/>
        <v>100</v>
      </c>
      <c r="AF57" s="74">
        <f ca="1">IFERROR(__xludf.DUMMYFUNCTION("IMPORTRANGE(""https://docs.google.com/spreadsheets/d/1hh-FVnSX0vozXhGluamEcS54Dw9_zqW0N7qJUWgJ0Sw/edit?usp=sharing"",""ชัยนาท!I114"")"),12)</f>
        <v>12</v>
      </c>
      <c r="AG57" s="74">
        <f ca="1">IFERROR(__xludf.DUMMYFUNCTION("IMPORTRANGE(""https://docs.google.com/spreadsheets/d/1hh-FVnSX0vozXhGluamEcS54Dw9_zqW0N7qJUWgJ0Sw/edit?usp=sharing"",""ชัยนาท!J114"")"),12)</f>
        <v>12</v>
      </c>
      <c r="AH57" s="79">
        <f t="shared" ca="1" si="46"/>
        <v>100</v>
      </c>
    </row>
    <row r="58" spans="1:34" ht="21" customHeight="1" x14ac:dyDescent="0.3">
      <c r="A58" s="147">
        <v>6</v>
      </c>
      <c r="B58" s="148" t="s">
        <v>86</v>
      </c>
      <c r="C58" s="149">
        <f t="shared" ca="1" si="28"/>
        <v>0</v>
      </c>
      <c r="D58" s="150">
        <f t="shared" ca="1" si="61"/>
        <v>0</v>
      </c>
      <c r="E58" s="151">
        <f ca="1">IFERROR(__xludf.DUMMYFUNCTION("IMPORTRANGE(""https://docs.google.com/spreadsheets/d/1-uDff_7J0KD5mKrp0Vvzr7lt3OU09vwQwhkpOPPYv2Y/edit?usp=sharing"",""งบพรบ!AX58"")"),0)</f>
        <v>0</v>
      </c>
      <c r="F58" s="151">
        <f ca="1">IFERROR(__xludf.DUMMYFUNCTION("IMPORTRANGE(""https://docs.google.com/spreadsheets/d/1-uDff_7J0KD5mKrp0Vvzr7lt3OU09vwQwhkpOPPYv2Y/edit?usp=sharing"",""งบพรบ!AY58"")"),0)</f>
        <v>0</v>
      </c>
      <c r="G58" s="151">
        <f ca="1">IFERROR(__xludf.DUMMYFUNCTION("IMPORTRANGE(""https://docs.google.com/spreadsheets/d/1-uDff_7J0KD5mKrp0Vvzr7lt3OU09vwQwhkpOPPYv2Y/edit?usp=sharing"",""งบพรบ!AZ58"")"),0)</f>
        <v>0</v>
      </c>
      <c r="H58" s="151">
        <f ca="1">IFERROR(__xludf.DUMMYFUNCTION("IMPORTRANGE(""https://docs.google.com/spreadsheets/d/1-uDff_7J0KD5mKrp0Vvzr7lt3OU09vwQwhkpOPPYv2Y/edit?usp=sharing"",""งบพรบ!BB58"")"),0)</f>
        <v>0</v>
      </c>
      <c r="I58" s="151">
        <f ca="1">IFERROR(__xludf.DUMMYFUNCTION("IMPORTRANGE(""https://docs.google.com/spreadsheets/d/1-uDff_7J0KD5mKrp0Vvzr7lt3OU09vwQwhkpOPPYv2Y/edit?usp=sharing"",""งบพรบ!BC58"")"),0)</f>
        <v>0</v>
      </c>
      <c r="J58" s="151">
        <f t="shared" ca="1" si="30"/>
        <v>0</v>
      </c>
      <c r="K58" s="154">
        <f t="shared" ca="1" si="31"/>
        <v>0</v>
      </c>
      <c r="L58" s="151">
        <f ca="1">IFERROR(__xludf.DUMMYFUNCTION("IMPORTRANGE(""https://docs.google.com/spreadsheets/d/1-uDff_7J0KD5mKrp0Vvzr7lt3OU09vwQwhkpOPPYv2Y/edit?usp=sharing"",""งบพรบ!BD58"")"),0)</f>
        <v>0</v>
      </c>
      <c r="M58" s="68">
        <f t="shared" ca="1" si="32"/>
        <v>0</v>
      </c>
      <c r="N58" s="68">
        <f t="shared" ca="1" si="33"/>
        <v>0</v>
      </c>
      <c r="O58" s="67">
        <f ca="1">IFERROR(__xludf.DUMMYFUNCTION("IMPORTRANGE(""https://docs.google.com/spreadsheets/d/1-uDff_7J0KD5mKrp0Vvzr7lt3OU09vwQwhkpOPPYv2Y/edit?usp=sharing"",""งบพรบ!BE58"")"),0)</f>
        <v>0</v>
      </c>
      <c r="P58" s="67">
        <f t="shared" ca="1" si="34"/>
        <v>0</v>
      </c>
      <c r="Q58" s="68">
        <f t="shared" ca="1" si="35"/>
        <v>0</v>
      </c>
      <c r="R58" s="67">
        <f ca="1">IFERROR(__xludf.DUMMYFUNCTION("IMPORTRANGE(""https://docs.google.com/spreadsheets/d/1jkqa6GXxSacMcY1eN8AHjMNJ_7dDXMJVRLDlaFSOdPM/edit?usp=sharing"",""ตราด!Q94"")"),0)</f>
        <v>0</v>
      </c>
      <c r="S58" s="67">
        <f ca="1">IFERROR(__xludf.DUMMYFUNCTION("IMPORTRANGE(""https://docs.google.com/spreadsheets/d/1jkqa6GXxSacMcY1eN8AHjMNJ_7dDXMJVRLDlaFSOdPM/edit?usp=sharing"",""ตราด!R94"")"),0)</f>
        <v>0</v>
      </c>
      <c r="T58" s="67">
        <f ca="1">IFERROR(__xludf.DUMMYFUNCTION("IMPORTRANGE(""https://docs.google.com/spreadsheets/d/1jkqa6GXxSacMcY1eN8AHjMNJ_7dDXMJVRLDlaFSOdPM/edit?usp=sharing"",""ตราด!S94"")"),0)</f>
        <v>0</v>
      </c>
      <c r="U58" s="68">
        <f t="shared" ca="1" si="37"/>
        <v>0</v>
      </c>
      <c r="V58" s="68">
        <f t="shared" ca="1" si="38"/>
        <v>0</v>
      </c>
      <c r="W58" s="74">
        <f ca="1">IFERROR(__xludf.DUMMYFUNCTION("IMPORTRANGE(""https://docs.google.com/spreadsheets/d/1jkqa6GXxSacMcY1eN8AHjMNJ_7dDXMJVRLDlaFSOdPM/edit?usp=sharing"",""ตราด!I108"")"),0)</f>
        <v>0</v>
      </c>
      <c r="X58" s="74">
        <f ca="1">IFERROR(__xludf.DUMMYFUNCTION("IMPORTRANGE(""https://docs.google.com/spreadsheets/d/1jkqa6GXxSacMcY1eN8AHjMNJ_7dDXMJVRLDlaFSOdPM/edit?usp=sharing"",""ตราด!J108"")"),0)</f>
        <v>0</v>
      </c>
      <c r="Y58" s="79">
        <f t="shared" ca="1" si="40"/>
        <v>0</v>
      </c>
      <c r="Z58" s="74">
        <f ca="1">IFERROR(__xludf.DUMMYFUNCTION("IMPORTRANGE(""https://docs.google.com/spreadsheets/d/1jkqa6GXxSacMcY1eN8AHjMNJ_7dDXMJVRLDlaFSOdPM/edit?usp=sharing"",""ตราด!I109"")"),0)</f>
        <v>0</v>
      </c>
      <c r="AA58" s="74">
        <f ca="1">IFERROR(__xludf.DUMMYFUNCTION("IMPORTRANGE(""https://docs.google.com/spreadsheets/d/1jkqa6GXxSacMcY1eN8AHjMNJ_7dDXMJVRLDlaFSOdPM/edit?usp=sharing"",""ตราด!J109"")"),0)</f>
        <v>0</v>
      </c>
      <c r="AB58" s="79">
        <f t="shared" ca="1" si="42"/>
        <v>0</v>
      </c>
      <c r="AC58" s="74">
        <f ca="1">IFERROR(__xludf.DUMMYFUNCTION("IMPORTRANGE(""https://docs.google.com/spreadsheets/d/1jkqa6GXxSacMcY1eN8AHjMNJ_7dDXMJVRLDlaFSOdPM/edit?usp=sharing"",""ตราด!I113"")"),0)</f>
        <v>0</v>
      </c>
      <c r="AD58" s="74">
        <f ca="1">IFERROR(__xludf.DUMMYFUNCTION("IMPORTRANGE(""https://docs.google.com/spreadsheets/d/1jkqa6GXxSacMcY1eN8AHjMNJ_7dDXMJVRLDlaFSOdPM/edit?usp=sharing"",""ตราด!J113"")"),0)</f>
        <v>0</v>
      </c>
      <c r="AE58" s="79">
        <f t="shared" ca="1" si="44"/>
        <v>0</v>
      </c>
      <c r="AF58" s="74">
        <f ca="1">IFERROR(__xludf.DUMMYFUNCTION("IMPORTRANGE(""https://docs.google.com/spreadsheets/d/1jkqa6GXxSacMcY1eN8AHjMNJ_7dDXMJVRLDlaFSOdPM/edit?usp=sharing"",""ตราด!I114"")"),0)</f>
        <v>0</v>
      </c>
      <c r="AG58" s="74">
        <f ca="1">IFERROR(__xludf.DUMMYFUNCTION("IMPORTRANGE(""https://docs.google.com/spreadsheets/d/1jkqa6GXxSacMcY1eN8AHjMNJ_7dDXMJVRLDlaFSOdPM/edit?usp=sharing"",""ตราด!J114"")"),0)</f>
        <v>0</v>
      </c>
      <c r="AH58" s="79">
        <f t="shared" ca="1" si="46"/>
        <v>0</v>
      </c>
    </row>
    <row r="59" spans="1:34" ht="21" customHeight="1" x14ac:dyDescent="0.3">
      <c r="A59" s="147">
        <v>7</v>
      </c>
      <c r="B59" s="148" t="s">
        <v>87</v>
      </c>
      <c r="C59" s="149">
        <f t="shared" ca="1" si="28"/>
        <v>0</v>
      </c>
      <c r="D59" s="150">
        <f t="shared" ca="1" si="61"/>
        <v>0</v>
      </c>
      <c r="E59" s="151">
        <f ca="1">IFERROR(__xludf.DUMMYFUNCTION("IMPORTRANGE(""https://docs.google.com/spreadsheets/d/1-uDff_7J0KD5mKrp0Vvzr7lt3OU09vwQwhkpOPPYv2Y/edit?usp=sharing"",""งบพรบ!AX59"")"),0)</f>
        <v>0</v>
      </c>
      <c r="F59" s="151">
        <f ca="1">IFERROR(__xludf.DUMMYFUNCTION("IMPORTRANGE(""https://docs.google.com/spreadsheets/d/1-uDff_7J0KD5mKrp0Vvzr7lt3OU09vwQwhkpOPPYv2Y/edit?usp=sharing"",""งบพรบ!AY59"")"),0)</f>
        <v>0</v>
      </c>
      <c r="G59" s="151">
        <f ca="1">IFERROR(__xludf.DUMMYFUNCTION("IMPORTRANGE(""https://docs.google.com/spreadsheets/d/1-uDff_7J0KD5mKrp0Vvzr7lt3OU09vwQwhkpOPPYv2Y/edit?usp=sharing"",""งบพรบ!AZ59"")"),0)</f>
        <v>0</v>
      </c>
      <c r="H59" s="151">
        <f ca="1">IFERROR(__xludf.DUMMYFUNCTION("IMPORTRANGE(""https://docs.google.com/spreadsheets/d/1-uDff_7J0KD5mKrp0Vvzr7lt3OU09vwQwhkpOPPYv2Y/edit?usp=sharing"",""งบพรบ!BB59"")"),0)</f>
        <v>0</v>
      </c>
      <c r="I59" s="151">
        <f ca="1">IFERROR(__xludf.DUMMYFUNCTION("IMPORTRANGE(""https://docs.google.com/spreadsheets/d/1-uDff_7J0KD5mKrp0Vvzr7lt3OU09vwQwhkpOPPYv2Y/edit?usp=sharing"",""งบพรบ!BC59"")"),0)</f>
        <v>0</v>
      </c>
      <c r="J59" s="151">
        <f t="shared" ca="1" si="30"/>
        <v>0</v>
      </c>
      <c r="K59" s="154">
        <f t="shared" ca="1" si="31"/>
        <v>0</v>
      </c>
      <c r="L59" s="151">
        <f ca="1">IFERROR(__xludf.DUMMYFUNCTION("IMPORTRANGE(""https://docs.google.com/spreadsheets/d/1-uDff_7J0KD5mKrp0Vvzr7lt3OU09vwQwhkpOPPYv2Y/edit?usp=sharing"",""งบพรบ!BD59"")"),0)</f>
        <v>0</v>
      </c>
      <c r="M59" s="68">
        <f t="shared" ca="1" si="32"/>
        <v>0</v>
      </c>
      <c r="N59" s="68">
        <f t="shared" ca="1" si="33"/>
        <v>0</v>
      </c>
      <c r="O59" s="67">
        <f ca="1">IFERROR(__xludf.DUMMYFUNCTION("IMPORTRANGE(""https://docs.google.com/spreadsheets/d/1-uDff_7J0KD5mKrp0Vvzr7lt3OU09vwQwhkpOPPYv2Y/edit?usp=sharing"",""งบพรบ!BE59"")"),0)</f>
        <v>0</v>
      </c>
      <c r="P59" s="67">
        <f t="shared" ca="1" si="34"/>
        <v>0</v>
      </c>
      <c r="Q59" s="68">
        <f t="shared" ca="1" si="35"/>
        <v>0</v>
      </c>
      <c r="R59" s="67">
        <f ca="1">IFERROR(__xludf.DUMMYFUNCTION("IMPORTRANGE(""https://docs.google.com/spreadsheets/d/18hSgUJ3VwClqi_qtULmmW3cLr0oe3OKaSYoKzdpTsYQ/edit?usp=sharing"",""นครนายก!Q94"")"),0)</f>
        <v>0</v>
      </c>
      <c r="S59" s="67">
        <f ca="1">IFERROR(__xludf.DUMMYFUNCTION("IMPORTRANGE(""https://docs.google.com/spreadsheets/d/18hSgUJ3VwClqi_qtULmmW3cLr0oe3OKaSYoKzdpTsYQ/edit?usp=sharing"",""นครนายก!R94"")"),0)</f>
        <v>0</v>
      </c>
      <c r="T59" s="67">
        <f ca="1">IFERROR(__xludf.DUMMYFUNCTION("IMPORTRANGE(""https://docs.google.com/spreadsheets/d/18hSgUJ3VwClqi_qtULmmW3cLr0oe3OKaSYoKzdpTsYQ/edit?usp=sharing"",""นครนายก!S94"")"),0)</f>
        <v>0</v>
      </c>
      <c r="U59" s="68">
        <f t="shared" ca="1" si="37"/>
        <v>0</v>
      </c>
      <c r="V59" s="68">
        <f t="shared" ca="1" si="38"/>
        <v>0</v>
      </c>
      <c r="W59" s="74">
        <f ca="1">IFERROR(__xludf.DUMMYFUNCTION("IMPORTRANGE(""https://docs.google.com/spreadsheets/d/18hSgUJ3VwClqi_qtULmmW3cLr0oe3OKaSYoKzdpTsYQ/edit?usp=sharing"",""นครนายก!I108"")"),0)</f>
        <v>0</v>
      </c>
      <c r="X59" s="74">
        <f ca="1">IFERROR(__xludf.DUMMYFUNCTION("IMPORTRANGE(""https://docs.google.com/spreadsheets/d/18hSgUJ3VwClqi_qtULmmW3cLr0oe3OKaSYoKzdpTsYQ/edit?usp=sharing"",""นครนายก!J108"")"),0)</f>
        <v>0</v>
      </c>
      <c r="Y59" s="79">
        <f t="shared" ca="1" si="40"/>
        <v>0</v>
      </c>
      <c r="Z59" s="74">
        <f ca="1">IFERROR(__xludf.DUMMYFUNCTION("IMPORTRANGE(""https://docs.google.com/spreadsheets/d/18hSgUJ3VwClqi_qtULmmW3cLr0oe3OKaSYoKzdpTsYQ/edit?usp=sharing"",""นครนายก!I109"")"),0)</f>
        <v>0</v>
      </c>
      <c r="AA59" s="74">
        <f ca="1">IFERROR(__xludf.DUMMYFUNCTION("IMPORTRANGE(""https://docs.google.com/spreadsheets/d/18hSgUJ3VwClqi_qtULmmW3cLr0oe3OKaSYoKzdpTsYQ/edit?usp=sharing"",""นครนายก!J109"")"),0)</f>
        <v>0</v>
      </c>
      <c r="AB59" s="79">
        <f t="shared" ca="1" si="42"/>
        <v>0</v>
      </c>
      <c r="AC59" s="74">
        <f ca="1">IFERROR(__xludf.DUMMYFUNCTION("IMPORTRANGE(""https://docs.google.com/spreadsheets/d/18hSgUJ3VwClqi_qtULmmW3cLr0oe3OKaSYoKzdpTsYQ/edit?usp=sharing"",""นครนายก!I113"")"),0)</f>
        <v>0</v>
      </c>
      <c r="AD59" s="74">
        <f ca="1">IFERROR(__xludf.DUMMYFUNCTION("IMPORTRANGE(""https://docs.google.com/spreadsheets/d/18hSgUJ3VwClqi_qtULmmW3cLr0oe3OKaSYoKzdpTsYQ/edit?usp=sharing"",""นครนายก!J113"")"),0)</f>
        <v>0</v>
      </c>
      <c r="AE59" s="79">
        <f t="shared" ca="1" si="44"/>
        <v>0</v>
      </c>
      <c r="AF59" s="74">
        <f ca="1">IFERROR(__xludf.DUMMYFUNCTION("IMPORTRANGE(""https://docs.google.com/spreadsheets/d/18hSgUJ3VwClqi_qtULmmW3cLr0oe3OKaSYoKzdpTsYQ/edit?usp=sharing"",""นครนายก!I114"")"),0)</f>
        <v>0</v>
      </c>
      <c r="AG59" s="74">
        <f ca="1">IFERROR(__xludf.DUMMYFUNCTION("IMPORTRANGE(""https://docs.google.com/spreadsheets/d/18hSgUJ3VwClqi_qtULmmW3cLr0oe3OKaSYoKzdpTsYQ/edit?usp=sharing"",""นครนายก!J114"")"),0)</f>
        <v>0</v>
      </c>
      <c r="AH59" s="79">
        <f t="shared" ca="1" si="46"/>
        <v>0</v>
      </c>
    </row>
    <row r="60" spans="1:34" ht="21" customHeight="1" x14ac:dyDescent="0.3">
      <c r="A60" s="147">
        <v>8</v>
      </c>
      <c r="B60" s="148" t="s">
        <v>88</v>
      </c>
      <c r="C60" s="149">
        <f t="shared" ca="1" si="28"/>
        <v>0</v>
      </c>
      <c r="D60" s="150">
        <f t="shared" ca="1" si="61"/>
        <v>0</v>
      </c>
      <c r="E60" s="151">
        <f ca="1">IFERROR(__xludf.DUMMYFUNCTION("IMPORTRANGE(""https://docs.google.com/spreadsheets/d/1-uDff_7J0KD5mKrp0Vvzr7lt3OU09vwQwhkpOPPYv2Y/edit?usp=sharing"",""งบพรบ!AX60"")"),0)</f>
        <v>0</v>
      </c>
      <c r="F60" s="151">
        <f ca="1">IFERROR(__xludf.DUMMYFUNCTION("IMPORTRANGE(""https://docs.google.com/spreadsheets/d/1-uDff_7J0KD5mKrp0Vvzr7lt3OU09vwQwhkpOPPYv2Y/edit?usp=sharing"",""งบพรบ!AY60"")"),0)</f>
        <v>0</v>
      </c>
      <c r="G60" s="151">
        <f ca="1">IFERROR(__xludf.DUMMYFUNCTION("IMPORTRANGE(""https://docs.google.com/spreadsheets/d/1-uDff_7J0KD5mKrp0Vvzr7lt3OU09vwQwhkpOPPYv2Y/edit?usp=sharing"",""งบพรบ!AZ60"")"),0)</f>
        <v>0</v>
      </c>
      <c r="H60" s="151">
        <f ca="1">IFERROR(__xludf.DUMMYFUNCTION("IMPORTRANGE(""https://docs.google.com/spreadsheets/d/1-uDff_7J0KD5mKrp0Vvzr7lt3OU09vwQwhkpOPPYv2Y/edit?usp=sharing"",""งบพรบ!BB60"")"),0)</f>
        <v>0</v>
      </c>
      <c r="I60" s="151">
        <f ca="1">IFERROR(__xludf.DUMMYFUNCTION("IMPORTRANGE(""https://docs.google.com/spreadsheets/d/1-uDff_7J0KD5mKrp0Vvzr7lt3OU09vwQwhkpOPPYv2Y/edit?usp=sharing"",""งบพรบ!BC60"")"),0)</f>
        <v>0</v>
      </c>
      <c r="J60" s="151">
        <f t="shared" ca="1" si="30"/>
        <v>0</v>
      </c>
      <c r="K60" s="154">
        <f t="shared" ca="1" si="31"/>
        <v>0</v>
      </c>
      <c r="L60" s="151">
        <f ca="1">IFERROR(__xludf.DUMMYFUNCTION("IMPORTRANGE(""https://docs.google.com/spreadsheets/d/1-uDff_7J0KD5mKrp0Vvzr7lt3OU09vwQwhkpOPPYv2Y/edit?usp=sharing"",""งบพรบ!BD60"")"),0)</f>
        <v>0</v>
      </c>
      <c r="M60" s="68">
        <f t="shared" ca="1" si="32"/>
        <v>0</v>
      </c>
      <c r="N60" s="68">
        <f t="shared" ca="1" si="33"/>
        <v>0</v>
      </c>
      <c r="O60" s="67">
        <f ca="1">IFERROR(__xludf.DUMMYFUNCTION("IMPORTRANGE(""https://docs.google.com/spreadsheets/d/1-uDff_7J0KD5mKrp0Vvzr7lt3OU09vwQwhkpOPPYv2Y/edit?usp=sharing"",""งบพรบ!BE60"")"),0)</f>
        <v>0</v>
      </c>
      <c r="P60" s="67">
        <f t="shared" ca="1" si="34"/>
        <v>0</v>
      </c>
      <c r="Q60" s="68">
        <f t="shared" ca="1" si="35"/>
        <v>0</v>
      </c>
      <c r="R60" s="67">
        <f ca="1">IFERROR(__xludf.DUMMYFUNCTION("IMPORTRANGE(""https://docs.google.com/spreadsheets/d/1YTZo6WM2dQ6Ix6FSdnL5P7uVnVKu40sxZu975tgG10E/edit?usp=sharing"",""นครปฐม!Q94"")"),0)</f>
        <v>0</v>
      </c>
      <c r="S60" s="67">
        <f ca="1">IFERROR(__xludf.DUMMYFUNCTION("IMPORTRANGE(""https://docs.google.com/spreadsheets/d/1YTZo6WM2dQ6Ix6FSdnL5P7uVnVKu40sxZu975tgG10E/edit?usp=sharing"",""นครปฐม!R94"")"),0)</f>
        <v>0</v>
      </c>
      <c r="T60" s="67">
        <f ca="1">IFERROR(__xludf.DUMMYFUNCTION("IMPORTRANGE(""https://docs.google.com/spreadsheets/d/1YTZo6WM2dQ6Ix6FSdnL5P7uVnVKu40sxZu975tgG10E/edit?usp=sharing"",""นครปฐม!S94"")"),0)</f>
        <v>0</v>
      </c>
      <c r="U60" s="68">
        <f t="shared" ca="1" si="37"/>
        <v>0</v>
      </c>
      <c r="V60" s="68">
        <f t="shared" ca="1" si="38"/>
        <v>0</v>
      </c>
      <c r="W60" s="74">
        <f ca="1">IFERROR(__xludf.DUMMYFUNCTION("IMPORTRANGE(""https://docs.google.com/spreadsheets/d/1YTZo6WM2dQ6Ix6FSdnL5P7uVnVKu40sxZu975tgG10E/edit?usp=sharing"",""นครปฐม!I108"")"),0)</f>
        <v>0</v>
      </c>
      <c r="X60" s="74">
        <f ca="1">IFERROR(__xludf.DUMMYFUNCTION("IMPORTRANGE(""https://docs.google.com/spreadsheets/d/1YTZo6WM2dQ6Ix6FSdnL5P7uVnVKu40sxZu975tgG10E/edit?usp=sharing"",""นครปฐม!J108"")"),0)</f>
        <v>0</v>
      </c>
      <c r="Y60" s="79">
        <f t="shared" ca="1" si="40"/>
        <v>0</v>
      </c>
      <c r="Z60" s="74">
        <f ca="1">IFERROR(__xludf.DUMMYFUNCTION("IMPORTRANGE(""https://docs.google.com/spreadsheets/d/1YTZo6WM2dQ6Ix6FSdnL5P7uVnVKu40sxZu975tgG10E/edit?usp=sharing"",""นครปฐม!I109"")"),0)</f>
        <v>0</v>
      </c>
      <c r="AA60" s="74">
        <f ca="1">IFERROR(__xludf.DUMMYFUNCTION("IMPORTRANGE(""https://docs.google.com/spreadsheets/d/1YTZo6WM2dQ6Ix6FSdnL5P7uVnVKu40sxZu975tgG10E/edit?usp=sharing"",""นครปฐม!J109"")"),0)</f>
        <v>0</v>
      </c>
      <c r="AB60" s="79">
        <f t="shared" ca="1" si="42"/>
        <v>0</v>
      </c>
      <c r="AC60" s="74">
        <f ca="1">IFERROR(__xludf.DUMMYFUNCTION("IMPORTRANGE(""https://docs.google.com/spreadsheets/d/1YTZo6WM2dQ6Ix6FSdnL5P7uVnVKu40sxZu975tgG10E/edit?usp=sharing"",""นครปฐม!I113"")"),0)</f>
        <v>0</v>
      </c>
      <c r="AD60" s="74">
        <f ca="1">IFERROR(__xludf.DUMMYFUNCTION("IMPORTRANGE(""https://docs.google.com/spreadsheets/d/1YTZo6WM2dQ6Ix6FSdnL5P7uVnVKu40sxZu975tgG10E/edit?usp=sharing"",""นครปฐม!J113"")"),0)</f>
        <v>0</v>
      </c>
      <c r="AE60" s="79">
        <f t="shared" ca="1" si="44"/>
        <v>0</v>
      </c>
      <c r="AF60" s="74">
        <f ca="1">IFERROR(__xludf.DUMMYFUNCTION("IMPORTRANGE(""https://docs.google.com/spreadsheets/d/1YTZo6WM2dQ6Ix6FSdnL5P7uVnVKu40sxZu975tgG10E/edit?usp=sharing"",""นครปฐม!I114"")"),0)</f>
        <v>0</v>
      </c>
      <c r="AG60" s="74">
        <f ca="1">IFERROR(__xludf.DUMMYFUNCTION("IMPORTRANGE(""https://docs.google.com/spreadsheets/d/1YTZo6WM2dQ6Ix6FSdnL5P7uVnVKu40sxZu975tgG10E/edit?usp=sharing"",""นครปฐม!J114"")"),0)</f>
        <v>0</v>
      </c>
      <c r="AH60" s="79">
        <f t="shared" ca="1" si="46"/>
        <v>0</v>
      </c>
    </row>
    <row r="61" spans="1:34" ht="21" customHeight="1" x14ac:dyDescent="0.3">
      <c r="A61" s="147">
        <v>9</v>
      </c>
      <c r="B61" s="148" t="s">
        <v>89</v>
      </c>
      <c r="C61" s="149">
        <f t="shared" ca="1" si="28"/>
        <v>7200</v>
      </c>
      <c r="D61" s="150">
        <f t="shared" ca="1" si="61"/>
        <v>7200</v>
      </c>
      <c r="E61" s="151">
        <f ca="1">IFERROR(__xludf.DUMMYFUNCTION("IMPORTRANGE(""https://docs.google.com/spreadsheets/d/1-uDff_7J0KD5mKrp0Vvzr7lt3OU09vwQwhkpOPPYv2Y/edit?usp=sharing"",""งบพรบ!AX61"")"),0)</f>
        <v>0</v>
      </c>
      <c r="F61" s="151">
        <f ca="1">IFERROR(__xludf.DUMMYFUNCTION("IMPORTRANGE(""https://docs.google.com/spreadsheets/d/1-uDff_7J0KD5mKrp0Vvzr7lt3OU09vwQwhkpOPPYv2Y/edit?usp=sharing"",""งบพรบ!AY61"")"),7200)</f>
        <v>7200</v>
      </c>
      <c r="G61" s="151">
        <f ca="1">IFERROR(__xludf.DUMMYFUNCTION("IMPORTRANGE(""https://docs.google.com/spreadsheets/d/1-uDff_7J0KD5mKrp0Vvzr7lt3OU09vwQwhkpOPPYv2Y/edit?usp=sharing"",""งบพรบ!AZ61"")"),0)</f>
        <v>0</v>
      </c>
      <c r="H61" s="151">
        <f ca="1">IFERROR(__xludf.DUMMYFUNCTION("IMPORTRANGE(""https://docs.google.com/spreadsheets/d/1-uDff_7J0KD5mKrp0Vvzr7lt3OU09vwQwhkpOPPYv2Y/edit?usp=sharing"",""งบพรบ!BB61"")"),7200)</f>
        <v>7200</v>
      </c>
      <c r="I61" s="151">
        <f ca="1">IFERROR(__xludf.DUMMYFUNCTION("IMPORTRANGE(""https://docs.google.com/spreadsheets/d/1-uDff_7J0KD5mKrp0Vvzr7lt3OU09vwQwhkpOPPYv2Y/edit?usp=sharing"",""งบพรบ!BC61"")"),0)</f>
        <v>0</v>
      </c>
      <c r="J61" s="151">
        <f t="shared" ca="1" si="30"/>
        <v>0</v>
      </c>
      <c r="K61" s="154">
        <f t="shared" ca="1" si="31"/>
        <v>0</v>
      </c>
      <c r="L61" s="151">
        <f ca="1">IFERROR(__xludf.DUMMYFUNCTION("IMPORTRANGE(""https://docs.google.com/spreadsheets/d/1-uDff_7J0KD5mKrp0Vvzr7lt3OU09vwQwhkpOPPYv2Y/edit?usp=sharing"",""งบพรบ!BD61"")"),0)</f>
        <v>0</v>
      </c>
      <c r="M61" s="68">
        <f t="shared" ca="1" si="32"/>
        <v>0</v>
      </c>
      <c r="N61" s="68">
        <f t="shared" ca="1" si="33"/>
        <v>0</v>
      </c>
      <c r="O61" s="67">
        <f ca="1">IFERROR(__xludf.DUMMYFUNCTION("IMPORTRANGE(""https://docs.google.com/spreadsheets/d/1-uDff_7J0KD5mKrp0Vvzr7lt3OU09vwQwhkpOPPYv2Y/edit?usp=sharing"",""งบพรบ!BE61"")"),0)</f>
        <v>0</v>
      </c>
      <c r="P61" s="67">
        <f t="shared" ca="1" si="34"/>
        <v>0</v>
      </c>
      <c r="Q61" s="68">
        <f t="shared" ca="1" si="35"/>
        <v>0</v>
      </c>
      <c r="R61" s="67">
        <f ca="1">IFERROR(__xludf.DUMMYFUNCTION("IMPORTRANGE(""https://docs.google.com/spreadsheets/d/1OYoGg4WDg5RIzwGeB10padOxJF9E_Vljuvvct_M7RDo/edit?usp=sharing"",""ปทุมธานี!Q94"")"),101304)</f>
        <v>101304</v>
      </c>
      <c r="S61" s="67">
        <f ca="1">IFERROR(__xludf.DUMMYFUNCTION("IMPORTRANGE(""https://docs.google.com/spreadsheets/d/1OYoGg4WDg5RIzwGeB10padOxJF9E_Vljuvvct_M7RDo/edit?usp=sharing"",""ปทุมธานี!R94"")"),101304)</f>
        <v>101304</v>
      </c>
      <c r="T61" s="67">
        <f ca="1">IFERROR(__xludf.DUMMYFUNCTION("IMPORTRANGE(""https://docs.google.com/spreadsheets/d/1OYoGg4WDg5RIzwGeB10padOxJF9E_Vljuvvct_M7RDo/edit?usp=sharing"",""ปทุมธานี!S94"")"),69785)</f>
        <v>69785</v>
      </c>
      <c r="U61" s="68">
        <f t="shared" ca="1" si="37"/>
        <v>68.886717207612733</v>
      </c>
      <c r="V61" s="68">
        <f t="shared" ca="1" si="38"/>
        <v>68.886717207612733</v>
      </c>
      <c r="W61" s="74">
        <f ca="1">IFERROR(__xludf.DUMMYFUNCTION("IMPORTRANGE(""https://docs.google.com/spreadsheets/d/1OYoGg4WDg5RIzwGeB10padOxJF9E_Vljuvvct_M7RDo/edit?usp=sharing"",""ปทุมธานี!I108"")"),36)</f>
        <v>36</v>
      </c>
      <c r="X61" s="74">
        <f ca="1">IFERROR(__xludf.DUMMYFUNCTION("IMPORTRANGE(""https://docs.google.com/spreadsheets/d/1OYoGg4WDg5RIzwGeB10padOxJF9E_Vljuvvct_M7RDo/edit?usp=sharing"",""ปทุมธานี!J108"")"),36)</f>
        <v>36</v>
      </c>
      <c r="Y61" s="79">
        <f t="shared" ca="1" si="40"/>
        <v>100</v>
      </c>
      <c r="Z61" s="74">
        <f ca="1">IFERROR(__xludf.DUMMYFUNCTION("IMPORTRANGE(""https://docs.google.com/spreadsheets/d/1OYoGg4WDg5RIzwGeB10padOxJF9E_Vljuvvct_M7RDo/edit?usp=sharing"",""ปทุมธานี!I109"")"),12)</f>
        <v>12</v>
      </c>
      <c r="AA61" s="74">
        <f ca="1">IFERROR(__xludf.DUMMYFUNCTION("IMPORTRANGE(""https://docs.google.com/spreadsheets/d/1OYoGg4WDg5RIzwGeB10padOxJF9E_Vljuvvct_M7RDo/edit?usp=sharing"",""ปทุมธานี!J109"")"),12)</f>
        <v>12</v>
      </c>
      <c r="AB61" s="79">
        <f t="shared" ca="1" si="42"/>
        <v>100</v>
      </c>
      <c r="AC61" s="74">
        <f ca="1">IFERROR(__xludf.DUMMYFUNCTION("IMPORTRANGE(""https://docs.google.com/spreadsheets/d/1OYoGg4WDg5RIzwGeB10padOxJF9E_Vljuvvct_M7RDo/edit?usp=sharing"",""ปทุมธานี!I113"")"),36)</f>
        <v>36</v>
      </c>
      <c r="AD61" s="74">
        <f ca="1">IFERROR(__xludf.DUMMYFUNCTION("IMPORTRANGE(""https://docs.google.com/spreadsheets/d/1OYoGg4WDg5RIzwGeB10padOxJF9E_Vljuvvct_M7RDo/edit?usp=sharing"",""ปทุมธานี!J113"")"),36)</f>
        <v>36</v>
      </c>
      <c r="AE61" s="79">
        <f t="shared" ca="1" si="44"/>
        <v>100</v>
      </c>
      <c r="AF61" s="74">
        <f ca="1">IFERROR(__xludf.DUMMYFUNCTION("IMPORTRANGE(""https://docs.google.com/spreadsheets/d/1OYoGg4WDg5RIzwGeB10padOxJF9E_Vljuvvct_M7RDo/edit?usp=sharing"",""ปทุมธานี!I114"")"),12)</f>
        <v>12</v>
      </c>
      <c r="AG61" s="74">
        <f ca="1">IFERROR(__xludf.DUMMYFUNCTION("IMPORTRANGE(""https://docs.google.com/spreadsheets/d/1OYoGg4WDg5RIzwGeB10padOxJF9E_Vljuvvct_M7RDo/edit?usp=sharing"",""ปทุมธานี!J114"")"),12)</f>
        <v>12</v>
      </c>
      <c r="AH61" s="79">
        <f t="shared" ca="1" si="46"/>
        <v>100</v>
      </c>
    </row>
    <row r="62" spans="1:34" ht="21" customHeight="1" x14ac:dyDescent="0.3">
      <c r="A62" s="147">
        <v>10</v>
      </c>
      <c r="B62" s="148" t="s">
        <v>90</v>
      </c>
      <c r="C62" s="149">
        <f t="shared" ca="1" si="28"/>
        <v>9000</v>
      </c>
      <c r="D62" s="150">
        <f t="shared" ca="1" si="61"/>
        <v>9000</v>
      </c>
      <c r="E62" s="151">
        <f ca="1">IFERROR(__xludf.DUMMYFUNCTION("IMPORTRANGE(""https://docs.google.com/spreadsheets/d/1-uDff_7J0KD5mKrp0Vvzr7lt3OU09vwQwhkpOPPYv2Y/edit?usp=sharing"",""งบพรบ!AX62"")"),0)</f>
        <v>0</v>
      </c>
      <c r="F62" s="151">
        <f ca="1">IFERROR(__xludf.DUMMYFUNCTION("IMPORTRANGE(""https://docs.google.com/spreadsheets/d/1-uDff_7J0KD5mKrp0Vvzr7lt3OU09vwQwhkpOPPYv2Y/edit?usp=sharing"",""งบพรบ!AY62"")"),9000)</f>
        <v>9000</v>
      </c>
      <c r="G62" s="151">
        <f ca="1">IFERROR(__xludf.DUMMYFUNCTION("IMPORTRANGE(""https://docs.google.com/spreadsheets/d/1-uDff_7J0KD5mKrp0Vvzr7lt3OU09vwQwhkpOPPYv2Y/edit?usp=sharing"",""งบพรบ!AZ62"")"),0)</f>
        <v>0</v>
      </c>
      <c r="H62" s="151">
        <f ca="1">IFERROR(__xludf.DUMMYFUNCTION("IMPORTRANGE(""https://docs.google.com/spreadsheets/d/1-uDff_7J0KD5mKrp0Vvzr7lt3OU09vwQwhkpOPPYv2Y/edit?usp=sharing"",""งบพรบ!BB62"")"),9000)</f>
        <v>9000</v>
      </c>
      <c r="I62" s="151">
        <f ca="1">IFERROR(__xludf.DUMMYFUNCTION("IMPORTRANGE(""https://docs.google.com/spreadsheets/d/1-uDff_7J0KD5mKrp0Vvzr7lt3OU09vwQwhkpOPPYv2Y/edit?usp=sharing"",""งบพรบ!BC62"")"),0)</f>
        <v>0</v>
      </c>
      <c r="J62" s="151">
        <f t="shared" ca="1" si="30"/>
        <v>0</v>
      </c>
      <c r="K62" s="154">
        <f t="shared" ca="1" si="31"/>
        <v>0</v>
      </c>
      <c r="L62" s="151">
        <f ca="1">IFERROR(__xludf.DUMMYFUNCTION("IMPORTRANGE(""https://docs.google.com/spreadsheets/d/1-uDff_7J0KD5mKrp0Vvzr7lt3OU09vwQwhkpOPPYv2Y/edit?usp=sharing"",""งบพรบ!BD62"")"),0)</f>
        <v>0</v>
      </c>
      <c r="M62" s="68">
        <f t="shared" ca="1" si="32"/>
        <v>0</v>
      </c>
      <c r="N62" s="68">
        <f t="shared" ca="1" si="33"/>
        <v>0</v>
      </c>
      <c r="O62" s="67">
        <f ca="1">IFERROR(__xludf.DUMMYFUNCTION("IMPORTRANGE(""https://docs.google.com/spreadsheets/d/1-uDff_7J0KD5mKrp0Vvzr7lt3OU09vwQwhkpOPPYv2Y/edit?usp=sharing"",""งบพรบ!BE62"")"),0)</f>
        <v>0</v>
      </c>
      <c r="P62" s="67">
        <f t="shared" ca="1" si="34"/>
        <v>0</v>
      </c>
      <c r="Q62" s="68">
        <f t="shared" ca="1" si="35"/>
        <v>0</v>
      </c>
      <c r="R62" s="67">
        <f ca="1">IFERROR(__xludf.DUMMYFUNCTION("IMPORTRANGE(""https://docs.google.com/spreadsheets/d/1GbCIE4D4wk9FUozzqk7SxfDMxDVBwVmI5zcaVUSzKAc/edit?usp=sharing"",""ประจวบคีรีขันธ์!Q94"")"),126630)</f>
        <v>126630</v>
      </c>
      <c r="S62" s="67">
        <f ca="1">IFERROR(__xludf.DUMMYFUNCTION("IMPORTRANGE(""https://docs.google.com/spreadsheets/d/1GbCIE4D4wk9FUozzqk7SxfDMxDVBwVmI5zcaVUSzKAc/edit?usp=sharing"",""ประจวบคีรีขันธ์!R94"")"),126630)</f>
        <v>126630</v>
      </c>
      <c r="T62" s="67">
        <f ca="1">IFERROR(__xludf.DUMMYFUNCTION("IMPORTRANGE(""https://docs.google.com/spreadsheets/d/1GbCIE4D4wk9FUozzqk7SxfDMxDVBwVmI5zcaVUSzKAc/edit?usp=sharing"",""ประจวบคีรีขันธ์!S94"")"),9280)</f>
        <v>9280</v>
      </c>
      <c r="U62" s="68">
        <f t="shared" ca="1" si="37"/>
        <v>7.3284371791834477</v>
      </c>
      <c r="V62" s="68">
        <f t="shared" ca="1" si="38"/>
        <v>7.3284371791834477</v>
      </c>
      <c r="W62" s="74">
        <f ca="1">IFERROR(__xludf.DUMMYFUNCTION("IMPORTRANGE(""https://docs.google.com/spreadsheets/d/1GbCIE4D4wk9FUozzqk7SxfDMxDVBwVmI5zcaVUSzKAc/edit?usp=sharing"",""ประจวบคีรีขันธ์!I108"")"),45)</f>
        <v>45</v>
      </c>
      <c r="X62" s="74">
        <f ca="1">IFERROR(__xludf.DUMMYFUNCTION("IMPORTRANGE(""https://docs.google.com/spreadsheets/d/1GbCIE4D4wk9FUozzqk7SxfDMxDVBwVmI5zcaVUSzKAc/edit?usp=sharing"",""ประจวบคีรีขันธ์!J108"")"),45)</f>
        <v>45</v>
      </c>
      <c r="Y62" s="79">
        <f t="shared" ca="1" si="40"/>
        <v>100</v>
      </c>
      <c r="Z62" s="74">
        <f ca="1">IFERROR(__xludf.DUMMYFUNCTION("IMPORTRANGE(""https://docs.google.com/spreadsheets/d/1GbCIE4D4wk9FUozzqk7SxfDMxDVBwVmI5zcaVUSzKAc/edit?usp=sharing"",""ประจวบคีรีขันธ์!I109"")"),15)</f>
        <v>15</v>
      </c>
      <c r="AA62" s="74">
        <f ca="1">IFERROR(__xludf.DUMMYFUNCTION("IMPORTRANGE(""https://docs.google.com/spreadsheets/d/1GbCIE4D4wk9FUozzqk7SxfDMxDVBwVmI5zcaVUSzKAc/edit?usp=sharing"",""ประจวบคีรีขันธ์!J109"")"),15)</f>
        <v>15</v>
      </c>
      <c r="AB62" s="79">
        <f t="shared" ca="1" si="42"/>
        <v>100</v>
      </c>
      <c r="AC62" s="74">
        <f ca="1">IFERROR(__xludf.DUMMYFUNCTION("IMPORTRANGE(""https://docs.google.com/spreadsheets/d/1GbCIE4D4wk9FUozzqk7SxfDMxDVBwVmI5zcaVUSzKAc/edit?usp=sharing"",""ประจวบคีรีขันธ์!I113"")"),45)</f>
        <v>45</v>
      </c>
      <c r="AD62" s="74">
        <f ca="1">IFERROR(__xludf.DUMMYFUNCTION("IMPORTRANGE(""https://docs.google.com/spreadsheets/d/1GbCIE4D4wk9FUozzqk7SxfDMxDVBwVmI5zcaVUSzKAc/edit?usp=sharing"",""ประจวบคีรีขันธ์!J113"")"),45)</f>
        <v>45</v>
      </c>
      <c r="AE62" s="79">
        <f t="shared" ca="1" si="44"/>
        <v>100</v>
      </c>
      <c r="AF62" s="74">
        <f ca="1">IFERROR(__xludf.DUMMYFUNCTION("IMPORTRANGE(""https://docs.google.com/spreadsheets/d/1GbCIE4D4wk9FUozzqk7SxfDMxDVBwVmI5zcaVUSzKAc/edit?usp=sharing"",""ประจวบคีรีขันธ์!I114"")"),15)</f>
        <v>15</v>
      </c>
      <c r="AG62" s="74">
        <f ca="1">IFERROR(__xludf.DUMMYFUNCTION("IMPORTRANGE(""https://docs.google.com/spreadsheets/d/1GbCIE4D4wk9FUozzqk7SxfDMxDVBwVmI5zcaVUSzKAc/edit?usp=sharing"",""ประจวบคีรีขันธ์!J114"")"),15)</f>
        <v>15</v>
      </c>
      <c r="AH62" s="79">
        <f t="shared" ca="1" si="46"/>
        <v>100</v>
      </c>
    </row>
    <row r="63" spans="1:34" ht="21" customHeight="1" x14ac:dyDescent="0.3">
      <c r="A63" s="147">
        <v>11</v>
      </c>
      <c r="B63" s="148" t="s">
        <v>91</v>
      </c>
      <c r="C63" s="149">
        <f t="shared" ca="1" si="28"/>
        <v>158020</v>
      </c>
      <c r="D63" s="150">
        <f t="shared" ca="1" si="61"/>
        <v>158020</v>
      </c>
      <c r="E63" s="151">
        <f ca="1">IFERROR(__xludf.DUMMYFUNCTION("IMPORTRANGE(""https://docs.google.com/spreadsheets/d/1-uDff_7J0KD5mKrp0Vvzr7lt3OU09vwQwhkpOPPYv2Y/edit?usp=sharing"",""งบพรบ!AX63"")"),54500)</f>
        <v>54500</v>
      </c>
      <c r="F63" s="151">
        <f ca="1">IFERROR(__xludf.DUMMYFUNCTION("IMPORTRANGE(""https://docs.google.com/spreadsheets/d/1-uDff_7J0KD5mKrp0Vvzr7lt3OU09vwQwhkpOPPYv2Y/edit?usp=sharing"",""งบพรบ!AY63"")"),103520)</f>
        <v>103520</v>
      </c>
      <c r="G63" s="151">
        <f ca="1">IFERROR(__xludf.DUMMYFUNCTION("IMPORTRANGE(""https://docs.google.com/spreadsheets/d/1-uDff_7J0KD5mKrp0Vvzr7lt3OU09vwQwhkpOPPYv2Y/edit?usp=sharing"",""งบพรบ!AZ63"")"),0)</f>
        <v>0</v>
      </c>
      <c r="H63" s="151">
        <f ca="1">IFERROR(__xludf.DUMMYFUNCTION("IMPORTRANGE(""https://docs.google.com/spreadsheets/d/1-uDff_7J0KD5mKrp0Vvzr7lt3OU09vwQwhkpOPPYv2Y/edit?usp=sharing"",""งบพรบ!BB63"")"),158020)</f>
        <v>158020</v>
      </c>
      <c r="I63" s="151">
        <f ca="1">IFERROR(__xludf.DUMMYFUNCTION("IMPORTRANGE(""https://docs.google.com/spreadsheets/d/1-uDff_7J0KD5mKrp0Vvzr7lt3OU09vwQwhkpOPPYv2Y/edit?usp=sharing"",""งบพรบ!BC63"")"),0)</f>
        <v>0</v>
      </c>
      <c r="J63" s="151">
        <f t="shared" ca="1" si="30"/>
        <v>158019.5</v>
      </c>
      <c r="K63" s="154">
        <f t="shared" ca="1" si="31"/>
        <v>99.999683584356404</v>
      </c>
      <c r="L63" s="151">
        <f ca="1">IFERROR(__xludf.DUMMYFUNCTION("IMPORTRANGE(""https://docs.google.com/spreadsheets/d/1-uDff_7J0KD5mKrp0Vvzr7lt3OU09vwQwhkpOPPYv2Y/edit?usp=sharing"",""งบพรบ!BD63"")"),158019.5)</f>
        <v>158019.5</v>
      </c>
      <c r="M63" s="68">
        <f t="shared" ca="1" si="32"/>
        <v>99.999683584356404</v>
      </c>
      <c r="N63" s="68">
        <f t="shared" ca="1" si="33"/>
        <v>99.999683584356404</v>
      </c>
      <c r="O63" s="67">
        <f ca="1">IFERROR(__xludf.DUMMYFUNCTION("IMPORTRANGE(""https://docs.google.com/spreadsheets/d/1-uDff_7J0KD5mKrp0Vvzr7lt3OU09vwQwhkpOPPYv2Y/edit?usp=sharing"",""งบพรบ!BE63"")"),0)</f>
        <v>0</v>
      </c>
      <c r="P63" s="67">
        <f t="shared" ca="1" si="34"/>
        <v>0</v>
      </c>
      <c r="Q63" s="68">
        <f t="shared" ca="1" si="35"/>
        <v>0</v>
      </c>
      <c r="R63" s="67">
        <f ca="1">IFERROR(__xludf.DUMMYFUNCTION("IMPORTRANGE(""https://docs.google.com/spreadsheets/d/1vVf6wykvW_lAyu7Yo9L4hUTqHqIeP_qcVuxCtosJEbg/edit?usp=sharing"",""ปราจีนบุรี!Q94"")"),175522)</f>
        <v>175522</v>
      </c>
      <c r="S63" s="67">
        <f ca="1">IFERROR(__xludf.DUMMYFUNCTION("IMPORTRANGE(""https://docs.google.com/spreadsheets/d/1vVf6wykvW_lAyu7Yo9L4hUTqHqIeP_qcVuxCtosJEbg/edit?usp=sharing"",""ปราจีนบุรี!R94"")"),175522)</f>
        <v>175522</v>
      </c>
      <c r="T63" s="67">
        <f ca="1">IFERROR(__xludf.DUMMYFUNCTION("IMPORTRANGE(""https://docs.google.com/spreadsheets/d/1vVf6wykvW_lAyu7Yo9L4hUTqHqIeP_qcVuxCtosJEbg/edit?usp=sharing"",""ปราจีนบุรี!S94"")"),64450)</f>
        <v>64450</v>
      </c>
      <c r="U63" s="68">
        <f t="shared" ca="1" si="37"/>
        <v>36.719043766593359</v>
      </c>
      <c r="V63" s="68">
        <f t="shared" ca="1" si="38"/>
        <v>36.719043766593359</v>
      </c>
      <c r="W63" s="74">
        <f ca="1">IFERROR(__xludf.DUMMYFUNCTION("IMPORTRANGE(""https://docs.google.com/spreadsheets/d/1vVf6wykvW_lAyu7Yo9L4hUTqHqIeP_qcVuxCtosJEbg/edit?usp=sharing"",""ปราจีนบุรี!I108"")"),93)</f>
        <v>93</v>
      </c>
      <c r="X63" s="74">
        <f ca="1">IFERROR(__xludf.DUMMYFUNCTION("IMPORTRANGE(""https://docs.google.com/spreadsheets/d/1vVf6wykvW_lAyu7Yo9L4hUTqHqIeP_qcVuxCtosJEbg/edit?usp=sharing"",""ปราจีนบุรี!J108"")"),93)</f>
        <v>93</v>
      </c>
      <c r="Y63" s="79">
        <f t="shared" ca="1" si="40"/>
        <v>100</v>
      </c>
      <c r="Z63" s="74">
        <f ca="1">IFERROR(__xludf.DUMMYFUNCTION("IMPORTRANGE(""https://docs.google.com/spreadsheets/d/1vVf6wykvW_lAyu7Yo9L4hUTqHqIeP_qcVuxCtosJEbg/edit?usp=sharing"",""ปราจีนบุรี!I109"")"),31)</f>
        <v>31</v>
      </c>
      <c r="AA63" s="74">
        <f ca="1">IFERROR(__xludf.DUMMYFUNCTION("IMPORTRANGE(""https://docs.google.com/spreadsheets/d/1vVf6wykvW_lAyu7Yo9L4hUTqHqIeP_qcVuxCtosJEbg/edit?usp=sharing"",""ปราจีนบุรี!J109"")"),31)</f>
        <v>31</v>
      </c>
      <c r="AB63" s="79">
        <f t="shared" ca="1" si="42"/>
        <v>100</v>
      </c>
      <c r="AC63" s="74">
        <f ca="1">IFERROR(__xludf.DUMMYFUNCTION("IMPORTRANGE(""https://docs.google.com/spreadsheets/d/1vVf6wykvW_lAyu7Yo9L4hUTqHqIeP_qcVuxCtosJEbg/edit?usp=sharing"",""ปราจีนบุรี!I113"")"),93)</f>
        <v>93</v>
      </c>
      <c r="AD63" s="74">
        <f ca="1">IFERROR(__xludf.DUMMYFUNCTION("IMPORTRANGE(""https://docs.google.com/spreadsheets/d/1vVf6wykvW_lAyu7Yo9L4hUTqHqIeP_qcVuxCtosJEbg/edit?usp=sharing"",""ปราจีนบุรี!J113"")"),93)</f>
        <v>93</v>
      </c>
      <c r="AE63" s="79">
        <f t="shared" ca="1" si="44"/>
        <v>100</v>
      </c>
      <c r="AF63" s="74">
        <f ca="1">IFERROR(__xludf.DUMMYFUNCTION("IMPORTRANGE(""https://docs.google.com/spreadsheets/d/1vVf6wykvW_lAyu7Yo9L4hUTqHqIeP_qcVuxCtosJEbg/edit?usp=sharing"",""ปราจีนบุรี!I114"")"),31)</f>
        <v>31</v>
      </c>
      <c r="AG63" s="74">
        <f ca="1">IFERROR(__xludf.DUMMYFUNCTION("IMPORTRANGE(""https://docs.google.com/spreadsheets/d/1vVf6wykvW_lAyu7Yo9L4hUTqHqIeP_qcVuxCtosJEbg/edit?usp=sharing"",""ปราจีนบุรี!J114"")"),31)</f>
        <v>31</v>
      </c>
      <c r="AH63" s="79">
        <f t="shared" ca="1" si="46"/>
        <v>100</v>
      </c>
    </row>
    <row r="64" spans="1:34" ht="21" customHeight="1" x14ac:dyDescent="0.3">
      <c r="A64" s="147">
        <v>12</v>
      </c>
      <c r="B64" s="148" t="s">
        <v>92</v>
      </c>
      <c r="C64" s="149">
        <f t="shared" ca="1" si="28"/>
        <v>0</v>
      </c>
      <c r="D64" s="150">
        <f t="shared" ca="1" si="61"/>
        <v>0</v>
      </c>
      <c r="E64" s="151">
        <f ca="1">IFERROR(__xludf.DUMMYFUNCTION("IMPORTRANGE(""https://docs.google.com/spreadsheets/d/1-uDff_7J0KD5mKrp0Vvzr7lt3OU09vwQwhkpOPPYv2Y/edit?usp=sharing"",""งบพรบ!AX64"")"),0)</f>
        <v>0</v>
      </c>
      <c r="F64" s="151">
        <f ca="1">IFERROR(__xludf.DUMMYFUNCTION("IMPORTRANGE(""https://docs.google.com/spreadsheets/d/1-uDff_7J0KD5mKrp0Vvzr7lt3OU09vwQwhkpOPPYv2Y/edit?usp=sharing"",""งบพรบ!AY64"")"),0)</f>
        <v>0</v>
      </c>
      <c r="G64" s="151">
        <f ca="1">IFERROR(__xludf.DUMMYFUNCTION("IMPORTRANGE(""https://docs.google.com/spreadsheets/d/1-uDff_7J0KD5mKrp0Vvzr7lt3OU09vwQwhkpOPPYv2Y/edit?usp=sharing"",""งบพรบ!AZ64"")"),0)</f>
        <v>0</v>
      </c>
      <c r="H64" s="151">
        <f ca="1">IFERROR(__xludf.DUMMYFUNCTION("IMPORTRANGE(""https://docs.google.com/spreadsheets/d/1-uDff_7J0KD5mKrp0Vvzr7lt3OU09vwQwhkpOPPYv2Y/edit?usp=sharing"",""งบพรบ!BB64"")"),0)</f>
        <v>0</v>
      </c>
      <c r="I64" s="151">
        <f ca="1">IFERROR(__xludf.DUMMYFUNCTION("IMPORTRANGE(""https://docs.google.com/spreadsheets/d/1-uDff_7J0KD5mKrp0Vvzr7lt3OU09vwQwhkpOPPYv2Y/edit?usp=sharing"",""งบพรบ!BC64"")"),0)</f>
        <v>0</v>
      </c>
      <c r="J64" s="151">
        <f t="shared" ca="1" si="30"/>
        <v>0</v>
      </c>
      <c r="K64" s="154">
        <f t="shared" ca="1" si="31"/>
        <v>0</v>
      </c>
      <c r="L64" s="151">
        <f ca="1">IFERROR(__xludf.DUMMYFUNCTION("IMPORTRANGE(""https://docs.google.com/spreadsheets/d/1-uDff_7J0KD5mKrp0Vvzr7lt3OU09vwQwhkpOPPYv2Y/edit?usp=sharing"",""งบพรบ!BD64"")"),0)</f>
        <v>0</v>
      </c>
      <c r="M64" s="68">
        <f t="shared" ca="1" si="32"/>
        <v>0</v>
      </c>
      <c r="N64" s="68">
        <f t="shared" ca="1" si="33"/>
        <v>0</v>
      </c>
      <c r="O64" s="67">
        <f ca="1">IFERROR(__xludf.DUMMYFUNCTION("IMPORTRANGE(""https://docs.google.com/spreadsheets/d/1-uDff_7J0KD5mKrp0Vvzr7lt3OU09vwQwhkpOPPYv2Y/edit?usp=sharing"",""งบพรบ!BE64"")"),0)</f>
        <v>0</v>
      </c>
      <c r="P64" s="67">
        <f t="shared" ca="1" si="34"/>
        <v>0</v>
      </c>
      <c r="Q64" s="68">
        <f t="shared" ca="1" si="35"/>
        <v>0</v>
      </c>
      <c r="R64" s="67">
        <f ca="1">IFERROR(__xludf.DUMMYFUNCTION("IMPORTRANGE(""https://docs.google.com/spreadsheets/d/1BIDqLLg5jk3v59G8NlR8rk5xfQDKne0sAvZHSj7TI6I/edit?usp=sharing"",""พระนครศรีอยุธยา!Q94"")"),0)</f>
        <v>0</v>
      </c>
      <c r="S64" s="67">
        <f ca="1">IFERROR(__xludf.DUMMYFUNCTION("IMPORTRANGE(""https://docs.google.com/spreadsheets/d/1BIDqLLg5jk3v59G8NlR8rk5xfQDKne0sAvZHSj7TI6I/edit?usp=sharing"",""พระนครศรีอยุธยา!R94"")"),0)</f>
        <v>0</v>
      </c>
      <c r="T64" s="67">
        <f ca="1">IFERROR(__xludf.DUMMYFUNCTION("IMPORTRANGE(""https://docs.google.com/spreadsheets/d/1BIDqLLg5jk3v59G8NlR8rk5xfQDKne0sAvZHSj7TI6I/edit?usp=sharing"",""พระนครศรีอยุธยา!S94"")"),0)</f>
        <v>0</v>
      </c>
      <c r="U64" s="68">
        <f t="shared" ca="1" si="37"/>
        <v>0</v>
      </c>
      <c r="V64" s="68">
        <f t="shared" ca="1" si="38"/>
        <v>0</v>
      </c>
      <c r="W64" s="74">
        <f ca="1">IFERROR(__xludf.DUMMYFUNCTION("IMPORTRANGE(""https://docs.google.com/spreadsheets/d/1BIDqLLg5jk3v59G8NlR8rk5xfQDKne0sAvZHSj7TI6I/edit?usp=sharing"",""พระนครศรีอยุธยา!I108"")"),0)</f>
        <v>0</v>
      </c>
      <c r="X64" s="74">
        <f ca="1">IFERROR(__xludf.DUMMYFUNCTION("IMPORTRANGE(""https://docs.google.com/spreadsheets/d/1BIDqLLg5jk3v59G8NlR8rk5xfQDKne0sAvZHSj7TI6I/edit?usp=sharing"",""พระนครศรีอยุธยา!J108"")"),0)</f>
        <v>0</v>
      </c>
      <c r="Y64" s="79">
        <f t="shared" ca="1" si="40"/>
        <v>0</v>
      </c>
      <c r="Z64" s="74">
        <f ca="1">IFERROR(__xludf.DUMMYFUNCTION("IMPORTRANGE(""https://docs.google.com/spreadsheets/d/1BIDqLLg5jk3v59G8NlR8rk5xfQDKne0sAvZHSj7TI6I/edit?usp=sharing"",""พระนครศรีอยุธยา!I109"")"),0)</f>
        <v>0</v>
      </c>
      <c r="AA64" s="74">
        <f ca="1">IFERROR(__xludf.DUMMYFUNCTION("IMPORTRANGE(""https://docs.google.com/spreadsheets/d/1BIDqLLg5jk3v59G8NlR8rk5xfQDKne0sAvZHSj7TI6I/edit?usp=sharing"",""พระนครศรีอยุธยา!J109"")"),0)</f>
        <v>0</v>
      </c>
      <c r="AB64" s="79">
        <f t="shared" ca="1" si="42"/>
        <v>0</v>
      </c>
      <c r="AC64" s="74">
        <f ca="1">IFERROR(__xludf.DUMMYFUNCTION("IMPORTRANGE(""https://docs.google.com/spreadsheets/d/1BIDqLLg5jk3v59G8NlR8rk5xfQDKne0sAvZHSj7TI6I/edit?usp=sharing"",""พระนครศรีอยุธยา!I113"")"),0)</f>
        <v>0</v>
      </c>
      <c r="AD64" s="74">
        <f ca="1">IFERROR(__xludf.DUMMYFUNCTION("IMPORTRANGE(""https://docs.google.com/spreadsheets/d/1BIDqLLg5jk3v59G8NlR8rk5xfQDKne0sAvZHSj7TI6I/edit?usp=sharing"",""พระนครศรีอยุธยา!J113"")"),0)</f>
        <v>0</v>
      </c>
      <c r="AE64" s="79">
        <f t="shared" ca="1" si="44"/>
        <v>0</v>
      </c>
      <c r="AF64" s="74">
        <f ca="1">IFERROR(__xludf.DUMMYFUNCTION("IMPORTRANGE(""https://docs.google.com/spreadsheets/d/1BIDqLLg5jk3v59G8NlR8rk5xfQDKne0sAvZHSj7TI6I/edit?usp=sharing"",""พระนครศรีอยุธยา!I114"")"),0)</f>
        <v>0</v>
      </c>
      <c r="AG64" s="74">
        <f ca="1">IFERROR(__xludf.DUMMYFUNCTION("IMPORTRANGE(""https://docs.google.com/spreadsheets/d/1BIDqLLg5jk3v59G8NlR8rk5xfQDKne0sAvZHSj7TI6I/edit?usp=sharing"",""พระนครศรีอยุธยา!J114"")"),0)</f>
        <v>0</v>
      </c>
      <c r="AH64" s="79">
        <f t="shared" ca="1" si="46"/>
        <v>0</v>
      </c>
    </row>
    <row r="65" spans="1:34" ht="21" customHeight="1" x14ac:dyDescent="0.3">
      <c r="A65" s="147">
        <v>13</v>
      </c>
      <c r="B65" s="148" t="s">
        <v>93</v>
      </c>
      <c r="C65" s="149">
        <f t="shared" ca="1" si="28"/>
        <v>6000</v>
      </c>
      <c r="D65" s="150">
        <f t="shared" ca="1" si="61"/>
        <v>6000</v>
      </c>
      <c r="E65" s="151">
        <f ca="1">IFERROR(__xludf.DUMMYFUNCTION("IMPORTRANGE(""https://docs.google.com/spreadsheets/d/1-uDff_7J0KD5mKrp0Vvzr7lt3OU09vwQwhkpOPPYv2Y/edit?usp=sharing"",""งบพรบ!AX65"")"),0)</f>
        <v>0</v>
      </c>
      <c r="F65" s="151">
        <f ca="1">IFERROR(__xludf.DUMMYFUNCTION("IMPORTRANGE(""https://docs.google.com/spreadsheets/d/1-uDff_7J0KD5mKrp0Vvzr7lt3OU09vwQwhkpOPPYv2Y/edit?usp=sharing"",""งบพรบ!AY65"")"),6000)</f>
        <v>6000</v>
      </c>
      <c r="G65" s="151">
        <f ca="1">IFERROR(__xludf.DUMMYFUNCTION("IMPORTRANGE(""https://docs.google.com/spreadsheets/d/1-uDff_7J0KD5mKrp0Vvzr7lt3OU09vwQwhkpOPPYv2Y/edit?usp=sharing"",""งบพรบ!AZ65"")"),0)</f>
        <v>0</v>
      </c>
      <c r="H65" s="151">
        <f ca="1">IFERROR(__xludf.DUMMYFUNCTION("IMPORTRANGE(""https://docs.google.com/spreadsheets/d/1-uDff_7J0KD5mKrp0Vvzr7lt3OU09vwQwhkpOPPYv2Y/edit?usp=sharing"",""งบพรบ!BB65"")"),6000)</f>
        <v>6000</v>
      </c>
      <c r="I65" s="151">
        <f ca="1">IFERROR(__xludf.DUMMYFUNCTION("IMPORTRANGE(""https://docs.google.com/spreadsheets/d/1-uDff_7J0KD5mKrp0Vvzr7lt3OU09vwQwhkpOPPYv2Y/edit?usp=sharing"",""งบพรบ!BC65"")"),0)</f>
        <v>0</v>
      </c>
      <c r="J65" s="151">
        <f t="shared" ca="1" si="30"/>
        <v>6000</v>
      </c>
      <c r="K65" s="154">
        <f t="shared" ca="1" si="31"/>
        <v>100</v>
      </c>
      <c r="L65" s="151">
        <f ca="1">IFERROR(__xludf.DUMMYFUNCTION("IMPORTRANGE(""https://docs.google.com/spreadsheets/d/1-uDff_7J0KD5mKrp0Vvzr7lt3OU09vwQwhkpOPPYv2Y/edit?usp=sharing"",""งบพรบ!BD65"")"),6000)</f>
        <v>6000</v>
      </c>
      <c r="M65" s="68">
        <f t="shared" ca="1" si="32"/>
        <v>100</v>
      </c>
      <c r="N65" s="68">
        <f t="shared" ca="1" si="33"/>
        <v>100</v>
      </c>
      <c r="O65" s="67">
        <f ca="1">IFERROR(__xludf.DUMMYFUNCTION("IMPORTRANGE(""https://docs.google.com/spreadsheets/d/1-uDff_7J0KD5mKrp0Vvzr7lt3OU09vwQwhkpOPPYv2Y/edit?usp=sharing"",""งบพรบ!BE65"")"),0)</f>
        <v>0</v>
      </c>
      <c r="P65" s="67">
        <f t="shared" ca="1" si="34"/>
        <v>0</v>
      </c>
      <c r="Q65" s="68">
        <f t="shared" ca="1" si="35"/>
        <v>0</v>
      </c>
      <c r="R65" s="67">
        <f ca="1">IFERROR(__xludf.DUMMYFUNCTION("IMPORTRANGE(""https://docs.google.com/spreadsheets/d/1YXvxf8Yu6_rV4hTBrwMqAcAnv6DfhUxh5emyM3CJp_w/edit?usp=sharing"",""เพชรบุรี!Q94"")"),84420)</f>
        <v>84420</v>
      </c>
      <c r="S65" s="67">
        <f ca="1">IFERROR(__xludf.DUMMYFUNCTION("IMPORTRANGE(""https://docs.google.com/spreadsheets/d/1YXvxf8Yu6_rV4hTBrwMqAcAnv6DfhUxh5emyM3CJp_w/edit?usp=sharing"",""เพชรบุรี!R94"")"),84420)</f>
        <v>84420</v>
      </c>
      <c r="T65" s="67">
        <f ca="1">IFERROR(__xludf.DUMMYFUNCTION("IMPORTRANGE(""https://docs.google.com/spreadsheets/d/1YXvxf8Yu6_rV4hTBrwMqAcAnv6DfhUxh5emyM3CJp_w/edit?usp=sharing"",""เพชรบุรี!S94"")"),43230)</f>
        <v>43230</v>
      </c>
      <c r="U65" s="68">
        <f t="shared" ca="1" si="37"/>
        <v>51.208244491826584</v>
      </c>
      <c r="V65" s="68">
        <f t="shared" ca="1" si="38"/>
        <v>51.208244491826584</v>
      </c>
      <c r="W65" s="74">
        <f ca="1">IFERROR(__xludf.DUMMYFUNCTION("IMPORTRANGE(""https://docs.google.com/spreadsheets/d/1YXvxf8Yu6_rV4hTBrwMqAcAnv6DfhUxh5emyM3CJp_w/edit?usp=sharing"",""เพชรบุรี!I108"")"),30)</f>
        <v>30</v>
      </c>
      <c r="X65" s="74">
        <f ca="1">IFERROR(__xludf.DUMMYFUNCTION("IMPORTRANGE(""https://docs.google.com/spreadsheets/d/1YXvxf8Yu6_rV4hTBrwMqAcAnv6DfhUxh5emyM3CJp_w/edit?usp=sharing"",""เพชรบุรี!J108"")"),30)</f>
        <v>30</v>
      </c>
      <c r="Y65" s="79">
        <f t="shared" ca="1" si="40"/>
        <v>100</v>
      </c>
      <c r="Z65" s="74">
        <f ca="1">IFERROR(__xludf.DUMMYFUNCTION("IMPORTRANGE(""https://docs.google.com/spreadsheets/d/1YXvxf8Yu6_rV4hTBrwMqAcAnv6DfhUxh5emyM3CJp_w/edit?usp=sharing"",""เพชรบุรี!I109"")"),10)</f>
        <v>10</v>
      </c>
      <c r="AA65" s="74">
        <f ca="1">IFERROR(__xludf.DUMMYFUNCTION("IMPORTRANGE(""https://docs.google.com/spreadsheets/d/1YXvxf8Yu6_rV4hTBrwMqAcAnv6DfhUxh5emyM3CJp_w/edit?usp=sharing"",""เพชรบุรี!J109"")"),10)</f>
        <v>10</v>
      </c>
      <c r="AB65" s="79">
        <f t="shared" ca="1" si="42"/>
        <v>100</v>
      </c>
      <c r="AC65" s="74">
        <f ca="1">IFERROR(__xludf.DUMMYFUNCTION("IMPORTRANGE(""https://docs.google.com/spreadsheets/d/1YXvxf8Yu6_rV4hTBrwMqAcAnv6DfhUxh5emyM3CJp_w/edit?usp=sharing"",""เพชรบุรี!I113"")"),30)</f>
        <v>30</v>
      </c>
      <c r="AD65" s="74">
        <f ca="1">IFERROR(__xludf.DUMMYFUNCTION("IMPORTRANGE(""https://docs.google.com/spreadsheets/d/1YXvxf8Yu6_rV4hTBrwMqAcAnv6DfhUxh5emyM3CJp_w/edit?usp=sharing"",""เพชรบุรี!J113"")"),0)</f>
        <v>0</v>
      </c>
      <c r="AE65" s="79">
        <f t="shared" ca="1" si="44"/>
        <v>0</v>
      </c>
      <c r="AF65" s="74">
        <f ca="1">IFERROR(__xludf.DUMMYFUNCTION("IMPORTRANGE(""https://docs.google.com/spreadsheets/d/1YXvxf8Yu6_rV4hTBrwMqAcAnv6DfhUxh5emyM3CJp_w/edit?usp=sharing"",""เพชรบุรี!I114"")"),10)</f>
        <v>10</v>
      </c>
      <c r="AG65" s="74">
        <f ca="1">IFERROR(__xludf.DUMMYFUNCTION("IMPORTRANGE(""https://docs.google.com/spreadsheets/d/1YXvxf8Yu6_rV4hTBrwMqAcAnv6DfhUxh5emyM3CJp_w/edit?usp=sharing"",""เพชรบุรี!J114"")"),0)</f>
        <v>0</v>
      </c>
      <c r="AH65" s="79">
        <f t="shared" ca="1" si="46"/>
        <v>0</v>
      </c>
    </row>
    <row r="66" spans="1:34" ht="21" customHeight="1" x14ac:dyDescent="0.3">
      <c r="A66" s="147">
        <v>14</v>
      </c>
      <c r="B66" s="148" t="s">
        <v>94</v>
      </c>
      <c r="C66" s="149">
        <f t="shared" ca="1" si="28"/>
        <v>0</v>
      </c>
      <c r="D66" s="150">
        <f t="shared" ca="1" si="61"/>
        <v>0</v>
      </c>
      <c r="E66" s="151">
        <f ca="1">IFERROR(__xludf.DUMMYFUNCTION("IMPORTRANGE(""https://docs.google.com/spreadsheets/d/1-uDff_7J0KD5mKrp0Vvzr7lt3OU09vwQwhkpOPPYv2Y/edit?usp=sharing"",""งบพรบ!AX66"")"),0)</f>
        <v>0</v>
      </c>
      <c r="F66" s="151">
        <f ca="1">IFERROR(__xludf.DUMMYFUNCTION("IMPORTRANGE(""https://docs.google.com/spreadsheets/d/1-uDff_7J0KD5mKrp0Vvzr7lt3OU09vwQwhkpOPPYv2Y/edit?usp=sharing"",""งบพรบ!AY66"")"),0)</f>
        <v>0</v>
      </c>
      <c r="G66" s="151">
        <f ca="1">IFERROR(__xludf.DUMMYFUNCTION("IMPORTRANGE(""https://docs.google.com/spreadsheets/d/1-uDff_7J0KD5mKrp0Vvzr7lt3OU09vwQwhkpOPPYv2Y/edit?usp=sharing"",""งบพรบ!AZ66"")"),0)</f>
        <v>0</v>
      </c>
      <c r="H66" s="151">
        <f ca="1">IFERROR(__xludf.DUMMYFUNCTION("IMPORTRANGE(""https://docs.google.com/spreadsheets/d/1-uDff_7J0KD5mKrp0Vvzr7lt3OU09vwQwhkpOPPYv2Y/edit?usp=sharing"",""งบพรบ!BB66"")"),0)</f>
        <v>0</v>
      </c>
      <c r="I66" s="151">
        <f ca="1">IFERROR(__xludf.DUMMYFUNCTION("IMPORTRANGE(""https://docs.google.com/spreadsheets/d/1-uDff_7J0KD5mKrp0Vvzr7lt3OU09vwQwhkpOPPYv2Y/edit?usp=sharing"",""งบพรบ!BC66"")"),0)</f>
        <v>0</v>
      </c>
      <c r="J66" s="151">
        <f t="shared" ca="1" si="30"/>
        <v>0</v>
      </c>
      <c r="K66" s="154">
        <f t="shared" ca="1" si="31"/>
        <v>0</v>
      </c>
      <c r="L66" s="151">
        <f ca="1">IFERROR(__xludf.DUMMYFUNCTION("IMPORTRANGE(""https://docs.google.com/spreadsheets/d/1-uDff_7J0KD5mKrp0Vvzr7lt3OU09vwQwhkpOPPYv2Y/edit?usp=sharing"",""งบพรบ!BD66"")"),0)</f>
        <v>0</v>
      </c>
      <c r="M66" s="68">
        <f t="shared" ca="1" si="32"/>
        <v>0</v>
      </c>
      <c r="N66" s="68">
        <f t="shared" ca="1" si="33"/>
        <v>0</v>
      </c>
      <c r="O66" s="67">
        <f ca="1">IFERROR(__xludf.DUMMYFUNCTION("IMPORTRANGE(""https://docs.google.com/spreadsheets/d/1-uDff_7J0KD5mKrp0Vvzr7lt3OU09vwQwhkpOPPYv2Y/edit?usp=sharing"",""งบพรบ!BE66"")"),0)</f>
        <v>0</v>
      </c>
      <c r="P66" s="67">
        <f t="shared" ca="1" si="34"/>
        <v>0</v>
      </c>
      <c r="Q66" s="68">
        <f t="shared" ca="1" si="35"/>
        <v>0</v>
      </c>
      <c r="R66" s="67">
        <f ca="1">IFERROR(__xludf.DUMMYFUNCTION("IMPORTRANGE(""https://docs.google.com/spreadsheets/d/19KBlQQs7uwvsao6t2n-KvW3Ax8J8uRRfZPq1zPbXgKc/edit?usp=sharing"",""ระยอง!Q94"")"),0)</f>
        <v>0</v>
      </c>
      <c r="S66" s="67">
        <f ca="1">IFERROR(__xludf.DUMMYFUNCTION("IMPORTRANGE(""https://docs.google.com/spreadsheets/d/19KBlQQs7uwvsao6t2n-KvW3Ax8J8uRRfZPq1zPbXgKc/edit?usp=sharing"",""ระยอง!R94"")"),0)</f>
        <v>0</v>
      </c>
      <c r="T66" s="67">
        <f ca="1">IFERROR(__xludf.DUMMYFUNCTION("IMPORTRANGE(""https://docs.google.com/spreadsheets/d/19KBlQQs7uwvsao6t2n-KvW3Ax8J8uRRfZPq1zPbXgKc/edit?usp=sharing"",""ระยอง!S94"")"),0)</f>
        <v>0</v>
      </c>
      <c r="U66" s="68">
        <f t="shared" ca="1" si="37"/>
        <v>0</v>
      </c>
      <c r="V66" s="68">
        <f t="shared" ca="1" si="38"/>
        <v>0</v>
      </c>
      <c r="W66" s="74">
        <f ca="1">IFERROR(__xludf.DUMMYFUNCTION("IMPORTRANGE(""https://docs.google.com/spreadsheets/d/19KBlQQs7uwvsao6t2n-KvW3Ax8J8uRRfZPq1zPbXgKc/edit?usp=sharing"",""ระยอง!I108"")"),0)</f>
        <v>0</v>
      </c>
      <c r="X66" s="74">
        <f ca="1">IFERROR(__xludf.DUMMYFUNCTION("IMPORTRANGE(""https://docs.google.com/spreadsheets/d/19KBlQQs7uwvsao6t2n-KvW3Ax8J8uRRfZPq1zPbXgKc/edit?usp=sharing"",""ระยอง!J108"")"),0)</f>
        <v>0</v>
      </c>
      <c r="Y66" s="79">
        <f t="shared" ca="1" si="40"/>
        <v>0</v>
      </c>
      <c r="Z66" s="74">
        <f ca="1">IFERROR(__xludf.DUMMYFUNCTION("IMPORTRANGE(""https://docs.google.com/spreadsheets/d/19KBlQQs7uwvsao6t2n-KvW3Ax8J8uRRfZPq1zPbXgKc/edit?usp=sharing"",""ระยอง!I109"")"),0)</f>
        <v>0</v>
      </c>
      <c r="AA66" s="74">
        <f ca="1">IFERROR(__xludf.DUMMYFUNCTION("IMPORTRANGE(""https://docs.google.com/spreadsheets/d/19KBlQQs7uwvsao6t2n-KvW3Ax8J8uRRfZPq1zPbXgKc/edit?usp=sharing"",""ระยอง!J109"")"),0)</f>
        <v>0</v>
      </c>
      <c r="AB66" s="79">
        <f t="shared" ca="1" si="42"/>
        <v>0</v>
      </c>
      <c r="AC66" s="74">
        <f ca="1">IFERROR(__xludf.DUMMYFUNCTION("IMPORTRANGE(""https://docs.google.com/spreadsheets/d/19KBlQQs7uwvsao6t2n-KvW3Ax8J8uRRfZPq1zPbXgKc/edit?usp=sharing"",""ระยอง!I113"")"),0)</f>
        <v>0</v>
      </c>
      <c r="AD66" s="74">
        <f ca="1">IFERROR(__xludf.DUMMYFUNCTION("IMPORTRANGE(""https://docs.google.com/spreadsheets/d/19KBlQQs7uwvsao6t2n-KvW3Ax8J8uRRfZPq1zPbXgKc/edit?usp=sharing"",""ระยอง!J113"")"),0)</f>
        <v>0</v>
      </c>
      <c r="AE66" s="79">
        <f t="shared" ca="1" si="44"/>
        <v>0</v>
      </c>
      <c r="AF66" s="74">
        <f ca="1">IFERROR(__xludf.DUMMYFUNCTION("IMPORTRANGE(""https://docs.google.com/spreadsheets/d/19KBlQQs7uwvsao6t2n-KvW3Ax8J8uRRfZPq1zPbXgKc/edit?usp=sharing"",""ระยอง!I114"")"),0)</f>
        <v>0</v>
      </c>
      <c r="AG66" s="74">
        <f ca="1">IFERROR(__xludf.DUMMYFUNCTION("IMPORTRANGE(""https://docs.google.com/spreadsheets/d/19KBlQQs7uwvsao6t2n-KvW3Ax8J8uRRfZPq1zPbXgKc/edit?usp=sharing"",""ระยอง!J114"")"),0)</f>
        <v>0</v>
      </c>
      <c r="AH66" s="79">
        <f t="shared" ca="1" si="46"/>
        <v>0</v>
      </c>
    </row>
    <row r="67" spans="1:34" ht="21" customHeight="1" x14ac:dyDescent="0.3">
      <c r="A67" s="147">
        <v>15</v>
      </c>
      <c r="B67" s="148" t="s">
        <v>95</v>
      </c>
      <c r="C67" s="149">
        <f t="shared" ca="1" si="28"/>
        <v>9000</v>
      </c>
      <c r="D67" s="150">
        <f t="shared" ca="1" si="61"/>
        <v>9000</v>
      </c>
      <c r="E67" s="151">
        <f ca="1">IFERROR(__xludf.DUMMYFUNCTION("IMPORTRANGE(""https://docs.google.com/spreadsheets/d/1-uDff_7J0KD5mKrp0Vvzr7lt3OU09vwQwhkpOPPYv2Y/edit?usp=sharing"",""งบพรบ!AX67"")"),0)</f>
        <v>0</v>
      </c>
      <c r="F67" s="151">
        <f ca="1">IFERROR(__xludf.DUMMYFUNCTION("IMPORTRANGE(""https://docs.google.com/spreadsheets/d/1-uDff_7J0KD5mKrp0Vvzr7lt3OU09vwQwhkpOPPYv2Y/edit?usp=sharing"",""งบพรบ!AY67"")"),9000)</f>
        <v>9000</v>
      </c>
      <c r="G67" s="151">
        <f ca="1">IFERROR(__xludf.DUMMYFUNCTION("IMPORTRANGE(""https://docs.google.com/spreadsheets/d/1-uDff_7J0KD5mKrp0Vvzr7lt3OU09vwQwhkpOPPYv2Y/edit?usp=sharing"",""งบพรบ!AZ67"")"),0)</f>
        <v>0</v>
      </c>
      <c r="H67" s="151">
        <f ca="1">IFERROR(__xludf.DUMMYFUNCTION("IMPORTRANGE(""https://docs.google.com/spreadsheets/d/1-uDff_7J0KD5mKrp0Vvzr7lt3OU09vwQwhkpOPPYv2Y/edit?usp=sharing"",""งบพรบ!BB67"")"),9000)</f>
        <v>9000</v>
      </c>
      <c r="I67" s="151">
        <f ca="1">IFERROR(__xludf.DUMMYFUNCTION("IMPORTRANGE(""https://docs.google.com/spreadsheets/d/1-uDff_7J0KD5mKrp0Vvzr7lt3OU09vwQwhkpOPPYv2Y/edit?usp=sharing"",""งบพรบ!BC67"")"),0)</f>
        <v>0</v>
      </c>
      <c r="J67" s="151">
        <f t="shared" ca="1" si="30"/>
        <v>0</v>
      </c>
      <c r="K67" s="154">
        <f t="shared" ca="1" si="31"/>
        <v>0</v>
      </c>
      <c r="L67" s="151">
        <f ca="1">IFERROR(__xludf.DUMMYFUNCTION("IMPORTRANGE(""https://docs.google.com/spreadsheets/d/1-uDff_7J0KD5mKrp0Vvzr7lt3OU09vwQwhkpOPPYv2Y/edit?usp=sharing"",""งบพรบ!BD67"")"),0)</f>
        <v>0</v>
      </c>
      <c r="M67" s="68">
        <f t="shared" ca="1" si="32"/>
        <v>0</v>
      </c>
      <c r="N67" s="68">
        <f t="shared" ca="1" si="33"/>
        <v>0</v>
      </c>
      <c r="O67" s="67">
        <f ca="1">IFERROR(__xludf.DUMMYFUNCTION("IMPORTRANGE(""https://docs.google.com/spreadsheets/d/1-uDff_7J0KD5mKrp0Vvzr7lt3OU09vwQwhkpOPPYv2Y/edit?usp=sharing"",""งบพรบ!BE67"")"),0)</f>
        <v>0</v>
      </c>
      <c r="P67" s="67">
        <f t="shared" ca="1" si="34"/>
        <v>0</v>
      </c>
      <c r="Q67" s="68">
        <f t="shared" ca="1" si="35"/>
        <v>0</v>
      </c>
      <c r="R67" s="67">
        <f ca="1">IFERROR(__xludf.DUMMYFUNCTION("IMPORTRANGE(""https://docs.google.com/spreadsheets/d/1jQ6P4QcrGM89YfqcC_PxOHGCMq5ezhucwJd8ci-NHng/edit?usp=sharing"",""ราชบุรี!Q94"")"),126630)</f>
        <v>126630</v>
      </c>
      <c r="S67" s="67">
        <f ca="1">IFERROR(__xludf.DUMMYFUNCTION("IMPORTRANGE(""https://docs.google.com/spreadsheets/d/1jQ6P4QcrGM89YfqcC_PxOHGCMq5ezhucwJd8ci-NHng/edit?usp=sharing"",""ราชบุรี!R94"")"),126630)</f>
        <v>126630</v>
      </c>
      <c r="T67" s="67">
        <f ca="1">IFERROR(__xludf.DUMMYFUNCTION("IMPORTRANGE(""https://docs.google.com/spreadsheets/d/1jQ6P4QcrGM89YfqcC_PxOHGCMq5ezhucwJd8ci-NHng/edit?usp=sharing"",""ราชบุรี!S94"")"),82355)</f>
        <v>82355</v>
      </c>
      <c r="U67" s="68">
        <f t="shared" ca="1" si="37"/>
        <v>65.035931453841897</v>
      </c>
      <c r="V67" s="68">
        <f t="shared" ca="1" si="38"/>
        <v>65.035931453841897</v>
      </c>
      <c r="W67" s="74">
        <f ca="1">IFERROR(__xludf.DUMMYFUNCTION("IMPORTRANGE(""https://docs.google.com/spreadsheets/d/1jQ6P4QcrGM89YfqcC_PxOHGCMq5ezhucwJd8ci-NHng/edit?usp=sharing"",""ราชบุรี!I108"")"),45)</f>
        <v>45</v>
      </c>
      <c r="X67" s="74">
        <f ca="1">IFERROR(__xludf.DUMMYFUNCTION("IMPORTRANGE(""https://docs.google.com/spreadsheets/d/1jQ6P4QcrGM89YfqcC_PxOHGCMq5ezhucwJd8ci-NHng/edit?usp=sharing"",""ราชบุรี!J108"")"),45)</f>
        <v>45</v>
      </c>
      <c r="Y67" s="79">
        <f t="shared" ca="1" si="40"/>
        <v>100</v>
      </c>
      <c r="Z67" s="74">
        <f ca="1">IFERROR(__xludf.DUMMYFUNCTION("IMPORTRANGE(""https://docs.google.com/spreadsheets/d/1jQ6P4QcrGM89YfqcC_PxOHGCMq5ezhucwJd8ci-NHng/edit?usp=sharing"",""ราชบุรี!I109"")"),15)</f>
        <v>15</v>
      </c>
      <c r="AA67" s="74">
        <f ca="1">IFERROR(__xludf.DUMMYFUNCTION("IMPORTRANGE(""https://docs.google.com/spreadsheets/d/1jQ6P4QcrGM89YfqcC_PxOHGCMq5ezhucwJd8ci-NHng/edit?usp=sharing"",""ราชบุรี!J109"")"),15)</f>
        <v>15</v>
      </c>
      <c r="AB67" s="79">
        <f t="shared" ca="1" si="42"/>
        <v>100</v>
      </c>
      <c r="AC67" s="74">
        <f ca="1">IFERROR(__xludf.DUMMYFUNCTION("IMPORTRANGE(""https://docs.google.com/spreadsheets/d/1jQ6P4QcrGM89YfqcC_PxOHGCMq5ezhucwJd8ci-NHng/edit?usp=sharing"",""ราชบุรี!I113"")"),45)</f>
        <v>45</v>
      </c>
      <c r="AD67" s="74">
        <f ca="1">IFERROR(__xludf.DUMMYFUNCTION("IMPORTRANGE(""https://docs.google.com/spreadsheets/d/1jQ6P4QcrGM89YfqcC_PxOHGCMq5ezhucwJd8ci-NHng/edit?usp=sharing"",""ราชบุรี!J113"")"),45)</f>
        <v>45</v>
      </c>
      <c r="AE67" s="79">
        <f t="shared" ca="1" si="44"/>
        <v>100</v>
      </c>
      <c r="AF67" s="74">
        <f ca="1">IFERROR(__xludf.DUMMYFUNCTION("IMPORTRANGE(""https://docs.google.com/spreadsheets/d/1jQ6P4QcrGM89YfqcC_PxOHGCMq5ezhucwJd8ci-NHng/edit?usp=sharing"",""ราชบุรี!I114"")"),15)</f>
        <v>15</v>
      </c>
      <c r="AG67" s="74">
        <f ca="1">IFERROR(__xludf.DUMMYFUNCTION("IMPORTRANGE(""https://docs.google.com/spreadsheets/d/1jQ6P4QcrGM89YfqcC_PxOHGCMq5ezhucwJd8ci-NHng/edit?usp=sharing"",""ราชบุรี!J114"")"),15)</f>
        <v>15</v>
      </c>
      <c r="AH67" s="79">
        <f t="shared" ca="1" si="46"/>
        <v>100</v>
      </c>
    </row>
    <row r="68" spans="1:34" ht="24" customHeight="1" x14ac:dyDescent="0.3">
      <c r="A68" s="147">
        <v>16</v>
      </c>
      <c r="B68" s="148" t="s">
        <v>96</v>
      </c>
      <c r="C68" s="149">
        <f t="shared" ca="1" si="28"/>
        <v>6000</v>
      </c>
      <c r="D68" s="150">
        <f t="shared" ca="1" si="61"/>
        <v>6000</v>
      </c>
      <c r="E68" s="151">
        <f ca="1">IFERROR(__xludf.DUMMYFUNCTION("IMPORTRANGE(""https://docs.google.com/spreadsheets/d/1-uDff_7J0KD5mKrp0Vvzr7lt3OU09vwQwhkpOPPYv2Y/edit?usp=sharing"",""งบพรบ!AX68"")"),0)</f>
        <v>0</v>
      </c>
      <c r="F68" s="151">
        <f ca="1">IFERROR(__xludf.DUMMYFUNCTION("IMPORTRANGE(""https://docs.google.com/spreadsheets/d/1-uDff_7J0KD5mKrp0Vvzr7lt3OU09vwQwhkpOPPYv2Y/edit?usp=sharing"",""งบพรบ!AY68"")"),6000)</f>
        <v>6000</v>
      </c>
      <c r="G68" s="151">
        <f ca="1">IFERROR(__xludf.DUMMYFUNCTION("IMPORTRANGE(""https://docs.google.com/spreadsheets/d/1-uDff_7J0KD5mKrp0Vvzr7lt3OU09vwQwhkpOPPYv2Y/edit?usp=sharing"",""งบพรบ!AZ68"")"),0)</f>
        <v>0</v>
      </c>
      <c r="H68" s="151">
        <f ca="1">IFERROR(__xludf.DUMMYFUNCTION("IMPORTRANGE(""https://docs.google.com/spreadsheets/d/1-uDff_7J0KD5mKrp0Vvzr7lt3OU09vwQwhkpOPPYv2Y/edit?usp=sharing"",""งบพรบ!BB68"")"),6000)</f>
        <v>6000</v>
      </c>
      <c r="I68" s="151">
        <f ca="1">IFERROR(__xludf.DUMMYFUNCTION("IMPORTRANGE(""https://docs.google.com/spreadsheets/d/1-uDff_7J0KD5mKrp0Vvzr7lt3OU09vwQwhkpOPPYv2Y/edit?usp=sharing"",""งบพรบ!BC68"")"),0)</f>
        <v>0</v>
      </c>
      <c r="J68" s="151">
        <f t="shared" ca="1" si="30"/>
        <v>0</v>
      </c>
      <c r="K68" s="154">
        <f t="shared" ca="1" si="31"/>
        <v>0</v>
      </c>
      <c r="L68" s="151">
        <f ca="1">IFERROR(__xludf.DUMMYFUNCTION("IMPORTRANGE(""https://docs.google.com/spreadsheets/d/1-uDff_7J0KD5mKrp0Vvzr7lt3OU09vwQwhkpOPPYv2Y/edit?usp=sharing"",""งบพรบ!BD68"")"),0)</f>
        <v>0</v>
      </c>
      <c r="M68" s="68">
        <f t="shared" ca="1" si="32"/>
        <v>0</v>
      </c>
      <c r="N68" s="68">
        <f t="shared" ca="1" si="33"/>
        <v>0</v>
      </c>
      <c r="O68" s="67">
        <f ca="1">IFERROR(__xludf.DUMMYFUNCTION("IMPORTRANGE(""https://docs.google.com/spreadsheets/d/1-uDff_7J0KD5mKrp0Vvzr7lt3OU09vwQwhkpOPPYv2Y/edit?usp=sharing"",""งบพรบ!BE68"")"),0)</f>
        <v>0</v>
      </c>
      <c r="P68" s="67">
        <f t="shared" ca="1" si="34"/>
        <v>0</v>
      </c>
      <c r="Q68" s="68">
        <f t="shared" ca="1" si="35"/>
        <v>0</v>
      </c>
      <c r="R68" s="67">
        <f ca="1">IFERROR(__xludf.DUMMYFUNCTION("IMPORTRANGE(""https://docs.google.com/spreadsheets/d/1lufeA2cfFqM-elVq2hznhDzC6Pr7wkJ9ZG_sYNGCMCU/edit?usp=sharing"",""ลพบุรี!Q94"")"),84420)</f>
        <v>84420</v>
      </c>
      <c r="S68" s="67">
        <f ca="1">IFERROR(__xludf.DUMMYFUNCTION("IMPORTRANGE(""https://docs.google.com/spreadsheets/d/1lufeA2cfFqM-elVq2hznhDzC6Pr7wkJ9ZG_sYNGCMCU/edit?usp=sharing"",""ลพบุรี!R94"")"),84420)</f>
        <v>84420</v>
      </c>
      <c r="T68" s="67">
        <f ca="1">IFERROR(__xludf.DUMMYFUNCTION("IMPORTRANGE(""https://docs.google.com/spreadsheets/d/1lufeA2cfFqM-elVq2hznhDzC6Pr7wkJ9ZG_sYNGCMCU/edit?usp=sharing"",""ลพบุรี!S94"")"),3360)</f>
        <v>3360</v>
      </c>
      <c r="U68" s="68">
        <f t="shared" ca="1" si="37"/>
        <v>3.9800995024875623</v>
      </c>
      <c r="V68" s="68">
        <f t="shared" ca="1" si="38"/>
        <v>3.9800995024875623</v>
      </c>
      <c r="W68" s="78">
        <f ca="1">IFERROR(__xludf.DUMMYFUNCTION("IMPORTRANGE(""https://docs.google.com/spreadsheets/d/1lufeA2cfFqM-elVq2hznhDzC6Pr7wkJ9ZG_sYNGCMCU/edit?usp=sharing"",""ลพบุรี!I108"")"),30)</f>
        <v>30</v>
      </c>
      <c r="X68" s="78">
        <f ca="1">IFERROR(__xludf.DUMMYFUNCTION("IMPORTRANGE(""https://docs.google.com/spreadsheets/d/1lufeA2cfFqM-elVq2hznhDzC6Pr7wkJ9ZG_sYNGCMCU/edit?usp=sharing"",""ลพบุรี!J108"")"),0)</f>
        <v>0</v>
      </c>
      <c r="Y68" s="79">
        <f t="shared" ca="1" si="40"/>
        <v>0</v>
      </c>
      <c r="Z68" s="78">
        <f ca="1">IFERROR(__xludf.DUMMYFUNCTION("IMPORTRANGE(""https://docs.google.com/spreadsheets/d/1lufeA2cfFqM-elVq2hznhDzC6Pr7wkJ9ZG_sYNGCMCU/edit?usp=sharing"",""ลพบุรี!I109"")"),10)</f>
        <v>10</v>
      </c>
      <c r="AA68" s="78">
        <f ca="1">IFERROR(__xludf.DUMMYFUNCTION("IMPORTRANGE(""https://docs.google.com/spreadsheets/d/1lufeA2cfFqM-elVq2hznhDzC6Pr7wkJ9ZG_sYNGCMCU/edit?usp=sharing"",""ลพบุรี!J109"")"),0)</f>
        <v>0</v>
      </c>
      <c r="AB68" s="79">
        <f t="shared" ca="1" si="42"/>
        <v>0</v>
      </c>
      <c r="AC68" s="78">
        <f ca="1">IFERROR(__xludf.DUMMYFUNCTION("IMPORTRANGE(""https://docs.google.com/spreadsheets/d/1lufeA2cfFqM-elVq2hznhDzC6Pr7wkJ9ZG_sYNGCMCU/edit?usp=sharing"",""ลพบุรี!I113"")"),30)</f>
        <v>30</v>
      </c>
      <c r="AD68" s="78">
        <f ca="1">IFERROR(__xludf.DUMMYFUNCTION("IMPORTRANGE(""https://docs.google.com/spreadsheets/d/1lufeA2cfFqM-elVq2hznhDzC6Pr7wkJ9ZG_sYNGCMCU/edit?usp=sharing"",""ลพบุรี!J113"")"),0)</f>
        <v>0</v>
      </c>
      <c r="AE68" s="79">
        <f t="shared" ca="1" si="44"/>
        <v>0</v>
      </c>
      <c r="AF68" s="78">
        <f ca="1">IFERROR(__xludf.DUMMYFUNCTION("IMPORTRANGE(""https://docs.google.com/spreadsheets/d/1lufeA2cfFqM-elVq2hznhDzC6Pr7wkJ9ZG_sYNGCMCU/edit?usp=sharing"",""ลพบุรี!I114"")"),10)</f>
        <v>10</v>
      </c>
      <c r="AG68" s="78">
        <f ca="1">IFERROR(__xludf.DUMMYFUNCTION("IMPORTRANGE(""https://docs.google.com/spreadsheets/d/1lufeA2cfFqM-elVq2hznhDzC6Pr7wkJ9ZG_sYNGCMCU/edit?usp=sharing"",""ลพบุรี!J114"")"),0)</f>
        <v>0</v>
      </c>
      <c r="AH68" s="79">
        <f t="shared" ca="1" si="46"/>
        <v>0</v>
      </c>
    </row>
    <row r="69" spans="1:34" ht="21" customHeight="1" x14ac:dyDescent="0.3">
      <c r="A69" s="147">
        <v>17</v>
      </c>
      <c r="B69" s="148" t="s">
        <v>97</v>
      </c>
      <c r="C69" s="149">
        <f t="shared" ca="1" si="28"/>
        <v>0</v>
      </c>
      <c r="D69" s="150">
        <f t="shared" ca="1" si="61"/>
        <v>0</v>
      </c>
      <c r="E69" s="151">
        <f ca="1">IFERROR(__xludf.DUMMYFUNCTION("IMPORTRANGE(""https://docs.google.com/spreadsheets/d/1-uDff_7J0KD5mKrp0Vvzr7lt3OU09vwQwhkpOPPYv2Y/edit?usp=sharing"",""งบพรบ!AX69"")"),0)</f>
        <v>0</v>
      </c>
      <c r="F69" s="151">
        <f ca="1">IFERROR(__xludf.DUMMYFUNCTION("IMPORTRANGE(""https://docs.google.com/spreadsheets/d/1-uDff_7J0KD5mKrp0Vvzr7lt3OU09vwQwhkpOPPYv2Y/edit?usp=sharing"",""งบพรบ!AY69"")"),0)</f>
        <v>0</v>
      </c>
      <c r="G69" s="151">
        <f ca="1">IFERROR(__xludf.DUMMYFUNCTION("IMPORTRANGE(""https://docs.google.com/spreadsheets/d/1-uDff_7J0KD5mKrp0Vvzr7lt3OU09vwQwhkpOPPYv2Y/edit?usp=sharing"",""งบพรบ!AZ69"")"),0)</f>
        <v>0</v>
      </c>
      <c r="H69" s="151">
        <f ca="1">IFERROR(__xludf.DUMMYFUNCTION("IMPORTRANGE(""https://docs.google.com/spreadsheets/d/1-uDff_7J0KD5mKrp0Vvzr7lt3OU09vwQwhkpOPPYv2Y/edit?usp=sharing"",""งบพรบ!BB69"")"),0)</f>
        <v>0</v>
      </c>
      <c r="I69" s="151">
        <f ca="1">IFERROR(__xludf.DUMMYFUNCTION("IMPORTRANGE(""https://docs.google.com/spreadsheets/d/1-uDff_7J0KD5mKrp0Vvzr7lt3OU09vwQwhkpOPPYv2Y/edit?usp=sharing"",""งบพรบ!BC69"")"),0)</f>
        <v>0</v>
      </c>
      <c r="J69" s="151">
        <f t="shared" ca="1" si="30"/>
        <v>0</v>
      </c>
      <c r="K69" s="154">
        <f t="shared" ca="1" si="31"/>
        <v>0</v>
      </c>
      <c r="L69" s="151">
        <f ca="1">IFERROR(__xludf.DUMMYFUNCTION("IMPORTRANGE(""https://docs.google.com/spreadsheets/d/1-uDff_7J0KD5mKrp0Vvzr7lt3OU09vwQwhkpOPPYv2Y/edit?usp=sharing"",""งบพรบ!BD69"")"),0)</f>
        <v>0</v>
      </c>
      <c r="M69" s="68">
        <f t="shared" ca="1" si="32"/>
        <v>0</v>
      </c>
      <c r="N69" s="68">
        <f t="shared" ca="1" si="33"/>
        <v>0</v>
      </c>
      <c r="O69" s="67">
        <f ca="1">IFERROR(__xludf.DUMMYFUNCTION("IMPORTRANGE(""https://docs.google.com/spreadsheets/d/1-uDff_7J0KD5mKrp0Vvzr7lt3OU09vwQwhkpOPPYv2Y/edit?usp=sharing"",""งบพรบ!BE69"")"),0)</f>
        <v>0</v>
      </c>
      <c r="P69" s="67">
        <f t="shared" ca="1" si="34"/>
        <v>0</v>
      </c>
      <c r="Q69" s="68">
        <f t="shared" ca="1" si="35"/>
        <v>0</v>
      </c>
      <c r="R69" s="67">
        <f ca="1">IFERROR(__xludf.DUMMYFUNCTION("IMPORTRANGE(""https://docs.google.com/spreadsheets/d/10oOiF7loTyfsTkbd4MpaIm0HQ9SwB7IYHdIUvt-U1Uc/edit?usp=sharing"",""สระแก้ว!Q94"")"),0)</f>
        <v>0</v>
      </c>
      <c r="S69" s="67">
        <f ca="1">IFERROR(__xludf.DUMMYFUNCTION("IMPORTRANGE(""https://docs.google.com/spreadsheets/d/10oOiF7loTyfsTkbd4MpaIm0HQ9SwB7IYHdIUvt-U1Uc/edit?usp=sharing"",""สระแก้ว!R94"")"),0)</f>
        <v>0</v>
      </c>
      <c r="T69" s="67">
        <f ca="1">IFERROR(__xludf.DUMMYFUNCTION("IMPORTRANGE(""https://docs.google.com/spreadsheets/d/10oOiF7loTyfsTkbd4MpaIm0HQ9SwB7IYHdIUvt-U1Uc/edit?usp=sharing"",""สระแก้ว!S94"")"),0)</f>
        <v>0</v>
      </c>
      <c r="U69" s="68">
        <f t="shared" ca="1" si="37"/>
        <v>0</v>
      </c>
      <c r="V69" s="68">
        <f t="shared" ca="1" si="38"/>
        <v>0</v>
      </c>
      <c r="W69" s="74">
        <f ca="1">IFERROR(__xludf.DUMMYFUNCTION("IMPORTRANGE(""https://docs.google.com/spreadsheets/d/10oOiF7loTyfsTkbd4MpaIm0HQ9SwB7IYHdIUvt-U1Uc/edit?usp=sharing"",""สระแก้ว!I108"")"),0)</f>
        <v>0</v>
      </c>
      <c r="X69" s="74">
        <f ca="1">IFERROR(__xludf.DUMMYFUNCTION("IMPORTRANGE(""https://docs.google.com/spreadsheets/d/10oOiF7loTyfsTkbd4MpaIm0HQ9SwB7IYHdIUvt-U1Uc/edit?usp=sharing"",""สระแก้ว!J108"")"),0)</f>
        <v>0</v>
      </c>
      <c r="Y69" s="79">
        <f t="shared" ca="1" si="40"/>
        <v>0</v>
      </c>
      <c r="Z69" s="74">
        <f ca="1">IFERROR(__xludf.DUMMYFUNCTION("IMPORTRANGE(""https://docs.google.com/spreadsheets/d/10oOiF7loTyfsTkbd4MpaIm0HQ9SwB7IYHdIUvt-U1Uc/edit?usp=sharing"",""สระแก้ว!I109"")"),0)</f>
        <v>0</v>
      </c>
      <c r="AA69" s="74">
        <f ca="1">IFERROR(__xludf.DUMMYFUNCTION("IMPORTRANGE(""https://docs.google.com/spreadsheets/d/10oOiF7loTyfsTkbd4MpaIm0HQ9SwB7IYHdIUvt-U1Uc/edit?usp=sharing"",""สระแก้ว!J109"")"),0)</f>
        <v>0</v>
      </c>
      <c r="AB69" s="79">
        <f t="shared" ca="1" si="42"/>
        <v>0</v>
      </c>
      <c r="AC69" s="74">
        <f ca="1">IFERROR(__xludf.DUMMYFUNCTION("IMPORTRANGE(""https://docs.google.com/spreadsheets/d/10oOiF7loTyfsTkbd4MpaIm0HQ9SwB7IYHdIUvt-U1Uc/edit?usp=sharing"",""สระแก้ว!I113"")"),0)</f>
        <v>0</v>
      </c>
      <c r="AD69" s="74">
        <f ca="1">IFERROR(__xludf.DUMMYFUNCTION("IMPORTRANGE(""https://docs.google.com/spreadsheets/d/10oOiF7loTyfsTkbd4MpaIm0HQ9SwB7IYHdIUvt-U1Uc/edit?usp=sharing"",""สระแก้ว!J113"")"),0)</f>
        <v>0</v>
      </c>
      <c r="AE69" s="79">
        <f t="shared" ca="1" si="44"/>
        <v>0</v>
      </c>
      <c r="AF69" s="74">
        <f ca="1">IFERROR(__xludf.DUMMYFUNCTION("IMPORTRANGE(""https://docs.google.com/spreadsheets/d/10oOiF7loTyfsTkbd4MpaIm0HQ9SwB7IYHdIUvt-U1Uc/edit?usp=sharing"",""สระแก้ว!I114"")"),0)</f>
        <v>0</v>
      </c>
      <c r="AG69" s="74">
        <f ca="1">IFERROR(__xludf.DUMMYFUNCTION("IMPORTRANGE(""https://docs.google.com/spreadsheets/d/10oOiF7loTyfsTkbd4MpaIm0HQ9SwB7IYHdIUvt-U1Uc/edit?usp=sharing"",""สระแก้ว!J114"")"),0)</f>
        <v>0</v>
      </c>
      <c r="AH69" s="79">
        <f t="shared" ca="1" si="46"/>
        <v>0</v>
      </c>
    </row>
    <row r="70" spans="1:34" ht="21" customHeight="1" x14ac:dyDescent="0.3">
      <c r="A70" s="147">
        <v>18</v>
      </c>
      <c r="B70" s="148" t="s">
        <v>98</v>
      </c>
      <c r="C70" s="149">
        <f t="shared" ca="1" si="28"/>
        <v>0</v>
      </c>
      <c r="D70" s="150">
        <f t="shared" ca="1" si="61"/>
        <v>0</v>
      </c>
      <c r="E70" s="151">
        <f ca="1">IFERROR(__xludf.DUMMYFUNCTION("IMPORTRANGE(""https://docs.google.com/spreadsheets/d/1-uDff_7J0KD5mKrp0Vvzr7lt3OU09vwQwhkpOPPYv2Y/edit?usp=sharing"",""งบพรบ!AX70"")"),0)</f>
        <v>0</v>
      </c>
      <c r="F70" s="151">
        <f ca="1">IFERROR(__xludf.DUMMYFUNCTION("IMPORTRANGE(""https://docs.google.com/spreadsheets/d/1-uDff_7J0KD5mKrp0Vvzr7lt3OU09vwQwhkpOPPYv2Y/edit?usp=sharing"",""งบพรบ!AY70"")"),0)</f>
        <v>0</v>
      </c>
      <c r="G70" s="151">
        <f ca="1">IFERROR(__xludf.DUMMYFUNCTION("IMPORTRANGE(""https://docs.google.com/spreadsheets/d/1-uDff_7J0KD5mKrp0Vvzr7lt3OU09vwQwhkpOPPYv2Y/edit?usp=sharing"",""งบพรบ!AZ70"")"),0)</f>
        <v>0</v>
      </c>
      <c r="H70" s="151">
        <f ca="1">IFERROR(__xludf.DUMMYFUNCTION("IMPORTRANGE(""https://docs.google.com/spreadsheets/d/1-uDff_7J0KD5mKrp0Vvzr7lt3OU09vwQwhkpOPPYv2Y/edit?usp=sharing"",""งบพรบ!BB70"")"),0)</f>
        <v>0</v>
      </c>
      <c r="I70" s="151">
        <f ca="1">IFERROR(__xludf.DUMMYFUNCTION("IMPORTRANGE(""https://docs.google.com/spreadsheets/d/1-uDff_7J0KD5mKrp0Vvzr7lt3OU09vwQwhkpOPPYv2Y/edit?usp=sharing"",""งบพรบ!BC70"")"),0)</f>
        <v>0</v>
      </c>
      <c r="J70" s="151">
        <f t="shared" ca="1" si="30"/>
        <v>0</v>
      </c>
      <c r="K70" s="154">
        <f t="shared" ca="1" si="31"/>
        <v>0</v>
      </c>
      <c r="L70" s="151">
        <f ca="1">IFERROR(__xludf.DUMMYFUNCTION("IMPORTRANGE(""https://docs.google.com/spreadsheets/d/1-uDff_7J0KD5mKrp0Vvzr7lt3OU09vwQwhkpOPPYv2Y/edit?usp=sharing"",""งบพรบ!BD70"")"),0)</f>
        <v>0</v>
      </c>
      <c r="M70" s="68">
        <f t="shared" ca="1" si="32"/>
        <v>0</v>
      </c>
      <c r="N70" s="68">
        <f t="shared" ca="1" si="33"/>
        <v>0</v>
      </c>
      <c r="O70" s="67">
        <f ca="1">IFERROR(__xludf.DUMMYFUNCTION("IMPORTRANGE(""https://docs.google.com/spreadsheets/d/1-uDff_7J0KD5mKrp0Vvzr7lt3OU09vwQwhkpOPPYv2Y/edit?usp=sharing"",""งบพรบ!BE70"")"),0)</f>
        <v>0</v>
      </c>
      <c r="P70" s="67">
        <f t="shared" ca="1" si="34"/>
        <v>0</v>
      </c>
      <c r="Q70" s="68">
        <f t="shared" ca="1" si="35"/>
        <v>0</v>
      </c>
      <c r="R70" s="67">
        <f ca="1">IFERROR(__xludf.DUMMYFUNCTION("IMPORTRANGE(""https://docs.google.com/spreadsheets/d/1xmPlrr1QbdSIKvl1dWUl9K4PjAfSL9oeMr_37QVzcxc/edit?usp=sharing"",""สระบุรี!Q94"")"),0)</f>
        <v>0</v>
      </c>
      <c r="S70" s="67">
        <f ca="1">IFERROR(__xludf.DUMMYFUNCTION("IMPORTRANGE(""https://docs.google.com/spreadsheets/d/1xmPlrr1QbdSIKvl1dWUl9K4PjAfSL9oeMr_37QVzcxc/edit?usp=sharing"",""สระบุรี!R94"")"),0)</f>
        <v>0</v>
      </c>
      <c r="T70" s="67">
        <f ca="1">IFERROR(__xludf.DUMMYFUNCTION("IMPORTRANGE(""https://docs.google.com/spreadsheets/d/1xmPlrr1QbdSIKvl1dWUl9K4PjAfSL9oeMr_37QVzcxc/edit?usp=sharing"",""สระบุรี!S94"")"),0)</f>
        <v>0</v>
      </c>
      <c r="U70" s="68">
        <f t="shared" ca="1" si="37"/>
        <v>0</v>
      </c>
      <c r="V70" s="68">
        <f t="shared" ca="1" si="38"/>
        <v>0</v>
      </c>
      <c r="W70" s="74">
        <f ca="1">IFERROR(__xludf.DUMMYFUNCTION("IMPORTRANGE(""https://docs.google.com/spreadsheets/d/1xmPlrr1QbdSIKvl1dWUl9K4PjAfSL9oeMr_37QVzcxc/edit?usp=sharing"",""สระบุรี!I108"")"),0)</f>
        <v>0</v>
      </c>
      <c r="X70" s="74">
        <f ca="1">IFERROR(__xludf.DUMMYFUNCTION("IMPORTRANGE(""https://docs.google.com/spreadsheets/d/1xmPlrr1QbdSIKvl1dWUl9K4PjAfSL9oeMr_37QVzcxc/edit?usp=sharing"",""สระบุรี!J108"")"),0)</f>
        <v>0</v>
      </c>
      <c r="Y70" s="79">
        <f t="shared" ca="1" si="40"/>
        <v>0</v>
      </c>
      <c r="Z70" s="74">
        <f ca="1">IFERROR(__xludf.DUMMYFUNCTION("IMPORTRANGE(""https://docs.google.com/spreadsheets/d/1xmPlrr1QbdSIKvl1dWUl9K4PjAfSL9oeMr_37QVzcxc/edit?usp=sharing"",""สระบุรี!I109"")"),0)</f>
        <v>0</v>
      </c>
      <c r="AA70" s="74">
        <f ca="1">IFERROR(__xludf.DUMMYFUNCTION("IMPORTRANGE(""https://docs.google.com/spreadsheets/d/1xmPlrr1QbdSIKvl1dWUl9K4PjAfSL9oeMr_37QVzcxc/edit?usp=sharing"",""สระบุรี!J109"")"),0)</f>
        <v>0</v>
      </c>
      <c r="AB70" s="79">
        <f t="shared" ca="1" si="42"/>
        <v>0</v>
      </c>
      <c r="AC70" s="74">
        <f ca="1">IFERROR(__xludf.DUMMYFUNCTION("IMPORTRANGE(""https://docs.google.com/spreadsheets/d/1xmPlrr1QbdSIKvl1dWUl9K4PjAfSL9oeMr_37QVzcxc/edit?usp=sharing"",""สระบุรี!I113"")"),0)</f>
        <v>0</v>
      </c>
      <c r="AD70" s="74">
        <f ca="1">IFERROR(__xludf.DUMMYFUNCTION("IMPORTRANGE(""https://docs.google.com/spreadsheets/d/1xmPlrr1QbdSIKvl1dWUl9K4PjAfSL9oeMr_37QVzcxc/edit?usp=sharing"",""สระบุรี!J113"")"),0)</f>
        <v>0</v>
      </c>
      <c r="AE70" s="79">
        <f t="shared" ca="1" si="44"/>
        <v>0</v>
      </c>
      <c r="AF70" s="74">
        <f ca="1">IFERROR(__xludf.DUMMYFUNCTION("IMPORTRANGE(""https://docs.google.com/spreadsheets/d/1xmPlrr1QbdSIKvl1dWUl9K4PjAfSL9oeMr_37QVzcxc/edit?usp=sharing"",""สระบุรี!I114"")"),0)</f>
        <v>0</v>
      </c>
      <c r="AG70" s="74">
        <f ca="1">IFERROR(__xludf.DUMMYFUNCTION("IMPORTRANGE(""https://docs.google.com/spreadsheets/d/1xmPlrr1QbdSIKvl1dWUl9K4PjAfSL9oeMr_37QVzcxc/edit?usp=sharing"",""สระบุรี!J114"")"),0)</f>
        <v>0</v>
      </c>
      <c r="AH70" s="79">
        <f t="shared" ca="1" si="46"/>
        <v>0</v>
      </c>
    </row>
    <row r="71" spans="1:34" ht="21" customHeight="1" x14ac:dyDescent="0.3">
      <c r="A71" s="147">
        <v>19</v>
      </c>
      <c r="B71" s="148" t="s">
        <v>99</v>
      </c>
      <c r="C71" s="149">
        <f t="shared" ca="1" si="28"/>
        <v>0</v>
      </c>
      <c r="D71" s="150">
        <f t="shared" ca="1" si="61"/>
        <v>0</v>
      </c>
      <c r="E71" s="151">
        <f ca="1">IFERROR(__xludf.DUMMYFUNCTION("IMPORTRANGE(""https://docs.google.com/spreadsheets/d/1-uDff_7J0KD5mKrp0Vvzr7lt3OU09vwQwhkpOPPYv2Y/edit?usp=sharing"",""งบพรบ!AX71"")"),0)</f>
        <v>0</v>
      </c>
      <c r="F71" s="151">
        <f ca="1">IFERROR(__xludf.DUMMYFUNCTION("IMPORTRANGE(""https://docs.google.com/spreadsheets/d/1-uDff_7J0KD5mKrp0Vvzr7lt3OU09vwQwhkpOPPYv2Y/edit?usp=sharing"",""งบพรบ!AY71"")"),0)</f>
        <v>0</v>
      </c>
      <c r="G71" s="151">
        <f ca="1">IFERROR(__xludf.DUMMYFUNCTION("IMPORTRANGE(""https://docs.google.com/spreadsheets/d/1-uDff_7J0KD5mKrp0Vvzr7lt3OU09vwQwhkpOPPYv2Y/edit?usp=sharing"",""งบพรบ!AZ71"")"),0)</f>
        <v>0</v>
      </c>
      <c r="H71" s="151">
        <f ca="1">IFERROR(__xludf.DUMMYFUNCTION("IMPORTRANGE(""https://docs.google.com/spreadsheets/d/1-uDff_7J0KD5mKrp0Vvzr7lt3OU09vwQwhkpOPPYv2Y/edit?usp=sharing"",""งบพรบ!BB71"")"),0)</f>
        <v>0</v>
      </c>
      <c r="I71" s="151">
        <f ca="1">IFERROR(__xludf.DUMMYFUNCTION("IMPORTRANGE(""https://docs.google.com/spreadsheets/d/1-uDff_7J0KD5mKrp0Vvzr7lt3OU09vwQwhkpOPPYv2Y/edit?usp=sharing"",""งบพรบ!BC71"")"),0)</f>
        <v>0</v>
      </c>
      <c r="J71" s="151">
        <f t="shared" ca="1" si="30"/>
        <v>0</v>
      </c>
      <c r="K71" s="154">
        <f t="shared" ca="1" si="31"/>
        <v>0</v>
      </c>
      <c r="L71" s="151">
        <f ca="1">IFERROR(__xludf.DUMMYFUNCTION("IMPORTRANGE(""https://docs.google.com/spreadsheets/d/1-uDff_7J0KD5mKrp0Vvzr7lt3OU09vwQwhkpOPPYv2Y/edit?usp=sharing"",""งบพรบ!BD71"")"),0)</f>
        <v>0</v>
      </c>
      <c r="M71" s="68">
        <f t="shared" ca="1" si="32"/>
        <v>0</v>
      </c>
      <c r="N71" s="68">
        <f t="shared" ca="1" si="33"/>
        <v>0</v>
      </c>
      <c r="O71" s="67">
        <f ca="1">IFERROR(__xludf.DUMMYFUNCTION("IMPORTRANGE(""https://docs.google.com/spreadsheets/d/1-uDff_7J0KD5mKrp0Vvzr7lt3OU09vwQwhkpOPPYv2Y/edit?usp=sharing"",""งบพรบ!BE71"")"),0)</f>
        <v>0</v>
      </c>
      <c r="P71" s="67">
        <f t="shared" ca="1" si="34"/>
        <v>0</v>
      </c>
      <c r="Q71" s="68">
        <f t="shared" ca="1" si="35"/>
        <v>0</v>
      </c>
      <c r="R71" s="67">
        <f ca="1">IFERROR(__xludf.DUMMYFUNCTION("IMPORTRANGE(""https://docs.google.com/spreadsheets/d/1j51vR6CYVGhABJpv6tkstgok82RLpXieLzW1yOY5rHw/edit?usp=sharing"",""สิงห์บุรี!Q94"")"),0)</f>
        <v>0</v>
      </c>
      <c r="S71" s="67">
        <f ca="1">IFERROR(__xludf.DUMMYFUNCTION("IMPORTRANGE(""https://docs.google.com/spreadsheets/d/1j51vR6CYVGhABJpv6tkstgok82RLpXieLzW1yOY5rHw/edit?usp=sharing"",""สิงห์บุรี!R94"")"),0)</f>
        <v>0</v>
      </c>
      <c r="T71" s="67">
        <f ca="1">IFERROR(__xludf.DUMMYFUNCTION("IMPORTRANGE(""https://docs.google.com/spreadsheets/d/1j51vR6CYVGhABJpv6tkstgok82RLpXieLzW1yOY5rHw/edit?usp=sharing"",""สิงห์บุรี!S94"")"),0)</f>
        <v>0</v>
      </c>
      <c r="U71" s="68">
        <f t="shared" ca="1" si="37"/>
        <v>0</v>
      </c>
      <c r="V71" s="68">
        <f t="shared" ca="1" si="38"/>
        <v>0</v>
      </c>
      <c r="W71" s="74">
        <f ca="1">IFERROR(__xludf.DUMMYFUNCTION("IMPORTRANGE(""https://docs.google.com/spreadsheets/d/1j51vR6CYVGhABJpv6tkstgok82RLpXieLzW1yOY5rHw/edit?usp=sharing"",""สิงห์บุรี!I108"")"),0)</f>
        <v>0</v>
      </c>
      <c r="X71" s="74">
        <f ca="1">IFERROR(__xludf.DUMMYFUNCTION("IMPORTRANGE(""https://docs.google.com/spreadsheets/d/1j51vR6CYVGhABJpv6tkstgok82RLpXieLzW1yOY5rHw/edit?usp=sharing"",""สิงห์บุรี!J108"")"),0)</f>
        <v>0</v>
      </c>
      <c r="Y71" s="79">
        <f t="shared" ca="1" si="40"/>
        <v>0</v>
      </c>
      <c r="Z71" s="74">
        <f ca="1">IFERROR(__xludf.DUMMYFUNCTION("IMPORTRANGE(""https://docs.google.com/spreadsheets/d/1j51vR6CYVGhABJpv6tkstgok82RLpXieLzW1yOY5rHw/edit?usp=sharing"",""สิงห์บุรี!I109"")"),0)</f>
        <v>0</v>
      </c>
      <c r="AA71" s="74">
        <f ca="1">IFERROR(__xludf.DUMMYFUNCTION("IMPORTRANGE(""https://docs.google.com/spreadsheets/d/1j51vR6CYVGhABJpv6tkstgok82RLpXieLzW1yOY5rHw/edit?usp=sharing"",""สิงห์บุรี!J109"")"),0)</f>
        <v>0</v>
      </c>
      <c r="AB71" s="79">
        <f t="shared" ca="1" si="42"/>
        <v>0</v>
      </c>
      <c r="AC71" s="74">
        <f ca="1">IFERROR(__xludf.DUMMYFUNCTION("IMPORTRANGE(""https://docs.google.com/spreadsheets/d/1j51vR6CYVGhABJpv6tkstgok82RLpXieLzW1yOY5rHw/edit?usp=sharing"",""สิงห์บุรี!I113"")"),0)</f>
        <v>0</v>
      </c>
      <c r="AD71" s="74">
        <f ca="1">IFERROR(__xludf.DUMMYFUNCTION("IMPORTRANGE(""https://docs.google.com/spreadsheets/d/1j51vR6CYVGhABJpv6tkstgok82RLpXieLzW1yOY5rHw/edit?usp=sharing"",""สิงห์บุรี!J113"")"),0)</f>
        <v>0</v>
      </c>
      <c r="AE71" s="79">
        <f t="shared" ca="1" si="44"/>
        <v>0</v>
      </c>
      <c r="AF71" s="74">
        <f ca="1">IFERROR(__xludf.DUMMYFUNCTION("IMPORTRANGE(""https://docs.google.com/spreadsheets/d/1j51vR6CYVGhABJpv6tkstgok82RLpXieLzW1yOY5rHw/edit?usp=sharing"",""สิงห์บุรี!I114"")"),0)</f>
        <v>0</v>
      </c>
      <c r="AG71" s="74">
        <f ca="1">IFERROR(__xludf.DUMMYFUNCTION("IMPORTRANGE(""https://docs.google.com/spreadsheets/d/1j51vR6CYVGhABJpv6tkstgok82RLpXieLzW1yOY5rHw/edit?usp=sharing"",""สิงห์บุรี!J114"")"),0)</f>
        <v>0</v>
      </c>
      <c r="AH71" s="79">
        <f t="shared" ca="1" si="46"/>
        <v>0</v>
      </c>
    </row>
    <row r="72" spans="1:34" ht="21" customHeight="1" x14ac:dyDescent="0.3">
      <c r="A72" s="147">
        <v>20</v>
      </c>
      <c r="B72" s="148" t="s">
        <v>100</v>
      </c>
      <c r="C72" s="149">
        <f t="shared" ca="1" si="28"/>
        <v>0</v>
      </c>
      <c r="D72" s="150">
        <f t="shared" ca="1" si="61"/>
        <v>0</v>
      </c>
      <c r="E72" s="151">
        <f ca="1">IFERROR(__xludf.DUMMYFUNCTION("IMPORTRANGE(""https://docs.google.com/spreadsheets/d/1-uDff_7J0KD5mKrp0Vvzr7lt3OU09vwQwhkpOPPYv2Y/edit?usp=sharing"",""งบพรบ!AX72"")"),0)</f>
        <v>0</v>
      </c>
      <c r="F72" s="151">
        <f ca="1">IFERROR(__xludf.DUMMYFUNCTION("IMPORTRANGE(""https://docs.google.com/spreadsheets/d/1-uDff_7J0KD5mKrp0Vvzr7lt3OU09vwQwhkpOPPYv2Y/edit?usp=sharing"",""งบพรบ!AY72"")"),0)</f>
        <v>0</v>
      </c>
      <c r="G72" s="151">
        <f ca="1">IFERROR(__xludf.DUMMYFUNCTION("IMPORTRANGE(""https://docs.google.com/spreadsheets/d/1-uDff_7J0KD5mKrp0Vvzr7lt3OU09vwQwhkpOPPYv2Y/edit?usp=sharing"",""งบพรบ!AZ72"")"),0)</f>
        <v>0</v>
      </c>
      <c r="H72" s="151">
        <f ca="1">IFERROR(__xludf.DUMMYFUNCTION("IMPORTRANGE(""https://docs.google.com/spreadsheets/d/1-uDff_7J0KD5mKrp0Vvzr7lt3OU09vwQwhkpOPPYv2Y/edit?usp=sharing"",""งบพรบ!BB72"")"),0)</f>
        <v>0</v>
      </c>
      <c r="I72" s="151">
        <f ca="1">IFERROR(__xludf.DUMMYFUNCTION("IMPORTRANGE(""https://docs.google.com/spreadsheets/d/1-uDff_7J0KD5mKrp0Vvzr7lt3OU09vwQwhkpOPPYv2Y/edit?usp=sharing"",""งบพรบ!BC72"")"),0)</f>
        <v>0</v>
      </c>
      <c r="J72" s="151">
        <f t="shared" ca="1" si="30"/>
        <v>0</v>
      </c>
      <c r="K72" s="154">
        <f t="shared" ca="1" si="31"/>
        <v>0</v>
      </c>
      <c r="L72" s="151">
        <f ca="1">IFERROR(__xludf.DUMMYFUNCTION("IMPORTRANGE(""https://docs.google.com/spreadsheets/d/1-uDff_7J0KD5mKrp0Vvzr7lt3OU09vwQwhkpOPPYv2Y/edit?usp=sharing"",""งบพรบ!BD72"")"),0)</f>
        <v>0</v>
      </c>
      <c r="M72" s="68">
        <f t="shared" ca="1" si="32"/>
        <v>0</v>
      </c>
      <c r="N72" s="68">
        <f t="shared" ca="1" si="33"/>
        <v>0</v>
      </c>
      <c r="O72" s="67">
        <f ca="1">IFERROR(__xludf.DUMMYFUNCTION("IMPORTRANGE(""https://docs.google.com/spreadsheets/d/1-uDff_7J0KD5mKrp0Vvzr7lt3OU09vwQwhkpOPPYv2Y/edit?usp=sharing"",""งบพรบ!BE72"")"),0)</f>
        <v>0</v>
      </c>
      <c r="P72" s="67">
        <f t="shared" ca="1" si="34"/>
        <v>0</v>
      </c>
      <c r="Q72" s="68">
        <f t="shared" ca="1" si="35"/>
        <v>0</v>
      </c>
      <c r="R72" s="67">
        <f ca="1">IFERROR(__xludf.DUMMYFUNCTION("IMPORTRANGE(""https://docs.google.com/spreadsheets/d/1H1EalTWKUSzO4Z1-1CwzoDUaVffgrThEBe2sl74kKG0/edit?usp=sharing"",""สุพรรณบุรี!Q94"")"),0)</f>
        <v>0</v>
      </c>
      <c r="S72" s="67">
        <f ca="1">IFERROR(__xludf.DUMMYFUNCTION("IMPORTRANGE(""https://docs.google.com/spreadsheets/d/1H1EalTWKUSzO4Z1-1CwzoDUaVffgrThEBe2sl74kKG0/edit?usp=sharing"",""สุพรรณบุรี!R94"")"),0)</f>
        <v>0</v>
      </c>
      <c r="T72" s="67">
        <f ca="1">IFERROR(__xludf.DUMMYFUNCTION("IMPORTRANGE(""https://docs.google.com/spreadsheets/d/1H1EalTWKUSzO4Z1-1CwzoDUaVffgrThEBe2sl74kKG0/edit?usp=sharing"",""สุพรรณบุรี!S94"")"),0)</f>
        <v>0</v>
      </c>
      <c r="U72" s="68">
        <f t="shared" ca="1" si="37"/>
        <v>0</v>
      </c>
      <c r="V72" s="68">
        <f t="shared" ca="1" si="38"/>
        <v>0</v>
      </c>
      <c r="W72" s="74">
        <f ca="1">IFERROR(__xludf.DUMMYFUNCTION("IMPORTRANGE(""https://docs.google.com/spreadsheets/d/1H1EalTWKUSzO4Z1-1CwzoDUaVffgrThEBe2sl74kKG0/edit?usp=sharing"",""สุพรรณบุรี!I108"")"),0)</f>
        <v>0</v>
      </c>
      <c r="X72" s="74">
        <f ca="1">IFERROR(__xludf.DUMMYFUNCTION("IMPORTRANGE(""https://docs.google.com/spreadsheets/d/1H1EalTWKUSzO4Z1-1CwzoDUaVffgrThEBe2sl74kKG0/edit?usp=sharing"",""สุพรรณบุรี!J108"")"),0)</f>
        <v>0</v>
      </c>
      <c r="Y72" s="79">
        <f t="shared" ca="1" si="40"/>
        <v>0</v>
      </c>
      <c r="Z72" s="74">
        <f ca="1">IFERROR(__xludf.DUMMYFUNCTION("IMPORTRANGE(""https://docs.google.com/spreadsheets/d/1H1EalTWKUSzO4Z1-1CwzoDUaVffgrThEBe2sl74kKG0/edit?usp=sharing"",""สุพรรณบุรี!I109"")"),0)</f>
        <v>0</v>
      </c>
      <c r="AA72" s="74">
        <f ca="1">IFERROR(__xludf.DUMMYFUNCTION("IMPORTRANGE(""https://docs.google.com/spreadsheets/d/1H1EalTWKUSzO4Z1-1CwzoDUaVffgrThEBe2sl74kKG0/edit?usp=sharing"",""สุพรรณบุรี!J109"")"),0)</f>
        <v>0</v>
      </c>
      <c r="AB72" s="79">
        <f t="shared" ca="1" si="42"/>
        <v>0</v>
      </c>
      <c r="AC72" s="74">
        <f ca="1">IFERROR(__xludf.DUMMYFUNCTION("IMPORTRANGE(""https://docs.google.com/spreadsheets/d/1H1EalTWKUSzO4Z1-1CwzoDUaVffgrThEBe2sl74kKG0/edit?usp=sharing"",""สุพรรณบุรี!I113"")"),0)</f>
        <v>0</v>
      </c>
      <c r="AD72" s="74">
        <f ca="1">IFERROR(__xludf.DUMMYFUNCTION("IMPORTRANGE(""https://docs.google.com/spreadsheets/d/1H1EalTWKUSzO4Z1-1CwzoDUaVffgrThEBe2sl74kKG0/edit?usp=sharing"",""สุพรรณบุรี!J113"")"),0)</f>
        <v>0</v>
      </c>
      <c r="AE72" s="79">
        <f t="shared" ca="1" si="44"/>
        <v>0</v>
      </c>
      <c r="AF72" s="74">
        <f ca="1">IFERROR(__xludf.DUMMYFUNCTION("IMPORTRANGE(""https://docs.google.com/spreadsheets/d/1H1EalTWKUSzO4Z1-1CwzoDUaVffgrThEBe2sl74kKG0/edit?usp=sharing"",""สุพรรณบุรี!I114"")"),0)</f>
        <v>0</v>
      </c>
      <c r="AG72" s="74">
        <f ca="1">IFERROR(__xludf.DUMMYFUNCTION("IMPORTRANGE(""https://docs.google.com/spreadsheets/d/1H1EalTWKUSzO4Z1-1CwzoDUaVffgrThEBe2sl74kKG0/edit?usp=sharing"",""สุพรรณบุรี!J114"")"),0)</f>
        <v>0</v>
      </c>
      <c r="AH72" s="79">
        <f t="shared" ca="1" si="46"/>
        <v>0</v>
      </c>
    </row>
    <row r="73" spans="1:34" ht="21" customHeight="1" x14ac:dyDescent="0.3">
      <c r="A73" s="155">
        <v>21</v>
      </c>
      <c r="B73" s="156" t="s">
        <v>101</v>
      </c>
      <c r="C73" s="157">
        <f t="shared" ca="1" si="28"/>
        <v>0</v>
      </c>
      <c r="D73" s="158">
        <f t="shared" ca="1" si="61"/>
        <v>0</v>
      </c>
      <c r="E73" s="159">
        <f ca="1">IFERROR(__xludf.DUMMYFUNCTION("IMPORTRANGE(""https://docs.google.com/spreadsheets/d/1-uDff_7J0KD5mKrp0Vvzr7lt3OU09vwQwhkpOPPYv2Y/edit?usp=sharing"",""งบพรบ!AX73"")"),0)</f>
        <v>0</v>
      </c>
      <c r="F73" s="159">
        <f ca="1">IFERROR(__xludf.DUMMYFUNCTION("IMPORTRANGE(""https://docs.google.com/spreadsheets/d/1-uDff_7J0KD5mKrp0Vvzr7lt3OU09vwQwhkpOPPYv2Y/edit?usp=sharing"",""งบพรบ!AY73"")"),0)</f>
        <v>0</v>
      </c>
      <c r="G73" s="159">
        <f ca="1">IFERROR(__xludf.DUMMYFUNCTION("IMPORTRANGE(""https://docs.google.com/spreadsheets/d/1-uDff_7J0KD5mKrp0Vvzr7lt3OU09vwQwhkpOPPYv2Y/edit?usp=sharing"",""งบพรบ!AZ73"")"),0)</f>
        <v>0</v>
      </c>
      <c r="H73" s="159">
        <f ca="1">IFERROR(__xludf.DUMMYFUNCTION("IMPORTRANGE(""https://docs.google.com/spreadsheets/d/1-uDff_7J0KD5mKrp0Vvzr7lt3OU09vwQwhkpOPPYv2Y/edit?usp=sharing"",""งบพรบ!BB73"")"),0)</f>
        <v>0</v>
      </c>
      <c r="I73" s="159">
        <f ca="1">IFERROR(__xludf.DUMMYFUNCTION("IMPORTRANGE(""https://docs.google.com/spreadsheets/d/1-uDff_7J0KD5mKrp0Vvzr7lt3OU09vwQwhkpOPPYv2Y/edit?usp=sharing"",""งบพรบ!BC73"")"),0)</f>
        <v>0</v>
      </c>
      <c r="J73" s="159">
        <f t="shared" ca="1" si="30"/>
        <v>0</v>
      </c>
      <c r="K73" s="160">
        <f t="shared" ca="1" si="31"/>
        <v>0</v>
      </c>
      <c r="L73" s="159">
        <f ca="1">IFERROR(__xludf.DUMMYFUNCTION("IMPORTRANGE(""https://docs.google.com/spreadsheets/d/1-uDff_7J0KD5mKrp0Vvzr7lt3OU09vwQwhkpOPPYv2Y/edit?usp=sharing"",""งบพรบ!BD73"")"),0)</f>
        <v>0</v>
      </c>
      <c r="M73" s="89">
        <f t="shared" ca="1" si="32"/>
        <v>0</v>
      </c>
      <c r="N73" s="89">
        <f t="shared" ca="1" si="33"/>
        <v>0</v>
      </c>
      <c r="O73" s="88">
        <f ca="1">IFERROR(__xludf.DUMMYFUNCTION("IMPORTRANGE(""https://docs.google.com/spreadsheets/d/1-uDff_7J0KD5mKrp0Vvzr7lt3OU09vwQwhkpOPPYv2Y/edit?usp=sharing"",""งบพรบ!BE73"")"),0)</f>
        <v>0</v>
      </c>
      <c r="P73" s="88">
        <f t="shared" ca="1" si="34"/>
        <v>0</v>
      </c>
      <c r="Q73" s="89">
        <f t="shared" ca="1" si="35"/>
        <v>0</v>
      </c>
      <c r="R73" s="88">
        <f ca="1">IFERROR(__xludf.DUMMYFUNCTION("IMPORTRANGE(""https://docs.google.com/spreadsheets/d/1BmIruG_sIrJLYao_Pdr7zVArWsfoBt2692TMi6x_854/edit?usp=sharing"",""อ่างทอง!Q94"")"),0)</f>
        <v>0</v>
      </c>
      <c r="S73" s="88">
        <f ca="1">IFERROR(__xludf.DUMMYFUNCTION("IMPORTRANGE(""https://docs.google.com/spreadsheets/d/1BmIruG_sIrJLYao_Pdr7zVArWsfoBt2692TMi6x_854/edit?usp=sharing"",""อ่างทอง!R94"")"),0)</f>
        <v>0</v>
      </c>
      <c r="T73" s="88">
        <f ca="1">IFERROR(__xludf.DUMMYFUNCTION("IMPORTRANGE(""https://docs.google.com/spreadsheets/d/1BmIruG_sIrJLYao_Pdr7zVArWsfoBt2692TMi6x_854/edit?usp=sharing"",""อ่างทอง!S94"")"),0)</f>
        <v>0</v>
      </c>
      <c r="U73" s="89">
        <f t="shared" ca="1" si="37"/>
        <v>0</v>
      </c>
      <c r="V73" s="89">
        <f t="shared" ca="1" si="38"/>
        <v>0</v>
      </c>
      <c r="W73" s="84">
        <f ca="1">IFERROR(__xludf.DUMMYFUNCTION("IMPORTRANGE(""https://docs.google.com/spreadsheets/d/1BmIruG_sIrJLYao_Pdr7zVArWsfoBt2692TMi6x_854/edit?usp=sharing"",""อ่างทอง!I108"")"),0)</f>
        <v>0</v>
      </c>
      <c r="X73" s="84">
        <f ca="1">IFERROR(__xludf.DUMMYFUNCTION("IMPORTRANGE(""https://docs.google.com/spreadsheets/d/1BmIruG_sIrJLYao_Pdr7zVArWsfoBt2692TMi6x_854/edit?usp=sharing"",""อ่างทอง!J108"")"),0)</f>
        <v>0</v>
      </c>
      <c r="Y73" s="91">
        <f t="shared" ca="1" si="40"/>
        <v>0</v>
      </c>
      <c r="Z73" s="84">
        <f ca="1">IFERROR(__xludf.DUMMYFUNCTION("IMPORTRANGE(""https://docs.google.com/spreadsheets/d/1BmIruG_sIrJLYao_Pdr7zVArWsfoBt2692TMi6x_854/edit?usp=sharing"",""อ่างทอง!I109"")"),0)</f>
        <v>0</v>
      </c>
      <c r="AA73" s="84">
        <f ca="1">IFERROR(__xludf.DUMMYFUNCTION("IMPORTRANGE(""https://docs.google.com/spreadsheets/d/1BmIruG_sIrJLYao_Pdr7zVArWsfoBt2692TMi6x_854/edit?usp=sharing"",""อ่างทอง!J109"")"),0)</f>
        <v>0</v>
      </c>
      <c r="AB73" s="91">
        <f t="shared" ca="1" si="42"/>
        <v>0</v>
      </c>
      <c r="AC73" s="84">
        <f ca="1">IFERROR(__xludf.DUMMYFUNCTION("IMPORTRANGE(""https://docs.google.com/spreadsheets/d/1BmIruG_sIrJLYao_Pdr7zVArWsfoBt2692TMi6x_854/edit?usp=sharing"",""อ่างทอง!I113"")"),0)</f>
        <v>0</v>
      </c>
      <c r="AD73" s="84">
        <f ca="1">IFERROR(__xludf.DUMMYFUNCTION("IMPORTRANGE(""https://docs.google.com/spreadsheets/d/1BmIruG_sIrJLYao_Pdr7zVArWsfoBt2692TMi6x_854/edit?usp=sharing"",""อ่างทอง!J113"")"),0)</f>
        <v>0</v>
      </c>
      <c r="AE73" s="91">
        <f t="shared" ca="1" si="44"/>
        <v>0</v>
      </c>
      <c r="AF73" s="84">
        <f ca="1">IFERROR(__xludf.DUMMYFUNCTION("IMPORTRANGE(""https://docs.google.com/spreadsheets/d/1BmIruG_sIrJLYao_Pdr7zVArWsfoBt2692TMi6x_854/edit?usp=sharing"",""อ่างทอง!I114"")"),0)</f>
        <v>0</v>
      </c>
      <c r="AG73" s="84">
        <f ca="1">IFERROR(__xludf.DUMMYFUNCTION("IMPORTRANGE(""https://docs.google.com/spreadsheets/d/1BmIruG_sIrJLYao_Pdr7zVArWsfoBt2692TMi6x_854/edit?usp=sharing"",""อ่างทอง!J114"")"),0)</f>
        <v>0</v>
      </c>
      <c r="AH73" s="91">
        <f t="shared" ca="1" si="46"/>
        <v>0</v>
      </c>
    </row>
    <row r="74" spans="1:34" ht="21" customHeight="1" x14ac:dyDescent="0.3">
      <c r="A74" s="696" t="s">
        <v>102</v>
      </c>
      <c r="B74" s="662"/>
      <c r="C74" s="161">
        <f t="shared" ca="1" si="28"/>
        <v>59400</v>
      </c>
      <c r="D74" s="161">
        <f t="shared" ref="D74:I74" ca="1" si="62">SUM(D75:D88)</f>
        <v>59400</v>
      </c>
      <c r="E74" s="161">
        <f t="shared" ca="1" si="62"/>
        <v>0</v>
      </c>
      <c r="F74" s="161">
        <f t="shared" ca="1" si="62"/>
        <v>59400</v>
      </c>
      <c r="G74" s="161">
        <f t="shared" ca="1" si="62"/>
        <v>0</v>
      </c>
      <c r="H74" s="161">
        <f t="shared" ca="1" si="62"/>
        <v>59400</v>
      </c>
      <c r="I74" s="161">
        <f t="shared" ca="1" si="62"/>
        <v>0</v>
      </c>
      <c r="J74" s="161">
        <f t="shared" ca="1" si="30"/>
        <v>59400</v>
      </c>
      <c r="K74" s="162">
        <f t="shared" ca="1" si="31"/>
        <v>100</v>
      </c>
      <c r="L74" s="161">
        <f ca="1">SUM(L75:L88)</f>
        <v>59400</v>
      </c>
      <c r="M74" s="94">
        <f t="shared" ca="1" si="32"/>
        <v>100</v>
      </c>
      <c r="N74" s="94">
        <f t="shared" ca="1" si="33"/>
        <v>100</v>
      </c>
      <c r="O74" s="93">
        <f ca="1">SUM(O75:O88)</f>
        <v>0</v>
      </c>
      <c r="P74" s="93">
        <f t="shared" ca="1" si="34"/>
        <v>0</v>
      </c>
      <c r="Q74" s="94">
        <f t="shared" ca="1" si="35"/>
        <v>0</v>
      </c>
      <c r="R74" s="93">
        <f t="shared" ref="R74:T74" ca="1" si="63">SUM(R75:R88)</f>
        <v>835758</v>
      </c>
      <c r="S74" s="93">
        <f t="shared" ca="1" si="63"/>
        <v>790608</v>
      </c>
      <c r="T74" s="93">
        <f t="shared" ca="1" si="63"/>
        <v>491610</v>
      </c>
      <c r="U74" s="94">
        <f t="shared" ca="1" si="37"/>
        <v>58.822051359364792</v>
      </c>
      <c r="V74" s="94">
        <f t="shared" ca="1" si="38"/>
        <v>62.181257968550788</v>
      </c>
      <c r="W74" s="52">
        <f t="shared" ref="W74:X74" ca="1" si="64">SUM(W75:W88)</f>
        <v>297</v>
      </c>
      <c r="X74" s="52">
        <f t="shared" ca="1" si="64"/>
        <v>297</v>
      </c>
      <c r="Y74" s="54">
        <f t="shared" ca="1" si="40"/>
        <v>100</v>
      </c>
      <c r="Z74" s="52">
        <f t="shared" ref="Z74:AA74" ca="1" si="65">SUM(Z75:Z88)</f>
        <v>99</v>
      </c>
      <c r="AA74" s="52">
        <f t="shared" ca="1" si="65"/>
        <v>99</v>
      </c>
      <c r="AB74" s="54">
        <f t="shared" ca="1" si="42"/>
        <v>100</v>
      </c>
      <c r="AC74" s="52">
        <f t="shared" ref="AC74:AD74" ca="1" si="66">SUM(AC75:AC88)</f>
        <v>297</v>
      </c>
      <c r="AD74" s="52">
        <f t="shared" ca="1" si="66"/>
        <v>150</v>
      </c>
      <c r="AE74" s="54">
        <f t="shared" ca="1" si="44"/>
        <v>50.505050505050505</v>
      </c>
      <c r="AF74" s="52">
        <f t="shared" ref="AF74:AG74" ca="1" si="67">SUM(AF75:AF88)</f>
        <v>99</v>
      </c>
      <c r="AG74" s="52">
        <f t="shared" ca="1" si="67"/>
        <v>50</v>
      </c>
      <c r="AH74" s="54">
        <f t="shared" ca="1" si="46"/>
        <v>50.505050505050505</v>
      </c>
    </row>
    <row r="75" spans="1:34" ht="21" customHeight="1" x14ac:dyDescent="0.3">
      <c r="A75" s="147">
        <v>1</v>
      </c>
      <c r="B75" s="148" t="s">
        <v>103</v>
      </c>
      <c r="C75" s="149">
        <f t="shared" ca="1" si="28"/>
        <v>0</v>
      </c>
      <c r="D75" s="150">
        <f t="shared" ref="D75:D88" ca="1" si="68">+E75+F75</f>
        <v>0</v>
      </c>
      <c r="E75" s="151">
        <f ca="1">IFERROR(__xludf.DUMMYFUNCTION("IMPORTRANGE(""https://docs.google.com/spreadsheets/d/1-uDff_7J0KD5mKrp0Vvzr7lt3OU09vwQwhkpOPPYv2Y/edit?usp=sharing"",""งบพรบ!AX75"")"),0)</f>
        <v>0</v>
      </c>
      <c r="F75" s="151">
        <f ca="1">IFERROR(__xludf.DUMMYFUNCTION("IMPORTRANGE(""https://docs.google.com/spreadsheets/d/1-uDff_7J0KD5mKrp0Vvzr7lt3OU09vwQwhkpOPPYv2Y/edit?usp=sharing"",""งบพรบ!AY75"")"),0)</f>
        <v>0</v>
      </c>
      <c r="G75" s="151">
        <f ca="1">IFERROR(__xludf.DUMMYFUNCTION("IMPORTRANGE(""https://docs.google.com/spreadsheets/d/1-uDff_7J0KD5mKrp0Vvzr7lt3OU09vwQwhkpOPPYv2Y/edit?usp=sharing"",""งบพรบ!AZ75"")"),0)</f>
        <v>0</v>
      </c>
      <c r="H75" s="151">
        <f ca="1">IFERROR(__xludf.DUMMYFUNCTION("IMPORTRANGE(""https://docs.google.com/spreadsheets/d/1-uDff_7J0KD5mKrp0Vvzr7lt3OU09vwQwhkpOPPYv2Y/edit?usp=sharing"",""งบพรบ!BB75"")"),0)</f>
        <v>0</v>
      </c>
      <c r="I75" s="151">
        <f ca="1">IFERROR(__xludf.DUMMYFUNCTION("IMPORTRANGE(""https://docs.google.com/spreadsheets/d/1-uDff_7J0KD5mKrp0Vvzr7lt3OU09vwQwhkpOPPYv2Y/edit?usp=sharing"",""งบพรบ!BC75"")"),0)</f>
        <v>0</v>
      </c>
      <c r="J75" s="151">
        <f t="shared" ca="1" si="30"/>
        <v>0</v>
      </c>
      <c r="K75" s="154">
        <f t="shared" ca="1" si="31"/>
        <v>0</v>
      </c>
      <c r="L75" s="151">
        <f ca="1">IFERROR(__xludf.DUMMYFUNCTION("IMPORTRANGE(""https://docs.google.com/spreadsheets/d/1-uDff_7J0KD5mKrp0Vvzr7lt3OU09vwQwhkpOPPYv2Y/edit?usp=sharing"",""งบพรบ!BD75"")"),0)</f>
        <v>0</v>
      </c>
      <c r="M75" s="68">
        <f t="shared" ca="1" si="32"/>
        <v>0</v>
      </c>
      <c r="N75" s="68">
        <f t="shared" ca="1" si="33"/>
        <v>0</v>
      </c>
      <c r="O75" s="67">
        <f ca="1">IFERROR(__xludf.DUMMYFUNCTION("IMPORTRANGE(""https://docs.google.com/spreadsheets/d/1-uDff_7J0KD5mKrp0Vvzr7lt3OU09vwQwhkpOPPYv2Y/edit?usp=sharing"",""งบพรบ!BE75"")"),0)</f>
        <v>0</v>
      </c>
      <c r="P75" s="67">
        <f t="shared" ca="1" si="34"/>
        <v>0</v>
      </c>
      <c r="Q75" s="68">
        <f t="shared" ca="1" si="35"/>
        <v>0</v>
      </c>
      <c r="R75" s="67">
        <f ca="1">IFERROR(__xludf.DUMMYFUNCTION("IMPORTRANGE(""https://docs.google.com/spreadsheets/d/1kKUcYdkIfrgTSj8iHHHB2MD2FAtwyyocFgqGQn6ADyI/edit?usp=sharing"",""กระบี่!Q94"")"),0)</f>
        <v>0</v>
      </c>
      <c r="S75" s="67">
        <f ca="1">IFERROR(__xludf.DUMMYFUNCTION("IMPORTRANGE(""https://docs.google.com/spreadsheets/d/1kKUcYdkIfrgTSj8iHHHB2MD2FAtwyyocFgqGQn6ADyI/edit?usp=sharing"",""กระบี่!R94"")"),0)</f>
        <v>0</v>
      </c>
      <c r="T75" s="67">
        <f ca="1">IFERROR(__xludf.DUMMYFUNCTION("IMPORTRANGE(""https://docs.google.com/spreadsheets/d/1kKUcYdkIfrgTSj8iHHHB2MD2FAtwyyocFgqGQn6ADyI/edit?usp=sharing"",""กระบี่!S94"")"),0)</f>
        <v>0</v>
      </c>
      <c r="U75" s="68">
        <f t="shared" ca="1" si="37"/>
        <v>0</v>
      </c>
      <c r="V75" s="68">
        <f t="shared" ca="1" si="38"/>
        <v>0</v>
      </c>
      <c r="W75" s="62">
        <f ca="1">IFERROR(__xludf.DUMMYFUNCTION("IMPORTRANGE(""https://docs.google.com/spreadsheets/d/1kKUcYdkIfrgTSj8iHHHB2MD2FAtwyyocFgqGQn6ADyI/edit?usp=sharing"",""กระบี่!I108"")"),0)</f>
        <v>0</v>
      </c>
      <c r="X75" s="62">
        <f ca="1">IFERROR(__xludf.DUMMYFUNCTION("IMPORTRANGE(""https://docs.google.com/spreadsheets/d/1kKUcYdkIfrgTSj8iHHHB2MD2FAtwyyocFgqGQn6ADyI/edit?usp=sharing"",""กระบี่!J108"")"),0)</f>
        <v>0</v>
      </c>
      <c r="Y75" s="69">
        <f t="shared" ca="1" si="40"/>
        <v>0</v>
      </c>
      <c r="Z75" s="62">
        <f ca="1">IFERROR(__xludf.DUMMYFUNCTION("IMPORTRANGE(""https://docs.google.com/spreadsheets/d/1kKUcYdkIfrgTSj8iHHHB2MD2FAtwyyocFgqGQn6ADyI/edit?usp=sharing"",""กระบี่!I109"")"),0)</f>
        <v>0</v>
      </c>
      <c r="AA75" s="62">
        <f ca="1">IFERROR(__xludf.DUMMYFUNCTION("IMPORTRANGE(""https://docs.google.com/spreadsheets/d/1kKUcYdkIfrgTSj8iHHHB2MD2FAtwyyocFgqGQn6ADyI/edit?usp=sharing"",""กระบี่!J109"")"),0)</f>
        <v>0</v>
      </c>
      <c r="AB75" s="69">
        <f t="shared" ca="1" si="42"/>
        <v>0</v>
      </c>
      <c r="AC75" s="62">
        <f ca="1">IFERROR(__xludf.DUMMYFUNCTION("IMPORTRANGE(""https://docs.google.com/spreadsheets/d/1kKUcYdkIfrgTSj8iHHHB2MD2FAtwyyocFgqGQn6ADyI/edit?usp=sharing"",""กระบี่!I113"")"),0)</f>
        <v>0</v>
      </c>
      <c r="AD75" s="62">
        <f ca="1">IFERROR(__xludf.DUMMYFUNCTION("IMPORTRANGE(""https://docs.google.com/spreadsheets/d/1kKUcYdkIfrgTSj8iHHHB2MD2FAtwyyocFgqGQn6ADyI/edit?usp=sharing"",""กระบี่!J113"")"),0)</f>
        <v>0</v>
      </c>
      <c r="AE75" s="69">
        <f t="shared" ca="1" si="44"/>
        <v>0</v>
      </c>
      <c r="AF75" s="62">
        <f ca="1">IFERROR(__xludf.DUMMYFUNCTION("IMPORTRANGE(""https://docs.google.com/spreadsheets/d/1kKUcYdkIfrgTSj8iHHHB2MD2FAtwyyocFgqGQn6ADyI/edit?usp=sharing"",""กระบี่!I114"")"),0)</f>
        <v>0</v>
      </c>
      <c r="AG75" s="62">
        <f ca="1">IFERROR(__xludf.DUMMYFUNCTION("IMPORTRANGE(""https://docs.google.com/spreadsheets/d/1kKUcYdkIfrgTSj8iHHHB2MD2FAtwyyocFgqGQn6ADyI/edit?usp=sharing"",""กระบี่!J114"")"),0)</f>
        <v>0</v>
      </c>
      <c r="AH75" s="69">
        <f t="shared" ca="1" si="46"/>
        <v>0</v>
      </c>
    </row>
    <row r="76" spans="1:34" ht="21" customHeight="1" x14ac:dyDescent="0.3">
      <c r="A76" s="147">
        <v>2</v>
      </c>
      <c r="B76" s="148" t="s">
        <v>104</v>
      </c>
      <c r="C76" s="149">
        <f t="shared" ca="1" si="28"/>
        <v>6000</v>
      </c>
      <c r="D76" s="150">
        <f t="shared" ca="1" si="68"/>
        <v>6000</v>
      </c>
      <c r="E76" s="151">
        <f ca="1">IFERROR(__xludf.DUMMYFUNCTION("IMPORTRANGE(""https://docs.google.com/spreadsheets/d/1-uDff_7J0KD5mKrp0Vvzr7lt3OU09vwQwhkpOPPYv2Y/edit?usp=sharing"",""งบพรบ!AX76"")"),0)</f>
        <v>0</v>
      </c>
      <c r="F76" s="151">
        <f ca="1">IFERROR(__xludf.DUMMYFUNCTION("IMPORTRANGE(""https://docs.google.com/spreadsheets/d/1-uDff_7J0KD5mKrp0Vvzr7lt3OU09vwQwhkpOPPYv2Y/edit?usp=sharing"",""งบพรบ!AY76"")"),6000)</f>
        <v>6000</v>
      </c>
      <c r="G76" s="151">
        <f ca="1">IFERROR(__xludf.DUMMYFUNCTION("IMPORTRANGE(""https://docs.google.com/spreadsheets/d/1-uDff_7J0KD5mKrp0Vvzr7lt3OU09vwQwhkpOPPYv2Y/edit?usp=sharing"",""งบพรบ!AZ76"")"),0)</f>
        <v>0</v>
      </c>
      <c r="H76" s="151">
        <f ca="1">IFERROR(__xludf.DUMMYFUNCTION("IMPORTRANGE(""https://docs.google.com/spreadsheets/d/1-uDff_7J0KD5mKrp0Vvzr7lt3OU09vwQwhkpOPPYv2Y/edit?usp=sharing"",""งบพรบ!BB76"")"),6000)</f>
        <v>6000</v>
      </c>
      <c r="I76" s="151">
        <f ca="1">IFERROR(__xludf.DUMMYFUNCTION("IMPORTRANGE(""https://docs.google.com/spreadsheets/d/1-uDff_7J0KD5mKrp0Vvzr7lt3OU09vwQwhkpOPPYv2Y/edit?usp=sharing"",""งบพรบ!BC76"")"),0)</f>
        <v>0</v>
      </c>
      <c r="J76" s="151">
        <f t="shared" ca="1" si="30"/>
        <v>6000</v>
      </c>
      <c r="K76" s="154">
        <f t="shared" ca="1" si="31"/>
        <v>100</v>
      </c>
      <c r="L76" s="151">
        <f ca="1">IFERROR(__xludf.DUMMYFUNCTION("IMPORTRANGE(""https://docs.google.com/spreadsheets/d/1-uDff_7J0KD5mKrp0Vvzr7lt3OU09vwQwhkpOPPYv2Y/edit?usp=sharing"",""งบพรบ!BD76"")"),6000)</f>
        <v>6000</v>
      </c>
      <c r="M76" s="68">
        <f t="shared" ca="1" si="32"/>
        <v>100</v>
      </c>
      <c r="N76" s="68">
        <f t="shared" ca="1" si="33"/>
        <v>100</v>
      </c>
      <c r="O76" s="67">
        <f ca="1">IFERROR(__xludf.DUMMYFUNCTION("IMPORTRANGE(""https://docs.google.com/spreadsheets/d/1-uDff_7J0KD5mKrp0Vvzr7lt3OU09vwQwhkpOPPYv2Y/edit?usp=sharing"",""งบพรบ!BE76"")"),0)</f>
        <v>0</v>
      </c>
      <c r="P76" s="67">
        <f t="shared" ca="1" si="34"/>
        <v>0</v>
      </c>
      <c r="Q76" s="68">
        <f t="shared" ca="1" si="35"/>
        <v>0</v>
      </c>
      <c r="R76" s="67">
        <f ca="1">IFERROR(__xludf.DUMMYFUNCTION("IMPORTRANGE(""https://docs.google.com/spreadsheets/d/1GwtLaSlNZkLk7iDqcyZz22giiy40b_usZZBXYciEN1U/edit?usp=sharing"",""ชุมพร!Q94"")"),84420)</f>
        <v>84420</v>
      </c>
      <c r="S76" s="67">
        <f ca="1">IFERROR(__xludf.DUMMYFUNCTION("IMPORTRANGE(""https://docs.google.com/spreadsheets/d/1GwtLaSlNZkLk7iDqcyZz22giiy40b_usZZBXYciEN1U/edit?usp=sharing"",""ชุมพร!R94"")"),84420)</f>
        <v>84420</v>
      </c>
      <c r="T76" s="67">
        <f ca="1">IFERROR(__xludf.DUMMYFUNCTION("IMPORTRANGE(""https://docs.google.com/spreadsheets/d/1GwtLaSlNZkLk7iDqcyZz22giiy40b_usZZBXYciEN1U/edit?usp=sharing"",""ชุมพร!S94"")"),51380)</f>
        <v>51380</v>
      </c>
      <c r="U76" s="68">
        <f t="shared" ca="1" si="37"/>
        <v>60.862354892205637</v>
      </c>
      <c r="V76" s="68">
        <f t="shared" ca="1" si="38"/>
        <v>60.862354892205637</v>
      </c>
      <c r="W76" s="74">
        <f ca="1">IFERROR(__xludf.DUMMYFUNCTION("IMPORTRANGE(""https://docs.google.com/spreadsheets/d/1GwtLaSlNZkLk7iDqcyZz22giiy40b_usZZBXYciEN1U/edit?usp=sharing"",""ชุมพร!I108"")"),30)</f>
        <v>30</v>
      </c>
      <c r="X76" s="74">
        <f ca="1">IFERROR(__xludf.DUMMYFUNCTION("IMPORTRANGE(""https://docs.google.com/spreadsheets/d/1GwtLaSlNZkLk7iDqcyZz22giiy40b_usZZBXYciEN1U/edit?usp=sharing"",""ชุมพร!J108"")"),30)</f>
        <v>30</v>
      </c>
      <c r="Y76" s="79">
        <f t="shared" ca="1" si="40"/>
        <v>100</v>
      </c>
      <c r="Z76" s="74">
        <f ca="1">IFERROR(__xludf.DUMMYFUNCTION("IMPORTRANGE(""https://docs.google.com/spreadsheets/d/1GwtLaSlNZkLk7iDqcyZz22giiy40b_usZZBXYciEN1U/edit?usp=sharing"",""ชุมพร!I109"")"),10)</f>
        <v>10</v>
      </c>
      <c r="AA76" s="74">
        <f ca="1">IFERROR(__xludf.DUMMYFUNCTION("IMPORTRANGE(""https://docs.google.com/spreadsheets/d/1GwtLaSlNZkLk7iDqcyZz22giiy40b_usZZBXYciEN1U/edit?usp=sharing"",""ชุมพร!J109"")"),10)</f>
        <v>10</v>
      </c>
      <c r="AB76" s="79">
        <f t="shared" ca="1" si="42"/>
        <v>100</v>
      </c>
      <c r="AC76" s="74">
        <f ca="1">IFERROR(__xludf.DUMMYFUNCTION("IMPORTRANGE(""https://docs.google.com/spreadsheets/d/1GwtLaSlNZkLk7iDqcyZz22giiy40b_usZZBXYciEN1U/edit?usp=sharing"",""ชุมพร!I113"")"),30)</f>
        <v>30</v>
      </c>
      <c r="AD76" s="74">
        <f ca="1">IFERROR(__xludf.DUMMYFUNCTION("IMPORTRANGE(""https://docs.google.com/spreadsheets/d/1GwtLaSlNZkLk7iDqcyZz22giiy40b_usZZBXYciEN1U/edit?usp=sharing"",""ชุมพร!J113"")"),30)</f>
        <v>30</v>
      </c>
      <c r="AE76" s="79">
        <f t="shared" ca="1" si="44"/>
        <v>100</v>
      </c>
      <c r="AF76" s="74">
        <f ca="1">IFERROR(__xludf.DUMMYFUNCTION("IMPORTRANGE(""https://docs.google.com/spreadsheets/d/1GwtLaSlNZkLk7iDqcyZz22giiy40b_usZZBXYciEN1U/edit?usp=sharing"",""ชุมพร!I114"")"),10)</f>
        <v>10</v>
      </c>
      <c r="AG76" s="74">
        <f ca="1">IFERROR(__xludf.DUMMYFUNCTION("IMPORTRANGE(""https://docs.google.com/spreadsheets/d/1GwtLaSlNZkLk7iDqcyZz22giiy40b_usZZBXYciEN1U/edit?usp=sharing"",""ชุมพร!J114"")"),10)</f>
        <v>10</v>
      </c>
      <c r="AH76" s="79">
        <f t="shared" ca="1" si="46"/>
        <v>100</v>
      </c>
    </row>
    <row r="77" spans="1:34" ht="21" customHeight="1" x14ac:dyDescent="0.3">
      <c r="A77" s="147">
        <v>3</v>
      </c>
      <c r="B77" s="148" t="s">
        <v>105</v>
      </c>
      <c r="C77" s="149">
        <f t="shared" ca="1" si="28"/>
        <v>0</v>
      </c>
      <c r="D77" s="150">
        <f t="shared" ca="1" si="68"/>
        <v>0</v>
      </c>
      <c r="E77" s="151">
        <f ca="1">IFERROR(__xludf.DUMMYFUNCTION("IMPORTRANGE(""https://docs.google.com/spreadsheets/d/1-uDff_7J0KD5mKrp0Vvzr7lt3OU09vwQwhkpOPPYv2Y/edit?usp=sharing"",""งบพรบ!AX77"")"),0)</f>
        <v>0</v>
      </c>
      <c r="F77" s="151">
        <f ca="1">IFERROR(__xludf.DUMMYFUNCTION("IMPORTRANGE(""https://docs.google.com/spreadsheets/d/1-uDff_7J0KD5mKrp0Vvzr7lt3OU09vwQwhkpOPPYv2Y/edit?usp=sharing"",""งบพรบ!AY77"")"),0)</f>
        <v>0</v>
      </c>
      <c r="G77" s="151">
        <f ca="1">IFERROR(__xludf.DUMMYFUNCTION("IMPORTRANGE(""https://docs.google.com/spreadsheets/d/1-uDff_7J0KD5mKrp0Vvzr7lt3OU09vwQwhkpOPPYv2Y/edit?usp=sharing"",""งบพรบ!AZ77"")"),0)</f>
        <v>0</v>
      </c>
      <c r="H77" s="151">
        <f ca="1">IFERROR(__xludf.DUMMYFUNCTION("IMPORTRANGE(""https://docs.google.com/spreadsheets/d/1-uDff_7J0KD5mKrp0Vvzr7lt3OU09vwQwhkpOPPYv2Y/edit?usp=sharing"",""งบพรบ!BB77"")"),0)</f>
        <v>0</v>
      </c>
      <c r="I77" s="151">
        <f ca="1">IFERROR(__xludf.DUMMYFUNCTION("IMPORTRANGE(""https://docs.google.com/spreadsheets/d/1-uDff_7J0KD5mKrp0Vvzr7lt3OU09vwQwhkpOPPYv2Y/edit?usp=sharing"",""งบพรบ!BC77"")"),0)</f>
        <v>0</v>
      </c>
      <c r="J77" s="151">
        <f t="shared" ca="1" si="30"/>
        <v>0</v>
      </c>
      <c r="K77" s="154">
        <f t="shared" ca="1" si="31"/>
        <v>0</v>
      </c>
      <c r="L77" s="151">
        <f ca="1">IFERROR(__xludf.DUMMYFUNCTION("IMPORTRANGE(""https://docs.google.com/spreadsheets/d/1-uDff_7J0KD5mKrp0Vvzr7lt3OU09vwQwhkpOPPYv2Y/edit?usp=sharing"",""งบพรบ!BD77"")"),0)</f>
        <v>0</v>
      </c>
      <c r="M77" s="68">
        <f t="shared" ca="1" si="32"/>
        <v>0</v>
      </c>
      <c r="N77" s="68">
        <f t="shared" ca="1" si="33"/>
        <v>0</v>
      </c>
      <c r="O77" s="67">
        <f ca="1">IFERROR(__xludf.DUMMYFUNCTION("IMPORTRANGE(""https://docs.google.com/spreadsheets/d/1-uDff_7J0KD5mKrp0Vvzr7lt3OU09vwQwhkpOPPYv2Y/edit?usp=sharing"",""งบพรบ!BE77"")"),0)</f>
        <v>0</v>
      </c>
      <c r="P77" s="67">
        <f t="shared" ca="1" si="34"/>
        <v>0</v>
      </c>
      <c r="Q77" s="68">
        <f t="shared" ca="1" si="35"/>
        <v>0</v>
      </c>
      <c r="R77" s="67">
        <f ca="1">IFERROR(__xludf.DUMMYFUNCTION("IMPORTRANGE(""https://docs.google.com/spreadsheets/d/16pAz3pOhQEZBhvFNMa5KGgZS6iKWpsKX0pg6tQmwFpo/edit?usp=sharing"",""ตรัง!Q94"")"),0)</f>
        <v>0</v>
      </c>
      <c r="S77" s="67">
        <f ca="1">IFERROR(__xludf.DUMMYFUNCTION("IMPORTRANGE(""https://docs.google.com/spreadsheets/d/16pAz3pOhQEZBhvFNMa5KGgZS6iKWpsKX0pg6tQmwFpo/edit?usp=sharing"",""ตรัง!R94"")"),0)</f>
        <v>0</v>
      </c>
      <c r="T77" s="67">
        <f ca="1">IFERROR(__xludf.DUMMYFUNCTION("IMPORTRANGE(""https://docs.google.com/spreadsheets/d/16pAz3pOhQEZBhvFNMa5KGgZS6iKWpsKX0pg6tQmwFpo/edit?usp=sharing"",""ตรัง!S94"")"),0)</f>
        <v>0</v>
      </c>
      <c r="U77" s="68">
        <f t="shared" ca="1" si="37"/>
        <v>0</v>
      </c>
      <c r="V77" s="68">
        <f t="shared" ca="1" si="38"/>
        <v>0</v>
      </c>
      <c r="W77" s="74">
        <f ca="1">IFERROR(__xludf.DUMMYFUNCTION("IMPORTRANGE(""https://docs.google.com/spreadsheets/d/16pAz3pOhQEZBhvFNMa5KGgZS6iKWpsKX0pg6tQmwFpo/edit?usp=sharing"",""ตรัง!I108"")"),0)</f>
        <v>0</v>
      </c>
      <c r="X77" s="74">
        <f ca="1">IFERROR(__xludf.DUMMYFUNCTION("IMPORTRANGE(""https://docs.google.com/spreadsheets/d/16pAz3pOhQEZBhvFNMa5KGgZS6iKWpsKX0pg6tQmwFpo/edit?usp=sharing"",""ตรัง!J108"")"),0)</f>
        <v>0</v>
      </c>
      <c r="Y77" s="79">
        <f t="shared" ca="1" si="40"/>
        <v>0</v>
      </c>
      <c r="Z77" s="74">
        <f ca="1">IFERROR(__xludf.DUMMYFUNCTION("IMPORTRANGE(""https://docs.google.com/spreadsheets/d/16pAz3pOhQEZBhvFNMa5KGgZS6iKWpsKX0pg6tQmwFpo/edit?usp=sharing"",""ตรัง!I109"")"),0)</f>
        <v>0</v>
      </c>
      <c r="AA77" s="74">
        <f ca="1">IFERROR(__xludf.DUMMYFUNCTION("IMPORTRANGE(""https://docs.google.com/spreadsheets/d/16pAz3pOhQEZBhvFNMa5KGgZS6iKWpsKX0pg6tQmwFpo/edit?usp=sharing"",""ตรัง!J109"")"),0)</f>
        <v>0</v>
      </c>
      <c r="AB77" s="79">
        <f t="shared" ca="1" si="42"/>
        <v>0</v>
      </c>
      <c r="AC77" s="74">
        <f ca="1">IFERROR(__xludf.DUMMYFUNCTION("IMPORTRANGE(""https://docs.google.com/spreadsheets/d/16pAz3pOhQEZBhvFNMa5KGgZS6iKWpsKX0pg6tQmwFpo/edit?usp=sharing"",""ตรัง!I113"")"),0)</f>
        <v>0</v>
      </c>
      <c r="AD77" s="74">
        <f ca="1">IFERROR(__xludf.DUMMYFUNCTION("IMPORTRANGE(""https://docs.google.com/spreadsheets/d/16pAz3pOhQEZBhvFNMa5KGgZS6iKWpsKX0pg6tQmwFpo/edit?usp=sharing"",""ตรัง!J113"")"),0)</f>
        <v>0</v>
      </c>
      <c r="AE77" s="79">
        <f t="shared" ca="1" si="44"/>
        <v>0</v>
      </c>
      <c r="AF77" s="74">
        <f ca="1">IFERROR(__xludf.DUMMYFUNCTION("IMPORTRANGE(""https://docs.google.com/spreadsheets/d/16pAz3pOhQEZBhvFNMa5KGgZS6iKWpsKX0pg6tQmwFpo/edit?usp=sharing"",""ตรัง!I114"")"),0)</f>
        <v>0</v>
      </c>
      <c r="AG77" s="74">
        <f ca="1">IFERROR(__xludf.DUMMYFUNCTION("IMPORTRANGE(""https://docs.google.com/spreadsheets/d/16pAz3pOhQEZBhvFNMa5KGgZS6iKWpsKX0pg6tQmwFpo/edit?usp=sharing"",""ตรัง!J114"")"),0)</f>
        <v>0</v>
      </c>
      <c r="AH77" s="79">
        <f t="shared" ca="1" si="46"/>
        <v>0</v>
      </c>
    </row>
    <row r="78" spans="1:34" ht="21" customHeight="1" x14ac:dyDescent="0.3">
      <c r="A78" s="147">
        <v>4</v>
      </c>
      <c r="B78" s="148" t="s">
        <v>106</v>
      </c>
      <c r="C78" s="149">
        <f t="shared" ca="1" si="28"/>
        <v>0</v>
      </c>
      <c r="D78" s="150">
        <f t="shared" ca="1" si="68"/>
        <v>0</v>
      </c>
      <c r="E78" s="151">
        <f ca="1">IFERROR(__xludf.DUMMYFUNCTION("IMPORTRANGE(""https://docs.google.com/spreadsheets/d/1-uDff_7J0KD5mKrp0Vvzr7lt3OU09vwQwhkpOPPYv2Y/edit?usp=sharing"",""งบพรบ!AX78"")"),0)</f>
        <v>0</v>
      </c>
      <c r="F78" s="151">
        <f ca="1">IFERROR(__xludf.DUMMYFUNCTION("IMPORTRANGE(""https://docs.google.com/spreadsheets/d/1-uDff_7J0KD5mKrp0Vvzr7lt3OU09vwQwhkpOPPYv2Y/edit?usp=sharing"",""งบพรบ!AY78"")"),0)</f>
        <v>0</v>
      </c>
      <c r="G78" s="151">
        <f ca="1">IFERROR(__xludf.DUMMYFUNCTION("IMPORTRANGE(""https://docs.google.com/spreadsheets/d/1-uDff_7J0KD5mKrp0Vvzr7lt3OU09vwQwhkpOPPYv2Y/edit?usp=sharing"",""งบพรบ!AZ78"")"),0)</f>
        <v>0</v>
      </c>
      <c r="H78" s="151">
        <f ca="1">IFERROR(__xludf.DUMMYFUNCTION("IMPORTRANGE(""https://docs.google.com/spreadsheets/d/1-uDff_7J0KD5mKrp0Vvzr7lt3OU09vwQwhkpOPPYv2Y/edit?usp=sharing"",""งบพรบ!BB78"")"),0)</f>
        <v>0</v>
      </c>
      <c r="I78" s="151">
        <f ca="1">IFERROR(__xludf.DUMMYFUNCTION("IMPORTRANGE(""https://docs.google.com/spreadsheets/d/1-uDff_7J0KD5mKrp0Vvzr7lt3OU09vwQwhkpOPPYv2Y/edit?usp=sharing"",""งบพรบ!BC78"")"),0)</f>
        <v>0</v>
      </c>
      <c r="J78" s="151">
        <f t="shared" ca="1" si="30"/>
        <v>0</v>
      </c>
      <c r="K78" s="154">
        <f t="shared" ca="1" si="31"/>
        <v>0</v>
      </c>
      <c r="L78" s="151">
        <f ca="1">IFERROR(__xludf.DUMMYFUNCTION("IMPORTRANGE(""https://docs.google.com/spreadsheets/d/1-uDff_7J0KD5mKrp0Vvzr7lt3OU09vwQwhkpOPPYv2Y/edit?usp=sharing"",""งบพรบ!BD78"")"),0)</f>
        <v>0</v>
      </c>
      <c r="M78" s="68">
        <f t="shared" ca="1" si="32"/>
        <v>0</v>
      </c>
      <c r="N78" s="68">
        <f t="shared" ca="1" si="33"/>
        <v>0</v>
      </c>
      <c r="O78" s="67">
        <f ca="1">IFERROR(__xludf.DUMMYFUNCTION("IMPORTRANGE(""https://docs.google.com/spreadsheets/d/1-uDff_7J0KD5mKrp0Vvzr7lt3OU09vwQwhkpOPPYv2Y/edit?usp=sharing"",""งบพรบ!BE78"")"),0)</f>
        <v>0</v>
      </c>
      <c r="P78" s="67">
        <f t="shared" ca="1" si="34"/>
        <v>0</v>
      </c>
      <c r="Q78" s="68">
        <f t="shared" ca="1" si="35"/>
        <v>0</v>
      </c>
      <c r="R78" s="67">
        <f ca="1">IFERROR(__xludf.DUMMYFUNCTION("IMPORTRANGE(""https://docs.google.com/spreadsheets/d/1Dj4jcHCTV9JXKCaMoheSXS52JE63kDKyG7bPXnFogHk/edit?usp=sharing"",""นครศรีธรรมราช!Q94"")"),0)</f>
        <v>0</v>
      </c>
      <c r="S78" s="67">
        <f ca="1">IFERROR(__xludf.DUMMYFUNCTION("IMPORTRANGE(""https://docs.google.com/spreadsheets/d/1Dj4jcHCTV9JXKCaMoheSXS52JE63kDKyG7bPXnFogHk/edit?usp=sharing"",""นครศรีธรรมราช!R94"")"),0)</f>
        <v>0</v>
      </c>
      <c r="T78" s="67">
        <f ca="1">IFERROR(__xludf.DUMMYFUNCTION("IMPORTRANGE(""https://docs.google.com/spreadsheets/d/1Dj4jcHCTV9JXKCaMoheSXS52JE63kDKyG7bPXnFogHk/edit?usp=sharing"",""นครศรีธรรมราช!S94"")"),0)</f>
        <v>0</v>
      </c>
      <c r="U78" s="68">
        <f t="shared" ca="1" si="37"/>
        <v>0</v>
      </c>
      <c r="V78" s="68">
        <f t="shared" ca="1" si="38"/>
        <v>0</v>
      </c>
      <c r="W78" s="74">
        <f ca="1">IFERROR(__xludf.DUMMYFUNCTION("IMPORTRANGE(""https://docs.google.com/spreadsheets/d/1Dj4jcHCTV9JXKCaMoheSXS52JE63kDKyG7bPXnFogHk/edit?usp=sharing"",""นครศรีธรรมราช!I108"")"),0)</f>
        <v>0</v>
      </c>
      <c r="X78" s="74">
        <f ca="1">IFERROR(__xludf.DUMMYFUNCTION("IMPORTRANGE(""https://docs.google.com/spreadsheets/d/1Dj4jcHCTV9JXKCaMoheSXS52JE63kDKyG7bPXnFogHk/edit?usp=sharing"",""นครศรีธรรมราช!J108"")"),0)</f>
        <v>0</v>
      </c>
      <c r="Y78" s="79">
        <f t="shared" ca="1" si="40"/>
        <v>0</v>
      </c>
      <c r="Z78" s="74">
        <f ca="1">IFERROR(__xludf.DUMMYFUNCTION("IMPORTRANGE(""https://docs.google.com/spreadsheets/d/1Dj4jcHCTV9JXKCaMoheSXS52JE63kDKyG7bPXnFogHk/edit?usp=sharing"",""นครศรีธรรมราช!I109"")"),0)</f>
        <v>0</v>
      </c>
      <c r="AA78" s="74">
        <f ca="1">IFERROR(__xludf.DUMMYFUNCTION("IMPORTRANGE(""https://docs.google.com/spreadsheets/d/1Dj4jcHCTV9JXKCaMoheSXS52JE63kDKyG7bPXnFogHk/edit?usp=sharing"",""นครศรีธรรมราช!J109"")"),0)</f>
        <v>0</v>
      </c>
      <c r="AB78" s="79">
        <f t="shared" ca="1" si="42"/>
        <v>0</v>
      </c>
      <c r="AC78" s="74">
        <f ca="1">IFERROR(__xludf.DUMMYFUNCTION("IMPORTRANGE(""https://docs.google.com/spreadsheets/d/1Dj4jcHCTV9JXKCaMoheSXS52JE63kDKyG7bPXnFogHk/edit?usp=sharing"",""นครศรีธรรมราช!I113"")"),0)</f>
        <v>0</v>
      </c>
      <c r="AD78" s="74">
        <f ca="1">IFERROR(__xludf.DUMMYFUNCTION("IMPORTRANGE(""https://docs.google.com/spreadsheets/d/1Dj4jcHCTV9JXKCaMoheSXS52JE63kDKyG7bPXnFogHk/edit?usp=sharing"",""นครศรีธรรมราช!J113"")"),0)</f>
        <v>0</v>
      </c>
      <c r="AE78" s="79">
        <f t="shared" ca="1" si="44"/>
        <v>0</v>
      </c>
      <c r="AF78" s="74">
        <f ca="1">IFERROR(__xludf.DUMMYFUNCTION("IMPORTRANGE(""https://docs.google.com/spreadsheets/d/1Dj4jcHCTV9JXKCaMoheSXS52JE63kDKyG7bPXnFogHk/edit?usp=sharing"",""นครศรีธรรมราช!I114"")"),0)</f>
        <v>0</v>
      </c>
      <c r="AG78" s="74">
        <f ca="1">IFERROR(__xludf.DUMMYFUNCTION("IMPORTRANGE(""https://docs.google.com/spreadsheets/d/1Dj4jcHCTV9JXKCaMoheSXS52JE63kDKyG7bPXnFogHk/edit?usp=sharing"",""นครศรีธรรมราช!J114"")"),0)</f>
        <v>0</v>
      </c>
      <c r="AH78" s="79">
        <f t="shared" ca="1" si="46"/>
        <v>0</v>
      </c>
    </row>
    <row r="79" spans="1:34" ht="21" customHeight="1" x14ac:dyDescent="0.3">
      <c r="A79" s="147">
        <v>5</v>
      </c>
      <c r="B79" s="148" t="s">
        <v>107</v>
      </c>
      <c r="C79" s="149">
        <f t="shared" ca="1" si="28"/>
        <v>12000</v>
      </c>
      <c r="D79" s="150">
        <f t="shared" ca="1" si="68"/>
        <v>12000</v>
      </c>
      <c r="E79" s="151">
        <f ca="1">IFERROR(__xludf.DUMMYFUNCTION("IMPORTRANGE(""https://docs.google.com/spreadsheets/d/1-uDff_7J0KD5mKrp0Vvzr7lt3OU09vwQwhkpOPPYv2Y/edit?usp=sharing"",""งบพรบ!AX79"")"),0)</f>
        <v>0</v>
      </c>
      <c r="F79" s="151">
        <f ca="1">IFERROR(__xludf.DUMMYFUNCTION("IMPORTRANGE(""https://docs.google.com/spreadsheets/d/1-uDff_7J0KD5mKrp0Vvzr7lt3OU09vwQwhkpOPPYv2Y/edit?usp=sharing"",""งบพรบ!AY79"")"),12000)</f>
        <v>12000</v>
      </c>
      <c r="G79" s="151">
        <f ca="1">IFERROR(__xludf.DUMMYFUNCTION("IMPORTRANGE(""https://docs.google.com/spreadsheets/d/1-uDff_7J0KD5mKrp0Vvzr7lt3OU09vwQwhkpOPPYv2Y/edit?usp=sharing"",""งบพรบ!AZ79"")"),0)</f>
        <v>0</v>
      </c>
      <c r="H79" s="151">
        <f ca="1">IFERROR(__xludf.DUMMYFUNCTION("IMPORTRANGE(""https://docs.google.com/spreadsheets/d/1-uDff_7J0KD5mKrp0Vvzr7lt3OU09vwQwhkpOPPYv2Y/edit?usp=sharing"",""งบพรบ!BB79"")"),12000)</f>
        <v>12000</v>
      </c>
      <c r="I79" s="151">
        <f ca="1">IFERROR(__xludf.DUMMYFUNCTION("IMPORTRANGE(""https://docs.google.com/spreadsheets/d/1-uDff_7J0KD5mKrp0Vvzr7lt3OU09vwQwhkpOPPYv2Y/edit?usp=sharing"",""งบพรบ!BC79"")"),0)</f>
        <v>0</v>
      </c>
      <c r="J79" s="151">
        <f t="shared" ca="1" si="30"/>
        <v>12000</v>
      </c>
      <c r="K79" s="154">
        <f t="shared" ca="1" si="31"/>
        <v>100</v>
      </c>
      <c r="L79" s="151">
        <f ca="1">IFERROR(__xludf.DUMMYFUNCTION("IMPORTRANGE(""https://docs.google.com/spreadsheets/d/1-uDff_7J0KD5mKrp0Vvzr7lt3OU09vwQwhkpOPPYv2Y/edit?usp=sharing"",""งบพรบ!BD79"")"),12000)</f>
        <v>12000</v>
      </c>
      <c r="M79" s="68">
        <f t="shared" ca="1" si="32"/>
        <v>100</v>
      </c>
      <c r="N79" s="68">
        <f t="shared" ca="1" si="33"/>
        <v>100</v>
      </c>
      <c r="O79" s="67">
        <f ca="1">IFERROR(__xludf.DUMMYFUNCTION("IMPORTRANGE(""https://docs.google.com/spreadsheets/d/1-uDff_7J0KD5mKrp0Vvzr7lt3OU09vwQwhkpOPPYv2Y/edit?usp=sharing"",""งบพรบ!BE79"")"),0)</f>
        <v>0</v>
      </c>
      <c r="P79" s="67">
        <f t="shared" ca="1" si="34"/>
        <v>0</v>
      </c>
      <c r="Q79" s="68">
        <f t="shared" ca="1" si="35"/>
        <v>0</v>
      </c>
      <c r="R79" s="67">
        <f ca="1">IFERROR(__xludf.DUMMYFUNCTION("IMPORTRANGE(""https://docs.google.com/spreadsheets/d/1iodCdmuK2GR3jzUwk8tpccY2JHQQA-87DLOtJP-ooyU/edit?usp=sharing"",""นราธิวาส!Q94"")"),168840)</f>
        <v>168840</v>
      </c>
      <c r="S79" s="67">
        <f ca="1">IFERROR(__xludf.DUMMYFUNCTION("IMPORTRANGE(""https://docs.google.com/spreadsheets/d/1iodCdmuK2GR3jzUwk8tpccY2JHQQA-87DLOtJP-ooyU/edit?usp=sharing"",""นราธิวาส!R94"")"),168840)</f>
        <v>168840</v>
      </c>
      <c r="T79" s="67">
        <f ca="1">IFERROR(__xludf.DUMMYFUNCTION("IMPORTRANGE(""https://docs.google.com/spreadsheets/d/1iodCdmuK2GR3jzUwk8tpccY2JHQQA-87DLOtJP-ooyU/edit?usp=sharing"",""นราธิวาส!S94"")"),123110)</f>
        <v>123110</v>
      </c>
      <c r="U79" s="68">
        <f t="shared" ca="1" si="37"/>
        <v>72.915185974887464</v>
      </c>
      <c r="V79" s="68">
        <f t="shared" ca="1" si="38"/>
        <v>72.915185974887464</v>
      </c>
      <c r="W79" s="74">
        <f ca="1">IFERROR(__xludf.DUMMYFUNCTION("IMPORTRANGE(""https://docs.google.com/spreadsheets/d/1iodCdmuK2GR3jzUwk8tpccY2JHQQA-87DLOtJP-ooyU/edit?usp=sharing"",""นราธิวาส!I108"")"),60)</f>
        <v>60</v>
      </c>
      <c r="X79" s="74">
        <f ca="1">IFERROR(__xludf.DUMMYFUNCTION("IMPORTRANGE(""https://docs.google.com/spreadsheets/d/1iodCdmuK2GR3jzUwk8tpccY2JHQQA-87DLOtJP-ooyU/edit?usp=sharing"",""นราธิวาส!J108"")"),60)</f>
        <v>60</v>
      </c>
      <c r="Y79" s="79">
        <f t="shared" ca="1" si="40"/>
        <v>100</v>
      </c>
      <c r="Z79" s="74">
        <f ca="1">IFERROR(__xludf.DUMMYFUNCTION("IMPORTRANGE(""https://docs.google.com/spreadsheets/d/1iodCdmuK2GR3jzUwk8tpccY2JHQQA-87DLOtJP-ooyU/edit?usp=sharing"",""นราธิวาส!I109"")"),20)</f>
        <v>20</v>
      </c>
      <c r="AA79" s="74">
        <f ca="1">IFERROR(__xludf.DUMMYFUNCTION("IMPORTRANGE(""https://docs.google.com/spreadsheets/d/1iodCdmuK2GR3jzUwk8tpccY2JHQQA-87DLOtJP-ooyU/edit?usp=sharing"",""นราธิวาส!J109"")"),20)</f>
        <v>20</v>
      </c>
      <c r="AB79" s="79">
        <f t="shared" ca="1" si="42"/>
        <v>100</v>
      </c>
      <c r="AC79" s="74">
        <f ca="1">IFERROR(__xludf.DUMMYFUNCTION("IMPORTRANGE(""https://docs.google.com/spreadsheets/d/1iodCdmuK2GR3jzUwk8tpccY2JHQQA-87DLOtJP-ooyU/edit?usp=sharing"",""นราธิวาส!I113"")"),60)</f>
        <v>60</v>
      </c>
      <c r="AD79" s="74">
        <f ca="1">IFERROR(__xludf.DUMMYFUNCTION("IMPORTRANGE(""https://docs.google.com/spreadsheets/d/1iodCdmuK2GR3jzUwk8tpccY2JHQQA-87DLOtJP-ooyU/edit?usp=sharing"",""นราธิวาส!J113"")"),60)</f>
        <v>60</v>
      </c>
      <c r="AE79" s="79">
        <f t="shared" ca="1" si="44"/>
        <v>100</v>
      </c>
      <c r="AF79" s="74">
        <f ca="1">IFERROR(__xludf.DUMMYFUNCTION("IMPORTRANGE(""https://docs.google.com/spreadsheets/d/1iodCdmuK2GR3jzUwk8tpccY2JHQQA-87DLOtJP-ooyU/edit?usp=sharing"",""นราธิวาส!I114"")"),20)</f>
        <v>20</v>
      </c>
      <c r="AG79" s="74">
        <f ca="1">IFERROR(__xludf.DUMMYFUNCTION("IMPORTRANGE(""https://docs.google.com/spreadsheets/d/1iodCdmuK2GR3jzUwk8tpccY2JHQQA-87DLOtJP-ooyU/edit?usp=sharing"",""นราธิวาส!J114"")"),20)</f>
        <v>20</v>
      </c>
      <c r="AH79" s="79">
        <f t="shared" ca="1" si="46"/>
        <v>100</v>
      </c>
    </row>
    <row r="80" spans="1:34" ht="21" customHeight="1" x14ac:dyDescent="0.3">
      <c r="A80" s="147">
        <v>6</v>
      </c>
      <c r="B80" s="148" t="s">
        <v>108</v>
      </c>
      <c r="C80" s="149">
        <f t="shared" ca="1" si="28"/>
        <v>0</v>
      </c>
      <c r="D80" s="150">
        <f t="shared" ca="1" si="68"/>
        <v>0</v>
      </c>
      <c r="E80" s="151">
        <f ca="1">IFERROR(__xludf.DUMMYFUNCTION("IMPORTRANGE(""https://docs.google.com/spreadsheets/d/1-uDff_7J0KD5mKrp0Vvzr7lt3OU09vwQwhkpOPPYv2Y/edit?usp=sharing"",""งบพรบ!AX80"")"),0)</f>
        <v>0</v>
      </c>
      <c r="F80" s="151">
        <f ca="1">IFERROR(__xludf.DUMMYFUNCTION("IMPORTRANGE(""https://docs.google.com/spreadsheets/d/1-uDff_7J0KD5mKrp0Vvzr7lt3OU09vwQwhkpOPPYv2Y/edit?usp=sharing"",""งบพรบ!AY80"")"),0)</f>
        <v>0</v>
      </c>
      <c r="G80" s="151">
        <f ca="1">IFERROR(__xludf.DUMMYFUNCTION("IMPORTRANGE(""https://docs.google.com/spreadsheets/d/1-uDff_7J0KD5mKrp0Vvzr7lt3OU09vwQwhkpOPPYv2Y/edit?usp=sharing"",""งบพรบ!AZ80"")"),0)</f>
        <v>0</v>
      </c>
      <c r="H80" s="151">
        <f ca="1">IFERROR(__xludf.DUMMYFUNCTION("IMPORTRANGE(""https://docs.google.com/spreadsheets/d/1-uDff_7J0KD5mKrp0Vvzr7lt3OU09vwQwhkpOPPYv2Y/edit?usp=sharing"",""งบพรบ!BB80"")"),0)</f>
        <v>0</v>
      </c>
      <c r="I80" s="151">
        <f ca="1">IFERROR(__xludf.DUMMYFUNCTION("IMPORTRANGE(""https://docs.google.com/spreadsheets/d/1-uDff_7J0KD5mKrp0Vvzr7lt3OU09vwQwhkpOPPYv2Y/edit?usp=sharing"",""งบพรบ!BC80"")"),0)</f>
        <v>0</v>
      </c>
      <c r="J80" s="151">
        <f t="shared" ca="1" si="30"/>
        <v>0</v>
      </c>
      <c r="K80" s="154">
        <f t="shared" ca="1" si="31"/>
        <v>0</v>
      </c>
      <c r="L80" s="151">
        <f ca="1">IFERROR(__xludf.DUMMYFUNCTION("IMPORTRANGE(""https://docs.google.com/spreadsheets/d/1-uDff_7J0KD5mKrp0Vvzr7lt3OU09vwQwhkpOPPYv2Y/edit?usp=sharing"",""งบพรบ!BD80"")"),0)</f>
        <v>0</v>
      </c>
      <c r="M80" s="68">
        <f t="shared" ca="1" si="32"/>
        <v>0</v>
      </c>
      <c r="N80" s="68">
        <f t="shared" ca="1" si="33"/>
        <v>0</v>
      </c>
      <c r="O80" s="67">
        <f ca="1">IFERROR(__xludf.DUMMYFUNCTION("IMPORTRANGE(""https://docs.google.com/spreadsheets/d/1-uDff_7J0KD5mKrp0Vvzr7lt3OU09vwQwhkpOPPYv2Y/edit?usp=sharing"",""งบพรบ!BE80"")"),0)</f>
        <v>0</v>
      </c>
      <c r="P80" s="67">
        <f t="shared" ca="1" si="34"/>
        <v>0</v>
      </c>
      <c r="Q80" s="68">
        <f t="shared" ca="1" si="35"/>
        <v>0</v>
      </c>
      <c r="R80" s="67">
        <f ca="1">IFERROR(__xludf.DUMMYFUNCTION("IMPORTRANGE(""https://docs.google.com/spreadsheets/d/1SDNX3JhDdYRuIOsj0Wh2M-Qa_eaXl0NbWmhAOTbfQAs/edit?usp=sharing"",""ปัตตานี!Q94"")"),0)</f>
        <v>0</v>
      </c>
      <c r="S80" s="67">
        <f ca="1">IFERROR(__xludf.DUMMYFUNCTION("IMPORTRANGE(""https://docs.google.com/spreadsheets/d/1SDNX3JhDdYRuIOsj0Wh2M-Qa_eaXl0NbWmhAOTbfQAs/edit?usp=sharing"",""ปัตตานี!R94"")"),0)</f>
        <v>0</v>
      </c>
      <c r="T80" s="67">
        <f ca="1">IFERROR(__xludf.DUMMYFUNCTION("IMPORTRANGE(""https://docs.google.com/spreadsheets/d/1SDNX3JhDdYRuIOsj0Wh2M-Qa_eaXl0NbWmhAOTbfQAs/edit?usp=sharing"",""ปัตตานี!S94"")"),0)</f>
        <v>0</v>
      </c>
      <c r="U80" s="68">
        <f t="shared" ca="1" si="37"/>
        <v>0</v>
      </c>
      <c r="V80" s="68">
        <f t="shared" ca="1" si="38"/>
        <v>0</v>
      </c>
      <c r="W80" s="74">
        <f ca="1">IFERROR(__xludf.DUMMYFUNCTION("IMPORTRANGE(""https://docs.google.com/spreadsheets/d/1SDNX3JhDdYRuIOsj0Wh2M-Qa_eaXl0NbWmhAOTbfQAs/edit?usp=sharing"",""ปัตตานี!I108"")"),0)</f>
        <v>0</v>
      </c>
      <c r="X80" s="74">
        <f ca="1">IFERROR(__xludf.DUMMYFUNCTION("IMPORTRANGE(""https://docs.google.com/spreadsheets/d/1SDNX3JhDdYRuIOsj0Wh2M-Qa_eaXl0NbWmhAOTbfQAs/edit?usp=sharing"",""ปัตตานี!J108"")"),0)</f>
        <v>0</v>
      </c>
      <c r="Y80" s="79">
        <f t="shared" ca="1" si="40"/>
        <v>0</v>
      </c>
      <c r="Z80" s="74">
        <f ca="1">IFERROR(__xludf.DUMMYFUNCTION("IMPORTRANGE(""https://docs.google.com/spreadsheets/d/1SDNX3JhDdYRuIOsj0Wh2M-Qa_eaXl0NbWmhAOTbfQAs/edit?usp=sharing"",""ปัตตานี!I109"")"),0)</f>
        <v>0</v>
      </c>
      <c r="AA80" s="74">
        <f ca="1">IFERROR(__xludf.DUMMYFUNCTION("IMPORTRANGE(""https://docs.google.com/spreadsheets/d/1SDNX3JhDdYRuIOsj0Wh2M-Qa_eaXl0NbWmhAOTbfQAs/edit?usp=sharing"",""ปัตตานี!J109"")"),0)</f>
        <v>0</v>
      </c>
      <c r="AB80" s="79">
        <f t="shared" ca="1" si="42"/>
        <v>0</v>
      </c>
      <c r="AC80" s="74">
        <f ca="1">IFERROR(__xludf.DUMMYFUNCTION("IMPORTRANGE(""https://docs.google.com/spreadsheets/d/1SDNX3JhDdYRuIOsj0Wh2M-Qa_eaXl0NbWmhAOTbfQAs/edit?usp=sharing"",""ปัตตานี!I113"")"),0)</f>
        <v>0</v>
      </c>
      <c r="AD80" s="74">
        <f ca="1">IFERROR(__xludf.DUMMYFUNCTION("IMPORTRANGE(""https://docs.google.com/spreadsheets/d/1SDNX3JhDdYRuIOsj0Wh2M-Qa_eaXl0NbWmhAOTbfQAs/edit?usp=sharing"",""ปัตตานี!J113"")"),0)</f>
        <v>0</v>
      </c>
      <c r="AE80" s="79">
        <f t="shared" ca="1" si="44"/>
        <v>0</v>
      </c>
      <c r="AF80" s="74">
        <f ca="1">IFERROR(__xludf.DUMMYFUNCTION("IMPORTRANGE(""https://docs.google.com/spreadsheets/d/1SDNX3JhDdYRuIOsj0Wh2M-Qa_eaXl0NbWmhAOTbfQAs/edit?usp=sharing"",""ปัตตานี!I114"")"),0)</f>
        <v>0</v>
      </c>
      <c r="AG80" s="74">
        <f ca="1">IFERROR(__xludf.DUMMYFUNCTION("IMPORTRANGE(""https://docs.google.com/spreadsheets/d/1SDNX3JhDdYRuIOsj0Wh2M-Qa_eaXl0NbWmhAOTbfQAs/edit?usp=sharing"",""ปัตตานี!J114"")"),0)</f>
        <v>0</v>
      </c>
      <c r="AH80" s="79">
        <f t="shared" ca="1" si="46"/>
        <v>0</v>
      </c>
    </row>
    <row r="81" spans="1:34" ht="21" customHeight="1" x14ac:dyDescent="0.3">
      <c r="A81" s="147">
        <v>7</v>
      </c>
      <c r="B81" s="148" t="s">
        <v>109</v>
      </c>
      <c r="C81" s="149">
        <f t="shared" ca="1" si="28"/>
        <v>6000</v>
      </c>
      <c r="D81" s="150">
        <f t="shared" ca="1" si="68"/>
        <v>6000</v>
      </c>
      <c r="E81" s="151">
        <f ca="1">IFERROR(__xludf.DUMMYFUNCTION("IMPORTRANGE(""https://docs.google.com/spreadsheets/d/1-uDff_7J0KD5mKrp0Vvzr7lt3OU09vwQwhkpOPPYv2Y/edit?usp=sharing"",""งบพรบ!AX81"")"),0)</f>
        <v>0</v>
      </c>
      <c r="F81" s="151">
        <f ca="1">IFERROR(__xludf.DUMMYFUNCTION("IMPORTRANGE(""https://docs.google.com/spreadsheets/d/1-uDff_7J0KD5mKrp0Vvzr7lt3OU09vwQwhkpOPPYv2Y/edit?usp=sharing"",""งบพรบ!AY81"")"),6000)</f>
        <v>6000</v>
      </c>
      <c r="G81" s="151">
        <f ca="1">IFERROR(__xludf.DUMMYFUNCTION("IMPORTRANGE(""https://docs.google.com/spreadsheets/d/1-uDff_7J0KD5mKrp0Vvzr7lt3OU09vwQwhkpOPPYv2Y/edit?usp=sharing"",""งบพรบ!AZ81"")"),0)</f>
        <v>0</v>
      </c>
      <c r="H81" s="151">
        <f ca="1">IFERROR(__xludf.DUMMYFUNCTION("IMPORTRANGE(""https://docs.google.com/spreadsheets/d/1-uDff_7J0KD5mKrp0Vvzr7lt3OU09vwQwhkpOPPYv2Y/edit?usp=sharing"",""งบพรบ!BB81"")"),6000)</f>
        <v>6000</v>
      </c>
      <c r="I81" s="151">
        <f ca="1">IFERROR(__xludf.DUMMYFUNCTION("IMPORTRANGE(""https://docs.google.com/spreadsheets/d/1-uDff_7J0KD5mKrp0Vvzr7lt3OU09vwQwhkpOPPYv2Y/edit?usp=sharing"",""งบพรบ!BC81"")"),0)</f>
        <v>0</v>
      </c>
      <c r="J81" s="151">
        <f t="shared" ca="1" si="30"/>
        <v>6000</v>
      </c>
      <c r="K81" s="154">
        <f t="shared" ca="1" si="31"/>
        <v>100</v>
      </c>
      <c r="L81" s="151">
        <f ca="1">IFERROR(__xludf.DUMMYFUNCTION("IMPORTRANGE(""https://docs.google.com/spreadsheets/d/1-uDff_7J0KD5mKrp0Vvzr7lt3OU09vwQwhkpOPPYv2Y/edit?usp=sharing"",""งบพรบ!BD81"")"),6000)</f>
        <v>6000</v>
      </c>
      <c r="M81" s="68">
        <f t="shared" ca="1" si="32"/>
        <v>100</v>
      </c>
      <c r="N81" s="68">
        <f t="shared" ca="1" si="33"/>
        <v>100</v>
      </c>
      <c r="O81" s="67">
        <f ca="1">IFERROR(__xludf.DUMMYFUNCTION("IMPORTRANGE(""https://docs.google.com/spreadsheets/d/1-uDff_7J0KD5mKrp0Vvzr7lt3OU09vwQwhkpOPPYv2Y/edit?usp=sharing"",""งบพรบ!BE81"")"),0)</f>
        <v>0</v>
      </c>
      <c r="P81" s="67">
        <f t="shared" ca="1" si="34"/>
        <v>0</v>
      </c>
      <c r="Q81" s="68">
        <f t="shared" ca="1" si="35"/>
        <v>0</v>
      </c>
      <c r="R81" s="67">
        <f ca="1">IFERROR(__xludf.DUMMYFUNCTION("IMPORTRANGE(""https://docs.google.com/spreadsheets/d/16JDLGguT8s5DsGCND1KcwHP_AWR_zDMTqLHPLJUKhaU/edit?usp=sharing"",""พังงา!Q94"")"),84420)</f>
        <v>84420</v>
      </c>
      <c r="S81" s="67">
        <f ca="1">IFERROR(__xludf.DUMMYFUNCTION("IMPORTRANGE(""https://docs.google.com/spreadsheets/d/16JDLGguT8s5DsGCND1KcwHP_AWR_zDMTqLHPLJUKhaU/edit?usp=sharing"",""พังงา!R94"")"),84420)</f>
        <v>84420</v>
      </c>
      <c r="T81" s="67">
        <f ca="1">IFERROR(__xludf.DUMMYFUNCTION("IMPORTRANGE(""https://docs.google.com/spreadsheets/d/16JDLGguT8s5DsGCND1KcwHP_AWR_zDMTqLHPLJUKhaU/edit?usp=sharing"",""พังงา!S94"")"),35730)</f>
        <v>35730</v>
      </c>
      <c r="U81" s="68">
        <f t="shared" ca="1" si="37"/>
        <v>42.324093816631127</v>
      </c>
      <c r="V81" s="68">
        <f t="shared" ca="1" si="38"/>
        <v>42.324093816631127</v>
      </c>
      <c r="W81" s="74">
        <f ca="1">IFERROR(__xludf.DUMMYFUNCTION("IMPORTRANGE(""https://docs.google.com/spreadsheets/d/16JDLGguT8s5DsGCND1KcwHP_AWR_zDMTqLHPLJUKhaU/edit?usp=sharing"",""พังงา!I108"")"),30)</f>
        <v>30</v>
      </c>
      <c r="X81" s="74">
        <f ca="1">IFERROR(__xludf.DUMMYFUNCTION("IMPORTRANGE(""https://docs.google.com/spreadsheets/d/16JDLGguT8s5DsGCND1KcwHP_AWR_zDMTqLHPLJUKhaU/edit?usp=sharing"",""พังงา!J108"")"),30)</f>
        <v>30</v>
      </c>
      <c r="Y81" s="79">
        <f t="shared" ca="1" si="40"/>
        <v>100</v>
      </c>
      <c r="Z81" s="74">
        <f ca="1">IFERROR(__xludf.DUMMYFUNCTION("IMPORTRANGE(""https://docs.google.com/spreadsheets/d/16JDLGguT8s5DsGCND1KcwHP_AWR_zDMTqLHPLJUKhaU/edit?usp=sharing"",""พังงา!I109"")"),10)</f>
        <v>10</v>
      </c>
      <c r="AA81" s="74">
        <f ca="1">IFERROR(__xludf.DUMMYFUNCTION("IMPORTRANGE(""https://docs.google.com/spreadsheets/d/16JDLGguT8s5DsGCND1KcwHP_AWR_zDMTqLHPLJUKhaU/edit?usp=sharing"",""พังงา!J109"")"),10)</f>
        <v>10</v>
      </c>
      <c r="AB81" s="79">
        <f t="shared" ca="1" si="42"/>
        <v>100</v>
      </c>
      <c r="AC81" s="74">
        <f ca="1">IFERROR(__xludf.DUMMYFUNCTION("IMPORTRANGE(""https://docs.google.com/spreadsheets/d/16JDLGguT8s5DsGCND1KcwHP_AWR_zDMTqLHPLJUKhaU/edit?usp=sharing"",""พังงา!I113"")"),30)</f>
        <v>30</v>
      </c>
      <c r="AD81" s="74">
        <f ca="1">IFERROR(__xludf.DUMMYFUNCTION("IMPORTRANGE(""https://docs.google.com/spreadsheets/d/16JDLGguT8s5DsGCND1KcwHP_AWR_zDMTqLHPLJUKhaU/edit?usp=sharing"",""พังงา!J113"")"),0)</f>
        <v>0</v>
      </c>
      <c r="AE81" s="79">
        <f t="shared" ca="1" si="44"/>
        <v>0</v>
      </c>
      <c r="AF81" s="74">
        <f ca="1">IFERROR(__xludf.DUMMYFUNCTION("IMPORTRANGE(""https://docs.google.com/spreadsheets/d/16JDLGguT8s5DsGCND1KcwHP_AWR_zDMTqLHPLJUKhaU/edit?usp=sharing"",""พังงา!I114"")"),10)</f>
        <v>10</v>
      </c>
      <c r="AG81" s="74">
        <f ca="1">IFERROR(__xludf.DUMMYFUNCTION("IMPORTRANGE(""https://docs.google.com/spreadsheets/d/16JDLGguT8s5DsGCND1KcwHP_AWR_zDMTqLHPLJUKhaU/edit?usp=sharing"",""พังงา!J114"")"),0)</f>
        <v>0</v>
      </c>
      <c r="AH81" s="79">
        <f t="shared" ca="1" si="46"/>
        <v>0</v>
      </c>
    </row>
    <row r="82" spans="1:34" ht="21" customHeight="1" x14ac:dyDescent="0.3">
      <c r="A82" s="147">
        <v>8</v>
      </c>
      <c r="B82" s="148" t="s">
        <v>110</v>
      </c>
      <c r="C82" s="149">
        <f t="shared" ca="1" si="28"/>
        <v>6000</v>
      </c>
      <c r="D82" s="150">
        <f t="shared" ca="1" si="68"/>
        <v>6000</v>
      </c>
      <c r="E82" s="151">
        <f ca="1">IFERROR(__xludf.DUMMYFUNCTION("IMPORTRANGE(""https://docs.google.com/spreadsheets/d/1-uDff_7J0KD5mKrp0Vvzr7lt3OU09vwQwhkpOPPYv2Y/edit?usp=sharing"",""งบพรบ!AX82"")"),0)</f>
        <v>0</v>
      </c>
      <c r="F82" s="151">
        <f ca="1">IFERROR(__xludf.DUMMYFUNCTION("IMPORTRANGE(""https://docs.google.com/spreadsheets/d/1-uDff_7J0KD5mKrp0Vvzr7lt3OU09vwQwhkpOPPYv2Y/edit?usp=sharing"",""งบพรบ!AY82"")"),6000)</f>
        <v>6000</v>
      </c>
      <c r="G82" s="151">
        <f ca="1">IFERROR(__xludf.DUMMYFUNCTION("IMPORTRANGE(""https://docs.google.com/spreadsheets/d/1-uDff_7J0KD5mKrp0Vvzr7lt3OU09vwQwhkpOPPYv2Y/edit?usp=sharing"",""งบพรบ!AZ82"")"),0)</f>
        <v>0</v>
      </c>
      <c r="H82" s="151">
        <f ca="1">IFERROR(__xludf.DUMMYFUNCTION("IMPORTRANGE(""https://docs.google.com/spreadsheets/d/1-uDff_7J0KD5mKrp0Vvzr7lt3OU09vwQwhkpOPPYv2Y/edit?usp=sharing"",""งบพรบ!BB82"")"),6000)</f>
        <v>6000</v>
      </c>
      <c r="I82" s="151">
        <f ca="1">IFERROR(__xludf.DUMMYFUNCTION("IMPORTRANGE(""https://docs.google.com/spreadsheets/d/1-uDff_7J0KD5mKrp0Vvzr7lt3OU09vwQwhkpOPPYv2Y/edit?usp=sharing"",""งบพรบ!BC82"")"),0)</f>
        <v>0</v>
      </c>
      <c r="J82" s="151">
        <f t="shared" ca="1" si="30"/>
        <v>6000</v>
      </c>
      <c r="K82" s="154">
        <f t="shared" ca="1" si="31"/>
        <v>100</v>
      </c>
      <c r="L82" s="151">
        <f ca="1">IFERROR(__xludf.DUMMYFUNCTION("IMPORTRANGE(""https://docs.google.com/spreadsheets/d/1-uDff_7J0KD5mKrp0Vvzr7lt3OU09vwQwhkpOPPYv2Y/edit?usp=sharing"",""งบพรบ!BD82"")"),6000)</f>
        <v>6000</v>
      </c>
      <c r="M82" s="68">
        <f t="shared" ca="1" si="32"/>
        <v>100</v>
      </c>
      <c r="N82" s="68">
        <f t="shared" ca="1" si="33"/>
        <v>100</v>
      </c>
      <c r="O82" s="67">
        <f ca="1">IFERROR(__xludf.DUMMYFUNCTION("IMPORTRANGE(""https://docs.google.com/spreadsheets/d/1-uDff_7J0KD5mKrp0Vvzr7lt3OU09vwQwhkpOPPYv2Y/edit?usp=sharing"",""งบพรบ!BE82"")"),0)</f>
        <v>0</v>
      </c>
      <c r="P82" s="67">
        <f t="shared" ca="1" si="34"/>
        <v>0</v>
      </c>
      <c r="Q82" s="68">
        <f t="shared" ca="1" si="35"/>
        <v>0</v>
      </c>
      <c r="R82" s="67">
        <f ca="1">IFERROR(__xludf.DUMMYFUNCTION("IMPORTRANGE(""https://docs.google.com/spreadsheets/d/17ht0gPKzzT3PObBL1XJkeRmntBXI7wGjpLV7QorqlTk/edit?usp=sharing"",""พัทลุง!Q94"")"),84420)</f>
        <v>84420</v>
      </c>
      <c r="S82" s="67">
        <f ca="1">IFERROR(__xludf.DUMMYFUNCTION("IMPORTRANGE(""https://docs.google.com/spreadsheets/d/17ht0gPKzzT3PObBL1XJkeRmntBXI7wGjpLV7QorqlTk/edit?usp=sharing"",""พัทลุง!R94"")"),74420)</f>
        <v>74420</v>
      </c>
      <c r="T82" s="67">
        <f ca="1">IFERROR(__xludf.DUMMYFUNCTION("IMPORTRANGE(""https://docs.google.com/spreadsheets/d/17ht0gPKzzT3PObBL1XJkeRmntBXI7wGjpLV7QorqlTk/edit?usp=sharing"",""พัทลุง!S94"")"),51000)</f>
        <v>51000</v>
      </c>
      <c r="U82" s="68">
        <f t="shared" ca="1" si="37"/>
        <v>60.412224591329071</v>
      </c>
      <c r="V82" s="68">
        <f t="shared" ca="1" si="38"/>
        <v>68.529965063155061</v>
      </c>
      <c r="W82" s="74">
        <f ca="1">IFERROR(__xludf.DUMMYFUNCTION("IMPORTRANGE(""https://docs.google.com/spreadsheets/d/17ht0gPKzzT3PObBL1XJkeRmntBXI7wGjpLV7QorqlTk/edit?usp=sharing"",""พัทลุง!I108"")"),30)</f>
        <v>30</v>
      </c>
      <c r="X82" s="74">
        <f ca="1">IFERROR(__xludf.DUMMYFUNCTION("IMPORTRANGE(""https://docs.google.com/spreadsheets/d/17ht0gPKzzT3PObBL1XJkeRmntBXI7wGjpLV7QorqlTk/edit?usp=sharing"",""พัทลุง!J108"")"),30)</f>
        <v>30</v>
      </c>
      <c r="Y82" s="79">
        <f t="shared" ca="1" si="40"/>
        <v>100</v>
      </c>
      <c r="Z82" s="74">
        <f ca="1">IFERROR(__xludf.DUMMYFUNCTION("IMPORTRANGE(""https://docs.google.com/spreadsheets/d/17ht0gPKzzT3PObBL1XJkeRmntBXI7wGjpLV7QorqlTk/edit?usp=sharing"",""พัทลุง!I109"")"),10)</f>
        <v>10</v>
      </c>
      <c r="AA82" s="74">
        <f ca="1">IFERROR(__xludf.DUMMYFUNCTION("IMPORTRANGE(""https://docs.google.com/spreadsheets/d/17ht0gPKzzT3PObBL1XJkeRmntBXI7wGjpLV7QorqlTk/edit?usp=sharing"",""พัทลุง!J109"")"),10)</f>
        <v>10</v>
      </c>
      <c r="AB82" s="79">
        <f t="shared" ca="1" si="42"/>
        <v>100</v>
      </c>
      <c r="AC82" s="74">
        <f ca="1">IFERROR(__xludf.DUMMYFUNCTION("IMPORTRANGE(""https://docs.google.com/spreadsheets/d/17ht0gPKzzT3PObBL1XJkeRmntBXI7wGjpLV7QorqlTk/edit?usp=sharing"",""พัทลุง!I113"")"),30)</f>
        <v>30</v>
      </c>
      <c r="AD82" s="74">
        <f ca="1">IFERROR(__xludf.DUMMYFUNCTION("IMPORTRANGE(""https://docs.google.com/spreadsheets/d/17ht0gPKzzT3PObBL1XJkeRmntBXI7wGjpLV7QorqlTk/edit?usp=sharing"",""พัทลุง!J113"")"),30)</f>
        <v>30</v>
      </c>
      <c r="AE82" s="79">
        <f t="shared" ca="1" si="44"/>
        <v>100</v>
      </c>
      <c r="AF82" s="74">
        <f ca="1">IFERROR(__xludf.DUMMYFUNCTION("IMPORTRANGE(""https://docs.google.com/spreadsheets/d/17ht0gPKzzT3PObBL1XJkeRmntBXI7wGjpLV7QorqlTk/edit?usp=sharing"",""พัทลุง!I114"")"),10)</f>
        <v>10</v>
      </c>
      <c r="AG82" s="74">
        <f ca="1">IFERROR(__xludf.DUMMYFUNCTION("IMPORTRANGE(""https://docs.google.com/spreadsheets/d/17ht0gPKzzT3PObBL1XJkeRmntBXI7wGjpLV7QorqlTk/edit?usp=sharing"",""พัทลุง!J114"")"),10)</f>
        <v>10</v>
      </c>
      <c r="AH82" s="79">
        <f t="shared" ca="1" si="46"/>
        <v>100</v>
      </c>
    </row>
    <row r="83" spans="1:34" ht="21" customHeight="1" x14ac:dyDescent="0.3">
      <c r="A83" s="147">
        <v>9</v>
      </c>
      <c r="B83" s="148" t="s">
        <v>111</v>
      </c>
      <c r="C83" s="149">
        <f t="shared" ca="1" si="28"/>
        <v>0</v>
      </c>
      <c r="D83" s="150">
        <f t="shared" ca="1" si="68"/>
        <v>0</v>
      </c>
      <c r="E83" s="151">
        <f ca="1">IFERROR(__xludf.DUMMYFUNCTION("IMPORTRANGE(""https://docs.google.com/spreadsheets/d/1-uDff_7J0KD5mKrp0Vvzr7lt3OU09vwQwhkpOPPYv2Y/edit?usp=sharing"",""งบพรบ!AX83"")"),0)</f>
        <v>0</v>
      </c>
      <c r="F83" s="151">
        <f ca="1">IFERROR(__xludf.DUMMYFUNCTION("IMPORTRANGE(""https://docs.google.com/spreadsheets/d/1-uDff_7J0KD5mKrp0Vvzr7lt3OU09vwQwhkpOPPYv2Y/edit?usp=sharing"",""งบพรบ!AY83"")"),0)</f>
        <v>0</v>
      </c>
      <c r="G83" s="151">
        <f ca="1">IFERROR(__xludf.DUMMYFUNCTION("IMPORTRANGE(""https://docs.google.com/spreadsheets/d/1-uDff_7J0KD5mKrp0Vvzr7lt3OU09vwQwhkpOPPYv2Y/edit?usp=sharing"",""งบพรบ!AZ83"")"),0)</f>
        <v>0</v>
      </c>
      <c r="H83" s="151">
        <f ca="1">IFERROR(__xludf.DUMMYFUNCTION("IMPORTRANGE(""https://docs.google.com/spreadsheets/d/1-uDff_7J0KD5mKrp0Vvzr7lt3OU09vwQwhkpOPPYv2Y/edit?usp=sharing"",""งบพรบ!BB83"")"),0)</f>
        <v>0</v>
      </c>
      <c r="I83" s="151">
        <f ca="1">IFERROR(__xludf.DUMMYFUNCTION("IMPORTRANGE(""https://docs.google.com/spreadsheets/d/1-uDff_7J0KD5mKrp0Vvzr7lt3OU09vwQwhkpOPPYv2Y/edit?usp=sharing"",""งบพรบ!BC83"")"),0)</f>
        <v>0</v>
      </c>
      <c r="J83" s="151">
        <f t="shared" ca="1" si="30"/>
        <v>0</v>
      </c>
      <c r="K83" s="154">
        <f t="shared" ca="1" si="31"/>
        <v>0</v>
      </c>
      <c r="L83" s="151">
        <f ca="1">IFERROR(__xludf.DUMMYFUNCTION("IMPORTRANGE(""https://docs.google.com/spreadsheets/d/1-uDff_7J0KD5mKrp0Vvzr7lt3OU09vwQwhkpOPPYv2Y/edit?usp=sharing"",""งบพรบ!BD83"")"),0)</f>
        <v>0</v>
      </c>
      <c r="M83" s="68">
        <f t="shared" ca="1" si="32"/>
        <v>0</v>
      </c>
      <c r="N83" s="68">
        <f t="shared" ca="1" si="33"/>
        <v>0</v>
      </c>
      <c r="O83" s="67">
        <f ca="1">IFERROR(__xludf.DUMMYFUNCTION("IMPORTRANGE(""https://docs.google.com/spreadsheets/d/1-uDff_7J0KD5mKrp0Vvzr7lt3OU09vwQwhkpOPPYv2Y/edit?usp=sharing"",""งบพรบ!BE83"")"),0)</f>
        <v>0</v>
      </c>
      <c r="P83" s="67">
        <f t="shared" ca="1" si="34"/>
        <v>0</v>
      </c>
      <c r="Q83" s="68">
        <f t="shared" ca="1" si="35"/>
        <v>0</v>
      </c>
      <c r="R83" s="67">
        <f ca="1">IFERROR(__xludf.DUMMYFUNCTION("IMPORTRANGE(""https://docs.google.com/spreadsheets/d/1rd4qoM1q_hsgaolqNGfrim9gbsoLxQsda4-vOz5x_BM/edit?usp=sharing"",""ภูเก็ต!Q94"")"),0)</f>
        <v>0</v>
      </c>
      <c r="S83" s="67">
        <f ca="1">IFERROR(__xludf.DUMMYFUNCTION("IMPORTRANGE(""https://docs.google.com/spreadsheets/d/1rd4qoM1q_hsgaolqNGfrim9gbsoLxQsda4-vOz5x_BM/edit?usp=sharing"",""ภูเก็ต!R94"")"),0)</f>
        <v>0</v>
      </c>
      <c r="T83" s="67">
        <f ca="1">IFERROR(__xludf.DUMMYFUNCTION("IMPORTRANGE(""https://docs.google.com/spreadsheets/d/1rd4qoM1q_hsgaolqNGfrim9gbsoLxQsda4-vOz5x_BM/edit?usp=sharing"",""ภูเก็ต!S94"")"),0)</f>
        <v>0</v>
      </c>
      <c r="U83" s="68">
        <f t="shared" ca="1" si="37"/>
        <v>0</v>
      </c>
      <c r="V83" s="68">
        <f t="shared" ca="1" si="38"/>
        <v>0</v>
      </c>
      <c r="W83" s="74">
        <f ca="1">IFERROR(__xludf.DUMMYFUNCTION("IMPORTRANGE(""https://docs.google.com/spreadsheets/d/1rd4qoM1q_hsgaolqNGfrim9gbsoLxQsda4-vOz5x_BM/edit?usp=sharing"",""ภูเก็ต!I108"")"),0)</f>
        <v>0</v>
      </c>
      <c r="X83" s="74">
        <f ca="1">IFERROR(__xludf.DUMMYFUNCTION("IMPORTRANGE(""https://docs.google.com/spreadsheets/d/1rd4qoM1q_hsgaolqNGfrim9gbsoLxQsda4-vOz5x_BM/edit?usp=sharing"",""ภูเก็ต!J108"")"),0)</f>
        <v>0</v>
      </c>
      <c r="Y83" s="79">
        <f t="shared" ca="1" si="40"/>
        <v>0</v>
      </c>
      <c r="Z83" s="74">
        <f ca="1">IFERROR(__xludf.DUMMYFUNCTION("IMPORTRANGE(""https://docs.google.com/spreadsheets/d/1rd4qoM1q_hsgaolqNGfrim9gbsoLxQsda4-vOz5x_BM/edit?usp=sharing"",""ภูเก็ต!I109"")"),0)</f>
        <v>0</v>
      </c>
      <c r="AA83" s="74">
        <f ca="1">IFERROR(__xludf.DUMMYFUNCTION("IMPORTRANGE(""https://docs.google.com/spreadsheets/d/1rd4qoM1q_hsgaolqNGfrim9gbsoLxQsda4-vOz5x_BM/edit?usp=sharing"",""ภูเก็ต!J109"")"),0)</f>
        <v>0</v>
      </c>
      <c r="AB83" s="79">
        <f t="shared" ca="1" si="42"/>
        <v>0</v>
      </c>
      <c r="AC83" s="74">
        <f ca="1">IFERROR(__xludf.DUMMYFUNCTION("IMPORTRANGE(""https://docs.google.com/spreadsheets/d/1rd4qoM1q_hsgaolqNGfrim9gbsoLxQsda4-vOz5x_BM/edit?usp=sharing"",""ภูเก็ต!I113"")"),0)</f>
        <v>0</v>
      </c>
      <c r="AD83" s="74">
        <f ca="1">IFERROR(__xludf.DUMMYFUNCTION("IMPORTRANGE(""https://docs.google.com/spreadsheets/d/1rd4qoM1q_hsgaolqNGfrim9gbsoLxQsda4-vOz5x_BM/edit?usp=sharing"",""ภูเก็ต!J113"")"),0)</f>
        <v>0</v>
      </c>
      <c r="AE83" s="79">
        <f t="shared" ca="1" si="44"/>
        <v>0</v>
      </c>
      <c r="AF83" s="74">
        <f ca="1">IFERROR(__xludf.DUMMYFUNCTION("IMPORTRANGE(""https://docs.google.com/spreadsheets/d/1rd4qoM1q_hsgaolqNGfrim9gbsoLxQsda4-vOz5x_BM/edit?usp=sharing"",""ภูเก็ต!I114"")"),0)</f>
        <v>0</v>
      </c>
      <c r="AG83" s="74">
        <f ca="1">IFERROR(__xludf.DUMMYFUNCTION("IMPORTRANGE(""https://docs.google.com/spreadsheets/d/1rd4qoM1q_hsgaolqNGfrim9gbsoLxQsda4-vOz5x_BM/edit?usp=sharing"",""ภูเก็ต!J114"")"),0)</f>
        <v>0</v>
      </c>
      <c r="AH83" s="79">
        <f t="shared" ca="1" si="46"/>
        <v>0</v>
      </c>
    </row>
    <row r="84" spans="1:34" ht="21" customHeight="1" x14ac:dyDescent="0.3">
      <c r="A84" s="147">
        <v>10</v>
      </c>
      <c r="B84" s="148" t="s">
        <v>112</v>
      </c>
      <c r="C84" s="149">
        <f t="shared" ca="1" si="28"/>
        <v>0</v>
      </c>
      <c r="D84" s="150">
        <f t="shared" ca="1" si="68"/>
        <v>0</v>
      </c>
      <c r="E84" s="151">
        <f ca="1">IFERROR(__xludf.DUMMYFUNCTION("IMPORTRANGE(""https://docs.google.com/spreadsheets/d/1-uDff_7J0KD5mKrp0Vvzr7lt3OU09vwQwhkpOPPYv2Y/edit?usp=sharing"",""งบพรบ!AX84"")"),0)</f>
        <v>0</v>
      </c>
      <c r="F84" s="151">
        <f ca="1">IFERROR(__xludf.DUMMYFUNCTION("IMPORTRANGE(""https://docs.google.com/spreadsheets/d/1-uDff_7J0KD5mKrp0Vvzr7lt3OU09vwQwhkpOPPYv2Y/edit?usp=sharing"",""งบพรบ!AY84"")"),0)</f>
        <v>0</v>
      </c>
      <c r="G84" s="151">
        <f ca="1">IFERROR(__xludf.DUMMYFUNCTION("IMPORTRANGE(""https://docs.google.com/spreadsheets/d/1-uDff_7J0KD5mKrp0Vvzr7lt3OU09vwQwhkpOPPYv2Y/edit?usp=sharing"",""งบพรบ!AZ84"")"),0)</f>
        <v>0</v>
      </c>
      <c r="H84" s="151">
        <f ca="1">IFERROR(__xludf.DUMMYFUNCTION("IMPORTRANGE(""https://docs.google.com/spreadsheets/d/1-uDff_7J0KD5mKrp0Vvzr7lt3OU09vwQwhkpOPPYv2Y/edit?usp=sharing"",""งบพรบ!BB84"")"),0)</f>
        <v>0</v>
      </c>
      <c r="I84" s="151">
        <f ca="1">IFERROR(__xludf.DUMMYFUNCTION("IMPORTRANGE(""https://docs.google.com/spreadsheets/d/1-uDff_7J0KD5mKrp0Vvzr7lt3OU09vwQwhkpOPPYv2Y/edit?usp=sharing"",""งบพรบ!BC84"")"),0)</f>
        <v>0</v>
      </c>
      <c r="J84" s="151">
        <f t="shared" ca="1" si="30"/>
        <v>0</v>
      </c>
      <c r="K84" s="154">
        <f t="shared" ca="1" si="31"/>
        <v>0</v>
      </c>
      <c r="L84" s="151">
        <f ca="1">IFERROR(__xludf.DUMMYFUNCTION("IMPORTRANGE(""https://docs.google.com/spreadsheets/d/1-uDff_7J0KD5mKrp0Vvzr7lt3OU09vwQwhkpOPPYv2Y/edit?usp=sharing"",""งบพรบ!BD84"")"),0)</f>
        <v>0</v>
      </c>
      <c r="M84" s="68">
        <f t="shared" ca="1" si="32"/>
        <v>0</v>
      </c>
      <c r="N84" s="68">
        <f t="shared" ca="1" si="33"/>
        <v>0</v>
      </c>
      <c r="O84" s="67">
        <f ca="1">IFERROR(__xludf.DUMMYFUNCTION("IMPORTRANGE(""https://docs.google.com/spreadsheets/d/1-uDff_7J0KD5mKrp0Vvzr7lt3OU09vwQwhkpOPPYv2Y/edit?usp=sharing"",""งบพรบ!BE84"")"),0)</f>
        <v>0</v>
      </c>
      <c r="P84" s="67">
        <f t="shared" ca="1" si="34"/>
        <v>0</v>
      </c>
      <c r="Q84" s="68">
        <f t="shared" ca="1" si="35"/>
        <v>0</v>
      </c>
      <c r="R84" s="67">
        <f ca="1">IFERROR(__xludf.DUMMYFUNCTION("IMPORTRANGE(""https://docs.google.com/spreadsheets/d/1woKwKjgoLssDvPcPeVyezB5izizAn4X1JDrys69n6xI/edit?usp=sharing"",""ยะลา!Q94"")"),0)</f>
        <v>0</v>
      </c>
      <c r="S84" s="67">
        <f ca="1">IFERROR(__xludf.DUMMYFUNCTION("IMPORTRANGE(""https://docs.google.com/spreadsheets/d/1woKwKjgoLssDvPcPeVyezB5izizAn4X1JDrys69n6xI/edit?usp=sharing"",""ยะลา!R94"")"),0)</f>
        <v>0</v>
      </c>
      <c r="T84" s="67">
        <f ca="1">IFERROR(__xludf.DUMMYFUNCTION("IMPORTRANGE(""https://docs.google.com/spreadsheets/d/1woKwKjgoLssDvPcPeVyezB5izizAn4X1JDrys69n6xI/edit?usp=sharing"",""ยะลา!S94"")"),0)</f>
        <v>0</v>
      </c>
      <c r="U84" s="68">
        <f t="shared" ca="1" si="37"/>
        <v>0</v>
      </c>
      <c r="V84" s="68">
        <f t="shared" ca="1" si="38"/>
        <v>0</v>
      </c>
      <c r="W84" s="74">
        <f ca="1">IFERROR(__xludf.DUMMYFUNCTION("IMPORTRANGE(""https://docs.google.com/spreadsheets/d/1woKwKjgoLssDvPcPeVyezB5izizAn4X1JDrys69n6xI/edit?usp=sharing"",""ยะลา!I108"")"),0)</f>
        <v>0</v>
      </c>
      <c r="X84" s="74">
        <f ca="1">IFERROR(__xludf.DUMMYFUNCTION("IMPORTRANGE(""https://docs.google.com/spreadsheets/d/1woKwKjgoLssDvPcPeVyezB5izizAn4X1JDrys69n6xI/edit?usp=sharing"",""ยะลา!J108"")"),0)</f>
        <v>0</v>
      </c>
      <c r="Y84" s="79">
        <f t="shared" ca="1" si="40"/>
        <v>0</v>
      </c>
      <c r="Z84" s="74">
        <f ca="1">IFERROR(__xludf.DUMMYFUNCTION("IMPORTRANGE(""https://docs.google.com/spreadsheets/d/1woKwKjgoLssDvPcPeVyezB5izizAn4X1JDrys69n6xI/edit?usp=sharing"",""ยะลา!I109"")"),0)</f>
        <v>0</v>
      </c>
      <c r="AA84" s="74">
        <f ca="1">IFERROR(__xludf.DUMMYFUNCTION("IMPORTRANGE(""https://docs.google.com/spreadsheets/d/1woKwKjgoLssDvPcPeVyezB5izizAn4X1JDrys69n6xI/edit?usp=sharing"",""ยะลา!J109"")"),0)</f>
        <v>0</v>
      </c>
      <c r="AB84" s="79">
        <f t="shared" ca="1" si="42"/>
        <v>0</v>
      </c>
      <c r="AC84" s="74">
        <f ca="1">IFERROR(__xludf.DUMMYFUNCTION("IMPORTRANGE(""https://docs.google.com/spreadsheets/d/1woKwKjgoLssDvPcPeVyezB5izizAn4X1JDrys69n6xI/edit?usp=sharing"",""ยะลา!I113"")"),0)</f>
        <v>0</v>
      </c>
      <c r="AD84" s="74">
        <f ca="1">IFERROR(__xludf.DUMMYFUNCTION("IMPORTRANGE(""https://docs.google.com/spreadsheets/d/1woKwKjgoLssDvPcPeVyezB5izizAn4X1JDrys69n6xI/edit?usp=sharing"",""ยะลา!J113"")"),0)</f>
        <v>0</v>
      </c>
      <c r="AE84" s="79">
        <f t="shared" ca="1" si="44"/>
        <v>0</v>
      </c>
      <c r="AF84" s="74">
        <f ca="1">IFERROR(__xludf.DUMMYFUNCTION("IMPORTRANGE(""https://docs.google.com/spreadsheets/d/1woKwKjgoLssDvPcPeVyezB5izizAn4X1JDrys69n6xI/edit?usp=sharing"",""ยะลา!I114"")"),0)</f>
        <v>0</v>
      </c>
      <c r="AG84" s="74">
        <f ca="1">IFERROR(__xludf.DUMMYFUNCTION("IMPORTRANGE(""https://docs.google.com/spreadsheets/d/1woKwKjgoLssDvPcPeVyezB5izizAn4X1JDrys69n6xI/edit?usp=sharing"",""ยะลา!J114"")"),0)</f>
        <v>0</v>
      </c>
      <c r="AH84" s="79">
        <f t="shared" ca="1" si="46"/>
        <v>0</v>
      </c>
    </row>
    <row r="85" spans="1:34" ht="21" customHeight="1" x14ac:dyDescent="0.3">
      <c r="A85" s="147">
        <v>11</v>
      </c>
      <c r="B85" s="148" t="s">
        <v>113</v>
      </c>
      <c r="C85" s="149">
        <f t="shared" ca="1" si="28"/>
        <v>0</v>
      </c>
      <c r="D85" s="150">
        <f t="shared" ca="1" si="68"/>
        <v>0</v>
      </c>
      <c r="E85" s="151">
        <f ca="1">IFERROR(__xludf.DUMMYFUNCTION("IMPORTRANGE(""https://docs.google.com/spreadsheets/d/1-uDff_7J0KD5mKrp0Vvzr7lt3OU09vwQwhkpOPPYv2Y/edit?usp=sharing"",""งบพรบ!AX85"")"),0)</f>
        <v>0</v>
      </c>
      <c r="F85" s="151">
        <f ca="1">IFERROR(__xludf.DUMMYFUNCTION("IMPORTRANGE(""https://docs.google.com/spreadsheets/d/1-uDff_7J0KD5mKrp0Vvzr7lt3OU09vwQwhkpOPPYv2Y/edit?usp=sharing"",""งบพรบ!AY85"")"),0)</f>
        <v>0</v>
      </c>
      <c r="G85" s="151">
        <f ca="1">IFERROR(__xludf.DUMMYFUNCTION("IMPORTRANGE(""https://docs.google.com/spreadsheets/d/1-uDff_7J0KD5mKrp0Vvzr7lt3OU09vwQwhkpOPPYv2Y/edit?usp=sharing"",""งบพรบ!AZ85"")"),0)</f>
        <v>0</v>
      </c>
      <c r="H85" s="151">
        <f ca="1">IFERROR(__xludf.DUMMYFUNCTION("IMPORTRANGE(""https://docs.google.com/spreadsheets/d/1-uDff_7J0KD5mKrp0Vvzr7lt3OU09vwQwhkpOPPYv2Y/edit?usp=sharing"",""งบพรบ!BB85"")"),0)</f>
        <v>0</v>
      </c>
      <c r="I85" s="151">
        <f ca="1">IFERROR(__xludf.DUMMYFUNCTION("IMPORTRANGE(""https://docs.google.com/spreadsheets/d/1-uDff_7J0KD5mKrp0Vvzr7lt3OU09vwQwhkpOPPYv2Y/edit?usp=sharing"",""งบพรบ!BC85"")"),0)</f>
        <v>0</v>
      </c>
      <c r="J85" s="151">
        <f t="shared" ca="1" si="30"/>
        <v>0</v>
      </c>
      <c r="K85" s="154">
        <f t="shared" ca="1" si="31"/>
        <v>0</v>
      </c>
      <c r="L85" s="151">
        <f ca="1">IFERROR(__xludf.DUMMYFUNCTION("IMPORTRANGE(""https://docs.google.com/spreadsheets/d/1-uDff_7J0KD5mKrp0Vvzr7lt3OU09vwQwhkpOPPYv2Y/edit?usp=sharing"",""งบพรบ!BD85"")"),0)</f>
        <v>0</v>
      </c>
      <c r="M85" s="68">
        <f t="shared" ca="1" si="32"/>
        <v>0</v>
      </c>
      <c r="N85" s="68">
        <f t="shared" ca="1" si="33"/>
        <v>0</v>
      </c>
      <c r="O85" s="67">
        <f ca="1">IFERROR(__xludf.DUMMYFUNCTION("IMPORTRANGE(""https://docs.google.com/spreadsheets/d/1-uDff_7J0KD5mKrp0Vvzr7lt3OU09vwQwhkpOPPYv2Y/edit?usp=sharing"",""งบพรบ!BE85"")"),0)</f>
        <v>0</v>
      </c>
      <c r="P85" s="67">
        <f t="shared" ca="1" si="34"/>
        <v>0</v>
      </c>
      <c r="Q85" s="68">
        <f t="shared" ca="1" si="35"/>
        <v>0</v>
      </c>
      <c r="R85" s="67">
        <f ca="1">IFERROR(__xludf.DUMMYFUNCTION("IMPORTRANGE(""https://docs.google.com/spreadsheets/d/1qfrKjzMhm2HJfxQ-qVlJlJQ25Hne1d0khsySbZyGtPA/edit?usp=sharing"",""ระนอง!Q94"")"),0)</f>
        <v>0</v>
      </c>
      <c r="S85" s="67">
        <f ca="1">IFERROR(__xludf.DUMMYFUNCTION("IMPORTRANGE(""https://docs.google.com/spreadsheets/d/1qfrKjzMhm2HJfxQ-qVlJlJQ25Hne1d0khsySbZyGtPA/edit?usp=sharing"",""ระนอง!R94"")"),0)</f>
        <v>0</v>
      </c>
      <c r="T85" s="67">
        <f ca="1">IFERROR(__xludf.DUMMYFUNCTION("IMPORTRANGE(""https://docs.google.com/spreadsheets/d/1qfrKjzMhm2HJfxQ-qVlJlJQ25Hne1d0khsySbZyGtPA/edit?usp=sharing"",""ระนอง!S94"")"),0)</f>
        <v>0</v>
      </c>
      <c r="U85" s="68">
        <f t="shared" ca="1" si="37"/>
        <v>0</v>
      </c>
      <c r="V85" s="68">
        <f t="shared" ca="1" si="38"/>
        <v>0</v>
      </c>
      <c r="W85" s="74">
        <f ca="1">IFERROR(__xludf.DUMMYFUNCTION("IMPORTRANGE(""https://docs.google.com/spreadsheets/d/1qfrKjzMhm2HJfxQ-qVlJlJQ25Hne1d0khsySbZyGtPA/edit?usp=sharing"",""ระนอง!I108"")"),0)</f>
        <v>0</v>
      </c>
      <c r="X85" s="74">
        <f ca="1">IFERROR(__xludf.DUMMYFUNCTION("IMPORTRANGE(""https://docs.google.com/spreadsheets/d/1qfrKjzMhm2HJfxQ-qVlJlJQ25Hne1d0khsySbZyGtPA/edit?usp=sharing"",""ระนอง!J108"")"),0)</f>
        <v>0</v>
      </c>
      <c r="Y85" s="79">
        <f t="shared" ca="1" si="40"/>
        <v>0</v>
      </c>
      <c r="Z85" s="74">
        <f ca="1">IFERROR(__xludf.DUMMYFUNCTION("IMPORTRANGE(""https://docs.google.com/spreadsheets/d/1qfrKjzMhm2HJfxQ-qVlJlJQ25Hne1d0khsySbZyGtPA/edit?usp=sharing"",""ระนอง!I109"")"),0)</f>
        <v>0</v>
      </c>
      <c r="AA85" s="74">
        <f ca="1">IFERROR(__xludf.DUMMYFUNCTION("IMPORTRANGE(""https://docs.google.com/spreadsheets/d/1qfrKjzMhm2HJfxQ-qVlJlJQ25Hne1d0khsySbZyGtPA/edit?usp=sharing"",""ระนอง!J109"")"),0)</f>
        <v>0</v>
      </c>
      <c r="AB85" s="79">
        <f t="shared" ca="1" si="42"/>
        <v>0</v>
      </c>
      <c r="AC85" s="74">
        <f ca="1">IFERROR(__xludf.DUMMYFUNCTION("IMPORTRANGE(""https://docs.google.com/spreadsheets/d/1qfrKjzMhm2HJfxQ-qVlJlJQ25Hne1d0khsySbZyGtPA/edit?usp=sharing"",""ระนอง!I113"")"),0)</f>
        <v>0</v>
      </c>
      <c r="AD85" s="74">
        <f ca="1">IFERROR(__xludf.DUMMYFUNCTION("IMPORTRANGE(""https://docs.google.com/spreadsheets/d/1qfrKjzMhm2HJfxQ-qVlJlJQ25Hne1d0khsySbZyGtPA/edit?usp=sharing"",""ระนอง!J113"")"),0)</f>
        <v>0</v>
      </c>
      <c r="AE85" s="79">
        <f t="shared" ca="1" si="44"/>
        <v>0</v>
      </c>
      <c r="AF85" s="74">
        <f ca="1">IFERROR(__xludf.DUMMYFUNCTION("IMPORTRANGE(""https://docs.google.com/spreadsheets/d/1qfrKjzMhm2HJfxQ-qVlJlJQ25Hne1d0khsySbZyGtPA/edit?usp=sharing"",""ระนอง!I114"")"),0)</f>
        <v>0</v>
      </c>
      <c r="AG85" s="74">
        <f ca="1">IFERROR(__xludf.DUMMYFUNCTION("IMPORTRANGE(""https://docs.google.com/spreadsheets/d/1qfrKjzMhm2HJfxQ-qVlJlJQ25Hne1d0khsySbZyGtPA/edit?usp=sharing"",""ระนอง!J114"")"),0)</f>
        <v>0</v>
      </c>
      <c r="AH85" s="79">
        <f t="shared" ca="1" si="46"/>
        <v>0</v>
      </c>
    </row>
    <row r="86" spans="1:34" ht="24" customHeight="1" x14ac:dyDescent="0.3">
      <c r="A86" s="147">
        <v>12</v>
      </c>
      <c r="B86" s="148" t="s">
        <v>114</v>
      </c>
      <c r="C86" s="149">
        <f t="shared" ca="1" si="28"/>
        <v>17400</v>
      </c>
      <c r="D86" s="150">
        <f t="shared" ca="1" si="68"/>
        <v>17400</v>
      </c>
      <c r="E86" s="151">
        <f ca="1">IFERROR(__xludf.DUMMYFUNCTION("IMPORTRANGE(""https://docs.google.com/spreadsheets/d/1-uDff_7J0KD5mKrp0Vvzr7lt3OU09vwQwhkpOPPYv2Y/edit?usp=sharing"",""งบพรบ!AX86"")"),0)</f>
        <v>0</v>
      </c>
      <c r="F86" s="151">
        <f ca="1">IFERROR(__xludf.DUMMYFUNCTION("IMPORTRANGE(""https://docs.google.com/spreadsheets/d/1-uDff_7J0KD5mKrp0Vvzr7lt3OU09vwQwhkpOPPYv2Y/edit?usp=sharing"",""งบพรบ!AY86"")"),17400)</f>
        <v>17400</v>
      </c>
      <c r="G86" s="151">
        <f ca="1">IFERROR(__xludf.DUMMYFUNCTION("IMPORTRANGE(""https://docs.google.com/spreadsheets/d/1-uDff_7J0KD5mKrp0Vvzr7lt3OU09vwQwhkpOPPYv2Y/edit?usp=sharing"",""งบพรบ!AZ86"")"),0)</f>
        <v>0</v>
      </c>
      <c r="H86" s="151">
        <f ca="1">IFERROR(__xludf.DUMMYFUNCTION("IMPORTRANGE(""https://docs.google.com/spreadsheets/d/1-uDff_7J0KD5mKrp0Vvzr7lt3OU09vwQwhkpOPPYv2Y/edit?usp=sharing"",""งบพรบ!BB86"")"),17400)</f>
        <v>17400</v>
      </c>
      <c r="I86" s="151">
        <f ca="1">IFERROR(__xludf.DUMMYFUNCTION("IMPORTRANGE(""https://docs.google.com/spreadsheets/d/1-uDff_7J0KD5mKrp0Vvzr7lt3OU09vwQwhkpOPPYv2Y/edit?usp=sharing"",""งบพรบ!BC86"")"),0)</f>
        <v>0</v>
      </c>
      <c r="J86" s="151">
        <f t="shared" ca="1" si="30"/>
        <v>17400</v>
      </c>
      <c r="K86" s="154">
        <f t="shared" ca="1" si="31"/>
        <v>100</v>
      </c>
      <c r="L86" s="151">
        <f ca="1">IFERROR(__xludf.DUMMYFUNCTION("IMPORTRANGE(""https://docs.google.com/spreadsheets/d/1-uDff_7J0KD5mKrp0Vvzr7lt3OU09vwQwhkpOPPYv2Y/edit?usp=sharing"",""งบพรบ!BD86"")"),17400)</f>
        <v>17400</v>
      </c>
      <c r="M86" s="68">
        <f t="shared" ca="1" si="32"/>
        <v>100</v>
      </c>
      <c r="N86" s="68">
        <f t="shared" ca="1" si="33"/>
        <v>100</v>
      </c>
      <c r="O86" s="67">
        <f ca="1">IFERROR(__xludf.DUMMYFUNCTION("IMPORTRANGE(""https://docs.google.com/spreadsheets/d/1-uDff_7J0KD5mKrp0Vvzr7lt3OU09vwQwhkpOPPYv2Y/edit?usp=sharing"",""งบพรบ!BE86"")"),0)</f>
        <v>0</v>
      </c>
      <c r="P86" s="67">
        <f t="shared" ca="1" si="34"/>
        <v>0</v>
      </c>
      <c r="Q86" s="68">
        <f t="shared" ca="1" si="35"/>
        <v>0</v>
      </c>
      <c r="R86" s="67">
        <f ca="1">IFERROR(__xludf.DUMMYFUNCTION("IMPORTRANGE(""https://docs.google.com/spreadsheets/d/1IbSCnFOKpZsnFogBHJnL_isstZVaOMnFiIN0fGTPZZw/edit?usp=sharing"",""สงขลา!Q94"")"),244818)</f>
        <v>244818</v>
      </c>
      <c r="S86" s="67">
        <f ca="1">IFERROR(__xludf.DUMMYFUNCTION("IMPORTRANGE(""https://docs.google.com/spreadsheets/d/1IbSCnFOKpZsnFogBHJnL_isstZVaOMnFiIN0fGTPZZw/edit?usp=sharing"",""สงขลา!R94"")"),244818)</f>
        <v>244818</v>
      </c>
      <c r="T86" s="67">
        <f ca="1">IFERROR(__xludf.DUMMYFUNCTION("IMPORTRANGE(""https://docs.google.com/spreadsheets/d/1IbSCnFOKpZsnFogBHJnL_isstZVaOMnFiIN0fGTPZZw/edit?usp=sharing"",""สงขลา!S94"")"),144150)</f>
        <v>144150</v>
      </c>
      <c r="U86" s="68">
        <f t="shared" ca="1" si="37"/>
        <v>58.880474474916063</v>
      </c>
      <c r="V86" s="68">
        <f t="shared" ca="1" si="38"/>
        <v>58.880474474916063</v>
      </c>
      <c r="W86" s="74">
        <f ca="1">IFERROR(__xludf.DUMMYFUNCTION("IMPORTRANGE(""https://docs.google.com/spreadsheets/d/1IbSCnFOKpZsnFogBHJnL_isstZVaOMnFiIN0fGTPZZw/edit?usp=sharing"",""สงขลา!I108"")"),87)</f>
        <v>87</v>
      </c>
      <c r="X86" s="74">
        <f ca="1">IFERROR(__xludf.DUMMYFUNCTION("IMPORTRANGE(""https://docs.google.com/spreadsheets/d/1IbSCnFOKpZsnFogBHJnL_isstZVaOMnFiIN0fGTPZZw/edit?usp=sharing"",""สงขลา!J108"")"),87)</f>
        <v>87</v>
      </c>
      <c r="Y86" s="79">
        <f t="shared" ca="1" si="40"/>
        <v>100</v>
      </c>
      <c r="Z86" s="74">
        <f ca="1">IFERROR(__xludf.DUMMYFUNCTION("IMPORTRANGE(""https://docs.google.com/spreadsheets/d/1IbSCnFOKpZsnFogBHJnL_isstZVaOMnFiIN0fGTPZZw/edit?usp=sharing"",""สงขลา!I109"")"),29)</f>
        <v>29</v>
      </c>
      <c r="AA86" s="74">
        <f ca="1">IFERROR(__xludf.DUMMYFUNCTION("IMPORTRANGE(""https://docs.google.com/spreadsheets/d/1IbSCnFOKpZsnFogBHJnL_isstZVaOMnFiIN0fGTPZZw/edit?usp=sharing"",""สงขลา!J109"")"),29)</f>
        <v>29</v>
      </c>
      <c r="AB86" s="79">
        <f t="shared" ca="1" si="42"/>
        <v>100</v>
      </c>
      <c r="AC86" s="74">
        <f ca="1">IFERROR(__xludf.DUMMYFUNCTION("IMPORTRANGE(""https://docs.google.com/spreadsheets/d/1IbSCnFOKpZsnFogBHJnL_isstZVaOMnFiIN0fGTPZZw/edit?usp=sharing"",""สงขลา!I113"")"),87)</f>
        <v>87</v>
      </c>
      <c r="AD86" s="74">
        <f ca="1">IFERROR(__xludf.DUMMYFUNCTION("IMPORTRANGE(""https://docs.google.com/spreadsheets/d/1IbSCnFOKpZsnFogBHJnL_isstZVaOMnFiIN0fGTPZZw/edit?usp=sharing"",""สงขลา!J113"")"),0)</f>
        <v>0</v>
      </c>
      <c r="AE86" s="79">
        <f t="shared" ca="1" si="44"/>
        <v>0</v>
      </c>
      <c r="AF86" s="74">
        <f ca="1">IFERROR(__xludf.DUMMYFUNCTION("IMPORTRANGE(""https://docs.google.com/spreadsheets/d/1IbSCnFOKpZsnFogBHJnL_isstZVaOMnFiIN0fGTPZZw/edit?usp=sharing"",""สงขลา!I114"")"),29)</f>
        <v>29</v>
      </c>
      <c r="AG86" s="74">
        <f ca="1">IFERROR(__xludf.DUMMYFUNCTION("IMPORTRANGE(""https://docs.google.com/spreadsheets/d/1IbSCnFOKpZsnFogBHJnL_isstZVaOMnFiIN0fGTPZZw/edit?usp=sharing"",""สงขลา!J114"")"),0)</f>
        <v>0</v>
      </c>
      <c r="AH86" s="79">
        <f t="shared" ca="1" si="46"/>
        <v>0</v>
      </c>
    </row>
    <row r="87" spans="1:34" ht="24" customHeight="1" x14ac:dyDescent="0.3">
      <c r="A87" s="147">
        <v>13</v>
      </c>
      <c r="B87" s="148" t="s">
        <v>115</v>
      </c>
      <c r="C87" s="149">
        <f t="shared" ca="1" si="28"/>
        <v>6000</v>
      </c>
      <c r="D87" s="150">
        <f t="shared" ca="1" si="68"/>
        <v>6000</v>
      </c>
      <c r="E87" s="151">
        <f ca="1">IFERROR(__xludf.DUMMYFUNCTION("IMPORTRANGE(""https://docs.google.com/spreadsheets/d/1-uDff_7J0KD5mKrp0Vvzr7lt3OU09vwQwhkpOPPYv2Y/edit?usp=sharing"",""งบพรบ!AX87"")"),0)</f>
        <v>0</v>
      </c>
      <c r="F87" s="151">
        <f ca="1">IFERROR(__xludf.DUMMYFUNCTION("IMPORTRANGE(""https://docs.google.com/spreadsheets/d/1-uDff_7J0KD5mKrp0Vvzr7lt3OU09vwQwhkpOPPYv2Y/edit?usp=sharing"",""งบพรบ!AY87"")"),6000)</f>
        <v>6000</v>
      </c>
      <c r="G87" s="151">
        <f ca="1">IFERROR(__xludf.DUMMYFUNCTION("IMPORTRANGE(""https://docs.google.com/spreadsheets/d/1-uDff_7J0KD5mKrp0Vvzr7lt3OU09vwQwhkpOPPYv2Y/edit?usp=sharing"",""งบพรบ!AZ87"")"),0)</f>
        <v>0</v>
      </c>
      <c r="H87" s="151">
        <f ca="1">IFERROR(__xludf.DUMMYFUNCTION("IMPORTRANGE(""https://docs.google.com/spreadsheets/d/1-uDff_7J0KD5mKrp0Vvzr7lt3OU09vwQwhkpOPPYv2Y/edit?usp=sharing"",""งบพรบ!BB87"")"),6000)</f>
        <v>6000</v>
      </c>
      <c r="I87" s="151">
        <f ca="1">IFERROR(__xludf.DUMMYFUNCTION("IMPORTRANGE(""https://docs.google.com/spreadsheets/d/1-uDff_7J0KD5mKrp0Vvzr7lt3OU09vwQwhkpOPPYv2Y/edit?usp=sharing"",""งบพรบ!BC87"")"),0)</f>
        <v>0</v>
      </c>
      <c r="J87" s="151">
        <f t="shared" ca="1" si="30"/>
        <v>6000</v>
      </c>
      <c r="K87" s="154">
        <f t="shared" ca="1" si="31"/>
        <v>100</v>
      </c>
      <c r="L87" s="151">
        <f ca="1">IFERROR(__xludf.DUMMYFUNCTION("IMPORTRANGE(""https://docs.google.com/spreadsheets/d/1-uDff_7J0KD5mKrp0Vvzr7lt3OU09vwQwhkpOPPYv2Y/edit?usp=sharing"",""งบพรบ!BD87"")"),6000)</f>
        <v>6000</v>
      </c>
      <c r="M87" s="68">
        <f t="shared" ca="1" si="32"/>
        <v>100</v>
      </c>
      <c r="N87" s="68">
        <f t="shared" ca="1" si="33"/>
        <v>100</v>
      </c>
      <c r="O87" s="67">
        <f ca="1">IFERROR(__xludf.DUMMYFUNCTION("IMPORTRANGE(""https://docs.google.com/spreadsheets/d/1-uDff_7J0KD5mKrp0Vvzr7lt3OU09vwQwhkpOPPYv2Y/edit?usp=sharing"",""งบพรบ!BE87"")"),0)</f>
        <v>0</v>
      </c>
      <c r="P87" s="67">
        <f t="shared" ca="1" si="34"/>
        <v>0</v>
      </c>
      <c r="Q87" s="68">
        <f t="shared" ca="1" si="35"/>
        <v>0</v>
      </c>
      <c r="R87" s="67">
        <f ca="1">IFERROR(__xludf.DUMMYFUNCTION("IMPORTRANGE(""https://docs.google.com/spreadsheets/d/1q9nWasZJ-K8bFGvbE9n0qSRuKGA4Toe3Y89cKCiVtCU/edit?usp=sharing"",""สตูล!Q94"")"),84420)</f>
        <v>84420</v>
      </c>
      <c r="S87" s="67">
        <f ca="1">IFERROR(__xludf.DUMMYFUNCTION("IMPORTRANGE(""https://docs.google.com/spreadsheets/d/1q9nWasZJ-K8bFGvbE9n0qSRuKGA4Toe3Y89cKCiVtCU/edit?usp=sharing"",""สตูล!R94"")"),84420)</f>
        <v>84420</v>
      </c>
      <c r="T87" s="67">
        <f ca="1">IFERROR(__xludf.DUMMYFUNCTION("IMPORTRANGE(""https://docs.google.com/spreadsheets/d/1q9nWasZJ-K8bFGvbE9n0qSRuKGA4Toe3Y89cKCiVtCU/edit?usp=sharing"",""สตูล!S94"")"),36970)</f>
        <v>36970</v>
      </c>
      <c r="U87" s="68">
        <f t="shared" ca="1" si="37"/>
        <v>43.792940061596781</v>
      </c>
      <c r="V87" s="68">
        <f t="shared" ca="1" si="38"/>
        <v>43.792940061596781</v>
      </c>
      <c r="W87" s="74">
        <f ca="1">IFERROR(__xludf.DUMMYFUNCTION("IMPORTRANGE(""https://docs.google.com/spreadsheets/d/1q9nWasZJ-K8bFGvbE9n0qSRuKGA4Toe3Y89cKCiVtCU/edit?usp=sharing"",""สตูล!I108"")"),30)</f>
        <v>30</v>
      </c>
      <c r="X87" s="74">
        <f ca="1">IFERROR(__xludf.DUMMYFUNCTION("IMPORTRANGE(""https://docs.google.com/spreadsheets/d/1q9nWasZJ-K8bFGvbE9n0qSRuKGA4Toe3Y89cKCiVtCU/edit?usp=sharing"",""สตูล!J108"")"),30)</f>
        <v>30</v>
      </c>
      <c r="Y87" s="79">
        <f t="shared" ca="1" si="40"/>
        <v>100</v>
      </c>
      <c r="Z87" s="74">
        <f ca="1">IFERROR(__xludf.DUMMYFUNCTION("IMPORTRANGE(""https://docs.google.com/spreadsheets/d/1q9nWasZJ-K8bFGvbE9n0qSRuKGA4Toe3Y89cKCiVtCU/edit?usp=sharing"",""สตูล!I109"")"),10)</f>
        <v>10</v>
      </c>
      <c r="AA87" s="74">
        <f ca="1">IFERROR(__xludf.DUMMYFUNCTION("IMPORTRANGE(""https://docs.google.com/spreadsheets/d/1q9nWasZJ-K8bFGvbE9n0qSRuKGA4Toe3Y89cKCiVtCU/edit?usp=sharing"",""สตูล!J109"")"),10)</f>
        <v>10</v>
      </c>
      <c r="AB87" s="79">
        <f t="shared" ca="1" si="42"/>
        <v>100</v>
      </c>
      <c r="AC87" s="74">
        <f ca="1">IFERROR(__xludf.DUMMYFUNCTION("IMPORTRANGE(""https://docs.google.com/spreadsheets/d/1q9nWasZJ-K8bFGvbE9n0qSRuKGA4Toe3Y89cKCiVtCU/edit?usp=sharing"",""สตูล!I113"")"),30)</f>
        <v>30</v>
      </c>
      <c r="AD87" s="74">
        <f ca="1">IFERROR(__xludf.DUMMYFUNCTION("IMPORTRANGE(""https://docs.google.com/spreadsheets/d/1q9nWasZJ-K8bFGvbE9n0qSRuKGA4Toe3Y89cKCiVtCU/edit?usp=sharing"",""สตูล!J113"")"),0)</f>
        <v>0</v>
      </c>
      <c r="AE87" s="79">
        <f t="shared" ca="1" si="44"/>
        <v>0</v>
      </c>
      <c r="AF87" s="74">
        <f ca="1">IFERROR(__xludf.DUMMYFUNCTION("IMPORTRANGE(""https://docs.google.com/spreadsheets/d/1q9nWasZJ-K8bFGvbE9n0qSRuKGA4Toe3Y89cKCiVtCU/edit?usp=sharing"",""สตูล!I114"")"),10)</f>
        <v>10</v>
      </c>
      <c r="AG87" s="74">
        <f ca="1">IFERROR(__xludf.DUMMYFUNCTION("IMPORTRANGE(""https://docs.google.com/spreadsheets/d/1q9nWasZJ-K8bFGvbE9n0qSRuKGA4Toe3Y89cKCiVtCU/edit?usp=sharing"",""สตูล!J114"")"),0)</f>
        <v>0</v>
      </c>
      <c r="AH87" s="79">
        <f t="shared" ca="1" si="46"/>
        <v>0</v>
      </c>
    </row>
    <row r="88" spans="1:34" ht="24" customHeight="1" x14ac:dyDescent="0.3">
      <c r="A88" s="155">
        <v>14</v>
      </c>
      <c r="B88" s="156" t="s">
        <v>116</v>
      </c>
      <c r="C88" s="157">
        <f t="shared" ca="1" si="28"/>
        <v>6000</v>
      </c>
      <c r="D88" s="158">
        <f t="shared" ca="1" si="68"/>
        <v>6000</v>
      </c>
      <c r="E88" s="159">
        <f ca="1">IFERROR(__xludf.DUMMYFUNCTION("IMPORTRANGE(""https://docs.google.com/spreadsheets/d/1-uDff_7J0KD5mKrp0Vvzr7lt3OU09vwQwhkpOPPYv2Y/edit?usp=sharing"",""งบพรบ!AX88"")"),0)</f>
        <v>0</v>
      </c>
      <c r="F88" s="159">
        <f ca="1">IFERROR(__xludf.DUMMYFUNCTION("IMPORTRANGE(""https://docs.google.com/spreadsheets/d/1-uDff_7J0KD5mKrp0Vvzr7lt3OU09vwQwhkpOPPYv2Y/edit?usp=sharing"",""งบพรบ!AY88"")"),6000)</f>
        <v>6000</v>
      </c>
      <c r="G88" s="159">
        <f ca="1">IFERROR(__xludf.DUMMYFUNCTION("IMPORTRANGE(""https://docs.google.com/spreadsheets/d/1-uDff_7J0KD5mKrp0Vvzr7lt3OU09vwQwhkpOPPYv2Y/edit?usp=sharing"",""งบพรบ!AZ88"")"),0)</f>
        <v>0</v>
      </c>
      <c r="H88" s="159">
        <f ca="1">IFERROR(__xludf.DUMMYFUNCTION("IMPORTRANGE(""https://docs.google.com/spreadsheets/d/1-uDff_7J0KD5mKrp0Vvzr7lt3OU09vwQwhkpOPPYv2Y/edit?usp=sharing"",""งบพรบ!BB88"")"),6000)</f>
        <v>6000</v>
      </c>
      <c r="I88" s="159">
        <f ca="1">IFERROR(__xludf.DUMMYFUNCTION("IMPORTRANGE(""https://docs.google.com/spreadsheets/d/1-uDff_7J0KD5mKrp0Vvzr7lt3OU09vwQwhkpOPPYv2Y/edit?usp=sharing"",""งบพรบ!BC88"")"),0)</f>
        <v>0</v>
      </c>
      <c r="J88" s="159">
        <f t="shared" ca="1" si="30"/>
        <v>6000</v>
      </c>
      <c r="K88" s="160">
        <f t="shared" ca="1" si="31"/>
        <v>100</v>
      </c>
      <c r="L88" s="159">
        <f ca="1">IFERROR(__xludf.DUMMYFUNCTION("IMPORTRANGE(""https://docs.google.com/spreadsheets/d/1-uDff_7J0KD5mKrp0Vvzr7lt3OU09vwQwhkpOPPYv2Y/edit?usp=sharing"",""งบพรบ!BD88"")"),6000)</f>
        <v>6000</v>
      </c>
      <c r="M88" s="89">
        <f t="shared" ca="1" si="32"/>
        <v>100</v>
      </c>
      <c r="N88" s="89">
        <f t="shared" ca="1" si="33"/>
        <v>100</v>
      </c>
      <c r="O88" s="88">
        <f ca="1">IFERROR(__xludf.DUMMYFUNCTION("IMPORTRANGE(""https://docs.google.com/spreadsheets/d/1-uDff_7J0KD5mKrp0Vvzr7lt3OU09vwQwhkpOPPYv2Y/edit?usp=sharing"",""งบพรบ!BE88"")"),0)</f>
        <v>0</v>
      </c>
      <c r="P88" s="88">
        <f t="shared" ca="1" si="34"/>
        <v>0</v>
      </c>
      <c r="Q88" s="89">
        <f t="shared" ca="1" si="35"/>
        <v>0</v>
      </c>
      <c r="R88" s="88">
        <f ca="1">IFERROR(__xludf.DUMMYFUNCTION("IMPORTRANGE(""https://docs.google.com/spreadsheets/d/18T20gbkS_WBjdscyTOV05cvq_JqvqQ17C81mpxf7Ncs/edit?usp=sharing"",""สุราษฎร์ธานี!Q94"")"),84420)</f>
        <v>84420</v>
      </c>
      <c r="S88" s="88">
        <f ca="1">IFERROR(__xludf.DUMMYFUNCTION("IMPORTRANGE(""https://docs.google.com/spreadsheets/d/18T20gbkS_WBjdscyTOV05cvq_JqvqQ17C81mpxf7Ncs/edit?usp=sharing"",""สุราษฎร์ธานี!R94"")"),49270)</f>
        <v>49270</v>
      </c>
      <c r="T88" s="88">
        <f ca="1">IFERROR(__xludf.DUMMYFUNCTION("IMPORTRANGE(""https://docs.google.com/spreadsheets/d/18T20gbkS_WBjdscyTOV05cvq_JqvqQ17C81mpxf7Ncs/edit?usp=sharing"",""สุราษฎร์ธานี!S94"")"),49270)</f>
        <v>49270</v>
      </c>
      <c r="U88" s="89">
        <f t="shared" ca="1" si="37"/>
        <v>58.362947168917316</v>
      </c>
      <c r="V88" s="89">
        <f t="shared" ca="1" si="38"/>
        <v>100</v>
      </c>
      <c r="W88" s="84">
        <f ca="1">IFERROR(__xludf.DUMMYFUNCTION("IMPORTRANGE(""https://docs.google.com/spreadsheets/d/18T20gbkS_WBjdscyTOV05cvq_JqvqQ17C81mpxf7Ncs/edit?usp=sharing"",""สุราษฎร์ธานี!I108"")"),30)</f>
        <v>30</v>
      </c>
      <c r="X88" s="84">
        <f ca="1">IFERROR(__xludf.DUMMYFUNCTION("IMPORTRANGE(""https://docs.google.com/spreadsheets/d/18T20gbkS_WBjdscyTOV05cvq_JqvqQ17C81mpxf7Ncs/edit?usp=sharing"",""สุราษฎร์ธานี!J108"")"),30)</f>
        <v>30</v>
      </c>
      <c r="Y88" s="91">
        <f t="shared" ca="1" si="40"/>
        <v>100</v>
      </c>
      <c r="Z88" s="84">
        <f ca="1">IFERROR(__xludf.DUMMYFUNCTION("IMPORTRANGE(""https://docs.google.com/spreadsheets/d/18T20gbkS_WBjdscyTOV05cvq_JqvqQ17C81mpxf7Ncs/edit?usp=sharing"",""สุราษฎร์ธานี!I109"")"),10)</f>
        <v>10</v>
      </c>
      <c r="AA88" s="84">
        <f ca="1">IFERROR(__xludf.DUMMYFUNCTION("IMPORTRANGE(""https://docs.google.com/spreadsheets/d/18T20gbkS_WBjdscyTOV05cvq_JqvqQ17C81mpxf7Ncs/edit?usp=sharing"",""สุราษฎร์ธานี!J109"")"),10)</f>
        <v>10</v>
      </c>
      <c r="AB88" s="91">
        <f t="shared" ca="1" si="42"/>
        <v>100</v>
      </c>
      <c r="AC88" s="84">
        <f ca="1">IFERROR(__xludf.DUMMYFUNCTION("IMPORTRANGE(""https://docs.google.com/spreadsheets/d/18T20gbkS_WBjdscyTOV05cvq_JqvqQ17C81mpxf7Ncs/edit?usp=sharing"",""สุราษฎร์ธานี!I113"")"),30)</f>
        <v>30</v>
      </c>
      <c r="AD88" s="84">
        <f ca="1">IFERROR(__xludf.DUMMYFUNCTION("IMPORTRANGE(""https://docs.google.com/spreadsheets/d/18T20gbkS_WBjdscyTOV05cvq_JqvqQ17C81mpxf7Ncs/edit?usp=sharing"",""สุราษฎร์ธานี!J113"")"),30)</f>
        <v>30</v>
      </c>
      <c r="AE88" s="91">
        <f t="shared" ca="1" si="44"/>
        <v>100</v>
      </c>
      <c r="AF88" s="84">
        <f ca="1">IFERROR(__xludf.DUMMYFUNCTION("IMPORTRANGE(""https://docs.google.com/spreadsheets/d/18T20gbkS_WBjdscyTOV05cvq_JqvqQ17C81mpxf7Ncs/edit?usp=sharing"",""สุราษฎร์ธานี!I114"")"),10)</f>
        <v>10</v>
      </c>
      <c r="AG88" s="84">
        <f ca="1">IFERROR(__xludf.DUMMYFUNCTION("IMPORTRANGE(""https://docs.google.com/spreadsheets/d/18T20gbkS_WBjdscyTOV05cvq_JqvqQ17C81mpxf7Ncs/edit?usp=sharing"",""สุราษฎร์ธานี!J114"")"),10)</f>
        <v>10</v>
      </c>
      <c r="AH88" s="91">
        <f t="shared" ca="1" si="46"/>
        <v>100</v>
      </c>
    </row>
    <row r="89" spans="1:34" ht="21" customHeight="1" x14ac:dyDescent="0.3">
      <c r="A89" s="698" t="s">
        <v>117</v>
      </c>
      <c r="B89" s="662"/>
      <c r="C89" s="39">
        <f t="shared" ref="C89:Q89" ca="1" si="69">SUM(C90:C108)</f>
        <v>571200</v>
      </c>
      <c r="D89" s="39">
        <f t="shared" ca="1" si="69"/>
        <v>571200</v>
      </c>
      <c r="E89" s="39">
        <f t="shared" ca="1" si="69"/>
        <v>439200</v>
      </c>
      <c r="F89" s="39">
        <f t="shared" ca="1" si="69"/>
        <v>132000</v>
      </c>
      <c r="G89" s="39">
        <f t="shared" ca="1" si="69"/>
        <v>0</v>
      </c>
      <c r="H89" s="39">
        <f t="shared" ca="1" si="69"/>
        <v>571240</v>
      </c>
      <c r="I89" s="39">
        <f t="shared" ca="1" si="69"/>
        <v>0</v>
      </c>
      <c r="J89" s="39">
        <f t="shared" ca="1" si="69"/>
        <v>393421.81000000006</v>
      </c>
      <c r="K89" s="40">
        <f t="shared" ca="1" si="69"/>
        <v>191.87834448256149</v>
      </c>
      <c r="L89" s="39">
        <f t="shared" ca="1" si="69"/>
        <v>393421.81000000006</v>
      </c>
      <c r="M89" s="40">
        <f t="shared" ca="1" si="69"/>
        <v>191.87834448256149</v>
      </c>
      <c r="N89" s="40">
        <f t="shared" ca="1" si="69"/>
        <v>257.82631877481566</v>
      </c>
      <c r="O89" s="39">
        <f t="shared" ca="1" si="69"/>
        <v>0</v>
      </c>
      <c r="P89" s="39">
        <f t="shared" ca="1" si="69"/>
        <v>0</v>
      </c>
      <c r="Q89" s="39">
        <f t="shared" ca="1" si="69"/>
        <v>0</v>
      </c>
      <c r="R89" s="39">
        <f t="shared" ref="R89:T89" ca="1" si="70">SUM(R90:R106)</f>
        <v>1290900</v>
      </c>
      <c r="S89" s="39">
        <f t="shared" ca="1" si="70"/>
        <v>1290900</v>
      </c>
      <c r="T89" s="39">
        <f t="shared" ca="1" si="70"/>
        <v>136915.66</v>
      </c>
      <c r="U89" s="39">
        <f t="shared" ca="1" si="37"/>
        <v>10.606217367727941</v>
      </c>
      <c r="V89" s="39">
        <f t="shared" ca="1" si="38"/>
        <v>10.606217367727941</v>
      </c>
      <c r="W89" s="39"/>
      <c r="X89" s="39"/>
      <c r="Y89" s="169"/>
      <c r="Z89" s="39"/>
      <c r="AA89" s="39"/>
      <c r="AB89" s="169"/>
      <c r="AC89" s="39"/>
      <c r="AD89" s="39"/>
      <c r="AE89" s="169"/>
      <c r="AF89" s="39"/>
      <c r="AG89" s="39"/>
      <c r="AH89" s="169"/>
    </row>
    <row r="90" spans="1:34" ht="24" customHeight="1" x14ac:dyDescent="0.3">
      <c r="A90" s="102"/>
      <c r="B90" s="103" t="s">
        <v>118</v>
      </c>
      <c r="C90" s="170">
        <f t="shared" ref="C90:C108" ca="1" si="71">D90+G90</f>
        <v>0</v>
      </c>
      <c r="D90" s="171">
        <f t="shared" ref="D90:D108" ca="1" si="72">+E90+F90</f>
        <v>0</v>
      </c>
      <c r="E90" s="62">
        <f ca="1">IFERROR(__xludf.DUMMYFUNCTION("IMPORTRANGE(""https://docs.google.com/spreadsheets/d/1-uDff_7J0KD5mKrp0Vvzr7lt3OU09vwQwhkpOPPYv2Y/edit?usp=sharing"",""งบพรบ!AX90"")"),0)</f>
        <v>0</v>
      </c>
      <c r="F90" s="62">
        <f ca="1">IFERROR(__xludf.DUMMYFUNCTION("IMPORTRANGE(""https://docs.google.com/spreadsheets/d/1-uDff_7J0KD5mKrp0Vvzr7lt3OU09vwQwhkpOPPYv2Y/edit?usp=sharing"",""งบพรบ!AY90"")"),0)</f>
        <v>0</v>
      </c>
      <c r="G90" s="62">
        <f ca="1">IFERROR(__xludf.DUMMYFUNCTION("IMPORTRANGE(""https://docs.google.com/spreadsheets/d/1-uDff_7J0KD5mKrp0Vvzr7lt3OU09vwQwhkpOPPYv2Y/edit?usp=sharing"",""งบพรบ!AZ90"")"),0)</f>
        <v>0</v>
      </c>
      <c r="H90" s="62">
        <f ca="1">IFERROR(__xludf.DUMMYFUNCTION("IMPORTRANGE(""https://docs.google.com/spreadsheets/d/1-uDff_7J0KD5mKrp0Vvzr7lt3OU09vwQwhkpOPPYv2Y/edit?usp=sharing"",""งบพรบ!BB90"")"),0)</f>
        <v>0</v>
      </c>
      <c r="I90" s="62">
        <f ca="1">IFERROR(__xludf.DUMMYFUNCTION("IMPORTRANGE(""https://docs.google.com/spreadsheets/d/1-uDff_7J0KD5mKrp0Vvzr7lt3OU09vwQwhkpOPPYv2Y/edit?usp=sharing"",""งบพรบ!BC90"")"),0)</f>
        <v>0</v>
      </c>
      <c r="J90" s="62">
        <f t="shared" ref="J90:J108" ca="1" si="73">L90+O90</f>
        <v>0</v>
      </c>
      <c r="K90" s="104">
        <f t="shared" ref="K90:K108" ca="1" si="74">IF(C90&gt;0,J90*100/C90,0)</f>
        <v>0</v>
      </c>
      <c r="L90" s="62">
        <f ca="1">IFERROR(__xludf.DUMMYFUNCTION("IMPORTRANGE(""https://docs.google.com/spreadsheets/d/1-uDff_7J0KD5mKrp0Vvzr7lt3OU09vwQwhkpOPPYv2Y/edit?usp=sharing"",""งบพรบ!BD90"")"),0)</f>
        <v>0</v>
      </c>
      <c r="M90" s="65">
        <f t="shared" ref="M90:M108" ca="1" si="75">IF(D90&gt;0,L90*100/D90,0)</f>
        <v>0</v>
      </c>
      <c r="N90" s="65">
        <f t="shared" ref="N90:N108" ca="1" si="76">IF(H90&gt;0,L90*100/H90,0)</f>
        <v>0</v>
      </c>
      <c r="O90" s="66">
        <f ca="1">IFERROR(__xludf.DUMMYFUNCTION("IMPORTRANGE(""https://docs.google.com/spreadsheets/d/1-uDff_7J0KD5mKrp0Vvzr7lt3OU09vwQwhkpOPPYv2Y/edit?usp=sharing"",""งบพรบ!BE90"")"),0)</f>
        <v>0</v>
      </c>
      <c r="P90" s="66">
        <f t="shared" ref="P90:P108" ca="1" si="77">IF(G90&gt;0,O90*100/G90,0)</f>
        <v>0</v>
      </c>
      <c r="Q90" s="65">
        <f t="shared" ref="Q90:Q108" ca="1" si="78">IF(I90&gt;0,O90*100/I90,0)</f>
        <v>0</v>
      </c>
      <c r="R90" s="66">
        <v>0</v>
      </c>
      <c r="S90" s="66">
        <v>0</v>
      </c>
      <c r="T90" s="66">
        <v>0</v>
      </c>
      <c r="U90" s="65">
        <f t="shared" si="37"/>
        <v>0</v>
      </c>
      <c r="V90" s="65">
        <f t="shared" si="38"/>
        <v>0</v>
      </c>
      <c r="W90" s="62"/>
      <c r="X90" s="62"/>
      <c r="Y90" s="172"/>
      <c r="Z90" s="62"/>
      <c r="AA90" s="62"/>
      <c r="AB90" s="172"/>
      <c r="AC90" s="62"/>
      <c r="AD90" s="62"/>
      <c r="AE90" s="172"/>
      <c r="AF90" s="62"/>
      <c r="AG90" s="62"/>
      <c r="AH90" s="172"/>
    </row>
    <row r="91" spans="1:34" ht="24" customHeight="1" x14ac:dyDescent="0.3">
      <c r="A91" s="105"/>
      <c r="B91" s="106" t="s">
        <v>119</v>
      </c>
      <c r="C91" s="173">
        <f t="shared" ca="1" si="71"/>
        <v>0</v>
      </c>
      <c r="D91" s="174">
        <f t="shared" ca="1" si="72"/>
        <v>0</v>
      </c>
      <c r="E91" s="74">
        <f ca="1">IFERROR(__xludf.DUMMYFUNCTION("IMPORTRANGE(""https://docs.google.com/spreadsheets/d/1-uDff_7J0KD5mKrp0Vvzr7lt3OU09vwQwhkpOPPYv2Y/edit?usp=sharing"",""งบพรบ!AX91"")"),0)</f>
        <v>0</v>
      </c>
      <c r="F91" s="74">
        <f ca="1">IFERROR(__xludf.DUMMYFUNCTION("IMPORTRANGE(""https://docs.google.com/spreadsheets/d/1-uDff_7J0KD5mKrp0Vvzr7lt3OU09vwQwhkpOPPYv2Y/edit?usp=sharing"",""งบพรบ!AY91"")"),0)</f>
        <v>0</v>
      </c>
      <c r="G91" s="74">
        <f ca="1">IFERROR(__xludf.DUMMYFUNCTION("IMPORTRANGE(""https://docs.google.com/spreadsheets/d/1-uDff_7J0KD5mKrp0Vvzr7lt3OU09vwQwhkpOPPYv2Y/edit?usp=sharing"",""งบพรบ!AZ91"")"),0)</f>
        <v>0</v>
      </c>
      <c r="H91" s="74">
        <f ca="1">IFERROR(__xludf.DUMMYFUNCTION("IMPORTRANGE(""https://docs.google.com/spreadsheets/d/1-uDff_7J0KD5mKrp0Vvzr7lt3OU09vwQwhkpOPPYv2Y/edit?usp=sharing"",""งบพรบ!BB91"")"),0)</f>
        <v>0</v>
      </c>
      <c r="I91" s="74">
        <f ca="1">IFERROR(__xludf.DUMMYFUNCTION("IMPORTRANGE(""https://docs.google.com/spreadsheets/d/1-uDff_7J0KD5mKrp0Vvzr7lt3OU09vwQwhkpOPPYv2Y/edit?usp=sharing"",""งบพรบ!BC91"")"),0)</f>
        <v>0</v>
      </c>
      <c r="J91" s="74">
        <f t="shared" ca="1" si="73"/>
        <v>0</v>
      </c>
      <c r="K91" s="75">
        <f t="shared" ca="1" si="74"/>
        <v>0</v>
      </c>
      <c r="L91" s="74">
        <f ca="1">IFERROR(__xludf.DUMMYFUNCTION("IMPORTRANGE(""https://docs.google.com/spreadsheets/d/1-uDff_7J0KD5mKrp0Vvzr7lt3OU09vwQwhkpOPPYv2Y/edit?usp=sharing"",""งบพรบ!BD91"")"),0)</f>
        <v>0</v>
      </c>
      <c r="M91" s="76">
        <f t="shared" ca="1" si="75"/>
        <v>0</v>
      </c>
      <c r="N91" s="76">
        <f t="shared" ca="1" si="76"/>
        <v>0</v>
      </c>
      <c r="O91" s="77">
        <f ca="1">IFERROR(__xludf.DUMMYFUNCTION("IMPORTRANGE(""https://docs.google.com/spreadsheets/d/1-uDff_7J0KD5mKrp0Vvzr7lt3OU09vwQwhkpOPPYv2Y/edit?usp=sharing"",""งบพรบ!BE91"")"),0)</f>
        <v>0</v>
      </c>
      <c r="P91" s="77">
        <f t="shared" ca="1" si="77"/>
        <v>0</v>
      </c>
      <c r="Q91" s="76">
        <f t="shared" ca="1" si="78"/>
        <v>0</v>
      </c>
      <c r="R91" s="77">
        <v>0</v>
      </c>
      <c r="S91" s="77">
        <v>0</v>
      </c>
      <c r="T91" s="77">
        <v>0</v>
      </c>
      <c r="U91" s="76">
        <f t="shared" si="37"/>
        <v>0</v>
      </c>
      <c r="V91" s="76">
        <f t="shared" si="38"/>
        <v>0</v>
      </c>
      <c r="W91" s="74"/>
      <c r="X91" s="74"/>
      <c r="Y91" s="175"/>
      <c r="Z91" s="74"/>
      <c r="AA91" s="74"/>
      <c r="AB91" s="175"/>
      <c r="AC91" s="74"/>
      <c r="AD91" s="74"/>
      <c r="AE91" s="175"/>
      <c r="AF91" s="74"/>
      <c r="AG91" s="74"/>
      <c r="AH91" s="175"/>
    </row>
    <row r="92" spans="1:34" ht="24" customHeight="1" x14ac:dyDescent="0.3">
      <c r="A92" s="105"/>
      <c r="B92" s="106" t="s">
        <v>120</v>
      </c>
      <c r="C92" s="173">
        <f t="shared" ca="1" si="71"/>
        <v>0</v>
      </c>
      <c r="D92" s="174">
        <f t="shared" ca="1" si="72"/>
        <v>0</v>
      </c>
      <c r="E92" s="74">
        <f ca="1">IFERROR(__xludf.DUMMYFUNCTION("IMPORTRANGE(""https://docs.google.com/spreadsheets/d/1-uDff_7J0KD5mKrp0Vvzr7lt3OU09vwQwhkpOPPYv2Y/edit?usp=sharing"",""งบพรบ!AX92"")"),0)</f>
        <v>0</v>
      </c>
      <c r="F92" s="74">
        <f ca="1">IFERROR(__xludf.DUMMYFUNCTION("IMPORTRANGE(""https://docs.google.com/spreadsheets/d/1-uDff_7J0KD5mKrp0Vvzr7lt3OU09vwQwhkpOPPYv2Y/edit?usp=sharing"",""งบพรบ!AY92"")"),0)</f>
        <v>0</v>
      </c>
      <c r="G92" s="74">
        <f ca="1">IFERROR(__xludf.DUMMYFUNCTION("IMPORTRANGE(""https://docs.google.com/spreadsheets/d/1-uDff_7J0KD5mKrp0Vvzr7lt3OU09vwQwhkpOPPYv2Y/edit?usp=sharing"",""งบพรบ!AZ92"")"),0)</f>
        <v>0</v>
      </c>
      <c r="H92" s="74">
        <f ca="1">IFERROR(__xludf.DUMMYFUNCTION("IMPORTRANGE(""https://docs.google.com/spreadsheets/d/1-uDff_7J0KD5mKrp0Vvzr7lt3OU09vwQwhkpOPPYv2Y/edit?usp=sharing"",""งบพรบ!BB92"")"),0)</f>
        <v>0</v>
      </c>
      <c r="I92" s="74">
        <f ca="1">IFERROR(__xludf.DUMMYFUNCTION("IMPORTRANGE(""https://docs.google.com/spreadsheets/d/1-uDff_7J0KD5mKrp0Vvzr7lt3OU09vwQwhkpOPPYv2Y/edit?usp=sharing"",""งบพรบ!BC92"")"),0)</f>
        <v>0</v>
      </c>
      <c r="J92" s="74">
        <f t="shared" ca="1" si="73"/>
        <v>0</v>
      </c>
      <c r="K92" s="75">
        <f t="shared" ca="1" si="74"/>
        <v>0</v>
      </c>
      <c r="L92" s="74">
        <f ca="1">IFERROR(__xludf.DUMMYFUNCTION("IMPORTRANGE(""https://docs.google.com/spreadsheets/d/1-uDff_7J0KD5mKrp0Vvzr7lt3OU09vwQwhkpOPPYv2Y/edit?usp=sharing"",""งบพรบ!BD92"")"),0)</f>
        <v>0</v>
      </c>
      <c r="M92" s="76">
        <f t="shared" ca="1" si="75"/>
        <v>0</v>
      </c>
      <c r="N92" s="76">
        <f t="shared" ca="1" si="76"/>
        <v>0</v>
      </c>
      <c r="O92" s="77">
        <f ca="1">IFERROR(__xludf.DUMMYFUNCTION("IMPORTRANGE(""https://docs.google.com/spreadsheets/d/1-uDff_7J0KD5mKrp0Vvzr7lt3OU09vwQwhkpOPPYv2Y/edit?usp=sharing"",""งบพรบ!BE92"")"),0)</f>
        <v>0</v>
      </c>
      <c r="P92" s="77">
        <f t="shared" ca="1" si="77"/>
        <v>0</v>
      </c>
      <c r="Q92" s="76">
        <f t="shared" ca="1" si="78"/>
        <v>0</v>
      </c>
      <c r="R92" s="77">
        <v>0</v>
      </c>
      <c r="S92" s="77">
        <v>0</v>
      </c>
      <c r="T92" s="77">
        <v>0</v>
      </c>
      <c r="U92" s="76">
        <f t="shared" si="37"/>
        <v>0</v>
      </c>
      <c r="V92" s="76">
        <f t="shared" si="38"/>
        <v>0</v>
      </c>
      <c r="W92" s="74"/>
      <c r="X92" s="74"/>
      <c r="Y92" s="175"/>
      <c r="Z92" s="74"/>
      <c r="AA92" s="74"/>
      <c r="AB92" s="175"/>
      <c r="AC92" s="74"/>
      <c r="AD92" s="74"/>
      <c r="AE92" s="175"/>
      <c r="AF92" s="74"/>
      <c r="AG92" s="74"/>
      <c r="AH92" s="175"/>
    </row>
    <row r="93" spans="1:34" ht="24" customHeight="1" x14ac:dyDescent="0.3">
      <c r="A93" s="105"/>
      <c r="B93" s="106" t="s">
        <v>121</v>
      </c>
      <c r="C93" s="173">
        <f t="shared" ca="1" si="71"/>
        <v>100000</v>
      </c>
      <c r="D93" s="174">
        <f t="shared" ca="1" si="72"/>
        <v>100000</v>
      </c>
      <c r="E93" s="74">
        <f ca="1">IFERROR(__xludf.DUMMYFUNCTION("IMPORTRANGE(""https://docs.google.com/spreadsheets/d/1-uDff_7J0KD5mKrp0Vvzr7lt3OU09vwQwhkpOPPYv2Y/edit?usp=sharing"",""งบพรบ!AX93"")"),100000)</f>
        <v>100000</v>
      </c>
      <c r="F93" s="74">
        <f ca="1">IFERROR(__xludf.DUMMYFUNCTION("IMPORTRANGE(""https://docs.google.com/spreadsheets/d/1-uDff_7J0KD5mKrp0Vvzr7lt3OU09vwQwhkpOPPYv2Y/edit?usp=sharing"",""งบพรบ!AY93"")"),0)</f>
        <v>0</v>
      </c>
      <c r="G93" s="74">
        <f ca="1">IFERROR(__xludf.DUMMYFUNCTION("IMPORTRANGE(""https://docs.google.com/spreadsheets/d/1-uDff_7J0KD5mKrp0Vvzr7lt3OU09vwQwhkpOPPYv2Y/edit?usp=sharing"",""งบพรบ!AZ93"")"),0)</f>
        <v>0</v>
      </c>
      <c r="H93" s="74">
        <f ca="1">IFERROR(__xludf.DUMMYFUNCTION("IMPORTRANGE(""https://docs.google.com/spreadsheets/d/1-uDff_7J0KD5mKrp0Vvzr7lt3OU09vwQwhkpOPPYv2Y/edit?usp=sharing"",""งบพรบ!BB93"")"),100000)</f>
        <v>100000</v>
      </c>
      <c r="I93" s="74">
        <f ca="1">IFERROR(__xludf.DUMMYFUNCTION("IMPORTRANGE(""https://docs.google.com/spreadsheets/d/1-uDff_7J0KD5mKrp0Vvzr7lt3OU09vwQwhkpOPPYv2Y/edit?usp=sharing"",""งบพรบ!BC93"")"),0)</f>
        <v>0</v>
      </c>
      <c r="J93" s="74">
        <f t="shared" ca="1" si="73"/>
        <v>100000</v>
      </c>
      <c r="K93" s="75">
        <f t="shared" ca="1" si="74"/>
        <v>100</v>
      </c>
      <c r="L93" s="74">
        <f ca="1">IFERROR(__xludf.DUMMYFUNCTION("IMPORTRANGE(""https://docs.google.com/spreadsheets/d/1-uDff_7J0KD5mKrp0Vvzr7lt3OU09vwQwhkpOPPYv2Y/edit?usp=sharing"",""งบพรบ!BD93"")"),100000)</f>
        <v>100000</v>
      </c>
      <c r="M93" s="76">
        <f t="shared" ca="1" si="75"/>
        <v>100</v>
      </c>
      <c r="N93" s="76">
        <f t="shared" ca="1" si="76"/>
        <v>100</v>
      </c>
      <c r="O93" s="77">
        <f ca="1">IFERROR(__xludf.DUMMYFUNCTION("IMPORTRANGE(""https://docs.google.com/spreadsheets/d/1-uDff_7J0KD5mKrp0Vvzr7lt3OU09vwQwhkpOPPYv2Y/edit?usp=sharing"",""งบพรบ!BE93"")"),0)</f>
        <v>0</v>
      </c>
      <c r="P93" s="77">
        <f t="shared" ca="1" si="77"/>
        <v>0</v>
      </c>
      <c r="Q93" s="76">
        <f t="shared" ca="1" si="78"/>
        <v>0</v>
      </c>
      <c r="R93" s="77">
        <v>0</v>
      </c>
      <c r="S93" s="77">
        <v>0</v>
      </c>
      <c r="T93" s="77">
        <v>0</v>
      </c>
      <c r="U93" s="76">
        <f t="shared" si="37"/>
        <v>0</v>
      </c>
      <c r="V93" s="76">
        <f t="shared" si="38"/>
        <v>0</v>
      </c>
      <c r="W93" s="74"/>
      <c r="X93" s="74"/>
      <c r="Y93" s="175"/>
      <c r="Z93" s="74"/>
      <c r="AA93" s="74"/>
      <c r="AB93" s="175"/>
      <c r="AC93" s="74"/>
      <c r="AD93" s="74"/>
      <c r="AE93" s="175"/>
      <c r="AF93" s="74"/>
      <c r="AG93" s="74"/>
      <c r="AH93" s="175"/>
    </row>
    <row r="94" spans="1:34" ht="24" customHeight="1" x14ac:dyDescent="0.3">
      <c r="A94" s="105"/>
      <c r="B94" s="106" t="s">
        <v>122</v>
      </c>
      <c r="C94" s="173">
        <f t="shared" ca="1" si="71"/>
        <v>0</v>
      </c>
      <c r="D94" s="174">
        <f t="shared" ca="1" si="72"/>
        <v>0</v>
      </c>
      <c r="E94" s="74">
        <f ca="1">IFERROR(__xludf.DUMMYFUNCTION("IMPORTRANGE(""https://docs.google.com/spreadsheets/d/1-uDff_7J0KD5mKrp0Vvzr7lt3OU09vwQwhkpOPPYv2Y/edit?usp=sharing"",""งบพรบ!AX94"")"),0)</f>
        <v>0</v>
      </c>
      <c r="F94" s="74">
        <f ca="1">IFERROR(__xludf.DUMMYFUNCTION("IMPORTRANGE(""https://docs.google.com/spreadsheets/d/1-uDff_7J0KD5mKrp0Vvzr7lt3OU09vwQwhkpOPPYv2Y/edit?usp=sharing"",""งบพรบ!AY94"")"),0)</f>
        <v>0</v>
      </c>
      <c r="G94" s="74">
        <f ca="1">IFERROR(__xludf.DUMMYFUNCTION("IMPORTRANGE(""https://docs.google.com/spreadsheets/d/1-uDff_7J0KD5mKrp0Vvzr7lt3OU09vwQwhkpOPPYv2Y/edit?usp=sharing"",""งบพรบ!AZ94"")"),0)</f>
        <v>0</v>
      </c>
      <c r="H94" s="74">
        <f ca="1">IFERROR(__xludf.DUMMYFUNCTION("IMPORTRANGE(""https://docs.google.com/spreadsheets/d/1-uDff_7J0KD5mKrp0Vvzr7lt3OU09vwQwhkpOPPYv2Y/edit?usp=sharing"",""งบพรบ!BB94"")"),0)</f>
        <v>0</v>
      </c>
      <c r="I94" s="74">
        <f ca="1">IFERROR(__xludf.DUMMYFUNCTION("IMPORTRANGE(""https://docs.google.com/spreadsheets/d/1-uDff_7J0KD5mKrp0Vvzr7lt3OU09vwQwhkpOPPYv2Y/edit?usp=sharing"",""งบพรบ!BC94"")"),0)</f>
        <v>0</v>
      </c>
      <c r="J94" s="74">
        <f t="shared" ca="1" si="73"/>
        <v>0</v>
      </c>
      <c r="K94" s="75">
        <f t="shared" ca="1" si="74"/>
        <v>0</v>
      </c>
      <c r="L94" s="74">
        <f ca="1">IFERROR(__xludf.DUMMYFUNCTION("IMPORTRANGE(""https://docs.google.com/spreadsheets/d/1-uDff_7J0KD5mKrp0Vvzr7lt3OU09vwQwhkpOPPYv2Y/edit?usp=sharing"",""งบพรบ!BD94"")"),0)</f>
        <v>0</v>
      </c>
      <c r="M94" s="76">
        <f t="shared" ca="1" si="75"/>
        <v>0</v>
      </c>
      <c r="N94" s="76">
        <f t="shared" ca="1" si="76"/>
        <v>0</v>
      </c>
      <c r="O94" s="77">
        <f ca="1">IFERROR(__xludf.DUMMYFUNCTION("IMPORTRANGE(""https://docs.google.com/spreadsheets/d/1-uDff_7J0KD5mKrp0Vvzr7lt3OU09vwQwhkpOPPYv2Y/edit?usp=sharing"",""งบพรบ!BE94"")"),0)</f>
        <v>0</v>
      </c>
      <c r="P94" s="77">
        <f t="shared" ca="1" si="77"/>
        <v>0</v>
      </c>
      <c r="Q94" s="76">
        <f t="shared" ca="1" si="78"/>
        <v>0</v>
      </c>
      <c r="R94" s="77">
        <v>0</v>
      </c>
      <c r="S94" s="77">
        <v>0</v>
      </c>
      <c r="T94" s="77">
        <v>0</v>
      </c>
      <c r="U94" s="76">
        <f t="shared" si="37"/>
        <v>0</v>
      </c>
      <c r="V94" s="76">
        <f t="shared" si="38"/>
        <v>0</v>
      </c>
      <c r="W94" s="74"/>
      <c r="X94" s="74"/>
      <c r="Y94" s="175"/>
      <c r="Z94" s="74"/>
      <c r="AA94" s="74"/>
      <c r="AB94" s="175"/>
      <c r="AC94" s="74"/>
      <c r="AD94" s="74"/>
      <c r="AE94" s="175"/>
      <c r="AF94" s="74"/>
      <c r="AG94" s="74"/>
      <c r="AH94" s="175"/>
    </row>
    <row r="95" spans="1:34" ht="24" customHeight="1" x14ac:dyDescent="0.3">
      <c r="A95" s="105"/>
      <c r="B95" s="106" t="s">
        <v>123</v>
      </c>
      <c r="C95" s="173">
        <f t="shared" ca="1" si="71"/>
        <v>0</v>
      </c>
      <c r="D95" s="174">
        <f t="shared" ca="1" si="72"/>
        <v>0</v>
      </c>
      <c r="E95" s="74">
        <f ca="1">IFERROR(__xludf.DUMMYFUNCTION("IMPORTRANGE(""https://docs.google.com/spreadsheets/d/1-uDff_7J0KD5mKrp0Vvzr7lt3OU09vwQwhkpOPPYv2Y/edit?usp=sharing"",""งบพรบ!AX95"")"),0)</f>
        <v>0</v>
      </c>
      <c r="F95" s="74">
        <f ca="1">IFERROR(__xludf.DUMMYFUNCTION("IMPORTRANGE(""https://docs.google.com/spreadsheets/d/1-uDff_7J0KD5mKrp0Vvzr7lt3OU09vwQwhkpOPPYv2Y/edit?usp=sharing"",""งบพรบ!AY95"")"),0)</f>
        <v>0</v>
      </c>
      <c r="G95" s="74">
        <f ca="1">IFERROR(__xludf.DUMMYFUNCTION("IMPORTRANGE(""https://docs.google.com/spreadsheets/d/1-uDff_7J0KD5mKrp0Vvzr7lt3OU09vwQwhkpOPPYv2Y/edit?usp=sharing"",""งบพรบ!AZ95"")"),0)</f>
        <v>0</v>
      </c>
      <c r="H95" s="74">
        <f ca="1">IFERROR(__xludf.DUMMYFUNCTION("IMPORTRANGE(""https://docs.google.com/spreadsheets/d/1-uDff_7J0KD5mKrp0Vvzr7lt3OU09vwQwhkpOPPYv2Y/edit?usp=sharing"",""งบพรบ!BB95"")"),0)</f>
        <v>0</v>
      </c>
      <c r="I95" s="74">
        <f ca="1">IFERROR(__xludf.DUMMYFUNCTION("IMPORTRANGE(""https://docs.google.com/spreadsheets/d/1-uDff_7J0KD5mKrp0Vvzr7lt3OU09vwQwhkpOPPYv2Y/edit?usp=sharing"",""งบพรบ!BC95"")"),0)</f>
        <v>0</v>
      </c>
      <c r="J95" s="74">
        <f t="shared" ca="1" si="73"/>
        <v>0</v>
      </c>
      <c r="K95" s="75">
        <f t="shared" ca="1" si="74"/>
        <v>0</v>
      </c>
      <c r="L95" s="74">
        <f ca="1">IFERROR(__xludf.DUMMYFUNCTION("IMPORTRANGE(""https://docs.google.com/spreadsheets/d/1-uDff_7J0KD5mKrp0Vvzr7lt3OU09vwQwhkpOPPYv2Y/edit?usp=sharing"",""งบพรบ!BD95"")"),0)</f>
        <v>0</v>
      </c>
      <c r="M95" s="76">
        <f t="shared" ca="1" si="75"/>
        <v>0</v>
      </c>
      <c r="N95" s="76">
        <f t="shared" ca="1" si="76"/>
        <v>0</v>
      </c>
      <c r="O95" s="77">
        <f ca="1">IFERROR(__xludf.DUMMYFUNCTION("IMPORTRANGE(""https://docs.google.com/spreadsheets/d/1-uDff_7J0KD5mKrp0Vvzr7lt3OU09vwQwhkpOPPYv2Y/edit?usp=sharing"",""งบพรบ!BE95"")"),0)</f>
        <v>0</v>
      </c>
      <c r="P95" s="77">
        <f t="shared" ca="1" si="77"/>
        <v>0</v>
      </c>
      <c r="Q95" s="76">
        <f t="shared" ca="1" si="78"/>
        <v>0</v>
      </c>
      <c r="R95" s="77">
        <v>0</v>
      </c>
      <c r="S95" s="77">
        <v>0</v>
      </c>
      <c r="T95" s="77">
        <v>0</v>
      </c>
      <c r="U95" s="76">
        <f t="shared" si="37"/>
        <v>0</v>
      </c>
      <c r="V95" s="76">
        <f t="shared" si="38"/>
        <v>0</v>
      </c>
      <c r="W95" s="74"/>
      <c r="X95" s="74"/>
      <c r="Y95" s="175"/>
      <c r="Z95" s="74"/>
      <c r="AA95" s="74"/>
      <c r="AB95" s="175"/>
      <c r="AC95" s="74"/>
      <c r="AD95" s="74"/>
      <c r="AE95" s="175"/>
      <c r="AF95" s="74"/>
      <c r="AG95" s="74"/>
      <c r="AH95" s="175"/>
    </row>
    <row r="96" spans="1:34" ht="24" customHeight="1" x14ac:dyDescent="0.3">
      <c r="A96" s="105"/>
      <c r="B96" s="106" t="s">
        <v>124</v>
      </c>
      <c r="C96" s="173">
        <f t="shared" ca="1" si="71"/>
        <v>0</v>
      </c>
      <c r="D96" s="174">
        <f t="shared" ca="1" si="72"/>
        <v>0</v>
      </c>
      <c r="E96" s="74">
        <f ca="1">IFERROR(__xludf.DUMMYFUNCTION("IMPORTRANGE(""https://docs.google.com/spreadsheets/d/1-uDff_7J0KD5mKrp0Vvzr7lt3OU09vwQwhkpOPPYv2Y/edit?usp=sharing"",""งบพรบ!AX96"")"),0)</f>
        <v>0</v>
      </c>
      <c r="F96" s="74">
        <f ca="1">IFERROR(__xludf.DUMMYFUNCTION("IMPORTRANGE(""https://docs.google.com/spreadsheets/d/1-uDff_7J0KD5mKrp0Vvzr7lt3OU09vwQwhkpOPPYv2Y/edit?usp=sharing"",""งบพรบ!AY96"")"),0)</f>
        <v>0</v>
      </c>
      <c r="G96" s="74">
        <f ca="1">IFERROR(__xludf.DUMMYFUNCTION("IMPORTRANGE(""https://docs.google.com/spreadsheets/d/1-uDff_7J0KD5mKrp0Vvzr7lt3OU09vwQwhkpOPPYv2Y/edit?usp=sharing"",""งบพรบ!AZ96"")"),0)</f>
        <v>0</v>
      </c>
      <c r="H96" s="74">
        <f ca="1">IFERROR(__xludf.DUMMYFUNCTION("IMPORTRANGE(""https://docs.google.com/spreadsheets/d/1-uDff_7J0KD5mKrp0Vvzr7lt3OU09vwQwhkpOPPYv2Y/edit?usp=sharing"",""งบพรบ!BB96"")"),0)</f>
        <v>0</v>
      </c>
      <c r="I96" s="74">
        <f ca="1">IFERROR(__xludf.DUMMYFUNCTION("IMPORTRANGE(""https://docs.google.com/spreadsheets/d/1-uDff_7J0KD5mKrp0Vvzr7lt3OU09vwQwhkpOPPYv2Y/edit?usp=sharing"",""งบพรบ!BC96"")"),0)</f>
        <v>0</v>
      </c>
      <c r="J96" s="74">
        <f t="shared" ca="1" si="73"/>
        <v>0</v>
      </c>
      <c r="K96" s="75">
        <f t="shared" ca="1" si="74"/>
        <v>0</v>
      </c>
      <c r="L96" s="74">
        <f ca="1">IFERROR(__xludf.DUMMYFUNCTION("IMPORTRANGE(""https://docs.google.com/spreadsheets/d/1-uDff_7J0KD5mKrp0Vvzr7lt3OU09vwQwhkpOPPYv2Y/edit?usp=sharing"",""งบพรบ!BD96"")"),0)</f>
        <v>0</v>
      </c>
      <c r="M96" s="76">
        <f t="shared" ca="1" si="75"/>
        <v>0</v>
      </c>
      <c r="N96" s="76">
        <f t="shared" ca="1" si="76"/>
        <v>0</v>
      </c>
      <c r="O96" s="77">
        <f ca="1">IFERROR(__xludf.DUMMYFUNCTION("IMPORTRANGE(""https://docs.google.com/spreadsheets/d/1-uDff_7J0KD5mKrp0Vvzr7lt3OU09vwQwhkpOPPYv2Y/edit?usp=sharing"",""งบพรบ!BE96"")"),0)</f>
        <v>0</v>
      </c>
      <c r="P96" s="77">
        <f t="shared" ca="1" si="77"/>
        <v>0</v>
      </c>
      <c r="Q96" s="76">
        <f t="shared" ca="1" si="78"/>
        <v>0</v>
      </c>
      <c r="R96" s="77">
        <v>0</v>
      </c>
      <c r="S96" s="77">
        <v>0</v>
      </c>
      <c r="T96" s="77">
        <v>0</v>
      </c>
      <c r="U96" s="76">
        <f t="shared" si="37"/>
        <v>0</v>
      </c>
      <c r="V96" s="76">
        <f t="shared" si="38"/>
        <v>0</v>
      </c>
      <c r="W96" s="74"/>
      <c r="X96" s="74"/>
      <c r="Y96" s="175"/>
      <c r="Z96" s="74"/>
      <c r="AA96" s="74"/>
      <c r="AB96" s="175"/>
      <c r="AC96" s="74"/>
      <c r="AD96" s="74"/>
      <c r="AE96" s="175"/>
      <c r="AF96" s="74"/>
      <c r="AG96" s="74"/>
      <c r="AH96" s="175"/>
    </row>
    <row r="97" spans="1:34" ht="24" customHeight="1" x14ac:dyDescent="0.3">
      <c r="A97" s="105"/>
      <c r="B97" s="106" t="s">
        <v>125</v>
      </c>
      <c r="C97" s="173">
        <f t="shared" ca="1" si="71"/>
        <v>0</v>
      </c>
      <c r="D97" s="174">
        <f t="shared" ca="1" si="72"/>
        <v>0</v>
      </c>
      <c r="E97" s="74">
        <f ca="1">IFERROR(__xludf.DUMMYFUNCTION("IMPORTRANGE(""https://docs.google.com/spreadsheets/d/1-uDff_7J0KD5mKrp0Vvzr7lt3OU09vwQwhkpOPPYv2Y/edit?usp=sharing"",""งบพรบ!AX97"")"),0)</f>
        <v>0</v>
      </c>
      <c r="F97" s="74">
        <f ca="1">IFERROR(__xludf.DUMMYFUNCTION("IMPORTRANGE(""https://docs.google.com/spreadsheets/d/1-uDff_7J0KD5mKrp0Vvzr7lt3OU09vwQwhkpOPPYv2Y/edit?usp=sharing"",""งบพรบ!AY97"")"),0)</f>
        <v>0</v>
      </c>
      <c r="G97" s="74">
        <f ca="1">IFERROR(__xludf.DUMMYFUNCTION("IMPORTRANGE(""https://docs.google.com/spreadsheets/d/1-uDff_7J0KD5mKrp0Vvzr7lt3OU09vwQwhkpOPPYv2Y/edit?usp=sharing"",""งบพรบ!AZ97"")"),0)</f>
        <v>0</v>
      </c>
      <c r="H97" s="74">
        <f ca="1">IFERROR(__xludf.DUMMYFUNCTION("IMPORTRANGE(""https://docs.google.com/spreadsheets/d/1-uDff_7J0KD5mKrp0Vvzr7lt3OU09vwQwhkpOPPYv2Y/edit?usp=sharing"",""งบพรบ!BB97"")"),0)</f>
        <v>0</v>
      </c>
      <c r="I97" s="74">
        <f ca="1">IFERROR(__xludf.DUMMYFUNCTION("IMPORTRANGE(""https://docs.google.com/spreadsheets/d/1-uDff_7J0KD5mKrp0Vvzr7lt3OU09vwQwhkpOPPYv2Y/edit?usp=sharing"",""งบพรบ!BC97"")"),0)</f>
        <v>0</v>
      </c>
      <c r="J97" s="74">
        <f t="shared" ca="1" si="73"/>
        <v>0</v>
      </c>
      <c r="K97" s="75">
        <f t="shared" ca="1" si="74"/>
        <v>0</v>
      </c>
      <c r="L97" s="74">
        <f ca="1">IFERROR(__xludf.DUMMYFUNCTION("IMPORTRANGE(""https://docs.google.com/spreadsheets/d/1-uDff_7J0KD5mKrp0Vvzr7lt3OU09vwQwhkpOPPYv2Y/edit?usp=sharing"",""งบพรบ!BD97"")"),0)</f>
        <v>0</v>
      </c>
      <c r="M97" s="76">
        <f t="shared" ca="1" si="75"/>
        <v>0</v>
      </c>
      <c r="N97" s="76">
        <f t="shared" ca="1" si="76"/>
        <v>0</v>
      </c>
      <c r="O97" s="77">
        <f ca="1">IFERROR(__xludf.DUMMYFUNCTION("IMPORTRANGE(""https://docs.google.com/spreadsheets/d/1-uDff_7J0KD5mKrp0Vvzr7lt3OU09vwQwhkpOPPYv2Y/edit?usp=sharing"",""งบพรบ!BE97"")"),0)</f>
        <v>0</v>
      </c>
      <c r="P97" s="77">
        <f t="shared" ca="1" si="77"/>
        <v>0</v>
      </c>
      <c r="Q97" s="76">
        <f t="shared" ca="1" si="78"/>
        <v>0</v>
      </c>
      <c r="R97" s="77">
        <v>0</v>
      </c>
      <c r="S97" s="77">
        <v>0</v>
      </c>
      <c r="T97" s="77">
        <v>0</v>
      </c>
      <c r="U97" s="76">
        <f t="shared" si="37"/>
        <v>0</v>
      </c>
      <c r="V97" s="76">
        <f t="shared" si="38"/>
        <v>0</v>
      </c>
      <c r="W97" s="74"/>
      <c r="X97" s="74"/>
      <c r="Y97" s="175"/>
      <c r="Z97" s="74"/>
      <c r="AA97" s="74"/>
      <c r="AB97" s="175"/>
      <c r="AC97" s="74"/>
      <c r="AD97" s="74"/>
      <c r="AE97" s="175"/>
      <c r="AF97" s="74"/>
      <c r="AG97" s="74"/>
      <c r="AH97" s="175"/>
    </row>
    <row r="98" spans="1:34" ht="24" customHeight="1" x14ac:dyDescent="0.3">
      <c r="A98" s="105"/>
      <c r="B98" s="106" t="s">
        <v>126</v>
      </c>
      <c r="C98" s="173">
        <f t="shared" ca="1" si="71"/>
        <v>0</v>
      </c>
      <c r="D98" s="174">
        <f t="shared" ca="1" si="72"/>
        <v>0</v>
      </c>
      <c r="E98" s="74">
        <f ca="1">IFERROR(__xludf.DUMMYFUNCTION("IMPORTRANGE(""https://docs.google.com/spreadsheets/d/1-uDff_7J0KD5mKrp0Vvzr7lt3OU09vwQwhkpOPPYv2Y/edit?usp=sharing"",""งบพรบ!AX98"")"),0)</f>
        <v>0</v>
      </c>
      <c r="F98" s="74">
        <f ca="1">IFERROR(__xludf.DUMMYFUNCTION("IMPORTRANGE(""https://docs.google.com/spreadsheets/d/1-uDff_7J0KD5mKrp0Vvzr7lt3OU09vwQwhkpOPPYv2Y/edit?usp=sharing"",""งบพรบ!AY98"")"),0)</f>
        <v>0</v>
      </c>
      <c r="G98" s="74">
        <f ca="1">IFERROR(__xludf.DUMMYFUNCTION("IMPORTRANGE(""https://docs.google.com/spreadsheets/d/1-uDff_7J0KD5mKrp0Vvzr7lt3OU09vwQwhkpOPPYv2Y/edit?usp=sharing"",""งบพรบ!AZ98"")"),0)</f>
        <v>0</v>
      </c>
      <c r="H98" s="74">
        <f ca="1">IFERROR(__xludf.DUMMYFUNCTION("IMPORTRANGE(""https://docs.google.com/spreadsheets/d/1-uDff_7J0KD5mKrp0Vvzr7lt3OU09vwQwhkpOPPYv2Y/edit?usp=sharing"",""งบพรบ!BB98"")"),0)</f>
        <v>0</v>
      </c>
      <c r="I98" s="74">
        <f ca="1">IFERROR(__xludf.DUMMYFUNCTION("IMPORTRANGE(""https://docs.google.com/spreadsheets/d/1-uDff_7J0KD5mKrp0Vvzr7lt3OU09vwQwhkpOPPYv2Y/edit?usp=sharing"",""งบพรบ!BC98"")"),0)</f>
        <v>0</v>
      </c>
      <c r="J98" s="74">
        <f t="shared" ca="1" si="73"/>
        <v>0</v>
      </c>
      <c r="K98" s="75">
        <f t="shared" ca="1" si="74"/>
        <v>0</v>
      </c>
      <c r="L98" s="74">
        <f ca="1">IFERROR(__xludf.DUMMYFUNCTION("IMPORTRANGE(""https://docs.google.com/spreadsheets/d/1-uDff_7J0KD5mKrp0Vvzr7lt3OU09vwQwhkpOPPYv2Y/edit?usp=sharing"",""งบพรบ!BD98"")"),0)</f>
        <v>0</v>
      </c>
      <c r="M98" s="76">
        <f t="shared" ca="1" si="75"/>
        <v>0</v>
      </c>
      <c r="N98" s="76">
        <f t="shared" ca="1" si="76"/>
        <v>0</v>
      </c>
      <c r="O98" s="77">
        <f ca="1">IFERROR(__xludf.DUMMYFUNCTION("IMPORTRANGE(""https://docs.google.com/spreadsheets/d/1-uDff_7J0KD5mKrp0Vvzr7lt3OU09vwQwhkpOPPYv2Y/edit?usp=sharing"",""งบพรบ!BE98"")"),0)</f>
        <v>0</v>
      </c>
      <c r="P98" s="77">
        <f t="shared" ca="1" si="77"/>
        <v>0</v>
      </c>
      <c r="Q98" s="76">
        <f t="shared" ca="1" si="78"/>
        <v>0</v>
      </c>
      <c r="R98" s="77">
        <v>0</v>
      </c>
      <c r="S98" s="77">
        <v>0</v>
      </c>
      <c r="T98" s="77">
        <v>0</v>
      </c>
      <c r="U98" s="76">
        <f t="shared" si="37"/>
        <v>0</v>
      </c>
      <c r="V98" s="76">
        <f t="shared" si="38"/>
        <v>0</v>
      </c>
      <c r="W98" s="74"/>
      <c r="X98" s="74"/>
      <c r="Y98" s="175"/>
      <c r="Z98" s="74"/>
      <c r="AA98" s="74"/>
      <c r="AB98" s="175"/>
      <c r="AC98" s="74"/>
      <c r="AD98" s="74"/>
      <c r="AE98" s="175"/>
      <c r="AF98" s="74"/>
      <c r="AG98" s="74"/>
      <c r="AH98" s="175"/>
    </row>
    <row r="99" spans="1:34" ht="24" customHeight="1" x14ac:dyDescent="0.3">
      <c r="A99" s="105"/>
      <c r="B99" s="106" t="s">
        <v>127</v>
      </c>
      <c r="C99" s="173">
        <f t="shared" ca="1" si="71"/>
        <v>0</v>
      </c>
      <c r="D99" s="174">
        <f t="shared" ca="1" si="72"/>
        <v>0</v>
      </c>
      <c r="E99" s="74">
        <f ca="1">IFERROR(__xludf.DUMMYFUNCTION("IMPORTRANGE(""https://docs.google.com/spreadsheets/d/1-uDff_7J0KD5mKrp0Vvzr7lt3OU09vwQwhkpOPPYv2Y/edit?usp=sharing"",""งบพรบ!AX99"")"),0)</f>
        <v>0</v>
      </c>
      <c r="F99" s="74">
        <f ca="1">IFERROR(__xludf.DUMMYFUNCTION("IMPORTRANGE(""https://docs.google.com/spreadsheets/d/1-uDff_7J0KD5mKrp0Vvzr7lt3OU09vwQwhkpOPPYv2Y/edit?usp=sharing"",""งบพรบ!AY99"")"),0)</f>
        <v>0</v>
      </c>
      <c r="G99" s="74">
        <f ca="1">IFERROR(__xludf.DUMMYFUNCTION("IMPORTRANGE(""https://docs.google.com/spreadsheets/d/1-uDff_7J0KD5mKrp0Vvzr7lt3OU09vwQwhkpOPPYv2Y/edit?usp=sharing"",""งบพรบ!AZ99"")"),0)</f>
        <v>0</v>
      </c>
      <c r="H99" s="74">
        <f ca="1">IFERROR(__xludf.DUMMYFUNCTION("IMPORTRANGE(""https://docs.google.com/spreadsheets/d/1-uDff_7J0KD5mKrp0Vvzr7lt3OU09vwQwhkpOPPYv2Y/edit?usp=sharing"",""งบพรบ!BB99"")"),0)</f>
        <v>0</v>
      </c>
      <c r="I99" s="74">
        <f ca="1">IFERROR(__xludf.DUMMYFUNCTION("IMPORTRANGE(""https://docs.google.com/spreadsheets/d/1-uDff_7J0KD5mKrp0Vvzr7lt3OU09vwQwhkpOPPYv2Y/edit?usp=sharing"",""งบพรบ!BC99"")"),0)</f>
        <v>0</v>
      </c>
      <c r="J99" s="74">
        <f t="shared" ca="1" si="73"/>
        <v>0</v>
      </c>
      <c r="K99" s="75">
        <f t="shared" ca="1" si="74"/>
        <v>0</v>
      </c>
      <c r="L99" s="74">
        <f ca="1">IFERROR(__xludf.DUMMYFUNCTION("IMPORTRANGE(""https://docs.google.com/spreadsheets/d/1-uDff_7J0KD5mKrp0Vvzr7lt3OU09vwQwhkpOPPYv2Y/edit?usp=sharing"",""งบพรบ!BD99"")"),0)</f>
        <v>0</v>
      </c>
      <c r="M99" s="76">
        <f t="shared" ca="1" si="75"/>
        <v>0</v>
      </c>
      <c r="N99" s="76">
        <f t="shared" ca="1" si="76"/>
        <v>0</v>
      </c>
      <c r="O99" s="77">
        <f ca="1">IFERROR(__xludf.DUMMYFUNCTION("IMPORTRANGE(""https://docs.google.com/spreadsheets/d/1-uDff_7J0KD5mKrp0Vvzr7lt3OU09vwQwhkpOPPYv2Y/edit?usp=sharing"",""งบพรบ!BE99"")"),0)</f>
        <v>0</v>
      </c>
      <c r="P99" s="77">
        <f t="shared" ca="1" si="77"/>
        <v>0</v>
      </c>
      <c r="Q99" s="76">
        <f t="shared" ca="1" si="78"/>
        <v>0</v>
      </c>
      <c r="R99" s="77">
        <v>0</v>
      </c>
      <c r="S99" s="77">
        <v>0</v>
      </c>
      <c r="T99" s="77">
        <v>0</v>
      </c>
      <c r="U99" s="76">
        <f t="shared" si="37"/>
        <v>0</v>
      </c>
      <c r="V99" s="76">
        <f t="shared" si="38"/>
        <v>0</v>
      </c>
      <c r="W99" s="74"/>
      <c r="X99" s="74"/>
      <c r="Y99" s="175"/>
      <c r="Z99" s="74"/>
      <c r="AA99" s="74"/>
      <c r="AB99" s="175"/>
      <c r="AC99" s="74"/>
      <c r="AD99" s="74"/>
      <c r="AE99" s="175"/>
      <c r="AF99" s="74"/>
      <c r="AG99" s="74"/>
      <c r="AH99" s="175"/>
    </row>
    <row r="100" spans="1:34" ht="24" customHeight="1" x14ac:dyDescent="0.3">
      <c r="A100" s="105"/>
      <c r="B100" s="106" t="s">
        <v>128</v>
      </c>
      <c r="C100" s="173">
        <f t="shared" ca="1" si="71"/>
        <v>0</v>
      </c>
      <c r="D100" s="174">
        <f t="shared" ca="1" si="72"/>
        <v>0</v>
      </c>
      <c r="E100" s="74">
        <f ca="1">IFERROR(__xludf.DUMMYFUNCTION("IMPORTRANGE(""https://docs.google.com/spreadsheets/d/1-uDff_7J0KD5mKrp0Vvzr7lt3OU09vwQwhkpOPPYv2Y/edit?usp=sharing"",""งบพรบ!AX100"")"),0)</f>
        <v>0</v>
      </c>
      <c r="F100" s="74">
        <f ca="1">IFERROR(__xludf.DUMMYFUNCTION("IMPORTRANGE(""https://docs.google.com/spreadsheets/d/1-uDff_7J0KD5mKrp0Vvzr7lt3OU09vwQwhkpOPPYv2Y/edit?usp=sharing"",""งบพรบ!AY100"")"),0)</f>
        <v>0</v>
      </c>
      <c r="G100" s="74">
        <f ca="1">IFERROR(__xludf.DUMMYFUNCTION("IMPORTRANGE(""https://docs.google.com/spreadsheets/d/1-uDff_7J0KD5mKrp0Vvzr7lt3OU09vwQwhkpOPPYv2Y/edit?usp=sharing"",""งบพรบ!AZ100"")"),0)</f>
        <v>0</v>
      </c>
      <c r="H100" s="74">
        <f ca="1">IFERROR(__xludf.DUMMYFUNCTION("IMPORTRANGE(""https://docs.google.com/spreadsheets/d/1-uDff_7J0KD5mKrp0Vvzr7lt3OU09vwQwhkpOPPYv2Y/edit?usp=sharing"",""งบพรบ!BB100"")"),0)</f>
        <v>0</v>
      </c>
      <c r="I100" s="74">
        <f ca="1">IFERROR(__xludf.DUMMYFUNCTION("IMPORTRANGE(""https://docs.google.com/spreadsheets/d/1-uDff_7J0KD5mKrp0Vvzr7lt3OU09vwQwhkpOPPYv2Y/edit?usp=sharing"",""งบพรบ!BC100"")"),0)</f>
        <v>0</v>
      </c>
      <c r="J100" s="74">
        <f t="shared" ca="1" si="73"/>
        <v>0</v>
      </c>
      <c r="K100" s="75">
        <f t="shared" ca="1" si="74"/>
        <v>0</v>
      </c>
      <c r="L100" s="74">
        <f ca="1">IFERROR(__xludf.DUMMYFUNCTION("IMPORTRANGE(""https://docs.google.com/spreadsheets/d/1-uDff_7J0KD5mKrp0Vvzr7lt3OU09vwQwhkpOPPYv2Y/edit?usp=sharing"",""งบพรบ!BD100"")"),0)</f>
        <v>0</v>
      </c>
      <c r="M100" s="76">
        <f t="shared" ca="1" si="75"/>
        <v>0</v>
      </c>
      <c r="N100" s="76">
        <f t="shared" ca="1" si="76"/>
        <v>0</v>
      </c>
      <c r="O100" s="77">
        <f ca="1">IFERROR(__xludf.DUMMYFUNCTION("IMPORTRANGE(""https://docs.google.com/spreadsheets/d/1-uDff_7J0KD5mKrp0Vvzr7lt3OU09vwQwhkpOPPYv2Y/edit?usp=sharing"",""งบพรบ!BE100"")"),0)</f>
        <v>0</v>
      </c>
      <c r="P100" s="77">
        <f t="shared" ca="1" si="77"/>
        <v>0</v>
      </c>
      <c r="Q100" s="76">
        <f t="shared" ca="1" si="78"/>
        <v>0</v>
      </c>
      <c r="R100" s="77">
        <v>0</v>
      </c>
      <c r="S100" s="77">
        <v>0</v>
      </c>
      <c r="T100" s="77">
        <v>0</v>
      </c>
      <c r="U100" s="76">
        <f t="shared" si="37"/>
        <v>0</v>
      </c>
      <c r="V100" s="76">
        <f t="shared" si="38"/>
        <v>0</v>
      </c>
      <c r="W100" s="74"/>
      <c r="X100" s="74"/>
      <c r="Y100" s="175"/>
      <c r="Z100" s="74"/>
      <c r="AA100" s="74"/>
      <c r="AB100" s="175"/>
      <c r="AC100" s="74"/>
      <c r="AD100" s="74"/>
      <c r="AE100" s="175"/>
      <c r="AF100" s="74"/>
      <c r="AG100" s="74"/>
      <c r="AH100" s="175"/>
    </row>
    <row r="101" spans="1:34" ht="24" customHeight="1" x14ac:dyDescent="0.3">
      <c r="A101" s="105"/>
      <c r="B101" s="106" t="s">
        <v>129</v>
      </c>
      <c r="C101" s="173">
        <f t="shared" ca="1" si="71"/>
        <v>132000</v>
      </c>
      <c r="D101" s="174">
        <f t="shared" ca="1" si="72"/>
        <v>132000</v>
      </c>
      <c r="E101" s="74">
        <f ca="1">IFERROR(__xludf.DUMMYFUNCTION("IMPORTRANGE(""https://docs.google.com/spreadsheets/d/1-uDff_7J0KD5mKrp0Vvzr7lt3OU09vwQwhkpOPPYv2Y/edit?usp=sharing"",""งบพรบ!AX101"")"),0)</f>
        <v>0</v>
      </c>
      <c r="F101" s="74">
        <f ca="1">IFERROR(__xludf.DUMMYFUNCTION("IMPORTRANGE(""https://docs.google.com/spreadsheets/d/1-uDff_7J0KD5mKrp0Vvzr7lt3OU09vwQwhkpOPPYv2Y/edit?usp=sharing"",""งบพรบ!AY101"")"),132000)</f>
        <v>132000</v>
      </c>
      <c r="G101" s="74">
        <f ca="1">IFERROR(__xludf.DUMMYFUNCTION("IMPORTRANGE(""https://docs.google.com/spreadsheets/d/1-uDff_7J0KD5mKrp0Vvzr7lt3OU09vwQwhkpOPPYv2Y/edit?usp=sharing"",""งบพรบ!AZ101"")"),0)</f>
        <v>0</v>
      </c>
      <c r="H101" s="74">
        <f ca="1">IFERROR(__xludf.DUMMYFUNCTION("IMPORTRANGE(""https://docs.google.com/spreadsheets/d/1-uDff_7J0KD5mKrp0Vvzr7lt3OU09vwQwhkpOPPYv2Y/edit?usp=sharing"",""งบพรบ!BB101"")"),12040)</f>
        <v>12040</v>
      </c>
      <c r="I101" s="74">
        <f ca="1">IFERROR(__xludf.DUMMYFUNCTION("IMPORTRANGE(""https://docs.google.com/spreadsheets/d/1-uDff_7J0KD5mKrp0Vvzr7lt3OU09vwQwhkpOPPYv2Y/edit?usp=sharing"",""งบพรบ!BC101"")"),0)</f>
        <v>0</v>
      </c>
      <c r="J101" s="74">
        <f t="shared" ca="1" si="73"/>
        <v>11613.41</v>
      </c>
      <c r="K101" s="75">
        <f t="shared" ca="1" si="74"/>
        <v>8.7980378787878788</v>
      </c>
      <c r="L101" s="74">
        <f ca="1">IFERROR(__xludf.DUMMYFUNCTION("IMPORTRANGE(""https://docs.google.com/spreadsheets/d/1-uDff_7J0KD5mKrp0Vvzr7lt3OU09vwQwhkpOPPYv2Y/edit?usp=sharing"",""งบพรบ!BD101"")"),11613.41)</f>
        <v>11613.41</v>
      </c>
      <c r="M101" s="76">
        <f t="shared" ca="1" si="75"/>
        <v>8.7980378787878788</v>
      </c>
      <c r="N101" s="76">
        <f t="shared" ca="1" si="76"/>
        <v>96.456893687707648</v>
      </c>
      <c r="O101" s="77">
        <f ca="1">IFERROR(__xludf.DUMMYFUNCTION("IMPORTRANGE(""https://docs.google.com/spreadsheets/d/1-uDff_7J0KD5mKrp0Vvzr7lt3OU09vwQwhkpOPPYv2Y/edit?usp=sharing"",""งบพรบ!BE101"")"),0)</f>
        <v>0</v>
      </c>
      <c r="P101" s="77">
        <f t="shared" ca="1" si="77"/>
        <v>0</v>
      </c>
      <c r="Q101" s="76">
        <f t="shared" ca="1" si="78"/>
        <v>0</v>
      </c>
      <c r="R101" s="77">
        <f ca="1">IFERROR(__xludf.DUMMYFUNCTION("IMPORTRANGE(""https://docs.google.com/spreadsheets/d/1ItG2mGa2ceCfYo0BwxsXqNm01IGEUdYcSSLTEv9YCik/edit?usp=sharing"",""เบิกจ่ายกองทุน!AJ92"")"),1290900)</f>
        <v>1290900</v>
      </c>
      <c r="S101" s="77">
        <f ca="1">IFERROR(__xludf.DUMMYFUNCTION("IMPORTRANGE(""https://docs.google.com/spreadsheets/d/1ItG2mGa2ceCfYo0BwxsXqNm01IGEUdYcSSLTEv9YCik/edit?usp=sharing"",""เบิกจ่ายกองทุน!AK92"")"),1290900)</f>
        <v>1290900</v>
      </c>
      <c r="T101" s="77">
        <f ca="1">IFERROR(__xludf.DUMMYFUNCTION("IMPORTRANGE(""https://docs.google.com/spreadsheets/d/1ItG2mGa2ceCfYo0BwxsXqNm01IGEUdYcSSLTEv9YCik/edit?usp=sharing"",""เบิกจ่ายกองทุน!AL92"")"),136915.66)</f>
        <v>136915.66</v>
      </c>
      <c r="U101" s="76">
        <f t="shared" ca="1" si="37"/>
        <v>10.606217367727941</v>
      </c>
      <c r="V101" s="76">
        <f t="shared" ca="1" si="38"/>
        <v>10.606217367727941</v>
      </c>
      <c r="W101" s="74"/>
      <c r="X101" s="74"/>
      <c r="Y101" s="175"/>
      <c r="Z101" s="74"/>
      <c r="AA101" s="74"/>
      <c r="AB101" s="175"/>
      <c r="AC101" s="74"/>
      <c r="AD101" s="74"/>
      <c r="AE101" s="175"/>
      <c r="AF101" s="74"/>
      <c r="AG101" s="74"/>
      <c r="AH101" s="175"/>
    </row>
    <row r="102" spans="1:34" ht="24" customHeight="1" x14ac:dyDescent="0.3">
      <c r="A102" s="105"/>
      <c r="B102" s="106" t="s">
        <v>130</v>
      </c>
      <c r="C102" s="173">
        <f t="shared" ca="1" si="71"/>
        <v>0</v>
      </c>
      <c r="D102" s="174">
        <f t="shared" ca="1" si="72"/>
        <v>0</v>
      </c>
      <c r="E102" s="74">
        <f ca="1">IFERROR(__xludf.DUMMYFUNCTION("IMPORTRANGE(""https://docs.google.com/spreadsheets/d/1-uDff_7J0KD5mKrp0Vvzr7lt3OU09vwQwhkpOPPYv2Y/edit?usp=sharing"",""งบพรบ!AX102"")"),0)</f>
        <v>0</v>
      </c>
      <c r="F102" s="74">
        <f ca="1">IFERROR(__xludf.DUMMYFUNCTION("IMPORTRANGE(""https://docs.google.com/spreadsheets/d/1-uDff_7J0KD5mKrp0Vvzr7lt3OU09vwQwhkpOPPYv2Y/edit?usp=sharing"",""งบพรบ!AY102"")"),0)</f>
        <v>0</v>
      </c>
      <c r="G102" s="74">
        <f ca="1">IFERROR(__xludf.DUMMYFUNCTION("IMPORTRANGE(""https://docs.google.com/spreadsheets/d/1-uDff_7J0KD5mKrp0Vvzr7lt3OU09vwQwhkpOPPYv2Y/edit?usp=sharing"",""งบพรบ!AZ102"")"),0)</f>
        <v>0</v>
      </c>
      <c r="H102" s="74">
        <f ca="1">IFERROR(__xludf.DUMMYFUNCTION("IMPORTRANGE(""https://docs.google.com/spreadsheets/d/1-uDff_7J0KD5mKrp0Vvzr7lt3OU09vwQwhkpOPPYv2Y/edit?usp=sharing"",""งบพรบ!BB102"")"),0)</f>
        <v>0</v>
      </c>
      <c r="I102" s="74">
        <f ca="1">IFERROR(__xludf.DUMMYFUNCTION("IMPORTRANGE(""https://docs.google.com/spreadsheets/d/1-uDff_7J0KD5mKrp0Vvzr7lt3OU09vwQwhkpOPPYv2Y/edit?usp=sharing"",""งบพรบ!BC102"")"),0)</f>
        <v>0</v>
      </c>
      <c r="J102" s="74">
        <f t="shared" ca="1" si="73"/>
        <v>0</v>
      </c>
      <c r="K102" s="75">
        <f t="shared" ca="1" si="74"/>
        <v>0</v>
      </c>
      <c r="L102" s="74">
        <f ca="1">IFERROR(__xludf.DUMMYFUNCTION("IMPORTRANGE(""https://docs.google.com/spreadsheets/d/1-uDff_7J0KD5mKrp0Vvzr7lt3OU09vwQwhkpOPPYv2Y/edit?usp=sharing"",""งบพรบ!BD102"")"),0)</f>
        <v>0</v>
      </c>
      <c r="M102" s="76">
        <f t="shared" ca="1" si="75"/>
        <v>0</v>
      </c>
      <c r="N102" s="76">
        <f t="shared" ca="1" si="76"/>
        <v>0</v>
      </c>
      <c r="O102" s="77">
        <f ca="1">IFERROR(__xludf.DUMMYFUNCTION("IMPORTRANGE(""https://docs.google.com/spreadsheets/d/1-uDff_7J0KD5mKrp0Vvzr7lt3OU09vwQwhkpOPPYv2Y/edit?usp=sharing"",""งบพรบ!BE102"")"),0)</f>
        <v>0</v>
      </c>
      <c r="P102" s="77">
        <f t="shared" ca="1" si="77"/>
        <v>0</v>
      </c>
      <c r="Q102" s="76">
        <f t="shared" ca="1" si="78"/>
        <v>0</v>
      </c>
      <c r="R102" s="77">
        <v>0</v>
      </c>
      <c r="S102" s="77">
        <v>0</v>
      </c>
      <c r="T102" s="77">
        <v>0</v>
      </c>
      <c r="U102" s="76">
        <f t="shared" si="37"/>
        <v>0</v>
      </c>
      <c r="V102" s="76">
        <f t="shared" si="38"/>
        <v>0</v>
      </c>
      <c r="W102" s="74"/>
      <c r="X102" s="74"/>
      <c r="Y102" s="175"/>
      <c r="Z102" s="74"/>
      <c r="AA102" s="74"/>
      <c r="AB102" s="175"/>
      <c r="AC102" s="74"/>
      <c r="AD102" s="74"/>
      <c r="AE102" s="175"/>
      <c r="AF102" s="74"/>
      <c r="AG102" s="74"/>
      <c r="AH102" s="175"/>
    </row>
    <row r="103" spans="1:34" ht="24" customHeight="1" x14ac:dyDescent="0.3">
      <c r="A103" s="105"/>
      <c r="B103" s="106" t="s">
        <v>131</v>
      </c>
      <c r="C103" s="173">
        <f t="shared" ca="1" si="71"/>
        <v>0</v>
      </c>
      <c r="D103" s="174">
        <f t="shared" ca="1" si="72"/>
        <v>0</v>
      </c>
      <c r="E103" s="74">
        <f ca="1">IFERROR(__xludf.DUMMYFUNCTION("IMPORTRANGE(""https://docs.google.com/spreadsheets/d/1-uDff_7J0KD5mKrp0Vvzr7lt3OU09vwQwhkpOPPYv2Y/edit?usp=sharing"",""งบพรบ!AX103"")"),0)</f>
        <v>0</v>
      </c>
      <c r="F103" s="74">
        <f ca="1">IFERROR(__xludf.DUMMYFUNCTION("IMPORTRANGE(""https://docs.google.com/spreadsheets/d/1-uDff_7J0KD5mKrp0Vvzr7lt3OU09vwQwhkpOPPYv2Y/edit?usp=sharing"",""งบพรบ!AY103"")"),0)</f>
        <v>0</v>
      </c>
      <c r="G103" s="74">
        <f ca="1">IFERROR(__xludf.DUMMYFUNCTION("IMPORTRANGE(""https://docs.google.com/spreadsheets/d/1-uDff_7J0KD5mKrp0Vvzr7lt3OU09vwQwhkpOPPYv2Y/edit?usp=sharing"",""งบพรบ!AZ103"")"),0)</f>
        <v>0</v>
      </c>
      <c r="H103" s="74">
        <f ca="1">IFERROR(__xludf.DUMMYFUNCTION("IMPORTRANGE(""https://docs.google.com/spreadsheets/d/1-uDff_7J0KD5mKrp0Vvzr7lt3OU09vwQwhkpOPPYv2Y/edit?usp=sharing"",""งบพรบ!BB103"")"),0)</f>
        <v>0</v>
      </c>
      <c r="I103" s="74">
        <f ca="1">IFERROR(__xludf.DUMMYFUNCTION("IMPORTRANGE(""https://docs.google.com/spreadsheets/d/1-uDff_7J0KD5mKrp0Vvzr7lt3OU09vwQwhkpOPPYv2Y/edit?usp=sharing"",""งบพรบ!BC103"")"),0)</f>
        <v>0</v>
      </c>
      <c r="J103" s="74">
        <f t="shared" ca="1" si="73"/>
        <v>0</v>
      </c>
      <c r="K103" s="75">
        <f t="shared" ca="1" si="74"/>
        <v>0</v>
      </c>
      <c r="L103" s="74">
        <f ca="1">IFERROR(__xludf.DUMMYFUNCTION("IMPORTRANGE(""https://docs.google.com/spreadsheets/d/1-uDff_7J0KD5mKrp0Vvzr7lt3OU09vwQwhkpOPPYv2Y/edit?usp=sharing"",""งบพรบ!BD103"")"),0)</f>
        <v>0</v>
      </c>
      <c r="M103" s="76">
        <f t="shared" ca="1" si="75"/>
        <v>0</v>
      </c>
      <c r="N103" s="76">
        <f t="shared" ca="1" si="76"/>
        <v>0</v>
      </c>
      <c r="O103" s="77">
        <f ca="1">IFERROR(__xludf.DUMMYFUNCTION("IMPORTRANGE(""https://docs.google.com/spreadsheets/d/1-uDff_7J0KD5mKrp0Vvzr7lt3OU09vwQwhkpOPPYv2Y/edit?usp=sharing"",""งบพรบ!BE103"")"),0)</f>
        <v>0</v>
      </c>
      <c r="P103" s="77">
        <f t="shared" ca="1" si="77"/>
        <v>0</v>
      </c>
      <c r="Q103" s="76">
        <f t="shared" ca="1" si="78"/>
        <v>0</v>
      </c>
      <c r="R103" s="107">
        <v>0</v>
      </c>
      <c r="S103" s="107">
        <v>0</v>
      </c>
      <c r="T103" s="107">
        <v>0</v>
      </c>
      <c r="U103" s="108">
        <f t="shared" si="37"/>
        <v>0</v>
      </c>
      <c r="V103" s="108">
        <f t="shared" si="38"/>
        <v>0</v>
      </c>
      <c r="W103" s="74"/>
      <c r="X103" s="74"/>
      <c r="Y103" s="175"/>
      <c r="Z103" s="74"/>
      <c r="AA103" s="74"/>
      <c r="AB103" s="175"/>
      <c r="AC103" s="74"/>
      <c r="AD103" s="74"/>
      <c r="AE103" s="175"/>
      <c r="AF103" s="74"/>
      <c r="AG103" s="74"/>
      <c r="AH103" s="175"/>
    </row>
    <row r="104" spans="1:34" ht="24" customHeight="1" x14ac:dyDescent="0.3">
      <c r="A104" s="105"/>
      <c r="B104" s="106" t="s">
        <v>132</v>
      </c>
      <c r="C104" s="173">
        <f t="shared" ca="1" si="71"/>
        <v>339200</v>
      </c>
      <c r="D104" s="174">
        <f t="shared" ca="1" si="72"/>
        <v>339200</v>
      </c>
      <c r="E104" s="74">
        <f ca="1">IFERROR(__xludf.DUMMYFUNCTION("IMPORTRANGE(""https://docs.google.com/spreadsheets/d/1-uDff_7J0KD5mKrp0Vvzr7lt3OU09vwQwhkpOPPYv2Y/edit?usp=sharing"",""งบพรบ!AX104"")"),339200)</f>
        <v>339200</v>
      </c>
      <c r="F104" s="74">
        <f ca="1">IFERROR(__xludf.DUMMYFUNCTION("IMPORTRANGE(""https://docs.google.com/spreadsheets/d/1-uDff_7J0KD5mKrp0Vvzr7lt3OU09vwQwhkpOPPYv2Y/edit?usp=sharing"",""งบพรบ!AY104"")"),0)</f>
        <v>0</v>
      </c>
      <c r="G104" s="74">
        <f ca="1">IFERROR(__xludf.DUMMYFUNCTION("IMPORTRANGE(""https://docs.google.com/spreadsheets/d/1-uDff_7J0KD5mKrp0Vvzr7lt3OU09vwQwhkpOPPYv2Y/edit?usp=sharing"",""งบพรบ!AZ104"")"),0)</f>
        <v>0</v>
      </c>
      <c r="H104" s="74">
        <f ca="1">IFERROR(__xludf.DUMMYFUNCTION("IMPORTRANGE(""https://docs.google.com/spreadsheets/d/1-uDff_7J0KD5mKrp0Vvzr7lt3OU09vwQwhkpOPPYv2Y/edit?usp=sharing"",""งบพรบ!BB104"")"),459200)</f>
        <v>459200</v>
      </c>
      <c r="I104" s="74">
        <f ca="1">IFERROR(__xludf.DUMMYFUNCTION("IMPORTRANGE(""https://docs.google.com/spreadsheets/d/1-uDff_7J0KD5mKrp0Vvzr7lt3OU09vwQwhkpOPPYv2Y/edit?usp=sharing"",""งบพรบ!BC104"")"),0)</f>
        <v>0</v>
      </c>
      <c r="J104" s="74">
        <f t="shared" ca="1" si="73"/>
        <v>281808.40000000002</v>
      </c>
      <c r="K104" s="75">
        <f t="shared" ca="1" si="74"/>
        <v>83.080306603773593</v>
      </c>
      <c r="L104" s="74">
        <f ca="1">IFERROR(__xludf.DUMMYFUNCTION("IMPORTRANGE(""https://docs.google.com/spreadsheets/d/1-uDff_7J0KD5mKrp0Vvzr7lt3OU09vwQwhkpOPPYv2Y/edit?usp=sharing"",""งบพรบ!BD104"")"),281808.4)</f>
        <v>281808.40000000002</v>
      </c>
      <c r="M104" s="76">
        <f t="shared" ca="1" si="75"/>
        <v>83.080306603773593</v>
      </c>
      <c r="N104" s="76">
        <f t="shared" ca="1" si="76"/>
        <v>61.36942508710802</v>
      </c>
      <c r="O104" s="77">
        <f ca="1">IFERROR(__xludf.DUMMYFUNCTION("IMPORTRANGE(""https://docs.google.com/spreadsheets/d/1-uDff_7J0KD5mKrp0Vvzr7lt3OU09vwQwhkpOPPYv2Y/edit?usp=sharing"",""งบพรบ!BE104"")"),0)</f>
        <v>0</v>
      </c>
      <c r="P104" s="77">
        <f t="shared" ca="1" si="77"/>
        <v>0</v>
      </c>
      <c r="Q104" s="76">
        <f t="shared" ca="1" si="78"/>
        <v>0</v>
      </c>
      <c r="R104" s="77">
        <v>0</v>
      </c>
      <c r="S104" s="77">
        <v>0</v>
      </c>
      <c r="T104" s="77">
        <v>0</v>
      </c>
      <c r="U104" s="76">
        <f t="shared" si="37"/>
        <v>0</v>
      </c>
      <c r="V104" s="76">
        <f t="shared" si="38"/>
        <v>0</v>
      </c>
      <c r="W104" s="74"/>
      <c r="X104" s="74"/>
      <c r="Y104" s="175"/>
      <c r="Z104" s="74"/>
      <c r="AA104" s="74"/>
      <c r="AB104" s="175"/>
      <c r="AC104" s="74"/>
      <c r="AD104" s="74"/>
      <c r="AE104" s="175"/>
      <c r="AF104" s="74"/>
      <c r="AG104" s="74"/>
      <c r="AH104" s="175"/>
    </row>
    <row r="105" spans="1:34" ht="24" customHeight="1" x14ac:dyDescent="0.3">
      <c r="A105" s="105"/>
      <c r="B105" s="109" t="s">
        <v>133</v>
      </c>
      <c r="C105" s="173">
        <f t="shared" ca="1" si="71"/>
        <v>0</v>
      </c>
      <c r="D105" s="174">
        <f t="shared" ca="1" si="72"/>
        <v>0</v>
      </c>
      <c r="E105" s="74">
        <f ca="1">IFERROR(__xludf.DUMMYFUNCTION("IMPORTRANGE(""https://docs.google.com/spreadsheets/d/1-uDff_7J0KD5mKrp0Vvzr7lt3OU09vwQwhkpOPPYv2Y/edit?usp=sharing"",""งบพรบ!AX105"")"),0)</f>
        <v>0</v>
      </c>
      <c r="F105" s="74">
        <f ca="1">IFERROR(__xludf.DUMMYFUNCTION("IMPORTRANGE(""https://docs.google.com/spreadsheets/d/1-uDff_7J0KD5mKrp0Vvzr7lt3OU09vwQwhkpOPPYv2Y/edit?usp=sharing"",""งบพรบ!AY105"")"),0)</f>
        <v>0</v>
      </c>
      <c r="G105" s="74">
        <f ca="1">IFERROR(__xludf.DUMMYFUNCTION("IMPORTRANGE(""https://docs.google.com/spreadsheets/d/1-uDff_7J0KD5mKrp0Vvzr7lt3OU09vwQwhkpOPPYv2Y/edit?usp=sharing"",""งบพรบ!AZ105"")"),0)</f>
        <v>0</v>
      </c>
      <c r="H105" s="74">
        <f ca="1">IFERROR(__xludf.DUMMYFUNCTION("IMPORTRANGE(""https://docs.google.com/spreadsheets/d/1-uDff_7J0KD5mKrp0Vvzr7lt3OU09vwQwhkpOPPYv2Y/edit?usp=sharing"",""งบพรบ!BB105"")"),0)</f>
        <v>0</v>
      </c>
      <c r="I105" s="74">
        <f ca="1">IFERROR(__xludf.DUMMYFUNCTION("IMPORTRANGE(""https://docs.google.com/spreadsheets/d/1-uDff_7J0KD5mKrp0Vvzr7lt3OU09vwQwhkpOPPYv2Y/edit?usp=sharing"",""งบพรบ!BC105"")"),0)</f>
        <v>0</v>
      </c>
      <c r="J105" s="74">
        <f t="shared" ca="1" si="73"/>
        <v>0</v>
      </c>
      <c r="K105" s="75">
        <f t="shared" ca="1" si="74"/>
        <v>0</v>
      </c>
      <c r="L105" s="74">
        <f ca="1">IFERROR(__xludf.DUMMYFUNCTION("IMPORTRANGE(""https://docs.google.com/spreadsheets/d/1-uDff_7J0KD5mKrp0Vvzr7lt3OU09vwQwhkpOPPYv2Y/edit?usp=sharing"",""งบพรบ!BD105"")"),0)</f>
        <v>0</v>
      </c>
      <c r="M105" s="76">
        <f t="shared" ca="1" si="75"/>
        <v>0</v>
      </c>
      <c r="N105" s="76">
        <f t="shared" ca="1" si="76"/>
        <v>0</v>
      </c>
      <c r="O105" s="77">
        <f ca="1">IFERROR(__xludf.DUMMYFUNCTION("IMPORTRANGE(""https://docs.google.com/spreadsheets/d/1-uDff_7J0KD5mKrp0Vvzr7lt3OU09vwQwhkpOPPYv2Y/edit?usp=sharing"",""งบพรบ!BE105"")"),0)</f>
        <v>0</v>
      </c>
      <c r="P105" s="77">
        <f t="shared" ca="1" si="77"/>
        <v>0</v>
      </c>
      <c r="Q105" s="76">
        <f t="shared" ca="1" si="78"/>
        <v>0</v>
      </c>
      <c r="R105" s="110">
        <v>0</v>
      </c>
      <c r="S105" s="110">
        <v>0</v>
      </c>
      <c r="T105" s="110">
        <v>0</v>
      </c>
      <c r="U105" s="111">
        <f t="shared" si="37"/>
        <v>0</v>
      </c>
      <c r="V105" s="111">
        <f t="shared" si="38"/>
        <v>0</v>
      </c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</row>
    <row r="106" spans="1:34" ht="24" customHeight="1" x14ac:dyDescent="0.3">
      <c r="A106" s="105"/>
      <c r="B106" s="109" t="s">
        <v>134</v>
      </c>
      <c r="C106" s="176">
        <f t="shared" ca="1" si="71"/>
        <v>0</v>
      </c>
      <c r="D106" s="177">
        <f t="shared" ca="1" si="72"/>
        <v>0</v>
      </c>
      <c r="E106" s="74">
        <f ca="1">IFERROR(__xludf.DUMMYFUNCTION("IMPORTRANGE(""https://docs.google.com/spreadsheets/d/1-uDff_7J0KD5mKrp0Vvzr7lt3OU09vwQwhkpOPPYv2Y/edit?usp=sharing"",""งบพรบ!AX106"")"),0)</f>
        <v>0</v>
      </c>
      <c r="F106" s="74">
        <f ca="1">IFERROR(__xludf.DUMMYFUNCTION("IMPORTRANGE(""https://docs.google.com/spreadsheets/d/1-uDff_7J0KD5mKrp0Vvzr7lt3OU09vwQwhkpOPPYv2Y/edit?usp=sharing"",""งบพรบ!AY106"")"),0)</f>
        <v>0</v>
      </c>
      <c r="G106" s="74">
        <f ca="1">IFERROR(__xludf.DUMMYFUNCTION("IMPORTRANGE(""https://docs.google.com/spreadsheets/d/1-uDff_7J0KD5mKrp0Vvzr7lt3OU09vwQwhkpOPPYv2Y/edit?usp=sharing"",""งบพรบ!AZ106"")"),0)</f>
        <v>0</v>
      </c>
      <c r="H106" s="74">
        <f ca="1">IFERROR(__xludf.DUMMYFUNCTION("IMPORTRANGE(""https://docs.google.com/spreadsheets/d/1-uDff_7J0KD5mKrp0Vvzr7lt3OU09vwQwhkpOPPYv2Y/edit?usp=sharing"",""งบพรบ!BB106"")"),0)</f>
        <v>0</v>
      </c>
      <c r="I106" s="74">
        <f ca="1">IFERROR(__xludf.DUMMYFUNCTION("IMPORTRANGE(""https://docs.google.com/spreadsheets/d/1-uDff_7J0KD5mKrp0Vvzr7lt3OU09vwQwhkpOPPYv2Y/edit?usp=sharing"",""งบพรบ!BC106"")"),0)</f>
        <v>0</v>
      </c>
      <c r="J106" s="74">
        <f t="shared" ca="1" si="73"/>
        <v>0</v>
      </c>
      <c r="K106" s="75">
        <f t="shared" ca="1" si="74"/>
        <v>0</v>
      </c>
      <c r="L106" s="74">
        <f ca="1">IFERROR(__xludf.DUMMYFUNCTION("IMPORTRANGE(""https://docs.google.com/spreadsheets/d/1-uDff_7J0KD5mKrp0Vvzr7lt3OU09vwQwhkpOPPYv2Y/edit?usp=sharing"",""งบพรบ!BD106"")"),0)</f>
        <v>0</v>
      </c>
      <c r="M106" s="76">
        <f t="shared" ca="1" si="75"/>
        <v>0</v>
      </c>
      <c r="N106" s="76">
        <f t="shared" ca="1" si="76"/>
        <v>0</v>
      </c>
      <c r="O106" s="77">
        <f ca="1">IFERROR(__xludf.DUMMYFUNCTION("IMPORTRANGE(""https://docs.google.com/spreadsheets/d/1-uDff_7J0KD5mKrp0Vvzr7lt3OU09vwQwhkpOPPYv2Y/edit?usp=sharing"",""งบพรบ!BE106"")"),0)</f>
        <v>0</v>
      </c>
      <c r="P106" s="77">
        <f t="shared" ca="1" si="77"/>
        <v>0</v>
      </c>
      <c r="Q106" s="76">
        <f t="shared" ca="1" si="78"/>
        <v>0</v>
      </c>
      <c r="R106" s="77">
        <v>0</v>
      </c>
      <c r="S106" s="77">
        <v>0</v>
      </c>
      <c r="T106" s="77">
        <v>0</v>
      </c>
      <c r="U106" s="76">
        <f t="shared" si="37"/>
        <v>0</v>
      </c>
      <c r="V106" s="76">
        <f t="shared" si="38"/>
        <v>0</v>
      </c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</row>
    <row r="107" spans="1:34" ht="24" customHeight="1" x14ac:dyDescent="0.3">
      <c r="A107" s="105"/>
      <c r="B107" s="109" t="s">
        <v>26</v>
      </c>
      <c r="C107" s="176">
        <f t="shared" ca="1" si="71"/>
        <v>0</v>
      </c>
      <c r="D107" s="177">
        <f t="shared" ca="1" si="72"/>
        <v>0</v>
      </c>
      <c r="E107" s="74">
        <f ca="1">IFERROR(__xludf.DUMMYFUNCTION("IMPORTRANGE(""https://docs.google.com/spreadsheets/d/1-uDff_7J0KD5mKrp0Vvzr7lt3OU09vwQwhkpOPPYv2Y/edit?usp=sharing"",""งบพรบ!AX107"")"),0)</f>
        <v>0</v>
      </c>
      <c r="F107" s="74">
        <f ca="1">IFERROR(__xludf.DUMMYFUNCTION("IMPORTRANGE(""https://docs.google.com/spreadsheets/d/1-uDff_7J0KD5mKrp0Vvzr7lt3OU09vwQwhkpOPPYv2Y/edit?usp=sharing"",""งบพรบ!AY107"")"),0)</f>
        <v>0</v>
      </c>
      <c r="G107" s="74">
        <f ca="1">IFERROR(__xludf.DUMMYFUNCTION("IMPORTRANGE(""https://docs.google.com/spreadsheets/d/1-uDff_7J0KD5mKrp0Vvzr7lt3OU09vwQwhkpOPPYv2Y/edit?usp=sharing"",""งบพรบ!AZ107"")"),0)</f>
        <v>0</v>
      </c>
      <c r="H107" s="74">
        <f ca="1">IFERROR(__xludf.DUMMYFUNCTION("IMPORTRANGE(""https://docs.google.com/spreadsheets/d/1-uDff_7J0KD5mKrp0Vvzr7lt3OU09vwQwhkpOPPYv2Y/edit?usp=sharing"",""งบพรบ!BB107"")"),0)</f>
        <v>0</v>
      </c>
      <c r="I107" s="74">
        <f ca="1">IFERROR(__xludf.DUMMYFUNCTION("IMPORTRANGE(""https://docs.google.com/spreadsheets/d/1-uDff_7J0KD5mKrp0Vvzr7lt3OU09vwQwhkpOPPYv2Y/edit?usp=sharing"",""งบพรบ!BC107"")"),0)</f>
        <v>0</v>
      </c>
      <c r="J107" s="74">
        <f t="shared" ca="1" si="73"/>
        <v>0</v>
      </c>
      <c r="K107" s="75">
        <f t="shared" ca="1" si="74"/>
        <v>0</v>
      </c>
      <c r="L107" s="74">
        <f ca="1">IFERROR(__xludf.DUMMYFUNCTION("IMPORTRANGE(""https://docs.google.com/spreadsheets/d/1-uDff_7J0KD5mKrp0Vvzr7lt3OU09vwQwhkpOPPYv2Y/edit?usp=sharing"",""งบพรบ!BD107"")"),0)</f>
        <v>0</v>
      </c>
      <c r="M107" s="76">
        <f t="shared" ca="1" si="75"/>
        <v>0</v>
      </c>
      <c r="N107" s="76">
        <f t="shared" ca="1" si="76"/>
        <v>0</v>
      </c>
      <c r="O107" s="77">
        <f ca="1">IFERROR(__xludf.DUMMYFUNCTION("IMPORTRANGE(""https://docs.google.com/spreadsheets/d/1-uDff_7J0KD5mKrp0Vvzr7lt3OU09vwQwhkpOPPYv2Y/edit?usp=sharing"",""งบพรบ!BE107"")"),0)</f>
        <v>0</v>
      </c>
      <c r="P107" s="77">
        <f t="shared" ca="1" si="77"/>
        <v>0</v>
      </c>
      <c r="Q107" s="76">
        <f t="shared" ca="1" si="78"/>
        <v>0</v>
      </c>
      <c r="R107" s="77">
        <v>0</v>
      </c>
      <c r="S107" s="77">
        <v>0</v>
      </c>
      <c r="T107" s="77">
        <v>0</v>
      </c>
      <c r="U107" s="76">
        <f t="shared" si="37"/>
        <v>0</v>
      </c>
      <c r="V107" s="76">
        <f t="shared" si="38"/>
        <v>0</v>
      </c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</row>
    <row r="108" spans="1:34" ht="24" customHeight="1" x14ac:dyDescent="0.3">
      <c r="A108" s="112"/>
      <c r="B108" s="113" t="s">
        <v>135</v>
      </c>
      <c r="C108" s="178">
        <f t="shared" ca="1" si="71"/>
        <v>0</v>
      </c>
      <c r="D108" s="179">
        <f t="shared" ca="1" si="72"/>
        <v>0</v>
      </c>
      <c r="E108" s="84">
        <f ca="1">IFERROR(__xludf.DUMMYFUNCTION("IMPORTRANGE(""https://docs.google.com/spreadsheets/d/1-uDff_7J0KD5mKrp0Vvzr7lt3OU09vwQwhkpOPPYv2Y/edit?usp=sharing"",""งบพรบ!AX108"")"),0)</f>
        <v>0</v>
      </c>
      <c r="F108" s="84">
        <f ca="1">IFERROR(__xludf.DUMMYFUNCTION("IMPORTRANGE(""https://docs.google.com/spreadsheets/d/1-uDff_7J0KD5mKrp0Vvzr7lt3OU09vwQwhkpOPPYv2Y/edit?usp=sharing"",""งบพรบ!AY108"")"),0)</f>
        <v>0</v>
      </c>
      <c r="G108" s="84">
        <f ca="1">IFERROR(__xludf.DUMMYFUNCTION("IMPORTRANGE(""https://docs.google.com/spreadsheets/d/1-uDff_7J0KD5mKrp0Vvzr7lt3OU09vwQwhkpOPPYv2Y/edit?usp=sharing"",""งบพรบ!AZ108"")"),0)</f>
        <v>0</v>
      </c>
      <c r="H108" s="84">
        <f ca="1">IFERROR(__xludf.DUMMYFUNCTION("IMPORTRANGE(""https://docs.google.com/spreadsheets/d/1-uDff_7J0KD5mKrp0Vvzr7lt3OU09vwQwhkpOPPYv2Y/edit?usp=sharing"",""งบพรบ!BB108"")"),0)</f>
        <v>0</v>
      </c>
      <c r="I108" s="84">
        <f ca="1">IFERROR(__xludf.DUMMYFUNCTION("IMPORTRANGE(""https://docs.google.com/spreadsheets/d/1-uDff_7J0KD5mKrp0Vvzr7lt3OU09vwQwhkpOPPYv2Y/edit?usp=sharing"",""งบพรบ!BC108"")"),0)</f>
        <v>0</v>
      </c>
      <c r="J108" s="84">
        <f t="shared" ca="1" si="73"/>
        <v>0</v>
      </c>
      <c r="K108" s="85">
        <f t="shared" ca="1" si="74"/>
        <v>0</v>
      </c>
      <c r="L108" s="84">
        <f ca="1">IFERROR(__xludf.DUMMYFUNCTION("IMPORTRANGE(""https://docs.google.com/spreadsheets/d/1-uDff_7J0KD5mKrp0Vvzr7lt3OU09vwQwhkpOPPYv2Y/edit?usp=sharing"",""งบพรบ!BD108"")"),0)</f>
        <v>0</v>
      </c>
      <c r="M108" s="86">
        <f t="shared" ca="1" si="75"/>
        <v>0</v>
      </c>
      <c r="N108" s="86">
        <f t="shared" ca="1" si="76"/>
        <v>0</v>
      </c>
      <c r="O108" s="87">
        <f ca="1">IFERROR(__xludf.DUMMYFUNCTION("IMPORTRANGE(""https://docs.google.com/spreadsheets/d/1-uDff_7J0KD5mKrp0Vvzr7lt3OU09vwQwhkpOPPYv2Y/edit?usp=sharing"",""งบพรบ!BE108"")"),0)</f>
        <v>0</v>
      </c>
      <c r="P108" s="87">
        <f t="shared" ca="1" si="77"/>
        <v>0</v>
      </c>
      <c r="Q108" s="86">
        <f t="shared" ca="1" si="78"/>
        <v>0</v>
      </c>
      <c r="R108" s="87">
        <v>0</v>
      </c>
      <c r="S108" s="87">
        <v>0</v>
      </c>
      <c r="T108" s="87">
        <v>0</v>
      </c>
      <c r="U108" s="86">
        <f t="shared" si="37"/>
        <v>0</v>
      </c>
      <c r="V108" s="86">
        <f t="shared" si="38"/>
        <v>0</v>
      </c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</row>
  </sheetData>
  <mergeCells count="36">
    <mergeCell ref="G5:G6"/>
    <mergeCell ref="H5:H6"/>
    <mergeCell ref="I5:I6"/>
    <mergeCell ref="J5:K5"/>
    <mergeCell ref="L5:N5"/>
    <mergeCell ref="A52:B52"/>
    <mergeCell ref="A74:B74"/>
    <mergeCell ref="A89:B89"/>
    <mergeCell ref="D5:D6"/>
    <mergeCell ref="E5:E6"/>
    <mergeCell ref="A2:B6"/>
    <mergeCell ref="C5:C6"/>
    <mergeCell ref="A7:B7"/>
    <mergeCell ref="A13:B13"/>
    <mergeCell ref="A31:B31"/>
    <mergeCell ref="X5:Y5"/>
    <mergeCell ref="AA5:AB5"/>
    <mergeCell ref="AD5:AE5"/>
    <mergeCell ref="C2:V2"/>
    <mergeCell ref="W2:AH2"/>
    <mergeCell ref="R3:V3"/>
    <mergeCell ref="Z3:AB4"/>
    <mergeCell ref="AC3:AH4"/>
    <mergeCell ref="V4:V6"/>
    <mergeCell ref="O5:Q5"/>
    <mergeCell ref="AG5:AH5"/>
    <mergeCell ref="R4:R6"/>
    <mergeCell ref="S4:S6"/>
    <mergeCell ref="T4:T6"/>
    <mergeCell ref="U4:U6"/>
    <mergeCell ref="F5:F6"/>
    <mergeCell ref="C3:Q3"/>
    <mergeCell ref="C4:G4"/>
    <mergeCell ref="H4:I4"/>
    <mergeCell ref="J4:Q4"/>
    <mergeCell ref="W3:Y4"/>
  </mergeCells>
  <conditionalFormatting sqref="K14:K30 V14:V30 K32:K51 V32:V51 K53:K73 V53:V73 K75:K88 V75:V88 K90:K108 V90:V108">
    <cfRule type="colorScale" priority="2">
      <colorScale>
        <cfvo type="formula" val="22"/>
        <cfvo type="formula" val="44"/>
        <cfvo type="formula" val="88"/>
        <color rgb="FFFF0000"/>
        <color rgb="FFFFFF00"/>
        <color rgb="FF38761D"/>
      </colorScale>
    </cfRule>
    <cfRule type="colorScale" priority="3">
      <colorScale>
        <cfvo type="percent" val="22"/>
        <cfvo type="percent" val="44"/>
        <cfvo type="percent" val="88"/>
        <color rgb="FFFF0000"/>
        <color rgb="FFFFFF00"/>
        <color rgb="FF38761D"/>
      </colorScale>
    </cfRule>
  </conditionalFormatting>
  <conditionalFormatting sqref="U14:U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V14 K14">
    <cfRule type="colorScale" priority="4">
      <colorScale>
        <cfvo type="percent" val="0"/>
        <cfvo type="percent" val="50"/>
        <cfvo type="percent" val="100"/>
        <color rgb="FFFF0000"/>
        <color rgb="FFFFFF00"/>
        <color rgb="FF38761D"/>
      </colorScale>
    </cfRule>
  </conditionalFormatting>
  <conditionalFormatting sqref="Y14:Y30 AB14:AB30 AE14:AE30 AH14:AH30 Y32:Y51 AB32:AB51 AE32:AE51 AH32:AH51 Y53:Y73 AB53:AB73 AE53:AE73 AH53:AH73 Y75:Y88 AB75:AB88 AE75:AE88 AH75:AH88">
    <cfRule type="colorScale" priority="5">
      <colorScale>
        <cfvo type="percent" val="0"/>
        <cfvo type="percent" val="50"/>
        <cfvo type="percent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FF00"/>
    <outlinePr summaryBelow="0" summaryRight="0"/>
  </sheetPr>
  <dimension ref="A1:U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5.140625" customWidth="1"/>
    <col min="7" max="7" width="15.140625" customWidth="1"/>
    <col min="8" max="8" width="14.85546875" customWidth="1"/>
    <col min="9" max="10" width="15.140625" customWidth="1"/>
    <col min="15" max="15" width="13.85546875" customWidth="1"/>
    <col min="18" max="20" width="17.5703125" customWidth="1"/>
  </cols>
  <sheetData>
    <row r="1" spans="1:21" ht="19.5" x14ac:dyDescent="0.3">
      <c r="A1" s="234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4"/>
      <c r="S1" s="114"/>
      <c r="T1" s="116"/>
    </row>
    <row r="2" spans="1:21" ht="30" customHeight="1" x14ac:dyDescent="0.2">
      <c r="A2" s="692" t="s">
        <v>1</v>
      </c>
      <c r="B2" s="658"/>
      <c r="C2" s="689" t="s">
        <v>305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7"/>
      <c r="R2" s="689" t="s">
        <v>29</v>
      </c>
      <c r="S2" s="646"/>
      <c r="T2" s="647"/>
      <c r="U2" s="594"/>
    </row>
    <row r="3" spans="1:21" ht="30" customHeight="1" x14ac:dyDescent="0.2">
      <c r="A3" s="659"/>
      <c r="B3" s="660"/>
      <c r="C3" s="717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87" t="s">
        <v>306</v>
      </c>
      <c r="S3" s="674"/>
      <c r="T3" s="658"/>
      <c r="U3" s="594"/>
    </row>
    <row r="4" spans="1:21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661"/>
      <c r="S4" s="675"/>
      <c r="T4" s="662"/>
      <c r="U4" s="594"/>
    </row>
    <row r="5" spans="1:21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119" t="s">
        <v>28</v>
      </c>
      <c r="S5" s="780" t="s">
        <v>29</v>
      </c>
      <c r="T5" s="647"/>
      <c r="U5" s="594"/>
    </row>
    <row r="6" spans="1:21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119" t="s">
        <v>153</v>
      </c>
      <c r="S6" s="180" t="s">
        <v>153</v>
      </c>
      <c r="T6" s="210" t="s">
        <v>31</v>
      </c>
      <c r="U6" s="594"/>
    </row>
    <row r="7" spans="1:21" ht="19.5" x14ac:dyDescent="0.3">
      <c r="A7" s="694" t="s">
        <v>38</v>
      </c>
      <c r="B7" s="647"/>
      <c r="C7" s="454">
        <f t="shared" ref="C7:C9" ca="1" si="0">D7+G7</f>
        <v>20326400</v>
      </c>
      <c r="D7" s="455">
        <f t="shared" ref="D7:I7" ca="1" si="1">D8+D9</f>
        <v>664800</v>
      </c>
      <c r="E7" s="456">
        <f t="shared" ca="1" si="1"/>
        <v>299200</v>
      </c>
      <c r="F7" s="457">
        <f t="shared" ca="1" si="1"/>
        <v>365600</v>
      </c>
      <c r="G7" s="458">
        <f t="shared" ca="1" si="1"/>
        <v>19661600</v>
      </c>
      <c r="H7" s="459">
        <f t="shared" ca="1" si="1"/>
        <v>664800</v>
      </c>
      <c r="I7" s="459">
        <f t="shared" ca="1" si="1"/>
        <v>17122138</v>
      </c>
      <c r="J7" s="460">
        <f t="shared" ref="J7:J9" ca="1" si="2">L7+O7</f>
        <v>8170988</v>
      </c>
      <c r="K7" s="461">
        <f t="shared" ref="K7:K9" ca="1" si="3">IF(C7&gt;0,J7*100/C7,0)</f>
        <v>40.198894049118387</v>
      </c>
      <c r="L7" s="460">
        <f ca="1">L8+L9</f>
        <v>0</v>
      </c>
      <c r="M7" s="462">
        <f t="shared" ref="M7:M9" ca="1" si="4">IF(D7&gt;0,L7*100/D7,0)</f>
        <v>0</v>
      </c>
      <c r="N7" s="462">
        <f t="shared" ref="N7:N9" ca="1" si="5">IF(H7&gt;0,L7*100/H7,0)</f>
        <v>0</v>
      </c>
      <c r="O7" s="463">
        <f ca="1">O8+O9</f>
        <v>8170988</v>
      </c>
      <c r="P7" s="463">
        <f t="shared" ref="P7:P9" ca="1" si="6">IF(G7&gt;0,O7*100/G7,0)</f>
        <v>41.558103104528627</v>
      </c>
      <c r="Q7" s="462">
        <f t="shared" ref="Q7:Q9" ca="1" si="7">IF(I7&gt;0,O7*100/I7,0)</f>
        <v>47.721773998083648</v>
      </c>
      <c r="R7" s="211">
        <f t="shared" ref="R7:S7" ca="1" si="8">R8</f>
        <v>19</v>
      </c>
      <c r="S7" s="212">
        <f t="shared" ca="1" si="8"/>
        <v>4</v>
      </c>
      <c r="T7" s="213">
        <f t="shared" ref="T7:T8" ca="1" si="9">IF(R7&gt;0,S7*100/R7,0)</f>
        <v>21.05263157894737</v>
      </c>
    </row>
    <row r="8" spans="1:21" ht="19.5" x14ac:dyDescent="0.3">
      <c r="A8" s="134" t="s">
        <v>39</v>
      </c>
      <c r="B8" s="135"/>
      <c r="C8" s="464">
        <f t="shared" ca="1" si="0"/>
        <v>19661600</v>
      </c>
      <c r="D8" s="464">
        <f t="shared" ref="D8:I8" ca="1" si="10">+D13+D31+D52+D74</f>
        <v>0</v>
      </c>
      <c r="E8" s="464">
        <f t="shared" ca="1" si="10"/>
        <v>0</v>
      </c>
      <c r="F8" s="464">
        <f t="shared" ca="1" si="10"/>
        <v>0</v>
      </c>
      <c r="G8" s="464">
        <f t="shared" ca="1" si="10"/>
        <v>19661600</v>
      </c>
      <c r="H8" s="464">
        <f t="shared" ca="1" si="10"/>
        <v>31650</v>
      </c>
      <c r="I8" s="464">
        <f t="shared" ca="1" si="10"/>
        <v>17122138</v>
      </c>
      <c r="J8" s="464">
        <f t="shared" ca="1" si="2"/>
        <v>8170988</v>
      </c>
      <c r="K8" s="465">
        <f t="shared" ca="1" si="3"/>
        <v>41.558103104528627</v>
      </c>
      <c r="L8" s="464">
        <f ca="1">+L13+L31+L52+L74</f>
        <v>0</v>
      </c>
      <c r="M8" s="466">
        <f t="shared" ca="1" si="4"/>
        <v>0</v>
      </c>
      <c r="N8" s="466">
        <f t="shared" ca="1" si="5"/>
        <v>0</v>
      </c>
      <c r="O8" s="467">
        <f ca="1">+O13+O31+O52+O74</f>
        <v>8170988</v>
      </c>
      <c r="P8" s="467">
        <f t="shared" ca="1" si="6"/>
        <v>41.558103104528627</v>
      </c>
      <c r="Q8" s="466">
        <f t="shared" ca="1" si="7"/>
        <v>47.721773998083648</v>
      </c>
      <c r="R8" s="276">
        <f t="shared" ref="R8:S8" ca="1" si="11">+R13+R31+R52+R74</f>
        <v>19</v>
      </c>
      <c r="S8" s="276">
        <f t="shared" ca="1" si="11"/>
        <v>4</v>
      </c>
      <c r="T8" s="37">
        <f t="shared" ca="1" si="9"/>
        <v>21.05263157894737</v>
      </c>
    </row>
    <row r="9" spans="1:21" ht="19.5" x14ac:dyDescent="0.3">
      <c r="A9" s="245" t="s">
        <v>40</v>
      </c>
      <c r="B9" s="138"/>
      <c r="C9" s="248">
        <f t="shared" ca="1" si="0"/>
        <v>664800</v>
      </c>
      <c r="D9" s="248">
        <f t="shared" ref="D9:I9" ca="1" si="12">+D89</f>
        <v>664800</v>
      </c>
      <c r="E9" s="248">
        <f t="shared" ca="1" si="12"/>
        <v>299200</v>
      </c>
      <c r="F9" s="248">
        <f t="shared" ca="1" si="12"/>
        <v>365600</v>
      </c>
      <c r="G9" s="248">
        <f t="shared" ca="1" si="12"/>
        <v>0</v>
      </c>
      <c r="H9" s="248">
        <f t="shared" ca="1" si="12"/>
        <v>633150</v>
      </c>
      <c r="I9" s="248">
        <f t="shared" ca="1" si="12"/>
        <v>0</v>
      </c>
      <c r="J9" s="248">
        <f t="shared" ca="1" si="2"/>
        <v>0</v>
      </c>
      <c r="K9" s="469">
        <f t="shared" ca="1" si="3"/>
        <v>0</v>
      </c>
      <c r="L9" s="248">
        <f ca="1">+L89</f>
        <v>0</v>
      </c>
      <c r="M9" s="470">
        <f t="shared" ca="1" si="4"/>
        <v>0</v>
      </c>
      <c r="N9" s="470">
        <f t="shared" ca="1" si="5"/>
        <v>0</v>
      </c>
      <c r="O9" s="471">
        <f ca="1">+O89</f>
        <v>0</v>
      </c>
      <c r="P9" s="471">
        <f t="shared" ca="1" si="6"/>
        <v>0</v>
      </c>
      <c r="Q9" s="470">
        <f t="shared" ca="1" si="7"/>
        <v>0</v>
      </c>
      <c r="R9" s="248"/>
      <c r="S9" s="248"/>
      <c r="T9" s="595"/>
    </row>
    <row r="10" spans="1:21" ht="12.75" hidden="1" x14ac:dyDescent="0.2">
      <c r="A10" s="142"/>
      <c r="B10" s="142"/>
      <c r="C10" s="214"/>
      <c r="D10" s="214"/>
      <c r="E10" s="214"/>
      <c r="F10" s="214"/>
      <c r="G10" s="214"/>
      <c r="H10" s="214"/>
      <c r="I10" s="214"/>
      <c r="J10" s="214"/>
      <c r="K10" s="249"/>
      <c r="L10" s="214"/>
      <c r="M10" s="196"/>
      <c r="N10" s="196"/>
      <c r="O10" s="195"/>
      <c r="P10" s="195"/>
      <c r="Q10" s="196"/>
      <c r="R10" s="214"/>
      <c r="S10" s="214"/>
      <c r="T10" s="196"/>
    </row>
    <row r="11" spans="1:21" ht="12.75" hidden="1" x14ac:dyDescent="0.2">
      <c r="A11" s="142"/>
      <c r="B11" s="142"/>
      <c r="C11" s="214"/>
      <c r="D11" s="214"/>
      <c r="E11" s="214"/>
      <c r="F11" s="214"/>
      <c r="G11" s="214"/>
      <c r="H11" s="214"/>
      <c r="I11" s="214"/>
      <c r="J11" s="214"/>
      <c r="K11" s="249"/>
      <c r="L11" s="214"/>
      <c r="M11" s="196"/>
      <c r="N11" s="196"/>
      <c r="O11" s="195"/>
      <c r="P11" s="195"/>
      <c r="Q11" s="196"/>
      <c r="R11" s="214"/>
      <c r="S11" s="214"/>
      <c r="T11" s="196"/>
    </row>
    <row r="12" spans="1:21" ht="19.5" hidden="1" x14ac:dyDescent="0.3">
      <c r="A12" s="142"/>
      <c r="B12" s="142"/>
      <c r="C12" s="214"/>
      <c r="D12" s="214"/>
      <c r="E12" s="214"/>
      <c r="F12" s="214"/>
      <c r="G12" s="214"/>
      <c r="H12" s="214"/>
      <c r="I12" s="214"/>
      <c r="J12" s="214"/>
      <c r="K12" s="249"/>
      <c r="L12" s="214"/>
      <c r="M12" s="196"/>
      <c r="N12" s="196"/>
      <c r="O12" s="195"/>
      <c r="P12" s="195"/>
      <c r="Q12" s="196"/>
      <c r="R12" s="143"/>
      <c r="S12" s="143"/>
      <c r="T12" s="51"/>
    </row>
    <row r="13" spans="1:21" ht="19.5" x14ac:dyDescent="0.3">
      <c r="A13" s="695" t="s">
        <v>41</v>
      </c>
      <c r="B13" s="647"/>
      <c r="C13" s="596">
        <f t="shared" ref="C13:C88" ca="1" si="13">D13+G13</f>
        <v>8149000</v>
      </c>
      <c r="D13" s="596">
        <f t="shared" ref="D13:I13" ca="1" si="14">SUM(D14:D30)</f>
        <v>0</v>
      </c>
      <c r="E13" s="596">
        <f t="shared" ca="1" si="14"/>
        <v>0</v>
      </c>
      <c r="F13" s="596">
        <f t="shared" ca="1" si="14"/>
        <v>0</v>
      </c>
      <c r="G13" s="596">
        <f t="shared" ca="1" si="14"/>
        <v>8149000</v>
      </c>
      <c r="H13" s="596">
        <f t="shared" ca="1" si="14"/>
        <v>0</v>
      </c>
      <c r="I13" s="596">
        <f t="shared" ca="1" si="14"/>
        <v>8149000</v>
      </c>
      <c r="J13" s="596">
        <f t="shared" ref="J13:J88" ca="1" si="15">L13+O13</f>
        <v>1918850</v>
      </c>
      <c r="K13" s="597">
        <f t="shared" ref="K13:K88" ca="1" si="16">IF(C13&gt;0,J13*100/C13,0)</f>
        <v>23.547060989078414</v>
      </c>
      <c r="L13" s="596">
        <f ca="1">SUM(L14:L30)</f>
        <v>0</v>
      </c>
      <c r="M13" s="598">
        <f t="shared" ref="M13:M88" ca="1" si="17">IF(D13&gt;0,L13*100/D13,0)</f>
        <v>0</v>
      </c>
      <c r="N13" s="598">
        <f t="shared" ref="N13:N88" ca="1" si="18">IF(H13&gt;0,L13*100/H13,0)</f>
        <v>0</v>
      </c>
      <c r="O13" s="599">
        <f ca="1">SUM(O14:O30)</f>
        <v>1918850</v>
      </c>
      <c r="P13" s="599">
        <f t="shared" ref="P13:P88" ca="1" si="19">IF(G13&gt;0,O13*100/G13,0)</f>
        <v>23.547060989078414</v>
      </c>
      <c r="Q13" s="598">
        <f t="shared" ref="Q13:Q88" ca="1" si="20">IF(I13&gt;0,O13*100/I13,0)</f>
        <v>23.547060989078414</v>
      </c>
      <c r="R13" s="277">
        <f t="shared" ref="R13:S13" ca="1" si="21">SUM(R14:R30)</f>
        <v>7</v>
      </c>
      <c r="S13" s="277">
        <f t="shared" ca="1" si="21"/>
        <v>0</v>
      </c>
      <c r="T13" s="57">
        <f t="shared" ref="T13:T88" ca="1" si="22">IF(R13&gt;0,S13*100/R13,0)</f>
        <v>0</v>
      </c>
      <c r="U13" s="600"/>
    </row>
    <row r="14" spans="1:21" ht="19.5" x14ac:dyDescent="0.3">
      <c r="A14" s="147">
        <v>1</v>
      </c>
      <c r="B14" s="148" t="s">
        <v>42</v>
      </c>
      <c r="C14" s="472">
        <f t="shared" ca="1" si="13"/>
        <v>0</v>
      </c>
      <c r="D14" s="473">
        <f t="shared" ref="D14:D30" ca="1" si="23">+E14+F14</f>
        <v>0</v>
      </c>
      <c r="E14" s="151">
        <f ca="1">IFERROR(__xludf.DUMMYFUNCTION("IMPORTRANGE(""https://docs.google.com/spreadsheets/d/1-uDff_7J0KD5mKrp0Vvzr7lt3OU09vwQwhkpOPPYv2Y/edit?usp=sharing"",""งบพรบ!GH14"")"),0)</f>
        <v>0</v>
      </c>
      <c r="F14" s="151">
        <f ca="1">IFERROR(__xludf.DUMMYFUNCTION("IMPORTRANGE(""https://docs.google.com/spreadsheets/d/1-uDff_7J0KD5mKrp0Vvzr7lt3OU09vwQwhkpOPPYv2Y/edit?usp=sharing"",""งบพรบ!GI14"")"),0)</f>
        <v>0</v>
      </c>
      <c r="G14" s="152">
        <f ca="1">IFERROR(__xludf.DUMMYFUNCTION("IMPORTRANGE(""https://docs.google.com/spreadsheets/d/1-uDff_7J0KD5mKrp0Vvzr7lt3OU09vwQwhkpOPPYv2Y/edit?usp=sharing"",""งบพรบ!GJ14"")"),0)</f>
        <v>0</v>
      </c>
      <c r="H14" s="152">
        <f ca="1">IFERROR(__xludf.DUMMYFUNCTION("IMPORTRANGE(""https://docs.google.com/spreadsheets/d/1-uDff_7J0KD5mKrp0Vvzr7lt3OU09vwQwhkpOPPYv2Y/edit?usp=sharing"",""งบพรบ!GL14"")"),0)</f>
        <v>0</v>
      </c>
      <c r="I14" s="152">
        <f ca="1">IFERROR(__xludf.DUMMYFUNCTION("IMPORTRANGE(""https://docs.google.com/spreadsheets/d/1-uDff_7J0KD5mKrp0Vvzr7lt3OU09vwQwhkpOPPYv2Y/edit?usp=sharing"",""งบพรบ!GM14"")"),0)</f>
        <v>0</v>
      </c>
      <c r="J14" s="251">
        <f t="shared" ca="1" si="15"/>
        <v>0</v>
      </c>
      <c r="K14" s="474">
        <f t="shared" ca="1" si="16"/>
        <v>0</v>
      </c>
      <c r="L14" s="152">
        <f ca="1">IFERROR(__xludf.DUMMYFUNCTION("IMPORTRANGE(""https://docs.google.com/spreadsheets/d/1-uDff_7J0KD5mKrp0Vvzr7lt3OU09vwQwhkpOPPYv2Y/edit?usp=sharing"",""งบพรบ!GN14"")"),0)</f>
        <v>0</v>
      </c>
      <c r="M14" s="260">
        <f t="shared" ca="1" si="17"/>
        <v>0</v>
      </c>
      <c r="N14" s="260">
        <f t="shared" ca="1" si="18"/>
        <v>0</v>
      </c>
      <c r="O14" s="151">
        <f ca="1">IFERROR(__xludf.DUMMYFUNCTION("IMPORTRANGE(""https://docs.google.com/spreadsheets/d/1-uDff_7J0KD5mKrp0Vvzr7lt3OU09vwQwhkpOPPYv2Y/edit?usp=sharing"",""งบพรบ!GO14"")"),0)</f>
        <v>0</v>
      </c>
      <c r="P14" s="475">
        <f t="shared" ca="1" si="19"/>
        <v>0</v>
      </c>
      <c r="Q14" s="260">
        <f t="shared" ca="1" si="20"/>
        <v>0</v>
      </c>
      <c r="R14" s="279">
        <v>0</v>
      </c>
      <c r="S14" s="397">
        <v>0</v>
      </c>
      <c r="T14" s="216">
        <f t="shared" si="22"/>
        <v>0</v>
      </c>
    </row>
    <row r="15" spans="1:21" ht="19.5" x14ac:dyDescent="0.3">
      <c r="A15" s="147">
        <v>2</v>
      </c>
      <c r="B15" s="148" t="s">
        <v>43</v>
      </c>
      <c r="C15" s="472">
        <f t="shared" ca="1" si="13"/>
        <v>0</v>
      </c>
      <c r="D15" s="473">
        <f t="shared" ca="1" si="23"/>
        <v>0</v>
      </c>
      <c r="E15" s="151">
        <f ca="1">IFERROR(__xludf.DUMMYFUNCTION("IMPORTRANGE(""https://docs.google.com/spreadsheets/d/1-uDff_7J0KD5mKrp0Vvzr7lt3OU09vwQwhkpOPPYv2Y/edit?usp=sharing"",""งบพรบ!GH15"")"),0)</f>
        <v>0</v>
      </c>
      <c r="F15" s="151">
        <f ca="1">IFERROR(__xludf.DUMMYFUNCTION("IMPORTRANGE(""https://docs.google.com/spreadsheets/d/1-uDff_7J0KD5mKrp0Vvzr7lt3OU09vwQwhkpOPPYv2Y/edit?usp=sharing"",""งบพรบ!GI15"")"),0)</f>
        <v>0</v>
      </c>
      <c r="G15" s="151">
        <f ca="1">IFERROR(__xludf.DUMMYFUNCTION("IMPORTRANGE(""https://docs.google.com/spreadsheets/d/1-uDff_7J0KD5mKrp0Vvzr7lt3OU09vwQwhkpOPPYv2Y/edit?usp=sharing"",""งบพรบ!GJ15"")"),0)</f>
        <v>0</v>
      </c>
      <c r="H15" s="151">
        <f ca="1">IFERROR(__xludf.DUMMYFUNCTION("IMPORTRANGE(""https://docs.google.com/spreadsheets/d/1-uDff_7J0KD5mKrp0Vvzr7lt3OU09vwQwhkpOPPYv2Y/edit?usp=sharing"",""งบพรบ!GL15"")"),0)</f>
        <v>0</v>
      </c>
      <c r="I15" s="151">
        <f ca="1">IFERROR(__xludf.DUMMYFUNCTION("IMPORTRANGE(""https://docs.google.com/spreadsheets/d/1-uDff_7J0KD5mKrp0Vvzr7lt3OU09vwQwhkpOPPYv2Y/edit?usp=sharing"",""งบพรบ!GM15"")"),0)</f>
        <v>0</v>
      </c>
      <c r="J15" s="262">
        <f t="shared" ca="1" si="15"/>
        <v>0</v>
      </c>
      <c r="K15" s="476">
        <f t="shared" ca="1" si="16"/>
        <v>0</v>
      </c>
      <c r="L15" s="151">
        <f ca="1">IFERROR(__xludf.DUMMYFUNCTION("IMPORTRANGE(""https://docs.google.com/spreadsheets/d/1-uDff_7J0KD5mKrp0Vvzr7lt3OU09vwQwhkpOPPYv2Y/edit?usp=sharing"",""งบพรบ!GN15"")"),0)</f>
        <v>0</v>
      </c>
      <c r="M15" s="260">
        <f t="shared" ca="1" si="17"/>
        <v>0</v>
      </c>
      <c r="N15" s="260">
        <f t="shared" ca="1" si="18"/>
        <v>0</v>
      </c>
      <c r="O15" s="151">
        <f ca="1">IFERROR(__xludf.DUMMYFUNCTION("IMPORTRANGE(""https://docs.google.com/spreadsheets/d/1-uDff_7J0KD5mKrp0Vvzr7lt3OU09vwQwhkpOPPYv2Y/edit?usp=sharing"",""งบพรบ!GO15"")"),0)</f>
        <v>0</v>
      </c>
      <c r="P15" s="475">
        <f t="shared" ca="1" si="19"/>
        <v>0</v>
      </c>
      <c r="Q15" s="260">
        <f t="shared" ca="1" si="20"/>
        <v>0</v>
      </c>
      <c r="R15" s="278">
        <v>0</v>
      </c>
      <c r="S15" s="152">
        <v>0</v>
      </c>
      <c r="T15" s="216">
        <f t="shared" si="22"/>
        <v>0</v>
      </c>
    </row>
    <row r="16" spans="1:21" ht="19.5" x14ac:dyDescent="0.3">
      <c r="A16" s="147">
        <v>3</v>
      </c>
      <c r="B16" s="148" t="s">
        <v>44</v>
      </c>
      <c r="C16" s="472">
        <f t="shared" ca="1" si="13"/>
        <v>0</v>
      </c>
      <c r="D16" s="473">
        <f t="shared" ca="1" si="23"/>
        <v>0</v>
      </c>
      <c r="E16" s="151">
        <f ca="1">IFERROR(__xludf.DUMMYFUNCTION("IMPORTRANGE(""https://docs.google.com/spreadsheets/d/1-uDff_7J0KD5mKrp0Vvzr7lt3OU09vwQwhkpOPPYv2Y/edit?usp=sharing"",""งบพรบ!GH16"")"),0)</f>
        <v>0</v>
      </c>
      <c r="F16" s="151">
        <f ca="1">IFERROR(__xludf.DUMMYFUNCTION("IMPORTRANGE(""https://docs.google.com/spreadsheets/d/1-uDff_7J0KD5mKrp0Vvzr7lt3OU09vwQwhkpOPPYv2Y/edit?usp=sharing"",""งบพรบ!GI16"")"),0)</f>
        <v>0</v>
      </c>
      <c r="G16" s="151">
        <f ca="1">IFERROR(__xludf.DUMMYFUNCTION("IMPORTRANGE(""https://docs.google.com/spreadsheets/d/1-uDff_7J0KD5mKrp0Vvzr7lt3OU09vwQwhkpOPPYv2Y/edit?usp=sharing"",""งบพรบ!GJ16"")"),0)</f>
        <v>0</v>
      </c>
      <c r="H16" s="151">
        <f ca="1">IFERROR(__xludf.DUMMYFUNCTION("IMPORTRANGE(""https://docs.google.com/spreadsheets/d/1-uDff_7J0KD5mKrp0Vvzr7lt3OU09vwQwhkpOPPYv2Y/edit?usp=sharing"",""งบพรบ!GL16"")"),0)</f>
        <v>0</v>
      </c>
      <c r="I16" s="151">
        <f ca="1">IFERROR(__xludf.DUMMYFUNCTION("IMPORTRANGE(""https://docs.google.com/spreadsheets/d/1-uDff_7J0KD5mKrp0Vvzr7lt3OU09vwQwhkpOPPYv2Y/edit?usp=sharing"",""งบพรบ!GM16"")"),0)</f>
        <v>0</v>
      </c>
      <c r="J16" s="262">
        <f t="shared" ca="1" si="15"/>
        <v>0</v>
      </c>
      <c r="K16" s="476">
        <f t="shared" ca="1" si="16"/>
        <v>0</v>
      </c>
      <c r="L16" s="151">
        <f ca="1">IFERROR(__xludf.DUMMYFUNCTION("IMPORTRANGE(""https://docs.google.com/spreadsheets/d/1-uDff_7J0KD5mKrp0Vvzr7lt3OU09vwQwhkpOPPYv2Y/edit?usp=sharing"",""งบพรบ!GN16"")"),0)</f>
        <v>0</v>
      </c>
      <c r="M16" s="260">
        <f t="shared" ca="1" si="17"/>
        <v>0</v>
      </c>
      <c r="N16" s="260">
        <f t="shared" ca="1" si="18"/>
        <v>0</v>
      </c>
      <c r="O16" s="151">
        <f ca="1">IFERROR(__xludf.DUMMYFUNCTION("IMPORTRANGE(""https://docs.google.com/spreadsheets/d/1-uDff_7J0KD5mKrp0Vvzr7lt3OU09vwQwhkpOPPYv2Y/edit?usp=sharing"",""งบพรบ!GO16"")"),0)</f>
        <v>0</v>
      </c>
      <c r="P16" s="475">
        <f t="shared" ca="1" si="19"/>
        <v>0</v>
      </c>
      <c r="Q16" s="260">
        <f t="shared" ca="1" si="20"/>
        <v>0</v>
      </c>
      <c r="R16" s="279">
        <v>0</v>
      </c>
      <c r="S16" s="397">
        <v>0</v>
      </c>
      <c r="T16" s="216">
        <f t="shared" si="22"/>
        <v>0</v>
      </c>
    </row>
    <row r="17" spans="1:21" ht="19.5" x14ac:dyDescent="0.3">
      <c r="A17" s="147">
        <v>4</v>
      </c>
      <c r="B17" s="148" t="s">
        <v>45</v>
      </c>
      <c r="C17" s="472">
        <f t="shared" ca="1" si="13"/>
        <v>0</v>
      </c>
      <c r="D17" s="473">
        <f t="shared" ca="1" si="23"/>
        <v>0</v>
      </c>
      <c r="E17" s="151">
        <f ca="1">IFERROR(__xludf.DUMMYFUNCTION("IMPORTRANGE(""https://docs.google.com/spreadsheets/d/1-uDff_7J0KD5mKrp0Vvzr7lt3OU09vwQwhkpOPPYv2Y/edit?usp=sharing"",""งบพรบ!GH17"")"),0)</f>
        <v>0</v>
      </c>
      <c r="F17" s="151">
        <f ca="1">IFERROR(__xludf.DUMMYFUNCTION("IMPORTRANGE(""https://docs.google.com/spreadsheets/d/1-uDff_7J0KD5mKrp0Vvzr7lt3OU09vwQwhkpOPPYv2Y/edit?usp=sharing"",""งบพรบ!GI17"")"),0)</f>
        <v>0</v>
      </c>
      <c r="G17" s="151">
        <f ca="1">IFERROR(__xludf.DUMMYFUNCTION("IMPORTRANGE(""https://docs.google.com/spreadsheets/d/1-uDff_7J0KD5mKrp0Vvzr7lt3OU09vwQwhkpOPPYv2Y/edit?usp=sharing"",""งบพรบ!GJ17"")"),0)</f>
        <v>0</v>
      </c>
      <c r="H17" s="151">
        <f ca="1">IFERROR(__xludf.DUMMYFUNCTION("IMPORTRANGE(""https://docs.google.com/spreadsheets/d/1-uDff_7J0KD5mKrp0Vvzr7lt3OU09vwQwhkpOPPYv2Y/edit?usp=sharing"",""งบพรบ!GL17"")"),0)</f>
        <v>0</v>
      </c>
      <c r="I17" s="151">
        <f ca="1">IFERROR(__xludf.DUMMYFUNCTION("IMPORTRANGE(""https://docs.google.com/spreadsheets/d/1-uDff_7J0KD5mKrp0Vvzr7lt3OU09vwQwhkpOPPYv2Y/edit?usp=sharing"",""งบพรบ!GM17"")"),0)</f>
        <v>0</v>
      </c>
      <c r="J17" s="262">
        <f t="shared" ca="1" si="15"/>
        <v>0</v>
      </c>
      <c r="K17" s="476">
        <f t="shared" ca="1" si="16"/>
        <v>0</v>
      </c>
      <c r="L17" s="151">
        <f ca="1">IFERROR(__xludf.DUMMYFUNCTION("IMPORTRANGE(""https://docs.google.com/spreadsheets/d/1-uDff_7J0KD5mKrp0Vvzr7lt3OU09vwQwhkpOPPYv2Y/edit?usp=sharing"",""งบพรบ!GN17"")"),0)</f>
        <v>0</v>
      </c>
      <c r="M17" s="260">
        <f t="shared" ca="1" si="17"/>
        <v>0</v>
      </c>
      <c r="N17" s="260">
        <f t="shared" ca="1" si="18"/>
        <v>0</v>
      </c>
      <c r="O17" s="151">
        <f ca="1">IFERROR(__xludf.DUMMYFUNCTION("IMPORTRANGE(""https://docs.google.com/spreadsheets/d/1-uDff_7J0KD5mKrp0Vvzr7lt3OU09vwQwhkpOPPYv2Y/edit?usp=sharing"",""งบพรบ!GO17"")"),0)</f>
        <v>0</v>
      </c>
      <c r="P17" s="475">
        <f t="shared" ca="1" si="19"/>
        <v>0</v>
      </c>
      <c r="Q17" s="260">
        <f t="shared" ca="1" si="20"/>
        <v>0</v>
      </c>
      <c r="R17" s="278">
        <v>0</v>
      </c>
      <c r="S17" s="152">
        <v>0</v>
      </c>
      <c r="T17" s="216">
        <f t="shared" si="22"/>
        <v>0</v>
      </c>
    </row>
    <row r="18" spans="1:21" ht="19.5" x14ac:dyDescent="0.3">
      <c r="A18" s="147">
        <v>5</v>
      </c>
      <c r="B18" s="148" t="s">
        <v>46</v>
      </c>
      <c r="C18" s="472">
        <f t="shared" ca="1" si="13"/>
        <v>0</v>
      </c>
      <c r="D18" s="473">
        <f t="shared" ca="1" si="23"/>
        <v>0</v>
      </c>
      <c r="E18" s="151">
        <f ca="1">IFERROR(__xludf.DUMMYFUNCTION("IMPORTRANGE(""https://docs.google.com/spreadsheets/d/1-uDff_7J0KD5mKrp0Vvzr7lt3OU09vwQwhkpOPPYv2Y/edit?usp=sharing"",""งบพรบ!GH18"")"),0)</f>
        <v>0</v>
      </c>
      <c r="F18" s="151">
        <f ca="1">IFERROR(__xludf.DUMMYFUNCTION("IMPORTRANGE(""https://docs.google.com/spreadsheets/d/1-uDff_7J0KD5mKrp0Vvzr7lt3OU09vwQwhkpOPPYv2Y/edit?usp=sharing"",""งบพรบ!GI18"")"),0)</f>
        <v>0</v>
      </c>
      <c r="G18" s="151">
        <f ca="1">IFERROR(__xludf.DUMMYFUNCTION("IMPORTRANGE(""https://docs.google.com/spreadsheets/d/1-uDff_7J0KD5mKrp0Vvzr7lt3OU09vwQwhkpOPPYv2Y/edit?usp=sharing"",""งบพรบ!GJ18"")"),0)</f>
        <v>0</v>
      </c>
      <c r="H18" s="151">
        <f ca="1">IFERROR(__xludf.DUMMYFUNCTION("IMPORTRANGE(""https://docs.google.com/spreadsheets/d/1-uDff_7J0KD5mKrp0Vvzr7lt3OU09vwQwhkpOPPYv2Y/edit?usp=sharing"",""งบพรบ!GL18"")"),0)</f>
        <v>0</v>
      </c>
      <c r="I18" s="151">
        <f ca="1">IFERROR(__xludf.DUMMYFUNCTION("IMPORTRANGE(""https://docs.google.com/spreadsheets/d/1-uDff_7J0KD5mKrp0Vvzr7lt3OU09vwQwhkpOPPYv2Y/edit?usp=sharing"",""งบพรบ!GM18"")"),0)</f>
        <v>0</v>
      </c>
      <c r="J18" s="262">
        <f t="shared" ca="1" si="15"/>
        <v>0</v>
      </c>
      <c r="K18" s="476">
        <f t="shared" ca="1" si="16"/>
        <v>0</v>
      </c>
      <c r="L18" s="151">
        <f ca="1">IFERROR(__xludf.DUMMYFUNCTION("IMPORTRANGE(""https://docs.google.com/spreadsheets/d/1-uDff_7J0KD5mKrp0Vvzr7lt3OU09vwQwhkpOPPYv2Y/edit?usp=sharing"",""งบพรบ!GN18"")"),0)</f>
        <v>0</v>
      </c>
      <c r="M18" s="260">
        <f t="shared" ca="1" si="17"/>
        <v>0</v>
      </c>
      <c r="N18" s="260">
        <f t="shared" ca="1" si="18"/>
        <v>0</v>
      </c>
      <c r="O18" s="151">
        <f ca="1">IFERROR(__xludf.DUMMYFUNCTION("IMPORTRANGE(""https://docs.google.com/spreadsheets/d/1-uDff_7J0KD5mKrp0Vvzr7lt3OU09vwQwhkpOPPYv2Y/edit?usp=sharing"",""งบพรบ!GO18"")"),0)</f>
        <v>0</v>
      </c>
      <c r="P18" s="475">
        <f t="shared" ca="1" si="19"/>
        <v>0</v>
      </c>
      <c r="Q18" s="260">
        <f t="shared" ca="1" si="20"/>
        <v>0</v>
      </c>
      <c r="R18" s="278">
        <v>0</v>
      </c>
      <c r="S18" s="152">
        <v>0</v>
      </c>
      <c r="T18" s="216">
        <f t="shared" si="22"/>
        <v>0</v>
      </c>
    </row>
    <row r="19" spans="1:21" ht="19.5" x14ac:dyDescent="0.3">
      <c r="A19" s="147">
        <v>6</v>
      </c>
      <c r="B19" s="148" t="s">
        <v>47</v>
      </c>
      <c r="C19" s="472">
        <f t="shared" ca="1" si="13"/>
        <v>4870000</v>
      </c>
      <c r="D19" s="473">
        <f t="shared" ca="1" si="23"/>
        <v>0</v>
      </c>
      <c r="E19" s="151">
        <f ca="1">IFERROR(__xludf.DUMMYFUNCTION("IMPORTRANGE(""https://docs.google.com/spreadsheets/d/1-uDff_7J0KD5mKrp0Vvzr7lt3OU09vwQwhkpOPPYv2Y/edit?usp=sharing"",""งบพรบ!GH19"")"),0)</f>
        <v>0</v>
      </c>
      <c r="F19" s="151">
        <f ca="1">IFERROR(__xludf.DUMMYFUNCTION("IMPORTRANGE(""https://docs.google.com/spreadsheets/d/1-uDff_7J0KD5mKrp0Vvzr7lt3OU09vwQwhkpOPPYv2Y/edit?usp=sharing"",""งบพรบ!GI19"")"),0)</f>
        <v>0</v>
      </c>
      <c r="G19" s="151">
        <f ca="1">IFERROR(__xludf.DUMMYFUNCTION("IMPORTRANGE(""https://docs.google.com/spreadsheets/d/1-uDff_7J0KD5mKrp0Vvzr7lt3OU09vwQwhkpOPPYv2Y/edit?usp=sharing"",""งบพรบ!GJ19"")"),4870000)</f>
        <v>4870000</v>
      </c>
      <c r="H19" s="151">
        <f ca="1">IFERROR(__xludf.DUMMYFUNCTION("IMPORTRANGE(""https://docs.google.com/spreadsheets/d/1-uDff_7J0KD5mKrp0Vvzr7lt3OU09vwQwhkpOPPYv2Y/edit?usp=sharing"",""งบพรบ!GL19"")"),0)</f>
        <v>0</v>
      </c>
      <c r="I19" s="151">
        <f ca="1">IFERROR(__xludf.DUMMYFUNCTION("IMPORTRANGE(""https://docs.google.com/spreadsheets/d/1-uDff_7J0KD5mKrp0Vvzr7lt3OU09vwQwhkpOPPYv2Y/edit?usp=sharing"",""งบพรบ!GM19"")"),4870000)</f>
        <v>4870000</v>
      </c>
      <c r="J19" s="262">
        <f t="shared" ca="1" si="15"/>
        <v>0</v>
      </c>
      <c r="K19" s="476">
        <f t="shared" ca="1" si="16"/>
        <v>0</v>
      </c>
      <c r="L19" s="151">
        <f ca="1">IFERROR(__xludf.DUMMYFUNCTION("IMPORTRANGE(""https://docs.google.com/spreadsheets/d/1-uDff_7J0KD5mKrp0Vvzr7lt3OU09vwQwhkpOPPYv2Y/edit?usp=sharing"",""งบพรบ!GN19"")"),0)</f>
        <v>0</v>
      </c>
      <c r="M19" s="260">
        <f t="shared" ca="1" si="17"/>
        <v>0</v>
      </c>
      <c r="N19" s="260">
        <f t="shared" ca="1" si="18"/>
        <v>0</v>
      </c>
      <c r="O19" s="151">
        <f ca="1">IFERROR(__xludf.DUMMYFUNCTION("IMPORTRANGE(""https://docs.google.com/spreadsheets/d/1-uDff_7J0KD5mKrp0Vvzr7lt3OU09vwQwhkpOPPYv2Y/edit?usp=sharing"",""งบพรบ!GO19"")"),0)</f>
        <v>0</v>
      </c>
      <c r="P19" s="475">
        <f t="shared" ca="1" si="19"/>
        <v>0</v>
      </c>
      <c r="Q19" s="260">
        <f t="shared" ca="1" si="20"/>
        <v>0</v>
      </c>
      <c r="R19" s="278">
        <f ca="1">IFERROR(__xludf.DUMMYFUNCTION("IMPORTRANGE(""https://docs.google.com/spreadsheets/d/10s13Sk5xrltsiR-Zkbmk5DwIaDIKO8XlbJAfqyT7Gvg/edit?usp=sharing"",""น่าน!I565"")"),1)</f>
        <v>1</v>
      </c>
      <c r="S19" s="152">
        <f ca="1">IFERROR(__xludf.DUMMYFUNCTION("IMPORTRANGE(""https://docs.google.com/spreadsheets/d/10s13Sk5xrltsiR-Zkbmk5DwIaDIKO8XlbJAfqyT7Gvg/edit?usp=sharing"",""น่าน!J565"")"),0)</f>
        <v>0</v>
      </c>
      <c r="T19" s="216">
        <f t="shared" ca="1" si="22"/>
        <v>0</v>
      </c>
    </row>
    <row r="20" spans="1:21" ht="19.5" x14ac:dyDescent="0.3">
      <c r="A20" s="147">
        <v>7</v>
      </c>
      <c r="B20" s="148" t="s">
        <v>48</v>
      </c>
      <c r="C20" s="472">
        <f t="shared" ca="1" si="13"/>
        <v>1304000</v>
      </c>
      <c r="D20" s="473">
        <f t="shared" ca="1" si="23"/>
        <v>0</v>
      </c>
      <c r="E20" s="151">
        <f ca="1">IFERROR(__xludf.DUMMYFUNCTION("IMPORTRANGE(""https://docs.google.com/spreadsheets/d/1-uDff_7J0KD5mKrp0Vvzr7lt3OU09vwQwhkpOPPYv2Y/edit?usp=sharing"",""งบพรบ!GH20"")"),0)</f>
        <v>0</v>
      </c>
      <c r="F20" s="151">
        <f ca="1">IFERROR(__xludf.DUMMYFUNCTION("IMPORTRANGE(""https://docs.google.com/spreadsheets/d/1-uDff_7J0KD5mKrp0Vvzr7lt3OU09vwQwhkpOPPYv2Y/edit?usp=sharing"",""งบพรบ!GI20"")"),0)</f>
        <v>0</v>
      </c>
      <c r="G20" s="151">
        <f ca="1">IFERROR(__xludf.DUMMYFUNCTION("IMPORTRANGE(""https://docs.google.com/spreadsheets/d/1-uDff_7J0KD5mKrp0Vvzr7lt3OU09vwQwhkpOPPYv2Y/edit?usp=sharing"",""งบพรบ!GJ20"")"),1304000)</f>
        <v>1304000</v>
      </c>
      <c r="H20" s="151">
        <f ca="1">IFERROR(__xludf.DUMMYFUNCTION("IMPORTRANGE(""https://docs.google.com/spreadsheets/d/1-uDff_7J0KD5mKrp0Vvzr7lt3OU09vwQwhkpOPPYv2Y/edit?usp=sharing"",""งบพรบ!GL20"")"),0)</f>
        <v>0</v>
      </c>
      <c r="I20" s="151">
        <f ca="1">IFERROR(__xludf.DUMMYFUNCTION("IMPORTRANGE(""https://docs.google.com/spreadsheets/d/1-uDff_7J0KD5mKrp0Vvzr7lt3OU09vwQwhkpOPPYv2Y/edit?usp=sharing"",""งบพรบ!GM20"")"),1304000)</f>
        <v>1304000</v>
      </c>
      <c r="J20" s="262">
        <f t="shared" ca="1" si="15"/>
        <v>0</v>
      </c>
      <c r="K20" s="476">
        <f t="shared" ca="1" si="16"/>
        <v>0</v>
      </c>
      <c r="L20" s="151">
        <f ca="1">IFERROR(__xludf.DUMMYFUNCTION("IMPORTRANGE(""https://docs.google.com/spreadsheets/d/1-uDff_7J0KD5mKrp0Vvzr7lt3OU09vwQwhkpOPPYv2Y/edit?usp=sharing"",""งบพรบ!GN20"")"),0)</f>
        <v>0</v>
      </c>
      <c r="M20" s="260">
        <f t="shared" ca="1" si="17"/>
        <v>0</v>
      </c>
      <c r="N20" s="260">
        <f t="shared" ca="1" si="18"/>
        <v>0</v>
      </c>
      <c r="O20" s="151">
        <f ca="1">IFERROR(__xludf.DUMMYFUNCTION("IMPORTRANGE(""https://docs.google.com/spreadsheets/d/1-uDff_7J0KD5mKrp0Vvzr7lt3OU09vwQwhkpOPPYv2Y/edit?usp=sharing"",""งบพรบ!GO20"")"),0)</f>
        <v>0</v>
      </c>
      <c r="P20" s="475">
        <f t="shared" ca="1" si="19"/>
        <v>0</v>
      </c>
      <c r="Q20" s="260">
        <f t="shared" ca="1" si="20"/>
        <v>0</v>
      </c>
      <c r="R20" s="278">
        <f ca="1">IFERROR(__xludf.DUMMYFUNCTION("IMPORTRANGE(""https://docs.google.com/spreadsheets/d/1uu4nAn4Dbi1XREnLKKotUANlKXa7yCgRcgq8HEzQYW8/edit?usp=sharing"",""พะเยา!I565"")"),5)</f>
        <v>5</v>
      </c>
      <c r="S20" s="152">
        <f ca="1">IFERROR(__xludf.DUMMYFUNCTION("IMPORTRANGE(""https://docs.google.com/spreadsheets/d/1uu4nAn4Dbi1XREnLKKotUANlKXa7yCgRcgq8HEzQYW8/edit?usp=sharing"",""พะเยา!J565"")"),0)</f>
        <v>0</v>
      </c>
      <c r="T20" s="216">
        <f t="shared" ca="1" si="22"/>
        <v>0</v>
      </c>
    </row>
    <row r="21" spans="1:21" ht="19.5" x14ac:dyDescent="0.3">
      <c r="A21" s="147">
        <v>8</v>
      </c>
      <c r="B21" s="148" t="s">
        <v>49</v>
      </c>
      <c r="C21" s="472">
        <f t="shared" ca="1" si="13"/>
        <v>0</v>
      </c>
      <c r="D21" s="473">
        <f t="shared" ca="1" si="23"/>
        <v>0</v>
      </c>
      <c r="E21" s="151">
        <f ca="1">IFERROR(__xludf.DUMMYFUNCTION("IMPORTRANGE(""https://docs.google.com/spreadsheets/d/1-uDff_7J0KD5mKrp0Vvzr7lt3OU09vwQwhkpOPPYv2Y/edit?usp=sharing"",""งบพรบ!GH21"")"),0)</f>
        <v>0</v>
      </c>
      <c r="F21" s="151">
        <f ca="1">IFERROR(__xludf.DUMMYFUNCTION("IMPORTRANGE(""https://docs.google.com/spreadsheets/d/1-uDff_7J0KD5mKrp0Vvzr7lt3OU09vwQwhkpOPPYv2Y/edit?usp=sharing"",""งบพรบ!GI21"")"),0)</f>
        <v>0</v>
      </c>
      <c r="G21" s="151">
        <f ca="1">IFERROR(__xludf.DUMMYFUNCTION("IMPORTRANGE(""https://docs.google.com/spreadsheets/d/1-uDff_7J0KD5mKrp0Vvzr7lt3OU09vwQwhkpOPPYv2Y/edit?usp=sharing"",""งบพรบ!GJ21"")"),0)</f>
        <v>0</v>
      </c>
      <c r="H21" s="151">
        <f ca="1">IFERROR(__xludf.DUMMYFUNCTION("IMPORTRANGE(""https://docs.google.com/spreadsheets/d/1-uDff_7J0KD5mKrp0Vvzr7lt3OU09vwQwhkpOPPYv2Y/edit?usp=sharing"",""งบพรบ!GL21"")"),0)</f>
        <v>0</v>
      </c>
      <c r="I21" s="151">
        <f ca="1">IFERROR(__xludf.DUMMYFUNCTION("IMPORTRANGE(""https://docs.google.com/spreadsheets/d/1-uDff_7J0KD5mKrp0Vvzr7lt3OU09vwQwhkpOPPYv2Y/edit?usp=sharing"",""งบพรบ!GM21"")"),0)</f>
        <v>0</v>
      </c>
      <c r="J21" s="262">
        <f t="shared" ca="1" si="15"/>
        <v>0</v>
      </c>
      <c r="K21" s="476">
        <f t="shared" ca="1" si="16"/>
        <v>0</v>
      </c>
      <c r="L21" s="151">
        <f ca="1">IFERROR(__xludf.DUMMYFUNCTION("IMPORTRANGE(""https://docs.google.com/spreadsheets/d/1-uDff_7J0KD5mKrp0Vvzr7lt3OU09vwQwhkpOPPYv2Y/edit?usp=sharing"",""งบพรบ!GN21"")"),0)</f>
        <v>0</v>
      </c>
      <c r="M21" s="260">
        <f t="shared" ca="1" si="17"/>
        <v>0</v>
      </c>
      <c r="N21" s="260">
        <f t="shared" ca="1" si="18"/>
        <v>0</v>
      </c>
      <c r="O21" s="151">
        <f ca="1">IFERROR(__xludf.DUMMYFUNCTION("IMPORTRANGE(""https://docs.google.com/spreadsheets/d/1-uDff_7J0KD5mKrp0Vvzr7lt3OU09vwQwhkpOPPYv2Y/edit?usp=sharing"",""งบพรบ!GO21"")"),0)</f>
        <v>0</v>
      </c>
      <c r="P21" s="475">
        <f t="shared" ca="1" si="19"/>
        <v>0</v>
      </c>
      <c r="Q21" s="260">
        <f t="shared" ca="1" si="20"/>
        <v>0</v>
      </c>
      <c r="R21" s="278">
        <v>0</v>
      </c>
      <c r="S21" s="152">
        <v>0</v>
      </c>
      <c r="T21" s="216">
        <f t="shared" si="22"/>
        <v>0</v>
      </c>
    </row>
    <row r="22" spans="1:21" ht="19.5" x14ac:dyDescent="0.3">
      <c r="A22" s="147">
        <v>9</v>
      </c>
      <c r="B22" s="148" t="s">
        <v>50</v>
      </c>
      <c r="C22" s="472">
        <f t="shared" ca="1" si="13"/>
        <v>0</v>
      </c>
      <c r="D22" s="473">
        <f t="shared" ca="1" si="23"/>
        <v>0</v>
      </c>
      <c r="E22" s="151">
        <f ca="1">IFERROR(__xludf.DUMMYFUNCTION("IMPORTRANGE(""https://docs.google.com/spreadsheets/d/1-uDff_7J0KD5mKrp0Vvzr7lt3OU09vwQwhkpOPPYv2Y/edit?usp=sharing"",""งบพรบ!GH22"")"),0)</f>
        <v>0</v>
      </c>
      <c r="F22" s="151">
        <f ca="1">IFERROR(__xludf.DUMMYFUNCTION("IMPORTRANGE(""https://docs.google.com/spreadsheets/d/1-uDff_7J0KD5mKrp0Vvzr7lt3OU09vwQwhkpOPPYv2Y/edit?usp=sharing"",""งบพรบ!GI22"")"),0)</f>
        <v>0</v>
      </c>
      <c r="G22" s="151">
        <f ca="1">IFERROR(__xludf.DUMMYFUNCTION("IMPORTRANGE(""https://docs.google.com/spreadsheets/d/1-uDff_7J0KD5mKrp0Vvzr7lt3OU09vwQwhkpOPPYv2Y/edit?usp=sharing"",""งบพรบ!GJ22"")"),0)</f>
        <v>0</v>
      </c>
      <c r="H22" s="151">
        <f ca="1">IFERROR(__xludf.DUMMYFUNCTION("IMPORTRANGE(""https://docs.google.com/spreadsheets/d/1-uDff_7J0KD5mKrp0Vvzr7lt3OU09vwQwhkpOPPYv2Y/edit?usp=sharing"",""งบพรบ!GL22"")"),0)</f>
        <v>0</v>
      </c>
      <c r="I22" s="151">
        <f ca="1">IFERROR(__xludf.DUMMYFUNCTION("IMPORTRANGE(""https://docs.google.com/spreadsheets/d/1-uDff_7J0KD5mKrp0Vvzr7lt3OU09vwQwhkpOPPYv2Y/edit?usp=sharing"",""งบพรบ!GM22"")"),0)</f>
        <v>0</v>
      </c>
      <c r="J22" s="262">
        <f t="shared" ca="1" si="15"/>
        <v>0</v>
      </c>
      <c r="K22" s="476">
        <f t="shared" ca="1" si="16"/>
        <v>0</v>
      </c>
      <c r="L22" s="151">
        <f ca="1">IFERROR(__xludf.DUMMYFUNCTION("IMPORTRANGE(""https://docs.google.com/spreadsheets/d/1-uDff_7J0KD5mKrp0Vvzr7lt3OU09vwQwhkpOPPYv2Y/edit?usp=sharing"",""งบพรบ!GN22"")"),0)</f>
        <v>0</v>
      </c>
      <c r="M22" s="260">
        <f t="shared" ca="1" si="17"/>
        <v>0</v>
      </c>
      <c r="N22" s="260">
        <f t="shared" ca="1" si="18"/>
        <v>0</v>
      </c>
      <c r="O22" s="151">
        <f ca="1">IFERROR(__xludf.DUMMYFUNCTION("IMPORTRANGE(""https://docs.google.com/spreadsheets/d/1-uDff_7J0KD5mKrp0Vvzr7lt3OU09vwQwhkpOPPYv2Y/edit?usp=sharing"",""งบพรบ!GO22"")"),0)</f>
        <v>0</v>
      </c>
      <c r="P22" s="475">
        <f t="shared" ca="1" si="19"/>
        <v>0</v>
      </c>
      <c r="Q22" s="260">
        <f t="shared" ca="1" si="20"/>
        <v>0</v>
      </c>
      <c r="R22" s="278">
        <v>0</v>
      </c>
      <c r="S22" s="152">
        <v>0</v>
      </c>
      <c r="T22" s="216">
        <f t="shared" si="22"/>
        <v>0</v>
      </c>
    </row>
    <row r="23" spans="1:21" ht="19.5" x14ac:dyDescent="0.3">
      <c r="A23" s="147">
        <v>10</v>
      </c>
      <c r="B23" s="148" t="s">
        <v>51</v>
      </c>
      <c r="C23" s="472">
        <f t="shared" ca="1" si="13"/>
        <v>0</v>
      </c>
      <c r="D23" s="473">
        <f t="shared" ca="1" si="23"/>
        <v>0</v>
      </c>
      <c r="E23" s="151">
        <f ca="1">IFERROR(__xludf.DUMMYFUNCTION("IMPORTRANGE(""https://docs.google.com/spreadsheets/d/1-uDff_7J0KD5mKrp0Vvzr7lt3OU09vwQwhkpOPPYv2Y/edit?usp=sharing"",""งบพรบ!GH23"")"),0)</f>
        <v>0</v>
      </c>
      <c r="F23" s="151">
        <f ca="1">IFERROR(__xludf.DUMMYFUNCTION("IMPORTRANGE(""https://docs.google.com/spreadsheets/d/1-uDff_7J0KD5mKrp0Vvzr7lt3OU09vwQwhkpOPPYv2Y/edit?usp=sharing"",""งบพรบ!GI23"")"),0)</f>
        <v>0</v>
      </c>
      <c r="G23" s="151">
        <f ca="1">IFERROR(__xludf.DUMMYFUNCTION("IMPORTRANGE(""https://docs.google.com/spreadsheets/d/1-uDff_7J0KD5mKrp0Vvzr7lt3OU09vwQwhkpOPPYv2Y/edit?usp=sharing"",""งบพรบ!GJ23"")"),0)</f>
        <v>0</v>
      </c>
      <c r="H23" s="151">
        <f ca="1">IFERROR(__xludf.DUMMYFUNCTION("IMPORTRANGE(""https://docs.google.com/spreadsheets/d/1-uDff_7J0KD5mKrp0Vvzr7lt3OU09vwQwhkpOPPYv2Y/edit?usp=sharing"",""งบพรบ!GL23"")"),0)</f>
        <v>0</v>
      </c>
      <c r="I23" s="151">
        <f ca="1">IFERROR(__xludf.DUMMYFUNCTION("IMPORTRANGE(""https://docs.google.com/spreadsheets/d/1-uDff_7J0KD5mKrp0Vvzr7lt3OU09vwQwhkpOPPYv2Y/edit?usp=sharing"",""งบพรบ!GM23"")"),0)</f>
        <v>0</v>
      </c>
      <c r="J23" s="262">
        <f t="shared" ca="1" si="15"/>
        <v>0</v>
      </c>
      <c r="K23" s="476">
        <f t="shared" ca="1" si="16"/>
        <v>0</v>
      </c>
      <c r="L23" s="151">
        <f ca="1">IFERROR(__xludf.DUMMYFUNCTION("IMPORTRANGE(""https://docs.google.com/spreadsheets/d/1-uDff_7J0KD5mKrp0Vvzr7lt3OU09vwQwhkpOPPYv2Y/edit?usp=sharing"",""งบพรบ!GN23"")"),0)</f>
        <v>0</v>
      </c>
      <c r="M23" s="260">
        <f t="shared" ca="1" si="17"/>
        <v>0</v>
      </c>
      <c r="N23" s="260">
        <f t="shared" ca="1" si="18"/>
        <v>0</v>
      </c>
      <c r="O23" s="151">
        <f ca="1">IFERROR(__xludf.DUMMYFUNCTION("IMPORTRANGE(""https://docs.google.com/spreadsheets/d/1-uDff_7J0KD5mKrp0Vvzr7lt3OU09vwQwhkpOPPYv2Y/edit?usp=sharing"",""งบพรบ!GO23"")"),0)</f>
        <v>0</v>
      </c>
      <c r="P23" s="475">
        <f t="shared" ca="1" si="19"/>
        <v>0</v>
      </c>
      <c r="Q23" s="260">
        <f t="shared" ca="1" si="20"/>
        <v>0</v>
      </c>
      <c r="R23" s="279">
        <v>0</v>
      </c>
      <c r="S23" s="397">
        <v>0</v>
      </c>
      <c r="T23" s="216">
        <f t="shared" si="22"/>
        <v>0</v>
      </c>
    </row>
    <row r="24" spans="1:21" ht="19.5" x14ac:dyDescent="0.3">
      <c r="A24" s="147">
        <v>11</v>
      </c>
      <c r="B24" s="148" t="s">
        <v>52</v>
      </c>
      <c r="C24" s="472">
        <f t="shared" ca="1" si="13"/>
        <v>0</v>
      </c>
      <c r="D24" s="473">
        <f t="shared" ca="1" si="23"/>
        <v>0</v>
      </c>
      <c r="E24" s="151">
        <f ca="1">IFERROR(__xludf.DUMMYFUNCTION("IMPORTRANGE(""https://docs.google.com/spreadsheets/d/1-uDff_7J0KD5mKrp0Vvzr7lt3OU09vwQwhkpOPPYv2Y/edit?usp=sharing"",""งบพรบ!GH24"")"),0)</f>
        <v>0</v>
      </c>
      <c r="F24" s="151">
        <f ca="1">IFERROR(__xludf.DUMMYFUNCTION("IMPORTRANGE(""https://docs.google.com/spreadsheets/d/1-uDff_7J0KD5mKrp0Vvzr7lt3OU09vwQwhkpOPPYv2Y/edit?usp=sharing"",""งบพรบ!GI24"")"),0)</f>
        <v>0</v>
      </c>
      <c r="G24" s="151">
        <f ca="1">IFERROR(__xludf.DUMMYFUNCTION("IMPORTRANGE(""https://docs.google.com/spreadsheets/d/1-uDff_7J0KD5mKrp0Vvzr7lt3OU09vwQwhkpOPPYv2Y/edit?usp=sharing"",""งบพรบ!GJ24"")"),0)</f>
        <v>0</v>
      </c>
      <c r="H24" s="151">
        <f ca="1">IFERROR(__xludf.DUMMYFUNCTION("IMPORTRANGE(""https://docs.google.com/spreadsheets/d/1-uDff_7J0KD5mKrp0Vvzr7lt3OU09vwQwhkpOPPYv2Y/edit?usp=sharing"",""งบพรบ!GL24"")"),0)</f>
        <v>0</v>
      </c>
      <c r="I24" s="151">
        <f ca="1">IFERROR(__xludf.DUMMYFUNCTION("IMPORTRANGE(""https://docs.google.com/spreadsheets/d/1-uDff_7J0KD5mKrp0Vvzr7lt3OU09vwQwhkpOPPYv2Y/edit?usp=sharing"",""งบพรบ!GM24"")"),0)</f>
        <v>0</v>
      </c>
      <c r="J24" s="262">
        <f t="shared" ca="1" si="15"/>
        <v>0</v>
      </c>
      <c r="K24" s="476">
        <f t="shared" ca="1" si="16"/>
        <v>0</v>
      </c>
      <c r="L24" s="151">
        <f ca="1">IFERROR(__xludf.DUMMYFUNCTION("IMPORTRANGE(""https://docs.google.com/spreadsheets/d/1-uDff_7J0KD5mKrp0Vvzr7lt3OU09vwQwhkpOPPYv2Y/edit?usp=sharing"",""งบพรบ!GN24"")"),0)</f>
        <v>0</v>
      </c>
      <c r="M24" s="260">
        <f t="shared" ca="1" si="17"/>
        <v>0</v>
      </c>
      <c r="N24" s="260">
        <f t="shared" ca="1" si="18"/>
        <v>0</v>
      </c>
      <c r="O24" s="151">
        <f ca="1">IFERROR(__xludf.DUMMYFUNCTION("IMPORTRANGE(""https://docs.google.com/spreadsheets/d/1-uDff_7J0KD5mKrp0Vvzr7lt3OU09vwQwhkpOPPYv2Y/edit?usp=sharing"",""งบพรบ!GO24"")"),0)</f>
        <v>0</v>
      </c>
      <c r="P24" s="475">
        <f t="shared" ca="1" si="19"/>
        <v>0</v>
      </c>
      <c r="Q24" s="260">
        <f t="shared" ca="1" si="20"/>
        <v>0</v>
      </c>
      <c r="R24" s="278">
        <v>0</v>
      </c>
      <c r="S24" s="152">
        <v>0</v>
      </c>
      <c r="T24" s="216">
        <f t="shared" si="22"/>
        <v>0</v>
      </c>
    </row>
    <row r="25" spans="1:21" ht="19.5" x14ac:dyDescent="0.3">
      <c r="A25" s="147">
        <v>12</v>
      </c>
      <c r="B25" s="148" t="s">
        <v>53</v>
      </c>
      <c r="C25" s="472">
        <f t="shared" ca="1" si="13"/>
        <v>1975000</v>
      </c>
      <c r="D25" s="473">
        <f t="shared" ca="1" si="23"/>
        <v>0</v>
      </c>
      <c r="E25" s="151">
        <f ca="1">IFERROR(__xludf.DUMMYFUNCTION("IMPORTRANGE(""https://docs.google.com/spreadsheets/d/1-uDff_7J0KD5mKrp0Vvzr7lt3OU09vwQwhkpOPPYv2Y/edit?usp=sharing"",""งบพรบ!GH25"")"),0)</f>
        <v>0</v>
      </c>
      <c r="F25" s="151">
        <f ca="1">IFERROR(__xludf.DUMMYFUNCTION("IMPORTRANGE(""https://docs.google.com/spreadsheets/d/1-uDff_7J0KD5mKrp0Vvzr7lt3OU09vwQwhkpOPPYv2Y/edit?usp=sharing"",""งบพรบ!GI25"")"),0)</f>
        <v>0</v>
      </c>
      <c r="G25" s="151">
        <f ca="1">IFERROR(__xludf.DUMMYFUNCTION("IMPORTRANGE(""https://docs.google.com/spreadsheets/d/1-uDff_7J0KD5mKrp0Vvzr7lt3OU09vwQwhkpOPPYv2Y/edit?usp=sharing"",""งบพรบ!GJ25"")"),1975000)</f>
        <v>1975000</v>
      </c>
      <c r="H25" s="151">
        <f ca="1">IFERROR(__xludf.DUMMYFUNCTION("IMPORTRANGE(""https://docs.google.com/spreadsheets/d/1-uDff_7J0KD5mKrp0Vvzr7lt3OU09vwQwhkpOPPYv2Y/edit?usp=sharing"",""งบพรบ!GL25"")"),0)</f>
        <v>0</v>
      </c>
      <c r="I25" s="151">
        <f ca="1">IFERROR(__xludf.DUMMYFUNCTION("IMPORTRANGE(""https://docs.google.com/spreadsheets/d/1-uDff_7J0KD5mKrp0Vvzr7lt3OU09vwQwhkpOPPYv2Y/edit?usp=sharing"",""งบพรบ!GM25"")"),1975000)</f>
        <v>1975000</v>
      </c>
      <c r="J25" s="262">
        <f t="shared" ca="1" si="15"/>
        <v>1918850</v>
      </c>
      <c r="K25" s="476">
        <f t="shared" ca="1" si="16"/>
        <v>97.15696202531646</v>
      </c>
      <c r="L25" s="151">
        <f ca="1">IFERROR(__xludf.DUMMYFUNCTION("IMPORTRANGE(""https://docs.google.com/spreadsheets/d/1-uDff_7J0KD5mKrp0Vvzr7lt3OU09vwQwhkpOPPYv2Y/edit?usp=sharing"",""งบพรบ!GN25"")"),0)</f>
        <v>0</v>
      </c>
      <c r="M25" s="260">
        <f t="shared" ca="1" si="17"/>
        <v>0</v>
      </c>
      <c r="N25" s="260">
        <f t="shared" ca="1" si="18"/>
        <v>0</v>
      </c>
      <c r="O25" s="151">
        <f ca="1">IFERROR(__xludf.DUMMYFUNCTION("IMPORTRANGE(""https://docs.google.com/spreadsheets/d/1-uDff_7J0KD5mKrp0Vvzr7lt3OU09vwQwhkpOPPYv2Y/edit?usp=sharing"",""งบพรบ!GO25"")"),1918850)</f>
        <v>1918850</v>
      </c>
      <c r="P25" s="475">
        <f t="shared" ca="1" si="19"/>
        <v>97.15696202531646</v>
      </c>
      <c r="Q25" s="260">
        <f t="shared" ca="1" si="20"/>
        <v>97.15696202531646</v>
      </c>
      <c r="R25" s="278">
        <f ca="1">IFERROR(__xludf.DUMMYFUNCTION("IMPORTRANGE(""https://docs.google.com/spreadsheets/d/1dQrvX0vEcN7Gu0fnZ0B5S90AeR19zth4XlExFBeExMY/edit?usp=sharing"",""แม่ฮ่องสอน!I565"")"),1)</f>
        <v>1</v>
      </c>
      <c r="S25" s="152">
        <f ca="1">IFERROR(__xludf.DUMMYFUNCTION("IMPORTRANGE(""https://docs.google.com/spreadsheets/d/1dQrvX0vEcN7Gu0fnZ0B5S90AeR19zth4XlExFBeExMY/edit?usp=sharing"",""แม่ฮ่องสอน!J565"")"),0)</f>
        <v>0</v>
      </c>
      <c r="T25" s="216">
        <f t="shared" ca="1" si="22"/>
        <v>0</v>
      </c>
    </row>
    <row r="26" spans="1:21" ht="19.5" x14ac:dyDescent="0.3">
      <c r="A26" s="147">
        <v>13</v>
      </c>
      <c r="B26" s="148" t="s">
        <v>54</v>
      </c>
      <c r="C26" s="472">
        <f t="shared" ca="1" si="13"/>
        <v>0</v>
      </c>
      <c r="D26" s="473">
        <f t="shared" ca="1" si="23"/>
        <v>0</v>
      </c>
      <c r="E26" s="151">
        <f ca="1">IFERROR(__xludf.DUMMYFUNCTION("IMPORTRANGE(""https://docs.google.com/spreadsheets/d/1-uDff_7J0KD5mKrp0Vvzr7lt3OU09vwQwhkpOPPYv2Y/edit?usp=sharing"",""งบพรบ!GH26"")"),0)</f>
        <v>0</v>
      </c>
      <c r="F26" s="151">
        <f ca="1">IFERROR(__xludf.DUMMYFUNCTION("IMPORTRANGE(""https://docs.google.com/spreadsheets/d/1-uDff_7J0KD5mKrp0Vvzr7lt3OU09vwQwhkpOPPYv2Y/edit?usp=sharing"",""งบพรบ!GI26"")"),0)</f>
        <v>0</v>
      </c>
      <c r="G26" s="151">
        <f ca="1">IFERROR(__xludf.DUMMYFUNCTION("IMPORTRANGE(""https://docs.google.com/spreadsheets/d/1-uDff_7J0KD5mKrp0Vvzr7lt3OU09vwQwhkpOPPYv2Y/edit?usp=sharing"",""งบพรบ!GJ26"")"),0)</f>
        <v>0</v>
      </c>
      <c r="H26" s="151">
        <f ca="1">IFERROR(__xludf.DUMMYFUNCTION("IMPORTRANGE(""https://docs.google.com/spreadsheets/d/1-uDff_7J0KD5mKrp0Vvzr7lt3OU09vwQwhkpOPPYv2Y/edit?usp=sharing"",""งบพรบ!GL26"")"),0)</f>
        <v>0</v>
      </c>
      <c r="I26" s="151">
        <f ca="1">IFERROR(__xludf.DUMMYFUNCTION("IMPORTRANGE(""https://docs.google.com/spreadsheets/d/1-uDff_7J0KD5mKrp0Vvzr7lt3OU09vwQwhkpOPPYv2Y/edit?usp=sharing"",""งบพรบ!GM26"")"),0)</f>
        <v>0</v>
      </c>
      <c r="J26" s="262">
        <f t="shared" ca="1" si="15"/>
        <v>0</v>
      </c>
      <c r="K26" s="476">
        <f t="shared" ca="1" si="16"/>
        <v>0</v>
      </c>
      <c r="L26" s="151">
        <f ca="1">IFERROR(__xludf.DUMMYFUNCTION("IMPORTRANGE(""https://docs.google.com/spreadsheets/d/1-uDff_7J0KD5mKrp0Vvzr7lt3OU09vwQwhkpOPPYv2Y/edit?usp=sharing"",""งบพรบ!GN26"")"),0)</f>
        <v>0</v>
      </c>
      <c r="M26" s="260">
        <f t="shared" ca="1" si="17"/>
        <v>0</v>
      </c>
      <c r="N26" s="260">
        <f t="shared" ca="1" si="18"/>
        <v>0</v>
      </c>
      <c r="O26" s="151">
        <f ca="1">IFERROR(__xludf.DUMMYFUNCTION("IMPORTRANGE(""https://docs.google.com/spreadsheets/d/1-uDff_7J0KD5mKrp0Vvzr7lt3OU09vwQwhkpOPPYv2Y/edit?usp=sharing"",""งบพรบ!GO26"")"),0)</f>
        <v>0</v>
      </c>
      <c r="P26" s="475">
        <f t="shared" ca="1" si="19"/>
        <v>0</v>
      </c>
      <c r="Q26" s="260">
        <f t="shared" ca="1" si="20"/>
        <v>0</v>
      </c>
      <c r="R26" s="279">
        <v>0</v>
      </c>
      <c r="S26" s="397">
        <v>0</v>
      </c>
      <c r="T26" s="216">
        <f t="shared" si="22"/>
        <v>0</v>
      </c>
    </row>
    <row r="27" spans="1:21" ht="19.5" x14ac:dyDescent="0.3">
      <c r="A27" s="147">
        <v>14</v>
      </c>
      <c r="B27" s="148" t="s">
        <v>55</v>
      </c>
      <c r="C27" s="472">
        <f t="shared" ca="1" si="13"/>
        <v>0</v>
      </c>
      <c r="D27" s="473">
        <f t="shared" ca="1" si="23"/>
        <v>0</v>
      </c>
      <c r="E27" s="151">
        <f ca="1">IFERROR(__xludf.DUMMYFUNCTION("IMPORTRANGE(""https://docs.google.com/spreadsheets/d/1-uDff_7J0KD5mKrp0Vvzr7lt3OU09vwQwhkpOPPYv2Y/edit?usp=sharing"",""งบพรบ!GH27"")"),0)</f>
        <v>0</v>
      </c>
      <c r="F27" s="151">
        <f ca="1">IFERROR(__xludf.DUMMYFUNCTION("IMPORTRANGE(""https://docs.google.com/spreadsheets/d/1-uDff_7J0KD5mKrp0Vvzr7lt3OU09vwQwhkpOPPYv2Y/edit?usp=sharing"",""งบพรบ!GI27"")"),0)</f>
        <v>0</v>
      </c>
      <c r="G27" s="151">
        <f ca="1">IFERROR(__xludf.DUMMYFUNCTION("IMPORTRANGE(""https://docs.google.com/spreadsheets/d/1-uDff_7J0KD5mKrp0Vvzr7lt3OU09vwQwhkpOPPYv2Y/edit?usp=sharing"",""งบพรบ!GJ27"")"),0)</f>
        <v>0</v>
      </c>
      <c r="H27" s="151">
        <f ca="1">IFERROR(__xludf.DUMMYFUNCTION("IMPORTRANGE(""https://docs.google.com/spreadsheets/d/1-uDff_7J0KD5mKrp0Vvzr7lt3OU09vwQwhkpOPPYv2Y/edit?usp=sharing"",""งบพรบ!GL27"")"),0)</f>
        <v>0</v>
      </c>
      <c r="I27" s="151">
        <f ca="1">IFERROR(__xludf.DUMMYFUNCTION("IMPORTRANGE(""https://docs.google.com/spreadsheets/d/1-uDff_7J0KD5mKrp0Vvzr7lt3OU09vwQwhkpOPPYv2Y/edit?usp=sharing"",""งบพรบ!GM27"")"),0)</f>
        <v>0</v>
      </c>
      <c r="J27" s="262">
        <f t="shared" ca="1" si="15"/>
        <v>0</v>
      </c>
      <c r="K27" s="476">
        <f t="shared" ca="1" si="16"/>
        <v>0</v>
      </c>
      <c r="L27" s="151">
        <f ca="1">IFERROR(__xludf.DUMMYFUNCTION("IMPORTRANGE(""https://docs.google.com/spreadsheets/d/1-uDff_7J0KD5mKrp0Vvzr7lt3OU09vwQwhkpOPPYv2Y/edit?usp=sharing"",""งบพรบ!GN27"")"),0)</f>
        <v>0</v>
      </c>
      <c r="M27" s="260">
        <f t="shared" ca="1" si="17"/>
        <v>0</v>
      </c>
      <c r="N27" s="260">
        <f t="shared" ca="1" si="18"/>
        <v>0</v>
      </c>
      <c r="O27" s="151">
        <f ca="1">IFERROR(__xludf.DUMMYFUNCTION("IMPORTRANGE(""https://docs.google.com/spreadsheets/d/1-uDff_7J0KD5mKrp0Vvzr7lt3OU09vwQwhkpOPPYv2Y/edit?usp=sharing"",""งบพรบ!GO27"")"),0)</f>
        <v>0</v>
      </c>
      <c r="P27" s="475">
        <f t="shared" ca="1" si="19"/>
        <v>0</v>
      </c>
      <c r="Q27" s="260">
        <f t="shared" ca="1" si="20"/>
        <v>0</v>
      </c>
      <c r="R27" s="278">
        <v>0</v>
      </c>
      <c r="S27" s="152">
        <v>0</v>
      </c>
      <c r="T27" s="216">
        <f t="shared" si="22"/>
        <v>0</v>
      </c>
    </row>
    <row r="28" spans="1:21" ht="19.5" x14ac:dyDescent="0.3">
      <c r="A28" s="147">
        <v>15</v>
      </c>
      <c r="B28" s="148" t="s">
        <v>56</v>
      </c>
      <c r="C28" s="472">
        <f t="shared" ca="1" si="13"/>
        <v>0</v>
      </c>
      <c r="D28" s="473">
        <f t="shared" ca="1" si="23"/>
        <v>0</v>
      </c>
      <c r="E28" s="151">
        <f ca="1">IFERROR(__xludf.DUMMYFUNCTION("IMPORTRANGE(""https://docs.google.com/spreadsheets/d/1-uDff_7J0KD5mKrp0Vvzr7lt3OU09vwQwhkpOPPYv2Y/edit?usp=sharing"",""งบพรบ!GH28"")"),0)</f>
        <v>0</v>
      </c>
      <c r="F28" s="151">
        <f ca="1">IFERROR(__xludf.DUMMYFUNCTION("IMPORTRANGE(""https://docs.google.com/spreadsheets/d/1-uDff_7J0KD5mKrp0Vvzr7lt3OU09vwQwhkpOPPYv2Y/edit?usp=sharing"",""งบพรบ!GI28"")"),0)</f>
        <v>0</v>
      </c>
      <c r="G28" s="151">
        <f ca="1">IFERROR(__xludf.DUMMYFUNCTION("IMPORTRANGE(""https://docs.google.com/spreadsheets/d/1-uDff_7J0KD5mKrp0Vvzr7lt3OU09vwQwhkpOPPYv2Y/edit?usp=sharing"",""งบพรบ!GJ28"")"),0)</f>
        <v>0</v>
      </c>
      <c r="H28" s="151">
        <f ca="1">IFERROR(__xludf.DUMMYFUNCTION("IMPORTRANGE(""https://docs.google.com/spreadsheets/d/1-uDff_7J0KD5mKrp0Vvzr7lt3OU09vwQwhkpOPPYv2Y/edit?usp=sharing"",""งบพรบ!GL28"")"),0)</f>
        <v>0</v>
      </c>
      <c r="I28" s="151">
        <f ca="1">IFERROR(__xludf.DUMMYFUNCTION("IMPORTRANGE(""https://docs.google.com/spreadsheets/d/1-uDff_7J0KD5mKrp0Vvzr7lt3OU09vwQwhkpOPPYv2Y/edit?usp=sharing"",""งบพรบ!GM28"")"),0)</f>
        <v>0</v>
      </c>
      <c r="J28" s="262">
        <f t="shared" ca="1" si="15"/>
        <v>0</v>
      </c>
      <c r="K28" s="476">
        <f t="shared" ca="1" si="16"/>
        <v>0</v>
      </c>
      <c r="L28" s="151">
        <f ca="1">IFERROR(__xludf.DUMMYFUNCTION("IMPORTRANGE(""https://docs.google.com/spreadsheets/d/1-uDff_7J0KD5mKrp0Vvzr7lt3OU09vwQwhkpOPPYv2Y/edit?usp=sharing"",""งบพรบ!GN28"")"),0)</f>
        <v>0</v>
      </c>
      <c r="M28" s="260">
        <f t="shared" ca="1" si="17"/>
        <v>0</v>
      </c>
      <c r="N28" s="260">
        <f t="shared" ca="1" si="18"/>
        <v>0</v>
      </c>
      <c r="O28" s="151">
        <f ca="1">IFERROR(__xludf.DUMMYFUNCTION("IMPORTRANGE(""https://docs.google.com/spreadsheets/d/1-uDff_7J0KD5mKrp0Vvzr7lt3OU09vwQwhkpOPPYv2Y/edit?usp=sharing"",""งบพรบ!GO28"")"),0)</f>
        <v>0</v>
      </c>
      <c r="P28" s="475">
        <f t="shared" ca="1" si="19"/>
        <v>0</v>
      </c>
      <c r="Q28" s="260">
        <f t="shared" ca="1" si="20"/>
        <v>0</v>
      </c>
      <c r="R28" s="278">
        <v>0</v>
      </c>
      <c r="S28" s="152">
        <v>0</v>
      </c>
      <c r="T28" s="216">
        <f t="shared" si="22"/>
        <v>0</v>
      </c>
    </row>
    <row r="29" spans="1:21" ht="19.5" x14ac:dyDescent="0.3">
      <c r="A29" s="147">
        <v>16</v>
      </c>
      <c r="B29" s="148" t="s">
        <v>57</v>
      </c>
      <c r="C29" s="472">
        <f t="shared" ca="1" si="13"/>
        <v>0</v>
      </c>
      <c r="D29" s="473">
        <f t="shared" ca="1" si="23"/>
        <v>0</v>
      </c>
      <c r="E29" s="151">
        <f ca="1">IFERROR(__xludf.DUMMYFUNCTION("IMPORTRANGE(""https://docs.google.com/spreadsheets/d/1-uDff_7J0KD5mKrp0Vvzr7lt3OU09vwQwhkpOPPYv2Y/edit?usp=sharing"",""งบพรบ!GH29"")"),0)</f>
        <v>0</v>
      </c>
      <c r="F29" s="151">
        <f ca="1">IFERROR(__xludf.DUMMYFUNCTION("IMPORTRANGE(""https://docs.google.com/spreadsheets/d/1-uDff_7J0KD5mKrp0Vvzr7lt3OU09vwQwhkpOPPYv2Y/edit?usp=sharing"",""งบพรบ!GI29"")"),0)</f>
        <v>0</v>
      </c>
      <c r="G29" s="151">
        <f ca="1">IFERROR(__xludf.DUMMYFUNCTION("IMPORTRANGE(""https://docs.google.com/spreadsheets/d/1-uDff_7J0KD5mKrp0Vvzr7lt3OU09vwQwhkpOPPYv2Y/edit?usp=sharing"",""งบพรบ!GJ29"")"),0)</f>
        <v>0</v>
      </c>
      <c r="H29" s="151">
        <f ca="1">IFERROR(__xludf.DUMMYFUNCTION("IMPORTRANGE(""https://docs.google.com/spreadsheets/d/1-uDff_7J0KD5mKrp0Vvzr7lt3OU09vwQwhkpOPPYv2Y/edit?usp=sharing"",""งบพรบ!GL29"")"),0)</f>
        <v>0</v>
      </c>
      <c r="I29" s="151">
        <f ca="1">IFERROR(__xludf.DUMMYFUNCTION("IMPORTRANGE(""https://docs.google.com/spreadsheets/d/1-uDff_7J0KD5mKrp0Vvzr7lt3OU09vwQwhkpOPPYv2Y/edit?usp=sharing"",""งบพรบ!GM29"")"),0)</f>
        <v>0</v>
      </c>
      <c r="J29" s="262">
        <f t="shared" ca="1" si="15"/>
        <v>0</v>
      </c>
      <c r="K29" s="476">
        <f t="shared" ca="1" si="16"/>
        <v>0</v>
      </c>
      <c r="L29" s="151">
        <f ca="1">IFERROR(__xludf.DUMMYFUNCTION("IMPORTRANGE(""https://docs.google.com/spreadsheets/d/1-uDff_7J0KD5mKrp0Vvzr7lt3OU09vwQwhkpOPPYv2Y/edit?usp=sharing"",""งบพรบ!GN29"")"),0)</f>
        <v>0</v>
      </c>
      <c r="M29" s="260">
        <f t="shared" ca="1" si="17"/>
        <v>0</v>
      </c>
      <c r="N29" s="260">
        <f t="shared" ca="1" si="18"/>
        <v>0</v>
      </c>
      <c r="O29" s="151">
        <f ca="1">IFERROR(__xludf.DUMMYFUNCTION("IMPORTRANGE(""https://docs.google.com/spreadsheets/d/1-uDff_7J0KD5mKrp0Vvzr7lt3OU09vwQwhkpOPPYv2Y/edit?usp=sharing"",""งบพรบ!GO29"")"),0)</f>
        <v>0</v>
      </c>
      <c r="P29" s="475">
        <f t="shared" ca="1" si="19"/>
        <v>0</v>
      </c>
      <c r="Q29" s="260">
        <f t="shared" ca="1" si="20"/>
        <v>0</v>
      </c>
      <c r="R29" s="278">
        <v>0</v>
      </c>
      <c r="S29" s="152">
        <v>0</v>
      </c>
      <c r="T29" s="216">
        <f t="shared" si="22"/>
        <v>0</v>
      </c>
    </row>
    <row r="30" spans="1:21" ht="19.5" x14ac:dyDescent="0.3">
      <c r="A30" s="155">
        <v>17</v>
      </c>
      <c r="B30" s="156" t="s">
        <v>58</v>
      </c>
      <c r="C30" s="477">
        <f t="shared" ca="1" si="13"/>
        <v>0</v>
      </c>
      <c r="D30" s="478">
        <f t="shared" ca="1" si="23"/>
        <v>0</v>
      </c>
      <c r="E30" s="159">
        <f ca="1">IFERROR(__xludf.DUMMYFUNCTION("IMPORTRANGE(""https://docs.google.com/spreadsheets/d/1-uDff_7J0KD5mKrp0Vvzr7lt3OU09vwQwhkpOPPYv2Y/edit?usp=sharing"",""งบพรบ!GH30"")"),0)</f>
        <v>0</v>
      </c>
      <c r="F30" s="159">
        <f ca="1">IFERROR(__xludf.DUMMYFUNCTION("IMPORTRANGE(""https://docs.google.com/spreadsheets/d/1-uDff_7J0KD5mKrp0Vvzr7lt3OU09vwQwhkpOPPYv2Y/edit?usp=sharing"",""งบพรบ!GI30"")"),0)</f>
        <v>0</v>
      </c>
      <c r="G30" s="159">
        <f ca="1">IFERROR(__xludf.DUMMYFUNCTION("IMPORTRANGE(""https://docs.google.com/spreadsheets/d/1-uDff_7J0KD5mKrp0Vvzr7lt3OU09vwQwhkpOPPYv2Y/edit?usp=sharing"",""งบพรบ!GJ30"")"),0)</f>
        <v>0</v>
      </c>
      <c r="H30" s="159">
        <f ca="1">IFERROR(__xludf.DUMMYFUNCTION("IMPORTRANGE(""https://docs.google.com/spreadsheets/d/1-uDff_7J0KD5mKrp0Vvzr7lt3OU09vwQwhkpOPPYv2Y/edit?usp=sharing"",""งบพรบ!GL30"")"),0)</f>
        <v>0</v>
      </c>
      <c r="I30" s="159">
        <f ca="1">IFERROR(__xludf.DUMMYFUNCTION("IMPORTRANGE(""https://docs.google.com/spreadsheets/d/1-uDff_7J0KD5mKrp0Vvzr7lt3OU09vwQwhkpOPPYv2Y/edit?usp=sharing"",""งบพรบ!GM30"")"),0)</f>
        <v>0</v>
      </c>
      <c r="J30" s="479">
        <f t="shared" ca="1" si="15"/>
        <v>0</v>
      </c>
      <c r="K30" s="480">
        <f t="shared" ca="1" si="16"/>
        <v>0</v>
      </c>
      <c r="L30" s="159">
        <f ca="1">IFERROR(__xludf.DUMMYFUNCTION("IMPORTRANGE(""https://docs.google.com/spreadsheets/d/1-uDff_7J0KD5mKrp0Vvzr7lt3OU09vwQwhkpOPPYv2Y/edit?usp=sharing"",""งบพรบ!GN30"")"),0)</f>
        <v>0</v>
      </c>
      <c r="M30" s="481">
        <f t="shared" ca="1" si="17"/>
        <v>0</v>
      </c>
      <c r="N30" s="481">
        <f t="shared" ca="1" si="18"/>
        <v>0</v>
      </c>
      <c r="O30" s="159">
        <f ca="1">IFERROR(__xludf.DUMMYFUNCTION("IMPORTRANGE(""https://docs.google.com/spreadsheets/d/1-uDff_7J0KD5mKrp0Vvzr7lt3OU09vwQwhkpOPPYv2Y/edit?usp=sharing"",""งบพรบ!GO30"")"),0)</f>
        <v>0</v>
      </c>
      <c r="P30" s="482">
        <f t="shared" ca="1" si="19"/>
        <v>0</v>
      </c>
      <c r="Q30" s="481">
        <f t="shared" ca="1" si="20"/>
        <v>0</v>
      </c>
      <c r="R30" s="280">
        <v>0</v>
      </c>
      <c r="S30" s="191">
        <v>0</v>
      </c>
      <c r="T30" s="218">
        <f t="shared" si="22"/>
        <v>0</v>
      </c>
    </row>
    <row r="31" spans="1:21" ht="19.5" x14ac:dyDescent="0.3">
      <c r="A31" s="696" t="s">
        <v>59</v>
      </c>
      <c r="B31" s="662"/>
      <c r="C31" s="601">
        <f t="shared" ca="1" si="13"/>
        <v>4313000</v>
      </c>
      <c r="D31" s="601">
        <f t="shared" ref="D31:I31" ca="1" si="24">SUM(D32:D51)</f>
        <v>0</v>
      </c>
      <c r="E31" s="601">
        <f t="shared" ca="1" si="24"/>
        <v>0</v>
      </c>
      <c r="F31" s="601">
        <f t="shared" ca="1" si="24"/>
        <v>0</v>
      </c>
      <c r="G31" s="601">
        <f t="shared" ca="1" si="24"/>
        <v>4313000</v>
      </c>
      <c r="H31" s="601">
        <f t="shared" ca="1" si="24"/>
        <v>0</v>
      </c>
      <c r="I31" s="601">
        <f t="shared" ca="1" si="24"/>
        <v>4283000</v>
      </c>
      <c r="J31" s="601">
        <f t="shared" ca="1" si="15"/>
        <v>1562000</v>
      </c>
      <c r="K31" s="602">
        <f t="shared" ca="1" si="16"/>
        <v>36.216090888012985</v>
      </c>
      <c r="L31" s="601">
        <f ca="1">SUM(L32:L51)</f>
        <v>0</v>
      </c>
      <c r="M31" s="603">
        <f t="shared" ca="1" si="17"/>
        <v>0</v>
      </c>
      <c r="N31" s="603">
        <f t="shared" ca="1" si="18"/>
        <v>0</v>
      </c>
      <c r="O31" s="604">
        <f ca="1">SUM(O32:O51)</f>
        <v>1562000</v>
      </c>
      <c r="P31" s="604">
        <f t="shared" ca="1" si="19"/>
        <v>36.216090888012985</v>
      </c>
      <c r="Q31" s="603">
        <f t="shared" ca="1" si="20"/>
        <v>36.469764183983187</v>
      </c>
      <c r="R31" s="282">
        <f t="shared" ref="R31:S31" ca="1" si="25">SUM(R32:R51)</f>
        <v>5</v>
      </c>
      <c r="S31" s="369">
        <f t="shared" ca="1" si="25"/>
        <v>1</v>
      </c>
      <c r="T31" s="94">
        <f t="shared" ca="1" si="22"/>
        <v>20</v>
      </c>
      <c r="U31" s="600"/>
    </row>
    <row r="32" spans="1:21" ht="19.5" x14ac:dyDescent="0.3">
      <c r="A32" s="147">
        <v>1</v>
      </c>
      <c r="B32" s="148" t="s">
        <v>60</v>
      </c>
      <c r="C32" s="472">
        <f t="shared" ca="1" si="13"/>
        <v>1370000</v>
      </c>
      <c r="D32" s="473">
        <f t="shared" ref="D32:D51" ca="1" si="26">+E32+F32</f>
        <v>0</v>
      </c>
      <c r="E32" s="151">
        <f ca="1">IFERROR(__xludf.DUMMYFUNCTION("IMPORTRANGE(""https://docs.google.com/spreadsheets/d/1-uDff_7J0KD5mKrp0Vvzr7lt3OU09vwQwhkpOPPYv2Y/edit?usp=sharing"",""งบพรบ!GH32"")"),0)</f>
        <v>0</v>
      </c>
      <c r="F32" s="151">
        <f ca="1">IFERROR(__xludf.DUMMYFUNCTION("IMPORTRANGE(""https://docs.google.com/spreadsheets/d/1-uDff_7J0KD5mKrp0Vvzr7lt3OU09vwQwhkpOPPYv2Y/edit?usp=sharing"",""งบพรบ!GI32"")"),0)</f>
        <v>0</v>
      </c>
      <c r="G32" s="152">
        <f ca="1">IFERROR(__xludf.DUMMYFUNCTION("IMPORTRANGE(""https://docs.google.com/spreadsheets/d/1-uDff_7J0KD5mKrp0Vvzr7lt3OU09vwQwhkpOPPYv2Y/edit?usp=sharing"",""งบพรบ!GJ32"")"),1370000)</f>
        <v>1370000</v>
      </c>
      <c r="H32" s="152">
        <f ca="1">IFERROR(__xludf.DUMMYFUNCTION("IMPORTRANGE(""https://docs.google.com/spreadsheets/d/1-uDff_7J0KD5mKrp0Vvzr7lt3OU09vwQwhkpOPPYv2Y/edit?usp=sharing"",""งบพรบ!GL32"")"),0)</f>
        <v>0</v>
      </c>
      <c r="I32" s="152">
        <f ca="1">IFERROR(__xludf.DUMMYFUNCTION("IMPORTRANGE(""https://docs.google.com/spreadsheets/d/1-uDff_7J0KD5mKrp0Vvzr7lt3OU09vwQwhkpOPPYv2Y/edit?usp=sharing"",""งบพรบ!GM32"")"),1340000)</f>
        <v>1340000</v>
      </c>
      <c r="J32" s="251">
        <f t="shared" ca="1" si="15"/>
        <v>1340000</v>
      </c>
      <c r="K32" s="474">
        <f t="shared" ca="1" si="16"/>
        <v>97.810218978102185</v>
      </c>
      <c r="L32" s="152">
        <f ca="1">IFERROR(__xludf.DUMMYFUNCTION("IMPORTRANGE(""https://docs.google.com/spreadsheets/d/1-uDff_7J0KD5mKrp0Vvzr7lt3OU09vwQwhkpOPPYv2Y/edit?usp=sharing"",""งบพรบ!GN32"")"),0)</f>
        <v>0</v>
      </c>
      <c r="M32" s="260">
        <f t="shared" ca="1" si="17"/>
        <v>0</v>
      </c>
      <c r="N32" s="260">
        <f t="shared" ca="1" si="18"/>
        <v>0</v>
      </c>
      <c r="O32" s="151">
        <f ca="1">IFERROR(__xludf.DUMMYFUNCTION("IMPORTRANGE(""https://docs.google.com/spreadsheets/d/1-uDff_7J0KD5mKrp0Vvzr7lt3OU09vwQwhkpOPPYv2Y/edit?usp=sharing"",""งบพรบ!GO32"")"),1340000)</f>
        <v>1340000</v>
      </c>
      <c r="P32" s="475">
        <f t="shared" ca="1" si="19"/>
        <v>97.810218978102185</v>
      </c>
      <c r="Q32" s="260">
        <f t="shared" ca="1" si="20"/>
        <v>100</v>
      </c>
      <c r="R32" s="278">
        <f ca="1">IFERROR(__xludf.DUMMYFUNCTION("IMPORTRANGE(""https://docs.google.com/spreadsheets/d/1yhBcrRPreicbMKl9Bu_Snb2-OcQAF62RKfhTLhJ2eAA/edit?usp=sharing"",""กาฬสินธุ์!I565"")"),1)</f>
        <v>1</v>
      </c>
      <c r="S32" s="152">
        <f ca="1">IFERROR(__xludf.DUMMYFUNCTION("IMPORTRANGE(""https://docs.google.com/spreadsheets/d/1yhBcrRPreicbMKl9Bu_Snb2-OcQAF62RKfhTLhJ2eAA/edit?usp=sharing"",""กาฬสินธุ์!J565"")"),0)</f>
        <v>0</v>
      </c>
      <c r="T32" s="216">
        <f t="shared" ca="1" si="22"/>
        <v>0</v>
      </c>
    </row>
    <row r="33" spans="1:20" ht="19.5" x14ac:dyDescent="0.3">
      <c r="A33" s="147">
        <v>2</v>
      </c>
      <c r="B33" s="148" t="s">
        <v>61</v>
      </c>
      <c r="C33" s="472">
        <f t="shared" ca="1" si="13"/>
        <v>2721000</v>
      </c>
      <c r="D33" s="473">
        <f t="shared" ca="1" si="26"/>
        <v>0</v>
      </c>
      <c r="E33" s="151">
        <f ca="1">IFERROR(__xludf.DUMMYFUNCTION("IMPORTRANGE(""https://docs.google.com/spreadsheets/d/1-uDff_7J0KD5mKrp0Vvzr7lt3OU09vwQwhkpOPPYv2Y/edit?usp=sharing"",""งบพรบ!GH33"")"),0)</f>
        <v>0</v>
      </c>
      <c r="F33" s="151">
        <f ca="1">IFERROR(__xludf.DUMMYFUNCTION("IMPORTRANGE(""https://docs.google.com/spreadsheets/d/1-uDff_7J0KD5mKrp0Vvzr7lt3OU09vwQwhkpOPPYv2Y/edit?usp=sharing"",""งบพรบ!GI33"")"),0)</f>
        <v>0</v>
      </c>
      <c r="G33" s="151">
        <f ca="1">IFERROR(__xludf.DUMMYFUNCTION("IMPORTRANGE(""https://docs.google.com/spreadsheets/d/1-uDff_7J0KD5mKrp0Vvzr7lt3OU09vwQwhkpOPPYv2Y/edit?usp=sharing"",""งบพรบ!GJ33"")"),2721000)</f>
        <v>2721000</v>
      </c>
      <c r="H33" s="151">
        <f ca="1">IFERROR(__xludf.DUMMYFUNCTION("IMPORTRANGE(""https://docs.google.com/spreadsheets/d/1-uDff_7J0KD5mKrp0Vvzr7lt3OU09vwQwhkpOPPYv2Y/edit?usp=sharing"",""งบพรบ!GL33"")"),0)</f>
        <v>0</v>
      </c>
      <c r="I33" s="151">
        <f ca="1">IFERROR(__xludf.DUMMYFUNCTION("IMPORTRANGE(""https://docs.google.com/spreadsheets/d/1-uDff_7J0KD5mKrp0Vvzr7lt3OU09vwQwhkpOPPYv2Y/edit?usp=sharing"",""งบพรบ!GM33"")"),2721000)</f>
        <v>2721000</v>
      </c>
      <c r="J33" s="262">
        <f t="shared" ca="1" si="15"/>
        <v>0</v>
      </c>
      <c r="K33" s="476">
        <f t="shared" ca="1" si="16"/>
        <v>0</v>
      </c>
      <c r="L33" s="151">
        <f ca="1">IFERROR(__xludf.DUMMYFUNCTION("IMPORTRANGE(""https://docs.google.com/spreadsheets/d/1-uDff_7J0KD5mKrp0Vvzr7lt3OU09vwQwhkpOPPYv2Y/edit?usp=sharing"",""งบพรบ!GN33"")"),0)</f>
        <v>0</v>
      </c>
      <c r="M33" s="260">
        <f t="shared" ca="1" si="17"/>
        <v>0</v>
      </c>
      <c r="N33" s="260">
        <f t="shared" ca="1" si="18"/>
        <v>0</v>
      </c>
      <c r="O33" s="151">
        <f ca="1">IFERROR(__xludf.DUMMYFUNCTION("IMPORTRANGE(""https://docs.google.com/spreadsheets/d/1-uDff_7J0KD5mKrp0Vvzr7lt3OU09vwQwhkpOPPYv2Y/edit?usp=sharing"",""งบพรบ!GO33"")"),0)</f>
        <v>0</v>
      </c>
      <c r="P33" s="475">
        <f t="shared" ca="1" si="19"/>
        <v>0</v>
      </c>
      <c r="Q33" s="260">
        <f t="shared" ca="1" si="20"/>
        <v>0</v>
      </c>
      <c r="R33" s="278">
        <f ca="1">IFERROR(__xludf.DUMMYFUNCTION("IMPORTRANGE(""https://docs.google.com/spreadsheets/d/1aHkj4IaQMThhwWwevcOymEh837vdxeC_PycurhTbGFA/edit?usp=sharing"",""ขอนแก่น!I565"")"),3)</f>
        <v>3</v>
      </c>
      <c r="S33" s="152">
        <f ca="1">IFERROR(__xludf.DUMMYFUNCTION("IMPORTRANGE(""https://docs.google.com/spreadsheets/d/1aHkj4IaQMThhwWwevcOymEh837vdxeC_PycurhTbGFA/edit?usp=sharing"",""ขอนแก่น!J565"")"),0)</f>
        <v>0</v>
      </c>
      <c r="T33" s="216">
        <f t="shared" ca="1" si="22"/>
        <v>0</v>
      </c>
    </row>
    <row r="34" spans="1:20" ht="19.5" x14ac:dyDescent="0.3">
      <c r="A34" s="147">
        <v>3</v>
      </c>
      <c r="B34" s="148" t="s">
        <v>62</v>
      </c>
      <c r="C34" s="472">
        <f t="shared" ca="1" si="13"/>
        <v>222000</v>
      </c>
      <c r="D34" s="473">
        <f t="shared" ca="1" si="26"/>
        <v>0</v>
      </c>
      <c r="E34" s="151">
        <f ca="1">IFERROR(__xludf.DUMMYFUNCTION("IMPORTRANGE(""https://docs.google.com/spreadsheets/d/1-uDff_7J0KD5mKrp0Vvzr7lt3OU09vwQwhkpOPPYv2Y/edit?usp=sharing"",""งบพรบ!GH34"")"),0)</f>
        <v>0</v>
      </c>
      <c r="F34" s="151">
        <f ca="1">IFERROR(__xludf.DUMMYFUNCTION("IMPORTRANGE(""https://docs.google.com/spreadsheets/d/1-uDff_7J0KD5mKrp0Vvzr7lt3OU09vwQwhkpOPPYv2Y/edit?usp=sharing"",""งบพรบ!GI34"")"),0)</f>
        <v>0</v>
      </c>
      <c r="G34" s="151">
        <f ca="1">IFERROR(__xludf.DUMMYFUNCTION("IMPORTRANGE(""https://docs.google.com/spreadsheets/d/1-uDff_7J0KD5mKrp0Vvzr7lt3OU09vwQwhkpOPPYv2Y/edit?usp=sharing"",""งบพรบ!GJ34"")"),222000)</f>
        <v>222000</v>
      </c>
      <c r="H34" s="151">
        <f ca="1">IFERROR(__xludf.DUMMYFUNCTION("IMPORTRANGE(""https://docs.google.com/spreadsheets/d/1-uDff_7J0KD5mKrp0Vvzr7lt3OU09vwQwhkpOPPYv2Y/edit?usp=sharing"",""งบพรบ!GL34"")"),0)</f>
        <v>0</v>
      </c>
      <c r="I34" s="151">
        <f ca="1">IFERROR(__xludf.DUMMYFUNCTION("IMPORTRANGE(""https://docs.google.com/spreadsheets/d/1-uDff_7J0KD5mKrp0Vvzr7lt3OU09vwQwhkpOPPYv2Y/edit?usp=sharing"",""งบพรบ!GM34"")"),222000)</f>
        <v>222000</v>
      </c>
      <c r="J34" s="262">
        <f t="shared" ca="1" si="15"/>
        <v>222000</v>
      </c>
      <c r="K34" s="476">
        <f t="shared" ca="1" si="16"/>
        <v>100</v>
      </c>
      <c r="L34" s="151">
        <f ca="1">IFERROR(__xludf.DUMMYFUNCTION("IMPORTRANGE(""https://docs.google.com/spreadsheets/d/1-uDff_7J0KD5mKrp0Vvzr7lt3OU09vwQwhkpOPPYv2Y/edit?usp=sharing"",""งบพรบ!GN34"")"),0)</f>
        <v>0</v>
      </c>
      <c r="M34" s="260">
        <f t="shared" ca="1" si="17"/>
        <v>0</v>
      </c>
      <c r="N34" s="260">
        <f t="shared" ca="1" si="18"/>
        <v>0</v>
      </c>
      <c r="O34" s="151">
        <f ca="1">IFERROR(__xludf.DUMMYFUNCTION("IMPORTRANGE(""https://docs.google.com/spreadsheets/d/1-uDff_7J0KD5mKrp0Vvzr7lt3OU09vwQwhkpOPPYv2Y/edit?usp=sharing"",""งบพรบ!GO34"")"),222000)</f>
        <v>222000</v>
      </c>
      <c r="P34" s="475">
        <f t="shared" ca="1" si="19"/>
        <v>100</v>
      </c>
      <c r="Q34" s="260">
        <f t="shared" ca="1" si="20"/>
        <v>100</v>
      </c>
      <c r="R34" s="278">
        <f ca="1">IFERROR(__xludf.DUMMYFUNCTION("IMPORTRANGE(""https://docs.google.com/spreadsheets/d/1FvTu2DsIWUjP6WCWra38Bkj_oOl_sOMf14r5Fg5srxU/edit?usp=sharing"",""ชัยภูมิ!I565"")"),1)</f>
        <v>1</v>
      </c>
      <c r="S34" s="152">
        <f ca="1">IFERROR(__xludf.DUMMYFUNCTION("IMPORTRANGE(""https://docs.google.com/spreadsheets/d/1FvTu2DsIWUjP6WCWra38Bkj_oOl_sOMf14r5Fg5srxU/edit?usp=sharing"",""ชัยภูมิ!J565"")"),1)</f>
        <v>1</v>
      </c>
      <c r="T34" s="216">
        <f t="shared" ca="1" si="22"/>
        <v>100</v>
      </c>
    </row>
    <row r="35" spans="1:20" ht="19.5" x14ac:dyDescent="0.3">
      <c r="A35" s="147">
        <v>4</v>
      </c>
      <c r="B35" s="148" t="s">
        <v>63</v>
      </c>
      <c r="C35" s="472">
        <f t="shared" ca="1" si="13"/>
        <v>0</v>
      </c>
      <c r="D35" s="473">
        <f t="shared" ca="1" si="26"/>
        <v>0</v>
      </c>
      <c r="E35" s="151">
        <f ca="1">IFERROR(__xludf.DUMMYFUNCTION("IMPORTRANGE(""https://docs.google.com/spreadsheets/d/1-uDff_7J0KD5mKrp0Vvzr7lt3OU09vwQwhkpOPPYv2Y/edit?usp=sharing"",""งบพรบ!GH35"")"),0)</f>
        <v>0</v>
      </c>
      <c r="F35" s="151">
        <f ca="1">IFERROR(__xludf.DUMMYFUNCTION("IMPORTRANGE(""https://docs.google.com/spreadsheets/d/1-uDff_7J0KD5mKrp0Vvzr7lt3OU09vwQwhkpOPPYv2Y/edit?usp=sharing"",""งบพรบ!GI35"")"),0)</f>
        <v>0</v>
      </c>
      <c r="G35" s="151">
        <f ca="1">IFERROR(__xludf.DUMMYFUNCTION("IMPORTRANGE(""https://docs.google.com/spreadsheets/d/1-uDff_7J0KD5mKrp0Vvzr7lt3OU09vwQwhkpOPPYv2Y/edit?usp=sharing"",""งบพรบ!GJ35"")"),0)</f>
        <v>0</v>
      </c>
      <c r="H35" s="151">
        <f ca="1">IFERROR(__xludf.DUMMYFUNCTION("IMPORTRANGE(""https://docs.google.com/spreadsheets/d/1-uDff_7J0KD5mKrp0Vvzr7lt3OU09vwQwhkpOPPYv2Y/edit?usp=sharing"",""งบพรบ!GL35"")"),0)</f>
        <v>0</v>
      </c>
      <c r="I35" s="151">
        <f ca="1">IFERROR(__xludf.DUMMYFUNCTION("IMPORTRANGE(""https://docs.google.com/spreadsheets/d/1-uDff_7J0KD5mKrp0Vvzr7lt3OU09vwQwhkpOPPYv2Y/edit?usp=sharing"",""งบพรบ!GM35"")"),0)</f>
        <v>0</v>
      </c>
      <c r="J35" s="262">
        <f t="shared" ca="1" si="15"/>
        <v>0</v>
      </c>
      <c r="K35" s="476">
        <f t="shared" ca="1" si="16"/>
        <v>0</v>
      </c>
      <c r="L35" s="151">
        <f ca="1">IFERROR(__xludf.DUMMYFUNCTION("IMPORTRANGE(""https://docs.google.com/spreadsheets/d/1-uDff_7J0KD5mKrp0Vvzr7lt3OU09vwQwhkpOPPYv2Y/edit?usp=sharing"",""งบพรบ!GN35"")"),0)</f>
        <v>0</v>
      </c>
      <c r="M35" s="260">
        <f t="shared" ca="1" si="17"/>
        <v>0</v>
      </c>
      <c r="N35" s="260">
        <f t="shared" ca="1" si="18"/>
        <v>0</v>
      </c>
      <c r="O35" s="151">
        <f ca="1">IFERROR(__xludf.DUMMYFUNCTION("IMPORTRANGE(""https://docs.google.com/spreadsheets/d/1-uDff_7J0KD5mKrp0Vvzr7lt3OU09vwQwhkpOPPYv2Y/edit?usp=sharing"",""งบพรบ!GO35"")"),0)</f>
        <v>0</v>
      </c>
      <c r="P35" s="475">
        <f t="shared" ca="1" si="19"/>
        <v>0</v>
      </c>
      <c r="Q35" s="260">
        <f t="shared" ca="1" si="20"/>
        <v>0</v>
      </c>
      <c r="R35" s="278">
        <v>0</v>
      </c>
      <c r="S35" s="152">
        <v>0</v>
      </c>
      <c r="T35" s="216">
        <f t="shared" si="22"/>
        <v>0</v>
      </c>
    </row>
    <row r="36" spans="1:20" ht="19.5" x14ac:dyDescent="0.3">
      <c r="A36" s="147">
        <v>5</v>
      </c>
      <c r="B36" s="148" t="s">
        <v>64</v>
      </c>
      <c r="C36" s="472">
        <f t="shared" ca="1" si="13"/>
        <v>0</v>
      </c>
      <c r="D36" s="473">
        <f t="shared" ca="1" si="26"/>
        <v>0</v>
      </c>
      <c r="E36" s="151">
        <f ca="1">IFERROR(__xludf.DUMMYFUNCTION("IMPORTRANGE(""https://docs.google.com/spreadsheets/d/1-uDff_7J0KD5mKrp0Vvzr7lt3OU09vwQwhkpOPPYv2Y/edit?usp=sharing"",""งบพรบ!GH36"")"),0)</f>
        <v>0</v>
      </c>
      <c r="F36" s="151">
        <f ca="1">IFERROR(__xludf.DUMMYFUNCTION("IMPORTRANGE(""https://docs.google.com/spreadsheets/d/1-uDff_7J0KD5mKrp0Vvzr7lt3OU09vwQwhkpOPPYv2Y/edit?usp=sharing"",""งบพรบ!GI36"")"),0)</f>
        <v>0</v>
      </c>
      <c r="G36" s="151">
        <f ca="1">IFERROR(__xludf.DUMMYFUNCTION("IMPORTRANGE(""https://docs.google.com/spreadsheets/d/1-uDff_7J0KD5mKrp0Vvzr7lt3OU09vwQwhkpOPPYv2Y/edit?usp=sharing"",""งบพรบ!GJ36"")"),0)</f>
        <v>0</v>
      </c>
      <c r="H36" s="151">
        <f ca="1">IFERROR(__xludf.DUMMYFUNCTION("IMPORTRANGE(""https://docs.google.com/spreadsheets/d/1-uDff_7J0KD5mKrp0Vvzr7lt3OU09vwQwhkpOPPYv2Y/edit?usp=sharing"",""งบพรบ!GL36"")"),0)</f>
        <v>0</v>
      </c>
      <c r="I36" s="151">
        <f ca="1">IFERROR(__xludf.DUMMYFUNCTION("IMPORTRANGE(""https://docs.google.com/spreadsheets/d/1-uDff_7J0KD5mKrp0Vvzr7lt3OU09vwQwhkpOPPYv2Y/edit?usp=sharing"",""งบพรบ!GM36"")"),0)</f>
        <v>0</v>
      </c>
      <c r="J36" s="262">
        <f t="shared" ca="1" si="15"/>
        <v>0</v>
      </c>
      <c r="K36" s="476">
        <f t="shared" ca="1" si="16"/>
        <v>0</v>
      </c>
      <c r="L36" s="151">
        <f ca="1">IFERROR(__xludf.DUMMYFUNCTION("IMPORTRANGE(""https://docs.google.com/spreadsheets/d/1-uDff_7J0KD5mKrp0Vvzr7lt3OU09vwQwhkpOPPYv2Y/edit?usp=sharing"",""งบพรบ!GN36"")"),0)</f>
        <v>0</v>
      </c>
      <c r="M36" s="260">
        <f t="shared" ca="1" si="17"/>
        <v>0</v>
      </c>
      <c r="N36" s="260">
        <f t="shared" ca="1" si="18"/>
        <v>0</v>
      </c>
      <c r="O36" s="151">
        <f ca="1">IFERROR(__xludf.DUMMYFUNCTION("IMPORTRANGE(""https://docs.google.com/spreadsheets/d/1-uDff_7J0KD5mKrp0Vvzr7lt3OU09vwQwhkpOPPYv2Y/edit?usp=sharing"",""งบพรบ!GO36"")"),0)</f>
        <v>0</v>
      </c>
      <c r="P36" s="475">
        <f t="shared" ca="1" si="19"/>
        <v>0</v>
      </c>
      <c r="Q36" s="260">
        <f t="shared" ca="1" si="20"/>
        <v>0</v>
      </c>
      <c r="R36" s="279">
        <v>0</v>
      </c>
      <c r="S36" s="397">
        <v>0</v>
      </c>
      <c r="T36" s="216">
        <f t="shared" si="22"/>
        <v>0</v>
      </c>
    </row>
    <row r="37" spans="1:20" ht="19.5" x14ac:dyDescent="0.3">
      <c r="A37" s="147">
        <v>6</v>
      </c>
      <c r="B37" s="148" t="s">
        <v>65</v>
      </c>
      <c r="C37" s="472">
        <f t="shared" ca="1" si="13"/>
        <v>0</v>
      </c>
      <c r="D37" s="473">
        <f t="shared" ca="1" si="26"/>
        <v>0</v>
      </c>
      <c r="E37" s="151">
        <f ca="1">IFERROR(__xludf.DUMMYFUNCTION("IMPORTRANGE(""https://docs.google.com/spreadsheets/d/1-uDff_7J0KD5mKrp0Vvzr7lt3OU09vwQwhkpOPPYv2Y/edit?usp=sharing"",""งบพรบ!GH37"")"),0)</f>
        <v>0</v>
      </c>
      <c r="F37" s="151">
        <f ca="1">IFERROR(__xludf.DUMMYFUNCTION("IMPORTRANGE(""https://docs.google.com/spreadsheets/d/1-uDff_7J0KD5mKrp0Vvzr7lt3OU09vwQwhkpOPPYv2Y/edit?usp=sharing"",""งบพรบ!GI37"")"),0)</f>
        <v>0</v>
      </c>
      <c r="G37" s="151">
        <f ca="1">IFERROR(__xludf.DUMMYFUNCTION("IMPORTRANGE(""https://docs.google.com/spreadsheets/d/1-uDff_7J0KD5mKrp0Vvzr7lt3OU09vwQwhkpOPPYv2Y/edit?usp=sharing"",""งบพรบ!GJ37"")"),0)</f>
        <v>0</v>
      </c>
      <c r="H37" s="151">
        <f ca="1">IFERROR(__xludf.DUMMYFUNCTION("IMPORTRANGE(""https://docs.google.com/spreadsheets/d/1-uDff_7J0KD5mKrp0Vvzr7lt3OU09vwQwhkpOPPYv2Y/edit?usp=sharing"",""งบพรบ!GL37"")"),0)</f>
        <v>0</v>
      </c>
      <c r="I37" s="151">
        <f ca="1">IFERROR(__xludf.DUMMYFUNCTION("IMPORTRANGE(""https://docs.google.com/spreadsheets/d/1-uDff_7J0KD5mKrp0Vvzr7lt3OU09vwQwhkpOPPYv2Y/edit?usp=sharing"",""งบพรบ!GM37"")"),0)</f>
        <v>0</v>
      </c>
      <c r="J37" s="262">
        <f t="shared" ca="1" si="15"/>
        <v>0</v>
      </c>
      <c r="K37" s="476">
        <f t="shared" ca="1" si="16"/>
        <v>0</v>
      </c>
      <c r="L37" s="151">
        <f ca="1">IFERROR(__xludf.DUMMYFUNCTION("IMPORTRANGE(""https://docs.google.com/spreadsheets/d/1-uDff_7J0KD5mKrp0Vvzr7lt3OU09vwQwhkpOPPYv2Y/edit?usp=sharing"",""งบพรบ!GN37"")"),0)</f>
        <v>0</v>
      </c>
      <c r="M37" s="260">
        <f t="shared" ca="1" si="17"/>
        <v>0</v>
      </c>
      <c r="N37" s="260">
        <f t="shared" ca="1" si="18"/>
        <v>0</v>
      </c>
      <c r="O37" s="151">
        <f ca="1">IFERROR(__xludf.DUMMYFUNCTION("IMPORTRANGE(""https://docs.google.com/spreadsheets/d/1-uDff_7J0KD5mKrp0Vvzr7lt3OU09vwQwhkpOPPYv2Y/edit?usp=sharing"",""งบพรบ!GO37"")"),0)</f>
        <v>0</v>
      </c>
      <c r="P37" s="475">
        <f t="shared" ca="1" si="19"/>
        <v>0</v>
      </c>
      <c r="Q37" s="260">
        <f t="shared" ca="1" si="20"/>
        <v>0</v>
      </c>
      <c r="R37" s="278">
        <v>0</v>
      </c>
      <c r="S37" s="152">
        <v>0</v>
      </c>
      <c r="T37" s="216">
        <f t="shared" si="22"/>
        <v>0</v>
      </c>
    </row>
    <row r="38" spans="1:20" ht="19.5" x14ac:dyDescent="0.3">
      <c r="A38" s="147">
        <v>7</v>
      </c>
      <c r="B38" s="148" t="s">
        <v>66</v>
      </c>
      <c r="C38" s="472">
        <f t="shared" ca="1" si="13"/>
        <v>0</v>
      </c>
      <c r="D38" s="473">
        <f t="shared" ca="1" si="26"/>
        <v>0</v>
      </c>
      <c r="E38" s="151">
        <f ca="1">IFERROR(__xludf.DUMMYFUNCTION("IMPORTRANGE(""https://docs.google.com/spreadsheets/d/1-uDff_7J0KD5mKrp0Vvzr7lt3OU09vwQwhkpOPPYv2Y/edit?usp=sharing"",""งบพรบ!GH38"")"),0)</f>
        <v>0</v>
      </c>
      <c r="F38" s="151">
        <f ca="1">IFERROR(__xludf.DUMMYFUNCTION("IMPORTRANGE(""https://docs.google.com/spreadsheets/d/1-uDff_7J0KD5mKrp0Vvzr7lt3OU09vwQwhkpOPPYv2Y/edit?usp=sharing"",""งบพรบ!GI38"")"),0)</f>
        <v>0</v>
      </c>
      <c r="G38" s="151">
        <f ca="1">IFERROR(__xludf.DUMMYFUNCTION("IMPORTRANGE(""https://docs.google.com/spreadsheets/d/1-uDff_7J0KD5mKrp0Vvzr7lt3OU09vwQwhkpOPPYv2Y/edit?usp=sharing"",""งบพรบ!GJ38"")"),0)</f>
        <v>0</v>
      </c>
      <c r="H38" s="151">
        <f ca="1">IFERROR(__xludf.DUMMYFUNCTION("IMPORTRANGE(""https://docs.google.com/spreadsheets/d/1-uDff_7J0KD5mKrp0Vvzr7lt3OU09vwQwhkpOPPYv2Y/edit?usp=sharing"",""งบพรบ!GL38"")"),0)</f>
        <v>0</v>
      </c>
      <c r="I38" s="151">
        <f ca="1">IFERROR(__xludf.DUMMYFUNCTION("IMPORTRANGE(""https://docs.google.com/spreadsheets/d/1-uDff_7J0KD5mKrp0Vvzr7lt3OU09vwQwhkpOPPYv2Y/edit?usp=sharing"",""งบพรบ!GM38"")"),0)</f>
        <v>0</v>
      </c>
      <c r="J38" s="262">
        <f t="shared" ca="1" si="15"/>
        <v>0</v>
      </c>
      <c r="K38" s="476">
        <f t="shared" ca="1" si="16"/>
        <v>0</v>
      </c>
      <c r="L38" s="151">
        <f ca="1">IFERROR(__xludf.DUMMYFUNCTION("IMPORTRANGE(""https://docs.google.com/spreadsheets/d/1-uDff_7J0KD5mKrp0Vvzr7lt3OU09vwQwhkpOPPYv2Y/edit?usp=sharing"",""งบพรบ!GN38"")"),0)</f>
        <v>0</v>
      </c>
      <c r="M38" s="260">
        <f t="shared" ca="1" si="17"/>
        <v>0</v>
      </c>
      <c r="N38" s="260">
        <f t="shared" ca="1" si="18"/>
        <v>0</v>
      </c>
      <c r="O38" s="151">
        <f ca="1">IFERROR(__xludf.DUMMYFUNCTION("IMPORTRANGE(""https://docs.google.com/spreadsheets/d/1-uDff_7J0KD5mKrp0Vvzr7lt3OU09vwQwhkpOPPYv2Y/edit?usp=sharing"",""งบพรบ!GO38"")"),0)</f>
        <v>0</v>
      </c>
      <c r="P38" s="475">
        <f t="shared" ca="1" si="19"/>
        <v>0</v>
      </c>
      <c r="Q38" s="260">
        <f t="shared" ca="1" si="20"/>
        <v>0</v>
      </c>
      <c r="R38" s="279">
        <v>0</v>
      </c>
      <c r="S38" s="397">
        <v>0</v>
      </c>
      <c r="T38" s="216">
        <f t="shared" si="22"/>
        <v>0</v>
      </c>
    </row>
    <row r="39" spans="1:20" ht="19.5" x14ac:dyDescent="0.3">
      <c r="A39" s="147">
        <v>8</v>
      </c>
      <c r="B39" s="148" t="s">
        <v>67</v>
      </c>
      <c r="C39" s="472">
        <f t="shared" ca="1" si="13"/>
        <v>0</v>
      </c>
      <c r="D39" s="473">
        <f t="shared" ca="1" si="26"/>
        <v>0</v>
      </c>
      <c r="E39" s="151">
        <f ca="1">IFERROR(__xludf.DUMMYFUNCTION("IMPORTRANGE(""https://docs.google.com/spreadsheets/d/1-uDff_7J0KD5mKrp0Vvzr7lt3OU09vwQwhkpOPPYv2Y/edit?usp=sharing"",""งบพรบ!GH39"")"),0)</f>
        <v>0</v>
      </c>
      <c r="F39" s="151">
        <f ca="1">IFERROR(__xludf.DUMMYFUNCTION("IMPORTRANGE(""https://docs.google.com/spreadsheets/d/1-uDff_7J0KD5mKrp0Vvzr7lt3OU09vwQwhkpOPPYv2Y/edit?usp=sharing"",""งบพรบ!GI39"")"),0)</f>
        <v>0</v>
      </c>
      <c r="G39" s="151">
        <f ca="1">IFERROR(__xludf.DUMMYFUNCTION("IMPORTRANGE(""https://docs.google.com/spreadsheets/d/1-uDff_7J0KD5mKrp0Vvzr7lt3OU09vwQwhkpOPPYv2Y/edit?usp=sharing"",""งบพรบ!GJ39"")"),0)</f>
        <v>0</v>
      </c>
      <c r="H39" s="151">
        <f ca="1">IFERROR(__xludf.DUMMYFUNCTION("IMPORTRANGE(""https://docs.google.com/spreadsheets/d/1-uDff_7J0KD5mKrp0Vvzr7lt3OU09vwQwhkpOPPYv2Y/edit?usp=sharing"",""งบพรบ!GL39"")"),0)</f>
        <v>0</v>
      </c>
      <c r="I39" s="151">
        <f ca="1">IFERROR(__xludf.DUMMYFUNCTION("IMPORTRANGE(""https://docs.google.com/spreadsheets/d/1-uDff_7J0KD5mKrp0Vvzr7lt3OU09vwQwhkpOPPYv2Y/edit?usp=sharing"",""งบพรบ!GM39"")"),0)</f>
        <v>0</v>
      </c>
      <c r="J39" s="262">
        <f t="shared" ca="1" si="15"/>
        <v>0</v>
      </c>
      <c r="K39" s="476">
        <f t="shared" ca="1" si="16"/>
        <v>0</v>
      </c>
      <c r="L39" s="151">
        <f ca="1">IFERROR(__xludf.DUMMYFUNCTION("IMPORTRANGE(""https://docs.google.com/spreadsheets/d/1-uDff_7J0KD5mKrp0Vvzr7lt3OU09vwQwhkpOPPYv2Y/edit?usp=sharing"",""งบพรบ!GN39"")"),0)</f>
        <v>0</v>
      </c>
      <c r="M39" s="260">
        <f t="shared" ca="1" si="17"/>
        <v>0</v>
      </c>
      <c r="N39" s="260">
        <f t="shared" ca="1" si="18"/>
        <v>0</v>
      </c>
      <c r="O39" s="151">
        <f ca="1">IFERROR(__xludf.DUMMYFUNCTION("IMPORTRANGE(""https://docs.google.com/spreadsheets/d/1-uDff_7J0KD5mKrp0Vvzr7lt3OU09vwQwhkpOPPYv2Y/edit?usp=sharing"",""งบพรบ!GO39"")"),0)</f>
        <v>0</v>
      </c>
      <c r="P39" s="475">
        <f t="shared" ca="1" si="19"/>
        <v>0</v>
      </c>
      <c r="Q39" s="260">
        <f t="shared" ca="1" si="20"/>
        <v>0</v>
      </c>
      <c r="R39" s="278">
        <v>0</v>
      </c>
      <c r="S39" s="152">
        <v>0</v>
      </c>
      <c r="T39" s="216">
        <f t="shared" si="22"/>
        <v>0</v>
      </c>
    </row>
    <row r="40" spans="1:20" ht="19.5" x14ac:dyDescent="0.3">
      <c r="A40" s="147">
        <v>9</v>
      </c>
      <c r="B40" s="148" t="s">
        <v>68</v>
      </c>
      <c r="C40" s="472">
        <f t="shared" ca="1" si="13"/>
        <v>0</v>
      </c>
      <c r="D40" s="473">
        <f t="shared" ca="1" si="26"/>
        <v>0</v>
      </c>
      <c r="E40" s="151">
        <f ca="1">IFERROR(__xludf.DUMMYFUNCTION("IMPORTRANGE(""https://docs.google.com/spreadsheets/d/1-uDff_7J0KD5mKrp0Vvzr7lt3OU09vwQwhkpOPPYv2Y/edit?usp=sharing"",""งบพรบ!GH40"")"),0)</f>
        <v>0</v>
      </c>
      <c r="F40" s="151">
        <f ca="1">IFERROR(__xludf.DUMMYFUNCTION("IMPORTRANGE(""https://docs.google.com/spreadsheets/d/1-uDff_7J0KD5mKrp0Vvzr7lt3OU09vwQwhkpOPPYv2Y/edit?usp=sharing"",""งบพรบ!GI40"")"),0)</f>
        <v>0</v>
      </c>
      <c r="G40" s="151">
        <f ca="1">IFERROR(__xludf.DUMMYFUNCTION("IMPORTRANGE(""https://docs.google.com/spreadsheets/d/1-uDff_7J0KD5mKrp0Vvzr7lt3OU09vwQwhkpOPPYv2Y/edit?usp=sharing"",""งบพรบ!GJ40"")"),0)</f>
        <v>0</v>
      </c>
      <c r="H40" s="151">
        <f ca="1">IFERROR(__xludf.DUMMYFUNCTION("IMPORTRANGE(""https://docs.google.com/spreadsheets/d/1-uDff_7J0KD5mKrp0Vvzr7lt3OU09vwQwhkpOPPYv2Y/edit?usp=sharing"",""งบพรบ!GL40"")"),0)</f>
        <v>0</v>
      </c>
      <c r="I40" s="151">
        <f ca="1">IFERROR(__xludf.DUMMYFUNCTION("IMPORTRANGE(""https://docs.google.com/spreadsheets/d/1-uDff_7J0KD5mKrp0Vvzr7lt3OU09vwQwhkpOPPYv2Y/edit?usp=sharing"",""งบพรบ!GM40"")"),0)</f>
        <v>0</v>
      </c>
      <c r="J40" s="262">
        <f t="shared" ca="1" si="15"/>
        <v>0</v>
      </c>
      <c r="K40" s="476">
        <f t="shared" ca="1" si="16"/>
        <v>0</v>
      </c>
      <c r="L40" s="151">
        <f ca="1">IFERROR(__xludf.DUMMYFUNCTION("IMPORTRANGE(""https://docs.google.com/spreadsheets/d/1-uDff_7J0KD5mKrp0Vvzr7lt3OU09vwQwhkpOPPYv2Y/edit?usp=sharing"",""งบพรบ!GN40"")"),0)</f>
        <v>0</v>
      </c>
      <c r="M40" s="260">
        <f t="shared" ca="1" si="17"/>
        <v>0</v>
      </c>
      <c r="N40" s="260">
        <f t="shared" ca="1" si="18"/>
        <v>0</v>
      </c>
      <c r="O40" s="151">
        <f ca="1">IFERROR(__xludf.DUMMYFUNCTION("IMPORTRANGE(""https://docs.google.com/spreadsheets/d/1-uDff_7J0KD5mKrp0Vvzr7lt3OU09vwQwhkpOPPYv2Y/edit?usp=sharing"",""งบพรบ!GO40"")"),0)</f>
        <v>0</v>
      </c>
      <c r="P40" s="475">
        <f t="shared" ca="1" si="19"/>
        <v>0</v>
      </c>
      <c r="Q40" s="260">
        <f t="shared" ca="1" si="20"/>
        <v>0</v>
      </c>
      <c r="R40" s="278">
        <v>0</v>
      </c>
      <c r="S40" s="152">
        <v>0</v>
      </c>
      <c r="T40" s="216">
        <f t="shared" si="22"/>
        <v>0</v>
      </c>
    </row>
    <row r="41" spans="1:20" ht="19.5" x14ac:dyDescent="0.3">
      <c r="A41" s="147">
        <v>10</v>
      </c>
      <c r="B41" s="148" t="s">
        <v>69</v>
      </c>
      <c r="C41" s="472">
        <f t="shared" ca="1" si="13"/>
        <v>0</v>
      </c>
      <c r="D41" s="473">
        <f t="shared" ca="1" si="26"/>
        <v>0</v>
      </c>
      <c r="E41" s="151">
        <f ca="1">IFERROR(__xludf.DUMMYFUNCTION("IMPORTRANGE(""https://docs.google.com/spreadsheets/d/1-uDff_7J0KD5mKrp0Vvzr7lt3OU09vwQwhkpOPPYv2Y/edit?usp=sharing"",""งบพรบ!GH41"")"),0)</f>
        <v>0</v>
      </c>
      <c r="F41" s="151">
        <f ca="1">IFERROR(__xludf.DUMMYFUNCTION("IMPORTRANGE(""https://docs.google.com/spreadsheets/d/1-uDff_7J0KD5mKrp0Vvzr7lt3OU09vwQwhkpOPPYv2Y/edit?usp=sharing"",""งบพรบ!GI41"")"),0)</f>
        <v>0</v>
      </c>
      <c r="G41" s="151">
        <f ca="1">IFERROR(__xludf.DUMMYFUNCTION("IMPORTRANGE(""https://docs.google.com/spreadsheets/d/1-uDff_7J0KD5mKrp0Vvzr7lt3OU09vwQwhkpOPPYv2Y/edit?usp=sharing"",""งบพรบ!GJ41"")"),0)</f>
        <v>0</v>
      </c>
      <c r="H41" s="151">
        <f ca="1">IFERROR(__xludf.DUMMYFUNCTION("IMPORTRANGE(""https://docs.google.com/spreadsheets/d/1-uDff_7J0KD5mKrp0Vvzr7lt3OU09vwQwhkpOPPYv2Y/edit?usp=sharing"",""งบพรบ!GL41"")"),0)</f>
        <v>0</v>
      </c>
      <c r="I41" s="151">
        <f ca="1">IFERROR(__xludf.DUMMYFUNCTION("IMPORTRANGE(""https://docs.google.com/spreadsheets/d/1-uDff_7J0KD5mKrp0Vvzr7lt3OU09vwQwhkpOPPYv2Y/edit?usp=sharing"",""งบพรบ!GM41"")"),0)</f>
        <v>0</v>
      </c>
      <c r="J41" s="262">
        <f t="shared" ca="1" si="15"/>
        <v>0</v>
      </c>
      <c r="K41" s="476">
        <f t="shared" ca="1" si="16"/>
        <v>0</v>
      </c>
      <c r="L41" s="151">
        <f ca="1">IFERROR(__xludf.DUMMYFUNCTION("IMPORTRANGE(""https://docs.google.com/spreadsheets/d/1-uDff_7J0KD5mKrp0Vvzr7lt3OU09vwQwhkpOPPYv2Y/edit?usp=sharing"",""งบพรบ!GN41"")"),0)</f>
        <v>0</v>
      </c>
      <c r="M41" s="260">
        <f t="shared" ca="1" si="17"/>
        <v>0</v>
      </c>
      <c r="N41" s="260">
        <f t="shared" ca="1" si="18"/>
        <v>0</v>
      </c>
      <c r="O41" s="151">
        <f ca="1">IFERROR(__xludf.DUMMYFUNCTION("IMPORTRANGE(""https://docs.google.com/spreadsheets/d/1-uDff_7J0KD5mKrp0Vvzr7lt3OU09vwQwhkpOPPYv2Y/edit?usp=sharing"",""งบพรบ!GO41"")"),0)</f>
        <v>0</v>
      </c>
      <c r="P41" s="475">
        <f t="shared" ca="1" si="19"/>
        <v>0</v>
      </c>
      <c r="Q41" s="260">
        <f t="shared" ca="1" si="20"/>
        <v>0</v>
      </c>
      <c r="R41" s="279">
        <v>0</v>
      </c>
      <c r="S41" s="397">
        <v>0</v>
      </c>
      <c r="T41" s="216">
        <f t="shared" si="22"/>
        <v>0</v>
      </c>
    </row>
    <row r="42" spans="1:20" ht="19.5" x14ac:dyDescent="0.3">
      <c r="A42" s="147">
        <v>11</v>
      </c>
      <c r="B42" s="148" t="s">
        <v>70</v>
      </c>
      <c r="C42" s="472">
        <f t="shared" ca="1" si="13"/>
        <v>0</v>
      </c>
      <c r="D42" s="473">
        <f t="shared" ca="1" si="26"/>
        <v>0</v>
      </c>
      <c r="E42" s="151">
        <f ca="1">IFERROR(__xludf.DUMMYFUNCTION("IMPORTRANGE(""https://docs.google.com/spreadsheets/d/1-uDff_7J0KD5mKrp0Vvzr7lt3OU09vwQwhkpOPPYv2Y/edit?usp=sharing"",""งบพรบ!GH42"")"),0)</f>
        <v>0</v>
      </c>
      <c r="F42" s="151">
        <f ca="1">IFERROR(__xludf.DUMMYFUNCTION("IMPORTRANGE(""https://docs.google.com/spreadsheets/d/1-uDff_7J0KD5mKrp0Vvzr7lt3OU09vwQwhkpOPPYv2Y/edit?usp=sharing"",""งบพรบ!GI42"")"),0)</f>
        <v>0</v>
      </c>
      <c r="G42" s="151">
        <f ca="1">IFERROR(__xludf.DUMMYFUNCTION("IMPORTRANGE(""https://docs.google.com/spreadsheets/d/1-uDff_7J0KD5mKrp0Vvzr7lt3OU09vwQwhkpOPPYv2Y/edit?usp=sharing"",""งบพรบ!GJ42"")"),0)</f>
        <v>0</v>
      </c>
      <c r="H42" s="151">
        <f ca="1">IFERROR(__xludf.DUMMYFUNCTION("IMPORTRANGE(""https://docs.google.com/spreadsheets/d/1-uDff_7J0KD5mKrp0Vvzr7lt3OU09vwQwhkpOPPYv2Y/edit?usp=sharing"",""งบพรบ!GL42"")"),0)</f>
        <v>0</v>
      </c>
      <c r="I42" s="151">
        <f ca="1">IFERROR(__xludf.DUMMYFUNCTION("IMPORTRANGE(""https://docs.google.com/spreadsheets/d/1-uDff_7J0KD5mKrp0Vvzr7lt3OU09vwQwhkpOPPYv2Y/edit?usp=sharing"",""งบพรบ!GM42"")"),0)</f>
        <v>0</v>
      </c>
      <c r="J42" s="262">
        <f t="shared" ca="1" si="15"/>
        <v>0</v>
      </c>
      <c r="K42" s="476">
        <f t="shared" ca="1" si="16"/>
        <v>0</v>
      </c>
      <c r="L42" s="151">
        <f ca="1">IFERROR(__xludf.DUMMYFUNCTION("IMPORTRANGE(""https://docs.google.com/spreadsheets/d/1-uDff_7J0KD5mKrp0Vvzr7lt3OU09vwQwhkpOPPYv2Y/edit?usp=sharing"",""งบพรบ!GN42"")"),0)</f>
        <v>0</v>
      </c>
      <c r="M42" s="260">
        <f t="shared" ca="1" si="17"/>
        <v>0</v>
      </c>
      <c r="N42" s="260">
        <f t="shared" ca="1" si="18"/>
        <v>0</v>
      </c>
      <c r="O42" s="151">
        <f ca="1">IFERROR(__xludf.DUMMYFUNCTION("IMPORTRANGE(""https://docs.google.com/spreadsheets/d/1-uDff_7J0KD5mKrp0Vvzr7lt3OU09vwQwhkpOPPYv2Y/edit?usp=sharing"",""งบพรบ!GO42"")"),0)</f>
        <v>0</v>
      </c>
      <c r="P42" s="475">
        <f t="shared" ca="1" si="19"/>
        <v>0</v>
      </c>
      <c r="Q42" s="260">
        <f t="shared" ca="1" si="20"/>
        <v>0</v>
      </c>
      <c r="R42" s="278">
        <v>0</v>
      </c>
      <c r="S42" s="152">
        <v>0</v>
      </c>
      <c r="T42" s="216">
        <f t="shared" si="22"/>
        <v>0</v>
      </c>
    </row>
    <row r="43" spans="1:20" ht="19.5" x14ac:dyDescent="0.3">
      <c r="A43" s="147">
        <v>12</v>
      </c>
      <c r="B43" s="148" t="s">
        <v>71</v>
      </c>
      <c r="C43" s="472">
        <f t="shared" ca="1" si="13"/>
        <v>0</v>
      </c>
      <c r="D43" s="473">
        <f t="shared" ca="1" si="26"/>
        <v>0</v>
      </c>
      <c r="E43" s="151">
        <f ca="1">IFERROR(__xludf.DUMMYFUNCTION("IMPORTRANGE(""https://docs.google.com/spreadsheets/d/1-uDff_7J0KD5mKrp0Vvzr7lt3OU09vwQwhkpOPPYv2Y/edit?usp=sharing"",""งบพรบ!GH43"")"),0)</f>
        <v>0</v>
      </c>
      <c r="F43" s="151">
        <f ca="1">IFERROR(__xludf.DUMMYFUNCTION("IMPORTRANGE(""https://docs.google.com/spreadsheets/d/1-uDff_7J0KD5mKrp0Vvzr7lt3OU09vwQwhkpOPPYv2Y/edit?usp=sharing"",""งบพรบ!GI43"")"),0)</f>
        <v>0</v>
      </c>
      <c r="G43" s="151">
        <f ca="1">IFERROR(__xludf.DUMMYFUNCTION("IMPORTRANGE(""https://docs.google.com/spreadsheets/d/1-uDff_7J0KD5mKrp0Vvzr7lt3OU09vwQwhkpOPPYv2Y/edit?usp=sharing"",""งบพรบ!GJ43"")"),0)</f>
        <v>0</v>
      </c>
      <c r="H43" s="151">
        <f ca="1">IFERROR(__xludf.DUMMYFUNCTION("IMPORTRANGE(""https://docs.google.com/spreadsheets/d/1-uDff_7J0KD5mKrp0Vvzr7lt3OU09vwQwhkpOPPYv2Y/edit?usp=sharing"",""งบพรบ!GL43"")"),0)</f>
        <v>0</v>
      </c>
      <c r="I43" s="151">
        <f ca="1">IFERROR(__xludf.DUMMYFUNCTION("IMPORTRANGE(""https://docs.google.com/spreadsheets/d/1-uDff_7J0KD5mKrp0Vvzr7lt3OU09vwQwhkpOPPYv2Y/edit?usp=sharing"",""งบพรบ!GM43"")"),0)</f>
        <v>0</v>
      </c>
      <c r="J43" s="262">
        <f t="shared" ca="1" si="15"/>
        <v>0</v>
      </c>
      <c r="K43" s="476">
        <f t="shared" ca="1" si="16"/>
        <v>0</v>
      </c>
      <c r="L43" s="151">
        <f ca="1">IFERROR(__xludf.DUMMYFUNCTION("IMPORTRANGE(""https://docs.google.com/spreadsheets/d/1-uDff_7J0KD5mKrp0Vvzr7lt3OU09vwQwhkpOPPYv2Y/edit?usp=sharing"",""งบพรบ!GN43"")"),0)</f>
        <v>0</v>
      </c>
      <c r="M43" s="260">
        <f t="shared" ca="1" si="17"/>
        <v>0</v>
      </c>
      <c r="N43" s="260">
        <f t="shared" ca="1" si="18"/>
        <v>0</v>
      </c>
      <c r="O43" s="151">
        <f ca="1">IFERROR(__xludf.DUMMYFUNCTION("IMPORTRANGE(""https://docs.google.com/spreadsheets/d/1-uDff_7J0KD5mKrp0Vvzr7lt3OU09vwQwhkpOPPYv2Y/edit?usp=sharing"",""งบพรบ!GO43"")"),0)</f>
        <v>0</v>
      </c>
      <c r="P43" s="475">
        <f t="shared" ca="1" si="19"/>
        <v>0</v>
      </c>
      <c r="Q43" s="260">
        <f t="shared" ca="1" si="20"/>
        <v>0</v>
      </c>
      <c r="R43" s="278">
        <v>0</v>
      </c>
      <c r="S43" s="152">
        <v>0</v>
      </c>
      <c r="T43" s="216">
        <f t="shared" si="22"/>
        <v>0</v>
      </c>
    </row>
    <row r="44" spans="1:20" ht="19.5" x14ac:dyDescent="0.3">
      <c r="A44" s="147">
        <v>13</v>
      </c>
      <c r="B44" s="148" t="s">
        <v>72</v>
      </c>
      <c r="C44" s="472">
        <f t="shared" ca="1" si="13"/>
        <v>0</v>
      </c>
      <c r="D44" s="473">
        <f t="shared" ca="1" si="26"/>
        <v>0</v>
      </c>
      <c r="E44" s="151">
        <f ca="1">IFERROR(__xludf.DUMMYFUNCTION("IMPORTRANGE(""https://docs.google.com/spreadsheets/d/1-uDff_7J0KD5mKrp0Vvzr7lt3OU09vwQwhkpOPPYv2Y/edit?usp=sharing"",""งบพรบ!GH44"")"),0)</f>
        <v>0</v>
      </c>
      <c r="F44" s="151">
        <f ca="1">IFERROR(__xludf.DUMMYFUNCTION("IMPORTRANGE(""https://docs.google.com/spreadsheets/d/1-uDff_7J0KD5mKrp0Vvzr7lt3OU09vwQwhkpOPPYv2Y/edit?usp=sharing"",""งบพรบ!GI44"")"),0)</f>
        <v>0</v>
      </c>
      <c r="G44" s="151">
        <f ca="1">IFERROR(__xludf.DUMMYFUNCTION("IMPORTRANGE(""https://docs.google.com/spreadsheets/d/1-uDff_7J0KD5mKrp0Vvzr7lt3OU09vwQwhkpOPPYv2Y/edit?usp=sharing"",""งบพรบ!GJ44"")"),0)</f>
        <v>0</v>
      </c>
      <c r="H44" s="151">
        <f ca="1">IFERROR(__xludf.DUMMYFUNCTION("IMPORTRANGE(""https://docs.google.com/spreadsheets/d/1-uDff_7J0KD5mKrp0Vvzr7lt3OU09vwQwhkpOPPYv2Y/edit?usp=sharing"",""งบพรบ!GL44"")"),0)</f>
        <v>0</v>
      </c>
      <c r="I44" s="151">
        <f ca="1">IFERROR(__xludf.DUMMYFUNCTION("IMPORTRANGE(""https://docs.google.com/spreadsheets/d/1-uDff_7J0KD5mKrp0Vvzr7lt3OU09vwQwhkpOPPYv2Y/edit?usp=sharing"",""งบพรบ!GM44"")"),0)</f>
        <v>0</v>
      </c>
      <c r="J44" s="262">
        <f t="shared" ca="1" si="15"/>
        <v>0</v>
      </c>
      <c r="K44" s="476">
        <f t="shared" ca="1" si="16"/>
        <v>0</v>
      </c>
      <c r="L44" s="151">
        <f ca="1">IFERROR(__xludf.DUMMYFUNCTION("IMPORTRANGE(""https://docs.google.com/spreadsheets/d/1-uDff_7J0KD5mKrp0Vvzr7lt3OU09vwQwhkpOPPYv2Y/edit?usp=sharing"",""งบพรบ!GN44"")"),0)</f>
        <v>0</v>
      </c>
      <c r="M44" s="260">
        <f t="shared" ca="1" si="17"/>
        <v>0</v>
      </c>
      <c r="N44" s="260">
        <f t="shared" ca="1" si="18"/>
        <v>0</v>
      </c>
      <c r="O44" s="151">
        <f ca="1">IFERROR(__xludf.DUMMYFUNCTION("IMPORTRANGE(""https://docs.google.com/spreadsheets/d/1-uDff_7J0KD5mKrp0Vvzr7lt3OU09vwQwhkpOPPYv2Y/edit?usp=sharing"",""งบพรบ!GO44"")"),0)</f>
        <v>0</v>
      </c>
      <c r="P44" s="475">
        <f t="shared" ca="1" si="19"/>
        <v>0</v>
      </c>
      <c r="Q44" s="260">
        <f t="shared" ca="1" si="20"/>
        <v>0</v>
      </c>
      <c r="R44" s="278">
        <v>0</v>
      </c>
      <c r="S44" s="152">
        <v>0</v>
      </c>
      <c r="T44" s="216">
        <f t="shared" si="22"/>
        <v>0</v>
      </c>
    </row>
    <row r="45" spans="1:20" ht="19.5" x14ac:dyDescent="0.3">
      <c r="A45" s="147">
        <v>14</v>
      </c>
      <c r="B45" s="148" t="s">
        <v>73</v>
      </c>
      <c r="C45" s="472">
        <f t="shared" ca="1" si="13"/>
        <v>0</v>
      </c>
      <c r="D45" s="473">
        <f t="shared" ca="1" si="26"/>
        <v>0</v>
      </c>
      <c r="E45" s="151">
        <f ca="1">IFERROR(__xludf.DUMMYFUNCTION("IMPORTRANGE(""https://docs.google.com/spreadsheets/d/1-uDff_7J0KD5mKrp0Vvzr7lt3OU09vwQwhkpOPPYv2Y/edit?usp=sharing"",""งบพรบ!GH45"")"),0)</f>
        <v>0</v>
      </c>
      <c r="F45" s="151">
        <f ca="1">IFERROR(__xludf.DUMMYFUNCTION("IMPORTRANGE(""https://docs.google.com/spreadsheets/d/1-uDff_7J0KD5mKrp0Vvzr7lt3OU09vwQwhkpOPPYv2Y/edit?usp=sharing"",""งบพรบ!GI45"")"),0)</f>
        <v>0</v>
      </c>
      <c r="G45" s="151">
        <f ca="1">IFERROR(__xludf.DUMMYFUNCTION("IMPORTRANGE(""https://docs.google.com/spreadsheets/d/1-uDff_7J0KD5mKrp0Vvzr7lt3OU09vwQwhkpOPPYv2Y/edit?usp=sharing"",""งบพรบ!GJ45"")"),0)</f>
        <v>0</v>
      </c>
      <c r="H45" s="151">
        <f ca="1">IFERROR(__xludf.DUMMYFUNCTION("IMPORTRANGE(""https://docs.google.com/spreadsheets/d/1-uDff_7J0KD5mKrp0Vvzr7lt3OU09vwQwhkpOPPYv2Y/edit?usp=sharing"",""งบพรบ!GL45"")"),0)</f>
        <v>0</v>
      </c>
      <c r="I45" s="151">
        <f ca="1">IFERROR(__xludf.DUMMYFUNCTION("IMPORTRANGE(""https://docs.google.com/spreadsheets/d/1-uDff_7J0KD5mKrp0Vvzr7lt3OU09vwQwhkpOPPYv2Y/edit?usp=sharing"",""งบพรบ!GM45"")"),0)</f>
        <v>0</v>
      </c>
      <c r="J45" s="262">
        <f t="shared" ca="1" si="15"/>
        <v>0</v>
      </c>
      <c r="K45" s="476">
        <f t="shared" ca="1" si="16"/>
        <v>0</v>
      </c>
      <c r="L45" s="151">
        <f ca="1">IFERROR(__xludf.DUMMYFUNCTION("IMPORTRANGE(""https://docs.google.com/spreadsheets/d/1-uDff_7J0KD5mKrp0Vvzr7lt3OU09vwQwhkpOPPYv2Y/edit?usp=sharing"",""งบพรบ!GN45"")"),0)</f>
        <v>0</v>
      </c>
      <c r="M45" s="260">
        <f t="shared" ca="1" si="17"/>
        <v>0</v>
      </c>
      <c r="N45" s="260">
        <f t="shared" ca="1" si="18"/>
        <v>0</v>
      </c>
      <c r="O45" s="151">
        <f ca="1">IFERROR(__xludf.DUMMYFUNCTION("IMPORTRANGE(""https://docs.google.com/spreadsheets/d/1-uDff_7J0KD5mKrp0Vvzr7lt3OU09vwQwhkpOPPYv2Y/edit?usp=sharing"",""งบพรบ!GO45"")"),0)</f>
        <v>0</v>
      </c>
      <c r="P45" s="475">
        <f t="shared" ca="1" si="19"/>
        <v>0</v>
      </c>
      <c r="Q45" s="260">
        <f t="shared" ca="1" si="20"/>
        <v>0</v>
      </c>
      <c r="R45" s="278">
        <v>0</v>
      </c>
      <c r="S45" s="152">
        <v>0</v>
      </c>
      <c r="T45" s="216">
        <f t="shared" si="22"/>
        <v>0</v>
      </c>
    </row>
    <row r="46" spans="1:20" ht="19.5" x14ac:dyDescent="0.3">
      <c r="A46" s="147">
        <v>15</v>
      </c>
      <c r="B46" s="148" t="s">
        <v>74</v>
      </c>
      <c r="C46" s="472">
        <f t="shared" ca="1" si="13"/>
        <v>0</v>
      </c>
      <c r="D46" s="473">
        <f t="shared" ca="1" si="26"/>
        <v>0</v>
      </c>
      <c r="E46" s="151">
        <f ca="1">IFERROR(__xludf.DUMMYFUNCTION("IMPORTRANGE(""https://docs.google.com/spreadsheets/d/1-uDff_7J0KD5mKrp0Vvzr7lt3OU09vwQwhkpOPPYv2Y/edit?usp=sharing"",""งบพรบ!GH46"")"),0)</f>
        <v>0</v>
      </c>
      <c r="F46" s="151">
        <f ca="1">IFERROR(__xludf.DUMMYFUNCTION("IMPORTRANGE(""https://docs.google.com/spreadsheets/d/1-uDff_7J0KD5mKrp0Vvzr7lt3OU09vwQwhkpOPPYv2Y/edit?usp=sharing"",""งบพรบ!GI46"")"),0)</f>
        <v>0</v>
      </c>
      <c r="G46" s="151">
        <f ca="1">IFERROR(__xludf.DUMMYFUNCTION("IMPORTRANGE(""https://docs.google.com/spreadsheets/d/1-uDff_7J0KD5mKrp0Vvzr7lt3OU09vwQwhkpOPPYv2Y/edit?usp=sharing"",""งบพรบ!GJ46"")"),0)</f>
        <v>0</v>
      </c>
      <c r="H46" s="151">
        <f ca="1">IFERROR(__xludf.DUMMYFUNCTION("IMPORTRANGE(""https://docs.google.com/spreadsheets/d/1-uDff_7J0KD5mKrp0Vvzr7lt3OU09vwQwhkpOPPYv2Y/edit?usp=sharing"",""งบพรบ!GL46"")"),0)</f>
        <v>0</v>
      </c>
      <c r="I46" s="151">
        <f ca="1">IFERROR(__xludf.DUMMYFUNCTION("IMPORTRANGE(""https://docs.google.com/spreadsheets/d/1-uDff_7J0KD5mKrp0Vvzr7lt3OU09vwQwhkpOPPYv2Y/edit?usp=sharing"",""งบพรบ!GM46"")"),0)</f>
        <v>0</v>
      </c>
      <c r="J46" s="262">
        <f t="shared" ca="1" si="15"/>
        <v>0</v>
      </c>
      <c r="K46" s="476">
        <f t="shared" ca="1" si="16"/>
        <v>0</v>
      </c>
      <c r="L46" s="151">
        <f ca="1">IFERROR(__xludf.DUMMYFUNCTION("IMPORTRANGE(""https://docs.google.com/spreadsheets/d/1-uDff_7J0KD5mKrp0Vvzr7lt3OU09vwQwhkpOPPYv2Y/edit?usp=sharing"",""งบพรบ!GN46"")"),0)</f>
        <v>0</v>
      </c>
      <c r="M46" s="260">
        <f t="shared" ca="1" si="17"/>
        <v>0</v>
      </c>
      <c r="N46" s="260">
        <f t="shared" ca="1" si="18"/>
        <v>0</v>
      </c>
      <c r="O46" s="151">
        <f ca="1">IFERROR(__xludf.DUMMYFUNCTION("IMPORTRANGE(""https://docs.google.com/spreadsheets/d/1-uDff_7J0KD5mKrp0Vvzr7lt3OU09vwQwhkpOPPYv2Y/edit?usp=sharing"",""งบพรบ!GO46"")"),0)</f>
        <v>0</v>
      </c>
      <c r="P46" s="475">
        <f t="shared" ca="1" si="19"/>
        <v>0</v>
      </c>
      <c r="Q46" s="260">
        <f t="shared" ca="1" si="20"/>
        <v>0</v>
      </c>
      <c r="R46" s="278">
        <v>0</v>
      </c>
      <c r="S46" s="152">
        <v>0</v>
      </c>
      <c r="T46" s="216">
        <f t="shared" si="22"/>
        <v>0</v>
      </c>
    </row>
    <row r="47" spans="1:20" ht="19.5" x14ac:dyDescent="0.3">
      <c r="A47" s="147">
        <v>16</v>
      </c>
      <c r="B47" s="148" t="s">
        <v>75</v>
      </c>
      <c r="C47" s="472">
        <f t="shared" ca="1" si="13"/>
        <v>0</v>
      </c>
      <c r="D47" s="473">
        <f t="shared" ca="1" si="26"/>
        <v>0</v>
      </c>
      <c r="E47" s="151">
        <f ca="1">IFERROR(__xludf.DUMMYFUNCTION("IMPORTRANGE(""https://docs.google.com/spreadsheets/d/1-uDff_7J0KD5mKrp0Vvzr7lt3OU09vwQwhkpOPPYv2Y/edit?usp=sharing"",""งบพรบ!GH47"")"),0)</f>
        <v>0</v>
      </c>
      <c r="F47" s="151">
        <f ca="1">IFERROR(__xludf.DUMMYFUNCTION("IMPORTRANGE(""https://docs.google.com/spreadsheets/d/1-uDff_7J0KD5mKrp0Vvzr7lt3OU09vwQwhkpOPPYv2Y/edit?usp=sharing"",""งบพรบ!GI47"")"),0)</f>
        <v>0</v>
      </c>
      <c r="G47" s="151">
        <f ca="1">IFERROR(__xludf.DUMMYFUNCTION("IMPORTRANGE(""https://docs.google.com/spreadsheets/d/1-uDff_7J0KD5mKrp0Vvzr7lt3OU09vwQwhkpOPPYv2Y/edit?usp=sharing"",""งบพรบ!GJ47"")"),0)</f>
        <v>0</v>
      </c>
      <c r="H47" s="151">
        <f ca="1">IFERROR(__xludf.DUMMYFUNCTION("IMPORTRANGE(""https://docs.google.com/spreadsheets/d/1-uDff_7J0KD5mKrp0Vvzr7lt3OU09vwQwhkpOPPYv2Y/edit?usp=sharing"",""งบพรบ!GL47"")"),0)</f>
        <v>0</v>
      </c>
      <c r="I47" s="151">
        <f ca="1">IFERROR(__xludf.DUMMYFUNCTION("IMPORTRANGE(""https://docs.google.com/spreadsheets/d/1-uDff_7J0KD5mKrp0Vvzr7lt3OU09vwQwhkpOPPYv2Y/edit?usp=sharing"",""งบพรบ!GM47"")"),0)</f>
        <v>0</v>
      </c>
      <c r="J47" s="262">
        <f t="shared" ca="1" si="15"/>
        <v>0</v>
      </c>
      <c r="K47" s="476">
        <f t="shared" ca="1" si="16"/>
        <v>0</v>
      </c>
      <c r="L47" s="151">
        <f ca="1">IFERROR(__xludf.DUMMYFUNCTION("IMPORTRANGE(""https://docs.google.com/spreadsheets/d/1-uDff_7J0KD5mKrp0Vvzr7lt3OU09vwQwhkpOPPYv2Y/edit?usp=sharing"",""งบพรบ!GN47"")"),0)</f>
        <v>0</v>
      </c>
      <c r="M47" s="260">
        <f t="shared" ca="1" si="17"/>
        <v>0</v>
      </c>
      <c r="N47" s="260">
        <f t="shared" ca="1" si="18"/>
        <v>0</v>
      </c>
      <c r="O47" s="151">
        <f ca="1">IFERROR(__xludf.DUMMYFUNCTION("IMPORTRANGE(""https://docs.google.com/spreadsheets/d/1-uDff_7J0KD5mKrp0Vvzr7lt3OU09vwQwhkpOPPYv2Y/edit?usp=sharing"",""งบพรบ!GO47"")"),0)</f>
        <v>0</v>
      </c>
      <c r="P47" s="475">
        <f t="shared" ca="1" si="19"/>
        <v>0</v>
      </c>
      <c r="Q47" s="260">
        <f t="shared" ca="1" si="20"/>
        <v>0</v>
      </c>
      <c r="R47" s="279">
        <v>0</v>
      </c>
      <c r="S47" s="397">
        <v>0</v>
      </c>
      <c r="T47" s="216">
        <f t="shared" si="22"/>
        <v>0</v>
      </c>
    </row>
    <row r="48" spans="1:20" ht="19.5" x14ac:dyDescent="0.3">
      <c r="A48" s="147">
        <v>17</v>
      </c>
      <c r="B48" s="148" t="s">
        <v>76</v>
      </c>
      <c r="C48" s="472">
        <f t="shared" ca="1" si="13"/>
        <v>0</v>
      </c>
      <c r="D48" s="473">
        <f t="shared" ca="1" si="26"/>
        <v>0</v>
      </c>
      <c r="E48" s="151">
        <f ca="1">IFERROR(__xludf.DUMMYFUNCTION("IMPORTRANGE(""https://docs.google.com/spreadsheets/d/1-uDff_7J0KD5mKrp0Vvzr7lt3OU09vwQwhkpOPPYv2Y/edit?usp=sharing"",""งบพรบ!GH48"")"),0)</f>
        <v>0</v>
      </c>
      <c r="F48" s="151">
        <f ca="1">IFERROR(__xludf.DUMMYFUNCTION("IMPORTRANGE(""https://docs.google.com/spreadsheets/d/1-uDff_7J0KD5mKrp0Vvzr7lt3OU09vwQwhkpOPPYv2Y/edit?usp=sharing"",""งบพรบ!GI48"")"),0)</f>
        <v>0</v>
      </c>
      <c r="G48" s="151">
        <f ca="1">IFERROR(__xludf.DUMMYFUNCTION("IMPORTRANGE(""https://docs.google.com/spreadsheets/d/1-uDff_7J0KD5mKrp0Vvzr7lt3OU09vwQwhkpOPPYv2Y/edit?usp=sharing"",""งบพรบ!GJ48"")"),0)</f>
        <v>0</v>
      </c>
      <c r="H48" s="151">
        <f ca="1">IFERROR(__xludf.DUMMYFUNCTION("IMPORTRANGE(""https://docs.google.com/spreadsheets/d/1-uDff_7J0KD5mKrp0Vvzr7lt3OU09vwQwhkpOPPYv2Y/edit?usp=sharing"",""งบพรบ!GL48"")"),0)</f>
        <v>0</v>
      </c>
      <c r="I48" s="151">
        <f ca="1">IFERROR(__xludf.DUMMYFUNCTION("IMPORTRANGE(""https://docs.google.com/spreadsheets/d/1-uDff_7J0KD5mKrp0Vvzr7lt3OU09vwQwhkpOPPYv2Y/edit?usp=sharing"",""งบพรบ!GM48"")"),0)</f>
        <v>0</v>
      </c>
      <c r="J48" s="262">
        <f t="shared" ca="1" si="15"/>
        <v>0</v>
      </c>
      <c r="K48" s="476">
        <f t="shared" ca="1" si="16"/>
        <v>0</v>
      </c>
      <c r="L48" s="151">
        <f ca="1">IFERROR(__xludf.DUMMYFUNCTION("IMPORTRANGE(""https://docs.google.com/spreadsheets/d/1-uDff_7J0KD5mKrp0Vvzr7lt3OU09vwQwhkpOPPYv2Y/edit?usp=sharing"",""งบพรบ!GN48"")"),0)</f>
        <v>0</v>
      </c>
      <c r="M48" s="260">
        <f t="shared" ca="1" si="17"/>
        <v>0</v>
      </c>
      <c r="N48" s="260">
        <f t="shared" ca="1" si="18"/>
        <v>0</v>
      </c>
      <c r="O48" s="151">
        <f ca="1">IFERROR(__xludf.DUMMYFUNCTION("IMPORTRANGE(""https://docs.google.com/spreadsheets/d/1-uDff_7J0KD5mKrp0Vvzr7lt3OU09vwQwhkpOPPYv2Y/edit?usp=sharing"",""งบพรบ!GO48"")"),0)</f>
        <v>0</v>
      </c>
      <c r="P48" s="475">
        <f t="shared" ca="1" si="19"/>
        <v>0</v>
      </c>
      <c r="Q48" s="260">
        <f t="shared" ca="1" si="20"/>
        <v>0</v>
      </c>
      <c r="R48" s="278">
        <v>0</v>
      </c>
      <c r="S48" s="152">
        <v>0</v>
      </c>
      <c r="T48" s="216">
        <f t="shared" si="22"/>
        <v>0</v>
      </c>
    </row>
    <row r="49" spans="1:21" ht="19.5" x14ac:dyDescent="0.3">
      <c r="A49" s="147">
        <v>18</v>
      </c>
      <c r="B49" s="148" t="s">
        <v>77</v>
      </c>
      <c r="C49" s="472">
        <f t="shared" ca="1" si="13"/>
        <v>0</v>
      </c>
      <c r="D49" s="473">
        <f t="shared" ca="1" si="26"/>
        <v>0</v>
      </c>
      <c r="E49" s="151">
        <f ca="1">IFERROR(__xludf.DUMMYFUNCTION("IMPORTRANGE(""https://docs.google.com/spreadsheets/d/1-uDff_7J0KD5mKrp0Vvzr7lt3OU09vwQwhkpOPPYv2Y/edit?usp=sharing"",""งบพรบ!GH49"")"),0)</f>
        <v>0</v>
      </c>
      <c r="F49" s="151">
        <f ca="1">IFERROR(__xludf.DUMMYFUNCTION("IMPORTRANGE(""https://docs.google.com/spreadsheets/d/1-uDff_7J0KD5mKrp0Vvzr7lt3OU09vwQwhkpOPPYv2Y/edit?usp=sharing"",""งบพรบ!GI49"")"),0)</f>
        <v>0</v>
      </c>
      <c r="G49" s="151">
        <f ca="1">IFERROR(__xludf.DUMMYFUNCTION("IMPORTRANGE(""https://docs.google.com/spreadsheets/d/1-uDff_7J0KD5mKrp0Vvzr7lt3OU09vwQwhkpOPPYv2Y/edit?usp=sharing"",""งบพรบ!GJ49"")"),0)</f>
        <v>0</v>
      </c>
      <c r="H49" s="151">
        <f ca="1">IFERROR(__xludf.DUMMYFUNCTION("IMPORTRANGE(""https://docs.google.com/spreadsheets/d/1-uDff_7J0KD5mKrp0Vvzr7lt3OU09vwQwhkpOPPYv2Y/edit?usp=sharing"",""งบพรบ!GL49"")"),0)</f>
        <v>0</v>
      </c>
      <c r="I49" s="151">
        <f ca="1">IFERROR(__xludf.DUMMYFUNCTION("IMPORTRANGE(""https://docs.google.com/spreadsheets/d/1-uDff_7J0KD5mKrp0Vvzr7lt3OU09vwQwhkpOPPYv2Y/edit?usp=sharing"",""งบพรบ!GM49"")"),0)</f>
        <v>0</v>
      </c>
      <c r="J49" s="262">
        <f t="shared" ca="1" si="15"/>
        <v>0</v>
      </c>
      <c r="K49" s="476">
        <f t="shared" ca="1" si="16"/>
        <v>0</v>
      </c>
      <c r="L49" s="151">
        <f ca="1">IFERROR(__xludf.DUMMYFUNCTION("IMPORTRANGE(""https://docs.google.com/spreadsheets/d/1-uDff_7J0KD5mKrp0Vvzr7lt3OU09vwQwhkpOPPYv2Y/edit?usp=sharing"",""งบพรบ!GN49"")"),0)</f>
        <v>0</v>
      </c>
      <c r="M49" s="260">
        <f t="shared" ca="1" si="17"/>
        <v>0</v>
      </c>
      <c r="N49" s="260">
        <f t="shared" ca="1" si="18"/>
        <v>0</v>
      </c>
      <c r="O49" s="151">
        <f ca="1">IFERROR(__xludf.DUMMYFUNCTION("IMPORTRANGE(""https://docs.google.com/spreadsheets/d/1-uDff_7J0KD5mKrp0Vvzr7lt3OU09vwQwhkpOPPYv2Y/edit?usp=sharing"",""งบพรบ!GO49"")"),0)</f>
        <v>0</v>
      </c>
      <c r="P49" s="475">
        <f t="shared" ca="1" si="19"/>
        <v>0</v>
      </c>
      <c r="Q49" s="260">
        <f t="shared" ca="1" si="20"/>
        <v>0</v>
      </c>
      <c r="R49" s="278">
        <v>0</v>
      </c>
      <c r="S49" s="152">
        <v>0</v>
      </c>
      <c r="T49" s="216">
        <f t="shared" si="22"/>
        <v>0</v>
      </c>
    </row>
    <row r="50" spans="1:21" ht="19.5" x14ac:dyDescent="0.3">
      <c r="A50" s="147">
        <v>19</v>
      </c>
      <c r="B50" s="148" t="s">
        <v>78</v>
      </c>
      <c r="C50" s="472">
        <f t="shared" ca="1" si="13"/>
        <v>0</v>
      </c>
      <c r="D50" s="473">
        <f t="shared" ca="1" si="26"/>
        <v>0</v>
      </c>
      <c r="E50" s="151">
        <f ca="1">IFERROR(__xludf.DUMMYFUNCTION("IMPORTRANGE(""https://docs.google.com/spreadsheets/d/1-uDff_7J0KD5mKrp0Vvzr7lt3OU09vwQwhkpOPPYv2Y/edit?usp=sharing"",""งบพรบ!GH50"")"),0)</f>
        <v>0</v>
      </c>
      <c r="F50" s="151">
        <f ca="1">IFERROR(__xludf.DUMMYFUNCTION("IMPORTRANGE(""https://docs.google.com/spreadsheets/d/1-uDff_7J0KD5mKrp0Vvzr7lt3OU09vwQwhkpOPPYv2Y/edit?usp=sharing"",""งบพรบ!GI50"")"),0)</f>
        <v>0</v>
      </c>
      <c r="G50" s="151">
        <f ca="1">IFERROR(__xludf.DUMMYFUNCTION("IMPORTRANGE(""https://docs.google.com/spreadsheets/d/1-uDff_7J0KD5mKrp0Vvzr7lt3OU09vwQwhkpOPPYv2Y/edit?usp=sharing"",""งบพรบ!GJ50"")"),0)</f>
        <v>0</v>
      </c>
      <c r="H50" s="151">
        <f ca="1">IFERROR(__xludf.DUMMYFUNCTION("IMPORTRANGE(""https://docs.google.com/spreadsheets/d/1-uDff_7J0KD5mKrp0Vvzr7lt3OU09vwQwhkpOPPYv2Y/edit?usp=sharing"",""งบพรบ!GL50"")"),0)</f>
        <v>0</v>
      </c>
      <c r="I50" s="151">
        <f ca="1">IFERROR(__xludf.DUMMYFUNCTION("IMPORTRANGE(""https://docs.google.com/spreadsheets/d/1-uDff_7J0KD5mKrp0Vvzr7lt3OU09vwQwhkpOPPYv2Y/edit?usp=sharing"",""งบพรบ!GM50"")"),0)</f>
        <v>0</v>
      </c>
      <c r="J50" s="262">
        <f t="shared" ca="1" si="15"/>
        <v>0</v>
      </c>
      <c r="K50" s="476">
        <f t="shared" ca="1" si="16"/>
        <v>0</v>
      </c>
      <c r="L50" s="151">
        <f ca="1">IFERROR(__xludf.DUMMYFUNCTION("IMPORTRANGE(""https://docs.google.com/spreadsheets/d/1-uDff_7J0KD5mKrp0Vvzr7lt3OU09vwQwhkpOPPYv2Y/edit?usp=sharing"",""งบพรบ!GN50"")"),0)</f>
        <v>0</v>
      </c>
      <c r="M50" s="260">
        <f t="shared" ca="1" si="17"/>
        <v>0</v>
      </c>
      <c r="N50" s="260">
        <f t="shared" ca="1" si="18"/>
        <v>0</v>
      </c>
      <c r="O50" s="151">
        <f ca="1">IFERROR(__xludf.DUMMYFUNCTION("IMPORTRANGE(""https://docs.google.com/spreadsheets/d/1-uDff_7J0KD5mKrp0Vvzr7lt3OU09vwQwhkpOPPYv2Y/edit?usp=sharing"",""งบพรบ!GO50"")"),0)</f>
        <v>0</v>
      </c>
      <c r="P50" s="475">
        <f t="shared" ca="1" si="19"/>
        <v>0</v>
      </c>
      <c r="Q50" s="260">
        <f t="shared" ca="1" si="20"/>
        <v>0</v>
      </c>
      <c r="R50" s="278">
        <v>0</v>
      </c>
      <c r="S50" s="152">
        <v>0</v>
      </c>
      <c r="T50" s="216">
        <f t="shared" si="22"/>
        <v>0</v>
      </c>
    </row>
    <row r="51" spans="1:21" ht="19.5" x14ac:dyDescent="0.3">
      <c r="A51" s="155">
        <v>20</v>
      </c>
      <c r="B51" s="156" t="s">
        <v>79</v>
      </c>
      <c r="C51" s="477">
        <f t="shared" ca="1" si="13"/>
        <v>0</v>
      </c>
      <c r="D51" s="478">
        <f t="shared" ca="1" si="26"/>
        <v>0</v>
      </c>
      <c r="E51" s="159">
        <f ca="1">IFERROR(__xludf.DUMMYFUNCTION("IMPORTRANGE(""https://docs.google.com/spreadsheets/d/1-uDff_7J0KD5mKrp0Vvzr7lt3OU09vwQwhkpOPPYv2Y/edit?usp=sharing"",""งบพรบ!GH51"")"),0)</f>
        <v>0</v>
      </c>
      <c r="F51" s="159">
        <f ca="1">IFERROR(__xludf.DUMMYFUNCTION("IMPORTRANGE(""https://docs.google.com/spreadsheets/d/1-uDff_7J0KD5mKrp0Vvzr7lt3OU09vwQwhkpOPPYv2Y/edit?usp=sharing"",""งบพรบ!GI51"")"),0)</f>
        <v>0</v>
      </c>
      <c r="G51" s="159">
        <f ca="1">IFERROR(__xludf.DUMMYFUNCTION("IMPORTRANGE(""https://docs.google.com/spreadsheets/d/1-uDff_7J0KD5mKrp0Vvzr7lt3OU09vwQwhkpOPPYv2Y/edit?usp=sharing"",""งบพรบ!GJ51"")"),0)</f>
        <v>0</v>
      </c>
      <c r="H51" s="159">
        <f ca="1">IFERROR(__xludf.DUMMYFUNCTION("IMPORTRANGE(""https://docs.google.com/spreadsheets/d/1-uDff_7J0KD5mKrp0Vvzr7lt3OU09vwQwhkpOPPYv2Y/edit?usp=sharing"",""งบพรบ!GL51"")"),0)</f>
        <v>0</v>
      </c>
      <c r="I51" s="159">
        <f ca="1">IFERROR(__xludf.DUMMYFUNCTION("IMPORTRANGE(""https://docs.google.com/spreadsheets/d/1-uDff_7J0KD5mKrp0Vvzr7lt3OU09vwQwhkpOPPYv2Y/edit?usp=sharing"",""งบพรบ!GM51"")"),0)</f>
        <v>0</v>
      </c>
      <c r="J51" s="479">
        <f t="shared" ca="1" si="15"/>
        <v>0</v>
      </c>
      <c r="K51" s="480">
        <f t="shared" ca="1" si="16"/>
        <v>0</v>
      </c>
      <c r="L51" s="159">
        <f ca="1">IFERROR(__xludf.DUMMYFUNCTION("IMPORTRANGE(""https://docs.google.com/spreadsheets/d/1-uDff_7J0KD5mKrp0Vvzr7lt3OU09vwQwhkpOPPYv2Y/edit?usp=sharing"",""งบพรบ!GN51"")"),0)</f>
        <v>0</v>
      </c>
      <c r="M51" s="481">
        <f t="shared" ca="1" si="17"/>
        <v>0</v>
      </c>
      <c r="N51" s="481">
        <f t="shared" ca="1" si="18"/>
        <v>0</v>
      </c>
      <c r="O51" s="159">
        <f ca="1">IFERROR(__xludf.DUMMYFUNCTION("IMPORTRANGE(""https://docs.google.com/spreadsheets/d/1-uDff_7J0KD5mKrp0Vvzr7lt3OU09vwQwhkpOPPYv2Y/edit?usp=sharing"",""งบพรบ!GO51"")"),0)</f>
        <v>0</v>
      </c>
      <c r="P51" s="482">
        <f t="shared" ca="1" si="19"/>
        <v>0</v>
      </c>
      <c r="Q51" s="481">
        <f t="shared" ca="1" si="20"/>
        <v>0</v>
      </c>
      <c r="R51" s="280">
        <v>0</v>
      </c>
      <c r="S51" s="191">
        <v>0</v>
      </c>
      <c r="T51" s="218">
        <f t="shared" si="22"/>
        <v>0</v>
      </c>
    </row>
    <row r="52" spans="1:21" ht="19.5" x14ac:dyDescent="0.3">
      <c r="A52" s="716" t="s">
        <v>80</v>
      </c>
      <c r="B52" s="662"/>
      <c r="C52" s="601">
        <f t="shared" ca="1" si="13"/>
        <v>7199600</v>
      </c>
      <c r="D52" s="601">
        <f t="shared" ref="D52:I52" ca="1" si="27">SUM(D53:D73)</f>
        <v>0</v>
      </c>
      <c r="E52" s="601">
        <f t="shared" ca="1" si="27"/>
        <v>0</v>
      </c>
      <c r="F52" s="601">
        <f t="shared" ca="1" si="27"/>
        <v>0</v>
      </c>
      <c r="G52" s="601">
        <f t="shared" ca="1" si="27"/>
        <v>7199600</v>
      </c>
      <c r="H52" s="601">
        <f t="shared" ca="1" si="27"/>
        <v>31650</v>
      </c>
      <c r="I52" s="601">
        <f t="shared" ca="1" si="27"/>
        <v>4690138</v>
      </c>
      <c r="J52" s="601">
        <f t="shared" ca="1" si="15"/>
        <v>4690138</v>
      </c>
      <c r="K52" s="602">
        <f t="shared" ca="1" si="16"/>
        <v>65.144424690260564</v>
      </c>
      <c r="L52" s="601">
        <f ca="1">SUM(L53:L73)</f>
        <v>0</v>
      </c>
      <c r="M52" s="603">
        <f t="shared" ca="1" si="17"/>
        <v>0</v>
      </c>
      <c r="N52" s="603">
        <f t="shared" ca="1" si="18"/>
        <v>0</v>
      </c>
      <c r="O52" s="604">
        <f ca="1">SUM(O53:O73)</f>
        <v>4690138</v>
      </c>
      <c r="P52" s="604">
        <f t="shared" ca="1" si="19"/>
        <v>65.144424690260564</v>
      </c>
      <c r="Q52" s="603">
        <f t="shared" ca="1" si="20"/>
        <v>100</v>
      </c>
      <c r="R52" s="282">
        <f t="shared" ref="R52:S52" ca="1" si="28">SUM(R53:R73)</f>
        <v>7</v>
      </c>
      <c r="S52" s="369">
        <f t="shared" ca="1" si="28"/>
        <v>3</v>
      </c>
      <c r="T52" s="94">
        <f t="shared" ca="1" si="22"/>
        <v>42.857142857142854</v>
      </c>
      <c r="U52" s="600"/>
    </row>
    <row r="53" spans="1:21" ht="19.5" x14ac:dyDescent="0.3">
      <c r="A53" s="147">
        <v>1</v>
      </c>
      <c r="B53" s="148" t="s">
        <v>81</v>
      </c>
      <c r="C53" s="472">
        <f t="shared" ca="1" si="13"/>
        <v>2586500</v>
      </c>
      <c r="D53" s="473">
        <f t="shared" ref="D53:D73" ca="1" si="29">+E53+F53</f>
        <v>0</v>
      </c>
      <c r="E53" s="151">
        <f ca="1">IFERROR(__xludf.DUMMYFUNCTION("IMPORTRANGE(""https://docs.google.com/spreadsheets/d/1-uDff_7J0KD5mKrp0Vvzr7lt3OU09vwQwhkpOPPYv2Y/edit?usp=sharing"",""งบพรบ!GH53"")"),0)</f>
        <v>0</v>
      </c>
      <c r="F53" s="151">
        <f ca="1">IFERROR(__xludf.DUMMYFUNCTION("IMPORTRANGE(""https://docs.google.com/spreadsheets/d/1-uDff_7J0KD5mKrp0Vvzr7lt3OU09vwQwhkpOPPYv2Y/edit?usp=sharing"",""งบพรบ!GI53"")"),0)</f>
        <v>0</v>
      </c>
      <c r="G53" s="152">
        <f ca="1">IFERROR(__xludf.DUMMYFUNCTION("IMPORTRANGE(""https://docs.google.com/spreadsheets/d/1-uDff_7J0KD5mKrp0Vvzr7lt3OU09vwQwhkpOPPYv2Y/edit?usp=sharing"",""งบพรบ!GJ53"")"),2586500)</f>
        <v>2586500</v>
      </c>
      <c r="H53" s="152">
        <f ca="1">IFERROR(__xludf.DUMMYFUNCTION("IMPORTRANGE(""https://docs.google.com/spreadsheets/d/1-uDff_7J0KD5mKrp0Vvzr7lt3OU09vwQwhkpOPPYv2Y/edit?usp=sharing"",""งบพรบ!GL53"")"),0)</f>
        <v>0</v>
      </c>
      <c r="I53" s="152">
        <f ca="1">IFERROR(__xludf.DUMMYFUNCTION("IMPORTRANGE(""https://docs.google.com/spreadsheets/d/1-uDff_7J0KD5mKrp0Vvzr7lt3OU09vwQwhkpOPPYv2Y/edit?usp=sharing"",""งบพรบ!GM53"")"),1409000)</f>
        <v>1409000</v>
      </c>
      <c r="J53" s="251">
        <f t="shared" ca="1" si="15"/>
        <v>1409000</v>
      </c>
      <c r="K53" s="474">
        <f t="shared" ca="1" si="16"/>
        <v>54.475159481925381</v>
      </c>
      <c r="L53" s="152">
        <f ca="1">IFERROR(__xludf.DUMMYFUNCTION("IMPORTRANGE(""https://docs.google.com/spreadsheets/d/1-uDff_7J0KD5mKrp0Vvzr7lt3OU09vwQwhkpOPPYv2Y/edit?usp=sharing"",""งบพรบ!GN53"")"),0)</f>
        <v>0</v>
      </c>
      <c r="M53" s="260">
        <f t="shared" ca="1" si="17"/>
        <v>0</v>
      </c>
      <c r="N53" s="260">
        <f t="shared" ca="1" si="18"/>
        <v>0</v>
      </c>
      <c r="O53" s="151">
        <f ca="1">IFERROR(__xludf.DUMMYFUNCTION("IMPORTRANGE(""https://docs.google.com/spreadsheets/d/1-uDff_7J0KD5mKrp0Vvzr7lt3OU09vwQwhkpOPPYv2Y/edit?usp=sharing"",""งบพรบ!GO53"")"),1409000)</f>
        <v>1409000</v>
      </c>
      <c r="P53" s="475">
        <f t="shared" ca="1" si="19"/>
        <v>54.475159481925381</v>
      </c>
      <c r="Q53" s="260">
        <f t="shared" ca="1" si="20"/>
        <v>100</v>
      </c>
      <c r="R53" s="278">
        <f ca="1">IFERROR(__xludf.DUMMYFUNCTION("IMPORTRANGE(""https://docs.google.com/spreadsheets/d/13wPX838HrBrQMCywv1BsuMkt4PEKTChp52zj44s2izQ/edit?usp=sharing"",""กาญจนบุรี!I565"")"),3)</f>
        <v>3</v>
      </c>
      <c r="S53" s="152">
        <f ca="1">IFERROR(__xludf.DUMMYFUNCTION("IMPORTRANGE(""https://docs.google.com/spreadsheets/d/13wPX838HrBrQMCywv1BsuMkt4PEKTChp52zj44s2izQ/edit?usp=sharing"",""กาญจนบุรี!J565"")"),0)</f>
        <v>0</v>
      </c>
      <c r="T53" s="216">
        <f t="shared" ca="1" si="22"/>
        <v>0</v>
      </c>
    </row>
    <row r="54" spans="1:21" ht="19.5" x14ac:dyDescent="0.3">
      <c r="A54" s="147">
        <v>2</v>
      </c>
      <c r="B54" s="148" t="s">
        <v>82</v>
      </c>
      <c r="C54" s="472">
        <f t="shared" ca="1" si="13"/>
        <v>0</v>
      </c>
      <c r="D54" s="473">
        <f t="shared" ca="1" si="29"/>
        <v>0</v>
      </c>
      <c r="E54" s="151">
        <f ca="1">IFERROR(__xludf.DUMMYFUNCTION("IMPORTRANGE(""https://docs.google.com/spreadsheets/d/1-uDff_7J0KD5mKrp0Vvzr7lt3OU09vwQwhkpOPPYv2Y/edit?usp=sharing"",""งบพรบ!GH54"")"),0)</f>
        <v>0</v>
      </c>
      <c r="F54" s="151">
        <f ca="1">IFERROR(__xludf.DUMMYFUNCTION("IMPORTRANGE(""https://docs.google.com/spreadsheets/d/1-uDff_7J0KD5mKrp0Vvzr7lt3OU09vwQwhkpOPPYv2Y/edit?usp=sharing"",""งบพรบ!GI54"")"),0)</f>
        <v>0</v>
      </c>
      <c r="G54" s="151">
        <f ca="1">IFERROR(__xludf.DUMMYFUNCTION("IMPORTRANGE(""https://docs.google.com/spreadsheets/d/1-uDff_7J0KD5mKrp0Vvzr7lt3OU09vwQwhkpOPPYv2Y/edit?usp=sharing"",""งบพรบ!GJ54"")"),0)</f>
        <v>0</v>
      </c>
      <c r="H54" s="151">
        <f ca="1">IFERROR(__xludf.DUMMYFUNCTION("IMPORTRANGE(""https://docs.google.com/spreadsheets/d/1-uDff_7J0KD5mKrp0Vvzr7lt3OU09vwQwhkpOPPYv2Y/edit?usp=sharing"",""งบพรบ!GL54"")"),0)</f>
        <v>0</v>
      </c>
      <c r="I54" s="151">
        <f ca="1">IFERROR(__xludf.DUMMYFUNCTION("IMPORTRANGE(""https://docs.google.com/spreadsheets/d/1-uDff_7J0KD5mKrp0Vvzr7lt3OU09vwQwhkpOPPYv2Y/edit?usp=sharing"",""งบพรบ!GM54"")"),0)</f>
        <v>0</v>
      </c>
      <c r="J54" s="262">
        <f t="shared" ca="1" si="15"/>
        <v>0</v>
      </c>
      <c r="K54" s="476">
        <f t="shared" ca="1" si="16"/>
        <v>0</v>
      </c>
      <c r="L54" s="151">
        <f ca="1">IFERROR(__xludf.DUMMYFUNCTION("IMPORTRANGE(""https://docs.google.com/spreadsheets/d/1-uDff_7J0KD5mKrp0Vvzr7lt3OU09vwQwhkpOPPYv2Y/edit?usp=sharing"",""งบพรบ!GN54"")"),0)</f>
        <v>0</v>
      </c>
      <c r="M54" s="260">
        <f t="shared" ca="1" si="17"/>
        <v>0</v>
      </c>
      <c r="N54" s="260">
        <f t="shared" ca="1" si="18"/>
        <v>0</v>
      </c>
      <c r="O54" s="151">
        <f ca="1">IFERROR(__xludf.DUMMYFUNCTION("IMPORTRANGE(""https://docs.google.com/spreadsheets/d/1-uDff_7J0KD5mKrp0Vvzr7lt3OU09vwQwhkpOPPYv2Y/edit?usp=sharing"",""งบพรบ!GO54"")"),0)</f>
        <v>0</v>
      </c>
      <c r="P54" s="475">
        <f t="shared" ca="1" si="19"/>
        <v>0</v>
      </c>
      <c r="Q54" s="260">
        <f t="shared" ca="1" si="20"/>
        <v>0</v>
      </c>
      <c r="R54" s="278">
        <v>0</v>
      </c>
      <c r="S54" s="152">
        <v>0</v>
      </c>
      <c r="T54" s="216">
        <f t="shared" si="22"/>
        <v>0</v>
      </c>
    </row>
    <row r="55" spans="1:21" ht="19.5" x14ac:dyDescent="0.3">
      <c r="A55" s="147">
        <v>3</v>
      </c>
      <c r="B55" s="148" t="s">
        <v>83</v>
      </c>
      <c r="C55" s="472">
        <f t="shared" ca="1" si="13"/>
        <v>2941700</v>
      </c>
      <c r="D55" s="473">
        <f t="shared" ca="1" si="29"/>
        <v>0</v>
      </c>
      <c r="E55" s="151">
        <f ca="1">IFERROR(__xludf.DUMMYFUNCTION("IMPORTRANGE(""https://docs.google.com/spreadsheets/d/1-uDff_7J0KD5mKrp0Vvzr7lt3OU09vwQwhkpOPPYv2Y/edit?usp=sharing"",""งบพรบ!GH55"")"),0)</f>
        <v>0</v>
      </c>
      <c r="F55" s="151">
        <f ca="1">IFERROR(__xludf.DUMMYFUNCTION("IMPORTRANGE(""https://docs.google.com/spreadsheets/d/1-uDff_7J0KD5mKrp0Vvzr7lt3OU09vwQwhkpOPPYv2Y/edit?usp=sharing"",""งบพรบ!GI55"")"),0)</f>
        <v>0</v>
      </c>
      <c r="G55" s="151">
        <f ca="1">IFERROR(__xludf.DUMMYFUNCTION("IMPORTRANGE(""https://docs.google.com/spreadsheets/d/1-uDff_7J0KD5mKrp0Vvzr7lt3OU09vwQwhkpOPPYv2Y/edit?usp=sharing"",""งบพรบ!GJ55"")"),2941700)</f>
        <v>2941700</v>
      </c>
      <c r="H55" s="151">
        <f ca="1">IFERROR(__xludf.DUMMYFUNCTION("IMPORTRANGE(""https://docs.google.com/spreadsheets/d/1-uDff_7J0KD5mKrp0Vvzr7lt3OU09vwQwhkpOPPYv2Y/edit?usp=sharing"",""งบพรบ!GL55"")"),0)</f>
        <v>0</v>
      </c>
      <c r="I55" s="151">
        <f ca="1">IFERROR(__xludf.DUMMYFUNCTION("IMPORTRANGE(""https://docs.google.com/spreadsheets/d/1-uDff_7J0KD5mKrp0Vvzr7lt3OU09vwQwhkpOPPYv2Y/edit?usp=sharing"",""งบพรบ!GM55"")"),2321138)</f>
        <v>2321138</v>
      </c>
      <c r="J55" s="262">
        <f t="shared" ca="1" si="15"/>
        <v>2321138</v>
      </c>
      <c r="K55" s="476">
        <f t="shared" ca="1" si="16"/>
        <v>78.904646972838833</v>
      </c>
      <c r="L55" s="151">
        <f ca="1">IFERROR(__xludf.DUMMYFUNCTION("IMPORTRANGE(""https://docs.google.com/spreadsheets/d/1-uDff_7J0KD5mKrp0Vvzr7lt3OU09vwQwhkpOPPYv2Y/edit?usp=sharing"",""งบพรบ!GN55"")"),0)</f>
        <v>0</v>
      </c>
      <c r="M55" s="260">
        <f t="shared" ca="1" si="17"/>
        <v>0</v>
      </c>
      <c r="N55" s="260">
        <f t="shared" ca="1" si="18"/>
        <v>0</v>
      </c>
      <c r="O55" s="151">
        <f ca="1">IFERROR(__xludf.DUMMYFUNCTION("IMPORTRANGE(""https://docs.google.com/spreadsheets/d/1-uDff_7J0KD5mKrp0Vvzr7lt3OU09vwQwhkpOPPYv2Y/edit?usp=sharing"",""งบพรบ!GO55"")"),2321138)</f>
        <v>2321138</v>
      </c>
      <c r="P55" s="475">
        <f t="shared" ca="1" si="19"/>
        <v>78.904646972838833</v>
      </c>
      <c r="Q55" s="260">
        <f t="shared" ca="1" si="20"/>
        <v>100</v>
      </c>
      <c r="R55" s="278">
        <f ca="1">IFERROR(__xludf.DUMMYFUNCTION("IMPORTRANGE(""https://docs.google.com/spreadsheets/d/1T1PQvRODqOBZk8BRht_U031fIS1beLA0Ub2CEytj2q0/edit?usp=sharing"",""ฉะเชิงเทรา!I565"")"),3)</f>
        <v>3</v>
      </c>
      <c r="S55" s="152">
        <f ca="1">IFERROR(__xludf.DUMMYFUNCTION("IMPORTRANGE(""https://docs.google.com/spreadsheets/d/1T1PQvRODqOBZk8BRht_U031fIS1beLA0Ub2CEytj2q0/edit?usp=sharing"",""ฉะเชิงเทรา!J565"")"),3)</f>
        <v>3</v>
      </c>
      <c r="T55" s="216">
        <f t="shared" ca="1" si="22"/>
        <v>100</v>
      </c>
    </row>
    <row r="56" spans="1:21" ht="19.5" x14ac:dyDescent="0.3">
      <c r="A56" s="147">
        <v>4</v>
      </c>
      <c r="B56" s="148" t="s">
        <v>84</v>
      </c>
      <c r="C56" s="472">
        <f t="shared" ca="1" si="13"/>
        <v>0</v>
      </c>
      <c r="D56" s="473">
        <f t="shared" ca="1" si="29"/>
        <v>0</v>
      </c>
      <c r="E56" s="151">
        <f ca="1">IFERROR(__xludf.DUMMYFUNCTION("IMPORTRANGE(""https://docs.google.com/spreadsheets/d/1-uDff_7J0KD5mKrp0Vvzr7lt3OU09vwQwhkpOPPYv2Y/edit?usp=sharing"",""งบพรบ!GH56"")"),0)</f>
        <v>0</v>
      </c>
      <c r="F56" s="151">
        <f ca="1">IFERROR(__xludf.DUMMYFUNCTION("IMPORTRANGE(""https://docs.google.com/spreadsheets/d/1-uDff_7J0KD5mKrp0Vvzr7lt3OU09vwQwhkpOPPYv2Y/edit?usp=sharing"",""งบพรบ!GI56"")"),0)</f>
        <v>0</v>
      </c>
      <c r="G56" s="151">
        <f ca="1">IFERROR(__xludf.DUMMYFUNCTION("IMPORTRANGE(""https://docs.google.com/spreadsheets/d/1-uDff_7J0KD5mKrp0Vvzr7lt3OU09vwQwhkpOPPYv2Y/edit?usp=sharing"",""งบพรบ!GJ56"")"),0)</f>
        <v>0</v>
      </c>
      <c r="H56" s="151">
        <f ca="1">IFERROR(__xludf.DUMMYFUNCTION("IMPORTRANGE(""https://docs.google.com/spreadsheets/d/1-uDff_7J0KD5mKrp0Vvzr7lt3OU09vwQwhkpOPPYv2Y/edit?usp=sharing"",""งบพรบ!GL56"")"),0)</f>
        <v>0</v>
      </c>
      <c r="I56" s="151">
        <f ca="1">IFERROR(__xludf.DUMMYFUNCTION("IMPORTRANGE(""https://docs.google.com/spreadsheets/d/1-uDff_7J0KD5mKrp0Vvzr7lt3OU09vwQwhkpOPPYv2Y/edit?usp=sharing"",""งบพรบ!GM56"")"),0)</f>
        <v>0</v>
      </c>
      <c r="J56" s="262">
        <f t="shared" ca="1" si="15"/>
        <v>0</v>
      </c>
      <c r="K56" s="476">
        <f t="shared" ca="1" si="16"/>
        <v>0</v>
      </c>
      <c r="L56" s="151">
        <f ca="1">IFERROR(__xludf.DUMMYFUNCTION("IMPORTRANGE(""https://docs.google.com/spreadsheets/d/1-uDff_7J0KD5mKrp0Vvzr7lt3OU09vwQwhkpOPPYv2Y/edit?usp=sharing"",""งบพรบ!GN56"")"),0)</f>
        <v>0</v>
      </c>
      <c r="M56" s="260">
        <f t="shared" ca="1" si="17"/>
        <v>0</v>
      </c>
      <c r="N56" s="260">
        <f t="shared" ca="1" si="18"/>
        <v>0</v>
      </c>
      <c r="O56" s="151">
        <f ca="1">IFERROR(__xludf.DUMMYFUNCTION("IMPORTRANGE(""https://docs.google.com/spreadsheets/d/1-uDff_7J0KD5mKrp0Vvzr7lt3OU09vwQwhkpOPPYv2Y/edit?usp=sharing"",""งบพรบ!GO56"")"),0)</f>
        <v>0</v>
      </c>
      <c r="P56" s="475">
        <f t="shared" ca="1" si="19"/>
        <v>0</v>
      </c>
      <c r="Q56" s="260">
        <f t="shared" ca="1" si="20"/>
        <v>0</v>
      </c>
      <c r="R56" s="278">
        <v>0</v>
      </c>
      <c r="S56" s="152">
        <v>0</v>
      </c>
      <c r="T56" s="216">
        <f t="shared" si="22"/>
        <v>0</v>
      </c>
    </row>
    <row r="57" spans="1:21" ht="19.5" x14ac:dyDescent="0.3">
      <c r="A57" s="147">
        <v>5</v>
      </c>
      <c r="B57" s="148" t="s">
        <v>85</v>
      </c>
      <c r="C57" s="472">
        <f t="shared" ca="1" si="13"/>
        <v>0</v>
      </c>
      <c r="D57" s="473">
        <f t="shared" ca="1" si="29"/>
        <v>0</v>
      </c>
      <c r="E57" s="151">
        <f ca="1">IFERROR(__xludf.DUMMYFUNCTION("IMPORTRANGE(""https://docs.google.com/spreadsheets/d/1-uDff_7J0KD5mKrp0Vvzr7lt3OU09vwQwhkpOPPYv2Y/edit?usp=sharing"",""งบพรบ!GH57"")"),0)</f>
        <v>0</v>
      </c>
      <c r="F57" s="151">
        <f ca="1">IFERROR(__xludf.DUMMYFUNCTION("IMPORTRANGE(""https://docs.google.com/spreadsheets/d/1-uDff_7J0KD5mKrp0Vvzr7lt3OU09vwQwhkpOPPYv2Y/edit?usp=sharing"",""งบพรบ!GI57"")"),0)</f>
        <v>0</v>
      </c>
      <c r="G57" s="151">
        <f ca="1">IFERROR(__xludf.DUMMYFUNCTION("IMPORTRANGE(""https://docs.google.com/spreadsheets/d/1-uDff_7J0KD5mKrp0Vvzr7lt3OU09vwQwhkpOPPYv2Y/edit?usp=sharing"",""งบพรบ!GJ57"")"),0)</f>
        <v>0</v>
      </c>
      <c r="H57" s="151">
        <f ca="1">IFERROR(__xludf.DUMMYFUNCTION("IMPORTRANGE(""https://docs.google.com/spreadsheets/d/1-uDff_7J0KD5mKrp0Vvzr7lt3OU09vwQwhkpOPPYv2Y/edit?usp=sharing"",""งบพรบ!GL57"")"),0)</f>
        <v>0</v>
      </c>
      <c r="I57" s="151">
        <f ca="1">IFERROR(__xludf.DUMMYFUNCTION("IMPORTRANGE(""https://docs.google.com/spreadsheets/d/1-uDff_7J0KD5mKrp0Vvzr7lt3OU09vwQwhkpOPPYv2Y/edit?usp=sharing"",""งบพรบ!GM57"")"),0)</f>
        <v>0</v>
      </c>
      <c r="J57" s="262">
        <f t="shared" ca="1" si="15"/>
        <v>0</v>
      </c>
      <c r="K57" s="476">
        <f t="shared" ca="1" si="16"/>
        <v>0</v>
      </c>
      <c r="L57" s="151">
        <f ca="1">IFERROR(__xludf.DUMMYFUNCTION("IMPORTRANGE(""https://docs.google.com/spreadsheets/d/1-uDff_7J0KD5mKrp0Vvzr7lt3OU09vwQwhkpOPPYv2Y/edit?usp=sharing"",""งบพรบ!GN57"")"),0)</f>
        <v>0</v>
      </c>
      <c r="M57" s="260">
        <f t="shared" ca="1" si="17"/>
        <v>0</v>
      </c>
      <c r="N57" s="260">
        <f t="shared" ca="1" si="18"/>
        <v>0</v>
      </c>
      <c r="O57" s="151">
        <f ca="1">IFERROR(__xludf.DUMMYFUNCTION("IMPORTRANGE(""https://docs.google.com/spreadsheets/d/1-uDff_7J0KD5mKrp0Vvzr7lt3OU09vwQwhkpOPPYv2Y/edit?usp=sharing"",""งบพรบ!GO57"")"),0)</f>
        <v>0</v>
      </c>
      <c r="P57" s="475">
        <f t="shared" ca="1" si="19"/>
        <v>0</v>
      </c>
      <c r="Q57" s="260">
        <f t="shared" ca="1" si="20"/>
        <v>0</v>
      </c>
      <c r="R57" s="278">
        <v>0</v>
      </c>
      <c r="S57" s="152">
        <v>0</v>
      </c>
      <c r="T57" s="216">
        <f t="shared" si="22"/>
        <v>0</v>
      </c>
    </row>
    <row r="58" spans="1:21" ht="19.5" x14ac:dyDescent="0.3">
      <c r="A58" s="147">
        <v>6</v>
      </c>
      <c r="B58" s="148" t="s">
        <v>86</v>
      </c>
      <c r="C58" s="472">
        <f t="shared" ca="1" si="13"/>
        <v>0</v>
      </c>
      <c r="D58" s="473">
        <f t="shared" ca="1" si="29"/>
        <v>0</v>
      </c>
      <c r="E58" s="151">
        <f ca="1">IFERROR(__xludf.DUMMYFUNCTION("IMPORTRANGE(""https://docs.google.com/spreadsheets/d/1-uDff_7J0KD5mKrp0Vvzr7lt3OU09vwQwhkpOPPYv2Y/edit?usp=sharing"",""งบพรบ!GH58"")"),0)</f>
        <v>0</v>
      </c>
      <c r="F58" s="151">
        <f ca="1">IFERROR(__xludf.DUMMYFUNCTION("IMPORTRANGE(""https://docs.google.com/spreadsheets/d/1-uDff_7J0KD5mKrp0Vvzr7lt3OU09vwQwhkpOPPYv2Y/edit?usp=sharing"",""งบพรบ!GI58"")"),0)</f>
        <v>0</v>
      </c>
      <c r="G58" s="151">
        <f ca="1">IFERROR(__xludf.DUMMYFUNCTION("IMPORTRANGE(""https://docs.google.com/spreadsheets/d/1-uDff_7J0KD5mKrp0Vvzr7lt3OU09vwQwhkpOPPYv2Y/edit?usp=sharing"",""งบพรบ!GJ58"")"),0)</f>
        <v>0</v>
      </c>
      <c r="H58" s="151">
        <f ca="1">IFERROR(__xludf.DUMMYFUNCTION("IMPORTRANGE(""https://docs.google.com/spreadsheets/d/1-uDff_7J0KD5mKrp0Vvzr7lt3OU09vwQwhkpOPPYv2Y/edit?usp=sharing"",""งบพรบ!GL58"")"),0)</f>
        <v>0</v>
      </c>
      <c r="I58" s="151">
        <f ca="1">IFERROR(__xludf.DUMMYFUNCTION("IMPORTRANGE(""https://docs.google.com/spreadsheets/d/1-uDff_7J0KD5mKrp0Vvzr7lt3OU09vwQwhkpOPPYv2Y/edit?usp=sharing"",""งบพรบ!GM58"")"),0)</f>
        <v>0</v>
      </c>
      <c r="J58" s="262">
        <f t="shared" ca="1" si="15"/>
        <v>0</v>
      </c>
      <c r="K58" s="476">
        <f t="shared" ca="1" si="16"/>
        <v>0</v>
      </c>
      <c r="L58" s="151">
        <f ca="1">IFERROR(__xludf.DUMMYFUNCTION("IMPORTRANGE(""https://docs.google.com/spreadsheets/d/1-uDff_7J0KD5mKrp0Vvzr7lt3OU09vwQwhkpOPPYv2Y/edit?usp=sharing"",""งบพรบ!GN58"")"),0)</f>
        <v>0</v>
      </c>
      <c r="M58" s="260">
        <f t="shared" ca="1" si="17"/>
        <v>0</v>
      </c>
      <c r="N58" s="260">
        <f t="shared" ca="1" si="18"/>
        <v>0</v>
      </c>
      <c r="O58" s="151">
        <f ca="1">IFERROR(__xludf.DUMMYFUNCTION("IMPORTRANGE(""https://docs.google.com/spreadsheets/d/1-uDff_7J0KD5mKrp0Vvzr7lt3OU09vwQwhkpOPPYv2Y/edit?usp=sharing"",""งบพรบ!GO58"")"),0)</f>
        <v>0</v>
      </c>
      <c r="P58" s="475">
        <f t="shared" ca="1" si="19"/>
        <v>0</v>
      </c>
      <c r="Q58" s="260">
        <f t="shared" ca="1" si="20"/>
        <v>0</v>
      </c>
      <c r="R58" s="278">
        <v>0</v>
      </c>
      <c r="S58" s="152">
        <v>0</v>
      </c>
      <c r="T58" s="216">
        <f t="shared" si="22"/>
        <v>0</v>
      </c>
    </row>
    <row r="59" spans="1:21" ht="19.5" x14ac:dyDescent="0.3">
      <c r="A59" s="147">
        <v>7</v>
      </c>
      <c r="B59" s="148" t="s">
        <v>87</v>
      </c>
      <c r="C59" s="472">
        <f t="shared" ca="1" si="13"/>
        <v>0</v>
      </c>
      <c r="D59" s="473">
        <f t="shared" ca="1" si="29"/>
        <v>0</v>
      </c>
      <c r="E59" s="151">
        <f ca="1">IFERROR(__xludf.DUMMYFUNCTION("IMPORTRANGE(""https://docs.google.com/spreadsheets/d/1-uDff_7J0KD5mKrp0Vvzr7lt3OU09vwQwhkpOPPYv2Y/edit?usp=sharing"",""งบพรบ!GH59"")"),0)</f>
        <v>0</v>
      </c>
      <c r="F59" s="151">
        <f ca="1">IFERROR(__xludf.DUMMYFUNCTION("IMPORTRANGE(""https://docs.google.com/spreadsheets/d/1-uDff_7J0KD5mKrp0Vvzr7lt3OU09vwQwhkpOPPYv2Y/edit?usp=sharing"",""งบพรบ!GI59"")"),0)</f>
        <v>0</v>
      </c>
      <c r="G59" s="151">
        <f ca="1">IFERROR(__xludf.DUMMYFUNCTION("IMPORTRANGE(""https://docs.google.com/spreadsheets/d/1-uDff_7J0KD5mKrp0Vvzr7lt3OU09vwQwhkpOPPYv2Y/edit?usp=sharing"",""งบพรบ!GJ59"")"),0)</f>
        <v>0</v>
      </c>
      <c r="H59" s="151">
        <f ca="1">IFERROR(__xludf.DUMMYFUNCTION("IMPORTRANGE(""https://docs.google.com/spreadsheets/d/1-uDff_7J0KD5mKrp0Vvzr7lt3OU09vwQwhkpOPPYv2Y/edit?usp=sharing"",""งบพรบ!GL59"")"),0)</f>
        <v>0</v>
      </c>
      <c r="I59" s="151">
        <f ca="1">IFERROR(__xludf.DUMMYFUNCTION("IMPORTRANGE(""https://docs.google.com/spreadsheets/d/1-uDff_7J0KD5mKrp0Vvzr7lt3OU09vwQwhkpOPPYv2Y/edit?usp=sharing"",""งบพรบ!GM59"")"),0)</f>
        <v>0</v>
      </c>
      <c r="J59" s="262">
        <f t="shared" ca="1" si="15"/>
        <v>0</v>
      </c>
      <c r="K59" s="476">
        <f t="shared" ca="1" si="16"/>
        <v>0</v>
      </c>
      <c r="L59" s="151">
        <f ca="1">IFERROR(__xludf.DUMMYFUNCTION("IMPORTRANGE(""https://docs.google.com/spreadsheets/d/1-uDff_7J0KD5mKrp0Vvzr7lt3OU09vwQwhkpOPPYv2Y/edit?usp=sharing"",""งบพรบ!GN59"")"),0)</f>
        <v>0</v>
      </c>
      <c r="M59" s="260">
        <f t="shared" ca="1" si="17"/>
        <v>0</v>
      </c>
      <c r="N59" s="260">
        <f t="shared" ca="1" si="18"/>
        <v>0</v>
      </c>
      <c r="O59" s="151">
        <f ca="1">IFERROR(__xludf.DUMMYFUNCTION("IMPORTRANGE(""https://docs.google.com/spreadsheets/d/1-uDff_7J0KD5mKrp0Vvzr7lt3OU09vwQwhkpOPPYv2Y/edit?usp=sharing"",""งบพรบ!GO59"")"),0)</f>
        <v>0</v>
      </c>
      <c r="P59" s="475">
        <f t="shared" ca="1" si="19"/>
        <v>0</v>
      </c>
      <c r="Q59" s="260">
        <f t="shared" ca="1" si="20"/>
        <v>0</v>
      </c>
      <c r="R59" s="278">
        <v>0</v>
      </c>
      <c r="S59" s="152">
        <v>0</v>
      </c>
      <c r="T59" s="216">
        <f t="shared" si="22"/>
        <v>0</v>
      </c>
    </row>
    <row r="60" spans="1:21" ht="19.5" x14ac:dyDescent="0.3">
      <c r="A60" s="147">
        <v>8</v>
      </c>
      <c r="B60" s="148" t="s">
        <v>88</v>
      </c>
      <c r="C60" s="472">
        <f t="shared" ca="1" si="13"/>
        <v>0</v>
      </c>
      <c r="D60" s="473">
        <f t="shared" ca="1" si="29"/>
        <v>0</v>
      </c>
      <c r="E60" s="151">
        <f ca="1">IFERROR(__xludf.DUMMYFUNCTION("IMPORTRANGE(""https://docs.google.com/spreadsheets/d/1-uDff_7J0KD5mKrp0Vvzr7lt3OU09vwQwhkpOPPYv2Y/edit?usp=sharing"",""งบพรบ!GH60"")"),0)</f>
        <v>0</v>
      </c>
      <c r="F60" s="151">
        <f ca="1">IFERROR(__xludf.DUMMYFUNCTION("IMPORTRANGE(""https://docs.google.com/spreadsheets/d/1-uDff_7J0KD5mKrp0Vvzr7lt3OU09vwQwhkpOPPYv2Y/edit?usp=sharing"",""งบพรบ!GI60"")"),0)</f>
        <v>0</v>
      </c>
      <c r="G60" s="151">
        <f ca="1">IFERROR(__xludf.DUMMYFUNCTION("IMPORTRANGE(""https://docs.google.com/spreadsheets/d/1-uDff_7J0KD5mKrp0Vvzr7lt3OU09vwQwhkpOPPYv2Y/edit?usp=sharing"",""งบพรบ!GJ60"")"),0)</f>
        <v>0</v>
      </c>
      <c r="H60" s="151">
        <f ca="1">IFERROR(__xludf.DUMMYFUNCTION("IMPORTRANGE(""https://docs.google.com/spreadsheets/d/1-uDff_7J0KD5mKrp0Vvzr7lt3OU09vwQwhkpOPPYv2Y/edit?usp=sharing"",""งบพรบ!GL60"")"),0)</f>
        <v>0</v>
      </c>
      <c r="I60" s="151">
        <f ca="1">IFERROR(__xludf.DUMMYFUNCTION("IMPORTRANGE(""https://docs.google.com/spreadsheets/d/1-uDff_7J0KD5mKrp0Vvzr7lt3OU09vwQwhkpOPPYv2Y/edit?usp=sharing"",""งบพรบ!GM60"")"),0)</f>
        <v>0</v>
      </c>
      <c r="J60" s="262">
        <f t="shared" ca="1" si="15"/>
        <v>0</v>
      </c>
      <c r="K60" s="476">
        <f t="shared" ca="1" si="16"/>
        <v>0</v>
      </c>
      <c r="L60" s="151">
        <f ca="1">IFERROR(__xludf.DUMMYFUNCTION("IMPORTRANGE(""https://docs.google.com/spreadsheets/d/1-uDff_7J0KD5mKrp0Vvzr7lt3OU09vwQwhkpOPPYv2Y/edit?usp=sharing"",""งบพรบ!GN60"")"),0)</f>
        <v>0</v>
      </c>
      <c r="M60" s="260">
        <f t="shared" ca="1" si="17"/>
        <v>0</v>
      </c>
      <c r="N60" s="260">
        <f t="shared" ca="1" si="18"/>
        <v>0</v>
      </c>
      <c r="O60" s="151">
        <f ca="1">IFERROR(__xludf.DUMMYFUNCTION("IMPORTRANGE(""https://docs.google.com/spreadsheets/d/1-uDff_7J0KD5mKrp0Vvzr7lt3OU09vwQwhkpOPPYv2Y/edit?usp=sharing"",""งบพรบ!GO60"")"),0)</f>
        <v>0</v>
      </c>
      <c r="P60" s="475">
        <f t="shared" ca="1" si="19"/>
        <v>0</v>
      </c>
      <c r="Q60" s="260">
        <f t="shared" ca="1" si="20"/>
        <v>0</v>
      </c>
      <c r="R60" s="278">
        <v>0</v>
      </c>
      <c r="S60" s="152">
        <v>0</v>
      </c>
      <c r="T60" s="216">
        <f t="shared" si="22"/>
        <v>0</v>
      </c>
    </row>
    <row r="61" spans="1:21" ht="19.5" x14ac:dyDescent="0.3">
      <c r="A61" s="147">
        <v>9</v>
      </c>
      <c r="B61" s="148" t="s">
        <v>89</v>
      </c>
      <c r="C61" s="472">
        <f t="shared" ca="1" si="13"/>
        <v>0</v>
      </c>
      <c r="D61" s="473">
        <f t="shared" ca="1" si="29"/>
        <v>0</v>
      </c>
      <c r="E61" s="151">
        <f ca="1">IFERROR(__xludf.DUMMYFUNCTION("IMPORTRANGE(""https://docs.google.com/spreadsheets/d/1-uDff_7J0KD5mKrp0Vvzr7lt3OU09vwQwhkpOPPYv2Y/edit?usp=sharing"",""งบพรบ!GH61"")"),0)</f>
        <v>0</v>
      </c>
      <c r="F61" s="151">
        <f ca="1">IFERROR(__xludf.DUMMYFUNCTION("IMPORTRANGE(""https://docs.google.com/spreadsheets/d/1-uDff_7J0KD5mKrp0Vvzr7lt3OU09vwQwhkpOPPYv2Y/edit?usp=sharing"",""งบพรบ!GI61"")"),0)</f>
        <v>0</v>
      </c>
      <c r="G61" s="151">
        <f ca="1">IFERROR(__xludf.DUMMYFUNCTION("IMPORTRANGE(""https://docs.google.com/spreadsheets/d/1-uDff_7J0KD5mKrp0Vvzr7lt3OU09vwQwhkpOPPYv2Y/edit?usp=sharing"",""งบพรบ!GJ61"")"),0)</f>
        <v>0</v>
      </c>
      <c r="H61" s="151">
        <f ca="1">IFERROR(__xludf.DUMMYFUNCTION("IMPORTRANGE(""https://docs.google.com/spreadsheets/d/1-uDff_7J0KD5mKrp0Vvzr7lt3OU09vwQwhkpOPPYv2Y/edit?usp=sharing"",""งบพรบ!GL61"")"),0)</f>
        <v>0</v>
      </c>
      <c r="I61" s="151">
        <f ca="1">IFERROR(__xludf.DUMMYFUNCTION("IMPORTRANGE(""https://docs.google.com/spreadsheets/d/1-uDff_7J0KD5mKrp0Vvzr7lt3OU09vwQwhkpOPPYv2Y/edit?usp=sharing"",""งบพรบ!GM61"")"),0)</f>
        <v>0</v>
      </c>
      <c r="J61" s="262">
        <f t="shared" ca="1" si="15"/>
        <v>0</v>
      </c>
      <c r="K61" s="476">
        <f t="shared" ca="1" si="16"/>
        <v>0</v>
      </c>
      <c r="L61" s="151">
        <f ca="1">IFERROR(__xludf.DUMMYFUNCTION("IMPORTRANGE(""https://docs.google.com/spreadsheets/d/1-uDff_7J0KD5mKrp0Vvzr7lt3OU09vwQwhkpOPPYv2Y/edit?usp=sharing"",""งบพรบ!GN61"")"),0)</f>
        <v>0</v>
      </c>
      <c r="M61" s="260">
        <f t="shared" ca="1" si="17"/>
        <v>0</v>
      </c>
      <c r="N61" s="260">
        <f t="shared" ca="1" si="18"/>
        <v>0</v>
      </c>
      <c r="O61" s="151">
        <f ca="1">IFERROR(__xludf.DUMMYFUNCTION("IMPORTRANGE(""https://docs.google.com/spreadsheets/d/1-uDff_7J0KD5mKrp0Vvzr7lt3OU09vwQwhkpOPPYv2Y/edit?usp=sharing"",""งบพรบ!GO61"")"),0)</f>
        <v>0</v>
      </c>
      <c r="P61" s="475">
        <f t="shared" ca="1" si="19"/>
        <v>0</v>
      </c>
      <c r="Q61" s="260">
        <f t="shared" ca="1" si="20"/>
        <v>0</v>
      </c>
      <c r="R61" s="278">
        <v>0</v>
      </c>
      <c r="S61" s="152">
        <v>0</v>
      </c>
      <c r="T61" s="216">
        <f t="shared" si="22"/>
        <v>0</v>
      </c>
    </row>
    <row r="62" spans="1:21" ht="19.5" x14ac:dyDescent="0.3">
      <c r="A62" s="147">
        <v>10</v>
      </c>
      <c r="B62" s="148" t="s">
        <v>90</v>
      </c>
      <c r="C62" s="472">
        <f t="shared" ca="1" si="13"/>
        <v>0</v>
      </c>
      <c r="D62" s="473">
        <f t="shared" ca="1" si="29"/>
        <v>0</v>
      </c>
      <c r="E62" s="151">
        <f ca="1">IFERROR(__xludf.DUMMYFUNCTION("IMPORTRANGE(""https://docs.google.com/spreadsheets/d/1-uDff_7J0KD5mKrp0Vvzr7lt3OU09vwQwhkpOPPYv2Y/edit?usp=sharing"",""งบพรบ!GH62"")"),0)</f>
        <v>0</v>
      </c>
      <c r="F62" s="151">
        <f ca="1">IFERROR(__xludf.DUMMYFUNCTION("IMPORTRANGE(""https://docs.google.com/spreadsheets/d/1-uDff_7J0KD5mKrp0Vvzr7lt3OU09vwQwhkpOPPYv2Y/edit?usp=sharing"",""งบพรบ!GI62"")"),0)</f>
        <v>0</v>
      </c>
      <c r="G62" s="151">
        <f ca="1">IFERROR(__xludf.DUMMYFUNCTION("IMPORTRANGE(""https://docs.google.com/spreadsheets/d/1-uDff_7J0KD5mKrp0Vvzr7lt3OU09vwQwhkpOPPYv2Y/edit?usp=sharing"",""งบพรบ!GJ62"")"),0)</f>
        <v>0</v>
      </c>
      <c r="H62" s="151">
        <f ca="1">IFERROR(__xludf.DUMMYFUNCTION("IMPORTRANGE(""https://docs.google.com/spreadsheets/d/1-uDff_7J0KD5mKrp0Vvzr7lt3OU09vwQwhkpOPPYv2Y/edit?usp=sharing"",""งบพรบ!GL62"")"),0)</f>
        <v>0</v>
      </c>
      <c r="I62" s="151">
        <f ca="1">IFERROR(__xludf.DUMMYFUNCTION("IMPORTRANGE(""https://docs.google.com/spreadsheets/d/1-uDff_7J0KD5mKrp0Vvzr7lt3OU09vwQwhkpOPPYv2Y/edit?usp=sharing"",""งบพรบ!GM62"")"),0)</f>
        <v>0</v>
      </c>
      <c r="J62" s="262">
        <f t="shared" ca="1" si="15"/>
        <v>0</v>
      </c>
      <c r="K62" s="476">
        <f t="shared" ca="1" si="16"/>
        <v>0</v>
      </c>
      <c r="L62" s="151">
        <f ca="1">IFERROR(__xludf.DUMMYFUNCTION("IMPORTRANGE(""https://docs.google.com/spreadsheets/d/1-uDff_7J0KD5mKrp0Vvzr7lt3OU09vwQwhkpOPPYv2Y/edit?usp=sharing"",""งบพรบ!GN62"")"),0)</f>
        <v>0</v>
      </c>
      <c r="M62" s="260">
        <f t="shared" ca="1" si="17"/>
        <v>0</v>
      </c>
      <c r="N62" s="260">
        <f t="shared" ca="1" si="18"/>
        <v>0</v>
      </c>
      <c r="O62" s="151">
        <f ca="1">IFERROR(__xludf.DUMMYFUNCTION("IMPORTRANGE(""https://docs.google.com/spreadsheets/d/1-uDff_7J0KD5mKrp0Vvzr7lt3OU09vwQwhkpOPPYv2Y/edit?usp=sharing"",""งบพรบ!GO62"")"),0)</f>
        <v>0</v>
      </c>
      <c r="P62" s="475">
        <f t="shared" ca="1" si="19"/>
        <v>0</v>
      </c>
      <c r="Q62" s="260">
        <f t="shared" ca="1" si="20"/>
        <v>0</v>
      </c>
      <c r="R62" s="278">
        <v>0</v>
      </c>
      <c r="S62" s="152">
        <v>0</v>
      </c>
      <c r="T62" s="216">
        <f t="shared" si="22"/>
        <v>0</v>
      </c>
    </row>
    <row r="63" spans="1:21" ht="19.5" x14ac:dyDescent="0.3">
      <c r="A63" s="147">
        <v>11</v>
      </c>
      <c r="B63" s="148" t="s">
        <v>91</v>
      </c>
      <c r="C63" s="472">
        <f t="shared" ca="1" si="13"/>
        <v>0</v>
      </c>
      <c r="D63" s="473">
        <f t="shared" ca="1" si="29"/>
        <v>0</v>
      </c>
      <c r="E63" s="151">
        <f ca="1">IFERROR(__xludf.DUMMYFUNCTION("IMPORTRANGE(""https://docs.google.com/spreadsheets/d/1-uDff_7J0KD5mKrp0Vvzr7lt3OU09vwQwhkpOPPYv2Y/edit?usp=sharing"",""งบพรบ!GH63"")"),0)</f>
        <v>0</v>
      </c>
      <c r="F63" s="151">
        <f ca="1">IFERROR(__xludf.DUMMYFUNCTION("IMPORTRANGE(""https://docs.google.com/spreadsheets/d/1-uDff_7J0KD5mKrp0Vvzr7lt3OU09vwQwhkpOPPYv2Y/edit?usp=sharing"",""งบพรบ!GI63"")"),0)</f>
        <v>0</v>
      </c>
      <c r="G63" s="151">
        <f ca="1">IFERROR(__xludf.DUMMYFUNCTION("IMPORTRANGE(""https://docs.google.com/spreadsheets/d/1-uDff_7J0KD5mKrp0Vvzr7lt3OU09vwQwhkpOPPYv2Y/edit?usp=sharing"",""งบพรบ!GJ63"")"),0)</f>
        <v>0</v>
      </c>
      <c r="H63" s="151">
        <f ca="1">IFERROR(__xludf.DUMMYFUNCTION("IMPORTRANGE(""https://docs.google.com/spreadsheets/d/1-uDff_7J0KD5mKrp0Vvzr7lt3OU09vwQwhkpOPPYv2Y/edit?usp=sharing"",""งบพรบ!GL63"")"),0)</f>
        <v>0</v>
      </c>
      <c r="I63" s="151">
        <f ca="1">IFERROR(__xludf.DUMMYFUNCTION("IMPORTRANGE(""https://docs.google.com/spreadsheets/d/1-uDff_7J0KD5mKrp0Vvzr7lt3OU09vwQwhkpOPPYv2Y/edit?usp=sharing"",""งบพรบ!GM63"")"),0)</f>
        <v>0</v>
      </c>
      <c r="J63" s="262">
        <f t="shared" ca="1" si="15"/>
        <v>0</v>
      </c>
      <c r="K63" s="476">
        <f t="shared" ca="1" si="16"/>
        <v>0</v>
      </c>
      <c r="L63" s="151">
        <f ca="1">IFERROR(__xludf.DUMMYFUNCTION("IMPORTRANGE(""https://docs.google.com/spreadsheets/d/1-uDff_7J0KD5mKrp0Vvzr7lt3OU09vwQwhkpOPPYv2Y/edit?usp=sharing"",""งบพรบ!GN63"")"),0)</f>
        <v>0</v>
      </c>
      <c r="M63" s="260">
        <f t="shared" ca="1" si="17"/>
        <v>0</v>
      </c>
      <c r="N63" s="260">
        <f t="shared" ca="1" si="18"/>
        <v>0</v>
      </c>
      <c r="O63" s="151">
        <f ca="1">IFERROR(__xludf.DUMMYFUNCTION("IMPORTRANGE(""https://docs.google.com/spreadsheets/d/1-uDff_7J0KD5mKrp0Vvzr7lt3OU09vwQwhkpOPPYv2Y/edit?usp=sharing"",""งบพรบ!GO63"")"),0)</f>
        <v>0</v>
      </c>
      <c r="P63" s="475">
        <f t="shared" ca="1" si="19"/>
        <v>0</v>
      </c>
      <c r="Q63" s="260">
        <f t="shared" ca="1" si="20"/>
        <v>0</v>
      </c>
      <c r="R63" s="278">
        <v>0</v>
      </c>
      <c r="S63" s="152">
        <v>0</v>
      </c>
      <c r="T63" s="216">
        <f t="shared" si="22"/>
        <v>0</v>
      </c>
    </row>
    <row r="64" spans="1:21" ht="19.5" x14ac:dyDescent="0.3">
      <c r="A64" s="147">
        <v>12</v>
      </c>
      <c r="B64" s="148" t="s">
        <v>92</v>
      </c>
      <c r="C64" s="472">
        <f t="shared" ca="1" si="13"/>
        <v>0</v>
      </c>
      <c r="D64" s="473">
        <f t="shared" ca="1" si="29"/>
        <v>0</v>
      </c>
      <c r="E64" s="151">
        <f ca="1">IFERROR(__xludf.DUMMYFUNCTION("IMPORTRANGE(""https://docs.google.com/spreadsheets/d/1-uDff_7J0KD5mKrp0Vvzr7lt3OU09vwQwhkpOPPYv2Y/edit?usp=sharing"",""งบพรบ!GH64"")"),0)</f>
        <v>0</v>
      </c>
      <c r="F64" s="151">
        <f ca="1">IFERROR(__xludf.DUMMYFUNCTION("IMPORTRANGE(""https://docs.google.com/spreadsheets/d/1-uDff_7J0KD5mKrp0Vvzr7lt3OU09vwQwhkpOPPYv2Y/edit?usp=sharing"",""งบพรบ!GI64"")"),0)</f>
        <v>0</v>
      </c>
      <c r="G64" s="151">
        <f ca="1">IFERROR(__xludf.DUMMYFUNCTION("IMPORTRANGE(""https://docs.google.com/spreadsheets/d/1-uDff_7J0KD5mKrp0Vvzr7lt3OU09vwQwhkpOPPYv2Y/edit?usp=sharing"",""งบพรบ!GJ64"")"),0)</f>
        <v>0</v>
      </c>
      <c r="H64" s="151">
        <f ca="1">IFERROR(__xludf.DUMMYFUNCTION("IMPORTRANGE(""https://docs.google.com/spreadsheets/d/1-uDff_7J0KD5mKrp0Vvzr7lt3OU09vwQwhkpOPPYv2Y/edit?usp=sharing"",""งบพรบ!GL64"")"),0)</f>
        <v>0</v>
      </c>
      <c r="I64" s="151">
        <f ca="1">IFERROR(__xludf.DUMMYFUNCTION("IMPORTRANGE(""https://docs.google.com/spreadsheets/d/1-uDff_7J0KD5mKrp0Vvzr7lt3OU09vwQwhkpOPPYv2Y/edit?usp=sharing"",""งบพรบ!GM64"")"),0)</f>
        <v>0</v>
      </c>
      <c r="J64" s="262">
        <f t="shared" ca="1" si="15"/>
        <v>0</v>
      </c>
      <c r="K64" s="476">
        <f t="shared" ca="1" si="16"/>
        <v>0</v>
      </c>
      <c r="L64" s="151">
        <f ca="1">IFERROR(__xludf.DUMMYFUNCTION("IMPORTRANGE(""https://docs.google.com/spreadsheets/d/1-uDff_7J0KD5mKrp0Vvzr7lt3OU09vwQwhkpOPPYv2Y/edit?usp=sharing"",""งบพรบ!GN64"")"),0)</f>
        <v>0</v>
      </c>
      <c r="M64" s="260">
        <f t="shared" ca="1" si="17"/>
        <v>0</v>
      </c>
      <c r="N64" s="260">
        <f t="shared" ca="1" si="18"/>
        <v>0</v>
      </c>
      <c r="O64" s="151">
        <f ca="1">IFERROR(__xludf.DUMMYFUNCTION("IMPORTRANGE(""https://docs.google.com/spreadsheets/d/1-uDff_7J0KD5mKrp0Vvzr7lt3OU09vwQwhkpOPPYv2Y/edit?usp=sharing"",""งบพรบ!GO64"")"),0)</f>
        <v>0</v>
      </c>
      <c r="P64" s="475">
        <f t="shared" ca="1" si="19"/>
        <v>0</v>
      </c>
      <c r="Q64" s="260">
        <f t="shared" ca="1" si="20"/>
        <v>0</v>
      </c>
      <c r="R64" s="278">
        <v>0</v>
      </c>
      <c r="S64" s="152">
        <v>0</v>
      </c>
      <c r="T64" s="216">
        <f t="shared" si="22"/>
        <v>0</v>
      </c>
    </row>
    <row r="65" spans="1:21" ht="19.5" x14ac:dyDescent="0.3">
      <c r="A65" s="147">
        <v>13</v>
      </c>
      <c r="B65" s="148" t="s">
        <v>93</v>
      </c>
      <c r="C65" s="472">
        <f t="shared" ca="1" si="13"/>
        <v>1671400</v>
      </c>
      <c r="D65" s="473">
        <f t="shared" ca="1" si="29"/>
        <v>0</v>
      </c>
      <c r="E65" s="151">
        <f ca="1">IFERROR(__xludf.DUMMYFUNCTION("IMPORTRANGE(""https://docs.google.com/spreadsheets/d/1-uDff_7J0KD5mKrp0Vvzr7lt3OU09vwQwhkpOPPYv2Y/edit?usp=sharing"",""งบพรบ!GH65"")"),0)</f>
        <v>0</v>
      </c>
      <c r="F65" s="151">
        <f ca="1">IFERROR(__xludf.DUMMYFUNCTION("IMPORTRANGE(""https://docs.google.com/spreadsheets/d/1-uDff_7J0KD5mKrp0Vvzr7lt3OU09vwQwhkpOPPYv2Y/edit?usp=sharing"",""งบพรบ!GI65"")"),0)</f>
        <v>0</v>
      </c>
      <c r="G65" s="151">
        <f ca="1">IFERROR(__xludf.DUMMYFUNCTION("IMPORTRANGE(""https://docs.google.com/spreadsheets/d/1-uDff_7J0KD5mKrp0Vvzr7lt3OU09vwQwhkpOPPYv2Y/edit?usp=sharing"",""งบพรบ!GJ65"")"),1671400)</f>
        <v>1671400</v>
      </c>
      <c r="H65" s="151">
        <f ca="1">IFERROR(__xludf.DUMMYFUNCTION("IMPORTRANGE(""https://docs.google.com/spreadsheets/d/1-uDff_7J0KD5mKrp0Vvzr7lt3OU09vwQwhkpOPPYv2Y/edit?usp=sharing"",""งบพรบ!GL65"")"),31650)</f>
        <v>31650</v>
      </c>
      <c r="I65" s="151">
        <f ca="1">IFERROR(__xludf.DUMMYFUNCTION("IMPORTRANGE(""https://docs.google.com/spreadsheets/d/1-uDff_7J0KD5mKrp0Vvzr7lt3OU09vwQwhkpOPPYv2Y/edit?usp=sharing"",""งบพรบ!GM65"")"),960000)</f>
        <v>960000</v>
      </c>
      <c r="J65" s="262">
        <f t="shared" ca="1" si="15"/>
        <v>960000</v>
      </c>
      <c r="K65" s="476">
        <f t="shared" ca="1" si="16"/>
        <v>57.436879262893385</v>
      </c>
      <c r="L65" s="151">
        <f ca="1">IFERROR(__xludf.DUMMYFUNCTION("IMPORTRANGE(""https://docs.google.com/spreadsheets/d/1-uDff_7J0KD5mKrp0Vvzr7lt3OU09vwQwhkpOPPYv2Y/edit?usp=sharing"",""งบพรบ!GN65"")"),0)</f>
        <v>0</v>
      </c>
      <c r="M65" s="260">
        <f t="shared" ca="1" si="17"/>
        <v>0</v>
      </c>
      <c r="N65" s="260">
        <f t="shared" ca="1" si="18"/>
        <v>0</v>
      </c>
      <c r="O65" s="151">
        <f ca="1">IFERROR(__xludf.DUMMYFUNCTION("IMPORTRANGE(""https://docs.google.com/spreadsheets/d/1-uDff_7J0KD5mKrp0Vvzr7lt3OU09vwQwhkpOPPYv2Y/edit?usp=sharing"",""งบพรบ!GO65"")"),960000)</f>
        <v>960000</v>
      </c>
      <c r="P65" s="475">
        <f t="shared" ca="1" si="19"/>
        <v>57.436879262893385</v>
      </c>
      <c r="Q65" s="260">
        <f t="shared" ca="1" si="20"/>
        <v>100</v>
      </c>
      <c r="R65" s="278">
        <f ca="1">IFERROR(__xludf.DUMMYFUNCTION("IMPORTRANGE(""https://docs.google.com/spreadsheets/d/1YXvxf8Yu6_rV4hTBrwMqAcAnv6DfhUxh5emyM3CJp_w/edit?usp=sharing"",""เพชรบุรี!I565"")"),1)</f>
        <v>1</v>
      </c>
      <c r="S65" s="152">
        <f ca="1">IFERROR(__xludf.DUMMYFUNCTION("IMPORTRANGE(""https://docs.google.com/spreadsheets/d/1YXvxf8Yu6_rV4hTBrwMqAcAnv6DfhUxh5emyM3CJp_w/edit?usp=sharing"",""เพชรบุรี!J565"")"),0)</f>
        <v>0</v>
      </c>
      <c r="T65" s="216">
        <f t="shared" ca="1" si="22"/>
        <v>0</v>
      </c>
    </row>
    <row r="66" spans="1:21" ht="19.5" x14ac:dyDescent="0.3">
      <c r="A66" s="147">
        <v>14</v>
      </c>
      <c r="B66" s="148" t="s">
        <v>94</v>
      </c>
      <c r="C66" s="472">
        <f t="shared" ca="1" si="13"/>
        <v>0</v>
      </c>
      <c r="D66" s="473">
        <f t="shared" ca="1" si="29"/>
        <v>0</v>
      </c>
      <c r="E66" s="151">
        <f ca="1">IFERROR(__xludf.DUMMYFUNCTION("IMPORTRANGE(""https://docs.google.com/spreadsheets/d/1-uDff_7J0KD5mKrp0Vvzr7lt3OU09vwQwhkpOPPYv2Y/edit?usp=sharing"",""งบพรบ!GH66"")"),0)</f>
        <v>0</v>
      </c>
      <c r="F66" s="151">
        <f ca="1">IFERROR(__xludf.DUMMYFUNCTION("IMPORTRANGE(""https://docs.google.com/spreadsheets/d/1-uDff_7J0KD5mKrp0Vvzr7lt3OU09vwQwhkpOPPYv2Y/edit?usp=sharing"",""งบพรบ!GI66"")"),0)</f>
        <v>0</v>
      </c>
      <c r="G66" s="151">
        <f ca="1">IFERROR(__xludf.DUMMYFUNCTION("IMPORTRANGE(""https://docs.google.com/spreadsheets/d/1-uDff_7J0KD5mKrp0Vvzr7lt3OU09vwQwhkpOPPYv2Y/edit?usp=sharing"",""งบพรบ!GJ66"")"),0)</f>
        <v>0</v>
      </c>
      <c r="H66" s="151">
        <f ca="1">IFERROR(__xludf.DUMMYFUNCTION("IMPORTRANGE(""https://docs.google.com/spreadsheets/d/1-uDff_7J0KD5mKrp0Vvzr7lt3OU09vwQwhkpOPPYv2Y/edit?usp=sharing"",""งบพรบ!GL66"")"),0)</f>
        <v>0</v>
      </c>
      <c r="I66" s="151">
        <f ca="1">IFERROR(__xludf.DUMMYFUNCTION("IMPORTRANGE(""https://docs.google.com/spreadsheets/d/1-uDff_7J0KD5mKrp0Vvzr7lt3OU09vwQwhkpOPPYv2Y/edit?usp=sharing"",""งบพรบ!GM66"")"),0)</f>
        <v>0</v>
      </c>
      <c r="J66" s="262">
        <f t="shared" ca="1" si="15"/>
        <v>0</v>
      </c>
      <c r="K66" s="476">
        <f t="shared" ca="1" si="16"/>
        <v>0</v>
      </c>
      <c r="L66" s="151">
        <f ca="1">IFERROR(__xludf.DUMMYFUNCTION("IMPORTRANGE(""https://docs.google.com/spreadsheets/d/1-uDff_7J0KD5mKrp0Vvzr7lt3OU09vwQwhkpOPPYv2Y/edit?usp=sharing"",""งบพรบ!GN66"")"),0)</f>
        <v>0</v>
      </c>
      <c r="M66" s="260">
        <f t="shared" ca="1" si="17"/>
        <v>0</v>
      </c>
      <c r="N66" s="260">
        <f t="shared" ca="1" si="18"/>
        <v>0</v>
      </c>
      <c r="O66" s="151">
        <f ca="1">IFERROR(__xludf.DUMMYFUNCTION("IMPORTRANGE(""https://docs.google.com/spreadsheets/d/1-uDff_7J0KD5mKrp0Vvzr7lt3OU09vwQwhkpOPPYv2Y/edit?usp=sharing"",""งบพรบ!GO66"")"),0)</f>
        <v>0</v>
      </c>
      <c r="P66" s="475">
        <f t="shared" ca="1" si="19"/>
        <v>0</v>
      </c>
      <c r="Q66" s="260">
        <f t="shared" ca="1" si="20"/>
        <v>0</v>
      </c>
      <c r="R66" s="278">
        <v>0</v>
      </c>
      <c r="S66" s="152">
        <v>0</v>
      </c>
      <c r="T66" s="216">
        <f t="shared" si="22"/>
        <v>0</v>
      </c>
    </row>
    <row r="67" spans="1:21" ht="19.5" x14ac:dyDescent="0.3">
      <c r="A67" s="147">
        <v>15</v>
      </c>
      <c r="B67" s="148" t="s">
        <v>95</v>
      </c>
      <c r="C67" s="472">
        <f t="shared" ca="1" si="13"/>
        <v>0</v>
      </c>
      <c r="D67" s="473">
        <f t="shared" ca="1" si="29"/>
        <v>0</v>
      </c>
      <c r="E67" s="151">
        <f ca="1">IFERROR(__xludf.DUMMYFUNCTION("IMPORTRANGE(""https://docs.google.com/spreadsheets/d/1-uDff_7J0KD5mKrp0Vvzr7lt3OU09vwQwhkpOPPYv2Y/edit?usp=sharing"",""งบพรบ!GH67"")"),0)</f>
        <v>0</v>
      </c>
      <c r="F67" s="151">
        <f ca="1">IFERROR(__xludf.DUMMYFUNCTION("IMPORTRANGE(""https://docs.google.com/spreadsheets/d/1-uDff_7J0KD5mKrp0Vvzr7lt3OU09vwQwhkpOPPYv2Y/edit?usp=sharing"",""งบพรบ!GI67"")"),0)</f>
        <v>0</v>
      </c>
      <c r="G67" s="151">
        <f ca="1">IFERROR(__xludf.DUMMYFUNCTION("IMPORTRANGE(""https://docs.google.com/spreadsheets/d/1-uDff_7J0KD5mKrp0Vvzr7lt3OU09vwQwhkpOPPYv2Y/edit?usp=sharing"",""งบพรบ!GJ67"")"),0)</f>
        <v>0</v>
      </c>
      <c r="H67" s="151">
        <f ca="1">IFERROR(__xludf.DUMMYFUNCTION("IMPORTRANGE(""https://docs.google.com/spreadsheets/d/1-uDff_7J0KD5mKrp0Vvzr7lt3OU09vwQwhkpOPPYv2Y/edit?usp=sharing"",""งบพรบ!GL67"")"),0)</f>
        <v>0</v>
      </c>
      <c r="I67" s="151">
        <f ca="1">IFERROR(__xludf.DUMMYFUNCTION("IMPORTRANGE(""https://docs.google.com/spreadsheets/d/1-uDff_7J0KD5mKrp0Vvzr7lt3OU09vwQwhkpOPPYv2Y/edit?usp=sharing"",""งบพรบ!GM67"")"),0)</f>
        <v>0</v>
      </c>
      <c r="J67" s="262">
        <f t="shared" ca="1" si="15"/>
        <v>0</v>
      </c>
      <c r="K67" s="476">
        <f t="shared" ca="1" si="16"/>
        <v>0</v>
      </c>
      <c r="L67" s="151">
        <f ca="1">IFERROR(__xludf.DUMMYFUNCTION("IMPORTRANGE(""https://docs.google.com/spreadsheets/d/1-uDff_7J0KD5mKrp0Vvzr7lt3OU09vwQwhkpOPPYv2Y/edit?usp=sharing"",""งบพรบ!GN67"")"),0)</f>
        <v>0</v>
      </c>
      <c r="M67" s="260">
        <f t="shared" ca="1" si="17"/>
        <v>0</v>
      </c>
      <c r="N67" s="260">
        <f t="shared" ca="1" si="18"/>
        <v>0</v>
      </c>
      <c r="O67" s="151">
        <f ca="1">IFERROR(__xludf.DUMMYFUNCTION("IMPORTRANGE(""https://docs.google.com/spreadsheets/d/1-uDff_7J0KD5mKrp0Vvzr7lt3OU09vwQwhkpOPPYv2Y/edit?usp=sharing"",""งบพรบ!GO67"")"),0)</f>
        <v>0</v>
      </c>
      <c r="P67" s="475">
        <f t="shared" ca="1" si="19"/>
        <v>0</v>
      </c>
      <c r="Q67" s="260">
        <f t="shared" ca="1" si="20"/>
        <v>0</v>
      </c>
      <c r="R67" s="278">
        <v>0</v>
      </c>
      <c r="S67" s="152">
        <v>0</v>
      </c>
      <c r="T67" s="216">
        <f t="shared" si="22"/>
        <v>0</v>
      </c>
    </row>
    <row r="68" spans="1:21" ht="19.5" x14ac:dyDescent="0.3">
      <c r="A68" s="147">
        <v>16</v>
      </c>
      <c r="B68" s="148" t="s">
        <v>96</v>
      </c>
      <c r="C68" s="472">
        <f t="shared" ca="1" si="13"/>
        <v>0</v>
      </c>
      <c r="D68" s="473">
        <f t="shared" ca="1" si="29"/>
        <v>0</v>
      </c>
      <c r="E68" s="151">
        <f ca="1">IFERROR(__xludf.DUMMYFUNCTION("IMPORTRANGE(""https://docs.google.com/spreadsheets/d/1-uDff_7J0KD5mKrp0Vvzr7lt3OU09vwQwhkpOPPYv2Y/edit?usp=sharing"",""งบพรบ!GH68"")"),0)</f>
        <v>0</v>
      </c>
      <c r="F68" s="151">
        <f ca="1">IFERROR(__xludf.DUMMYFUNCTION("IMPORTRANGE(""https://docs.google.com/spreadsheets/d/1-uDff_7J0KD5mKrp0Vvzr7lt3OU09vwQwhkpOPPYv2Y/edit?usp=sharing"",""งบพรบ!GI68"")"),0)</f>
        <v>0</v>
      </c>
      <c r="G68" s="151">
        <f ca="1">IFERROR(__xludf.DUMMYFUNCTION("IMPORTRANGE(""https://docs.google.com/spreadsheets/d/1-uDff_7J0KD5mKrp0Vvzr7lt3OU09vwQwhkpOPPYv2Y/edit?usp=sharing"",""งบพรบ!GJ68"")"),0)</f>
        <v>0</v>
      </c>
      <c r="H68" s="151">
        <f ca="1">IFERROR(__xludf.DUMMYFUNCTION("IMPORTRANGE(""https://docs.google.com/spreadsheets/d/1-uDff_7J0KD5mKrp0Vvzr7lt3OU09vwQwhkpOPPYv2Y/edit?usp=sharing"",""งบพรบ!GL68"")"),0)</f>
        <v>0</v>
      </c>
      <c r="I68" s="151">
        <f ca="1">IFERROR(__xludf.DUMMYFUNCTION("IMPORTRANGE(""https://docs.google.com/spreadsheets/d/1-uDff_7J0KD5mKrp0Vvzr7lt3OU09vwQwhkpOPPYv2Y/edit?usp=sharing"",""งบพรบ!GM68"")"),0)</f>
        <v>0</v>
      </c>
      <c r="J68" s="262">
        <f t="shared" ca="1" si="15"/>
        <v>0</v>
      </c>
      <c r="K68" s="476">
        <f t="shared" ca="1" si="16"/>
        <v>0</v>
      </c>
      <c r="L68" s="151">
        <f ca="1">IFERROR(__xludf.DUMMYFUNCTION("IMPORTRANGE(""https://docs.google.com/spreadsheets/d/1-uDff_7J0KD5mKrp0Vvzr7lt3OU09vwQwhkpOPPYv2Y/edit?usp=sharing"",""งบพรบ!GN68"")"),0)</f>
        <v>0</v>
      </c>
      <c r="M68" s="260">
        <f t="shared" ca="1" si="17"/>
        <v>0</v>
      </c>
      <c r="N68" s="260">
        <f t="shared" ca="1" si="18"/>
        <v>0</v>
      </c>
      <c r="O68" s="151">
        <f ca="1">IFERROR(__xludf.DUMMYFUNCTION("IMPORTRANGE(""https://docs.google.com/spreadsheets/d/1-uDff_7J0KD5mKrp0Vvzr7lt3OU09vwQwhkpOPPYv2Y/edit?usp=sharing"",""งบพรบ!GO68"")"),0)</f>
        <v>0</v>
      </c>
      <c r="P68" s="475">
        <f t="shared" ca="1" si="19"/>
        <v>0</v>
      </c>
      <c r="Q68" s="260">
        <f t="shared" ca="1" si="20"/>
        <v>0</v>
      </c>
      <c r="R68" s="278">
        <v>0</v>
      </c>
      <c r="S68" s="152">
        <v>0</v>
      </c>
      <c r="T68" s="216">
        <f t="shared" si="22"/>
        <v>0</v>
      </c>
    </row>
    <row r="69" spans="1:21" ht="19.5" x14ac:dyDescent="0.3">
      <c r="A69" s="147">
        <v>17</v>
      </c>
      <c r="B69" s="148" t="s">
        <v>97</v>
      </c>
      <c r="C69" s="472">
        <f t="shared" ca="1" si="13"/>
        <v>0</v>
      </c>
      <c r="D69" s="473">
        <f t="shared" ca="1" si="29"/>
        <v>0</v>
      </c>
      <c r="E69" s="151">
        <f ca="1">IFERROR(__xludf.DUMMYFUNCTION("IMPORTRANGE(""https://docs.google.com/spreadsheets/d/1-uDff_7J0KD5mKrp0Vvzr7lt3OU09vwQwhkpOPPYv2Y/edit?usp=sharing"",""งบพรบ!GH69"")"),0)</f>
        <v>0</v>
      </c>
      <c r="F69" s="151">
        <f ca="1">IFERROR(__xludf.DUMMYFUNCTION("IMPORTRANGE(""https://docs.google.com/spreadsheets/d/1-uDff_7J0KD5mKrp0Vvzr7lt3OU09vwQwhkpOPPYv2Y/edit?usp=sharing"",""งบพรบ!GI69"")"),0)</f>
        <v>0</v>
      </c>
      <c r="G69" s="151">
        <f ca="1">IFERROR(__xludf.DUMMYFUNCTION("IMPORTRANGE(""https://docs.google.com/spreadsheets/d/1-uDff_7J0KD5mKrp0Vvzr7lt3OU09vwQwhkpOPPYv2Y/edit?usp=sharing"",""งบพรบ!GJ69"")"),0)</f>
        <v>0</v>
      </c>
      <c r="H69" s="151">
        <f ca="1">IFERROR(__xludf.DUMMYFUNCTION("IMPORTRANGE(""https://docs.google.com/spreadsheets/d/1-uDff_7J0KD5mKrp0Vvzr7lt3OU09vwQwhkpOPPYv2Y/edit?usp=sharing"",""งบพรบ!GL69"")"),0)</f>
        <v>0</v>
      </c>
      <c r="I69" s="151">
        <f ca="1">IFERROR(__xludf.DUMMYFUNCTION("IMPORTRANGE(""https://docs.google.com/spreadsheets/d/1-uDff_7J0KD5mKrp0Vvzr7lt3OU09vwQwhkpOPPYv2Y/edit?usp=sharing"",""งบพรบ!GM69"")"),0)</f>
        <v>0</v>
      </c>
      <c r="J69" s="262">
        <f t="shared" ca="1" si="15"/>
        <v>0</v>
      </c>
      <c r="K69" s="476">
        <f t="shared" ca="1" si="16"/>
        <v>0</v>
      </c>
      <c r="L69" s="151">
        <f ca="1">IFERROR(__xludf.DUMMYFUNCTION("IMPORTRANGE(""https://docs.google.com/spreadsheets/d/1-uDff_7J0KD5mKrp0Vvzr7lt3OU09vwQwhkpOPPYv2Y/edit?usp=sharing"",""งบพรบ!GN69"")"),0)</f>
        <v>0</v>
      </c>
      <c r="M69" s="260">
        <f t="shared" ca="1" si="17"/>
        <v>0</v>
      </c>
      <c r="N69" s="260">
        <f t="shared" ca="1" si="18"/>
        <v>0</v>
      </c>
      <c r="O69" s="151">
        <f ca="1">IFERROR(__xludf.DUMMYFUNCTION("IMPORTRANGE(""https://docs.google.com/spreadsheets/d/1-uDff_7J0KD5mKrp0Vvzr7lt3OU09vwQwhkpOPPYv2Y/edit?usp=sharing"",""งบพรบ!GO69"")"),0)</f>
        <v>0</v>
      </c>
      <c r="P69" s="475">
        <f t="shared" ca="1" si="19"/>
        <v>0</v>
      </c>
      <c r="Q69" s="260">
        <f t="shared" ca="1" si="20"/>
        <v>0</v>
      </c>
      <c r="R69" s="278">
        <v>0</v>
      </c>
      <c r="S69" s="152">
        <v>0</v>
      </c>
      <c r="T69" s="216">
        <f t="shared" si="22"/>
        <v>0</v>
      </c>
    </row>
    <row r="70" spans="1:21" ht="19.5" x14ac:dyDescent="0.3">
      <c r="A70" s="147">
        <v>18</v>
      </c>
      <c r="B70" s="148" t="s">
        <v>98</v>
      </c>
      <c r="C70" s="472">
        <f t="shared" ca="1" si="13"/>
        <v>0</v>
      </c>
      <c r="D70" s="473">
        <f t="shared" ca="1" si="29"/>
        <v>0</v>
      </c>
      <c r="E70" s="151">
        <f ca="1">IFERROR(__xludf.DUMMYFUNCTION("IMPORTRANGE(""https://docs.google.com/spreadsheets/d/1-uDff_7J0KD5mKrp0Vvzr7lt3OU09vwQwhkpOPPYv2Y/edit?usp=sharing"",""งบพรบ!GH70"")"),0)</f>
        <v>0</v>
      </c>
      <c r="F70" s="151">
        <f ca="1">IFERROR(__xludf.DUMMYFUNCTION("IMPORTRANGE(""https://docs.google.com/spreadsheets/d/1-uDff_7J0KD5mKrp0Vvzr7lt3OU09vwQwhkpOPPYv2Y/edit?usp=sharing"",""งบพรบ!GI70"")"),0)</f>
        <v>0</v>
      </c>
      <c r="G70" s="151">
        <f ca="1">IFERROR(__xludf.DUMMYFUNCTION("IMPORTRANGE(""https://docs.google.com/spreadsheets/d/1-uDff_7J0KD5mKrp0Vvzr7lt3OU09vwQwhkpOPPYv2Y/edit?usp=sharing"",""งบพรบ!GJ70"")"),0)</f>
        <v>0</v>
      </c>
      <c r="H70" s="151">
        <f ca="1">IFERROR(__xludf.DUMMYFUNCTION("IMPORTRANGE(""https://docs.google.com/spreadsheets/d/1-uDff_7J0KD5mKrp0Vvzr7lt3OU09vwQwhkpOPPYv2Y/edit?usp=sharing"",""งบพรบ!GL70"")"),0)</f>
        <v>0</v>
      </c>
      <c r="I70" s="151">
        <f ca="1">IFERROR(__xludf.DUMMYFUNCTION("IMPORTRANGE(""https://docs.google.com/spreadsheets/d/1-uDff_7J0KD5mKrp0Vvzr7lt3OU09vwQwhkpOPPYv2Y/edit?usp=sharing"",""งบพรบ!GM70"")"),0)</f>
        <v>0</v>
      </c>
      <c r="J70" s="262">
        <f t="shared" ca="1" si="15"/>
        <v>0</v>
      </c>
      <c r="K70" s="476">
        <f t="shared" ca="1" si="16"/>
        <v>0</v>
      </c>
      <c r="L70" s="151">
        <f ca="1">IFERROR(__xludf.DUMMYFUNCTION("IMPORTRANGE(""https://docs.google.com/spreadsheets/d/1-uDff_7J0KD5mKrp0Vvzr7lt3OU09vwQwhkpOPPYv2Y/edit?usp=sharing"",""งบพรบ!GN70"")"),0)</f>
        <v>0</v>
      </c>
      <c r="M70" s="260">
        <f t="shared" ca="1" si="17"/>
        <v>0</v>
      </c>
      <c r="N70" s="260">
        <f t="shared" ca="1" si="18"/>
        <v>0</v>
      </c>
      <c r="O70" s="151">
        <f ca="1">IFERROR(__xludf.DUMMYFUNCTION("IMPORTRANGE(""https://docs.google.com/spreadsheets/d/1-uDff_7J0KD5mKrp0Vvzr7lt3OU09vwQwhkpOPPYv2Y/edit?usp=sharing"",""งบพรบ!GO70"")"),0)</f>
        <v>0</v>
      </c>
      <c r="P70" s="475">
        <f t="shared" ca="1" si="19"/>
        <v>0</v>
      </c>
      <c r="Q70" s="260">
        <f t="shared" ca="1" si="20"/>
        <v>0</v>
      </c>
      <c r="R70" s="278">
        <v>0</v>
      </c>
      <c r="S70" s="152">
        <v>0</v>
      </c>
      <c r="T70" s="216">
        <f t="shared" si="22"/>
        <v>0</v>
      </c>
    </row>
    <row r="71" spans="1:21" ht="19.5" x14ac:dyDescent="0.3">
      <c r="A71" s="147">
        <v>19</v>
      </c>
      <c r="B71" s="148" t="s">
        <v>99</v>
      </c>
      <c r="C71" s="472">
        <f t="shared" ca="1" si="13"/>
        <v>0</v>
      </c>
      <c r="D71" s="473">
        <f t="shared" ca="1" si="29"/>
        <v>0</v>
      </c>
      <c r="E71" s="151">
        <f ca="1">IFERROR(__xludf.DUMMYFUNCTION("IMPORTRANGE(""https://docs.google.com/spreadsheets/d/1-uDff_7J0KD5mKrp0Vvzr7lt3OU09vwQwhkpOPPYv2Y/edit?usp=sharing"",""งบพรบ!GH71"")"),0)</f>
        <v>0</v>
      </c>
      <c r="F71" s="151">
        <f ca="1">IFERROR(__xludf.DUMMYFUNCTION("IMPORTRANGE(""https://docs.google.com/spreadsheets/d/1-uDff_7J0KD5mKrp0Vvzr7lt3OU09vwQwhkpOPPYv2Y/edit?usp=sharing"",""งบพรบ!GI71"")"),0)</f>
        <v>0</v>
      </c>
      <c r="G71" s="151">
        <f ca="1">IFERROR(__xludf.DUMMYFUNCTION("IMPORTRANGE(""https://docs.google.com/spreadsheets/d/1-uDff_7J0KD5mKrp0Vvzr7lt3OU09vwQwhkpOPPYv2Y/edit?usp=sharing"",""งบพรบ!GJ71"")"),0)</f>
        <v>0</v>
      </c>
      <c r="H71" s="151">
        <f ca="1">IFERROR(__xludf.DUMMYFUNCTION("IMPORTRANGE(""https://docs.google.com/spreadsheets/d/1-uDff_7J0KD5mKrp0Vvzr7lt3OU09vwQwhkpOPPYv2Y/edit?usp=sharing"",""งบพรบ!GL71"")"),0)</f>
        <v>0</v>
      </c>
      <c r="I71" s="151">
        <f ca="1">IFERROR(__xludf.DUMMYFUNCTION("IMPORTRANGE(""https://docs.google.com/spreadsheets/d/1-uDff_7J0KD5mKrp0Vvzr7lt3OU09vwQwhkpOPPYv2Y/edit?usp=sharing"",""งบพรบ!GM71"")"),0)</f>
        <v>0</v>
      </c>
      <c r="J71" s="262">
        <f t="shared" ca="1" si="15"/>
        <v>0</v>
      </c>
      <c r="K71" s="476">
        <f t="shared" ca="1" si="16"/>
        <v>0</v>
      </c>
      <c r="L71" s="151">
        <f ca="1">IFERROR(__xludf.DUMMYFUNCTION("IMPORTRANGE(""https://docs.google.com/spreadsheets/d/1-uDff_7J0KD5mKrp0Vvzr7lt3OU09vwQwhkpOPPYv2Y/edit?usp=sharing"",""งบพรบ!GN71"")"),0)</f>
        <v>0</v>
      </c>
      <c r="M71" s="260">
        <f t="shared" ca="1" si="17"/>
        <v>0</v>
      </c>
      <c r="N71" s="260">
        <f t="shared" ca="1" si="18"/>
        <v>0</v>
      </c>
      <c r="O71" s="151">
        <f ca="1">IFERROR(__xludf.DUMMYFUNCTION("IMPORTRANGE(""https://docs.google.com/spreadsheets/d/1-uDff_7J0KD5mKrp0Vvzr7lt3OU09vwQwhkpOPPYv2Y/edit?usp=sharing"",""งบพรบ!GO71"")"),0)</f>
        <v>0</v>
      </c>
      <c r="P71" s="475">
        <f t="shared" ca="1" si="19"/>
        <v>0</v>
      </c>
      <c r="Q71" s="260">
        <f t="shared" ca="1" si="20"/>
        <v>0</v>
      </c>
      <c r="R71" s="278">
        <v>0</v>
      </c>
      <c r="S71" s="152">
        <v>0</v>
      </c>
      <c r="T71" s="216">
        <f t="shared" si="22"/>
        <v>0</v>
      </c>
    </row>
    <row r="72" spans="1:21" ht="19.5" x14ac:dyDescent="0.3">
      <c r="A72" s="147">
        <v>20</v>
      </c>
      <c r="B72" s="148" t="s">
        <v>100</v>
      </c>
      <c r="C72" s="472">
        <f t="shared" ca="1" si="13"/>
        <v>0</v>
      </c>
      <c r="D72" s="473">
        <f t="shared" ca="1" si="29"/>
        <v>0</v>
      </c>
      <c r="E72" s="151">
        <f ca="1">IFERROR(__xludf.DUMMYFUNCTION("IMPORTRANGE(""https://docs.google.com/spreadsheets/d/1-uDff_7J0KD5mKrp0Vvzr7lt3OU09vwQwhkpOPPYv2Y/edit?usp=sharing"",""งบพรบ!GH72"")"),0)</f>
        <v>0</v>
      </c>
      <c r="F72" s="151">
        <f ca="1">IFERROR(__xludf.DUMMYFUNCTION("IMPORTRANGE(""https://docs.google.com/spreadsheets/d/1-uDff_7J0KD5mKrp0Vvzr7lt3OU09vwQwhkpOPPYv2Y/edit?usp=sharing"",""งบพรบ!GI72"")"),0)</f>
        <v>0</v>
      </c>
      <c r="G72" s="151">
        <f ca="1">IFERROR(__xludf.DUMMYFUNCTION("IMPORTRANGE(""https://docs.google.com/spreadsheets/d/1-uDff_7J0KD5mKrp0Vvzr7lt3OU09vwQwhkpOPPYv2Y/edit?usp=sharing"",""งบพรบ!GJ72"")"),0)</f>
        <v>0</v>
      </c>
      <c r="H72" s="151">
        <f ca="1">IFERROR(__xludf.DUMMYFUNCTION("IMPORTRANGE(""https://docs.google.com/spreadsheets/d/1-uDff_7J0KD5mKrp0Vvzr7lt3OU09vwQwhkpOPPYv2Y/edit?usp=sharing"",""งบพรบ!GL72"")"),0)</f>
        <v>0</v>
      </c>
      <c r="I72" s="151">
        <f ca="1">IFERROR(__xludf.DUMMYFUNCTION("IMPORTRANGE(""https://docs.google.com/spreadsheets/d/1-uDff_7J0KD5mKrp0Vvzr7lt3OU09vwQwhkpOPPYv2Y/edit?usp=sharing"",""งบพรบ!GM72"")"),0)</f>
        <v>0</v>
      </c>
      <c r="J72" s="262">
        <f t="shared" ca="1" si="15"/>
        <v>0</v>
      </c>
      <c r="K72" s="476">
        <f t="shared" ca="1" si="16"/>
        <v>0</v>
      </c>
      <c r="L72" s="151">
        <f ca="1">IFERROR(__xludf.DUMMYFUNCTION("IMPORTRANGE(""https://docs.google.com/spreadsheets/d/1-uDff_7J0KD5mKrp0Vvzr7lt3OU09vwQwhkpOPPYv2Y/edit?usp=sharing"",""งบพรบ!GN72"")"),0)</f>
        <v>0</v>
      </c>
      <c r="M72" s="260">
        <f t="shared" ca="1" si="17"/>
        <v>0</v>
      </c>
      <c r="N72" s="260">
        <f t="shared" ca="1" si="18"/>
        <v>0</v>
      </c>
      <c r="O72" s="151">
        <f ca="1">IFERROR(__xludf.DUMMYFUNCTION("IMPORTRANGE(""https://docs.google.com/spreadsheets/d/1-uDff_7J0KD5mKrp0Vvzr7lt3OU09vwQwhkpOPPYv2Y/edit?usp=sharing"",""งบพรบ!GO72"")"),0)</f>
        <v>0</v>
      </c>
      <c r="P72" s="475">
        <f t="shared" ca="1" si="19"/>
        <v>0</v>
      </c>
      <c r="Q72" s="260">
        <f t="shared" ca="1" si="20"/>
        <v>0</v>
      </c>
      <c r="R72" s="278">
        <v>0</v>
      </c>
      <c r="S72" s="152">
        <v>0</v>
      </c>
      <c r="T72" s="216">
        <f t="shared" si="22"/>
        <v>0</v>
      </c>
    </row>
    <row r="73" spans="1:21" ht="19.5" x14ac:dyDescent="0.3">
      <c r="A73" s="155">
        <v>21</v>
      </c>
      <c r="B73" s="156" t="s">
        <v>101</v>
      </c>
      <c r="C73" s="477">
        <f t="shared" ca="1" si="13"/>
        <v>0</v>
      </c>
      <c r="D73" s="478">
        <f t="shared" ca="1" si="29"/>
        <v>0</v>
      </c>
      <c r="E73" s="159">
        <f ca="1">IFERROR(__xludf.DUMMYFUNCTION("IMPORTRANGE(""https://docs.google.com/spreadsheets/d/1-uDff_7J0KD5mKrp0Vvzr7lt3OU09vwQwhkpOPPYv2Y/edit?usp=sharing"",""งบพรบ!GH73"")"),0)</f>
        <v>0</v>
      </c>
      <c r="F73" s="159">
        <f ca="1">IFERROR(__xludf.DUMMYFUNCTION("IMPORTRANGE(""https://docs.google.com/spreadsheets/d/1-uDff_7J0KD5mKrp0Vvzr7lt3OU09vwQwhkpOPPYv2Y/edit?usp=sharing"",""งบพรบ!GI73"")"),0)</f>
        <v>0</v>
      </c>
      <c r="G73" s="159">
        <f ca="1">IFERROR(__xludf.DUMMYFUNCTION("IMPORTRANGE(""https://docs.google.com/spreadsheets/d/1-uDff_7J0KD5mKrp0Vvzr7lt3OU09vwQwhkpOPPYv2Y/edit?usp=sharing"",""งบพรบ!GJ73"")"),0)</f>
        <v>0</v>
      </c>
      <c r="H73" s="159">
        <f ca="1">IFERROR(__xludf.DUMMYFUNCTION("IMPORTRANGE(""https://docs.google.com/spreadsheets/d/1-uDff_7J0KD5mKrp0Vvzr7lt3OU09vwQwhkpOPPYv2Y/edit?usp=sharing"",""งบพรบ!GL73"")"),0)</f>
        <v>0</v>
      </c>
      <c r="I73" s="159">
        <f ca="1">IFERROR(__xludf.DUMMYFUNCTION("IMPORTRANGE(""https://docs.google.com/spreadsheets/d/1-uDff_7J0KD5mKrp0Vvzr7lt3OU09vwQwhkpOPPYv2Y/edit?usp=sharing"",""งบพรบ!GM73"")"),0)</f>
        <v>0</v>
      </c>
      <c r="J73" s="479">
        <f t="shared" ca="1" si="15"/>
        <v>0</v>
      </c>
      <c r="K73" s="480">
        <f t="shared" ca="1" si="16"/>
        <v>0</v>
      </c>
      <c r="L73" s="159">
        <f ca="1">IFERROR(__xludf.DUMMYFUNCTION("IMPORTRANGE(""https://docs.google.com/spreadsheets/d/1-uDff_7J0KD5mKrp0Vvzr7lt3OU09vwQwhkpOPPYv2Y/edit?usp=sharing"",""งบพรบ!GN73"")"),0)</f>
        <v>0</v>
      </c>
      <c r="M73" s="481">
        <f t="shared" ca="1" si="17"/>
        <v>0</v>
      </c>
      <c r="N73" s="481">
        <f t="shared" ca="1" si="18"/>
        <v>0</v>
      </c>
      <c r="O73" s="159">
        <f ca="1">IFERROR(__xludf.DUMMYFUNCTION("IMPORTRANGE(""https://docs.google.com/spreadsheets/d/1-uDff_7J0KD5mKrp0Vvzr7lt3OU09vwQwhkpOPPYv2Y/edit?usp=sharing"",""งบพรบ!GO73"")"),0)</f>
        <v>0</v>
      </c>
      <c r="P73" s="482">
        <f t="shared" ca="1" si="19"/>
        <v>0</v>
      </c>
      <c r="Q73" s="481">
        <f t="shared" ca="1" si="20"/>
        <v>0</v>
      </c>
      <c r="R73" s="487">
        <v>0</v>
      </c>
      <c r="S73" s="488">
        <v>0</v>
      </c>
      <c r="T73" s="218">
        <f t="shared" si="22"/>
        <v>0</v>
      </c>
    </row>
    <row r="74" spans="1:21" ht="19.5" x14ac:dyDescent="0.3">
      <c r="A74" s="696" t="s">
        <v>102</v>
      </c>
      <c r="B74" s="662"/>
      <c r="C74" s="601">
        <f t="shared" ca="1" si="13"/>
        <v>0</v>
      </c>
      <c r="D74" s="601">
        <f t="shared" ref="D74:I74" ca="1" si="30">SUM(D75:D88)</f>
        <v>0</v>
      </c>
      <c r="E74" s="601">
        <f t="shared" ca="1" si="30"/>
        <v>0</v>
      </c>
      <c r="F74" s="601">
        <f t="shared" ca="1" si="30"/>
        <v>0</v>
      </c>
      <c r="G74" s="601">
        <f t="shared" ca="1" si="30"/>
        <v>0</v>
      </c>
      <c r="H74" s="601">
        <f t="shared" ca="1" si="30"/>
        <v>0</v>
      </c>
      <c r="I74" s="601">
        <f t="shared" ca="1" si="30"/>
        <v>0</v>
      </c>
      <c r="J74" s="601">
        <f t="shared" ca="1" si="15"/>
        <v>0</v>
      </c>
      <c r="K74" s="602">
        <f t="shared" ca="1" si="16"/>
        <v>0</v>
      </c>
      <c r="L74" s="601">
        <f ca="1">SUM(L75:L88)</f>
        <v>0</v>
      </c>
      <c r="M74" s="603">
        <f t="shared" ca="1" si="17"/>
        <v>0</v>
      </c>
      <c r="N74" s="603">
        <f t="shared" ca="1" si="18"/>
        <v>0</v>
      </c>
      <c r="O74" s="604">
        <f ca="1">SUM(O75:O88)</f>
        <v>0</v>
      </c>
      <c r="P74" s="604">
        <f t="shared" ca="1" si="19"/>
        <v>0</v>
      </c>
      <c r="Q74" s="603">
        <f t="shared" ca="1" si="20"/>
        <v>0</v>
      </c>
      <c r="R74" s="282">
        <f t="shared" ref="R74:S74" si="31">SUM(R75:R88)</f>
        <v>0</v>
      </c>
      <c r="S74" s="369">
        <f t="shared" si="31"/>
        <v>0</v>
      </c>
      <c r="T74" s="94">
        <f t="shared" si="22"/>
        <v>0</v>
      </c>
      <c r="U74" s="600"/>
    </row>
    <row r="75" spans="1:21" ht="19.5" x14ac:dyDescent="0.3">
      <c r="A75" s="147">
        <v>1</v>
      </c>
      <c r="B75" s="148" t="s">
        <v>103</v>
      </c>
      <c r="C75" s="472">
        <f t="shared" ca="1" si="13"/>
        <v>0</v>
      </c>
      <c r="D75" s="473">
        <f t="shared" ref="D75:D88" ca="1" si="32">+E75+F75</f>
        <v>0</v>
      </c>
      <c r="E75" s="151">
        <f ca="1">IFERROR(__xludf.DUMMYFUNCTION("IMPORTRANGE(""https://docs.google.com/spreadsheets/d/1-uDff_7J0KD5mKrp0Vvzr7lt3OU09vwQwhkpOPPYv2Y/edit?usp=sharing"",""งบพรบ!GH75"")"),0)</f>
        <v>0</v>
      </c>
      <c r="F75" s="151">
        <f ca="1">IFERROR(__xludf.DUMMYFUNCTION("IMPORTRANGE(""https://docs.google.com/spreadsheets/d/1-uDff_7J0KD5mKrp0Vvzr7lt3OU09vwQwhkpOPPYv2Y/edit?usp=sharing"",""งบพรบ!GI75"")"),0)</f>
        <v>0</v>
      </c>
      <c r="G75" s="151">
        <f ca="1">IFERROR(__xludf.DUMMYFUNCTION("IMPORTRANGE(""https://docs.google.com/spreadsheets/d/1-uDff_7J0KD5mKrp0Vvzr7lt3OU09vwQwhkpOPPYv2Y/edit?usp=sharing"",""งบพรบ!GJ75"")"),0)</f>
        <v>0</v>
      </c>
      <c r="H75" s="151">
        <f ca="1">IFERROR(__xludf.DUMMYFUNCTION("IMPORTRANGE(""https://docs.google.com/spreadsheets/d/1-uDff_7J0KD5mKrp0Vvzr7lt3OU09vwQwhkpOPPYv2Y/edit?usp=sharing"",""งบพรบ!GL75"")"),0)</f>
        <v>0</v>
      </c>
      <c r="I75" s="151">
        <f ca="1">IFERROR(__xludf.DUMMYFUNCTION("IMPORTRANGE(""https://docs.google.com/spreadsheets/d/1-uDff_7J0KD5mKrp0Vvzr7lt3OU09vwQwhkpOPPYv2Y/edit?usp=sharing"",""งบพรบ!GM75"")"),0)</f>
        <v>0</v>
      </c>
      <c r="J75" s="262">
        <f t="shared" ca="1" si="15"/>
        <v>0</v>
      </c>
      <c r="K75" s="476">
        <f t="shared" ca="1" si="16"/>
        <v>0</v>
      </c>
      <c r="L75" s="151">
        <f ca="1">IFERROR(__xludf.DUMMYFUNCTION("IMPORTRANGE(""https://docs.google.com/spreadsheets/d/1-uDff_7J0KD5mKrp0Vvzr7lt3OU09vwQwhkpOPPYv2Y/edit?usp=sharing"",""งบพรบ!GN75"")"),0)</f>
        <v>0</v>
      </c>
      <c r="M75" s="260">
        <f t="shared" ca="1" si="17"/>
        <v>0</v>
      </c>
      <c r="N75" s="260">
        <f t="shared" ca="1" si="18"/>
        <v>0</v>
      </c>
      <c r="O75" s="151">
        <f ca="1">IFERROR(__xludf.DUMMYFUNCTION("IMPORTRANGE(""https://docs.google.com/spreadsheets/d/1-uDff_7J0KD5mKrp0Vvzr7lt3OU09vwQwhkpOPPYv2Y/edit?usp=sharing"",""งบพรบ!GO75"")"),0)</f>
        <v>0</v>
      </c>
      <c r="P75" s="475">
        <f t="shared" ca="1" si="19"/>
        <v>0</v>
      </c>
      <c r="Q75" s="260">
        <f t="shared" ca="1" si="20"/>
        <v>0</v>
      </c>
      <c r="R75" s="278">
        <v>0</v>
      </c>
      <c r="S75" s="152">
        <v>0</v>
      </c>
      <c r="T75" s="216">
        <f t="shared" si="22"/>
        <v>0</v>
      </c>
    </row>
    <row r="76" spans="1:21" ht="19.5" x14ac:dyDescent="0.3">
      <c r="A76" s="147">
        <v>2</v>
      </c>
      <c r="B76" s="148" t="s">
        <v>104</v>
      </c>
      <c r="C76" s="472">
        <f t="shared" ca="1" si="13"/>
        <v>0</v>
      </c>
      <c r="D76" s="473">
        <f t="shared" ca="1" si="32"/>
        <v>0</v>
      </c>
      <c r="E76" s="151">
        <f ca="1">IFERROR(__xludf.DUMMYFUNCTION("IMPORTRANGE(""https://docs.google.com/spreadsheets/d/1-uDff_7J0KD5mKrp0Vvzr7lt3OU09vwQwhkpOPPYv2Y/edit?usp=sharing"",""งบพรบ!GH76"")"),0)</f>
        <v>0</v>
      </c>
      <c r="F76" s="151">
        <f ca="1">IFERROR(__xludf.DUMMYFUNCTION("IMPORTRANGE(""https://docs.google.com/spreadsheets/d/1-uDff_7J0KD5mKrp0Vvzr7lt3OU09vwQwhkpOPPYv2Y/edit?usp=sharing"",""งบพรบ!GI76"")"),0)</f>
        <v>0</v>
      </c>
      <c r="G76" s="151">
        <f ca="1">IFERROR(__xludf.DUMMYFUNCTION("IMPORTRANGE(""https://docs.google.com/spreadsheets/d/1-uDff_7J0KD5mKrp0Vvzr7lt3OU09vwQwhkpOPPYv2Y/edit?usp=sharing"",""งบพรบ!GJ76"")"),0)</f>
        <v>0</v>
      </c>
      <c r="H76" s="151">
        <f ca="1">IFERROR(__xludf.DUMMYFUNCTION("IMPORTRANGE(""https://docs.google.com/spreadsheets/d/1-uDff_7J0KD5mKrp0Vvzr7lt3OU09vwQwhkpOPPYv2Y/edit?usp=sharing"",""งบพรบ!GL76"")"),0)</f>
        <v>0</v>
      </c>
      <c r="I76" s="151">
        <f ca="1">IFERROR(__xludf.DUMMYFUNCTION("IMPORTRANGE(""https://docs.google.com/spreadsheets/d/1-uDff_7J0KD5mKrp0Vvzr7lt3OU09vwQwhkpOPPYv2Y/edit?usp=sharing"",""งบพรบ!GM76"")"),0)</f>
        <v>0</v>
      </c>
      <c r="J76" s="262">
        <f t="shared" ca="1" si="15"/>
        <v>0</v>
      </c>
      <c r="K76" s="476">
        <f t="shared" ca="1" si="16"/>
        <v>0</v>
      </c>
      <c r="L76" s="151">
        <f ca="1">IFERROR(__xludf.DUMMYFUNCTION("IMPORTRANGE(""https://docs.google.com/spreadsheets/d/1-uDff_7J0KD5mKrp0Vvzr7lt3OU09vwQwhkpOPPYv2Y/edit?usp=sharing"",""งบพรบ!GN76"")"),0)</f>
        <v>0</v>
      </c>
      <c r="M76" s="260">
        <f t="shared" ca="1" si="17"/>
        <v>0</v>
      </c>
      <c r="N76" s="260">
        <f t="shared" ca="1" si="18"/>
        <v>0</v>
      </c>
      <c r="O76" s="151">
        <f ca="1">IFERROR(__xludf.DUMMYFUNCTION("IMPORTRANGE(""https://docs.google.com/spreadsheets/d/1-uDff_7J0KD5mKrp0Vvzr7lt3OU09vwQwhkpOPPYv2Y/edit?usp=sharing"",""งบพรบ!GO76"")"),0)</f>
        <v>0</v>
      </c>
      <c r="P76" s="475">
        <f t="shared" ca="1" si="19"/>
        <v>0</v>
      </c>
      <c r="Q76" s="260">
        <f t="shared" ca="1" si="20"/>
        <v>0</v>
      </c>
      <c r="R76" s="278">
        <v>0</v>
      </c>
      <c r="S76" s="152">
        <v>0</v>
      </c>
      <c r="T76" s="216">
        <f t="shared" si="22"/>
        <v>0</v>
      </c>
    </row>
    <row r="77" spans="1:21" ht="19.5" x14ac:dyDescent="0.3">
      <c r="A77" s="147">
        <v>3</v>
      </c>
      <c r="B77" s="148" t="s">
        <v>105</v>
      </c>
      <c r="C77" s="472">
        <f t="shared" ca="1" si="13"/>
        <v>0</v>
      </c>
      <c r="D77" s="473">
        <f t="shared" ca="1" si="32"/>
        <v>0</v>
      </c>
      <c r="E77" s="151">
        <f ca="1">IFERROR(__xludf.DUMMYFUNCTION("IMPORTRANGE(""https://docs.google.com/spreadsheets/d/1-uDff_7J0KD5mKrp0Vvzr7lt3OU09vwQwhkpOPPYv2Y/edit?usp=sharing"",""งบพรบ!GH77"")"),0)</f>
        <v>0</v>
      </c>
      <c r="F77" s="151">
        <f ca="1">IFERROR(__xludf.DUMMYFUNCTION("IMPORTRANGE(""https://docs.google.com/spreadsheets/d/1-uDff_7J0KD5mKrp0Vvzr7lt3OU09vwQwhkpOPPYv2Y/edit?usp=sharing"",""งบพรบ!GI77"")"),0)</f>
        <v>0</v>
      </c>
      <c r="G77" s="151">
        <f ca="1">IFERROR(__xludf.DUMMYFUNCTION("IMPORTRANGE(""https://docs.google.com/spreadsheets/d/1-uDff_7J0KD5mKrp0Vvzr7lt3OU09vwQwhkpOPPYv2Y/edit?usp=sharing"",""งบพรบ!GJ77"")"),0)</f>
        <v>0</v>
      </c>
      <c r="H77" s="151">
        <f ca="1">IFERROR(__xludf.DUMMYFUNCTION("IMPORTRANGE(""https://docs.google.com/spreadsheets/d/1-uDff_7J0KD5mKrp0Vvzr7lt3OU09vwQwhkpOPPYv2Y/edit?usp=sharing"",""งบพรบ!GL77"")"),0)</f>
        <v>0</v>
      </c>
      <c r="I77" s="151">
        <f ca="1">IFERROR(__xludf.DUMMYFUNCTION("IMPORTRANGE(""https://docs.google.com/spreadsheets/d/1-uDff_7J0KD5mKrp0Vvzr7lt3OU09vwQwhkpOPPYv2Y/edit?usp=sharing"",""งบพรบ!GM77"")"),0)</f>
        <v>0</v>
      </c>
      <c r="J77" s="262">
        <f t="shared" ca="1" si="15"/>
        <v>0</v>
      </c>
      <c r="K77" s="476">
        <f t="shared" ca="1" si="16"/>
        <v>0</v>
      </c>
      <c r="L77" s="151">
        <f ca="1">IFERROR(__xludf.DUMMYFUNCTION("IMPORTRANGE(""https://docs.google.com/spreadsheets/d/1-uDff_7J0KD5mKrp0Vvzr7lt3OU09vwQwhkpOPPYv2Y/edit?usp=sharing"",""งบพรบ!GN77"")"),0)</f>
        <v>0</v>
      </c>
      <c r="M77" s="260">
        <f t="shared" ca="1" si="17"/>
        <v>0</v>
      </c>
      <c r="N77" s="260">
        <f t="shared" ca="1" si="18"/>
        <v>0</v>
      </c>
      <c r="O77" s="151">
        <f ca="1">IFERROR(__xludf.DUMMYFUNCTION("IMPORTRANGE(""https://docs.google.com/spreadsheets/d/1-uDff_7J0KD5mKrp0Vvzr7lt3OU09vwQwhkpOPPYv2Y/edit?usp=sharing"",""งบพรบ!GO77"")"),0)</f>
        <v>0</v>
      </c>
      <c r="P77" s="475">
        <f t="shared" ca="1" si="19"/>
        <v>0</v>
      </c>
      <c r="Q77" s="260">
        <f t="shared" ca="1" si="20"/>
        <v>0</v>
      </c>
      <c r="R77" s="278">
        <v>0</v>
      </c>
      <c r="S77" s="152">
        <v>0</v>
      </c>
      <c r="T77" s="216">
        <f t="shared" si="22"/>
        <v>0</v>
      </c>
    </row>
    <row r="78" spans="1:21" ht="19.5" x14ac:dyDescent="0.3">
      <c r="A78" s="147">
        <v>4</v>
      </c>
      <c r="B78" s="148" t="s">
        <v>106</v>
      </c>
      <c r="C78" s="472">
        <f t="shared" ca="1" si="13"/>
        <v>0</v>
      </c>
      <c r="D78" s="473">
        <f t="shared" ca="1" si="32"/>
        <v>0</v>
      </c>
      <c r="E78" s="151">
        <f ca="1">IFERROR(__xludf.DUMMYFUNCTION("IMPORTRANGE(""https://docs.google.com/spreadsheets/d/1-uDff_7J0KD5mKrp0Vvzr7lt3OU09vwQwhkpOPPYv2Y/edit?usp=sharing"",""งบพรบ!GH78"")"),0)</f>
        <v>0</v>
      </c>
      <c r="F78" s="151">
        <f ca="1">IFERROR(__xludf.DUMMYFUNCTION("IMPORTRANGE(""https://docs.google.com/spreadsheets/d/1-uDff_7J0KD5mKrp0Vvzr7lt3OU09vwQwhkpOPPYv2Y/edit?usp=sharing"",""งบพรบ!GI78"")"),0)</f>
        <v>0</v>
      </c>
      <c r="G78" s="151">
        <f ca="1">IFERROR(__xludf.DUMMYFUNCTION("IMPORTRANGE(""https://docs.google.com/spreadsheets/d/1-uDff_7J0KD5mKrp0Vvzr7lt3OU09vwQwhkpOPPYv2Y/edit?usp=sharing"",""งบพรบ!GJ78"")"),0)</f>
        <v>0</v>
      </c>
      <c r="H78" s="151">
        <f ca="1">IFERROR(__xludf.DUMMYFUNCTION("IMPORTRANGE(""https://docs.google.com/spreadsheets/d/1-uDff_7J0KD5mKrp0Vvzr7lt3OU09vwQwhkpOPPYv2Y/edit?usp=sharing"",""งบพรบ!GL78"")"),0)</f>
        <v>0</v>
      </c>
      <c r="I78" s="151">
        <f ca="1">IFERROR(__xludf.DUMMYFUNCTION("IMPORTRANGE(""https://docs.google.com/spreadsheets/d/1-uDff_7J0KD5mKrp0Vvzr7lt3OU09vwQwhkpOPPYv2Y/edit?usp=sharing"",""งบพรบ!GM78"")"),0)</f>
        <v>0</v>
      </c>
      <c r="J78" s="262">
        <f t="shared" ca="1" si="15"/>
        <v>0</v>
      </c>
      <c r="K78" s="476">
        <f t="shared" ca="1" si="16"/>
        <v>0</v>
      </c>
      <c r="L78" s="151">
        <f ca="1">IFERROR(__xludf.DUMMYFUNCTION("IMPORTRANGE(""https://docs.google.com/spreadsheets/d/1-uDff_7J0KD5mKrp0Vvzr7lt3OU09vwQwhkpOPPYv2Y/edit?usp=sharing"",""งบพรบ!GN78"")"),0)</f>
        <v>0</v>
      </c>
      <c r="M78" s="260">
        <f t="shared" ca="1" si="17"/>
        <v>0</v>
      </c>
      <c r="N78" s="260">
        <f t="shared" ca="1" si="18"/>
        <v>0</v>
      </c>
      <c r="O78" s="151">
        <f ca="1">IFERROR(__xludf.DUMMYFUNCTION("IMPORTRANGE(""https://docs.google.com/spreadsheets/d/1-uDff_7J0KD5mKrp0Vvzr7lt3OU09vwQwhkpOPPYv2Y/edit?usp=sharing"",""งบพรบ!GO78"")"),0)</f>
        <v>0</v>
      </c>
      <c r="P78" s="475">
        <f t="shared" ca="1" si="19"/>
        <v>0</v>
      </c>
      <c r="Q78" s="260">
        <f t="shared" ca="1" si="20"/>
        <v>0</v>
      </c>
      <c r="R78" s="278">
        <v>0</v>
      </c>
      <c r="S78" s="152">
        <v>0</v>
      </c>
      <c r="T78" s="216">
        <f t="shared" si="22"/>
        <v>0</v>
      </c>
    </row>
    <row r="79" spans="1:21" ht="19.5" x14ac:dyDescent="0.3">
      <c r="A79" s="147">
        <v>5</v>
      </c>
      <c r="B79" s="148" t="s">
        <v>107</v>
      </c>
      <c r="C79" s="472">
        <f t="shared" ca="1" si="13"/>
        <v>0</v>
      </c>
      <c r="D79" s="473">
        <f t="shared" ca="1" si="32"/>
        <v>0</v>
      </c>
      <c r="E79" s="151">
        <f ca="1">IFERROR(__xludf.DUMMYFUNCTION("IMPORTRANGE(""https://docs.google.com/spreadsheets/d/1-uDff_7J0KD5mKrp0Vvzr7lt3OU09vwQwhkpOPPYv2Y/edit?usp=sharing"",""งบพรบ!GH79"")"),0)</f>
        <v>0</v>
      </c>
      <c r="F79" s="151">
        <f ca="1">IFERROR(__xludf.DUMMYFUNCTION("IMPORTRANGE(""https://docs.google.com/spreadsheets/d/1-uDff_7J0KD5mKrp0Vvzr7lt3OU09vwQwhkpOPPYv2Y/edit?usp=sharing"",""งบพรบ!GI79"")"),0)</f>
        <v>0</v>
      </c>
      <c r="G79" s="151">
        <f ca="1">IFERROR(__xludf.DUMMYFUNCTION("IMPORTRANGE(""https://docs.google.com/spreadsheets/d/1-uDff_7J0KD5mKrp0Vvzr7lt3OU09vwQwhkpOPPYv2Y/edit?usp=sharing"",""งบพรบ!GJ79"")"),0)</f>
        <v>0</v>
      </c>
      <c r="H79" s="151">
        <f ca="1">IFERROR(__xludf.DUMMYFUNCTION("IMPORTRANGE(""https://docs.google.com/spreadsheets/d/1-uDff_7J0KD5mKrp0Vvzr7lt3OU09vwQwhkpOPPYv2Y/edit?usp=sharing"",""งบพรบ!GL79"")"),0)</f>
        <v>0</v>
      </c>
      <c r="I79" s="151">
        <f ca="1">IFERROR(__xludf.DUMMYFUNCTION("IMPORTRANGE(""https://docs.google.com/spreadsheets/d/1-uDff_7J0KD5mKrp0Vvzr7lt3OU09vwQwhkpOPPYv2Y/edit?usp=sharing"",""งบพรบ!GM79"")"),0)</f>
        <v>0</v>
      </c>
      <c r="J79" s="262">
        <f t="shared" ca="1" si="15"/>
        <v>0</v>
      </c>
      <c r="K79" s="476">
        <f t="shared" ca="1" si="16"/>
        <v>0</v>
      </c>
      <c r="L79" s="151">
        <f ca="1">IFERROR(__xludf.DUMMYFUNCTION("IMPORTRANGE(""https://docs.google.com/spreadsheets/d/1-uDff_7J0KD5mKrp0Vvzr7lt3OU09vwQwhkpOPPYv2Y/edit?usp=sharing"",""งบพรบ!GN79"")"),0)</f>
        <v>0</v>
      </c>
      <c r="M79" s="260">
        <f t="shared" ca="1" si="17"/>
        <v>0</v>
      </c>
      <c r="N79" s="260">
        <f t="shared" ca="1" si="18"/>
        <v>0</v>
      </c>
      <c r="O79" s="151">
        <f ca="1">IFERROR(__xludf.DUMMYFUNCTION("IMPORTRANGE(""https://docs.google.com/spreadsheets/d/1-uDff_7J0KD5mKrp0Vvzr7lt3OU09vwQwhkpOPPYv2Y/edit?usp=sharing"",""งบพรบ!GO79"")"),0)</f>
        <v>0</v>
      </c>
      <c r="P79" s="475">
        <f t="shared" ca="1" si="19"/>
        <v>0</v>
      </c>
      <c r="Q79" s="260">
        <f t="shared" ca="1" si="20"/>
        <v>0</v>
      </c>
      <c r="R79" s="278">
        <v>0</v>
      </c>
      <c r="S79" s="152">
        <v>0</v>
      </c>
      <c r="T79" s="216">
        <f t="shared" si="22"/>
        <v>0</v>
      </c>
    </row>
    <row r="80" spans="1:21" ht="19.5" x14ac:dyDescent="0.3">
      <c r="A80" s="147">
        <v>6</v>
      </c>
      <c r="B80" s="148" t="s">
        <v>108</v>
      </c>
      <c r="C80" s="472">
        <f t="shared" ca="1" si="13"/>
        <v>0</v>
      </c>
      <c r="D80" s="473">
        <f t="shared" ca="1" si="32"/>
        <v>0</v>
      </c>
      <c r="E80" s="151">
        <f ca="1">IFERROR(__xludf.DUMMYFUNCTION("IMPORTRANGE(""https://docs.google.com/spreadsheets/d/1-uDff_7J0KD5mKrp0Vvzr7lt3OU09vwQwhkpOPPYv2Y/edit?usp=sharing"",""งบพรบ!GH80"")"),0)</f>
        <v>0</v>
      </c>
      <c r="F80" s="151">
        <f ca="1">IFERROR(__xludf.DUMMYFUNCTION("IMPORTRANGE(""https://docs.google.com/spreadsheets/d/1-uDff_7J0KD5mKrp0Vvzr7lt3OU09vwQwhkpOPPYv2Y/edit?usp=sharing"",""งบพรบ!GI80"")"),0)</f>
        <v>0</v>
      </c>
      <c r="G80" s="151">
        <f ca="1">IFERROR(__xludf.DUMMYFUNCTION("IMPORTRANGE(""https://docs.google.com/spreadsheets/d/1-uDff_7J0KD5mKrp0Vvzr7lt3OU09vwQwhkpOPPYv2Y/edit?usp=sharing"",""งบพรบ!GJ80"")"),0)</f>
        <v>0</v>
      </c>
      <c r="H80" s="151">
        <f ca="1">IFERROR(__xludf.DUMMYFUNCTION("IMPORTRANGE(""https://docs.google.com/spreadsheets/d/1-uDff_7J0KD5mKrp0Vvzr7lt3OU09vwQwhkpOPPYv2Y/edit?usp=sharing"",""งบพรบ!GL80"")"),0)</f>
        <v>0</v>
      </c>
      <c r="I80" s="151">
        <f ca="1">IFERROR(__xludf.DUMMYFUNCTION("IMPORTRANGE(""https://docs.google.com/spreadsheets/d/1-uDff_7J0KD5mKrp0Vvzr7lt3OU09vwQwhkpOPPYv2Y/edit?usp=sharing"",""งบพรบ!GM80"")"),0)</f>
        <v>0</v>
      </c>
      <c r="J80" s="262">
        <f t="shared" ca="1" si="15"/>
        <v>0</v>
      </c>
      <c r="K80" s="476">
        <f t="shared" ca="1" si="16"/>
        <v>0</v>
      </c>
      <c r="L80" s="151">
        <f ca="1">IFERROR(__xludf.DUMMYFUNCTION("IMPORTRANGE(""https://docs.google.com/spreadsheets/d/1-uDff_7J0KD5mKrp0Vvzr7lt3OU09vwQwhkpOPPYv2Y/edit?usp=sharing"",""งบพรบ!GN80"")"),0)</f>
        <v>0</v>
      </c>
      <c r="M80" s="260">
        <f t="shared" ca="1" si="17"/>
        <v>0</v>
      </c>
      <c r="N80" s="260">
        <f t="shared" ca="1" si="18"/>
        <v>0</v>
      </c>
      <c r="O80" s="151">
        <f ca="1">IFERROR(__xludf.DUMMYFUNCTION("IMPORTRANGE(""https://docs.google.com/spreadsheets/d/1-uDff_7J0KD5mKrp0Vvzr7lt3OU09vwQwhkpOPPYv2Y/edit?usp=sharing"",""งบพรบ!GO80"")"),0)</f>
        <v>0</v>
      </c>
      <c r="P80" s="475">
        <f t="shared" ca="1" si="19"/>
        <v>0</v>
      </c>
      <c r="Q80" s="260">
        <f t="shared" ca="1" si="20"/>
        <v>0</v>
      </c>
      <c r="R80" s="278">
        <v>0</v>
      </c>
      <c r="S80" s="152">
        <v>0</v>
      </c>
      <c r="T80" s="216">
        <f t="shared" si="22"/>
        <v>0</v>
      </c>
    </row>
    <row r="81" spans="1:20" ht="19.5" x14ac:dyDescent="0.3">
      <c r="A81" s="147">
        <v>7</v>
      </c>
      <c r="B81" s="148" t="s">
        <v>109</v>
      </c>
      <c r="C81" s="472">
        <f t="shared" ca="1" si="13"/>
        <v>0</v>
      </c>
      <c r="D81" s="473">
        <f t="shared" ca="1" si="32"/>
        <v>0</v>
      </c>
      <c r="E81" s="151">
        <f ca="1">IFERROR(__xludf.DUMMYFUNCTION("IMPORTRANGE(""https://docs.google.com/spreadsheets/d/1-uDff_7J0KD5mKrp0Vvzr7lt3OU09vwQwhkpOPPYv2Y/edit?usp=sharing"",""งบพรบ!GH81"")"),0)</f>
        <v>0</v>
      </c>
      <c r="F81" s="151">
        <f ca="1">IFERROR(__xludf.DUMMYFUNCTION("IMPORTRANGE(""https://docs.google.com/spreadsheets/d/1-uDff_7J0KD5mKrp0Vvzr7lt3OU09vwQwhkpOPPYv2Y/edit?usp=sharing"",""งบพรบ!GI81"")"),0)</f>
        <v>0</v>
      </c>
      <c r="G81" s="151">
        <f ca="1">IFERROR(__xludf.DUMMYFUNCTION("IMPORTRANGE(""https://docs.google.com/spreadsheets/d/1-uDff_7J0KD5mKrp0Vvzr7lt3OU09vwQwhkpOPPYv2Y/edit?usp=sharing"",""งบพรบ!GJ81"")"),0)</f>
        <v>0</v>
      </c>
      <c r="H81" s="151">
        <f ca="1">IFERROR(__xludf.DUMMYFUNCTION("IMPORTRANGE(""https://docs.google.com/spreadsheets/d/1-uDff_7J0KD5mKrp0Vvzr7lt3OU09vwQwhkpOPPYv2Y/edit?usp=sharing"",""งบพรบ!GL81"")"),0)</f>
        <v>0</v>
      </c>
      <c r="I81" s="151">
        <f ca="1">IFERROR(__xludf.DUMMYFUNCTION("IMPORTRANGE(""https://docs.google.com/spreadsheets/d/1-uDff_7J0KD5mKrp0Vvzr7lt3OU09vwQwhkpOPPYv2Y/edit?usp=sharing"",""งบพรบ!GM81"")"),0)</f>
        <v>0</v>
      </c>
      <c r="J81" s="262">
        <f t="shared" ca="1" si="15"/>
        <v>0</v>
      </c>
      <c r="K81" s="476">
        <f t="shared" ca="1" si="16"/>
        <v>0</v>
      </c>
      <c r="L81" s="151">
        <f ca="1">IFERROR(__xludf.DUMMYFUNCTION("IMPORTRANGE(""https://docs.google.com/spreadsheets/d/1-uDff_7J0KD5mKrp0Vvzr7lt3OU09vwQwhkpOPPYv2Y/edit?usp=sharing"",""งบพรบ!GN81"")"),0)</f>
        <v>0</v>
      </c>
      <c r="M81" s="260">
        <f t="shared" ca="1" si="17"/>
        <v>0</v>
      </c>
      <c r="N81" s="260">
        <f t="shared" ca="1" si="18"/>
        <v>0</v>
      </c>
      <c r="O81" s="151">
        <f ca="1">IFERROR(__xludf.DUMMYFUNCTION("IMPORTRANGE(""https://docs.google.com/spreadsheets/d/1-uDff_7J0KD5mKrp0Vvzr7lt3OU09vwQwhkpOPPYv2Y/edit?usp=sharing"",""งบพรบ!GO81"")"),0)</f>
        <v>0</v>
      </c>
      <c r="P81" s="475">
        <f t="shared" ca="1" si="19"/>
        <v>0</v>
      </c>
      <c r="Q81" s="260">
        <f t="shared" ca="1" si="20"/>
        <v>0</v>
      </c>
      <c r="R81" s="278">
        <v>0</v>
      </c>
      <c r="S81" s="152">
        <v>0</v>
      </c>
      <c r="T81" s="216">
        <f t="shared" si="22"/>
        <v>0</v>
      </c>
    </row>
    <row r="82" spans="1:20" ht="19.5" x14ac:dyDescent="0.3">
      <c r="A82" s="147">
        <v>8</v>
      </c>
      <c r="B82" s="148" t="s">
        <v>110</v>
      </c>
      <c r="C82" s="472">
        <f t="shared" ca="1" si="13"/>
        <v>0</v>
      </c>
      <c r="D82" s="473">
        <f t="shared" ca="1" si="32"/>
        <v>0</v>
      </c>
      <c r="E82" s="151">
        <f ca="1">IFERROR(__xludf.DUMMYFUNCTION("IMPORTRANGE(""https://docs.google.com/spreadsheets/d/1-uDff_7J0KD5mKrp0Vvzr7lt3OU09vwQwhkpOPPYv2Y/edit?usp=sharing"",""งบพรบ!GH82"")"),0)</f>
        <v>0</v>
      </c>
      <c r="F82" s="151">
        <f ca="1">IFERROR(__xludf.DUMMYFUNCTION("IMPORTRANGE(""https://docs.google.com/spreadsheets/d/1-uDff_7J0KD5mKrp0Vvzr7lt3OU09vwQwhkpOPPYv2Y/edit?usp=sharing"",""งบพรบ!GI82"")"),0)</f>
        <v>0</v>
      </c>
      <c r="G82" s="151">
        <f ca="1">IFERROR(__xludf.DUMMYFUNCTION("IMPORTRANGE(""https://docs.google.com/spreadsheets/d/1-uDff_7J0KD5mKrp0Vvzr7lt3OU09vwQwhkpOPPYv2Y/edit?usp=sharing"",""งบพรบ!GJ82"")"),0)</f>
        <v>0</v>
      </c>
      <c r="H82" s="151">
        <f ca="1">IFERROR(__xludf.DUMMYFUNCTION("IMPORTRANGE(""https://docs.google.com/spreadsheets/d/1-uDff_7J0KD5mKrp0Vvzr7lt3OU09vwQwhkpOPPYv2Y/edit?usp=sharing"",""งบพรบ!GL82"")"),0)</f>
        <v>0</v>
      </c>
      <c r="I82" s="151">
        <f ca="1">IFERROR(__xludf.DUMMYFUNCTION("IMPORTRANGE(""https://docs.google.com/spreadsheets/d/1-uDff_7J0KD5mKrp0Vvzr7lt3OU09vwQwhkpOPPYv2Y/edit?usp=sharing"",""งบพรบ!GM82"")"),0)</f>
        <v>0</v>
      </c>
      <c r="J82" s="262">
        <f t="shared" ca="1" si="15"/>
        <v>0</v>
      </c>
      <c r="K82" s="476">
        <f t="shared" ca="1" si="16"/>
        <v>0</v>
      </c>
      <c r="L82" s="151">
        <f ca="1">IFERROR(__xludf.DUMMYFUNCTION("IMPORTRANGE(""https://docs.google.com/spreadsheets/d/1-uDff_7J0KD5mKrp0Vvzr7lt3OU09vwQwhkpOPPYv2Y/edit?usp=sharing"",""งบพรบ!GN82"")"),0)</f>
        <v>0</v>
      </c>
      <c r="M82" s="260">
        <f t="shared" ca="1" si="17"/>
        <v>0</v>
      </c>
      <c r="N82" s="260">
        <f t="shared" ca="1" si="18"/>
        <v>0</v>
      </c>
      <c r="O82" s="151">
        <f ca="1">IFERROR(__xludf.DUMMYFUNCTION("IMPORTRANGE(""https://docs.google.com/spreadsheets/d/1-uDff_7J0KD5mKrp0Vvzr7lt3OU09vwQwhkpOPPYv2Y/edit?usp=sharing"",""งบพรบ!GO82"")"),0)</f>
        <v>0</v>
      </c>
      <c r="P82" s="475">
        <f t="shared" ca="1" si="19"/>
        <v>0</v>
      </c>
      <c r="Q82" s="260">
        <f t="shared" ca="1" si="20"/>
        <v>0</v>
      </c>
      <c r="R82" s="278">
        <v>0</v>
      </c>
      <c r="S82" s="152">
        <v>0</v>
      </c>
      <c r="T82" s="216">
        <f t="shared" si="22"/>
        <v>0</v>
      </c>
    </row>
    <row r="83" spans="1:20" ht="19.5" x14ac:dyDescent="0.3">
      <c r="A83" s="147">
        <v>9</v>
      </c>
      <c r="B83" s="148" t="s">
        <v>111</v>
      </c>
      <c r="C83" s="472">
        <f t="shared" ca="1" si="13"/>
        <v>0</v>
      </c>
      <c r="D83" s="473">
        <f t="shared" ca="1" si="32"/>
        <v>0</v>
      </c>
      <c r="E83" s="151">
        <f ca="1">IFERROR(__xludf.DUMMYFUNCTION("IMPORTRANGE(""https://docs.google.com/spreadsheets/d/1-uDff_7J0KD5mKrp0Vvzr7lt3OU09vwQwhkpOPPYv2Y/edit?usp=sharing"",""งบพรบ!GH83"")"),0)</f>
        <v>0</v>
      </c>
      <c r="F83" s="151">
        <f ca="1">IFERROR(__xludf.DUMMYFUNCTION("IMPORTRANGE(""https://docs.google.com/spreadsheets/d/1-uDff_7J0KD5mKrp0Vvzr7lt3OU09vwQwhkpOPPYv2Y/edit?usp=sharing"",""งบพรบ!GI83"")"),0)</f>
        <v>0</v>
      </c>
      <c r="G83" s="151">
        <f ca="1">IFERROR(__xludf.DUMMYFUNCTION("IMPORTRANGE(""https://docs.google.com/spreadsheets/d/1-uDff_7J0KD5mKrp0Vvzr7lt3OU09vwQwhkpOPPYv2Y/edit?usp=sharing"",""งบพรบ!GJ83"")"),0)</f>
        <v>0</v>
      </c>
      <c r="H83" s="151">
        <f ca="1">IFERROR(__xludf.DUMMYFUNCTION("IMPORTRANGE(""https://docs.google.com/spreadsheets/d/1-uDff_7J0KD5mKrp0Vvzr7lt3OU09vwQwhkpOPPYv2Y/edit?usp=sharing"",""งบพรบ!GL83"")"),0)</f>
        <v>0</v>
      </c>
      <c r="I83" s="151">
        <f ca="1">IFERROR(__xludf.DUMMYFUNCTION("IMPORTRANGE(""https://docs.google.com/spreadsheets/d/1-uDff_7J0KD5mKrp0Vvzr7lt3OU09vwQwhkpOPPYv2Y/edit?usp=sharing"",""งบพรบ!GM83"")"),0)</f>
        <v>0</v>
      </c>
      <c r="J83" s="262">
        <f t="shared" ca="1" si="15"/>
        <v>0</v>
      </c>
      <c r="K83" s="476">
        <f t="shared" ca="1" si="16"/>
        <v>0</v>
      </c>
      <c r="L83" s="151">
        <f ca="1">IFERROR(__xludf.DUMMYFUNCTION("IMPORTRANGE(""https://docs.google.com/spreadsheets/d/1-uDff_7J0KD5mKrp0Vvzr7lt3OU09vwQwhkpOPPYv2Y/edit?usp=sharing"",""งบพรบ!GN83"")"),0)</f>
        <v>0</v>
      </c>
      <c r="M83" s="260">
        <f t="shared" ca="1" si="17"/>
        <v>0</v>
      </c>
      <c r="N83" s="260">
        <f t="shared" ca="1" si="18"/>
        <v>0</v>
      </c>
      <c r="O83" s="151">
        <f ca="1">IFERROR(__xludf.DUMMYFUNCTION("IMPORTRANGE(""https://docs.google.com/spreadsheets/d/1-uDff_7J0KD5mKrp0Vvzr7lt3OU09vwQwhkpOPPYv2Y/edit?usp=sharing"",""งบพรบ!GO83"")"),0)</f>
        <v>0</v>
      </c>
      <c r="P83" s="475">
        <f t="shared" ca="1" si="19"/>
        <v>0</v>
      </c>
      <c r="Q83" s="260">
        <f t="shared" ca="1" si="20"/>
        <v>0</v>
      </c>
      <c r="R83" s="278">
        <v>0</v>
      </c>
      <c r="S83" s="152">
        <v>0</v>
      </c>
      <c r="T83" s="216">
        <f t="shared" si="22"/>
        <v>0</v>
      </c>
    </row>
    <row r="84" spans="1:20" ht="19.5" x14ac:dyDescent="0.3">
      <c r="A84" s="147">
        <v>10</v>
      </c>
      <c r="B84" s="148" t="s">
        <v>112</v>
      </c>
      <c r="C84" s="472">
        <f t="shared" ca="1" si="13"/>
        <v>0</v>
      </c>
      <c r="D84" s="473">
        <f t="shared" ca="1" si="32"/>
        <v>0</v>
      </c>
      <c r="E84" s="151">
        <f ca="1">IFERROR(__xludf.DUMMYFUNCTION("IMPORTRANGE(""https://docs.google.com/spreadsheets/d/1-uDff_7J0KD5mKrp0Vvzr7lt3OU09vwQwhkpOPPYv2Y/edit?usp=sharing"",""งบพรบ!GH84"")"),0)</f>
        <v>0</v>
      </c>
      <c r="F84" s="151">
        <f ca="1">IFERROR(__xludf.DUMMYFUNCTION("IMPORTRANGE(""https://docs.google.com/spreadsheets/d/1-uDff_7J0KD5mKrp0Vvzr7lt3OU09vwQwhkpOPPYv2Y/edit?usp=sharing"",""งบพรบ!GI84"")"),0)</f>
        <v>0</v>
      </c>
      <c r="G84" s="151">
        <f ca="1">IFERROR(__xludf.DUMMYFUNCTION("IMPORTRANGE(""https://docs.google.com/spreadsheets/d/1-uDff_7J0KD5mKrp0Vvzr7lt3OU09vwQwhkpOPPYv2Y/edit?usp=sharing"",""งบพรบ!GJ84"")"),0)</f>
        <v>0</v>
      </c>
      <c r="H84" s="151">
        <f ca="1">IFERROR(__xludf.DUMMYFUNCTION("IMPORTRANGE(""https://docs.google.com/spreadsheets/d/1-uDff_7J0KD5mKrp0Vvzr7lt3OU09vwQwhkpOPPYv2Y/edit?usp=sharing"",""งบพรบ!GL84"")"),0)</f>
        <v>0</v>
      </c>
      <c r="I84" s="151">
        <f ca="1">IFERROR(__xludf.DUMMYFUNCTION("IMPORTRANGE(""https://docs.google.com/spreadsheets/d/1-uDff_7J0KD5mKrp0Vvzr7lt3OU09vwQwhkpOPPYv2Y/edit?usp=sharing"",""งบพรบ!GM84"")"),0)</f>
        <v>0</v>
      </c>
      <c r="J84" s="262">
        <f t="shared" ca="1" si="15"/>
        <v>0</v>
      </c>
      <c r="K84" s="476">
        <f t="shared" ca="1" si="16"/>
        <v>0</v>
      </c>
      <c r="L84" s="151">
        <f ca="1">IFERROR(__xludf.DUMMYFUNCTION("IMPORTRANGE(""https://docs.google.com/spreadsheets/d/1-uDff_7J0KD5mKrp0Vvzr7lt3OU09vwQwhkpOPPYv2Y/edit?usp=sharing"",""งบพรบ!GN84"")"),0)</f>
        <v>0</v>
      </c>
      <c r="M84" s="260">
        <f t="shared" ca="1" si="17"/>
        <v>0</v>
      </c>
      <c r="N84" s="260">
        <f t="shared" ca="1" si="18"/>
        <v>0</v>
      </c>
      <c r="O84" s="151">
        <f ca="1">IFERROR(__xludf.DUMMYFUNCTION("IMPORTRANGE(""https://docs.google.com/spreadsheets/d/1-uDff_7J0KD5mKrp0Vvzr7lt3OU09vwQwhkpOPPYv2Y/edit?usp=sharing"",""งบพรบ!GO84"")"),0)</f>
        <v>0</v>
      </c>
      <c r="P84" s="475">
        <f t="shared" ca="1" si="19"/>
        <v>0</v>
      </c>
      <c r="Q84" s="260">
        <f t="shared" ca="1" si="20"/>
        <v>0</v>
      </c>
      <c r="R84" s="278">
        <v>0</v>
      </c>
      <c r="S84" s="152">
        <v>0</v>
      </c>
      <c r="T84" s="216">
        <f t="shared" si="22"/>
        <v>0</v>
      </c>
    </row>
    <row r="85" spans="1:20" ht="19.5" x14ac:dyDescent="0.3">
      <c r="A85" s="147">
        <v>11</v>
      </c>
      <c r="B85" s="148" t="s">
        <v>113</v>
      </c>
      <c r="C85" s="472">
        <f t="shared" ca="1" si="13"/>
        <v>0</v>
      </c>
      <c r="D85" s="473">
        <f t="shared" ca="1" si="32"/>
        <v>0</v>
      </c>
      <c r="E85" s="151">
        <f ca="1">IFERROR(__xludf.DUMMYFUNCTION("IMPORTRANGE(""https://docs.google.com/spreadsheets/d/1-uDff_7J0KD5mKrp0Vvzr7lt3OU09vwQwhkpOPPYv2Y/edit?usp=sharing"",""งบพรบ!GH85"")"),0)</f>
        <v>0</v>
      </c>
      <c r="F85" s="151">
        <f ca="1">IFERROR(__xludf.DUMMYFUNCTION("IMPORTRANGE(""https://docs.google.com/spreadsheets/d/1-uDff_7J0KD5mKrp0Vvzr7lt3OU09vwQwhkpOPPYv2Y/edit?usp=sharing"",""งบพรบ!GI85"")"),0)</f>
        <v>0</v>
      </c>
      <c r="G85" s="151">
        <f ca="1">IFERROR(__xludf.DUMMYFUNCTION("IMPORTRANGE(""https://docs.google.com/spreadsheets/d/1-uDff_7J0KD5mKrp0Vvzr7lt3OU09vwQwhkpOPPYv2Y/edit?usp=sharing"",""งบพรบ!GJ85"")"),0)</f>
        <v>0</v>
      </c>
      <c r="H85" s="151">
        <f ca="1">IFERROR(__xludf.DUMMYFUNCTION("IMPORTRANGE(""https://docs.google.com/spreadsheets/d/1-uDff_7J0KD5mKrp0Vvzr7lt3OU09vwQwhkpOPPYv2Y/edit?usp=sharing"",""งบพรบ!GL85"")"),0)</f>
        <v>0</v>
      </c>
      <c r="I85" s="151">
        <f ca="1">IFERROR(__xludf.DUMMYFUNCTION("IMPORTRANGE(""https://docs.google.com/spreadsheets/d/1-uDff_7J0KD5mKrp0Vvzr7lt3OU09vwQwhkpOPPYv2Y/edit?usp=sharing"",""งบพรบ!GM85"")"),0)</f>
        <v>0</v>
      </c>
      <c r="J85" s="262">
        <f t="shared" ca="1" si="15"/>
        <v>0</v>
      </c>
      <c r="K85" s="476">
        <f t="shared" ca="1" si="16"/>
        <v>0</v>
      </c>
      <c r="L85" s="151">
        <f ca="1">IFERROR(__xludf.DUMMYFUNCTION("IMPORTRANGE(""https://docs.google.com/spreadsheets/d/1-uDff_7J0KD5mKrp0Vvzr7lt3OU09vwQwhkpOPPYv2Y/edit?usp=sharing"",""งบพรบ!GN85"")"),0)</f>
        <v>0</v>
      </c>
      <c r="M85" s="260">
        <f t="shared" ca="1" si="17"/>
        <v>0</v>
      </c>
      <c r="N85" s="260">
        <f t="shared" ca="1" si="18"/>
        <v>0</v>
      </c>
      <c r="O85" s="151">
        <f ca="1">IFERROR(__xludf.DUMMYFUNCTION("IMPORTRANGE(""https://docs.google.com/spreadsheets/d/1-uDff_7J0KD5mKrp0Vvzr7lt3OU09vwQwhkpOPPYv2Y/edit?usp=sharing"",""งบพรบ!GO85"")"),0)</f>
        <v>0</v>
      </c>
      <c r="P85" s="475">
        <f t="shared" ca="1" si="19"/>
        <v>0</v>
      </c>
      <c r="Q85" s="260">
        <f t="shared" ca="1" si="20"/>
        <v>0</v>
      </c>
      <c r="R85" s="278">
        <v>0</v>
      </c>
      <c r="S85" s="152">
        <v>0</v>
      </c>
      <c r="T85" s="216">
        <f t="shared" si="22"/>
        <v>0</v>
      </c>
    </row>
    <row r="86" spans="1:20" ht="19.5" x14ac:dyDescent="0.3">
      <c r="A86" s="147">
        <v>12</v>
      </c>
      <c r="B86" s="148" t="s">
        <v>114</v>
      </c>
      <c r="C86" s="472">
        <f t="shared" ca="1" si="13"/>
        <v>0</v>
      </c>
      <c r="D86" s="473">
        <f t="shared" ca="1" si="32"/>
        <v>0</v>
      </c>
      <c r="E86" s="151">
        <f ca="1">IFERROR(__xludf.DUMMYFUNCTION("IMPORTRANGE(""https://docs.google.com/spreadsheets/d/1-uDff_7J0KD5mKrp0Vvzr7lt3OU09vwQwhkpOPPYv2Y/edit?usp=sharing"",""งบพรบ!GH86"")"),0)</f>
        <v>0</v>
      </c>
      <c r="F86" s="151">
        <f ca="1">IFERROR(__xludf.DUMMYFUNCTION("IMPORTRANGE(""https://docs.google.com/spreadsheets/d/1-uDff_7J0KD5mKrp0Vvzr7lt3OU09vwQwhkpOPPYv2Y/edit?usp=sharing"",""งบพรบ!GI86"")"),0)</f>
        <v>0</v>
      </c>
      <c r="G86" s="151">
        <f ca="1">IFERROR(__xludf.DUMMYFUNCTION("IMPORTRANGE(""https://docs.google.com/spreadsheets/d/1-uDff_7J0KD5mKrp0Vvzr7lt3OU09vwQwhkpOPPYv2Y/edit?usp=sharing"",""งบพรบ!GJ86"")"),0)</f>
        <v>0</v>
      </c>
      <c r="H86" s="151">
        <f ca="1">IFERROR(__xludf.DUMMYFUNCTION("IMPORTRANGE(""https://docs.google.com/spreadsheets/d/1-uDff_7J0KD5mKrp0Vvzr7lt3OU09vwQwhkpOPPYv2Y/edit?usp=sharing"",""งบพรบ!GL86"")"),0)</f>
        <v>0</v>
      </c>
      <c r="I86" s="151">
        <f ca="1">IFERROR(__xludf.DUMMYFUNCTION("IMPORTRANGE(""https://docs.google.com/spreadsheets/d/1-uDff_7J0KD5mKrp0Vvzr7lt3OU09vwQwhkpOPPYv2Y/edit?usp=sharing"",""งบพรบ!GM86"")"),0)</f>
        <v>0</v>
      </c>
      <c r="J86" s="262">
        <f t="shared" ca="1" si="15"/>
        <v>0</v>
      </c>
      <c r="K86" s="476">
        <f t="shared" ca="1" si="16"/>
        <v>0</v>
      </c>
      <c r="L86" s="151">
        <f ca="1">IFERROR(__xludf.DUMMYFUNCTION("IMPORTRANGE(""https://docs.google.com/spreadsheets/d/1-uDff_7J0KD5mKrp0Vvzr7lt3OU09vwQwhkpOPPYv2Y/edit?usp=sharing"",""งบพรบ!GN86"")"),0)</f>
        <v>0</v>
      </c>
      <c r="M86" s="260">
        <f t="shared" ca="1" si="17"/>
        <v>0</v>
      </c>
      <c r="N86" s="260">
        <f t="shared" ca="1" si="18"/>
        <v>0</v>
      </c>
      <c r="O86" s="151">
        <f ca="1">IFERROR(__xludf.DUMMYFUNCTION("IMPORTRANGE(""https://docs.google.com/spreadsheets/d/1-uDff_7J0KD5mKrp0Vvzr7lt3OU09vwQwhkpOPPYv2Y/edit?usp=sharing"",""งบพรบ!GO86"")"),0)</f>
        <v>0</v>
      </c>
      <c r="P86" s="475">
        <f t="shared" ca="1" si="19"/>
        <v>0</v>
      </c>
      <c r="Q86" s="260">
        <f t="shared" ca="1" si="20"/>
        <v>0</v>
      </c>
      <c r="R86" s="279">
        <v>0</v>
      </c>
      <c r="S86" s="397">
        <v>0</v>
      </c>
      <c r="T86" s="216">
        <f t="shared" si="22"/>
        <v>0</v>
      </c>
    </row>
    <row r="87" spans="1:20" ht="19.5" x14ac:dyDescent="0.3">
      <c r="A87" s="147">
        <v>13</v>
      </c>
      <c r="B87" s="148" t="s">
        <v>115</v>
      </c>
      <c r="C87" s="472">
        <f t="shared" ca="1" si="13"/>
        <v>0</v>
      </c>
      <c r="D87" s="473">
        <f t="shared" ca="1" si="32"/>
        <v>0</v>
      </c>
      <c r="E87" s="151">
        <f ca="1">IFERROR(__xludf.DUMMYFUNCTION("IMPORTRANGE(""https://docs.google.com/spreadsheets/d/1-uDff_7J0KD5mKrp0Vvzr7lt3OU09vwQwhkpOPPYv2Y/edit?usp=sharing"",""งบพรบ!GH87"")"),0)</f>
        <v>0</v>
      </c>
      <c r="F87" s="151">
        <f ca="1">IFERROR(__xludf.DUMMYFUNCTION("IMPORTRANGE(""https://docs.google.com/spreadsheets/d/1-uDff_7J0KD5mKrp0Vvzr7lt3OU09vwQwhkpOPPYv2Y/edit?usp=sharing"",""งบพรบ!GI87"")"),0)</f>
        <v>0</v>
      </c>
      <c r="G87" s="151">
        <f ca="1">IFERROR(__xludf.DUMMYFUNCTION("IMPORTRANGE(""https://docs.google.com/spreadsheets/d/1-uDff_7J0KD5mKrp0Vvzr7lt3OU09vwQwhkpOPPYv2Y/edit?usp=sharing"",""งบพรบ!GJ87"")"),0)</f>
        <v>0</v>
      </c>
      <c r="H87" s="151">
        <f ca="1">IFERROR(__xludf.DUMMYFUNCTION("IMPORTRANGE(""https://docs.google.com/spreadsheets/d/1-uDff_7J0KD5mKrp0Vvzr7lt3OU09vwQwhkpOPPYv2Y/edit?usp=sharing"",""งบพรบ!GL87"")"),0)</f>
        <v>0</v>
      </c>
      <c r="I87" s="151">
        <f ca="1">IFERROR(__xludf.DUMMYFUNCTION("IMPORTRANGE(""https://docs.google.com/spreadsheets/d/1-uDff_7J0KD5mKrp0Vvzr7lt3OU09vwQwhkpOPPYv2Y/edit?usp=sharing"",""งบพรบ!GM87"")"),0)</f>
        <v>0</v>
      </c>
      <c r="J87" s="262">
        <f t="shared" ca="1" si="15"/>
        <v>0</v>
      </c>
      <c r="K87" s="476">
        <f t="shared" ca="1" si="16"/>
        <v>0</v>
      </c>
      <c r="L87" s="151">
        <f ca="1">IFERROR(__xludf.DUMMYFUNCTION("IMPORTRANGE(""https://docs.google.com/spreadsheets/d/1-uDff_7J0KD5mKrp0Vvzr7lt3OU09vwQwhkpOPPYv2Y/edit?usp=sharing"",""งบพรบ!GN87"")"),0)</f>
        <v>0</v>
      </c>
      <c r="M87" s="260">
        <f t="shared" ca="1" si="17"/>
        <v>0</v>
      </c>
      <c r="N87" s="260">
        <f t="shared" ca="1" si="18"/>
        <v>0</v>
      </c>
      <c r="O87" s="151">
        <f ca="1">IFERROR(__xludf.DUMMYFUNCTION("IMPORTRANGE(""https://docs.google.com/spreadsheets/d/1-uDff_7J0KD5mKrp0Vvzr7lt3OU09vwQwhkpOPPYv2Y/edit?usp=sharing"",""งบพรบ!GO87"")"),0)</f>
        <v>0</v>
      </c>
      <c r="P87" s="475">
        <f t="shared" ca="1" si="19"/>
        <v>0</v>
      </c>
      <c r="Q87" s="260">
        <f t="shared" ca="1" si="20"/>
        <v>0</v>
      </c>
      <c r="R87" s="278">
        <v>0</v>
      </c>
      <c r="S87" s="152">
        <v>0</v>
      </c>
      <c r="T87" s="216">
        <f t="shared" si="22"/>
        <v>0</v>
      </c>
    </row>
    <row r="88" spans="1:20" ht="19.5" x14ac:dyDescent="0.3">
      <c r="A88" s="155">
        <v>14</v>
      </c>
      <c r="B88" s="156" t="s">
        <v>116</v>
      </c>
      <c r="C88" s="477">
        <f t="shared" ca="1" si="13"/>
        <v>0</v>
      </c>
      <c r="D88" s="478">
        <f t="shared" ca="1" si="32"/>
        <v>0</v>
      </c>
      <c r="E88" s="159">
        <f ca="1">IFERROR(__xludf.DUMMYFUNCTION("IMPORTRANGE(""https://docs.google.com/spreadsheets/d/1-uDff_7J0KD5mKrp0Vvzr7lt3OU09vwQwhkpOPPYv2Y/edit?usp=sharing"",""งบพรบ!GH88"")"),0)</f>
        <v>0</v>
      </c>
      <c r="F88" s="159">
        <f ca="1">IFERROR(__xludf.DUMMYFUNCTION("IMPORTRANGE(""https://docs.google.com/spreadsheets/d/1-uDff_7J0KD5mKrp0Vvzr7lt3OU09vwQwhkpOPPYv2Y/edit?usp=sharing"",""งบพรบ!GI88"")"),0)</f>
        <v>0</v>
      </c>
      <c r="G88" s="159">
        <f ca="1">IFERROR(__xludf.DUMMYFUNCTION("IMPORTRANGE(""https://docs.google.com/spreadsheets/d/1-uDff_7J0KD5mKrp0Vvzr7lt3OU09vwQwhkpOPPYv2Y/edit?usp=sharing"",""งบพรบ!GJ88"")"),0)</f>
        <v>0</v>
      </c>
      <c r="H88" s="159">
        <f ca="1">IFERROR(__xludf.DUMMYFUNCTION("IMPORTRANGE(""https://docs.google.com/spreadsheets/d/1-uDff_7J0KD5mKrp0Vvzr7lt3OU09vwQwhkpOPPYv2Y/edit?usp=sharing"",""งบพรบ!GL88"")"),0)</f>
        <v>0</v>
      </c>
      <c r="I88" s="159">
        <f ca="1">IFERROR(__xludf.DUMMYFUNCTION("IMPORTRANGE(""https://docs.google.com/spreadsheets/d/1-uDff_7J0KD5mKrp0Vvzr7lt3OU09vwQwhkpOPPYv2Y/edit?usp=sharing"",""งบพรบ!GM88"")"),0)</f>
        <v>0</v>
      </c>
      <c r="J88" s="479">
        <f t="shared" ca="1" si="15"/>
        <v>0</v>
      </c>
      <c r="K88" s="480">
        <f t="shared" ca="1" si="16"/>
        <v>0</v>
      </c>
      <c r="L88" s="159">
        <f ca="1">IFERROR(__xludf.DUMMYFUNCTION("IMPORTRANGE(""https://docs.google.com/spreadsheets/d/1-uDff_7J0KD5mKrp0Vvzr7lt3OU09vwQwhkpOPPYv2Y/edit?usp=sharing"",""งบพรบ!GN88"")"),0)</f>
        <v>0</v>
      </c>
      <c r="M88" s="481">
        <f t="shared" ca="1" si="17"/>
        <v>0</v>
      </c>
      <c r="N88" s="481">
        <f t="shared" ca="1" si="18"/>
        <v>0</v>
      </c>
      <c r="O88" s="159">
        <f ca="1">IFERROR(__xludf.DUMMYFUNCTION("IMPORTRANGE(""https://docs.google.com/spreadsheets/d/1-uDff_7J0KD5mKrp0Vvzr7lt3OU09vwQwhkpOPPYv2Y/edit?usp=sharing"",""งบพรบ!GO88"")"),0)</f>
        <v>0</v>
      </c>
      <c r="P88" s="482">
        <f t="shared" ca="1" si="19"/>
        <v>0</v>
      </c>
      <c r="Q88" s="481">
        <f t="shared" ca="1" si="20"/>
        <v>0</v>
      </c>
      <c r="R88" s="280">
        <v>0</v>
      </c>
      <c r="S88" s="191">
        <v>0</v>
      </c>
      <c r="T88" s="218">
        <f t="shared" si="22"/>
        <v>0</v>
      </c>
    </row>
    <row r="89" spans="1:20" ht="19.5" x14ac:dyDescent="0.3">
      <c r="A89" s="698" t="s">
        <v>117</v>
      </c>
      <c r="B89" s="662"/>
      <c r="C89" s="489">
        <f t="shared" ref="C89:Q89" ca="1" si="33">SUM(C90:C106)</f>
        <v>664800</v>
      </c>
      <c r="D89" s="489">
        <f t="shared" ca="1" si="33"/>
        <v>664800</v>
      </c>
      <c r="E89" s="489">
        <f t="shared" ca="1" si="33"/>
        <v>299200</v>
      </c>
      <c r="F89" s="489">
        <f t="shared" ca="1" si="33"/>
        <v>365600</v>
      </c>
      <c r="G89" s="489">
        <f t="shared" ca="1" si="33"/>
        <v>0</v>
      </c>
      <c r="H89" s="489">
        <f t="shared" ca="1" si="33"/>
        <v>633150</v>
      </c>
      <c r="I89" s="489">
        <f t="shared" ca="1" si="33"/>
        <v>0</v>
      </c>
      <c r="J89" s="489">
        <f t="shared" ca="1" si="33"/>
        <v>0</v>
      </c>
      <c r="K89" s="490">
        <f t="shared" ca="1" si="33"/>
        <v>0</v>
      </c>
      <c r="L89" s="489">
        <f t="shared" ca="1" si="33"/>
        <v>0</v>
      </c>
      <c r="M89" s="490">
        <f t="shared" ca="1" si="33"/>
        <v>0</v>
      </c>
      <c r="N89" s="490">
        <f t="shared" ca="1" si="33"/>
        <v>0</v>
      </c>
      <c r="O89" s="489">
        <f t="shared" ca="1" si="33"/>
        <v>0</v>
      </c>
      <c r="P89" s="489">
        <f t="shared" ca="1" si="33"/>
        <v>0</v>
      </c>
      <c r="Q89" s="489">
        <f t="shared" ca="1" si="33"/>
        <v>0</v>
      </c>
      <c r="R89" s="489"/>
      <c r="S89" s="489"/>
      <c r="T89" s="256"/>
    </row>
    <row r="90" spans="1:20" ht="19.5" x14ac:dyDescent="0.3">
      <c r="A90" s="257"/>
      <c r="B90" s="258" t="s">
        <v>118</v>
      </c>
      <c r="C90" s="472">
        <f t="shared" ref="C90:C108" ca="1" si="34">D90+G90</f>
        <v>0</v>
      </c>
      <c r="D90" s="473">
        <f t="shared" ref="D90:D108" ca="1" si="35">+E90+F90</f>
        <v>0</v>
      </c>
      <c r="E90" s="151">
        <f ca="1">IFERROR(__xludf.DUMMYFUNCTION("IMPORTRANGE(""https://docs.google.com/spreadsheets/d/1-uDff_7J0KD5mKrp0Vvzr7lt3OU09vwQwhkpOPPYv2Y/edit?usp=sharing"",""งบพรบ!GH90"")"),0)</f>
        <v>0</v>
      </c>
      <c r="F90" s="151">
        <f ca="1">IFERROR(__xludf.DUMMYFUNCTION("IMPORTRANGE(""https://docs.google.com/spreadsheets/d/1-uDff_7J0KD5mKrp0Vvzr7lt3OU09vwQwhkpOPPYv2Y/edit?usp=sharing"",""งบพรบ!GI90"")"),0)</f>
        <v>0</v>
      </c>
      <c r="G90" s="151">
        <f ca="1">IFERROR(__xludf.DUMMYFUNCTION("IMPORTRANGE(""https://docs.google.com/spreadsheets/d/1-uDff_7J0KD5mKrp0Vvzr7lt3OU09vwQwhkpOPPYv2Y/edit?usp=sharing"",""งบพรบ!GJ90"")"),0)</f>
        <v>0</v>
      </c>
      <c r="H90" s="151">
        <f ca="1">IFERROR(__xludf.DUMMYFUNCTION("IMPORTRANGE(""https://docs.google.com/spreadsheets/d/1-uDff_7J0KD5mKrp0Vvzr7lt3OU09vwQwhkpOPPYv2Y/edit?usp=sharing"",""งบพรบ!GL90"")"),0)</f>
        <v>0</v>
      </c>
      <c r="I90" s="151">
        <f ca="1">IFERROR(__xludf.DUMMYFUNCTION("IMPORTRANGE(""https://docs.google.com/spreadsheets/d/1-uDff_7J0KD5mKrp0Vvzr7lt3OU09vwQwhkpOPPYv2Y/edit?usp=sharing"",""งบพรบ!GM90"")"),0)</f>
        <v>0</v>
      </c>
      <c r="J90" s="262">
        <f t="shared" ref="J90:J108" ca="1" si="36">L90+O90</f>
        <v>0</v>
      </c>
      <c r="K90" s="476">
        <f t="shared" ref="K90:K108" ca="1" si="37">IF(C90&gt;0,J90*100/C90,0)</f>
        <v>0</v>
      </c>
      <c r="L90" s="151">
        <f ca="1">IFERROR(__xludf.DUMMYFUNCTION("IMPORTRANGE(""https://docs.google.com/spreadsheets/d/1-uDff_7J0KD5mKrp0Vvzr7lt3OU09vwQwhkpOPPYv2Y/edit?usp=sharing"",""งบพรบ!GN90"")"),0)</f>
        <v>0</v>
      </c>
      <c r="M90" s="260">
        <f t="shared" ref="M90:M108" ca="1" si="38">IF(D90&gt;0,L90*100/D90,0)</f>
        <v>0</v>
      </c>
      <c r="N90" s="260">
        <f t="shared" ref="N90:N108" ca="1" si="39">IF(H90&gt;0,L90*100/H90,0)</f>
        <v>0</v>
      </c>
      <c r="O90" s="151">
        <f ca="1">IFERROR(__xludf.DUMMYFUNCTION("IMPORTRANGE(""https://docs.google.com/spreadsheets/d/1-uDff_7J0KD5mKrp0Vvzr7lt3OU09vwQwhkpOPPYv2Y/edit?usp=sharing"",""งบพรบ!GO90"")"),0)</f>
        <v>0</v>
      </c>
      <c r="P90" s="475">
        <f t="shared" ref="P90:P108" ca="1" si="40">IF(G90&gt;0,O90*100/G90,0)</f>
        <v>0</v>
      </c>
      <c r="Q90" s="260">
        <f t="shared" ref="Q90:Q108" ca="1" si="41">IF(I90&gt;0,O90*100/I90,0)</f>
        <v>0</v>
      </c>
      <c r="R90" s="262"/>
      <c r="S90" s="262"/>
      <c r="T90" s="260"/>
    </row>
    <row r="91" spans="1:20" ht="19.5" x14ac:dyDescent="0.3">
      <c r="A91" s="257"/>
      <c r="B91" s="258" t="s">
        <v>119</v>
      </c>
      <c r="C91" s="472">
        <f t="shared" ca="1" si="34"/>
        <v>0</v>
      </c>
      <c r="D91" s="473">
        <f t="shared" ca="1" si="35"/>
        <v>0</v>
      </c>
      <c r="E91" s="151">
        <f ca="1">IFERROR(__xludf.DUMMYFUNCTION("IMPORTRANGE(""https://docs.google.com/spreadsheets/d/1-uDff_7J0KD5mKrp0Vvzr7lt3OU09vwQwhkpOPPYv2Y/edit?usp=sharing"",""งบพรบ!GH91"")"),0)</f>
        <v>0</v>
      </c>
      <c r="F91" s="151">
        <f ca="1">IFERROR(__xludf.DUMMYFUNCTION("IMPORTRANGE(""https://docs.google.com/spreadsheets/d/1-uDff_7J0KD5mKrp0Vvzr7lt3OU09vwQwhkpOPPYv2Y/edit?usp=sharing"",""งบพรบ!GI91"")"),0)</f>
        <v>0</v>
      </c>
      <c r="G91" s="151">
        <f ca="1">IFERROR(__xludf.DUMMYFUNCTION("IMPORTRANGE(""https://docs.google.com/spreadsheets/d/1-uDff_7J0KD5mKrp0Vvzr7lt3OU09vwQwhkpOPPYv2Y/edit?usp=sharing"",""งบพรบ!GJ91"")"),0)</f>
        <v>0</v>
      </c>
      <c r="H91" s="151">
        <f ca="1">IFERROR(__xludf.DUMMYFUNCTION("IMPORTRANGE(""https://docs.google.com/spreadsheets/d/1-uDff_7J0KD5mKrp0Vvzr7lt3OU09vwQwhkpOPPYv2Y/edit?usp=sharing"",""งบพรบ!GL91"")"),0)</f>
        <v>0</v>
      </c>
      <c r="I91" s="151">
        <f ca="1">IFERROR(__xludf.DUMMYFUNCTION("IMPORTRANGE(""https://docs.google.com/spreadsheets/d/1-uDff_7J0KD5mKrp0Vvzr7lt3OU09vwQwhkpOPPYv2Y/edit?usp=sharing"",""งบพรบ!GM91"")"),0)</f>
        <v>0</v>
      </c>
      <c r="J91" s="262">
        <f t="shared" ca="1" si="36"/>
        <v>0</v>
      </c>
      <c r="K91" s="476">
        <f t="shared" ca="1" si="37"/>
        <v>0</v>
      </c>
      <c r="L91" s="151">
        <f ca="1">IFERROR(__xludf.DUMMYFUNCTION("IMPORTRANGE(""https://docs.google.com/spreadsheets/d/1-uDff_7J0KD5mKrp0Vvzr7lt3OU09vwQwhkpOPPYv2Y/edit?usp=sharing"",""งบพรบ!GN91"")"),0)</f>
        <v>0</v>
      </c>
      <c r="M91" s="260">
        <f t="shared" ca="1" si="38"/>
        <v>0</v>
      </c>
      <c r="N91" s="260">
        <f t="shared" ca="1" si="39"/>
        <v>0</v>
      </c>
      <c r="O91" s="151">
        <f ca="1">IFERROR(__xludf.DUMMYFUNCTION("IMPORTRANGE(""https://docs.google.com/spreadsheets/d/1-uDff_7J0KD5mKrp0Vvzr7lt3OU09vwQwhkpOPPYv2Y/edit?usp=sharing"",""งบพรบ!GO91"")"),0)</f>
        <v>0</v>
      </c>
      <c r="P91" s="475">
        <f t="shared" ca="1" si="40"/>
        <v>0</v>
      </c>
      <c r="Q91" s="260">
        <f t="shared" ca="1" si="41"/>
        <v>0</v>
      </c>
      <c r="R91" s="262"/>
      <c r="S91" s="262"/>
      <c r="T91" s="260"/>
    </row>
    <row r="92" spans="1:20" ht="19.5" x14ac:dyDescent="0.3">
      <c r="A92" s="257"/>
      <c r="B92" s="258" t="s">
        <v>120</v>
      </c>
      <c r="C92" s="472">
        <f t="shared" ca="1" si="34"/>
        <v>0</v>
      </c>
      <c r="D92" s="473">
        <f t="shared" ca="1" si="35"/>
        <v>0</v>
      </c>
      <c r="E92" s="151">
        <f ca="1">IFERROR(__xludf.DUMMYFUNCTION("IMPORTRANGE(""https://docs.google.com/spreadsheets/d/1-uDff_7J0KD5mKrp0Vvzr7lt3OU09vwQwhkpOPPYv2Y/edit?usp=sharing"",""งบพรบ!GH92"")"),0)</f>
        <v>0</v>
      </c>
      <c r="F92" s="151">
        <f ca="1">IFERROR(__xludf.DUMMYFUNCTION("IMPORTRANGE(""https://docs.google.com/spreadsheets/d/1-uDff_7J0KD5mKrp0Vvzr7lt3OU09vwQwhkpOPPYv2Y/edit?usp=sharing"",""งบพรบ!GI92"")"),0)</f>
        <v>0</v>
      </c>
      <c r="G92" s="151">
        <f ca="1">IFERROR(__xludf.DUMMYFUNCTION("IMPORTRANGE(""https://docs.google.com/spreadsheets/d/1-uDff_7J0KD5mKrp0Vvzr7lt3OU09vwQwhkpOPPYv2Y/edit?usp=sharing"",""งบพรบ!GJ92"")"),0)</f>
        <v>0</v>
      </c>
      <c r="H92" s="151">
        <f ca="1">IFERROR(__xludf.DUMMYFUNCTION("IMPORTRANGE(""https://docs.google.com/spreadsheets/d/1-uDff_7J0KD5mKrp0Vvzr7lt3OU09vwQwhkpOPPYv2Y/edit?usp=sharing"",""งบพรบ!GL92"")"),0)</f>
        <v>0</v>
      </c>
      <c r="I92" s="151">
        <f ca="1">IFERROR(__xludf.DUMMYFUNCTION("IMPORTRANGE(""https://docs.google.com/spreadsheets/d/1-uDff_7J0KD5mKrp0Vvzr7lt3OU09vwQwhkpOPPYv2Y/edit?usp=sharing"",""งบพรบ!GM92"")"),0)</f>
        <v>0</v>
      </c>
      <c r="J92" s="262">
        <f t="shared" ca="1" si="36"/>
        <v>0</v>
      </c>
      <c r="K92" s="476">
        <f t="shared" ca="1" si="37"/>
        <v>0</v>
      </c>
      <c r="L92" s="151">
        <f ca="1">IFERROR(__xludf.DUMMYFUNCTION("IMPORTRANGE(""https://docs.google.com/spreadsheets/d/1-uDff_7J0KD5mKrp0Vvzr7lt3OU09vwQwhkpOPPYv2Y/edit?usp=sharing"",""งบพรบ!GN92"")"),0)</f>
        <v>0</v>
      </c>
      <c r="M92" s="260">
        <f t="shared" ca="1" si="38"/>
        <v>0</v>
      </c>
      <c r="N92" s="260">
        <f t="shared" ca="1" si="39"/>
        <v>0</v>
      </c>
      <c r="O92" s="151">
        <f ca="1">IFERROR(__xludf.DUMMYFUNCTION("IMPORTRANGE(""https://docs.google.com/spreadsheets/d/1-uDff_7J0KD5mKrp0Vvzr7lt3OU09vwQwhkpOPPYv2Y/edit?usp=sharing"",""งบพรบ!GO92"")"),0)</f>
        <v>0</v>
      </c>
      <c r="P92" s="475">
        <f t="shared" ca="1" si="40"/>
        <v>0</v>
      </c>
      <c r="Q92" s="260">
        <f t="shared" ca="1" si="41"/>
        <v>0</v>
      </c>
      <c r="R92" s="262"/>
      <c r="S92" s="262"/>
      <c r="T92" s="260"/>
    </row>
    <row r="93" spans="1:20" ht="19.5" x14ac:dyDescent="0.3">
      <c r="A93" s="257"/>
      <c r="B93" s="258" t="s">
        <v>121</v>
      </c>
      <c r="C93" s="472">
        <f t="shared" ca="1" si="34"/>
        <v>0</v>
      </c>
      <c r="D93" s="473">
        <f t="shared" ca="1" si="35"/>
        <v>0</v>
      </c>
      <c r="E93" s="151">
        <f ca="1">IFERROR(__xludf.DUMMYFUNCTION("IMPORTRANGE(""https://docs.google.com/spreadsheets/d/1-uDff_7J0KD5mKrp0Vvzr7lt3OU09vwQwhkpOPPYv2Y/edit?usp=sharing"",""งบพรบ!GH93"")"),0)</f>
        <v>0</v>
      </c>
      <c r="F93" s="151">
        <f ca="1">IFERROR(__xludf.DUMMYFUNCTION("IMPORTRANGE(""https://docs.google.com/spreadsheets/d/1-uDff_7J0KD5mKrp0Vvzr7lt3OU09vwQwhkpOPPYv2Y/edit?usp=sharing"",""งบพรบ!GI93"")"),0)</f>
        <v>0</v>
      </c>
      <c r="G93" s="151">
        <f ca="1">IFERROR(__xludf.DUMMYFUNCTION("IMPORTRANGE(""https://docs.google.com/spreadsheets/d/1-uDff_7J0KD5mKrp0Vvzr7lt3OU09vwQwhkpOPPYv2Y/edit?usp=sharing"",""งบพรบ!GJ93"")"),0)</f>
        <v>0</v>
      </c>
      <c r="H93" s="151">
        <f ca="1">IFERROR(__xludf.DUMMYFUNCTION("IMPORTRANGE(""https://docs.google.com/spreadsheets/d/1-uDff_7J0KD5mKrp0Vvzr7lt3OU09vwQwhkpOPPYv2Y/edit?usp=sharing"",""งบพรบ!GL93"")"),0)</f>
        <v>0</v>
      </c>
      <c r="I93" s="151">
        <f ca="1">IFERROR(__xludf.DUMMYFUNCTION("IMPORTRANGE(""https://docs.google.com/spreadsheets/d/1-uDff_7J0KD5mKrp0Vvzr7lt3OU09vwQwhkpOPPYv2Y/edit?usp=sharing"",""งบพรบ!GM93"")"),0)</f>
        <v>0</v>
      </c>
      <c r="J93" s="262">
        <f t="shared" ca="1" si="36"/>
        <v>0</v>
      </c>
      <c r="K93" s="476">
        <f t="shared" ca="1" si="37"/>
        <v>0</v>
      </c>
      <c r="L93" s="151">
        <f ca="1">IFERROR(__xludf.DUMMYFUNCTION("IMPORTRANGE(""https://docs.google.com/spreadsheets/d/1-uDff_7J0KD5mKrp0Vvzr7lt3OU09vwQwhkpOPPYv2Y/edit?usp=sharing"",""งบพรบ!GN93"")"),0)</f>
        <v>0</v>
      </c>
      <c r="M93" s="260">
        <f t="shared" ca="1" si="38"/>
        <v>0</v>
      </c>
      <c r="N93" s="260">
        <f t="shared" ca="1" si="39"/>
        <v>0</v>
      </c>
      <c r="O93" s="151">
        <f ca="1">IFERROR(__xludf.DUMMYFUNCTION("IMPORTRANGE(""https://docs.google.com/spreadsheets/d/1-uDff_7J0KD5mKrp0Vvzr7lt3OU09vwQwhkpOPPYv2Y/edit?usp=sharing"",""งบพรบ!GO93"")"),0)</f>
        <v>0</v>
      </c>
      <c r="P93" s="475">
        <f t="shared" ca="1" si="40"/>
        <v>0</v>
      </c>
      <c r="Q93" s="260">
        <f t="shared" ca="1" si="41"/>
        <v>0</v>
      </c>
      <c r="R93" s="262"/>
      <c r="S93" s="262"/>
      <c r="T93" s="260"/>
    </row>
    <row r="94" spans="1:20" ht="19.5" x14ac:dyDescent="0.3">
      <c r="A94" s="257"/>
      <c r="B94" s="258" t="s">
        <v>122</v>
      </c>
      <c r="C94" s="472">
        <f t="shared" ca="1" si="34"/>
        <v>0</v>
      </c>
      <c r="D94" s="473">
        <f t="shared" ca="1" si="35"/>
        <v>0</v>
      </c>
      <c r="E94" s="151">
        <f ca="1">IFERROR(__xludf.DUMMYFUNCTION("IMPORTRANGE(""https://docs.google.com/spreadsheets/d/1-uDff_7J0KD5mKrp0Vvzr7lt3OU09vwQwhkpOPPYv2Y/edit?usp=sharing"",""งบพรบ!GH94"")"),0)</f>
        <v>0</v>
      </c>
      <c r="F94" s="151">
        <f ca="1">IFERROR(__xludf.DUMMYFUNCTION("IMPORTRANGE(""https://docs.google.com/spreadsheets/d/1-uDff_7J0KD5mKrp0Vvzr7lt3OU09vwQwhkpOPPYv2Y/edit?usp=sharing"",""งบพรบ!GI94"")"),0)</f>
        <v>0</v>
      </c>
      <c r="G94" s="151">
        <f ca="1">IFERROR(__xludf.DUMMYFUNCTION("IMPORTRANGE(""https://docs.google.com/spreadsheets/d/1-uDff_7J0KD5mKrp0Vvzr7lt3OU09vwQwhkpOPPYv2Y/edit?usp=sharing"",""งบพรบ!GJ94"")"),0)</f>
        <v>0</v>
      </c>
      <c r="H94" s="151">
        <f ca="1">IFERROR(__xludf.DUMMYFUNCTION("IMPORTRANGE(""https://docs.google.com/spreadsheets/d/1-uDff_7J0KD5mKrp0Vvzr7lt3OU09vwQwhkpOPPYv2Y/edit?usp=sharing"",""งบพรบ!GL94"")"),0)</f>
        <v>0</v>
      </c>
      <c r="I94" s="151">
        <f ca="1">IFERROR(__xludf.DUMMYFUNCTION("IMPORTRANGE(""https://docs.google.com/spreadsheets/d/1-uDff_7J0KD5mKrp0Vvzr7lt3OU09vwQwhkpOPPYv2Y/edit?usp=sharing"",""งบพรบ!GM94"")"),0)</f>
        <v>0</v>
      </c>
      <c r="J94" s="262">
        <f t="shared" ca="1" si="36"/>
        <v>0</v>
      </c>
      <c r="K94" s="476">
        <f t="shared" ca="1" si="37"/>
        <v>0</v>
      </c>
      <c r="L94" s="151">
        <f ca="1">IFERROR(__xludf.DUMMYFUNCTION("IMPORTRANGE(""https://docs.google.com/spreadsheets/d/1-uDff_7J0KD5mKrp0Vvzr7lt3OU09vwQwhkpOPPYv2Y/edit?usp=sharing"",""งบพรบ!GN94"")"),0)</f>
        <v>0</v>
      </c>
      <c r="M94" s="260">
        <f t="shared" ca="1" si="38"/>
        <v>0</v>
      </c>
      <c r="N94" s="260">
        <f t="shared" ca="1" si="39"/>
        <v>0</v>
      </c>
      <c r="O94" s="151">
        <f ca="1">IFERROR(__xludf.DUMMYFUNCTION("IMPORTRANGE(""https://docs.google.com/spreadsheets/d/1-uDff_7J0KD5mKrp0Vvzr7lt3OU09vwQwhkpOPPYv2Y/edit?usp=sharing"",""งบพรบ!GO94"")"),0)</f>
        <v>0</v>
      </c>
      <c r="P94" s="475">
        <f t="shared" ca="1" si="40"/>
        <v>0</v>
      </c>
      <c r="Q94" s="260">
        <f t="shared" ca="1" si="41"/>
        <v>0</v>
      </c>
      <c r="R94" s="262"/>
      <c r="S94" s="262"/>
      <c r="T94" s="260"/>
    </row>
    <row r="95" spans="1:20" ht="19.5" x14ac:dyDescent="0.3">
      <c r="A95" s="257"/>
      <c r="B95" s="258" t="s">
        <v>123</v>
      </c>
      <c r="C95" s="472">
        <f t="shared" ca="1" si="34"/>
        <v>0</v>
      </c>
      <c r="D95" s="473">
        <f t="shared" ca="1" si="35"/>
        <v>0</v>
      </c>
      <c r="E95" s="151">
        <f ca="1">IFERROR(__xludf.DUMMYFUNCTION("IMPORTRANGE(""https://docs.google.com/spreadsheets/d/1-uDff_7J0KD5mKrp0Vvzr7lt3OU09vwQwhkpOPPYv2Y/edit?usp=sharing"",""งบพรบ!GH95"")"),0)</f>
        <v>0</v>
      </c>
      <c r="F95" s="151">
        <f ca="1">IFERROR(__xludf.DUMMYFUNCTION("IMPORTRANGE(""https://docs.google.com/spreadsheets/d/1-uDff_7J0KD5mKrp0Vvzr7lt3OU09vwQwhkpOPPYv2Y/edit?usp=sharing"",""งบพรบ!GI95"")"),0)</f>
        <v>0</v>
      </c>
      <c r="G95" s="151">
        <f ca="1">IFERROR(__xludf.DUMMYFUNCTION("IMPORTRANGE(""https://docs.google.com/spreadsheets/d/1-uDff_7J0KD5mKrp0Vvzr7lt3OU09vwQwhkpOPPYv2Y/edit?usp=sharing"",""งบพรบ!GJ95"")"),0)</f>
        <v>0</v>
      </c>
      <c r="H95" s="151">
        <f ca="1">IFERROR(__xludf.DUMMYFUNCTION("IMPORTRANGE(""https://docs.google.com/spreadsheets/d/1-uDff_7J0KD5mKrp0Vvzr7lt3OU09vwQwhkpOPPYv2Y/edit?usp=sharing"",""งบพรบ!GL95"")"),0)</f>
        <v>0</v>
      </c>
      <c r="I95" s="151">
        <f ca="1">IFERROR(__xludf.DUMMYFUNCTION("IMPORTRANGE(""https://docs.google.com/spreadsheets/d/1-uDff_7J0KD5mKrp0Vvzr7lt3OU09vwQwhkpOPPYv2Y/edit?usp=sharing"",""งบพรบ!GM95"")"),0)</f>
        <v>0</v>
      </c>
      <c r="J95" s="262">
        <f t="shared" ca="1" si="36"/>
        <v>0</v>
      </c>
      <c r="K95" s="476">
        <f t="shared" ca="1" si="37"/>
        <v>0</v>
      </c>
      <c r="L95" s="151">
        <f ca="1">IFERROR(__xludf.DUMMYFUNCTION("IMPORTRANGE(""https://docs.google.com/spreadsheets/d/1-uDff_7J0KD5mKrp0Vvzr7lt3OU09vwQwhkpOPPYv2Y/edit?usp=sharing"",""งบพรบ!GN95"")"),0)</f>
        <v>0</v>
      </c>
      <c r="M95" s="260">
        <f t="shared" ca="1" si="38"/>
        <v>0</v>
      </c>
      <c r="N95" s="260">
        <f t="shared" ca="1" si="39"/>
        <v>0</v>
      </c>
      <c r="O95" s="151">
        <f ca="1">IFERROR(__xludf.DUMMYFUNCTION("IMPORTRANGE(""https://docs.google.com/spreadsheets/d/1-uDff_7J0KD5mKrp0Vvzr7lt3OU09vwQwhkpOPPYv2Y/edit?usp=sharing"",""งบพรบ!GO95"")"),0)</f>
        <v>0</v>
      </c>
      <c r="P95" s="475">
        <f t="shared" ca="1" si="40"/>
        <v>0</v>
      </c>
      <c r="Q95" s="260">
        <f t="shared" ca="1" si="41"/>
        <v>0</v>
      </c>
      <c r="R95" s="262"/>
      <c r="S95" s="262"/>
      <c r="T95" s="260"/>
    </row>
    <row r="96" spans="1:20" ht="19.5" x14ac:dyDescent="0.3">
      <c r="A96" s="257"/>
      <c r="B96" s="258" t="s">
        <v>124</v>
      </c>
      <c r="C96" s="472">
        <f t="shared" ca="1" si="34"/>
        <v>0</v>
      </c>
      <c r="D96" s="473">
        <f t="shared" ca="1" si="35"/>
        <v>0</v>
      </c>
      <c r="E96" s="151">
        <f ca="1">IFERROR(__xludf.DUMMYFUNCTION("IMPORTRANGE(""https://docs.google.com/spreadsheets/d/1-uDff_7J0KD5mKrp0Vvzr7lt3OU09vwQwhkpOPPYv2Y/edit?usp=sharing"",""งบพรบ!GH96"")"),0)</f>
        <v>0</v>
      </c>
      <c r="F96" s="151">
        <f ca="1">IFERROR(__xludf.DUMMYFUNCTION("IMPORTRANGE(""https://docs.google.com/spreadsheets/d/1-uDff_7J0KD5mKrp0Vvzr7lt3OU09vwQwhkpOPPYv2Y/edit?usp=sharing"",""งบพรบ!GI96"")"),0)</f>
        <v>0</v>
      </c>
      <c r="G96" s="151">
        <f ca="1">IFERROR(__xludf.DUMMYFUNCTION("IMPORTRANGE(""https://docs.google.com/spreadsheets/d/1-uDff_7J0KD5mKrp0Vvzr7lt3OU09vwQwhkpOPPYv2Y/edit?usp=sharing"",""งบพรบ!GJ96"")"),0)</f>
        <v>0</v>
      </c>
      <c r="H96" s="151">
        <f ca="1">IFERROR(__xludf.DUMMYFUNCTION("IMPORTRANGE(""https://docs.google.com/spreadsheets/d/1-uDff_7J0KD5mKrp0Vvzr7lt3OU09vwQwhkpOPPYv2Y/edit?usp=sharing"",""งบพรบ!GL96"")"),0)</f>
        <v>0</v>
      </c>
      <c r="I96" s="151">
        <f ca="1">IFERROR(__xludf.DUMMYFUNCTION("IMPORTRANGE(""https://docs.google.com/spreadsheets/d/1-uDff_7J0KD5mKrp0Vvzr7lt3OU09vwQwhkpOPPYv2Y/edit?usp=sharing"",""งบพรบ!GM96"")"),0)</f>
        <v>0</v>
      </c>
      <c r="J96" s="262">
        <f t="shared" ca="1" si="36"/>
        <v>0</v>
      </c>
      <c r="K96" s="476">
        <f t="shared" ca="1" si="37"/>
        <v>0</v>
      </c>
      <c r="L96" s="151">
        <f ca="1">IFERROR(__xludf.DUMMYFUNCTION("IMPORTRANGE(""https://docs.google.com/spreadsheets/d/1-uDff_7J0KD5mKrp0Vvzr7lt3OU09vwQwhkpOPPYv2Y/edit?usp=sharing"",""งบพรบ!GN96"")"),0)</f>
        <v>0</v>
      </c>
      <c r="M96" s="260">
        <f t="shared" ca="1" si="38"/>
        <v>0</v>
      </c>
      <c r="N96" s="260">
        <f t="shared" ca="1" si="39"/>
        <v>0</v>
      </c>
      <c r="O96" s="151">
        <f ca="1">IFERROR(__xludf.DUMMYFUNCTION("IMPORTRANGE(""https://docs.google.com/spreadsheets/d/1-uDff_7J0KD5mKrp0Vvzr7lt3OU09vwQwhkpOPPYv2Y/edit?usp=sharing"",""งบพรบ!GO96"")"),0)</f>
        <v>0</v>
      </c>
      <c r="P96" s="475">
        <f t="shared" ca="1" si="40"/>
        <v>0</v>
      </c>
      <c r="Q96" s="260">
        <f t="shared" ca="1" si="41"/>
        <v>0</v>
      </c>
      <c r="R96" s="262"/>
      <c r="S96" s="262"/>
      <c r="T96" s="260"/>
    </row>
    <row r="97" spans="1:21" ht="19.5" x14ac:dyDescent="0.3">
      <c r="A97" s="257"/>
      <c r="B97" s="258" t="s">
        <v>125</v>
      </c>
      <c r="C97" s="472">
        <f t="shared" ca="1" si="34"/>
        <v>0</v>
      </c>
      <c r="D97" s="473">
        <f t="shared" ca="1" si="35"/>
        <v>0</v>
      </c>
      <c r="E97" s="151">
        <f ca="1">IFERROR(__xludf.DUMMYFUNCTION("IMPORTRANGE(""https://docs.google.com/spreadsheets/d/1-uDff_7J0KD5mKrp0Vvzr7lt3OU09vwQwhkpOPPYv2Y/edit?usp=sharing"",""งบพรบ!GH97"")"),0)</f>
        <v>0</v>
      </c>
      <c r="F97" s="151">
        <f ca="1">IFERROR(__xludf.DUMMYFUNCTION("IMPORTRANGE(""https://docs.google.com/spreadsheets/d/1-uDff_7J0KD5mKrp0Vvzr7lt3OU09vwQwhkpOPPYv2Y/edit?usp=sharing"",""งบพรบ!GI97"")"),0)</f>
        <v>0</v>
      </c>
      <c r="G97" s="151">
        <f ca="1">IFERROR(__xludf.DUMMYFUNCTION("IMPORTRANGE(""https://docs.google.com/spreadsheets/d/1-uDff_7J0KD5mKrp0Vvzr7lt3OU09vwQwhkpOPPYv2Y/edit?usp=sharing"",""งบพรบ!GJ97"")"),0)</f>
        <v>0</v>
      </c>
      <c r="H97" s="151">
        <f ca="1">IFERROR(__xludf.DUMMYFUNCTION("IMPORTRANGE(""https://docs.google.com/spreadsheets/d/1-uDff_7J0KD5mKrp0Vvzr7lt3OU09vwQwhkpOPPYv2Y/edit?usp=sharing"",""งบพรบ!GL97"")"),0)</f>
        <v>0</v>
      </c>
      <c r="I97" s="151">
        <f ca="1">IFERROR(__xludf.DUMMYFUNCTION("IMPORTRANGE(""https://docs.google.com/spreadsheets/d/1-uDff_7J0KD5mKrp0Vvzr7lt3OU09vwQwhkpOPPYv2Y/edit?usp=sharing"",""งบพรบ!GM97"")"),0)</f>
        <v>0</v>
      </c>
      <c r="J97" s="262">
        <f t="shared" ca="1" si="36"/>
        <v>0</v>
      </c>
      <c r="K97" s="476">
        <f t="shared" ca="1" si="37"/>
        <v>0</v>
      </c>
      <c r="L97" s="151">
        <f ca="1">IFERROR(__xludf.DUMMYFUNCTION("IMPORTRANGE(""https://docs.google.com/spreadsheets/d/1-uDff_7J0KD5mKrp0Vvzr7lt3OU09vwQwhkpOPPYv2Y/edit?usp=sharing"",""งบพรบ!GN97"")"),0)</f>
        <v>0</v>
      </c>
      <c r="M97" s="260">
        <f t="shared" ca="1" si="38"/>
        <v>0</v>
      </c>
      <c r="N97" s="260">
        <f t="shared" ca="1" si="39"/>
        <v>0</v>
      </c>
      <c r="O97" s="151">
        <f ca="1">IFERROR(__xludf.DUMMYFUNCTION("IMPORTRANGE(""https://docs.google.com/spreadsheets/d/1-uDff_7J0KD5mKrp0Vvzr7lt3OU09vwQwhkpOPPYv2Y/edit?usp=sharing"",""งบพรบ!GO97"")"),0)</f>
        <v>0</v>
      </c>
      <c r="P97" s="475">
        <f t="shared" ca="1" si="40"/>
        <v>0</v>
      </c>
      <c r="Q97" s="260">
        <f t="shared" ca="1" si="41"/>
        <v>0</v>
      </c>
      <c r="R97" s="262"/>
      <c r="S97" s="262"/>
      <c r="T97" s="260"/>
    </row>
    <row r="98" spans="1:21" ht="19.5" x14ac:dyDescent="0.3">
      <c r="A98" s="257"/>
      <c r="B98" s="258" t="s">
        <v>126</v>
      </c>
      <c r="C98" s="472">
        <f t="shared" ca="1" si="34"/>
        <v>365600</v>
      </c>
      <c r="D98" s="473">
        <f t="shared" ca="1" si="35"/>
        <v>365600</v>
      </c>
      <c r="E98" s="151">
        <f ca="1">IFERROR(__xludf.DUMMYFUNCTION("IMPORTRANGE(""https://docs.google.com/spreadsheets/d/1-uDff_7J0KD5mKrp0Vvzr7lt3OU09vwQwhkpOPPYv2Y/edit?usp=sharing"",""งบพรบ!GH98"")"),0)</f>
        <v>0</v>
      </c>
      <c r="F98" s="151">
        <f ca="1">IFERROR(__xludf.DUMMYFUNCTION("IMPORTRANGE(""https://docs.google.com/spreadsheets/d/1-uDff_7J0KD5mKrp0Vvzr7lt3OU09vwQwhkpOPPYv2Y/edit?usp=sharing"",""งบพรบ!GI98"")"),365600)</f>
        <v>365600</v>
      </c>
      <c r="G98" s="151">
        <f ca="1">IFERROR(__xludf.DUMMYFUNCTION("IMPORTRANGE(""https://docs.google.com/spreadsheets/d/1-uDff_7J0KD5mKrp0Vvzr7lt3OU09vwQwhkpOPPYv2Y/edit?usp=sharing"",""งบพรบ!GJ98"")"),0)</f>
        <v>0</v>
      </c>
      <c r="H98" s="151">
        <f ca="1">IFERROR(__xludf.DUMMYFUNCTION("IMPORTRANGE(""https://docs.google.com/spreadsheets/d/1-uDff_7J0KD5mKrp0Vvzr7lt3OU09vwQwhkpOPPYv2Y/edit?usp=sharing"",""งบพรบ!GL98"")"),333950)</f>
        <v>333950</v>
      </c>
      <c r="I98" s="151">
        <f ca="1">IFERROR(__xludf.DUMMYFUNCTION("IMPORTRANGE(""https://docs.google.com/spreadsheets/d/1-uDff_7J0KD5mKrp0Vvzr7lt3OU09vwQwhkpOPPYv2Y/edit?usp=sharing"",""งบพรบ!GM98"")"),0)</f>
        <v>0</v>
      </c>
      <c r="J98" s="262">
        <f t="shared" ca="1" si="36"/>
        <v>0</v>
      </c>
      <c r="K98" s="476">
        <f t="shared" ca="1" si="37"/>
        <v>0</v>
      </c>
      <c r="L98" s="151">
        <f ca="1">IFERROR(__xludf.DUMMYFUNCTION("IMPORTRANGE(""https://docs.google.com/spreadsheets/d/1-uDff_7J0KD5mKrp0Vvzr7lt3OU09vwQwhkpOPPYv2Y/edit?usp=sharing"",""งบพรบ!GN98"")"),0)</f>
        <v>0</v>
      </c>
      <c r="M98" s="260">
        <f t="shared" ca="1" si="38"/>
        <v>0</v>
      </c>
      <c r="N98" s="260">
        <f t="shared" ca="1" si="39"/>
        <v>0</v>
      </c>
      <c r="O98" s="151">
        <f ca="1">IFERROR(__xludf.DUMMYFUNCTION("IMPORTRANGE(""https://docs.google.com/spreadsheets/d/1-uDff_7J0KD5mKrp0Vvzr7lt3OU09vwQwhkpOPPYv2Y/edit?usp=sharing"",""งบพรบ!GO98"")"),0)</f>
        <v>0</v>
      </c>
      <c r="P98" s="475">
        <f t="shared" ca="1" si="40"/>
        <v>0</v>
      </c>
      <c r="Q98" s="260">
        <f t="shared" ca="1" si="41"/>
        <v>0</v>
      </c>
      <c r="R98" s="262"/>
      <c r="S98" s="262"/>
      <c r="T98" s="260"/>
    </row>
    <row r="99" spans="1:21" ht="19.5" x14ac:dyDescent="0.3">
      <c r="A99" s="257"/>
      <c r="B99" s="258" t="s">
        <v>127</v>
      </c>
      <c r="C99" s="472">
        <f t="shared" ca="1" si="34"/>
        <v>0</v>
      </c>
      <c r="D99" s="473">
        <f t="shared" ca="1" si="35"/>
        <v>0</v>
      </c>
      <c r="E99" s="151">
        <f ca="1">IFERROR(__xludf.DUMMYFUNCTION("IMPORTRANGE(""https://docs.google.com/spreadsheets/d/1-uDff_7J0KD5mKrp0Vvzr7lt3OU09vwQwhkpOPPYv2Y/edit?usp=sharing"",""งบพรบ!GH99"")"),0)</f>
        <v>0</v>
      </c>
      <c r="F99" s="151">
        <f ca="1">IFERROR(__xludf.DUMMYFUNCTION("IMPORTRANGE(""https://docs.google.com/spreadsheets/d/1-uDff_7J0KD5mKrp0Vvzr7lt3OU09vwQwhkpOPPYv2Y/edit?usp=sharing"",""งบพรบ!GI99"")"),0)</f>
        <v>0</v>
      </c>
      <c r="G99" s="151">
        <f ca="1">IFERROR(__xludf.DUMMYFUNCTION("IMPORTRANGE(""https://docs.google.com/spreadsheets/d/1-uDff_7J0KD5mKrp0Vvzr7lt3OU09vwQwhkpOPPYv2Y/edit?usp=sharing"",""งบพรบ!GJ99"")"),0)</f>
        <v>0</v>
      </c>
      <c r="H99" s="151">
        <f ca="1">IFERROR(__xludf.DUMMYFUNCTION("IMPORTRANGE(""https://docs.google.com/spreadsheets/d/1-uDff_7J0KD5mKrp0Vvzr7lt3OU09vwQwhkpOPPYv2Y/edit?usp=sharing"",""งบพรบ!GL99"")"),0)</f>
        <v>0</v>
      </c>
      <c r="I99" s="151">
        <f ca="1">IFERROR(__xludf.DUMMYFUNCTION("IMPORTRANGE(""https://docs.google.com/spreadsheets/d/1-uDff_7J0KD5mKrp0Vvzr7lt3OU09vwQwhkpOPPYv2Y/edit?usp=sharing"",""งบพรบ!GM99"")"),0)</f>
        <v>0</v>
      </c>
      <c r="J99" s="262">
        <f t="shared" ca="1" si="36"/>
        <v>0</v>
      </c>
      <c r="K99" s="476">
        <f t="shared" ca="1" si="37"/>
        <v>0</v>
      </c>
      <c r="L99" s="151">
        <f ca="1">IFERROR(__xludf.DUMMYFUNCTION("IMPORTRANGE(""https://docs.google.com/spreadsheets/d/1-uDff_7J0KD5mKrp0Vvzr7lt3OU09vwQwhkpOPPYv2Y/edit?usp=sharing"",""งบพรบ!GN99"")"),0)</f>
        <v>0</v>
      </c>
      <c r="M99" s="260">
        <f t="shared" ca="1" si="38"/>
        <v>0</v>
      </c>
      <c r="N99" s="260">
        <f t="shared" ca="1" si="39"/>
        <v>0</v>
      </c>
      <c r="O99" s="151">
        <f ca="1">IFERROR(__xludf.DUMMYFUNCTION("IMPORTRANGE(""https://docs.google.com/spreadsheets/d/1-uDff_7J0KD5mKrp0Vvzr7lt3OU09vwQwhkpOPPYv2Y/edit?usp=sharing"",""งบพรบ!GO99"")"),0)</f>
        <v>0</v>
      </c>
      <c r="P99" s="475">
        <f t="shared" ca="1" si="40"/>
        <v>0</v>
      </c>
      <c r="Q99" s="260">
        <f t="shared" ca="1" si="41"/>
        <v>0</v>
      </c>
      <c r="R99" s="262"/>
      <c r="S99" s="262"/>
      <c r="T99" s="260"/>
    </row>
    <row r="100" spans="1:21" ht="19.5" x14ac:dyDescent="0.3">
      <c r="A100" s="257"/>
      <c r="B100" s="258" t="s">
        <v>128</v>
      </c>
      <c r="C100" s="472">
        <f t="shared" ca="1" si="34"/>
        <v>0</v>
      </c>
      <c r="D100" s="473">
        <f t="shared" ca="1" si="35"/>
        <v>0</v>
      </c>
      <c r="E100" s="151">
        <f ca="1">IFERROR(__xludf.DUMMYFUNCTION("IMPORTRANGE(""https://docs.google.com/spreadsheets/d/1-uDff_7J0KD5mKrp0Vvzr7lt3OU09vwQwhkpOPPYv2Y/edit?usp=sharing"",""งบพรบ!GH100"")"),0)</f>
        <v>0</v>
      </c>
      <c r="F100" s="151">
        <f ca="1">IFERROR(__xludf.DUMMYFUNCTION("IMPORTRANGE(""https://docs.google.com/spreadsheets/d/1-uDff_7J0KD5mKrp0Vvzr7lt3OU09vwQwhkpOPPYv2Y/edit?usp=sharing"",""งบพรบ!GI100"")"),0)</f>
        <v>0</v>
      </c>
      <c r="G100" s="151">
        <f ca="1">IFERROR(__xludf.DUMMYFUNCTION("IMPORTRANGE(""https://docs.google.com/spreadsheets/d/1-uDff_7J0KD5mKrp0Vvzr7lt3OU09vwQwhkpOPPYv2Y/edit?usp=sharing"",""งบพรบ!GJ100"")"),0)</f>
        <v>0</v>
      </c>
      <c r="H100" s="151">
        <f ca="1">IFERROR(__xludf.DUMMYFUNCTION("IMPORTRANGE(""https://docs.google.com/spreadsheets/d/1-uDff_7J0KD5mKrp0Vvzr7lt3OU09vwQwhkpOPPYv2Y/edit?usp=sharing"",""งบพรบ!GL100"")"),0)</f>
        <v>0</v>
      </c>
      <c r="I100" s="151">
        <f ca="1">IFERROR(__xludf.DUMMYFUNCTION("IMPORTRANGE(""https://docs.google.com/spreadsheets/d/1-uDff_7J0KD5mKrp0Vvzr7lt3OU09vwQwhkpOPPYv2Y/edit?usp=sharing"",""งบพรบ!GM100"")"),0)</f>
        <v>0</v>
      </c>
      <c r="J100" s="262">
        <f t="shared" ca="1" si="36"/>
        <v>0</v>
      </c>
      <c r="K100" s="476">
        <f t="shared" ca="1" si="37"/>
        <v>0</v>
      </c>
      <c r="L100" s="151">
        <f ca="1">IFERROR(__xludf.DUMMYFUNCTION("IMPORTRANGE(""https://docs.google.com/spreadsheets/d/1-uDff_7J0KD5mKrp0Vvzr7lt3OU09vwQwhkpOPPYv2Y/edit?usp=sharing"",""งบพรบ!GN100"")"),0)</f>
        <v>0</v>
      </c>
      <c r="M100" s="260">
        <f t="shared" ca="1" si="38"/>
        <v>0</v>
      </c>
      <c r="N100" s="260">
        <f t="shared" ca="1" si="39"/>
        <v>0</v>
      </c>
      <c r="O100" s="151">
        <f ca="1">IFERROR(__xludf.DUMMYFUNCTION("IMPORTRANGE(""https://docs.google.com/spreadsheets/d/1-uDff_7J0KD5mKrp0Vvzr7lt3OU09vwQwhkpOPPYv2Y/edit?usp=sharing"",""งบพรบ!GO100"")"),0)</f>
        <v>0</v>
      </c>
      <c r="P100" s="475">
        <f t="shared" ca="1" si="40"/>
        <v>0</v>
      </c>
      <c r="Q100" s="260">
        <f t="shared" ca="1" si="41"/>
        <v>0</v>
      </c>
      <c r="R100" s="262"/>
      <c r="S100" s="262"/>
      <c r="T100" s="260"/>
    </row>
    <row r="101" spans="1:21" ht="19.5" x14ac:dyDescent="0.3">
      <c r="A101" s="257"/>
      <c r="B101" s="258" t="s">
        <v>129</v>
      </c>
      <c r="C101" s="472">
        <f t="shared" ca="1" si="34"/>
        <v>0</v>
      </c>
      <c r="D101" s="473">
        <f t="shared" ca="1" si="35"/>
        <v>0</v>
      </c>
      <c r="E101" s="151">
        <f ca="1">IFERROR(__xludf.DUMMYFUNCTION("IMPORTRANGE(""https://docs.google.com/spreadsheets/d/1-uDff_7J0KD5mKrp0Vvzr7lt3OU09vwQwhkpOPPYv2Y/edit?usp=sharing"",""งบพรบ!GH101"")"),0)</f>
        <v>0</v>
      </c>
      <c r="F101" s="151">
        <f ca="1">IFERROR(__xludf.DUMMYFUNCTION("IMPORTRANGE(""https://docs.google.com/spreadsheets/d/1-uDff_7J0KD5mKrp0Vvzr7lt3OU09vwQwhkpOPPYv2Y/edit?usp=sharing"",""งบพรบ!GI101"")"),0)</f>
        <v>0</v>
      </c>
      <c r="G101" s="151">
        <f ca="1">IFERROR(__xludf.DUMMYFUNCTION("IMPORTRANGE(""https://docs.google.com/spreadsheets/d/1-uDff_7J0KD5mKrp0Vvzr7lt3OU09vwQwhkpOPPYv2Y/edit?usp=sharing"",""งบพรบ!GJ101"")"),0)</f>
        <v>0</v>
      </c>
      <c r="H101" s="151">
        <f ca="1">IFERROR(__xludf.DUMMYFUNCTION("IMPORTRANGE(""https://docs.google.com/spreadsheets/d/1-uDff_7J0KD5mKrp0Vvzr7lt3OU09vwQwhkpOPPYv2Y/edit?usp=sharing"",""งบพรบ!GL101"")"),0)</f>
        <v>0</v>
      </c>
      <c r="I101" s="151">
        <f ca="1">IFERROR(__xludf.DUMMYFUNCTION("IMPORTRANGE(""https://docs.google.com/spreadsheets/d/1-uDff_7J0KD5mKrp0Vvzr7lt3OU09vwQwhkpOPPYv2Y/edit?usp=sharing"",""งบพรบ!GM101"")"),0)</f>
        <v>0</v>
      </c>
      <c r="J101" s="262">
        <f t="shared" ca="1" si="36"/>
        <v>0</v>
      </c>
      <c r="K101" s="476">
        <f t="shared" ca="1" si="37"/>
        <v>0</v>
      </c>
      <c r="L101" s="151">
        <f ca="1">IFERROR(__xludf.DUMMYFUNCTION("IMPORTRANGE(""https://docs.google.com/spreadsheets/d/1-uDff_7J0KD5mKrp0Vvzr7lt3OU09vwQwhkpOPPYv2Y/edit?usp=sharing"",""งบพรบ!GN101"")"),0)</f>
        <v>0</v>
      </c>
      <c r="M101" s="260">
        <f t="shared" ca="1" si="38"/>
        <v>0</v>
      </c>
      <c r="N101" s="260">
        <f t="shared" ca="1" si="39"/>
        <v>0</v>
      </c>
      <c r="O101" s="151">
        <f ca="1">IFERROR(__xludf.DUMMYFUNCTION("IMPORTRANGE(""https://docs.google.com/spreadsheets/d/1-uDff_7J0KD5mKrp0Vvzr7lt3OU09vwQwhkpOPPYv2Y/edit?usp=sharing"",""งบพรบ!GO101"")"),0)</f>
        <v>0</v>
      </c>
      <c r="P101" s="475">
        <f t="shared" ca="1" si="40"/>
        <v>0</v>
      </c>
      <c r="Q101" s="260">
        <f t="shared" ca="1" si="41"/>
        <v>0</v>
      </c>
      <c r="R101" s="262"/>
      <c r="S101" s="262"/>
      <c r="T101" s="260"/>
    </row>
    <row r="102" spans="1:21" ht="19.5" x14ac:dyDescent="0.3">
      <c r="A102" s="257"/>
      <c r="B102" s="258" t="s">
        <v>130</v>
      </c>
      <c r="C102" s="472">
        <f t="shared" ca="1" si="34"/>
        <v>0</v>
      </c>
      <c r="D102" s="473">
        <f t="shared" ca="1" si="35"/>
        <v>0</v>
      </c>
      <c r="E102" s="151">
        <f ca="1">IFERROR(__xludf.DUMMYFUNCTION("IMPORTRANGE(""https://docs.google.com/spreadsheets/d/1-uDff_7J0KD5mKrp0Vvzr7lt3OU09vwQwhkpOPPYv2Y/edit?usp=sharing"",""งบพรบ!GH102"")"),0)</f>
        <v>0</v>
      </c>
      <c r="F102" s="151">
        <f ca="1">IFERROR(__xludf.DUMMYFUNCTION("IMPORTRANGE(""https://docs.google.com/spreadsheets/d/1-uDff_7J0KD5mKrp0Vvzr7lt3OU09vwQwhkpOPPYv2Y/edit?usp=sharing"",""งบพรบ!GI102"")"),0)</f>
        <v>0</v>
      </c>
      <c r="G102" s="151">
        <f ca="1">IFERROR(__xludf.DUMMYFUNCTION("IMPORTRANGE(""https://docs.google.com/spreadsheets/d/1-uDff_7J0KD5mKrp0Vvzr7lt3OU09vwQwhkpOPPYv2Y/edit?usp=sharing"",""งบพรบ!GJ102"")"),0)</f>
        <v>0</v>
      </c>
      <c r="H102" s="151">
        <f ca="1">IFERROR(__xludf.DUMMYFUNCTION("IMPORTRANGE(""https://docs.google.com/spreadsheets/d/1-uDff_7J0KD5mKrp0Vvzr7lt3OU09vwQwhkpOPPYv2Y/edit?usp=sharing"",""งบพรบ!GL102"")"),0)</f>
        <v>0</v>
      </c>
      <c r="I102" s="151">
        <f ca="1">IFERROR(__xludf.DUMMYFUNCTION("IMPORTRANGE(""https://docs.google.com/spreadsheets/d/1-uDff_7J0KD5mKrp0Vvzr7lt3OU09vwQwhkpOPPYv2Y/edit?usp=sharing"",""งบพรบ!GM102"")"),0)</f>
        <v>0</v>
      </c>
      <c r="J102" s="262">
        <f t="shared" ca="1" si="36"/>
        <v>0</v>
      </c>
      <c r="K102" s="476">
        <f t="shared" ca="1" si="37"/>
        <v>0</v>
      </c>
      <c r="L102" s="151">
        <f ca="1">IFERROR(__xludf.DUMMYFUNCTION("IMPORTRANGE(""https://docs.google.com/spreadsheets/d/1-uDff_7J0KD5mKrp0Vvzr7lt3OU09vwQwhkpOPPYv2Y/edit?usp=sharing"",""งบพรบ!GN102"")"),0)</f>
        <v>0</v>
      </c>
      <c r="M102" s="260">
        <f t="shared" ca="1" si="38"/>
        <v>0</v>
      </c>
      <c r="N102" s="260">
        <f t="shared" ca="1" si="39"/>
        <v>0</v>
      </c>
      <c r="O102" s="151">
        <f ca="1">IFERROR(__xludf.DUMMYFUNCTION("IMPORTRANGE(""https://docs.google.com/spreadsheets/d/1-uDff_7J0KD5mKrp0Vvzr7lt3OU09vwQwhkpOPPYv2Y/edit?usp=sharing"",""งบพรบ!GO102"")"),0)</f>
        <v>0</v>
      </c>
      <c r="P102" s="475">
        <f t="shared" ca="1" si="40"/>
        <v>0</v>
      </c>
      <c r="Q102" s="260">
        <f t="shared" ca="1" si="41"/>
        <v>0</v>
      </c>
      <c r="R102" s="262"/>
      <c r="S102" s="262"/>
      <c r="T102" s="260"/>
    </row>
    <row r="103" spans="1:21" ht="19.5" x14ac:dyDescent="0.3">
      <c r="A103" s="257"/>
      <c r="B103" s="258" t="s">
        <v>131</v>
      </c>
      <c r="C103" s="472">
        <f t="shared" ca="1" si="34"/>
        <v>0</v>
      </c>
      <c r="D103" s="473">
        <f t="shared" ca="1" si="35"/>
        <v>0</v>
      </c>
      <c r="E103" s="151">
        <f ca="1">IFERROR(__xludf.DUMMYFUNCTION("IMPORTRANGE(""https://docs.google.com/spreadsheets/d/1-uDff_7J0KD5mKrp0Vvzr7lt3OU09vwQwhkpOPPYv2Y/edit?usp=sharing"",""งบพรบ!GH103"")"),0)</f>
        <v>0</v>
      </c>
      <c r="F103" s="151">
        <f ca="1">IFERROR(__xludf.DUMMYFUNCTION("IMPORTRANGE(""https://docs.google.com/spreadsheets/d/1-uDff_7J0KD5mKrp0Vvzr7lt3OU09vwQwhkpOPPYv2Y/edit?usp=sharing"",""งบพรบ!GI103"")"),0)</f>
        <v>0</v>
      </c>
      <c r="G103" s="151">
        <f ca="1">IFERROR(__xludf.DUMMYFUNCTION("IMPORTRANGE(""https://docs.google.com/spreadsheets/d/1-uDff_7J0KD5mKrp0Vvzr7lt3OU09vwQwhkpOPPYv2Y/edit?usp=sharing"",""งบพรบ!GJ103"")"),0)</f>
        <v>0</v>
      </c>
      <c r="H103" s="151">
        <f ca="1">IFERROR(__xludf.DUMMYFUNCTION("IMPORTRANGE(""https://docs.google.com/spreadsheets/d/1-uDff_7J0KD5mKrp0Vvzr7lt3OU09vwQwhkpOPPYv2Y/edit?usp=sharing"",""งบพรบ!GL103"")"),0)</f>
        <v>0</v>
      </c>
      <c r="I103" s="151">
        <f ca="1">IFERROR(__xludf.DUMMYFUNCTION("IMPORTRANGE(""https://docs.google.com/spreadsheets/d/1-uDff_7J0KD5mKrp0Vvzr7lt3OU09vwQwhkpOPPYv2Y/edit?usp=sharing"",""งบพรบ!GM103"")"),0)</f>
        <v>0</v>
      </c>
      <c r="J103" s="262">
        <f t="shared" ca="1" si="36"/>
        <v>0</v>
      </c>
      <c r="K103" s="476">
        <f t="shared" ca="1" si="37"/>
        <v>0</v>
      </c>
      <c r="L103" s="151">
        <f ca="1">IFERROR(__xludf.DUMMYFUNCTION("IMPORTRANGE(""https://docs.google.com/spreadsheets/d/1-uDff_7J0KD5mKrp0Vvzr7lt3OU09vwQwhkpOPPYv2Y/edit?usp=sharing"",""งบพรบ!GN103"")"),0)</f>
        <v>0</v>
      </c>
      <c r="M103" s="260">
        <f t="shared" ca="1" si="38"/>
        <v>0</v>
      </c>
      <c r="N103" s="260">
        <f t="shared" ca="1" si="39"/>
        <v>0</v>
      </c>
      <c r="O103" s="151">
        <f ca="1">IFERROR(__xludf.DUMMYFUNCTION("IMPORTRANGE(""https://docs.google.com/spreadsheets/d/1-uDff_7J0KD5mKrp0Vvzr7lt3OU09vwQwhkpOPPYv2Y/edit?usp=sharing"",""งบพรบ!GO103"")"),0)</f>
        <v>0</v>
      </c>
      <c r="P103" s="475">
        <f t="shared" ca="1" si="40"/>
        <v>0</v>
      </c>
      <c r="Q103" s="260">
        <f t="shared" ca="1" si="41"/>
        <v>0</v>
      </c>
      <c r="R103" s="262"/>
      <c r="S103" s="262"/>
      <c r="T103" s="260"/>
    </row>
    <row r="104" spans="1:21" ht="19.5" x14ac:dyDescent="0.3">
      <c r="A104" s="257"/>
      <c r="B104" s="258" t="s">
        <v>132</v>
      </c>
      <c r="C104" s="472">
        <f t="shared" ca="1" si="34"/>
        <v>299200</v>
      </c>
      <c r="D104" s="473">
        <f t="shared" ca="1" si="35"/>
        <v>299200</v>
      </c>
      <c r="E104" s="151">
        <f ca="1">IFERROR(__xludf.DUMMYFUNCTION("IMPORTRANGE(""https://docs.google.com/spreadsheets/d/1-uDff_7J0KD5mKrp0Vvzr7lt3OU09vwQwhkpOPPYv2Y/edit?usp=sharing"",""งบพรบ!GH104"")"),299200)</f>
        <v>299200</v>
      </c>
      <c r="F104" s="151">
        <f ca="1">IFERROR(__xludf.DUMMYFUNCTION("IMPORTRANGE(""https://docs.google.com/spreadsheets/d/1-uDff_7J0KD5mKrp0Vvzr7lt3OU09vwQwhkpOPPYv2Y/edit?usp=sharing"",""งบพรบ!GI104"")"),0)</f>
        <v>0</v>
      </c>
      <c r="G104" s="151">
        <f ca="1">IFERROR(__xludf.DUMMYFUNCTION("IMPORTRANGE(""https://docs.google.com/spreadsheets/d/1-uDff_7J0KD5mKrp0Vvzr7lt3OU09vwQwhkpOPPYv2Y/edit?usp=sharing"",""งบพรบ!GJ104"")"),0)</f>
        <v>0</v>
      </c>
      <c r="H104" s="151">
        <f ca="1">IFERROR(__xludf.DUMMYFUNCTION("IMPORTRANGE(""https://docs.google.com/spreadsheets/d/1-uDff_7J0KD5mKrp0Vvzr7lt3OU09vwQwhkpOPPYv2Y/edit?usp=sharing"",""งบพรบ!GL104"")"),299200)</f>
        <v>299200</v>
      </c>
      <c r="I104" s="151">
        <f ca="1">IFERROR(__xludf.DUMMYFUNCTION("IMPORTRANGE(""https://docs.google.com/spreadsheets/d/1-uDff_7J0KD5mKrp0Vvzr7lt3OU09vwQwhkpOPPYv2Y/edit?usp=sharing"",""งบพรบ!GM104"")"),0)</f>
        <v>0</v>
      </c>
      <c r="J104" s="262">
        <f t="shared" ca="1" si="36"/>
        <v>0</v>
      </c>
      <c r="K104" s="476">
        <f t="shared" ca="1" si="37"/>
        <v>0</v>
      </c>
      <c r="L104" s="151">
        <f ca="1">IFERROR(__xludf.DUMMYFUNCTION("IMPORTRANGE(""https://docs.google.com/spreadsheets/d/1-uDff_7J0KD5mKrp0Vvzr7lt3OU09vwQwhkpOPPYv2Y/edit?usp=sharing"",""งบพรบ!GN104"")"),0)</f>
        <v>0</v>
      </c>
      <c r="M104" s="260">
        <f t="shared" ca="1" si="38"/>
        <v>0</v>
      </c>
      <c r="N104" s="260">
        <f t="shared" ca="1" si="39"/>
        <v>0</v>
      </c>
      <c r="O104" s="151">
        <f ca="1">IFERROR(__xludf.DUMMYFUNCTION("IMPORTRANGE(""https://docs.google.com/spreadsheets/d/1-uDff_7J0KD5mKrp0Vvzr7lt3OU09vwQwhkpOPPYv2Y/edit?usp=sharing"",""งบพรบ!GO104"")"),0)</f>
        <v>0</v>
      </c>
      <c r="P104" s="475">
        <f t="shared" ca="1" si="40"/>
        <v>0</v>
      </c>
      <c r="Q104" s="260">
        <f t="shared" ca="1" si="41"/>
        <v>0</v>
      </c>
      <c r="R104" s="251"/>
      <c r="S104" s="251"/>
      <c r="T104" s="605"/>
    </row>
    <row r="105" spans="1:21" ht="19.5" x14ac:dyDescent="0.3">
      <c r="A105" s="257"/>
      <c r="B105" s="261" t="s">
        <v>133</v>
      </c>
      <c r="C105" s="472">
        <f t="shared" ca="1" si="34"/>
        <v>0</v>
      </c>
      <c r="D105" s="473">
        <f t="shared" ca="1" si="35"/>
        <v>0</v>
      </c>
      <c r="E105" s="151">
        <f ca="1">IFERROR(__xludf.DUMMYFUNCTION("IMPORTRANGE(""https://docs.google.com/spreadsheets/d/1-uDff_7J0KD5mKrp0Vvzr7lt3OU09vwQwhkpOPPYv2Y/edit?usp=sharing"",""งบพรบ!GH105"")"),0)</f>
        <v>0</v>
      </c>
      <c r="F105" s="151">
        <f ca="1">IFERROR(__xludf.DUMMYFUNCTION("IMPORTRANGE(""https://docs.google.com/spreadsheets/d/1-uDff_7J0KD5mKrp0Vvzr7lt3OU09vwQwhkpOPPYv2Y/edit?usp=sharing"",""งบพรบ!GI105"")"),0)</f>
        <v>0</v>
      </c>
      <c r="G105" s="151">
        <f ca="1">IFERROR(__xludf.DUMMYFUNCTION("IMPORTRANGE(""https://docs.google.com/spreadsheets/d/1-uDff_7J0KD5mKrp0Vvzr7lt3OU09vwQwhkpOPPYv2Y/edit?usp=sharing"",""งบพรบ!GJ105"")"),0)</f>
        <v>0</v>
      </c>
      <c r="H105" s="151">
        <f ca="1">IFERROR(__xludf.DUMMYFUNCTION("IMPORTRANGE(""https://docs.google.com/spreadsheets/d/1-uDff_7J0KD5mKrp0Vvzr7lt3OU09vwQwhkpOPPYv2Y/edit?usp=sharing"",""งบพรบ!GL105"")"),0)</f>
        <v>0</v>
      </c>
      <c r="I105" s="151">
        <f ca="1">IFERROR(__xludf.DUMMYFUNCTION("IMPORTRANGE(""https://docs.google.com/spreadsheets/d/1-uDff_7J0KD5mKrp0Vvzr7lt3OU09vwQwhkpOPPYv2Y/edit?usp=sharing"",""งบพรบ!GM105"")"),0)</f>
        <v>0</v>
      </c>
      <c r="J105" s="262">
        <f t="shared" ca="1" si="36"/>
        <v>0</v>
      </c>
      <c r="K105" s="476">
        <f t="shared" ca="1" si="37"/>
        <v>0</v>
      </c>
      <c r="L105" s="151">
        <f ca="1">IFERROR(__xludf.DUMMYFUNCTION("IMPORTRANGE(""https://docs.google.com/spreadsheets/d/1-uDff_7J0KD5mKrp0Vvzr7lt3OU09vwQwhkpOPPYv2Y/edit?usp=sharing"",""งบพรบ!GN105"")"),0)</f>
        <v>0</v>
      </c>
      <c r="M105" s="260">
        <f t="shared" ca="1" si="38"/>
        <v>0</v>
      </c>
      <c r="N105" s="260">
        <f t="shared" ca="1" si="39"/>
        <v>0</v>
      </c>
      <c r="O105" s="151">
        <f ca="1">IFERROR(__xludf.DUMMYFUNCTION("IMPORTRANGE(""https://docs.google.com/spreadsheets/d/1-uDff_7J0KD5mKrp0Vvzr7lt3OU09vwQwhkpOPPYv2Y/edit?usp=sharing"",""งบพรบ!GO105"")"),0)</f>
        <v>0</v>
      </c>
      <c r="P105" s="475">
        <f t="shared" ca="1" si="40"/>
        <v>0</v>
      </c>
      <c r="Q105" s="260">
        <f t="shared" ca="1" si="41"/>
        <v>0</v>
      </c>
      <c r="R105" s="262"/>
      <c r="S105" s="262"/>
      <c r="T105" s="260"/>
    </row>
    <row r="106" spans="1:21" ht="19.5" x14ac:dyDescent="0.3">
      <c r="A106" s="257"/>
      <c r="B106" s="261" t="s">
        <v>134</v>
      </c>
      <c r="C106" s="472">
        <f t="shared" ca="1" si="34"/>
        <v>0</v>
      </c>
      <c r="D106" s="473">
        <f t="shared" ca="1" si="35"/>
        <v>0</v>
      </c>
      <c r="E106" s="151">
        <f ca="1">IFERROR(__xludf.DUMMYFUNCTION("IMPORTRANGE(""https://docs.google.com/spreadsheets/d/1-uDff_7J0KD5mKrp0Vvzr7lt3OU09vwQwhkpOPPYv2Y/edit?usp=sharing"",""งบพรบ!GH106"")"),0)</f>
        <v>0</v>
      </c>
      <c r="F106" s="151">
        <f ca="1">IFERROR(__xludf.DUMMYFUNCTION("IMPORTRANGE(""https://docs.google.com/spreadsheets/d/1-uDff_7J0KD5mKrp0Vvzr7lt3OU09vwQwhkpOPPYv2Y/edit?usp=sharing"",""งบพรบ!GI106"")"),0)</f>
        <v>0</v>
      </c>
      <c r="G106" s="151">
        <f ca="1">IFERROR(__xludf.DUMMYFUNCTION("IMPORTRANGE(""https://docs.google.com/spreadsheets/d/1-uDff_7J0KD5mKrp0Vvzr7lt3OU09vwQwhkpOPPYv2Y/edit?usp=sharing"",""งบพรบ!GJ106"")"),0)</f>
        <v>0</v>
      </c>
      <c r="H106" s="151">
        <f ca="1">IFERROR(__xludf.DUMMYFUNCTION("IMPORTRANGE(""https://docs.google.com/spreadsheets/d/1-uDff_7J0KD5mKrp0Vvzr7lt3OU09vwQwhkpOPPYv2Y/edit?usp=sharing"",""งบพรบ!GL106"")"),0)</f>
        <v>0</v>
      </c>
      <c r="I106" s="151">
        <f ca="1">IFERROR(__xludf.DUMMYFUNCTION("IMPORTRANGE(""https://docs.google.com/spreadsheets/d/1-uDff_7J0KD5mKrp0Vvzr7lt3OU09vwQwhkpOPPYv2Y/edit?usp=sharing"",""งบพรบ!GM106"")"),0)</f>
        <v>0</v>
      </c>
      <c r="J106" s="262">
        <f t="shared" ca="1" si="36"/>
        <v>0</v>
      </c>
      <c r="K106" s="476">
        <f t="shared" ca="1" si="37"/>
        <v>0</v>
      </c>
      <c r="L106" s="151">
        <f ca="1">IFERROR(__xludf.DUMMYFUNCTION("IMPORTRANGE(""https://docs.google.com/spreadsheets/d/1-uDff_7J0KD5mKrp0Vvzr7lt3OU09vwQwhkpOPPYv2Y/edit?usp=sharing"",""งบพรบ!GN106"")"),0)</f>
        <v>0</v>
      </c>
      <c r="M106" s="260">
        <f t="shared" ca="1" si="38"/>
        <v>0</v>
      </c>
      <c r="N106" s="260">
        <f t="shared" ca="1" si="39"/>
        <v>0</v>
      </c>
      <c r="O106" s="151">
        <f ca="1">IFERROR(__xludf.DUMMYFUNCTION("IMPORTRANGE(""https://docs.google.com/spreadsheets/d/1-uDff_7J0KD5mKrp0Vvzr7lt3OU09vwQwhkpOPPYv2Y/edit?usp=sharing"",""งบพรบ!GO106"")"),0)</f>
        <v>0</v>
      </c>
      <c r="P106" s="475">
        <f t="shared" ca="1" si="40"/>
        <v>0</v>
      </c>
      <c r="Q106" s="260">
        <f t="shared" ca="1" si="41"/>
        <v>0</v>
      </c>
      <c r="R106" s="262"/>
      <c r="S106" s="262"/>
      <c r="T106" s="260"/>
    </row>
    <row r="107" spans="1:21" ht="19.5" x14ac:dyDescent="0.3">
      <c r="A107" s="263"/>
      <c r="B107" s="264" t="s">
        <v>26</v>
      </c>
      <c r="C107" s="173">
        <f t="shared" ca="1" si="34"/>
        <v>0</v>
      </c>
      <c r="D107" s="174">
        <f t="shared" ca="1" si="35"/>
        <v>0</v>
      </c>
      <c r="E107" s="265">
        <f ca="1">IFERROR(__xludf.DUMMYFUNCTION("IMPORTRANGE(""https://docs.google.com/spreadsheets/d/1-uDff_7J0KD5mKrp0Vvzr7lt3OU09vwQwhkpOPPYv2Y/edit?usp=sharing"",""งบพรบ!GH107"")"),0)</f>
        <v>0</v>
      </c>
      <c r="F107" s="265">
        <f ca="1">IFERROR(__xludf.DUMMYFUNCTION("IMPORTRANGE(""https://docs.google.com/spreadsheets/d/1-uDff_7J0KD5mKrp0Vvzr7lt3OU09vwQwhkpOPPYv2Y/edit?usp=sharing"",""งบพรบ!GI107"")"),0)</f>
        <v>0</v>
      </c>
      <c r="G107" s="265">
        <f ca="1">IFERROR(__xludf.DUMMYFUNCTION("IMPORTRANGE(""https://docs.google.com/spreadsheets/d/1-uDff_7J0KD5mKrp0Vvzr7lt3OU09vwQwhkpOPPYv2Y/edit?usp=sharing"",""งบพรบ!GJ107"")"),0)</f>
        <v>0</v>
      </c>
      <c r="H107" s="265">
        <f ca="1">IFERROR(__xludf.DUMMYFUNCTION("IMPORTRANGE(""https://docs.google.com/spreadsheets/d/1-uDff_7J0KD5mKrp0Vvzr7lt3OU09vwQwhkpOPPYv2Y/edit?usp=sharing"",""งบพรบ!GL107"")"),0)</f>
        <v>0</v>
      </c>
      <c r="I107" s="265">
        <f ca="1">IFERROR(__xludf.DUMMYFUNCTION("IMPORTRANGE(""https://docs.google.com/spreadsheets/d/1-uDff_7J0KD5mKrp0Vvzr7lt3OU09vwQwhkpOPPYv2Y/edit?usp=sharing"",""งบพรบ!GM107"")"),0)</f>
        <v>0</v>
      </c>
      <c r="J107" s="606">
        <f t="shared" ca="1" si="36"/>
        <v>0</v>
      </c>
      <c r="K107" s="266">
        <f t="shared" ca="1" si="37"/>
        <v>0</v>
      </c>
      <c r="L107" s="265">
        <f ca="1">IFERROR(__xludf.DUMMYFUNCTION("IMPORTRANGE(""https://docs.google.com/spreadsheets/d/1-uDff_7J0KD5mKrp0Vvzr7lt3OU09vwQwhkpOPPYv2Y/edit?usp=sharing"",""งบพรบ!GN107"")"),0)</f>
        <v>0</v>
      </c>
      <c r="M107" s="206">
        <f t="shared" ca="1" si="38"/>
        <v>0</v>
      </c>
      <c r="N107" s="206">
        <f t="shared" ca="1" si="39"/>
        <v>0</v>
      </c>
      <c r="O107" s="265">
        <f ca="1">IFERROR(__xludf.DUMMYFUNCTION("IMPORTRANGE(""https://docs.google.com/spreadsheets/d/1-uDff_7J0KD5mKrp0Vvzr7lt3OU09vwQwhkpOPPYv2Y/edit?usp=sharing"",""งบพรบ!GO107"")"),0)</f>
        <v>0</v>
      </c>
      <c r="P107" s="205">
        <f t="shared" ca="1" si="40"/>
        <v>0</v>
      </c>
      <c r="Q107" s="607">
        <f t="shared" ca="1" si="41"/>
        <v>0</v>
      </c>
      <c r="R107" s="175"/>
      <c r="S107" s="175"/>
      <c r="T107" s="206"/>
      <c r="U107" s="118"/>
    </row>
    <row r="108" spans="1:21" ht="19.5" x14ac:dyDescent="0.3">
      <c r="A108" s="268"/>
      <c r="B108" s="269" t="s">
        <v>135</v>
      </c>
      <c r="C108" s="193">
        <f t="shared" ca="1" si="34"/>
        <v>0</v>
      </c>
      <c r="D108" s="194">
        <f t="shared" ca="1" si="35"/>
        <v>0</v>
      </c>
      <c r="E108" s="270">
        <f ca="1">IFERROR(__xludf.DUMMYFUNCTION("IMPORTRANGE(""https://docs.google.com/spreadsheets/d/1-uDff_7J0KD5mKrp0Vvzr7lt3OU09vwQwhkpOPPYv2Y/edit?usp=sharing"",""งบพรบ!GH108"")"),0)</f>
        <v>0</v>
      </c>
      <c r="F108" s="270">
        <f ca="1">IFERROR(__xludf.DUMMYFUNCTION("IMPORTRANGE(""https://docs.google.com/spreadsheets/d/1-uDff_7J0KD5mKrp0Vvzr7lt3OU09vwQwhkpOPPYv2Y/edit?usp=sharing"",""งบพรบ!GI108"")"),0)</f>
        <v>0</v>
      </c>
      <c r="G108" s="270">
        <f ca="1">IFERROR(__xludf.DUMMYFUNCTION("IMPORTRANGE(""https://docs.google.com/spreadsheets/d/1-uDff_7J0KD5mKrp0Vvzr7lt3OU09vwQwhkpOPPYv2Y/edit?usp=sharing"",""งบพรบ!GJ108"")"),0)</f>
        <v>0</v>
      </c>
      <c r="H108" s="270">
        <f ca="1">IFERROR(__xludf.DUMMYFUNCTION("IMPORTRANGE(""https://docs.google.com/spreadsheets/d/1-uDff_7J0KD5mKrp0Vvzr7lt3OU09vwQwhkpOPPYv2Y/edit?usp=sharing"",""งบพรบ!GL108"")"),0)</f>
        <v>0</v>
      </c>
      <c r="I108" s="270">
        <f ca="1">IFERROR(__xludf.DUMMYFUNCTION("IMPORTRANGE(""https://docs.google.com/spreadsheets/d/1-uDff_7J0KD5mKrp0Vvzr7lt3OU09vwQwhkpOPPYv2Y/edit?usp=sharing"",""งบพรบ!GM108"")"),0)</f>
        <v>0</v>
      </c>
      <c r="J108" s="608">
        <f t="shared" ca="1" si="36"/>
        <v>0</v>
      </c>
      <c r="K108" s="271">
        <f t="shared" ca="1" si="37"/>
        <v>0</v>
      </c>
      <c r="L108" s="270">
        <f ca="1">IFERROR(__xludf.DUMMYFUNCTION("IMPORTRANGE(""https://docs.google.com/spreadsheets/d/1-uDff_7J0KD5mKrp0Vvzr7lt3OU09vwQwhkpOPPYv2Y/edit?usp=sharing"",""งบพรบ!GN108"")"),0)</f>
        <v>0</v>
      </c>
      <c r="M108" s="209">
        <f t="shared" ca="1" si="38"/>
        <v>0</v>
      </c>
      <c r="N108" s="209">
        <f t="shared" ca="1" si="39"/>
        <v>0</v>
      </c>
      <c r="O108" s="270">
        <f ca="1">IFERROR(__xludf.DUMMYFUNCTION("IMPORTRANGE(""https://docs.google.com/spreadsheets/d/1-uDff_7J0KD5mKrp0Vvzr7lt3OU09vwQwhkpOPPYv2Y/edit?usp=sharing"",""งบพรบ!GO108"")"),0)</f>
        <v>0</v>
      </c>
      <c r="P108" s="208">
        <f t="shared" ca="1" si="40"/>
        <v>0</v>
      </c>
      <c r="Q108" s="609">
        <f t="shared" ca="1" si="41"/>
        <v>0</v>
      </c>
      <c r="R108" s="222"/>
      <c r="S108" s="222"/>
      <c r="T108" s="209"/>
      <c r="U108" s="118"/>
    </row>
  </sheetData>
  <mergeCells count="25">
    <mergeCell ref="F5:F6"/>
    <mergeCell ref="G5:G6"/>
    <mergeCell ref="H5:H6"/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I5:I6"/>
    <mergeCell ref="J5:K5"/>
    <mergeCell ref="L5:N5"/>
    <mergeCell ref="O5:Q5"/>
    <mergeCell ref="S5:T5"/>
    <mergeCell ref="C2:Q2"/>
    <mergeCell ref="R2:T2"/>
    <mergeCell ref="C3:Q3"/>
    <mergeCell ref="R3:T4"/>
    <mergeCell ref="C4:G4"/>
    <mergeCell ref="H4:I4"/>
    <mergeCell ref="J4:Q4"/>
  </mergeCells>
  <conditionalFormatting sqref="K14:K30 K32:K51 K53:K73 K75:K88 K90:K108">
    <cfRule type="colorScale" priority="1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T14:T30 T32:T51 T53:T73 T75:T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FF00"/>
    <outlinePr summaryBelow="0" summaryRight="0"/>
  </sheetPr>
  <dimension ref="A1:X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5.140625" customWidth="1"/>
    <col min="4" max="4" width="14.140625" customWidth="1"/>
    <col min="6" max="6" width="14.42578125" customWidth="1"/>
    <col min="7" max="7" width="15.140625" customWidth="1"/>
    <col min="8" max="8" width="14.5703125" customWidth="1"/>
    <col min="9" max="10" width="15.140625" customWidth="1"/>
    <col min="15" max="15" width="13.85546875" customWidth="1"/>
    <col min="18" max="23" width="17.5703125" customWidth="1"/>
  </cols>
  <sheetData>
    <row r="1" spans="1:24" ht="19.5" x14ac:dyDescent="0.3">
      <c r="A1" s="234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4"/>
      <c r="S1" s="114"/>
      <c r="T1" s="116"/>
      <c r="U1" s="114"/>
      <c r="V1" s="114"/>
      <c r="W1" s="116"/>
    </row>
    <row r="2" spans="1:24" ht="30" customHeight="1" x14ac:dyDescent="0.2">
      <c r="A2" s="692" t="s">
        <v>1</v>
      </c>
      <c r="B2" s="658"/>
      <c r="C2" s="689" t="s">
        <v>307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7"/>
      <c r="R2" s="689" t="s">
        <v>29</v>
      </c>
      <c r="S2" s="646"/>
      <c r="T2" s="646"/>
      <c r="U2" s="646"/>
      <c r="V2" s="646"/>
      <c r="W2" s="647"/>
      <c r="X2" s="594"/>
    </row>
    <row r="3" spans="1:24" ht="30" customHeight="1" x14ac:dyDescent="0.2">
      <c r="A3" s="659"/>
      <c r="B3" s="660"/>
      <c r="C3" s="717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87" t="s">
        <v>176</v>
      </c>
      <c r="S3" s="674"/>
      <c r="T3" s="658"/>
      <c r="U3" s="687" t="s">
        <v>308</v>
      </c>
      <c r="V3" s="674"/>
      <c r="W3" s="658"/>
      <c r="X3" s="594"/>
    </row>
    <row r="4" spans="1:24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661"/>
      <c r="S4" s="675"/>
      <c r="T4" s="662"/>
      <c r="U4" s="661"/>
      <c r="V4" s="675"/>
      <c r="W4" s="662"/>
      <c r="X4" s="594"/>
    </row>
    <row r="5" spans="1:24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119" t="s">
        <v>28</v>
      </c>
      <c r="S5" s="780" t="s">
        <v>29</v>
      </c>
      <c r="T5" s="647"/>
      <c r="U5" s="119" t="s">
        <v>28</v>
      </c>
      <c r="V5" s="780" t="s">
        <v>29</v>
      </c>
      <c r="W5" s="647"/>
      <c r="X5" s="594"/>
    </row>
    <row r="6" spans="1:24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119" t="s">
        <v>193</v>
      </c>
      <c r="S6" s="180" t="s">
        <v>193</v>
      </c>
      <c r="T6" s="210" t="s">
        <v>31</v>
      </c>
      <c r="U6" s="119" t="s">
        <v>153</v>
      </c>
      <c r="V6" s="180" t="s">
        <v>153</v>
      </c>
      <c r="W6" s="210" t="s">
        <v>31</v>
      </c>
      <c r="X6" s="594"/>
    </row>
    <row r="7" spans="1:24" ht="19.5" x14ac:dyDescent="0.3">
      <c r="A7" s="694" t="s">
        <v>38</v>
      </c>
      <c r="B7" s="647"/>
      <c r="C7" s="454">
        <f t="shared" ref="C7:C9" ca="1" si="0">D7+G7</f>
        <v>8579000</v>
      </c>
      <c r="D7" s="455">
        <f t="shared" ref="D7:I7" ca="1" si="1">D8+D9</f>
        <v>8579000</v>
      </c>
      <c r="E7" s="456">
        <f t="shared" ca="1" si="1"/>
        <v>0</v>
      </c>
      <c r="F7" s="457">
        <f t="shared" ca="1" si="1"/>
        <v>8579000</v>
      </c>
      <c r="G7" s="458">
        <f t="shared" ca="1" si="1"/>
        <v>0</v>
      </c>
      <c r="H7" s="459">
        <f t="shared" ca="1" si="1"/>
        <v>8579000</v>
      </c>
      <c r="I7" s="459">
        <f t="shared" ca="1" si="1"/>
        <v>0</v>
      </c>
      <c r="J7" s="460">
        <f t="shared" ref="J7:J9" ca="1" si="2">L7+O7</f>
        <v>3104723.25</v>
      </c>
      <c r="K7" s="461">
        <f t="shared" ref="K7:K9" ca="1" si="3">IF(C7&gt;0,J7*100/C7,0)</f>
        <v>36.189803590162022</v>
      </c>
      <c r="L7" s="460">
        <f ca="1">L8+L9</f>
        <v>3104723.25</v>
      </c>
      <c r="M7" s="462">
        <f t="shared" ref="M7:M9" ca="1" si="4">IF(D7&gt;0,L7*100/D7,0)</f>
        <v>36.189803590162022</v>
      </c>
      <c r="N7" s="462">
        <f t="shared" ref="N7:N9" ca="1" si="5">IF(H7&gt;0,L7*100/H7,0)</f>
        <v>36.189803590162022</v>
      </c>
      <c r="O7" s="463">
        <f ca="1">O8+O9</f>
        <v>0</v>
      </c>
      <c r="P7" s="463">
        <f t="shared" ref="P7:P9" ca="1" si="6">IF(G7&gt;0,O7*100/G7,0)</f>
        <v>0</v>
      </c>
      <c r="Q7" s="462">
        <f t="shared" ref="Q7:Q9" ca="1" si="7">IF(I7&gt;0,O7*100/I7,0)</f>
        <v>0</v>
      </c>
      <c r="R7" s="211">
        <f t="shared" ref="R7:S7" ca="1" si="8">R8</f>
        <v>68</v>
      </c>
      <c r="S7" s="212">
        <f t="shared" ca="1" si="8"/>
        <v>20</v>
      </c>
      <c r="T7" s="213">
        <f t="shared" ref="T7:T8" ca="1" si="9">IF(R7&gt;0,S7*100/R7,0)</f>
        <v>29.411764705882351</v>
      </c>
      <c r="U7" s="211">
        <f t="shared" ref="U7:V7" ca="1" si="10">U8</f>
        <v>153</v>
      </c>
      <c r="V7" s="212">
        <f t="shared" ca="1" si="10"/>
        <v>57</v>
      </c>
      <c r="W7" s="213">
        <f t="shared" ref="W7:W8" ca="1" si="11">IF(U7&gt;0,V7*100/U7,0)</f>
        <v>37.254901960784316</v>
      </c>
    </row>
    <row r="8" spans="1:24" ht="19.5" x14ac:dyDescent="0.3">
      <c r="A8" s="134" t="s">
        <v>39</v>
      </c>
      <c r="B8" s="135"/>
      <c r="C8" s="464">
        <f t="shared" ca="1" si="0"/>
        <v>8549224</v>
      </c>
      <c r="D8" s="464">
        <f t="shared" ref="D8:I8" ca="1" si="12">+D13+D31+D52+D74</f>
        <v>8549224</v>
      </c>
      <c r="E8" s="464">
        <f t="shared" ca="1" si="12"/>
        <v>0</v>
      </c>
      <c r="F8" s="464">
        <f t="shared" ca="1" si="12"/>
        <v>8549224</v>
      </c>
      <c r="G8" s="464">
        <f t="shared" ca="1" si="12"/>
        <v>0</v>
      </c>
      <c r="H8" s="464">
        <f t="shared" ca="1" si="12"/>
        <v>8549224</v>
      </c>
      <c r="I8" s="464">
        <f t="shared" ca="1" si="12"/>
        <v>0</v>
      </c>
      <c r="J8" s="464">
        <f t="shared" ca="1" si="2"/>
        <v>3104723.25</v>
      </c>
      <c r="K8" s="465">
        <f t="shared" ca="1" si="3"/>
        <v>36.315848666498852</v>
      </c>
      <c r="L8" s="464">
        <f ca="1">+L13+L31+L52+L74</f>
        <v>3104723.25</v>
      </c>
      <c r="M8" s="466">
        <f t="shared" ca="1" si="4"/>
        <v>36.315848666498852</v>
      </c>
      <c r="N8" s="466">
        <f t="shared" ca="1" si="5"/>
        <v>36.315848666498852</v>
      </c>
      <c r="O8" s="467">
        <f ca="1">+O13+O31+O52+O74</f>
        <v>0</v>
      </c>
      <c r="P8" s="467">
        <f t="shared" ca="1" si="6"/>
        <v>0</v>
      </c>
      <c r="Q8" s="466">
        <f t="shared" ca="1" si="7"/>
        <v>0</v>
      </c>
      <c r="R8" s="276">
        <f t="shared" ref="R8:S8" ca="1" si="13">+R13+R31+R52+R74</f>
        <v>68</v>
      </c>
      <c r="S8" s="276">
        <f t="shared" ca="1" si="13"/>
        <v>20</v>
      </c>
      <c r="T8" s="37">
        <f t="shared" ca="1" si="9"/>
        <v>29.411764705882351</v>
      </c>
      <c r="U8" s="276">
        <f t="shared" ref="U8:V8" ca="1" si="14">+U13+U31+U52+U74</f>
        <v>153</v>
      </c>
      <c r="V8" s="276">
        <f t="shared" ca="1" si="14"/>
        <v>57</v>
      </c>
      <c r="W8" s="37">
        <f t="shared" ca="1" si="11"/>
        <v>37.254901960784316</v>
      </c>
    </row>
    <row r="9" spans="1:24" ht="19.5" x14ac:dyDescent="0.3">
      <c r="A9" s="245" t="s">
        <v>40</v>
      </c>
      <c r="B9" s="138"/>
      <c r="C9" s="248">
        <f t="shared" ca="1" si="0"/>
        <v>29776</v>
      </c>
      <c r="D9" s="248">
        <f t="shared" ref="D9:I9" ca="1" si="15">+D89</f>
        <v>29776</v>
      </c>
      <c r="E9" s="248">
        <f t="shared" ca="1" si="15"/>
        <v>0</v>
      </c>
      <c r="F9" s="248">
        <f t="shared" ca="1" si="15"/>
        <v>29776</v>
      </c>
      <c r="G9" s="248">
        <f t="shared" ca="1" si="15"/>
        <v>0</v>
      </c>
      <c r="H9" s="248">
        <f t="shared" ca="1" si="15"/>
        <v>29776</v>
      </c>
      <c r="I9" s="248">
        <f t="shared" ca="1" si="15"/>
        <v>0</v>
      </c>
      <c r="J9" s="248">
        <f t="shared" ca="1" si="2"/>
        <v>0</v>
      </c>
      <c r="K9" s="469">
        <f t="shared" ca="1" si="3"/>
        <v>0</v>
      </c>
      <c r="L9" s="248">
        <f ca="1">+L89</f>
        <v>0</v>
      </c>
      <c r="M9" s="470">
        <f t="shared" ca="1" si="4"/>
        <v>0</v>
      </c>
      <c r="N9" s="470">
        <f t="shared" ca="1" si="5"/>
        <v>0</v>
      </c>
      <c r="O9" s="471">
        <f ca="1">+O89</f>
        <v>0</v>
      </c>
      <c r="P9" s="471">
        <f t="shared" ca="1" si="6"/>
        <v>0</v>
      </c>
      <c r="Q9" s="470">
        <f t="shared" ca="1" si="7"/>
        <v>0</v>
      </c>
      <c r="R9" s="248"/>
      <c r="S9" s="248"/>
      <c r="T9" s="595"/>
      <c r="U9" s="248"/>
      <c r="V9" s="248"/>
      <c r="W9" s="595"/>
    </row>
    <row r="10" spans="1:24" ht="12.75" hidden="1" x14ac:dyDescent="0.2">
      <c r="A10" s="142"/>
      <c r="B10" s="142"/>
      <c r="C10" s="214"/>
      <c r="D10" s="214"/>
      <c r="E10" s="214"/>
      <c r="F10" s="214"/>
      <c r="G10" s="214"/>
      <c r="H10" s="214"/>
      <c r="I10" s="214"/>
      <c r="J10" s="214"/>
      <c r="K10" s="249"/>
      <c r="L10" s="214"/>
      <c r="M10" s="196"/>
      <c r="N10" s="196"/>
      <c r="O10" s="195"/>
      <c r="P10" s="195"/>
      <c r="Q10" s="196"/>
      <c r="R10" s="214"/>
      <c r="S10" s="214"/>
      <c r="T10" s="196"/>
      <c r="U10" s="214"/>
      <c r="V10" s="214"/>
      <c r="W10" s="196"/>
    </row>
    <row r="11" spans="1:24" ht="12.75" hidden="1" x14ac:dyDescent="0.2">
      <c r="A11" s="142"/>
      <c r="B11" s="142"/>
      <c r="C11" s="214"/>
      <c r="D11" s="214"/>
      <c r="E11" s="214"/>
      <c r="F11" s="214"/>
      <c r="G11" s="214"/>
      <c r="H11" s="214"/>
      <c r="I11" s="214"/>
      <c r="J11" s="214"/>
      <c r="K11" s="249"/>
      <c r="L11" s="214"/>
      <c r="M11" s="196"/>
      <c r="N11" s="196"/>
      <c r="O11" s="195"/>
      <c r="P11" s="195"/>
      <c r="Q11" s="196"/>
      <c r="R11" s="214"/>
      <c r="S11" s="214"/>
      <c r="T11" s="196"/>
      <c r="U11" s="214"/>
      <c r="V11" s="214"/>
      <c r="W11" s="196"/>
    </row>
    <row r="12" spans="1:24" ht="19.5" hidden="1" x14ac:dyDescent="0.3">
      <c r="A12" s="142"/>
      <c r="B12" s="142"/>
      <c r="C12" s="214"/>
      <c r="D12" s="214"/>
      <c r="E12" s="214"/>
      <c r="F12" s="214"/>
      <c r="G12" s="214"/>
      <c r="H12" s="214"/>
      <c r="I12" s="214"/>
      <c r="J12" s="214"/>
      <c r="K12" s="249"/>
      <c r="L12" s="214"/>
      <c r="M12" s="196"/>
      <c r="N12" s="196"/>
      <c r="O12" s="195"/>
      <c r="P12" s="195"/>
      <c r="Q12" s="196"/>
      <c r="R12" s="143"/>
      <c r="S12" s="143"/>
      <c r="T12" s="51"/>
      <c r="U12" s="143"/>
      <c r="V12" s="143"/>
      <c r="W12" s="51"/>
    </row>
    <row r="13" spans="1:24" ht="19.5" x14ac:dyDescent="0.3">
      <c r="A13" s="695" t="s">
        <v>41</v>
      </c>
      <c r="B13" s="647"/>
      <c r="C13" s="596">
        <f t="shared" ref="C13:C88" ca="1" si="16">D13+G13</f>
        <v>3404267</v>
      </c>
      <c r="D13" s="596">
        <f t="shared" ref="D13:I13" ca="1" si="17">SUM(D14:D30)</f>
        <v>3404267</v>
      </c>
      <c r="E13" s="596">
        <f t="shared" ca="1" si="17"/>
        <v>0</v>
      </c>
      <c r="F13" s="596">
        <f t="shared" ca="1" si="17"/>
        <v>3404267</v>
      </c>
      <c r="G13" s="596">
        <f t="shared" ca="1" si="17"/>
        <v>0</v>
      </c>
      <c r="H13" s="596">
        <f t="shared" ca="1" si="17"/>
        <v>3404267</v>
      </c>
      <c r="I13" s="596">
        <f t="shared" ca="1" si="17"/>
        <v>0</v>
      </c>
      <c r="J13" s="596">
        <f t="shared" ref="J13:J88" ca="1" si="18">L13+O13</f>
        <v>994625</v>
      </c>
      <c r="K13" s="597">
        <f t="shared" ref="K13:K88" ca="1" si="19">IF(C13&gt;0,J13*100/C13,0)</f>
        <v>29.217009124137444</v>
      </c>
      <c r="L13" s="596">
        <f ca="1">SUM(L14:L30)</f>
        <v>994625</v>
      </c>
      <c r="M13" s="598">
        <f t="shared" ref="M13:M88" ca="1" si="20">IF(D13&gt;0,L13*100/D13,0)</f>
        <v>29.217009124137444</v>
      </c>
      <c r="N13" s="598">
        <f t="shared" ref="N13:N88" ca="1" si="21">IF(H13&gt;0,L13*100/H13,0)</f>
        <v>29.217009124137444</v>
      </c>
      <c r="O13" s="599">
        <f ca="1">SUM(O14:O30)</f>
        <v>0</v>
      </c>
      <c r="P13" s="599">
        <f t="shared" ref="P13:P88" ca="1" si="22">IF(G13&gt;0,O13*100/G13,0)</f>
        <v>0</v>
      </c>
      <c r="Q13" s="598">
        <f t="shared" ref="Q13:Q88" ca="1" si="23">IF(I13&gt;0,O13*100/I13,0)</f>
        <v>0</v>
      </c>
      <c r="R13" s="277">
        <f t="shared" ref="R13:S13" ca="1" si="24">SUM(R14:R30)</f>
        <v>32</v>
      </c>
      <c r="S13" s="277">
        <f t="shared" ca="1" si="24"/>
        <v>16</v>
      </c>
      <c r="T13" s="57">
        <f t="shared" ref="T13:T88" ca="1" si="25">IF(R13&gt;0,S13*100/R13,0)</f>
        <v>50</v>
      </c>
      <c r="U13" s="277">
        <f t="shared" ref="U13:V13" ca="1" si="26">SUM(U14:U30)</f>
        <v>64</v>
      </c>
      <c r="V13" s="277">
        <f t="shared" ca="1" si="26"/>
        <v>27</v>
      </c>
      <c r="W13" s="57">
        <f t="shared" ref="W13:W88" ca="1" si="27">IF(U13&gt;0,V13*100/U13,0)</f>
        <v>42.1875</v>
      </c>
      <c r="X13" s="600"/>
    </row>
    <row r="14" spans="1:24" ht="19.5" x14ac:dyDescent="0.3">
      <c r="A14" s="147">
        <v>1</v>
      </c>
      <c r="B14" s="148" t="s">
        <v>42</v>
      </c>
      <c r="C14" s="472">
        <f t="shared" ca="1" si="16"/>
        <v>0</v>
      </c>
      <c r="D14" s="473">
        <f t="shared" ref="D14:D30" ca="1" si="28">+E14+F14</f>
        <v>0</v>
      </c>
      <c r="E14" s="151">
        <f ca="1">IFERROR(__xludf.DUMMYFUNCTION("IMPORTRANGE(""https://docs.google.com/spreadsheets/d/1-uDff_7J0KD5mKrp0Vvzr7lt3OU09vwQwhkpOPPYv2Y/edit?usp=sharing"",""งบพรบ!GR14"")"),0)</f>
        <v>0</v>
      </c>
      <c r="F14" s="151">
        <f ca="1">IFERROR(__xludf.DUMMYFUNCTION("IMPORTRANGE(""https://docs.google.com/spreadsheets/d/1-uDff_7J0KD5mKrp0Vvzr7lt3OU09vwQwhkpOPPYv2Y/edit?usp=sharing"",""งบพรบ!GS14"")"),0)</f>
        <v>0</v>
      </c>
      <c r="G14" s="152">
        <f ca="1">IFERROR(__xludf.DUMMYFUNCTION("IMPORTRANGE(""https://docs.google.com/spreadsheets/d/1-uDff_7J0KD5mKrp0Vvzr7lt3OU09vwQwhkpOPPYv2Y/edit?usp=sharing"",""งบพรบ!GT14"")"),0)</f>
        <v>0</v>
      </c>
      <c r="H14" s="152">
        <f ca="1">IFERROR(__xludf.DUMMYFUNCTION("IMPORTRANGE(""https://docs.google.com/spreadsheets/d/1-uDff_7J0KD5mKrp0Vvzr7lt3OU09vwQwhkpOPPYv2Y/edit?usp=sharing"",""งบพรบ!GV14"")"),0)</f>
        <v>0</v>
      </c>
      <c r="I14" s="152">
        <f ca="1">IFERROR(__xludf.DUMMYFUNCTION("IMPORTRANGE(""https://docs.google.com/spreadsheets/d/1-uDff_7J0KD5mKrp0Vvzr7lt3OU09vwQwhkpOPPYv2Y/edit?usp=sharing"",""งบพรบ!GW14"")"),0)</f>
        <v>0</v>
      </c>
      <c r="J14" s="251">
        <f t="shared" ca="1" si="18"/>
        <v>0</v>
      </c>
      <c r="K14" s="474">
        <f t="shared" ca="1" si="19"/>
        <v>0</v>
      </c>
      <c r="L14" s="152">
        <f ca="1">IFERROR(__xludf.DUMMYFUNCTION("IMPORTRANGE(""https://docs.google.com/spreadsheets/d/1-uDff_7J0KD5mKrp0Vvzr7lt3OU09vwQwhkpOPPYv2Y/edit?usp=sharing"",""งบพรบ!GX14"")"),0)</f>
        <v>0</v>
      </c>
      <c r="M14" s="260">
        <f t="shared" ca="1" si="20"/>
        <v>0</v>
      </c>
      <c r="N14" s="260">
        <f t="shared" ca="1" si="21"/>
        <v>0</v>
      </c>
      <c r="O14" s="151">
        <f ca="1">IFERROR(__xludf.DUMMYFUNCTION("IMPORTRANGE(""https://docs.google.com/spreadsheets/d/1-uDff_7J0KD5mKrp0Vvzr7lt3OU09vwQwhkpOPPYv2Y/edit?usp=sharing"",""งบพรบ!GY14"")"),0)</f>
        <v>0</v>
      </c>
      <c r="P14" s="475">
        <f t="shared" ca="1" si="22"/>
        <v>0</v>
      </c>
      <c r="Q14" s="260">
        <f t="shared" ca="1" si="23"/>
        <v>0</v>
      </c>
      <c r="R14" s="279">
        <v>0</v>
      </c>
      <c r="S14" s="397">
        <v>0</v>
      </c>
      <c r="T14" s="216">
        <f t="shared" si="25"/>
        <v>0</v>
      </c>
      <c r="U14" s="279">
        <v>0</v>
      </c>
      <c r="V14" s="397">
        <v>0</v>
      </c>
      <c r="W14" s="216">
        <f t="shared" si="27"/>
        <v>0</v>
      </c>
    </row>
    <row r="15" spans="1:24" ht="19.5" x14ac:dyDescent="0.3">
      <c r="A15" s="147">
        <v>2</v>
      </c>
      <c r="B15" s="148" t="s">
        <v>43</v>
      </c>
      <c r="C15" s="472">
        <f t="shared" ca="1" si="16"/>
        <v>0</v>
      </c>
      <c r="D15" s="473">
        <f t="shared" ca="1" si="28"/>
        <v>0</v>
      </c>
      <c r="E15" s="151">
        <f ca="1">IFERROR(__xludf.DUMMYFUNCTION("IMPORTRANGE(""https://docs.google.com/spreadsheets/d/1-uDff_7J0KD5mKrp0Vvzr7lt3OU09vwQwhkpOPPYv2Y/edit?usp=sharing"",""งบพรบ!GR15"")"),0)</f>
        <v>0</v>
      </c>
      <c r="F15" s="151">
        <f ca="1">IFERROR(__xludf.DUMMYFUNCTION("IMPORTRANGE(""https://docs.google.com/spreadsheets/d/1-uDff_7J0KD5mKrp0Vvzr7lt3OU09vwQwhkpOPPYv2Y/edit?usp=sharing"",""งบพรบ!GS15"")"),0)</f>
        <v>0</v>
      </c>
      <c r="G15" s="151">
        <f ca="1">IFERROR(__xludf.DUMMYFUNCTION("IMPORTRANGE(""https://docs.google.com/spreadsheets/d/1-uDff_7J0KD5mKrp0Vvzr7lt3OU09vwQwhkpOPPYv2Y/edit?usp=sharing"",""งบพรบ!GT15"")"),0)</f>
        <v>0</v>
      </c>
      <c r="H15" s="151">
        <f ca="1">IFERROR(__xludf.DUMMYFUNCTION("IMPORTRANGE(""https://docs.google.com/spreadsheets/d/1-uDff_7J0KD5mKrp0Vvzr7lt3OU09vwQwhkpOPPYv2Y/edit?usp=sharing"",""งบพรบ!GV15"")"),0)</f>
        <v>0</v>
      </c>
      <c r="I15" s="151">
        <f ca="1">IFERROR(__xludf.DUMMYFUNCTION("IMPORTRANGE(""https://docs.google.com/spreadsheets/d/1-uDff_7J0KD5mKrp0Vvzr7lt3OU09vwQwhkpOPPYv2Y/edit?usp=sharing"",""งบพรบ!GW15"")"),0)</f>
        <v>0</v>
      </c>
      <c r="J15" s="262">
        <f t="shared" ca="1" si="18"/>
        <v>0</v>
      </c>
      <c r="K15" s="476">
        <f t="shared" ca="1" si="19"/>
        <v>0</v>
      </c>
      <c r="L15" s="151">
        <f ca="1">IFERROR(__xludf.DUMMYFUNCTION("IMPORTRANGE(""https://docs.google.com/spreadsheets/d/1-uDff_7J0KD5mKrp0Vvzr7lt3OU09vwQwhkpOPPYv2Y/edit?usp=sharing"",""งบพรบ!GX15"")"),0)</f>
        <v>0</v>
      </c>
      <c r="M15" s="260">
        <f t="shared" ca="1" si="20"/>
        <v>0</v>
      </c>
      <c r="N15" s="260">
        <f t="shared" ca="1" si="21"/>
        <v>0</v>
      </c>
      <c r="O15" s="151">
        <f ca="1">IFERROR(__xludf.DUMMYFUNCTION("IMPORTRANGE(""https://docs.google.com/spreadsheets/d/1-uDff_7J0KD5mKrp0Vvzr7lt3OU09vwQwhkpOPPYv2Y/edit?usp=sharing"",""งบพรบ!GY15"")"),0)</f>
        <v>0</v>
      </c>
      <c r="P15" s="475">
        <f t="shared" ca="1" si="22"/>
        <v>0</v>
      </c>
      <c r="Q15" s="260">
        <f t="shared" ca="1" si="23"/>
        <v>0</v>
      </c>
      <c r="R15" s="278">
        <v>0</v>
      </c>
      <c r="S15" s="152">
        <v>0</v>
      </c>
      <c r="T15" s="216">
        <f t="shared" si="25"/>
        <v>0</v>
      </c>
      <c r="U15" s="278">
        <v>0</v>
      </c>
      <c r="V15" s="152">
        <v>0</v>
      </c>
      <c r="W15" s="216">
        <f t="shared" si="27"/>
        <v>0</v>
      </c>
    </row>
    <row r="16" spans="1:24" ht="19.5" x14ac:dyDescent="0.3">
      <c r="A16" s="147">
        <v>3</v>
      </c>
      <c r="B16" s="148" t="s">
        <v>44</v>
      </c>
      <c r="C16" s="472">
        <f t="shared" ca="1" si="16"/>
        <v>0</v>
      </c>
      <c r="D16" s="473">
        <f t="shared" ca="1" si="28"/>
        <v>0</v>
      </c>
      <c r="E16" s="151">
        <f ca="1">IFERROR(__xludf.DUMMYFUNCTION("IMPORTRANGE(""https://docs.google.com/spreadsheets/d/1-uDff_7J0KD5mKrp0Vvzr7lt3OU09vwQwhkpOPPYv2Y/edit?usp=sharing"",""งบพรบ!GR16"")"),0)</f>
        <v>0</v>
      </c>
      <c r="F16" s="151">
        <f ca="1">IFERROR(__xludf.DUMMYFUNCTION("IMPORTRANGE(""https://docs.google.com/spreadsheets/d/1-uDff_7J0KD5mKrp0Vvzr7lt3OU09vwQwhkpOPPYv2Y/edit?usp=sharing"",""งบพรบ!GS16"")"),0)</f>
        <v>0</v>
      </c>
      <c r="G16" s="151">
        <f ca="1">IFERROR(__xludf.DUMMYFUNCTION("IMPORTRANGE(""https://docs.google.com/spreadsheets/d/1-uDff_7J0KD5mKrp0Vvzr7lt3OU09vwQwhkpOPPYv2Y/edit?usp=sharing"",""งบพรบ!GT16"")"),0)</f>
        <v>0</v>
      </c>
      <c r="H16" s="151">
        <f ca="1">IFERROR(__xludf.DUMMYFUNCTION("IMPORTRANGE(""https://docs.google.com/spreadsheets/d/1-uDff_7J0KD5mKrp0Vvzr7lt3OU09vwQwhkpOPPYv2Y/edit?usp=sharing"",""งบพรบ!GV16"")"),0)</f>
        <v>0</v>
      </c>
      <c r="I16" s="151">
        <f ca="1">IFERROR(__xludf.DUMMYFUNCTION("IMPORTRANGE(""https://docs.google.com/spreadsheets/d/1-uDff_7J0KD5mKrp0Vvzr7lt3OU09vwQwhkpOPPYv2Y/edit?usp=sharing"",""งบพรบ!GW16"")"),0)</f>
        <v>0</v>
      </c>
      <c r="J16" s="262">
        <f t="shared" ca="1" si="18"/>
        <v>0</v>
      </c>
      <c r="K16" s="476">
        <f t="shared" ca="1" si="19"/>
        <v>0</v>
      </c>
      <c r="L16" s="151">
        <f ca="1">IFERROR(__xludf.DUMMYFUNCTION("IMPORTRANGE(""https://docs.google.com/spreadsheets/d/1-uDff_7J0KD5mKrp0Vvzr7lt3OU09vwQwhkpOPPYv2Y/edit?usp=sharing"",""งบพรบ!GX16"")"),0)</f>
        <v>0</v>
      </c>
      <c r="M16" s="260">
        <f t="shared" ca="1" si="20"/>
        <v>0</v>
      </c>
      <c r="N16" s="260">
        <f t="shared" ca="1" si="21"/>
        <v>0</v>
      </c>
      <c r="O16" s="151">
        <f ca="1">IFERROR(__xludf.DUMMYFUNCTION("IMPORTRANGE(""https://docs.google.com/spreadsheets/d/1-uDff_7J0KD5mKrp0Vvzr7lt3OU09vwQwhkpOPPYv2Y/edit?usp=sharing"",""งบพรบ!GY16"")"),0)</f>
        <v>0</v>
      </c>
      <c r="P16" s="475">
        <f t="shared" ca="1" si="22"/>
        <v>0</v>
      </c>
      <c r="Q16" s="260">
        <f t="shared" ca="1" si="23"/>
        <v>0</v>
      </c>
      <c r="R16" s="279">
        <v>0</v>
      </c>
      <c r="S16" s="397">
        <v>0</v>
      </c>
      <c r="T16" s="216">
        <f t="shared" si="25"/>
        <v>0</v>
      </c>
      <c r="U16" s="279">
        <v>0</v>
      </c>
      <c r="V16" s="397">
        <v>0</v>
      </c>
      <c r="W16" s="216">
        <f t="shared" si="27"/>
        <v>0</v>
      </c>
    </row>
    <row r="17" spans="1:24" ht="19.5" x14ac:dyDescent="0.3">
      <c r="A17" s="147">
        <v>4</v>
      </c>
      <c r="B17" s="148" t="s">
        <v>45</v>
      </c>
      <c r="C17" s="472">
        <f t="shared" ca="1" si="16"/>
        <v>335254</v>
      </c>
      <c r="D17" s="473">
        <f t="shared" ca="1" si="28"/>
        <v>335254</v>
      </c>
      <c r="E17" s="151">
        <f ca="1">IFERROR(__xludf.DUMMYFUNCTION("IMPORTRANGE(""https://docs.google.com/spreadsheets/d/1-uDff_7J0KD5mKrp0Vvzr7lt3OU09vwQwhkpOPPYv2Y/edit?usp=sharing"",""งบพรบ!GR17"")"),0)</f>
        <v>0</v>
      </c>
      <c r="F17" s="151">
        <f ca="1">IFERROR(__xludf.DUMMYFUNCTION("IMPORTRANGE(""https://docs.google.com/spreadsheets/d/1-uDff_7J0KD5mKrp0Vvzr7lt3OU09vwQwhkpOPPYv2Y/edit?usp=sharing"",""งบพรบ!GS17"")"),335254)</f>
        <v>335254</v>
      </c>
      <c r="G17" s="151">
        <f ca="1">IFERROR(__xludf.DUMMYFUNCTION("IMPORTRANGE(""https://docs.google.com/spreadsheets/d/1-uDff_7J0KD5mKrp0Vvzr7lt3OU09vwQwhkpOPPYv2Y/edit?usp=sharing"",""งบพรบ!GT17"")"),0)</f>
        <v>0</v>
      </c>
      <c r="H17" s="151">
        <f ca="1">IFERROR(__xludf.DUMMYFUNCTION("IMPORTRANGE(""https://docs.google.com/spreadsheets/d/1-uDff_7J0KD5mKrp0Vvzr7lt3OU09vwQwhkpOPPYv2Y/edit?usp=sharing"",""งบพรบ!GV17"")"),335254)</f>
        <v>335254</v>
      </c>
      <c r="I17" s="151">
        <f ca="1">IFERROR(__xludf.DUMMYFUNCTION("IMPORTRANGE(""https://docs.google.com/spreadsheets/d/1-uDff_7J0KD5mKrp0Vvzr7lt3OU09vwQwhkpOPPYv2Y/edit?usp=sharing"",""งบพรบ!GW17"")"),0)</f>
        <v>0</v>
      </c>
      <c r="J17" s="262">
        <f t="shared" ca="1" si="18"/>
        <v>191170</v>
      </c>
      <c r="K17" s="476">
        <f t="shared" ca="1" si="19"/>
        <v>57.022436719621538</v>
      </c>
      <c r="L17" s="151">
        <f ca="1">IFERROR(__xludf.DUMMYFUNCTION("IMPORTRANGE(""https://docs.google.com/spreadsheets/d/1-uDff_7J0KD5mKrp0Vvzr7lt3OU09vwQwhkpOPPYv2Y/edit?usp=sharing"",""งบพรบ!GX17"")"),191170)</f>
        <v>191170</v>
      </c>
      <c r="M17" s="260">
        <f t="shared" ca="1" si="20"/>
        <v>57.022436719621538</v>
      </c>
      <c r="N17" s="260">
        <f t="shared" ca="1" si="21"/>
        <v>57.022436719621538</v>
      </c>
      <c r="O17" s="151">
        <f ca="1">IFERROR(__xludf.DUMMYFUNCTION("IMPORTRANGE(""https://docs.google.com/spreadsheets/d/1-uDff_7J0KD5mKrp0Vvzr7lt3OU09vwQwhkpOPPYv2Y/edit?usp=sharing"",""งบพรบ!GY17"")"),0)</f>
        <v>0</v>
      </c>
      <c r="P17" s="475">
        <f t="shared" ca="1" si="22"/>
        <v>0</v>
      </c>
      <c r="Q17" s="260">
        <f t="shared" ca="1" si="23"/>
        <v>0</v>
      </c>
      <c r="R17" s="278">
        <f ca="1">IFERROR(__xludf.DUMMYFUNCTION("IMPORTRANGE(""https://docs.google.com/spreadsheets/d/1W6MnUbDkMi6xHnHko_XkFDO9kkuL6Wqyc-6OCDFjW9I/edit?usp=sharing"",""ตาก!I586"")"),4)</f>
        <v>4</v>
      </c>
      <c r="S17" s="152">
        <f ca="1">IFERROR(__xludf.DUMMYFUNCTION("IMPORTRANGE(""https://docs.google.com/spreadsheets/d/1W6MnUbDkMi6xHnHko_XkFDO9kkuL6Wqyc-6OCDFjW9I/edit?usp=sharing"",""ตาก!J586"")"),2)</f>
        <v>2</v>
      </c>
      <c r="T17" s="216">
        <f t="shared" ca="1" si="25"/>
        <v>50</v>
      </c>
      <c r="U17" s="278">
        <f ca="1">IFERROR(__xludf.DUMMYFUNCTION("IMPORTRANGE(""https://docs.google.com/spreadsheets/d/1W6MnUbDkMi6xHnHko_XkFDO9kkuL6Wqyc-6OCDFjW9I/edit?usp=sharing"",""ตาก!I587"")"),6)</f>
        <v>6</v>
      </c>
      <c r="V17" s="152">
        <f ca="1">IFERROR(__xludf.DUMMYFUNCTION("IMPORTRANGE(""https://docs.google.com/spreadsheets/d/1W6MnUbDkMi6xHnHko_XkFDO9kkuL6Wqyc-6OCDFjW9I/edit?usp=sharing"",""ตาก!J587"")"),6)</f>
        <v>6</v>
      </c>
      <c r="W17" s="216">
        <f t="shared" ca="1" si="27"/>
        <v>100</v>
      </c>
    </row>
    <row r="18" spans="1:24" ht="19.5" x14ac:dyDescent="0.3">
      <c r="A18" s="147">
        <v>5</v>
      </c>
      <c r="B18" s="148" t="s">
        <v>46</v>
      </c>
      <c r="C18" s="472">
        <f t="shared" ca="1" si="16"/>
        <v>264155</v>
      </c>
      <c r="D18" s="473">
        <f t="shared" ca="1" si="28"/>
        <v>264155</v>
      </c>
      <c r="E18" s="151">
        <f ca="1">IFERROR(__xludf.DUMMYFUNCTION("IMPORTRANGE(""https://docs.google.com/spreadsheets/d/1-uDff_7J0KD5mKrp0Vvzr7lt3OU09vwQwhkpOPPYv2Y/edit?usp=sharing"",""งบพรบ!GR18"")"),0)</f>
        <v>0</v>
      </c>
      <c r="F18" s="151">
        <f ca="1">IFERROR(__xludf.DUMMYFUNCTION("IMPORTRANGE(""https://docs.google.com/spreadsheets/d/1-uDff_7J0KD5mKrp0Vvzr7lt3OU09vwQwhkpOPPYv2Y/edit?usp=sharing"",""งบพรบ!GS18"")"),264155)</f>
        <v>264155</v>
      </c>
      <c r="G18" s="151">
        <f ca="1">IFERROR(__xludf.DUMMYFUNCTION("IMPORTRANGE(""https://docs.google.com/spreadsheets/d/1-uDff_7J0KD5mKrp0Vvzr7lt3OU09vwQwhkpOPPYv2Y/edit?usp=sharing"",""งบพรบ!GT18"")"),0)</f>
        <v>0</v>
      </c>
      <c r="H18" s="151">
        <f ca="1">IFERROR(__xludf.DUMMYFUNCTION("IMPORTRANGE(""https://docs.google.com/spreadsheets/d/1-uDff_7J0KD5mKrp0Vvzr7lt3OU09vwQwhkpOPPYv2Y/edit?usp=sharing"",""งบพรบ!GV18"")"),264155)</f>
        <v>264155</v>
      </c>
      <c r="I18" s="151">
        <f ca="1">IFERROR(__xludf.DUMMYFUNCTION("IMPORTRANGE(""https://docs.google.com/spreadsheets/d/1-uDff_7J0KD5mKrp0Vvzr7lt3OU09vwQwhkpOPPYv2Y/edit?usp=sharing"",""งบพรบ!GW18"")"),0)</f>
        <v>0</v>
      </c>
      <c r="J18" s="262">
        <f t="shared" ca="1" si="18"/>
        <v>19330</v>
      </c>
      <c r="K18" s="476">
        <f t="shared" ca="1" si="19"/>
        <v>7.3176733357309152</v>
      </c>
      <c r="L18" s="151">
        <f ca="1">IFERROR(__xludf.DUMMYFUNCTION("IMPORTRANGE(""https://docs.google.com/spreadsheets/d/1-uDff_7J0KD5mKrp0Vvzr7lt3OU09vwQwhkpOPPYv2Y/edit?usp=sharing"",""งบพรบ!GX18"")"),19330)</f>
        <v>19330</v>
      </c>
      <c r="M18" s="260">
        <f t="shared" ca="1" si="20"/>
        <v>7.3176733357309152</v>
      </c>
      <c r="N18" s="260">
        <f t="shared" ca="1" si="21"/>
        <v>7.3176733357309152</v>
      </c>
      <c r="O18" s="151">
        <f ca="1">IFERROR(__xludf.DUMMYFUNCTION("IMPORTRANGE(""https://docs.google.com/spreadsheets/d/1-uDff_7J0KD5mKrp0Vvzr7lt3OU09vwQwhkpOPPYv2Y/edit?usp=sharing"",""งบพรบ!GY18"")"),0)</f>
        <v>0</v>
      </c>
      <c r="P18" s="475">
        <f t="shared" ca="1" si="22"/>
        <v>0</v>
      </c>
      <c r="Q18" s="260">
        <f t="shared" ca="1" si="23"/>
        <v>0</v>
      </c>
      <c r="R18" s="278">
        <f ca="1">IFERROR(__xludf.DUMMYFUNCTION("IMPORTRANGE(""https://docs.google.com/spreadsheets/d/1IQAWArduLkta9LpYo4a_ULsyqdta6-6aDDiwpUnQT6c/edit?usp=sharing"",""นครสวรรค์!I586"")"),2)</f>
        <v>2</v>
      </c>
      <c r="S18" s="152">
        <f ca="1">IFERROR(__xludf.DUMMYFUNCTION("IMPORTRANGE(""https://docs.google.com/spreadsheets/d/1IQAWArduLkta9LpYo4a_ULsyqdta6-6aDDiwpUnQT6c/edit?usp=sharing"",""นครสวรรค์!J586"")"),0)</f>
        <v>0</v>
      </c>
      <c r="T18" s="216">
        <f t="shared" ca="1" si="25"/>
        <v>0</v>
      </c>
      <c r="U18" s="278">
        <f ca="1">IFERROR(__xludf.DUMMYFUNCTION("IMPORTRANGE(""https://docs.google.com/spreadsheets/d/1IQAWArduLkta9LpYo4a_ULsyqdta6-6aDDiwpUnQT6c/edit?usp=sharing"",""นครสวรรค์!I587"")"),5)</f>
        <v>5</v>
      </c>
      <c r="V18" s="152">
        <f ca="1">IFERROR(__xludf.DUMMYFUNCTION("IMPORTRANGE(""https://docs.google.com/spreadsheets/d/1IQAWArduLkta9LpYo4a_ULsyqdta6-6aDDiwpUnQT6c/edit?usp=sharing"",""นครสวรรค์!J587"")"),0)</f>
        <v>0</v>
      </c>
      <c r="W18" s="216">
        <f t="shared" ca="1" si="27"/>
        <v>0</v>
      </c>
    </row>
    <row r="19" spans="1:24" ht="19.5" x14ac:dyDescent="0.3">
      <c r="A19" s="147">
        <v>6</v>
      </c>
      <c r="B19" s="148" t="s">
        <v>47</v>
      </c>
      <c r="C19" s="472">
        <f t="shared" ca="1" si="16"/>
        <v>907760</v>
      </c>
      <c r="D19" s="473">
        <f t="shared" ca="1" si="28"/>
        <v>907760</v>
      </c>
      <c r="E19" s="151">
        <f ca="1">IFERROR(__xludf.DUMMYFUNCTION("IMPORTRANGE(""https://docs.google.com/spreadsheets/d/1-uDff_7J0KD5mKrp0Vvzr7lt3OU09vwQwhkpOPPYv2Y/edit?usp=sharing"",""งบพรบ!GR19"")"),0)</f>
        <v>0</v>
      </c>
      <c r="F19" s="151">
        <f ca="1">IFERROR(__xludf.DUMMYFUNCTION("IMPORTRANGE(""https://docs.google.com/spreadsheets/d/1-uDff_7J0KD5mKrp0Vvzr7lt3OU09vwQwhkpOPPYv2Y/edit?usp=sharing"",""งบพรบ!GS19"")"),907760)</f>
        <v>907760</v>
      </c>
      <c r="G19" s="151">
        <f ca="1">IFERROR(__xludf.DUMMYFUNCTION("IMPORTRANGE(""https://docs.google.com/spreadsheets/d/1-uDff_7J0KD5mKrp0Vvzr7lt3OU09vwQwhkpOPPYv2Y/edit?usp=sharing"",""งบพรบ!GT19"")"),0)</f>
        <v>0</v>
      </c>
      <c r="H19" s="151">
        <f ca="1">IFERROR(__xludf.DUMMYFUNCTION("IMPORTRANGE(""https://docs.google.com/spreadsheets/d/1-uDff_7J0KD5mKrp0Vvzr7lt3OU09vwQwhkpOPPYv2Y/edit?usp=sharing"",""งบพรบ!GV19"")"),907760)</f>
        <v>907760</v>
      </c>
      <c r="I19" s="151">
        <f ca="1">IFERROR(__xludf.DUMMYFUNCTION("IMPORTRANGE(""https://docs.google.com/spreadsheets/d/1-uDff_7J0KD5mKrp0Vvzr7lt3OU09vwQwhkpOPPYv2Y/edit?usp=sharing"",""งบพรบ!GW19"")"),0)</f>
        <v>0</v>
      </c>
      <c r="J19" s="262">
        <f t="shared" ca="1" si="18"/>
        <v>63290</v>
      </c>
      <c r="K19" s="476">
        <f t="shared" ca="1" si="19"/>
        <v>6.9721071648893984</v>
      </c>
      <c r="L19" s="151">
        <f ca="1">IFERROR(__xludf.DUMMYFUNCTION("IMPORTRANGE(""https://docs.google.com/spreadsheets/d/1-uDff_7J0KD5mKrp0Vvzr7lt3OU09vwQwhkpOPPYv2Y/edit?usp=sharing"",""งบพรบ!GX19"")"),63290)</f>
        <v>63290</v>
      </c>
      <c r="M19" s="260">
        <f t="shared" ca="1" si="20"/>
        <v>6.9721071648893984</v>
      </c>
      <c r="N19" s="260">
        <f t="shared" ca="1" si="21"/>
        <v>6.9721071648893984</v>
      </c>
      <c r="O19" s="151">
        <f ca="1">IFERROR(__xludf.DUMMYFUNCTION("IMPORTRANGE(""https://docs.google.com/spreadsheets/d/1-uDff_7J0KD5mKrp0Vvzr7lt3OU09vwQwhkpOPPYv2Y/edit?usp=sharing"",""งบพรบ!GY19"")"),0)</f>
        <v>0</v>
      </c>
      <c r="P19" s="475">
        <f t="shared" ca="1" si="22"/>
        <v>0</v>
      </c>
      <c r="Q19" s="260">
        <f t="shared" ca="1" si="23"/>
        <v>0</v>
      </c>
      <c r="R19" s="278">
        <f ca="1">IFERROR(__xludf.DUMMYFUNCTION("IMPORTRANGE(""https://docs.google.com/spreadsheets/d/10s13Sk5xrltsiR-Zkbmk5DwIaDIKO8XlbJAfqyT7Gvg/edit?usp=sharing"",""น่าน!I586"")"),6)</f>
        <v>6</v>
      </c>
      <c r="S19" s="152">
        <f ca="1">IFERROR(__xludf.DUMMYFUNCTION("IMPORTRANGE(""https://docs.google.com/spreadsheets/d/10s13Sk5xrltsiR-Zkbmk5DwIaDIKO8XlbJAfqyT7Gvg/edit?usp=sharing"",""น่าน!J586"")"),6)</f>
        <v>6</v>
      </c>
      <c r="T19" s="216">
        <f t="shared" ca="1" si="25"/>
        <v>100</v>
      </c>
      <c r="U19" s="278">
        <f ca="1">IFERROR(__xludf.DUMMYFUNCTION("IMPORTRANGE(""https://docs.google.com/spreadsheets/d/10s13Sk5xrltsiR-Zkbmk5DwIaDIKO8XlbJAfqyT7Gvg/edit?usp=sharing"",""น่าน!I587"")"),20)</f>
        <v>20</v>
      </c>
      <c r="V19" s="152">
        <f ca="1">IFERROR(__xludf.DUMMYFUNCTION("IMPORTRANGE(""https://docs.google.com/spreadsheets/d/10s13Sk5xrltsiR-Zkbmk5DwIaDIKO8XlbJAfqyT7Gvg/edit?usp=sharing"",""น่าน!J587"")"),0)</f>
        <v>0</v>
      </c>
      <c r="W19" s="216">
        <f t="shared" ca="1" si="27"/>
        <v>0</v>
      </c>
    </row>
    <row r="20" spans="1:24" ht="19.5" x14ac:dyDescent="0.3">
      <c r="A20" s="147">
        <v>7</v>
      </c>
      <c r="B20" s="148" t="s">
        <v>48</v>
      </c>
      <c r="C20" s="472">
        <f t="shared" ca="1" si="16"/>
        <v>425244</v>
      </c>
      <c r="D20" s="473">
        <f t="shared" ca="1" si="28"/>
        <v>425244</v>
      </c>
      <c r="E20" s="151">
        <f ca="1">IFERROR(__xludf.DUMMYFUNCTION("IMPORTRANGE(""https://docs.google.com/spreadsheets/d/1-uDff_7J0KD5mKrp0Vvzr7lt3OU09vwQwhkpOPPYv2Y/edit?usp=sharing"",""งบพรบ!GR20"")"),0)</f>
        <v>0</v>
      </c>
      <c r="F20" s="151">
        <f ca="1">IFERROR(__xludf.DUMMYFUNCTION("IMPORTRANGE(""https://docs.google.com/spreadsheets/d/1-uDff_7J0KD5mKrp0Vvzr7lt3OU09vwQwhkpOPPYv2Y/edit?usp=sharing"",""งบพรบ!GS20"")"),425244)</f>
        <v>425244</v>
      </c>
      <c r="G20" s="151">
        <f ca="1">IFERROR(__xludf.DUMMYFUNCTION("IMPORTRANGE(""https://docs.google.com/spreadsheets/d/1-uDff_7J0KD5mKrp0Vvzr7lt3OU09vwQwhkpOPPYv2Y/edit?usp=sharing"",""งบพรบ!GT20"")"),0)</f>
        <v>0</v>
      </c>
      <c r="H20" s="151">
        <f ca="1">IFERROR(__xludf.DUMMYFUNCTION("IMPORTRANGE(""https://docs.google.com/spreadsheets/d/1-uDff_7J0KD5mKrp0Vvzr7lt3OU09vwQwhkpOPPYv2Y/edit?usp=sharing"",""งบพรบ!GV20"")"),425244)</f>
        <v>425244</v>
      </c>
      <c r="I20" s="151">
        <f ca="1">IFERROR(__xludf.DUMMYFUNCTION("IMPORTRANGE(""https://docs.google.com/spreadsheets/d/1-uDff_7J0KD5mKrp0Vvzr7lt3OU09vwQwhkpOPPYv2Y/edit?usp=sharing"",""งบพรบ!GW20"")"),0)</f>
        <v>0</v>
      </c>
      <c r="J20" s="262">
        <f t="shared" ca="1" si="18"/>
        <v>8980</v>
      </c>
      <c r="K20" s="476">
        <f t="shared" ca="1" si="19"/>
        <v>2.111728795703173</v>
      </c>
      <c r="L20" s="151">
        <f ca="1">IFERROR(__xludf.DUMMYFUNCTION("IMPORTRANGE(""https://docs.google.com/spreadsheets/d/1-uDff_7J0KD5mKrp0Vvzr7lt3OU09vwQwhkpOPPYv2Y/edit?usp=sharing"",""งบพรบ!GX20"")"),8980)</f>
        <v>8980</v>
      </c>
      <c r="M20" s="260">
        <f t="shared" ca="1" si="20"/>
        <v>2.111728795703173</v>
      </c>
      <c r="N20" s="260">
        <f t="shared" ca="1" si="21"/>
        <v>2.111728795703173</v>
      </c>
      <c r="O20" s="151">
        <f ca="1">IFERROR(__xludf.DUMMYFUNCTION("IMPORTRANGE(""https://docs.google.com/spreadsheets/d/1-uDff_7J0KD5mKrp0Vvzr7lt3OU09vwQwhkpOPPYv2Y/edit?usp=sharing"",""งบพรบ!GY20"")"),0)</f>
        <v>0</v>
      </c>
      <c r="P20" s="475">
        <f t="shared" ca="1" si="22"/>
        <v>0</v>
      </c>
      <c r="Q20" s="260">
        <f t="shared" ca="1" si="23"/>
        <v>0</v>
      </c>
      <c r="R20" s="278">
        <f ca="1">IFERROR(__xludf.DUMMYFUNCTION("IMPORTRANGE(""https://docs.google.com/spreadsheets/d/1uu4nAn4Dbi1XREnLKKotUANlKXa7yCgRcgq8HEzQYW8/edit?usp=sharing"",""พะเยา!I586"")"),2)</f>
        <v>2</v>
      </c>
      <c r="S20" s="152">
        <f ca="1">IFERROR(__xludf.DUMMYFUNCTION("IMPORTRANGE(""https://docs.google.com/spreadsheets/d/1uu4nAn4Dbi1XREnLKKotUANlKXa7yCgRcgq8HEzQYW8/edit?usp=sharing"",""พะเยา!J586"")"),0)</f>
        <v>0</v>
      </c>
      <c r="T20" s="216">
        <f t="shared" ca="1" si="25"/>
        <v>0</v>
      </c>
      <c r="U20" s="278">
        <f ca="1">IFERROR(__xludf.DUMMYFUNCTION("IMPORTRANGE(""https://docs.google.com/spreadsheets/d/1uu4nAn4Dbi1XREnLKKotUANlKXa7yCgRcgq8HEzQYW8/edit?usp=sharing"",""พะเยา!I587"")"),7)</f>
        <v>7</v>
      </c>
      <c r="V20" s="152">
        <f ca="1">IFERROR(__xludf.DUMMYFUNCTION("IMPORTRANGE(""https://docs.google.com/spreadsheets/d/1uu4nAn4Dbi1XREnLKKotUANlKXa7yCgRcgq8HEzQYW8/edit?usp=sharing"",""พะเยา!J587"")"),0)</f>
        <v>0</v>
      </c>
      <c r="W20" s="216">
        <f t="shared" ca="1" si="27"/>
        <v>0</v>
      </c>
    </row>
    <row r="21" spans="1:24" ht="19.5" x14ac:dyDescent="0.3">
      <c r="A21" s="147">
        <v>8</v>
      </c>
      <c r="B21" s="148" t="s">
        <v>49</v>
      </c>
      <c r="C21" s="472">
        <f t="shared" ca="1" si="16"/>
        <v>0</v>
      </c>
      <c r="D21" s="473">
        <f t="shared" ca="1" si="28"/>
        <v>0</v>
      </c>
      <c r="E21" s="151">
        <f ca="1">IFERROR(__xludf.DUMMYFUNCTION("IMPORTRANGE(""https://docs.google.com/spreadsheets/d/1-uDff_7J0KD5mKrp0Vvzr7lt3OU09vwQwhkpOPPYv2Y/edit?usp=sharing"",""งบพรบ!GR21"")"),0)</f>
        <v>0</v>
      </c>
      <c r="F21" s="151">
        <f ca="1">IFERROR(__xludf.DUMMYFUNCTION("IMPORTRANGE(""https://docs.google.com/spreadsheets/d/1-uDff_7J0KD5mKrp0Vvzr7lt3OU09vwQwhkpOPPYv2Y/edit?usp=sharing"",""งบพรบ!GS21"")"),0)</f>
        <v>0</v>
      </c>
      <c r="G21" s="151">
        <f ca="1">IFERROR(__xludf.DUMMYFUNCTION("IMPORTRANGE(""https://docs.google.com/spreadsheets/d/1-uDff_7J0KD5mKrp0Vvzr7lt3OU09vwQwhkpOPPYv2Y/edit?usp=sharing"",""งบพรบ!GT21"")"),0)</f>
        <v>0</v>
      </c>
      <c r="H21" s="151">
        <f ca="1">IFERROR(__xludf.DUMMYFUNCTION("IMPORTRANGE(""https://docs.google.com/spreadsheets/d/1-uDff_7J0KD5mKrp0Vvzr7lt3OU09vwQwhkpOPPYv2Y/edit?usp=sharing"",""งบพรบ!GV21"")"),0)</f>
        <v>0</v>
      </c>
      <c r="I21" s="151">
        <f ca="1">IFERROR(__xludf.DUMMYFUNCTION("IMPORTRANGE(""https://docs.google.com/spreadsheets/d/1-uDff_7J0KD5mKrp0Vvzr7lt3OU09vwQwhkpOPPYv2Y/edit?usp=sharing"",""งบพรบ!GW21"")"),0)</f>
        <v>0</v>
      </c>
      <c r="J21" s="262">
        <f t="shared" ca="1" si="18"/>
        <v>0</v>
      </c>
      <c r="K21" s="476">
        <f t="shared" ca="1" si="19"/>
        <v>0</v>
      </c>
      <c r="L21" s="151">
        <f ca="1">IFERROR(__xludf.DUMMYFUNCTION("IMPORTRANGE(""https://docs.google.com/spreadsheets/d/1-uDff_7J0KD5mKrp0Vvzr7lt3OU09vwQwhkpOPPYv2Y/edit?usp=sharing"",""งบพรบ!GX21"")"),0)</f>
        <v>0</v>
      </c>
      <c r="M21" s="260">
        <f t="shared" ca="1" si="20"/>
        <v>0</v>
      </c>
      <c r="N21" s="260">
        <f t="shared" ca="1" si="21"/>
        <v>0</v>
      </c>
      <c r="O21" s="151">
        <f ca="1">IFERROR(__xludf.DUMMYFUNCTION("IMPORTRANGE(""https://docs.google.com/spreadsheets/d/1-uDff_7J0KD5mKrp0Vvzr7lt3OU09vwQwhkpOPPYv2Y/edit?usp=sharing"",""งบพรบ!GY21"")"),0)</f>
        <v>0</v>
      </c>
      <c r="P21" s="475">
        <f t="shared" ca="1" si="22"/>
        <v>0</v>
      </c>
      <c r="Q21" s="260">
        <f t="shared" ca="1" si="23"/>
        <v>0</v>
      </c>
      <c r="R21" s="278">
        <v>0</v>
      </c>
      <c r="S21" s="152">
        <v>0</v>
      </c>
      <c r="T21" s="216">
        <f t="shared" si="25"/>
        <v>0</v>
      </c>
      <c r="U21" s="278">
        <v>0</v>
      </c>
      <c r="V21" s="152">
        <v>0</v>
      </c>
      <c r="W21" s="216">
        <f t="shared" si="27"/>
        <v>0</v>
      </c>
    </row>
    <row r="22" spans="1:24" ht="19.5" x14ac:dyDescent="0.3">
      <c r="A22" s="147">
        <v>9</v>
      </c>
      <c r="B22" s="148" t="s">
        <v>50</v>
      </c>
      <c r="C22" s="472">
        <f t="shared" ca="1" si="16"/>
        <v>0</v>
      </c>
      <c r="D22" s="473">
        <f t="shared" ca="1" si="28"/>
        <v>0</v>
      </c>
      <c r="E22" s="151">
        <f ca="1">IFERROR(__xludf.DUMMYFUNCTION("IMPORTRANGE(""https://docs.google.com/spreadsheets/d/1-uDff_7J0KD5mKrp0Vvzr7lt3OU09vwQwhkpOPPYv2Y/edit?usp=sharing"",""งบพรบ!GR22"")"),0)</f>
        <v>0</v>
      </c>
      <c r="F22" s="151">
        <f ca="1">IFERROR(__xludf.DUMMYFUNCTION("IMPORTRANGE(""https://docs.google.com/spreadsheets/d/1-uDff_7J0KD5mKrp0Vvzr7lt3OU09vwQwhkpOPPYv2Y/edit?usp=sharing"",""งบพรบ!GS22"")"),0)</f>
        <v>0</v>
      </c>
      <c r="G22" s="151">
        <f ca="1">IFERROR(__xludf.DUMMYFUNCTION("IMPORTRANGE(""https://docs.google.com/spreadsheets/d/1-uDff_7J0KD5mKrp0Vvzr7lt3OU09vwQwhkpOPPYv2Y/edit?usp=sharing"",""งบพรบ!GT22"")"),0)</f>
        <v>0</v>
      </c>
      <c r="H22" s="151">
        <f ca="1">IFERROR(__xludf.DUMMYFUNCTION("IMPORTRANGE(""https://docs.google.com/spreadsheets/d/1-uDff_7J0KD5mKrp0Vvzr7lt3OU09vwQwhkpOPPYv2Y/edit?usp=sharing"",""งบพรบ!GV22"")"),0)</f>
        <v>0</v>
      </c>
      <c r="I22" s="151">
        <f ca="1">IFERROR(__xludf.DUMMYFUNCTION("IMPORTRANGE(""https://docs.google.com/spreadsheets/d/1-uDff_7J0KD5mKrp0Vvzr7lt3OU09vwQwhkpOPPYv2Y/edit?usp=sharing"",""งบพรบ!GW22"")"),0)</f>
        <v>0</v>
      </c>
      <c r="J22" s="262">
        <f t="shared" ca="1" si="18"/>
        <v>0</v>
      </c>
      <c r="K22" s="476">
        <f t="shared" ca="1" si="19"/>
        <v>0</v>
      </c>
      <c r="L22" s="151">
        <f ca="1">IFERROR(__xludf.DUMMYFUNCTION("IMPORTRANGE(""https://docs.google.com/spreadsheets/d/1-uDff_7J0KD5mKrp0Vvzr7lt3OU09vwQwhkpOPPYv2Y/edit?usp=sharing"",""งบพรบ!GX22"")"),0)</f>
        <v>0</v>
      </c>
      <c r="M22" s="260">
        <f t="shared" ca="1" si="20"/>
        <v>0</v>
      </c>
      <c r="N22" s="260">
        <f t="shared" ca="1" si="21"/>
        <v>0</v>
      </c>
      <c r="O22" s="151">
        <f ca="1">IFERROR(__xludf.DUMMYFUNCTION("IMPORTRANGE(""https://docs.google.com/spreadsheets/d/1-uDff_7J0KD5mKrp0Vvzr7lt3OU09vwQwhkpOPPYv2Y/edit?usp=sharing"",""งบพรบ!GY22"")"),0)</f>
        <v>0</v>
      </c>
      <c r="P22" s="475">
        <f t="shared" ca="1" si="22"/>
        <v>0</v>
      </c>
      <c r="Q22" s="260">
        <f t="shared" ca="1" si="23"/>
        <v>0</v>
      </c>
      <c r="R22" s="278">
        <v>0</v>
      </c>
      <c r="S22" s="152">
        <v>0</v>
      </c>
      <c r="T22" s="216">
        <f t="shared" si="25"/>
        <v>0</v>
      </c>
      <c r="U22" s="278">
        <v>0</v>
      </c>
      <c r="V22" s="152">
        <v>0</v>
      </c>
      <c r="W22" s="216">
        <f t="shared" si="27"/>
        <v>0</v>
      </c>
    </row>
    <row r="23" spans="1:24" ht="19.5" x14ac:dyDescent="0.3">
      <c r="A23" s="147">
        <v>10</v>
      </c>
      <c r="B23" s="148" t="s">
        <v>51</v>
      </c>
      <c r="C23" s="472">
        <f t="shared" ca="1" si="16"/>
        <v>0</v>
      </c>
      <c r="D23" s="473">
        <f t="shared" ca="1" si="28"/>
        <v>0</v>
      </c>
      <c r="E23" s="151">
        <f ca="1">IFERROR(__xludf.DUMMYFUNCTION("IMPORTRANGE(""https://docs.google.com/spreadsheets/d/1-uDff_7J0KD5mKrp0Vvzr7lt3OU09vwQwhkpOPPYv2Y/edit?usp=sharing"",""งบพรบ!GR23"")"),0)</f>
        <v>0</v>
      </c>
      <c r="F23" s="151">
        <f ca="1">IFERROR(__xludf.DUMMYFUNCTION("IMPORTRANGE(""https://docs.google.com/spreadsheets/d/1-uDff_7J0KD5mKrp0Vvzr7lt3OU09vwQwhkpOPPYv2Y/edit?usp=sharing"",""งบพรบ!GS23"")"),0)</f>
        <v>0</v>
      </c>
      <c r="G23" s="151">
        <f ca="1">IFERROR(__xludf.DUMMYFUNCTION("IMPORTRANGE(""https://docs.google.com/spreadsheets/d/1-uDff_7J0KD5mKrp0Vvzr7lt3OU09vwQwhkpOPPYv2Y/edit?usp=sharing"",""งบพรบ!GT23"")"),0)</f>
        <v>0</v>
      </c>
      <c r="H23" s="151">
        <f ca="1">IFERROR(__xludf.DUMMYFUNCTION("IMPORTRANGE(""https://docs.google.com/spreadsheets/d/1-uDff_7J0KD5mKrp0Vvzr7lt3OU09vwQwhkpOPPYv2Y/edit?usp=sharing"",""งบพรบ!GV23"")"),0)</f>
        <v>0</v>
      </c>
      <c r="I23" s="151">
        <f ca="1">IFERROR(__xludf.DUMMYFUNCTION("IMPORTRANGE(""https://docs.google.com/spreadsheets/d/1-uDff_7J0KD5mKrp0Vvzr7lt3OU09vwQwhkpOPPYv2Y/edit?usp=sharing"",""งบพรบ!GW23"")"),0)</f>
        <v>0</v>
      </c>
      <c r="J23" s="262">
        <f t="shared" ca="1" si="18"/>
        <v>0</v>
      </c>
      <c r="K23" s="476">
        <f t="shared" ca="1" si="19"/>
        <v>0</v>
      </c>
      <c r="L23" s="151">
        <f ca="1">IFERROR(__xludf.DUMMYFUNCTION("IMPORTRANGE(""https://docs.google.com/spreadsheets/d/1-uDff_7J0KD5mKrp0Vvzr7lt3OU09vwQwhkpOPPYv2Y/edit?usp=sharing"",""งบพรบ!GX23"")"),0)</f>
        <v>0</v>
      </c>
      <c r="M23" s="260">
        <f t="shared" ca="1" si="20"/>
        <v>0</v>
      </c>
      <c r="N23" s="260">
        <f t="shared" ca="1" si="21"/>
        <v>0</v>
      </c>
      <c r="O23" s="151">
        <f ca="1">IFERROR(__xludf.DUMMYFUNCTION("IMPORTRANGE(""https://docs.google.com/spreadsheets/d/1-uDff_7J0KD5mKrp0Vvzr7lt3OU09vwQwhkpOPPYv2Y/edit?usp=sharing"",""งบพรบ!GY23"")"),0)</f>
        <v>0</v>
      </c>
      <c r="P23" s="475">
        <f t="shared" ca="1" si="22"/>
        <v>0</v>
      </c>
      <c r="Q23" s="260">
        <f t="shared" ca="1" si="23"/>
        <v>0</v>
      </c>
      <c r="R23" s="279">
        <v>0</v>
      </c>
      <c r="S23" s="397">
        <v>0</v>
      </c>
      <c r="T23" s="216">
        <f t="shared" si="25"/>
        <v>0</v>
      </c>
      <c r="U23" s="279">
        <v>0</v>
      </c>
      <c r="V23" s="397">
        <v>0</v>
      </c>
      <c r="W23" s="216">
        <f t="shared" si="27"/>
        <v>0</v>
      </c>
    </row>
    <row r="24" spans="1:24" ht="19.5" x14ac:dyDescent="0.3">
      <c r="A24" s="147">
        <v>11</v>
      </c>
      <c r="B24" s="148" t="s">
        <v>52</v>
      </c>
      <c r="C24" s="472">
        <f t="shared" ca="1" si="16"/>
        <v>475911</v>
      </c>
      <c r="D24" s="473">
        <f t="shared" ca="1" si="28"/>
        <v>475911</v>
      </c>
      <c r="E24" s="151">
        <f ca="1">IFERROR(__xludf.DUMMYFUNCTION("IMPORTRANGE(""https://docs.google.com/spreadsheets/d/1-uDff_7J0KD5mKrp0Vvzr7lt3OU09vwQwhkpOPPYv2Y/edit?usp=sharing"",""งบพรบ!GR24"")"),0)</f>
        <v>0</v>
      </c>
      <c r="F24" s="151">
        <f ca="1">IFERROR(__xludf.DUMMYFUNCTION("IMPORTRANGE(""https://docs.google.com/spreadsheets/d/1-uDff_7J0KD5mKrp0Vvzr7lt3OU09vwQwhkpOPPYv2Y/edit?usp=sharing"",""งบพรบ!GS24"")"),475911)</f>
        <v>475911</v>
      </c>
      <c r="G24" s="151">
        <f ca="1">IFERROR(__xludf.DUMMYFUNCTION("IMPORTRANGE(""https://docs.google.com/spreadsheets/d/1-uDff_7J0KD5mKrp0Vvzr7lt3OU09vwQwhkpOPPYv2Y/edit?usp=sharing"",""งบพรบ!GT24"")"),0)</f>
        <v>0</v>
      </c>
      <c r="H24" s="151">
        <f ca="1">IFERROR(__xludf.DUMMYFUNCTION("IMPORTRANGE(""https://docs.google.com/spreadsheets/d/1-uDff_7J0KD5mKrp0Vvzr7lt3OU09vwQwhkpOPPYv2Y/edit?usp=sharing"",""งบพรบ!GV24"")"),475911)</f>
        <v>475911</v>
      </c>
      <c r="I24" s="151">
        <f ca="1">IFERROR(__xludf.DUMMYFUNCTION("IMPORTRANGE(""https://docs.google.com/spreadsheets/d/1-uDff_7J0KD5mKrp0Vvzr7lt3OU09vwQwhkpOPPYv2Y/edit?usp=sharing"",""งบพรบ!GW24"")"),0)</f>
        <v>0</v>
      </c>
      <c r="J24" s="262">
        <f t="shared" ca="1" si="18"/>
        <v>182689</v>
      </c>
      <c r="K24" s="476">
        <f t="shared" ca="1" si="19"/>
        <v>38.38721945910055</v>
      </c>
      <c r="L24" s="151">
        <f ca="1">IFERROR(__xludf.DUMMYFUNCTION("IMPORTRANGE(""https://docs.google.com/spreadsheets/d/1-uDff_7J0KD5mKrp0Vvzr7lt3OU09vwQwhkpOPPYv2Y/edit?usp=sharing"",""งบพรบ!GX24"")"),182689)</f>
        <v>182689</v>
      </c>
      <c r="M24" s="260">
        <f t="shared" ca="1" si="20"/>
        <v>38.38721945910055</v>
      </c>
      <c r="N24" s="260">
        <f t="shared" ca="1" si="21"/>
        <v>38.38721945910055</v>
      </c>
      <c r="O24" s="151">
        <f ca="1">IFERROR(__xludf.DUMMYFUNCTION("IMPORTRANGE(""https://docs.google.com/spreadsheets/d/1-uDff_7J0KD5mKrp0Vvzr7lt3OU09vwQwhkpOPPYv2Y/edit?usp=sharing"",""งบพรบ!GY24"")"),0)</f>
        <v>0</v>
      </c>
      <c r="P24" s="475">
        <f t="shared" ca="1" si="22"/>
        <v>0</v>
      </c>
      <c r="Q24" s="260">
        <f t="shared" ca="1" si="23"/>
        <v>0</v>
      </c>
      <c r="R24" s="278">
        <f ca="1">IFERROR(__xludf.DUMMYFUNCTION("IMPORTRANGE(""https://docs.google.com/spreadsheets/d/1lOVebEIsI9qjGXl6EX66luk7wiuP2tBaryw-wKvv4e0/edit?usp=sharing"",""แพร่!I586"")"),6)</f>
        <v>6</v>
      </c>
      <c r="S24" s="152">
        <f ca="1">IFERROR(__xludf.DUMMYFUNCTION("IMPORTRANGE(""https://docs.google.com/spreadsheets/d/1lOVebEIsI9qjGXl6EX66luk7wiuP2tBaryw-wKvv4e0/edit?usp=sharing"",""แพร่!J586"")"),3)</f>
        <v>3</v>
      </c>
      <c r="T24" s="216">
        <f t="shared" ca="1" si="25"/>
        <v>50</v>
      </c>
      <c r="U24" s="278">
        <f ca="1">IFERROR(__xludf.DUMMYFUNCTION("IMPORTRANGE(""https://docs.google.com/spreadsheets/d/1lOVebEIsI9qjGXl6EX66luk7wiuP2tBaryw-wKvv4e0/edit?usp=sharing"",""แพร่!I587"")"),9)</f>
        <v>9</v>
      </c>
      <c r="V24" s="152">
        <f ca="1">IFERROR(__xludf.DUMMYFUNCTION("IMPORTRANGE(""https://docs.google.com/spreadsheets/d/1lOVebEIsI9qjGXl6EX66luk7wiuP2tBaryw-wKvv4e0/edit?usp=sharing"",""แพร่!J587"")"),9)</f>
        <v>9</v>
      </c>
      <c r="W24" s="216">
        <f t="shared" ca="1" si="27"/>
        <v>100</v>
      </c>
    </row>
    <row r="25" spans="1:24" ht="19.5" x14ac:dyDescent="0.3">
      <c r="A25" s="147">
        <v>12</v>
      </c>
      <c r="B25" s="148" t="s">
        <v>53</v>
      </c>
      <c r="C25" s="472">
        <f t="shared" ca="1" si="16"/>
        <v>312195</v>
      </c>
      <c r="D25" s="473">
        <f t="shared" ca="1" si="28"/>
        <v>312195</v>
      </c>
      <c r="E25" s="151">
        <f ca="1">IFERROR(__xludf.DUMMYFUNCTION("IMPORTRANGE(""https://docs.google.com/spreadsheets/d/1-uDff_7J0KD5mKrp0Vvzr7lt3OU09vwQwhkpOPPYv2Y/edit?usp=sharing"",""งบพรบ!GR25"")"),0)</f>
        <v>0</v>
      </c>
      <c r="F25" s="151">
        <f ca="1">IFERROR(__xludf.DUMMYFUNCTION("IMPORTRANGE(""https://docs.google.com/spreadsheets/d/1-uDff_7J0KD5mKrp0Vvzr7lt3OU09vwQwhkpOPPYv2Y/edit?usp=sharing"",""งบพรบ!GS25"")"),312195)</f>
        <v>312195</v>
      </c>
      <c r="G25" s="151">
        <f ca="1">IFERROR(__xludf.DUMMYFUNCTION("IMPORTRANGE(""https://docs.google.com/spreadsheets/d/1-uDff_7J0KD5mKrp0Vvzr7lt3OU09vwQwhkpOPPYv2Y/edit?usp=sharing"",""งบพรบ!GT25"")"),0)</f>
        <v>0</v>
      </c>
      <c r="H25" s="151">
        <f ca="1">IFERROR(__xludf.DUMMYFUNCTION("IMPORTRANGE(""https://docs.google.com/spreadsheets/d/1-uDff_7J0KD5mKrp0Vvzr7lt3OU09vwQwhkpOPPYv2Y/edit?usp=sharing"",""งบพรบ!GV25"")"),312195)</f>
        <v>312195</v>
      </c>
      <c r="I25" s="151">
        <f ca="1">IFERROR(__xludf.DUMMYFUNCTION("IMPORTRANGE(""https://docs.google.com/spreadsheets/d/1-uDff_7J0KD5mKrp0Vvzr7lt3OU09vwQwhkpOPPYv2Y/edit?usp=sharing"",""งบพรบ!GW25"")"),0)</f>
        <v>0</v>
      </c>
      <c r="J25" s="262">
        <f t="shared" ca="1" si="18"/>
        <v>0</v>
      </c>
      <c r="K25" s="476">
        <f t="shared" ca="1" si="19"/>
        <v>0</v>
      </c>
      <c r="L25" s="151">
        <f ca="1">IFERROR(__xludf.DUMMYFUNCTION("IMPORTRANGE(""https://docs.google.com/spreadsheets/d/1-uDff_7J0KD5mKrp0Vvzr7lt3OU09vwQwhkpOPPYv2Y/edit?usp=sharing"",""งบพรบ!GX25"")"),0)</f>
        <v>0</v>
      </c>
      <c r="M25" s="260">
        <f t="shared" ca="1" si="20"/>
        <v>0</v>
      </c>
      <c r="N25" s="260">
        <f t="shared" ca="1" si="21"/>
        <v>0</v>
      </c>
      <c r="O25" s="151">
        <f ca="1">IFERROR(__xludf.DUMMYFUNCTION("IMPORTRANGE(""https://docs.google.com/spreadsheets/d/1-uDff_7J0KD5mKrp0Vvzr7lt3OU09vwQwhkpOPPYv2Y/edit?usp=sharing"",""งบพรบ!GY25"")"),0)</f>
        <v>0</v>
      </c>
      <c r="P25" s="475">
        <f t="shared" ca="1" si="22"/>
        <v>0</v>
      </c>
      <c r="Q25" s="260">
        <f t="shared" ca="1" si="23"/>
        <v>0</v>
      </c>
      <c r="R25" s="278">
        <f ca="1">IFERROR(__xludf.DUMMYFUNCTION("IMPORTRANGE(""https://docs.google.com/spreadsheets/d/1dQrvX0vEcN7Gu0fnZ0B5S90AeR19zth4XlExFBeExMY/edit?usp=sharing"",""แม่ฮ่องสอน!I586"")"),4)</f>
        <v>4</v>
      </c>
      <c r="S25" s="152">
        <f ca="1">IFERROR(__xludf.DUMMYFUNCTION("IMPORTRANGE(""https://docs.google.com/spreadsheets/d/1dQrvX0vEcN7Gu0fnZ0B5S90AeR19zth4XlExFBeExMY/edit?usp=sharing"",""แม่ฮ่องสอน!J586"")"),0)</f>
        <v>0</v>
      </c>
      <c r="T25" s="216">
        <f t="shared" ca="1" si="25"/>
        <v>0</v>
      </c>
      <c r="U25" s="278">
        <f ca="1">IFERROR(__xludf.DUMMYFUNCTION("IMPORTRANGE(""https://docs.google.com/spreadsheets/d/1dQrvX0vEcN7Gu0fnZ0B5S90AeR19zth4XlExFBeExMY/edit?usp=sharing"",""แม่ฮ่องสอน!I587"")"),5)</f>
        <v>5</v>
      </c>
      <c r="V25" s="152">
        <f ca="1">IFERROR(__xludf.DUMMYFUNCTION("IMPORTRANGE(""https://docs.google.com/spreadsheets/d/1dQrvX0vEcN7Gu0fnZ0B5S90AeR19zth4XlExFBeExMY/edit?usp=sharing"",""แม่ฮ่องสอน!J587"")"),0)</f>
        <v>0</v>
      </c>
      <c r="W25" s="216">
        <f t="shared" ca="1" si="27"/>
        <v>0</v>
      </c>
    </row>
    <row r="26" spans="1:24" ht="19.5" x14ac:dyDescent="0.3">
      <c r="A26" s="147">
        <v>13</v>
      </c>
      <c r="B26" s="148" t="s">
        <v>54</v>
      </c>
      <c r="C26" s="472">
        <f t="shared" ca="1" si="16"/>
        <v>569170</v>
      </c>
      <c r="D26" s="473">
        <f t="shared" ca="1" si="28"/>
        <v>569170</v>
      </c>
      <c r="E26" s="151">
        <f ca="1">IFERROR(__xludf.DUMMYFUNCTION("IMPORTRANGE(""https://docs.google.com/spreadsheets/d/1-uDff_7J0KD5mKrp0Vvzr7lt3OU09vwQwhkpOPPYv2Y/edit?usp=sharing"",""งบพรบ!GR26"")"),0)</f>
        <v>0</v>
      </c>
      <c r="F26" s="151">
        <f ca="1">IFERROR(__xludf.DUMMYFUNCTION("IMPORTRANGE(""https://docs.google.com/spreadsheets/d/1-uDff_7J0KD5mKrp0Vvzr7lt3OU09vwQwhkpOPPYv2Y/edit?usp=sharing"",""งบพรบ!GS26"")"),569170)</f>
        <v>569170</v>
      </c>
      <c r="G26" s="151">
        <f ca="1">IFERROR(__xludf.DUMMYFUNCTION("IMPORTRANGE(""https://docs.google.com/spreadsheets/d/1-uDff_7J0KD5mKrp0Vvzr7lt3OU09vwQwhkpOPPYv2Y/edit?usp=sharing"",""งบพรบ!GT26"")"),0)</f>
        <v>0</v>
      </c>
      <c r="H26" s="151">
        <f ca="1">IFERROR(__xludf.DUMMYFUNCTION("IMPORTRANGE(""https://docs.google.com/spreadsheets/d/1-uDff_7J0KD5mKrp0Vvzr7lt3OU09vwQwhkpOPPYv2Y/edit?usp=sharing"",""งบพรบ!GV26"")"),569170)</f>
        <v>569170</v>
      </c>
      <c r="I26" s="151">
        <f ca="1">IFERROR(__xludf.DUMMYFUNCTION("IMPORTRANGE(""https://docs.google.com/spreadsheets/d/1-uDff_7J0KD5mKrp0Vvzr7lt3OU09vwQwhkpOPPYv2Y/edit?usp=sharing"",""งบพรบ!GW26"")"),0)</f>
        <v>0</v>
      </c>
      <c r="J26" s="262">
        <f t="shared" ca="1" si="18"/>
        <v>435358</v>
      </c>
      <c r="K26" s="476">
        <f t="shared" ca="1" si="19"/>
        <v>76.489976632640506</v>
      </c>
      <c r="L26" s="151">
        <f ca="1">IFERROR(__xludf.DUMMYFUNCTION("IMPORTRANGE(""https://docs.google.com/spreadsheets/d/1-uDff_7J0KD5mKrp0Vvzr7lt3OU09vwQwhkpOPPYv2Y/edit?usp=sharing"",""งบพรบ!GX26"")"),435358)</f>
        <v>435358</v>
      </c>
      <c r="M26" s="260">
        <f t="shared" ca="1" si="20"/>
        <v>76.489976632640506</v>
      </c>
      <c r="N26" s="260">
        <f t="shared" ca="1" si="21"/>
        <v>76.489976632640506</v>
      </c>
      <c r="O26" s="151">
        <f ca="1">IFERROR(__xludf.DUMMYFUNCTION("IMPORTRANGE(""https://docs.google.com/spreadsheets/d/1-uDff_7J0KD5mKrp0Vvzr7lt3OU09vwQwhkpOPPYv2Y/edit?usp=sharing"",""งบพรบ!GY26"")"),0)</f>
        <v>0</v>
      </c>
      <c r="P26" s="475">
        <f t="shared" ca="1" si="22"/>
        <v>0</v>
      </c>
      <c r="Q26" s="260">
        <f t="shared" ca="1" si="23"/>
        <v>0</v>
      </c>
      <c r="R26" s="279">
        <f ca="1">IFERROR(__xludf.DUMMYFUNCTION("IMPORTRANGE(""https://docs.google.com/spreadsheets/d/1DY4XTNNwjluuxqdfdn6qvOSlMRrZqUtmYcZR0ttFiG4/edit?usp=sharing"",""ลำปาง!I586"")"),6)</f>
        <v>6</v>
      </c>
      <c r="S26" s="397">
        <f ca="1">IFERROR(__xludf.DUMMYFUNCTION("IMPORTRANGE(""https://docs.google.com/spreadsheets/d/1DY4XTNNwjluuxqdfdn6qvOSlMRrZqUtmYcZR0ttFiG4/edit?usp=sharing"",""ลำปาง!J586"")"),3)</f>
        <v>3</v>
      </c>
      <c r="T26" s="216">
        <f t="shared" ca="1" si="25"/>
        <v>50</v>
      </c>
      <c r="U26" s="279">
        <f ca="1">IFERROR(__xludf.DUMMYFUNCTION("IMPORTRANGE(""https://docs.google.com/spreadsheets/d/1DY4XTNNwjluuxqdfdn6qvOSlMRrZqUtmYcZR0ttFiG4/edit?usp=sharing"",""ลำปาง!I587"")"),10)</f>
        <v>10</v>
      </c>
      <c r="V26" s="397">
        <f ca="1">IFERROR(__xludf.DUMMYFUNCTION("IMPORTRANGE(""https://docs.google.com/spreadsheets/d/1DY4XTNNwjluuxqdfdn6qvOSlMRrZqUtmYcZR0ttFiG4/edit?usp=sharing"",""ลำปาง!J587"")"),10)</f>
        <v>10</v>
      </c>
      <c r="W26" s="216">
        <f t="shared" ca="1" si="27"/>
        <v>100</v>
      </c>
    </row>
    <row r="27" spans="1:24" ht="19.5" x14ac:dyDescent="0.3">
      <c r="A27" s="147">
        <v>14</v>
      </c>
      <c r="B27" s="148" t="s">
        <v>55</v>
      </c>
      <c r="C27" s="472">
        <f t="shared" ca="1" si="16"/>
        <v>0</v>
      </c>
      <c r="D27" s="473">
        <f t="shared" ca="1" si="28"/>
        <v>0</v>
      </c>
      <c r="E27" s="151">
        <f ca="1">IFERROR(__xludf.DUMMYFUNCTION("IMPORTRANGE(""https://docs.google.com/spreadsheets/d/1-uDff_7J0KD5mKrp0Vvzr7lt3OU09vwQwhkpOPPYv2Y/edit?usp=sharing"",""งบพรบ!GR27"")"),0)</f>
        <v>0</v>
      </c>
      <c r="F27" s="151">
        <f ca="1">IFERROR(__xludf.DUMMYFUNCTION("IMPORTRANGE(""https://docs.google.com/spreadsheets/d/1-uDff_7J0KD5mKrp0Vvzr7lt3OU09vwQwhkpOPPYv2Y/edit?usp=sharing"",""งบพรบ!GS27"")"),0)</f>
        <v>0</v>
      </c>
      <c r="G27" s="151">
        <f ca="1">IFERROR(__xludf.DUMMYFUNCTION("IMPORTRANGE(""https://docs.google.com/spreadsheets/d/1-uDff_7J0KD5mKrp0Vvzr7lt3OU09vwQwhkpOPPYv2Y/edit?usp=sharing"",""งบพรบ!GT27"")"),0)</f>
        <v>0</v>
      </c>
      <c r="H27" s="151">
        <f ca="1">IFERROR(__xludf.DUMMYFUNCTION("IMPORTRANGE(""https://docs.google.com/spreadsheets/d/1-uDff_7J0KD5mKrp0Vvzr7lt3OU09vwQwhkpOPPYv2Y/edit?usp=sharing"",""งบพรบ!GV27"")"),0)</f>
        <v>0</v>
      </c>
      <c r="I27" s="151">
        <f ca="1">IFERROR(__xludf.DUMMYFUNCTION("IMPORTRANGE(""https://docs.google.com/spreadsheets/d/1-uDff_7J0KD5mKrp0Vvzr7lt3OU09vwQwhkpOPPYv2Y/edit?usp=sharing"",""งบพรบ!GW27"")"),0)</f>
        <v>0</v>
      </c>
      <c r="J27" s="262">
        <f t="shared" ca="1" si="18"/>
        <v>0</v>
      </c>
      <c r="K27" s="476">
        <f t="shared" ca="1" si="19"/>
        <v>0</v>
      </c>
      <c r="L27" s="151">
        <f ca="1">IFERROR(__xludf.DUMMYFUNCTION("IMPORTRANGE(""https://docs.google.com/spreadsheets/d/1-uDff_7J0KD5mKrp0Vvzr7lt3OU09vwQwhkpOPPYv2Y/edit?usp=sharing"",""งบพรบ!GX27"")"),0)</f>
        <v>0</v>
      </c>
      <c r="M27" s="260">
        <f t="shared" ca="1" si="20"/>
        <v>0</v>
      </c>
      <c r="N27" s="260">
        <f t="shared" ca="1" si="21"/>
        <v>0</v>
      </c>
      <c r="O27" s="151">
        <f ca="1">IFERROR(__xludf.DUMMYFUNCTION("IMPORTRANGE(""https://docs.google.com/spreadsheets/d/1-uDff_7J0KD5mKrp0Vvzr7lt3OU09vwQwhkpOPPYv2Y/edit?usp=sharing"",""งบพรบ!GY27"")"),0)</f>
        <v>0</v>
      </c>
      <c r="P27" s="475">
        <f t="shared" ca="1" si="22"/>
        <v>0</v>
      </c>
      <c r="Q27" s="260">
        <f t="shared" ca="1" si="23"/>
        <v>0</v>
      </c>
      <c r="R27" s="278">
        <v>0</v>
      </c>
      <c r="S27" s="152">
        <v>0</v>
      </c>
      <c r="T27" s="216">
        <f t="shared" si="25"/>
        <v>0</v>
      </c>
      <c r="U27" s="278">
        <v>0</v>
      </c>
      <c r="V27" s="152">
        <v>0</v>
      </c>
      <c r="W27" s="216">
        <f t="shared" si="27"/>
        <v>0</v>
      </c>
    </row>
    <row r="28" spans="1:24" ht="19.5" x14ac:dyDescent="0.3">
      <c r="A28" s="147">
        <v>15</v>
      </c>
      <c r="B28" s="148" t="s">
        <v>56</v>
      </c>
      <c r="C28" s="472">
        <f t="shared" ca="1" si="16"/>
        <v>114578</v>
      </c>
      <c r="D28" s="473">
        <f t="shared" ca="1" si="28"/>
        <v>114578</v>
      </c>
      <c r="E28" s="151">
        <f ca="1">IFERROR(__xludf.DUMMYFUNCTION("IMPORTRANGE(""https://docs.google.com/spreadsheets/d/1-uDff_7J0KD5mKrp0Vvzr7lt3OU09vwQwhkpOPPYv2Y/edit?usp=sharing"",""งบพรบ!GR28"")"),0)</f>
        <v>0</v>
      </c>
      <c r="F28" s="151">
        <f ca="1">IFERROR(__xludf.DUMMYFUNCTION("IMPORTRANGE(""https://docs.google.com/spreadsheets/d/1-uDff_7J0KD5mKrp0Vvzr7lt3OU09vwQwhkpOPPYv2Y/edit?usp=sharing"",""งบพรบ!GS28"")"),114578)</f>
        <v>114578</v>
      </c>
      <c r="G28" s="151">
        <f ca="1">IFERROR(__xludf.DUMMYFUNCTION("IMPORTRANGE(""https://docs.google.com/spreadsheets/d/1-uDff_7J0KD5mKrp0Vvzr7lt3OU09vwQwhkpOPPYv2Y/edit?usp=sharing"",""งบพรบ!GT28"")"),0)</f>
        <v>0</v>
      </c>
      <c r="H28" s="151">
        <f ca="1">IFERROR(__xludf.DUMMYFUNCTION("IMPORTRANGE(""https://docs.google.com/spreadsheets/d/1-uDff_7J0KD5mKrp0Vvzr7lt3OU09vwQwhkpOPPYv2Y/edit?usp=sharing"",""งบพรบ!GV28"")"),114578)</f>
        <v>114578</v>
      </c>
      <c r="I28" s="151">
        <f ca="1">IFERROR(__xludf.DUMMYFUNCTION("IMPORTRANGE(""https://docs.google.com/spreadsheets/d/1-uDff_7J0KD5mKrp0Vvzr7lt3OU09vwQwhkpOPPYv2Y/edit?usp=sharing"",""งบพรบ!GW28"")"),0)</f>
        <v>0</v>
      </c>
      <c r="J28" s="262">
        <f t="shared" ca="1" si="18"/>
        <v>93808</v>
      </c>
      <c r="K28" s="476">
        <f t="shared" ca="1" si="19"/>
        <v>81.872610797884406</v>
      </c>
      <c r="L28" s="151">
        <f ca="1">IFERROR(__xludf.DUMMYFUNCTION("IMPORTRANGE(""https://docs.google.com/spreadsheets/d/1-uDff_7J0KD5mKrp0Vvzr7lt3OU09vwQwhkpOPPYv2Y/edit?usp=sharing"",""งบพรบ!GX28"")"),93808)</f>
        <v>93808</v>
      </c>
      <c r="M28" s="260">
        <f t="shared" ca="1" si="20"/>
        <v>81.872610797884406</v>
      </c>
      <c r="N28" s="260">
        <f t="shared" ca="1" si="21"/>
        <v>81.872610797884406</v>
      </c>
      <c r="O28" s="151">
        <f ca="1">IFERROR(__xludf.DUMMYFUNCTION("IMPORTRANGE(""https://docs.google.com/spreadsheets/d/1-uDff_7J0KD5mKrp0Vvzr7lt3OU09vwQwhkpOPPYv2Y/edit?usp=sharing"",""งบพรบ!GY28"")"),0)</f>
        <v>0</v>
      </c>
      <c r="P28" s="475">
        <f t="shared" ca="1" si="22"/>
        <v>0</v>
      </c>
      <c r="Q28" s="260">
        <f t="shared" ca="1" si="23"/>
        <v>0</v>
      </c>
      <c r="R28" s="278">
        <f ca="1">IFERROR(__xludf.DUMMYFUNCTION("IMPORTRANGE(""https://docs.google.com/spreadsheets/d/1B0f2xJpZUC6Z0xXnqKlZtEPzsf6L84eP1r1Q15seqRM/edit?usp=sharing"",""สุโขทัย!I586"")"),2)</f>
        <v>2</v>
      </c>
      <c r="S28" s="152">
        <f ca="1">IFERROR(__xludf.DUMMYFUNCTION("IMPORTRANGE(""https://docs.google.com/spreadsheets/d/1B0f2xJpZUC6Z0xXnqKlZtEPzsf6L84eP1r1Q15seqRM/edit?usp=sharing"",""สุโขทัย!J586"")"),2)</f>
        <v>2</v>
      </c>
      <c r="T28" s="216">
        <f t="shared" ca="1" si="25"/>
        <v>100</v>
      </c>
      <c r="U28" s="278">
        <f ca="1">IFERROR(__xludf.DUMMYFUNCTION("IMPORTRANGE(""https://docs.google.com/spreadsheets/d/1B0f2xJpZUC6Z0xXnqKlZtEPzsf6L84eP1r1Q15seqRM/edit?usp=sharing"",""สุโขทัย!I587"")"),2)</f>
        <v>2</v>
      </c>
      <c r="V28" s="152">
        <f ca="1">IFERROR(__xludf.DUMMYFUNCTION("IMPORTRANGE(""https://docs.google.com/spreadsheets/d/1B0f2xJpZUC6Z0xXnqKlZtEPzsf6L84eP1r1Q15seqRM/edit?usp=sharing"",""สุโขทัย!J587"")"),2)</f>
        <v>2</v>
      </c>
      <c r="W28" s="216">
        <f t="shared" ca="1" si="27"/>
        <v>100</v>
      </c>
    </row>
    <row r="29" spans="1:24" ht="19.5" x14ac:dyDescent="0.3">
      <c r="A29" s="147">
        <v>16</v>
      </c>
      <c r="B29" s="148" t="s">
        <v>57</v>
      </c>
      <c r="C29" s="472">
        <f t="shared" ca="1" si="16"/>
        <v>0</v>
      </c>
      <c r="D29" s="473">
        <f t="shared" ca="1" si="28"/>
        <v>0</v>
      </c>
      <c r="E29" s="151">
        <f ca="1">IFERROR(__xludf.DUMMYFUNCTION("IMPORTRANGE(""https://docs.google.com/spreadsheets/d/1-uDff_7J0KD5mKrp0Vvzr7lt3OU09vwQwhkpOPPYv2Y/edit?usp=sharing"",""งบพรบ!GR29"")"),0)</f>
        <v>0</v>
      </c>
      <c r="F29" s="151">
        <f ca="1">IFERROR(__xludf.DUMMYFUNCTION("IMPORTRANGE(""https://docs.google.com/spreadsheets/d/1-uDff_7J0KD5mKrp0Vvzr7lt3OU09vwQwhkpOPPYv2Y/edit?usp=sharing"",""งบพรบ!GS29"")"),0)</f>
        <v>0</v>
      </c>
      <c r="G29" s="151">
        <f ca="1">IFERROR(__xludf.DUMMYFUNCTION("IMPORTRANGE(""https://docs.google.com/spreadsheets/d/1-uDff_7J0KD5mKrp0Vvzr7lt3OU09vwQwhkpOPPYv2Y/edit?usp=sharing"",""งบพรบ!GT29"")"),0)</f>
        <v>0</v>
      </c>
      <c r="H29" s="151">
        <f ca="1">IFERROR(__xludf.DUMMYFUNCTION("IMPORTRANGE(""https://docs.google.com/spreadsheets/d/1-uDff_7J0KD5mKrp0Vvzr7lt3OU09vwQwhkpOPPYv2Y/edit?usp=sharing"",""งบพรบ!GV29"")"),0)</f>
        <v>0</v>
      </c>
      <c r="I29" s="151">
        <f ca="1">IFERROR(__xludf.DUMMYFUNCTION("IMPORTRANGE(""https://docs.google.com/spreadsheets/d/1-uDff_7J0KD5mKrp0Vvzr7lt3OU09vwQwhkpOPPYv2Y/edit?usp=sharing"",""งบพรบ!GW29"")"),0)</f>
        <v>0</v>
      </c>
      <c r="J29" s="262">
        <f t="shared" ca="1" si="18"/>
        <v>0</v>
      </c>
      <c r="K29" s="476">
        <f t="shared" ca="1" si="19"/>
        <v>0</v>
      </c>
      <c r="L29" s="151">
        <f ca="1">IFERROR(__xludf.DUMMYFUNCTION("IMPORTRANGE(""https://docs.google.com/spreadsheets/d/1-uDff_7J0KD5mKrp0Vvzr7lt3OU09vwQwhkpOPPYv2Y/edit?usp=sharing"",""งบพรบ!GX29"")"),0)</f>
        <v>0</v>
      </c>
      <c r="M29" s="260">
        <f t="shared" ca="1" si="20"/>
        <v>0</v>
      </c>
      <c r="N29" s="260">
        <f t="shared" ca="1" si="21"/>
        <v>0</v>
      </c>
      <c r="O29" s="151">
        <f ca="1">IFERROR(__xludf.DUMMYFUNCTION("IMPORTRANGE(""https://docs.google.com/spreadsheets/d/1-uDff_7J0KD5mKrp0Vvzr7lt3OU09vwQwhkpOPPYv2Y/edit?usp=sharing"",""งบพรบ!GY29"")"),0)</f>
        <v>0</v>
      </c>
      <c r="P29" s="475">
        <f t="shared" ca="1" si="22"/>
        <v>0</v>
      </c>
      <c r="Q29" s="260">
        <f t="shared" ca="1" si="23"/>
        <v>0</v>
      </c>
      <c r="R29" s="278">
        <v>0</v>
      </c>
      <c r="S29" s="152">
        <v>0</v>
      </c>
      <c r="T29" s="216">
        <f t="shared" si="25"/>
        <v>0</v>
      </c>
      <c r="U29" s="278">
        <v>0</v>
      </c>
      <c r="V29" s="152">
        <v>0</v>
      </c>
      <c r="W29" s="216">
        <f t="shared" si="27"/>
        <v>0</v>
      </c>
    </row>
    <row r="30" spans="1:24" ht="19.5" x14ac:dyDescent="0.3">
      <c r="A30" s="155">
        <v>17</v>
      </c>
      <c r="B30" s="156" t="s">
        <v>58</v>
      </c>
      <c r="C30" s="477">
        <f t="shared" ca="1" si="16"/>
        <v>0</v>
      </c>
      <c r="D30" s="478">
        <f t="shared" ca="1" si="28"/>
        <v>0</v>
      </c>
      <c r="E30" s="159">
        <f ca="1">IFERROR(__xludf.DUMMYFUNCTION("IMPORTRANGE(""https://docs.google.com/spreadsheets/d/1-uDff_7J0KD5mKrp0Vvzr7lt3OU09vwQwhkpOPPYv2Y/edit?usp=sharing"",""งบพรบ!GR30"")"),0)</f>
        <v>0</v>
      </c>
      <c r="F30" s="159">
        <f ca="1">IFERROR(__xludf.DUMMYFUNCTION("IMPORTRANGE(""https://docs.google.com/spreadsheets/d/1-uDff_7J0KD5mKrp0Vvzr7lt3OU09vwQwhkpOPPYv2Y/edit?usp=sharing"",""งบพรบ!GS30"")"),0)</f>
        <v>0</v>
      </c>
      <c r="G30" s="159">
        <f ca="1">IFERROR(__xludf.DUMMYFUNCTION("IMPORTRANGE(""https://docs.google.com/spreadsheets/d/1-uDff_7J0KD5mKrp0Vvzr7lt3OU09vwQwhkpOPPYv2Y/edit?usp=sharing"",""งบพรบ!GT30"")"),0)</f>
        <v>0</v>
      </c>
      <c r="H30" s="159">
        <f ca="1">IFERROR(__xludf.DUMMYFUNCTION("IMPORTRANGE(""https://docs.google.com/spreadsheets/d/1-uDff_7J0KD5mKrp0Vvzr7lt3OU09vwQwhkpOPPYv2Y/edit?usp=sharing"",""งบพรบ!GV30"")"),0)</f>
        <v>0</v>
      </c>
      <c r="I30" s="159">
        <f ca="1">IFERROR(__xludf.DUMMYFUNCTION("IMPORTRANGE(""https://docs.google.com/spreadsheets/d/1-uDff_7J0KD5mKrp0Vvzr7lt3OU09vwQwhkpOPPYv2Y/edit?usp=sharing"",""งบพรบ!GW30"")"),0)</f>
        <v>0</v>
      </c>
      <c r="J30" s="479">
        <f t="shared" ca="1" si="18"/>
        <v>0</v>
      </c>
      <c r="K30" s="480">
        <f t="shared" ca="1" si="19"/>
        <v>0</v>
      </c>
      <c r="L30" s="159">
        <f ca="1">IFERROR(__xludf.DUMMYFUNCTION("IMPORTRANGE(""https://docs.google.com/spreadsheets/d/1-uDff_7J0KD5mKrp0Vvzr7lt3OU09vwQwhkpOPPYv2Y/edit?usp=sharing"",""งบพรบ!GX30"")"),0)</f>
        <v>0</v>
      </c>
      <c r="M30" s="481">
        <f t="shared" ca="1" si="20"/>
        <v>0</v>
      </c>
      <c r="N30" s="481">
        <f t="shared" ca="1" si="21"/>
        <v>0</v>
      </c>
      <c r="O30" s="159">
        <f ca="1">IFERROR(__xludf.DUMMYFUNCTION("IMPORTRANGE(""https://docs.google.com/spreadsheets/d/1-uDff_7J0KD5mKrp0Vvzr7lt3OU09vwQwhkpOPPYv2Y/edit?usp=sharing"",""งบพรบ!GY30"")"),0)</f>
        <v>0</v>
      </c>
      <c r="P30" s="482">
        <f t="shared" ca="1" si="22"/>
        <v>0</v>
      </c>
      <c r="Q30" s="481">
        <f t="shared" ca="1" si="23"/>
        <v>0</v>
      </c>
      <c r="R30" s="280">
        <v>0</v>
      </c>
      <c r="S30" s="191">
        <v>0</v>
      </c>
      <c r="T30" s="218">
        <f t="shared" si="25"/>
        <v>0</v>
      </c>
      <c r="U30" s="280">
        <v>0</v>
      </c>
      <c r="V30" s="191">
        <v>0</v>
      </c>
      <c r="W30" s="218">
        <f t="shared" si="27"/>
        <v>0</v>
      </c>
    </row>
    <row r="31" spans="1:24" ht="19.5" x14ac:dyDescent="0.3">
      <c r="A31" s="696" t="s">
        <v>59</v>
      </c>
      <c r="B31" s="662"/>
      <c r="C31" s="601">
        <f t="shared" ca="1" si="16"/>
        <v>1511166</v>
      </c>
      <c r="D31" s="601">
        <f t="shared" ref="D31:I31" ca="1" si="29">SUM(D32:D51)</f>
        <v>1511166</v>
      </c>
      <c r="E31" s="601">
        <f t="shared" ca="1" si="29"/>
        <v>0</v>
      </c>
      <c r="F31" s="601">
        <f t="shared" ca="1" si="29"/>
        <v>1511166</v>
      </c>
      <c r="G31" s="601">
        <f t="shared" ca="1" si="29"/>
        <v>0</v>
      </c>
      <c r="H31" s="601">
        <f t="shared" ca="1" si="29"/>
        <v>1511166</v>
      </c>
      <c r="I31" s="601">
        <f t="shared" ca="1" si="29"/>
        <v>0</v>
      </c>
      <c r="J31" s="601">
        <f t="shared" ca="1" si="18"/>
        <v>304116</v>
      </c>
      <c r="K31" s="602">
        <f t="shared" ca="1" si="19"/>
        <v>20.124592533182987</v>
      </c>
      <c r="L31" s="601">
        <f ca="1">SUM(L32:L51)</f>
        <v>304116</v>
      </c>
      <c r="M31" s="603">
        <f t="shared" ca="1" si="20"/>
        <v>20.124592533182987</v>
      </c>
      <c r="N31" s="603">
        <f t="shared" ca="1" si="21"/>
        <v>20.124592533182987</v>
      </c>
      <c r="O31" s="604">
        <f ca="1">SUM(O32:O51)</f>
        <v>0</v>
      </c>
      <c r="P31" s="604">
        <f t="shared" ca="1" si="22"/>
        <v>0</v>
      </c>
      <c r="Q31" s="603">
        <f t="shared" ca="1" si="23"/>
        <v>0</v>
      </c>
      <c r="R31" s="282">
        <f t="shared" ref="R31:S31" ca="1" si="30">SUM(R32:R51)</f>
        <v>14</v>
      </c>
      <c r="S31" s="369">
        <f t="shared" ca="1" si="30"/>
        <v>0</v>
      </c>
      <c r="T31" s="94">
        <f t="shared" ca="1" si="25"/>
        <v>0</v>
      </c>
      <c r="U31" s="282">
        <f t="shared" ref="U31:V31" ca="1" si="31">SUM(U32:U51)</f>
        <v>22</v>
      </c>
      <c r="V31" s="369">
        <f t="shared" ca="1" si="31"/>
        <v>5</v>
      </c>
      <c r="W31" s="94">
        <f t="shared" ca="1" si="27"/>
        <v>22.727272727272727</v>
      </c>
      <c r="X31" s="600"/>
    </row>
    <row r="32" spans="1:24" ht="19.5" x14ac:dyDescent="0.3">
      <c r="A32" s="147">
        <v>1</v>
      </c>
      <c r="B32" s="148" t="s">
        <v>60</v>
      </c>
      <c r="C32" s="472">
        <f t="shared" ca="1" si="16"/>
        <v>0</v>
      </c>
      <c r="D32" s="473">
        <f t="shared" ref="D32:D51" ca="1" si="32">+E32+F32</f>
        <v>0</v>
      </c>
      <c r="E32" s="151">
        <f ca="1">IFERROR(__xludf.DUMMYFUNCTION("IMPORTRANGE(""https://docs.google.com/spreadsheets/d/1-uDff_7J0KD5mKrp0Vvzr7lt3OU09vwQwhkpOPPYv2Y/edit?usp=sharing"",""งบพรบ!GR32"")"),0)</f>
        <v>0</v>
      </c>
      <c r="F32" s="151">
        <f ca="1">IFERROR(__xludf.DUMMYFUNCTION("IMPORTRANGE(""https://docs.google.com/spreadsheets/d/1-uDff_7J0KD5mKrp0Vvzr7lt3OU09vwQwhkpOPPYv2Y/edit?usp=sharing"",""งบพรบ!GS32"")"),0)</f>
        <v>0</v>
      </c>
      <c r="G32" s="152">
        <f ca="1">IFERROR(__xludf.DUMMYFUNCTION("IMPORTRANGE(""https://docs.google.com/spreadsheets/d/1-uDff_7J0KD5mKrp0Vvzr7lt3OU09vwQwhkpOPPYv2Y/edit?usp=sharing"",""งบพรบ!GT32"")"),0)</f>
        <v>0</v>
      </c>
      <c r="H32" s="152">
        <f ca="1">IFERROR(__xludf.DUMMYFUNCTION("IMPORTRANGE(""https://docs.google.com/spreadsheets/d/1-uDff_7J0KD5mKrp0Vvzr7lt3OU09vwQwhkpOPPYv2Y/edit?usp=sharing"",""งบพรบ!GV32"")"),0)</f>
        <v>0</v>
      </c>
      <c r="I32" s="152">
        <f ca="1">IFERROR(__xludf.DUMMYFUNCTION("IMPORTRANGE(""https://docs.google.com/spreadsheets/d/1-uDff_7J0KD5mKrp0Vvzr7lt3OU09vwQwhkpOPPYv2Y/edit?usp=sharing"",""งบพรบ!GW32"")"),0)</f>
        <v>0</v>
      </c>
      <c r="J32" s="251">
        <f t="shared" ca="1" si="18"/>
        <v>0</v>
      </c>
      <c r="K32" s="474">
        <f t="shared" ca="1" si="19"/>
        <v>0</v>
      </c>
      <c r="L32" s="152">
        <f ca="1">IFERROR(__xludf.DUMMYFUNCTION("IMPORTRANGE(""https://docs.google.com/spreadsheets/d/1-uDff_7J0KD5mKrp0Vvzr7lt3OU09vwQwhkpOPPYv2Y/edit?usp=sharing"",""งบพรบ!GX32"")"),0)</f>
        <v>0</v>
      </c>
      <c r="M32" s="260">
        <f t="shared" ca="1" si="20"/>
        <v>0</v>
      </c>
      <c r="N32" s="260">
        <f t="shared" ca="1" si="21"/>
        <v>0</v>
      </c>
      <c r="O32" s="151">
        <f ca="1">IFERROR(__xludf.DUMMYFUNCTION("IMPORTRANGE(""https://docs.google.com/spreadsheets/d/1-uDff_7J0KD5mKrp0Vvzr7lt3OU09vwQwhkpOPPYv2Y/edit?usp=sharing"",""งบพรบ!GY32"")"),0)</f>
        <v>0</v>
      </c>
      <c r="P32" s="475">
        <f t="shared" ca="1" si="22"/>
        <v>0</v>
      </c>
      <c r="Q32" s="260">
        <f t="shared" ca="1" si="23"/>
        <v>0</v>
      </c>
      <c r="R32" s="278">
        <v>0</v>
      </c>
      <c r="S32" s="152">
        <v>0</v>
      </c>
      <c r="T32" s="216">
        <f t="shared" si="25"/>
        <v>0</v>
      </c>
      <c r="U32" s="278">
        <v>0</v>
      </c>
      <c r="V32" s="152">
        <v>0</v>
      </c>
      <c r="W32" s="216">
        <f t="shared" si="27"/>
        <v>0</v>
      </c>
    </row>
    <row r="33" spans="1:23" ht="19.5" x14ac:dyDescent="0.3">
      <c r="A33" s="147">
        <v>2</v>
      </c>
      <c r="B33" s="148" t="s">
        <v>61</v>
      </c>
      <c r="C33" s="472">
        <f t="shared" ca="1" si="16"/>
        <v>0</v>
      </c>
      <c r="D33" s="473">
        <f t="shared" ca="1" si="32"/>
        <v>0</v>
      </c>
      <c r="E33" s="151">
        <f ca="1">IFERROR(__xludf.DUMMYFUNCTION("IMPORTRANGE(""https://docs.google.com/spreadsheets/d/1-uDff_7J0KD5mKrp0Vvzr7lt3OU09vwQwhkpOPPYv2Y/edit?usp=sharing"",""งบพรบ!GR33"")"),0)</f>
        <v>0</v>
      </c>
      <c r="F33" s="151">
        <f ca="1">IFERROR(__xludf.DUMMYFUNCTION("IMPORTRANGE(""https://docs.google.com/spreadsheets/d/1-uDff_7J0KD5mKrp0Vvzr7lt3OU09vwQwhkpOPPYv2Y/edit?usp=sharing"",""งบพรบ!GS33"")"),0)</f>
        <v>0</v>
      </c>
      <c r="G33" s="151">
        <f ca="1">IFERROR(__xludf.DUMMYFUNCTION("IMPORTRANGE(""https://docs.google.com/spreadsheets/d/1-uDff_7J0KD5mKrp0Vvzr7lt3OU09vwQwhkpOPPYv2Y/edit?usp=sharing"",""งบพรบ!GT33"")"),0)</f>
        <v>0</v>
      </c>
      <c r="H33" s="151">
        <f ca="1">IFERROR(__xludf.DUMMYFUNCTION("IMPORTRANGE(""https://docs.google.com/spreadsheets/d/1-uDff_7J0KD5mKrp0Vvzr7lt3OU09vwQwhkpOPPYv2Y/edit?usp=sharing"",""งบพรบ!GV33"")"),0)</f>
        <v>0</v>
      </c>
      <c r="I33" s="151">
        <f ca="1">IFERROR(__xludf.DUMMYFUNCTION("IMPORTRANGE(""https://docs.google.com/spreadsheets/d/1-uDff_7J0KD5mKrp0Vvzr7lt3OU09vwQwhkpOPPYv2Y/edit?usp=sharing"",""งบพรบ!GW33"")"),0)</f>
        <v>0</v>
      </c>
      <c r="J33" s="262">
        <f t="shared" ca="1" si="18"/>
        <v>0</v>
      </c>
      <c r="K33" s="476">
        <f t="shared" ca="1" si="19"/>
        <v>0</v>
      </c>
      <c r="L33" s="151">
        <f ca="1">IFERROR(__xludf.DUMMYFUNCTION("IMPORTRANGE(""https://docs.google.com/spreadsheets/d/1-uDff_7J0KD5mKrp0Vvzr7lt3OU09vwQwhkpOPPYv2Y/edit?usp=sharing"",""งบพรบ!GX33"")"),0)</f>
        <v>0</v>
      </c>
      <c r="M33" s="260">
        <f t="shared" ca="1" si="20"/>
        <v>0</v>
      </c>
      <c r="N33" s="260">
        <f t="shared" ca="1" si="21"/>
        <v>0</v>
      </c>
      <c r="O33" s="151">
        <f ca="1">IFERROR(__xludf.DUMMYFUNCTION("IMPORTRANGE(""https://docs.google.com/spreadsheets/d/1-uDff_7J0KD5mKrp0Vvzr7lt3OU09vwQwhkpOPPYv2Y/edit?usp=sharing"",""งบพรบ!GY33"")"),0)</f>
        <v>0</v>
      </c>
      <c r="P33" s="475">
        <f t="shared" ca="1" si="22"/>
        <v>0</v>
      </c>
      <c r="Q33" s="260">
        <f t="shared" ca="1" si="23"/>
        <v>0</v>
      </c>
      <c r="R33" s="278">
        <v>0</v>
      </c>
      <c r="S33" s="152">
        <v>0</v>
      </c>
      <c r="T33" s="216">
        <f t="shared" si="25"/>
        <v>0</v>
      </c>
      <c r="U33" s="278">
        <v>0</v>
      </c>
      <c r="V33" s="152">
        <v>0</v>
      </c>
      <c r="W33" s="216">
        <f t="shared" si="27"/>
        <v>0</v>
      </c>
    </row>
    <row r="34" spans="1:23" ht="19.5" x14ac:dyDescent="0.3">
      <c r="A34" s="147">
        <v>3</v>
      </c>
      <c r="B34" s="148" t="s">
        <v>62</v>
      </c>
      <c r="C34" s="472">
        <f t="shared" ca="1" si="16"/>
        <v>0</v>
      </c>
      <c r="D34" s="473">
        <f t="shared" ca="1" si="32"/>
        <v>0</v>
      </c>
      <c r="E34" s="151">
        <f ca="1">IFERROR(__xludf.DUMMYFUNCTION("IMPORTRANGE(""https://docs.google.com/spreadsheets/d/1-uDff_7J0KD5mKrp0Vvzr7lt3OU09vwQwhkpOPPYv2Y/edit?usp=sharing"",""งบพรบ!GR34"")"),0)</f>
        <v>0</v>
      </c>
      <c r="F34" s="151">
        <f ca="1">IFERROR(__xludf.DUMMYFUNCTION("IMPORTRANGE(""https://docs.google.com/spreadsheets/d/1-uDff_7J0KD5mKrp0Vvzr7lt3OU09vwQwhkpOPPYv2Y/edit?usp=sharing"",""งบพรบ!GS34"")"),0)</f>
        <v>0</v>
      </c>
      <c r="G34" s="151">
        <f ca="1">IFERROR(__xludf.DUMMYFUNCTION("IMPORTRANGE(""https://docs.google.com/spreadsheets/d/1-uDff_7J0KD5mKrp0Vvzr7lt3OU09vwQwhkpOPPYv2Y/edit?usp=sharing"",""งบพรบ!GT34"")"),0)</f>
        <v>0</v>
      </c>
      <c r="H34" s="151">
        <f ca="1">IFERROR(__xludf.DUMMYFUNCTION("IMPORTRANGE(""https://docs.google.com/spreadsheets/d/1-uDff_7J0KD5mKrp0Vvzr7lt3OU09vwQwhkpOPPYv2Y/edit?usp=sharing"",""งบพรบ!GV34"")"),0)</f>
        <v>0</v>
      </c>
      <c r="I34" s="151">
        <f ca="1">IFERROR(__xludf.DUMMYFUNCTION("IMPORTRANGE(""https://docs.google.com/spreadsheets/d/1-uDff_7J0KD5mKrp0Vvzr7lt3OU09vwQwhkpOPPYv2Y/edit?usp=sharing"",""งบพรบ!GW34"")"),0)</f>
        <v>0</v>
      </c>
      <c r="J34" s="262">
        <f t="shared" ca="1" si="18"/>
        <v>0</v>
      </c>
      <c r="K34" s="476">
        <f t="shared" ca="1" si="19"/>
        <v>0</v>
      </c>
      <c r="L34" s="151">
        <f ca="1">IFERROR(__xludf.DUMMYFUNCTION("IMPORTRANGE(""https://docs.google.com/spreadsheets/d/1-uDff_7J0KD5mKrp0Vvzr7lt3OU09vwQwhkpOPPYv2Y/edit?usp=sharing"",""งบพรบ!GX34"")"),0)</f>
        <v>0</v>
      </c>
      <c r="M34" s="260">
        <f t="shared" ca="1" si="20"/>
        <v>0</v>
      </c>
      <c r="N34" s="260">
        <f t="shared" ca="1" si="21"/>
        <v>0</v>
      </c>
      <c r="O34" s="151">
        <f ca="1">IFERROR(__xludf.DUMMYFUNCTION("IMPORTRANGE(""https://docs.google.com/spreadsheets/d/1-uDff_7J0KD5mKrp0Vvzr7lt3OU09vwQwhkpOPPYv2Y/edit?usp=sharing"",""งบพรบ!GY34"")"),0)</f>
        <v>0</v>
      </c>
      <c r="P34" s="475">
        <f t="shared" ca="1" si="22"/>
        <v>0</v>
      </c>
      <c r="Q34" s="260">
        <f t="shared" ca="1" si="23"/>
        <v>0</v>
      </c>
      <c r="R34" s="278">
        <v>0</v>
      </c>
      <c r="S34" s="152">
        <v>0</v>
      </c>
      <c r="T34" s="216">
        <f t="shared" si="25"/>
        <v>0</v>
      </c>
      <c r="U34" s="278">
        <v>0</v>
      </c>
      <c r="V34" s="152">
        <v>0</v>
      </c>
      <c r="W34" s="216">
        <f t="shared" si="27"/>
        <v>0</v>
      </c>
    </row>
    <row r="35" spans="1:23" ht="19.5" x14ac:dyDescent="0.3">
      <c r="A35" s="147">
        <v>4</v>
      </c>
      <c r="B35" s="148" t="s">
        <v>63</v>
      </c>
      <c r="C35" s="472">
        <f t="shared" ca="1" si="16"/>
        <v>0</v>
      </c>
      <c r="D35" s="473">
        <f t="shared" ca="1" si="32"/>
        <v>0</v>
      </c>
      <c r="E35" s="151">
        <f ca="1">IFERROR(__xludf.DUMMYFUNCTION("IMPORTRANGE(""https://docs.google.com/spreadsheets/d/1-uDff_7J0KD5mKrp0Vvzr7lt3OU09vwQwhkpOPPYv2Y/edit?usp=sharing"",""งบพรบ!GR35"")"),0)</f>
        <v>0</v>
      </c>
      <c r="F35" s="151">
        <f ca="1">IFERROR(__xludf.DUMMYFUNCTION("IMPORTRANGE(""https://docs.google.com/spreadsheets/d/1-uDff_7J0KD5mKrp0Vvzr7lt3OU09vwQwhkpOPPYv2Y/edit?usp=sharing"",""งบพรบ!GS35"")"),0)</f>
        <v>0</v>
      </c>
      <c r="G35" s="151">
        <f ca="1">IFERROR(__xludf.DUMMYFUNCTION("IMPORTRANGE(""https://docs.google.com/spreadsheets/d/1-uDff_7J0KD5mKrp0Vvzr7lt3OU09vwQwhkpOPPYv2Y/edit?usp=sharing"",""งบพรบ!GT35"")"),0)</f>
        <v>0</v>
      </c>
      <c r="H35" s="151">
        <f ca="1">IFERROR(__xludf.DUMMYFUNCTION("IMPORTRANGE(""https://docs.google.com/spreadsheets/d/1-uDff_7J0KD5mKrp0Vvzr7lt3OU09vwQwhkpOPPYv2Y/edit?usp=sharing"",""งบพรบ!GV35"")"),0)</f>
        <v>0</v>
      </c>
      <c r="I35" s="151">
        <f ca="1">IFERROR(__xludf.DUMMYFUNCTION("IMPORTRANGE(""https://docs.google.com/spreadsheets/d/1-uDff_7J0KD5mKrp0Vvzr7lt3OU09vwQwhkpOPPYv2Y/edit?usp=sharing"",""งบพรบ!GW35"")"),0)</f>
        <v>0</v>
      </c>
      <c r="J35" s="262">
        <f t="shared" ca="1" si="18"/>
        <v>0</v>
      </c>
      <c r="K35" s="476">
        <f t="shared" ca="1" si="19"/>
        <v>0</v>
      </c>
      <c r="L35" s="151">
        <f ca="1">IFERROR(__xludf.DUMMYFUNCTION("IMPORTRANGE(""https://docs.google.com/spreadsheets/d/1-uDff_7J0KD5mKrp0Vvzr7lt3OU09vwQwhkpOPPYv2Y/edit?usp=sharing"",""งบพรบ!GX35"")"),0)</f>
        <v>0</v>
      </c>
      <c r="M35" s="260">
        <f t="shared" ca="1" si="20"/>
        <v>0</v>
      </c>
      <c r="N35" s="260">
        <f t="shared" ca="1" si="21"/>
        <v>0</v>
      </c>
      <c r="O35" s="151">
        <f ca="1">IFERROR(__xludf.DUMMYFUNCTION("IMPORTRANGE(""https://docs.google.com/spreadsheets/d/1-uDff_7J0KD5mKrp0Vvzr7lt3OU09vwQwhkpOPPYv2Y/edit?usp=sharing"",""งบพรบ!GY35"")"),0)</f>
        <v>0</v>
      </c>
      <c r="P35" s="475">
        <f t="shared" ca="1" si="22"/>
        <v>0</v>
      </c>
      <c r="Q35" s="260">
        <f t="shared" ca="1" si="23"/>
        <v>0</v>
      </c>
      <c r="R35" s="278">
        <v>0</v>
      </c>
      <c r="S35" s="152">
        <v>0</v>
      </c>
      <c r="T35" s="216">
        <f t="shared" si="25"/>
        <v>0</v>
      </c>
      <c r="U35" s="278">
        <v>0</v>
      </c>
      <c r="V35" s="152">
        <v>0</v>
      </c>
      <c r="W35" s="216">
        <f t="shared" si="27"/>
        <v>0</v>
      </c>
    </row>
    <row r="36" spans="1:23" ht="19.5" x14ac:dyDescent="0.3">
      <c r="A36" s="147">
        <v>5</v>
      </c>
      <c r="B36" s="148" t="s">
        <v>64</v>
      </c>
      <c r="C36" s="472">
        <f t="shared" ca="1" si="16"/>
        <v>271908</v>
      </c>
      <c r="D36" s="473">
        <f t="shared" ca="1" si="32"/>
        <v>271908</v>
      </c>
      <c r="E36" s="151">
        <f ca="1">IFERROR(__xludf.DUMMYFUNCTION("IMPORTRANGE(""https://docs.google.com/spreadsheets/d/1-uDff_7J0KD5mKrp0Vvzr7lt3OU09vwQwhkpOPPYv2Y/edit?usp=sharing"",""งบพรบ!GR36"")"),0)</f>
        <v>0</v>
      </c>
      <c r="F36" s="151">
        <f ca="1">IFERROR(__xludf.DUMMYFUNCTION("IMPORTRANGE(""https://docs.google.com/spreadsheets/d/1-uDff_7J0KD5mKrp0Vvzr7lt3OU09vwQwhkpOPPYv2Y/edit?usp=sharing"",""งบพรบ!GS36"")"),271908)</f>
        <v>271908</v>
      </c>
      <c r="G36" s="151">
        <f ca="1">IFERROR(__xludf.DUMMYFUNCTION("IMPORTRANGE(""https://docs.google.com/spreadsheets/d/1-uDff_7J0KD5mKrp0Vvzr7lt3OU09vwQwhkpOPPYv2Y/edit?usp=sharing"",""งบพรบ!GT36"")"),0)</f>
        <v>0</v>
      </c>
      <c r="H36" s="151">
        <f ca="1">IFERROR(__xludf.DUMMYFUNCTION("IMPORTRANGE(""https://docs.google.com/spreadsheets/d/1-uDff_7J0KD5mKrp0Vvzr7lt3OU09vwQwhkpOPPYv2Y/edit?usp=sharing"",""งบพรบ!GV36"")"),271908)</f>
        <v>271908</v>
      </c>
      <c r="I36" s="151">
        <f ca="1">IFERROR(__xludf.DUMMYFUNCTION("IMPORTRANGE(""https://docs.google.com/spreadsheets/d/1-uDff_7J0KD5mKrp0Vvzr7lt3OU09vwQwhkpOPPYv2Y/edit?usp=sharing"",""งบพรบ!GW36"")"),0)</f>
        <v>0</v>
      </c>
      <c r="J36" s="262">
        <f t="shared" ca="1" si="18"/>
        <v>234756</v>
      </c>
      <c r="K36" s="476">
        <f t="shared" ca="1" si="19"/>
        <v>86.336555011253807</v>
      </c>
      <c r="L36" s="151">
        <f ca="1">IFERROR(__xludf.DUMMYFUNCTION("IMPORTRANGE(""https://docs.google.com/spreadsheets/d/1-uDff_7J0KD5mKrp0Vvzr7lt3OU09vwQwhkpOPPYv2Y/edit?usp=sharing"",""งบพรบ!GX36"")"),234756)</f>
        <v>234756</v>
      </c>
      <c r="M36" s="260">
        <f t="shared" ca="1" si="20"/>
        <v>86.336555011253807</v>
      </c>
      <c r="N36" s="260">
        <f t="shared" ca="1" si="21"/>
        <v>86.336555011253807</v>
      </c>
      <c r="O36" s="151">
        <f ca="1">IFERROR(__xludf.DUMMYFUNCTION("IMPORTRANGE(""https://docs.google.com/spreadsheets/d/1-uDff_7J0KD5mKrp0Vvzr7lt3OU09vwQwhkpOPPYv2Y/edit?usp=sharing"",""งบพรบ!GY36"")"),0)</f>
        <v>0</v>
      </c>
      <c r="P36" s="475">
        <f t="shared" ca="1" si="22"/>
        <v>0</v>
      </c>
      <c r="Q36" s="260">
        <f t="shared" ca="1" si="23"/>
        <v>0</v>
      </c>
      <c r="R36" s="279">
        <f ca="1">IFERROR(__xludf.DUMMYFUNCTION("IMPORTRANGE(""https://docs.google.com/spreadsheets/d/1Mnpb-8PYAgn85W6KOTD40hc_Xc55CaLfHoGAbrZ8tls/edit?usp=sharing"",""นครราชสีมา!I586"")"),2)</f>
        <v>2</v>
      </c>
      <c r="S36" s="397">
        <f ca="1">IFERROR(__xludf.DUMMYFUNCTION("IMPORTRANGE(""https://docs.google.com/spreadsheets/d/1Mnpb-8PYAgn85W6KOTD40hc_Xc55CaLfHoGAbrZ8tls/edit?usp=sharing"",""นครราชสีมา!J586"")"),0)</f>
        <v>0</v>
      </c>
      <c r="T36" s="216">
        <f t="shared" ca="1" si="25"/>
        <v>0</v>
      </c>
      <c r="U36" s="279">
        <f ca="1">IFERROR(__xludf.DUMMYFUNCTION("IMPORTRANGE(""https://docs.google.com/spreadsheets/d/1Mnpb-8PYAgn85W6KOTD40hc_Xc55CaLfHoGAbrZ8tls/edit?usp=sharing"",""นครราชสีมา!I587"")"),4)</f>
        <v>4</v>
      </c>
      <c r="V36" s="397">
        <f ca="1">IFERROR(__xludf.DUMMYFUNCTION("IMPORTRANGE(""https://docs.google.com/spreadsheets/d/1Mnpb-8PYAgn85W6KOTD40hc_Xc55CaLfHoGAbrZ8tls/edit?usp=sharing"",""นครราชสีมา!J587"")"),4)</f>
        <v>4</v>
      </c>
      <c r="W36" s="216">
        <f t="shared" ca="1" si="27"/>
        <v>100</v>
      </c>
    </row>
    <row r="37" spans="1:23" ht="19.5" x14ac:dyDescent="0.3">
      <c r="A37" s="147">
        <v>6</v>
      </c>
      <c r="B37" s="148" t="s">
        <v>65</v>
      </c>
      <c r="C37" s="472">
        <f t="shared" ca="1" si="16"/>
        <v>0</v>
      </c>
      <c r="D37" s="473">
        <f t="shared" ca="1" si="32"/>
        <v>0</v>
      </c>
      <c r="E37" s="151">
        <f ca="1">IFERROR(__xludf.DUMMYFUNCTION("IMPORTRANGE(""https://docs.google.com/spreadsheets/d/1-uDff_7J0KD5mKrp0Vvzr7lt3OU09vwQwhkpOPPYv2Y/edit?usp=sharing"",""งบพรบ!GR37"")"),0)</f>
        <v>0</v>
      </c>
      <c r="F37" s="151">
        <f ca="1">IFERROR(__xludf.DUMMYFUNCTION("IMPORTRANGE(""https://docs.google.com/spreadsheets/d/1-uDff_7J0KD5mKrp0Vvzr7lt3OU09vwQwhkpOPPYv2Y/edit?usp=sharing"",""งบพรบ!GS37"")"),0)</f>
        <v>0</v>
      </c>
      <c r="G37" s="151">
        <f ca="1">IFERROR(__xludf.DUMMYFUNCTION("IMPORTRANGE(""https://docs.google.com/spreadsheets/d/1-uDff_7J0KD5mKrp0Vvzr7lt3OU09vwQwhkpOPPYv2Y/edit?usp=sharing"",""งบพรบ!GT37"")"),0)</f>
        <v>0</v>
      </c>
      <c r="H37" s="151">
        <f ca="1">IFERROR(__xludf.DUMMYFUNCTION("IMPORTRANGE(""https://docs.google.com/spreadsheets/d/1-uDff_7J0KD5mKrp0Vvzr7lt3OU09vwQwhkpOPPYv2Y/edit?usp=sharing"",""งบพรบ!GV37"")"),0)</f>
        <v>0</v>
      </c>
      <c r="I37" s="151">
        <f ca="1">IFERROR(__xludf.DUMMYFUNCTION("IMPORTRANGE(""https://docs.google.com/spreadsheets/d/1-uDff_7J0KD5mKrp0Vvzr7lt3OU09vwQwhkpOPPYv2Y/edit?usp=sharing"",""งบพรบ!GW37"")"),0)</f>
        <v>0</v>
      </c>
      <c r="J37" s="262">
        <f t="shared" ca="1" si="18"/>
        <v>0</v>
      </c>
      <c r="K37" s="476">
        <f t="shared" ca="1" si="19"/>
        <v>0</v>
      </c>
      <c r="L37" s="151">
        <f ca="1">IFERROR(__xludf.DUMMYFUNCTION("IMPORTRANGE(""https://docs.google.com/spreadsheets/d/1-uDff_7J0KD5mKrp0Vvzr7lt3OU09vwQwhkpOPPYv2Y/edit?usp=sharing"",""งบพรบ!GX37"")"),0)</f>
        <v>0</v>
      </c>
      <c r="M37" s="260">
        <f t="shared" ca="1" si="20"/>
        <v>0</v>
      </c>
      <c r="N37" s="260">
        <f t="shared" ca="1" si="21"/>
        <v>0</v>
      </c>
      <c r="O37" s="151">
        <f ca="1">IFERROR(__xludf.DUMMYFUNCTION("IMPORTRANGE(""https://docs.google.com/spreadsheets/d/1-uDff_7J0KD5mKrp0Vvzr7lt3OU09vwQwhkpOPPYv2Y/edit?usp=sharing"",""งบพรบ!GY37"")"),0)</f>
        <v>0</v>
      </c>
      <c r="P37" s="475">
        <f t="shared" ca="1" si="22"/>
        <v>0</v>
      </c>
      <c r="Q37" s="260">
        <f t="shared" ca="1" si="23"/>
        <v>0</v>
      </c>
      <c r="R37" s="278">
        <v>0</v>
      </c>
      <c r="S37" s="152">
        <v>0</v>
      </c>
      <c r="T37" s="216">
        <f t="shared" si="25"/>
        <v>0</v>
      </c>
      <c r="U37" s="278">
        <v>0</v>
      </c>
      <c r="V37" s="152">
        <v>0</v>
      </c>
      <c r="W37" s="216">
        <f t="shared" si="27"/>
        <v>0</v>
      </c>
    </row>
    <row r="38" spans="1:23" ht="19.5" x14ac:dyDescent="0.3">
      <c r="A38" s="147">
        <v>7</v>
      </c>
      <c r="B38" s="148" t="s">
        <v>66</v>
      </c>
      <c r="C38" s="472">
        <f t="shared" ca="1" si="16"/>
        <v>308814</v>
      </c>
      <c r="D38" s="473">
        <f t="shared" ca="1" si="32"/>
        <v>308814</v>
      </c>
      <c r="E38" s="151">
        <f ca="1">IFERROR(__xludf.DUMMYFUNCTION("IMPORTRANGE(""https://docs.google.com/spreadsheets/d/1-uDff_7J0KD5mKrp0Vvzr7lt3OU09vwQwhkpOPPYv2Y/edit?usp=sharing"",""งบพรบ!GR38"")"),0)</f>
        <v>0</v>
      </c>
      <c r="F38" s="151">
        <f ca="1">IFERROR(__xludf.DUMMYFUNCTION("IMPORTRANGE(""https://docs.google.com/spreadsheets/d/1-uDff_7J0KD5mKrp0Vvzr7lt3OU09vwQwhkpOPPYv2Y/edit?usp=sharing"",""งบพรบ!GS38"")"),308814)</f>
        <v>308814</v>
      </c>
      <c r="G38" s="151">
        <f ca="1">IFERROR(__xludf.DUMMYFUNCTION("IMPORTRANGE(""https://docs.google.com/spreadsheets/d/1-uDff_7J0KD5mKrp0Vvzr7lt3OU09vwQwhkpOPPYv2Y/edit?usp=sharing"",""งบพรบ!GT38"")"),0)</f>
        <v>0</v>
      </c>
      <c r="H38" s="151">
        <f ca="1">IFERROR(__xludf.DUMMYFUNCTION("IMPORTRANGE(""https://docs.google.com/spreadsheets/d/1-uDff_7J0KD5mKrp0Vvzr7lt3OU09vwQwhkpOPPYv2Y/edit?usp=sharing"",""งบพรบ!GV38"")"),308814)</f>
        <v>308814</v>
      </c>
      <c r="I38" s="151">
        <f ca="1">IFERROR(__xludf.DUMMYFUNCTION("IMPORTRANGE(""https://docs.google.com/spreadsheets/d/1-uDff_7J0KD5mKrp0Vvzr7lt3OU09vwQwhkpOPPYv2Y/edit?usp=sharing"",""งบพรบ!GW38"")"),0)</f>
        <v>0</v>
      </c>
      <c r="J38" s="262">
        <f t="shared" ca="1" si="18"/>
        <v>11860</v>
      </c>
      <c r="K38" s="476">
        <f t="shared" ca="1" si="19"/>
        <v>3.8404994592214083</v>
      </c>
      <c r="L38" s="151">
        <f ca="1">IFERROR(__xludf.DUMMYFUNCTION("IMPORTRANGE(""https://docs.google.com/spreadsheets/d/1-uDff_7J0KD5mKrp0Vvzr7lt3OU09vwQwhkpOPPYv2Y/edit?usp=sharing"",""งบพรบ!GX38"")"),11860)</f>
        <v>11860</v>
      </c>
      <c r="M38" s="260">
        <f t="shared" ca="1" si="20"/>
        <v>3.8404994592214083</v>
      </c>
      <c r="N38" s="260">
        <f t="shared" ca="1" si="21"/>
        <v>3.8404994592214083</v>
      </c>
      <c r="O38" s="151">
        <f ca="1">IFERROR(__xludf.DUMMYFUNCTION("IMPORTRANGE(""https://docs.google.com/spreadsheets/d/1-uDff_7J0KD5mKrp0Vvzr7lt3OU09vwQwhkpOPPYv2Y/edit?usp=sharing"",""งบพรบ!GY38"")"),0)</f>
        <v>0</v>
      </c>
      <c r="P38" s="475">
        <f t="shared" ca="1" si="22"/>
        <v>0</v>
      </c>
      <c r="Q38" s="260">
        <f t="shared" ca="1" si="23"/>
        <v>0</v>
      </c>
      <c r="R38" s="279">
        <f ca="1">IFERROR(__xludf.DUMMYFUNCTION("IMPORTRANGE(""https://docs.google.com/spreadsheets/d/1MMPq-JyI6DSgQETxuSiXkesP-P7JHuemnE6QJIa-Nlw/edit?usp=sharing"",""บุรีรัมย์!I586"")"),2)</f>
        <v>2</v>
      </c>
      <c r="S38" s="397">
        <f ca="1">IFERROR(__xludf.DUMMYFUNCTION("IMPORTRANGE(""https://docs.google.com/spreadsheets/d/1MMPq-JyI6DSgQETxuSiXkesP-P7JHuemnE6QJIa-Nlw/edit?usp=sharing"",""บุรีรัมย์!J586"")"),0)</f>
        <v>0</v>
      </c>
      <c r="T38" s="216">
        <f t="shared" ca="1" si="25"/>
        <v>0</v>
      </c>
      <c r="U38" s="279">
        <f ca="1">IFERROR(__xludf.DUMMYFUNCTION("IMPORTRANGE(""https://docs.google.com/spreadsheets/d/1MMPq-JyI6DSgQETxuSiXkesP-P7JHuemnE6QJIa-Nlw/edit?usp=sharing"",""บุรีรัมย์!I587"")"),6)</f>
        <v>6</v>
      </c>
      <c r="V38" s="397">
        <f ca="1">IFERROR(__xludf.DUMMYFUNCTION("IMPORTRANGE(""https://docs.google.com/spreadsheets/d/1MMPq-JyI6DSgQETxuSiXkesP-P7JHuemnE6QJIa-Nlw/edit?usp=sharing"",""บุรีรัมย์!J587"")"),0)</f>
        <v>0</v>
      </c>
      <c r="W38" s="216">
        <f t="shared" ca="1" si="27"/>
        <v>0</v>
      </c>
    </row>
    <row r="39" spans="1:23" ht="19.5" x14ac:dyDescent="0.3">
      <c r="A39" s="147">
        <v>8</v>
      </c>
      <c r="B39" s="148" t="s">
        <v>67</v>
      </c>
      <c r="C39" s="472">
        <f t="shared" ca="1" si="16"/>
        <v>0</v>
      </c>
      <c r="D39" s="473">
        <f t="shared" ca="1" si="32"/>
        <v>0</v>
      </c>
      <c r="E39" s="151">
        <f ca="1">IFERROR(__xludf.DUMMYFUNCTION("IMPORTRANGE(""https://docs.google.com/spreadsheets/d/1-uDff_7J0KD5mKrp0Vvzr7lt3OU09vwQwhkpOPPYv2Y/edit?usp=sharing"",""งบพรบ!GR39"")"),0)</f>
        <v>0</v>
      </c>
      <c r="F39" s="151">
        <f ca="1">IFERROR(__xludf.DUMMYFUNCTION("IMPORTRANGE(""https://docs.google.com/spreadsheets/d/1-uDff_7J0KD5mKrp0Vvzr7lt3OU09vwQwhkpOPPYv2Y/edit?usp=sharing"",""งบพรบ!GS39"")"),0)</f>
        <v>0</v>
      </c>
      <c r="G39" s="151">
        <f ca="1">IFERROR(__xludf.DUMMYFUNCTION("IMPORTRANGE(""https://docs.google.com/spreadsheets/d/1-uDff_7J0KD5mKrp0Vvzr7lt3OU09vwQwhkpOPPYv2Y/edit?usp=sharing"",""งบพรบ!GT39"")"),0)</f>
        <v>0</v>
      </c>
      <c r="H39" s="151">
        <f ca="1">IFERROR(__xludf.DUMMYFUNCTION("IMPORTRANGE(""https://docs.google.com/spreadsheets/d/1-uDff_7J0KD5mKrp0Vvzr7lt3OU09vwQwhkpOPPYv2Y/edit?usp=sharing"",""งบพรบ!GV39"")"),0)</f>
        <v>0</v>
      </c>
      <c r="I39" s="151">
        <f ca="1">IFERROR(__xludf.DUMMYFUNCTION("IMPORTRANGE(""https://docs.google.com/spreadsheets/d/1-uDff_7J0KD5mKrp0Vvzr7lt3OU09vwQwhkpOPPYv2Y/edit?usp=sharing"",""งบพรบ!GW39"")"),0)</f>
        <v>0</v>
      </c>
      <c r="J39" s="262">
        <f t="shared" ca="1" si="18"/>
        <v>0</v>
      </c>
      <c r="K39" s="476">
        <f t="shared" ca="1" si="19"/>
        <v>0</v>
      </c>
      <c r="L39" s="151">
        <f ca="1">IFERROR(__xludf.DUMMYFUNCTION("IMPORTRANGE(""https://docs.google.com/spreadsheets/d/1-uDff_7J0KD5mKrp0Vvzr7lt3OU09vwQwhkpOPPYv2Y/edit?usp=sharing"",""งบพรบ!GX39"")"),0)</f>
        <v>0</v>
      </c>
      <c r="M39" s="260">
        <f t="shared" ca="1" si="20"/>
        <v>0</v>
      </c>
      <c r="N39" s="260">
        <f t="shared" ca="1" si="21"/>
        <v>0</v>
      </c>
      <c r="O39" s="151">
        <f ca="1">IFERROR(__xludf.DUMMYFUNCTION("IMPORTRANGE(""https://docs.google.com/spreadsheets/d/1-uDff_7J0KD5mKrp0Vvzr7lt3OU09vwQwhkpOPPYv2Y/edit?usp=sharing"",""งบพรบ!GY39"")"),0)</f>
        <v>0</v>
      </c>
      <c r="P39" s="475">
        <f t="shared" ca="1" si="22"/>
        <v>0</v>
      </c>
      <c r="Q39" s="260">
        <f t="shared" ca="1" si="23"/>
        <v>0</v>
      </c>
      <c r="R39" s="278">
        <v>0</v>
      </c>
      <c r="S39" s="152">
        <v>0</v>
      </c>
      <c r="T39" s="216">
        <f t="shared" si="25"/>
        <v>0</v>
      </c>
      <c r="U39" s="278">
        <v>0</v>
      </c>
      <c r="V39" s="152">
        <v>0</v>
      </c>
      <c r="W39" s="216">
        <f t="shared" si="27"/>
        <v>0</v>
      </c>
    </row>
    <row r="40" spans="1:23" ht="19.5" x14ac:dyDescent="0.3">
      <c r="A40" s="147">
        <v>9</v>
      </c>
      <c r="B40" s="148" t="s">
        <v>68</v>
      </c>
      <c r="C40" s="472">
        <f t="shared" ca="1" si="16"/>
        <v>0</v>
      </c>
      <c r="D40" s="473">
        <f t="shared" ca="1" si="32"/>
        <v>0</v>
      </c>
      <c r="E40" s="151">
        <f ca="1">IFERROR(__xludf.DUMMYFUNCTION("IMPORTRANGE(""https://docs.google.com/spreadsheets/d/1-uDff_7J0KD5mKrp0Vvzr7lt3OU09vwQwhkpOPPYv2Y/edit?usp=sharing"",""งบพรบ!GR40"")"),0)</f>
        <v>0</v>
      </c>
      <c r="F40" s="151">
        <f ca="1">IFERROR(__xludf.DUMMYFUNCTION("IMPORTRANGE(""https://docs.google.com/spreadsheets/d/1-uDff_7J0KD5mKrp0Vvzr7lt3OU09vwQwhkpOPPYv2Y/edit?usp=sharing"",""งบพรบ!GS40"")"),0)</f>
        <v>0</v>
      </c>
      <c r="G40" s="151">
        <f ca="1">IFERROR(__xludf.DUMMYFUNCTION("IMPORTRANGE(""https://docs.google.com/spreadsheets/d/1-uDff_7J0KD5mKrp0Vvzr7lt3OU09vwQwhkpOPPYv2Y/edit?usp=sharing"",""งบพรบ!GT40"")"),0)</f>
        <v>0</v>
      </c>
      <c r="H40" s="151">
        <f ca="1">IFERROR(__xludf.DUMMYFUNCTION("IMPORTRANGE(""https://docs.google.com/spreadsheets/d/1-uDff_7J0KD5mKrp0Vvzr7lt3OU09vwQwhkpOPPYv2Y/edit?usp=sharing"",""งบพรบ!GV40"")"),0)</f>
        <v>0</v>
      </c>
      <c r="I40" s="151">
        <f ca="1">IFERROR(__xludf.DUMMYFUNCTION("IMPORTRANGE(""https://docs.google.com/spreadsheets/d/1-uDff_7J0KD5mKrp0Vvzr7lt3OU09vwQwhkpOPPYv2Y/edit?usp=sharing"",""งบพรบ!GW40"")"),0)</f>
        <v>0</v>
      </c>
      <c r="J40" s="262">
        <f t="shared" ca="1" si="18"/>
        <v>0</v>
      </c>
      <c r="K40" s="476">
        <f t="shared" ca="1" si="19"/>
        <v>0</v>
      </c>
      <c r="L40" s="151">
        <f ca="1">IFERROR(__xludf.DUMMYFUNCTION("IMPORTRANGE(""https://docs.google.com/spreadsheets/d/1-uDff_7J0KD5mKrp0Vvzr7lt3OU09vwQwhkpOPPYv2Y/edit?usp=sharing"",""งบพรบ!GX40"")"),0)</f>
        <v>0</v>
      </c>
      <c r="M40" s="260">
        <f t="shared" ca="1" si="20"/>
        <v>0</v>
      </c>
      <c r="N40" s="260">
        <f t="shared" ca="1" si="21"/>
        <v>0</v>
      </c>
      <c r="O40" s="151">
        <f ca="1">IFERROR(__xludf.DUMMYFUNCTION("IMPORTRANGE(""https://docs.google.com/spreadsheets/d/1-uDff_7J0KD5mKrp0Vvzr7lt3OU09vwQwhkpOPPYv2Y/edit?usp=sharing"",""งบพรบ!GY40"")"),0)</f>
        <v>0</v>
      </c>
      <c r="P40" s="475">
        <f t="shared" ca="1" si="22"/>
        <v>0</v>
      </c>
      <c r="Q40" s="260">
        <f t="shared" ca="1" si="23"/>
        <v>0</v>
      </c>
      <c r="R40" s="278">
        <v>0</v>
      </c>
      <c r="S40" s="152">
        <v>0</v>
      </c>
      <c r="T40" s="216">
        <f t="shared" si="25"/>
        <v>0</v>
      </c>
      <c r="U40" s="278">
        <v>0</v>
      </c>
      <c r="V40" s="152">
        <v>0</v>
      </c>
      <c r="W40" s="216">
        <f t="shared" si="27"/>
        <v>0</v>
      </c>
    </row>
    <row r="41" spans="1:23" ht="19.5" x14ac:dyDescent="0.3">
      <c r="A41" s="147">
        <v>10</v>
      </c>
      <c r="B41" s="148" t="s">
        <v>69</v>
      </c>
      <c r="C41" s="472">
        <f t="shared" ca="1" si="16"/>
        <v>0</v>
      </c>
      <c r="D41" s="473">
        <f t="shared" ca="1" si="32"/>
        <v>0</v>
      </c>
      <c r="E41" s="151">
        <f ca="1">IFERROR(__xludf.DUMMYFUNCTION("IMPORTRANGE(""https://docs.google.com/spreadsheets/d/1-uDff_7J0KD5mKrp0Vvzr7lt3OU09vwQwhkpOPPYv2Y/edit?usp=sharing"",""งบพรบ!GR41"")"),0)</f>
        <v>0</v>
      </c>
      <c r="F41" s="151">
        <f ca="1">IFERROR(__xludf.DUMMYFUNCTION("IMPORTRANGE(""https://docs.google.com/spreadsheets/d/1-uDff_7J0KD5mKrp0Vvzr7lt3OU09vwQwhkpOPPYv2Y/edit?usp=sharing"",""งบพรบ!GS41"")"),0)</f>
        <v>0</v>
      </c>
      <c r="G41" s="151">
        <f ca="1">IFERROR(__xludf.DUMMYFUNCTION("IMPORTRANGE(""https://docs.google.com/spreadsheets/d/1-uDff_7J0KD5mKrp0Vvzr7lt3OU09vwQwhkpOPPYv2Y/edit?usp=sharing"",""งบพรบ!GT41"")"),0)</f>
        <v>0</v>
      </c>
      <c r="H41" s="151">
        <f ca="1">IFERROR(__xludf.DUMMYFUNCTION("IMPORTRANGE(""https://docs.google.com/spreadsheets/d/1-uDff_7J0KD5mKrp0Vvzr7lt3OU09vwQwhkpOPPYv2Y/edit?usp=sharing"",""งบพรบ!GV41"")"),0)</f>
        <v>0</v>
      </c>
      <c r="I41" s="151">
        <f ca="1">IFERROR(__xludf.DUMMYFUNCTION("IMPORTRANGE(""https://docs.google.com/spreadsheets/d/1-uDff_7J0KD5mKrp0Vvzr7lt3OU09vwQwhkpOPPYv2Y/edit?usp=sharing"",""งบพรบ!GW41"")"),0)</f>
        <v>0</v>
      </c>
      <c r="J41" s="262">
        <f t="shared" ca="1" si="18"/>
        <v>0</v>
      </c>
      <c r="K41" s="476">
        <f t="shared" ca="1" si="19"/>
        <v>0</v>
      </c>
      <c r="L41" s="151">
        <f ca="1">IFERROR(__xludf.DUMMYFUNCTION("IMPORTRANGE(""https://docs.google.com/spreadsheets/d/1-uDff_7J0KD5mKrp0Vvzr7lt3OU09vwQwhkpOPPYv2Y/edit?usp=sharing"",""งบพรบ!GX41"")"),0)</f>
        <v>0</v>
      </c>
      <c r="M41" s="260">
        <f t="shared" ca="1" si="20"/>
        <v>0</v>
      </c>
      <c r="N41" s="260">
        <f t="shared" ca="1" si="21"/>
        <v>0</v>
      </c>
      <c r="O41" s="151">
        <f ca="1">IFERROR(__xludf.DUMMYFUNCTION("IMPORTRANGE(""https://docs.google.com/spreadsheets/d/1-uDff_7J0KD5mKrp0Vvzr7lt3OU09vwQwhkpOPPYv2Y/edit?usp=sharing"",""งบพรบ!GY41"")"),0)</f>
        <v>0</v>
      </c>
      <c r="P41" s="475">
        <f t="shared" ca="1" si="22"/>
        <v>0</v>
      </c>
      <c r="Q41" s="260">
        <f t="shared" ca="1" si="23"/>
        <v>0</v>
      </c>
      <c r="R41" s="278">
        <v>0</v>
      </c>
      <c r="S41" s="152">
        <v>0</v>
      </c>
      <c r="T41" s="216">
        <f t="shared" si="25"/>
        <v>0</v>
      </c>
      <c r="U41" s="278">
        <v>0</v>
      </c>
      <c r="V41" s="152">
        <v>0</v>
      </c>
      <c r="W41" s="216">
        <f t="shared" si="27"/>
        <v>0</v>
      </c>
    </row>
    <row r="42" spans="1:23" ht="19.5" x14ac:dyDescent="0.3">
      <c r="A42" s="147">
        <v>11</v>
      </c>
      <c r="B42" s="148" t="s">
        <v>70</v>
      </c>
      <c r="C42" s="472">
        <f t="shared" ca="1" si="16"/>
        <v>0</v>
      </c>
      <c r="D42" s="473">
        <f t="shared" ca="1" si="32"/>
        <v>0</v>
      </c>
      <c r="E42" s="151">
        <f ca="1">IFERROR(__xludf.DUMMYFUNCTION("IMPORTRANGE(""https://docs.google.com/spreadsheets/d/1-uDff_7J0KD5mKrp0Vvzr7lt3OU09vwQwhkpOPPYv2Y/edit?usp=sharing"",""งบพรบ!GR42"")"),0)</f>
        <v>0</v>
      </c>
      <c r="F42" s="151">
        <f ca="1">IFERROR(__xludf.DUMMYFUNCTION("IMPORTRANGE(""https://docs.google.com/spreadsheets/d/1-uDff_7J0KD5mKrp0Vvzr7lt3OU09vwQwhkpOPPYv2Y/edit?usp=sharing"",""งบพรบ!GS42"")"),0)</f>
        <v>0</v>
      </c>
      <c r="G42" s="151">
        <f ca="1">IFERROR(__xludf.DUMMYFUNCTION("IMPORTRANGE(""https://docs.google.com/spreadsheets/d/1-uDff_7J0KD5mKrp0Vvzr7lt3OU09vwQwhkpOPPYv2Y/edit?usp=sharing"",""งบพรบ!GT42"")"),0)</f>
        <v>0</v>
      </c>
      <c r="H42" s="151">
        <f ca="1">IFERROR(__xludf.DUMMYFUNCTION("IMPORTRANGE(""https://docs.google.com/spreadsheets/d/1-uDff_7J0KD5mKrp0Vvzr7lt3OU09vwQwhkpOPPYv2Y/edit?usp=sharing"",""งบพรบ!GV42"")"),0)</f>
        <v>0</v>
      </c>
      <c r="I42" s="151">
        <f ca="1">IFERROR(__xludf.DUMMYFUNCTION("IMPORTRANGE(""https://docs.google.com/spreadsheets/d/1-uDff_7J0KD5mKrp0Vvzr7lt3OU09vwQwhkpOPPYv2Y/edit?usp=sharing"",""งบพรบ!GW42"")"),0)</f>
        <v>0</v>
      </c>
      <c r="J42" s="262">
        <f t="shared" ca="1" si="18"/>
        <v>0</v>
      </c>
      <c r="K42" s="476">
        <f t="shared" ca="1" si="19"/>
        <v>0</v>
      </c>
      <c r="L42" s="151">
        <f ca="1">IFERROR(__xludf.DUMMYFUNCTION("IMPORTRANGE(""https://docs.google.com/spreadsheets/d/1-uDff_7J0KD5mKrp0Vvzr7lt3OU09vwQwhkpOPPYv2Y/edit?usp=sharing"",""งบพรบ!GX42"")"),0)</f>
        <v>0</v>
      </c>
      <c r="M42" s="260">
        <f t="shared" ca="1" si="20"/>
        <v>0</v>
      </c>
      <c r="N42" s="260">
        <f t="shared" ca="1" si="21"/>
        <v>0</v>
      </c>
      <c r="O42" s="151">
        <f ca="1">IFERROR(__xludf.DUMMYFUNCTION("IMPORTRANGE(""https://docs.google.com/spreadsheets/d/1-uDff_7J0KD5mKrp0Vvzr7lt3OU09vwQwhkpOPPYv2Y/edit?usp=sharing"",""งบพรบ!GY42"")"),0)</f>
        <v>0</v>
      </c>
      <c r="P42" s="475">
        <f t="shared" ca="1" si="22"/>
        <v>0</v>
      </c>
      <c r="Q42" s="260">
        <f t="shared" ca="1" si="23"/>
        <v>0</v>
      </c>
      <c r="R42" s="278">
        <v>0</v>
      </c>
      <c r="S42" s="152">
        <v>0</v>
      </c>
      <c r="T42" s="216">
        <f t="shared" si="25"/>
        <v>0</v>
      </c>
      <c r="U42" s="278">
        <v>0</v>
      </c>
      <c r="V42" s="152">
        <v>0</v>
      </c>
      <c r="W42" s="216">
        <f t="shared" si="27"/>
        <v>0</v>
      </c>
    </row>
    <row r="43" spans="1:23" ht="19.5" x14ac:dyDescent="0.3">
      <c r="A43" s="147">
        <v>12</v>
      </c>
      <c r="B43" s="148" t="s">
        <v>71</v>
      </c>
      <c r="C43" s="472">
        <f t="shared" ca="1" si="16"/>
        <v>0</v>
      </c>
      <c r="D43" s="473">
        <f t="shared" ca="1" si="32"/>
        <v>0</v>
      </c>
      <c r="E43" s="151">
        <f ca="1">IFERROR(__xludf.DUMMYFUNCTION("IMPORTRANGE(""https://docs.google.com/spreadsheets/d/1-uDff_7J0KD5mKrp0Vvzr7lt3OU09vwQwhkpOPPYv2Y/edit?usp=sharing"",""งบพรบ!GR43"")"),0)</f>
        <v>0</v>
      </c>
      <c r="F43" s="151">
        <f ca="1">IFERROR(__xludf.DUMMYFUNCTION("IMPORTRANGE(""https://docs.google.com/spreadsheets/d/1-uDff_7J0KD5mKrp0Vvzr7lt3OU09vwQwhkpOPPYv2Y/edit?usp=sharing"",""งบพรบ!GS43"")"),0)</f>
        <v>0</v>
      </c>
      <c r="G43" s="151">
        <f ca="1">IFERROR(__xludf.DUMMYFUNCTION("IMPORTRANGE(""https://docs.google.com/spreadsheets/d/1-uDff_7J0KD5mKrp0Vvzr7lt3OU09vwQwhkpOPPYv2Y/edit?usp=sharing"",""งบพรบ!GT43"")"),0)</f>
        <v>0</v>
      </c>
      <c r="H43" s="151">
        <f ca="1">IFERROR(__xludf.DUMMYFUNCTION("IMPORTRANGE(""https://docs.google.com/spreadsheets/d/1-uDff_7J0KD5mKrp0Vvzr7lt3OU09vwQwhkpOPPYv2Y/edit?usp=sharing"",""งบพรบ!GV43"")"),0)</f>
        <v>0</v>
      </c>
      <c r="I43" s="151">
        <f ca="1">IFERROR(__xludf.DUMMYFUNCTION("IMPORTRANGE(""https://docs.google.com/spreadsheets/d/1-uDff_7J0KD5mKrp0Vvzr7lt3OU09vwQwhkpOPPYv2Y/edit?usp=sharing"",""งบพรบ!GW43"")"),0)</f>
        <v>0</v>
      </c>
      <c r="J43" s="262">
        <f t="shared" ca="1" si="18"/>
        <v>0</v>
      </c>
      <c r="K43" s="476">
        <f t="shared" ca="1" si="19"/>
        <v>0</v>
      </c>
      <c r="L43" s="151">
        <f ca="1">IFERROR(__xludf.DUMMYFUNCTION("IMPORTRANGE(""https://docs.google.com/spreadsheets/d/1-uDff_7J0KD5mKrp0Vvzr7lt3OU09vwQwhkpOPPYv2Y/edit?usp=sharing"",""งบพรบ!GX43"")"),0)</f>
        <v>0</v>
      </c>
      <c r="M43" s="260">
        <f t="shared" ca="1" si="20"/>
        <v>0</v>
      </c>
      <c r="N43" s="260">
        <f t="shared" ca="1" si="21"/>
        <v>0</v>
      </c>
      <c r="O43" s="151">
        <f ca="1">IFERROR(__xludf.DUMMYFUNCTION("IMPORTRANGE(""https://docs.google.com/spreadsheets/d/1-uDff_7J0KD5mKrp0Vvzr7lt3OU09vwQwhkpOPPYv2Y/edit?usp=sharing"",""งบพรบ!GY43"")"),0)</f>
        <v>0</v>
      </c>
      <c r="P43" s="475">
        <f t="shared" ca="1" si="22"/>
        <v>0</v>
      </c>
      <c r="Q43" s="260">
        <f t="shared" ca="1" si="23"/>
        <v>0</v>
      </c>
      <c r="R43" s="278">
        <v>0</v>
      </c>
      <c r="S43" s="152">
        <v>0</v>
      </c>
      <c r="T43" s="216">
        <f t="shared" si="25"/>
        <v>0</v>
      </c>
      <c r="U43" s="278">
        <v>0</v>
      </c>
      <c r="V43" s="152">
        <v>0</v>
      </c>
      <c r="W43" s="216">
        <f t="shared" si="27"/>
        <v>0</v>
      </c>
    </row>
    <row r="44" spans="1:23" ht="19.5" x14ac:dyDescent="0.3">
      <c r="A44" s="147">
        <v>13</v>
      </c>
      <c r="B44" s="148" t="s">
        <v>72</v>
      </c>
      <c r="C44" s="472">
        <f t="shared" ca="1" si="16"/>
        <v>0</v>
      </c>
      <c r="D44" s="473">
        <f t="shared" ca="1" si="32"/>
        <v>0</v>
      </c>
      <c r="E44" s="151">
        <f ca="1">IFERROR(__xludf.DUMMYFUNCTION("IMPORTRANGE(""https://docs.google.com/spreadsheets/d/1-uDff_7J0KD5mKrp0Vvzr7lt3OU09vwQwhkpOPPYv2Y/edit?usp=sharing"",""งบพรบ!GR44"")"),0)</f>
        <v>0</v>
      </c>
      <c r="F44" s="151">
        <f ca="1">IFERROR(__xludf.DUMMYFUNCTION("IMPORTRANGE(""https://docs.google.com/spreadsheets/d/1-uDff_7J0KD5mKrp0Vvzr7lt3OU09vwQwhkpOPPYv2Y/edit?usp=sharing"",""งบพรบ!GS44"")"),0)</f>
        <v>0</v>
      </c>
      <c r="G44" s="151">
        <f ca="1">IFERROR(__xludf.DUMMYFUNCTION("IMPORTRANGE(""https://docs.google.com/spreadsheets/d/1-uDff_7J0KD5mKrp0Vvzr7lt3OU09vwQwhkpOPPYv2Y/edit?usp=sharing"",""งบพรบ!GT44"")"),0)</f>
        <v>0</v>
      </c>
      <c r="H44" s="151">
        <f ca="1">IFERROR(__xludf.DUMMYFUNCTION("IMPORTRANGE(""https://docs.google.com/spreadsheets/d/1-uDff_7J0KD5mKrp0Vvzr7lt3OU09vwQwhkpOPPYv2Y/edit?usp=sharing"",""งบพรบ!GV44"")"),0)</f>
        <v>0</v>
      </c>
      <c r="I44" s="151">
        <f ca="1">IFERROR(__xludf.DUMMYFUNCTION("IMPORTRANGE(""https://docs.google.com/spreadsheets/d/1-uDff_7J0KD5mKrp0Vvzr7lt3OU09vwQwhkpOPPYv2Y/edit?usp=sharing"",""งบพรบ!GW44"")"),0)</f>
        <v>0</v>
      </c>
      <c r="J44" s="262">
        <f t="shared" ca="1" si="18"/>
        <v>0</v>
      </c>
      <c r="K44" s="476">
        <f t="shared" ca="1" si="19"/>
        <v>0</v>
      </c>
      <c r="L44" s="151">
        <f ca="1">IFERROR(__xludf.DUMMYFUNCTION("IMPORTRANGE(""https://docs.google.com/spreadsheets/d/1-uDff_7J0KD5mKrp0Vvzr7lt3OU09vwQwhkpOPPYv2Y/edit?usp=sharing"",""งบพรบ!GX44"")"),0)</f>
        <v>0</v>
      </c>
      <c r="M44" s="260">
        <f t="shared" ca="1" si="20"/>
        <v>0</v>
      </c>
      <c r="N44" s="260">
        <f t="shared" ca="1" si="21"/>
        <v>0</v>
      </c>
      <c r="O44" s="151">
        <f ca="1">IFERROR(__xludf.DUMMYFUNCTION("IMPORTRANGE(""https://docs.google.com/spreadsheets/d/1-uDff_7J0KD5mKrp0Vvzr7lt3OU09vwQwhkpOPPYv2Y/edit?usp=sharing"",""งบพรบ!GY44"")"),0)</f>
        <v>0</v>
      </c>
      <c r="P44" s="475">
        <f t="shared" ca="1" si="22"/>
        <v>0</v>
      </c>
      <c r="Q44" s="260">
        <f t="shared" ca="1" si="23"/>
        <v>0</v>
      </c>
      <c r="R44" s="278">
        <v>0</v>
      </c>
      <c r="S44" s="152">
        <v>0</v>
      </c>
      <c r="T44" s="216">
        <f t="shared" si="25"/>
        <v>0</v>
      </c>
      <c r="U44" s="278">
        <v>0</v>
      </c>
      <c r="V44" s="152">
        <v>0</v>
      </c>
      <c r="W44" s="216">
        <f t="shared" si="27"/>
        <v>0</v>
      </c>
    </row>
    <row r="45" spans="1:23" ht="19.5" x14ac:dyDescent="0.3">
      <c r="A45" s="147">
        <v>14</v>
      </c>
      <c r="B45" s="148" t="s">
        <v>73</v>
      </c>
      <c r="C45" s="472">
        <f t="shared" ca="1" si="16"/>
        <v>930444</v>
      </c>
      <c r="D45" s="473">
        <f t="shared" ca="1" si="32"/>
        <v>930444</v>
      </c>
      <c r="E45" s="151">
        <f ca="1">IFERROR(__xludf.DUMMYFUNCTION("IMPORTRANGE(""https://docs.google.com/spreadsheets/d/1-uDff_7J0KD5mKrp0Vvzr7lt3OU09vwQwhkpOPPYv2Y/edit?usp=sharing"",""งบพรบ!GR45"")"),0)</f>
        <v>0</v>
      </c>
      <c r="F45" s="151">
        <f ca="1">IFERROR(__xludf.DUMMYFUNCTION("IMPORTRANGE(""https://docs.google.com/spreadsheets/d/1-uDff_7J0KD5mKrp0Vvzr7lt3OU09vwQwhkpOPPYv2Y/edit?usp=sharing"",""งบพรบ!GS45"")"),930444)</f>
        <v>930444</v>
      </c>
      <c r="G45" s="151">
        <f ca="1">IFERROR(__xludf.DUMMYFUNCTION("IMPORTRANGE(""https://docs.google.com/spreadsheets/d/1-uDff_7J0KD5mKrp0Vvzr7lt3OU09vwQwhkpOPPYv2Y/edit?usp=sharing"",""งบพรบ!GT45"")"),0)</f>
        <v>0</v>
      </c>
      <c r="H45" s="151">
        <f ca="1">IFERROR(__xludf.DUMMYFUNCTION("IMPORTRANGE(""https://docs.google.com/spreadsheets/d/1-uDff_7J0KD5mKrp0Vvzr7lt3OU09vwQwhkpOPPYv2Y/edit?usp=sharing"",""งบพรบ!GV45"")"),930444)</f>
        <v>930444</v>
      </c>
      <c r="I45" s="151">
        <f ca="1">IFERROR(__xludf.DUMMYFUNCTION("IMPORTRANGE(""https://docs.google.com/spreadsheets/d/1-uDff_7J0KD5mKrp0Vvzr7lt3OU09vwQwhkpOPPYv2Y/edit?usp=sharing"",""งบพรบ!GW45"")"),0)</f>
        <v>0</v>
      </c>
      <c r="J45" s="262">
        <f t="shared" ca="1" si="18"/>
        <v>57500</v>
      </c>
      <c r="K45" s="476">
        <f t="shared" ca="1" si="19"/>
        <v>6.1798453211585009</v>
      </c>
      <c r="L45" s="151">
        <f ca="1">IFERROR(__xludf.DUMMYFUNCTION("IMPORTRANGE(""https://docs.google.com/spreadsheets/d/1-uDff_7J0KD5mKrp0Vvzr7lt3OU09vwQwhkpOPPYv2Y/edit?usp=sharing"",""งบพรบ!GX45"")"),57500)</f>
        <v>57500</v>
      </c>
      <c r="M45" s="260">
        <f t="shared" ca="1" si="20"/>
        <v>6.1798453211585009</v>
      </c>
      <c r="N45" s="260">
        <f t="shared" ca="1" si="21"/>
        <v>6.1798453211585009</v>
      </c>
      <c r="O45" s="151">
        <f ca="1">IFERROR(__xludf.DUMMYFUNCTION("IMPORTRANGE(""https://docs.google.com/spreadsheets/d/1-uDff_7J0KD5mKrp0Vvzr7lt3OU09vwQwhkpOPPYv2Y/edit?usp=sharing"",""งบพรบ!GY45"")"),0)</f>
        <v>0</v>
      </c>
      <c r="P45" s="475">
        <f t="shared" ca="1" si="22"/>
        <v>0</v>
      </c>
      <c r="Q45" s="260">
        <f t="shared" ca="1" si="23"/>
        <v>0</v>
      </c>
      <c r="R45" s="278">
        <f ca="1">IFERROR(__xludf.DUMMYFUNCTION("IMPORTRANGE(""https://docs.google.com/spreadsheets/d/17P34_Ow5kFBfdQD0qspb2UuPX5zpi6WMrQzslghyvrI/edit?usp=sharing"",""สกลนคร!I586"")"),10)</f>
        <v>10</v>
      </c>
      <c r="S45" s="152">
        <f ca="1">IFERROR(__xludf.DUMMYFUNCTION("IMPORTRANGE(""https://docs.google.com/spreadsheets/d/17P34_Ow5kFBfdQD0qspb2UuPX5zpi6WMrQzslghyvrI/edit?usp=sharing"",""สกลนคร!J586"")"),0)</f>
        <v>0</v>
      </c>
      <c r="T45" s="216">
        <f t="shared" ca="1" si="25"/>
        <v>0</v>
      </c>
      <c r="U45" s="278">
        <f ca="1">IFERROR(__xludf.DUMMYFUNCTION("IMPORTRANGE(""https://docs.google.com/spreadsheets/d/17P34_Ow5kFBfdQD0qspb2UuPX5zpi6WMrQzslghyvrI/edit?usp=sharing"",""สกลนคร!I587"")"),12)</f>
        <v>12</v>
      </c>
      <c r="V45" s="152">
        <f ca="1">IFERROR(__xludf.DUMMYFUNCTION("IMPORTRANGE(""https://docs.google.com/spreadsheets/d/17P34_Ow5kFBfdQD0qspb2UuPX5zpi6WMrQzslghyvrI/edit?usp=sharing"",""สกลนคร!J587"")"),1)</f>
        <v>1</v>
      </c>
      <c r="W45" s="216">
        <f t="shared" ca="1" si="27"/>
        <v>8.3333333333333339</v>
      </c>
    </row>
    <row r="46" spans="1:23" ht="19.5" x14ac:dyDescent="0.3">
      <c r="A46" s="147">
        <v>15</v>
      </c>
      <c r="B46" s="148" t="s">
        <v>74</v>
      </c>
      <c r="C46" s="472">
        <f t="shared" ca="1" si="16"/>
        <v>0</v>
      </c>
      <c r="D46" s="473">
        <f t="shared" ca="1" si="32"/>
        <v>0</v>
      </c>
      <c r="E46" s="151">
        <f ca="1">IFERROR(__xludf.DUMMYFUNCTION("IMPORTRANGE(""https://docs.google.com/spreadsheets/d/1-uDff_7J0KD5mKrp0Vvzr7lt3OU09vwQwhkpOPPYv2Y/edit?usp=sharing"",""งบพรบ!GR46"")"),0)</f>
        <v>0</v>
      </c>
      <c r="F46" s="151">
        <f ca="1">IFERROR(__xludf.DUMMYFUNCTION("IMPORTRANGE(""https://docs.google.com/spreadsheets/d/1-uDff_7J0KD5mKrp0Vvzr7lt3OU09vwQwhkpOPPYv2Y/edit?usp=sharing"",""งบพรบ!GS46"")"),0)</f>
        <v>0</v>
      </c>
      <c r="G46" s="151">
        <f ca="1">IFERROR(__xludf.DUMMYFUNCTION("IMPORTRANGE(""https://docs.google.com/spreadsheets/d/1-uDff_7J0KD5mKrp0Vvzr7lt3OU09vwQwhkpOPPYv2Y/edit?usp=sharing"",""งบพรบ!GT46"")"),0)</f>
        <v>0</v>
      </c>
      <c r="H46" s="151">
        <f ca="1">IFERROR(__xludf.DUMMYFUNCTION("IMPORTRANGE(""https://docs.google.com/spreadsheets/d/1-uDff_7J0KD5mKrp0Vvzr7lt3OU09vwQwhkpOPPYv2Y/edit?usp=sharing"",""งบพรบ!GV46"")"),0)</f>
        <v>0</v>
      </c>
      <c r="I46" s="151">
        <f ca="1">IFERROR(__xludf.DUMMYFUNCTION("IMPORTRANGE(""https://docs.google.com/spreadsheets/d/1-uDff_7J0KD5mKrp0Vvzr7lt3OU09vwQwhkpOPPYv2Y/edit?usp=sharing"",""งบพรบ!GW46"")"),0)</f>
        <v>0</v>
      </c>
      <c r="J46" s="262">
        <f t="shared" ca="1" si="18"/>
        <v>0</v>
      </c>
      <c r="K46" s="476">
        <f t="shared" ca="1" si="19"/>
        <v>0</v>
      </c>
      <c r="L46" s="151">
        <f ca="1">IFERROR(__xludf.DUMMYFUNCTION("IMPORTRANGE(""https://docs.google.com/spreadsheets/d/1-uDff_7J0KD5mKrp0Vvzr7lt3OU09vwQwhkpOPPYv2Y/edit?usp=sharing"",""งบพรบ!GX46"")"),0)</f>
        <v>0</v>
      </c>
      <c r="M46" s="260">
        <f t="shared" ca="1" si="20"/>
        <v>0</v>
      </c>
      <c r="N46" s="260">
        <f t="shared" ca="1" si="21"/>
        <v>0</v>
      </c>
      <c r="O46" s="151">
        <f ca="1">IFERROR(__xludf.DUMMYFUNCTION("IMPORTRANGE(""https://docs.google.com/spreadsheets/d/1-uDff_7J0KD5mKrp0Vvzr7lt3OU09vwQwhkpOPPYv2Y/edit?usp=sharing"",""งบพรบ!GY46"")"),0)</f>
        <v>0</v>
      </c>
      <c r="P46" s="475">
        <f t="shared" ca="1" si="22"/>
        <v>0</v>
      </c>
      <c r="Q46" s="260">
        <f t="shared" ca="1" si="23"/>
        <v>0</v>
      </c>
      <c r="R46" s="278">
        <v>0</v>
      </c>
      <c r="S46" s="152">
        <v>0</v>
      </c>
      <c r="T46" s="216">
        <f t="shared" si="25"/>
        <v>0</v>
      </c>
      <c r="U46" s="278">
        <v>0</v>
      </c>
      <c r="V46" s="152">
        <v>0</v>
      </c>
      <c r="W46" s="216">
        <f t="shared" si="27"/>
        <v>0</v>
      </c>
    </row>
    <row r="47" spans="1:23" ht="19.5" x14ac:dyDescent="0.3">
      <c r="A47" s="147">
        <v>16</v>
      </c>
      <c r="B47" s="148" t="s">
        <v>75</v>
      </c>
      <c r="C47" s="472">
        <f t="shared" ca="1" si="16"/>
        <v>0</v>
      </c>
      <c r="D47" s="473">
        <f t="shared" ca="1" si="32"/>
        <v>0</v>
      </c>
      <c r="E47" s="151">
        <f ca="1">IFERROR(__xludf.DUMMYFUNCTION("IMPORTRANGE(""https://docs.google.com/spreadsheets/d/1-uDff_7J0KD5mKrp0Vvzr7lt3OU09vwQwhkpOPPYv2Y/edit?usp=sharing"",""งบพรบ!GR47"")"),0)</f>
        <v>0</v>
      </c>
      <c r="F47" s="151">
        <f ca="1">IFERROR(__xludf.DUMMYFUNCTION("IMPORTRANGE(""https://docs.google.com/spreadsheets/d/1-uDff_7J0KD5mKrp0Vvzr7lt3OU09vwQwhkpOPPYv2Y/edit?usp=sharing"",""งบพรบ!GS47"")"),0)</f>
        <v>0</v>
      </c>
      <c r="G47" s="151">
        <f ca="1">IFERROR(__xludf.DUMMYFUNCTION("IMPORTRANGE(""https://docs.google.com/spreadsheets/d/1-uDff_7J0KD5mKrp0Vvzr7lt3OU09vwQwhkpOPPYv2Y/edit?usp=sharing"",""งบพรบ!GT47"")"),0)</f>
        <v>0</v>
      </c>
      <c r="H47" s="151">
        <f ca="1">IFERROR(__xludf.DUMMYFUNCTION("IMPORTRANGE(""https://docs.google.com/spreadsheets/d/1-uDff_7J0KD5mKrp0Vvzr7lt3OU09vwQwhkpOPPYv2Y/edit?usp=sharing"",""งบพรบ!GV47"")"),0)</f>
        <v>0</v>
      </c>
      <c r="I47" s="151">
        <f ca="1">IFERROR(__xludf.DUMMYFUNCTION("IMPORTRANGE(""https://docs.google.com/spreadsheets/d/1-uDff_7J0KD5mKrp0Vvzr7lt3OU09vwQwhkpOPPYv2Y/edit?usp=sharing"",""งบพรบ!GW47"")"),0)</f>
        <v>0</v>
      </c>
      <c r="J47" s="262">
        <f t="shared" ca="1" si="18"/>
        <v>0</v>
      </c>
      <c r="K47" s="476">
        <f t="shared" ca="1" si="19"/>
        <v>0</v>
      </c>
      <c r="L47" s="151">
        <f ca="1">IFERROR(__xludf.DUMMYFUNCTION("IMPORTRANGE(""https://docs.google.com/spreadsheets/d/1-uDff_7J0KD5mKrp0Vvzr7lt3OU09vwQwhkpOPPYv2Y/edit?usp=sharing"",""งบพรบ!GX47"")"),0)</f>
        <v>0</v>
      </c>
      <c r="M47" s="260">
        <f t="shared" ca="1" si="20"/>
        <v>0</v>
      </c>
      <c r="N47" s="260">
        <f t="shared" ca="1" si="21"/>
        <v>0</v>
      </c>
      <c r="O47" s="151">
        <f ca="1">IFERROR(__xludf.DUMMYFUNCTION("IMPORTRANGE(""https://docs.google.com/spreadsheets/d/1-uDff_7J0KD5mKrp0Vvzr7lt3OU09vwQwhkpOPPYv2Y/edit?usp=sharing"",""งบพรบ!GY47"")"),0)</f>
        <v>0</v>
      </c>
      <c r="P47" s="475">
        <f t="shared" ca="1" si="22"/>
        <v>0</v>
      </c>
      <c r="Q47" s="260">
        <f t="shared" ca="1" si="23"/>
        <v>0</v>
      </c>
      <c r="R47" s="278">
        <v>0</v>
      </c>
      <c r="S47" s="152">
        <v>0</v>
      </c>
      <c r="T47" s="216">
        <f t="shared" si="25"/>
        <v>0</v>
      </c>
      <c r="U47" s="278">
        <v>0</v>
      </c>
      <c r="V47" s="152">
        <v>0</v>
      </c>
      <c r="W47" s="216">
        <f t="shared" si="27"/>
        <v>0</v>
      </c>
    </row>
    <row r="48" spans="1:23" ht="19.5" x14ac:dyDescent="0.3">
      <c r="A48" s="147">
        <v>17</v>
      </c>
      <c r="B48" s="148" t="s">
        <v>76</v>
      </c>
      <c r="C48" s="472">
        <f t="shared" ca="1" si="16"/>
        <v>0</v>
      </c>
      <c r="D48" s="473">
        <f t="shared" ca="1" si="32"/>
        <v>0</v>
      </c>
      <c r="E48" s="151">
        <f ca="1">IFERROR(__xludf.DUMMYFUNCTION("IMPORTRANGE(""https://docs.google.com/spreadsheets/d/1-uDff_7J0KD5mKrp0Vvzr7lt3OU09vwQwhkpOPPYv2Y/edit?usp=sharing"",""งบพรบ!GR48"")"),0)</f>
        <v>0</v>
      </c>
      <c r="F48" s="151">
        <f ca="1">IFERROR(__xludf.DUMMYFUNCTION("IMPORTRANGE(""https://docs.google.com/spreadsheets/d/1-uDff_7J0KD5mKrp0Vvzr7lt3OU09vwQwhkpOPPYv2Y/edit?usp=sharing"",""งบพรบ!GS48"")"),0)</f>
        <v>0</v>
      </c>
      <c r="G48" s="151">
        <f ca="1">IFERROR(__xludf.DUMMYFUNCTION("IMPORTRANGE(""https://docs.google.com/spreadsheets/d/1-uDff_7J0KD5mKrp0Vvzr7lt3OU09vwQwhkpOPPYv2Y/edit?usp=sharing"",""งบพรบ!GT48"")"),0)</f>
        <v>0</v>
      </c>
      <c r="H48" s="151">
        <f ca="1">IFERROR(__xludf.DUMMYFUNCTION("IMPORTRANGE(""https://docs.google.com/spreadsheets/d/1-uDff_7J0KD5mKrp0Vvzr7lt3OU09vwQwhkpOPPYv2Y/edit?usp=sharing"",""งบพรบ!GV48"")"),0)</f>
        <v>0</v>
      </c>
      <c r="I48" s="151">
        <f ca="1">IFERROR(__xludf.DUMMYFUNCTION("IMPORTRANGE(""https://docs.google.com/spreadsheets/d/1-uDff_7J0KD5mKrp0Vvzr7lt3OU09vwQwhkpOPPYv2Y/edit?usp=sharing"",""งบพรบ!GW48"")"),0)</f>
        <v>0</v>
      </c>
      <c r="J48" s="262">
        <f t="shared" ca="1" si="18"/>
        <v>0</v>
      </c>
      <c r="K48" s="476">
        <f t="shared" ca="1" si="19"/>
        <v>0</v>
      </c>
      <c r="L48" s="151">
        <f ca="1">IFERROR(__xludf.DUMMYFUNCTION("IMPORTRANGE(""https://docs.google.com/spreadsheets/d/1-uDff_7J0KD5mKrp0Vvzr7lt3OU09vwQwhkpOPPYv2Y/edit?usp=sharing"",""งบพรบ!GX48"")"),0)</f>
        <v>0</v>
      </c>
      <c r="M48" s="260">
        <f t="shared" ca="1" si="20"/>
        <v>0</v>
      </c>
      <c r="N48" s="260">
        <f t="shared" ca="1" si="21"/>
        <v>0</v>
      </c>
      <c r="O48" s="151">
        <f ca="1">IFERROR(__xludf.DUMMYFUNCTION("IMPORTRANGE(""https://docs.google.com/spreadsheets/d/1-uDff_7J0KD5mKrp0Vvzr7lt3OU09vwQwhkpOPPYv2Y/edit?usp=sharing"",""งบพรบ!GY48"")"),0)</f>
        <v>0</v>
      </c>
      <c r="P48" s="475">
        <f t="shared" ca="1" si="22"/>
        <v>0</v>
      </c>
      <c r="Q48" s="260">
        <f t="shared" ca="1" si="23"/>
        <v>0</v>
      </c>
      <c r="R48" s="278">
        <v>0</v>
      </c>
      <c r="S48" s="152">
        <v>0</v>
      </c>
      <c r="T48" s="216">
        <f t="shared" si="25"/>
        <v>0</v>
      </c>
      <c r="U48" s="278">
        <v>0</v>
      </c>
      <c r="V48" s="152">
        <v>0</v>
      </c>
      <c r="W48" s="216">
        <f t="shared" si="27"/>
        <v>0</v>
      </c>
    </row>
    <row r="49" spans="1:24" ht="19.5" x14ac:dyDescent="0.3">
      <c r="A49" s="147">
        <v>18</v>
      </c>
      <c r="B49" s="148" t="s">
        <v>77</v>
      </c>
      <c r="C49" s="472">
        <f t="shared" ca="1" si="16"/>
        <v>0</v>
      </c>
      <c r="D49" s="473">
        <f t="shared" ca="1" si="32"/>
        <v>0</v>
      </c>
      <c r="E49" s="151">
        <f ca="1">IFERROR(__xludf.DUMMYFUNCTION("IMPORTRANGE(""https://docs.google.com/spreadsheets/d/1-uDff_7J0KD5mKrp0Vvzr7lt3OU09vwQwhkpOPPYv2Y/edit?usp=sharing"",""งบพรบ!GR49"")"),0)</f>
        <v>0</v>
      </c>
      <c r="F49" s="151">
        <f ca="1">IFERROR(__xludf.DUMMYFUNCTION("IMPORTRANGE(""https://docs.google.com/spreadsheets/d/1-uDff_7J0KD5mKrp0Vvzr7lt3OU09vwQwhkpOPPYv2Y/edit?usp=sharing"",""งบพรบ!GS49"")"),0)</f>
        <v>0</v>
      </c>
      <c r="G49" s="151">
        <f ca="1">IFERROR(__xludf.DUMMYFUNCTION("IMPORTRANGE(""https://docs.google.com/spreadsheets/d/1-uDff_7J0KD5mKrp0Vvzr7lt3OU09vwQwhkpOPPYv2Y/edit?usp=sharing"",""งบพรบ!GT49"")"),0)</f>
        <v>0</v>
      </c>
      <c r="H49" s="151">
        <f ca="1">IFERROR(__xludf.DUMMYFUNCTION("IMPORTRANGE(""https://docs.google.com/spreadsheets/d/1-uDff_7J0KD5mKrp0Vvzr7lt3OU09vwQwhkpOPPYv2Y/edit?usp=sharing"",""งบพรบ!GV49"")"),0)</f>
        <v>0</v>
      </c>
      <c r="I49" s="151">
        <f ca="1">IFERROR(__xludf.DUMMYFUNCTION("IMPORTRANGE(""https://docs.google.com/spreadsheets/d/1-uDff_7J0KD5mKrp0Vvzr7lt3OU09vwQwhkpOPPYv2Y/edit?usp=sharing"",""งบพรบ!GW49"")"),0)</f>
        <v>0</v>
      </c>
      <c r="J49" s="262">
        <f t="shared" ca="1" si="18"/>
        <v>0</v>
      </c>
      <c r="K49" s="476">
        <f t="shared" ca="1" si="19"/>
        <v>0</v>
      </c>
      <c r="L49" s="151">
        <f ca="1">IFERROR(__xludf.DUMMYFUNCTION("IMPORTRANGE(""https://docs.google.com/spreadsheets/d/1-uDff_7J0KD5mKrp0Vvzr7lt3OU09vwQwhkpOPPYv2Y/edit?usp=sharing"",""งบพรบ!GX49"")"),0)</f>
        <v>0</v>
      </c>
      <c r="M49" s="260">
        <f t="shared" ca="1" si="20"/>
        <v>0</v>
      </c>
      <c r="N49" s="260">
        <f t="shared" ca="1" si="21"/>
        <v>0</v>
      </c>
      <c r="O49" s="151">
        <f ca="1">IFERROR(__xludf.DUMMYFUNCTION("IMPORTRANGE(""https://docs.google.com/spreadsheets/d/1-uDff_7J0KD5mKrp0Vvzr7lt3OU09vwQwhkpOPPYv2Y/edit?usp=sharing"",""งบพรบ!GY49"")"),0)</f>
        <v>0</v>
      </c>
      <c r="P49" s="475">
        <f t="shared" ca="1" si="22"/>
        <v>0</v>
      </c>
      <c r="Q49" s="260">
        <f t="shared" ca="1" si="23"/>
        <v>0</v>
      </c>
      <c r="R49" s="278">
        <v>0</v>
      </c>
      <c r="S49" s="152">
        <v>0</v>
      </c>
      <c r="T49" s="216">
        <f t="shared" si="25"/>
        <v>0</v>
      </c>
      <c r="U49" s="278">
        <v>0</v>
      </c>
      <c r="V49" s="152">
        <v>0</v>
      </c>
      <c r="W49" s="216">
        <f t="shared" si="27"/>
        <v>0</v>
      </c>
    </row>
    <row r="50" spans="1:24" ht="19.5" x14ac:dyDescent="0.3">
      <c r="A50" s="147">
        <v>19</v>
      </c>
      <c r="B50" s="148" t="s">
        <v>78</v>
      </c>
      <c r="C50" s="472">
        <f t="shared" ca="1" si="16"/>
        <v>0</v>
      </c>
      <c r="D50" s="473">
        <f t="shared" ca="1" si="32"/>
        <v>0</v>
      </c>
      <c r="E50" s="151">
        <f ca="1">IFERROR(__xludf.DUMMYFUNCTION("IMPORTRANGE(""https://docs.google.com/spreadsheets/d/1-uDff_7J0KD5mKrp0Vvzr7lt3OU09vwQwhkpOPPYv2Y/edit?usp=sharing"",""งบพรบ!GR50"")"),0)</f>
        <v>0</v>
      </c>
      <c r="F50" s="151">
        <f ca="1">IFERROR(__xludf.DUMMYFUNCTION("IMPORTRANGE(""https://docs.google.com/spreadsheets/d/1-uDff_7J0KD5mKrp0Vvzr7lt3OU09vwQwhkpOPPYv2Y/edit?usp=sharing"",""งบพรบ!GS50"")"),0)</f>
        <v>0</v>
      </c>
      <c r="G50" s="151">
        <f ca="1">IFERROR(__xludf.DUMMYFUNCTION("IMPORTRANGE(""https://docs.google.com/spreadsheets/d/1-uDff_7J0KD5mKrp0Vvzr7lt3OU09vwQwhkpOPPYv2Y/edit?usp=sharing"",""งบพรบ!GT50"")"),0)</f>
        <v>0</v>
      </c>
      <c r="H50" s="151">
        <f ca="1">IFERROR(__xludf.DUMMYFUNCTION("IMPORTRANGE(""https://docs.google.com/spreadsheets/d/1-uDff_7J0KD5mKrp0Vvzr7lt3OU09vwQwhkpOPPYv2Y/edit?usp=sharing"",""งบพรบ!GV50"")"),0)</f>
        <v>0</v>
      </c>
      <c r="I50" s="151">
        <f ca="1">IFERROR(__xludf.DUMMYFUNCTION("IMPORTRANGE(""https://docs.google.com/spreadsheets/d/1-uDff_7J0KD5mKrp0Vvzr7lt3OU09vwQwhkpOPPYv2Y/edit?usp=sharing"",""งบพรบ!GW50"")"),0)</f>
        <v>0</v>
      </c>
      <c r="J50" s="262">
        <f t="shared" ca="1" si="18"/>
        <v>0</v>
      </c>
      <c r="K50" s="476">
        <f t="shared" ca="1" si="19"/>
        <v>0</v>
      </c>
      <c r="L50" s="151">
        <f ca="1">IFERROR(__xludf.DUMMYFUNCTION("IMPORTRANGE(""https://docs.google.com/spreadsheets/d/1-uDff_7J0KD5mKrp0Vvzr7lt3OU09vwQwhkpOPPYv2Y/edit?usp=sharing"",""งบพรบ!GX50"")"),0)</f>
        <v>0</v>
      </c>
      <c r="M50" s="260">
        <f t="shared" ca="1" si="20"/>
        <v>0</v>
      </c>
      <c r="N50" s="260">
        <f t="shared" ca="1" si="21"/>
        <v>0</v>
      </c>
      <c r="O50" s="151">
        <f ca="1">IFERROR(__xludf.DUMMYFUNCTION("IMPORTRANGE(""https://docs.google.com/spreadsheets/d/1-uDff_7J0KD5mKrp0Vvzr7lt3OU09vwQwhkpOPPYv2Y/edit?usp=sharing"",""งบพรบ!GY50"")"),0)</f>
        <v>0</v>
      </c>
      <c r="P50" s="475">
        <f t="shared" ca="1" si="22"/>
        <v>0</v>
      </c>
      <c r="Q50" s="260">
        <f t="shared" ca="1" si="23"/>
        <v>0</v>
      </c>
      <c r="R50" s="278">
        <v>0</v>
      </c>
      <c r="S50" s="152">
        <v>0</v>
      </c>
      <c r="T50" s="216">
        <f t="shared" si="25"/>
        <v>0</v>
      </c>
      <c r="U50" s="278">
        <v>0</v>
      </c>
      <c r="V50" s="152">
        <v>0</v>
      </c>
      <c r="W50" s="216">
        <f t="shared" si="27"/>
        <v>0</v>
      </c>
    </row>
    <row r="51" spans="1:24" ht="19.5" x14ac:dyDescent="0.3">
      <c r="A51" s="155">
        <v>20</v>
      </c>
      <c r="B51" s="156" t="s">
        <v>79</v>
      </c>
      <c r="C51" s="477">
        <f t="shared" ca="1" si="16"/>
        <v>0</v>
      </c>
      <c r="D51" s="478">
        <f t="shared" ca="1" si="32"/>
        <v>0</v>
      </c>
      <c r="E51" s="159">
        <f ca="1">IFERROR(__xludf.DUMMYFUNCTION("IMPORTRANGE(""https://docs.google.com/spreadsheets/d/1-uDff_7J0KD5mKrp0Vvzr7lt3OU09vwQwhkpOPPYv2Y/edit?usp=sharing"",""งบพรบ!GR51"")"),0)</f>
        <v>0</v>
      </c>
      <c r="F51" s="159">
        <f ca="1">IFERROR(__xludf.DUMMYFUNCTION("IMPORTRANGE(""https://docs.google.com/spreadsheets/d/1-uDff_7J0KD5mKrp0Vvzr7lt3OU09vwQwhkpOPPYv2Y/edit?usp=sharing"",""งบพรบ!GS51"")"),0)</f>
        <v>0</v>
      </c>
      <c r="G51" s="159">
        <f ca="1">IFERROR(__xludf.DUMMYFUNCTION("IMPORTRANGE(""https://docs.google.com/spreadsheets/d/1-uDff_7J0KD5mKrp0Vvzr7lt3OU09vwQwhkpOPPYv2Y/edit?usp=sharing"",""งบพรบ!GT51"")"),0)</f>
        <v>0</v>
      </c>
      <c r="H51" s="159">
        <f ca="1">IFERROR(__xludf.DUMMYFUNCTION("IMPORTRANGE(""https://docs.google.com/spreadsheets/d/1-uDff_7J0KD5mKrp0Vvzr7lt3OU09vwQwhkpOPPYv2Y/edit?usp=sharing"",""งบพรบ!GV51"")"),0)</f>
        <v>0</v>
      </c>
      <c r="I51" s="159">
        <f ca="1">IFERROR(__xludf.DUMMYFUNCTION("IMPORTRANGE(""https://docs.google.com/spreadsheets/d/1-uDff_7J0KD5mKrp0Vvzr7lt3OU09vwQwhkpOPPYv2Y/edit?usp=sharing"",""งบพรบ!GW51"")"),0)</f>
        <v>0</v>
      </c>
      <c r="J51" s="479">
        <f t="shared" ca="1" si="18"/>
        <v>0</v>
      </c>
      <c r="K51" s="480">
        <f t="shared" ca="1" si="19"/>
        <v>0</v>
      </c>
      <c r="L51" s="159">
        <f ca="1">IFERROR(__xludf.DUMMYFUNCTION("IMPORTRANGE(""https://docs.google.com/spreadsheets/d/1-uDff_7J0KD5mKrp0Vvzr7lt3OU09vwQwhkpOPPYv2Y/edit?usp=sharing"",""งบพรบ!GX51"")"),0)</f>
        <v>0</v>
      </c>
      <c r="M51" s="481">
        <f t="shared" ca="1" si="20"/>
        <v>0</v>
      </c>
      <c r="N51" s="481">
        <f t="shared" ca="1" si="21"/>
        <v>0</v>
      </c>
      <c r="O51" s="159">
        <f ca="1">IFERROR(__xludf.DUMMYFUNCTION("IMPORTRANGE(""https://docs.google.com/spreadsheets/d/1-uDff_7J0KD5mKrp0Vvzr7lt3OU09vwQwhkpOPPYv2Y/edit?usp=sharing"",""งบพรบ!GY51"")"),0)</f>
        <v>0</v>
      </c>
      <c r="P51" s="482">
        <f t="shared" ca="1" si="22"/>
        <v>0</v>
      </c>
      <c r="Q51" s="481">
        <f t="shared" ca="1" si="23"/>
        <v>0</v>
      </c>
      <c r="R51" s="610">
        <v>0</v>
      </c>
      <c r="S51" s="192">
        <v>0</v>
      </c>
      <c r="T51" s="218">
        <f t="shared" si="25"/>
        <v>0</v>
      </c>
      <c r="U51" s="610">
        <v>0</v>
      </c>
      <c r="V51" s="192">
        <v>0</v>
      </c>
      <c r="W51" s="218">
        <f t="shared" si="27"/>
        <v>0</v>
      </c>
    </row>
    <row r="52" spans="1:24" ht="19.5" x14ac:dyDescent="0.3">
      <c r="A52" s="716" t="s">
        <v>80</v>
      </c>
      <c r="B52" s="662"/>
      <c r="C52" s="601">
        <f t="shared" ca="1" si="16"/>
        <v>1018780</v>
      </c>
      <c r="D52" s="601">
        <f t="shared" ref="D52:I52" ca="1" si="33">SUM(D53:D73)</f>
        <v>1018780</v>
      </c>
      <c r="E52" s="601">
        <f t="shared" ca="1" si="33"/>
        <v>0</v>
      </c>
      <c r="F52" s="601">
        <f t="shared" ca="1" si="33"/>
        <v>1018780</v>
      </c>
      <c r="G52" s="601">
        <f t="shared" ca="1" si="33"/>
        <v>0</v>
      </c>
      <c r="H52" s="601">
        <f t="shared" ca="1" si="33"/>
        <v>1018780</v>
      </c>
      <c r="I52" s="601">
        <f t="shared" ca="1" si="33"/>
        <v>0</v>
      </c>
      <c r="J52" s="601">
        <f t="shared" ca="1" si="18"/>
        <v>529844</v>
      </c>
      <c r="K52" s="602">
        <f t="shared" ca="1" si="19"/>
        <v>52.007695478906143</v>
      </c>
      <c r="L52" s="601">
        <f ca="1">SUM(L53:L73)</f>
        <v>529844</v>
      </c>
      <c r="M52" s="603">
        <f t="shared" ca="1" si="20"/>
        <v>52.007695478906143</v>
      </c>
      <c r="N52" s="603">
        <f t="shared" ca="1" si="21"/>
        <v>52.007695478906143</v>
      </c>
      <c r="O52" s="604">
        <f ca="1">SUM(O53:O73)</f>
        <v>0</v>
      </c>
      <c r="P52" s="604">
        <f t="shared" ca="1" si="22"/>
        <v>0</v>
      </c>
      <c r="Q52" s="603">
        <f t="shared" ca="1" si="23"/>
        <v>0</v>
      </c>
      <c r="R52" s="277">
        <f t="shared" ref="R52:S52" ca="1" si="34">SUM(R53:R73)</f>
        <v>10</v>
      </c>
      <c r="S52" s="611">
        <f t="shared" ca="1" si="34"/>
        <v>2</v>
      </c>
      <c r="T52" s="612">
        <f t="shared" ca="1" si="25"/>
        <v>20</v>
      </c>
      <c r="U52" s="277">
        <f t="shared" ref="U52:V52" ca="1" si="35">SUM(U53:U73)</f>
        <v>19</v>
      </c>
      <c r="V52" s="611">
        <f t="shared" ca="1" si="35"/>
        <v>5</v>
      </c>
      <c r="W52" s="612">
        <f t="shared" ca="1" si="27"/>
        <v>26.315789473684209</v>
      </c>
      <c r="X52" s="600"/>
    </row>
    <row r="53" spans="1:24" ht="19.5" x14ac:dyDescent="0.3">
      <c r="A53" s="147">
        <v>1</v>
      </c>
      <c r="B53" s="148" t="s">
        <v>81</v>
      </c>
      <c r="C53" s="472">
        <f t="shared" ca="1" si="16"/>
        <v>0</v>
      </c>
      <c r="D53" s="473">
        <f t="shared" ref="D53:D73" ca="1" si="36">+E53+F53</f>
        <v>0</v>
      </c>
      <c r="E53" s="151">
        <f ca="1">IFERROR(__xludf.DUMMYFUNCTION("IMPORTRANGE(""https://docs.google.com/spreadsheets/d/1-uDff_7J0KD5mKrp0Vvzr7lt3OU09vwQwhkpOPPYv2Y/edit?usp=sharing"",""งบพรบ!GR53"")"),0)</f>
        <v>0</v>
      </c>
      <c r="F53" s="151">
        <f ca="1">IFERROR(__xludf.DUMMYFUNCTION("IMPORTRANGE(""https://docs.google.com/spreadsheets/d/1-uDff_7J0KD5mKrp0Vvzr7lt3OU09vwQwhkpOPPYv2Y/edit?usp=sharing"",""งบพรบ!GS53"")"),0)</f>
        <v>0</v>
      </c>
      <c r="G53" s="152">
        <f ca="1">IFERROR(__xludf.DUMMYFUNCTION("IMPORTRANGE(""https://docs.google.com/spreadsheets/d/1-uDff_7J0KD5mKrp0Vvzr7lt3OU09vwQwhkpOPPYv2Y/edit?usp=sharing"",""งบพรบ!GT53"")"),0)</f>
        <v>0</v>
      </c>
      <c r="H53" s="152">
        <f ca="1">IFERROR(__xludf.DUMMYFUNCTION("IMPORTRANGE(""https://docs.google.com/spreadsheets/d/1-uDff_7J0KD5mKrp0Vvzr7lt3OU09vwQwhkpOPPYv2Y/edit?usp=sharing"",""งบพรบ!GV53"")"),0)</f>
        <v>0</v>
      </c>
      <c r="I53" s="152">
        <f ca="1">IFERROR(__xludf.DUMMYFUNCTION("IMPORTRANGE(""https://docs.google.com/spreadsheets/d/1-uDff_7J0KD5mKrp0Vvzr7lt3OU09vwQwhkpOPPYv2Y/edit?usp=sharing"",""งบพรบ!GW53"")"),0)</f>
        <v>0</v>
      </c>
      <c r="J53" s="251">
        <f t="shared" ca="1" si="18"/>
        <v>0</v>
      </c>
      <c r="K53" s="474">
        <f t="shared" ca="1" si="19"/>
        <v>0</v>
      </c>
      <c r="L53" s="152">
        <f ca="1">IFERROR(__xludf.DUMMYFUNCTION("IMPORTRANGE(""https://docs.google.com/spreadsheets/d/1-uDff_7J0KD5mKrp0Vvzr7lt3OU09vwQwhkpOPPYv2Y/edit?usp=sharing"",""งบพรบ!GX53"")"),0)</f>
        <v>0</v>
      </c>
      <c r="M53" s="260">
        <f t="shared" ca="1" si="20"/>
        <v>0</v>
      </c>
      <c r="N53" s="260">
        <f t="shared" ca="1" si="21"/>
        <v>0</v>
      </c>
      <c r="O53" s="151">
        <f ca="1">IFERROR(__xludf.DUMMYFUNCTION("IMPORTRANGE(""https://docs.google.com/spreadsheets/d/1-uDff_7J0KD5mKrp0Vvzr7lt3OU09vwQwhkpOPPYv2Y/edit?usp=sharing"",""งบพรบ!GY53"")"),0)</f>
        <v>0</v>
      </c>
      <c r="P53" s="475">
        <f t="shared" ca="1" si="22"/>
        <v>0</v>
      </c>
      <c r="Q53" s="260">
        <f t="shared" ca="1" si="23"/>
        <v>0</v>
      </c>
      <c r="R53" s="278">
        <v>0</v>
      </c>
      <c r="S53" s="152">
        <v>0</v>
      </c>
      <c r="T53" s="216">
        <f t="shared" si="25"/>
        <v>0</v>
      </c>
      <c r="U53" s="278">
        <v>0</v>
      </c>
      <c r="V53" s="152">
        <v>0</v>
      </c>
      <c r="W53" s="216">
        <f t="shared" si="27"/>
        <v>0</v>
      </c>
    </row>
    <row r="54" spans="1:24" ht="19.5" x14ac:dyDescent="0.3">
      <c r="A54" s="147">
        <v>2</v>
      </c>
      <c r="B54" s="148" t="s">
        <v>82</v>
      </c>
      <c r="C54" s="472">
        <f t="shared" ca="1" si="16"/>
        <v>0</v>
      </c>
      <c r="D54" s="473">
        <f t="shared" ca="1" si="36"/>
        <v>0</v>
      </c>
      <c r="E54" s="151">
        <f ca="1">IFERROR(__xludf.DUMMYFUNCTION("IMPORTRANGE(""https://docs.google.com/spreadsheets/d/1-uDff_7J0KD5mKrp0Vvzr7lt3OU09vwQwhkpOPPYv2Y/edit?usp=sharing"",""งบพรบ!GR54"")"),0)</f>
        <v>0</v>
      </c>
      <c r="F54" s="151">
        <f ca="1">IFERROR(__xludf.DUMMYFUNCTION("IMPORTRANGE(""https://docs.google.com/spreadsheets/d/1-uDff_7J0KD5mKrp0Vvzr7lt3OU09vwQwhkpOPPYv2Y/edit?usp=sharing"",""งบพรบ!GS54"")"),0)</f>
        <v>0</v>
      </c>
      <c r="G54" s="151">
        <f ca="1">IFERROR(__xludf.DUMMYFUNCTION("IMPORTRANGE(""https://docs.google.com/spreadsheets/d/1-uDff_7J0KD5mKrp0Vvzr7lt3OU09vwQwhkpOPPYv2Y/edit?usp=sharing"",""งบพรบ!GT54"")"),0)</f>
        <v>0</v>
      </c>
      <c r="H54" s="151">
        <f ca="1">IFERROR(__xludf.DUMMYFUNCTION("IMPORTRANGE(""https://docs.google.com/spreadsheets/d/1-uDff_7J0KD5mKrp0Vvzr7lt3OU09vwQwhkpOPPYv2Y/edit?usp=sharing"",""งบพรบ!GV54"")"),0)</f>
        <v>0</v>
      </c>
      <c r="I54" s="151">
        <f ca="1">IFERROR(__xludf.DUMMYFUNCTION("IMPORTRANGE(""https://docs.google.com/spreadsheets/d/1-uDff_7J0KD5mKrp0Vvzr7lt3OU09vwQwhkpOPPYv2Y/edit?usp=sharing"",""งบพรบ!GW54"")"),0)</f>
        <v>0</v>
      </c>
      <c r="J54" s="262">
        <f t="shared" ca="1" si="18"/>
        <v>0</v>
      </c>
      <c r="K54" s="476">
        <f t="shared" ca="1" si="19"/>
        <v>0</v>
      </c>
      <c r="L54" s="151">
        <f ca="1">IFERROR(__xludf.DUMMYFUNCTION("IMPORTRANGE(""https://docs.google.com/spreadsheets/d/1-uDff_7J0KD5mKrp0Vvzr7lt3OU09vwQwhkpOPPYv2Y/edit?usp=sharing"",""งบพรบ!GX54"")"),0)</f>
        <v>0</v>
      </c>
      <c r="M54" s="260">
        <f t="shared" ca="1" si="20"/>
        <v>0</v>
      </c>
      <c r="N54" s="260">
        <f t="shared" ca="1" si="21"/>
        <v>0</v>
      </c>
      <c r="O54" s="151">
        <f ca="1">IFERROR(__xludf.DUMMYFUNCTION("IMPORTRANGE(""https://docs.google.com/spreadsheets/d/1-uDff_7J0KD5mKrp0Vvzr7lt3OU09vwQwhkpOPPYv2Y/edit?usp=sharing"",""งบพรบ!GY54"")"),0)</f>
        <v>0</v>
      </c>
      <c r="P54" s="475">
        <f t="shared" ca="1" si="22"/>
        <v>0</v>
      </c>
      <c r="Q54" s="260">
        <f t="shared" ca="1" si="23"/>
        <v>0</v>
      </c>
      <c r="R54" s="278">
        <v>0</v>
      </c>
      <c r="S54" s="152">
        <v>0</v>
      </c>
      <c r="T54" s="216">
        <f t="shared" si="25"/>
        <v>0</v>
      </c>
      <c r="U54" s="278">
        <v>0</v>
      </c>
      <c r="V54" s="152">
        <v>0</v>
      </c>
      <c r="W54" s="216">
        <f t="shared" si="27"/>
        <v>0</v>
      </c>
    </row>
    <row r="55" spans="1:24" ht="19.5" x14ac:dyDescent="0.3">
      <c r="A55" s="147">
        <v>3</v>
      </c>
      <c r="B55" s="148" t="s">
        <v>83</v>
      </c>
      <c r="C55" s="472">
        <f t="shared" ca="1" si="16"/>
        <v>0</v>
      </c>
      <c r="D55" s="473">
        <f t="shared" ca="1" si="36"/>
        <v>0</v>
      </c>
      <c r="E55" s="151">
        <f ca="1">IFERROR(__xludf.DUMMYFUNCTION("IMPORTRANGE(""https://docs.google.com/spreadsheets/d/1-uDff_7J0KD5mKrp0Vvzr7lt3OU09vwQwhkpOPPYv2Y/edit?usp=sharing"",""งบพรบ!GR55"")"),0)</f>
        <v>0</v>
      </c>
      <c r="F55" s="151">
        <f ca="1">IFERROR(__xludf.DUMMYFUNCTION("IMPORTRANGE(""https://docs.google.com/spreadsheets/d/1-uDff_7J0KD5mKrp0Vvzr7lt3OU09vwQwhkpOPPYv2Y/edit?usp=sharing"",""งบพรบ!GS55"")"),0)</f>
        <v>0</v>
      </c>
      <c r="G55" s="151">
        <f ca="1">IFERROR(__xludf.DUMMYFUNCTION("IMPORTRANGE(""https://docs.google.com/spreadsheets/d/1-uDff_7J0KD5mKrp0Vvzr7lt3OU09vwQwhkpOPPYv2Y/edit?usp=sharing"",""งบพรบ!GT55"")"),0)</f>
        <v>0</v>
      </c>
      <c r="H55" s="151">
        <f ca="1">IFERROR(__xludf.DUMMYFUNCTION("IMPORTRANGE(""https://docs.google.com/spreadsheets/d/1-uDff_7J0KD5mKrp0Vvzr7lt3OU09vwQwhkpOPPYv2Y/edit?usp=sharing"",""งบพรบ!GV55"")"),0)</f>
        <v>0</v>
      </c>
      <c r="I55" s="151">
        <f ca="1">IFERROR(__xludf.DUMMYFUNCTION("IMPORTRANGE(""https://docs.google.com/spreadsheets/d/1-uDff_7J0KD5mKrp0Vvzr7lt3OU09vwQwhkpOPPYv2Y/edit?usp=sharing"",""งบพรบ!GW55"")"),0)</f>
        <v>0</v>
      </c>
      <c r="J55" s="262">
        <f t="shared" ca="1" si="18"/>
        <v>0</v>
      </c>
      <c r="K55" s="476">
        <f t="shared" ca="1" si="19"/>
        <v>0</v>
      </c>
      <c r="L55" s="151">
        <f ca="1">IFERROR(__xludf.DUMMYFUNCTION("IMPORTRANGE(""https://docs.google.com/spreadsheets/d/1-uDff_7J0KD5mKrp0Vvzr7lt3OU09vwQwhkpOPPYv2Y/edit?usp=sharing"",""งบพรบ!GX55"")"),0)</f>
        <v>0</v>
      </c>
      <c r="M55" s="260">
        <f t="shared" ca="1" si="20"/>
        <v>0</v>
      </c>
      <c r="N55" s="260">
        <f t="shared" ca="1" si="21"/>
        <v>0</v>
      </c>
      <c r="O55" s="151">
        <f ca="1">IFERROR(__xludf.DUMMYFUNCTION("IMPORTRANGE(""https://docs.google.com/spreadsheets/d/1-uDff_7J0KD5mKrp0Vvzr7lt3OU09vwQwhkpOPPYv2Y/edit?usp=sharing"",""งบพรบ!GY55"")"),0)</f>
        <v>0</v>
      </c>
      <c r="P55" s="475">
        <f t="shared" ca="1" si="22"/>
        <v>0</v>
      </c>
      <c r="Q55" s="260">
        <f t="shared" ca="1" si="23"/>
        <v>0</v>
      </c>
      <c r="R55" s="278">
        <v>0</v>
      </c>
      <c r="S55" s="152">
        <v>0</v>
      </c>
      <c r="T55" s="216">
        <f t="shared" si="25"/>
        <v>0</v>
      </c>
      <c r="U55" s="278">
        <v>0</v>
      </c>
      <c r="V55" s="152">
        <v>0</v>
      </c>
      <c r="W55" s="216">
        <f t="shared" si="27"/>
        <v>0</v>
      </c>
    </row>
    <row r="56" spans="1:24" ht="19.5" x14ac:dyDescent="0.3">
      <c r="A56" s="147">
        <v>4</v>
      </c>
      <c r="B56" s="148" t="s">
        <v>84</v>
      </c>
      <c r="C56" s="472">
        <f t="shared" ca="1" si="16"/>
        <v>0</v>
      </c>
      <c r="D56" s="473">
        <f t="shared" ca="1" si="36"/>
        <v>0</v>
      </c>
      <c r="E56" s="151">
        <f ca="1">IFERROR(__xludf.DUMMYFUNCTION("IMPORTRANGE(""https://docs.google.com/spreadsheets/d/1-uDff_7J0KD5mKrp0Vvzr7lt3OU09vwQwhkpOPPYv2Y/edit?usp=sharing"",""งบพรบ!GR56"")"),0)</f>
        <v>0</v>
      </c>
      <c r="F56" s="151">
        <f ca="1">IFERROR(__xludf.DUMMYFUNCTION("IMPORTRANGE(""https://docs.google.com/spreadsheets/d/1-uDff_7J0KD5mKrp0Vvzr7lt3OU09vwQwhkpOPPYv2Y/edit?usp=sharing"",""งบพรบ!GS56"")"),0)</f>
        <v>0</v>
      </c>
      <c r="G56" s="151">
        <f ca="1">IFERROR(__xludf.DUMMYFUNCTION("IMPORTRANGE(""https://docs.google.com/spreadsheets/d/1-uDff_7J0KD5mKrp0Vvzr7lt3OU09vwQwhkpOPPYv2Y/edit?usp=sharing"",""งบพรบ!GT56"")"),0)</f>
        <v>0</v>
      </c>
      <c r="H56" s="151">
        <f ca="1">IFERROR(__xludf.DUMMYFUNCTION("IMPORTRANGE(""https://docs.google.com/spreadsheets/d/1-uDff_7J0KD5mKrp0Vvzr7lt3OU09vwQwhkpOPPYv2Y/edit?usp=sharing"",""งบพรบ!GV56"")"),0)</f>
        <v>0</v>
      </c>
      <c r="I56" s="151">
        <f ca="1">IFERROR(__xludf.DUMMYFUNCTION("IMPORTRANGE(""https://docs.google.com/spreadsheets/d/1-uDff_7J0KD5mKrp0Vvzr7lt3OU09vwQwhkpOPPYv2Y/edit?usp=sharing"",""งบพรบ!GW56"")"),0)</f>
        <v>0</v>
      </c>
      <c r="J56" s="262">
        <f t="shared" ca="1" si="18"/>
        <v>0</v>
      </c>
      <c r="K56" s="476">
        <f t="shared" ca="1" si="19"/>
        <v>0</v>
      </c>
      <c r="L56" s="151">
        <f ca="1">IFERROR(__xludf.DUMMYFUNCTION("IMPORTRANGE(""https://docs.google.com/spreadsheets/d/1-uDff_7J0KD5mKrp0Vvzr7lt3OU09vwQwhkpOPPYv2Y/edit?usp=sharing"",""งบพรบ!GX56"")"),0)</f>
        <v>0</v>
      </c>
      <c r="M56" s="260">
        <f t="shared" ca="1" si="20"/>
        <v>0</v>
      </c>
      <c r="N56" s="260">
        <f t="shared" ca="1" si="21"/>
        <v>0</v>
      </c>
      <c r="O56" s="151">
        <f ca="1">IFERROR(__xludf.DUMMYFUNCTION("IMPORTRANGE(""https://docs.google.com/spreadsheets/d/1-uDff_7J0KD5mKrp0Vvzr7lt3OU09vwQwhkpOPPYv2Y/edit?usp=sharing"",""งบพรบ!GY56"")"),0)</f>
        <v>0</v>
      </c>
      <c r="P56" s="475">
        <f t="shared" ca="1" si="22"/>
        <v>0</v>
      </c>
      <c r="Q56" s="260">
        <f t="shared" ca="1" si="23"/>
        <v>0</v>
      </c>
      <c r="R56" s="278">
        <v>0</v>
      </c>
      <c r="S56" s="152">
        <v>0</v>
      </c>
      <c r="T56" s="216">
        <f t="shared" si="25"/>
        <v>0</v>
      </c>
      <c r="U56" s="278">
        <v>0</v>
      </c>
      <c r="V56" s="152">
        <v>0</v>
      </c>
      <c r="W56" s="216">
        <f t="shared" si="27"/>
        <v>0</v>
      </c>
    </row>
    <row r="57" spans="1:24" ht="19.5" x14ac:dyDescent="0.3">
      <c r="A57" s="147">
        <v>5</v>
      </c>
      <c r="B57" s="148" t="s">
        <v>85</v>
      </c>
      <c r="C57" s="472">
        <f t="shared" ca="1" si="16"/>
        <v>0</v>
      </c>
      <c r="D57" s="473">
        <f t="shared" ca="1" si="36"/>
        <v>0</v>
      </c>
      <c r="E57" s="151">
        <f ca="1">IFERROR(__xludf.DUMMYFUNCTION("IMPORTRANGE(""https://docs.google.com/spreadsheets/d/1-uDff_7J0KD5mKrp0Vvzr7lt3OU09vwQwhkpOPPYv2Y/edit?usp=sharing"",""งบพรบ!GR57"")"),0)</f>
        <v>0</v>
      </c>
      <c r="F57" s="151">
        <f ca="1">IFERROR(__xludf.DUMMYFUNCTION("IMPORTRANGE(""https://docs.google.com/spreadsheets/d/1-uDff_7J0KD5mKrp0Vvzr7lt3OU09vwQwhkpOPPYv2Y/edit?usp=sharing"",""งบพรบ!GS57"")"),0)</f>
        <v>0</v>
      </c>
      <c r="G57" s="151">
        <f ca="1">IFERROR(__xludf.DUMMYFUNCTION("IMPORTRANGE(""https://docs.google.com/spreadsheets/d/1-uDff_7J0KD5mKrp0Vvzr7lt3OU09vwQwhkpOPPYv2Y/edit?usp=sharing"",""งบพรบ!GT57"")"),0)</f>
        <v>0</v>
      </c>
      <c r="H57" s="151">
        <f ca="1">IFERROR(__xludf.DUMMYFUNCTION("IMPORTRANGE(""https://docs.google.com/spreadsheets/d/1-uDff_7J0KD5mKrp0Vvzr7lt3OU09vwQwhkpOPPYv2Y/edit?usp=sharing"",""งบพรบ!GV57"")"),0)</f>
        <v>0</v>
      </c>
      <c r="I57" s="151">
        <f ca="1">IFERROR(__xludf.DUMMYFUNCTION("IMPORTRANGE(""https://docs.google.com/spreadsheets/d/1-uDff_7J0KD5mKrp0Vvzr7lt3OU09vwQwhkpOPPYv2Y/edit?usp=sharing"",""งบพรบ!GW57"")"),0)</f>
        <v>0</v>
      </c>
      <c r="J57" s="262">
        <f t="shared" ca="1" si="18"/>
        <v>0</v>
      </c>
      <c r="K57" s="476">
        <f t="shared" ca="1" si="19"/>
        <v>0</v>
      </c>
      <c r="L57" s="151">
        <f ca="1">IFERROR(__xludf.DUMMYFUNCTION("IMPORTRANGE(""https://docs.google.com/spreadsheets/d/1-uDff_7J0KD5mKrp0Vvzr7lt3OU09vwQwhkpOPPYv2Y/edit?usp=sharing"",""งบพรบ!GX57"")"),0)</f>
        <v>0</v>
      </c>
      <c r="M57" s="260">
        <f t="shared" ca="1" si="20"/>
        <v>0</v>
      </c>
      <c r="N57" s="260">
        <f t="shared" ca="1" si="21"/>
        <v>0</v>
      </c>
      <c r="O57" s="151">
        <f ca="1">IFERROR(__xludf.DUMMYFUNCTION("IMPORTRANGE(""https://docs.google.com/spreadsheets/d/1-uDff_7J0KD5mKrp0Vvzr7lt3OU09vwQwhkpOPPYv2Y/edit?usp=sharing"",""งบพรบ!GY57"")"),0)</f>
        <v>0</v>
      </c>
      <c r="P57" s="475">
        <f t="shared" ca="1" si="22"/>
        <v>0</v>
      </c>
      <c r="Q57" s="260">
        <f t="shared" ca="1" si="23"/>
        <v>0</v>
      </c>
      <c r="R57" s="278">
        <v>0</v>
      </c>
      <c r="S57" s="152">
        <v>0</v>
      </c>
      <c r="T57" s="216">
        <f t="shared" si="25"/>
        <v>0</v>
      </c>
      <c r="U57" s="278">
        <v>0</v>
      </c>
      <c r="V57" s="152">
        <v>0</v>
      </c>
      <c r="W57" s="216">
        <f t="shared" si="27"/>
        <v>0</v>
      </c>
    </row>
    <row r="58" spans="1:24" ht="19.5" x14ac:dyDescent="0.3">
      <c r="A58" s="147">
        <v>6</v>
      </c>
      <c r="B58" s="148" t="s">
        <v>86</v>
      </c>
      <c r="C58" s="472">
        <f t="shared" ca="1" si="16"/>
        <v>205596</v>
      </c>
      <c r="D58" s="473">
        <f t="shared" ca="1" si="36"/>
        <v>205596</v>
      </c>
      <c r="E58" s="151">
        <f ca="1">IFERROR(__xludf.DUMMYFUNCTION("IMPORTRANGE(""https://docs.google.com/spreadsheets/d/1-uDff_7J0KD5mKrp0Vvzr7lt3OU09vwQwhkpOPPYv2Y/edit?usp=sharing"",""งบพรบ!GR58"")"),0)</f>
        <v>0</v>
      </c>
      <c r="F58" s="151">
        <f ca="1">IFERROR(__xludf.DUMMYFUNCTION("IMPORTRANGE(""https://docs.google.com/spreadsheets/d/1-uDff_7J0KD5mKrp0Vvzr7lt3OU09vwQwhkpOPPYv2Y/edit?usp=sharing"",""งบพรบ!GS58"")"),205596)</f>
        <v>205596</v>
      </c>
      <c r="G58" s="151">
        <f ca="1">IFERROR(__xludf.DUMMYFUNCTION("IMPORTRANGE(""https://docs.google.com/spreadsheets/d/1-uDff_7J0KD5mKrp0Vvzr7lt3OU09vwQwhkpOPPYv2Y/edit?usp=sharing"",""งบพรบ!GT58"")"),0)</f>
        <v>0</v>
      </c>
      <c r="H58" s="151">
        <f ca="1">IFERROR(__xludf.DUMMYFUNCTION("IMPORTRANGE(""https://docs.google.com/spreadsheets/d/1-uDff_7J0KD5mKrp0Vvzr7lt3OU09vwQwhkpOPPYv2Y/edit?usp=sharing"",""งบพรบ!GV58"")"),205596)</f>
        <v>205596</v>
      </c>
      <c r="I58" s="151">
        <f ca="1">IFERROR(__xludf.DUMMYFUNCTION("IMPORTRANGE(""https://docs.google.com/spreadsheets/d/1-uDff_7J0KD5mKrp0Vvzr7lt3OU09vwQwhkpOPPYv2Y/edit?usp=sharing"",""งบพรบ!GW58"")"),0)</f>
        <v>0</v>
      </c>
      <c r="J58" s="262">
        <f t="shared" ca="1" si="18"/>
        <v>171236</v>
      </c>
      <c r="K58" s="476">
        <f t="shared" ca="1" si="19"/>
        <v>83.287612599466911</v>
      </c>
      <c r="L58" s="151">
        <f ca="1">IFERROR(__xludf.DUMMYFUNCTION("IMPORTRANGE(""https://docs.google.com/spreadsheets/d/1-uDff_7J0KD5mKrp0Vvzr7lt3OU09vwQwhkpOPPYv2Y/edit?usp=sharing"",""งบพรบ!GX58"")"),171236)</f>
        <v>171236</v>
      </c>
      <c r="M58" s="260">
        <f t="shared" ca="1" si="20"/>
        <v>83.287612599466911</v>
      </c>
      <c r="N58" s="260">
        <f t="shared" ca="1" si="21"/>
        <v>83.287612599466911</v>
      </c>
      <c r="O58" s="151">
        <f ca="1">IFERROR(__xludf.DUMMYFUNCTION("IMPORTRANGE(""https://docs.google.com/spreadsheets/d/1-uDff_7J0KD5mKrp0Vvzr7lt3OU09vwQwhkpOPPYv2Y/edit?usp=sharing"",""งบพรบ!GY58"")"),0)</f>
        <v>0</v>
      </c>
      <c r="P58" s="475">
        <f t="shared" ca="1" si="22"/>
        <v>0</v>
      </c>
      <c r="Q58" s="260">
        <f t="shared" ca="1" si="23"/>
        <v>0</v>
      </c>
      <c r="R58" s="278">
        <f ca="1">IFERROR(__xludf.DUMMYFUNCTION("IMPORTRANGE(""https://docs.google.com/spreadsheets/d/1jkqa6GXxSacMcY1eN8AHjMNJ_7dDXMJVRLDlaFSOdPM/edit?usp=sharing"",""ตราด!I586"")"),2)</f>
        <v>2</v>
      </c>
      <c r="S58" s="152">
        <f ca="1">IFERROR(__xludf.DUMMYFUNCTION("IMPORTRANGE(""https://docs.google.com/spreadsheets/d/1jkqa6GXxSacMcY1eN8AHjMNJ_7dDXMJVRLDlaFSOdPM/edit?usp=sharing"",""ตราด!J586"")"),1)</f>
        <v>1</v>
      </c>
      <c r="T58" s="216">
        <f t="shared" ca="1" si="25"/>
        <v>50</v>
      </c>
      <c r="U58" s="278">
        <f ca="1">IFERROR(__xludf.DUMMYFUNCTION("IMPORTRANGE(""https://docs.google.com/spreadsheets/d/1jkqa6GXxSacMcY1eN8AHjMNJ_7dDXMJVRLDlaFSOdPM/edit?usp=sharing"",""ตราด!I587"")"),3)</f>
        <v>3</v>
      </c>
      <c r="V58" s="152">
        <f ca="1">IFERROR(__xludf.DUMMYFUNCTION("IMPORTRANGE(""https://docs.google.com/spreadsheets/d/1jkqa6GXxSacMcY1eN8AHjMNJ_7dDXMJVRLDlaFSOdPM/edit?usp=sharing"",""ตราด!J587"")"),3)</f>
        <v>3</v>
      </c>
      <c r="W58" s="216">
        <f t="shared" ca="1" si="27"/>
        <v>100</v>
      </c>
    </row>
    <row r="59" spans="1:24" ht="19.5" x14ac:dyDescent="0.3">
      <c r="A59" s="147">
        <v>7</v>
      </c>
      <c r="B59" s="148" t="s">
        <v>87</v>
      </c>
      <c r="C59" s="472">
        <f t="shared" ca="1" si="16"/>
        <v>0</v>
      </c>
      <c r="D59" s="473">
        <f t="shared" ca="1" si="36"/>
        <v>0</v>
      </c>
      <c r="E59" s="151">
        <f ca="1">IFERROR(__xludf.DUMMYFUNCTION("IMPORTRANGE(""https://docs.google.com/spreadsheets/d/1-uDff_7J0KD5mKrp0Vvzr7lt3OU09vwQwhkpOPPYv2Y/edit?usp=sharing"",""งบพรบ!GR59"")"),0)</f>
        <v>0</v>
      </c>
      <c r="F59" s="151">
        <f ca="1">IFERROR(__xludf.DUMMYFUNCTION("IMPORTRANGE(""https://docs.google.com/spreadsheets/d/1-uDff_7J0KD5mKrp0Vvzr7lt3OU09vwQwhkpOPPYv2Y/edit?usp=sharing"",""งบพรบ!GS59"")"),0)</f>
        <v>0</v>
      </c>
      <c r="G59" s="151">
        <f ca="1">IFERROR(__xludf.DUMMYFUNCTION("IMPORTRANGE(""https://docs.google.com/spreadsheets/d/1-uDff_7J0KD5mKrp0Vvzr7lt3OU09vwQwhkpOPPYv2Y/edit?usp=sharing"",""งบพรบ!GT59"")"),0)</f>
        <v>0</v>
      </c>
      <c r="H59" s="151">
        <f ca="1">IFERROR(__xludf.DUMMYFUNCTION("IMPORTRANGE(""https://docs.google.com/spreadsheets/d/1-uDff_7J0KD5mKrp0Vvzr7lt3OU09vwQwhkpOPPYv2Y/edit?usp=sharing"",""งบพรบ!GV59"")"),0)</f>
        <v>0</v>
      </c>
      <c r="I59" s="151">
        <f ca="1">IFERROR(__xludf.DUMMYFUNCTION("IMPORTRANGE(""https://docs.google.com/spreadsheets/d/1-uDff_7J0KD5mKrp0Vvzr7lt3OU09vwQwhkpOPPYv2Y/edit?usp=sharing"",""งบพรบ!GW59"")"),0)</f>
        <v>0</v>
      </c>
      <c r="J59" s="262">
        <f t="shared" ca="1" si="18"/>
        <v>0</v>
      </c>
      <c r="K59" s="476">
        <f t="shared" ca="1" si="19"/>
        <v>0</v>
      </c>
      <c r="L59" s="151">
        <f ca="1">IFERROR(__xludf.DUMMYFUNCTION("IMPORTRANGE(""https://docs.google.com/spreadsheets/d/1-uDff_7J0KD5mKrp0Vvzr7lt3OU09vwQwhkpOPPYv2Y/edit?usp=sharing"",""งบพรบ!GX59"")"),0)</f>
        <v>0</v>
      </c>
      <c r="M59" s="260">
        <f t="shared" ca="1" si="20"/>
        <v>0</v>
      </c>
      <c r="N59" s="260">
        <f t="shared" ca="1" si="21"/>
        <v>0</v>
      </c>
      <c r="O59" s="151">
        <f ca="1">IFERROR(__xludf.DUMMYFUNCTION("IMPORTRANGE(""https://docs.google.com/spreadsheets/d/1-uDff_7J0KD5mKrp0Vvzr7lt3OU09vwQwhkpOPPYv2Y/edit?usp=sharing"",""งบพรบ!GY59"")"),0)</f>
        <v>0</v>
      </c>
      <c r="P59" s="475">
        <f t="shared" ca="1" si="22"/>
        <v>0</v>
      </c>
      <c r="Q59" s="260">
        <f t="shared" ca="1" si="23"/>
        <v>0</v>
      </c>
      <c r="R59" s="278">
        <v>0</v>
      </c>
      <c r="S59" s="152">
        <v>0</v>
      </c>
      <c r="T59" s="216">
        <f t="shared" si="25"/>
        <v>0</v>
      </c>
      <c r="U59" s="278">
        <v>0</v>
      </c>
      <c r="V59" s="152">
        <v>0</v>
      </c>
      <c r="W59" s="216">
        <f t="shared" si="27"/>
        <v>0</v>
      </c>
    </row>
    <row r="60" spans="1:24" ht="19.5" x14ac:dyDescent="0.3">
      <c r="A60" s="147">
        <v>8</v>
      </c>
      <c r="B60" s="148" t="s">
        <v>88</v>
      </c>
      <c r="C60" s="472">
        <f t="shared" ca="1" si="16"/>
        <v>0</v>
      </c>
      <c r="D60" s="473">
        <f t="shared" ca="1" si="36"/>
        <v>0</v>
      </c>
      <c r="E60" s="151">
        <f ca="1">IFERROR(__xludf.DUMMYFUNCTION("IMPORTRANGE(""https://docs.google.com/spreadsheets/d/1-uDff_7J0KD5mKrp0Vvzr7lt3OU09vwQwhkpOPPYv2Y/edit?usp=sharing"",""งบพรบ!GR60"")"),0)</f>
        <v>0</v>
      </c>
      <c r="F60" s="151">
        <f ca="1">IFERROR(__xludf.DUMMYFUNCTION("IMPORTRANGE(""https://docs.google.com/spreadsheets/d/1-uDff_7J0KD5mKrp0Vvzr7lt3OU09vwQwhkpOPPYv2Y/edit?usp=sharing"",""งบพรบ!GS60"")"),0)</f>
        <v>0</v>
      </c>
      <c r="G60" s="151">
        <f ca="1">IFERROR(__xludf.DUMMYFUNCTION("IMPORTRANGE(""https://docs.google.com/spreadsheets/d/1-uDff_7J0KD5mKrp0Vvzr7lt3OU09vwQwhkpOPPYv2Y/edit?usp=sharing"",""งบพรบ!GT60"")"),0)</f>
        <v>0</v>
      </c>
      <c r="H60" s="151">
        <f ca="1">IFERROR(__xludf.DUMMYFUNCTION("IMPORTRANGE(""https://docs.google.com/spreadsheets/d/1-uDff_7J0KD5mKrp0Vvzr7lt3OU09vwQwhkpOPPYv2Y/edit?usp=sharing"",""งบพรบ!GV60"")"),0)</f>
        <v>0</v>
      </c>
      <c r="I60" s="151">
        <f ca="1">IFERROR(__xludf.DUMMYFUNCTION("IMPORTRANGE(""https://docs.google.com/spreadsheets/d/1-uDff_7J0KD5mKrp0Vvzr7lt3OU09vwQwhkpOPPYv2Y/edit?usp=sharing"",""งบพรบ!GW60"")"),0)</f>
        <v>0</v>
      </c>
      <c r="J60" s="262">
        <f t="shared" ca="1" si="18"/>
        <v>0</v>
      </c>
      <c r="K60" s="476">
        <f t="shared" ca="1" si="19"/>
        <v>0</v>
      </c>
      <c r="L60" s="151">
        <f ca="1">IFERROR(__xludf.DUMMYFUNCTION("IMPORTRANGE(""https://docs.google.com/spreadsheets/d/1-uDff_7J0KD5mKrp0Vvzr7lt3OU09vwQwhkpOPPYv2Y/edit?usp=sharing"",""งบพรบ!GX60"")"),0)</f>
        <v>0</v>
      </c>
      <c r="M60" s="260">
        <f t="shared" ca="1" si="20"/>
        <v>0</v>
      </c>
      <c r="N60" s="260">
        <f t="shared" ca="1" si="21"/>
        <v>0</v>
      </c>
      <c r="O60" s="151">
        <f ca="1">IFERROR(__xludf.DUMMYFUNCTION("IMPORTRANGE(""https://docs.google.com/spreadsheets/d/1-uDff_7J0KD5mKrp0Vvzr7lt3OU09vwQwhkpOPPYv2Y/edit?usp=sharing"",""งบพรบ!GY60"")"),0)</f>
        <v>0</v>
      </c>
      <c r="P60" s="475">
        <f t="shared" ca="1" si="22"/>
        <v>0</v>
      </c>
      <c r="Q60" s="260">
        <f t="shared" ca="1" si="23"/>
        <v>0</v>
      </c>
      <c r="R60" s="278">
        <v>0</v>
      </c>
      <c r="S60" s="152">
        <v>0</v>
      </c>
      <c r="T60" s="216">
        <f t="shared" si="25"/>
        <v>0</v>
      </c>
      <c r="U60" s="278">
        <v>0</v>
      </c>
      <c r="V60" s="152">
        <v>0</v>
      </c>
      <c r="W60" s="216">
        <f t="shared" si="27"/>
        <v>0</v>
      </c>
    </row>
    <row r="61" spans="1:24" ht="19.5" x14ac:dyDescent="0.3">
      <c r="A61" s="147">
        <v>9</v>
      </c>
      <c r="B61" s="148" t="s">
        <v>89</v>
      </c>
      <c r="C61" s="472">
        <f t="shared" ca="1" si="16"/>
        <v>0</v>
      </c>
      <c r="D61" s="473">
        <f t="shared" ca="1" si="36"/>
        <v>0</v>
      </c>
      <c r="E61" s="151">
        <f ca="1">IFERROR(__xludf.DUMMYFUNCTION("IMPORTRANGE(""https://docs.google.com/spreadsheets/d/1-uDff_7J0KD5mKrp0Vvzr7lt3OU09vwQwhkpOPPYv2Y/edit?usp=sharing"",""งบพรบ!GR61"")"),0)</f>
        <v>0</v>
      </c>
      <c r="F61" s="151">
        <f ca="1">IFERROR(__xludf.DUMMYFUNCTION("IMPORTRANGE(""https://docs.google.com/spreadsheets/d/1-uDff_7J0KD5mKrp0Vvzr7lt3OU09vwQwhkpOPPYv2Y/edit?usp=sharing"",""งบพรบ!GS61"")"),0)</f>
        <v>0</v>
      </c>
      <c r="G61" s="151">
        <f ca="1">IFERROR(__xludf.DUMMYFUNCTION("IMPORTRANGE(""https://docs.google.com/spreadsheets/d/1-uDff_7J0KD5mKrp0Vvzr7lt3OU09vwQwhkpOPPYv2Y/edit?usp=sharing"",""งบพรบ!GT61"")"),0)</f>
        <v>0</v>
      </c>
      <c r="H61" s="151">
        <f ca="1">IFERROR(__xludf.DUMMYFUNCTION("IMPORTRANGE(""https://docs.google.com/spreadsheets/d/1-uDff_7J0KD5mKrp0Vvzr7lt3OU09vwQwhkpOPPYv2Y/edit?usp=sharing"",""งบพรบ!GV61"")"),0)</f>
        <v>0</v>
      </c>
      <c r="I61" s="151">
        <f ca="1">IFERROR(__xludf.DUMMYFUNCTION("IMPORTRANGE(""https://docs.google.com/spreadsheets/d/1-uDff_7J0KD5mKrp0Vvzr7lt3OU09vwQwhkpOPPYv2Y/edit?usp=sharing"",""งบพรบ!GW61"")"),0)</f>
        <v>0</v>
      </c>
      <c r="J61" s="262">
        <f t="shared" ca="1" si="18"/>
        <v>0</v>
      </c>
      <c r="K61" s="476">
        <f t="shared" ca="1" si="19"/>
        <v>0</v>
      </c>
      <c r="L61" s="151">
        <f ca="1">IFERROR(__xludf.DUMMYFUNCTION("IMPORTRANGE(""https://docs.google.com/spreadsheets/d/1-uDff_7J0KD5mKrp0Vvzr7lt3OU09vwQwhkpOPPYv2Y/edit?usp=sharing"",""งบพรบ!GX61"")"),0)</f>
        <v>0</v>
      </c>
      <c r="M61" s="260">
        <f t="shared" ca="1" si="20"/>
        <v>0</v>
      </c>
      <c r="N61" s="260">
        <f t="shared" ca="1" si="21"/>
        <v>0</v>
      </c>
      <c r="O61" s="151">
        <f ca="1">IFERROR(__xludf.DUMMYFUNCTION("IMPORTRANGE(""https://docs.google.com/spreadsheets/d/1-uDff_7J0KD5mKrp0Vvzr7lt3OU09vwQwhkpOPPYv2Y/edit?usp=sharing"",""งบพรบ!GY61"")"),0)</f>
        <v>0</v>
      </c>
      <c r="P61" s="475">
        <f t="shared" ca="1" si="22"/>
        <v>0</v>
      </c>
      <c r="Q61" s="260">
        <f t="shared" ca="1" si="23"/>
        <v>0</v>
      </c>
      <c r="R61" s="278">
        <v>0</v>
      </c>
      <c r="S61" s="152">
        <v>0</v>
      </c>
      <c r="T61" s="216">
        <f t="shared" si="25"/>
        <v>0</v>
      </c>
      <c r="U61" s="278">
        <v>0</v>
      </c>
      <c r="V61" s="152">
        <v>0</v>
      </c>
      <c r="W61" s="216">
        <f t="shared" si="27"/>
        <v>0</v>
      </c>
    </row>
    <row r="62" spans="1:24" ht="19.5" x14ac:dyDescent="0.3">
      <c r="A62" s="147">
        <v>10</v>
      </c>
      <c r="B62" s="148" t="s">
        <v>90</v>
      </c>
      <c r="C62" s="472">
        <f t="shared" ca="1" si="16"/>
        <v>219496</v>
      </c>
      <c r="D62" s="473">
        <f t="shared" ca="1" si="36"/>
        <v>219496</v>
      </c>
      <c r="E62" s="151">
        <f ca="1">IFERROR(__xludf.DUMMYFUNCTION("IMPORTRANGE(""https://docs.google.com/spreadsheets/d/1-uDff_7J0KD5mKrp0Vvzr7lt3OU09vwQwhkpOPPYv2Y/edit?usp=sharing"",""งบพรบ!GR62"")"),0)</f>
        <v>0</v>
      </c>
      <c r="F62" s="151">
        <f ca="1">IFERROR(__xludf.DUMMYFUNCTION("IMPORTRANGE(""https://docs.google.com/spreadsheets/d/1-uDff_7J0KD5mKrp0Vvzr7lt3OU09vwQwhkpOPPYv2Y/edit?usp=sharing"",""งบพรบ!GS62"")"),219496)</f>
        <v>219496</v>
      </c>
      <c r="G62" s="151">
        <f ca="1">IFERROR(__xludf.DUMMYFUNCTION("IMPORTRANGE(""https://docs.google.com/spreadsheets/d/1-uDff_7J0KD5mKrp0Vvzr7lt3OU09vwQwhkpOPPYv2Y/edit?usp=sharing"",""งบพรบ!GT62"")"),0)</f>
        <v>0</v>
      </c>
      <c r="H62" s="151">
        <f ca="1">IFERROR(__xludf.DUMMYFUNCTION("IMPORTRANGE(""https://docs.google.com/spreadsheets/d/1-uDff_7J0KD5mKrp0Vvzr7lt3OU09vwQwhkpOPPYv2Y/edit?usp=sharing"",""งบพรบ!GV62"")"),219496)</f>
        <v>219496</v>
      </c>
      <c r="I62" s="151">
        <f ca="1">IFERROR(__xludf.DUMMYFUNCTION("IMPORTRANGE(""https://docs.google.com/spreadsheets/d/1-uDff_7J0KD5mKrp0Vvzr7lt3OU09vwQwhkpOPPYv2Y/edit?usp=sharing"",""งบพรบ!GW62"")"),0)</f>
        <v>0</v>
      </c>
      <c r="J62" s="262">
        <f t="shared" ca="1" si="18"/>
        <v>6420</v>
      </c>
      <c r="K62" s="476">
        <f t="shared" ca="1" si="19"/>
        <v>2.9248824579946788</v>
      </c>
      <c r="L62" s="151">
        <f ca="1">IFERROR(__xludf.DUMMYFUNCTION("IMPORTRANGE(""https://docs.google.com/spreadsheets/d/1-uDff_7J0KD5mKrp0Vvzr7lt3OU09vwQwhkpOPPYv2Y/edit?usp=sharing"",""งบพรบ!GX62"")"),6420)</f>
        <v>6420</v>
      </c>
      <c r="M62" s="260">
        <f t="shared" ca="1" si="20"/>
        <v>2.9248824579946788</v>
      </c>
      <c r="N62" s="260">
        <f t="shared" ca="1" si="21"/>
        <v>2.9248824579946788</v>
      </c>
      <c r="O62" s="151">
        <f ca="1">IFERROR(__xludf.DUMMYFUNCTION("IMPORTRANGE(""https://docs.google.com/spreadsheets/d/1-uDff_7J0KD5mKrp0Vvzr7lt3OU09vwQwhkpOPPYv2Y/edit?usp=sharing"",""งบพรบ!GY62"")"),0)</f>
        <v>0</v>
      </c>
      <c r="P62" s="475">
        <f t="shared" ca="1" si="22"/>
        <v>0</v>
      </c>
      <c r="Q62" s="260">
        <f t="shared" ca="1" si="23"/>
        <v>0</v>
      </c>
      <c r="R62" s="278">
        <f ca="1">IFERROR(__xludf.DUMMYFUNCTION("IMPORTRANGE(""https://docs.google.com/spreadsheets/d/1GbCIE4D4wk9FUozzqk7SxfDMxDVBwVmI5zcaVUSzKAc/edit?usp=sharing"",""ประจวบคีรีขันธ์!I586"")"),2)</f>
        <v>2</v>
      </c>
      <c r="S62" s="152">
        <f ca="1">IFERROR(__xludf.DUMMYFUNCTION("IMPORTRANGE(""https://docs.google.com/spreadsheets/d/1GbCIE4D4wk9FUozzqk7SxfDMxDVBwVmI5zcaVUSzKAc/edit?usp=sharing"",""ประจวบคีรีขันธ์!J586"")"),0)</f>
        <v>0</v>
      </c>
      <c r="T62" s="216">
        <f t="shared" ca="1" si="25"/>
        <v>0</v>
      </c>
      <c r="U62" s="278">
        <f ca="1">IFERROR(__xludf.DUMMYFUNCTION("IMPORTRANGE(""https://docs.google.com/spreadsheets/d/1GbCIE4D4wk9FUozzqk7SxfDMxDVBwVmI5zcaVUSzKAc/edit?usp=sharing"",""ประจวบคีรีขันธ์!I587"")"),4)</f>
        <v>4</v>
      </c>
      <c r="V62" s="152">
        <f ca="1">IFERROR(__xludf.DUMMYFUNCTION("IMPORTRANGE(""https://docs.google.com/spreadsheets/d/1GbCIE4D4wk9FUozzqk7SxfDMxDVBwVmI5zcaVUSzKAc/edit?usp=sharing"",""ประจวบคีรีขันธ์!J587"")"),0)</f>
        <v>0</v>
      </c>
      <c r="W62" s="216">
        <f t="shared" ca="1" si="27"/>
        <v>0</v>
      </c>
    </row>
    <row r="63" spans="1:24" ht="19.5" x14ac:dyDescent="0.3">
      <c r="A63" s="147">
        <v>11</v>
      </c>
      <c r="B63" s="148" t="s">
        <v>91</v>
      </c>
      <c r="C63" s="472">
        <f t="shared" ca="1" si="16"/>
        <v>0</v>
      </c>
      <c r="D63" s="473">
        <f t="shared" ca="1" si="36"/>
        <v>0</v>
      </c>
      <c r="E63" s="151">
        <f ca="1">IFERROR(__xludf.DUMMYFUNCTION("IMPORTRANGE(""https://docs.google.com/spreadsheets/d/1-uDff_7J0KD5mKrp0Vvzr7lt3OU09vwQwhkpOPPYv2Y/edit?usp=sharing"",""งบพรบ!GR63"")"),0)</f>
        <v>0</v>
      </c>
      <c r="F63" s="151">
        <f ca="1">IFERROR(__xludf.DUMMYFUNCTION("IMPORTRANGE(""https://docs.google.com/spreadsheets/d/1-uDff_7J0KD5mKrp0Vvzr7lt3OU09vwQwhkpOPPYv2Y/edit?usp=sharing"",""งบพรบ!GS63"")"),0)</f>
        <v>0</v>
      </c>
      <c r="G63" s="151">
        <f ca="1">IFERROR(__xludf.DUMMYFUNCTION("IMPORTRANGE(""https://docs.google.com/spreadsheets/d/1-uDff_7J0KD5mKrp0Vvzr7lt3OU09vwQwhkpOPPYv2Y/edit?usp=sharing"",""งบพรบ!GT63"")"),0)</f>
        <v>0</v>
      </c>
      <c r="H63" s="151">
        <f ca="1">IFERROR(__xludf.DUMMYFUNCTION("IMPORTRANGE(""https://docs.google.com/spreadsheets/d/1-uDff_7J0KD5mKrp0Vvzr7lt3OU09vwQwhkpOPPYv2Y/edit?usp=sharing"",""งบพรบ!GV63"")"),0)</f>
        <v>0</v>
      </c>
      <c r="I63" s="151">
        <f ca="1">IFERROR(__xludf.DUMMYFUNCTION("IMPORTRANGE(""https://docs.google.com/spreadsheets/d/1-uDff_7J0KD5mKrp0Vvzr7lt3OU09vwQwhkpOPPYv2Y/edit?usp=sharing"",""งบพรบ!GW63"")"),0)</f>
        <v>0</v>
      </c>
      <c r="J63" s="262">
        <f t="shared" ca="1" si="18"/>
        <v>0</v>
      </c>
      <c r="K63" s="476">
        <f t="shared" ca="1" si="19"/>
        <v>0</v>
      </c>
      <c r="L63" s="151">
        <f ca="1">IFERROR(__xludf.DUMMYFUNCTION("IMPORTRANGE(""https://docs.google.com/spreadsheets/d/1-uDff_7J0KD5mKrp0Vvzr7lt3OU09vwQwhkpOPPYv2Y/edit?usp=sharing"",""งบพรบ!GX63"")"),0)</f>
        <v>0</v>
      </c>
      <c r="M63" s="260">
        <f t="shared" ca="1" si="20"/>
        <v>0</v>
      </c>
      <c r="N63" s="260">
        <f t="shared" ca="1" si="21"/>
        <v>0</v>
      </c>
      <c r="O63" s="151">
        <f ca="1">IFERROR(__xludf.DUMMYFUNCTION("IMPORTRANGE(""https://docs.google.com/spreadsheets/d/1-uDff_7J0KD5mKrp0Vvzr7lt3OU09vwQwhkpOPPYv2Y/edit?usp=sharing"",""งบพรบ!GY63"")"),0)</f>
        <v>0</v>
      </c>
      <c r="P63" s="475">
        <f t="shared" ca="1" si="22"/>
        <v>0</v>
      </c>
      <c r="Q63" s="260">
        <f t="shared" ca="1" si="23"/>
        <v>0</v>
      </c>
      <c r="R63" s="278">
        <v>0</v>
      </c>
      <c r="S63" s="152">
        <v>0</v>
      </c>
      <c r="T63" s="216">
        <f t="shared" si="25"/>
        <v>0</v>
      </c>
      <c r="U63" s="278">
        <v>0</v>
      </c>
      <c r="V63" s="152">
        <v>0</v>
      </c>
      <c r="W63" s="216">
        <f t="shared" si="27"/>
        <v>0</v>
      </c>
    </row>
    <row r="64" spans="1:24" ht="19.5" x14ac:dyDescent="0.3">
      <c r="A64" s="147">
        <v>12</v>
      </c>
      <c r="B64" s="148" t="s">
        <v>92</v>
      </c>
      <c r="C64" s="472">
        <f t="shared" ca="1" si="16"/>
        <v>0</v>
      </c>
      <c r="D64" s="473">
        <f t="shared" ca="1" si="36"/>
        <v>0</v>
      </c>
      <c r="E64" s="151">
        <f ca="1">IFERROR(__xludf.DUMMYFUNCTION("IMPORTRANGE(""https://docs.google.com/spreadsheets/d/1-uDff_7J0KD5mKrp0Vvzr7lt3OU09vwQwhkpOPPYv2Y/edit?usp=sharing"",""งบพรบ!GR64"")"),0)</f>
        <v>0</v>
      </c>
      <c r="F64" s="151">
        <f ca="1">IFERROR(__xludf.DUMMYFUNCTION("IMPORTRANGE(""https://docs.google.com/spreadsheets/d/1-uDff_7J0KD5mKrp0Vvzr7lt3OU09vwQwhkpOPPYv2Y/edit?usp=sharing"",""งบพรบ!GS64"")"),0)</f>
        <v>0</v>
      </c>
      <c r="G64" s="151">
        <f ca="1">IFERROR(__xludf.DUMMYFUNCTION("IMPORTRANGE(""https://docs.google.com/spreadsheets/d/1-uDff_7J0KD5mKrp0Vvzr7lt3OU09vwQwhkpOPPYv2Y/edit?usp=sharing"",""งบพรบ!GT64"")"),0)</f>
        <v>0</v>
      </c>
      <c r="H64" s="151">
        <f ca="1">IFERROR(__xludf.DUMMYFUNCTION("IMPORTRANGE(""https://docs.google.com/spreadsheets/d/1-uDff_7J0KD5mKrp0Vvzr7lt3OU09vwQwhkpOPPYv2Y/edit?usp=sharing"",""งบพรบ!GV64"")"),0)</f>
        <v>0</v>
      </c>
      <c r="I64" s="151">
        <f ca="1">IFERROR(__xludf.DUMMYFUNCTION("IMPORTRANGE(""https://docs.google.com/spreadsheets/d/1-uDff_7J0KD5mKrp0Vvzr7lt3OU09vwQwhkpOPPYv2Y/edit?usp=sharing"",""งบพรบ!GW64"")"),0)</f>
        <v>0</v>
      </c>
      <c r="J64" s="262">
        <f t="shared" ca="1" si="18"/>
        <v>0</v>
      </c>
      <c r="K64" s="476">
        <f t="shared" ca="1" si="19"/>
        <v>0</v>
      </c>
      <c r="L64" s="151">
        <f ca="1">IFERROR(__xludf.DUMMYFUNCTION("IMPORTRANGE(""https://docs.google.com/spreadsheets/d/1-uDff_7J0KD5mKrp0Vvzr7lt3OU09vwQwhkpOPPYv2Y/edit?usp=sharing"",""งบพรบ!GX64"")"),0)</f>
        <v>0</v>
      </c>
      <c r="M64" s="260">
        <f t="shared" ca="1" si="20"/>
        <v>0</v>
      </c>
      <c r="N64" s="260">
        <f t="shared" ca="1" si="21"/>
        <v>0</v>
      </c>
      <c r="O64" s="151">
        <f ca="1">IFERROR(__xludf.DUMMYFUNCTION("IMPORTRANGE(""https://docs.google.com/spreadsheets/d/1-uDff_7J0KD5mKrp0Vvzr7lt3OU09vwQwhkpOPPYv2Y/edit?usp=sharing"",""งบพรบ!GY64"")"),0)</f>
        <v>0</v>
      </c>
      <c r="P64" s="475">
        <f t="shared" ca="1" si="22"/>
        <v>0</v>
      </c>
      <c r="Q64" s="260">
        <f t="shared" ca="1" si="23"/>
        <v>0</v>
      </c>
      <c r="R64" s="278">
        <v>0</v>
      </c>
      <c r="S64" s="152">
        <v>0</v>
      </c>
      <c r="T64" s="216">
        <f t="shared" si="25"/>
        <v>0</v>
      </c>
      <c r="U64" s="278">
        <v>0</v>
      </c>
      <c r="V64" s="152">
        <v>0</v>
      </c>
      <c r="W64" s="216">
        <f t="shared" si="27"/>
        <v>0</v>
      </c>
    </row>
    <row r="65" spans="1:24" ht="19.5" x14ac:dyDescent="0.3">
      <c r="A65" s="147">
        <v>13</v>
      </c>
      <c r="B65" s="148" t="s">
        <v>93</v>
      </c>
      <c r="C65" s="472">
        <f t="shared" ca="1" si="16"/>
        <v>0</v>
      </c>
      <c r="D65" s="473">
        <f t="shared" ca="1" si="36"/>
        <v>0</v>
      </c>
      <c r="E65" s="151">
        <f ca="1">IFERROR(__xludf.DUMMYFUNCTION("IMPORTRANGE(""https://docs.google.com/spreadsheets/d/1-uDff_7J0KD5mKrp0Vvzr7lt3OU09vwQwhkpOPPYv2Y/edit?usp=sharing"",""งบพรบ!GR65"")"),0)</f>
        <v>0</v>
      </c>
      <c r="F65" s="151">
        <f ca="1">IFERROR(__xludf.DUMMYFUNCTION("IMPORTRANGE(""https://docs.google.com/spreadsheets/d/1-uDff_7J0KD5mKrp0Vvzr7lt3OU09vwQwhkpOPPYv2Y/edit?usp=sharing"",""งบพรบ!GS65"")"),0)</f>
        <v>0</v>
      </c>
      <c r="G65" s="151">
        <f ca="1">IFERROR(__xludf.DUMMYFUNCTION("IMPORTRANGE(""https://docs.google.com/spreadsheets/d/1-uDff_7J0KD5mKrp0Vvzr7lt3OU09vwQwhkpOPPYv2Y/edit?usp=sharing"",""งบพรบ!GT65"")"),0)</f>
        <v>0</v>
      </c>
      <c r="H65" s="151">
        <f ca="1">IFERROR(__xludf.DUMMYFUNCTION("IMPORTRANGE(""https://docs.google.com/spreadsheets/d/1-uDff_7J0KD5mKrp0Vvzr7lt3OU09vwQwhkpOPPYv2Y/edit?usp=sharing"",""งบพรบ!GV65"")"),0)</f>
        <v>0</v>
      </c>
      <c r="I65" s="151">
        <f ca="1">IFERROR(__xludf.DUMMYFUNCTION("IMPORTRANGE(""https://docs.google.com/spreadsheets/d/1-uDff_7J0KD5mKrp0Vvzr7lt3OU09vwQwhkpOPPYv2Y/edit?usp=sharing"",""งบพรบ!GW65"")"),0)</f>
        <v>0</v>
      </c>
      <c r="J65" s="262">
        <f t="shared" ca="1" si="18"/>
        <v>0</v>
      </c>
      <c r="K65" s="476">
        <f t="shared" ca="1" si="19"/>
        <v>0</v>
      </c>
      <c r="L65" s="151">
        <f ca="1">IFERROR(__xludf.DUMMYFUNCTION("IMPORTRANGE(""https://docs.google.com/spreadsheets/d/1-uDff_7J0KD5mKrp0Vvzr7lt3OU09vwQwhkpOPPYv2Y/edit?usp=sharing"",""งบพรบ!GX65"")"),0)</f>
        <v>0</v>
      </c>
      <c r="M65" s="260">
        <f t="shared" ca="1" si="20"/>
        <v>0</v>
      </c>
      <c r="N65" s="260">
        <f t="shared" ca="1" si="21"/>
        <v>0</v>
      </c>
      <c r="O65" s="151">
        <f ca="1">IFERROR(__xludf.DUMMYFUNCTION("IMPORTRANGE(""https://docs.google.com/spreadsheets/d/1-uDff_7J0KD5mKrp0Vvzr7lt3OU09vwQwhkpOPPYv2Y/edit?usp=sharing"",""งบพรบ!GY65"")"),0)</f>
        <v>0</v>
      </c>
      <c r="P65" s="475">
        <f t="shared" ca="1" si="22"/>
        <v>0</v>
      </c>
      <c r="Q65" s="260">
        <f t="shared" ca="1" si="23"/>
        <v>0</v>
      </c>
      <c r="R65" s="278">
        <v>0</v>
      </c>
      <c r="S65" s="152">
        <v>0</v>
      </c>
      <c r="T65" s="216">
        <f t="shared" si="25"/>
        <v>0</v>
      </c>
      <c r="U65" s="278">
        <v>0</v>
      </c>
      <c r="V65" s="152">
        <v>0</v>
      </c>
      <c r="W65" s="216">
        <f t="shared" si="27"/>
        <v>0</v>
      </c>
    </row>
    <row r="66" spans="1:24" ht="19.5" x14ac:dyDescent="0.3">
      <c r="A66" s="147">
        <v>14</v>
      </c>
      <c r="B66" s="148" t="s">
        <v>94</v>
      </c>
      <c r="C66" s="472">
        <f t="shared" ca="1" si="16"/>
        <v>0</v>
      </c>
      <c r="D66" s="473">
        <f t="shared" ca="1" si="36"/>
        <v>0</v>
      </c>
      <c r="E66" s="151">
        <f ca="1">IFERROR(__xludf.DUMMYFUNCTION("IMPORTRANGE(""https://docs.google.com/spreadsheets/d/1-uDff_7J0KD5mKrp0Vvzr7lt3OU09vwQwhkpOPPYv2Y/edit?usp=sharing"",""งบพรบ!GR66"")"),0)</f>
        <v>0</v>
      </c>
      <c r="F66" s="151">
        <f ca="1">IFERROR(__xludf.DUMMYFUNCTION("IMPORTRANGE(""https://docs.google.com/spreadsheets/d/1-uDff_7J0KD5mKrp0Vvzr7lt3OU09vwQwhkpOPPYv2Y/edit?usp=sharing"",""งบพรบ!GS66"")"),0)</f>
        <v>0</v>
      </c>
      <c r="G66" s="151">
        <f ca="1">IFERROR(__xludf.DUMMYFUNCTION("IMPORTRANGE(""https://docs.google.com/spreadsheets/d/1-uDff_7J0KD5mKrp0Vvzr7lt3OU09vwQwhkpOPPYv2Y/edit?usp=sharing"",""งบพรบ!GT66"")"),0)</f>
        <v>0</v>
      </c>
      <c r="H66" s="151">
        <f ca="1">IFERROR(__xludf.DUMMYFUNCTION("IMPORTRANGE(""https://docs.google.com/spreadsheets/d/1-uDff_7J0KD5mKrp0Vvzr7lt3OU09vwQwhkpOPPYv2Y/edit?usp=sharing"",""งบพรบ!GV66"")"),0)</f>
        <v>0</v>
      </c>
      <c r="I66" s="151">
        <f ca="1">IFERROR(__xludf.DUMMYFUNCTION("IMPORTRANGE(""https://docs.google.com/spreadsheets/d/1-uDff_7J0KD5mKrp0Vvzr7lt3OU09vwQwhkpOPPYv2Y/edit?usp=sharing"",""งบพรบ!GW66"")"),0)</f>
        <v>0</v>
      </c>
      <c r="J66" s="262">
        <f t="shared" ca="1" si="18"/>
        <v>0</v>
      </c>
      <c r="K66" s="476">
        <f t="shared" ca="1" si="19"/>
        <v>0</v>
      </c>
      <c r="L66" s="151">
        <f ca="1">IFERROR(__xludf.DUMMYFUNCTION("IMPORTRANGE(""https://docs.google.com/spreadsheets/d/1-uDff_7J0KD5mKrp0Vvzr7lt3OU09vwQwhkpOPPYv2Y/edit?usp=sharing"",""งบพรบ!GX66"")"),0)</f>
        <v>0</v>
      </c>
      <c r="M66" s="260">
        <f t="shared" ca="1" si="20"/>
        <v>0</v>
      </c>
      <c r="N66" s="260">
        <f t="shared" ca="1" si="21"/>
        <v>0</v>
      </c>
      <c r="O66" s="151">
        <f ca="1">IFERROR(__xludf.DUMMYFUNCTION("IMPORTRANGE(""https://docs.google.com/spreadsheets/d/1-uDff_7J0KD5mKrp0Vvzr7lt3OU09vwQwhkpOPPYv2Y/edit?usp=sharing"",""งบพรบ!GY66"")"),0)</f>
        <v>0</v>
      </c>
      <c r="P66" s="475">
        <f t="shared" ca="1" si="22"/>
        <v>0</v>
      </c>
      <c r="Q66" s="260">
        <f t="shared" ca="1" si="23"/>
        <v>0</v>
      </c>
      <c r="R66" s="278">
        <v>0</v>
      </c>
      <c r="S66" s="152">
        <v>0</v>
      </c>
      <c r="T66" s="216">
        <f t="shared" si="25"/>
        <v>0</v>
      </c>
      <c r="U66" s="278">
        <v>0</v>
      </c>
      <c r="V66" s="152">
        <v>0</v>
      </c>
      <c r="W66" s="216">
        <f t="shared" si="27"/>
        <v>0</v>
      </c>
    </row>
    <row r="67" spans="1:24" ht="19.5" x14ac:dyDescent="0.3">
      <c r="A67" s="147">
        <v>15</v>
      </c>
      <c r="B67" s="148" t="s">
        <v>95</v>
      </c>
      <c r="C67" s="472">
        <f t="shared" ca="1" si="16"/>
        <v>0</v>
      </c>
      <c r="D67" s="473">
        <f t="shared" ca="1" si="36"/>
        <v>0</v>
      </c>
      <c r="E67" s="151">
        <f ca="1">IFERROR(__xludf.DUMMYFUNCTION("IMPORTRANGE(""https://docs.google.com/spreadsheets/d/1-uDff_7J0KD5mKrp0Vvzr7lt3OU09vwQwhkpOPPYv2Y/edit?usp=sharing"",""งบพรบ!GR67"")"),0)</f>
        <v>0</v>
      </c>
      <c r="F67" s="151">
        <f ca="1">IFERROR(__xludf.DUMMYFUNCTION("IMPORTRANGE(""https://docs.google.com/spreadsheets/d/1-uDff_7J0KD5mKrp0Vvzr7lt3OU09vwQwhkpOPPYv2Y/edit?usp=sharing"",""งบพรบ!GS67"")"),0)</f>
        <v>0</v>
      </c>
      <c r="G67" s="151">
        <f ca="1">IFERROR(__xludf.DUMMYFUNCTION("IMPORTRANGE(""https://docs.google.com/spreadsheets/d/1-uDff_7J0KD5mKrp0Vvzr7lt3OU09vwQwhkpOPPYv2Y/edit?usp=sharing"",""งบพรบ!GT67"")"),0)</f>
        <v>0</v>
      </c>
      <c r="H67" s="151">
        <f ca="1">IFERROR(__xludf.DUMMYFUNCTION("IMPORTRANGE(""https://docs.google.com/spreadsheets/d/1-uDff_7J0KD5mKrp0Vvzr7lt3OU09vwQwhkpOPPYv2Y/edit?usp=sharing"",""งบพรบ!GV67"")"),0)</f>
        <v>0</v>
      </c>
      <c r="I67" s="151">
        <f ca="1">IFERROR(__xludf.DUMMYFUNCTION("IMPORTRANGE(""https://docs.google.com/spreadsheets/d/1-uDff_7J0KD5mKrp0Vvzr7lt3OU09vwQwhkpOPPYv2Y/edit?usp=sharing"",""งบพรบ!GW67"")"),0)</f>
        <v>0</v>
      </c>
      <c r="J67" s="262">
        <f t="shared" ca="1" si="18"/>
        <v>0</v>
      </c>
      <c r="K67" s="476">
        <f t="shared" ca="1" si="19"/>
        <v>0</v>
      </c>
      <c r="L67" s="151">
        <f ca="1">IFERROR(__xludf.DUMMYFUNCTION("IMPORTRANGE(""https://docs.google.com/spreadsheets/d/1-uDff_7J0KD5mKrp0Vvzr7lt3OU09vwQwhkpOPPYv2Y/edit?usp=sharing"",""งบพรบ!GX67"")"),0)</f>
        <v>0</v>
      </c>
      <c r="M67" s="260">
        <f t="shared" ca="1" si="20"/>
        <v>0</v>
      </c>
      <c r="N67" s="260">
        <f t="shared" ca="1" si="21"/>
        <v>0</v>
      </c>
      <c r="O67" s="151">
        <f ca="1">IFERROR(__xludf.DUMMYFUNCTION("IMPORTRANGE(""https://docs.google.com/spreadsheets/d/1-uDff_7J0KD5mKrp0Vvzr7lt3OU09vwQwhkpOPPYv2Y/edit?usp=sharing"",""งบพรบ!GY67"")"),0)</f>
        <v>0</v>
      </c>
      <c r="P67" s="475">
        <f t="shared" ca="1" si="22"/>
        <v>0</v>
      </c>
      <c r="Q67" s="260">
        <f t="shared" ca="1" si="23"/>
        <v>0</v>
      </c>
      <c r="R67" s="278">
        <v>0</v>
      </c>
      <c r="S67" s="152">
        <v>0</v>
      </c>
      <c r="T67" s="216">
        <f t="shared" si="25"/>
        <v>0</v>
      </c>
      <c r="U67" s="278">
        <v>0</v>
      </c>
      <c r="V67" s="152">
        <v>0</v>
      </c>
      <c r="W67" s="216">
        <f t="shared" si="27"/>
        <v>0</v>
      </c>
    </row>
    <row r="68" spans="1:24" ht="19.5" x14ac:dyDescent="0.3">
      <c r="A68" s="147">
        <v>16</v>
      </c>
      <c r="B68" s="148" t="s">
        <v>96</v>
      </c>
      <c r="C68" s="472">
        <f t="shared" ca="1" si="16"/>
        <v>474310</v>
      </c>
      <c r="D68" s="473">
        <f t="shared" ca="1" si="36"/>
        <v>474310</v>
      </c>
      <c r="E68" s="151">
        <f ca="1">IFERROR(__xludf.DUMMYFUNCTION("IMPORTRANGE(""https://docs.google.com/spreadsheets/d/1-uDff_7J0KD5mKrp0Vvzr7lt3OU09vwQwhkpOPPYv2Y/edit?usp=sharing"",""งบพรบ!GR68"")"),0)</f>
        <v>0</v>
      </c>
      <c r="F68" s="151">
        <f ca="1">IFERROR(__xludf.DUMMYFUNCTION("IMPORTRANGE(""https://docs.google.com/spreadsheets/d/1-uDff_7J0KD5mKrp0Vvzr7lt3OU09vwQwhkpOPPYv2Y/edit?usp=sharing"",""งบพรบ!GS68"")"),474310)</f>
        <v>474310</v>
      </c>
      <c r="G68" s="151">
        <f ca="1">IFERROR(__xludf.DUMMYFUNCTION("IMPORTRANGE(""https://docs.google.com/spreadsheets/d/1-uDff_7J0KD5mKrp0Vvzr7lt3OU09vwQwhkpOPPYv2Y/edit?usp=sharing"",""งบพรบ!GT68"")"),0)</f>
        <v>0</v>
      </c>
      <c r="H68" s="151">
        <f ca="1">IFERROR(__xludf.DUMMYFUNCTION("IMPORTRANGE(""https://docs.google.com/spreadsheets/d/1-uDff_7J0KD5mKrp0Vvzr7lt3OU09vwQwhkpOPPYv2Y/edit?usp=sharing"",""งบพรบ!GV68"")"),474310)</f>
        <v>474310</v>
      </c>
      <c r="I68" s="151">
        <f ca="1">IFERROR(__xludf.DUMMYFUNCTION("IMPORTRANGE(""https://docs.google.com/spreadsheets/d/1-uDff_7J0KD5mKrp0Vvzr7lt3OU09vwQwhkpOPPYv2Y/edit?usp=sharing"",""งบพรบ!GW68"")"),0)</f>
        <v>0</v>
      </c>
      <c r="J68" s="262">
        <f t="shared" ca="1" si="18"/>
        <v>254075</v>
      </c>
      <c r="K68" s="476">
        <f t="shared" ca="1" si="19"/>
        <v>53.567287217220802</v>
      </c>
      <c r="L68" s="151">
        <f ca="1">IFERROR(__xludf.DUMMYFUNCTION("IMPORTRANGE(""https://docs.google.com/spreadsheets/d/1-uDff_7J0KD5mKrp0Vvzr7lt3OU09vwQwhkpOPPYv2Y/edit?usp=sharing"",""งบพรบ!GX68"")"),254075)</f>
        <v>254075</v>
      </c>
      <c r="M68" s="260">
        <f t="shared" ca="1" si="20"/>
        <v>53.567287217220802</v>
      </c>
      <c r="N68" s="260">
        <f t="shared" ca="1" si="21"/>
        <v>53.567287217220802</v>
      </c>
      <c r="O68" s="151">
        <f ca="1">IFERROR(__xludf.DUMMYFUNCTION("IMPORTRANGE(""https://docs.google.com/spreadsheets/d/1-uDff_7J0KD5mKrp0Vvzr7lt3OU09vwQwhkpOPPYv2Y/edit?usp=sharing"",""งบพรบ!GY68"")"),0)</f>
        <v>0</v>
      </c>
      <c r="P68" s="475">
        <f t="shared" ca="1" si="22"/>
        <v>0</v>
      </c>
      <c r="Q68" s="260">
        <f t="shared" ca="1" si="23"/>
        <v>0</v>
      </c>
      <c r="R68" s="278">
        <f ca="1">IFERROR(__xludf.DUMMYFUNCTION("IMPORTRANGE(""https://docs.google.com/spreadsheets/d/1lufeA2cfFqM-elVq2hznhDzC6Pr7wkJ9ZG_sYNGCMCU/edit?usp=sharing"",""ลพบุรี!I586"")"),4)</f>
        <v>4</v>
      </c>
      <c r="S68" s="152">
        <f ca="1">IFERROR(__xludf.DUMMYFUNCTION("IMPORTRANGE(""https://docs.google.com/spreadsheets/d/1lufeA2cfFqM-elVq2hznhDzC6Pr7wkJ9ZG_sYNGCMCU/edit?usp=sharing"",""ลพบุรี!J586"")"),0)</f>
        <v>0</v>
      </c>
      <c r="T68" s="216">
        <f t="shared" ca="1" si="25"/>
        <v>0</v>
      </c>
      <c r="U68" s="278">
        <f ca="1">IFERROR(__xludf.DUMMYFUNCTION("IMPORTRANGE(""https://docs.google.com/spreadsheets/d/1lufeA2cfFqM-elVq2hznhDzC6Pr7wkJ9ZG_sYNGCMCU/edit?usp=sharing"",""ลพบุรี!I587"")"),10)</f>
        <v>10</v>
      </c>
      <c r="V68" s="152">
        <f ca="1">IFERROR(__xludf.DUMMYFUNCTION("IMPORTRANGE(""https://docs.google.com/spreadsheets/d/1lufeA2cfFqM-elVq2hznhDzC6Pr7wkJ9ZG_sYNGCMCU/edit?usp=sharing"",""ลพบุรี!J587"")"),0)</f>
        <v>0</v>
      </c>
      <c r="W68" s="216">
        <f t="shared" ca="1" si="27"/>
        <v>0</v>
      </c>
    </row>
    <row r="69" spans="1:24" ht="19.5" x14ac:dyDescent="0.3">
      <c r="A69" s="147">
        <v>17</v>
      </c>
      <c r="B69" s="148" t="s">
        <v>97</v>
      </c>
      <c r="C69" s="472">
        <f t="shared" ca="1" si="16"/>
        <v>0</v>
      </c>
      <c r="D69" s="473">
        <f t="shared" ca="1" si="36"/>
        <v>0</v>
      </c>
      <c r="E69" s="151">
        <f ca="1">IFERROR(__xludf.DUMMYFUNCTION("IMPORTRANGE(""https://docs.google.com/spreadsheets/d/1-uDff_7J0KD5mKrp0Vvzr7lt3OU09vwQwhkpOPPYv2Y/edit?usp=sharing"",""งบพรบ!GR69"")"),0)</f>
        <v>0</v>
      </c>
      <c r="F69" s="151">
        <f ca="1">IFERROR(__xludf.DUMMYFUNCTION("IMPORTRANGE(""https://docs.google.com/spreadsheets/d/1-uDff_7J0KD5mKrp0Vvzr7lt3OU09vwQwhkpOPPYv2Y/edit?usp=sharing"",""งบพรบ!GS69"")"),0)</f>
        <v>0</v>
      </c>
      <c r="G69" s="151">
        <f ca="1">IFERROR(__xludf.DUMMYFUNCTION("IMPORTRANGE(""https://docs.google.com/spreadsheets/d/1-uDff_7J0KD5mKrp0Vvzr7lt3OU09vwQwhkpOPPYv2Y/edit?usp=sharing"",""งบพรบ!GT69"")"),0)</f>
        <v>0</v>
      </c>
      <c r="H69" s="151">
        <f ca="1">IFERROR(__xludf.DUMMYFUNCTION("IMPORTRANGE(""https://docs.google.com/spreadsheets/d/1-uDff_7J0KD5mKrp0Vvzr7lt3OU09vwQwhkpOPPYv2Y/edit?usp=sharing"",""งบพรบ!GV69"")"),0)</f>
        <v>0</v>
      </c>
      <c r="I69" s="151">
        <f ca="1">IFERROR(__xludf.DUMMYFUNCTION("IMPORTRANGE(""https://docs.google.com/spreadsheets/d/1-uDff_7J0KD5mKrp0Vvzr7lt3OU09vwQwhkpOPPYv2Y/edit?usp=sharing"",""งบพรบ!GW69"")"),0)</f>
        <v>0</v>
      </c>
      <c r="J69" s="262">
        <f t="shared" ca="1" si="18"/>
        <v>0</v>
      </c>
      <c r="K69" s="476">
        <f t="shared" ca="1" si="19"/>
        <v>0</v>
      </c>
      <c r="L69" s="151">
        <f ca="1">IFERROR(__xludf.DUMMYFUNCTION("IMPORTRANGE(""https://docs.google.com/spreadsheets/d/1-uDff_7J0KD5mKrp0Vvzr7lt3OU09vwQwhkpOPPYv2Y/edit?usp=sharing"",""งบพรบ!GX69"")"),0)</f>
        <v>0</v>
      </c>
      <c r="M69" s="260">
        <f t="shared" ca="1" si="20"/>
        <v>0</v>
      </c>
      <c r="N69" s="260">
        <f t="shared" ca="1" si="21"/>
        <v>0</v>
      </c>
      <c r="O69" s="151">
        <f ca="1">IFERROR(__xludf.DUMMYFUNCTION("IMPORTRANGE(""https://docs.google.com/spreadsheets/d/1-uDff_7J0KD5mKrp0Vvzr7lt3OU09vwQwhkpOPPYv2Y/edit?usp=sharing"",""งบพรบ!GY69"")"),0)</f>
        <v>0</v>
      </c>
      <c r="P69" s="475">
        <f t="shared" ca="1" si="22"/>
        <v>0</v>
      </c>
      <c r="Q69" s="260">
        <f t="shared" ca="1" si="23"/>
        <v>0</v>
      </c>
      <c r="R69" s="278">
        <v>0</v>
      </c>
      <c r="S69" s="152">
        <v>0</v>
      </c>
      <c r="T69" s="216">
        <f t="shared" si="25"/>
        <v>0</v>
      </c>
      <c r="U69" s="278">
        <v>0</v>
      </c>
      <c r="V69" s="152">
        <v>0</v>
      </c>
      <c r="W69" s="216">
        <f t="shared" si="27"/>
        <v>0</v>
      </c>
    </row>
    <row r="70" spans="1:24" ht="19.5" x14ac:dyDescent="0.3">
      <c r="A70" s="147">
        <v>18</v>
      </c>
      <c r="B70" s="148" t="s">
        <v>98</v>
      </c>
      <c r="C70" s="472">
        <f t="shared" ca="1" si="16"/>
        <v>0</v>
      </c>
      <c r="D70" s="473">
        <f t="shared" ca="1" si="36"/>
        <v>0</v>
      </c>
      <c r="E70" s="151">
        <f ca="1">IFERROR(__xludf.DUMMYFUNCTION("IMPORTRANGE(""https://docs.google.com/spreadsheets/d/1-uDff_7J0KD5mKrp0Vvzr7lt3OU09vwQwhkpOPPYv2Y/edit?usp=sharing"",""งบพรบ!GR70"")"),0)</f>
        <v>0</v>
      </c>
      <c r="F70" s="151">
        <f ca="1">IFERROR(__xludf.DUMMYFUNCTION("IMPORTRANGE(""https://docs.google.com/spreadsheets/d/1-uDff_7J0KD5mKrp0Vvzr7lt3OU09vwQwhkpOPPYv2Y/edit?usp=sharing"",""งบพรบ!GS70"")"),0)</f>
        <v>0</v>
      </c>
      <c r="G70" s="151">
        <f ca="1">IFERROR(__xludf.DUMMYFUNCTION("IMPORTRANGE(""https://docs.google.com/spreadsheets/d/1-uDff_7J0KD5mKrp0Vvzr7lt3OU09vwQwhkpOPPYv2Y/edit?usp=sharing"",""งบพรบ!GT70"")"),0)</f>
        <v>0</v>
      </c>
      <c r="H70" s="151">
        <f ca="1">IFERROR(__xludf.DUMMYFUNCTION("IMPORTRANGE(""https://docs.google.com/spreadsheets/d/1-uDff_7J0KD5mKrp0Vvzr7lt3OU09vwQwhkpOPPYv2Y/edit?usp=sharing"",""งบพรบ!GV70"")"),0)</f>
        <v>0</v>
      </c>
      <c r="I70" s="151">
        <f ca="1">IFERROR(__xludf.DUMMYFUNCTION("IMPORTRANGE(""https://docs.google.com/spreadsheets/d/1-uDff_7J0KD5mKrp0Vvzr7lt3OU09vwQwhkpOPPYv2Y/edit?usp=sharing"",""งบพรบ!GW70"")"),0)</f>
        <v>0</v>
      </c>
      <c r="J70" s="262">
        <f t="shared" ca="1" si="18"/>
        <v>0</v>
      </c>
      <c r="K70" s="476">
        <f t="shared" ca="1" si="19"/>
        <v>0</v>
      </c>
      <c r="L70" s="151">
        <f ca="1">IFERROR(__xludf.DUMMYFUNCTION("IMPORTRANGE(""https://docs.google.com/spreadsheets/d/1-uDff_7J0KD5mKrp0Vvzr7lt3OU09vwQwhkpOPPYv2Y/edit?usp=sharing"",""งบพรบ!GX70"")"),0)</f>
        <v>0</v>
      </c>
      <c r="M70" s="260">
        <f t="shared" ca="1" si="20"/>
        <v>0</v>
      </c>
      <c r="N70" s="260">
        <f t="shared" ca="1" si="21"/>
        <v>0</v>
      </c>
      <c r="O70" s="151">
        <f ca="1">IFERROR(__xludf.DUMMYFUNCTION("IMPORTRANGE(""https://docs.google.com/spreadsheets/d/1-uDff_7J0KD5mKrp0Vvzr7lt3OU09vwQwhkpOPPYv2Y/edit?usp=sharing"",""งบพรบ!GY70"")"),0)</f>
        <v>0</v>
      </c>
      <c r="P70" s="475">
        <f t="shared" ca="1" si="22"/>
        <v>0</v>
      </c>
      <c r="Q70" s="260">
        <f t="shared" ca="1" si="23"/>
        <v>0</v>
      </c>
      <c r="R70" s="278">
        <v>0</v>
      </c>
      <c r="S70" s="152">
        <v>0</v>
      </c>
      <c r="T70" s="216">
        <f t="shared" si="25"/>
        <v>0</v>
      </c>
      <c r="U70" s="278">
        <v>0</v>
      </c>
      <c r="V70" s="152">
        <v>0</v>
      </c>
      <c r="W70" s="216">
        <f t="shared" si="27"/>
        <v>0</v>
      </c>
    </row>
    <row r="71" spans="1:24" ht="19.5" x14ac:dyDescent="0.3">
      <c r="A71" s="147">
        <v>19</v>
      </c>
      <c r="B71" s="148" t="s">
        <v>99</v>
      </c>
      <c r="C71" s="472">
        <f t="shared" ca="1" si="16"/>
        <v>0</v>
      </c>
      <c r="D71" s="473">
        <f t="shared" ca="1" si="36"/>
        <v>0</v>
      </c>
      <c r="E71" s="151">
        <f ca="1">IFERROR(__xludf.DUMMYFUNCTION("IMPORTRANGE(""https://docs.google.com/spreadsheets/d/1-uDff_7J0KD5mKrp0Vvzr7lt3OU09vwQwhkpOPPYv2Y/edit?usp=sharing"",""งบพรบ!GR71"")"),0)</f>
        <v>0</v>
      </c>
      <c r="F71" s="151">
        <f ca="1">IFERROR(__xludf.DUMMYFUNCTION("IMPORTRANGE(""https://docs.google.com/spreadsheets/d/1-uDff_7J0KD5mKrp0Vvzr7lt3OU09vwQwhkpOPPYv2Y/edit?usp=sharing"",""งบพรบ!GS71"")"),0)</f>
        <v>0</v>
      </c>
      <c r="G71" s="151">
        <f ca="1">IFERROR(__xludf.DUMMYFUNCTION("IMPORTRANGE(""https://docs.google.com/spreadsheets/d/1-uDff_7J0KD5mKrp0Vvzr7lt3OU09vwQwhkpOPPYv2Y/edit?usp=sharing"",""งบพรบ!GT71"")"),0)</f>
        <v>0</v>
      </c>
      <c r="H71" s="151">
        <f ca="1">IFERROR(__xludf.DUMMYFUNCTION("IMPORTRANGE(""https://docs.google.com/spreadsheets/d/1-uDff_7J0KD5mKrp0Vvzr7lt3OU09vwQwhkpOPPYv2Y/edit?usp=sharing"",""งบพรบ!GV71"")"),0)</f>
        <v>0</v>
      </c>
      <c r="I71" s="151">
        <f ca="1">IFERROR(__xludf.DUMMYFUNCTION("IMPORTRANGE(""https://docs.google.com/spreadsheets/d/1-uDff_7J0KD5mKrp0Vvzr7lt3OU09vwQwhkpOPPYv2Y/edit?usp=sharing"",""งบพรบ!GW71"")"),0)</f>
        <v>0</v>
      </c>
      <c r="J71" s="262">
        <f t="shared" ca="1" si="18"/>
        <v>0</v>
      </c>
      <c r="K71" s="476">
        <f t="shared" ca="1" si="19"/>
        <v>0</v>
      </c>
      <c r="L71" s="151">
        <f ca="1">IFERROR(__xludf.DUMMYFUNCTION("IMPORTRANGE(""https://docs.google.com/spreadsheets/d/1-uDff_7J0KD5mKrp0Vvzr7lt3OU09vwQwhkpOPPYv2Y/edit?usp=sharing"",""งบพรบ!GX71"")"),0)</f>
        <v>0</v>
      </c>
      <c r="M71" s="260">
        <f t="shared" ca="1" si="20"/>
        <v>0</v>
      </c>
      <c r="N71" s="260">
        <f t="shared" ca="1" si="21"/>
        <v>0</v>
      </c>
      <c r="O71" s="151">
        <f ca="1">IFERROR(__xludf.DUMMYFUNCTION("IMPORTRANGE(""https://docs.google.com/spreadsheets/d/1-uDff_7J0KD5mKrp0Vvzr7lt3OU09vwQwhkpOPPYv2Y/edit?usp=sharing"",""งบพรบ!GY71"")"),0)</f>
        <v>0</v>
      </c>
      <c r="P71" s="475">
        <f t="shared" ca="1" si="22"/>
        <v>0</v>
      </c>
      <c r="Q71" s="260">
        <f t="shared" ca="1" si="23"/>
        <v>0</v>
      </c>
      <c r="R71" s="278">
        <v>0</v>
      </c>
      <c r="S71" s="152">
        <v>0</v>
      </c>
      <c r="T71" s="216">
        <f t="shared" si="25"/>
        <v>0</v>
      </c>
      <c r="U71" s="278">
        <v>0</v>
      </c>
      <c r="V71" s="152">
        <v>0</v>
      </c>
      <c r="W71" s="216">
        <f t="shared" si="27"/>
        <v>0</v>
      </c>
    </row>
    <row r="72" spans="1:24" ht="19.5" x14ac:dyDescent="0.3">
      <c r="A72" s="147">
        <v>20</v>
      </c>
      <c r="B72" s="148" t="s">
        <v>100</v>
      </c>
      <c r="C72" s="472">
        <f t="shared" ca="1" si="16"/>
        <v>119378</v>
      </c>
      <c r="D72" s="473">
        <f t="shared" ca="1" si="36"/>
        <v>119378</v>
      </c>
      <c r="E72" s="151">
        <f ca="1">IFERROR(__xludf.DUMMYFUNCTION("IMPORTRANGE(""https://docs.google.com/spreadsheets/d/1-uDff_7J0KD5mKrp0Vvzr7lt3OU09vwQwhkpOPPYv2Y/edit?usp=sharing"",""งบพรบ!GR72"")"),0)</f>
        <v>0</v>
      </c>
      <c r="F72" s="151">
        <f ca="1">IFERROR(__xludf.DUMMYFUNCTION("IMPORTRANGE(""https://docs.google.com/spreadsheets/d/1-uDff_7J0KD5mKrp0Vvzr7lt3OU09vwQwhkpOPPYv2Y/edit?usp=sharing"",""งบพรบ!GS72"")"),119378)</f>
        <v>119378</v>
      </c>
      <c r="G72" s="151">
        <f ca="1">IFERROR(__xludf.DUMMYFUNCTION("IMPORTRANGE(""https://docs.google.com/spreadsheets/d/1-uDff_7J0KD5mKrp0Vvzr7lt3OU09vwQwhkpOPPYv2Y/edit?usp=sharing"",""งบพรบ!GT72"")"),0)</f>
        <v>0</v>
      </c>
      <c r="H72" s="151">
        <f ca="1">IFERROR(__xludf.DUMMYFUNCTION("IMPORTRANGE(""https://docs.google.com/spreadsheets/d/1-uDff_7J0KD5mKrp0Vvzr7lt3OU09vwQwhkpOPPYv2Y/edit?usp=sharing"",""งบพรบ!GV72"")"),119378)</f>
        <v>119378</v>
      </c>
      <c r="I72" s="151">
        <f ca="1">IFERROR(__xludf.DUMMYFUNCTION("IMPORTRANGE(""https://docs.google.com/spreadsheets/d/1-uDff_7J0KD5mKrp0Vvzr7lt3OU09vwQwhkpOPPYv2Y/edit?usp=sharing"",""งบพรบ!GW72"")"),0)</f>
        <v>0</v>
      </c>
      <c r="J72" s="262">
        <f t="shared" ca="1" si="18"/>
        <v>98113</v>
      </c>
      <c r="K72" s="476">
        <f t="shared" ca="1" si="19"/>
        <v>82.18683509524368</v>
      </c>
      <c r="L72" s="151">
        <f ca="1">IFERROR(__xludf.DUMMYFUNCTION("IMPORTRANGE(""https://docs.google.com/spreadsheets/d/1-uDff_7J0KD5mKrp0Vvzr7lt3OU09vwQwhkpOPPYv2Y/edit?usp=sharing"",""งบพรบ!GX72"")"),98113)</f>
        <v>98113</v>
      </c>
      <c r="M72" s="260">
        <f t="shared" ca="1" si="20"/>
        <v>82.18683509524368</v>
      </c>
      <c r="N72" s="260">
        <f t="shared" ca="1" si="21"/>
        <v>82.18683509524368</v>
      </c>
      <c r="O72" s="151">
        <f ca="1">IFERROR(__xludf.DUMMYFUNCTION("IMPORTRANGE(""https://docs.google.com/spreadsheets/d/1-uDff_7J0KD5mKrp0Vvzr7lt3OU09vwQwhkpOPPYv2Y/edit?usp=sharing"",""งบพรบ!GY72"")"),0)</f>
        <v>0</v>
      </c>
      <c r="P72" s="475">
        <f t="shared" ca="1" si="22"/>
        <v>0</v>
      </c>
      <c r="Q72" s="260">
        <f t="shared" ca="1" si="23"/>
        <v>0</v>
      </c>
      <c r="R72" s="278">
        <f ca="1">IFERROR(__xludf.DUMMYFUNCTION("IMPORTRANGE(""https://docs.google.com/spreadsheets/d/1H1EalTWKUSzO4Z1-1CwzoDUaVffgrThEBe2sl74kKG0/edit?usp=sharing"",""สุพรรณบุรี!I586"")"),2)</f>
        <v>2</v>
      </c>
      <c r="S72" s="152">
        <f ca="1">IFERROR(__xludf.DUMMYFUNCTION("IMPORTRANGE(""https://docs.google.com/spreadsheets/d/1H1EalTWKUSzO4Z1-1CwzoDUaVffgrThEBe2sl74kKG0/edit?usp=sharing"",""สุพรรณบุรี!J586"")"),1)</f>
        <v>1</v>
      </c>
      <c r="T72" s="216">
        <f t="shared" ca="1" si="25"/>
        <v>50</v>
      </c>
      <c r="U72" s="278">
        <f ca="1">IFERROR(__xludf.DUMMYFUNCTION("IMPORTRANGE(""https://docs.google.com/spreadsheets/d/1H1EalTWKUSzO4Z1-1CwzoDUaVffgrThEBe2sl74kKG0/edit?usp=sharing"",""สุพรรณบุรี!I587"")"),2)</f>
        <v>2</v>
      </c>
      <c r="V72" s="152">
        <f ca="1">IFERROR(__xludf.DUMMYFUNCTION("IMPORTRANGE(""https://docs.google.com/spreadsheets/d/1H1EalTWKUSzO4Z1-1CwzoDUaVffgrThEBe2sl74kKG0/edit?usp=sharing"",""สุพรรณบุรี!J587"")"),2)</f>
        <v>2</v>
      </c>
      <c r="W72" s="216">
        <f t="shared" ca="1" si="27"/>
        <v>100</v>
      </c>
    </row>
    <row r="73" spans="1:24" ht="19.5" x14ac:dyDescent="0.3">
      <c r="A73" s="155">
        <v>21</v>
      </c>
      <c r="B73" s="156" t="s">
        <v>101</v>
      </c>
      <c r="C73" s="477">
        <f t="shared" ca="1" si="16"/>
        <v>0</v>
      </c>
      <c r="D73" s="478">
        <f t="shared" ca="1" si="36"/>
        <v>0</v>
      </c>
      <c r="E73" s="159">
        <f ca="1">IFERROR(__xludf.DUMMYFUNCTION("IMPORTRANGE(""https://docs.google.com/spreadsheets/d/1-uDff_7J0KD5mKrp0Vvzr7lt3OU09vwQwhkpOPPYv2Y/edit?usp=sharing"",""งบพรบ!GR73"")"),0)</f>
        <v>0</v>
      </c>
      <c r="F73" s="159">
        <f ca="1">IFERROR(__xludf.DUMMYFUNCTION("IMPORTRANGE(""https://docs.google.com/spreadsheets/d/1-uDff_7J0KD5mKrp0Vvzr7lt3OU09vwQwhkpOPPYv2Y/edit?usp=sharing"",""งบพรบ!GS73"")"),0)</f>
        <v>0</v>
      </c>
      <c r="G73" s="159">
        <f ca="1">IFERROR(__xludf.DUMMYFUNCTION("IMPORTRANGE(""https://docs.google.com/spreadsheets/d/1-uDff_7J0KD5mKrp0Vvzr7lt3OU09vwQwhkpOPPYv2Y/edit?usp=sharing"",""งบพรบ!GT73"")"),0)</f>
        <v>0</v>
      </c>
      <c r="H73" s="159">
        <f ca="1">IFERROR(__xludf.DUMMYFUNCTION("IMPORTRANGE(""https://docs.google.com/spreadsheets/d/1-uDff_7J0KD5mKrp0Vvzr7lt3OU09vwQwhkpOPPYv2Y/edit?usp=sharing"",""งบพรบ!GV73"")"),0)</f>
        <v>0</v>
      </c>
      <c r="I73" s="159">
        <f ca="1">IFERROR(__xludf.DUMMYFUNCTION("IMPORTRANGE(""https://docs.google.com/spreadsheets/d/1-uDff_7J0KD5mKrp0Vvzr7lt3OU09vwQwhkpOPPYv2Y/edit?usp=sharing"",""งบพรบ!GW73"")"),0)</f>
        <v>0</v>
      </c>
      <c r="J73" s="479">
        <f t="shared" ca="1" si="18"/>
        <v>0</v>
      </c>
      <c r="K73" s="480">
        <f t="shared" ca="1" si="19"/>
        <v>0</v>
      </c>
      <c r="L73" s="159">
        <f ca="1">IFERROR(__xludf.DUMMYFUNCTION("IMPORTRANGE(""https://docs.google.com/spreadsheets/d/1-uDff_7J0KD5mKrp0Vvzr7lt3OU09vwQwhkpOPPYv2Y/edit?usp=sharing"",""งบพรบ!GX73"")"),0)</f>
        <v>0</v>
      </c>
      <c r="M73" s="481">
        <f t="shared" ca="1" si="20"/>
        <v>0</v>
      </c>
      <c r="N73" s="481">
        <f t="shared" ca="1" si="21"/>
        <v>0</v>
      </c>
      <c r="O73" s="159">
        <f ca="1">IFERROR(__xludf.DUMMYFUNCTION("IMPORTRANGE(""https://docs.google.com/spreadsheets/d/1-uDff_7J0KD5mKrp0Vvzr7lt3OU09vwQwhkpOPPYv2Y/edit?usp=sharing"",""งบพรบ!GY73"")"),0)</f>
        <v>0</v>
      </c>
      <c r="P73" s="482">
        <f t="shared" ca="1" si="22"/>
        <v>0</v>
      </c>
      <c r="Q73" s="481">
        <f t="shared" ca="1" si="23"/>
        <v>0</v>
      </c>
      <c r="R73" s="610">
        <v>0</v>
      </c>
      <c r="S73" s="192">
        <v>0</v>
      </c>
      <c r="T73" s="218">
        <f t="shared" si="25"/>
        <v>0</v>
      </c>
      <c r="U73" s="610">
        <v>0</v>
      </c>
      <c r="V73" s="192">
        <v>0</v>
      </c>
      <c r="W73" s="218">
        <f t="shared" si="27"/>
        <v>0</v>
      </c>
    </row>
    <row r="74" spans="1:24" ht="19.5" x14ac:dyDescent="0.3">
      <c r="A74" s="696" t="s">
        <v>102</v>
      </c>
      <c r="B74" s="662"/>
      <c r="C74" s="601">
        <f t="shared" ca="1" si="16"/>
        <v>2615011</v>
      </c>
      <c r="D74" s="601">
        <f t="shared" ref="D74:I74" ca="1" si="37">SUM(D75:D88)</f>
        <v>2615011</v>
      </c>
      <c r="E74" s="601">
        <f t="shared" ca="1" si="37"/>
        <v>0</v>
      </c>
      <c r="F74" s="601">
        <f t="shared" ca="1" si="37"/>
        <v>2615011</v>
      </c>
      <c r="G74" s="601">
        <f t="shared" ca="1" si="37"/>
        <v>0</v>
      </c>
      <c r="H74" s="601">
        <f t="shared" ca="1" si="37"/>
        <v>2615011</v>
      </c>
      <c r="I74" s="601">
        <f t="shared" ca="1" si="37"/>
        <v>0</v>
      </c>
      <c r="J74" s="601">
        <f t="shared" ca="1" si="18"/>
        <v>1276138.25</v>
      </c>
      <c r="K74" s="602">
        <f t="shared" ca="1" si="19"/>
        <v>48.80049261743067</v>
      </c>
      <c r="L74" s="601">
        <f ca="1">SUM(L75:L88)</f>
        <v>1276138.25</v>
      </c>
      <c r="M74" s="603">
        <f t="shared" ca="1" si="20"/>
        <v>48.80049261743067</v>
      </c>
      <c r="N74" s="603">
        <f t="shared" ca="1" si="21"/>
        <v>48.80049261743067</v>
      </c>
      <c r="O74" s="604">
        <f ca="1">SUM(O75:O88)</f>
        <v>0</v>
      </c>
      <c r="P74" s="604">
        <f t="shared" ca="1" si="22"/>
        <v>0</v>
      </c>
      <c r="Q74" s="603">
        <f t="shared" ca="1" si="23"/>
        <v>0</v>
      </c>
      <c r="R74" s="277">
        <f t="shared" ref="R74:S74" ca="1" si="38">SUM(R75:R88)</f>
        <v>12</v>
      </c>
      <c r="S74" s="611">
        <f t="shared" ca="1" si="38"/>
        <v>2</v>
      </c>
      <c r="T74" s="612">
        <f t="shared" ca="1" si="25"/>
        <v>16.666666666666668</v>
      </c>
      <c r="U74" s="277">
        <f t="shared" ref="U74:V74" ca="1" si="39">SUM(U75:U88)</f>
        <v>48</v>
      </c>
      <c r="V74" s="611">
        <f t="shared" ca="1" si="39"/>
        <v>20</v>
      </c>
      <c r="W74" s="612">
        <f t="shared" ca="1" si="27"/>
        <v>41.666666666666664</v>
      </c>
      <c r="X74" s="600"/>
    </row>
    <row r="75" spans="1:24" ht="19.5" x14ac:dyDescent="0.3">
      <c r="A75" s="147">
        <v>1</v>
      </c>
      <c r="B75" s="148" t="s">
        <v>103</v>
      </c>
      <c r="C75" s="472">
        <f t="shared" ca="1" si="16"/>
        <v>289514</v>
      </c>
      <c r="D75" s="473">
        <f t="shared" ref="D75:D88" ca="1" si="40">+E75+F75</f>
        <v>289514</v>
      </c>
      <c r="E75" s="151">
        <f ca="1">IFERROR(__xludf.DUMMYFUNCTION("IMPORTRANGE(""https://docs.google.com/spreadsheets/d/1-uDff_7J0KD5mKrp0Vvzr7lt3OU09vwQwhkpOPPYv2Y/edit?usp=sharing"",""งบพรบ!GR75"")"),0)</f>
        <v>0</v>
      </c>
      <c r="F75" s="151">
        <f ca="1">IFERROR(__xludf.DUMMYFUNCTION("IMPORTRANGE(""https://docs.google.com/spreadsheets/d/1-uDff_7J0KD5mKrp0Vvzr7lt3OU09vwQwhkpOPPYv2Y/edit?usp=sharing"",""งบพรบ!GS75"")"),289514)</f>
        <v>289514</v>
      </c>
      <c r="G75" s="151">
        <f ca="1">IFERROR(__xludf.DUMMYFUNCTION("IMPORTRANGE(""https://docs.google.com/spreadsheets/d/1-uDff_7J0KD5mKrp0Vvzr7lt3OU09vwQwhkpOPPYv2Y/edit?usp=sharing"",""งบพรบ!GT75"")"),0)</f>
        <v>0</v>
      </c>
      <c r="H75" s="151">
        <f ca="1">IFERROR(__xludf.DUMMYFUNCTION("IMPORTRANGE(""https://docs.google.com/spreadsheets/d/1-uDff_7J0KD5mKrp0Vvzr7lt3OU09vwQwhkpOPPYv2Y/edit?usp=sharing"",""งบพรบ!GV75"")"),289514)</f>
        <v>289514</v>
      </c>
      <c r="I75" s="151">
        <f ca="1">IFERROR(__xludf.DUMMYFUNCTION("IMPORTRANGE(""https://docs.google.com/spreadsheets/d/1-uDff_7J0KD5mKrp0Vvzr7lt3OU09vwQwhkpOPPYv2Y/edit?usp=sharing"",""งบพรบ!GW75"")"),0)</f>
        <v>0</v>
      </c>
      <c r="J75" s="262">
        <f t="shared" ca="1" si="18"/>
        <v>193627</v>
      </c>
      <c r="K75" s="476">
        <f t="shared" ca="1" si="19"/>
        <v>66.88001271095699</v>
      </c>
      <c r="L75" s="151">
        <f ca="1">IFERROR(__xludf.DUMMYFUNCTION("IMPORTRANGE(""https://docs.google.com/spreadsheets/d/1-uDff_7J0KD5mKrp0Vvzr7lt3OU09vwQwhkpOPPYv2Y/edit?usp=sharing"",""งบพรบ!GX75"")"),193627)</f>
        <v>193627</v>
      </c>
      <c r="M75" s="260">
        <f t="shared" ca="1" si="20"/>
        <v>66.88001271095699</v>
      </c>
      <c r="N75" s="260">
        <f t="shared" ca="1" si="21"/>
        <v>66.88001271095699</v>
      </c>
      <c r="O75" s="151">
        <f ca="1">IFERROR(__xludf.DUMMYFUNCTION("IMPORTRANGE(""https://docs.google.com/spreadsheets/d/1-uDff_7J0KD5mKrp0Vvzr7lt3OU09vwQwhkpOPPYv2Y/edit?usp=sharing"",""งบพรบ!GY75"")"),0)</f>
        <v>0</v>
      </c>
      <c r="P75" s="475">
        <f t="shared" ca="1" si="22"/>
        <v>0</v>
      </c>
      <c r="Q75" s="260">
        <f t="shared" ca="1" si="23"/>
        <v>0</v>
      </c>
      <c r="R75" s="278">
        <f ca="1">IFERROR(__xludf.DUMMYFUNCTION("IMPORTRANGE(""https://docs.google.com/spreadsheets/d/1kKUcYdkIfrgTSj8iHHHB2MD2FAtwyyocFgqGQn6ADyI/edit?usp=sharing"",""กระบี่!I586"")"),2)</f>
        <v>2</v>
      </c>
      <c r="S75" s="152">
        <f ca="1">IFERROR(__xludf.DUMMYFUNCTION("IMPORTRANGE(""https://docs.google.com/spreadsheets/d/1kKUcYdkIfrgTSj8iHHHB2MD2FAtwyyocFgqGQn6ADyI/edit?usp=sharing"",""กระบี่!J586"")"),0)</f>
        <v>0</v>
      </c>
      <c r="T75" s="216">
        <f t="shared" ca="1" si="25"/>
        <v>0</v>
      </c>
      <c r="U75" s="278">
        <f ca="1">IFERROR(__xludf.DUMMYFUNCTION("IMPORTRANGE(""https://docs.google.com/spreadsheets/d/1kKUcYdkIfrgTSj8iHHHB2MD2FAtwyyocFgqGQn6ADyI/edit?usp=sharing"",""กระบี่!I587"")"),5)</f>
        <v>5</v>
      </c>
      <c r="V75" s="152">
        <f ca="1">IFERROR(__xludf.DUMMYFUNCTION("IMPORTRANGE(""https://docs.google.com/spreadsheets/d/1kKUcYdkIfrgTSj8iHHHB2MD2FAtwyyocFgqGQn6ADyI/edit?usp=sharing"",""กระบี่!J587"")"),0)</f>
        <v>0</v>
      </c>
      <c r="W75" s="216">
        <f t="shared" ca="1" si="27"/>
        <v>0</v>
      </c>
    </row>
    <row r="76" spans="1:24" ht="19.5" x14ac:dyDescent="0.3">
      <c r="A76" s="147">
        <v>2</v>
      </c>
      <c r="B76" s="148" t="s">
        <v>104</v>
      </c>
      <c r="C76" s="472">
        <f t="shared" ca="1" si="16"/>
        <v>326820</v>
      </c>
      <c r="D76" s="473">
        <f t="shared" ca="1" si="40"/>
        <v>326820</v>
      </c>
      <c r="E76" s="151">
        <f ca="1">IFERROR(__xludf.DUMMYFUNCTION("IMPORTRANGE(""https://docs.google.com/spreadsheets/d/1-uDff_7J0KD5mKrp0Vvzr7lt3OU09vwQwhkpOPPYv2Y/edit?usp=sharing"",""งบพรบ!GR76"")"),0)</f>
        <v>0</v>
      </c>
      <c r="F76" s="151">
        <f ca="1">IFERROR(__xludf.DUMMYFUNCTION("IMPORTRANGE(""https://docs.google.com/spreadsheets/d/1-uDff_7J0KD5mKrp0Vvzr7lt3OU09vwQwhkpOPPYv2Y/edit?usp=sharing"",""งบพรบ!GS76"")"),326820)</f>
        <v>326820</v>
      </c>
      <c r="G76" s="151">
        <f ca="1">IFERROR(__xludf.DUMMYFUNCTION("IMPORTRANGE(""https://docs.google.com/spreadsheets/d/1-uDff_7J0KD5mKrp0Vvzr7lt3OU09vwQwhkpOPPYv2Y/edit?usp=sharing"",""งบพรบ!GT76"")"),0)</f>
        <v>0</v>
      </c>
      <c r="H76" s="151">
        <f ca="1">IFERROR(__xludf.DUMMYFUNCTION("IMPORTRANGE(""https://docs.google.com/spreadsheets/d/1-uDff_7J0KD5mKrp0Vvzr7lt3OU09vwQwhkpOPPYv2Y/edit?usp=sharing"",""งบพรบ!GV76"")"),326820)</f>
        <v>326820</v>
      </c>
      <c r="I76" s="151">
        <f ca="1">IFERROR(__xludf.DUMMYFUNCTION("IMPORTRANGE(""https://docs.google.com/spreadsheets/d/1-uDff_7J0KD5mKrp0Vvzr7lt3OU09vwQwhkpOPPYv2Y/edit?usp=sharing"",""งบพรบ!GW76"")"),0)</f>
        <v>0</v>
      </c>
      <c r="J76" s="262">
        <f t="shared" ca="1" si="18"/>
        <v>307517.25</v>
      </c>
      <c r="K76" s="476">
        <f t="shared" ca="1" si="19"/>
        <v>94.093767211308972</v>
      </c>
      <c r="L76" s="151">
        <f ca="1">IFERROR(__xludf.DUMMYFUNCTION("IMPORTRANGE(""https://docs.google.com/spreadsheets/d/1-uDff_7J0KD5mKrp0Vvzr7lt3OU09vwQwhkpOPPYv2Y/edit?usp=sharing"",""งบพรบ!GX76"")"),307517.25)</f>
        <v>307517.25</v>
      </c>
      <c r="M76" s="260">
        <f t="shared" ca="1" si="20"/>
        <v>94.093767211308972</v>
      </c>
      <c r="N76" s="260">
        <f t="shared" ca="1" si="21"/>
        <v>94.093767211308972</v>
      </c>
      <c r="O76" s="151">
        <f ca="1">IFERROR(__xludf.DUMMYFUNCTION("IMPORTRANGE(""https://docs.google.com/spreadsheets/d/1-uDff_7J0KD5mKrp0Vvzr7lt3OU09vwQwhkpOPPYv2Y/edit?usp=sharing"",""งบพรบ!GY76"")"),0)</f>
        <v>0</v>
      </c>
      <c r="P76" s="475">
        <f t="shared" ca="1" si="22"/>
        <v>0</v>
      </c>
      <c r="Q76" s="260">
        <f t="shared" ca="1" si="23"/>
        <v>0</v>
      </c>
      <c r="R76" s="278">
        <f ca="1">IFERROR(__xludf.DUMMYFUNCTION("IMPORTRANGE(""https://docs.google.com/spreadsheets/d/1GwtLaSlNZkLk7iDqcyZz22giiy40b_usZZBXYciEN1U/edit?usp=sharing"",""ชุมพร!I586"")"),2)</f>
        <v>2</v>
      </c>
      <c r="S76" s="152">
        <f ca="1">IFERROR(__xludf.DUMMYFUNCTION("IMPORTRANGE(""https://docs.google.com/spreadsheets/d/1GwtLaSlNZkLk7iDqcyZz22giiy40b_usZZBXYciEN1U/edit?usp=sharing"",""ชุมพร!J586"")"),0)</f>
        <v>0</v>
      </c>
      <c r="T76" s="216">
        <f t="shared" ca="1" si="25"/>
        <v>0</v>
      </c>
      <c r="U76" s="278">
        <f ca="1">IFERROR(__xludf.DUMMYFUNCTION("IMPORTRANGE(""https://docs.google.com/spreadsheets/d/1GwtLaSlNZkLk7iDqcyZz22giiy40b_usZZBXYciEN1U/edit?usp=sharing"",""ชุมพร!I587"")"),5)</f>
        <v>5</v>
      </c>
      <c r="V76" s="152">
        <f ca="1">IFERROR(__xludf.DUMMYFUNCTION("IMPORTRANGE(""https://docs.google.com/spreadsheets/d/1GwtLaSlNZkLk7iDqcyZz22giiy40b_usZZBXYciEN1U/edit?usp=sharing"",""ชุมพร!J587"")"),5)</f>
        <v>5</v>
      </c>
      <c r="W76" s="216">
        <f t="shared" ca="1" si="27"/>
        <v>100</v>
      </c>
    </row>
    <row r="77" spans="1:24" ht="19.5" x14ac:dyDescent="0.3">
      <c r="A77" s="147">
        <v>3</v>
      </c>
      <c r="B77" s="148" t="s">
        <v>105</v>
      </c>
      <c r="C77" s="472">
        <f t="shared" ca="1" si="16"/>
        <v>0</v>
      </c>
      <c r="D77" s="473">
        <f t="shared" ca="1" si="40"/>
        <v>0</v>
      </c>
      <c r="E77" s="151">
        <f ca="1">IFERROR(__xludf.DUMMYFUNCTION("IMPORTRANGE(""https://docs.google.com/spreadsheets/d/1-uDff_7J0KD5mKrp0Vvzr7lt3OU09vwQwhkpOPPYv2Y/edit?usp=sharing"",""งบพรบ!GR77"")"),0)</f>
        <v>0</v>
      </c>
      <c r="F77" s="151">
        <f ca="1">IFERROR(__xludf.DUMMYFUNCTION("IMPORTRANGE(""https://docs.google.com/spreadsheets/d/1-uDff_7J0KD5mKrp0Vvzr7lt3OU09vwQwhkpOPPYv2Y/edit?usp=sharing"",""งบพรบ!GS77"")"),0)</f>
        <v>0</v>
      </c>
      <c r="G77" s="151">
        <f ca="1">IFERROR(__xludf.DUMMYFUNCTION("IMPORTRANGE(""https://docs.google.com/spreadsheets/d/1-uDff_7J0KD5mKrp0Vvzr7lt3OU09vwQwhkpOPPYv2Y/edit?usp=sharing"",""งบพรบ!GT77"")"),0)</f>
        <v>0</v>
      </c>
      <c r="H77" s="151">
        <f ca="1">IFERROR(__xludf.DUMMYFUNCTION("IMPORTRANGE(""https://docs.google.com/spreadsheets/d/1-uDff_7J0KD5mKrp0Vvzr7lt3OU09vwQwhkpOPPYv2Y/edit?usp=sharing"",""งบพรบ!GV77"")"),0)</f>
        <v>0</v>
      </c>
      <c r="I77" s="151">
        <f ca="1">IFERROR(__xludf.DUMMYFUNCTION("IMPORTRANGE(""https://docs.google.com/spreadsheets/d/1-uDff_7J0KD5mKrp0Vvzr7lt3OU09vwQwhkpOPPYv2Y/edit?usp=sharing"",""งบพรบ!GW77"")"),0)</f>
        <v>0</v>
      </c>
      <c r="J77" s="262">
        <f t="shared" ca="1" si="18"/>
        <v>0</v>
      </c>
      <c r="K77" s="476">
        <f t="shared" ca="1" si="19"/>
        <v>0</v>
      </c>
      <c r="L77" s="151">
        <f ca="1">IFERROR(__xludf.DUMMYFUNCTION("IMPORTRANGE(""https://docs.google.com/spreadsheets/d/1-uDff_7J0KD5mKrp0Vvzr7lt3OU09vwQwhkpOPPYv2Y/edit?usp=sharing"",""งบพรบ!GX77"")"),0)</f>
        <v>0</v>
      </c>
      <c r="M77" s="260">
        <f t="shared" ca="1" si="20"/>
        <v>0</v>
      </c>
      <c r="N77" s="260">
        <f t="shared" ca="1" si="21"/>
        <v>0</v>
      </c>
      <c r="O77" s="151">
        <f ca="1">IFERROR(__xludf.DUMMYFUNCTION("IMPORTRANGE(""https://docs.google.com/spreadsheets/d/1-uDff_7J0KD5mKrp0Vvzr7lt3OU09vwQwhkpOPPYv2Y/edit?usp=sharing"",""งบพรบ!GY77"")"),0)</f>
        <v>0</v>
      </c>
      <c r="P77" s="475">
        <f t="shared" ca="1" si="22"/>
        <v>0</v>
      </c>
      <c r="Q77" s="260">
        <f t="shared" ca="1" si="23"/>
        <v>0</v>
      </c>
      <c r="R77" s="278">
        <v>0</v>
      </c>
      <c r="S77" s="152">
        <v>0</v>
      </c>
      <c r="T77" s="216">
        <f t="shared" si="25"/>
        <v>0</v>
      </c>
      <c r="U77" s="278">
        <v>0</v>
      </c>
      <c r="V77" s="152">
        <v>0</v>
      </c>
      <c r="W77" s="216">
        <f t="shared" si="27"/>
        <v>0</v>
      </c>
    </row>
    <row r="78" spans="1:24" ht="19.5" x14ac:dyDescent="0.3">
      <c r="A78" s="147">
        <v>4</v>
      </c>
      <c r="B78" s="148" t="s">
        <v>106</v>
      </c>
      <c r="C78" s="472">
        <f t="shared" ca="1" si="16"/>
        <v>796469</v>
      </c>
      <c r="D78" s="473">
        <f t="shared" ca="1" si="40"/>
        <v>796469</v>
      </c>
      <c r="E78" s="151">
        <f ca="1">IFERROR(__xludf.DUMMYFUNCTION("IMPORTRANGE(""https://docs.google.com/spreadsheets/d/1-uDff_7J0KD5mKrp0Vvzr7lt3OU09vwQwhkpOPPYv2Y/edit?usp=sharing"",""งบพรบ!GR78"")"),0)</f>
        <v>0</v>
      </c>
      <c r="F78" s="151">
        <f ca="1">IFERROR(__xludf.DUMMYFUNCTION("IMPORTRANGE(""https://docs.google.com/spreadsheets/d/1-uDff_7J0KD5mKrp0Vvzr7lt3OU09vwQwhkpOPPYv2Y/edit?usp=sharing"",""งบพรบ!GS78"")"),796469)</f>
        <v>796469</v>
      </c>
      <c r="G78" s="151">
        <f ca="1">IFERROR(__xludf.DUMMYFUNCTION("IMPORTRANGE(""https://docs.google.com/spreadsheets/d/1-uDff_7J0KD5mKrp0Vvzr7lt3OU09vwQwhkpOPPYv2Y/edit?usp=sharing"",""งบพรบ!GT78"")"),0)</f>
        <v>0</v>
      </c>
      <c r="H78" s="151">
        <f ca="1">IFERROR(__xludf.DUMMYFUNCTION("IMPORTRANGE(""https://docs.google.com/spreadsheets/d/1-uDff_7J0KD5mKrp0Vvzr7lt3OU09vwQwhkpOPPYv2Y/edit?usp=sharing"",""งบพรบ!GV78"")"),796469)</f>
        <v>796469</v>
      </c>
      <c r="I78" s="151">
        <f ca="1">IFERROR(__xludf.DUMMYFUNCTION("IMPORTRANGE(""https://docs.google.com/spreadsheets/d/1-uDff_7J0KD5mKrp0Vvzr7lt3OU09vwQwhkpOPPYv2Y/edit?usp=sharing"",""งบพรบ!GW78"")"),0)</f>
        <v>0</v>
      </c>
      <c r="J78" s="262">
        <f t="shared" ca="1" si="18"/>
        <v>171614</v>
      </c>
      <c r="K78" s="476">
        <f t="shared" ca="1" si="19"/>
        <v>21.546852419868195</v>
      </c>
      <c r="L78" s="151">
        <f ca="1">IFERROR(__xludf.DUMMYFUNCTION("IMPORTRANGE(""https://docs.google.com/spreadsheets/d/1-uDff_7J0KD5mKrp0Vvzr7lt3OU09vwQwhkpOPPYv2Y/edit?usp=sharing"",""งบพรบ!GX78"")"),171614)</f>
        <v>171614</v>
      </c>
      <c r="M78" s="260">
        <f t="shared" ca="1" si="20"/>
        <v>21.546852419868195</v>
      </c>
      <c r="N78" s="260">
        <f t="shared" ca="1" si="21"/>
        <v>21.546852419868195</v>
      </c>
      <c r="O78" s="151">
        <f ca="1">IFERROR(__xludf.DUMMYFUNCTION("IMPORTRANGE(""https://docs.google.com/spreadsheets/d/1-uDff_7J0KD5mKrp0Vvzr7lt3OU09vwQwhkpOPPYv2Y/edit?usp=sharing"",""งบพรบ!GY78"")"),0)</f>
        <v>0</v>
      </c>
      <c r="P78" s="475">
        <f t="shared" ca="1" si="22"/>
        <v>0</v>
      </c>
      <c r="Q78" s="260">
        <f t="shared" ca="1" si="23"/>
        <v>0</v>
      </c>
      <c r="R78" s="278">
        <f ca="1">IFERROR(__xludf.DUMMYFUNCTION("IMPORTRANGE(""https://docs.google.com/spreadsheets/d/1Dj4jcHCTV9JXKCaMoheSXS52JE63kDKyG7bPXnFogHk/edit?usp=sharing"",""นครศรีธรรมราช!I586"")"),2)</f>
        <v>2</v>
      </c>
      <c r="S78" s="152">
        <f ca="1">IFERROR(__xludf.DUMMYFUNCTION("IMPORTRANGE(""https://docs.google.com/spreadsheets/d/1Dj4jcHCTV9JXKCaMoheSXS52JE63kDKyG7bPXnFogHk/edit?usp=sharing"",""นครศรีธรรมราช!J586"")"),0)</f>
        <v>0</v>
      </c>
      <c r="T78" s="216">
        <f t="shared" ca="1" si="25"/>
        <v>0</v>
      </c>
      <c r="U78" s="278">
        <f ca="1">IFERROR(__xludf.DUMMYFUNCTION("IMPORTRANGE(""https://docs.google.com/spreadsheets/d/1Dj4jcHCTV9JXKCaMoheSXS52JE63kDKyG7bPXnFogHk/edit?usp=sharing"",""นครศรีธรรมราช!I587"")"),16)</f>
        <v>16</v>
      </c>
      <c r="V78" s="152">
        <f ca="1">IFERROR(__xludf.DUMMYFUNCTION("IMPORTRANGE(""https://docs.google.com/spreadsheets/d/1Dj4jcHCTV9JXKCaMoheSXS52JE63kDKyG7bPXnFogHk/edit?usp=sharing"",""นครศรีธรรมราช!J587"")"),0)</f>
        <v>0</v>
      </c>
      <c r="W78" s="216">
        <f t="shared" ca="1" si="27"/>
        <v>0</v>
      </c>
    </row>
    <row r="79" spans="1:24" ht="19.5" x14ac:dyDescent="0.3">
      <c r="A79" s="147">
        <v>5</v>
      </c>
      <c r="B79" s="148" t="s">
        <v>107</v>
      </c>
      <c r="C79" s="472">
        <f t="shared" ca="1" si="16"/>
        <v>0</v>
      </c>
      <c r="D79" s="473">
        <f t="shared" ca="1" si="40"/>
        <v>0</v>
      </c>
      <c r="E79" s="151">
        <f ca="1">IFERROR(__xludf.DUMMYFUNCTION("IMPORTRANGE(""https://docs.google.com/spreadsheets/d/1-uDff_7J0KD5mKrp0Vvzr7lt3OU09vwQwhkpOPPYv2Y/edit?usp=sharing"",""งบพรบ!GR79"")"),0)</f>
        <v>0</v>
      </c>
      <c r="F79" s="151">
        <f ca="1">IFERROR(__xludf.DUMMYFUNCTION("IMPORTRANGE(""https://docs.google.com/spreadsheets/d/1-uDff_7J0KD5mKrp0Vvzr7lt3OU09vwQwhkpOPPYv2Y/edit?usp=sharing"",""งบพรบ!GS79"")"),0)</f>
        <v>0</v>
      </c>
      <c r="G79" s="151">
        <f ca="1">IFERROR(__xludf.DUMMYFUNCTION("IMPORTRANGE(""https://docs.google.com/spreadsheets/d/1-uDff_7J0KD5mKrp0Vvzr7lt3OU09vwQwhkpOPPYv2Y/edit?usp=sharing"",""งบพรบ!GT79"")"),0)</f>
        <v>0</v>
      </c>
      <c r="H79" s="151">
        <f ca="1">IFERROR(__xludf.DUMMYFUNCTION("IMPORTRANGE(""https://docs.google.com/spreadsheets/d/1-uDff_7J0KD5mKrp0Vvzr7lt3OU09vwQwhkpOPPYv2Y/edit?usp=sharing"",""งบพรบ!GV79"")"),0)</f>
        <v>0</v>
      </c>
      <c r="I79" s="151">
        <f ca="1">IFERROR(__xludf.DUMMYFUNCTION("IMPORTRANGE(""https://docs.google.com/spreadsheets/d/1-uDff_7J0KD5mKrp0Vvzr7lt3OU09vwQwhkpOPPYv2Y/edit?usp=sharing"",""งบพรบ!GW79"")"),0)</f>
        <v>0</v>
      </c>
      <c r="J79" s="262">
        <f t="shared" ca="1" si="18"/>
        <v>0</v>
      </c>
      <c r="K79" s="476">
        <f t="shared" ca="1" si="19"/>
        <v>0</v>
      </c>
      <c r="L79" s="151">
        <f ca="1">IFERROR(__xludf.DUMMYFUNCTION("IMPORTRANGE(""https://docs.google.com/spreadsheets/d/1-uDff_7J0KD5mKrp0Vvzr7lt3OU09vwQwhkpOPPYv2Y/edit?usp=sharing"",""งบพรบ!GX79"")"),0)</f>
        <v>0</v>
      </c>
      <c r="M79" s="260">
        <f t="shared" ca="1" si="20"/>
        <v>0</v>
      </c>
      <c r="N79" s="260">
        <f t="shared" ca="1" si="21"/>
        <v>0</v>
      </c>
      <c r="O79" s="151">
        <f ca="1">IFERROR(__xludf.DUMMYFUNCTION("IMPORTRANGE(""https://docs.google.com/spreadsheets/d/1-uDff_7J0KD5mKrp0Vvzr7lt3OU09vwQwhkpOPPYv2Y/edit?usp=sharing"",""งบพรบ!GY79"")"),0)</f>
        <v>0</v>
      </c>
      <c r="P79" s="475">
        <f t="shared" ca="1" si="22"/>
        <v>0</v>
      </c>
      <c r="Q79" s="260">
        <f t="shared" ca="1" si="23"/>
        <v>0</v>
      </c>
      <c r="R79" s="278">
        <v>0</v>
      </c>
      <c r="S79" s="152">
        <v>0</v>
      </c>
      <c r="T79" s="216">
        <f t="shared" si="25"/>
        <v>0</v>
      </c>
      <c r="U79" s="278">
        <v>0</v>
      </c>
      <c r="V79" s="152">
        <v>0</v>
      </c>
      <c r="W79" s="216">
        <f t="shared" si="27"/>
        <v>0</v>
      </c>
    </row>
    <row r="80" spans="1:24" ht="19.5" x14ac:dyDescent="0.3">
      <c r="A80" s="147">
        <v>6</v>
      </c>
      <c r="B80" s="148" t="s">
        <v>108</v>
      </c>
      <c r="C80" s="472">
        <f t="shared" ca="1" si="16"/>
        <v>0</v>
      </c>
      <c r="D80" s="473">
        <f t="shared" ca="1" si="40"/>
        <v>0</v>
      </c>
      <c r="E80" s="151">
        <f ca="1">IFERROR(__xludf.DUMMYFUNCTION("IMPORTRANGE(""https://docs.google.com/spreadsheets/d/1-uDff_7J0KD5mKrp0Vvzr7lt3OU09vwQwhkpOPPYv2Y/edit?usp=sharing"",""งบพรบ!GR80"")"),0)</f>
        <v>0</v>
      </c>
      <c r="F80" s="151">
        <f ca="1">IFERROR(__xludf.DUMMYFUNCTION("IMPORTRANGE(""https://docs.google.com/spreadsheets/d/1-uDff_7J0KD5mKrp0Vvzr7lt3OU09vwQwhkpOPPYv2Y/edit?usp=sharing"",""งบพรบ!GS80"")"),0)</f>
        <v>0</v>
      </c>
      <c r="G80" s="151">
        <f ca="1">IFERROR(__xludf.DUMMYFUNCTION("IMPORTRANGE(""https://docs.google.com/spreadsheets/d/1-uDff_7J0KD5mKrp0Vvzr7lt3OU09vwQwhkpOPPYv2Y/edit?usp=sharing"",""งบพรบ!GT80"")"),0)</f>
        <v>0</v>
      </c>
      <c r="H80" s="151">
        <f ca="1">IFERROR(__xludf.DUMMYFUNCTION("IMPORTRANGE(""https://docs.google.com/spreadsheets/d/1-uDff_7J0KD5mKrp0Vvzr7lt3OU09vwQwhkpOPPYv2Y/edit?usp=sharing"",""งบพรบ!GV80"")"),0)</f>
        <v>0</v>
      </c>
      <c r="I80" s="151">
        <f ca="1">IFERROR(__xludf.DUMMYFUNCTION("IMPORTRANGE(""https://docs.google.com/spreadsheets/d/1-uDff_7J0KD5mKrp0Vvzr7lt3OU09vwQwhkpOPPYv2Y/edit?usp=sharing"",""งบพรบ!GW80"")"),0)</f>
        <v>0</v>
      </c>
      <c r="J80" s="262">
        <f t="shared" ca="1" si="18"/>
        <v>0</v>
      </c>
      <c r="K80" s="476">
        <f t="shared" ca="1" si="19"/>
        <v>0</v>
      </c>
      <c r="L80" s="151">
        <f ca="1">IFERROR(__xludf.DUMMYFUNCTION("IMPORTRANGE(""https://docs.google.com/spreadsheets/d/1-uDff_7J0KD5mKrp0Vvzr7lt3OU09vwQwhkpOPPYv2Y/edit?usp=sharing"",""งบพรบ!GX80"")"),0)</f>
        <v>0</v>
      </c>
      <c r="M80" s="260">
        <f t="shared" ca="1" si="20"/>
        <v>0</v>
      </c>
      <c r="N80" s="260">
        <f t="shared" ca="1" si="21"/>
        <v>0</v>
      </c>
      <c r="O80" s="151">
        <f ca="1">IFERROR(__xludf.DUMMYFUNCTION("IMPORTRANGE(""https://docs.google.com/spreadsheets/d/1-uDff_7J0KD5mKrp0Vvzr7lt3OU09vwQwhkpOPPYv2Y/edit?usp=sharing"",""งบพรบ!GY80"")"),0)</f>
        <v>0</v>
      </c>
      <c r="P80" s="475">
        <f t="shared" ca="1" si="22"/>
        <v>0</v>
      </c>
      <c r="Q80" s="260">
        <f t="shared" ca="1" si="23"/>
        <v>0</v>
      </c>
      <c r="R80" s="278">
        <v>0</v>
      </c>
      <c r="S80" s="152">
        <v>0</v>
      </c>
      <c r="T80" s="216">
        <f t="shared" si="25"/>
        <v>0</v>
      </c>
      <c r="U80" s="278">
        <v>0</v>
      </c>
      <c r="V80" s="152">
        <v>0</v>
      </c>
      <c r="W80" s="216">
        <f t="shared" si="27"/>
        <v>0</v>
      </c>
    </row>
    <row r="81" spans="1:23" ht="19.5" x14ac:dyDescent="0.3">
      <c r="A81" s="147">
        <v>7</v>
      </c>
      <c r="B81" s="148" t="s">
        <v>109</v>
      </c>
      <c r="C81" s="472">
        <f t="shared" ca="1" si="16"/>
        <v>0</v>
      </c>
      <c r="D81" s="473">
        <f t="shared" ca="1" si="40"/>
        <v>0</v>
      </c>
      <c r="E81" s="151">
        <f ca="1">IFERROR(__xludf.DUMMYFUNCTION("IMPORTRANGE(""https://docs.google.com/spreadsheets/d/1-uDff_7J0KD5mKrp0Vvzr7lt3OU09vwQwhkpOPPYv2Y/edit?usp=sharing"",""งบพรบ!GR81"")"),0)</f>
        <v>0</v>
      </c>
      <c r="F81" s="151">
        <f ca="1">IFERROR(__xludf.DUMMYFUNCTION("IMPORTRANGE(""https://docs.google.com/spreadsheets/d/1-uDff_7J0KD5mKrp0Vvzr7lt3OU09vwQwhkpOPPYv2Y/edit?usp=sharing"",""งบพรบ!GS81"")"),0)</f>
        <v>0</v>
      </c>
      <c r="G81" s="151">
        <f ca="1">IFERROR(__xludf.DUMMYFUNCTION("IMPORTRANGE(""https://docs.google.com/spreadsheets/d/1-uDff_7J0KD5mKrp0Vvzr7lt3OU09vwQwhkpOPPYv2Y/edit?usp=sharing"",""งบพรบ!GT81"")"),0)</f>
        <v>0</v>
      </c>
      <c r="H81" s="151">
        <f ca="1">IFERROR(__xludf.DUMMYFUNCTION("IMPORTRANGE(""https://docs.google.com/spreadsheets/d/1-uDff_7J0KD5mKrp0Vvzr7lt3OU09vwQwhkpOPPYv2Y/edit?usp=sharing"",""งบพรบ!GV81"")"),0)</f>
        <v>0</v>
      </c>
      <c r="I81" s="151">
        <f ca="1">IFERROR(__xludf.DUMMYFUNCTION("IMPORTRANGE(""https://docs.google.com/spreadsheets/d/1-uDff_7J0KD5mKrp0Vvzr7lt3OU09vwQwhkpOPPYv2Y/edit?usp=sharing"",""งบพรบ!GW81"")"),0)</f>
        <v>0</v>
      </c>
      <c r="J81" s="262">
        <f t="shared" ca="1" si="18"/>
        <v>0</v>
      </c>
      <c r="K81" s="476">
        <f t="shared" ca="1" si="19"/>
        <v>0</v>
      </c>
      <c r="L81" s="151">
        <f ca="1">IFERROR(__xludf.DUMMYFUNCTION("IMPORTRANGE(""https://docs.google.com/spreadsheets/d/1-uDff_7J0KD5mKrp0Vvzr7lt3OU09vwQwhkpOPPYv2Y/edit?usp=sharing"",""งบพรบ!GX81"")"),0)</f>
        <v>0</v>
      </c>
      <c r="M81" s="260">
        <f t="shared" ca="1" si="20"/>
        <v>0</v>
      </c>
      <c r="N81" s="260">
        <f t="shared" ca="1" si="21"/>
        <v>0</v>
      </c>
      <c r="O81" s="151">
        <f ca="1">IFERROR(__xludf.DUMMYFUNCTION("IMPORTRANGE(""https://docs.google.com/spreadsheets/d/1-uDff_7J0KD5mKrp0Vvzr7lt3OU09vwQwhkpOPPYv2Y/edit?usp=sharing"",""งบพรบ!GY81"")"),0)</f>
        <v>0</v>
      </c>
      <c r="P81" s="475">
        <f t="shared" ca="1" si="22"/>
        <v>0</v>
      </c>
      <c r="Q81" s="260">
        <f t="shared" ca="1" si="23"/>
        <v>0</v>
      </c>
      <c r="R81" s="278">
        <v>0</v>
      </c>
      <c r="S81" s="152">
        <v>0</v>
      </c>
      <c r="T81" s="216">
        <f t="shared" si="25"/>
        <v>0</v>
      </c>
      <c r="U81" s="278">
        <v>0</v>
      </c>
      <c r="V81" s="152">
        <v>0</v>
      </c>
      <c r="W81" s="216">
        <f t="shared" si="27"/>
        <v>0</v>
      </c>
    </row>
    <row r="82" spans="1:23" ht="19.5" x14ac:dyDescent="0.3">
      <c r="A82" s="147">
        <v>8</v>
      </c>
      <c r="B82" s="148" t="s">
        <v>110</v>
      </c>
      <c r="C82" s="472">
        <f t="shared" ca="1" si="16"/>
        <v>394333</v>
      </c>
      <c r="D82" s="473">
        <f t="shared" ca="1" si="40"/>
        <v>394333</v>
      </c>
      <c r="E82" s="151">
        <f ca="1">IFERROR(__xludf.DUMMYFUNCTION("IMPORTRANGE(""https://docs.google.com/spreadsheets/d/1-uDff_7J0KD5mKrp0Vvzr7lt3OU09vwQwhkpOPPYv2Y/edit?usp=sharing"",""งบพรบ!GR82"")"),0)</f>
        <v>0</v>
      </c>
      <c r="F82" s="151">
        <f ca="1">IFERROR(__xludf.DUMMYFUNCTION("IMPORTRANGE(""https://docs.google.com/spreadsheets/d/1-uDff_7J0KD5mKrp0Vvzr7lt3OU09vwQwhkpOPPYv2Y/edit?usp=sharing"",""งบพรบ!GS82"")"),394333)</f>
        <v>394333</v>
      </c>
      <c r="G82" s="151">
        <f ca="1">IFERROR(__xludf.DUMMYFUNCTION("IMPORTRANGE(""https://docs.google.com/spreadsheets/d/1-uDff_7J0KD5mKrp0Vvzr7lt3OU09vwQwhkpOPPYv2Y/edit?usp=sharing"",""งบพรบ!GT82"")"),0)</f>
        <v>0</v>
      </c>
      <c r="H82" s="151">
        <f ca="1">IFERROR(__xludf.DUMMYFUNCTION("IMPORTRANGE(""https://docs.google.com/spreadsheets/d/1-uDff_7J0KD5mKrp0Vvzr7lt3OU09vwQwhkpOPPYv2Y/edit?usp=sharing"",""งบพรบ!GV82"")"),394333)</f>
        <v>394333</v>
      </c>
      <c r="I82" s="151">
        <f ca="1">IFERROR(__xludf.DUMMYFUNCTION("IMPORTRANGE(""https://docs.google.com/spreadsheets/d/1-uDff_7J0KD5mKrp0Vvzr7lt3OU09vwQwhkpOPPYv2Y/edit?usp=sharing"",""งบพรบ!GW82"")"),0)</f>
        <v>0</v>
      </c>
      <c r="J82" s="262">
        <f t="shared" ca="1" si="18"/>
        <v>57900</v>
      </c>
      <c r="K82" s="476">
        <f t="shared" ca="1" si="19"/>
        <v>14.683021710077524</v>
      </c>
      <c r="L82" s="151">
        <f ca="1">IFERROR(__xludf.DUMMYFUNCTION("IMPORTRANGE(""https://docs.google.com/spreadsheets/d/1-uDff_7J0KD5mKrp0Vvzr7lt3OU09vwQwhkpOPPYv2Y/edit?usp=sharing"",""งบพรบ!GX82"")"),57900)</f>
        <v>57900</v>
      </c>
      <c r="M82" s="260">
        <f t="shared" ca="1" si="20"/>
        <v>14.683021710077524</v>
      </c>
      <c r="N82" s="260">
        <f t="shared" ca="1" si="21"/>
        <v>14.683021710077524</v>
      </c>
      <c r="O82" s="151">
        <f ca="1">IFERROR(__xludf.DUMMYFUNCTION("IMPORTRANGE(""https://docs.google.com/spreadsheets/d/1-uDff_7J0KD5mKrp0Vvzr7lt3OU09vwQwhkpOPPYv2Y/edit?usp=sharing"",""งบพรบ!GY82"")"),0)</f>
        <v>0</v>
      </c>
      <c r="P82" s="475">
        <f t="shared" ca="1" si="22"/>
        <v>0</v>
      </c>
      <c r="Q82" s="260">
        <f t="shared" ca="1" si="23"/>
        <v>0</v>
      </c>
      <c r="R82" s="278">
        <f ca="1">IFERROR(__xludf.DUMMYFUNCTION("IMPORTRANGE(""https://docs.google.com/spreadsheets/d/17ht0gPKzzT3PObBL1XJkeRmntBXI7wGjpLV7QorqlTk/edit?usp=sharing"",""พัทลุง!I586"")"),4)</f>
        <v>4</v>
      </c>
      <c r="S82" s="152">
        <f ca="1">IFERROR(__xludf.DUMMYFUNCTION("IMPORTRANGE(""https://docs.google.com/spreadsheets/d/17ht0gPKzzT3PObBL1XJkeRmntBXI7wGjpLV7QorqlTk/edit?usp=sharing"",""พัทลุง!J586"")"),1)</f>
        <v>1</v>
      </c>
      <c r="T82" s="216">
        <f t="shared" ca="1" si="25"/>
        <v>25</v>
      </c>
      <c r="U82" s="278">
        <f ca="1">IFERROR(__xludf.DUMMYFUNCTION("IMPORTRANGE(""https://docs.google.com/spreadsheets/d/17ht0gPKzzT3PObBL1XJkeRmntBXI7wGjpLV7QorqlTk/edit?usp=sharing"",""พัทลุง!I587"")"),7)</f>
        <v>7</v>
      </c>
      <c r="V82" s="152">
        <f ca="1">IFERROR(__xludf.DUMMYFUNCTION("IMPORTRANGE(""https://docs.google.com/spreadsheets/d/17ht0gPKzzT3PObBL1XJkeRmntBXI7wGjpLV7QorqlTk/edit?usp=sharing"",""พัทลุง!J587"")"),0)</f>
        <v>0</v>
      </c>
      <c r="W82" s="216">
        <f t="shared" ca="1" si="27"/>
        <v>0</v>
      </c>
    </row>
    <row r="83" spans="1:23" ht="19.5" x14ac:dyDescent="0.3">
      <c r="A83" s="147">
        <v>9</v>
      </c>
      <c r="B83" s="148" t="s">
        <v>111</v>
      </c>
      <c r="C83" s="472">
        <f t="shared" ca="1" si="16"/>
        <v>0</v>
      </c>
      <c r="D83" s="473">
        <f t="shared" ca="1" si="40"/>
        <v>0</v>
      </c>
      <c r="E83" s="151">
        <f ca="1">IFERROR(__xludf.DUMMYFUNCTION("IMPORTRANGE(""https://docs.google.com/spreadsheets/d/1-uDff_7J0KD5mKrp0Vvzr7lt3OU09vwQwhkpOPPYv2Y/edit?usp=sharing"",""งบพรบ!GR83"")"),0)</f>
        <v>0</v>
      </c>
      <c r="F83" s="151">
        <f ca="1">IFERROR(__xludf.DUMMYFUNCTION("IMPORTRANGE(""https://docs.google.com/spreadsheets/d/1-uDff_7J0KD5mKrp0Vvzr7lt3OU09vwQwhkpOPPYv2Y/edit?usp=sharing"",""งบพรบ!GS83"")"),0)</f>
        <v>0</v>
      </c>
      <c r="G83" s="151">
        <f ca="1">IFERROR(__xludf.DUMMYFUNCTION("IMPORTRANGE(""https://docs.google.com/spreadsheets/d/1-uDff_7J0KD5mKrp0Vvzr7lt3OU09vwQwhkpOPPYv2Y/edit?usp=sharing"",""งบพรบ!GT83"")"),0)</f>
        <v>0</v>
      </c>
      <c r="H83" s="151">
        <f ca="1">IFERROR(__xludf.DUMMYFUNCTION("IMPORTRANGE(""https://docs.google.com/spreadsheets/d/1-uDff_7J0KD5mKrp0Vvzr7lt3OU09vwQwhkpOPPYv2Y/edit?usp=sharing"",""งบพรบ!GV83"")"),0)</f>
        <v>0</v>
      </c>
      <c r="I83" s="151">
        <f ca="1">IFERROR(__xludf.DUMMYFUNCTION("IMPORTRANGE(""https://docs.google.com/spreadsheets/d/1-uDff_7J0KD5mKrp0Vvzr7lt3OU09vwQwhkpOPPYv2Y/edit?usp=sharing"",""งบพรบ!GW83"")"),0)</f>
        <v>0</v>
      </c>
      <c r="J83" s="262">
        <f t="shared" ca="1" si="18"/>
        <v>0</v>
      </c>
      <c r="K83" s="476">
        <f t="shared" ca="1" si="19"/>
        <v>0</v>
      </c>
      <c r="L83" s="151">
        <f ca="1">IFERROR(__xludf.DUMMYFUNCTION("IMPORTRANGE(""https://docs.google.com/spreadsheets/d/1-uDff_7J0KD5mKrp0Vvzr7lt3OU09vwQwhkpOPPYv2Y/edit?usp=sharing"",""งบพรบ!GX83"")"),0)</f>
        <v>0</v>
      </c>
      <c r="M83" s="260">
        <f t="shared" ca="1" si="20"/>
        <v>0</v>
      </c>
      <c r="N83" s="260">
        <f t="shared" ca="1" si="21"/>
        <v>0</v>
      </c>
      <c r="O83" s="151">
        <f ca="1">IFERROR(__xludf.DUMMYFUNCTION("IMPORTRANGE(""https://docs.google.com/spreadsheets/d/1-uDff_7J0KD5mKrp0Vvzr7lt3OU09vwQwhkpOPPYv2Y/edit?usp=sharing"",""งบพรบ!GY83"")"),0)</f>
        <v>0</v>
      </c>
      <c r="P83" s="475">
        <f t="shared" ca="1" si="22"/>
        <v>0</v>
      </c>
      <c r="Q83" s="260">
        <f t="shared" ca="1" si="23"/>
        <v>0</v>
      </c>
      <c r="R83" s="278">
        <v>0</v>
      </c>
      <c r="S83" s="152">
        <v>0</v>
      </c>
      <c r="T83" s="216">
        <f t="shared" si="25"/>
        <v>0</v>
      </c>
      <c r="U83" s="278">
        <v>0</v>
      </c>
      <c r="V83" s="152">
        <v>0</v>
      </c>
      <c r="W83" s="216">
        <f t="shared" si="27"/>
        <v>0</v>
      </c>
    </row>
    <row r="84" spans="1:23" ht="19.5" x14ac:dyDescent="0.3">
      <c r="A84" s="147">
        <v>10</v>
      </c>
      <c r="B84" s="148" t="s">
        <v>112</v>
      </c>
      <c r="C84" s="472">
        <f t="shared" ca="1" si="16"/>
        <v>0</v>
      </c>
      <c r="D84" s="473">
        <f t="shared" ca="1" si="40"/>
        <v>0</v>
      </c>
      <c r="E84" s="151">
        <f ca="1">IFERROR(__xludf.DUMMYFUNCTION("IMPORTRANGE(""https://docs.google.com/spreadsheets/d/1-uDff_7J0KD5mKrp0Vvzr7lt3OU09vwQwhkpOPPYv2Y/edit?usp=sharing"",""งบพรบ!GR84"")"),0)</f>
        <v>0</v>
      </c>
      <c r="F84" s="151">
        <f ca="1">IFERROR(__xludf.DUMMYFUNCTION("IMPORTRANGE(""https://docs.google.com/spreadsheets/d/1-uDff_7J0KD5mKrp0Vvzr7lt3OU09vwQwhkpOPPYv2Y/edit?usp=sharing"",""งบพรบ!GS84"")"),0)</f>
        <v>0</v>
      </c>
      <c r="G84" s="151">
        <f ca="1">IFERROR(__xludf.DUMMYFUNCTION("IMPORTRANGE(""https://docs.google.com/spreadsheets/d/1-uDff_7J0KD5mKrp0Vvzr7lt3OU09vwQwhkpOPPYv2Y/edit?usp=sharing"",""งบพรบ!GT84"")"),0)</f>
        <v>0</v>
      </c>
      <c r="H84" s="151">
        <f ca="1">IFERROR(__xludf.DUMMYFUNCTION("IMPORTRANGE(""https://docs.google.com/spreadsheets/d/1-uDff_7J0KD5mKrp0Vvzr7lt3OU09vwQwhkpOPPYv2Y/edit?usp=sharing"",""งบพรบ!GV84"")"),0)</f>
        <v>0</v>
      </c>
      <c r="I84" s="151">
        <f ca="1">IFERROR(__xludf.DUMMYFUNCTION("IMPORTRANGE(""https://docs.google.com/spreadsheets/d/1-uDff_7J0KD5mKrp0Vvzr7lt3OU09vwQwhkpOPPYv2Y/edit?usp=sharing"",""งบพรบ!GW84"")"),0)</f>
        <v>0</v>
      </c>
      <c r="J84" s="262">
        <f t="shared" ca="1" si="18"/>
        <v>0</v>
      </c>
      <c r="K84" s="476">
        <f t="shared" ca="1" si="19"/>
        <v>0</v>
      </c>
      <c r="L84" s="151">
        <f ca="1">IFERROR(__xludf.DUMMYFUNCTION("IMPORTRANGE(""https://docs.google.com/spreadsheets/d/1-uDff_7J0KD5mKrp0Vvzr7lt3OU09vwQwhkpOPPYv2Y/edit?usp=sharing"",""งบพรบ!GX84"")"),0)</f>
        <v>0</v>
      </c>
      <c r="M84" s="260">
        <f t="shared" ca="1" si="20"/>
        <v>0</v>
      </c>
      <c r="N84" s="260">
        <f t="shared" ca="1" si="21"/>
        <v>0</v>
      </c>
      <c r="O84" s="151">
        <f ca="1">IFERROR(__xludf.DUMMYFUNCTION("IMPORTRANGE(""https://docs.google.com/spreadsheets/d/1-uDff_7J0KD5mKrp0Vvzr7lt3OU09vwQwhkpOPPYv2Y/edit?usp=sharing"",""งบพรบ!GY84"")"),0)</f>
        <v>0</v>
      </c>
      <c r="P84" s="475">
        <f t="shared" ca="1" si="22"/>
        <v>0</v>
      </c>
      <c r="Q84" s="260">
        <f t="shared" ca="1" si="23"/>
        <v>0</v>
      </c>
      <c r="R84" s="278">
        <v>0</v>
      </c>
      <c r="S84" s="152">
        <v>0</v>
      </c>
      <c r="T84" s="216">
        <f t="shared" si="25"/>
        <v>0</v>
      </c>
      <c r="U84" s="278">
        <v>0</v>
      </c>
      <c r="V84" s="152">
        <v>0</v>
      </c>
      <c r="W84" s="216">
        <f t="shared" si="27"/>
        <v>0</v>
      </c>
    </row>
    <row r="85" spans="1:23" ht="19.5" x14ac:dyDescent="0.3">
      <c r="A85" s="147">
        <v>11</v>
      </c>
      <c r="B85" s="148" t="s">
        <v>113</v>
      </c>
      <c r="C85" s="472">
        <f t="shared" ca="1" si="16"/>
        <v>0</v>
      </c>
      <c r="D85" s="473">
        <f t="shared" ca="1" si="40"/>
        <v>0</v>
      </c>
      <c r="E85" s="151">
        <f ca="1">IFERROR(__xludf.DUMMYFUNCTION("IMPORTRANGE(""https://docs.google.com/spreadsheets/d/1-uDff_7J0KD5mKrp0Vvzr7lt3OU09vwQwhkpOPPYv2Y/edit?usp=sharing"",""งบพรบ!GR85"")"),0)</f>
        <v>0</v>
      </c>
      <c r="F85" s="151">
        <f ca="1">IFERROR(__xludf.DUMMYFUNCTION("IMPORTRANGE(""https://docs.google.com/spreadsheets/d/1-uDff_7J0KD5mKrp0Vvzr7lt3OU09vwQwhkpOPPYv2Y/edit?usp=sharing"",""งบพรบ!GS85"")"),0)</f>
        <v>0</v>
      </c>
      <c r="G85" s="151">
        <f ca="1">IFERROR(__xludf.DUMMYFUNCTION("IMPORTRANGE(""https://docs.google.com/spreadsheets/d/1-uDff_7J0KD5mKrp0Vvzr7lt3OU09vwQwhkpOPPYv2Y/edit?usp=sharing"",""งบพรบ!GT85"")"),0)</f>
        <v>0</v>
      </c>
      <c r="H85" s="151">
        <f ca="1">IFERROR(__xludf.DUMMYFUNCTION("IMPORTRANGE(""https://docs.google.com/spreadsheets/d/1-uDff_7J0KD5mKrp0Vvzr7lt3OU09vwQwhkpOPPYv2Y/edit?usp=sharing"",""งบพรบ!GV85"")"),0)</f>
        <v>0</v>
      </c>
      <c r="I85" s="151">
        <f ca="1">IFERROR(__xludf.DUMMYFUNCTION("IMPORTRANGE(""https://docs.google.com/spreadsheets/d/1-uDff_7J0KD5mKrp0Vvzr7lt3OU09vwQwhkpOPPYv2Y/edit?usp=sharing"",""งบพรบ!GW85"")"),0)</f>
        <v>0</v>
      </c>
      <c r="J85" s="262">
        <f t="shared" ca="1" si="18"/>
        <v>0</v>
      </c>
      <c r="K85" s="476">
        <f t="shared" ca="1" si="19"/>
        <v>0</v>
      </c>
      <c r="L85" s="151">
        <f ca="1">IFERROR(__xludf.DUMMYFUNCTION("IMPORTRANGE(""https://docs.google.com/spreadsheets/d/1-uDff_7J0KD5mKrp0Vvzr7lt3OU09vwQwhkpOPPYv2Y/edit?usp=sharing"",""งบพรบ!GX85"")"),0)</f>
        <v>0</v>
      </c>
      <c r="M85" s="260">
        <f t="shared" ca="1" si="20"/>
        <v>0</v>
      </c>
      <c r="N85" s="260">
        <f t="shared" ca="1" si="21"/>
        <v>0</v>
      </c>
      <c r="O85" s="151">
        <f ca="1">IFERROR(__xludf.DUMMYFUNCTION("IMPORTRANGE(""https://docs.google.com/spreadsheets/d/1-uDff_7J0KD5mKrp0Vvzr7lt3OU09vwQwhkpOPPYv2Y/edit?usp=sharing"",""งบพรบ!GY85"")"),0)</f>
        <v>0</v>
      </c>
      <c r="P85" s="475">
        <f t="shared" ca="1" si="22"/>
        <v>0</v>
      </c>
      <c r="Q85" s="260">
        <f t="shared" ca="1" si="23"/>
        <v>0</v>
      </c>
      <c r="R85" s="278">
        <v>0</v>
      </c>
      <c r="S85" s="152">
        <v>0</v>
      </c>
      <c r="T85" s="216">
        <f t="shared" si="25"/>
        <v>0</v>
      </c>
      <c r="U85" s="278">
        <v>0</v>
      </c>
      <c r="V85" s="152">
        <v>0</v>
      </c>
      <c r="W85" s="216">
        <f t="shared" si="27"/>
        <v>0</v>
      </c>
    </row>
    <row r="86" spans="1:23" ht="19.5" x14ac:dyDescent="0.3">
      <c r="A86" s="147">
        <v>12</v>
      </c>
      <c r="B86" s="148" t="s">
        <v>114</v>
      </c>
      <c r="C86" s="472">
        <f t="shared" ca="1" si="16"/>
        <v>0</v>
      </c>
      <c r="D86" s="473">
        <f t="shared" ca="1" si="40"/>
        <v>0</v>
      </c>
      <c r="E86" s="151">
        <f ca="1">IFERROR(__xludf.DUMMYFUNCTION("IMPORTRANGE(""https://docs.google.com/spreadsheets/d/1-uDff_7J0KD5mKrp0Vvzr7lt3OU09vwQwhkpOPPYv2Y/edit?usp=sharing"",""งบพรบ!GR86"")"),0)</f>
        <v>0</v>
      </c>
      <c r="F86" s="151">
        <f ca="1">IFERROR(__xludf.DUMMYFUNCTION("IMPORTRANGE(""https://docs.google.com/spreadsheets/d/1-uDff_7J0KD5mKrp0Vvzr7lt3OU09vwQwhkpOPPYv2Y/edit?usp=sharing"",""งบพรบ!GS86"")"),0)</f>
        <v>0</v>
      </c>
      <c r="G86" s="151">
        <f ca="1">IFERROR(__xludf.DUMMYFUNCTION("IMPORTRANGE(""https://docs.google.com/spreadsheets/d/1-uDff_7J0KD5mKrp0Vvzr7lt3OU09vwQwhkpOPPYv2Y/edit?usp=sharing"",""งบพรบ!GT86"")"),0)</f>
        <v>0</v>
      </c>
      <c r="H86" s="151">
        <f ca="1">IFERROR(__xludf.DUMMYFUNCTION("IMPORTRANGE(""https://docs.google.com/spreadsheets/d/1-uDff_7J0KD5mKrp0Vvzr7lt3OU09vwQwhkpOPPYv2Y/edit?usp=sharing"",""งบพรบ!GV86"")"),0)</f>
        <v>0</v>
      </c>
      <c r="I86" s="151">
        <f ca="1">IFERROR(__xludf.DUMMYFUNCTION("IMPORTRANGE(""https://docs.google.com/spreadsheets/d/1-uDff_7J0KD5mKrp0Vvzr7lt3OU09vwQwhkpOPPYv2Y/edit?usp=sharing"",""งบพรบ!GW86"")"),0)</f>
        <v>0</v>
      </c>
      <c r="J86" s="262">
        <f t="shared" ca="1" si="18"/>
        <v>0</v>
      </c>
      <c r="K86" s="476">
        <f t="shared" ca="1" si="19"/>
        <v>0</v>
      </c>
      <c r="L86" s="151">
        <f ca="1">IFERROR(__xludf.DUMMYFUNCTION("IMPORTRANGE(""https://docs.google.com/spreadsheets/d/1-uDff_7J0KD5mKrp0Vvzr7lt3OU09vwQwhkpOPPYv2Y/edit?usp=sharing"",""งบพรบ!GX86"")"),0)</f>
        <v>0</v>
      </c>
      <c r="M86" s="260">
        <f t="shared" ca="1" si="20"/>
        <v>0</v>
      </c>
      <c r="N86" s="260">
        <f t="shared" ca="1" si="21"/>
        <v>0</v>
      </c>
      <c r="O86" s="151">
        <f ca="1">IFERROR(__xludf.DUMMYFUNCTION("IMPORTRANGE(""https://docs.google.com/spreadsheets/d/1-uDff_7J0KD5mKrp0Vvzr7lt3OU09vwQwhkpOPPYv2Y/edit?usp=sharing"",""งบพรบ!GY86"")"),0)</f>
        <v>0</v>
      </c>
      <c r="P86" s="475">
        <f t="shared" ca="1" si="22"/>
        <v>0</v>
      </c>
      <c r="Q86" s="260">
        <f t="shared" ca="1" si="23"/>
        <v>0</v>
      </c>
      <c r="R86" s="278">
        <v>0</v>
      </c>
      <c r="S86" s="152">
        <v>0</v>
      </c>
      <c r="T86" s="216">
        <f t="shared" si="25"/>
        <v>0</v>
      </c>
      <c r="U86" s="278">
        <v>0</v>
      </c>
      <c r="V86" s="152">
        <v>0</v>
      </c>
      <c r="W86" s="216">
        <f t="shared" si="27"/>
        <v>0</v>
      </c>
    </row>
    <row r="87" spans="1:23" ht="19.5" x14ac:dyDescent="0.3">
      <c r="A87" s="147">
        <v>13</v>
      </c>
      <c r="B87" s="148" t="s">
        <v>115</v>
      </c>
      <c r="C87" s="472">
        <f t="shared" ca="1" si="16"/>
        <v>0</v>
      </c>
      <c r="D87" s="473">
        <f t="shared" ca="1" si="40"/>
        <v>0</v>
      </c>
      <c r="E87" s="151">
        <f ca="1">IFERROR(__xludf.DUMMYFUNCTION("IMPORTRANGE(""https://docs.google.com/spreadsheets/d/1-uDff_7J0KD5mKrp0Vvzr7lt3OU09vwQwhkpOPPYv2Y/edit?usp=sharing"",""งบพรบ!GR87"")"),0)</f>
        <v>0</v>
      </c>
      <c r="F87" s="151">
        <f ca="1">IFERROR(__xludf.DUMMYFUNCTION("IMPORTRANGE(""https://docs.google.com/spreadsheets/d/1-uDff_7J0KD5mKrp0Vvzr7lt3OU09vwQwhkpOPPYv2Y/edit?usp=sharing"",""งบพรบ!GS87"")"),0)</f>
        <v>0</v>
      </c>
      <c r="G87" s="151">
        <f ca="1">IFERROR(__xludf.DUMMYFUNCTION("IMPORTRANGE(""https://docs.google.com/spreadsheets/d/1-uDff_7J0KD5mKrp0Vvzr7lt3OU09vwQwhkpOPPYv2Y/edit?usp=sharing"",""งบพรบ!GT87"")"),0)</f>
        <v>0</v>
      </c>
      <c r="H87" s="151">
        <f ca="1">IFERROR(__xludf.DUMMYFUNCTION("IMPORTRANGE(""https://docs.google.com/spreadsheets/d/1-uDff_7J0KD5mKrp0Vvzr7lt3OU09vwQwhkpOPPYv2Y/edit?usp=sharing"",""งบพรบ!GV87"")"),0)</f>
        <v>0</v>
      </c>
      <c r="I87" s="151">
        <f ca="1">IFERROR(__xludf.DUMMYFUNCTION("IMPORTRANGE(""https://docs.google.com/spreadsheets/d/1-uDff_7J0KD5mKrp0Vvzr7lt3OU09vwQwhkpOPPYv2Y/edit?usp=sharing"",""งบพรบ!GW87"")"),0)</f>
        <v>0</v>
      </c>
      <c r="J87" s="262">
        <f t="shared" ca="1" si="18"/>
        <v>0</v>
      </c>
      <c r="K87" s="476">
        <f t="shared" ca="1" si="19"/>
        <v>0</v>
      </c>
      <c r="L87" s="151">
        <f ca="1">IFERROR(__xludf.DUMMYFUNCTION("IMPORTRANGE(""https://docs.google.com/spreadsheets/d/1-uDff_7J0KD5mKrp0Vvzr7lt3OU09vwQwhkpOPPYv2Y/edit?usp=sharing"",""งบพรบ!GX87"")"),0)</f>
        <v>0</v>
      </c>
      <c r="M87" s="260">
        <f t="shared" ca="1" si="20"/>
        <v>0</v>
      </c>
      <c r="N87" s="260">
        <f t="shared" ca="1" si="21"/>
        <v>0</v>
      </c>
      <c r="O87" s="151">
        <f ca="1">IFERROR(__xludf.DUMMYFUNCTION("IMPORTRANGE(""https://docs.google.com/spreadsheets/d/1-uDff_7J0KD5mKrp0Vvzr7lt3OU09vwQwhkpOPPYv2Y/edit?usp=sharing"",""งบพรบ!GY87"")"),0)</f>
        <v>0</v>
      </c>
      <c r="P87" s="475">
        <f t="shared" ca="1" si="22"/>
        <v>0</v>
      </c>
      <c r="Q87" s="260">
        <f t="shared" ca="1" si="23"/>
        <v>0</v>
      </c>
      <c r="R87" s="278">
        <v>0</v>
      </c>
      <c r="S87" s="152">
        <v>0</v>
      </c>
      <c r="T87" s="216">
        <f t="shared" si="25"/>
        <v>0</v>
      </c>
      <c r="U87" s="278">
        <v>0</v>
      </c>
      <c r="V87" s="152">
        <v>0</v>
      </c>
      <c r="W87" s="216">
        <f t="shared" si="27"/>
        <v>0</v>
      </c>
    </row>
    <row r="88" spans="1:23" ht="19.5" x14ac:dyDescent="0.3">
      <c r="A88" s="155">
        <v>14</v>
      </c>
      <c r="B88" s="156" t="s">
        <v>116</v>
      </c>
      <c r="C88" s="477">
        <f t="shared" ca="1" si="16"/>
        <v>807875</v>
      </c>
      <c r="D88" s="478">
        <f t="shared" ca="1" si="40"/>
        <v>807875</v>
      </c>
      <c r="E88" s="159">
        <f ca="1">IFERROR(__xludf.DUMMYFUNCTION("IMPORTRANGE(""https://docs.google.com/spreadsheets/d/1-uDff_7J0KD5mKrp0Vvzr7lt3OU09vwQwhkpOPPYv2Y/edit?usp=sharing"",""งบพรบ!GR88"")"),0)</f>
        <v>0</v>
      </c>
      <c r="F88" s="159">
        <f ca="1">IFERROR(__xludf.DUMMYFUNCTION("IMPORTRANGE(""https://docs.google.com/spreadsheets/d/1-uDff_7J0KD5mKrp0Vvzr7lt3OU09vwQwhkpOPPYv2Y/edit?usp=sharing"",""งบพรบ!GS88"")"),807875)</f>
        <v>807875</v>
      </c>
      <c r="G88" s="159">
        <f ca="1">IFERROR(__xludf.DUMMYFUNCTION("IMPORTRANGE(""https://docs.google.com/spreadsheets/d/1-uDff_7J0KD5mKrp0Vvzr7lt3OU09vwQwhkpOPPYv2Y/edit?usp=sharing"",""งบพรบ!GT88"")"),0)</f>
        <v>0</v>
      </c>
      <c r="H88" s="159">
        <f ca="1">IFERROR(__xludf.DUMMYFUNCTION("IMPORTRANGE(""https://docs.google.com/spreadsheets/d/1-uDff_7J0KD5mKrp0Vvzr7lt3OU09vwQwhkpOPPYv2Y/edit?usp=sharing"",""งบพรบ!GV88"")"),807875)</f>
        <v>807875</v>
      </c>
      <c r="I88" s="159">
        <f ca="1">IFERROR(__xludf.DUMMYFUNCTION("IMPORTRANGE(""https://docs.google.com/spreadsheets/d/1-uDff_7J0KD5mKrp0Vvzr7lt3OU09vwQwhkpOPPYv2Y/edit?usp=sharing"",""งบพรบ!GW88"")"),0)</f>
        <v>0</v>
      </c>
      <c r="J88" s="479">
        <f t="shared" ca="1" si="18"/>
        <v>545480</v>
      </c>
      <c r="K88" s="480">
        <f t="shared" ca="1" si="19"/>
        <v>67.520346588271707</v>
      </c>
      <c r="L88" s="159">
        <f ca="1">IFERROR(__xludf.DUMMYFUNCTION("IMPORTRANGE(""https://docs.google.com/spreadsheets/d/1-uDff_7J0KD5mKrp0Vvzr7lt3OU09vwQwhkpOPPYv2Y/edit?usp=sharing"",""งบพรบ!GX88"")"),545480)</f>
        <v>545480</v>
      </c>
      <c r="M88" s="481">
        <f t="shared" ca="1" si="20"/>
        <v>67.520346588271707</v>
      </c>
      <c r="N88" s="481">
        <f t="shared" ca="1" si="21"/>
        <v>67.520346588271707</v>
      </c>
      <c r="O88" s="159">
        <f ca="1">IFERROR(__xludf.DUMMYFUNCTION("IMPORTRANGE(""https://docs.google.com/spreadsheets/d/1-uDff_7J0KD5mKrp0Vvzr7lt3OU09vwQwhkpOPPYv2Y/edit?usp=sharing"",""งบพรบ!GY88"")"),0)</f>
        <v>0</v>
      </c>
      <c r="P88" s="482">
        <f t="shared" ca="1" si="22"/>
        <v>0</v>
      </c>
      <c r="Q88" s="481">
        <f t="shared" ca="1" si="23"/>
        <v>0</v>
      </c>
      <c r="R88" s="280">
        <f ca="1">IFERROR(__xludf.DUMMYFUNCTION("IMPORTRANGE(""https://docs.google.com/spreadsheets/d/18T20gbkS_WBjdscyTOV05cvq_JqvqQ17C81mpxf7Ncs/edit?usp=sharing"",""สุราษฎร์ธานี!I586"")"),2)</f>
        <v>2</v>
      </c>
      <c r="S88" s="191">
        <f ca="1">IFERROR(__xludf.DUMMYFUNCTION("IMPORTRANGE(""https://docs.google.com/spreadsheets/d/18T20gbkS_WBjdscyTOV05cvq_JqvqQ17C81mpxf7Ncs/edit?usp=sharing"",""สุราษฎร์ธานี!J586"")"),1)</f>
        <v>1</v>
      </c>
      <c r="T88" s="218">
        <f t="shared" ca="1" si="25"/>
        <v>50</v>
      </c>
      <c r="U88" s="280">
        <f ca="1">IFERROR(__xludf.DUMMYFUNCTION("IMPORTRANGE(""https://docs.google.com/spreadsheets/d/18T20gbkS_WBjdscyTOV05cvq_JqvqQ17C81mpxf7Ncs/edit?usp=sharing"",""สุราษฎร์ธานี!I587"")"),15)</f>
        <v>15</v>
      </c>
      <c r="V88" s="191">
        <f ca="1">IFERROR(__xludf.DUMMYFUNCTION("IMPORTRANGE(""https://docs.google.com/spreadsheets/d/18T20gbkS_WBjdscyTOV05cvq_JqvqQ17C81mpxf7Ncs/edit?usp=sharing"",""สุราษฎร์ธานี!J587"")"),15)</f>
        <v>15</v>
      </c>
      <c r="W88" s="218">
        <f t="shared" ca="1" si="27"/>
        <v>100</v>
      </c>
    </row>
    <row r="89" spans="1:23" ht="19.5" x14ac:dyDescent="0.3">
      <c r="A89" s="698" t="s">
        <v>117</v>
      </c>
      <c r="B89" s="662"/>
      <c r="C89" s="489">
        <f t="shared" ref="C89:Q89" ca="1" si="41">SUM(C90:C106)</f>
        <v>29776</v>
      </c>
      <c r="D89" s="489">
        <f t="shared" ca="1" si="41"/>
        <v>29776</v>
      </c>
      <c r="E89" s="489">
        <f t="shared" ca="1" si="41"/>
        <v>0</v>
      </c>
      <c r="F89" s="489">
        <f t="shared" ca="1" si="41"/>
        <v>29776</v>
      </c>
      <c r="G89" s="489">
        <f t="shared" ca="1" si="41"/>
        <v>0</v>
      </c>
      <c r="H89" s="489">
        <f t="shared" ca="1" si="41"/>
        <v>29776</v>
      </c>
      <c r="I89" s="489">
        <f t="shared" ca="1" si="41"/>
        <v>0</v>
      </c>
      <c r="J89" s="489">
        <f t="shared" ca="1" si="41"/>
        <v>0</v>
      </c>
      <c r="K89" s="490">
        <f t="shared" ca="1" si="41"/>
        <v>0</v>
      </c>
      <c r="L89" s="489">
        <f t="shared" ca="1" si="41"/>
        <v>0</v>
      </c>
      <c r="M89" s="490">
        <f t="shared" ca="1" si="41"/>
        <v>0</v>
      </c>
      <c r="N89" s="490">
        <f t="shared" ca="1" si="41"/>
        <v>0</v>
      </c>
      <c r="O89" s="489">
        <f t="shared" ca="1" si="41"/>
        <v>0</v>
      </c>
      <c r="P89" s="489">
        <f t="shared" ca="1" si="41"/>
        <v>0</v>
      </c>
      <c r="Q89" s="489">
        <f t="shared" ca="1" si="41"/>
        <v>0</v>
      </c>
      <c r="R89" s="489"/>
      <c r="S89" s="489"/>
      <c r="T89" s="256"/>
      <c r="U89" s="489"/>
      <c r="V89" s="489"/>
      <c r="W89" s="256"/>
    </row>
    <row r="90" spans="1:23" ht="19.5" x14ac:dyDescent="0.3">
      <c r="A90" s="257"/>
      <c r="B90" s="258" t="s">
        <v>118</v>
      </c>
      <c r="C90" s="472">
        <f t="shared" ref="C90:C108" ca="1" si="42">D90+G90</f>
        <v>0</v>
      </c>
      <c r="D90" s="473">
        <f t="shared" ref="D90:D108" ca="1" si="43">+E90+F90</f>
        <v>0</v>
      </c>
      <c r="E90" s="151">
        <f ca="1">IFERROR(__xludf.DUMMYFUNCTION("IMPORTRANGE(""https://docs.google.com/spreadsheets/d/1-uDff_7J0KD5mKrp0Vvzr7lt3OU09vwQwhkpOPPYv2Y/edit?usp=sharing"",""งบพรบ!GR90"")"),0)</f>
        <v>0</v>
      </c>
      <c r="F90" s="151">
        <f ca="1">IFERROR(__xludf.DUMMYFUNCTION("IMPORTRANGE(""https://docs.google.com/spreadsheets/d/1-uDff_7J0KD5mKrp0Vvzr7lt3OU09vwQwhkpOPPYv2Y/edit?usp=sharing"",""งบพรบ!GS90"")"),0)</f>
        <v>0</v>
      </c>
      <c r="G90" s="151">
        <f ca="1">IFERROR(__xludf.DUMMYFUNCTION("IMPORTRANGE(""https://docs.google.com/spreadsheets/d/1-uDff_7J0KD5mKrp0Vvzr7lt3OU09vwQwhkpOPPYv2Y/edit?usp=sharing"",""งบพรบ!GT90"")"),0)</f>
        <v>0</v>
      </c>
      <c r="H90" s="151">
        <f ca="1">IFERROR(__xludf.DUMMYFUNCTION("IMPORTRANGE(""https://docs.google.com/spreadsheets/d/1-uDff_7J0KD5mKrp0Vvzr7lt3OU09vwQwhkpOPPYv2Y/edit?usp=sharing"",""งบพรบ!GV90"")"),0)</f>
        <v>0</v>
      </c>
      <c r="I90" s="151">
        <f ca="1">IFERROR(__xludf.DUMMYFUNCTION("IMPORTRANGE(""https://docs.google.com/spreadsheets/d/1-uDff_7J0KD5mKrp0Vvzr7lt3OU09vwQwhkpOPPYv2Y/edit?usp=sharing"",""งบพรบ!GW90"")"),0)</f>
        <v>0</v>
      </c>
      <c r="J90" s="262">
        <f t="shared" ref="J90:J108" ca="1" si="44">L90+O90</f>
        <v>0</v>
      </c>
      <c r="K90" s="476">
        <f t="shared" ref="K90:K108" ca="1" si="45">IF(C90&gt;0,J90*100/C90,0)</f>
        <v>0</v>
      </c>
      <c r="L90" s="151">
        <f ca="1">IFERROR(__xludf.DUMMYFUNCTION("IMPORTRANGE(""https://docs.google.com/spreadsheets/d/1-uDff_7J0KD5mKrp0Vvzr7lt3OU09vwQwhkpOPPYv2Y/edit?usp=sharing"",""งบพรบ!GX90"")"),0)</f>
        <v>0</v>
      </c>
      <c r="M90" s="260">
        <f t="shared" ref="M90:M108" ca="1" si="46">IF(D90&gt;0,L90*100/D90,0)</f>
        <v>0</v>
      </c>
      <c r="N90" s="260">
        <f t="shared" ref="N90:N108" ca="1" si="47">IF(H90&gt;0,L90*100/H90,0)</f>
        <v>0</v>
      </c>
      <c r="O90" s="151">
        <f ca="1">IFERROR(__xludf.DUMMYFUNCTION("IMPORTRANGE(""https://docs.google.com/spreadsheets/d/1-uDff_7J0KD5mKrp0Vvzr7lt3OU09vwQwhkpOPPYv2Y/edit?usp=sharing"",""งบพรบ!GY90"")"),0)</f>
        <v>0</v>
      </c>
      <c r="P90" s="475">
        <f t="shared" ref="P90:P108" ca="1" si="48">IF(G90&gt;0,O90*100/G90,0)</f>
        <v>0</v>
      </c>
      <c r="Q90" s="260">
        <f t="shared" ref="Q90:Q108" ca="1" si="49">IF(I90&gt;0,O90*100/I90,0)</f>
        <v>0</v>
      </c>
      <c r="R90" s="262"/>
      <c r="S90" s="262"/>
      <c r="T90" s="260"/>
      <c r="U90" s="262"/>
      <c r="V90" s="262"/>
      <c r="W90" s="260"/>
    </row>
    <row r="91" spans="1:23" ht="19.5" x14ac:dyDescent="0.3">
      <c r="A91" s="257"/>
      <c r="B91" s="258" t="s">
        <v>119</v>
      </c>
      <c r="C91" s="472">
        <f t="shared" ca="1" si="42"/>
        <v>0</v>
      </c>
      <c r="D91" s="473">
        <f t="shared" ca="1" si="43"/>
        <v>0</v>
      </c>
      <c r="E91" s="151">
        <f ca="1">IFERROR(__xludf.DUMMYFUNCTION("IMPORTRANGE(""https://docs.google.com/spreadsheets/d/1-uDff_7J0KD5mKrp0Vvzr7lt3OU09vwQwhkpOPPYv2Y/edit?usp=sharing"",""งบพรบ!GR91"")"),0)</f>
        <v>0</v>
      </c>
      <c r="F91" s="151">
        <f ca="1">IFERROR(__xludf.DUMMYFUNCTION("IMPORTRANGE(""https://docs.google.com/spreadsheets/d/1-uDff_7J0KD5mKrp0Vvzr7lt3OU09vwQwhkpOPPYv2Y/edit?usp=sharing"",""งบพรบ!GS91"")"),0)</f>
        <v>0</v>
      </c>
      <c r="G91" s="151">
        <f ca="1">IFERROR(__xludf.DUMMYFUNCTION("IMPORTRANGE(""https://docs.google.com/spreadsheets/d/1-uDff_7J0KD5mKrp0Vvzr7lt3OU09vwQwhkpOPPYv2Y/edit?usp=sharing"",""งบพรบ!GT91"")"),0)</f>
        <v>0</v>
      </c>
      <c r="H91" s="151">
        <f ca="1">IFERROR(__xludf.DUMMYFUNCTION("IMPORTRANGE(""https://docs.google.com/spreadsheets/d/1-uDff_7J0KD5mKrp0Vvzr7lt3OU09vwQwhkpOPPYv2Y/edit?usp=sharing"",""งบพรบ!GV91"")"),0)</f>
        <v>0</v>
      </c>
      <c r="I91" s="151">
        <f ca="1">IFERROR(__xludf.DUMMYFUNCTION("IMPORTRANGE(""https://docs.google.com/spreadsheets/d/1-uDff_7J0KD5mKrp0Vvzr7lt3OU09vwQwhkpOPPYv2Y/edit?usp=sharing"",""งบพรบ!GW91"")"),0)</f>
        <v>0</v>
      </c>
      <c r="J91" s="262">
        <f t="shared" ca="1" si="44"/>
        <v>0</v>
      </c>
      <c r="K91" s="476">
        <f t="shared" ca="1" si="45"/>
        <v>0</v>
      </c>
      <c r="L91" s="151">
        <f ca="1">IFERROR(__xludf.DUMMYFUNCTION("IMPORTRANGE(""https://docs.google.com/spreadsheets/d/1-uDff_7J0KD5mKrp0Vvzr7lt3OU09vwQwhkpOPPYv2Y/edit?usp=sharing"",""งบพรบ!GX91"")"),0)</f>
        <v>0</v>
      </c>
      <c r="M91" s="260">
        <f t="shared" ca="1" si="46"/>
        <v>0</v>
      </c>
      <c r="N91" s="260">
        <f t="shared" ca="1" si="47"/>
        <v>0</v>
      </c>
      <c r="O91" s="151">
        <f ca="1">IFERROR(__xludf.DUMMYFUNCTION("IMPORTRANGE(""https://docs.google.com/spreadsheets/d/1-uDff_7J0KD5mKrp0Vvzr7lt3OU09vwQwhkpOPPYv2Y/edit?usp=sharing"",""งบพรบ!GY91"")"),0)</f>
        <v>0</v>
      </c>
      <c r="P91" s="475">
        <f t="shared" ca="1" si="48"/>
        <v>0</v>
      </c>
      <c r="Q91" s="260">
        <f t="shared" ca="1" si="49"/>
        <v>0</v>
      </c>
      <c r="R91" s="262"/>
      <c r="S91" s="262"/>
      <c r="T91" s="260"/>
      <c r="U91" s="262"/>
      <c r="V91" s="262"/>
      <c r="W91" s="260"/>
    </row>
    <row r="92" spans="1:23" ht="19.5" x14ac:dyDescent="0.3">
      <c r="A92" s="257"/>
      <c r="B92" s="258" t="s">
        <v>120</v>
      </c>
      <c r="C92" s="472">
        <f t="shared" ca="1" si="42"/>
        <v>0</v>
      </c>
      <c r="D92" s="473">
        <f t="shared" ca="1" si="43"/>
        <v>0</v>
      </c>
      <c r="E92" s="151">
        <f ca="1">IFERROR(__xludf.DUMMYFUNCTION("IMPORTRANGE(""https://docs.google.com/spreadsheets/d/1-uDff_7J0KD5mKrp0Vvzr7lt3OU09vwQwhkpOPPYv2Y/edit?usp=sharing"",""งบพรบ!GR92"")"),0)</f>
        <v>0</v>
      </c>
      <c r="F92" s="151">
        <f ca="1">IFERROR(__xludf.DUMMYFUNCTION("IMPORTRANGE(""https://docs.google.com/spreadsheets/d/1-uDff_7J0KD5mKrp0Vvzr7lt3OU09vwQwhkpOPPYv2Y/edit?usp=sharing"",""งบพรบ!GS92"")"),0)</f>
        <v>0</v>
      </c>
      <c r="G92" s="151">
        <f ca="1">IFERROR(__xludf.DUMMYFUNCTION("IMPORTRANGE(""https://docs.google.com/spreadsheets/d/1-uDff_7J0KD5mKrp0Vvzr7lt3OU09vwQwhkpOPPYv2Y/edit?usp=sharing"",""งบพรบ!GT92"")"),0)</f>
        <v>0</v>
      </c>
      <c r="H92" s="151">
        <f ca="1">IFERROR(__xludf.DUMMYFUNCTION("IMPORTRANGE(""https://docs.google.com/spreadsheets/d/1-uDff_7J0KD5mKrp0Vvzr7lt3OU09vwQwhkpOPPYv2Y/edit?usp=sharing"",""งบพรบ!GV92"")"),0)</f>
        <v>0</v>
      </c>
      <c r="I92" s="151">
        <f ca="1">IFERROR(__xludf.DUMMYFUNCTION("IMPORTRANGE(""https://docs.google.com/spreadsheets/d/1-uDff_7J0KD5mKrp0Vvzr7lt3OU09vwQwhkpOPPYv2Y/edit?usp=sharing"",""งบพรบ!GW92"")"),0)</f>
        <v>0</v>
      </c>
      <c r="J92" s="262">
        <f t="shared" ca="1" si="44"/>
        <v>0</v>
      </c>
      <c r="K92" s="476">
        <f t="shared" ca="1" si="45"/>
        <v>0</v>
      </c>
      <c r="L92" s="151">
        <f ca="1">IFERROR(__xludf.DUMMYFUNCTION("IMPORTRANGE(""https://docs.google.com/spreadsheets/d/1-uDff_7J0KD5mKrp0Vvzr7lt3OU09vwQwhkpOPPYv2Y/edit?usp=sharing"",""งบพรบ!GX92"")"),0)</f>
        <v>0</v>
      </c>
      <c r="M92" s="260">
        <f t="shared" ca="1" si="46"/>
        <v>0</v>
      </c>
      <c r="N92" s="260">
        <f t="shared" ca="1" si="47"/>
        <v>0</v>
      </c>
      <c r="O92" s="151">
        <f ca="1">IFERROR(__xludf.DUMMYFUNCTION("IMPORTRANGE(""https://docs.google.com/spreadsheets/d/1-uDff_7J0KD5mKrp0Vvzr7lt3OU09vwQwhkpOPPYv2Y/edit?usp=sharing"",""งบพรบ!GY92"")"),0)</f>
        <v>0</v>
      </c>
      <c r="P92" s="475">
        <f t="shared" ca="1" si="48"/>
        <v>0</v>
      </c>
      <c r="Q92" s="260">
        <f t="shared" ca="1" si="49"/>
        <v>0</v>
      </c>
      <c r="R92" s="262"/>
      <c r="S92" s="262"/>
      <c r="T92" s="260"/>
      <c r="U92" s="262"/>
      <c r="V92" s="262"/>
      <c r="W92" s="260"/>
    </row>
    <row r="93" spans="1:23" ht="19.5" x14ac:dyDescent="0.3">
      <c r="A93" s="257"/>
      <c r="B93" s="258" t="s">
        <v>121</v>
      </c>
      <c r="C93" s="472">
        <f t="shared" ca="1" si="42"/>
        <v>0</v>
      </c>
      <c r="D93" s="473">
        <f t="shared" ca="1" si="43"/>
        <v>0</v>
      </c>
      <c r="E93" s="151">
        <f ca="1">IFERROR(__xludf.DUMMYFUNCTION("IMPORTRANGE(""https://docs.google.com/spreadsheets/d/1-uDff_7J0KD5mKrp0Vvzr7lt3OU09vwQwhkpOPPYv2Y/edit?usp=sharing"",""งบพรบ!GR93"")"),0)</f>
        <v>0</v>
      </c>
      <c r="F93" s="151">
        <f ca="1">IFERROR(__xludf.DUMMYFUNCTION("IMPORTRANGE(""https://docs.google.com/spreadsheets/d/1-uDff_7J0KD5mKrp0Vvzr7lt3OU09vwQwhkpOPPYv2Y/edit?usp=sharing"",""งบพรบ!GS93"")"),0)</f>
        <v>0</v>
      </c>
      <c r="G93" s="151">
        <f ca="1">IFERROR(__xludf.DUMMYFUNCTION("IMPORTRANGE(""https://docs.google.com/spreadsheets/d/1-uDff_7J0KD5mKrp0Vvzr7lt3OU09vwQwhkpOPPYv2Y/edit?usp=sharing"",""งบพรบ!GT93"")"),0)</f>
        <v>0</v>
      </c>
      <c r="H93" s="151">
        <f ca="1">IFERROR(__xludf.DUMMYFUNCTION("IMPORTRANGE(""https://docs.google.com/spreadsheets/d/1-uDff_7J0KD5mKrp0Vvzr7lt3OU09vwQwhkpOPPYv2Y/edit?usp=sharing"",""งบพรบ!GV93"")"),0)</f>
        <v>0</v>
      </c>
      <c r="I93" s="151">
        <f ca="1">IFERROR(__xludf.DUMMYFUNCTION("IMPORTRANGE(""https://docs.google.com/spreadsheets/d/1-uDff_7J0KD5mKrp0Vvzr7lt3OU09vwQwhkpOPPYv2Y/edit?usp=sharing"",""งบพรบ!GW93"")"),0)</f>
        <v>0</v>
      </c>
      <c r="J93" s="262">
        <f t="shared" ca="1" si="44"/>
        <v>0</v>
      </c>
      <c r="K93" s="476">
        <f t="shared" ca="1" si="45"/>
        <v>0</v>
      </c>
      <c r="L93" s="151">
        <f ca="1">IFERROR(__xludf.DUMMYFUNCTION("IMPORTRANGE(""https://docs.google.com/spreadsheets/d/1-uDff_7J0KD5mKrp0Vvzr7lt3OU09vwQwhkpOPPYv2Y/edit?usp=sharing"",""งบพรบ!GX93"")"),0)</f>
        <v>0</v>
      </c>
      <c r="M93" s="260">
        <f t="shared" ca="1" si="46"/>
        <v>0</v>
      </c>
      <c r="N93" s="260">
        <f t="shared" ca="1" si="47"/>
        <v>0</v>
      </c>
      <c r="O93" s="151">
        <f ca="1">IFERROR(__xludf.DUMMYFUNCTION("IMPORTRANGE(""https://docs.google.com/spreadsheets/d/1-uDff_7J0KD5mKrp0Vvzr7lt3OU09vwQwhkpOPPYv2Y/edit?usp=sharing"",""งบพรบ!GY93"")"),0)</f>
        <v>0</v>
      </c>
      <c r="P93" s="475">
        <f t="shared" ca="1" si="48"/>
        <v>0</v>
      </c>
      <c r="Q93" s="260">
        <f t="shared" ca="1" si="49"/>
        <v>0</v>
      </c>
      <c r="R93" s="262"/>
      <c r="S93" s="262"/>
      <c r="T93" s="260"/>
      <c r="U93" s="262"/>
      <c r="V93" s="262"/>
      <c r="W93" s="260"/>
    </row>
    <row r="94" spans="1:23" ht="19.5" x14ac:dyDescent="0.3">
      <c r="A94" s="257"/>
      <c r="B94" s="258" t="s">
        <v>122</v>
      </c>
      <c r="C94" s="472">
        <f t="shared" ca="1" si="42"/>
        <v>0</v>
      </c>
      <c r="D94" s="473">
        <f t="shared" ca="1" si="43"/>
        <v>0</v>
      </c>
      <c r="E94" s="151">
        <f ca="1">IFERROR(__xludf.DUMMYFUNCTION("IMPORTRANGE(""https://docs.google.com/spreadsheets/d/1-uDff_7J0KD5mKrp0Vvzr7lt3OU09vwQwhkpOPPYv2Y/edit?usp=sharing"",""งบพรบ!GR94"")"),0)</f>
        <v>0</v>
      </c>
      <c r="F94" s="151">
        <f ca="1">IFERROR(__xludf.DUMMYFUNCTION("IMPORTRANGE(""https://docs.google.com/spreadsheets/d/1-uDff_7J0KD5mKrp0Vvzr7lt3OU09vwQwhkpOPPYv2Y/edit?usp=sharing"",""งบพรบ!GS94"")"),0)</f>
        <v>0</v>
      </c>
      <c r="G94" s="151">
        <f ca="1">IFERROR(__xludf.DUMMYFUNCTION("IMPORTRANGE(""https://docs.google.com/spreadsheets/d/1-uDff_7J0KD5mKrp0Vvzr7lt3OU09vwQwhkpOPPYv2Y/edit?usp=sharing"",""งบพรบ!GT94"")"),0)</f>
        <v>0</v>
      </c>
      <c r="H94" s="151">
        <f ca="1">IFERROR(__xludf.DUMMYFUNCTION("IMPORTRANGE(""https://docs.google.com/spreadsheets/d/1-uDff_7J0KD5mKrp0Vvzr7lt3OU09vwQwhkpOPPYv2Y/edit?usp=sharing"",""งบพรบ!GV94"")"),0)</f>
        <v>0</v>
      </c>
      <c r="I94" s="151">
        <f ca="1">IFERROR(__xludf.DUMMYFUNCTION("IMPORTRANGE(""https://docs.google.com/spreadsheets/d/1-uDff_7J0KD5mKrp0Vvzr7lt3OU09vwQwhkpOPPYv2Y/edit?usp=sharing"",""งบพรบ!GW94"")"),0)</f>
        <v>0</v>
      </c>
      <c r="J94" s="262">
        <f t="shared" ca="1" si="44"/>
        <v>0</v>
      </c>
      <c r="K94" s="476">
        <f t="shared" ca="1" si="45"/>
        <v>0</v>
      </c>
      <c r="L94" s="151">
        <f ca="1">IFERROR(__xludf.DUMMYFUNCTION("IMPORTRANGE(""https://docs.google.com/spreadsheets/d/1-uDff_7J0KD5mKrp0Vvzr7lt3OU09vwQwhkpOPPYv2Y/edit?usp=sharing"",""งบพรบ!GX94"")"),0)</f>
        <v>0</v>
      </c>
      <c r="M94" s="260">
        <f t="shared" ca="1" si="46"/>
        <v>0</v>
      </c>
      <c r="N94" s="260">
        <f t="shared" ca="1" si="47"/>
        <v>0</v>
      </c>
      <c r="O94" s="151">
        <f ca="1">IFERROR(__xludf.DUMMYFUNCTION("IMPORTRANGE(""https://docs.google.com/spreadsheets/d/1-uDff_7J0KD5mKrp0Vvzr7lt3OU09vwQwhkpOPPYv2Y/edit?usp=sharing"",""งบพรบ!GY94"")"),0)</f>
        <v>0</v>
      </c>
      <c r="P94" s="475">
        <f t="shared" ca="1" si="48"/>
        <v>0</v>
      </c>
      <c r="Q94" s="260">
        <f t="shared" ca="1" si="49"/>
        <v>0</v>
      </c>
      <c r="R94" s="262"/>
      <c r="S94" s="262"/>
      <c r="T94" s="260"/>
      <c r="U94" s="262"/>
      <c r="V94" s="262"/>
      <c r="W94" s="260"/>
    </row>
    <row r="95" spans="1:23" ht="19.5" x14ac:dyDescent="0.3">
      <c r="A95" s="257"/>
      <c r="B95" s="258" t="s">
        <v>123</v>
      </c>
      <c r="C95" s="472">
        <f t="shared" ca="1" si="42"/>
        <v>0</v>
      </c>
      <c r="D95" s="473">
        <f t="shared" ca="1" si="43"/>
        <v>0</v>
      </c>
      <c r="E95" s="151">
        <f ca="1">IFERROR(__xludf.DUMMYFUNCTION("IMPORTRANGE(""https://docs.google.com/spreadsheets/d/1-uDff_7J0KD5mKrp0Vvzr7lt3OU09vwQwhkpOPPYv2Y/edit?usp=sharing"",""งบพรบ!GR95"")"),0)</f>
        <v>0</v>
      </c>
      <c r="F95" s="151">
        <f ca="1">IFERROR(__xludf.DUMMYFUNCTION("IMPORTRANGE(""https://docs.google.com/spreadsheets/d/1-uDff_7J0KD5mKrp0Vvzr7lt3OU09vwQwhkpOPPYv2Y/edit?usp=sharing"",""งบพรบ!GS95"")"),0)</f>
        <v>0</v>
      </c>
      <c r="G95" s="151">
        <f ca="1">IFERROR(__xludf.DUMMYFUNCTION("IMPORTRANGE(""https://docs.google.com/spreadsheets/d/1-uDff_7J0KD5mKrp0Vvzr7lt3OU09vwQwhkpOPPYv2Y/edit?usp=sharing"",""งบพรบ!GT95"")"),0)</f>
        <v>0</v>
      </c>
      <c r="H95" s="151">
        <f ca="1">IFERROR(__xludf.DUMMYFUNCTION("IMPORTRANGE(""https://docs.google.com/spreadsheets/d/1-uDff_7J0KD5mKrp0Vvzr7lt3OU09vwQwhkpOPPYv2Y/edit?usp=sharing"",""งบพรบ!GV95"")"),0)</f>
        <v>0</v>
      </c>
      <c r="I95" s="151">
        <f ca="1">IFERROR(__xludf.DUMMYFUNCTION("IMPORTRANGE(""https://docs.google.com/spreadsheets/d/1-uDff_7J0KD5mKrp0Vvzr7lt3OU09vwQwhkpOPPYv2Y/edit?usp=sharing"",""งบพรบ!GW95"")"),0)</f>
        <v>0</v>
      </c>
      <c r="J95" s="262">
        <f t="shared" ca="1" si="44"/>
        <v>0</v>
      </c>
      <c r="K95" s="476">
        <f t="shared" ca="1" si="45"/>
        <v>0</v>
      </c>
      <c r="L95" s="151">
        <f ca="1">IFERROR(__xludf.DUMMYFUNCTION("IMPORTRANGE(""https://docs.google.com/spreadsheets/d/1-uDff_7J0KD5mKrp0Vvzr7lt3OU09vwQwhkpOPPYv2Y/edit?usp=sharing"",""งบพรบ!GX95"")"),0)</f>
        <v>0</v>
      </c>
      <c r="M95" s="260">
        <f t="shared" ca="1" si="46"/>
        <v>0</v>
      </c>
      <c r="N95" s="260">
        <f t="shared" ca="1" si="47"/>
        <v>0</v>
      </c>
      <c r="O95" s="151">
        <f ca="1">IFERROR(__xludf.DUMMYFUNCTION("IMPORTRANGE(""https://docs.google.com/spreadsheets/d/1-uDff_7J0KD5mKrp0Vvzr7lt3OU09vwQwhkpOPPYv2Y/edit?usp=sharing"",""งบพรบ!GY95"")"),0)</f>
        <v>0</v>
      </c>
      <c r="P95" s="475">
        <f t="shared" ca="1" si="48"/>
        <v>0</v>
      </c>
      <c r="Q95" s="260">
        <f t="shared" ca="1" si="49"/>
        <v>0</v>
      </c>
      <c r="R95" s="262"/>
      <c r="S95" s="262"/>
      <c r="T95" s="260"/>
      <c r="U95" s="262"/>
      <c r="V95" s="262"/>
      <c r="W95" s="260"/>
    </row>
    <row r="96" spans="1:23" ht="19.5" x14ac:dyDescent="0.3">
      <c r="A96" s="257"/>
      <c r="B96" s="258" t="s">
        <v>124</v>
      </c>
      <c r="C96" s="472">
        <f t="shared" ca="1" si="42"/>
        <v>0</v>
      </c>
      <c r="D96" s="473">
        <f t="shared" ca="1" si="43"/>
        <v>0</v>
      </c>
      <c r="E96" s="151">
        <f ca="1">IFERROR(__xludf.DUMMYFUNCTION("IMPORTRANGE(""https://docs.google.com/spreadsheets/d/1-uDff_7J0KD5mKrp0Vvzr7lt3OU09vwQwhkpOPPYv2Y/edit?usp=sharing"",""งบพรบ!GR96"")"),0)</f>
        <v>0</v>
      </c>
      <c r="F96" s="151">
        <f ca="1">IFERROR(__xludf.DUMMYFUNCTION("IMPORTRANGE(""https://docs.google.com/spreadsheets/d/1-uDff_7J0KD5mKrp0Vvzr7lt3OU09vwQwhkpOPPYv2Y/edit?usp=sharing"",""งบพรบ!GS96"")"),0)</f>
        <v>0</v>
      </c>
      <c r="G96" s="151">
        <f ca="1">IFERROR(__xludf.DUMMYFUNCTION("IMPORTRANGE(""https://docs.google.com/spreadsheets/d/1-uDff_7J0KD5mKrp0Vvzr7lt3OU09vwQwhkpOPPYv2Y/edit?usp=sharing"",""งบพรบ!GT96"")"),0)</f>
        <v>0</v>
      </c>
      <c r="H96" s="151">
        <f ca="1">IFERROR(__xludf.DUMMYFUNCTION("IMPORTRANGE(""https://docs.google.com/spreadsheets/d/1-uDff_7J0KD5mKrp0Vvzr7lt3OU09vwQwhkpOPPYv2Y/edit?usp=sharing"",""งบพรบ!GV96"")"),0)</f>
        <v>0</v>
      </c>
      <c r="I96" s="151">
        <f ca="1">IFERROR(__xludf.DUMMYFUNCTION("IMPORTRANGE(""https://docs.google.com/spreadsheets/d/1-uDff_7J0KD5mKrp0Vvzr7lt3OU09vwQwhkpOPPYv2Y/edit?usp=sharing"",""งบพรบ!GW96"")"),0)</f>
        <v>0</v>
      </c>
      <c r="J96" s="262">
        <f t="shared" ca="1" si="44"/>
        <v>0</v>
      </c>
      <c r="K96" s="476">
        <f t="shared" ca="1" si="45"/>
        <v>0</v>
      </c>
      <c r="L96" s="151">
        <f ca="1">IFERROR(__xludf.DUMMYFUNCTION("IMPORTRANGE(""https://docs.google.com/spreadsheets/d/1-uDff_7J0KD5mKrp0Vvzr7lt3OU09vwQwhkpOPPYv2Y/edit?usp=sharing"",""งบพรบ!GX96"")"),0)</f>
        <v>0</v>
      </c>
      <c r="M96" s="260">
        <f t="shared" ca="1" si="46"/>
        <v>0</v>
      </c>
      <c r="N96" s="260">
        <f t="shared" ca="1" si="47"/>
        <v>0</v>
      </c>
      <c r="O96" s="151">
        <f ca="1">IFERROR(__xludf.DUMMYFUNCTION("IMPORTRANGE(""https://docs.google.com/spreadsheets/d/1-uDff_7J0KD5mKrp0Vvzr7lt3OU09vwQwhkpOPPYv2Y/edit?usp=sharing"",""งบพรบ!GY96"")"),0)</f>
        <v>0</v>
      </c>
      <c r="P96" s="475">
        <f t="shared" ca="1" si="48"/>
        <v>0</v>
      </c>
      <c r="Q96" s="260">
        <f t="shared" ca="1" si="49"/>
        <v>0</v>
      </c>
      <c r="R96" s="262"/>
      <c r="S96" s="262"/>
      <c r="T96" s="260"/>
      <c r="U96" s="262"/>
      <c r="V96" s="262"/>
      <c r="W96" s="260"/>
    </row>
    <row r="97" spans="1:23" ht="19.5" x14ac:dyDescent="0.3">
      <c r="A97" s="257"/>
      <c r="B97" s="258" t="s">
        <v>125</v>
      </c>
      <c r="C97" s="472">
        <f t="shared" ca="1" si="42"/>
        <v>0</v>
      </c>
      <c r="D97" s="473">
        <f t="shared" ca="1" si="43"/>
        <v>0</v>
      </c>
      <c r="E97" s="151">
        <f ca="1">IFERROR(__xludf.DUMMYFUNCTION("IMPORTRANGE(""https://docs.google.com/spreadsheets/d/1-uDff_7J0KD5mKrp0Vvzr7lt3OU09vwQwhkpOPPYv2Y/edit?usp=sharing"",""งบพรบ!GR97"")"),0)</f>
        <v>0</v>
      </c>
      <c r="F97" s="151">
        <f ca="1">IFERROR(__xludf.DUMMYFUNCTION("IMPORTRANGE(""https://docs.google.com/spreadsheets/d/1-uDff_7J0KD5mKrp0Vvzr7lt3OU09vwQwhkpOPPYv2Y/edit?usp=sharing"",""งบพรบ!GS97"")"),0)</f>
        <v>0</v>
      </c>
      <c r="G97" s="151">
        <f ca="1">IFERROR(__xludf.DUMMYFUNCTION("IMPORTRANGE(""https://docs.google.com/spreadsheets/d/1-uDff_7J0KD5mKrp0Vvzr7lt3OU09vwQwhkpOPPYv2Y/edit?usp=sharing"",""งบพรบ!GT97"")"),0)</f>
        <v>0</v>
      </c>
      <c r="H97" s="151">
        <f ca="1">IFERROR(__xludf.DUMMYFUNCTION("IMPORTRANGE(""https://docs.google.com/spreadsheets/d/1-uDff_7J0KD5mKrp0Vvzr7lt3OU09vwQwhkpOPPYv2Y/edit?usp=sharing"",""งบพรบ!GV97"")"),0)</f>
        <v>0</v>
      </c>
      <c r="I97" s="151">
        <f ca="1">IFERROR(__xludf.DUMMYFUNCTION("IMPORTRANGE(""https://docs.google.com/spreadsheets/d/1-uDff_7J0KD5mKrp0Vvzr7lt3OU09vwQwhkpOPPYv2Y/edit?usp=sharing"",""งบพรบ!GW97"")"),0)</f>
        <v>0</v>
      </c>
      <c r="J97" s="262">
        <f t="shared" ca="1" si="44"/>
        <v>0</v>
      </c>
      <c r="K97" s="476">
        <f t="shared" ca="1" si="45"/>
        <v>0</v>
      </c>
      <c r="L97" s="151">
        <f ca="1">IFERROR(__xludf.DUMMYFUNCTION("IMPORTRANGE(""https://docs.google.com/spreadsheets/d/1-uDff_7J0KD5mKrp0Vvzr7lt3OU09vwQwhkpOPPYv2Y/edit?usp=sharing"",""งบพรบ!GX97"")"),0)</f>
        <v>0</v>
      </c>
      <c r="M97" s="260">
        <f t="shared" ca="1" si="46"/>
        <v>0</v>
      </c>
      <c r="N97" s="260">
        <f t="shared" ca="1" si="47"/>
        <v>0</v>
      </c>
      <c r="O97" s="151">
        <f ca="1">IFERROR(__xludf.DUMMYFUNCTION("IMPORTRANGE(""https://docs.google.com/spreadsheets/d/1-uDff_7J0KD5mKrp0Vvzr7lt3OU09vwQwhkpOPPYv2Y/edit?usp=sharing"",""งบพรบ!GY97"")"),0)</f>
        <v>0</v>
      </c>
      <c r="P97" s="475">
        <f t="shared" ca="1" si="48"/>
        <v>0</v>
      </c>
      <c r="Q97" s="260">
        <f t="shared" ca="1" si="49"/>
        <v>0</v>
      </c>
      <c r="R97" s="262"/>
      <c r="S97" s="262"/>
      <c r="T97" s="260"/>
      <c r="U97" s="262"/>
      <c r="V97" s="262"/>
      <c r="W97" s="260"/>
    </row>
    <row r="98" spans="1:23" ht="19.5" x14ac:dyDescent="0.3">
      <c r="A98" s="257"/>
      <c r="B98" s="258" t="s">
        <v>126</v>
      </c>
      <c r="C98" s="472">
        <f t="shared" ca="1" si="42"/>
        <v>29776</v>
      </c>
      <c r="D98" s="473">
        <f t="shared" ca="1" si="43"/>
        <v>29776</v>
      </c>
      <c r="E98" s="151">
        <f ca="1">IFERROR(__xludf.DUMMYFUNCTION("IMPORTRANGE(""https://docs.google.com/spreadsheets/d/1-uDff_7J0KD5mKrp0Vvzr7lt3OU09vwQwhkpOPPYv2Y/edit?usp=sharing"",""งบพรบ!GR98"")"),0)</f>
        <v>0</v>
      </c>
      <c r="F98" s="151">
        <f ca="1">IFERROR(__xludf.DUMMYFUNCTION("IMPORTRANGE(""https://docs.google.com/spreadsheets/d/1-uDff_7J0KD5mKrp0Vvzr7lt3OU09vwQwhkpOPPYv2Y/edit?usp=sharing"",""งบพรบ!GS98"")"),29776)</f>
        <v>29776</v>
      </c>
      <c r="G98" s="151">
        <f ca="1">IFERROR(__xludf.DUMMYFUNCTION("IMPORTRANGE(""https://docs.google.com/spreadsheets/d/1-uDff_7J0KD5mKrp0Vvzr7lt3OU09vwQwhkpOPPYv2Y/edit?usp=sharing"",""งบพรบ!GT98"")"),0)</f>
        <v>0</v>
      </c>
      <c r="H98" s="151">
        <f ca="1">IFERROR(__xludf.DUMMYFUNCTION("IMPORTRANGE(""https://docs.google.com/spreadsheets/d/1-uDff_7J0KD5mKrp0Vvzr7lt3OU09vwQwhkpOPPYv2Y/edit?usp=sharing"",""งบพรบ!GV98"")"),29776)</f>
        <v>29776</v>
      </c>
      <c r="I98" s="151">
        <f ca="1">IFERROR(__xludf.DUMMYFUNCTION("IMPORTRANGE(""https://docs.google.com/spreadsheets/d/1-uDff_7J0KD5mKrp0Vvzr7lt3OU09vwQwhkpOPPYv2Y/edit?usp=sharing"",""งบพรบ!GW98"")"),0)</f>
        <v>0</v>
      </c>
      <c r="J98" s="262">
        <f t="shared" ca="1" si="44"/>
        <v>0</v>
      </c>
      <c r="K98" s="476">
        <f t="shared" ca="1" si="45"/>
        <v>0</v>
      </c>
      <c r="L98" s="151">
        <f ca="1">IFERROR(__xludf.DUMMYFUNCTION("IMPORTRANGE(""https://docs.google.com/spreadsheets/d/1-uDff_7J0KD5mKrp0Vvzr7lt3OU09vwQwhkpOPPYv2Y/edit?usp=sharing"",""งบพรบ!GX98"")"),0)</f>
        <v>0</v>
      </c>
      <c r="M98" s="260">
        <f t="shared" ca="1" si="46"/>
        <v>0</v>
      </c>
      <c r="N98" s="260">
        <f t="shared" ca="1" si="47"/>
        <v>0</v>
      </c>
      <c r="O98" s="151">
        <f ca="1">IFERROR(__xludf.DUMMYFUNCTION("IMPORTRANGE(""https://docs.google.com/spreadsheets/d/1-uDff_7J0KD5mKrp0Vvzr7lt3OU09vwQwhkpOPPYv2Y/edit?usp=sharing"",""งบพรบ!GY98"")"),0)</f>
        <v>0</v>
      </c>
      <c r="P98" s="475">
        <f t="shared" ca="1" si="48"/>
        <v>0</v>
      </c>
      <c r="Q98" s="260">
        <f t="shared" ca="1" si="49"/>
        <v>0</v>
      </c>
      <c r="R98" s="262"/>
      <c r="S98" s="262"/>
      <c r="T98" s="260"/>
      <c r="U98" s="262"/>
      <c r="V98" s="262"/>
      <c r="W98" s="260"/>
    </row>
    <row r="99" spans="1:23" ht="19.5" x14ac:dyDescent="0.3">
      <c r="A99" s="257"/>
      <c r="B99" s="258" t="s">
        <v>127</v>
      </c>
      <c r="C99" s="472">
        <f t="shared" ca="1" si="42"/>
        <v>0</v>
      </c>
      <c r="D99" s="473">
        <f t="shared" ca="1" si="43"/>
        <v>0</v>
      </c>
      <c r="E99" s="151">
        <f ca="1">IFERROR(__xludf.DUMMYFUNCTION("IMPORTRANGE(""https://docs.google.com/spreadsheets/d/1-uDff_7J0KD5mKrp0Vvzr7lt3OU09vwQwhkpOPPYv2Y/edit?usp=sharing"",""งบพรบ!GR99"")"),0)</f>
        <v>0</v>
      </c>
      <c r="F99" s="151">
        <f ca="1">IFERROR(__xludf.DUMMYFUNCTION("IMPORTRANGE(""https://docs.google.com/spreadsheets/d/1-uDff_7J0KD5mKrp0Vvzr7lt3OU09vwQwhkpOPPYv2Y/edit?usp=sharing"",""งบพรบ!GS99"")"),0)</f>
        <v>0</v>
      </c>
      <c r="G99" s="151">
        <f ca="1">IFERROR(__xludf.DUMMYFUNCTION("IMPORTRANGE(""https://docs.google.com/spreadsheets/d/1-uDff_7J0KD5mKrp0Vvzr7lt3OU09vwQwhkpOPPYv2Y/edit?usp=sharing"",""งบพรบ!GT99"")"),0)</f>
        <v>0</v>
      </c>
      <c r="H99" s="151">
        <f ca="1">IFERROR(__xludf.DUMMYFUNCTION("IMPORTRANGE(""https://docs.google.com/spreadsheets/d/1-uDff_7J0KD5mKrp0Vvzr7lt3OU09vwQwhkpOPPYv2Y/edit?usp=sharing"",""งบพรบ!GV99"")"),0)</f>
        <v>0</v>
      </c>
      <c r="I99" s="151">
        <f ca="1">IFERROR(__xludf.DUMMYFUNCTION("IMPORTRANGE(""https://docs.google.com/spreadsheets/d/1-uDff_7J0KD5mKrp0Vvzr7lt3OU09vwQwhkpOPPYv2Y/edit?usp=sharing"",""งบพรบ!GW99"")"),0)</f>
        <v>0</v>
      </c>
      <c r="J99" s="262">
        <f t="shared" ca="1" si="44"/>
        <v>0</v>
      </c>
      <c r="K99" s="476">
        <f t="shared" ca="1" si="45"/>
        <v>0</v>
      </c>
      <c r="L99" s="151">
        <f ca="1">IFERROR(__xludf.DUMMYFUNCTION("IMPORTRANGE(""https://docs.google.com/spreadsheets/d/1-uDff_7J0KD5mKrp0Vvzr7lt3OU09vwQwhkpOPPYv2Y/edit?usp=sharing"",""งบพรบ!GX99"")"),0)</f>
        <v>0</v>
      </c>
      <c r="M99" s="260">
        <f t="shared" ca="1" si="46"/>
        <v>0</v>
      </c>
      <c r="N99" s="260">
        <f t="shared" ca="1" si="47"/>
        <v>0</v>
      </c>
      <c r="O99" s="151">
        <f ca="1">IFERROR(__xludf.DUMMYFUNCTION("IMPORTRANGE(""https://docs.google.com/spreadsheets/d/1-uDff_7J0KD5mKrp0Vvzr7lt3OU09vwQwhkpOPPYv2Y/edit?usp=sharing"",""งบพรบ!GY99"")"),0)</f>
        <v>0</v>
      </c>
      <c r="P99" s="475">
        <f t="shared" ca="1" si="48"/>
        <v>0</v>
      </c>
      <c r="Q99" s="260">
        <f t="shared" ca="1" si="49"/>
        <v>0</v>
      </c>
      <c r="R99" s="262"/>
      <c r="S99" s="262"/>
      <c r="T99" s="260"/>
      <c r="U99" s="262"/>
      <c r="V99" s="262"/>
      <c r="W99" s="260"/>
    </row>
    <row r="100" spans="1:23" ht="19.5" x14ac:dyDescent="0.3">
      <c r="A100" s="257"/>
      <c r="B100" s="258" t="s">
        <v>128</v>
      </c>
      <c r="C100" s="472">
        <f t="shared" ca="1" si="42"/>
        <v>0</v>
      </c>
      <c r="D100" s="473">
        <f t="shared" ca="1" si="43"/>
        <v>0</v>
      </c>
      <c r="E100" s="151">
        <f ca="1">IFERROR(__xludf.DUMMYFUNCTION("IMPORTRANGE(""https://docs.google.com/spreadsheets/d/1-uDff_7J0KD5mKrp0Vvzr7lt3OU09vwQwhkpOPPYv2Y/edit?usp=sharing"",""งบพรบ!GR100"")"),0)</f>
        <v>0</v>
      </c>
      <c r="F100" s="151">
        <f ca="1">IFERROR(__xludf.DUMMYFUNCTION("IMPORTRANGE(""https://docs.google.com/spreadsheets/d/1-uDff_7J0KD5mKrp0Vvzr7lt3OU09vwQwhkpOPPYv2Y/edit?usp=sharing"",""งบพรบ!GS100"")"),0)</f>
        <v>0</v>
      </c>
      <c r="G100" s="151">
        <f ca="1">IFERROR(__xludf.DUMMYFUNCTION("IMPORTRANGE(""https://docs.google.com/spreadsheets/d/1-uDff_7J0KD5mKrp0Vvzr7lt3OU09vwQwhkpOPPYv2Y/edit?usp=sharing"",""งบพรบ!GT100"")"),0)</f>
        <v>0</v>
      </c>
      <c r="H100" s="151">
        <f ca="1">IFERROR(__xludf.DUMMYFUNCTION("IMPORTRANGE(""https://docs.google.com/spreadsheets/d/1-uDff_7J0KD5mKrp0Vvzr7lt3OU09vwQwhkpOPPYv2Y/edit?usp=sharing"",""งบพรบ!GV100"")"),0)</f>
        <v>0</v>
      </c>
      <c r="I100" s="151">
        <f ca="1">IFERROR(__xludf.DUMMYFUNCTION("IMPORTRANGE(""https://docs.google.com/spreadsheets/d/1-uDff_7J0KD5mKrp0Vvzr7lt3OU09vwQwhkpOPPYv2Y/edit?usp=sharing"",""งบพรบ!GW100"")"),0)</f>
        <v>0</v>
      </c>
      <c r="J100" s="262">
        <f t="shared" ca="1" si="44"/>
        <v>0</v>
      </c>
      <c r="K100" s="476">
        <f t="shared" ca="1" si="45"/>
        <v>0</v>
      </c>
      <c r="L100" s="151">
        <f ca="1">IFERROR(__xludf.DUMMYFUNCTION("IMPORTRANGE(""https://docs.google.com/spreadsheets/d/1-uDff_7J0KD5mKrp0Vvzr7lt3OU09vwQwhkpOPPYv2Y/edit?usp=sharing"",""งบพรบ!GX100"")"),0)</f>
        <v>0</v>
      </c>
      <c r="M100" s="260">
        <f t="shared" ca="1" si="46"/>
        <v>0</v>
      </c>
      <c r="N100" s="260">
        <f t="shared" ca="1" si="47"/>
        <v>0</v>
      </c>
      <c r="O100" s="151">
        <f ca="1">IFERROR(__xludf.DUMMYFUNCTION("IMPORTRANGE(""https://docs.google.com/spreadsheets/d/1-uDff_7J0KD5mKrp0Vvzr7lt3OU09vwQwhkpOPPYv2Y/edit?usp=sharing"",""งบพรบ!GY100"")"),0)</f>
        <v>0</v>
      </c>
      <c r="P100" s="475">
        <f t="shared" ca="1" si="48"/>
        <v>0</v>
      </c>
      <c r="Q100" s="260">
        <f t="shared" ca="1" si="49"/>
        <v>0</v>
      </c>
      <c r="R100" s="262"/>
      <c r="S100" s="262"/>
      <c r="T100" s="260"/>
      <c r="U100" s="262"/>
      <c r="V100" s="262"/>
      <c r="W100" s="260"/>
    </row>
    <row r="101" spans="1:23" ht="19.5" x14ac:dyDescent="0.3">
      <c r="A101" s="257"/>
      <c r="B101" s="258" t="s">
        <v>129</v>
      </c>
      <c r="C101" s="472">
        <f t="shared" ca="1" si="42"/>
        <v>0</v>
      </c>
      <c r="D101" s="473">
        <f t="shared" ca="1" si="43"/>
        <v>0</v>
      </c>
      <c r="E101" s="151">
        <f ca="1">IFERROR(__xludf.DUMMYFUNCTION("IMPORTRANGE(""https://docs.google.com/spreadsheets/d/1-uDff_7J0KD5mKrp0Vvzr7lt3OU09vwQwhkpOPPYv2Y/edit?usp=sharing"",""งบพรบ!GR101"")"),0)</f>
        <v>0</v>
      </c>
      <c r="F101" s="151">
        <f ca="1">IFERROR(__xludf.DUMMYFUNCTION("IMPORTRANGE(""https://docs.google.com/spreadsheets/d/1-uDff_7J0KD5mKrp0Vvzr7lt3OU09vwQwhkpOPPYv2Y/edit?usp=sharing"",""งบพรบ!GS101"")"),0)</f>
        <v>0</v>
      </c>
      <c r="G101" s="151">
        <f ca="1">IFERROR(__xludf.DUMMYFUNCTION("IMPORTRANGE(""https://docs.google.com/spreadsheets/d/1-uDff_7J0KD5mKrp0Vvzr7lt3OU09vwQwhkpOPPYv2Y/edit?usp=sharing"",""งบพรบ!GT101"")"),0)</f>
        <v>0</v>
      </c>
      <c r="H101" s="151">
        <f ca="1">IFERROR(__xludf.DUMMYFUNCTION("IMPORTRANGE(""https://docs.google.com/spreadsheets/d/1-uDff_7J0KD5mKrp0Vvzr7lt3OU09vwQwhkpOPPYv2Y/edit?usp=sharing"",""งบพรบ!GV101"")"),0)</f>
        <v>0</v>
      </c>
      <c r="I101" s="151">
        <f ca="1">IFERROR(__xludf.DUMMYFUNCTION("IMPORTRANGE(""https://docs.google.com/spreadsheets/d/1-uDff_7J0KD5mKrp0Vvzr7lt3OU09vwQwhkpOPPYv2Y/edit?usp=sharing"",""งบพรบ!GW101"")"),0)</f>
        <v>0</v>
      </c>
      <c r="J101" s="262">
        <f t="shared" ca="1" si="44"/>
        <v>0</v>
      </c>
      <c r="K101" s="476">
        <f t="shared" ca="1" si="45"/>
        <v>0</v>
      </c>
      <c r="L101" s="151">
        <f ca="1">IFERROR(__xludf.DUMMYFUNCTION("IMPORTRANGE(""https://docs.google.com/spreadsheets/d/1-uDff_7J0KD5mKrp0Vvzr7lt3OU09vwQwhkpOPPYv2Y/edit?usp=sharing"",""งบพรบ!GX101"")"),0)</f>
        <v>0</v>
      </c>
      <c r="M101" s="260">
        <f t="shared" ca="1" si="46"/>
        <v>0</v>
      </c>
      <c r="N101" s="260">
        <f t="shared" ca="1" si="47"/>
        <v>0</v>
      </c>
      <c r="O101" s="151">
        <f ca="1">IFERROR(__xludf.DUMMYFUNCTION("IMPORTRANGE(""https://docs.google.com/spreadsheets/d/1-uDff_7J0KD5mKrp0Vvzr7lt3OU09vwQwhkpOPPYv2Y/edit?usp=sharing"",""งบพรบ!GY101"")"),0)</f>
        <v>0</v>
      </c>
      <c r="P101" s="475">
        <f t="shared" ca="1" si="48"/>
        <v>0</v>
      </c>
      <c r="Q101" s="260">
        <f t="shared" ca="1" si="49"/>
        <v>0</v>
      </c>
      <c r="R101" s="262"/>
      <c r="S101" s="262"/>
      <c r="T101" s="260"/>
      <c r="U101" s="262"/>
      <c r="V101" s="262"/>
      <c r="W101" s="260"/>
    </row>
    <row r="102" spans="1:23" ht="19.5" x14ac:dyDescent="0.3">
      <c r="A102" s="257"/>
      <c r="B102" s="258" t="s">
        <v>130</v>
      </c>
      <c r="C102" s="472">
        <f t="shared" ca="1" si="42"/>
        <v>0</v>
      </c>
      <c r="D102" s="473">
        <f t="shared" ca="1" si="43"/>
        <v>0</v>
      </c>
      <c r="E102" s="151">
        <f ca="1">IFERROR(__xludf.DUMMYFUNCTION("IMPORTRANGE(""https://docs.google.com/spreadsheets/d/1-uDff_7J0KD5mKrp0Vvzr7lt3OU09vwQwhkpOPPYv2Y/edit?usp=sharing"",""งบพรบ!GR102"")"),0)</f>
        <v>0</v>
      </c>
      <c r="F102" s="151">
        <f ca="1">IFERROR(__xludf.DUMMYFUNCTION("IMPORTRANGE(""https://docs.google.com/spreadsheets/d/1-uDff_7J0KD5mKrp0Vvzr7lt3OU09vwQwhkpOPPYv2Y/edit?usp=sharing"",""งบพรบ!GS102"")"),0)</f>
        <v>0</v>
      </c>
      <c r="G102" s="151">
        <f ca="1">IFERROR(__xludf.DUMMYFUNCTION("IMPORTRANGE(""https://docs.google.com/spreadsheets/d/1-uDff_7J0KD5mKrp0Vvzr7lt3OU09vwQwhkpOPPYv2Y/edit?usp=sharing"",""งบพรบ!GT102"")"),0)</f>
        <v>0</v>
      </c>
      <c r="H102" s="151">
        <f ca="1">IFERROR(__xludf.DUMMYFUNCTION("IMPORTRANGE(""https://docs.google.com/spreadsheets/d/1-uDff_7J0KD5mKrp0Vvzr7lt3OU09vwQwhkpOPPYv2Y/edit?usp=sharing"",""งบพรบ!GV102"")"),0)</f>
        <v>0</v>
      </c>
      <c r="I102" s="151">
        <f ca="1">IFERROR(__xludf.DUMMYFUNCTION("IMPORTRANGE(""https://docs.google.com/spreadsheets/d/1-uDff_7J0KD5mKrp0Vvzr7lt3OU09vwQwhkpOPPYv2Y/edit?usp=sharing"",""งบพรบ!GW102"")"),0)</f>
        <v>0</v>
      </c>
      <c r="J102" s="262">
        <f t="shared" ca="1" si="44"/>
        <v>0</v>
      </c>
      <c r="K102" s="476">
        <f t="shared" ca="1" si="45"/>
        <v>0</v>
      </c>
      <c r="L102" s="151">
        <f ca="1">IFERROR(__xludf.DUMMYFUNCTION("IMPORTRANGE(""https://docs.google.com/spreadsheets/d/1-uDff_7J0KD5mKrp0Vvzr7lt3OU09vwQwhkpOPPYv2Y/edit?usp=sharing"",""งบพรบ!GX102"")"),0)</f>
        <v>0</v>
      </c>
      <c r="M102" s="260">
        <f t="shared" ca="1" si="46"/>
        <v>0</v>
      </c>
      <c r="N102" s="260">
        <f t="shared" ca="1" si="47"/>
        <v>0</v>
      </c>
      <c r="O102" s="151">
        <f ca="1">IFERROR(__xludf.DUMMYFUNCTION("IMPORTRANGE(""https://docs.google.com/spreadsheets/d/1-uDff_7J0KD5mKrp0Vvzr7lt3OU09vwQwhkpOPPYv2Y/edit?usp=sharing"",""งบพรบ!GY102"")"),0)</f>
        <v>0</v>
      </c>
      <c r="P102" s="475">
        <f t="shared" ca="1" si="48"/>
        <v>0</v>
      </c>
      <c r="Q102" s="260">
        <f t="shared" ca="1" si="49"/>
        <v>0</v>
      </c>
      <c r="R102" s="262"/>
      <c r="S102" s="262"/>
      <c r="T102" s="260"/>
      <c r="U102" s="262"/>
      <c r="V102" s="262"/>
      <c r="W102" s="260"/>
    </row>
    <row r="103" spans="1:23" ht="19.5" x14ac:dyDescent="0.3">
      <c r="A103" s="257"/>
      <c r="B103" s="258" t="s">
        <v>131</v>
      </c>
      <c r="C103" s="472">
        <f t="shared" ca="1" si="42"/>
        <v>0</v>
      </c>
      <c r="D103" s="473">
        <f t="shared" ca="1" si="43"/>
        <v>0</v>
      </c>
      <c r="E103" s="151">
        <f ca="1">IFERROR(__xludf.DUMMYFUNCTION("IMPORTRANGE(""https://docs.google.com/spreadsheets/d/1-uDff_7J0KD5mKrp0Vvzr7lt3OU09vwQwhkpOPPYv2Y/edit?usp=sharing"",""งบพรบ!GR103"")"),0)</f>
        <v>0</v>
      </c>
      <c r="F103" s="151">
        <f ca="1">IFERROR(__xludf.DUMMYFUNCTION("IMPORTRANGE(""https://docs.google.com/spreadsheets/d/1-uDff_7J0KD5mKrp0Vvzr7lt3OU09vwQwhkpOPPYv2Y/edit?usp=sharing"",""งบพรบ!GS103"")"),0)</f>
        <v>0</v>
      </c>
      <c r="G103" s="151">
        <f ca="1">IFERROR(__xludf.DUMMYFUNCTION("IMPORTRANGE(""https://docs.google.com/spreadsheets/d/1-uDff_7J0KD5mKrp0Vvzr7lt3OU09vwQwhkpOPPYv2Y/edit?usp=sharing"",""งบพรบ!GT103"")"),0)</f>
        <v>0</v>
      </c>
      <c r="H103" s="151">
        <f ca="1">IFERROR(__xludf.DUMMYFUNCTION("IMPORTRANGE(""https://docs.google.com/spreadsheets/d/1-uDff_7J0KD5mKrp0Vvzr7lt3OU09vwQwhkpOPPYv2Y/edit?usp=sharing"",""งบพรบ!GV103"")"),0)</f>
        <v>0</v>
      </c>
      <c r="I103" s="151">
        <f ca="1">IFERROR(__xludf.DUMMYFUNCTION("IMPORTRANGE(""https://docs.google.com/spreadsheets/d/1-uDff_7J0KD5mKrp0Vvzr7lt3OU09vwQwhkpOPPYv2Y/edit?usp=sharing"",""งบพรบ!GW103"")"),0)</f>
        <v>0</v>
      </c>
      <c r="J103" s="262">
        <f t="shared" ca="1" si="44"/>
        <v>0</v>
      </c>
      <c r="K103" s="476">
        <f t="shared" ca="1" si="45"/>
        <v>0</v>
      </c>
      <c r="L103" s="151">
        <f ca="1">IFERROR(__xludf.DUMMYFUNCTION("IMPORTRANGE(""https://docs.google.com/spreadsheets/d/1-uDff_7J0KD5mKrp0Vvzr7lt3OU09vwQwhkpOPPYv2Y/edit?usp=sharing"",""งบพรบ!GX103"")"),0)</f>
        <v>0</v>
      </c>
      <c r="M103" s="260">
        <f t="shared" ca="1" si="46"/>
        <v>0</v>
      </c>
      <c r="N103" s="260">
        <f t="shared" ca="1" si="47"/>
        <v>0</v>
      </c>
      <c r="O103" s="151">
        <f ca="1">IFERROR(__xludf.DUMMYFUNCTION("IMPORTRANGE(""https://docs.google.com/spreadsheets/d/1-uDff_7J0KD5mKrp0Vvzr7lt3OU09vwQwhkpOPPYv2Y/edit?usp=sharing"",""งบพรบ!GY103"")"),0)</f>
        <v>0</v>
      </c>
      <c r="P103" s="475">
        <f t="shared" ca="1" si="48"/>
        <v>0</v>
      </c>
      <c r="Q103" s="260">
        <f t="shared" ca="1" si="49"/>
        <v>0</v>
      </c>
      <c r="R103" s="262"/>
      <c r="S103" s="262"/>
      <c r="T103" s="260"/>
      <c r="U103" s="262"/>
      <c r="V103" s="262"/>
      <c r="W103" s="260"/>
    </row>
    <row r="104" spans="1:23" ht="19.5" x14ac:dyDescent="0.3">
      <c r="A104" s="257"/>
      <c r="B104" s="258" t="s">
        <v>132</v>
      </c>
      <c r="C104" s="472">
        <f t="shared" ca="1" si="42"/>
        <v>0</v>
      </c>
      <c r="D104" s="473">
        <f t="shared" ca="1" si="43"/>
        <v>0</v>
      </c>
      <c r="E104" s="151">
        <f ca="1">IFERROR(__xludf.DUMMYFUNCTION("IMPORTRANGE(""https://docs.google.com/spreadsheets/d/1-uDff_7J0KD5mKrp0Vvzr7lt3OU09vwQwhkpOPPYv2Y/edit?usp=sharing"",""งบพรบ!GR104"")"),0)</f>
        <v>0</v>
      </c>
      <c r="F104" s="151">
        <f ca="1">IFERROR(__xludf.DUMMYFUNCTION("IMPORTRANGE(""https://docs.google.com/spreadsheets/d/1-uDff_7J0KD5mKrp0Vvzr7lt3OU09vwQwhkpOPPYv2Y/edit?usp=sharing"",""งบพรบ!GS104"")"),0)</f>
        <v>0</v>
      </c>
      <c r="G104" s="151">
        <f ca="1">IFERROR(__xludf.DUMMYFUNCTION("IMPORTRANGE(""https://docs.google.com/spreadsheets/d/1-uDff_7J0KD5mKrp0Vvzr7lt3OU09vwQwhkpOPPYv2Y/edit?usp=sharing"",""งบพรบ!GT104"")"),0)</f>
        <v>0</v>
      </c>
      <c r="H104" s="151">
        <f ca="1">IFERROR(__xludf.DUMMYFUNCTION("IMPORTRANGE(""https://docs.google.com/spreadsheets/d/1-uDff_7J0KD5mKrp0Vvzr7lt3OU09vwQwhkpOPPYv2Y/edit?usp=sharing"",""งบพรบ!GV104"")"),0)</f>
        <v>0</v>
      </c>
      <c r="I104" s="151">
        <f ca="1">IFERROR(__xludf.DUMMYFUNCTION("IMPORTRANGE(""https://docs.google.com/spreadsheets/d/1-uDff_7J0KD5mKrp0Vvzr7lt3OU09vwQwhkpOPPYv2Y/edit?usp=sharing"",""งบพรบ!GW104"")"),0)</f>
        <v>0</v>
      </c>
      <c r="J104" s="262">
        <f t="shared" ca="1" si="44"/>
        <v>0</v>
      </c>
      <c r="K104" s="476">
        <f t="shared" ca="1" si="45"/>
        <v>0</v>
      </c>
      <c r="L104" s="151">
        <f ca="1">IFERROR(__xludf.DUMMYFUNCTION("IMPORTRANGE(""https://docs.google.com/spreadsheets/d/1-uDff_7J0KD5mKrp0Vvzr7lt3OU09vwQwhkpOPPYv2Y/edit?usp=sharing"",""งบพรบ!GX104"")"),0)</f>
        <v>0</v>
      </c>
      <c r="M104" s="260">
        <f t="shared" ca="1" si="46"/>
        <v>0</v>
      </c>
      <c r="N104" s="260">
        <f t="shared" ca="1" si="47"/>
        <v>0</v>
      </c>
      <c r="O104" s="151">
        <f ca="1">IFERROR(__xludf.DUMMYFUNCTION("IMPORTRANGE(""https://docs.google.com/spreadsheets/d/1-uDff_7J0KD5mKrp0Vvzr7lt3OU09vwQwhkpOPPYv2Y/edit?usp=sharing"",""งบพรบ!GY104"")"),0)</f>
        <v>0</v>
      </c>
      <c r="P104" s="475">
        <f t="shared" ca="1" si="48"/>
        <v>0</v>
      </c>
      <c r="Q104" s="260">
        <f t="shared" ca="1" si="49"/>
        <v>0</v>
      </c>
      <c r="R104" s="251"/>
      <c r="S104" s="251"/>
      <c r="T104" s="605"/>
      <c r="U104" s="251"/>
      <c r="V104" s="251"/>
      <c r="W104" s="605"/>
    </row>
    <row r="105" spans="1:23" ht="19.5" x14ac:dyDescent="0.3">
      <c r="A105" s="257"/>
      <c r="B105" s="261" t="s">
        <v>133</v>
      </c>
      <c r="C105" s="472">
        <f t="shared" ca="1" si="42"/>
        <v>0</v>
      </c>
      <c r="D105" s="473">
        <f t="shared" ca="1" si="43"/>
        <v>0</v>
      </c>
      <c r="E105" s="151">
        <f ca="1">IFERROR(__xludf.DUMMYFUNCTION("IMPORTRANGE(""https://docs.google.com/spreadsheets/d/1-uDff_7J0KD5mKrp0Vvzr7lt3OU09vwQwhkpOPPYv2Y/edit?usp=sharing"",""งบพรบ!GR105"")"),0)</f>
        <v>0</v>
      </c>
      <c r="F105" s="151">
        <f ca="1">IFERROR(__xludf.DUMMYFUNCTION("IMPORTRANGE(""https://docs.google.com/spreadsheets/d/1-uDff_7J0KD5mKrp0Vvzr7lt3OU09vwQwhkpOPPYv2Y/edit?usp=sharing"",""งบพรบ!GS105"")"),0)</f>
        <v>0</v>
      </c>
      <c r="G105" s="151">
        <f ca="1">IFERROR(__xludf.DUMMYFUNCTION("IMPORTRANGE(""https://docs.google.com/spreadsheets/d/1-uDff_7J0KD5mKrp0Vvzr7lt3OU09vwQwhkpOPPYv2Y/edit?usp=sharing"",""งบพรบ!GT105"")"),0)</f>
        <v>0</v>
      </c>
      <c r="H105" s="151">
        <f ca="1">IFERROR(__xludf.DUMMYFUNCTION("IMPORTRANGE(""https://docs.google.com/spreadsheets/d/1-uDff_7J0KD5mKrp0Vvzr7lt3OU09vwQwhkpOPPYv2Y/edit?usp=sharing"",""งบพรบ!GV105"")"),0)</f>
        <v>0</v>
      </c>
      <c r="I105" s="151">
        <f ca="1">IFERROR(__xludf.DUMMYFUNCTION("IMPORTRANGE(""https://docs.google.com/spreadsheets/d/1-uDff_7J0KD5mKrp0Vvzr7lt3OU09vwQwhkpOPPYv2Y/edit?usp=sharing"",""งบพรบ!GW105"")"),0)</f>
        <v>0</v>
      </c>
      <c r="J105" s="262">
        <f t="shared" ca="1" si="44"/>
        <v>0</v>
      </c>
      <c r="K105" s="476">
        <f t="shared" ca="1" si="45"/>
        <v>0</v>
      </c>
      <c r="L105" s="151">
        <f ca="1">IFERROR(__xludf.DUMMYFUNCTION("IMPORTRANGE(""https://docs.google.com/spreadsheets/d/1-uDff_7J0KD5mKrp0Vvzr7lt3OU09vwQwhkpOPPYv2Y/edit?usp=sharing"",""งบพรบ!GX105"")"),0)</f>
        <v>0</v>
      </c>
      <c r="M105" s="260">
        <f t="shared" ca="1" si="46"/>
        <v>0</v>
      </c>
      <c r="N105" s="260">
        <f t="shared" ca="1" si="47"/>
        <v>0</v>
      </c>
      <c r="O105" s="151">
        <f ca="1">IFERROR(__xludf.DUMMYFUNCTION("IMPORTRANGE(""https://docs.google.com/spreadsheets/d/1-uDff_7J0KD5mKrp0Vvzr7lt3OU09vwQwhkpOPPYv2Y/edit?usp=sharing"",""งบพรบ!GY105"")"),0)</f>
        <v>0</v>
      </c>
      <c r="P105" s="475">
        <f t="shared" ca="1" si="48"/>
        <v>0</v>
      </c>
      <c r="Q105" s="260">
        <f t="shared" ca="1" si="49"/>
        <v>0</v>
      </c>
      <c r="R105" s="262"/>
      <c r="S105" s="262"/>
      <c r="T105" s="260"/>
      <c r="U105" s="262"/>
      <c r="V105" s="262"/>
      <c r="W105" s="260"/>
    </row>
    <row r="106" spans="1:23" ht="19.5" x14ac:dyDescent="0.3">
      <c r="A106" s="257"/>
      <c r="B106" s="261" t="s">
        <v>134</v>
      </c>
      <c r="C106" s="472">
        <f t="shared" ca="1" si="42"/>
        <v>0</v>
      </c>
      <c r="D106" s="473">
        <f t="shared" ca="1" si="43"/>
        <v>0</v>
      </c>
      <c r="E106" s="151">
        <f ca="1">IFERROR(__xludf.DUMMYFUNCTION("IMPORTRANGE(""https://docs.google.com/spreadsheets/d/1-uDff_7J0KD5mKrp0Vvzr7lt3OU09vwQwhkpOPPYv2Y/edit?usp=sharing"",""งบพรบ!GR106"")"),0)</f>
        <v>0</v>
      </c>
      <c r="F106" s="151">
        <f ca="1">IFERROR(__xludf.DUMMYFUNCTION("IMPORTRANGE(""https://docs.google.com/spreadsheets/d/1-uDff_7J0KD5mKrp0Vvzr7lt3OU09vwQwhkpOPPYv2Y/edit?usp=sharing"",""งบพรบ!GS106"")"),0)</f>
        <v>0</v>
      </c>
      <c r="G106" s="151">
        <f ca="1">IFERROR(__xludf.DUMMYFUNCTION("IMPORTRANGE(""https://docs.google.com/spreadsheets/d/1-uDff_7J0KD5mKrp0Vvzr7lt3OU09vwQwhkpOPPYv2Y/edit?usp=sharing"",""งบพรบ!GT106"")"),0)</f>
        <v>0</v>
      </c>
      <c r="H106" s="151">
        <f ca="1">IFERROR(__xludf.DUMMYFUNCTION("IMPORTRANGE(""https://docs.google.com/spreadsheets/d/1-uDff_7J0KD5mKrp0Vvzr7lt3OU09vwQwhkpOPPYv2Y/edit?usp=sharing"",""งบพรบ!GV106"")"),0)</f>
        <v>0</v>
      </c>
      <c r="I106" s="151">
        <f ca="1">IFERROR(__xludf.DUMMYFUNCTION("IMPORTRANGE(""https://docs.google.com/spreadsheets/d/1-uDff_7J0KD5mKrp0Vvzr7lt3OU09vwQwhkpOPPYv2Y/edit?usp=sharing"",""งบพรบ!GW106"")"),0)</f>
        <v>0</v>
      </c>
      <c r="J106" s="262">
        <f t="shared" ca="1" si="44"/>
        <v>0</v>
      </c>
      <c r="K106" s="476">
        <f t="shared" ca="1" si="45"/>
        <v>0</v>
      </c>
      <c r="L106" s="151">
        <f ca="1">IFERROR(__xludf.DUMMYFUNCTION("IMPORTRANGE(""https://docs.google.com/spreadsheets/d/1-uDff_7J0KD5mKrp0Vvzr7lt3OU09vwQwhkpOPPYv2Y/edit?usp=sharing"",""งบพรบ!GX106"")"),0)</f>
        <v>0</v>
      </c>
      <c r="M106" s="260">
        <f t="shared" ca="1" si="46"/>
        <v>0</v>
      </c>
      <c r="N106" s="260">
        <f t="shared" ca="1" si="47"/>
        <v>0</v>
      </c>
      <c r="O106" s="151">
        <f ca="1">IFERROR(__xludf.DUMMYFUNCTION("IMPORTRANGE(""https://docs.google.com/spreadsheets/d/1-uDff_7J0KD5mKrp0Vvzr7lt3OU09vwQwhkpOPPYv2Y/edit?usp=sharing"",""งบพรบ!GY106"")"),0)</f>
        <v>0</v>
      </c>
      <c r="P106" s="475">
        <f t="shared" ca="1" si="48"/>
        <v>0</v>
      </c>
      <c r="Q106" s="260">
        <f t="shared" ca="1" si="49"/>
        <v>0</v>
      </c>
      <c r="R106" s="262"/>
      <c r="S106" s="262"/>
      <c r="T106" s="260"/>
      <c r="U106" s="262"/>
      <c r="V106" s="262"/>
      <c r="W106" s="260"/>
    </row>
    <row r="107" spans="1:23" ht="19.5" x14ac:dyDescent="0.3">
      <c r="A107" s="263"/>
      <c r="B107" s="264" t="s">
        <v>26</v>
      </c>
      <c r="C107" s="173">
        <f t="shared" ca="1" si="42"/>
        <v>0</v>
      </c>
      <c r="D107" s="174">
        <f t="shared" ca="1" si="43"/>
        <v>0</v>
      </c>
      <c r="E107" s="265">
        <f ca="1">IFERROR(__xludf.DUMMYFUNCTION("IMPORTRANGE(""https://docs.google.com/spreadsheets/d/1-uDff_7J0KD5mKrp0Vvzr7lt3OU09vwQwhkpOPPYv2Y/edit?usp=sharing"",""งบพรบ!GR107"")"),0)</f>
        <v>0</v>
      </c>
      <c r="F107" s="265">
        <f ca="1">IFERROR(__xludf.DUMMYFUNCTION("IMPORTRANGE(""https://docs.google.com/spreadsheets/d/1-uDff_7J0KD5mKrp0Vvzr7lt3OU09vwQwhkpOPPYv2Y/edit?usp=sharing"",""งบพรบ!GS107"")"),0)</f>
        <v>0</v>
      </c>
      <c r="G107" s="265">
        <f ca="1">IFERROR(__xludf.DUMMYFUNCTION("IMPORTRANGE(""https://docs.google.com/spreadsheets/d/1-uDff_7J0KD5mKrp0Vvzr7lt3OU09vwQwhkpOPPYv2Y/edit?usp=sharing"",""งบพรบ!GT107"")"),0)</f>
        <v>0</v>
      </c>
      <c r="H107" s="265">
        <f ca="1">IFERROR(__xludf.DUMMYFUNCTION("IMPORTRANGE(""https://docs.google.com/spreadsheets/d/1-uDff_7J0KD5mKrp0Vvzr7lt3OU09vwQwhkpOPPYv2Y/edit?usp=sharing"",""งบพรบ!GV107"")"),0)</f>
        <v>0</v>
      </c>
      <c r="I107" s="265">
        <f ca="1">IFERROR(__xludf.DUMMYFUNCTION("IMPORTRANGE(""https://docs.google.com/spreadsheets/d/1-uDff_7J0KD5mKrp0Vvzr7lt3OU09vwQwhkpOPPYv2Y/edit?usp=sharing"",""งบพรบ!GW107"")"),0)</f>
        <v>0</v>
      </c>
      <c r="J107" s="606">
        <f t="shared" ca="1" si="44"/>
        <v>0</v>
      </c>
      <c r="K107" s="266">
        <f t="shared" ca="1" si="45"/>
        <v>0</v>
      </c>
      <c r="L107" s="265">
        <f ca="1">IFERROR(__xludf.DUMMYFUNCTION("IMPORTRANGE(""https://docs.google.com/spreadsheets/d/1-uDff_7J0KD5mKrp0Vvzr7lt3OU09vwQwhkpOPPYv2Y/edit?usp=sharing"",""งบพรบ!GX107"")"),0)</f>
        <v>0</v>
      </c>
      <c r="M107" s="206">
        <f t="shared" ca="1" si="46"/>
        <v>0</v>
      </c>
      <c r="N107" s="206">
        <f t="shared" ca="1" si="47"/>
        <v>0</v>
      </c>
      <c r="O107" s="265">
        <f ca="1">IFERROR(__xludf.DUMMYFUNCTION("IMPORTRANGE(""https://docs.google.com/spreadsheets/d/1-uDff_7J0KD5mKrp0Vvzr7lt3OU09vwQwhkpOPPYv2Y/edit?usp=sharing"",""งบพรบ!GY107"")"),0)</f>
        <v>0</v>
      </c>
      <c r="P107" s="205">
        <f t="shared" ca="1" si="48"/>
        <v>0</v>
      </c>
      <c r="Q107" s="607">
        <f t="shared" ca="1" si="49"/>
        <v>0</v>
      </c>
      <c r="R107" s="175"/>
      <c r="S107" s="175"/>
      <c r="T107" s="206"/>
      <c r="U107" s="175"/>
      <c r="V107" s="175"/>
      <c r="W107" s="206"/>
    </row>
    <row r="108" spans="1:23" ht="19.5" x14ac:dyDescent="0.3">
      <c r="A108" s="268"/>
      <c r="B108" s="269" t="s">
        <v>135</v>
      </c>
      <c r="C108" s="193">
        <f t="shared" ca="1" si="42"/>
        <v>0</v>
      </c>
      <c r="D108" s="194">
        <f t="shared" ca="1" si="43"/>
        <v>0</v>
      </c>
      <c r="E108" s="270">
        <f ca="1">IFERROR(__xludf.DUMMYFUNCTION("IMPORTRANGE(""https://docs.google.com/spreadsheets/d/1-uDff_7J0KD5mKrp0Vvzr7lt3OU09vwQwhkpOPPYv2Y/edit?usp=sharing"",""งบพรบ!GR108"")"),0)</f>
        <v>0</v>
      </c>
      <c r="F108" s="270">
        <f ca="1">IFERROR(__xludf.DUMMYFUNCTION("IMPORTRANGE(""https://docs.google.com/spreadsheets/d/1-uDff_7J0KD5mKrp0Vvzr7lt3OU09vwQwhkpOPPYv2Y/edit?usp=sharing"",""งบพรบ!GS108"")"),0)</f>
        <v>0</v>
      </c>
      <c r="G108" s="270">
        <f ca="1">IFERROR(__xludf.DUMMYFUNCTION("IMPORTRANGE(""https://docs.google.com/spreadsheets/d/1-uDff_7J0KD5mKrp0Vvzr7lt3OU09vwQwhkpOPPYv2Y/edit?usp=sharing"",""งบพรบ!GT108"")"),0)</f>
        <v>0</v>
      </c>
      <c r="H108" s="270">
        <f ca="1">IFERROR(__xludf.DUMMYFUNCTION("IMPORTRANGE(""https://docs.google.com/spreadsheets/d/1-uDff_7J0KD5mKrp0Vvzr7lt3OU09vwQwhkpOPPYv2Y/edit?usp=sharing"",""งบพรบ!GV108"")"),0)</f>
        <v>0</v>
      </c>
      <c r="I108" s="270">
        <f ca="1">IFERROR(__xludf.DUMMYFUNCTION("IMPORTRANGE(""https://docs.google.com/spreadsheets/d/1-uDff_7J0KD5mKrp0Vvzr7lt3OU09vwQwhkpOPPYv2Y/edit?usp=sharing"",""งบพรบ!GW108"")"),0)</f>
        <v>0</v>
      </c>
      <c r="J108" s="608">
        <f t="shared" ca="1" si="44"/>
        <v>0</v>
      </c>
      <c r="K108" s="271">
        <f t="shared" ca="1" si="45"/>
        <v>0</v>
      </c>
      <c r="L108" s="270">
        <f ca="1">IFERROR(__xludf.DUMMYFUNCTION("IMPORTRANGE(""https://docs.google.com/spreadsheets/d/1-uDff_7J0KD5mKrp0Vvzr7lt3OU09vwQwhkpOPPYv2Y/edit?usp=sharing"",""งบพรบ!GX108"")"),0)</f>
        <v>0</v>
      </c>
      <c r="M108" s="209">
        <f t="shared" ca="1" si="46"/>
        <v>0</v>
      </c>
      <c r="N108" s="209">
        <f t="shared" ca="1" si="47"/>
        <v>0</v>
      </c>
      <c r="O108" s="270">
        <f ca="1">IFERROR(__xludf.DUMMYFUNCTION("IMPORTRANGE(""https://docs.google.com/spreadsheets/d/1-uDff_7J0KD5mKrp0Vvzr7lt3OU09vwQwhkpOPPYv2Y/edit?usp=sharing"",""งบพรบ!GY108"")"),0)</f>
        <v>0</v>
      </c>
      <c r="P108" s="208">
        <f t="shared" ca="1" si="48"/>
        <v>0</v>
      </c>
      <c r="Q108" s="609">
        <f t="shared" ca="1" si="49"/>
        <v>0</v>
      </c>
      <c r="R108" s="222"/>
      <c r="S108" s="222"/>
      <c r="T108" s="209"/>
      <c r="U108" s="222"/>
      <c r="V108" s="222"/>
      <c r="W108" s="209"/>
    </row>
  </sheetData>
  <mergeCells count="27">
    <mergeCell ref="S5:T5"/>
    <mergeCell ref="V5:W5"/>
    <mergeCell ref="A2:B6"/>
    <mergeCell ref="C2:Q2"/>
    <mergeCell ref="R2:W2"/>
    <mergeCell ref="C3:Q3"/>
    <mergeCell ref="R3:T4"/>
    <mergeCell ref="U3:W4"/>
    <mergeCell ref="C4:G4"/>
    <mergeCell ref="A13:B13"/>
    <mergeCell ref="A31:B31"/>
    <mergeCell ref="A52:B52"/>
    <mergeCell ref="A74:B74"/>
    <mergeCell ref="A89:B89"/>
    <mergeCell ref="H4:I4"/>
    <mergeCell ref="J4:Q4"/>
    <mergeCell ref="C5:C6"/>
    <mergeCell ref="D5:D6"/>
    <mergeCell ref="A7:B7"/>
    <mergeCell ref="E5:E6"/>
    <mergeCell ref="F5:F6"/>
    <mergeCell ref="G5:G6"/>
    <mergeCell ref="H5:H6"/>
    <mergeCell ref="I5:I6"/>
    <mergeCell ref="J5:K5"/>
    <mergeCell ref="L5:N5"/>
    <mergeCell ref="O5:Q5"/>
  </mergeCells>
  <conditionalFormatting sqref="K14:K30 K32:K51 K53:K73 K75:K88 K90:K108">
    <cfRule type="colorScale" priority="1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T14:T30 W14:W30 T32:T51 W32:W51 T53:T73 W53:W73 T75:T88 W75:W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FF00"/>
    <outlinePr summaryBelow="0" summaryRight="0"/>
  </sheetPr>
  <dimension ref="A1:AD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4" width="14.140625" customWidth="1"/>
    <col min="5" max="6" width="13.7109375" customWidth="1"/>
    <col min="8" max="8" width="13.5703125" customWidth="1"/>
    <col min="10" max="10" width="13.85546875" customWidth="1"/>
    <col min="12" max="12" width="14.140625" customWidth="1"/>
    <col min="18" max="18" width="18.7109375" customWidth="1"/>
    <col min="19" max="19" width="17.28515625" customWidth="1"/>
    <col min="20" max="20" width="15.28515625" customWidth="1"/>
    <col min="23" max="28" width="11.42578125" customWidth="1"/>
    <col min="29" max="30" width="21.42578125" customWidth="1"/>
  </cols>
  <sheetData>
    <row r="1" spans="1:30" ht="19.5" x14ac:dyDescent="0.3">
      <c r="A1" s="234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7"/>
      <c r="S1" s="117"/>
      <c r="T1" s="117"/>
      <c r="U1" s="117"/>
      <c r="V1" s="117"/>
      <c r="W1" s="114"/>
      <c r="X1" s="114"/>
      <c r="Y1" s="116"/>
      <c r="Z1" s="339"/>
      <c r="AA1" s="339"/>
      <c r="AB1" s="339"/>
      <c r="AC1" s="339"/>
      <c r="AD1" s="339"/>
    </row>
    <row r="2" spans="1:30" ht="30" customHeight="1" x14ac:dyDescent="0.2">
      <c r="A2" s="692" t="s">
        <v>1</v>
      </c>
      <c r="B2" s="658"/>
      <c r="C2" s="689" t="s">
        <v>309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89" t="s">
        <v>310</v>
      </c>
      <c r="X2" s="646"/>
      <c r="Y2" s="646"/>
      <c r="Z2" s="646"/>
      <c r="AA2" s="646"/>
      <c r="AB2" s="646"/>
      <c r="AC2" s="646"/>
      <c r="AD2" s="647"/>
    </row>
    <row r="3" spans="1:30" ht="30" customHeight="1" x14ac:dyDescent="0.2">
      <c r="A3" s="659"/>
      <c r="B3" s="660"/>
      <c r="C3" s="717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09" t="s">
        <v>5</v>
      </c>
      <c r="S3" s="646"/>
      <c r="T3" s="646"/>
      <c r="U3" s="646"/>
      <c r="V3" s="647"/>
      <c r="W3" s="687" t="s">
        <v>311</v>
      </c>
      <c r="X3" s="674"/>
      <c r="Y3" s="658"/>
      <c r="Z3" s="715" t="s">
        <v>312</v>
      </c>
      <c r="AA3" s="646"/>
      <c r="AB3" s="646"/>
      <c r="AC3" s="646"/>
      <c r="AD3" s="647"/>
    </row>
    <row r="4" spans="1:30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782" t="s">
        <v>11</v>
      </c>
      <c r="S4" s="703" t="s">
        <v>12</v>
      </c>
      <c r="T4" s="783" t="s">
        <v>13</v>
      </c>
      <c r="U4" s="710" t="s">
        <v>14</v>
      </c>
      <c r="V4" s="710" t="s">
        <v>15</v>
      </c>
      <c r="W4" s="661"/>
      <c r="X4" s="675"/>
      <c r="Y4" s="662"/>
      <c r="Z4" s="827" t="s">
        <v>28</v>
      </c>
      <c r="AA4" s="692" t="s">
        <v>29</v>
      </c>
      <c r="AB4" s="658"/>
      <c r="AC4" s="828" t="s">
        <v>313</v>
      </c>
      <c r="AD4" s="828" t="s">
        <v>314</v>
      </c>
    </row>
    <row r="5" spans="1:30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649"/>
      <c r="S5" s="649"/>
      <c r="T5" s="649"/>
      <c r="U5" s="649"/>
      <c r="V5" s="649"/>
      <c r="W5" s="119" t="s">
        <v>28</v>
      </c>
      <c r="X5" s="780" t="s">
        <v>29</v>
      </c>
      <c r="Y5" s="647"/>
      <c r="Z5" s="650"/>
      <c r="AA5" s="661"/>
      <c r="AB5" s="662"/>
      <c r="AC5" s="650"/>
      <c r="AD5" s="650"/>
    </row>
    <row r="6" spans="1:30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650"/>
      <c r="S6" s="650"/>
      <c r="T6" s="650"/>
      <c r="U6" s="650"/>
      <c r="V6" s="650"/>
      <c r="W6" s="119" t="s">
        <v>196</v>
      </c>
      <c r="X6" s="180" t="s">
        <v>196</v>
      </c>
      <c r="Y6" s="210" t="s">
        <v>31</v>
      </c>
      <c r="Z6" s="119" t="s">
        <v>35</v>
      </c>
      <c r="AA6" s="180" t="s">
        <v>35</v>
      </c>
      <c r="AB6" s="613" t="s">
        <v>31</v>
      </c>
      <c r="AC6" s="613" t="s">
        <v>35</v>
      </c>
      <c r="AD6" s="613" t="s">
        <v>35</v>
      </c>
    </row>
    <row r="7" spans="1:30" ht="19.5" x14ac:dyDescent="0.3">
      <c r="A7" s="694" t="s">
        <v>38</v>
      </c>
      <c r="B7" s="647"/>
      <c r="C7" s="454">
        <f t="shared" ref="C7:C9" ca="1" si="0">D7+G7</f>
        <v>4609200</v>
      </c>
      <c r="D7" s="455">
        <f t="shared" ref="D7:I7" ca="1" si="1">D8+D9</f>
        <v>4363100</v>
      </c>
      <c r="E7" s="456">
        <f t="shared" ca="1" si="1"/>
        <v>1963400</v>
      </c>
      <c r="F7" s="457">
        <f t="shared" ca="1" si="1"/>
        <v>2399700</v>
      </c>
      <c r="G7" s="458">
        <f t="shared" ca="1" si="1"/>
        <v>246100</v>
      </c>
      <c r="H7" s="459">
        <f t="shared" ca="1" si="1"/>
        <v>4363100</v>
      </c>
      <c r="I7" s="459">
        <f t="shared" ca="1" si="1"/>
        <v>245600</v>
      </c>
      <c r="J7" s="460">
        <f t="shared" ref="J7:J9" ca="1" si="2">L7+O7</f>
        <v>2797699.34</v>
      </c>
      <c r="K7" s="461">
        <f t="shared" ref="K7:K9" ca="1" si="3">IF(C7&gt;0,J7*100/C7,0)</f>
        <v>60.69815456044433</v>
      </c>
      <c r="L7" s="460">
        <f ca="1">L8+L9</f>
        <v>2552099.34</v>
      </c>
      <c r="M7" s="462">
        <f t="shared" ref="M7:M9" ca="1" si="4">IF(D7&gt;0,L7*100/D7,0)</f>
        <v>58.492799614952673</v>
      </c>
      <c r="N7" s="462">
        <f t="shared" ref="N7:N9" ca="1" si="5">IF(H7&gt;0,L7*100/H7,0)</f>
        <v>58.492799614952673</v>
      </c>
      <c r="O7" s="463">
        <f ca="1">O8+O9</f>
        <v>245600</v>
      </c>
      <c r="P7" s="463">
        <f t="shared" ref="P7:P9" ca="1" si="6">IF(G7&gt;0,O7*100/G7,0)</f>
        <v>99.79683055668427</v>
      </c>
      <c r="Q7" s="462">
        <f t="shared" ref="Q7:Q9" ca="1" si="7">IF(I7&gt;0,O7*100/I7,0)</f>
        <v>100</v>
      </c>
      <c r="R7" s="463">
        <f t="shared" ref="R7:T7" ca="1" si="8">R8+R9</f>
        <v>229400</v>
      </c>
      <c r="S7" s="462">
        <f t="shared" ca="1" si="8"/>
        <v>229400</v>
      </c>
      <c r="T7" s="463">
        <f t="shared" ca="1" si="8"/>
        <v>138030</v>
      </c>
      <c r="U7" s="462">
        <f t="shared" ref="U7:U9" ca="1" si="9">IF(R7&gt;0,T7*100/R7,0)</f>
        <v>60.170008718395813</v>
      </c>
      <c r="V7" s="462">
        <f t="shared" ref="V7:V9" ca="1" si="10">IF(S7&gt;0,T7*100/S7,0)</f>
        <v>60.170008718395813</v>
      </c>
      <c r="W7" s="211">
        <f t="shared" ref="W7:X7" ca="1" si="11">W9</f>
        <v>200000</v>
      </c>
      <c r="X7" s="212">
        <f t="shared" ca="1" si="11"/>
        <v>110800</v>
      </c>
      <c r="Y7" s="213">
        <f t="shared" ref="Y7:Y9" ca="1" si="12">IF(W7&gt;0,X7*100/W7,0)</f>
        <v>55.4</v>
      </c>
      <c r="Z7" s="211">
        <f t="shared" ref="Z7:AA7" ca="1" si="13">Z9</f>
        <v>150</v>
      </c>
      <c r="AA7" s="212">
        <f t="shared" ca="1" si="13"/>
        <v>92</v>
      </c>
      <c r="AB7" s="213">
        <f t="shared" ref="AB7:AB9" ca="1" si="14">IF(Z7&gt;0,AA7*100/Z7,0)</f>
        <v>61.333333333333336</v>
      </c>
      <c r="AC7" s="614">
        <f t="shared" ref="AC7:AD7" ca="1" si="15">AC9</f>
        <v>46</v>
      </c>
      <c r="AD7" s="614">
        <f t="shared" ca="1" si="15"/>
        <v>46</v>
      </c>
    </row>
    <row r="8" spans="1:30" ht="19.5" x14ac:dyDescent="0.3">
      <c r="A8" s="134" t="s">
        <v>39</v>
      </c>
      <c r="B8" s="135"/>
      <c r="C8" s="464">
        <f t="shared" ca="1" si="0"/>
        <v>742210</v>
      </c>
      <c r="D8" s="464">
        <f t="shared" ref="D8:I8" ca="1" si="16">+D13+D31+D52+D74</f>
        <v>742210</v>
      </c>
      <c r="E8" s="464">
        <f t="shared" ca="1" si="16"/>
        <v>384700</v>
      </c>
      <c r="F8" s="464">
        <f t="shared" ca="1" si="16"/>
        <v>357510</v>
      </c>
      <c r="G8" s="464">
        <f t="shared" ca="1" si="16"/>
        <v>0</v>
      </c>
      <c r="H8" s="464">
        <f t="shared" ca="1" si="16"/>
        <v>742210</v>
      </c>
      <c r="I8" s="464">
        <f t="shared" ca="1" si="16"/>
        <v>0</v>
      </c>
      <c r="J8" s="464">
        <f t="shared" ca="1" si="2"/>
        <v>353849.24</v>
      </c>
      <c r="K8" s="465">
        <f t="shared" ca="1" si="3"/>
        <v>47.675083871141588</v>
      </c>
      <c r="L8" s="464">
        <f ca="1">+L13+L31+L52+L74</f>
        <v>353849.24</v>
      </c>
      <c r="M8" s="466">
        <f t="shared" ca="1" si="4"/>
        <v>47.675083871141588</v>
      </c>
      <c r="N8" s="466">
        <f t="shared" ca="1" si="5"/>
        <v>47.675083871141588</v>
      </c>
      <c r="O8" s="467">
        <f ca="1">+O13+O31+O52+O74</f>
        <v>0</v>
      </c>
      <c r="P8" s="467">
        <f t="shared" ca="1" si="6"/>
        <v>0</v>
      </c>
      <c r="Q8" s="466">
        <f t="shared" ca="1" si="7"/>
        <v>0</v>
      </c>
      <c r="R8" s="467">
        <f t="shared" ref="R8:T8" si="17">+R13+R31+R52+R74</f>
        <v>0</v>
      </c>
      <c r="S8" s="466">
        <f t="shared" si="17"/>
        <v>0</v>
      </c>
      <c r="T8" s="467">
        <f t="shared" si="17"/>
        <v>0</v>
      </c>
      <c r="U8" s="466">
        <f t="shared" si="9"/>
        <v>0</v>
      </c>
      <c r="V8" s="466">
        <f t="shared" si="10"/>
        <v>0</v>
      </c>
      <c r="W8" s="276">
        <f t="shared" ref="W8:X8" si="18">+W13+W31+W52+W74</f>
        <v>0</v>
      </c>
      <c r="X8" s="276">
        <f t="shared" si="18"/>
        <v>0</v>
      </c>
      <c r="Y8" s="37">
        <f t="shared" si="12"/>
        <v>0</v>
      </c>
      <c r="Z8" s="276">
        <f t="shared" ref="Z8:AA8" si="19">+Z13+Z31+Z52+Z74</f>
        <v>0</v>
      </c>
      <c r="AA8" s="276">
        <f t="shared" si="19"/>
        <v>0</v>
      </c>
      <c r="AB8" s="37">
        <f t="shared" si="14"/>
        <v>0</v>
      </c>
      <c r="AC8" s="276">
        <f t="shared" ref="AC8:AD8" si="20">+AC13+AC31+AC52+AC74</f>
        <v>0</v>
      </c>
      <c r="AD8" s="276">
        <f t="shared" si="20"/>
        <v>0</v>
      </c>
    </row>
    <row r="9" spans="1:30" ht="19.5" x14ac:dyDescent="0.3">
      <c r="A9" s="245" t="s">
        <v>40</v>
      </c>
      <c r="B9" s="468"/>
      <c r="C9" s="248">
        <f t="shared" ca="1" si="0"/>
        <v>3866990</v>
      </c>
      <c r="D9" s="248">
        <f t="shared" ref="D9:I9" ca="1" si="21">+D89</f>
        <v>3620890</v>
      </c>
      <c r="E9" s="248">
        <f t="shared" ca="1" si="21"/>
        <v>1578700</v>
      </c>
      <c r="F9" s="248">
        <f t="shared" ca="1" si="21"/>
        <v>2042190</v>
      </c>
      <c r="G9" s="248">
        <f t="shared" ca="1" si="21"/>
        <v>246100</v>
      </c>
      <c r="H9" s="248">
        <f t="shared" ca="1" si="21"/>
        <v>3620890</v>
      </c>
      <c r="I9" s="248">
        <f t="shared" ca="1" si="21"/>
        <v>245600</v>
      </c>
      <c r="J9" s="248">
        <f t="shared" ca="1" si="2"/>
        <v>2443850.1</v>
      </c>
      <c r="K9" s="469">
        <f t="shared" ca="1" si="3"/>
        <v>63.197735189385028</v>
      </c>
      <c r="L9" s="248">
        <f ca="1">+L89</f>
        <v>2198250.1</v>
      </c>
      <c r="M9" s="470">
        <f t="shared" ca="1" si="4"/>
        <v>60.710214891918838</v>
      </c>
      <c r="N9" s="470">
        <f t="shared" ca="1" si="5"/>
        <v>60.710214891918838</v>
      </c>
      <c r="O9" s="471">
        <f ca="1">+O89</f>
        <v>245600</v>
      </c>
      <c r="P9" s="471">
        <f t="shared" ca="1" si="6"/>
        <v>99.79683055668427</v>
      </c>
      <c r="Q9" s="470">
        <f t="shared" ca="1" si="7"/>
        <v>100</v>
      </c>
      <c r="R9" s="471">
        <f t="shared" ref="R9:T9" ca="1" si="22">+R89</f>
        <v>229400</v>
      </c>
      <c r="S9" s="470">
        <f t="shared" ca="1" si="22"/>
        <v>229400</v>
      </c>
      <c r="T9" s="471">
        <f t="shared" ca="1" si="22"/>
        <v>138030</v>
      </c>
      <c r="U9" s="470">
        <f t="shared" ca="1" si="9"/>
        <v>60.170008718395813</v>
      </c>
      <c r="V9" s="470">
        <f t="shared" ca="1" si="10"/>
        <v>60.170008718395813</v>
      </c>
      <c r="W9" s="248">
        <f ca="1">IFERROR(__xludf.DUMMYFUNCTION("IMPORTRANGE(""https://docs.google.com/spreadsheets/d/1W-HhGofCdyidljablT5AVQ143BAUWsE-bKbHVeok6Og/edit?usp=sharing"",""ทั้งประเทศ!I609"")"),200000)</f>
        <v>200000</v>
      </c>
      <c r="X9" s="248">
        <f ca="1">IFERROR(__xludf.DUMMYFUNCTION("IMPORTRANGE(""https://docs.google.com/spreadsheets/d/1W-HhGofCdyidljablT5AVQ143BAUWsE-bKbHVeok6Og/edit?usp=sharing"",""ทั้งประเทศ!J609"")"),110800)</f>
        <v>110800</v>
      </c>
      <c r="Y9" s="470">
        <f t="shared" ca="1" si="12"/>
        <v>55.4</v>
      </c>
      <c r="Z9" s="248">
        <f ca="1">IFERROR(__xludf.DUMMYFUNCTION("IMPORTRANGE(""https://docs.google.com/spreadsheets/d/1W-HhGofCdyidljablT5AVQ143BAUWsE-bKbHVeok6Og/edit?usp=sharing"",""ทั้งประเทศ!I610"")"),150)</f>
        <v>150</v>
      </c>
      <c r="AA9" s="248">
        <f ca="1">IFERROR(__xludf.DUMMYFUNCTION("IMPORTRANGE(""https://docs.google.com/spreadsheets/d/1W-HhGofCdyidljablT5AVQ143BAUWsE-bKbHVeok6Og/edit?usp=sharing"",""ทั้งประเทศ!J610"")"),92)</f>
        <v>92</v>
      </c>
      <c r="AB9" s="470">
        <f t="shared" ca="1" si="14"/>
        <v>61.333333333333336</v>
      </c>
      <c r="AC9" s="248">
        <f ca="1">IFERROR(__xludf.DUMMYFUNCTION("IMPORTRANGE(""https://docs.google.com/spreadsheets/d/1W-HhGofCdyidljablT5AVQ143BAUWsE-bKbHVeok6Og/edit?usp=sharing"",""ทั้งประเทศ!J611"")"),46)</f>
        <v>46</v>
      </c>
      <c r="AD9" s="248">
        <f ca="1">IFERROR(__xludf.DUMMYFUNCTION("IMPORTRANGE(""https://docs.google.com/spreadsheets/d/1W-HhGofCdyidljablT5AVQ143BAUWsE-bKbHVeok6Og/edit?usp=sharing"",""ทั้งประเทศ!J612"")"),46)</f>
        <v>46</v>
      </c>
    </row>
    <row r="10" spans="1:30" ht="12.75" hidden="1" x14ac:dyDescent="0.2">
      <c r="A10" s="142"/>
      <c r="B10" s="142"/>
      <c r="C10" s="214"/>
      <c r="D10" s="214"/>
      <c r="E10" s="214"/>
      <c r="F10" s="214"/>
      <c r="G10" s="214"/>
      <c r="H10" s="214"/>
      <c r="I10" s="214"/>
      <c r="J10" s="214"/>
      <c r="K10" s="249"/>
      <c r="L10" s="214"/>
      <c r="M10" s="196"/>
      <c r="N10" s="196"/>
      <c r="O10" s="195"/>
      <c r="P10" s="195"/>
      <c r="Q10" s="196"/>
      <c r="R10" s="195"/>
      <c r="S10" s="196"/>
      <c r="T10" s="195"/>
      <c r="U10" s="196"/>
      <c r="V10" s="196"/>
      <c r="W10" s="214"/>
      <c r="X10" s="214"/>
      <c r="Y10" s="196"/>
      <c r="Z10" s="214"/>
      <c r="AA10" s="214"/>
      <c r="AB10" s="196"/>
      <c r="AC10" s="214"/>
      <c r="AD10" s="214"/>
    </row>
    <row r="11" spans="1:30" ht="12.75" hidden="1" x14ac:dyDescent="0.2">
      <c r="A11" s="142"/>
      <c r="B11" s="142"/>
      <c r="C11" s="214"/>
      <c r="D11" s="214"/>
      <c r="E11" s="214"/>
      <c r="F11" s="214"/>
      <c r="G11" s="214"/>
      <c r="H11" s="214"/>
      <c r="I11" s="214"/>
      <c r="J11" s="214"/>
      <c r="K11" s="249"/>
      <c r="L11" s="214"/>
      <c r="M11" s="196"/>
      <c r="N11" s="196"/>
      <c r="O11" s="195"/>
      <c r="P11" s="195"/>
      <c r="Q11" s="196"/>
      <c r="R11" s="195"/>
      <c r="S11" s="196"/>
      <c r="T11" s="195"/>
      <c r="U11" s="196"/>
      <c r="V11" s="196"/>
      <c r="W11" s="214"/>
      <c r="X11" s="214"/>
      <c r="Y11" s="196"/>
      <c r="Z11" s="214"/>
      <c r="AA11" s="214"/>
      <c r="AB11" s="196"/>
      <c r="AC11" s="214"/>
      <c r="AD11" s="214"/>
    </row>
    <row r="12" spans="1:30" ht="19.5" hidden="1" x14ac:dyDescent="0.3">
      <c r="A12" s="142"/>
      <c r="B12" s="142"/>
      <c r="C12" s="214"/>
      <c r="D12" s="214"/>
      <c r="E12" s="214"/>
      <c r="F12" s="214"/>
      <c r="G12" s="214"/>
      <c r="H12" s="214"/>
      <c r="I12" s="214"/>
      <c r="J12" s="214"/>
      <c r="K12" s="249"/>
      <c r="L12" s="214"/>
      <c r="M12" s="196"/>
      <c r="N12" s="196"/>
      <c r="O12" s="195"/>
      <c r="P12" s="195"/>
      <c r="Q12" s="196"/>
      <c r="R12" s="195"/>
      <c r="S12" s="196"/>
      <c r="T12" s="195"/>
      <c r="U12" s="196"/>
      <c r="V12" s="196"/>
      <c r="W12" s="143"/>
      <c r="X12" s="143"/>
      <c r="Y12" s="51"/>
      <c r="Z12" s="143"/>
      <c r="AA12" s="143"/>
      <c r="AB12" s="51"/>
      <c r="AC12" s="143"/>
      <c r="AD12" s="143"/>
    </row>
    <row r="13" spans="1:30" ht="19.5" x14ac:dyDescent="0.3">
      <c r="A13" s="695" t="s">
        <v>41</v>
      </c>
      <c r="B13" s="647"/>
      <c r="C13" s="596">
        <f t="shared" ref="C13:C88" ca="1" si="23">D13+G13</f>
        <v>104017</v>
      </c>
      <c r="D13" s="596">
        <f t="shared" ref="D13:I13" ca="1" si="24">SUM(D14:D30)</f>
        <v>104017</v>
      </c>
      <c r="E13" s="596">
        <f t="shared" ca="1" si="24"/>
        <v>0</v>
      </c>
      <c r="F13" s="596">
        <f t="shared" ca="1" si="24"/>
        <v>104017</v>
      </c>
      <c r="G13" s="596">
        <f t="shared" ca="1" si="24"/>
        <v>0</v>
      </c>
      <c r="H13" s="596">
        <f t="shared" ca="1" si="24"/>
        <v>104017</v>
      </c>
      <c r="I13" s="596">
        <f t="shared" ca="1" si="24"/>
        <v>0</v>
      </c>
      <c r="J13" s="596">
        <f t="shared" ref="J13:J88" ca="1" si="25">L13+O13</f>
        <v>39960</v>
      </c>
      <c r="K13" s="597">
        <f t="shared" ref="K13:K88" ca="1" si="26">IF(C13&gt;0,J13*100/C13,0)</f>
        <v>38.41679725429497</v>
      </c>
      <c r="L13" s="596">
        <f ca="1">SUM(L14:L30)</f>
        <v>39960</v>
      </c>
      <c r="M13" s="598">
        <f t="shared" ref="M13:M88" ca="1" si="27">IF(D13&gt;0,L13*100/D13,0)</f>
        <v>38.41679725429497</v>
      </c>
      <c r="N13" s="598">
        <f t="shared" ref="N13:N88" ca="1" si="28">IF(H13&gt;0,L13*100/H13,0)</f>
        <v>38.41679725429497</v>
      </c>
      <c r="O13" s="599">
        <f ca="1">SUM(O14:O30)</f>
        <v>0</v>
      </c>
      <c r="P13" s="599">
        <f t="shared" ref="P13:P88" ca="1" si="29">IF(G13&gt;0,O13*100/G13,0)</f>
        <v>0</v>
      </c>
      <c r="Q13" s="598">
        <f t="shared" ref="Q13:Q88" ca="1" si="30">IF(I13&gt;0,O13*100/I13,0)</f>
        <v>0</v>
      </c>
      <c r="R13" s="599">
        <f t="shared" ref="R13:T13" si="31">SUM(R14:R30)</f>
        <v>0</v>
      </c>
      <c r="S13" s="598">
        <f t="shared" si="31"/>
        <v>0</v>
      </c>
      <c r="T13" s="599">
        <f t="shared" si="31"/>
        <v>0</v>
      </c>
      <c r="U13" s="598">
        <f>IF(R13&gt;0,T13*100/R13,0)</f>
        <v>0</v>
      </c>
      <c r="V13" s="598">
        <f>IF(S13&gt;0,T13*100/S13,0)</f>
        <v>0</v>
      </c>
      <c r="W13" s="277">
        <f t="shared" ref="W13:X13" si="32">SUM(W14:W30)</f>
        <v>0</v>
      </c>
      <c r="X13" s="277">
        <f t="shared" si="32"/>
        <v>0</v>
      </c>
      <c r="Y13" s="57">
        <f t="shared" ref="Y13:Y88" si="33">IF(W13&gt;0,X13*100/W13,0)</f>
        <v>0</v>
      </c>
      <c r="Z13" s="277">
        <f t="shared" ref="Z13:AA13" si="34">SUM(Z14:Z30)</f>
        <v>0</v>
      </c>
      <c r="AA13" s="277">
        <f t="shared" si="34"/>
        <v>0</v>
      </c>
      <c r="AB13" s="57">
        <f t="shared" ref="AB13:AB88" si="35">IF(Z13&gt;0,AA13*100/Z13,0)</f>
        <v>0</v>
      </c>
      <c r="AC13" s="277">
        <f t="shared" ref="AC13:AD13" si="36">SUM(AC14:AC30)</f>
        <v>0</v>
      </c>
      <c r="AD13" s="277">
        <f t="shared" si="36"/>
        <v>0</v>
      </c>
    </row>
    <row r="14" spans="1:30" ht="19.5" x14ac:dyDescent="0.3">
      <c r="A14" s="147">
        <v>1</v>
      </c>
      <c r="B14" s="148" t="s">
        <v>42</v>
      </c>
      <c r="C14" s="472">
        <f t="shared" ca="1" si="23"/>
        <v>0</v>
      </c>
      <c r="D14" s="473">
        <f t="shared" ref="D14:D30" ca="1" si="37">+E14+F14</f>
        <v>0</v>
      </c>
      <c r="E14" s="151">
        <f ca="1">IFERROR(__xludf.DUMMYFUNCTION("IMPORTRANGE(""https://docs.google.com/spreadsheets/d/1-uDff_7J0KD5mKrp0Vvzr7lt3OU09vwQwhkpOPPYv2Y/edit?usp=sharing"",""งบพรบ!HL14"")"),0)</f>
        <v>0</v>
      </c>
      <c r="F14" s="151">
        <f ca="1">IFERROR(__xludf.DUMMYFUNCTION("IMPORTRANGE(""https://docs.google.com/spreadsheets/d/1-uDff_7J0KD5mKrp0Vvzr7lt3OU09vwQwhkpOPPYv2Y/edit?usp=sharing"",""งบพรบ!HM14"")"),0)</f>
        <v>0</v>
      </c>
      <c r="G14" s="152">
        <f ca="1">IFERROR(__xludf.DUMMYFUNCTION("IMPORTRANGE(""https://docs.google.com/spreadsheets/d/1-uDff_7J0KD5mKrp0Vvzr7lt3OU09vwQwhkpOPPYv2Y/edit?usp=sharing"",""งบพรบ!HN14"")"),0)</f>
        <v>0</v>
      </c>
      <c r="H14" s="152">
        <f ca="1">IFERROR(__xludf.DUMMYFUNCTION("IMPORTRANGE(""https://docs.google.com/spreadsheets/d/1-uDff_7J0KD5mKrp0Vvzr7lt3OU09vwQwhkpOPPYv2Y/edit?usp=sharing"",""งบพรบ!HP14"")"),0)</f>
        <v>0</v>
      </c>
      <c r="I14" s="152">
        <f ca="1">IFERROR(__xludf.DUMMYFUNCTION("IMPORTRANGE(""https://docs.google.com/spreadsheets/d/1-uDff_7J0KD5mKrp0Vvzr7lt3OU09vwQwhkpOPPYv2Y/edit?usp=sharing"",""งบพรบ!HQ14"")"),0)</f>
        <v>0</v>
      </c>
      <c r="J14" s="251">
        <f t="shared" ca="1" si="25"/>
        <v>0</v>
      </c>
      <c r="K14" s="474">
        <f t="shared" ca="1" si="26"/>
        <v>0</v>
      </c>
      <c r="L14" s="152">
        <f ca="1">IFERROR(__xludf.DUMMYFUNCTION("IMPORTRANGE(""https://docs.google.com/spreadsheets/d/1-uDff_7J0KD5mKrp0Vvzr7lt3OU09vwQwhkpOPPYv2Y/edit?usp=sharing"",""งบพรบ!HR14"")"),0)</f>
        <v>0</v>
      </c>
      <c r="M14" s="260">
        <f t="shared" ca="1" si="27"/>
        <v>0</v>
      </c>
      <c r="N14" s="260">
        <f t="shared" ca="1" si="28"/>
        <v>0</v>
      </c>
      <c r="O14" s="151">
        <f ca="1">IFERROR(__xludf.DUMMYFUNCTION("IMPORTRANGE(""https://docs.google.com/spreadsheets/d/1-uDff_7J0KD5mKrp0Vvzr7lt3OU09vwQwhkpOPPYv2Y/edit?usp=sharing"",""งบพรบ!HS14"")"),0)</f>
        <v>0</v>
      </c>
      <c r="P14" s="475">
        <f t="shared" ca="1" si="29"/>
        <v>0</v>
      </c>
      <c r="Q14" s="260">
        <f t="shared" ca="1" si="30"/>
        <v>0</v>
      </c>
      <c r="R14" s="475">
        <v>0</v>
      </c>
      <c r="S14" s="260">
        <v>0</v>
      </c>
      <c r="T14" s="475">
        <v>0</v>
      </c>
      <c r="U14" s="260">
        <v>0</v>
      </c>
      <c r="V14" s="260">
        <v>0</v>
      </c>
      <c r="W14" s="279">
        <v>0</v>
      </c>
      <c r="X14" s="397">
        <v>0</v>
      </c>
      <c r="Y14" s="216">
        <f t="shared" si="33"/>
        <v>0</v>
      </c>
      <c r="Z14" s="279">
        <v>0</v>
      </c>
      <c r="AA14" s="397">
        <v>0</v>
      </c>
      <c r="AB14" s="216">
        <f t="shared" si="35"/>
        <v>0</v>
      </c>
      <c r="AC14" s="397">
        <v>0</v>
      </c>
      <c r="AD14" s="397">
        <v>0</v>
      </c>
    </row>
    <row r="15" spans="1:30" ht="19.5" x14ac:dyDescent="0.3">
      <c r="A15" s="147">
        <v>2</v>
      </c>
      <c r="B15" s="148" t="s">
        <v>43</v>
      </c>
      <c r="C15" s="472">
        <f t="shared" ca="1" si="23"/>
        <v>0</v>
      </c>
      <c r="D15" s="473">
        <f t="shared" ca="1" si="37"/>
        <v>0</v>
      </c>
      <c r="E15" s="151">
        <f ca="1">IFERROR(__xludf.DUMMYFUNCTION("IMPORTRANGE(""https://docs.google.com/spreadsheets/d/1-uDff_7J0KD5mKrp0Vvzr7lt3OU09vwQwhkpOPPYv2Y/edit?usp=sharing"",""งบพรบ!HL15"")"),0)</f>
        <v>0</v>
      </c>
      <c r="F15" s="151">
        <f ca="1">IFERROR(__xludf.DUMMYFUNCTION("IMPORTRANGE(""https://docs.google.com/spreadsheets/d/1-uDff_7J0KD5mKrp0Vvzr7lt3OU09vwQwhkpOPPYv2Y/edit?usp=sharing"",""งบพรบ!HM15"")"),0)</f>
        <v>0</v>
      </c>
      <c r="G15" s="151">
        <f ca="1">IFERROR(__xludf.DUMMYFUNCTION("IMPORTRANGE(""https://docs.google.com/spreadsheets/d/1-uDff_7J0KD5mKrp0Vvzr7lt3OU09vwQwhkpOPPYv2Y/edit?usp=sharing"",""งบพรบ!HN15"")"),0)</f>
        <v>0</v>
      </c>
      <c r="H15" s="151">
        <f ca="1">IFERROR(__xludf.DUMMYFUNCTION("IMPORTRANGE(""https://docs.google.com/spreadsheets/d/1-uDff_7J0KD5mKrp0Vvzr7lt3OU09vwQwhkpOPPYv2Y/edit?usp=sharing"",""งบพรบ!HP15"")"),0)</f>
        <v>0</v>
      </c>
      <c r="I15" s="151">
        <f ca="1">IFERROR(__xludf.DUMMYFUNCTION("IMPORTRANGE(""https://docs.google.com/spreadsheets/d/1-uDff_7J0KD5mKrp0Vvzr7lt3OU09vwQwhkpOPPYv2Y/edit?usp=sharing"",""งบพรบ!HQ15"")"),0)</f>
        <v>0</v>
      </c>
      <c r="J15" s="262">
        <f t="shared" ca="1" si="25"/>
        <v>0</v>
      </c>
      <c r="K15" s="476">
        <f t="shared" ca="1" si="26"/>
        <v>0</v>
      </c>
      <c r="L15" s="151">
        <f ca="1">IFERROR(__xludf.DUMMYFUNCTION("IMPORTRANGE(""https://docs.google.com/spreadsheets/d/1-uDff_7J0KD5mKrp0Vvzr7lt3OU09vwQwhkpOPPYv2Y/edit?usp=sharing"",""งบพรบ!HR15"")"),0)</f>
        <v>0</v>
      </c>
      <c r="M15" s="260">
        <f t="shared" ca="1" si="27"/>
        <v>0</v>
      </c>
      <c r="N15" s="260">
        <f t="shared" ca="1" si="28"/>
        <v>0</v>
      </c>
      <c r="O15" s="151">
        <f ca="1">IFERROR(__xludf.DUMMYFUNCTION("IMPORTRANGE(""https://docs.google.com/spreadsheets/d/1-uDff_7J0KD5mKrp0Vvzr7lt3OU09vwQwhkpOPPYv2Y/edit?usp=sharing"",""งบพรบ!HS15"")"),0)</f>
        <v>0</v>
      </c>
      <c r="P15" s="475">
        <f t="shared" ca="1" si="29"/>
        <v>0</v>
      </c>
      <c r="Q15" s="260">
        <f t="shared" ca="1" si="30"/>
        <v>0</v>
      </c>
      <c r="R15" s="475">
        <v>0</v>
      </c>
      <c r="S15" s="260">
        <v>0</v>
      </c>
      <c r="T15" s="475">
        <v>0</v>
      </c>
      <c r="U15" s="260">
        <v>0</v>
      </c>
      <c r="V15" s="260">
        <v>0</v>
      </c>
      <c r="W15" s="278">
        <v>0</v>
      </c>
      <c r="X15" s="152">
        <v>0</v>
      </c>
      <c r="Y15" s="216">
        <f t="shared" si="33"/>
        <v>0</v>
      </c>
      <c r="Z15" s="278">
        <v>0</v>
      </c>
      <c r="AA15" s="152">
        <v>0</v>
      </c>
      <c r="AB15" s="216">
        <f t="shared" si="35"/>
        <v>0</v>
      </c>
      <c r="AC15" s="152">
        <v>0</v>
      </c>
      <c r="AD15" s="152">
        <v>0</v>
      </c>
    </row>
    <row r="16" spans="1:30" ht="19.5" x14ac:dyDescent="0.3">
      <c r="A16" s="147">
        <v>3</v>
      </c>
      <c r="B16" s="148" t="s">
        <v>44</v>
      </c>
      <c r="C16" s="472">
        <f t="shared" ca="1" si="23"/>
        <v>10850</v>
      </c>
      <c r="D16" s="473">
        <f t="shared" ca="1" si="37"/>
        <v>10850</v>
      </c>
      <c r="E16" s="151">
        <f ca="1">IFERROR(__xludf.DUMMYFUNCTION("IMPORTRANGE(""https://docs.google.com/spreadsheets/d/1-uDff_7J0KD5mKrp0Vvzr7lt3OU09vwQwhkpOPPYv2Y/edit?usp=sharing"",""งบพรบ!HL16"")"),0)</f>
        <v>0</v>
      </c>
      <c r="F16" s="151">
        <f ca="1">IFERROR(__xludf.DUMMYFUNCTION("IMPORTRANGE(""https://docs.google.com/spreadsheets/d/1-uDff_7J0KD5mKrp0Vvzr7lt3OU09vwQwhkpOPPYv2Y/edit?usp=sharing"",""งบพรบ!HM16"")"),10850)</f>
        <v>10850</v>
      </c>
      <c r="G16" s="151">
        <f ca="1">IFERROR(__xludf.DUMMYFUNCTION("IMPORTRANGE(""https://docs.google.com/spreadsheets/d/1-uDff_7J0KD5mKrp0Vvzr7lt3OU09vwQwhkpOPPYv2Y/edit?usp=sharing"",""งบพรบ!HN16"")"),0)</f>
        <v>0</v>
      </c>
      <c r="H16" s="151">
        <f ca="1">IFERROR(__xludf.DUMMYFUNCTION("IMPORTRANGE(""https://docs.google.com/spreadsheets/d/1-uDff_7J0KD5mKrp0Vvzr7lt3OU09vwQwhkpOPPYv2Y/edit?usp=sharing"",""งบพรบ!HP16"")"),10850)</f>
        <v>10850</v>
      </c>
      <c r="I16" s="151">
        <f ca="1">IFERROR(__xludf.DUMMYFUNCTION("IMPORTRANGE(""https://docs.google.com/spreadsheets/d/1-uDff_7J0KD5mKrp0Vvzr7lt3OU09vwQwhkpOPPYv2Y/edit?usp=sharing"",""งบพรบ!HQ16"")"),0)</f>
        <v>0</v>
      </c>
      <c r="J16" s="262">
        <f t="shared" ca="1" si="25"/>
        <v>5260</v>
      </c>
      <c r="K16" s="476">
        <f t="shared" ca="1" si="26"/>
        <v>48.47926267281106</v>
      </c>
      <c r="L16" s="151">
        <f ca="1">IFERROR(__xludf.DUMMYFUNCTION("IMPORTRANGE(""https://docs.google.com/spreadsheets/d/1-uDff_7J0KD5mKrp0Vvzr7lt3OU09vwQwhkpOPPYv2Y/edit?usp=sharing"",""งบพรบ!HR16"")"),5260)</f>
        <v>5260</v>
      </c>
      <c r="M16" s="260">
        <f t="shared" ca="1" si="27"/>
        <v>48.47926267281106</v>
      </c>
      <c r="N16" s="260">
        <f t="shared" ca="1" si="28"/>
        <v>48.47926267281106</v>
      </c>
      <c r="O16" s="151">
        <f ca="1">IFERROR(__xludf.DUMMYFUNCTION("IMPORTRANGE(""https://docs.google.com/spreadsheets/d/1-uDff_7J0KD5mKrp0Vvzr7lt3OU09vwQwhkpOPPYv2Y/edit?usp=sharing"",""งบพรบ!HS16"")"),0)</f>
        <v>0</v>
      </c>
      <c r="P16" s="475">
        <f t="shared" ca="1" si="29"/>
        <v>0</v>
      </c>
      <c r="Q16" s="260">
        <f t="shared" ca="1" si="30"/>
        <v>0</v>
      </c>
      <c r="R16" s="475">
        <v>0</v>
      </c>
      <c r="S16" s="260">
        <v>0</v>
      </c>
      <c r="T16" s="475">
        <v>0</v>
      </c>
      <c r="U16" s="260">
        <v>0</v>
      </c>
      <c r="V16" s="260">
        <v>0</v>
      </c>
      <c r="W16" s="279">
        <v>0</v>
      </c>
      <c r="X16" s="397">
        <v>0</v>
      </c>
      <c r="Y16" s="216">
        <f t="shared" si="33"/>
        <v>0</v>
      </c>
      <c r="Z16" s="279">
        <v>0</v>
      </c>
      <c r="AA16" s="397">
        <v>0</v>
      </c>
      <c r="AB16" s="216">
        <f t="shared" si="35"/>
        <v>0</v>
      </c>
      <c r="AC16" s="397">
        <v>0</v>
      </c>
      <c r="AD16" s="397">
        <v>0</v>
      </c>
    </row>
    <row r="17" spans="1:30" ht="19.5" x14ac:dyDescent="0.3">
      <c r="A17" s="147">
        <v>4</v>
      </c>
      <c r="B17" s="148" t="s">
        <v>45</v>
      </c>
      <c r="C17" s="472">
        <f t="shared" ca="1" si="23"/>
        <v>8275</v>
      </c>
      <c r="D17" s="473">
        <f t="shared" ca="1" si="37"/>
        <v>8275</v>
      </c>
      <c r="E17" s="151">
        <f ca="1">IFERROR(__xludf.DUMMYFUNCTION("IMPORTRANGE(""https://docs.google.com/spreadsheets/d/1-uDff_7J0KD5mKrp0Vvzr7lt3OU09vwQwhkpOPPYv2Y/edit?usp=sharing"",""งบพรบ!HL17"")"),0)</f>
        <v>0</v>
      </c>
      <c r="F17" s="151">
        <f ca="1">IFERROR(__xludf.DUMMYFUNCTION("IMPORTRANGE(""https://docs.google.com/spreadsheets/d/1-uDff_7J0KD5mKrp0Vvzr7lt3OU09vwQwhkpOPPYv2Y/edit?usp=sharing"",""งบพรบ!HM17"")"),8275)</f>
        <v>8275</v>
      </c>
      <c r="G17" s="151">
        <f ca="1">IFERROR(__xludf.DUMMYFUNCTION("IMPORTRANGE(""https://docs.google.com/spreadsheets/d/1-uDff_7J0KD5mKrp0Vvzr7lt3OU09vwQwhkpOPPYv2Y/edit?usp=sharing"",""งบพรบ!HN17"")"),0)</f>
        <v>0</v>
      </c>
      <c r="H17" s="151">
        <f ca="1">IFERROR(__xludf.DUMMYFUNCTION("IMPORTRANGE(""https://docs.google.com/spreadsheets/d/1-uDff_7J0KD5mKrp0Vvzr7lt3OU09vwQwhkpOPPYv2Y/edit?usp=sharing"",""งบพรบ!HP17"")"),8275)</f>
        <v>8275</v>
      </c>
      <c r="I17" s="151">
        <f ca="1">IFERROR(__xludf.DUMMYFUNCTION("IMPORTRANGE(""https://docs.google.com/spreadsheets/d/1-uDff_7J0KD5mKrp0Vvzr7lt3OU09vwQwhkpOPPYv2Y/edit?usp=sharing"",""งบพรบ!HQ17"")"),0)</f>
        <v>0</v>
      </c>
      <c r="J17" s="262">
        <f t="shared" ca="1" si="25"/>
        <v>3000</v>
      </c>
      <c r="K17" s="476">
        <f t="shared" ca="1" si="26"/>
        <v>36.253776435045317</v>
      </c>
      <c r="L17" s="151">
        <f ca="1">IFERROR(__xludf.DUMMYFUNCTION("IMPORTRANGE(""https://docs.google.com/spreadsheets/d/1-uDff_7J0KD5mKrp0Vvzr7lt3OU09vwQwhkpOPPYv2Y/edit?usp=sharing"",""งบพรบ!HR17"")"),3000)</f>
        <v>3000</v>
      </c>
      <c r="M17" s="260">
        <f t="shared" ca="1" si="27"/>
        <v>36.253776435045317</v>
      </c>
      <c r="N17" s="260">
        <f t="shared" ca="1" si="28"/>
        <v>36.253776435045317</v>
      </c>
      <c r="O17" s="151">
        <f ca="1">IFERROR(__xludf.DUMMYFUNCTION("IMPORTRANGE(""https://docs.google.com/spreadsheets/d/1-uDff_7J0KD5mKrp0Vvzr7lt3OU09vwQwhkpOPPYv2Y/edit?usp=sharing"",""งบพรบ!HS17"")"),0)</f>
        <v>0</v>
      </c>
      <c r="P17" s="475">
        <f t="shared" ca="1" si="29"/>
        <v>0</v>
      </c>
      <c r="Q17" s="260">
        <f t="shared" ca="1" si="30"/>
        <v>0</v>
      </c>
      <c r="R17" s="475">
        <v>0</v>
      </c>
      <c r="S17" s="260">
        <v>0</v>
      </c>
      <c r="T17" s="475">
        <v>0</v>
      </c>
      <c r="U17" s="260">
        <v>0</v>
      </c>
      <c r="V17" s="260">
        <v>0</v>
      </c>
      <c r="W17" s="278">
        <v>0</v>
      </c>
      <c r="X17" s="152">
        <v>0</v>
      </c>
      <c r="Y17" s="216">
        <f t="shared" si="33"/>
        <v>0</v>
      </c>
      <c r="Z17" s="278">
        <v>0</v>
      </c>
      <c r="AA17" s="152">
        <v>0</v>
      </c>
      <c r="AB17" s="216">
        <f t="shared" si="35"/>
        <v>0</v>
      </c>
      <c r="AC17" s="152">
        <v>0</v>
      </c>
      <c r="AD17" s="152">
        <v>0</v>
      </c>
    </row>
    <row r="18" spans="1:30" ht="19.5" x14ac:dyDescent="0.3">
      <c r="A18" s="147">
        <v>5</v>
      </c>
      <c r="B18" s="148" t="s">
        <v>46</v>
      </c>
      <c r="C18" s="472">
        <f t="shared" ca="1" si="23"/>
        <v>0</v>
      </c>
      <c r="D18" s="473">
        <f t="shared" ca="1" si="37"/>
        <v>0</v>
      </c>
      <c r="E18" s="151">
        <f ca="1">IFERROR(__xludf.DUMMYFUNCTION("IMPORTRANGE(""https://docs.google.com/spreadsheets/d/1-uDff_7J0KD5mKrp0Vvzr7lt3OU09vwQwhkpOPPYv2Y/edit?usp=sharing"",""งบพรบ!HL18"")"),0)</f>
        <v>0</v>
      </c>
      <c r="F18" s="151">
        <f ca="1">IFERROR(__xludf.DUMMYFUNCTION("IMPORTRANGE(""https://docs.google.com/spreadsheets/d/1-uDff_7J0KD5mKrp0Vvzr7lt3OU09vwQwhkpOPPYv2Y/edit?usp=sharing"",""งบพรบ!HM18"")"),0)</f>
        <v>0</v>
      </c>
      <c r="G18" s="151">
        <f ca="1">IFERROR(__xludf.DUMMYFUNCTION("IMPORTRANGE(""https://docs.google.com/spreadsheets/d/1-uDff_7J0KD5mKrp0Vvzr7lt3OU09vwQwhkpOPPYv2Y/edit?usp=sharing"",""งบพรบ!HN18"")"),0)</f>
        <v>0</v>
      </c>
      <c r="H18" s="151">
        <f ca="1">IFERROR(__xludf.DUMMYFUNCTION("IMPORTRANGE(""https://docs.google.com/spreadsheets/d/1-uDff_7J0KD5mKrp0Vvzr7lt3OU09vwQwhkpOPPYv2Y/edit?usp=sharing"",""งบพรบ!HP18"")"),0)</f>
        <v>0</v>
      </c>
      <c r="I18" s="151">
        <f ca="1">IFERROR(__xludf.DUMMYFUNCTION("IMPORTRANGE(""https://docs.google.com/spreadsheets/d/1-uDff_7J0KD5mKrp0Vvzr7lt3OU09vwQwhkpOPPYv2Y/edit?usp=sharing"",""งบพรบ!HQ18"")"),0)</f>
        <v>0</v>
      </c>
      <c r="J18" s="262">
        <f t="shared" ca="1" si="25"/>
        <v>0</v>
      </c>
      <c r="K18" s="476">
        <f t="shared" ca="1" si="26"/>
        <v>0</v>
      </c>
      <c r="L18" s="151">
        <f ca="1">IFERROR(__xludf.DUMMYFUNCTION("IMPORTRANGE(""https://docs.google.com/spreadsheets/d/1-uDff_7J0KD5mKrp0Vvzr7lt3OU09vwQwhkpOPPYv2Y/edit?usp=sharing"",""งบพรบ!HR18"")"),0)</f>
        <v>0</v>
      </c>
      <c r="M18" s="260">
        <f t="shared" ca="1" si="27"/>
        <v>0</v>
      </c>
      <c r="N18" s="260">
        <f t="shared" ca="1" si="28"/>
        <v>0</v>
      </c>
      <c r="O18" s="151">
        <f ca="1">IFERROR(__xludf.DUMMYFUNCTION("IMPORTRANGE(""https://docs.google.com/spreadsheets/d/1-uDff_7J0KD5mKrp0Vvzr7lt3OU09vwQwhkpOPPYv2Y/edit?usp=sharing"",""งบพรบ!HS18"")"),0)</f>
        <v>0</v>
      </c>
      <c r="P18" s="475">
        <f t="shared" ca="1" si="29"/>
        <v>0</v>
      </c>
      <c r="Q18" s="260">
        <f t="shared" ca="1" si="30"/>
        <v>0</v>
      </c>
      <c r="R18" s="475">
        <v>0</v>
      </c>
      <c r="S18" s="260">
        <v>0</v>
      </c>
      <c r="T18" s="475">
        <v>0</v>
      </c>
      <c r="U18" s="260">
        <v>0</v>
      </c>
      <c r="V18" s="260">
        <v>0</v>
      </c>
      <c r="W18" s="278">
        <v>0</v>
      </c>
      <c r="X18" s="152">
        <v>0</v>
      </c>
      <c r="Y18" s="216">
        <f t="shared" si="33"/>
        <v>0</v>
      </c>
      <c r="Z18" s="278">
        <v>0</v>
      </c>
      <c r="AA18" s="152">
        <v>0</v>
      </c>
      <c r="AB18" s="216">
        <f t="shared" si="35"/>
        <v>0</v>
      </c>
      <c r="AC18" s="152">
        <v>0</v>
      </c>
      <c r="AD18" s="152">
        <v>0</v>
      </c>
    </row>
    <row r="19" spans="1:30" ht="19.5" x14ac:dyDescent="0.3">
      <c r="A19" s="147">
        <v>6</v>
      </c>
      <c r="B19" s="148" t="s">
        <v>47</v>
      </c>
      <c r="C19" s="472">
        <f t="shared" ca="1" si="23"/>
        <v>10566</v>
      </c>
      <c r="D19" s="473">
        <f t="shared" ca="1" si="37"/>
        <v>10566</v>
      </c>
      <c r="E19" s="151">
        <f ca="1">IFERROR(__xludf.DUMMYFUNCTION("IMPORTRANGE(""https://docs.google.com/spreadsheets/d/1-uDff_7J0KD5mKrp0Vvzr7lt3OU09vwQwhkpOPPYv2Y/edit?usp=sharing"",""งบพรบ!HL19"")"),0)</f>
        <v>0</v>
      </c>
      <c r="F19" s="151">
        <f ca="1">IFERROR(__xludf.DUMMYFUNCTION("IMPORTRANGE(""https://docs.google.com/spreadsheets/d/1-uDff_7J0KD5mKrp0Vvzr7lt3OU09vwQwhkpOPPYv2Y/edit?usp=sharing"",""งบพรบ!HM19"")"),10566)</f>
        <v>10566</v>
      </c>
      <c r="G19" s="151">
        <f ca="1">IFERROR(__xludf.DUMMYFUNCTION("IMPORTRANGE(""https://docs.google.com/spreadsheets/d/1-uDff_7J0KD5mKrp0Vvzr7lt3OU09vwQwhkpOPPYv2Y/edit?usp=sharing"",""งบพรบ!HN19"")"),0)</f>
        <v>0</v>
      </c>
      <c r="H19" s="151">
        <f ca="1">IFERROR(__xludf.DUMMYFUNCTION("IMPORTRANGE(""https://docs.google.com/spreadsheets/d/1-uDff_7J0KD5mKrp0Vvzr7lt3OU09vwQwhkpOPPYv2Y/edit?usp=sharing"",""งบพรบ!HP19"")"),10566)</f>
        <v>10566</v>
      </c>
      <c r="I19" s="151">
        <f ca="1">IFERROR(__xludf.DUMMYFUNCTION("IMPORTRANGE(""https://docs.google.com/spreadsheets/d/1-uDff_7J0KD5mKrp0Vvzr7lt3OU09vwQwhkpOPPYv2Y/edit?usp=sharing"",""งบพรบ!HQ19"")"),0)</f>
        <v>0</v>
      </c>
      <c r="J19" s="262">
        <f t="shared" ca="1" si="25"/>
        <v>1480</v>
      </c>
      <c r="K19" s="476">
        <f t="shared" ca="1" si="26"/>
        <v>14.007192882831724</v>
      </c>
      <c r="L19" s="151">
        <f ca="1">IFERROR(__xludf.DUMMYFUNCTION("IMPORTRANGE(""https://docs.google.com/spreadsheets/d/1-uDff_7J0KD5mKrp0Vvzr7lt3OU09vwQwhkpOPPYv2Y/edit?usp=sharing"",""งบพรบ!HR19"")"),1480)</f>
        <v>1480</v>
      </c>
      <c r="M19" s="260">
        <f t="shared" ca="1" si="27"/>
        <v>14.007192882831724</v>
      </c>
      <c r="N19" s="260">
        <f t="shared" ca="1" si="28"/>
        <v>14.007192882831724</v>
      </c>
      <c r="O19" s="151">
        <f ca="1">IFERROR(__xludf.DUMMYFUNCTION("IMPORTRANGE(""https://docs.google.com/spreadsheets/d/1-uDff_7J0KD5mKrp0Vvzr7lt3OU09vwQwhkpOPPYv2Y/edit?usp=sharing"",""งบพรบ!HS19"")"),0)</f>
        <v>0</v>
      </c>
      <c r="P19" s="475">
        <f t="shared" ca="1" si="29"/>
        <v>0</v>
      </c>
      <c r="Q19" s="260">
        <f t="shared" ca="1" si="30"/>
        <v>0</v>
      </c>
      <c r="R19" s="475">
        <v>0</v>
      </c>
      <c r="S19" s="260">
        <v>0</v>
      </c>
      <c r="T19" s="475">
        <v>0</v>
      </c>
      <c r="U19" s="260">
        <v>0</v>
      </c>
      <c r="V19" s="260">
        <v>0</v>
      </c>
      <c r="W19" s="278">
        <v>0</v>
      </c>
      <c r="X19" s="152">
        <v>0</v>
      </c>
      <c r="Y19" s="216">
        <f t="shared" si="33"/>
        <v>0</v>
      </c>
      <c r="Z19" s="278">
        <v>0</v>
      </c>
      <c r="AA19" s="152">
        <v>0</v>
      </c>
      <c r="AB19" s="216">
        <f t="shared" si="35"/>
        <v>0</v>
      </c>
      <c r="AC19" s="152">
        <v>0</v>
      </c>
      <c r="AD19" s="152">
        <v>0</v>
      </c>
    </row>
    <row r="20" spans="1:30" ht="19.5" x14ac:dyDescent="0.3">
      <c r="A20" s="147">
        <v>7</v>
      </c>
      <c r="B20" s="148" t="s">
        <v>48</v>
      </c>
      <c r="C20" s="472">
        <f t="shared" ca="1" si="23"/>
        <v>0</v>
      </c>
      <c r="D20" s="473">
        <f t="shared" ca="1" si="37"/>
        <v>0</v>
      </c>
      <c r="E20" s="151">
        <f ca="1">IFERROR(__xludf.DUMMYFUNCTION("IMPORTRANGE(""https://docs.google.com/spreadsheets/d/1-uDff_7J0KD5mKrp0Vvzr7lt3OU09vwQwhkpOPPYv2Y/edit?usp=sharing"",""งบพรบ!HL20"")"),0)</f>
        <v>0</v>
      </c>
      <c r="F20" s="151">
        <f ca="1">IFERROR(__xludf.DUMMYFUNCTION("IMPORTRANGE(""https://docs.google.com/spreadsheets/d/1-uDff_7J0KD5mKrp0Vvzr7lt3OU09vwQwhkpOPPYv2Y/edit?usp=sharing"",""งบพรบ!HM20"")"),0)</f>
        <v>0</v>
      </c>
      <c r="G20" s="151">
        <f ca="1">IFERROR(__xludf.DUMMYFUNCTION("IMPORTRANGE(""https://docs.google.com/spreadsheets/d/1-uDff_7J0KD5mKrp0Vvzr7lt3OU09vwQwhkpOPPYv2Y/edit?usp=sharing"",""งบพรบ!HN20"")"),0)</f>
        <v>0</v>
      </c>
      <c r="H20" s="151">
        <f ca="1">IFERROR(__xludf.DUMMYFUNCTION("IMPORTRANGE(""https://docs.google.com/spreadsheets/d/1-uDff_7J0KD5mKrp0Vvzr7lt3OU09vwQwhkpOPPYv2Y/edit?usp=sharing"",""งบพรบ!HP20"")"),0)</f>
        <v>0</v>
      </c>
      <c r="I20" s="151">
        <f ca="1">IFERROR(__xludf.DUMMYFUNCTION("IMPORTRANGE(""https://docs.google.com/spreadsheets/d/1-uDff_7J0KD5mKrp0Vvzr7lt3OU09vwQwhkpOPPYv2Y/edit?usp=sharing"",""งบพรบ!HQ20"")"),0)</f>
        <v>0</v>
      </c>
      <c r="J20" s="262">
        <f t="shared" ca="1" si="25"/>
        <v>0</v>
      </c>
      <c r="K20" s="476">
        <f t="shared" ca="1" si="26"/>
        <v>0</v>
      </c>
      <c r="L20" s="151">
        <f ca="1">IFERROR(__xludf.DUMMYFUNCTION("IMPORTRANGE(""https://docs.google.com/spreadsheets/d/1-uDff_7J0KD5mKrp0Vvzr7lt3OU09vwQwhkpOPPYv2Y/edit?usp=sharing"",""งบพรบ!HR20"")"),0)</f>
        <v>0</v>
      </c>
      <c r="M20" s="260">
        <f t="shared" ca="1" si="27"/>
        <v>0</v>
      </c>
      <c r="N20" s="260">
        <f t="shared" ca="1" si="28"/>
        <v>0</v>
      </c>
      <c r="O20" s="151">
        <f ca="1">IFERROR(__xludf.DUMMYFUNCTION("IMPORTRANGE(""https://docs.google.com/spreadsheets/d/1-uDff_7J0KD5mKrp0Vvzr7lt3OU09vwQwhkpOPPYv2Y/edit?usp=sharing"",""งบพรบ!HS20"")"),0)</f>
        <v>0</v>
      </c>
      <c r="P20" s="475">
        <f t="shared" ca="1" si="29"/>
        <v>0</v>
      </c>
      <c r="Q20" s="260">
        <f t="shared" ca="1" si="30"/>
        <v>0</v>
      </c>
      <c r="R20" s="475">
        <v>0</v>
      </c>
      <c r="S20" s="260">
        <v>0</v>
      </c>
      <c r="T20" s="475">
        <v>0</v>
      </c>
      <c r="U20" s="260">
        <v>0</v>
      </c>
      <c r="V20" s="260">
        <v>0</v>
      </c>
      <c r="W20" s="278">
        <v>0</v>
      </c>
      <c r="X20" s="152">
        <v>0</v>
      </c>
      <c r="Y20" s="216">
        <f t="shared" si="33"/>
        <v>0</v>
      </c>
      <c r="Z20" s="278">
        <v>0</v>
      </c>
      <c r="AA20" s="152">
        <v>0</v>
      </c>
      <c r="AB20" s="216">
        <f t="shared" si="35"/>
        <v>0</v>
      </c>
      <c r="AC20" s="152">
        <v>0</v>
      </c>
      <c r="AD20" s="152">
        <v>0</v>
      </c>
    </row>
    <row r="21" spans="1:30" ht="19.5" x14ac:dyDescent="0.3">
      <c r="A21" s="147">
        <v>8</v>
      </c>
      <c r="B21" s="148" t="s">
        <v>49</v>
      </c>
      <c r="C21" s="472">
        <f t="shared" ca="1" si="23"/>
        <v>0</v>
      </c>
      <c r="D21" s="473">
        <f t="shared" ca="1" si="37"/>
        <v>0</v>
      </c>
      <c r="E21" s="151">
        <f ca="1">IFERROR(__xludf.DUMMYFUNCTION("IMPORTRANGE(""https://docs.google.com/spreadsheets/d/1-uDff_7J0KD5mKrp0Vvzr7lt3OU09vwQwhkpOPPYv2Y/edit?usp=sharing"",""งบพรบ!HL21"")"),0)</f>
        <v>0</v>
      </c>
      <c r="F21" s="151">
        <f ca="1">IFERROR(__xludf.DUMMYFUNCTION("IMPORTRANGE(""https://docs.google.com/spreadsheets/d/1-uDff_7J0KD5mKrp0Vvzr7lt3OU09vwQwhkpOPPYv2Y/edit?usp=sharing"",""งบพรบ!HM21"")"),0)</f>
        <v>0</v>
      </c>
      <c r="G21" s="151">
        <f ca="1">IFERROR(__xludf.DUMMYFUNCTION("IMPORTRANGE(""https://docs.google.com/spreadsheets/d/1-uDff_7J0KD5mKrp0Vvzr7lt3OU09vwQwhkpOPPYv2Y/edit?usp=sharing"",""งบพรบ!HN21"")"),0)</f>
        <v>0</v>
      </c>
      <c r="H21" s="151">
        <f ca="1">IFERROR(__xludf.DUMMYFUNCTION("IMPORTRANGE(""https://docs.google.com/spreadsheets/d/1-uDff_7J0KD5mKrp0Vvzr7lt3OU09vwQwhkpOPPYv2Y/edit?usp=sharing"",""งบพรบ!HP21"")"),0)</f>
        <v>0</v>
      </c>
      <c r="I21" s="151">
        <f ca="1">IFERROR(__xludf.DUMMYFUNCTION("IMPORTRANGE(""https://docs.google.com/spreadsheets/d/1-uDff_7J0KD5mKrp0Vvzr7lt3OU09vwQwhkpOPPYv2Y/edit?usp=sharing"",""งบพรบ!HQ21"")"),0)</f>
        <v>0</v>
      </c>
      <c r="J21" s="262">
        <f t="shared" ca="1" si="25"/>
        <v>0</v>
      </c>
      <c r="K21" s="476">
        <f t="shared" ca="1" si="26"/>
        <v>0</v>
      </c>
      <c r="L21" s="151">
        <f ca="1">IFERROR(__xludf.DUMMYFUNCTION("IMPORTRANGE(""https://docs.google.com/spreadsheets/d/1-uDff_7J0KD5mKrp0Vvzr7lt3OU09vwQwhkpOPPYv2Y/edit?usp=sharing"",""งบพรบ!HR21"")"),0)</f>
        <v>0</v>
      </c>
      <c r="M21" s="260">
        <f t="shared" ca="1" si="27"/>
        <v>0</v>
      </c>
      <c r="N21" s="260">
        <f t="shared" ca="1" si="28"/>
        <v>0</v>
      </c>
      <c r="O21" s="151">
        <f ca="1">IFERROR(__xludf.DUMMYFUNCTION("IMPORTRANGE(""https://docs.google.com/spreadsheets/d/1-uDff_7J0KD5mKrp0Vvzr7lt3OU09vwQwhkpOPPYv2Y/edit?usp=sharing"",""งบพรบ!HS21"")"),0)</f>
        <v>0</v>
      </c>
      <c r="P21" s="475">
        <f t="shared" ca="1" si="29"/>
        <v>0</v>
      </c>
      <c r="Q21" s="260">
        <f t="shared" ca="1" si="30"/>
        <v>0</v>
      </c>
      <c r="R21" s="475">
        <v>0</v>
      </c>
      <c r="S21" s="260">
        <v>0</v>
      </c>
      <c r="T21" s="475">
        <v>0</v>
      </c>
      <c r="U21" s="260">
        <v>0</v>
      </c>
      <c r="V21" s="260">
        <v>0</v>
      </c>
      <c r="W21" s="278">
        <v>0</v>
      </c>
      <c r="X21" s="152">
        <v>0</v>
      </c>
      <c r="Y21" s="216">
        <f t="shared" si="33"/>
        <v>0</v>
      </c>
      <c r="Z21" s="278">
        <v>0</v>
      </c>
      <c r="AA21" s="152">
        <v>0</v>
      </c>
      <c r="AB21" s="216">
        <f t="shared" si="35"/>
        <v>0</v>
      </c>
      <c r="AC21" s="152">
        <v>0</v>
      </c>
      <c r="AD21" s="152">
        <v>0</v>
      </c>
    </row>
    <row r="22" spans="1:30" ht="19.5" x14ac:dyDescent="0.3">
      <c r="A22" s="147">
        <v>9</v>
      </c>
      <c r="B22" s="148" t="s">
        <v>50</v>
      </c>
      <c r="C22" s="472">
        <f t="shared" ca="1" si="23"/>
        <v>0</v>
      </c>
      <c r="D22" s="473">
        <f t="shared" ca="1" si="37"/>
        <v>0</v>
      </c>
      <c r="E22" s="151">
        <f ca="1">IFERROR(__xludf.DUMMYFUNCTION("IMPORTRANGE(""https://docs.google.com/spreadsheets/d/1-uDff_7J0KD5mKrp0Vvzr7lt3OU09vwQwhkpOPPYv2Y/edit?usp=sharing"",""งบพรบ!HL22"")"),0)</f>
        <v>0</v>
      </c>
      <c r="F22" s="151">
        <f ca="1">IFERROR(__xludf.DUMMYFUNCTION("IMPORTRANGE(""https://docs.google.com/spreadsheets/d/1-uDff_7J0KD5mKrp0Vvzr7lt3OU09vwQwhkpOPPYv2Y/edit?usp=sharing"",""งบพรบ!HM22"")"),0)</f>
        <v>0</v>
      </c>
      <c r="G22" s="151">
        <f ca="1">IFERROR(__xludf.DUMMYFUNCTION("IMPORTRANGE(""https://docs.google.com/spreadsheets/d/1-uDff_7J0KD5mKrp0Vvzr7lt3OU09vwQwhkpOPPYv2Y/edit?usp=sharing"",""งบพรบ!HN22"")"),0)</f>
        <v>0</v>
      </c>
      <c r="H22" s="151">
        <f ca="1">IFERROR(__xludf.DUMMYFUNCTION("IMPORTRANGE(""https://docs.google.com/spreadsheets/d/1-uDff_7J0KD5mKrp0Vvzr7lt3OU09vwQwhkpOPPYv2Y/edit?usp=sharing"",""งบพรบ!HP22"")"),0)</f>
        <v>0</v>
      </c>
      <c r="I22" s="151">
        <f ca="1">IFERROR(__xludf.DUMMYFUNCTION("IMPORTRANGE(""https://docs.google.com/spreadsheets/d/1-uDff_7J0KD5mKrp0Vvzr7lt3OU09vwQwhkpOPPYv2Y/edit?usp=sharing"",""งบพรบ!HQ22"")"),0)</f>
        <v>0</v>
      </c>
      <c r="J22" s="262">
        <f t="shared" ca="1" si="25"/>
        <v>0</v>
      </c>
      <c r="K22" s="476">
        <f t="shared" ca="1" si="26"/>
        <v>0</v>
      </c>
      <c r="L22" s="151">
        <f ca="1">IFERROR(__xludf.DUMMYFUNCTION("IMPORTRANGE(""https://docs.google.com/spreadsheets/d/1-uDff_7J0KD5mKrp0Vvzr7lt3OU09vwQwhkpOPPYv2Y/edit?usp=sharing"",""งบพรบ!HR22"")"),0)</f>
        <v>0</v>
      </c>
      <c r="M22" s="260">
        <f t="shared" ca="1" si="27"/>
        <v>0</v>
      </c>
      <c r="N22" s="260">
        <f t="shared" ca="1" si="28"/>
        <v>0</v>
      </c>
      <c r="O22" s="151">
        <f ca="1">IFERROR(__xludf.DUMMYFUNCTION("IMPORTRANGE(""https://docs.google.com/spreadsheets/d/1-uDff_7J0KD5mKrp0Vvzr7lt3OU09vwQwhkpOPPYv2Y/edit?usp=sharing"",""งบพรบ!HS22"")"),0)</f>
        <v>0</v>
      </c>
      <c r="P22" s="475">
        <f t="shared" ca="1" si="29"/>
        <v>0</v>
      </c>
      <c r="Q22" s="260">
        <f t="shared" ca="1" si="30"/>
        <v>0</v>
      </c>
      <c r="R22" s="475">
        <v>0</v>
      </c>
      <c r="S22" s="260">
        <v>0</v>
      </c>
      <c r="T22" s="475">
        <v>0</v>
      </c>
      <c r="U22" s="260">
        <v>0</v>
      </c>
      <c r="V22" s="260">
        <v>0</v>
      </c>
      <c r="W22" s="278">
        <v>0</v>
      </c>
      <c r="X22" s="152">
        <v>0</v>
      </c>
      <c r="Y22" s="216">
        <f t="shared" si="33"/>
        <v>0</v>
      </c>
      <c r="Z22" s="278">
        <v>0</v>
      </c>
      <c r="AA22" s="152">
        <v>0</v>
      </c>
      <c r="AB22" s="216">
        <f t="shared" si="35"/>
        <v>0</v>
      </c>
      <c r="AC22" s="152">
        <v>0</v>
      </c>
      <c r="AD22" s="152">
        <v>0</v>
      </c>
    </row>
    <row r="23" spans="1:30" ht="19.5" x14ac:dyDescent="0.3">
      <c r="A23" s="147">
        <v>10</v>
      </c>
      <c r="B23" s="148" t="s">
        <v>51</v>
      </c>
      <c r="C23" s="472">
        <f t="shared" ca="1" si="23"/>
        <v>7806</v>
      </c>
      <c r="D23" s="473">
        <f t="shared" ca="1" si="37"/>
        <v>7806</v>
      </c>
      <c r="E23" s="151">
        <f ca="1">IFERROR(__xludf.DUMMYFUNCTION("IMPORTRANGE(""https://docs.google.com/spreadsheets/d/1-uDff_7J0KD5mKrp0Vvzr7lt3OU09vwQwhkpOPPYv2Y/edit?usp=sharing"",""งบพรบ!HL23"")"),0)</f>
        <v>0</v>
      </c>
      <c r="F23" s="151">
        <f ca="1">IFERROR(__xludf.DUMMYFUNCTION("IMPORTRANGE(""https://docs.google.com/spreadsheets/d/1-uDff_7J0KD5mKrp0Vvzr7lt3OU09vwQwhkpOPPYv2Y/edit?usp=sharing"",""งบพรบ!HM23"")"),7806)</f>
        <v>7806</v>
      </c>
      <c r="G23" s="151">
        <f ca="1">IFERROR(__xludf.DUMMYFUNCTION("IMPORTRANGE(""https://docs.google.com/spreadsheets/d/1-uDff_7J0KD5mKrp0Vvzr7lt3OU09vwQwhkpOPPYv2Y/edit?usp=sharing"",""งบพรบ!HN23"")"),0)</f>
        <v>0</v>
      </c>
      <c r="H23" s="151">
        <f ca="1">IFERROR(__xludf.DUMMYFUNCTION("IMPORTRANGE(""https://docs.google.com/spreadsheets/d/1-uDff_7J0KD5mKrp0Vvzr7lt3OU09vwQwhkpOPPYv2Y/edit?usp=sharing"",""งบพรบ!HP23"")"),7806)</f>
        <v>7806</v>
      </c>
      <c r="I23" s="151">
        <f ca="1">IFERROR(__xludf.DUMMYFUNCTION("IMPORTRANGE(""https://docs.google.com/spreadsheets/d/1-uDff_7J0KD5mKrp0Vvzr7lt3OU09vwQwhkpOPPYv2Y/edit?usp=sharing"",""งบพรบ!HQ23"")"),0)</f>
        <v>0</v>
      </c>
      <c r="J23" s="262">
        <f t="shared" ca="1" si="25"/>
        <v>1850</v>
      </c>
      <c r="K23" s="476">
        <f t="shared" ca="1" si="26"/>
        <v>23.699718165513708</v>
      </c>
      <c r="L23" s="151">
        <f ca="1">IFERROR(__xludf.DUMMYFUNCTION("IMPORTRANGE(""https://docs.google.com/spreadsheets/d/1-uDff_7J0KD5mKrp0Vvzr7lt3OU09vwQwhkpOPPYv2Y/edit?usp=sharing"",""งบพรบ!HR23"")"),1850)</f>
        <v>1850</v>
      </c>
      <c r="M23" s="260">
        <f t="shared" ca="1" si="27"/>
        <v>23.699718165513708</v>
      </c>
      <c r="N23" s="260">
        <f t="shared" ca="1" si="28"/>
        <v>23.699718165513708</v>
      </c>
      <c r="O23" s="151">
        <f ca="1">IFERROR(__xludf.DUMMYFUNCTION("IMPORTRANGE(""https://docs.google.com/spreadsheets/d/1-uDff_7J0KD5mKrp0Vvzr7lt3OU09vwQwhkpOPPYv2Y/edit?usp=sharing"",""งบพรบ!HS23"")"),0)</f>
        <v>0</v>
      </c>
      <c r="P23" s="475">
        <f t="shared" ca="1" si="29"/>
        <v>0</v>
      </c>
      <c r="Q23" s="260">
        <f t="shared" ca="1" si="30"/>
        <v>0</v>
      </c>
      <c r="R23" s="475">
        <v>0</v>
      </c>
      <c r="S23" s="260">
        <v>0</v>
      </c>
      <c r="T23" s="475">
        <v>0</v>
      </c>
      <c r="U23" s="260">
        <v>0</v>
      </c>
      <c r="V23" s="260">
        <v>0</v>
      </c>
      <c r="W23" s="279">
        <v>0</v>
      </c>
      <c r="X23" s="397">
        <v>0</v>
      </c>
      <c r="Y23" s="216">
        <f t="shared" si="33"/>
        <v>0</v>
      </c>
      <c r="Z23" s="279">
        <v>0</v>
      </c>
      <c r="AA23" s="397">
        <v>0</v>
      </c>
      <c r="AB23" s="216">
        <f t="shared" si="35"/>
        <v>0</v>
      </c>
      <c r="AC23" s="397">
        <v>0</v>
      </c>
      <c r="AD23" s="397">
        <v>0</v>
      </c>
    </row>
    <row r="24" spans="1:30" ht="19.5" x14ac:dyDescent="0.3">
      <c r="A24" s="147">
        <v>11</v>
      </c>
      <c r="B24" s="148" t="s">
        <v>52</v>
      </c>
      <c r="C24" s="472">
        <f t="shared" ca="1" si="23"/>
        <v>9480</v>
      </c>
      <c r="D24" s="473">
        <f t="shared" ca="1" si="37"/>
        <v>9480</v>
      </c>
      <c r="E24" s="151">
        <f ca="1">IFERROR(__xludf.DUMMYFUNCTION("IMPORTRANGE(""https://docs.google.com/spreadsheets/d/1-uDff_7J0KD5mKrp0Vvzr7lt3OU09vwQwhkpOPPYv2Y/edit?usp=sharing"",""งบพรบ!HL24"")"),0)</f>
        <v>0</v>
      </c>
      <c r="F24" s="151">
        <f ca="1">IFERROR(__xludf.DUMMYFUNCTION("IMPORTRANGE(""https://docs.google.com/spreadsheets/d/1-uDff_7J0KD5mKrp0Vvzr7lt3OU09vwQwhkpOPPYv2Y/edit?usp=sharing"",""งบพรบ!HM24"")"),9480)</f>
        <v>9480</v>
      </c>
      <c r="G24" s="151">
        <f ca="1">IFERROR(__xludf.DUMMYFUNCTION("IMPORTRANGE(""https://docs.google.com/spreadsheets/d/1-uDff_7J0KD5mKrp0Vvzr7lt3OU09vwQwhkpOPPYv2Y/edit?usp=sharing"",""งบพรบ!HN24"")"),0)</f>
        <v>0</v>
      </c>
      <c r="H24" s="151">
        <f ca="1">IFERROR(__xludf.DUMMYFUNCTION("IMPORTRANGE(""https://docs.google.com/spreadsheets/d/1-uDff_7J0KD5mKrp0Vvzr7lt3OU09vwQwhkpOPPYv2Y/edit?usp=sharing"",""งบพรบ!HP24"")"),9480)</f>
        <v>9480</v>
      </c>
      <c r="I24" s="151">
        <f ca="1">IFERROR(__xludf.DUMMYFUNCTION("IMPORTRANGE(""https://docs.google.com/spreadsheets/d/1-uDff_7J0KD5mKrp0Vvzr7lt3OU09vwQwhkpOPPYv2Y/edit?usp=sharing"",""งบพรบ!HQ24"")"),0)</f>
        <v>0</v>
      </c>
      <c r="J24" s="262">
        <f t="shared" ca="1" si="25"/>
        <v>1360</v>
      </c>
      <c r="K24" s="476">
        <f t="shared" ca="1" si="26"/>
        <v>14.345991561181435</v>
      </c>
      <c r="L24" s="151">
        <f ca="1">IFERROR(__xludf.DUMMYFUNCTION("IMPORTRANGE(""https://docs.google.com/spreadsheets/d/1-uDff_7J0KD5mKrp0Vvzr7lt3OU09vwQwhkpOPPYv2Y/edit?usp=sharing"",""งบพรบ!HR24"")"),1360)</f>
        <v>1360</v>
      </c>
      <c r="M24" s="260">
        <f t="shared" ca="1" si="27"/>
        <v>14.345991561181435</v>
      </c>
      <c r="N24" s="260">
        <f t="shared" ca="1" si="28"/>
        <v>14.345991561181435</v>
      </c>
      <c r="O24" s="151">
        <f ca="1">IFERROR(__xludf.DUMMYFUNCTION("IMPORTRANGE(""https://docs.google.com/spreadsheets/d/1-uDff_7J0KD5mKrp0Vvzr7lt3OU09vwQwhkpOPPYv2Y/edit?usp=sharing"",""งบพรบ!HS24"")"),0)</f>
        <v>0</v>
      </c>
      <c r="P24" s="475">
        <f t="shared" ca="1" si="29"/>
        <v>0</v>
      </c>
      <c r="Q24" s="260">
        <f t="shared" ca="1" si="30"/>
        <v>0</v>
      </c>
      <c r="R24" s="475">
        <v>0</v>
      </c>
      <c r="S24" s="260">
        <v>0</v>
      </c>
      <c r="T24" s="475">
        <v>0</v>
      </c>
      <c r="U24" s="260">
        <v>0</v>
      </c>
      <c r="V24" s="260">
        <v>0</v>
      </c>
      <c r="W24" s="278">
        <v>0</v>
      </c>
      <c r="X24" s="152">
        <v>0</v>
      </c>
      <c r="Y24" s="216">
        <f t="shared" si="33"/>
        <v>0</v>
      </c>
      <c r="Z24" s="278">
        <v>0</v>
      </c>
      <c r="AA24" s="152">
        <v>0</v>
      </c>
      <c r="AB24" s="216">
        <f t="shared" si="35"/>
        <v>0</v>
      </c>
      <c r="AC24" s="152">
        <v>0</v>
      </c>
      <c r="AD24" s="152">
        <v>0</v>
      </c>
    </row>
    <row r="25" spans="1:30" ht="19.5" x14ac:dyDescent="0.3">
      <c r="A25" s="147">
        <v>12</v>
      </c>
      <c r="B25" s="148" t="s">
        <v>53</v>
      </c>
      <c r="C25" s="472">
        <f t="shared" ca="1" si="23"/>
        <v>12967</v>
      </c>
      <c r="D25" s="473">
        <f t="shared" ca="1" si="37"/>
        <v>12967</v>
      </c>
      <c r="E25" s="151">
        <f ca="1">IFERROR(__xludf.DUMMYFUNCTION("IMPORTRANGE(""https://docs.google.com/spreadsheets/d/1-uDff_7J0KD5mKrp0Vvzr7lt3OU09vwQwhkpOPPYv2Y/edit?usp=sharing"",""งบพรบ!HL25"")"),0)</f>
        <v>0</v>
      </c>
      <c r="F25" s="151">
        <f ca="1">IFERROR(__xludf.DUMMYFUNCTION("IMPORTRANGE(""https://docs.google.com/spreadsheets/d/1-uDff_7J0KD5mKrp0Vvzr7lt3OU09vwQwhkpOPPYv2Y/edit?usp=sharing"",""งบพรบ!HM25"")"),12967)</f>
        <v>12967</v>
      </c>
      <c r="G25" s="151">
        <f ca="1">IFERROR(__xludf.DUMMYFUNCTION("IMPORTRANGE(""https://docs.google.com/spreadsheets/d/1-uDff_7J0KD5mKrp0Vvzr7lt3OU09vwQwhkpOPPYv2Y/edit?usp=sharing"",""งบพรบ!HN25"")"),0)</f>
        <v>0</v>
      </c>
      <c r="H25" s="151">
        <f ca="1">IFERROR(__xludf.DUMMYFUNCTION("IMPORTRANGE(""https://docs.google.com/spreadsheets/d/1-uDff_7J0KD5mKrp0Vvzr7lt3OU09vwQwhkpOPPYv2Y/edit?usp=sharing"",""งบพรบ!HP25"")"),12967)</f>
        <v>12967</v>
      </c>
      <c r="I25" s="151">
        <f ca="1">IFERROR(__xludf.DUMMYFUNCTION("IMPORTRANGE(""https://docs.google.com/spreadsheets/d/1-uDff_7J0KD5mKrp0Vvzr7lt3OU09vwQwhkpOPPYv2Y/edit?usp=sharing"",""งบพรบ!HQ25"")"),0)</f>
        <v>0</v>
      </c>
      <c r="J25" s="262">
        <f t="shared" ca="1" si="25"/>
        <v>8367</v>
      </c>
      <c r="K25" s="476">
        <f t="shared" ca="1" si="26"/>
        <v>64.525333538983574</v>
      </c>
      <c r="L25" s="151">
        <f ca="1">IFERROR(__xludf.DUMMYFUNCTION("IMPORTRANGE(""https://docs.google.com/spreadsheets/d/1-uDff_7J0KD5mKrp0Vvzr7lt3OU09vwQwhkpOPPYv2Y/edit?usp=sharing"",""งบพรบ!HR25"")"),8367)</f>
        <v>8367</v>
      </c>
      <c r="M25" s="260">
        <f t="shared" ca="1" si="27"/>
        <v>64.525333538983574</v>
      </c>
      <c r="N25" s="260">
        <f t="shared" ca="1" si="28"/>
        <v>64.525333538983574</v>
      </c>
      <c r="O25" s="151">
        <f ca="1">IFERROR(__xludf.DUMMYFUNCTION("IMPORTRANGE(""https://docs.google.com/spreadsheets/d/1-uDff_7J0KD5mKrp0Vvzr7lt3OU09vwQwhkpOPPYv2Y/edit?usp=sharing"",""งบพรบ!HS25"")"),0)</f>
        <v>0</v>
      </c>
      <c r="P25" s="475">
        <f t="shared" ca="1" si="29"/>
        <v>0</v>
      </c>
      <c r="Q25" s="260">
        <f t="shared" ca="1" si="30"/>
        <v>0</v>
      </c>
      <c r="R25" s="475">
        <v>0</v>
      </c>
      <c r="S25" s="260">
        <v>0</v>
      </c>
      <c r="T25" s="475">
        <v>0</v>
      </c>
      <c r="U25" s="260">
        <v>0</v>
      </c>
      <c r="V25" s="260">
        <v>0</v>
      </c>
      <c r="W25" s="278">
        <v>0</v>
      </c>
      <c r="X25" s="152">
        <v>0</v>
      </c>
      <c r="Y25" s="216">
        <f t="shared" si="33"/>
        <v>0</v>
      </c>
      <c r="Z25" s="278">
        <v>0</v>
      </c>
      <c r="AA25" s="152">
        <v>0</v>
      </c>
      <c r="AB25" s="216">
        <f t="shared" si="35"/>
        <v>0</v>
      </c>
      <c r="AC25" s="152">
        <v>0</v>
      </c>
      <c r="AD25" s="152">
        <v>0</v>
      </c>
    </row>
    <row r="26" spans="1:30" ht="19.5" x14ac:dyDescent="0.3">
      <c r="A26" s="147">
        <v>13</v>
      </c>
      <c r="B26" s="148" t="s">
        <v>54</v>
      </c>
      <c r="C26" s="472">
        <f t="shared" ca="1" si="23"/>
        <v>9996</v>
      </c>
      <c r="D26" s="473">
        <f t="shared" ca="1" si="37"/>
        <v>9996</v>
      </c>
      <c r="E26" s="151">
        <f ca="1">IFERROR(__xludf.DUMMYFUNCTION("IMPORTRANGE(""https://docs.google.com/spreadsheets/d/1-uDff_7J0KD5mKrp0Vvzr7lt3OU09vwQwhkpOPPYv2Y/edit?usp=sharing"",""งบพรบ!HL26"")"),0)</f>
        <v>0</v>
      </c>
      <c r="F26" s="151">
        <f ca="1">IFERROR(__xludf.DUMMYFUNCTION("IMPORTRANGE(""https://docs.google.com/spreadsheets/d/1-uDff_7J0KD5mKrp0Vvzr7lt3OU09vwQwhkpOPPYv2Y/edit?usp=sharing"",""งบพรบ!HM26"")"),9996)</f>
        <v>9996</v>
      </c>
      <c r="G26" s="151">
        <f ca="1">IFERROR(__xludf.DUMMYFUNCTION("IMPORTRANGE(""https://docs.google.com/spreadsheets/d/1-uDff_7J0KD5mKrp0Vvzr7lt3OU09vwQwhkpOPPYv2Y/edit?usp=sharing"",""งบพรบ!HN26"")"),0)</f>
        <v>0</v>
      </c>
      <c r="H26" s="151">
        <f ca="1">IFERROR(__xludf.DUMMYFUNCTION("IMPORTRANGE(""https://docs.google.com/spreadsheets/d/1-uDff_7J0KD5mKrp0Vvzr7lt3OU09vwQwhkpOPPYv2Y/edit?usp=sharing"",""งบพรบ!HP26"")"),9996)</f>
        <v>9996</v>
      </c>
      <c r="I26" s="151">
        <f ca="1">IFERROR(__xludf.DUMMYFUNCTION("IMPORTRANGE(""https://docs.google.com/spreadsheets/d/1-uDff_7J0KD5mKrp0Vvzr7lt3OU09vwQwhkpOPPYv2Y/edit?usp=sharing"",""งบพรบ!HQ26"")"),0)</f>
        <v>0</v>
      </c>
      <c r="J26" s="262">
        <f t="shared" ca="1" si="25"/>
        <v>1890</v>
      </c>
      <c r="K26" s="476">
        <f t="shared" ca="1" si="26"/>
        <v>18.907563025210084</v>
      </c>
      <c r="L26" s="151">
        <f ca="1">IFERROR(__xludf.DUMMYFUNCTION("IMPORTRANGE(""https://docs.google.com/spreadsheets/d/1-uDff_7J0KD5mKrp0Vvzr7lt3OU09vwQwhkpOPPYv2Y/edit?usp=sharing"",""งบพรบ!HR26"")"),1890)</f>
        <v>1890</v>
      </c>
      <c r="M26" s="260">
        <f t="shared" ca="1" si="27"/>
        <v>18.907563025210084</v>
      </c>
      <c r="N26" s="260">
        <f t="shared" ca="1" si="28"/>
        <v>18.907563025210084</v>
      </c>
      <c r="O26" s="151">
        <f ca="1">IFERROR(__xludf.DUMMYFUNCTION("IMPORTRANGE(""https://docs.google.com/spreadsheets/d/1-uDff_7J0KD5mKrp0Vvzr7lt3OU09vwQwhkpOPPYv2Y/edit?usp=sharing"",""งบพรบ!HS26"")"),0)</f>
        <v>0</v>
      </c>
      <c r="P26" s="475">
        <f t="shared" ca="1" si="29"/>
        <v>0</v>
      </c>
      <c r="Q26" s="260">
        <f t="shared" ca="1" si="30"/>
        <v>0</v>
      </c>
      <c r="R26" s="475">
        <v>0</v>
      </c>
      <c r="S26" s="260">
        <v>0</v>
      </c>
      <c r="T26" s="475">
        <v>0</v>
      </c>
      <c r="U26" s="260">
        <v>0</v>
      </c>
      <c r="V26" s="260">
        <v>0</v>
      </c>
      <c r="W26" s="279">
        <v>0</v>
      </c>
      <c r="X26" s="397">
        <v>0</v>
      </c>
      <c r="Y26" s="216">
        <f t="shared" si="33"/>
        <v>0</v>
      </c>
      <c r="Z26" s="279">
        <v>0</v>
      </c>
      <c r="AA26" s="397">
        <v>0</v>
      </c>
      <c r="AB26" s="216">
        <f t="shared" si="35"/>
        <v>0</v>
      </c>
      <c r="AC26" s="397">
        <v>0</v>
      </c>
      <c r="AD26" s="397">
        <v>0</v>
      </c>
    </row>
    <row r="27" spans="1:30" ht="19.5" x14ac:dyDescent="0.3">
      <c r="A27" s="147">
        <v>14</v>
      </c>
      <c r="B27" s="148" t="s">
        <v>55</v>
      </c>
      <c r="C27" s="472">
        <f t="shared" ca="1" si="23"/>
        <v>10557</v>
      </c>
      <c r="D27" s="473">
        <f t="shared" ca="1" si="37"/>
        <v>10557</v>
      </c>
      <c r="E27" s="151">
        <f ca="1">IFERROR(__xludf.DUMMYFUNCTION("IMPORTRANGE(""https://docs.google.com/spreadsheets/d/1-uDff_7J0KD5mKrp0Vvzr7lt3OU09vwQwhkpOPPYv2Y/edit?usp=sharing"",""งบพรบ!HL27"")"),0)</f>
        <v>0</v>
      </c>
      <c r="F27" s="151">
        <f ca="1">IFERROR(__xludf.DUMMYFUNCTION("IMPORTRANGE(""https://docs.google.com/spreadsheets/d/1-uDff_7J0KD5mKrp0Vvzr7lt3OU09vwQwhkpOPPYv2Y/edit?usp=sharing"",""งบพรบ!HM27"")"),10557)</f>
        <v>10557</v>
      </c>
      <c r="G27" s="151">
        <f ca="1">IFERROR(__xludf.DUMMYFUNCTION("IMPORTRANGE(""https://docs.google.com/spreadsheets/d/1-uDff_7J0KD5mKrp0Vvzr7lt3OU09vwQwhkpOPPYv2Y/edit?usp=sharing"",""งบพรบ!HN27"")"),0)</f>
        <v>0</v>
      </c>
      <c r="H27" s="151">
        <f ca="1">IFERROR(__xludf.DUMMYFUNCTION("IMPORTRANGE(""https://docs.google.com/spreadsheets/d/1-uDff_7J0KD5mKrp0Vvzr7lt3OU09vwQwhkpOPPYv2Y/edit?usp=sharing"",""งบพรบ!HP27"")"),10557)</f>
        <v>10557</v>
      </c>
      <c r="I27" s="151">
        <f ca="1">IFERROR(__xludf.DUMMYFUNCTION("IMPORTRANGE(""https://docs.google.com/spreadsheets/d/1-uDff_7J0KD5mKrp0Vvzr7lt3OU09vwQwhkpOPPYv2Y/edit?usp=sharing"",""งบพรบ!HQ27"")"),0)</f>
        <v>0</v>
      </c>
      <c r="J27" s="262">
        <f t="shared" ca="1" si="25"/>
        <v>6580</v>
      </c>
      <c r="K27" s="476">
        <f t="shared" ca="1" si="26"/>
        <v>62.328312967699155</v>
      </c>
      <c r="L27" s="151">
        <f ca="1">IFERROR(__xludf.DUMMYFUNCTION("IMPORTRANGE(""https://docs.google.com/spreadsheets/d/1-uDff_7J0KD5mKrp0Vvzr7lt3OU09vwQwhkpOPPYv2Y/edit?usp=sharing"",""งบพรบ!HR27"")"),6580)</f>
        <v>6580</v>
      </c>
      <c r="M27" s="260">
        <f t="shared" ca="1" si="27"/>
        <v>62.328312967699155</v>
      </c>
      <c r="N27" s="260">
        <f t="shared" ca="1" si="28"/>
        <v>62.328312967699155</v>
      </c>
      <c r="O27" s="151">
        <f ca="1">IFERROR(__xludf.DUMMYFUNCTION("IMPORTRANGE(""https://docs.google.com/spreadsheets/d/1-uDff_7J0KD5mKrp0Vvzr7lt3OU09vwQwhkpOPPYv2Y/edit?usp=sharing"",""งบพรบ!HS27"")"),0)</f>
        <v>0</v>
      </c>
      <c r="P27" s="475">
        <f t="shared" ca="1" si="29"/>
        <v>0</v>
      </c>
      <c r="Q27" s="260">
        <f t="shared" ca="1" si="30"/>
        <v>0</v>
      </c>
      <c r="R27" s="475">
        <v>0</v>
      </c>
      <c r="S27" s="260">
        <v>0</v>
      </c>
      <c r="T27" s="475">
        <v>0</v>
      </c>
      <c r="U27" s="260">
        <v>0</v>
      </c>
      <c r="V27" s="260">
        <v>0</v>
      </c>
      <c r="W27" s="278">
        <v>0</v>
      </c>
      <c r="X27" s="152">
        <v>0</v>
      </c>
      <c r="Y27" s="216">
        <f t="shared" si="33"/>
        <v>0</v>
      </c>
      <c r="Z27" s="278">
        <v>0</v>
      </c>
      <c r="AA27" s="152">
        <v>0</v>
      </c>
      <c r="AB27" s="216">
        <f t="shared" si="35"/>
        <v>0</v>
      </c>
      <c r="AC27" s="152">
        <v>0</v>
      </c>
      <c r="AD27" s="152">
        <v>0</v>
      </c>
    </row>
    <row r="28" spans="1:30" ht="19.5" x14ac:dyDescent="0.3">
      <c r="A28" s="147">
        <v>15</v>
      </c>
      <c r="B28" s="148" t="s">
        <v>56</v>
      </c>
      <c r="C28" s="472">
        <f t="shared" ca="1" si="23"/>
        <v>8285</v>
      </c>
      <c r="D28" s="473">
        <f t="shared" ca="1" si="37"/>
        <v>8285</v>
      </c>
      <c r="E28" s="151">
        <f ca="1">IFERROR(__xludf.DUMMYFUNCTION("IMPORTRANGE(""https://docs.google.com/spreadsheets/d/1-uDff_7J0KD5mKrp0Vvzr7lt3OU09vwQwhkpOPPYv2Y/edit?usp=sharing"",""งบพรบ!HL28"")"),0)</f>
        <v>0</v>
      </c>
      <c r="F28" s="151">
        <f ca="1">IFERROR(__xludf.DUMMYFUNCTION("IMPORTRANGE(""https://docs.google.com/spreadsheets/d/1-uDff_7J0KD5mKrp0Vvzr7lt3OU09vwQwhkpOPPYv2Y/edit?usp=sharing"",""งบพรบ!HM28"")"),8285)</f>
        <v>8285</v>
      </c>
      <c r="G28" s="151">
        <f ca="1">IFERROR(__xludf.DUMMYFUNCTION("IMPORTRANGE(""https://docs.google.com/spreadsheets/d/1-uDff_7J0KD5mKrp0Vvzr7lt3OU09vwQwhkpOPPYv2Y/edit?usp=sharing"",""งบพรบ!HN28"")"),0)</f>
        <v>0</v>
      </c>
      <c r="H28" s="151">
        <f ca="1">IFERROR(__xludf.DUMMYFUNCTION("IMPORTRANGE(""https://docs.google.com/spreadsheets/d/1-uDff_7J0KD5mKrp0Vvzr7lt3OU09vwQwhkpOPPYv2Y/edit?usp=sharing"",""งบพรบ!HP28"")"),8285)</f>
        <v>8285</v>
      </c>
      <c r="I28" s="151">
        <f ca="1">IFERROR(__xludf.DUMMYFUNCTION("IMPORTRANGE(""https://docs.google.com/spreadsheets/d/1-uDff_7J0KD5mKrp0Vvzr7lt3OU09vwQwhkpOPPYv2Y/edit?usp=sharing"",""งบพรบ!HQ28"")"),0)</f>
        <v>0</v>
      </c>
      <c r="J28" s="262">
        <f t="shared" ca="1" si="25"/>
        <v>3830</v>
      </c>
      <c r="K28" s="476">
        <f t="shared" ca="1" si="26"/>
        <v>46.22812311406156</v>
      </c>
      <c r="L28" s="151">
        <f ca="1">IFERROR(__xludf.DUMMYFUNCTION("IMPORTRANGE(""https://docs.google.com/spreadsheets/d/1-uDff_7J0KD5mKrp0Vvzr7lt3OU09vwQwhkpOPPYv2Y/edit?usp=sharing"",""งบพรบ!HR28"")"),3830)</f>
        <v>3830</v>
      </c>
      <c r="M28" s="260">
        <f t="shared" ca="1" si="27"/>
        <v>46.22812311406156</v>
      </c>
      <c r="N28" s="260">
        <f t="shared" ca="1" si="28"/>
        <v>46.22812311406156</v>
      </c>
      <c r="O28" s="151">
        <f ca="1">IFERROR(__xludf.DUMMYFUNCTION("IMPORTRANGE(""https://docs.google.com/spreadsheets/d/1-uDff_7J0KD5mKrp0Vvzr7lt3OU09vwQwhkpOPPYv2Y/edit?usp=sharing"",""งบพรบ!HS28"")"),0)</f>
        <v>0</v>
      </c>
      <c r="P28" s="475">
        <f t="shared" ca="1" si="29"/>
        <v>0</v>
      </c>
      <c r="Q28" s="260">
        <f t="shared" ca="1" si="30"/>
        <v>0</v>
      </c>
      <c r="R28" s="475">
        <v>0</v>
      </c>
      <c r="S28" s="260">
        <v>0</v>
      </c>
      <c r="T28" s="475">
        <v>0</v>
      </c>
      <c r="U28" s="260">
        <v>0</v>
      </c>
      <c r="V28" s="260">
        <v>0</v>
      </c>
      <c r="W28" s="278">
        <v>0</v>
      </c>
      <c r="X28" s="152">
        <v>0</v>
      </c>
      <c r="Y28" s="216">
        <f t="shared" si="33"/>
        <v>0</v>
      </c>
      <c r="Z28" s="278">
        <v>0</v>
      </c>
      <c r="AA28" s="152">
        <v>0</v>
      </c>
      <c r="AB28" s="216">
        <f t="shared" si="35"/>
        <v>0</v>
      </c>
      <c r="AC28" s="152">
        <v>0</v>
      </c>
      <c r="AD28" s="152">
        <v>0</v>
      </c>
    </row>
    <row r="29" spans="1:30" ht="19.5" x14ac:dyDescent="0.3">
      <c r="A29" s="147">
        <v>16</v>
      </c>
      <c r="B29" s="148" t="s">
        <v>57</v>
      </c>
      <c r="C29" s="472">
        <f t="shared" ca="1" si="23"/>
        <v>8892</v>
      </c>
      <c r="D29" s="473">
        <f t="shared" ca="1" si="37"/>
        <v>8892</v>
      </c>
      <c r="E29" s="151">
        <f ca="1">IFERROR(__xludf.DUMMYFUNCTION("IMPORTRANGE(""https://docs.google.com/spreadsheets/d/1-uDff_7J0KD5mKrp0Vvzr7lt3OU09vwQwhkpOPPYv2Y/edit?usp=sharing"",""งบพรบ!HL29"")"),0)</f>
        <v>0</v>
      </c>
      <c r="F29" s="151">
        <f ca="1">IFERROR(__xludf.DUMMYFUNCTION("IMPORTRANGE(""https://docs.google.com/spreadsheets/d/1-uDff_7J0KD5mKrp0Vvzr7lt3OU09vwQwhkpOPPYv2Y/edit?usp=sharing"",""งบพรบ!HM29"")"),8892)</f>
        <v>8892</v>
      </c>
      <c r="G29" s="151">
        <f ca="1">IFERROR(__xludf.DUMMYFUNCTION("IMPORTRANGE(""https://docs.google.com/spreadsheets/d/1-uDff_7J0KD5mKrp0Vvzr7lt3OU09vwQwhkpOPPYv2Y/edit?usp=sharing"",""งบพรบ!HN29"")"),0)</f>
        <v>0</v>
      </c>
      <c r="H29" s="151">
        <f ca="1">IFERROR(__xludf.DUMMYFUNCTION("IMPORTRANGE(""https://docs.google.com/spreadsheets/d/1-uDff_7J0KD5mKrp0Vvzr7lt3OU09vwQwhkpOPPYv2Y/edit?usp=sharing"",""งบพรบ!HP29"")"),8892)</f>
        <v>8892</v>
      </c>
      <c r="I29" s="151">
        <f ca="1">IFERROR(__xludf.DUMMYFUNCTION("IMPORTRANGE(""https://docs.google.com/spreadsheets/d/1-uDff_7J0KD5mKrp0Vvzr7lt3OU09vwQwhkpOPPYv2Y/edit?usp=sharing"",""งบพรบ!HQ29"")"),0)</f>
        <v>0</v>
      </c>
      <c r="J29" s="262">
        <f t="shared" ca="1" si="25"/>
        <v>0</v>
      </c>
      <c r="K29" s="476">
        <f t="shared" ca="1" si="26"/>
        <v>0</v>
      </c>
      <c r="L29" s="151">
        <f ca="1">IFERROR(__xludf.DUMMYFUNCTION("IMPORTRANGE(""https://docs.google.com/spreadsheets/d/1-uDff_7J0KD5mKrp0Vvzr7lt3OU09vwQwhkpOPPYv2Y/edit?usp=sharing"",""งบพรบ!HR29"")"),0)</f>
        <v>0</v>
      </c>
      <c r="M29" s="260">
        <f t="shared" ca="1" si="27"/>
        <v>0</v>
      </c>
      <c r="N29" s="260">
        <f t="shared" ca="1" si="28"/>
        <v>0</v>
      </c>
      <c r="O29" s="151">
        <f ca="1">IFERROR(__xludf.DUMMYFUNCTION("IMPORTRANGE(""https://docs.google.com/spreadsheets/d/1-uDff_7J0KD5mKrp0Vvzr7lt3OU09vwQwhkpOPPYv2Y/edit?usp=sharing"",""งบพรบ!HS29"")"),0)</f>
        <v>0</v>
      </c>
      <c r="P29" s="475">
        <f t="shared" ca="1" si="29"/>
        <v>0</v>
      </c>
      <c r="Q29" s="260">
        <f t="shared" ca="1" si="30"/>
        <v>0</v>
      </c>
      <c r="R29" s="475">
        <v>0</v>
      </c>
      <c r="S29" s="260">
        <v>0</v>
      </c>
      <c r="T29" s="475">
        <v>0</v>
      </c>
      <c r="U29" s="260">
        <v>0</v>
      </c>
      <c r="V29" s="260">
        <v>0</v>
      </c>
      <c r="W29" s="278">
        <v>0</v>
      </c>
      <c r="X29" s="152">
        <v>0</v>
      </c>
      <c r="Y29" s="216">
        <f t="shared" si="33"/>
        <v>0</v>
      </c>
      <c r="Z29" s="278">
        <v>0</v>
      </c>
      <c r="AA29" s="152">
        <v>0</v>
      </c>
      <c r="AB29" s="216">
        <f t="shared" si="35"/>
        <v>0</v>
      </c>
      <c r="AC29" s="152">
        <v>0</v>
      </c>
      <c r="AD29" s="152">
        <v>0</v>
      </c>
    </row>
    <row r="30" spans="1:30" ht="19.5" x14ac:dyDescent="0.3">
      <c r="A30" s="155">
        <v>17</v>
      </c>
      <c r="B30" s="156" t="s">
        <v>58</v>
      </c>
      <c r="C30" s="477">
        <f t="shared" ca="1" si="23"/>
        <v>6343</v>
      </c>
      <c r="D30" s="478">
        <f t="shared" ca="1" si="37"/>
        <v>6343</v>
      </c>
      <c r="E30" s="159">
        <f ca="1">IFERROR(__xludf.DUMMYFUNCTION("IMPORTRANGE(""https://docs.google.com/spreadsheets/d/1-uDff_7J0KD5mKrp0Vvzr7lt3OU09vwQwhkpOPPYv2Y/edit?usp=sharing"",""งบพรบ!HL30"")"),0)</f>
        <v>0</v>
      </c>
      <c r="F30" s="159">
        <f ca="1">IFERROR(__xludf.DUMMYFUNCTION("IMPORTRANGE(""https://docs.google.com/spreadsheets/d/1-uDff_7J0KD5mKrp0Vvzr7lt3OU09vwQwhkpOPPYv2Y/edit?usp=sharing"",""งบพรบ!HM30"")"),6343)</f>
        <v>6343</v>
      </c>
      <c r="G30" s="159">
        <f ca="1">IFERROR(__xludf.DUMMYFUNCTION("IMPORTRANGE(""https://docs.google.com/spreadsheets/d/1-uDff_7J0KD5mKrp0Vvzr7lt3OU09vwQwhkpOPPYv2Y/edit?usp=sharing"",""งบพรบ!HN30"")"),0)</f>
        <v>0</v>
      </c>
      <c r="H30" s="159">
        <f ca="1">IFERROR(__xludf.DUMMYFUNCTION("IMPORTRANGE(""https://docs.google.com/spreadsheets/d/1-uDff_7J0KD5mKrp0Vvzr7lt3OU09vwQwhkpOPPYv2Y/edit?usp=sharing"",""งบพรบ!HP30"")"),6343)</f>
        <v>6343</v>
      </c>
      <c r="I30" s="159">
        <f ca="1">IFERROR(__xludf.DUMMYFUNCTION("IMPORTRANGE(""https://docs.google.com/spreadsheets/d/1-uDff_7J0KD5mKrp0Vvzr7lt3OU09vwQwhkpOPPYv2Y/edit?usp=sharing"",""งบพรบ!HQ30"")"),0)</f>
        <v>0</v>
      </c>
      <c r="J30" s="479">
        <f t="shared" ca="1" si="25"/>
        <v>6343</v>
      </c>
      <c r="K30" s="480">
        <f t="shared" ca="1" si="26"/>
        <v>100</v>
      </c>
      <c r="L30" s="159">
        <f ca="1">IFERROR(__xludf.DUMMYFUNCTION("IMPORTRANGE(""https://docs.google.com/spreadsheets/d/1-uDff_7J0KD5mKrp0Vvzr7lt3OU09vwQwhkpOPPYv2Y/edit?usp=sharing"",""งบพรบ!HR30"")"),6343)</f>
        <v>6343</v>
      </c>
      <c r="M30" s="481">
        <f t="shared" ca="1" si="27"/>
        <v>100</v>
      </c>
      <c r="N30" s="481">
        <f t="shared" ca="1" si="28"/>
        <v>100</v>
      </c>
      <c r="O30" s="159">
        <f ca="1">IFERROR(__xludf.DUMMYFUNCTION("IMPORTRANGE(""https://docs.google.com/spreadsheets/d/1-uDff_7J0KD5mKrp0Vvzr7lt3OU09vwQwhkpOPPYv2Y/edit?usp=sharing"",""งบพรบ!HS30"")"),0)</f>
        <v>0</v>
      </c>
      <c r="P30" s="482">
        <f t="shared" ca="1" si="29"/>
        <v>0</v>
      </c>
      <c r="Q30" s="481">
        <f t="shared" ca="1" si="30"/>
        <v>0</v>
      </c>
      <c r="R30" s="482">
        <v>0</v>
      </c>
      <c r="S30" s="481">
        <v>0</v>
      </c>
      <c r="T30" s="482">
        <v>0</v>
      </c>
      <c r="U30" s="481">
        <v>0</v>
      </c>
      <c r="V30" s="481">
        <v>0</v>
      </c>
      <c r="W30" s="280">
        <v>0</v>
      </c>
      <c r="X30" s="191">
        <v>0</v>
      </c>
      <c r="Y30" s="218">
        <f t="shared" si="33"/>
        <v>0</v>
      </c>
      <c r="Z30" s="280">
        <v>0</v>
      </c>
      <c r="AA30" s="191">
        <v>0</v>
      </c>
      <c r="AB30" s="218">
        <f t="shared" si="35"/>
        <v>0</v>
      </c>
      <c r="AC30" s="191">
        <v>0</v>
      </c>
      <c r="AD30" s="191">
        <v>0</v>
      </c>
    </row>
    <row r="31" spans="1:30" ht="19.5" x14ac:dyDescent="0.3">
      <c r="A31" s="696" t="s">
        <v>59</v>
      </c>
      <c r="B31" s="662"/>
      <c r="C31" s="601">
        <f t="shared" ca="1" si="23"/>
        <v>94657</v>
      </c>
      <c r="D31" s="601">
        <f t="shared" ref="D31:I31" ca="1" si="38">SUM(D32:D51)</f>
        <v>94657</v>
      </c>
      <c r="E31" s="601">
        <f t="shared" ca="1" si="38"/>
        <v>0</v>
      </c>
      <c r="F31" s="601">
        <f t="shared" ca="1" si="38"/>
        <v>94657</v>
      </c>
      <c r="G31" s="601">
        <f t="shared" ca="1" si="38"/>
        <v>0</v>
      </c>
      <c r="H31" s="601">
        <f t="shared" ca="1" si="38"/>
        <v>94657</v>
      </c>
      <c r="I31" s="601">
        <f t="shared" ca="1" si="38"/>
        <v>0</v>
      </c>
      <c r="J31" s="601">
        <f t="shared" ca="1" si="25"/>
        <v>42675</v>
      </c>
      <c r="K31" s="602">
        <f t="shared" ca="1" si="26"/>
        <v>45.08382898253695</v>
      </c>
      <c r="L31" s="601">
        <f ca="1">SUM(L32:L51)</f>
        <v>42675</v>
      </c>
      <c r="M31" s="603">
        <f t="shared" ca="1" si="27"/>
        <v>45.08382898253695</v>
      </c>
      <c r="N31" s="603">
        <f t="shared" ca="1" si="28"/>
        <v>45.08382898253695</v>
      </c>
      <c r="O31" s="604">
        <f ca="1">SUM(O32:O51)</f>
        <v>0</v>
      </c>
      <c r="P31" s="604">
        <f t="shared" ca="1" si="29"/>
        <v>0</v>
      </c>
      <c r="Q31" s="603">
        <f t="shared" ca="1" si="30"/>
        <v>0</v>
      </c>
      <c r="R31" s="604">
        <f t="shared" ref="R31:T31" si="39">SUM(R32:R51)</f>
        <v>0</v>
      </c>
      <c r="S31" s="603">
        <f t="shared" si="39"/>
        <v>0</v>
      </c>
      <c r="T31" s="604">
        <f t="shared" si="39"/>
        <v>0</v>
      </c>
      <c r="U31" s="603">
        <f>IF(R31&gt;0,T31*100/R31,0)</f>
        <v>0</v>
      </c>
      <c r="V31" s="603">
        <f>IF(S31&gt;0,T31*100/S31,0)</f>
        <v>0</v>
      </c>
      <c r="W31" s="282">
        <f t="shared" ref="W31:X31" si="40">SUM(W32:W51)</f>
        <v>0</v>
      </c>
      <c r="X31" s="369">
        <f t="shared" si="40"/>
        <v>0</v>
      </c>
      <c r="Y31" s="94">
        <f t="shared" si="33"/>
        <v>0</v>
      </c>
      <c r="Z31" s="282">
        <f t="shared" ref="Z31:AA31" si="41">SUM(Z32:Z51)</f>
        <v>0</v>
      </c>
      <c r="AA31" s="369">
        <f t="shared" si="41"/>
        <v>0</v>
      </c>
      <c r="AB31" s="94">
        <f t="shared" si="35"/>
        <v>0</v>
      </c>
      <c r="AC31" s="369">
        <f t="shared" ref="AC31:AD31" si="42">SUM(AC32:AC51)</f>
        <v>0</v>
      </c>
      <c r="AD31" s="369">
        <f t="shared" si="42"/>
        <v>0</v>
      </c>
    </row>
    <row r="32" spans="1:30" ht="19.5" x14ac:dyDescent="0.3">
      <c r="A32" s="147">
        <v>1</v>
      </c>
      <c r="B32" s="148" t="s">
        <v>60</v>
      </c>
      <c r="C32" s="472">
        <f t="shared" ca="1" si="23"/>
        <v>9351</v>
      </c>
      <c r="D32" s="473">
        <f t="shared" ref="D32:D51" ca="1" si="43">+E32+F32</f>
        <v>9351</v>
      </c>
      <c r="E32" s="151">
        <f ca="1">IFERROR(__xludf.DUMMYFUNCTION("IMPORTRANGE(""https://docs.google.com/spreadsheets/d/1-uDff_7J0KD5mKrp0Vvzr7lt3OU09vwQwhkpOPPYv2Y/edit?usp=sharing"",""งบพรบ!HL32"")"),0)</f>
        <v>0</v>
      </c>
      <c r="F32" s="151">
        <f ca="1">IFERROR(__xludf.DUMMYFUNCTION("IMPORTRANGE(""https://docs.google.com/spreadsheets/d/1-uDff_7J0KD5mKrp0Vvzr7lt3OU09vwQwhkpOPPYv2Y/edit?usp=sharing"",""งบพรบ!HM32"")"),9351)</f>
        <v>9351</v>
      </c>
      <c r="G32" s="152">
        <f ca="1">IFERROR(__xludf.DUMMYFUNCTION("IMPORTRANGE(""https://docs.google.com/spreadsheets/d/1-uDff_7J0KD5mKrp0Vvzr7lt3OU09vwQwhkpOPPYv2Y/edit?usp=sharing"",""งบพรบ!HN32"")"),0)</f>
        <v>0</v>
      </c>
      <c r="H32" s="152">
        <f ca="1">IFERROR(__xludf.DUMMYFUNCTION("IMPORTRANGE(""https://docs.google.com/spreadsheets/d/1-uDff_7J0KD5mKrp0Vvzr7lt3OU09vwQwhkpOPPYv2Y/edit?usp=sharing"",""งบพรบ!HP32"")"),9351)</f>
        <v>9351</v>
      </c>
      <c r="I32" s="152">
        <f ca="1">IFERROR(__xludf.DUMMYFUNCTION("IMPORTRANGE(""https://docs.google.com/spreadsheets/d/1-uDff_7J0KD5mKrp0Vvzr7lt3OU09vwQwhkpOPPYv2Y/edit?usp=sharing"",""งบพรบ!HQ32"")"),0)</f>
        <v>0</v>
      </c>
      <c r="J32" s="251">
        <f t="shared" ca="1" si="25"/>
        <v>9351</v>
      </c>
      <c r="K32" s="474">
        <f t="shared" ca="1" si="26"/>
        <v>100</v>
      </c>
      <c r="L32" s="152">
        <f ca="1">IFERROR(__xludf.DUMMYFUNCTION("IMPORTRANGE(""https://docs.google.com/spreadsheets/d/1-uDff_7J0KD5mKrp0Vvzr7lt3OU09vwQwhkpOPPYv2Y/edit?usp=sharing"",""งบพรบ!HR32"")"),9351)</f>
        <v>9351</v>
      </c>
      <c r="M32" s="260">
        <f t="shared" ca="1" si="27"/>
        <v>100</v>
      </c>
      <c r="N32" s="260">
        <f t="shared" ca="1" si="28"/>
        <v>100</v>
      </c>
      <c r="O32" s="151">
        <f ca="1">IFERROR(__xludf.DUMMYFUNCTION("IMPORTRANGE(""https://docs.google.com/spreadsheets/d/1-uDff_7J0KD5mKrp0Vvzr7lt3OU09vwQwhkpOPPYv2Y/edit?usp=sharing"",""งบพรบ!HS32"")"),0)</f>
        <v>0</v>
      </c>
      <c r="P32" s="475">
        <f t="shared" ca="1" si="29"/>
        <v>0</v>
      </c>
      <c r="Q32" s="260">
        <f t="shared" ca="1" si="30"/>
        <v>0</v>
      </c>
      <c r="R32" s="475">
        <v>0</v>
      </c>
      <c r="S32" s="260">
        <v>0</v>
      </c>
      <c r="T32" s="475">
        <v>0</v>
      </c>
      <c r="U32" s="260">
        <v>0</v>
      </c>
      <c r="V32" s="260">
        <v>0</v>
      </c>
      <c r="W32" s="278">
        <v>0</v>
      </c>
      <c r="X32" s="152">
        <v>0</v>
      </c>
      <c r="Y32" s="216">
        <f t="shared" si="33"/>
        <v>0</v>
      </c>
      <c r="Z32" s="278">
        <v>0</v>
      </c>
      <c r="AA32" s="152">
        <v>0</v>
      </c>
      <c r="AB32" s="216">
        <f t="shared" si="35"/>
        <v>0</v>
      </c>
      <c r="AC32" s="152">
        <v>0</v>
      </c>
      <c r="AD32" s="152">
        <v>0</v>
      </c>
    </row>
    <row r="33" spans="1:30" ht="19.5" x14ac:dyDescent="0.3">
      <c r="A33" s="147">
        <v>2</v>
      </c>
      <c r="B33" s="148" t="s">
        <v>61</v>
      </c>
      <c r="C33" s="472">
        <f t="shared" ca="1" si="23"/>
        <v>0</v>
      </c>
      <c r="D33" s="473">
        <f t="shared" ca="1" si="43"/>
        <v>0</v>
      </c>
      <c r="E33" s="151">
        <f ca="1">IFERROR(__xludf.DUMMYFUNCTION("IMPORTRANGE(""https://docs.google.com/spreadsheets/d/1-uDff_7J0KD5mKrp0Vvzr7lt3OU09vwQwhkpOPPYv2Y/edit?usp=sharing"",""งบพรบ!HL33"")"),0)</f>
        <v>0</v>
      </c>
      <c r="F33" s="151">
        <f ca="1">IFERROR(__xludf.DUMMYFUNCTION("IMPORTRANGE(""https://docs.google.com/spreadsheets/d/1-uDff_7J0KD5mKrp0Vvzr7lt3OU09vwQwhkpOPPYv2Y/edit?usp=sharing"",""งบพรบ!HM33"")"),0)</f>
        <v>0</v>
      </c>
      <c r="G33" s="151">
        <f ca="1">IFERROR(__xludf.DUMMYFUNCTION("IMPORTRANGE(""https://docs.google.com/spreadsheets/d/1-uDff_7J0KD5mKrp0Vvzr7lt3OU09vwQwhkpOPPYv2Y/edit?usp=sharing"",""งบพรบ!HN33"")"),0)</f>
        <v>0</v>
      </c>
      <c r="H33" s="151">
        <f ca="1">IFERROR(__xludf.DUMMYFUNCTION("IMPORTRANGE(""https://docs.google.com/spreadsheets/d/1-uDff_7J0KD5mKrp0Vvzr7lt3OU09vwQwhkpOPPYv2Y/edit?usp=sharing"",""งบพรบ!HP33"")"),0)</f>
        <v>0</v>
      </c>
      <c r="I33" s="151">
        <f ca="1">IFERROR(__xludf.DUMMYFUNCTION("IMPORTRANGE(""https://docs.google.com/spreadsheets/d/1-uDff_7J0KD5mKrp0Vvzr7lt3OU09vwQwhkpOPPYv2Y/edit?usp=sharing"",""งบพรบ!HQ33"")"),0)</f>
        <v>0</v>
      </c>
      <c r="J33" s="262">
        <f t="shared" ca="1" si="25"/>
        <v>0</v>
      </c>
      <c r="K33" s="476">
        <f t="shared" ca="1" si="26"/>
        <v>0</v>
      </c>
      <c r="L33" s="151">
        <f ca="1">IFERROR(__xludf.DUMMYFUNCTION("IMPORTRANGE(""https://docs.google.com/spreadsheets/d/1-uDff_7J0KD5mKrp0Vvzr7lt3OU09vwQwhkpOPPYv2Y/edit?usp=sharing"",""งบพรบ!HR33"")"),0)</f>
        <v>0</v>
      </c>
      <c r="M33" s="260">
        <f t="shared" ca="1" si="27"/>
        <v>0</v>
      </c>
      <c r="N33" s="260">
        <f t="shared" ca="1" si="28"/>
        <v>0</v>
      </c>
      <c r="O33" s="151">
        <f ca="1">IFERROR(__xludf.DUMMYFUNCTION("IMPORTRANGE(""https://docs.google.com/spreadsheets/d/1-uDff_7J0KD5mKrp0Vvzr7lt3OU09vwQwhkpOPPYv2Y/edit?usp=sharing"",""งบพรบ!HS33"")"),0)</f>
        <v>0</v>
      </c>
      <c r="P33" s="475">
        <f t="shared" ca="1" si="29"/>
        <v>0</v>
      </c>
      <c r="Q33" s="260">
        <f t="shared" ca="1" si="30"/>
        <v>0</v>
      </c>
      <c r="R33" s="475">
        <v>0</v>
      </c>
      <c r="S33" s="260">
        <v>0</v>
      </c>
      <c r="T33" s="475">
        <v>0</v>
      </c>
      <c r="U33" s="260">
        <v>0</v>
      </c>
      <c r="V33" s="260">
        <v>0</v>
      </c>
      <c r="W33" s="278">
        <v>0</v>
      </c>
      <c r="X33" s="152">
        <v>0</v>
      </c>
      <c r="Y33" s="216">
        <f t="shared" si="33"/>
        <v>0</v>
      </c>
      <c r="Z33" s="278">
        <v>0</v>
      </c>
      <c r="AA33" s="152">
        <v>0</v>
      </c>
      <c r="AB33" s="216">
        <f t="shared" si="35"/>
        <v>0</v>
      </c>
      <c r="AC33" s="152">
        <v>0</v>
      </c>
      <c r="AD33" s="152">
        <v>0</v>
      </c>
    </row>
    <row r="34" spans="1:30" ht="19.5" x14ac:dyDescent="0.3">
      <c r="A34" s="147">
        <v>3</v>
      </c>
      <c r="B34" s="148" t="s">
        <v>62</v>
      </c>
      <c r="C34" s="472">
        <f t="shared" ca="1" si="23"/>
        <v>0</v>
      </c>
      <c r="D34" s="473">
        <f t="shared" ca="1" si="43"/>
        <v>0</v>
      </c>
      <c r="E34" s="151">
        <f ca="1">IFERROR(__xludf.DUMMYFUNCTION("IMPORTRANGE(""https://docs.google.com/spreadsheets/d/1-uDff_7J0KD5mKrp0Vvzr7lt3OU09vwQwhkpOPPYv2Y/edit?usp=sharing"",""งบพรบ!HL34"")"),0)</f>
        <v>0</v>
      </c>
      <c r="F34" s="151">
        <f ca="1">IFERROR(__xludf.DUMMYFUNCTION("IMPORTRANGE(""https://docs.google.com/spreadsheets/d/1-uDff_7J0KD5mKrp0Vvzr7lt3OU09vwQwhkpOPPYv2Y/edit?usp=sharing"",""งบพรบ!HM34"")"),0)</f>
        <v>0</v>
      </c>
      <c r="G34" s="151">
        <f ca="1">IFERROR(__xludf.DUMMYFUNCTION("IMPORTRANGE(""https://docs.google.com/spreadsheets/d/1-uDff_7J0KD5mKrp0Vvzr7lt3OU09vwQwhkpOPPYv2Y/edit?usp=sharing"",""งบพรบ!HN34"")"),0)</f>
        <v>0</v>
      </c>
      <c r="H34" s="151">
        <f ca="1">IFERROR(__xludf.DUMMYFUNCTION("IMPORTRANGE(""https://docs.google.com/spreadsheets/d/1-uDff_7J0KD5mKrp0Vvzr7lt3OU09vwQwhkpOPPYv2Y/edit?usp=sharing"",""งบพรบ!HP34"")"),0)</f>
        <v>0</v>
      </c>
      <c r="I34" s="151">
        <f ca="1">IFERROR(__xludf.DUMMYFUNCTION("IMPORTRANGE(""https://docs.google.com/spreadsheets/d/1-uDff_7J0KD5mKrp0Vvzr7lt3OU09vwQwhkpOPPYv2Y/edit?usp=sharing"",""งบพรบ!HQ34"")"),0)</f>
        <v>0</v>
      </c>
      <c r="J34" s="262">
        <f t="shared" ca="1" si="25"/>
        <v>0</v>
      </c>
      <c r="K34" s="476">
        <f t="shared" ca="1" si="26"/>
        <v>0</v>
      </c>
      <c r="L34" s="151">
        <f ca="1">IFERROR(__xludf.DUMMYFUNCTION("IMPORTRANGE(""https://docs.google.com/spreadsheets/d/1-uDff_7J0KD5mKrp0Vvzr7lt3OU09vwQwhkpOPPYv2Y/edit?usp=sharing"",""งบพรบ!HR34"")"),0)</f>
        <v>0</v>
      </c>
      <c r="M34" s="260">
        <f t="shared" ca="1" si="27"/>
        <v>0</v>
      </c>
      <c r="N34" s="260">
        <f t="shared" ca="1" si="28"/>
        <v>0</v>
      </c>
      <c r="O34" s="151">
        <f ca="1">IFERROR(__xludf.DUMMYFUNCTION("IMPORTRANGE(""https://docs.google.com/spreadsheets/d/1-uDff_7J0KD5mKrp0Vvzr7lt3OU09vwQwhkpOPPYv2Y/edit?usp=sharing"",""งบพรบ!HS34"")"),0)</f>
        <v>0</v>
      </c>
      <c r="P34" s="475">
        <f t="shared" ca="1" si="29"/>
        <v>0</v>
      </c>
      <c r="Q34" s="260">
        <f t="shared" ca="1" si="30"/>
        <v>0</v>
      </c>
      <c r="R34" s="475">
        <v>0</v>
      </c>
      <c r="S34" s="260">
        <v>0</v>
      </c>
      <c r="T34" s="475">
        <v>0</v>
      </c>
      <c r="U34" s="260">
        <v>0</v>
      </c>
      <c r="V34" s="260">
        <v>0</v>
      </c>
      <c r="W34" s="278">
        <v>0</v>
      </c>
      <c r="X34" s="152">
        <v>0</v>
      </c>
      <c r="Y34" s="216">
        <f t="shared" si="33"/>
        <v>0</v>
      </c>
      <c r="Z34" s="278">
        <v>0</v>
      </c>
      <c r="AA34" s="152">
        <v>0</v>
      </c>
      <c r="AB34" s="216">
        <f t="shared" si="35"/>
        <v>0</v>
      </c>
      <c r="AC34" s="152">
        <v>0</v>
      </c>
      <c r="AD34" s="152">
        <v>0</v>
      </c>
    </row>
    <row r="35" spans="1:30" ht="19.5" x14ac:dyDescent="0.3">
      <c r="A35" s="147">
        <v>4</v>
      </c>
      <c r="B35" s="148" t="s">
        <v>63</v>
      </c>
      <c r="C35" s="472">
        <f t="shared" ca="1" si="23"/>
        <v>11357</v>
      </c>
      <c r="D35" s="473">
        <f t="shared" ca="1" si="43"/>
        <v>11357</v>
      </c>
      <c r="E35" s="151">
        <f ca="1">IFERROR(__xludf.DUMMYFUNCTION("IMPORTRANGE(""https://docs.google.com/spreadsheets/d/1-uDff_7J0KD5mKrp0Vvzr7lt3OU09vwQwhkpOPPYv2Y/edit?usp=sharing"",""งบพรบ!HL35"")"),0)</f>
        <v>0</v>
      </c>
      <c r="F35" s="151">
        <f ca="1">IFERROR(__xludf.DUMMYFUNCTION("IMPORTRANGE(""https://docs.google.com/spreadsheets/d/1-uDff_7J0KD5mKrp0Vvzr7lt3OU09vwQwhkpOPPYv2Y/edit?usp=sharing"",""งบพรบ!HM35"")"),11357)</f>
        <v>11357</v>
      </c>
      <c r="G35" s="151">
        <f ca="1">IFERROR(__xludf.DUMMYFUNCTION("IMPORTRANGE(""https://docs.google.com/spreadsheets/d/1-uDff_7J0KD5mKrp0Vvzr7lt3OU09vwQwhkpOPPYv2Y/edit?usp=sharing"",""งบพรบ!HN35"")"),0)</f>
        <v>0</v>
      </c>
      <c r="H35" s="151">
        <f ca="1">IFERROR(__xludf.DUMMYFUNCTION("IMPORTRANGE(""https://docs.google.com/spreadsheets/d/1-uDff_7J0KD5mKrp0Vvzr7lt3OU09vwQwhkpOPPYv2Y/edit?usp=sharing"",""งบพรบ!HP35"")"),11357)</f>
        <v>11357</v>
      </c>
      <c r="I35" s="151">
        <f ca="1">IFERROR(__xludf.DUMMYFUNCTION("IMPORTRANGE(""https://docs.google.com/spreadsheets/d/1-uDff_7J0KD5mKrp0Vvzr7lt3OU09vwQwhkpOPPYv2Y/edit?usp=sharing"",""งบพรบ!HQ35"")"),0)</f>
        <v>0</v>
      </c>
      <c r="J35" s="262">
        <f t="shared" ca="1" si="25"/>
        <v>0</v>
      </c>
      <c r="K35" s="476">
        <f t="shared" ca="1" si="26"/>
        <v>0</v>
      </c>
      <c r="L35" s="151">
        <f ca="1">IFERROR(__xludf.DUMMYFUNCTION("IMPORTRANGE(""https://docs.google.com/spreadsheets/d/1-uDff_7J0KD5mKrp0Vvzr7lt3OU09vwQwhkpOPPYv2Y/edit?usp=sharing"",""งบพรบ!HR35"")"),0)</f>
        <v>0</v>
      </c>
      <c r="M35" s="260">
        <f t="shared" ca="1" si="27"/>
        <v>0</v>
      </c>
      <c r="N35" s="260">
        <f t="shared" ca="1" si="28"/>
        <v>0</v>
      </c>
      <c r="O35" s="151">
        <f ca="1">IFERROR(__xludf.DUMMYFUNCTION("IMPORTRANGE(""https://docs.google.com/spreadsheets/d/1-uDff_7J0KD5mKrp0Vvzr7lt3OU09vwQwhkpOPPYv2Y/edit?usp=sharing"",""งบพรบ!HS35"")"),0)</f>
        <v>0</v>
      </c>
      <c r="P35" s="475">
        <f t="shared" ca="1" si="29"/>
        <v>0</v>
      </c>
      <c r="Q35" s="260">
        <f t="shared" ca="1" si="30"/>
        <v>0</v>
      </c>
      <c r="R35" s="475">
        <v>0</v>
      </c>
      <c r="S35" s="260">
        <v>0</v>
      </c>
      <c r="T35" s="475">
        <v>0</v>
      </c>
      <c r="U35" s="260">
        <v>0</v>
      </c>
      <c r="V35" s="260">
        <v>0</v>
      </c>
      <c r="W35" s="278">
        <v>0</v>
      </c>
      <c r="X35" s="152">
        <v>0</v>
      </c>
      <c r="Y35" s="216">
        <f t="shared" si="33"/>
        <v>0</v>
      </c>
      <c r="Z35" s="278">
        <v>0</v>
      </c>
      <c r="AA35" s="152">
        <v>0</v>
      </c>
      <c r="AB35" s="216">
        <f t="shared" si="35"/>
        <v>0</v>
      </c>
      <c r="AC35" s="152">
        <v>0</v>
      </c>
      <c r="AD35" s="152">
        <v>0</v>
      </c>
    </row>
    <row r="36" spans="1:30" ht="19.5" x14ac:dyDescent="0.3">
      <c r="A36" s="147">
        <v>5</v>
      </c>
      <c r="B36" s="148" t="s">
        <v>64</v>
      </c>
      <c r="C36" s="472">
        <f t="shared" ca="1" si="23"/>
        <v>6960</v>
      </c>
      <c r="D36" s="473">
        <f t="shared" ca="1" si="43"/>
        <v>6960</v>
      </c>
      <c r="E36" s="151">
        <f ca="1">IFERROR(__xludf.DUMMYFUNCTION("IMPORTRANGE(""https://docs.google.com/spreadsheets/d/1-uDff_7J0KD5mKrp0Vvzr7lt3OU09vwQwhkpOPPYv2Y/edit?usp=sharing"",""งบพรบ!HL36"")"),0)</f>
        <v>0</v>
      </c>
      <c r="F36" s="151">
        <f ca="1">IFERROR(__xludf.DUMMYFUNCTION("IMPORTRANGE(""https://docs.google.com/spreadsheets/d/1-uDff_7J0KD5mKrp0Vvzr7lt3OU09vwQwhkpOPPYv2Y/edit?usp=sharing"",""งบพรบ!HM36"")"),6960)</f>
        <v>6960</v>
      </c>
      <c r="G36" s="151">
        <f ca="1">IFERROR(__xludf.DUMMYFUNCTION("IMPORTRANGE(""https://docs.google.com/spreadsheets/d/1-uDff_7J0KD5mKrp0Vvzr7lt3OU09vwQwhkpOPPYv2Y/edit?usp=sharing"",""งบพรบ!HN36"")"),0)</f>
        <v>0</v>
      </c>
      <c r="H36" s="151">
        <f ca="1">IFERROR(__xludf.DUMMYFUNCTION("IMPORTRANGE(""https://docs.google.com/spreadsheets/d/1-uDff_7J0KD5mKrp0Vvzr7lt3OU09vwQwhkpOPPYv2Y/edit?usp=sharing"",""งบพรบ!HP36"")"),6960)</f>
        <v>6960</v>
      </c>
      <c r="I36" s="151">
        <f ca="1">IFERROR(__xludf.DUMMYFUNCTION("IMPORTRANGE(""https://docs.google.com/spreadsheets/d/1-uDff_7J0KD5mKrp0Vvzr7lt3OU09vwQwhkpOPPYv2Y/edit?usp=sharing"",""งบพรบ!HQ36"")"),0)</f>
        <v>0</v>
      </c>
      <c r="J36" s="262">
        <f t="shared" ca="1" si="25"/>
        <v>0</v>
      </c>
      <c r="K36" s="476">
        <f t="shared" ca="1" si="26"/>
        <v>0</v>
      </c>
      <c r="L36" s="151">
        <f ca="1">IFERROR(__xludf.DUMMYFUNCTION("IMPORTRANGE(""https://docs.google.com/spreadsheets/d/1-uDff_7J0KD5mKrp0Vvzr7lt3OU09vwQwhkpOPPYv2Y/edit?usp=sharing"",""งบพรบ!HR36"")"),0)</f>
        <v>0</v>
      </c>
      <c r="M36" s="260">
        <f t="shared" ca="1" si="27"/>
        <v>0</v>
      </c>
      <c r="N36" s="260">
        <f t="shared" ca="1" si="28"/>
        <v>0</v>
      </c>
      <c r="O36" s="151">
        <f ca="1">IFERROR(__xludf.DUMMYFUNCTION("IMPORTRANGE(""https://docs.google.com/spreadsheets/d/1-uDff_7J0KD5mKrp0Vvzr7lt3OU09vwQwhkpOPPYv2Y/edit?usp=sharing"",""งบพรบ!HS36"")"),0)</f>
        <v>0</v>
      </c>
      <c r="P36" s="475">
        <f t="shared" ca="1" si="29"/>
        <v>0</v>
      </c>
      <c r="Q36" s="260">
        <f t="shared" ca="1" si="30"/>
        <v>0</v>
      </c>
      <c r="R36" s="475">
        <v>0</v>
      </c>
      <c r="S36" s="260">
        <v>0</v>
      </c>
      <c r="T36" s="475">
        <v>0</v>
      </c>
      <c r="U36" s="260">
        <v>0</v>
      </c>
      <c r="V36" s="260">
        <v>0</v>
      </c>
      <c r="W36" s="279">
        <v>0</v>
      </c>
      <c r="X36" s="397">
        <v>0</v>
      </c>
      <c r="Y36" s="216">
        <f t="shared" si="33"/>
        <v>0</v>
      </c>
      <c r="Z36" s="279">
        <v>0</v>
      </c>
      <c r="AA36" s="397">
        <v>0</v>
      </c>
      <c r="AB36" s="216">
        <f t="shared" si="35"/>
        <v>0</v>
      </c>
      <c r="AC36" s="397">
        <v>0</v>
      </c>
      <c r="AD36" s="397">
        <v>0</v>
      </c>
    </row>
    <row r="37" spans="1:30" ht="19.5" x14ac:dyDescent="0.3">
      <c r="A37" s="147">
        <v>6</v>
      </c>
      <c r="B37" s="148" t="s">
        <v>65</v>
      </c>
      <c r="C37" s="472">
        <f t="shared" ca="1" si="23"/>
        <v>0</v>
      </c>
      <c r="D37" s="473">
        <f t="shared" ca="1" si="43"/>
        <v>0</v>
      </c>
      <c r="E37" s="151">
        <f ca="1">IFERROR(__xludf.DUMMYFUNCTION("IMPORTRANGE(""https://docs.google.com/spreadsheets/d/1-uDff_7J0KD5mKrp0Vvzr7lt3OU09vwQwhkpOPPYv2Y/edit?usp=sharing"",""งบพรบ!HL37"")"),0)</f>
        <v>0</v>
      </c>
      <c r="F37" s="151">
        <f ca="1">IFERROR(__xludf.DUMMYFUNCTION("IMPORTRANGE(""https://docs.google.com/spreadsheets/d/1-uDff_7J0KD5mKrp0Vvzr7lt3OU09vwQwhkpOPPYv2Y/edit?usp=sharing"",""งบพรบ!HM37"")"),0)</f>
        <v>0</v>
      </c>
      <c r="G37" s="151">
        <f ca="1">IFERROR(__xludf.DUMMYFUNCTION("IMPORTRANGE(""https://docs.google.com/spreadsheets/d/1-uDff_7J0KD5mKrp0Vvzr7lt3OU09vwQwhkpOPPYv2Y/edit?usp=sharing"",""งบพรบ!HN37"")"),0)</f>
        <v>0</v>
      </c>
      <c r="H37" s="151">
        <f ca="1">IFERROR(__xludf.DUMMYFUNCTION("IMPORTRANGE(""https://docs.google.com/spreadsheets/d/1-uDff_7J0KD5mKrp0Vvzr7lt3OU09vwQwhkpOPPYv2Y/edit?usp=sharing"",""งบพรบ!HP37"")"),0)</f>
        <v>0</v>
      </c>
      <c r="I37" s="151">
        <f ca="1">IFERROR(__xludf.DUMMYFUNCTION("IMPORTRANGE(""https://docs.google.com/spreadsheets/d/1-uDff_7J0KD5mKrp0Vvzr7lt3OU09vwQwhkpOPPYv2Y/edit?usp=sharing"",""งบพรบ!HQ37"")"),0)</f>
        <v>0</v>
      </c>
      <c r="J37" s="262">
        <f t="shared" ca="1" si="25"/>
        <v>0</v>
      </c>
      <c r="K37" s="476">
        <f t="shared" ca="1" si="26"/>
        <v>0</v>
      </c>
      <c r="L37" s="151">
        <f ca="1">IFERROR(__xludf.DUMMYFUNCTION("IMPORTRANGE(""https://docs.google.com/spreadsheets/d/1-uDff_7J0KD5mKrp0Vvzr7lt3OU09vwQwhkpOPPYv2Y/edit?usp=sharing"",""งบพรบ!HR37"")"),0)</f>
        <v>0</v>
      </c>
      <c r="M37" s="260">
        <f t="shared" ca="1" si="27"/>
        <v>0</v>
      </c>
      <c r="N37" s="260">
        <f t="shared" ca="1" si="28"/>
        <v>0</v>
      </c>
      <c r="O37" s="151">
        <f ca="1">IFERROR(__xludf.DUMMYFUNCTION("IMPORTRANGE(""https://docs.google.com/spreadsheets/d/1-uDff_7J0KD5mKrp0Vvzr7lt3OU09vwQwhkpOPPYv2Y/edit?usp=sharing"",""งบพรบ!HS37"")"),0)</f>
        <v>0</v>
      </c>
      <c r="P37" s="475">
        <f t="shared" ca="1" si="29"/>
        <v>0</v>
      </c>
      <c r="Q37" s="260">
        <f t="shared" ca="1" si="30"/>
        <v>0</v>
      </c>
      <c r="R37" s="475">
        <v>0</v>
      </c>
      <c r="S37" s="260">
        <v>0</v>
      </c>
      <c r="T37" s="475">
        <v>0</v>
      </c>
      <c r="U37" s="260">
        <v>0</v>
      </c>
      <c r="V37" s="260">
        <v>0</v>
      </c>
      <c r="W37" s="278">
        <v>0</v>
      </c>
      <c r="X37" s="152">
        <v>0</v>
      </c>
      <c r="Y37" s="216">
        <f t="shared" si="33"/>
        <v>0</v>
      </c>
      <c r="Z37" s="278">
        <v>0</v>
      </c>
      <c r="AA37" s="152">
        <v>0</v>
      </c>
      <c r="AB37" s="216">
        <f t="shared" si="35"/>
        <v>0</v>
      </c>
      <c r="AC37" s="152">
        <v>0</v>
      </c>
      <c r="AD37" s="152">
        <v>0</v>
      </c>
    </row>
    <row r="38" spans="1:30" ht="19.5" x14ac:dyDescent="0.3">
      <c r="A38" s="147">
        <v>7</v>
      </c>
      <c r="B38" s="148" t="s">
        <v>66</v>
      </c>
      <c r="C38" s="472">
        <f t="shared" ca="1" si="23"/>
        <v>0</v>
      </c>
      <c r="D38" s="473">
        <f t="shared" ca="1" si="43"/>
        <v>0</v>
      </c>
      <c r="E38" s="151">
        <f ca="1">IFERROR(__xludf.DUMMYFUNCTION("IMPORTRANGE(""https://docs.google.com/spreadsheets/d/1-uDff_7J0KD5mKrp0Vvzr7lt3OU09vwQwhkpOPPYv2Y/edit?usp=sharing"",""งบพรบ!HL38"")"),0)</f>
        <v>0</v>
      </c>
      <c r="F38" s="151">
        <f ca="1">IFERROR(__xludf.DUMMYFUNCTION("IMPORTRANGE(""https://docs.google.com/spreadsheets/d/1-uDff_7J0KD5mKrp0Vvzr7lt3OU09vwQwhkpOPPYv2Y/edit?usp=sharing"",""งบพรบ!HM38"")"),0)</f>
        <v>0</v>
      </c>
      <c r="G38" s="151">
        <f ca="1">IFERROR(__xludf.DUMMYFUNCTION("IMPORTRANGE(""https://docs.google.com/spreadsheets/d/1-uDff_7J0KD5mKrp0Vvzr7lt3OU09vwQwhkpOPPYv2Y/edit?usp=sharing"",""งบพรบ!HN38"")"),0)</f>
        <v>0</v>
      </c>
      <c r="H38" s="151">
        <f ca="1">IFERROR(__xludf.DUMMYFUNCTION("IMPORTRANGE(""https://docs.google.com/spreadsheets/d/1-uDff_7J0KD5mKrp0Vvzr7lt3OU09vwQwhkpOPPYv2Y/edit?usp=sharing"",""งบพรบ!HP38"")"),0)</f>
        <v>0</v>
      </c>
      <c r="I38" s="151">
        <f ca="1">IFERROR(__xludf.DUMMYFUNCTION("IMPORTRANGE(""https://docs.google.com/spreadsheets/d/1-uDff_7J0KD5mKrp0Vvzr7lt3OU09vwQwhkpOPPYv2Y/edit?usp=sharing"",""งบพรบ!HQ38"")"),0)</f>
        <v>0</v>
      </c>
      <c r="J38" s="262">
        <f t="shared" ca="1" si="25"/>
        <v>0</v>
      </c>
      <c r="K38" s="476">
        <f t="shared" ca="1" si="26"/>
        <v>0</v>
      </c>
      <c r="L38" s="151">
        <f ca="1">IFERROR(__xludf.DUMMYFUNCTION("IMPORTRANGE(""https://docs.google.com/spreadsheets/d/1-uDff_7J0KD5mKrp0Vvzr7lt3OU09vwQwhkpOPPYv2Y/edit?usp=sharing"",""งบพรบ!HR38"")"),0)</f>
        <v>0</v>
      </c>
      <c r="M38" s="260">
        <f t="shared" ca="1" si="27"/>
        <v>0</v>
      </c>
      <c r="N38" s="260">
        <f t="shared" ca="1" si="28"/>
        <v>0</v>
      </c>
      <c r="O38" s="151">
        <f ca="1">IFERROR(__xludf.DUMMYFUNCTION("IMPORTRANGE(""https://docs.google.com/spreadsheets/d/1-uDff_7J0KD5mKrp0Vvzr7lt3OU09vwQwhkpOPPYv2Y/edit?usp=sharing"",""งบพรบ!HS38"")"),0)</f>
        <v>0</v>
      </c>
      <c r="P38" s="475">
        <f t="shared" ca="1" si="29"/>
        <v>0</v>
      </c>
      <c r="Q38" s="260">
        <f t="shared" ca="1" si="30"/>
        <v>0</v>
      </c>
      <c r="R38" s="475">
        <v>0</v>
      </c>
      <c r="S38" s="260">
        <v>0</v>
      </c>
      <c r="T38" s="475">
        <v>0</v>
      </c>
      <c r="U38" s="260">
        <v>0</v>
      </c>
      <c r="V38" s="260">
        <v>0</v>
      </c>
      <c r="W38" s="279">
        <v>0</v>
      </c>
      <c r="X38" s="397">
        <v>0</v>
      </c>
      <c r="Y38" s="216">
        <f t="shared" si="33"/>
        <v>0</v>
      </c>
      <c r="Z38" s="279">
        <v>0</v>
      </c>
      <c r="AA38" s="397">
        <v>0</v>
      </c>
      <c r="AB38" s="216">
        <f t="shared" si="35"/>
        <v>0</v>
      </c>
      <c r="AC38" s="397">
        <v>0</v>
      </c>
      <c r="AD38" s="397">
        <v>0</v>
      </c>
    </row>
    <row r="39" spans="1:30" ht="19.5" x14ac:dyDescent="0.3">
      <c r="A39" s="147">
        <v>8</v>
      </c>
      <c r="B39" s="148" t="s">
        <v>67</v>
      </c>
      <c r="C39" s="472">
        <f t="shared" ca="1" si="23"/>
        <v>0</v>
      </c>
      <c r="D39" s="473">
        <f t="shared" ca="1" si="43"/>
        <v>0</v>
      </c>
      <c r="E39" s="151">
        <f ca="1">IFERROR(__xludf.DUMMYFUNCTION("IMPORTRANGE(""https://docs.google.com/spreadsheets/d/1-uDff_7J0KD5mKrp0Vvzr7lt3OU09vwQwhkpOPPYv2Y/edit?usp=sharing"",""งบพรบ!HL39"")"),0)</f>
        <v>0</v>
      </c>
      <c r="F39" s="151">
        <f ca="1">IFERROR(__xludf.DUMMYFUNCTION("IMPORTRANGE(""https://docs.google.com/spreadsheets/d/1-uDff_7J0KD5mKrp0Vvzr7lt3OU09vwQwhkpOPPYv2Y/edit?usp=sharing"",""งบพรบ!HM39"")"),0)</f>
        <v>0</v>
      </c>
      <c r="G39" s="151">
        <f ca="1">IFERROR(__xludf.DUMMYFUNCTION("IMPORTRANGE(""https://docs.google.com/spreadsheets/d/1-uDff_7J0KD5mKrp0Vvzr7lt3OU09vwQwhkpOPPYv2Y/edit?usp=sharing"",""งบพรบ!HN39"")"),0)</f>
        <v>0</v>
      </c>
      <c r="H39" s="151">
        <f ca="1">IFERROR(__xludf.DUMMYFUNCTION("IMPORTRANGE(""https://docs.google.com/spreadsheets/d/1-uDff_7J0KD5mKrp0Vvzr7lt3OU09vwQwhkpOPPYv2Y/edit?usp=sharing"",""งบพรบ!HP39"")"),0)</f>
        <v>0</v>
      </c>
      <c r="I39" s="151">
        <f ca="1">IFERROR(__xludf.DUMMYFUNCTION("IMPORTRANGE(""https://docs.google.com/spreadsheets/d/1-uDff_7J0KD5mKrp0Vvzr7lt3OU09vwQwhkpOPPYv2Y/edit?usp=sharing"",""งบพรบ!HQ39"")"),0)</f>
        <v>0</v>
      </c>
      <c r="J39" s="262">
        <f t="shared" ca="1" si="25"/>
        <v>0</v>
      </c>
      <c r="K39" s="476">
        <f t="shared" ca="1" si="26"/>
        <v>0</v>
      </c>
      <c r="L39" s="151">
        <f ca="1">IFERROR(__xludf.DUMMYFUNCTION("IMPORTRANGE(""https://docs.google.com/spreadsheets/d/1-uDff_7J0KD5mKrp0Vvzr7lt3OU09vwQwhkpOPPYv2Y/edit?usp=sharing"",""งบพรบ!HR39"")"),0)</f>
        <v>0</v>
      </c>
      <c r="M39" s="260">
        <f t="shared" ca="1" si="27"/>
        <v>0</v>
      </c>
      <c r="N39" s="260">
        <f t="shared" ca="1" si="28"/>
        <v>0</v>
      </c>
      <c r="O39" s="151">
        <f ca="1">IFERROR(__xludf.DUMMYFUNCTION("IMPORTRANGE(""https://docs.google.com/spreadsheets/d/1-uDff_7J0KD5mKrp0Vvzr7lt3OU09vwQwhkpOPPYv2Y/edit?usp=sharing"",""งบพรบ!HS39"")"),0)</f>
        <v>0</v>
      </c>
      <c r="P39" s="475">
        <f t="shared" ca="1" si="29"/>
        <v>0</v>
      </c>
      <c r="Q39" s="260">
        <f t="shared" ca="1" si="30"/>
        <v>0</v>
      </c>
      <c r="R39" s="475">
        <v>0</v>
      </c>
      <c r="S39" s="260">
        <v>0</v>
      </c>
      <c r="T39" s="475">
        <v>0</v>
      </c>
      <c r="U39" s="260">
        <v>0</v>
      </c>
      <c r="V39" s="260">
        <v>0</v>
      </c>
      <c r="W39" s="278">
        <v>0</v>
      </c>
      <c r="X39" s="152">
        <v>0</v>
      </c>
      <c r="Y39" s="216">
        <f t="shared" si="33"/>
        <v>0</v>
      </c>
      <c r="Z39" s="278">
        <v>0</v>
      </c>
      <c r="AA39" s="152">
        <v>0</v>
      </c>
      <c r="AB39" s="216">
        <f t="shared" si="35"/>
        <v>0</v>
      </c>
      <c r="AC39" s="152">
        <v>0</v>
      </c>
      <c r="AD39" s="152">
        <v>0</v>
      </c>
    </row>
    <row r="40" spans="1:30" ht="19.5" x14ac:dyDescent="0.3">
      <c r="A40" s="147">
        <v>9</v>
      </c>
      <c r="B40" s="148" t="s">
        <v>68</v>
      </c>
      <c r="C40" s="472">
        <f t="shared" ca="1" si="23"/>
        <v>10824</v>
      </c>
      <c r="D40" s="473">
        <f t="shared" ca="1" si="43"/>
        <v>10824</v>
      </c>
      <c r="E40" s="151">
        <f ca="1">IFERROR(__xludf.DUMMYFUNCTION("IMPORTRANGE(""https://docs.google.com/spreadsheets/d/1-uDff_7J0KD5mKrp0Vvzr7lt3OU09vwQwhkpOPPYv2Y/edit?usp=sharing"",""งบพรบ!HL40"")"),0)</f>
        <v>0</v>
      </c>
      <c r="F40" s="151">
        <f ca="1">IFERROR(__xludf.DUMMYFUNCTION("IMPORTRANGE(""https://docs.google.com/spreadsheets/d/1-uDff_7J0KD5mKrp0Vvzr7lt3OU09vwQwhkpOPPYv2Y/edit?usp=sharing"",""งบพรบ!HM40"")"),10824)</f>
        <v>10824</v>
      </c>
      <c r="G40" s="151">
        <f ca="1">IFERROR(__xludf.DUMMYFUNCTION("IMPORTRANGE(""https://docs.google.com/spreadsheets/d/1-uDff_7J0KD5mKrp0Vvzr7lt3OU09vwQwhkpOPPYv2Y/edit?usp=sharing"",""งบพรบ!HN40"")"),0)</f>
        <v>0</v>
      </c>
      <c r="H40" s="151">
        <f ca="1">IFERROR(__xludf.DUMMYFUNCTION("IMPORTRANGE(""https://docs.google.com/spreadsheets/d/1-uDff_7J0KD5mKrp0Vvzr7lt3OU09vwQwhkpOPPYv2Y/edit?usp=sharing"",""งบพรบ!HP40"")"),10824)</f>
        <v>10824</v>
      </c>
      <c r="I40" s="151">
        <f ca="1">IFERROR(__xludf.DUMMYFUNCTION("IMPORTRANGE(""https://docs.google.com/spreadsheets/d/1-uDff_7J0KD5mKrp0Vvzr7lt3OU09vwQwhkpOPPYv2Y/edit?usp=sharing"",""งบพรบ!HQ40"")"),0)</f>
        <v>0</v>
      </c>
      <c r="J40" s="262">
        <f t="shared" ca="1" si="25"/>
        <v>10824</v>
      </c>
      <c r="K40" s="476">
        <f t="shared" ca="1" si="26"/>
        <v>100</v>
      </c>
      <c r="L40" s="151">
        <f ca="1">IFERROR(__xludf.DUMMYFUNCTION("IMPORTRANGE(""https://docs.google.com/spreadsheets/d/1-uDff_7J0KD5mKrp0Vvzr7lt3OU09vwQwhkpOPPYv2Y/edit?usp=sharing"",""งบพรบ!HR40"")"),10824)</f>
        <v>10824</v>
      </c>
      <c r="M40" s="260">
        <f t="shared" ca="1" si="27"/>
        <v>100</v>
      </c>
      <c r="N40" s="260">
        <f t="shared" ca="1" si="28"/>
        <v>100</v>
      </c>
      <c r="O40" s="151">
        <f ca="1">IFERROR(__xludf.DUMMYFUNCTION("IMPORTRANGE(""https://docs.google.com/spreadsheets/d/1-uDff_7J0KD5mKrp0Vvzr7lt3OU09vwQwhkpOPPYv2Y/edit?usp=sharing"",""งบพรบ!HS40"")"),0)</f>
        <v>0</v>
      </c>
      <c r="P40" s="475">
        <f t="shared" ca="1" si="29"/>
        <v>0</v>
      </c>
      <c r="Q40" s="260">
        <f t="shared" ca="1" si="30"/>
        <v>0</v>
      </c>
      <c r="R40" s="475">
        <v>0</v>
      </c>
      <c r="S40" s="260">
        <v>0</v>
      </c>
      <c r="T40" s="475">
        <v>0</v>
      </c>
      <c r="U40" s="260">
        <v>0</v>
      </c>
      <c r="V40" s="260">
        <v>0</v>
      </c>
      <c r="W40" s="278">
        <v>0</v>
      </c>
      <c r="X40" s="152">
        <v>0</v>
      </c>
      <c r="Y40" s="216">
        <f t="shared" si="33"/>
        <v>0</v>
      </c>
      <c r="Z40" s="278">
        <v>0</v>
      </c>
      <c r="AA40" s="152">
        <v>0</v>
      </c>
      <c r="AB40" s="216">
        <f t="shared" si="35"/>
        <v>0</v>
      </c>
      <c r="AC40" s="152">
        <v>0</v>
      </c>
      <c r="AD40" s="152">
        <v>0</v>
      </c>
    </row>
    <row r="41" spans="1:30" ht="19.5" x14ac:dyDescent="0.3">
      <c r="A41" s="147">
        <v>10</v>
      </c>
      <c r="B41" s="148" t="s">
        <v>69</v>
      </c>
      <c r="C41" s="472">
        <f t="shared" ca="1" si="23"/>
        <v>0</v>
      </c>
      <c r="D41" s="473">
        <f t="shared" ca="1" si="43"/>
        <v>0</v>
      </c>
      <c r="E41" s="151">
        <f ca="1">IFERROR(__xludf.DUMMYFUNCTION("IMPORTRANGE(""https://docs.google.com/spreadsheets/d/1-uDff_7J0KD5mKrp0Vvzr7lt3OU09vwQwhkpOPPYv2Y/edit?usp=sharing"",""งบพรบ!HL41"")"),0)</f>
        <v>0</v>
      </c>
      <c r="F41" s="151">
        <f ca="1">IFERROR(__xludf.DUMMYFUNCTION("IMPORTRANGE(""https://docs.google.com/spreadsheets/d/1-uDff_7J0KD5mKrp0Vvzr7lt3OU09vwQwhkpOPPYv2Y/edit?usp=sharing"",""งบพรบ!HM41"")"),0)</f>
        <v>0</v>
      </c>
      <c r="G41" s="151">
        <f ca="1">IFERROR(__xludf.DUMMYFUNCTION("IMPORTRANGE(""https://docs.google.com/spreadsheets/d/1-uDff_7J0KD5mKrp0Vvzr7lt3OU09vwQwhkpOPPYv2Y/edit?usp=sharing"",""งบพรบ!HN41"")"),0)</f>
        <v>0</v>
      </c>
      <c r="H41" s="151">
        <f ca="1">IFERROR(__xludf.DUMMYFUNCTION("IMPORTRANGE(""https://docs.google.com/spreadsheets/d/1-uDff_7J0KD5mKrp0Vvzr7lt3OU09vwQwhkpOPPYv2Y/edit?usp=sharing"",""งบพรบ!HP41"")"),0)</f>
        <v>0</v>
      </c>
      <c r="I41" s="151">
        <f ca="1">IFERROR(__xludf.DUMMYFUNCTION("IMPORTRANGE(""https://docs.google.com/spreadsheets/d/1-uDff_7J0KD5mKrp0Vvzr7lt3OU09vwQwhkpOPPYv2Y/edit?usp=sharing"",""งบพรบ!HQ41"")"),0)</f>
        <v>0</v>
      </c>
      <c r="J41" s="262">
        <f t="shared" ca="1" si="25"/>
        <v>0</v>
      </c>
      <c r="K41" s="476">
        <f t="shared" ca="1" si="26"/>
        <v>0</v>
      </c>
      <c r="L41" s="151">
        <f ca="1">IFERROR(__xludf.DUMMYFUNCTION("IMPORTRANGE(""https://docs.google.com/spreadsheets/d/1-uDff_7J0KD5mKrp0Vvzr7lt3OU09vwQwhkpOPPYv2Y/edit?usp=sharing"",""งบพรบ!HR41"")"),0)</f>
        <v>0</v>
      </c>
      <c r="M41" s="260">
        <f t="shared" ca="1" si="27"/>
        <v>0</v>
      </c>
      <c r="N41" s="260">
        <f t="shared" ca="1" si="28"/>
        <v>0</v>
      </c>
      <c r="O41" s="151">
        <f ca="1">IFERROR(__xludf.DUMMYFUNCTION("IMPORTRANGE(""https://docs.google.com/spreadsheets/d/1-uDff_7J0KD5mKrp0Vvzr7lt3OU09vwQwhkpOPPYv2Y/edit?usp=sharing"",""งบพรบ!HS41"")"),0)</f>
        <v>0</v>
      </c>
      <c r="P41" s="475">
        <f t="shared" ca="1" si="29"/>
        <v>0</v>
      </c>
      <c r="Q41" s="260">
        <f t="shared" ca="1" si="30"/>
        <v>0</v>
      </c>
      <c r="R41" s="475">
        <v>0</v>
      </c>
      <c r="S41" s="260">
        <v>0</v>
      </c>
      <c r="T41" s="475">
        <v>0</v>
      </c>
      <c r="U41" s="260">
        <v>0</v>
      </c>
      <c r="V41" s="260">
        <v>0</v>
      </c>
      <c r="W41" s="279">
        <v>0</v>
      </c>
      <c r="X41" s="397">
        <v>0</v>
      </c>
      <c r="Y41" s="216">
        <f t="shared" si="33"/>
        <v>0</v>
      </c>
      <c r="Z41" s="279">
        <v>0</v>
      </c>
      <c r="AA41" s="397">
        <v>0</v>
      </c>
      <c r="AB41" s="216">
        <f t="shared" si="35"/>
        <v>0</v>
      </c>
      <c r="AC41" s="397">
        <v>0</v>
      </c>
      <c r="AD41" s="397">
        <v>0</v>
      </c>
    </row>
    <row r="42" spans="1:30" ht="19.5" x14ac:dyDescent="0.3">
      <c r="A42" s="147">
        <v>11</v>
      </c>
      <c r="B42" s="148" t="s">
        <v>70</v>
      </c>
      <c r="C42" s="472">
        <f t="shared" ca="1" si="23"/>
        <v>9260</v>
      </c>
      <c r="D42" s="473">
        <f t="shared" ca="1" si="43"/>
        <v>9260</v>
      </c>
      <c r="E42" s="151">
        <f ca="1">IFERROR(__xludf.DUMMYFUNCTION("IMPORTRANGE(""https://docs.google.com/spreadsheets/d/1-uDff_7J0KD5mKrp0Vvzr7lt3OU09vwQwhkpOPPYv2Y/edit?usp=sharing"",""งบพรบ!HL42"")"),0)</f>
        <v>0</v>
      </c>
      <c r="F42" s="151">
        <f ca="1">IFERROR(__xludf.DUMMYFUNCTION("IMPORTRANGE(""https://docs.google.com/spreadsheets/d/1-uDff_7J0KD5mKrp0Vvzr7lt3OU09vwQwhkpOPPYv2Y/edit?usp=sharing"",""งบพรบ!HM42"")"),9260)</f>
        <v>9260</v>
      </c>
      <c r="G42" s="151">
        <f ca="1">IFERROR(__xludf.DUMMYFUNCTION("IMPORTRANGE(""https://docs.google.com/spreadsheets/d/1-uDff_7J0KD5mKrp0Vvzr7lt3OU09vwQwhkpOPPYv2Y/edit?usp=sharing"",""งบพรบ!HN42"")"),0)</f>
        <v>0</v>
      </c>
      <c r="H42" s="151">
        <f ca="1">IFERROR(__xludf.DUMMYFUNCTION("IMPORTRANGE(""https://docs.google.com/spreadsheets/d/1-uDff_7J0KD5mKrp0Vvzr7lt3OU09vwQwhkpOPPYv2Y/edit?usp=sharing"",""งบพรบ!HP42"")"),9260)</f>
        <v>9260</v>
      </c>
      <c r="I42" s="151">
        <f ca="1">IFERROR(__xludf.DUMMYFUNCTION("IMPORTRANGE(""https://docs.google.com/spreadsheets/d/1-uDff_7J0KD5mKrp0Vvzr7lt3OU09vwQwhkpOPPYv2Y/edit?usp=sharing"",""งบพรบ!HQ42"")"),0)</f>
        <v>0</v>
      </c>
      <c r="J42" s="262">
        <f t="shared" ca="1" si="25"/>
        <v>4500</v>
      </c>
      <c r="K42" s="476">
        <f t="shared" ca="1" si="26"/>
        <v>48.596112311015119</v>
      </c>
      <c r="L42" s="151">
        <f ca="1">IFERROR(__xludf.DUMMYFUNCTION("IMPORTRANGE(""https://docs.google.com/spreadsheets/d/1-uDff_7J0KD5mKrp0Vvzr7lt3OU09vwQwhkpOPPYv2Y/edit?usp=sharing"",""งบพรบ!HR42"")"),4500)</f>
        <v>4500</v>
      </c>
      <c r="M42" s="260">
        <f t="shared" ca="1" si="27"/>
        <v>48.596112311015119</v>
      </c>
      <c r="N42" s="260">
        <f t="shared" ca="1" si="28"/>
        <v>48.596112311015119</v>
      </c>
      <c r="O42" s="151">
        <f ca="1">IFERROR(__xludf.DUMMYFUNCTION("IMPORTRANGE(""https://docs.google.com/spreadsheets/d/1-uDff_7J0KD5mKrp0Vvzr7lt3OU09vwQwhkpOPPYv2Y/edit?usp=sharing"",""งบพรบ!HS42"")"),0)</f>
        <v>0</v>
      </c>
      <c r="P42" s="475">
        <f t="shared" ca="1" si="29"/>
        <v>0</v>
      </c>
      <c r="Q42" s="260">
        <f t="shared" ca="1" si="30"/>
        <v>0</v>
      </c>
      <c r="R42" s="475">
        <v>0</v>
      </c>
      <c r="S42" s="260">
        <v>0</v>
      </c>
      <c r="T42" s="475">
        <v>0</v>
      </c>
      <c r="U42" s="260">
        <v>0</v>
      </c>
      <c r="V42" s="260">
        <v>0</v>
      </c>
      <c r="W42" s="278">
        <v>0</v>
      </c>
      <c r="X42" s="152">
        <v>0</v>
      </c>
      <c r="Y42" s="216">
        <f t="shared" si="33"/>
        <v>0</v>
      </c>
      <c r="Z42" s="278">
        <v>0</v>
      </c>
      <c r="AA42" s="152">
        <v>0</v>
      </c>
      <c r="AB42" s="216">
        <f t="shared" si="35"/>
        <v>0</v>
      </c>
      <c r="AC42" s="152">
        <v>0</v>
      </c>
      <c r="AD42" s="152">
        <v>0</v>
      </c>
    </row>
    <row r="43" spans="1:30" ht="19.5" x14ac:dyDescent="0.3">
      <c r="A43" s="147">
        <v>12</v>
      </c>
      <c r="B43" s="148" t="s">
        <v>71</v>
      </c>
      <c r="C43" s="472">
        <f t="shared" ca="1" si="23"/>
        <v>9490</v>
      </c>
      <c r="D43" s="473">
        <f t="shared" ca="1" si="43"/>
        <v>9490</v>
      </c>
      <c r="E43" s="151">
        <f ca="1">IFERROR(__xludf.DUMMYFUNCTION("IMPORTRANGE(""https://docs.google.com/spreadsheets/d/1-uDff_7J0KD5mKrp0Vvzr7lt3OU09vwQwhkpOPPYv2Y/edit?usp=sharing"",""งบพรบ!HL43"")"),0)</f>
        <v>0</v>
      </c>
      <c r="F43" s="151">
        <f ca="1">IFERROR(__xludf.DUMMYFUNCTION("IMPORTRANGE(""https://docs.google.com/spreadsheets/d/1-uDff_7J0KD5mKrp0Vvzr7lt3OU09vwQwhkpOPPYv2Y/edit?usp=sharing"",""งบพรบ!HM43"")"),9490)</f>
        <v>9490</v>
      </c>
      <c r="G43" s="151">
        <f ca="1">IFERROR(__xludf.DUMMYFUNCTION("IMPORTRANGE(""https://docs.google.com/spreadsheets/d/1-uDff_7J0KD5mKrp0Vvzr7lt3OU09vwQwhkpOPPYv2Y/edit?usp=sharing"",""งบพรบ!HN43"")"),0)</f>
        <v>0</v>
      </c>
      <c r="H43" s="151">
        <f ca="1">IFERROR(__xludf.DUMMYFUNCTION("IMPORTRANGE(""https://docs.google.com/spreadsheets/d/1-uDff_7J0KD5mKrp0Vvzr7lt3OU09vwQwhkpOPPYv2Y/edit?usp=sharing"",""งบพรบ!HP43"")"),9490)</f>
        <v>9490</v>
      </c>
      <c r="I43" s="151">
        <f ca="1">IFERROR(__xludf.DUMMYFUNCTION("IMPORTRANGE(""https://docs.google.com/spreadsheets/d/1-uDff_7J0KD5mKrp0Vvzr7lt3OU09vwQwhkpOPPYv2Y/edit?usp=sharing"",""งบพรบ!HQ43"")"),0)</f>
        <v>0</v>
      </c>
      <c r="J43" s="262">
        <f t="shared" ca="1" si="25"/>
        <v>0</v>
      </c>
      <c r="K43" s="476">
        <f t="shared" ca="1" si="26"/>
        <v>0</v>
      </c>
      <c r="L43" s="151">
        <f ca="1">IFERROR(__xludf.DUMMYFUNCTION("IMPORTRANGE(""https://docs.google.com/spreadsheets/d/1-uDff_7J0KD5mKrp0Vvzr7lt3OU09vwQwhkpOPPYv2Y/edit?usp=sharing"",""งบพรบ!HR43"")"),0)</f>
        <v>0</v>
      </c>
      <c r="M43" s="260">
        <f t="shared" ca="1" si="27"/>
        <v>0</v>
      </c>
      <c r="N43" s="260">
        <f t="shared" ca="1" si="28"/>
        <v>0</v>
      </c>
      <c r="O43" s="151">
        <f ca="1">IFERROR(__xludf.DUMMYFUNCTION("IMPORTRANGE(""https://docs.google.com/spreadsheets/d/1-uDff_7J0KD5mKrp0Vvzr7lt3OU09vwQwhkpOPPYv2Y/edit?usp=sharing"",""งบพรบ!HS43"")"),0)</f>
        <v>0</v>
      </c>
      <c r="P43" s="475">
        <f t="shared" ca="1" si="29"/>
        <v>0</v>
      </c>
      <c r="Q43" s="260">
        <f t="shared" ca="1" si="30"/>
        <v>0</v>
      </c>
      <c r="R43" s="475">
        <v>0</v>
      </c>
      <c r="S43" s="260">
        <v>0</v>
      </c>
      <c r="T43" s="475">
        <v>0</v>
      </c>
      <c r="U43" s="260">
        <v>0</v>
      </c>
      <c r="V43" s="260">
        <v>0</v>
      </c>
      <c r="W43" s="278">
        <v>0</v>
      </c>
      <c r="X43" s="152">
        <v>0</v>
      </c>
      <c r="Y43" s="216">
        <f t="shared" si="33"/>
        <v>0</v>
      </c>
      <c r="Z43" s="278">
        <v>0</v>
      </c>
      <c r="AA43" s="152">
        <v>0</v>
      </c>
      <c r="AB43" s="216">
        <f t="shared" si="35"/>
        <v>0</v>
      </c>
      <c r="AC43" s="152">
        <v>0</v>
      </c>
      <c r="AD43" s="152">
        <v>0</v>
      </c>
    </row>
    <row r="44" spans="1:30" ht="19.5" x14ac:dyDescent="0.3">
      <c r="A44" s="147">
        <v>13</v>
      </c>
      <c r="B44" s="148" t="s">
        <v>72</v>
      </c>
      <c r="C44" s="472">
        <f t="shared" ca="1" si="23"/>
        <v>9517</v>
      </c>
      <c r="D44" s="473">
        <f t="shared" ca="1" si="43"/>
        <v>9517</v>
      </c>
      <c r="E44" s="151">
        <f ca="1">IFERROR(__xludf.DUMMYFUNCTION("IMPORTRANGE(""https://docs.google.com/spreadsheets/d/1-uDff_7J0KD5mKrp0Vvzr7lt3OU09vwQwhkpOPPYv2Y/edit?usp=sharing"",""งบพรบ!HL44"")"),0)</f>
        <v>0</v>
      </c>
      <c r="F44" s="151">
        <f ca="1">IFERROR(__xludf.DUMMYFUNCTION("IMPORTRANGE(""https://docs.google.com/spreadsheets/d/1-uDff_7J0KD5mKrp0Vvzr7lt3OU09vwQwhkpOPPYv2Y/edit?usp=sharing"",""งบพรบ!HM44"")"),9517)</f>
        <v>9517</v>
      </c>
      <c r="G44" s="151">
        <f ca="1">IFERROR(__xludf.DUMMYFUNCTION("IMPORTRANGE(""https://docs.google.com/spreadsheets/d/1-uDff_7J0KD5mKrp0Vvzr7lt3OU09vwQwhkpOPPYv2Y/edit?usp=sharing"",""งบพรบ!HN44"")"),0)</f>
        <v>0</v>
      </c>
      <c r="H44" s="151">
        <f ca="1">IFERROR(__xludf.DUMMYFUNCTION("IMPORTRANGE(""https://docs.google.com/spreadsheets/d/1-uDff_7J0KD5mKrp0Vvzr7lt3OU09vwQwhkpOPPYv2Y/edit?usp=sharing"",""งบพรบ!HP44"")"),9517)</f>
        <v>9517</v>
      </c>
      <c r="I44" s="151">
        <f ca="1">IFERROR(__xludf.DUMMYFUNCTION("IMPORTRANGE(""https://docs.google.com/spreadsheets/d/1-uDff_7J0KD5mKrp0Vvzr7lt3OU09vwQwhkpOPPYv2Y/edit?usp=sharing"",""งบพรบ!HQ44"")"),0)</f>
        <v>0</v>
      </c>
      <c r="J44" s="262">
        <f t="shared" ca="1" si="25"/>
        <v>4500</v>
      </c>
      <c r="K44" s="476">
        <f t="shared" ca="1" si="26"/>
        <v>47.283807922664707</v>
      </c>
      <c r="L44" s="151">
        <f ca="1">IFERROR(__xludf.DUMMYFUNCTION("IMPORTRANGE(""https://docs.google.com/spreadsheets/d/1-uDff_7J0KD5mKrp0Vvzr7lt3OU09vwQwhkpOPPYv2Y/edit?usp=sharing"",""งบพรบ!HR44"")"),4500)</f>
        <v>4500</v>
      </c>
      <c r="M44" s="260">
        <f t="shared" ca="1" si="27"/>
        <v>47.283807922664707</v>
      </c>
      <c r="N44" s="260">
        <f t="shared" ca="1" si="28"/>
        <v>47.283807922664707</v>
      </c>
      <c r="O44" s="151">
        <f ca="1">IFERROR(__xludf.DUMMYFUNCTION("IMPORTRANGE(""https://docs.google.com/spreadsheets/d/1-uDff_7J0KD5mKrp0Vvzr7lt3OU09vwQwhkpOPPYv2Y/edit?usp=sharing"",""งบพรบ!HS44"")"),0)</f>
        <v>0</v>
      </c>
      <c r="P44" s="475">
        <f t="shared" ca="1" si="29"/>
        <v>0</v>
      </c>
      <c r="Q44" s="260">
        <f t="shared" ca="1" si="30"/>
        <v>0</v>
      </c>
      <c r="R44" s="475">
        <v>0</v>
      </c>
      <c r="S44" s="260">
        <v>0</v>
      </c>
      <c r="T44" s="475">
        <v>0</v>
      </c>
      <c r="U44" s="260">
        <v>0</v>
      </c>
      <c r="V44" s="260">
        <v>0</v>
      </c>
      <c r="W44" s="278">
        <v>0</v>
      </c>
      <c r="X44" s="152">
        <v>0</v>
      </c>
      <c r="Y44" s="216">
        <f t="shared" si="33"/>
        <v>0</v>
      </c>
      <c r="Z44" s="278">
        <v>0</v>
      </c>
      <c r="AA44" s="152">
        <v>0</v>
      </c>
      <c r="AB44" s="216">
        <f t="shared" si="35"/>
        <v>0</v>
      </c>
      <c r="AC44" s="152">
        <v>0</v>
      </c>
      <c r="AD44" s="152">
        <v>0</v>
      </c>
    </row>
    <row r="45" spans="1:30" ht="19.5" x14ac:dyDescent="0.3">
      <c r="A45" s="147">
        <v>14</v>
      </c>
      <c r="B45" s="148" t="s">
        <v>73</v>
      </c>
      <c r="C45" s="472">
        <f t="shared" ca="1" si="23"/>
        <v>0</v>
      </c>
      <c r="D45" s="473">
        <f t="shared" ca="1" si="43"/>
        <v>0</v>
      </c>
      <c r="E45" s="151">
        <f ca="1">IFERROR(__xludf.DUMMYFUNCTION("IMPORTRANGE(""https://docs.google.com/spreadsheets/d/1-uDff_7J0KD5mKrp0Vvzr7lt3OU09vwQwhkpOPPYv2Y/edit?usp=sharing"",""งบพรบ!HL45"")"),0)</f>
        <v>0</v>
      </c>
      <c r="F45" s="151">
        <f ca="1">IFERROR(__xludf.DUMMYFUNCTION("IMPORTRANGE(""https://docs.google.com/spreadsheets/d/1-uDff_7J0KD5mKrp0Vvzr7lt3OU09vwQwhkpOPPYv2Y/edit?usp=sharing"",""งบพรบ!HM45"")"),0)</f>
        <v>0</v>
      </c>
      <c r="G45" s="151">
        <f ca="1">IFERROR(__xludf.DUMMYFUNCTION("IMPORTRANGE(""https://docs.google.com/spreadsheets/d/1-uDff_7J0KD5mKrp0Vvzr7lt3OU09vwQwhkpOPPYv2Y/edit?usp=sharing"",""งบพรบ!HN45"")"),0)</f>
        <v>0</v>
      </c>
      <c r="H45" s="151">
        <f ca="1">IFERROR(__xludf.DUMMYFUNCTION("IMPORTRANGE(""https://docs.google.com/spreadsheets/d/1-uDff_7J0KD5mKrp0Vvzr7lt3OU09vwQwhkpOPPYv2Y/edit?usp=sharing"",""งบพรบ!HP45"")"),0)</f>
        <v>0</v>
      </c>
      <c r="I45" s="151">
        <f ca="1">IFERROR(__xludf.DUMMYFUNCTION("IMPORTRANGE(""https://docs.google.com/spreadsheets/d/1-uDff_7J0KD5mKrp0Vvzr7lt3OU09vwQwhkpOPPYv2Y/edit?usp=sharing"",""งบพรบ!HQ45"")"),0)</f>
        <v>0</v>
      </c>
      <c r="J45" s="262">
        <f t="shared" ca="1" si="25"/>
        <v>0</v>
      </c>
      <c r="K45" s="476">
        <f t="shared" ca="1" si="26"/>
        <v>0</v>
      </c>
      <c r="L45" s="151">
        <f ca="1">IFERROR(__xludf.DUMMYFUNCTION("IMPORTRANGE(""https://docs.google.com/spreadsheets/d/1-uDff_7J0KD5mKrp0Vvzr7lt3OU09vwQwhkpOPPYv2Y/edit?usp=sharing"",""งบพรบ!HR45"")"),0)</f>
        <v>0</v>
      </c>
      <c r="M45" s="260">
        <f t="shared" ca="1" si="27"/>
        <v>0</v>
      </c>
      <c r="N45" s="260">
        <f t="shared" ca="1" si="28"/>
        <v>0</v>
      </c>
      <c r="O45" s="151">
        <f ca="1">IFERROR(__xludf.DUMMYFUNCTION("IMPORTRANGE(""https://docs.google.com/spreadsheets/d/1-uDff_7J0KD5mKrp0Vvzr7lt3OU09vwQwhkpOPPYv2Y/edit?usp=sharing"",""งบพรบ!HS45"")"),0)</f>
        <v>0</v>
      </c>
      <c r="P45" s="475">
        <f t="shared" ca="1" si="29"/>
        <v>0</v>
      </c>
      <c r="Q45" s="260">
        <f t="shared" ca="1" si="30"/>
        <v>0</v>
      </c>
      <c r="R45" s="475">
        <v>0</v>
      </c>
      <c r="S45" s="260">
        <v>0</v>
      </c>
      <c r="T45" s="475">
        <v>0</v>
      </c>
      <c r="U45" s="260">
        <v>0</v>
      </c>
      <c r="V45" s="260">
        <v>0</v>
      </c>
      <c r="W45" s="278">
        <v>0</v>
      </c>
      <c r="X45" s="152">
        <v>0</v>
      </c>
      <c r="Y45" s="216">
        <f t="shared" si="33"/>
        <v>0</v>
      </c>
      <c r="Z45" s="278">
        <v>0</v>
      </c>
      <c r="AA45" s="152">
        <v>0</v>
      </c>
      <c r="AB45" s="216">
        <f t="shared" si="35"/>
        <v>0</v>
      </c>
      <c r="AC45" s="152">
        <v>0</v>
      </c>
      <c r="AD45" s="152">
        <v>0</v>
      </c>
    </row>
    <row r="46" spans="1:30" ht="19.5" x14ac:dyDescent="0.3">
      <c r="A46" s="147">
        <v>15</v>
      </c>
      <c r="B46" s="148" t="s">
        <v>74</v>
      </c>
      <c r="C46" s="472">
        <f t="shared" ca="1" si="23"/>
        <v>8560</v>
      </c>
      <c r="D46" s="473">
        <f t="shared" ca="1" si="43"/>
        <v>8560</v>
      </c>
      <c r="E46" s="151">
        <f ca="1">IFERROR(__xludf.DUMMYFUNCTION("IMPORTRANGE(""https://docs.google.com/spreadsheets/d/1-uDff_7J0KD5mKrp0Vvzr7lt3OU09vwQwhkpOPPYv2Y/edit?usp=sharing"",""งบพรบ!HL46"")"),0)</f>
        <v>0</v>
      </c>
      <c r="F46" s="151">
        <f ca="1">IFERROR(__xludf.DUMMYFUNCTION("IMPORTRANGE(""https://docs.google.com/spreadsheets/d/1-uDff_7J0KD5mKrp0Vvzr7lt3OU09vwQwhkpOPPYv2Y/edit?usp=sharing"",""งบพรบ!HM46"")"),8560)</f>
        <v>8560</v>
      </c>
      <c r="G46" s="151">
        <f ca="1">IFERROR(__xludf.DUMMYFUNCTION("IMPORTRANGE(""https://docs.google.com/spreadsheets/d/1-uDff_7J0KD5mKrp0Vvzr7lt3OU09vwQwhkpOPPYv2Y/edit?usp=sharing"",""งบพรบ!HN46"")"),0)</f>
        <v>0</v>
      </c>
      <c r="H46" s="151">
        <f ca="1">IFERROR(__xludf.DUMMYFUNCTION("IMPORTRANGE(""https://docs.google.com/spreadsheets/d/1-uDff_7J0KD5mKrp0Vvzr7lt3OU09vwQwhkpOPPYv2Y/edit?usp=sharing"",""งบพรบ!HP46"")"),8560)</f>
        <v>8560</v>
      </c>
      <c r="I46" s="151">
        <f ca="1">IFERROR(__xludf.DUMMYFUNCTION("IMPORTRANGE(""https://docs.google.com/spreadsheets/d/1-uDff_7J0KD5mKrp0Vvzr7lt3OU09vwQwhkpOPPYv2Y/edit?usp=sharing"",""งบพรบ!HQ46"")"),0)</f>
        <v>0</v>
      </c>
      <c r="J46" s="262">
        <f t="shared" ca="1" si="25"/>
        <v>3830</v>
      </c>
      <c r="K46" s="476">
        <f t="shared" ca="1" si="26"/>
        <v>44.742990654205606</v>
      </c>
      <c r="L46" s="151">
        <f ca="1">IFERROR(__xludf.DUMMYFUNCTION("IMPORTRANGE(""https://docs.google.com/spreadsheets/d/1-uDff_7J0KD5mKrp0Vvzr7lt3OU09vwQwhkpOPPYv2Y/edit?usp=sharing"",""งบพรบ!HR46"")"),3830)</f>
        <v>3830</v>
      </c>
      <c r="M46" s="260">
        <f t="shared" ca="1" si="27"/>
        <v>44.742990654205606</v>
      </c>
      <c r="N46" s="260">
        <f t="shared" ca="1" si="28"/>
        <v>44.742990654205606</v>
      </c>
      <c r="O46" s="151">
        <f ca="1">IFERROR(__xludf.DUMMYFUNCTION("IMPORTRANGE(""https://docs.google.com/spreadsheets/d/1-uDff_7J0KD5mKrp0Vvzr7lt3OU09vwQwhkpOPPYv2Y/edit?usp=sharing"",""งบพรบ!HS46"")"),0)</f>
        <v>0</v>
      </c>
      <c r="P46" s="475">
        <f t="shared" ca="1" si="29"/>
        <v>0</v>
      </c>
      <c r="Q46" s="260">
        <f t="shared" ca="1" si="30"/>
        <v>0</v>
      </c>
      <c r="R46" s="475">
        <v>0</v>
      </c>
      <c r="S46" s="260">
        <v>0</v>
      </c>
      <c r="T46" s="475">
        <v>0</v>
      </c>
      <c r="U46" s="260">
        <v>0</v>
      </c>
      <c r="V46" s="260">
        <v>0</v>
      </c>
      <c r="W46" s="278">
        <v>0</v>
      </c>
      <c r="X46" s="152">
        <v>0</v>
      </c>
      <c r="Y46" s="216">
        <f t="shared" si="33"/>
        <v>0</v>
      </c>
      <c r="Z46" s="278">
        <v>0</v>
      </c>
      <c r="AA46" s="152">
        <v>0</v>
      </c>
      <c r="AB46" s="216">
        <f t="shared" si="35"/>
        <v>0</v>
      </c>
      <c r="AC46" s="152">
        <v>0</v>
      </c>
      <c r="AD46" s="152">
        <v>0</v>
      </c>
    </row>
    <row r="47" spans="1:30" ht="19.5" x14ac:dyDescent="0.3">
      <c r="A47" s="147">
        <v>16</v>
      </c>
      <c r="B47" s="148" t="s">
        <v>75</v>
      </c>
      <c r="C47" s="472">
        <f t="shared" ca="1" si="23"/>
        <v>0</v>
      </c>
      <c r="D47" s="473">
        <f t="shared" ca="1" si="43"/>
        <v>0</v>
      </c>
      <c r="E47" s="151">
        <f ca="1">IFERROR(__xludf.DUMMYFUNCTION("IMPORTRANGE(""https://docs.google.com/spreadsheets/d/1-uDff_7J0KD5mKrp0Vvzr7lt3OU09vwQwhkpOPPYv2Y/edit?usp=sharing"",""งบพรบ!HL47"")"),0)</f>
        <v>0</v>
      </c>
      <c r="F47" s="151">
        <f ca="1">IFERROR(__xludf.DUMMYFUNCTION("IMPORTRANGE(""https://docs.google.com/spreadsheets/d/1-uDff_7J0KD5mKrp0Vvzr7lt3OU09vwQwhkpOPPYv2Y/edit?usp=sharing"",""งบพรบ!HM47"")"),0)</f>
        <v>0</v>
      </c>
      <c r="G47" s="151">
        <f ca="1">IFERROR(__xludf.DUMMYFUNCTION("IMPORTRANGE(""https://docs.google.com/spreadsheets/d/1-uDff_7J0KD5mKrp0Vvzr7lt3OU09vwQwhkpOPPYv2Y/edit?usp=sharing"",""งบพรบ!HN47"")"),0)</f>
        <v>0</v>
      </c>
      <c r="H47" s="151">
        <f ca="1">IFERROR(__xludf.DUMMYFUNCTION("IMPORTRANGE(""https://docs.google.com/spreadsheets/d/1-uDff_7J0KD5mKrp0Vvzr7lt3OU09vwQwhkpOPPYv2Y/edit?usp=sharing"",""งบพรบ!HP47"")"),0)</f>
        <v>0</v>
      </c>
      <c r="I47" s="151">
        <f ca="1">IFERROR(__xludf.DUMMYFUNCTION("IMPORTRANGE(""https://docs.google.com/spreadsheets/d/1-uDff_7J0KD5mKrp0Vvzr7lt3OU09vwQwhkpOPPYv2Y/edit?usp=sharing"",""งบพรบ!HQ47"")"),0)</f>
        <v>0</v>
      </c>
      <c r="J47" s="262">
        <f t="shared" ca="1" si="25"/>
        <v>0</v>
      </c>
      <c r="K47" s="476">
        <f t="shared" ca="1" si="26"/>
        <v>0</v>
      </c>
      <c r="L47" s="151">
        <f ca="1">IFERROR(__xludf.DUMMYFUNCTION("IMPORTRANGE(""https://docs.google.com/spreadsheets/d/1-uDff_7J0KD5mKrp0Vvzr7lt3OU09vwQwhkpOPPYv2Y/edit?usp=sharing"",""งบพรบ!HR47"")"),0)</f>
        <v>0</v>
      </c>
      <c r="M47" s="260">
        <f t="shared" ca="1" si="27"/>
        <v>0</v>
      </c>
      <c r="N47" s="260">
        <f t="shared" ca="1" si="28"/>
        <v>0</v>
      </c>
      <c r="O47" s="151">
        <f ca="1">IFERROR(__xludf.DUMMYFUNCTION("IMPORTRANGE(""https://docs.google.com/spreadsheets/d/1-uDff_7J0KD5mKrp0Vvzr7lt3OU09vwQwhkpOPPYv2Y/edit?usp=sharing"",""งบพรบ!HS47"")"),0)</f>
        <v>0</v>
      </c>
      <c r="P47" s="475">
        <f t="shared" ca="1" si="29"/>
        <v>0</v>
      </c>
      <c r="Q47" s="260">
        <f t="shared" ca="1" si="30"/>
        <v>0</v>
      </c>
      <c r="R47" s="475">
        <v>0</v>
      </c>
      <c r="S47" s="260">
        <v>0</v>
      </c>
      <c r="T47" s="475">
        <v>0</v>
      </c>
      <c r="U47" s="260">
        <v>0</v>
      </c>
      <c r="V47" s="260">
        <v>0</v>
      </c>
      <c r="W47" s="279">
        <v>0</v>
      </c>
      <c r="X47" s="397">
        <v>0</v>
      </c>
      <c r="Y47" s="216">
        <f t="shared" si="33"/>
        <v>0</v>
      </c>
      <c r="Z47" s="279">
        <v>0</v>
      </c>
      <c r="AA47" s="397">
        <v>0</v>
      </c>
      <c r="AB47" s="216">
        <f t="shared" si="35"/>
        <v>0</v>
      </c>
      <c r="AC47" s="397">
        <v>0</v>
      </c>
      <c r="AD47" s="397">
        <v>0</v>
      </c>
    </row>
    <row r="48" spans="1:30" ht="19.5" x14ac:dyDescent="0.3">
      <c r="A48" s="147">
        <v>17</v>
      </c>
      <c r="B48" s="148" t="s">
        <v>76</v>
      </c>
      <c r="C48" s="472">
        <f t="shared" ca="1" si="23"/>
        <v>9453</v>
      </c>
      <c r="D48" s="473">
        <f t="shared" ca="1" si="43"/>
        <v>9453</v>
      </c>
      <c r="E48" s="151">
        <f ca="1">IFERROR(__xludf.DUMMYFUNCTION("IMPORTRANGE(""https://docs.google.com/spreadsheets/d/1-uDff_7J0KD5mKrp0Vvzr7lt3OU09vwQwhkpOPPYv2Y/edit?usp=sharing"",""งบพรบ!HL48"")"),0)</f>
        <v>0</v>
      </c>
      <c r="F48" s="151">
        <f ca="1">IFERROR(__xludf.DUMMYFUNCTION("IMPORTRANGE(""https://docs.google.com/spreadsheets/d/1-uDff_7J0KD5mKrp0Vvzr7lt3OU09vwQwhkpOPPYv2Y/edit?usp=sharing"",""งบพรบ!HM48"")"),9453)</f>
        <v>9453</v>
      </c>
      <c r="G48" s="151">
        <f ca="1">IFERROR(__xludf.DUMMYFUNCTION("IMPORTRANGE(""https://docs.google.com/spreadsheets/d/1-uDff_7J0KD5mKrp0Vvzr7lt3OU09vwQwhkpOPPYv2Y/edit?usp=sharing"",""งบพรบ!HN48"")"),0)</f>
        <v>0</v>
      </c>
      <c r="H48" s="151">
        <f ca="1">IFERROR(__xludf.DUMMYFUNCTION("IMPORTRANGE(""https://docs.google.com/spreadsheets/d/1-uDff_7J0KD5mKrp0Vvzr7lt3OU09vwQwhkpOPPYv2Y/edit?usp=sharing"",""งบพรบ!HP48"")"),9453)</f>
        <v>9453</v>
      </c>
      <c r="I48" s="151">
        <f ca="1">IFERROR(__xludf.DUMMYFUNCTION("IMPORTRANGE(""https://docs.google.com/spreadsheets/d/1-uDff_7J0KD5mKrp0Vvzr7lt3OU09vwQwhkpOPPYv2Y/edit?usp=sharing"",""งบพรบ!HQ48"")"),0)</f>
        <v>0</v>
      </c>
      <c r="J48" s="262">
        <f t="shared" ca="1" si="25"/>
        <v>2200</v>
      </c>
      <c r="K48" s="476">
        <f t="shared" ca="1" si="26"/>
        <v>23.273035015339048</v>
      </c>
      <c r="L48" s="151">
        <f ca="1">IFERROR(__xludf.DUMMYFUNCTION("IMPORTRANGE(""https://docs.google.com/spreadsheets/d/1-uDff_7J0KD5mKrp0Vvzr7lt3OU09vwQwhkpOPPYv2Y/edit?usp=sharing"",""งบพรบ!HR48"")"),2200)</f>
        <v>2200</v>
      </c>
      <c r="M48" s="260">
        <f t="shared" ca="1" si="27"/>
        <v>23.273035015339048</v>
      </c>
      <c r="N48" s="260">
        <f t="shared" ca="1" si="28"/>
        <v>23.273035015339048</v>
      </c>
      <c r="O48" s="151">
        <f ca="1">IFERROR(__xludf.DUMMYFUNCTION("IMPORTRANGE(""https://docs.google.com/spreadsheets/d/1-uDff_7J0KD5mKrp0Vvzr7lt3OU09vwQwhkpOPPYv2Y/edit?usp=sharing"",""งบพรบ!HS48"")"),0)</f>
        <v>0</v>
      </c>
      <c r="P48" s="475">
        <f t="shared" ca="1" si="29"/>
        <v>0</v>
      </c>
      <c r="Q48" s="260">
        <f t="shared" ca="1" si="30"/>
        <v>0</v>
      </c>
      <c r="R48" s="475">
        <v>0</v>
      </c>
      <c r="S48" s="260">
        <v>0</v>
      </c>
      <c r="T48" s="475">
        <v>0</v>
      </c>
      <c r="U48" s="260">
        <v>0</v>
      </c>
      <c r="V48" s="260">
        <v>0</v>
      </c>
      <c r="W48" s="278">
        <v>0</v>
      </c>
      <c r="X48" s="152">
        <v>0</v>
      </c>
      <c r="Y48" s="216">
        <f t="shared" si="33"/>
        <v>0</v>
      </c>
      <c r="Z48" s="278">
        <v>0</v>
      </c>
      <c r="AA48" s="152">
        <v>0</v>
      </c>
      <c r="AB48" s="216">
        <f t="shared" si="35"/>
        <v>0</v>
      </c>
      <c r="AC48" s="152">
        <v>0</v>
      </c>
      <c r="AD48" s="152">
        <v>0</v>
      </c>
    </row>
    <row r="49" spans="1:30" ht="19.5" x14ac:dyDescent="0.3">
      <c r="A49" s="147">
        <v>18</v>
      </c>
      <c r="B49" s="148" t="s">
        <v>77</v>
      </c>
      <c r="C49" s="472">
        <f t="shared" ca="1" si="23"/>
        <v>0</v>
      </c>
      <c r="D49" s="473">
        <f t="shared" ca="1" si="43"/>
        <v>0</v>
      </c>
      <c r="E49" s="151">
        <f ca="1">IFERROR(__xludf.DUMMYFUNCTION("IMPORTRANGE(""https://docs.google.com/spreadsheets/d/1-uDff_7J0KD5mKrp0Vvzr7lt3OU09vwQwhkpOPPYv2Y/edit?usp=sharing"",""งบพรบ!HL49"")"),0)</f>
        <v>0</v>
      </c>
      <c r="F49" s="151">
        <f ca="1">IFERROR(__xludf.DUMMYFUNCTION("IMPORTRANGE(""https://docs.google.com/spreadsheets/d/1-uDff_7J0KD5mKrp0Vvzr7lt3OU09vwQwhkpOPPYv2Y/edit?usp=sharing"",""งบพรบ!HM49"")"),0)</f>
        <v>0</v>
      </c>
      <c r="G49" s="151">
        <f ca="1">IFERROR(__xludf.DUMMYFUNCTION("IMPORTRANGE(""https://docs.google.com/spreadsheets/d/1-uDff_7J0KD5mKrp0Vvzr7lt3OU09vwQwhkpOPPYv2Y/edit?usp=sharing"",""งบพรบ!HN49"")"),0)</f>
        <v>0</v>
      </c>
      <c r="H49" s="151">
        <f ca="1">IFERROR(__xludf.DUMMYFUNCTION("IMPORTRANGE(""https://docs.google.com/spreadsheets/d/1-uDff_7J0KD5mKrp0Vvzr7lt3OU09vwQwhkpOPPYv2Y/edit?usp=sharing"",""งบพรบ!HP49"")"),0)</f>
        <v>0</v>
      </c>
      <c r="I49" s="151">
        <f ca="1">IFERROR(__xludf.DUMMYFUNCTION("IMPORTRANGE(""https://docs.google.com/spreadsheets/d/1-uDff_7J0KD5mKrp0Vvzr7lt3OU09vwQwhkpOPPYv2Y/edit?usp=sharing"",""งบพรบ!HQ49"")"),0)</f>
        <v>0</v>
      </c>
      <c r="J49" s="262">
        <f t="shared" ca="1" si="25"/>
        <v>0</v>
      </c>
      <c r="K49" s="476">
        <f t="shared" ca="1" si="26"/>
        <v>0</v>
      </c>
      <c r="L49" s="151">
        <f ca="1">IFERROR(__xludf.DUMMYFUNCTION("IMPORTRANGE(""https://docs.google.com/spreadsheets/d/1-uDff_7J0KD5mKrp0Vvzr7lt3OU09vwQwhkpOPPYv2Y/edit?usp=sharing"",""งบพรบ!HR49"")"),0)</f>
        <v>0</v>
      </c>
      <c r="M49" s="260">
        <f t="shared" ca="1" si="27"/>
        <v>0</v>
      </c>
      <c r="N49" s="260">
        <f t="shared" ca="1" si="28"/>
        <v>0</v>
      </c>
      <c r="O49" s="151">
        <f ca="1">IFERROR(__xludf.DUMMYFUNCTION("IMPORTRANGE(""https://docs.google.com/spreadsheets/d/1-uDff_7J0KD5mKrp0Vvzr7lt3OU09vwQwhkpOPPYv2Y/edit?usp=sharing"",""งบพรบ!HS49"")"),0)</f>
        <v>0</v>
      </c>
      <c r="P49" s="475">
        <f t="shared" ca="1" si="29"/>
        <v>0</v>
      </c>
      <c r="Q49" s="260">
        <f t="shared" ca="1" si="30"/>
        <v>0</v>
      </c>
      <c r="R49" s="475">
        <v>0</v>
      </c>
      <c r="S49" s="260">
        <v>0</v>
      </c>
      <c r="T49" s="475">
        <v>0</v>
      </c>
      <c r="U49" s="260">
        <v>0</v>
      </c>
      <c r="V49" s="260">
        <v>0</v>
      </c>
      <c r="W49" s="278">
        <v>0</v>
      </c>
      <c r="X49" s="152">
        <v>0</v>
      </c>
      <c r="Y49" s="216">
        <f t="shared" si="33"/>
        <v>0</v>
      </c>
      <c r="Z49" s="278">
        <v>0</v>
      </c>
      <c r="AA49" s="152">
        <v>0</v>
      </c>
      <c r="AB49" s="216">
        <f t="shared" si="35"/>
        <v>0</v>
      </c>
      <c r="AC49" s="152">
        <v>0</v>
      </c>
      <c r="AD49" s="152">
        <v>0</v>
      </c>
    </row>
    <row r="50" spans="1:30" ht="19.5" x14ac:dyDescent="0.3">
      <c r="A50" s="147">
        <v>19</v>
      </c>
      <c r="B50" s="148" t="s">
        <v>78</v>
      </c>
      <c r="C50" s="472">
        <f t="shared" ca="1" si="23"/>
        <v>9885</v>
      </c>
      <c r="D50" s="473">
        <f t="shared" ca="1" si="43"/>
        <v>9885</v>
      </c>
      <c r="E50" s="151">
        <f ca="1">IFERROR(__xludf.DUMMYFUNCTION("IMPORTRANGE(""https://docs.google.com/spreadsheets/d/1-uDff_7J0KD5mKrp0Vvzr7lt3OU09vwQwhkpOPPYv2Y/edit?usp=sharing"",""งบพรบ!HL50"")"),0)</f>
        <v>0</v>
      </c>
      <c r="F50" s="151">
        <f ca="1">IFERROR(__xludf.DUMMYFUNCTION("IMPORTRANGE(""https://docs.google.com/spreadsheets/d/1-uDff_7J0KD5mKrp0Vvzr7lt3OU09vwQwhkpOPPYv2Y/edit?usp=sharing"",""งบพรบ!HM50"")"),9885)</f>
        <v>9885</v>
      </c>
      <c r="G50" s="151">
        <f ca="1">IFERROR(__xludf.DUMMYFUNCTION("IMPORTRANGE(""https://docs.google.com/spreadsheets/d/1-uDff_7J0KD5mKrp0Vvzr7lt3OU09vwQwhkpOPPYv2Y/edit?usp=sharing"",""งบพรบ!HN50"")"),0)</f>
        <v>0</v>
      </c>
      <c r="H50" s="151">
        <f ca="1">IFERROR(__xludf.DUMMYFUNCTION("IMPORTRANGE(""https://docs.google.com/spreadsheets/d/1-uDff_7J0KD5mKrp0Vvzr7lt3OU09vwQwhkpOPPYv2Y/edit?usp=sharing"",""งบพรบ!HP50"")"),9885)</f>
        <v>9885</v>
      </c>
      <c r="I50" s="151">
        <f ca="1">IFERROR(__xludf.DUMMYFUNCTION("IMPORTRANGE(""https://docs.google.com/spreadsheets/d/1-uDff_7J0KD5mKrp0Vvzr7lt3OU09vwQwhkpOPPYv2Y/edit?usp=sharing"",""งบพรบ!HQ50"")"),0)</f>
        <v>0</v>
      </c>
      <c r="J50" s="262">
        <f t="shared" ca="1" si="25"/>
        <v>7470</v>
      </c>
      <c r="K50" s="476">
        <f t="shared" ca="1" si="26"/>
        <v>75.569044006069802</v>
      </c>
      <c r="L50" s="151">
        <f ca="1">IFERROR(__xludf.DUMMYFUNCTION("IMPORTRANGE(""https://docs.google.com/spreadsheets/d/1-uDff_7J0KD5mKrp0Vvzr7lt3OU09vwQwhkpOPPYv2Y/edit?usp=sharing"",""งบพรบ!HR50"")"),7470)</f>
        <v>7470</v>
      </c>
      <c r="M50" s="260">
        <f t="shared" ca="1" si="27"/>
        <v>75.569044006069802</v>
      </c>
      <c r="N50" s="260">
        <f t="shared" ca="1" si="28"/>
        <v>75.569044006069802</v>
      </c>
      <c r="O50" s="151">
        <f ca="1">IFERROR(__xludf.DUMMYFUNCTION("IMPORTRANGE(""https://docs.google.com/spreadsheets/d/1-uDff_7J0KD5mKrp0Vvzr7lt3OU09vwQwhkpOPPYv2Y/edit?usp=sharing"",""งบพรบ!HS50"")"),0)</f>
        <v>0</v>
      </c>
      <c r="P50" s="475">
        <f t="shared" ca="1" si="29"/>
        <v>0</v>
      </c>
      <c r="Q50" s="260">
        <f t="shared" ca="1" si="30"/>
        <v>0</v>
      </c>
      <c r="R50" s="475">
        <v>0</v>
      </c>
      <c r="S50" s="260">
        <v>0</v>
      </c>
      <c r="T50" s="475">
        <v>0</v>
      </c>
      <c r="U50" s="260">
        <v>0</v>
      </c>
      <c r="V50" s="260">
        <v>0</v>
      </c>
      <c r="W50" s="278">
        <v>0</v>
      </c>
      <c r="X50" s="152">
        <v>0</v>
      </c>
      <c r="Y50" s="216">
        <f t="shared" si="33"/>
        <v>0</v>
      </c>
      <c r="Z50" s="278">
        <v>0</v>
      </c>
      <c r="AA50" s="152">
        <v>0</v>
      </c>
      <c r="AB50" s="216">
        <f t="shared" si="35"/>
        <v>0</v>
      </c>
      <c r="AC50" s="152">
        <v>0</v>
      </c>
      <c r="AD50" s="152">
        <v>0</v>
      </c>
    </row>
    <row r="51" spans="1:30" ht="19.5" x14ac:dyDescent="0.3">
      <c r="A51" s="155">
        <v>20</v>
      </c>
      <c r="B51" s="156" t="s">
        <v>79</v>
      </c>
      <c r="C51" s="477">
        <f t="shared" ca="1" si="23"/>
        <v>0</v>
      </c>
      <c r="D51" s="478">
        <f t="shared" ca="1" si="43"/>
        <v>0</v>
      </c>
      <c r="E51" s="159">
        <f ca="1">IFERROR(__xludf.DUMMYFUNCTION("IMPORTRANGE(""https://docs.google.com/spreadsheets/d/1-uDff_7J0KD5mKrp0Vvzr7lt3OU09vwQwhkpOPPYv2Y/edit?usp=sharing"",""งบพรบ!HL51"")"),0)</f>
        <v>0</v>
      </c>
      <c r="F51" s="159">
        <f ca="1">IFERROR(__xludf.DUMMYFUNCTION("IMPORTRANGE(""https://docs.google.com/spreadsheets/d/1-uDff_7J0KD5mKrp0Vvzr7lt3OU09vwQwhkpOPPYv2Y/edit?usp=sharing"",""งบพรบ!HM51"")"),0)</f>
        <v>0</v>
      </c>
      <c r="G51" s="159">
        <f ca="1">IFERROR(__xludf.DUMMYFUNCTION("IMPORTRANGE(""https://docs.google.com/spreadsheets/d/1-uDff_7J0KD5mKrp0Vvzr7lt3OU09vwQwhkpOPPYv2Y/edit?usp=sharing"",""งบพรบ!HN51"")"),0)</f>
        <v>0</v>
      </c>
      <c r="H51" s="159">
        <f ca="1">IFERROR(__xludf.DUMMYFUNCTION("IMPORTRANGE(""https://docs.google.com/spreadsheets/d/1-uDff_7J0KD5mKrp0Vvzr7lt3OU09vwQwhkpOPPYv2Y/edit?usp=sharing"",""งบพรบ!HP51"")"),0)</f>
        <v>0</v>
      </c>
      <c r="I51" s="159">
        <f ca="1">IFERROR(__xludf.DUMMYFUNCTION("IMPORTRANGE(""https://docs.google.com/spreadsheets/d/1-uDff_7J0KD5mKrp0Vvzr7lt3OU09vwQwhkpOPPYv2Y/edit?usp=sharing"",""งบพรบ!HQ51"")"),0)</f>
        <v>0</v>
      </c>
      <c r="J51" s="479">
        <f t="shared" ca="1" si="25"/>
        <v>0</v>
      </c>
      <c r="K51" s="480">
        <f t="shared" ca="1" si="26"/>
        <v>0</v>
      </c>
      <c r="L51" s="159">
        <f ca="1">IFERROR(__xludf.DUMMYFUNCTION("IMPORTRANGE(""https://docs.google.com/spreadsheets/d/1-uDff_7J0KD5mKrp0Vvzr7lt3OU09vwQwhkpOPPYv2Y/edit?usp=sharing"",""งบพรบ!HR51"")"),0)</f>
        <v>0</v>
      </c>
      <c r="M51" s="481">
        <f t="shared" ca="1" si="27"/>
        <v>0</v>
      </c>
      <c r="N51" s="481">
        <f t="shared" ca="1" si="28"/>
        <v>0</v>
      </c>
      <c r="O51" s="159">
        <f ca="1">IFERROR(__xludf.DUMMYFUNCTION("IMPORTRANGE(""https://docs.google.com/spreadsheets/d/1-uDff_7J0KD5mKrp0Vvzr7lt3OU09vwQwhkpOPPYv2Y/edit?usp=sharing"",""งบพรบ!HS51"")"),0)</f>
        <v>0</v>
      </c>
      <c r="P51" s="482">
        <f t="shared" ca="1" si="29"/>
        <v>0</v>
      </c>
      <c r="Q51" s="481">
        <f t="shared" ca="1" si="30"/>
        <v>0</v>
      </c>
      <c r="R51" s="482">
        <v>0</v>
      </c>
      <c r="S51" s="481">
        <v>0</v>
      </c>
      <c r="T51" s="482">
        <v>0</v>
      </c>
      <c r="U51" s="481">
        <v>0</v>
      </c>
      <c r="V51" s="481">
        <v>0</v>
      </c>
      <c r="W51" s="280">
        <v>0</v>
      </c>
      <c r="X51" s="191">
        <v>0</v>
      </c>
      <c r="Y51" s="218">
        <f t="shared" si="33"/>
        <v>0</v>
      </c>
      <c r="Z51" s="280">
        <v>0</v>
      </c>
      <c r="AA51" s="191">
        <v>0</v>
      </c>
      <c r="AB51" s="218">
        <f t="shared" si="35"/>
        <v>0</v>
      </c>
      <c r="AC51" s="191">
        <v>0</v>
      </c>
      <c r="AD51" s="191">
        <v>0</v>
      </c>
    </row>
    <row r="52" spans="1:30" ht="19.5" x14ac:dyDescent="0.3">
      <c r="A52" s="716" t="s">
        <v>80</v>
      </c>
      <c r="B52" s="662"/>
      <c r="C52" s="601">
        <f t="shared" ca="1" si="23"/>
        <v>474486</v>
      </c>
      <c r="D52" s="601">
        <f t="shared" ref="D52:I52" ca="1" si="44">SUM(D53:D73)</f>
        <v>474486</v>
      </c>
      <c r="E52" s="601">
        <f t="shared" ca="1" si="44"/>
        <v>384700</v>
      </c>
      <c r="F52" s="601">
        <f t="shared" ca="1" si="44"/>
        <v>89786</v>
      </c>
      <c r="G52" s="601">
        <f t="shared" ca="1" si="44"/>
        <v>0</v>
      </c>
      <c r="H52" s="601">
        <f t="shared" ca="1" si="44"/>
        <v>474486</v>
      </c>
      <c r="I52" s="601">
        <f t="shared" ca="1" si="44"/>
        <v>0</v>
      </c>
      <c r="J52" s="601">
        <f t="shared" ca="1" si="25"/>
        <v>253850.23999999999</v>
      </c>
      <c r="K52" s="602">
        <f t="shared" ca="1" si="26"/>
        <v>53.50004847350607</v>
      </c>
      <c r="L52" s="601">
        <f ca="1">SUM(L53:L73)</f>
        <v>253850.23999999999</v>
      </c>
      <c r="M52" s="603">
        <f t="shared" ca="1" si="27"/>
        <v>53.50004847350607</v>
      </c>
      <c r="N52" s="603">
        <f t="shared" ca="1" si="28"/>
        <v>53.50004847350607</v>
      </c>
      <c r="O52" s="604">
        <f ca="1">SUM(O53:O73)</f>
        <v>0</v>
      </c>
      <c r="P52" s="604">
        <f t="shared" ca="1" si="29"/>
        <v>0</v>
      </c>
      <c r="Q52" s="603">
        <f t="shared" ca="1" si="30"/>
        <v>0</v>
      </c>
      <c r="R52" s="604">
        <f t="shared" ref="R52:T52" si="45">SUM(R53:R73)</f>
        <v>0</v>
      </c>
      <c r="S52" s="603">
        <f t="shared" si="45"/>
        <v>0</v>
      </c>
      <c r="T52" s="604">
        <f t="shared" si="45"/>
        <v>0</v>
      </c>
      <c r="U52" s="603">
        <f>IF(R52&gt;0,T52*100/R52,0)</f>
        <v>0</v>
      </c>
      <c r="V52" s="603">
        <f>IF(S52&gt;0,T52*100/S52,0)</f>
        <v>0</v>
      </c>
      <c r="W52" s="282">
        <f t="shared" ref="W52:X52" si="46">SUM(W53:W73)</f>
        <v>0</v>
      </c>
      <c r="X52" s="369">
        <f t="shared" si="46"/>
        <v>0</v>
      </c>
      <c r="Y52" s="94">
        <f t="shared" si="33"/>
        <v>0</v>
      </c>
      <c r="Z52" s="282">
        <f t="shared" ref="Z52:AA52" si="47">SUM(Z53:Z73)</f>
        <v>0</v>
      </c>
      <c r="AA52" s="369">
        <f t="shared" si="47"/>
        <v>0</v>
      </c>
      <c r="AB52" s="94">
        <f t="shared" si="35"/>
        <v>0</v>
      </c>
      <c r="AC52" s="369">
        <f t="shared" ref="AC52:AD52" si="48">SUM(AC53:AC73)</f>
        <v>0</v>
      </c>
      <c r="AD52" s="369">
        <f t="shared" si="48"/>
        <v>0</v>
      </c>
    </row>
    <row r="53" spans="1:30" ht="19.5" x14ac:dyDescent="0.3">
      <c r="A53" s="147">
        <v>1</v>
      </c>
      <c r="B53" s="148" t="s">
        <v>81</v>
      </c>
      <c r="C53" s="472">
        <f t="shared" ca="1" si="23"/>
        <v>6830</v>
      </c>
      <c r="D53" s="473">
        <f t="shared" ref="D53:D73" ca="1" si="49">+E53+F53</f>
        <v>6830</v>
      </c>
      <c r="E53" s="151">
        <f ca="1">IFERROR(__xludf.DUMMYFUNCTION("IMPORTRANGE(""https://docs.google.com/spreadsheets/d/1-uDff_7J0KD5mKrp0Vvzr7lt3OU09vwQwhkpOPPYv2Y/edit?usp=sharing"",""งบพรบ!HL53"")"),0)</f>
        <v>0</v>
      </c>
      <c r="F53" s="151">
        <f ca="1">IFERROR(__xludf.DUMMYFUNCTION("IMPORTRANGE(""https://docs.google.com/spreadsheets/d/1-uDff_7J0KD5mKrp0Vvzr7lt3OU09vwQwhkpOPPYv2Y/edit?usp=sharing"",""งบพรบ!HM53"")"),6830)</f>
        <v>6830</v>
      </c>
      <c r="G53" s="152">
        <f ca="1">IFERROR(__xludf.DUMMYFUNCTION("IMPORTRANGE(""https://docs.google.com/spreadsheets/d/1-uDff_7J0KD5mKrp0Vvzr7lt3OU09vwQwhkpOPPYv2Y/edit?usp=sharing"",""งบพรบ!HN53"")"),0)</f>
        <v>0</v>
      </c>
      <c r="H53" s="152">
        <f ca="1">IFERROR(__xludf.DUMMYFUNCTION("IMPORTRANGE(""https://docs.google.com/spreadsheets/d/1-uDff_7J0KD5mKrp0Vvzr7lt3OU09vwQwhkpOPPYv2Y/edit?usp=sharing"",""งบพรบ!HP53"")"),6830)</f>
        <v>6830</v>
      </c>
      <c r="I53" s="152">
        <f ca="1">IFERROR(__xludf.DUMMYFUNCTION("IMPORTRANGE(""https://docs.google.com/spreadsheets/d/1-uDff_7J0KD5mKrp0Vvzr7lt3OU09vwQwhkpOPPYv2Y/edit?usp=sharing"",""งบพรบ!HQ53"")"),0)</f>
        <v>0</v>
      </c>
      <c r="J53" s="251">
        <f t="shared" ca="1" si="25"/>
        <v>2280</v>
      </c>
      <c r="K53" s="474">
        <f t="shared" ca="1" si="26"/>
        <v>33.382137628111273</v>
      </c>
      <c r="L53" s="152">
        <f ca="1">IFERROR(__xludf.DUMMYFUNCTION("IMPORTRANGE(""https://docs.google.com/spreadsheets/d/1-uDff_7J0KD5mKrp0Vvzr7lt3OU09vwQwhkpOPPYv2Y/edit?usp=sharing"",""งบพรบ!HR53"")"),2280)</f>
        <v>2280</v>
      </c>
      <c r="M53" s="260">
        <f t="shared" ca="1" si="27"/>
        <v>33.382137628111273</v>
      </c>
      <c r="N53" s="260">
        <f t="shared" ca="1" si="28"/>
        <v>33.382137628111273</v>
      </c>
      <c r="O53" s="151">
        <f ca="1">IFERROR(__xludf.DUMMYFUNCTION("IMPORTRANGE(""https://docs.google.com/spreadsheets/d/1-uDff_7J0KD5mKrp0Vvzr7lt3OU09vwQwhkpOPPYv2Y/edit?usp=sharing"",""งบพรบ!HS53"")"),0)</f>
        <v>0</v>
      </c>
      <c r="P53" s="475">
        <f t="shared" ca="1" si="29"/>
        <v>0</v>
      </c>
      <c r="Q53" s="260">
        <f t="shared" ca="1" si="30"/>
        <v>0</v>
      </c>
      <c r="R53" s="475">
        <v>0</v>
      </c>
      <c r="S53" s="260">
        <v>0</v>
      </c>
      <c r="T53" s="475">
        <v>0</v>
      </c>
      <c r="U53" s="260">
        <v>0</v>
      </c>
      <c r="V53" s="260">
        <v>0</v>
      </c>
      <c r="W53" s="278">
        <v>0</v>
      </c>
      <c r="X53" s="152">
        <v>0</v>
      </c>
      <c r="Y53" s="216">
        <f t="shared" si="33"/>
        <v>0</v>
      </c>
      <c r="Z53" s="278">
        <v>0</v>
      </c>
      <c r="AA53" s="152">
        <v>0</v>
      </c>
      <c r="AB53" s="216">
        <f t="shared" si="35"/>
        <v>0</v>
      </c>
      <c r="AC53" s="152">
        <v>0</v>
      </c>
      <c r="AD53" s="152">
        <v>0</v>
      </c>
    </row>
    <row r="54" spans="1:30" ht="19.5" x14ac:dyDescent="0.3">
      <c r="A54" s="147">
        <v>2</v>
      </c>
      <c r="B54" s="148" t="s">
        <v>82</v>
      </c>
      <c r="C54" s="472">
        <f t="shared" ca="1" si="23"/>
        <v>0</v>
      </c>
      <c r="D54" s="473">
        <f t="shared" ca="1" si="49"/>
        <v>0</v>
      </c>
      <c r="E54" s="151">
        <f ca="1">IFERROR(__xludf.DUMMYFUNCTION("IMPORTRANGE(""https://docs.google.com/spreadsheets/d/1-uDff_7J0KD5mKrp0Vvzr7lt3OU09vwQwhkpOPPYv2Y/edit?usp=sharing"",""งบพรบ!HL54"")"),0)</f>
        <v>0</v>
      </c>
      <c r="F54" s="151">
        <f ca="1">IFERROR(__xludf.DUMMYFUNCTION("IMPORTRANGE(""https://docs.google.com/spreadsheets/d/1-uDff_7J0KD5mKrp0Vvzr7lt3OU09vwQwhkpOPPYv2Y/edit?usp=sharing"",""งบพรบ!HM54"")"),0)</f>
        <v>0</v>
      </c>
      <c r="G54" s="151">
        <f ca="1">IFERROR(__xludf.DUMMYFUNCTION("IMPORTRANGE(""https://docs.google.com/spreadsheets/d/1-uDff_7J0KD5mKrp0Vvzr7lt3OU09vwQwhkpOPPYv2Y/edit?usp=sharing"",""งบพรบ!HN54"")"),0)</f>
        <v>0</v>
      </c>
      <c r="H54" s="151">
        <f ca="1">IFERROR(__xludf.DUMMYFUNCTION("IMPORTRANGE(""https://docs.google.com/spreadsheets/d/1-uDff_7J0KD5mKrp0Vvzr7lt3OU09vwQwhkpOPPYv2Y/edit?usp=sharing"",""งบพรบ!HP54"")"),0)</f>
        <v>0</v>
      </c>
      <c r="I54" s="151">
        <f ca="1">IFERROR(__xludf.DUMMYFUNCTION("IMPORTRANGE(""https://docs.google.com/spreadsheets/d/1-uDff_7J0KD5mKrp0Vvzr7lt3OU09vwQwhkpOPPYv2Y/edit?usp=sharing"",""งบพรบ!HQ54"")"),0)</f>
        <v>0</v>
      </c>
      <c r="J54" s="262">
        <f t="shared" ca="1" si="25"/>
        <v>0</v>
      </c>
      <c r="K54" s="476">
        <f t="shared" ca="1" si="26"/>
        <v>0</v>
      </c>
      <c r="L54" s="151">
        <f ca="1">IFERROR(__xludf.DUMMYFUNCTION("IMPORTRANGE(""https://docs.google.com/spreadsheets/d/1-uDff_7J0KD5mKrp0Vvzr7lt3OU09vwQwhkpOPPYv2Y/edit?usp=sharing"",""งบพรบ!HR54"")"),0)</f>
        <v>0</v>
      </c>
      <c r="M54" s="260">
        <f t="shared" ca="1" si="27"/>
        <v>0</v>
      </c>
      <c r="N54" s="260">
        <f t="shared" ca="1" si="28"/>
        <v>0</v>
      </c>
      <c r="O54" s="151">
        <f ca="1">IFERROR(__xludf.DUMMYFUNCTION("IMPORTRANGE(""https://docs.google.com/spreadsheets/d/1-uDff_7J0KD5mKrp0Vvzr7lt3OU09vwQwhkpOPPYv2Y/edit?usp=sharing"",""งบพรบ!HS54"")"),0)</f>
        <v>0</v>
      </c>
      <c r="P54" s="475">
        <f t="shared" ca="1" si="29"/>
        <v>0</v>
      </c>
      <c r="Q54" s="260">
        <f t="shared" ca="1" si="30"/>
        <v>0</v>
      </c>
      <c r="R54" s="475">
        <v>0</v>
      </c>
      <c r="S54" s="260">
        <v>0</v>
      </c>
      <c r="T54" s="475">
        <v>0</v>
      </c>
      <c r="U54" s="260">
        <v>0</v>
      </c>
      <c r="V54" s="260">
        <v>0</v>
      </c>
      <c r="W54" s="278">
        <v>0</v>
      </c>
      <c r="X54" s="152">
        <v>0</v>
      </c>
      <c r="Y54" s="216">
        <f t="shared" si="33"/>
        <v>0</v>
      </c>
      <c r="Z54" s="278">
        <v>0</v>
      </c>
      <c r="AA54" s="152">
        <v>0</v>
      </c>
      <c r="AB54" s="216">
        <f t="shared" si="35"/>
        <v>0</v>
      </c>
      <c r="AC54" s="152">
        <v>0</v>
      </c>
      <c r="AD54" s="152">
        <v>0</v>
      </c>
    </row>
    <row r="55" spans="1:30" ht="19.5" x14ac:dyDescent="0.3">
      <c r="A55" s="147">
        <v>3</v>
      </c>
      <c r="B55" s="148" t="s">
        <v>83</v>
      </c>
      <c r="C55" s="472">
        <f t="shared" ca="1" si="23"/>
        <v>49972</v>
      </c>
      <c r="D55" s="473">
        <f t="shared" ca="1" si="49"/>
        <v>49972</v>
      </c>
      <c r="E55" s="151">
        <f ca="1">IFERROR(__xludf.DUMMYFUNCTION("IMPORTRANGE(""https://docs.google.com/spreadsheets/d/1-uDff_7J0KD5mKrp0Vvzr7lt3OU09vwQwhkpOPPYv2Y/edit?usp=sharing"",""งบพรบ!HL55"")"),43500)</f>
        <v>43500</v>
      </c>
      <c r="F55" s="151">
        <f ca="1">IFERROR(__xludf.DUMMYFUNCTION("IMPORTRANGE(""https://docs.google.com/spreadsheets/d/1-uDff_7J0KD5mKrp0Vvzr7lt3OU09vwQwhkpOPPYv2Y/edit?usp=sharing"",""งบพรบ!HM55"")"),6472)</f>
        <v>6472</v>
      </c>
      <c r="G55" s="151">
        <f ca="1">IFERROR(__xludf.DUMMYFUNCTION("IMPORTRANGE(""https://docs.google.com/spreadsheets/d/1-uDff_7J0KD5mKrp0Vvzr7lt3OU09vwQwhkpOPPYv2Y/edit?usp=sharing"",""งบพรบ!HN55"")"),0)</f>
        <v>0</v>
      </c>
      <c r="H55" s="151">
        <f ca="1">IFERROR(__xludf.DUMMYFUNCTION("IMPORTRANGE(""https://docs.google.com/spreadsheets/d/1-uDff_7J0KD5mKrp0Vvzr7lt3OU09vwQwhkpOPPYv2Y/edit?usp=sharing"",""งบพรบ!HP55"")"),49972)</f>
        <v>49972</v>
      </c>
      <c r="I55" s="151">
        <f ca="1">IFERROR(__xludf.DUMMYFUNCTION("IMPORTRANGE(""https://docs.google.com/spreadsheets/d/1-uDff_7J0KD5mKrp0Vvzr7lt3OU09vwQwhkpOPPYv2Y/edit?usp=sharing"",""งบพรบ!HQ55"")"),0)</f>
        <v>0</v>
      </c>
      <c r="J55" s="262">
        <f t="shared" ca="1" si="25"/>
        <v>15260</v>
      </c>
      <c r="K55" s="476">
        <f t="shared" ca="1" si="26"/>
        <v>30.537100776434805</v>
      </c>
      <c r="L55" s="151">
        <f ca="1">IFERROR(__xludf.DUMMYFUNCTION("IMPORTRANGE(""https://docs.google.com/spreadsheets/d/1-uDff_7J0KD5mKrp0Vvzr7lt3OU09vwQwhkpOPPYv2Y/edit?usp=sharing"",""งบพรบ!HR55"")"),15260)</f>
        <v>15260</v>
      </c>
      <c r="M55" s="260">
        <f t="shared" ca="1" si="27"/>
        <v>30.537100776434805</v>
      </c>
      <c r="N55" s="260">
        <f t="shared" ca="1" si="28"/>
        <v>30.537100776434805</v>
      </c>
      <c r="O55" s="151">
        <f ca="1">IFERROR(__xludf.DUMMYFUNCTION("IMPORTRANGE(""https://docs.google.com/spreadsheets/d/1-uDff_7J0KD5mKrp0Vvzr7lt3OU09vwQwhkpOPPYv2Y/edit?usp=sharing"",""งบพรบ!HS55"")"),0)</f>
        <v>0</v>
      </c>
      <c r="P55" s="475">
        <f t="shared" ca="1" si="29"/>
        <v>0</v>
      </c>
      <c r="Q55" s="260">
        <f t="shared" ca="1" si="30"/>
        <v>0</v>
      </c>
      <c r="R55" s="475">
        <v>0</v>
      </c>
      <c r="S55" s="260">
        <v>0</v>
      </c>
      <c r="T55" s="475">
        <v>0</v>
      </c>
      <c r="U55" s="260">
        <v>0</v>
      </c>
      <c r="V55" s="260">
        <v>0</v>
      </c>
      <c r="W55" s="278">
        <v>0</v>
      </c>
      <c r="X55" s="152">
        <v>0</v>
      </c>
      <c r="Y55" s="216">
        <f t="shared" si="33"/>
        <v>0</v>
      </c>
      <c r="Z55" s="278">
        <v>0</v>
      </c>
      <c r="AA55" s="152">
        <v>0</v>
      </c>
      <c r="AB55" s="216">
        <f t="shared" si="35"/>
        <v>0</v>
      </c>
      <c r="AC55" s="152">
        <v>0</v>
      </c>
      <c r="AD55" s="152">
        <v>0</v>
      </c>
    </row>
    <row r="56" spans="1:30" ht="19.5" x14ac:dyDescent="0.3">
      <c r="A56" s="147">
        <v>4</v>
      </c>
      <c r="B56" s="148" t="s">
        <v>84</v>
      </c>
      <c r="C56" s="472">
        <f t="shared" ca="1" si="23"/>
        <v>6610</v>
      </c>
      <c r="D56" s="473">
        <f t="shared" ca="1" si="49"/>
        <v>6610</v>
      </c>
      <c r="E56" s="151">
        <f ca="1">IFERROR(__xludf.DUMMYFUNCTION("IMPORTRANGE(""https://docs.google.com/spreadsheets/d/1-uDff_7J0KD5mKrp0Vvzr7lt3OU09vwQwhkpOPPYv2Y/edit?usp=sharing"",""งบพรบ!HL56"")"),0)</f>
        <v>0</v>
      </c>
      <c r="F56" s="151">
        <f ca="1">IFERROR(__xludf.DUMMYFUNCTION("IMPORTRANGE(""https://docs.google.com/spreadsheets/d/1-uDff_7J0KD5mKrp0Vvzr7lt3OU09vwQwhkpOPPYv2Y/edit?usp=sharing"",""งบพรบ!HM56"")"),6610)</f>
        <v>6610</v>
      </c>
      <c r="G56" s="151">
        <f ca="1">IFERROR(__xludf.DUMMYFUNCTION("IMPORTRANGE(""https://docs.google.com/spreadsheets/d/1-uDff_7J0KD5mKrp0Vvzr7lt3OU09vwQwhkpOPPYv2Y/edit?usp=sharing"",""งบพรบ!HN56"")"),0)</f>
        <v>0</v>
      </c>
      <c r="H56" s="151">
        <f ca="1">IFERROR(__xludf.DUMMYFUNCTION("IMPORTRANGE(""https://docs.google.com/spreadsheets/d/1-uDff_7J0KD5mKrp0Vvzr7lt3OU09vwQwhkpOPPYv2Y/edit?usp=sharing"",""งบพรบ!HP56"")"),6610)</f>
        <v>6610</v>
      </c>
      <c r="I56" s="151">
        <f ca="1">IFERROR(__xludf.DUMMYFUNCTION("IMPORTRANGE(""https://docs.google.com/spreadsheets/d/1-uDff_7J0KD5mKrp0Vvzr7lt3OU09vwQwhkpOPPYv2Y/edit?usp=sharing"",""งบพรบ!HQ56"")"),0)</f>
        <v>0</v>
      </c>
      <c r="J56" s="262">
        <f t="shared" ca="1" si="25"/>
        <v>2340</v>
      </c>
      <c r="K56" s="476">
        <f t="shared" ca="1" si="26"/>
        <v>35.400907715582449</v>
      </c>
      <c r="L56" s="151">
        <f ca="1">IFERROR(__xludf.DUMMYFUNCTION("IMPORTRANGE(""https://docs.google.com/spreadsheets/d/1-uDff_7J0KD5mKrp0Vvzr7lt3OU09vwQwhkpOPPYv2Y/edit?usp=sharing"",""งบพรบ!HR56"")"),2340)</f>
        <v>2340</v>
      </c>
      <c r="M56" s="260">
        <f t="shared" ca="1" si="27"/>
        <v>35.400907715582449</v>
      </c>
      <c r="N56" s="260">
        <f t="shared" ca="1" si="28"/>
        <v>35.400907715582449</v>
      </c>
      <c r="O56" s="151">
        <f ca="1">IFERROR(__xludf.DUMMYFUNCTION("IMPORTRANGE(""https://docs.google.com/spreadsheets/d/1-uDff_7J0KD5mKrp0Vvzr7lt3OU09vwQwhkpOPPYv2Y/edit?usp=sharing"",""งบพรบ!HS56"")"),0)</f>
        <v>0</v>
      </c>
      <c r="P56" s="475">
        <f t="shared" ca="1" si="29"/>
        <v>0</v>
      </c>
      <c r="Q56" s="260">
        <f t="shared" ca="1" si="30"/>
        <v>0</v>
      </c>
      <c r="R56" s="475">
        <v>0</v>
      </c>
      <c r="S56" s="260">
        <v>0</v>
      </c>
      <c r="T56" s="475">
        <v>0</v>
      </c>
      <c r="U56" s="260">
        <v>0</v>
      </c>
      <c r="V56" s="260">
        <v>0</v>
      </c>
      <c r="W56" s="278">
        <v>0</v>
      </c>
      <c r="X56" s="152">
        <v>0</v>
      </c>
      <c r="Y56" s="216">
        <f t="shared" si="33"/>
        <v>0</v>
      </c>
      <c r="Z56" s="278">
        <v>0</v>
      </c>
      <c r="AA56" s="152">
        <v>0</v>
      </c>
      <c r="AB56" s="216">
        <f t="shared" si="35"/>
        <v>0</v>
      </c>
      <c r="AC56" s="152">
        <v>0</v>
      </c>
      <c r="AD56" s="152">
        <v>0</v>
      </c>
    </row>
    <row r="57" spans="1:30" ht="19.5" x14ac:dyDescent="0.3">
      <c r="A57" s="147">
        <v>5</v>
      </c>
      <c r="B57" s="148" t="s">
        <v>85</v>
      </c>
      <c r="C57" s="472">
        <f t="shared" ca="1" si="23"/>
        <v>47268</v>
      </c>
      <c r="D57" s="473">
        <f t="shared" ca="1" si="49"/>
        <v>47268</v>
      </c>
      <c r="E57" s="151">
        <f ca="1">IFERROR(__xludf.DUMMYFUNCTION("IMPORTRANGE(""https://docs.google.com/spreadsheets/d/1-uDff_7J0KD5mKrp0Vvzr7lt3OU09vwQwhkpOPPYv2Y/edit?usp=sharing"",""งบพรบ!HL57"")"),41100)</f>
        <v>41100</v>
      </c>
      <c r="F57" s="151">
        <f ca="1">IFERROR(__xludf.DUMMYFUNCTION("IMPORTRANGE(""https://docs.google.com/spreadsheets/d/1-uDff_7J0KD5mKrp0Vvzr7lt3OU09vwQwhkpOPPYv2Y/edit?usp=sharing"",""งบพรบ!HM57"")"),6168)</f>
        <v>6168</v>
      </c>
      <c r="G57" s="151">
        <f ca="1">IFERROR(__xludf.DUMMYFUNCTION("IMPORTRANGE(""https://docs.google.com/spreadsheets/d/1-uDff_7J0KD5mKrp0Vvzr7lt3OU09vwQwhkpOPPYv2Y/edit?usp=sharing"",""งบพรบ!HN57"")"),0)</f>
        <v>0</v>
      </c>
      <c r="H57" s="151">
        <f ca="1">IFERROR(__xludf.DUMMYFUNCTION("IMPORTRANGE(""https://docs.google.com/spreadsheets/d/1-uDff_7J0KD5mKrp0Vvzr7lt3OU09vwQwhkpOPPYv2Y/edit?usp=sharing"",""งบพรบ!HP57"")"),47268)</f>
        <v>47268</v>
      </c>
      <c r="I57" s="151">
        <f ca="1">IFERROR(__xludf.DUMMYFUNCTION("IMPORTRANGE(""https://docs.google.com/spreadsheets/d/1-uDff_7J0KD5mKrp0Vvzr7lt3OU09vwQwhkpOPPYv2Y/edit?usp=sharing"",""งบพรบ!HQ57"")"),0)</f>
        <v>0</v>
      </c>
      <c r="J57" s="262">
        <f t="shared" ca="1" si="25"/>
        <v>19708</v>
      </c>
      <c r="K57" s="476">
        <f t="shared" ca="1" si="26"/>
        <v>41.694169416941698</v>
      </c>
      <c r="L57" s="151">
        <f ca="1">IFERROR(__xludf.DUMMYFUNCTION("IMPORTRANGE(""https://docs.google.com/spreadsheets/d/1-uDff_7J0KD5mKrp0Vvzr7lt3OU09vwQwhkpOPPYv2Y/edit?usp=sharing"",""งบพรบ!HR57"")"),19708)</f>
        <v>19708</v>
      </c>
      <c r="M57" s="260">
        <f t="shared" ca="1" si="27"/>
        <v>41.694169416941698</v>
      </c>
      <c r="N57" s="260">
        <f t="shared" ca="1" si="28"/>
        <v>41.694169416941698</v>
      </c>
      <c r="O57" s="151">
        <f ca="1">IFERROR(__xludf.DUMMYFUNCTION("IMPORTRANGE(""https://docs.google.com/spreadsheets/d/1-uDff_7J0KD5mKrp0Vvzr7lt3OU09vwQwhkpOPPYv2Y/edit?usp=sharing"",""งบพรบ!HS57"")"),0)</f>
        <v>0</v>
      </c>
      <c r="P57" s="475">
        <f t="shared" ca="1" si="29"/>
        <v>0</v>
      </c>
      <c r="Q57" s="260">
        <f t="shared" ca="1" si="30"/>
        <v>0</v>
      </c>
      <c r="R57" s="475">
        <v>0</v>
      </c>
      <c r="S57" s="260">
        <v>0</v>
      </c>
      <c r="T57" s="475">
        <v>0</v>
      </c>
      <c r="U57" s="260">
        <v>0</v>
      </c>
      <c r="V57" s="260">
        <v>0</v>
      </c>
      <c r="W57" s="278">
        <v>0</v>
      </c>
      <c r="X57" s="152">
        <v>0</v>
      </c>
      <c r="Y57" s="216">
        <f t="shared" si="33"/>
        <v>0</v>
      </c>
      <c r="Z57" s="278">
        <v>0</v>
      </c>
      <c r="AA57" s="152">
        <v>0</v>
      </c>
      <c r="AB57" s="216">
        <f t="shared" si="35"/>
        <v>0</v>
      </c>
      <c r="AC57" s="152">
        <v>0</v>
      </c>
      <c r="AD57" s="152">
        <v>0</v>
      </c>
    </row>
    <row r="58" spans="1:30" ht="19.5" x14ac:dyDescent="0.3">
      <c r="A58" s="147">
        <v>6</v>
      </c>
      <c r="B58" s="148" t="s">
        <v>86</v>
      </c>
      <c r="C58" s="472">
        <f t="shared" ca="1" si="23"/>
        <v>0</v>
      </c>
      <c r="D58" s="473">
        <f t="shared" ca="1" si="49"/>
        <v>0</v>
      </c>
      <c r="E58" s="151">
        <f ca="1">IFERROR(__xludf.DUMMYFUNCTION("IMPORTRANGE(""https://docs.google.com/spreadsheets/d/1-uDff_7J0KD5mKrp0Vvzr7lt3OU09vwQwhkpOPPYv2Y/edit?usp=sharing"",""งบพรบ!HL58"")"),0)</f>
        <v>0</v>
      </c>
      <c r="F58" s="151">
        <f ca="1">IFERROR(__xludf.DUMMYFUNCTION("IMPORTRANGE(""https://docs.google.com/spreadsheets/d/1-uDff_7J0KD5mKrp0Vvzr7lt3OU09vwQwhkpOPPYv2Y/edit?usp=sharing"",""งบพรบ!HM58"")"),0)</f>
        <v>0</v>
      </c>
      <c r="G58" s="151">
        <f ca="1">IFERROR(__xludf.DUMMYFUNCTION("IMPORTRANGE(""https://docs.google.com/spreadsheets/d/1-uDff_7J0KD5mKrp0Vvzr7lt3OU09vwQwhkpOPPYv2Y/edit?usp=sharing"",""งบพรบ!HN58"")"),0)</f>
        <v>0</v>
      </c>
      <c r="H58" s="151">
        <f ca="1">IFERROR(__xludf.DUMMYFUNCTION("IMPORTRANGE(""https://docs.google.com/spreadsheets/d/1-uDff_7J0KD5mKrp0Vvzr7lt3OU09vwQwhkpOPPYv2Y/edit?usp=sharing"",""งบพรบ!HP58"")"),0)</f>
        <v>0</v>
      </c>
      <c r="I58" s="151">
        <f ca="1">IFERROR(__xludf.DUMMYFUNCTION("IMPORTRANGE(""https://docs.google.com/spreadsheets/d/1-uDff_7J0KD5mKrp0Vvzr7lt3OU09vwQwhkpOPPYv2Y/edit?usp=sharing"",""งบพรบ!HQ58"")"),0)</f>
        <v>0</v>
      </c>
      <c r="J58" s="262">
        <f t="shared" ca="1" si="25"/>
        <v>0</v>
      </c>
      <c r="K58" s="476">
        <f t="shared" ca="1" si="26"/>
        <v>0</v>
      </c>
      <c r="L58" s="151">
        <f ca="1">IFERROR(__xludf.DUMMYFUNCTION("IMPORTRANGE(""https://docs.google.com/spreadsheets/d/1-uDff_7J0KD5mKrp0Vvzr7lt3OU09vwQwhkpOPPYv2Y/edit?usp=sharing"",""งบพรบ!HR58"")"),0)</f>
        <v>0</v>
      </c>
      <c r="M58" s="260">
        <f t="shared" ca="1" si="27"/>
        <v>0</v>
      </c>
      <c r="N58" s="260">
        <f t="shared" ca="1" si="28"/>
        <v>0</v>
      </c>
      <c r="O58" s="151">
        <f ca="1">IFERROR(__xludf.DUMMYFUNCTION("IMPORTRANGE(""https://docs.google.com/spreadsheets/d/1-uDff_7J0KD5mKrp0Vvzr7lt3OU09vwQwhkpOPPYv2Y/edit?usp=sharing"",""งบพรบ!HS58"")"),0)</f>
        <v>0</v>
      </c>
      <c r="P58" s="475">
        <f t="shared" ca="1" si="29"/>
        <v>0</v>
      </c>
      <c r="Q58" s="260">
        <f t="shared" ca="1" si="30"/>
        <v>0</v>
      </c>
      <c r="R58" s="475">
        <v>0</v>
      </c>
      <c r="S58" s="260">
        <v>0</v>
      </c>
      <c r="T58" s="475">
        <v>0</v>
      </c>
      <c r="U58" s="260">
        <v>0</v>
      </c>
      <c r="V58" s="260">
        <v>0</v>
      </c>
      <c r="W58" s="278">
        <v>0</v>
      </c>
      <c r="X58" s="152">
        <v>0</v>
      </c>
      <c r="Y58" s="216">
        <f t="shared" si="33"/>
        <v>0</v>
      </c>
      <c r="Z58" s="278">
        <v>0</v>
      </c>
      <c r="AA58" s="152">
        <v>0</v>
      </c>
      <c r="AB58" s="216">
        <f t="shared" si="35"/>
        <v>0</v>
      </c>
      <c r="AC58" s="152">
        <v>0</v>
      </c>
      <c r="AD58" s="152">
        <v>0</v>
      </c>
    </row>
    <row r="59" spans="1:30" ht="19.5" x14ac:dyDescent="0.3">
      <c r="A59" s="147">
        <v>7</v>
      </c>
      <c r="B59" s="148" t="s">
        <v>87</v>
      </c>
      <c r="C59" s="472">
        <f t="shared" ca="1" si="23"/>
        <v>48012</v>
      </c>
      <c r="D59" s="473">
        <f t="shared" ca="1" si="49"/>
        <v>48012</v>
      </c>
      <c r="E59" s="151">
        <f ca="1">IFERROR(__xludf.DUMMYFUNCTION("IMPORTRANGE(""https://docs.google.com/spreadsheets/d/1-uDff_7J0KD5mKrp0Vvzr7lt3OU09vwQwhkpOPPYv2Y/edit?usp=sharing"",""งบพรบ!HL59"")"),42000)</f>
        <v>42000</v>
      </c>
      <c r="F59" s="151">
        <f ca="1">IFERROR(__xludf.DUMMYFUNCTION("IMPORTRANGE(""https://docs.google.com/spreadsheets/d/1-uDff_7J0KD5mKrp0Vvzr7lt3OU09vwQwhkpOPPYv2Y/edit?usp=sharing"",""งบพรบ!HM59"")"),6012)</f>
        <v>6012</v>
      </c>
      <c r="G59" s="151">
        <f ca="1">IFERROR(__xludf.DUMMYFUNCTION("IMPORTRANGE(""https://docs.google.com/spreadsheets/d/1-uDff_7J0KD5mKrp0Vvzr7lt3OU09vwQwhkpOPPYv2Y/edit?usp=sharing"",""งบพรบ!HN59"")"),0)</f>
        <v>0</v>
      </c>
      <c r="H59" s="151">
        <f ca="1">IFERROR(__xludf.DUMMYFUNCTION("IMPORTRANGE(""https://docs.google.com/spreadsheets/d/1-uDff_7J0KD5mKrp0Vvzr7lt3OU09vwQwhkpOPPYv2Y/edit?usp=sharing"",""งบพรบ!HP59"")"),48012)</f>
        <v>48012</v>
      </c>
      <c r="I59" s="151">
        <f ca="1">IFERROR(__xludf.DUMMYFUNCTION("IMPORTRANGE(""https://docs.google.com/spreadsheets/d/1-uDff_7J0KD5mKrp0Vvzr7lt3OU09vwQwhkpOPPYv2Y/edit?usp=sharing"",""งบพรบ!HQ59"")"),0)</f>
        <v>0</v>
      </c>
      <c r="J59" s="262">
        <f t="shared" ca="1" si="25"/>
        <v>40436</v>
      </c>
      <c r="K59" s="476">
        <f t="shared" ca="1" si="26"/>
        <v>84.220611513788214</v>
      </c>
      <c r="L59" s="151">
        <f ca="1">IFERROR(__xludf.DUMMYFUNCTION("IMPORTRANGE(""https://docs.google.com/spreadsheets/d/1-uDff_7J0KD5mKrp0Vvzr7lt3OU09vwQwhkpOPPYv2Y/edit?usp=sharing"",""งบพรบ!HR59"")"),40436)</f>
        <v>40436</v>
      </c>
      <c r="M59" s="260">
        <f t="shared" ca="1" si="27"/>
        <v>84.220611513788214</v>
      </c>
      <c r="N59" s="260">
        <f t="shared" ca="1" si="28"/>
        <v>84.220611513788214</v>
      </c>
      <c r="O59" s="151">
        <f ca="1">IFERROR(__xludf.DUMMYFUNCTION("IMPORTRANGE(""https://docs.google.com/spreadsheets/d/1-uDff_7J0KD5mKrp0Vvzr7lt3OU09vwQwhkpOPPYv2Y/edit?usp=sharing"",""งบพรบ!HS59"")"),0)</f>
        <v>0</v>
      </c>
      <c r="P59" s="475">
        <f t="shared" ca="1" si="29"/>
        <v>0</v>
      </c>
      <c r="Q59" s="260">
        <f t="shared" ca="1" si="30"/>
        <v>0</v>
      </c>
      <c r="R59" s="475">
        <v>0</v>
      </c>
      <c r="S59" s="260">
        <v>0</v>
      </c>
      <c r="T59" s="475">
        <v>0</v>
      </c>
      <c r="U59" s="260">
        <v>0</v>
      </c>
      <c r="V59" s="260">
        <v>0</v>
      </c>
      <c r="W59" s="278">
        <v>0</v>
      </c>
      <c r="X59" s="152">
        <v>0</v>
      </c>
      <c r="Y59" s="216">
        <f t="shared" si="33"/>
        <v>0</v>
      </c>
      <c r="Z59" s="278">
        <v>0</v>
      </c>
      <c r="AA59" s="152">
        <v>0</v>
      </c>
      <c r="AB59" s="216">
        <f t="shared" si="35"/>
        <v>0</v>
      </c>
      <c r="AC59" s="152">
        <v>0</v>
      </c>
      <c r="AD59" s="152">
        <v>0</v>
      </c>
    </row>
    <row r="60" spans="1:30" ht="19.5" x14ac:dyDescent="0.3">
      <c r="A60" s="147">
        <v>8</v>
      </c>
      <c r="B60" s="148" t="s">
        <v>88</v>
      </c>
      <c r="C60" s="472">
        <f t="shared" ca="1" si="23"/>
        <v>49642</v>
      </c>
      <c r="D60" s="473">
        <f t="shared" ca="1" si="49"/>
        <v>49642</v>
      </c>
      <c r="E60" s="151">
        <f ca="1">IFERROR(__xludf.DUMMYFUNCTION("IMPORTRANGE(""https://docs.google.com/spreadsheets/d/1-uDff_7J0KD5mKrp0Vvzr7lt3OU09vwQwhkpOPPYv2Y/edit?usp=sharing"",""งบพรบ!HL60"")"),43400)</f>
        <v>43400</v>
      </c>
      <c r="F60" s="151">
        <f ca="1">IFERROR(__xludf.DUMMYFUNCTION("IMPORTRANGE(""https://docs.google.com/spreadsheets/d/1-uDff_7J0KD5mKrp0Vvzr7lt3OU09vwQwhkpOPPYv2Y/edit?usp=sharing"",""งบพรบ!HM60"")"),6242)</f>
        <v>6242</v>
      </c>
      <c r="G60" s="151">
        <f ca="1">IFERROR(__xludf.DUMMYFUNCTION("IMPORTRANGE(""https://docs.google.com/spreadsheets/d/1-uDff_7J0KD5mKrp0Vvzr7lt3OU09vwQwhkpOPPYv2Y/edit?usp=sharing"",""งบพรบ!HN60"")"),0)</f>
        <v>0</v>
      </c>
      <c r="H60" s="151">
        <f ca="1">IFERROR(__xludf.DUMMYFUNCTION("IMPORTRANGE(""https://docs.google.com/spreadsheets/d/1-uDff_7J0KD5mKrp0Vvzr7lt3OU09vwQwhkpOPPYv2Y/edit?usp=sharing"",""งบพรบ!HP60"")"),49642)</f>
        <v>49642</v>
      </c>
      <c r="I60" s="151">
        <f ca="1">IFERROR(__xludf.DUMMYFUNCTION("IMPORTRANGE(""https://docs.google.com/spreadsheets/d/1-uDff_7J0KD5mKrp0Vvzr7lt3OU09vwQwhkpOPPYv2Y/edit?usp=sharing"",""งบพรบ!HQ60"")"),0)</f>
        <v>0</v>
      </c>
      <c r="J60" s="262">
        <f t="shared" ca="1" si="25"/>
        <v>25360</v>
      </c>
      <c r="K60" s="476">
        <f t="shared" ca="1" si="26"/>
        <v>51.085774142862896</v>
      </c>
      <c r="L60" s="151">
        <f ca="1">IFERROR(__xludf.DUMMYFUNCTION("IMPORTRANGE(""https://docs.google.com/spreadsheets/d/1-uDff_7J0KD5mKrp0Vvzr7lt3OU09vwQwhkpOPPYv2Y/edit?usp=sharing"",""งบพรบ!HR60"")"),25360)</f>
        <v>25360</v>
      </c>
      <c r="M60" s="260">
        <f t="shared" ca="1" si="27"/>
        <v>51.085774142862896</v>
      </c>
      <c r="N60" s="260">
        <f t="shared" ca="1" si="28"/>
        <v>51.085774142862896</v>
      </c>
      <c r="O60" s="151">
        <f ca="1">IFERROR(__xludf.DUMMYFUNCTION("IMPORTRANGE(""https://docs.google.com/spreadsheets/d/1-uDff_7J0KD5mKrp0Vvzr7lt3OU09vwQwhkpOPPYv2Y/edit?usp=sharing"",""งบพรบ!HS60"")"),0)</f>
        <v>0</v>
      </c>
      <c r="P60" s="475">
        <f t="shared" ca="1" si="29"/>
        <v>0</v>
      </c>
      <c r="Q60" s="260">
        <f t="shared" ca="1" si="30"/>
        <v>0</v>
      </c>
      <c r="R60" s="475">
        <v>0</v>
      </c>
      <c r="S60" s="260">
        <v>0</v>
      </c>
      <c r="T60" s="475">
        <v>0</v>
      </c>
      <c r="U60" s="260">
        <v>0</v>
      </c>
      <c r="V60" s="260">
        <v>0</v>
      </c>
      <c r="W60" s="278">
        <v>0</v>
      </c>
      <c r="X60" s="152">
        <v>0</v>
      </c>
      <c r="Y60" s="216">
        <f t="shared" si="33"/>
        <v>0</v>
      </c>
      <c r="Z60" s="278">
        <v>0</v>
      </c>
      <c r="AA60" s="152">
        <v>0</v>
      </c>
      <c r="AB60" s="216">
        <f t="shared" si="35"/>
        <v>0</v>
      </c>
      <c r="AC60" s="152">
        <v>0</v>
      </c>
      <c r="AD60" s="152">
        <v>0</v>
      </c>
    </row>
    <row r="61" spans="1:30" ht="19.5" x14ac:dyDescent="0.3">
      <c r="A61" s="147">
        <v>9</v>
      </c>
      <c r="B61" s="148" t="s">
        <v>89</v>
      </c>
      <c r="C61" s="472">
        <f t="shared" ca="1" si="23"/>
        <v>50188</v>
      </c>
      <c r="D61" s="473">
        <f t="shared" ca="1" si="49"/>
        <v>50188</v>
      </c>
      <c r="E61" s="151">
        <f ca="1">IFERROR(__xludf.DUMMYFUNCTION("IMPORTRANGE(""https://docs.google.com/spreadsheets/d/1-uDff_7J0KD5mKrp0Vvzr7lt3OU09vwQwhkpOPPYv2Y/edit?usp=sharing"",""งบพรบ!HL61"")"),44700)</f>
        <v>44700</v>
      </c>
      <c r="F61" s="151">
        <f ca="1">IFERROR(__xludf.DUMMYFUNCTION("IMPORTRANGE(""https://docs.google.com/spreadsheets/d/1-uDff_7J0KD5mKrp0Vvzr7lt3OU09vwQwhkpOPPYv2Y/edit?usp=sharing"",""งบพรบ!HM61"")"),5488)</f>
        <v>5488</v>
      </c>
      <c r="G61" s="151">
        <f ca="1">IFERROR(__xludf.DUMMYFUNCTION("IMPORTRANGE(""https://docs.google.com/spreadsheets/d/1-uDff_7J0KD5mKrp0Vvzr7lt3OU09vwQwhkpOPPYv2Y/edit?usp=sharing"",""งบพรบ!HN61"")"),0)</f>
        <v>0</v>
      </c>
      <c r="H61" s="151">
        <f ca="1">IFERROR(__xludf.DUMMYFUNCTION("IMPORTRANGE(""https://docs.google.com/spreadsheets/d/1-uDff_7J0KD5mKrp0Vvzr7lt3OU09vwQwhkpOPPYv2Y/edit?usp=sharing"",""งบพรบ!HP61"")"),50188)</f>
        <v>50188</v>
      </c>
      <c r="I61" s="151">
        <f ca="1">IFERROR(__xludf.DUMMYFUNCTION("IMPORTRANGE(""https://docs.google.com/spreadsheets/d/1-uDff_7J0KD5mKrp0Vvzr7lt3OU09vwQwhkpOPPYv2Y/edit?usp=sharing"",""งบพรบ!HQ61"")"),0)</f>
        <v>0</v>
      </c>
      <c r="J61" s="262">
        <f t="shared" ca="1" si="25"/>
        <v>43884.29</v>
      </c>
      <c r="K61" s="476">
        <f t="shared" ca="1" si="26"/>
        <v>87.439806328205947</v>
      </c>
      <c r="L61" s="151">
        <f ca="1">IFERROR(__xludf.DUMMYFUNCTION("IMPORTRANGE(""https://docs.google.com/spreadsheets/d/1-uDff_7J0KD5mKrp0Vvzr7lt3OU09vwQwhkpOPPYv2Y/edit?usp=sharing"",""งบพรบ!HR61"")"),43884.29)</f>
        <v>43884.29</v>
      </c>
      <c r="M61" s="260">
        <f t="shared" ca="1" si="27"/>
        <v>87.439806328205947</v>
      </c>
      <c r="N61" s="260">
        <f t="shared" ca="1" si="28"/>
        <v>87.439806328205947</v>
      </c>
      <c r="O61" s="151">
        <f ca="1">IFERROR(__xludf.DUMMYFUNCTION("IMPORTRANGE(""https://docs.google.com/spreadsheets/d/1-uDff_7J0KD5mKrp0Vvzr7lt3OU09vwQwhkpOPPYv2Y/edit?usp=sharing"",""งบพรบ!HS61"")"),0)</f>
        <v>0</v>
      </c>
      <c r="P61" s="475">
        <f t="shared" ca="1" si="29"/>
        <v>0</v>
      </c>
      <c r="Q61" s="260">
        <f t="shared" ca="1" si="30"/>
        <v>0</v>
      </c>
      <c r="R61" s="475">
        <v>0</v>
      </c>
      <c r="S61" s="260">
        <v>0</v>
      </c>
      <c r="T61" s="475">
        <v>0</v>
      </c>
      <c r="U61" s="260">
        <v>0</v>
      </c>
      <c r="V61" s="260">
        <v>0</v>
      </c>
      <c r="W61" s="278">
        <v>0</v>
      </c>
      <c r="X61" s="152">
        <v>0</v>
      </c>
      <c r="Y61" s="216">
        <f t="shared" si="33"/>
        <v>0</v>
      </c>
      <c r="Z61" s="278">
        <v>0</v>
      </c>
      <c r="AA61" s="152">
        <v>0</v>
      </c>
      <c r="AB61" s="216">
        <f t="shared" si="35"/>
        <v>0</v>
      </c>
      <c r="AC61" s="152">
        <v>0</v>
      </c>
      <c r="AD61" s="152">
        <v>0</v>
      </c>
    </row>
    <row r="62" spans="1:30" ht="19.5" x14ac:dyDescent="0.3">
      <c r="A62" s="147">
        <v>10</v>
      </c>
      <c r="B62" s="148" t="s">
        <v>90</v>
      </c>
      <c r="C62" s="472">
        <f t="shared" ca="1" si="23"/>
        <v>0</v>
      </c>
      <c r="D62" s="473">
        <f t="shared" ca="1" si="49"/>
        <v>0</v>
      </c>
      <c r="E62" s="151">
        <f ca="1">IFERROR(__xludf.DUMMYFUNCTION("IMPORTRANGE(""https://docs.google.com/spreadsheets/d/1-uDff_7J0KD5mKrp0Vvzr7lt3OU09vwQwhkpOPPYv2Y/edit?usp=sharing"",""งบพรบ!HL62"")"),0)</f>
        <v>0</v>
      </c>
      <c r="F62" s="151">
        <f ca="1">IFERROR(__xludf.DUMMYFUNCTION("IMPORTRANGE(""https://docs.google.com/spreadsheets/d/1-uDff_7J0KD5mKrp0Vvzr7lt3OU09vwQwhkpOPPYv2Y/edit?usp=sharing"",""งบพรบ!HM62"")"),0)</f>
        <v>0</v>
      </c>
      <c r="G62" s="151">
        <f ca="1">IFERROR(__xludf.DUMMYFUNCTION("IMPORTRANGE(""https://docs.google.com/spreadsheets/d/1-uDff_7J0KD5mKrp0Vvzr7lt3OU09vwQwhkpOPPYv2Y/edit?usp=sharing"",""งบพรบ!HN62"")"),0)</f>
        <v>0</v>
      </c>
      <c r="H62" s="151">
        <f ca="1">IFERROR(__xludf.DUMMYFUNCTION("IMPORTRANGE(""https://docs.google.com/spreadsheets/d/1-uDff_7J0KD5mKrp0Vvzr7lt3OU09vwQwhkpOPPYv2Y/edit?usp=sharing"",""งบพรบ!HP62"")"),0)</f>
        <v>0</v>
      </c>
      <c r="I62" s="151">
        <f ca="1">IFERROR(__xludf.DUMMYFUNCTION("IMPORTRANGE(""https://docs.google.com/spreadsheets/d/1-uDff_7J0KD5mKrp0Vvzr7lt3OU09vwQwhkpOPPYv2Y/edit?usp=sharing"",""งบพรบ!HQ62"")"),0)</f>
        <v>0</v>
      </c>
      <c r="J62" s="262">
        <f t="shared" ca="1" si="25"/>
        <v>0</v>
      </c>
      <c r="K62" s="476">
        <f t="shared" ca="1" si="26"/>
        <v>0</v>
      </c>
      <c r="L62" s="151">
        <f ca="1">IFERROR(__xludf.DUMMYFUNCTION("IMPORTRANGE(""https://docs.google.com/spreadsheets/d/1-uDff_7J0KD5mKrp0Vvzr7lt3OU09vwQwhkpOPPYv2Y/edit?usp=sharing"",""งบพรบ!HR62"")"),0)</f>
        <v>0</v>
      </c>
      <c r="M62" s="260">
        <f t="shared" ca="1" si="27"/>
        <v>0</v>
      </c>
      <c r="N62" s="260">
        <f t="shared" ca="1" si="28"/>
        <v>0</v>
      </c>
      <c r="O62" s="151">
        <f ca="1">IFERROR(__xludf.DUMMYFUNCTION("IMPORTRANGE(""https://docs.google.com/spreadsheets/d/1-uDff_7J0KD5mKrp0Vvzr7lt3OU09vwQwhkpOPPYv2Y/edit?usp=sharing"",""งบพรบ!HS62"")"),0)</f>
        <v>0</v>
      </c>
      <c r="P62" s="475">
        <f t="shared" ca="1" si="29"/>
        <v>0</v>
      </c>
      <c r="Q62" s="260">
        <f t="shared" ca="1" si="30"/>
        <v>0</v>
      </c>
      <c r="R62" s="475">
        <v>0</v>
      </c>
      <c r="S62" s="260">
        <v>0</v>
      </c>
      <c r="T62" s="475">
        <v>0</v>
      </c>
      <c r="U62" s="260">
        <v>0</v>
      </c>
      <c r="V62" s="260">
        <v>0</v>
      </c>
      <c r="W62" s="278">
        <v>0</v>
      </c>
      <c r="X62" s="152">
        <v>0</v>
      </c>
      <c r="Y62" s="216">
        <f t="shared" si="33"/>
        <v>0</v>
      </c>
      <c r="Z62" s="278">
        <v>0</v>
      </c>
      <c r="AA62" s="152">
        <v>0</v>
      </c>
      <c r="AB62" s="216">
        <f t="shared" si="35"/>
        <v>0</v>
      </c>
      <c r="AC62" s="152">
        <v>0</v>
      </c>
      <c r="AD62" s="152">
        <v>0</v>
      </c>
    </row>
    <row r="63" spans="1:30" ht="19.5" x14ac:dyDescent="0.3">
      <c r="A63" s="147">
        <v>11</v>
      </c>
      <c r="B63" s="148" t="s">
        <v>91</v>
      </c>
      <c r="C63" s="472">
        <f t="shared" ca="1" si="23"/>
        <v>48325</v>
      </c>
      <c r="D63" s="473">
        <f t="shared" ca="1" si="49"/>
        <v>48325</v>
      </c>
      <c r="E63" s="151">
        <f ca="1">IFERROR(__xludf.DUMMYFUNCTION("IMPORTRANGE(""https://docs.google.com/spreadsheets/d/1-uDff_7J0KD5mKrp0Vvzr7lt3OU09vwQwhkpOPPYv2Y/edit?usp=sharing"",""งบพรบ!HL63"")"),42000)</f>
        <v>42000</v>
      </c>
      <c r="F63" s="151">
        <f ca="1">IFERROR(__xludf.DUMMYFUNCTION("IMPORTRANGE(""https://docs.google.com/spreadsheets/d/1-uDff_7J0KD5mKrp0Vvzr7lt3OU09vwQwhkpOPPYv2Y/edit?usp=sharing"",""งบพรบ!HM63"")"),6325)</f>
        <v>6325</v>
      </c>
      <c r="G63" s="151">
        <f ca="1">IFERROR(__xludf.DUMMYFUNCTION("IMPORTRANGE(""https://docs.google.com/spreadsheets/d/1-uDff_7J0KD5mKrp0Vvzr7lt3OU09vwQwhkpOPPYv2Y/edit?usp=sharing"",""งบพรบ!HN63"")"),0)</f>
        <v>0</v>
      </c>
      <c r="H63" s="151">
        <f ca="1">IFERROR(__xludf.DUMMYFUNCTION("IMPORTRANGE(""https://docs.google.com/spreadsheets/d/1-uDff_7J0KD5mKrp0Vvzr7lt3OU09vwQwhkpOPPYv2Y/edit?usp=sharing"",""งบพรบ!HP63"")"),48325)</f>
        <v>48325</v>
      </c>
      <c r="I63" s="151">
        <f ca="1">IFERROR(__xludf.DUMMYFUNCTION("IMPORTRANGE(""https://docs.google.com/spreadsheets/d/1-uDff_7J0KD5mKrp0Vvzr7lt3OU09vwQwhkpOPPYv2Y/edit?usp=sharing"",""งบพรบ!HQ63"")"),0)</f>
        <v>0</v>
      </c>
      <c r="J63" s="262">
        <f t="shared" ca="1" si="25"/>
        <v>44646.95</v>
      </c>
      <c r="K63" s="476">
        <f t="shared" ca="1" si="26"/>
        <v>92.388929125711329</v>
      </c>
      <c r="L63" s="151">
        <f ca="1">IFERROR(__xludf.DUMMYFUNCTION("IMPORTRANGE(""https://docs.google.com/spreadsheets/d/1-uDff_7J0KD5mKrp0Vvzr7lt3OU09vwQwhkpOPPYv2Y/edit?usp=sharing"",""งบพรบ!HR63"")"),44646.95)</f>
        <v>44646.95</v>
      </c>
      <c r="M63" s="260">
        <f t="shared" ca="1" si="27"/>
        <v>92.388929125711329</v>
      </c>
      <c r="N63" s="260">
        <f t="shared" ca="1" si="28"/>
        <v>92.388929125711329</v>
      </c>
      <c r="O63" s="151">
        <f ca="1">IFERROR(__xludf.DUMMYFUNCTION("IMPORTRANGE(""https://docs.google.com/spreadsheets/d/1-uDff_7J0KD5mKrp0Vvzr7lt3OU09vwQwhkpOPPYv2Y/edit?usp=sharing"",""งบพรบ!HS63"")"),0)</f>
        <v>0</v>
      </c>
      <c r="P63" s="475">
        <f t="shared" ca="1" si="29"/>
        <v>0</v>
      </c>
      <c r="Q63" s="260">
        <f t="shared" ca="1" si="30"/>
        <v>0</v>
      </c>
      <c r="R63" s="475">
        <v>0</v>
      </c>
      <c r="S63" s="260">
        <v>0</v>
      </c>
      <c r="T63" s="475">
        <v>0</v>
      </c>
      <c r="U63" s="260">
        <v>0</v>
      </c>
      <c r="V63" s="260">
        <v>0</v>
      </c>
      <c r="W63" s="278">
        <v>0</v>
      </c>
      <c r="X63" s="152">
        <v>0</v>
      </c>
      <c r="Y63" s="216">
        <f t="shared" si="33"/>
        <v>0</v>
      </c>
      <c r="Z63" s="278">
        <v>0</v>
      </c>
      <c r="AA63" s="152">
        <v>0</v>
      </c>
      <c r="AB63" s="216">
        <f t="shared" si="35"/>
        <v>0</v>
      </c>
      <c r="AC63" s="152">
        <v>0</v>
      </c>
      <c r="AD63" s="152">
        <v>0</v>
      </c>
    </row>
    <row r="64" spans="1:30" ht="19.5" x14ac:dyDescent="0.3">
      <c r="A64" s="147">
        <v>12</v>
      </c>
      <c r="B64" s="148" t="s">
        <v>92</v>
      </c>
      <c r="C64" s="472">
        <f t="shared" ca="1" si="23"/>
        <v>50900</v>
      </c>
      <c r="D64" s="473">
        <f t="shared" ca="1" si="49"/>
        <v>50900</v>
      </c>
      <c r="E64" s="151">
        <f ca="1">IFERROR(__xludf.DUMMYFUNCTION("IMPORTRANGE(""https://docs.google.com/spreadsheets/d/1-uDff_7J0KD5mKrp0Vvzr7lt3OU09vwQwhkpOPPYv2Y/edit?usp=sharing"",""งบพรบ!HL64"")"),44900)</f>
        <v>44900</v>
      </c>
      <c r="F64" s="151">
        <f ca="1">IFERROR(__xludf.DUMMYFUNCTION("IMPORTRANGE(""https://docs.google.com/spreadsheets/d/1-uDff_7J0KD5mKrp0Vvzr7lt3OU09vwQwhkpOPPYv2Y/edit?usp=sharing"",""งบพรบ!HM64"")"),6000)</f>
        <v>6000</v>
      </c>
      <c r="G64" s="151">
        <f ca="1">IFERROR(__xludf.DUMMYFUNCTION("IMPORTRANGE(""https://docs.google.com/spreadsheets/d/1-uDff_7J0KD5mKrp0Vvzr7lt3OU09vwQwhkpOPPYv2Y/edit?usp=sharing"",""งบพรบ!HN64"")"),0)</f>
        <v>0</v>
      </c>
      <c r="H64" s="151">
        <f ca="1">IFERROR(__xludf.DUMMYFUNCTION("IMPORTRANGE(""https://docs.google.com/spreadsheets/d/1-uDff_7J0KD5mKrp0Vvzr7lt3OU09vwQwhkpOPPYv2Y/edit?usp=sharing"",""งบพรบ!HP64"")"),50900)</f>
        <v>50900</v>
      </c>
      <c r="I64" s="151">
        <f ca="1">IFERROR(__xludf.DUMMYFUNCTION("IMPORTRANGE(""https://docs.google.com/spreadsheets/d/1-uDff_7J0KD5mKrp0Vvzr7lt3OU09vwQwhkpOPPYv2Y/edit?usp=sharing"",""งบพรบ!HQ64"")"),0)</f>
        <v>0</v>
      </c>
      <c r="J64" s="262">
        <f t="shared" ca="1" si="25"/>
        <v>36213</v>
      </c>
      <c r="K64" s="476">
        <f t="shared" ca="1" si="26"/>
        <v>71.145383104125742</v>
      </c>
      <c r="L64" s="151">
        <f ca="1">IFERROR(__xludf.DUMMYFUNCTION("IMPORTRANGE(""https://docs.google.com/spreadsheets/d/1-uDff_7J0KD5mKrp0Vvzr7lt3OU09vwQwhkpOPPYv2Y/edit?usp=sharing"",""งบพรบ!HR64"")"),36213)</f>
        <v>36213</v>
      </c>
      <c r="M64" s="260">
        <f t="shared" ca="1" si="27"/>
        <v>71.145383104125742</v>
      </c>
      <c r="N64" s="260">
        <f t="shared" ca="1" si="28"/>
        <v>71.145383104125742</v>
      </c>
      <c r="O64" s="151">
        <f ca="1">IFERROR(__xludf.DUMMYFUNCTION("IMPORTRANGE(""https://docs.google.com/spreadsheets/d/1-uDff_7J0KD5mKrp0Vvzr7lt3OU09vwQwhkpOPPYv2Y/edit?usp=sharing"",""งบพรบ!HS64"")"),0)</f>
        <v>0</v>
      </c>
      <c r="P64" s="475">
        <f t="shared" ca="1" si="29"/>
        <v>0</v>
      </c>
      <c r="Q64" s="260">
        <f t="shared" ca="1" si="30"/>
        <v>0</v>
      </c>
      <c r="R64" s="475">
        <v>0</v>
      </c>
      <c r="S64" s="260">
        <v>0</v>
      </c>
      <c r="T64" s="475">
        <v>0</v>
      </c>
      <c r="U64" s="260">
        <v>0</v>
      </c>
      <c r="V64" s="260">
        <v>0</v>
      </c>
      <c r="W64" s="278">
        <v>0</v>
      </c>
      <c r="X64" s="152">
        <v>0</v>
      </c>
      <c r="Y64" s="216">
        <f t="shared" si="33"/>
        <v>0</v>
      </c>
      <c r="Z64" s="278">
        <v>0</v>
      </c>
      <c r="AA64" s="152">
        <v>0</v>
      </c>
      <c r="AB64" s="216">
        <f t="shared" si="35"/>
        <v>0</v>
      </c>
      <c r="AC64" s="152">
        <v>0</v>
      </c>
      <c r="AD64" s="152">
        <v>0</v>
      </c>
    </row>
    <row r="65" spans="1:30" ht="19.5" x14ac:dyDescent="0.3">
      <c r="A65" s="147">
        <v>13</v>
      </c>
      <c r="B65" s="148" t="s">
        <v>93</v>
      </c>
      <c r="C65" s="472">
        <f t="shared" ca="1" si="23"/>
        <v>47486</v>
      </c>
      <c r="D65" s="473">
        <f t="shared" ca="1" si="49"/>
        <v>47486</v>
      </c>
      <c r="E65" s="151">
        <f ca="1">IFERROR(__xludf.DUMMYFUNCTION("IMPORTRANGE(""https://docs.google.com/spreadsheets/d/1-uDff_7J0KD5mKrp0Vvzr7lt3OU09vwQwhkpOPPYv2Y/edit?usp=sharing"",""งบพรบ!HL65"")"),40600)</f>
        <v>40600</v>
      </c>
      <c r="F65" s="151">
        <f ca="1">IFERROR(__xludf.DUMMYFUNCTION("IMPORTRANGE(""https://docs.google.com/spreadsheets/d/1-uDff_7J0KD5mKrp0Vvzr7lt3OU09vwQwhkpOPPYv2Y/edit?usp=sharing"",""งบพรบ!HM65"")"),6886)</f>
        <v>6886</v>
      </c>
      <c r="G65" s="151">
        <f ca="1">IFERROR(__xludf.DUMMYFUNCTION("IMPORTRANGE(""https://docs.google.com/spreadsheets/d/1-uDff_7J0KD5mKrp0Vvzr7lt3OU09vwQwhkpOPPYv2Y/edit?usp=sharing"",""งบพรบ!HN65"")"),0)</f>
        <v>0</v>
      </c>
      <c r="H65" s="151">
        <f ca="1">IFERROR(__xludf.DUMMYFUNCTION("IMPORTRANGE(""https://docs.google.com/spreadsheets/d/1-uDff_7J0KD5mKrp0Vvzr7lt3OU09vwQwhkpOPPYv2Y/edit?usp=sharing"",""งบพรบ!HP65"")"),47486)</f>
        <v>47486</v>
      </c>
      <c r="I65" s="151">
        <f ca="1">IFERROR(__xludf.DUMMYFUNCTION("IMPORTRANGE(""https://docs.google.com/spreadsheets/d/1-uDff_7J0KD5mKrp0Vvzr7lt3OU09vwQwhkpOPPYv2Y/edit?usp=sharing"",""งบพรบ!HQ65"")"),0)</f>
        <v>0</v>
      </c>
      <c r="J65" s="262">
        <f t="shared" ca="1" si="25"/>
        <v>0</v>
      </c>
      <c r="K65" s="476">
        <f t="shared" ca="1" si="26"/>
        <v>0</v>
      </c>
      <c r="L65" s="151">
        <f ca="1">IFERROR(__xludf.DUMMYFUNCTION("IMPORTRANGE(""https://docs.google.com/spreadsheets/d/1-uDff_7J0KD5mKrp0Vvzr7lt3OU09vwQwhkpOPPYv2Y/edit?usp=sharing"",""งบพรบ!HR65"")"),0)</f>
        <v>0</v>
      </c>
      <c r="M65" s="260">
        <f t="shared" ca="1" si="27"/>
        <v>0</v>
      </c>
      <c r="N65" s="260">
        <f t="shared" ca="1" si="28"/>
        <v>0</v>
      </c>
      <c r="O65" s="151">
        <f ca="1">IFERROR(__xludf.DUMMYFUNCTION("IMPORTRANGE(""https://docs.google.com/spreadsheets/d/1-uDff_7J0KD5mKrp0Vvzr7lt3OU09vwQwhkpOPPYv2Y/edit?usp=sharing"",""งบพรบ!HS65"")"),0)</f>
        <v>0</v>
      </c>
      <c r="P65" s="475">
        <f t="shared" ca="1" si="29"/>
        <v>0</v>
      </c>
      <c r="Q65" s="260">
        <f t="shared" ca="1" si="30"/>
        <v>0</v>
      </c>
      <c r="R65" s="475">
        <v>0</v>
      </c>
      <c r="S65" s="260">
        <v>0</v>
      </c>
      <c r="T65" s="475">
        <v>0</v>
      </c>
      <c r="U65" s="260">
        <v>0</v>
      </c>
      <c r="V65" s="260">
        <v>0</v>
      </c>
      <c r="W65" s="278">
        <v>0</v>
      </c>
      <c r="X65" s="152">
        <v>0</v>
      </c>
      <c r="Y65" s="216">
        <f t="shared" si="33"/>
        <v>0</v>
      </c>
      <c r="Z65" s="278">
        <v>0</v>
      </c>
      <c r="AA65" s="152">
        <v>0</v>
      </c>
      <c r="AB65" s="216">
        <f t="shared" si="35"/>
        <v>0</v>
      </c>
      <c r="AC65" s="152">
        <v>0</v>
      </c>
      <c r="AD65" s="152">
        <v>0</v>
      </c>
    </row>
    <row r="66" spans="1:30" ht="19.5" x14ac:dyDescent="0.3">
      <c r="A66" s="147">
        <v>14</v>
      </c>
      <c r="B66" s="148" t="s">
        <v>94</v>
      </c>
      <c r="C66" s="472">
        <f t="shared" ca="1" si="23"/>
        <v>7512</v>
      </c>
      <c r="D66" s="473">
        <f t="shared" ca="1" si="49"/>
        <v>7512</v>
      </c>
      <c r="E66" s="151">
        <f ca="1">IFERROR(__xludf.DUMMYFUNCTION("IMPORTRANGE(""https://docs.google.com/spreadsheets/d/1-uDff_7J0KD5mKrp0Vvzr7lt3OU09vwQwhkpOPPYv2Y/edit?usp=sharing"",""งบพรบ!HL66"")"),0)</f>
        <v>0</v>
      </c>
      <c r="F66" s="151">
        <f ca="1">IFERROR(__xludf.DUMMYFUNCTION("IMPORTRANGE(""https://docs.google.com/spreadsheets/d/1-uDff_7J0KD5mKrp0Vvzr7lt3OU09vwQwhkpOPPYv2Y/edit?usp=sharing"",""งบพรบ!HM66"")"),7512)</f>
        <v>7512</v>
      </c>
      <c r="G66" s="151">
        <f ca="1">IFERROR(__xludf.DUMMYFUNCTION("IMPORTRANGE(""https://docs.google.com/spreadsheets/d/1-uDff_7J0KD5mKrp0Vvzr7lt3OU09vwQwhkpOPPYv2Y/edit?usp=sharing"",""งบพรบ!HN66"")"),0)</f>
        <v>0</v>
      </c>
      <c r="H66" s="151">
        <f ca="1">IFERROR(__xludf.DUMMYFUNCTION("IMPORTRANGE(""https://docs.google.com/spreadsheets/d/1-uDff_7J0KD5mKrp0Vvzr7lt3OU09vwQwhkpOPPYv2Y/edit?usp=sharing"",""งบพรบ!HP66"")"),7512)</f>
        <v>7512</v>
      </c>
      <c r="I66" s="151">
        <f ca="1">IFERROR(__xludf.DUMMYFUNCTION("IMPORTRANGE(""https://docs.google.com/spreadsheets/d/1-uDff_7J0KD5mKrp0Vvzr7lt3OU09vwQwhkpOPPYv2Y/edit?usp=sharing"",""งบพรบ!HQ66"")"),0)</f>
        <v>0</v>
      </c>
      <c r="J66" s="262">
        <f t="shared" ca="1" si="25"/>
        <v>7123</v>
      </c>
      <c r="K66" s="476">
        <f t="shared" ca="1" si="26"/>
        <v>94.82161874334399</v>
      </c>
      <c r="L66" s="151">
        <f ca="1">IFERROR(__xludf.DUMMYFUNCTION("IMPORTRANGE(""https://docs.google.com/spreadsheets/d/1-uDff_7J0KD5mKrp0Vvzr7lt3OU09vwQwhkpOPPYv2Y/edit?usp=sharing"",""งบพรบ!HR66"")"),7123)</f>
        <v>7123</v>
      </c>
      <c r="M66" s="260">
        <f t="shared" ca="1" si="27"/>
        <v>94.82161874334399</v>
      </c>
      <c r="N66" s="260">
        <f t="shared" ca="1" si="28"/>
        <v>94.82161874334399</v>
      </c>
      <c r="O66" s="151">
        <f ca="1">IFERROR(__xludf.DUMMYFUNCTION("IMPORTRANGE(""https://docs.google.com/spreadsheets/d/1-uDff_7J0KD5mKrp0Vvzr7lt3OU09vwQwhkpOPPYv2Y/edit?usp=sharing"",""งบพรบ!HS66"")"),0)</f>
        <v>0</v>
      </c>
      <c r="P66" s="475">
        <f t="shared" ca="1" si="29"/>
        <v>0</v>
      </c>
      <c r="Q66" s="260">
        <f t="shared" ca="1" si="30"/>
        <v>0</v>
      </c>
      <c r="R66" s="475">
        <v>0</v>
      </c>
      <c r="S66" s="260">
        <v>0</v>
      </c>
      <c r="T66" s="475">
        <v>0</v>
      </c>
      <c r="U66" s="260">
        <v>0</v>
      </c>
      <c r="V66" s="260">
        <v>0</v>
      </c>
      <c r="W66" s="278">
        <v>0</v>
      </c>
      <c r="X66" s="152">
        <v>0</v>
      </c>
      <c r="Y66" s="216">
        <f t="shared" si="33"/>
        <v>0</v>
      </c>
      <c r="Z66" s="278">
        <v>0</v>
      </c>
      <c r="AA66" s="152">
        <v>0</v>
      </c>
      <c r="AB66" s="216">
        <f t="shared" si="35"/>
        <v>0</v>
      </c>
      <c r="AC66" s="152">
        <v>0</v>
      </c>
      <c r="AD66" s="152">
        <v>0</v>
      </c>
    </row>
    <row r="67" spans="1:30" ht="19.5" x14ac:dyDescent="0.3">
      <c r="A67" s="147">
        <v>15</v>
      </c>
      <c r="B67" s="148" t="s">
        <v>95</v>
      </c>
      <c r="C67" s="472">
        <f t="shared" ca="1" si="23"/>
        <v>49156</v>
      </c>
      <c r="D67" s="473">
        <f t="shared" ca="1" si="49"/>
        <v>49156</v>
      </c>
      <c r="E67" s="151">
        <f ca="1">IFERROR(__xludf.DUMMYFUNCTION("IMPORTRANGE(""https://docs.google.com/spreadsheets/d/1-uDff_7J0KD5mKrp0Vvzr7lt3OU09vwQwhkpOPPYv2Y/edit?usp=sharing"",""งบพรบ!HL67"")"),42500)</f>
        <v>42500</v>
      </c>
      <c r="F67" s="151">
        <f ca="1">IFERROR(__xludf.DUMMYFUNCTION("IMPORTRANGE(""https://docs.google.com/spreadsheets/d/1-uDff_7J0KD5mKrp0Vvzr7lt3OU09vwQwhkpOPPYv2Y/edit?usp=sharing"",""งบพรบ!HM67"")"),6656)</f>
        <v>6656</v>
      </c>
      <c r="G67" s="151">
        <f ca="1">IFERROR(__xludf.DUMMYFUNCTION("IMPORTRANGE(""https://docs.google.com/spreadsheets/d/1-uDff_7J0KD5mKrp0Vvzr7lt3OU09vwQwhkpOPPYv2Y/edit?usp=sharing"",""งบพรบ!HN67"")"),0)</f>
        <v>0</v>
      </c>
      <c r="H67" s="151">
        <f ca="1">IFERROR(__xludf.DUMMYFUNCTION("IMPORTRANGE(""https://docs.google.com/spreadsheets/d/1-uDff_7J0KD5mKrp0Vvzr7lt3OU09vwQwhkpOPPYv2Y/edit?usp=sharing"",""งบพรบ!HP67"")"),49156)</f>
        <v>49156</v>
      </c>
      <c r="I67" s="151">
        <f ca="1">IFERROR(__xludf.DUMMYFUNCTION("IMPORTRANGE(""https://docs.google.com/spreadsheets/d/1-uDff_7J0KD5mKrp0Vvzr7lt3OU09vwQwhkpOPPYv2Y/edit?usp=sharing"",""งบพรบ!HQ67"")"),0)</f>
        <v>0</v>
      </c>
      <c r="J67" s="262">
        <f t="shared" ca="1" si="25"/>
        <v>7839</v>
      </c>
      <c r="K67" s="476">
        <f t="shared" ca="1" si="26"/>
        <v>15.947188542599072</v>
      </c>
      <c r="L67" s="151">
        <f ca="1">IFERROR(__xludf.DUMMYFUNCTION("IMPORTRANGE(""https://docs.google.com/spreadsheets/d/1-uDff_7J0KD5mKrp0Vvzr7lt3OU09vwQwhkpOPPYv2Y/edit?usp=sharing"",""งบพรบ!HR67"")"),7839)</f>
        <v>7839</v>
      </c>
      <c r="M67" s="260">
        <f t="shared" ca="1" si="27"/>
        <v>15.947188542599072</v>
      </c>
      <c r="N67" s="260">
        <f t="shared" ca="1" si="28"/>
        <v>15.947188542599072</v>
      </c>
      <c r="O67" s="151">
        <f ca="1">IFERROR(__xludf.DUMMYFUNCTION("IMPORTRANGE(""https://docs.google.com/spreadsheets/d/1-uDff_7J0KD5mKrp0Vvzr7lt3OU09vwQwhkpOPPYv2Y/edit?usp=sharing"",""งบพรบ!HS67"")"),0)</f>
        <v>0</v>
      </c>
      <c r="P67" s="475">
        <f t="shared" ca="1" si="29"/>
        <v>0</v>
      </c>
      <c r="Q67" s="260">
        <f t="shared" ca="1" si="30"/>
        <v>0</v>
      </c>
      <c r="R67" s="475">
        <v>0</v>
      </c>
      <c r="S67" s="260">
        <v>0</v>
      </c>
      <c r="T67" s="475">
        <v>0</v>
      </c>
      <c r="U67" s="260">
        <v>0</v>
      </c>
      <c r="V67" s="260">
        <v>0</v>
      </c>
      <c r="W67" s="278">
        <v>0</v>
      </c>
      <c r="X67" s="152">
        <v>0</v>
      </c>
      <c r="Y67" s="216">
        <f t="shared" si="33"/>
        <v>0</v>
      </c>
      <c r="Z67" s="278">
        <v>0</v>
      </c>
      <c r="AA67" s="152">
        <v>0</v>
      </c>
      <c r="AB67" s="216">
        <f t="shared" si="35"/>
        <v>0</v>
      </c>
      <c r="AC67" s="152">
        <v>0</v>
      </c>
      <c r="AD67" s="152">
        <v>0</v>
      </c>
    </row>
    <row r="68" spans="1:30" ht="19.5" x14ac:dyDescent="0.3">
      <c r="A68" s="147">
        <v>16</v>
      </c>
      <c r="B68" s="148" t="s">
        <v>96</v>
      </c>
      <c r="C68" s="472">
        <f t="shared" ca="1" si="23"/>
        <v>0</v>
      </c>
      <c r="D68" s="473">
        <f t="shared" ca="1" si="49"/>
        <v>0</v>
      </c>
      <c r="E68" s="151">
        <f ca="1">IFERROR(__xludf.DUMMYFUNCTION("IMPORTRANGE(""https://docs.google.com/spreadsheets/d/1-uDff_7J0KD5mKrp0Vvzr7lt3OU09vwQwhkpOPPYv2Y/edit?usp=sharing"",""งบพรบ!HL68"")"),0)</f>
        <v>0</v>
      </c>
      <c r="F68" s="151">
        <f ca="1">IFERROR(__xludf.DUMMYFUNCTION("IMPORTRANGE(""https://docs.google.com/spreadsheets/d/1-uDff_7J0KD5mKrp0Vvzr7lt3OU09vwQwhkpOPPYv2Y/edit?usp=sharing"",""งบพรบ!HM68"")"),0)</f>
        <v>0</v>
      </c>
      <c r="G68" s="151">
        <f ca="1">IFERROR(__xludf.DUMMYFUNCTION("IMPORTRANGE(""https://docs.google.com/spreadsheets/d/1-uDff_7J0KD5mKrp0Vvzr7lt3OU09vwQwhkpOPPYv2Y/edit?usp=sharing"",""งบพรบ!HN68"")"),0)</f>
        <v>0</v>
      </c>
      <c r="H68" s="151">
        <f ca="1">IFERROR(__xludf.DUMMYFUNCTION("IMPORTRANGE(""https://docs.google.com/spreadsheets/d/1-uDff_7J0KD5mKrp0Vvzr7lt3OU09vwQwhkpOPPYv2Y/edit?usp=sharing"",""งบพรบ!HP68"")"),0)</f>
        <v>0</v>
      </c>
      <c r="I68" s="151">
        <f ca="1">IFERROR(__xludf.DUMMYFUNCTION("IMPORTRANGE(""https://docs.google.com/spreadsheets/d/1-uDff_7J0KD5mKrp0Vvzr7lt3OU09vwQwhkpOPPYv2Y/edit?usp=sharing"",""งบพรบ!HQ68"")"),0)</f>
        <v>0</v>
      </c>
      <c r="J68" s="262">
        <f t="shared" ca="1" si="25"/>
        <v>0</v>
      </c>
      <c r="K68" s="476">
        <f t="shared" ca="1" si="26"/>
        <v>0</v>
      </c>
      <c r="L68" s="151">
        <f ca="1">IFERROR(__xludf.DUMMYFUNCTION("IMPORTRANGE(""https://docs.google.com/spreadsheets/d/1-uDff_7J0KD5mKrp0Vvzr7lt3OU09vwQwhkpOPPYv2Y/edit?usp=sharing"",""งบพรบ!HR68"")"),0)</f>
        <v>0</v>
      </c>
      <c r="M68" s="260">
        <f t="shared" ca="1" si="27"/>
        <v>0</v>
      </c>
      <c r="N68" s="260">
        <f t="shared" ca="1" si="28"/>
        <v>0</v>
      </c>
      <c r="O68" s="151">
        <f ca="1">IFERROR(__xludf.DUMMYFUNCTION("IMPORTRANGE(""https://docs.google.com/spreadsheets/d/1-uDff_7J0KD5mKrp0Vvzr7lt3OU09vwQwhkpOPPYv2Y/edit?usp=sharing"",""งบพรบ!HS68"")"),0)</f>
        <v>0</v>
      </c>
      <c r="P68" s="475">
        <f t="shared" ca="1" si="29"/>
        <v>0</v>
      </c>
      <c r="Q68" s="260">
        <f t="shared" ca="1" si="30"/>
        <v>0</v>
      </c>
      <c r="R68" s="475">
        <v>0</v>
      </c>
      <c r="S68" s="260">
        <v>0</v>
      </c>
      <c r="T68" s="475">
        <v>0</v>
      </c>
      <c r="U68" s="260">
        <v>0</v>
      </c>
      <c r="V68" s="260">
        <v>0</v>
      </c>
      <c r="W68" s="278">
        <v>0</v>
      </c>
      <c r="X68" s="152">
        <v>0</v>
      </c>
      <c r="Y68" s="216">
        <f t="shared" si="33"/>
        <v>0</v>
      </c>
      <c r="Z68" s="278">
        <v>0</v>
      </c>
      <c r="AA68" s="152">
        <v>0</v>
      </c>
      <c r="AB68" s="216">
        <f t="shared" si="35"/>
        <v>0</v>
      </c>
      <c r="AC68" s="152">
        <v>0</v>
      </c>
      <c r="AD68" s="152">
        <v>0</v>
      </c>
    </row>
    <row r="69" spans="1:30" ht="19.5" x14ac:dyDescent="0.3">
      <c r="A69" s="147">
        <v>17</v>
      </c>
      <c r="B69" s="148" t="s">
        <v>97</v>
      </c>
      <c r="C69" s="472">
        <f t="shared" ca="1" si="23"/>
        <v>7226</v>
      </c>
      <c r="D69" s="473">
        <f t="shared" ca="1" si="49"/>
        <v>7226</v>
      </c>
      <c r="E69" s="151">
        <f ca="1">IFERROR(__xludf.DUMMYFUNCTION("IMPORTRANGE(""https://docs.google.com/spreadsheets/d/1-uDff_7J0KD5mKrp0Vvzr7lt3OU09vwQwhkpOPPYv2Y/edit?usp=sharing"",""งบพรบ!HL69"")"),0)</f>
        <v>0</v>
      </c>
      <c r="F69" s="151">
        <f ca="1">IFERROR(__xludf.DUMMYFUNCTION("IMPORTRANGE(""https://docs.google.com/spreadsheets/d/1-uDff_7J0KD5mKrp0Vvzr7lt3OU09vwQwhkpOPPYv2Y/edit?usp=sharing"",""งบพรบ!HM69"")"),7226)</f>
        <v>7226</v>
      </c>
      <c r="G69" s="151">
        <f ca="1">IFERROR(__xludf.DUMMYFUNCTION("IMPORTRANGE(""https://docs.google.com/spreadsheets/d/1-uDff_7J0KD5mKrp0Vvzr7lt3OU09vwQwhkpOPPYv2Y/edit?usp=sharing"",""งบพรบ!HN69"")"),0)</f>
        <v>0</v>
      </c>
      <c r="H69" s="151">
        <f ca="1">IFERROR(__xludf.DUMMYFUNCTION("IMPORTRANGE(""https://docs.google.com/spreadsheets/d/1-uDff_7J0KD5mKrp0Vvzr7lt3OU09vwQwhkpOPPYv2Y/edit?usp=sharing"",""งบพรบ!HP69"")"),7226)</f>
        <v>7226</v>
      </c>
      <c r="I69" s="151">
        <f ca="1">IFERROR(__xludf.DUMMYFUNCTION("IMPORTRANGE(""https://docs.google.com/spreadsheets/d/1-uDff_7J0KD5mKrp0Vvzr7lt3OU09vwQwhkpOPPYv2Y/edit?usp=sharing"",""งบพรบ!HQ69"")"),0)</f>
        <v>0</v>
      </c>
      <c r="J69" s="262">
        <f t="shared" ca="1" si="25"/>
        <v>5760</v>
      </c>
      <c r="K69" s="476">
        <f t="shared" ca="1" si="26"/>
        <v>79.712150567395511</v>
      </c>
      <c r="L69" s="151">
        <f ca="1">IFERROR(__xludf.DUMMYFUNCTION("IMPORTRANGE(""https://docs.google.com/spreadsheets/d/1-uDff_7J0KD5mKrp0Vvzr7lt3OU09vwQwhkpOPPYv2Y/edit?usp=sharing"",""งบพรบ!HR69"")"),5760)</f>
        <v>5760</v>
      </c>
      <c r="M69" s="260">
        <f t="shared" ca="1" si="27"/>
        <v>79.712150567395511</v>
      </c>
      <c r="N69" s="260">
        <f t="shared" ca="1" si="28"/>
        <v>79.712150567395511</v>
      </c>
      <c r="O69" s="151">
        <f ca="1">IFERROR(__xludf.DUMMYFUNCTION("IMPORTRANGE(""https://docs.google.com/spreadsheets/d/1-uDff_7J0KD5mKrp0Vvzr7lt3OU09vwQwhkpOPPYv2Y/edit?usp=sharing"",""งบพรบ!HS69"")"),0)</f>
        <v>0</v>
      </c>
      <c r="P69" s="475">
        <f t="shared" ca="1" si="29"/>
        <v>0</v>
      </c>
      <c r="Q69" s="260">
        <f t="shared" ca="1" si="30"/>
        <v>0</v>
      </c>
      <c r="R69" s="475">
        <v>0</v>
      </c>
      <c r="S69" s="260">
        <v>0</v>
      </c>
      <c r="T69" s="475">
        <v>0</v>
      </c>
      <c r="U69" s="260">
        <v>0</v>
      </c>
      <c r="V69" s="260">
        <v>0</v>
      </c>
      <c r="W69" s="278">
        <v>0</v>
      </c>
      <c r="X69" s="152">
        <v>0</v>
      </c>
      <c r="Y69" s="216">
        <f t="shared" si="33"/>
        <v>0</v>
      </c>
      <c r="Z69" s="278">
        <v>0</v>
      </c>
      <c r="AA69" s="152">
        <v>0</v>
      </c>
      <c r="AB69" s="216">
        <f t="shared" si="35"/>
        <v>0</v>
      </c>
      <c r="AC69" s="152">
        <v>0</v>
      </c>
      <c r="AD69" s="152">
        <v>0</v>
      </c>
    </row>
    <row r="70" spans="1:30" ht="19.5" x14ac:dyDescent="0.3">
      <c r="A70" s="147">
        <v>18</v>
      </c>
      <c r="B70" s="148" t="s">
        <v>98</v>
      </c>
      <c r="C70" s="472">
        <f t="shared" ca="1" si="23"/>
        <v>0</v>
      </c>
      <c r="D70" s="473">
        <f t="shared" ca="1" si="49"/>
        <v>0</v>
      </c>
      <c r="E70" s="151">
        <f ca="1">IFERROR(__xludf.DUMMYFUNCTION("IMPORTRANGE(""https://docs.google.com/spreadsheets/d/1-uDff_7J0KD5mKrp0Vvzr7lt3OU09vwQwhkpOPPYv2Y/edit?usp=sharing"",""งบพรบ!HL70"")"),0)</f>
        <v>0</v>
      </c>
      <c r="F70" s="151">
        <f ca="1">IFERROR(__xludf.DUMMYFUNCTION("IMPORTRANGE(""https://docs.google.com/spreadsheets/d/1-uDff_7J0KD5mKrp0Vvzr7lt3OU09vwQwhkpOPPYv2Y/edit?usp=sharing"",""งบพรบ!HM70"")"),0)</f>
        <v>0</v>
      </c>
      <c r="G70" s="151">
        <f ca="1">IFERROR(__xludf.DUMMYFUNCTION("IMPORTRANGE(""https://docs.google.com/spreadsheets/d/1-uDff_7J0KD5mKrp0Vvzr7lt3OU09vwQwhkpOPPYv2Y/edit?usp=sharing"",""งบพรบ!HN70"")"),0)</f>
        <v>0</v>
      </c>
      <c r="H70" s="151">
        <f ca="1">IFERROR(__xludf.DUMMYFUNCTION("IMPORTRANGE(""https://docs.google.com/spreadsheets/d/1-uDff_7J0KD5mKrp0Vvzr7lt3OU09vwQwhkpOPPYv2Y/edit?usp=sharing"",""งบพรบ!HP70"")"),0)</f>
        <v>0</v>
      </c>
      <c r="I70" s="151">
        <f ca="1">IFERROR(__xludf.DUMMYFUNCTION("IMPORTRANGE(""https://docs.google.com/spreadsheets/d/1-uDff_7J0KD5mKrp0Vvzr7lt3OU09vwQwhkpOPPYv2Y/edit?usp=sharing"",""งบพรบ!HQ70"")"),0)</f>
        <v>0</v>
      </c>
      <c r="J70" s="262">
        <f t="shared" ca="1" si="25"/>
        <v>0</v>
      </c>
      <c r="K70" s="476">
        <f t="shared" ca="1" si="26"/>
        <v>0</v>
      </c>
      <c r="L70" s="151">
        <f ca="1">IFERROR(__xludf.DUMMYFUNCTION("IMPORTRANGE(""https://docs.google.com/spreadsheets/d/1-uDff_7J0KD5mKrp0Vvzr7lt3OU09vwQwhkpOPPYv2Y/edit?usp=sharing"",""งบพรบ!HR70"")"),0)</f>
        <v>0</v>
      </c>
      <c r="M70" s="260">
        <f t="shared" ca="1" si="27"/>
        <v>0</v>
      </c>
      <c r="N70" s="260">
        <f t="shared" ca="1" si="28"/>
        <v>0</v>
      </c>
      <c r="O70" s="151">
        <f ca="1">IFERROR(__xludf.DUMMYFUNCTION("IMPORTRANGE(""https://docs.google.com/spreadsheets/d/1-uDff_7J0KD5mKrp0Vvzr7lt3OU09vwQwhkpOPPYv2Y/edit?usp=sharing"",""งบพรบ!HS70"")"),0)</f>
        <v>0</v>
      </c>
      <c r="P70" s="475">
        <f t="shared" ca="1" si="29"/>
        <v>0</v>
      </c>
      <c r="Q70" s="260">
        <f t="shared" ca="1" si="30"/>
        <v>0</v>
      </c>
      <c r="R70" s="475">
        <v>0</v>
      </c>
      <c r="S70" s="260">
        <v>0</v>
      </c>
      <c r="T70" s="475">
        <v>0</v>
      </c>
      <c r="U70" s="260">
        <v>0</v>
      </c>
      <c r="V70" s="260">
        <v>0</v>
      </c>
      <c r="W70" s="278">
        <v>0</v>
      </c>
      <c r="X70" s="152">
        <v>0</v>
      </c>
      <c r="Y70" s="216">
        <f t="shared" si="33"/>
        <v>0</v>
      </c>
      <c r="Z70" s="278">
        <v>0</v>
      </c>
      <c r="AA70" s="152">
        <v>0</v>
      </c>
      <c r="AB70" s="216">
        <f t="shared" si="35"/>
        <v>0</v>
      </c>
      <c r="AC70" s="152">
        <v>0</v>
      </c>
      <c r="AD70" s="152">
        <v>0</v>
      </c>
    </row>
    <row r="71" spans="1:30" ht="19.5" x14ac:dyDescent="0.3">
      <c r="A71" s="147">
        <v>19</v>
      </c>
      <c r="B71" s="148" t="s">
        <v>99</v>
      </c>
      <c r="C71" s="472">
        <f t="shared" ca="1" si="23"/>
        <v>0</v>
      </c>
      <c r="D71" s="473">
        <f t="shared" ca="1" si="49"/>
        <v>0</v>
      </c>
      <c r="E71" s="151">
        <f ca="1">IFERROR(__xludf.DUMMYFUNCTION("IMPORTRANGE(""https://docs.google.com/spreadsheets/d/1-uDff_7J0KD5mKrp0Vvzr7lt3OU09vwQwhkpOPPYv2Y/edit?usp=sharing"",""งบพรบ!HL71"")"),0)</f>
        <v>0</v>
      </c>
      <c r="F71" s="151">
        <f ca="1">IFERROR(__xludf.DUMMYFUNCTION("IMPORTRANGE(""https://docs.google.com/spreadsheets/d/1-uDff_7J0KD5mKrp0Vvzr7lt3OU09vwQwhkpOPPYv2Y/edit?usp=sharing"",""งบพรบ!HM71"")"),0)</f>
        <v>0</v>
      </c>
      <c r="G71" s="151">
        <f ca="1">IFERROR(__xludf.DUMMYFUNCTION("IMPORTRANGE(""https://docs.google.com/spreadsheets/d/1-uDff_7J0KD5mKrp0Vvzr7lt3OU09vwQwhkpOPPYv2Y/edit?usp=sharing"",""งบพรบ!HN71"")"),0)</f>
        <v>0</v>
      </c>
      <c r="H71" s="151">
        <f ca="1">IFERROR(__xludf.DUMMYFUNCTION("IMPORTRANGE(""https://docs.google.com/spreadsheets/d/1-uDff_7J0KD5mKrp0Vvzr7lt3OU09vwQwhkpOPPYv2Y/edit?usp=sharing"",""งบพรบ!HP71"")"),0)</f>
        <v>0</v>
      </c>
      <c r="I71" s="151">
        <f ca="1">IFERROR(__xludf.DUMMYFUNCTION("IMPORTRANGE(""https://docs.google.com/spreadsheets/d/1-uDff_7J0KD5mKrp0Vvzr7lt3OU09vwQwhkpOPPYv2Y/edit?usp=sharing"",""งบพรบ!HQ71"")"),0)</f>
        <v>0</v>
      </c>
      <c r="J71" s="262">
        <f t="shared" ca="1" si="25"/>
        <v>0</v>
      </c>
      <c r="K71" s="476">
        <f t="shared" ca="1" si="26"/>
        <v>0</v>
      </c>
      <c r="L71" s="151">
        <f ca="1">IFERROR(__xludf.DUMMYFUNCTION("IMPORTRANGE(""https://docs.google.com/spreadsheets/d/1-uDff_7J0KD5mKrp0Vvzr7lt3OU09vwQwhkpOPPYv2Y/edit?usp=sharing"",""งบพรบ!HR71"")"),0)</f>
        <v>0</v>
      </c>
      <c r="M71" s="260">
        <f t="shared" ca="1" si="27"/>
        <v>0</v>
      </c>
      <c r="N71" s="260">
        <f t="shared" ca="1" si="28"/>
        <v>0</v>
      </c>
      <c r="O71" s="151">
        <f ca="1">IFERROR(__xludf.DUMMYFUNCTION("IMPORTRANGE(""https://docs.google.com/spreadsheets/d/1-uDff_7J0KD5mKrp0Vvzr7lt3OU09vwQwhkpOPPYv2Y/edit?usp=sharing"",""งบพรบ!HS71"")"),0)</f>
        <v>0</v>
      </c>
      <c r="P71" s="475">
        <f t="shared" ca="1" si="29"/>
        <v>0</v>
      </c>
      <c r="Q71" s="260">
        <f t="shared" ca="1" si="30"/>
        <v>0</v>
      </c>
      <c r="R71" s="475">
        <v>0</v>
      </c>
      <c r="S71" s="260">
        <v>0</v>
      </c>
      <c r="T71" s="475">
        <v>0</v>
      </c>
      <c r="U71" s="260">
        <v>0</v>
      </c>
      <c r="V71" s="260">
        <v>0</v>
      </c>
      <c r="W71" s="278">
        <v>0</v>
      </c>
      <c r="X71" s="152">
        <v>0</v>
      </c>
      <c r="Y71" s="216">
        <f t="shared" si="33"/>
        <v>0</v>
      </c>
      <c r="Z71" s="278">
        <v>0</v>
      </c>
      <c r="AA71" s="152">
        <v>0</v>
      </c>
      <c r="AB71" s="216">
        <f t="shared" si="35"/>
        <v>0</v>
      </c>
      <c r="AC71" s="152">
        <v>0</v>
      </c>
      <c r="AD71" s="152">
        <v>0</v>
      </c>
    </row>
    <row r="72" spans="1:30" ht="19.5" x14ac:dyDescent="0.3">
      <c r="A72" s="147">
        <v>20</v>
      </c>
      <c r="B72" s="148" t="s">
        <v>100</v>
      </c>
      <c r="C72" s="472">
        <f t="shared" ca="1" si="23"/>
        <v>0</v>
      </c>
      <c r="D72" s="473">
        <f t="shared" ca="1" si="49"/>
        <v>0</v>
      </c>
      <c r="E72" s="151">
        <f ca="1">IFERROR(__xludf.DUMMYFUNCTION("IMPORTRANGE(""https://docs.google.com/spreadsheets/d/1-uDff_7J0KD5mKrp0Vvzr7lt3OU09vwQwhkpOPPYv2Y/edit?usp=sharing"",""งบพรบ!HL72"")"),0)</f>
        <v>0</v>
      </c>
      <c r="F72" s="151">
        <f ca="1">IFERROR(__xludf.DUMMYFUNCTION("IMPORTRANGE(""https://docs.google.com/spreadsheets/d/1-uDff_7J0KD5mKrp0Vvzr7lt3OU09vwQwhkpOPPYv2Y/edit?usp=sharing"",""งบพรบ!HM72"")"),0)</f>
        <v>0</v>
      </c>
      <c r="G72" s="151">
        <f ca="1">IFERROR(__xludf.DUMMYFUNCTION("IMPORTRANGE(""https://docs.google.com/spreadsheets/d/1-uDff_7J0KD5mKrp0Vvzr7lt3OU09vwQwhkpOPPYv2Y/edit?usp=sharing"",""งบพรบ!HN72"")"),0)</f>
        <v>0</v>
      </c>
      <c r="H72" s="151">
        <f ca="1">IFERROR(__xludf.DUMMYFUNCTION("IMPORTRANGE(""https://docs.google.com/spreadsheets/d/1-uDff_7J0KD5mKrp0Vvzr7lt3OU09vwQwhkpOPPYv2Y/edit?usp=sharing"",""งบพรบ!HP72"")"),0)</f>
        <v>0</v>
      </c>
      <c r="I72" s="151">
        <f ca="1">IFERROR(__xludf.DUMMYFUNCTION("IMPORTRANGE(""https://docs.google.com/spreadsheets/d/1-uDff_7J0KD5mKrp0Vvzr7lt3OU09vwQwhkpOPPYv2Y/edit?usp=sharing"",""งบพรบ!HQ72"")"),0)</f>
        <v>0</v>
      </c>
      <c r="J72" s="262">
        <f t="shared" ca="1" si="25"/>
        <v>0</v>
      </c>
      <c r="K72" s="476">
        <f t="shared" ca="1" si="26"/>
        <v>0</v>
      </c>
      <c r="L72" s="151">
        <f ca="1">IFERROR(__xludf.DUMMYFUNCTION("IMPORTRANGE(""https://docs.google.com/spreadsheets/d/1-uDff_7J0KD5mKrp0Vvzr7lt3OU09vwQwhkpOPPYv2Y/edit?usp=sharing"",""งบพรบ!HR72"")"),0)</f>
        <v>0</v>
      </c>
      <c r="M72" s="260">
        <f t="shared" ca="1" si="27"/>
        <v>0</v>
      </c>
      <c r="N72" s="260">
        <f t="shared" ca="1" si="28"/>
        <v>0</v>
      </c>
      <c r="O72" s="151">
        <f ca="1">IFERROR(__xludf.DUMMYFUNCTION("IMPORTRANGE(""https://docs.google.com/spreadsheets/d/1-uDff_7J0KD5mKrp0Vvzr7lt3OU09vwQwhkpOPPYv2Y/edit?usp=sharing"",""งบพรบ!HS72"")"),0)</f>
        <v>0</v>
      </c>
      <c r="P72" s="475">
        <f t="shared" ca="1" si="29"/>
        <v>0</v>
      </c>
      <c r="Q72" s="260">
        <f t="shared" ca="1" si="30"/>
        <v>0</v>
      </c>
      <c r="R72" s="475">
        <v>0</v>
      </c>
      <c r="S72" s="260">
        <v>0</v>
      </c>
      <c r="T72" s="475">
        <v>0</v>
      </c>
      <c r="U72" s="260">
        <v>0</v>
      </c>
      <c r="V72" s="260">
        <v>0</v>
      </c>
      <c r="W72" s="278">
        <v>0</v>
      </c>
      <c r="X72" s="152">
        <v>0</v>
      </c>
      <c r="Y72" s="216">
        <f t="shared" si="33"/>
        <v>0</v>
      </c>
      <c r="Z72" s="278">
        <v>0</v>
      </c>
      <c r="AA72" s="152">
        <v>0</v>
      </c>
      <c r="AB72" s="216">
        <f t="shared" si="35"/>
        <v>0</v>
      </c>
      <c r="AC72" s="152">
        <v>0</v>
      </c>
      <c r="AD72" s="152">
        <v>0</v>
      </c>
    </row>
    <row r="73" spans="1:30" ht="19.5" x14ac:dyDescent="0.3">
      <c r="A73" s="155">
        <v>21</v>
      </c>
      <c r="B73" s="156" t="s">
        <v>101</v>
      </c>
      <c r="C73" s="477">
        <f t="shared" ca="1" si="23"/>
        <v>5359</v>
      </c>
      <c r="D73" s="478">
        <f t="shared" ca="1" si="49"/>
        <v>5359</v>
      </c>
      <c r="E73" s="159">
        <f ca="1">IFERROR(__xludf.DUMMYFUNCTION("IMPORTRANGE(""https://docs.google.com/spreadsheets/d/1-uDff_7J0KD5mKrp0Vvzr7lt3OU09vwQwhkpOPPYv2Y/edit?usp=sharing"",""งบพรบ!HL73"")"),0)</f>
        <v>0</v>
      </c>
      <c r="F73" s="159">
        <f ca="1">IFERROR(__xludf.DUMMYFUNCTION("IMPORTRANGE(""https://docs.google.com/spreadsheets/d/1-uDff_7J0KD5mKrp0Vvzr7lt3OU09vwQwhkpOPPYv2Y/edit?usp=sharing"",""งบพรบ!HM73"")"),5359)</f>
        <v>5359</v>
      </c>
      <c r="G73" s="159">
        <f ca="1">IFERROR(__xludf.DUMMYFUNCTION("IMPORTRANGE(""https://docs.google.com/spreadsheets/d/1-uDff_7J0KD5mKrp0Vvzr7lt3OU09vwQwhkpOPPYv2Y/edit?usp=sharing"",""งบพรบ!HN73"")"),0)</f>
        <v>0</v>
      </c>
      <c r="H73" s="159">
        <f ca="1">IFERROR(__xludf.DUMMYFUNCTION("IMPORTRANGE(""https://docs.google.com/spreadsheets/d/1-uDff_7J0KD5mKrp0Vvzr7lt3OU09vwQwhkpOPPYv2Y/edit?usp=sharing"",""งบพรบ!HP73"")"),5359)</f>
        <v>5359</v>
      </c>
      <c r="I73" s="159">
        <f ca="1">IFERROR(__xludf.DUMMYFUNCTION("IMPORTRANGE(""https://docs.google.com/spreadsheets/d/1-uDff_7J0KD5mKrp0Vvzr7lt3OU09vwQwhkpOPPYv2Y/edit?usp=sharing"",""งบพรบ!HQ73"")"),0)</f>
        <v>0</v>
      </c>
      <c r="J73" s="479">
        <f t="shared" ca="1" si="25"/>
        <v>3000</v>
      </c>
      <c r="K73" s="480">
        <f t="shared" ca="1" si="26"/>
        <v>55.980593394289983</v>
      </c>
      <c r="L73" s="159">
        <f ca="1">IFERROR(__xludf.DUMMYFUNCTION("IMPORTRANGE(""https://docs.google.com/spreadsheets/d/1-uDff_7J0KD5mKrp0Vvzr7lt3OU09vwQwhkpOPPYv2Y/edit?usp=sharing"",""งบพรบ!HR73"")"),3000)</f>
        <v>3000</v>
      </c>
      <c r="M73" s="481">
        <f t="shared" ca="1" si="27"/>
        <v>55.980593394289983</v>
      </c>
      <c r="N73" s="481">
        <f t="shared" ca="1" si="28"/>
        <v>55.980593394289983</v>
      </c>
      <c r="O73" s="159">
        <f ca="1">IFERROR(__xludf.DUMMYFUNCTION("IMPORTRANGE(""https://docs.google.com/spreadsheets/d/1-uDff_7J0KD5mKrp0Vvzr7lt3OU09vwQwhkpOPPYv2Y/edit?usp=sharing"",""งบพรบ!HS73"")"),0)</f>
        <v>0</v>
      </c>
      <c r="P73" s="482">
        <f t="shared" ca="1" si="29"/>
        <v>0</v>
      </c>
      <c r="Q73" s="481">
        <f t="shared" ca="1" si="30"/>
        <v>0</v>
      </c>
      <c r="R73" s="482">
        <v>0</v>
      </c>
      <c r="S73" s="481">
        <v>0</v>
      </c>
      <c r="T73" s="482">
        <v>0</v>
      </c>
      <c r="U73" s="481">
        <v>0</v>
      </c>
      <c r="V73" s="481">
        <v>0</v>
      </c>
      <c r="W73" s="487">
        <v>0</v>
      </c>
      <c r="X73" s="488">
        <v>0</v>
      </c>
      <c r="Y73" s="218">
        <f t="shared" si="33"/>
        <v>0</v>
      </c>
      <c r="Z73" s="487">
        <v>0</v>
      </c>
      <c r="AA73" s="488">
        <v>0</v>
      </c>
      <c r="AB73" s="218">
        <f t="shared" si="35"/>
        <v>0</v>
      </c>
      <c r="AC73" s="488">
        <v>0</v>
      </c>
      <c r="AD73" s="488">
        <v>0</v>
      </c>
    </row>
    <row r="74" spans="1:30" ht="19.5" x14ac:dyDescent="0.3">
      <c r="A74" s="696" t="s">
        <v>102</v>
      </c>
      <c r="B74" s="662"/>
      <c r="C74" s="601">
        <f t="shared" ca="1" si="23"/>
        <v>69050</v>
      </c>
      <c r="D74" s="601">
        <f t="shared" ref="D74:I74" ca="1" si="50">SUM(D75:D88)</f>
        <v>69050</v>
      </c>
      <c r="E74" s="601">
        <f t="shared" ca="1" si="50"/>
        <v>0</v>
      </c>
      <c r="F74" s="601">
        <f t="shared" ca="1" si="50"/>
        <v>69050</v>
      </c>
      <c r="G74" s="601">
        <f t="shared" ca="1" si="50"/>
        <v>0</v>
      </c>
      <c r="H74" s="601">
        <f t="shared" ca="1" si="50"/>
        <v>69050</v>
      </c>
      <c r="I74" s="601">
        <f t="shared" ca="1" si="50"/>
        <v>0</v>
      </c>
      <c r="J74" s="601">
        <f t="shared" ca="1" si="25"/>
        <v>17364</v>
      </c>
      <c r="K74" s="602">
        <f t="shared" ca="1" si="26"/>
        <v>25.146994931209267</v>
      </c>
      <c r="L74" s="601">
        <f ca="1">SUM(L75:L88)</f>
        <v>17364</v>
      </c>
      <c r="M74" s="603">
        <f t="shared" ca="1" si="27"/>
        <v>25.146994931209267</v>
      </c>
      <c r="N74" s="603">
        <f t="shared" ca="1" si="28"/>
        <v>25.146994931209267</v>
      </c>
      <c r="O74" s="604">
        <f ca="1">SUM(O75:O88)</f>
        <v>0</v>
      </c>
      <c r="P74" s="604">
        <f t="shared" ca="1" si="29"/>
        <v>0</v>
      </c>
      <c r="Q74" s="603">
        <f t="shared" ca="1" si="30"/>
        <v>0</v>
      </c>
      <c r="R74" s="604">
        <f t="shared" ref="R74:T74" si="51">SUM(R75:R88)</f>
        <v>0</v>
      </c>
      <c r="S74" s="603">
        <f t="shared" si="51"/>
        <v>0</v>
      </c>
      <c r="T74" s="604">
        <f t="shared" si="51"/>
        <v>0</v>
      </c>
      <c r="U74" s="603">
        <f>IF(R74&gt;0,T74*100/R74,0)</f>
        <v>0</v>
      </c>
      <c r="V74" s="603">
        <f>IF(S74&gt;0,T74*100/S74,0)</f>
        <v>0</v>
      </c>
      <c r="W74" s="282">
        <f t="shared" ref="W74:X74" si="52">SUM(W75:W88)</f>
        <v>0</v>
      </c>
      <c r="X74" s="369">
        <f t="shared" si="52"/>
        <v>0</v>
      </c>
      <c r="Y74" s="94">
        <f t="shared" si="33"/>
        <v>0</v>
      </c>
      <c r="Z74" s="282">
        <f t="shared" ref="Z74:AA74" si="53">SUM(Z75:Z88)</f>
        <v>0</v>
      </c>
      <c r="AA74" s="369">
        <f t="shared" si="53"/>
        <v>0</v>
      </c>
      <c r="AB74" s="94">
        <f t="shared" si="35"/>
        <v>0</v>
      </c>
      <c r="AC74" s="369">
        <f t="shared" ref="AC74:AD74" si="54">SUM(AC75:AC88)</f>
        <v>0</v>
      </c>
      <c r="AD74" s="369">
        <f t="shared" si="54"/>
        <v>0</v>
      </c>
    </row>
    <row r="75" spans="1:30" ht="19.5" x14ac:dyDescent="0.3">
      <c r="A75" s="147">
        <v>1</v>
      </c>
      <c r="B75" s="148" t="s">
        <v>103</v>
      </c>
      <c r="C75" s="472">
        <f t="shared" ca="1" si="23"/>
        <v>0</v>
      </c>
      <c r="D75" s="473">
        <f t="shared" ref="D75:D88" ca="1" si="55">+E75+F75</f>
        <v>0</v>
      </c>
      <c r="E75" s="151">
        <f ca="1">IFERROR(__xludf.DUMMYFUNCTION("IMPORTRANGE(""https://docs.google.com/spreadsheets/d/1-uDff_7J0KD5mKrp0Vvzr7lt3OU09vwQwhkpOPPYv2Y/edit?usp=sharing"",""งบพรบ!HL75"")"),0)</f>
        <v>0</v>
      </c>
      <c r="F75" s="151">
        <f ca="1">IFERROR(__xludf.DUMMYFUNCTION("IMPORTRANGE(""https://docs.google.com/spreadsheets/d/1-uDff_7J0KD5mKrp0Vvzr7lt3OU09vwQwhkpOPPYv2Y/edit?usp=sharing"",""งบพรบ!HM75"")"),0)</f>
        <v>0</v>
      </c>
      <c r="G75" s="151">
        <f ca="1">IFERROR(__xludf.DUMMYFUNCTION("IMPORTRANGE(""https://docs.google.com/spreadsheets/d/1-uDff_7J0KD5mKrp0Vvzr7lt3OU09vwQwhkpOPPYv2Y/edit?usp=sharing"",""งบพรบ!HN75"")"),0)</f>
        <v>0</v>
      </c>
      <c r="H75" s="151">
        <f ca="1">IFERROR(__xludf.DUMMYFUNCTION("IMPORTRANGE(""https://docs.google.com/spreadsheets/d/1-uDff_7J0KD5mKrp0Vvzr7lt3OU09vwQwhkpOPPYv2Y/edit?usp=sharing"",""งบพรบ!HP75"")"),0)</f>
        <v>0</v>
      </c>
      <c r="I75" s="151">
        <f ca="1">IFERROR(__xludf.DUMMYFUNCTION("IMPORTRANGE(""https://docs.google.com/spreadsheets/d/1-uDff_7J0KD5mKrp0Vvzr7lt3OU09vwQwhkpOPPYv2Y/edit?usp=sharing"",""งบพรบ!HQ75"")"),0)</f>
        <v>0</v>
      </c>
      <c r="J75" s="262">
        <f t="shared" ca="1" si="25"/>
        <v>0</v>
      </c>
      <c r="K75" s="476">
        <f t="shared" ca="1" si="26"/>
        <v>0</v>
      </c>
      <c r="L75" s="151">
        <f ca="1">IFERROR(__xludf.DUMMYFUNCTION("IMPORTRANGE(""https://docs.google.com/spreadsheets/d/1-uDff_7J0KD5mKrp0Vvzr7lt3OU09vwQwhkpOPPYv2Y/edit?usp=sharing"",""งบพรบ!HR75"")"),0)</f>
        <v>0</v>
      </c>
      <c r="M75" s="260">
        <f t="shared" ca="1" si="27"/>
        <v>0</v>
      </c>
      <c r="N75" s="260">
        <f t="shared" ca="1" si="28"/>
        <v>0</v>
      </c>
      <c r="O75" s="151">
        <f ca="1">IFERROR(__xludf.DUMMYFUNCTION("IMPORTRANGE(""https://docs.google.com/spreadsheets/d/1-uDff_7J0KD5mKrp0Vvzr7lt3OU09vwQwhkpOPPYv2Y/edit?usp=sharing"",""งบพรบ!HS75"")"),0)</f>
        <v>0</v>
      </c>
      <c r="P75" s="475">
        <f t="shared" ca="1" si="29"/>
        <v>0</v>
      </c>
      <c r="Q75" s="260">
        <f t="shared" ca="1" si="30"/>
        <v>0</v>
      </c>
      <c r="R75" s="475">
        <v>0</v>
      </c>
      <c r="S75" s="260">
        <v>0</v>
      </c>
      <c r="T75" s="475">
        <v>0</v>
      </c>
      <c r="U75" s="260">
        <v>0</v>
      </c>
      <c r="V75" s="260">
        <v>0</v>
      </c>
      <c r="W75" s="278">
        <v>0</v>
      </c>
      <c r="X75" s="152">
        <v>0</v>
      </c>
      <c r="Y75" s="216">
        <f t="shared" si="33"/>
        <v>0</v>
      </c>
      <c r="Z75" s="278">
        <v>0</v>
      </c>
      <c r="AA75" s="152">
        <v>0</v>
      </c>
      <c r="AB75" s="216">
        <f t="shared" si="35"/>
        <v>0</v>
      </c>
      <c r="AC75" s="152">
        <v>0</v>
      </c>
      <c r="AD75" s="152">
        <v>0</v>
      </c>
    </row>
    <row r="76" spans="1:30" ht="19.5" x14ac:dyDescent="0.3">
      <c r="A76" s="147">
        <v>2</v>
      </c>
      <c r="B76" s="148" t="s">
        <v>104</v>
      </c>
      <c r="C76" s="472">
        <f t="shared" ca="1" si="23"/>
        <v>0</v>
      </c>
      <c r="D76" s="473">
        <f t="shared" ca="1" si="55"/>
        <v>0</v>
      </c>
      <c r="E76" s="151">
        <f ca="1">IFERROR(__xludf.DUMMYFUNCTION("IMPORTRANGE(""https://docs.google.com/spreadsheets/d/1-uDff_7J0KD5mKrp0Vvzr7lt3OU09vwQwhkpOPPYv2Y/edit?usp=sharing"",""งบพรบ!HL76"")"),0)</f>
        <v>0</v>
      </c>
      <c r="F76" s="151">
        <f ca="1">IFERROR(__xludf.DUMMYFUNCTION("IMPORTRANGE(""https://docs.google.com/spreadsheets/d/1-uDff_7J0KD5mKrp0Vvzr7lt3OU09vwQwhkpOPPYv2Y/edit?usp=sharing"",""งบพรบ!HM76"")"),0)</f>
        <v>0</v>
      </c>
      <c r="G76" s="151">
        <f ca="1">IFERROR(__xludf.DUMMYFUNCTION("IMPORTRANGE(""https://docs.google.com/spreadsheets/d/1-uDff_7J0KD5mKrp0Vvzr7lt3OU09vwQwhkpOPPYv2Y/edit?usp=sharing"",""งบพรบ!HN76"")"),0)</f>
        <v>0</v>
      </c>
      <c r="H76" s="151">
        <f ca="1">IFERROR(__xludf.DUMMYFUNCTION("IMPORTRANGE(""https://docs.google.com/spreadsheets/d/1-uDff_7J0KD5mKrp0Vvzr7lt3OU09vwQwhkpOPPYv2Y/edit?usp=sharing"",""งบพรบ!HP76"")"),0)</f>
        <v>0</v>
      </c>
      <c r="I76" s="151">
        <f ca="1">IFERROR(__xludf.DUMMYFUNCTION("IMPORTRANGE(""https://docs.google.com/spreadsheets/d/1-uDff_7J0KD5mKrp0Vvzr7lt3OU09vwQwhkpOPPYv2Y/edit?usp=sharing"",""งบพรบ!HQ76"")"),0)</f>
        <v>0</v>
      </c>
      <c r="J76" s="262">
        <f t="shared" ca="1" si="25"/>
        <v>0</v>
      </c>
      <c r="K76" s="476">
        <f t="shared" ca="1" si="26"/>
        <v>0</v>
      </c>
      <c r="L76" s="151">
        <f ca="1">IFERROR(__xludf.DUMMYFUNCTION("IMPORTRANGE(""https://docs.google.com/spreadsheets/d/1-uDff_7J0KD5mKrp0Vvzr7lt3OU09vwQwhkpOPPYv2Y/edit?usp=sharing"",""งบพรบ!HR76"")"),0)</f>
        <v>0</v>
      </c>
      <c r="M76" s="260">
        <f t="shared" ca="1" si="27"/>
        <v>0</v>
      </c>
      <c r="N76" s="260">
        <f t="shared" ca="1" si="28"/>
        <v>0</v>
      </c>
      <c r="O76" s="151">
        <f ca="1">IFERROR(__xludf.DUMMYFUNCTION("IMPORTRANGE(""https://docs.google.com/spreadsheets/d/1-uDff_7J0KD5mKrp0Vvzr7lt3OU09vwQwhkpOPPYv2Y/edit?usp=sharing"",""งบพรบ!HS76"")"),0)</f>
        <v>0</v>
      </c>
      <c r="P76" s="475">
        <f t="shared" ca="1" si="29"/>
        <v>0</v>
      </c>
      <c r="Q76" s="260">
        <f t="shared" ca="1" si="30"/>
        <v>0</v>
      </c>
      <c r="R76" s="475">
        <v>0</v>
      </c>
      <c r="S76" s="260">
        <v>0</v>
      </c>
      <c r="T76" s="475">
        <v>0</v>
      </c>
      <c r="U76" s="260">
        <v>0</v>
      </c>
      <c r="V76" s="260">
        <v>0</v>
      </c>
      <c r="W76" s="278">
        <v>0</v>
      </c>
      <c r="X76" s="152">
        <v>0</v>
      </c>
      <c r="Y76" s="216">
        <f t="shared" si="33"/>
        <v>0</v>
      </c>
      <c r="Z76" s="278">
        <v>0</v>
      </c>
      <c r="AA76" s="152">
        <v>0</v>
      </c>
      <c r="AB76" s="216">
        <f t="shared" si="35"/>
        <v>0</v>
      </c>
      <c r="AC76" s="152">
        <v>0</v>
      </c>
      <c r="AD76" s="152">
        <v>0</v>
      </c>
    </row>
    <row r="77" spans="1:30" ht="19.5" x14ac:dyDescent="0.3">
      <c r="A77" s="147">
        <v>3</v>
      </c>
      <c r="B77" s="148" t="s">
        <v>105</v>
      </c>
      <c r="C77" s="472">
        <f t="shared" ca="1" si="23"/>
        <v>0</v>
      </c>
      <c r="D77" s="473">
        <f t="shared" ca="1" si="55"/>
        <v>0</v>
      </c>
      <c r="E77" s="151">
        <f ca="1">IFERROR(__xludf.DUMMYFUNCTION("IMPORTRANGE(""https://docs.google.com/spreadsheets/d/1-uDff_7J0KD5mKrp0Vvzr7lt3OU09vwQwhkpOPPYv2Y/edit?usp=sharing"",""งบพรบ!HL77"")"),0)</f>
        <v>0</v>
      </c>
      <c r="F77" s="151">
        <f ca="1">IFERROR(__xludf.DUMMYFUNCTION("IMPORTRANGE(""https://docs.google.com/spreadsheets/d/1-uDff_7J0KD5mKrp0Vvzr7lt3OU09vwQwhkpOPPYv2Y/edit?usp=sharing"",""งบพรบ!HM77"")"),0)</f>
        <v>0</v>
      </c>
      <c r="G77" s="151">
        <f ca="1">IFERROR(__xludf.DUMMYFUNCTION("IMPORTRANGE(""https://docs.google.com/spreadsheets/d/1-uDff_7J0KD5mKrp0Vvzr7lt3OU09vwQwhkpOPPYv2Y/edit?usp=sharing"",""งบพรบ!HN77"")"),0)</f>
        <v>0</v>
      </c>
      <c r="H77" s="151">
        <f ca="1">IFERROR(__xludf.DUMMYFUNCTION("IMPORTRANGE(""https://docs.google.com/spreadsheets/d/1-uDff_7J0KD5mKrp0Vvzr7lt3OU09vwQwhkpOPPYv2Y/edit?usp=sharing"",""งบพรบ!HP77"")"),0)</f>
        <v>0</v>
      </c>
      <c r="I77" s="151">
        <f ca="1">IFERROR(__xludf.DUMMYFUNCTION("IMPORTRANGE(""https://docs.google.com/spreadsheets/d/1-uDff_7J0KD5mKrp0Vvzr7lt3OU09vwQwhkpOPPYv2Y/edit?usp=sharing"",""งบพรบ!HQ77"")"),0)</f>
        <v>0</v>
      </c>
      <c r="J77" s="262">
        <f t="shared" ca="1" si="25"/>
        <v>0</v>
      </c>
      <c r="K77" s="476">
        <f t="shared" ca="1" si="26"/>
        <v>0</v>
      </c>
      <c r="L77" s="151">
        <f ca="1">IFERROR(__xludf.DUMMYFUNCTION("IMPORTRANGE(""https://docs.google.com/spreadsheets/d/1-uDff_7J0KD5mKrp0Vvzr7lt3OU09vwQwhkpOPPYv2Y/edit?usp=sharing"",""งบพรบ!HR77"")"),0)</f>
        <v>0</v>
      </c>
      <c r="M77" s="260">
        <f t="shared" ca="1" si="27"/>
        <v>0</v>
      </c>
      <c r="N77" s="260">
        <f t="shared" ca="1" si="28"/>
        <v>0</v>
      </c>
      <c r="O77" s="151">
        <f ca="1">IFERROR(__xludf.DUMMYFUNCTION("IMPORTRANGE(""https://docs.google.com/spreadsheets/d/1-uDff_7J0KD5mKrp0Vvzr7lt3OU09vwQwhkpOPPYv2Y/edit?usp=sharing"",""งบพรบ!HS77"")"),0)</f>
        <v>0</v>
      </c>
      <c r="P77" s="475">
        <f t="shared" ca="1" si="29"/>
        <v>0</v>
      </c>
      <c r="Q77" s="260">
        <f t="shared" ca="1" si="30"/>
        <v>0</v>
      </c>
      <c r="R77" s="475">
        <v>0</v>
      </c>
      <c r="S77" s="260">
        <v>0</v>
      </c>
      <c r="T77" s="475">
        <v>0</v>
      </c>
      <c r="U77" s="260">
        <v>0</v>
      </c>
      <c r="V77" s="260">
        <v>0</v>
      </c>
      <c r="W77" s="278">
        <v>0</v>
      </c>
      <c r="X77" s="152">
        <v>0</v>
      </c>
      <c r="Y77" s="216">
        <f t="shared" si="33"/>
        <v>0</v>
      </c>
      <c r="Z77" s="278">
        <v>0</v>
      </c>
      <c r="AA77" s="152">
        <v>0</v>
      </c>
      <c r="AB77" s="216">
        <f t="shared" si="35"/>
        <v>0</v>
      </c>
      <c r="AC77" s="152">
        <v>0</v>
      </c>
      <c r="AD77" s="152">
        <v>0</v>
      </c>
    </row>
    <row r="78" spans="1:30" ht="19.5" x14ac:dyDescent="0.3">
      <c r="A78" s="147">
        <v>4</v>
      </c>
      <c r="B78" s="148" t="s">
        <v>106</v>
      </c>
      <c r="C78" s="472">
        <f t="shared" ca="1" si="23"/>
        <v>13068</v>
      </c>
      <c r="D78" s="473">
        <f t="shared" ca="1" si="55"/>
        <v>13068</v>
      </c>
      <c r="E78" s="151">
        <f ca="1">IFERROR(__xludf.DUMMYFUNCTION("IMPORTRANGE(""https://docs.google.com/spreadsheets/d/1-uDff_7J0KD5mKrp0Vvzr7lt3OU09vwQwhkpOPPYv2Y/edit?usp=sharing"",""งบพรบ!HL78"")"),0)</f>
        <v>0</v>
      </c>
      <c r="F78" s="151">
        <f ca="1">IFERROR(__xludf.DUMMYFUNCTION("IMPORTRANGE(""https://docs.google.com/spreadsheets/d/1-uDff_7J0KD5mKrp0Vvzr7lt3OU09vwQwhkpOPPYv2Y/edit?usp=sharing"",""งบพรบ!HM78"")"),13068)</f>
        <v>13068</v>
      </c>
      <c r="G78" s="151">
        <f ca="1">IFERROR(__xludf.DUMMYFUNCTION("IMPORTRANGE(""https://docs.google.com/spreadsheets/d/1-uDff_7J0KD5mKrp0Vvzr7lt3OU09vwQwhkpOPPYv2Y/edit?usp=sharing"",""งบพรบ!HN78"")"),0)</f>
        <v>0</v>
      </c>
      <c r="H78" s="151">
        <f ca="1">IFERROR(__xludf.DUMMYFUNCTION("IMPORTRANGE(""https://docs.google.com/spreadsheets/d/1-uDff_7J0KD5mKrp0Vvzr7lt3OU09vwQwhkpOPPYv2Y/edit?usp=sharing"",""งบพรบ!HP78"")"),13068)</f>
        <v>13068</v>
      </c>
      <c r="I78" s="151">
        <f ca="1">IFERROR(__xludf.DUMMYFUNCTION("IMPORTRANGE(""https://docs.google.com/spreadsheets/d/1-uDff_7J0KD5mKrp0Vvzr7lt3OU09vwQwhkpOPPYv2Y/edit?usp=sharing"",""งบพรบ!HQ78"")"),0)</f>
        <v>0</v>
      </c>
      <c r="J78" s="262">
        <f t="shared" ca="1" si="25"/>
        <v>0</v>
      </c>
      <c r="K78" s="476">
        <f t="shared" ca="1" si="26"/>
        <v>0</v>
      </c>
      <c r="L78" s="151">
        <f ca="1">IFERROR(__xludf.DUMMYFUNCTION("IMPORTRANGE(""https://docs.google.com/spreadsheets/d/1-uDff_7J0KD5mKrp0Vvzr7lt3OU09vwQwhkpOPPYv2Y/edit?usp=sharing"",""งบพรบ!HR78"")"),0)</f>
        <v>0</v>
      </c>
      <c r="M78" s="260">
        <f t="shared" ca="1" si="27"/>
        <v>0</v>
      </c>
      <c r="N78" s="260">
        <f t="shared" ca="1" si="28"/>
        <v>0</v>
      </c>
      <c r="O78" s="151">
        <f ca="1">IFERROR(__xludf.DUMMYFUNCTION("IMPORTRANGE(""https://docs.google.com/spreadsheets/d/1-uDff_7J0KD5mKrp0Vvzr7lt3OU09vwQwhkpOPPYv2Y/edit?usp=sharing"",""งบพรบ!HS78"")"),0)</f>
        <v>0</v>
      </c>
      <c r="P78" s="475">
        <f t="shared" ca="1" si="29"/>
        <v>0</v>
      </c>
      <c r="Q78" s="260">
        <f t="shared" ca="1" si="30"/>
        <v>0</v>
      </c>
      <c r="R78" s="475">
        <v>0</v>
      </c>
      <c r="S78" s="260">
        <v>0</v>
      </c>
      <c r="T78" s="475">
        <v>0</v>
      </c>
      <c r="U78" s="260">
        <v>0</v>
      </c>
      <c r="V78" s="260">
        <v>0</v>
      </c>
      <c r="W78" s="278">
        <v>0</v>
      </c>
      <c r="X78" s="152">
        <v>0</v>
      </c>
      <c r="Y78" s="216">
        <f t="shared" si="33"/>
        <v>0</v>
      </c>
      <c r="Z78" s="278">
        <v>0</v>
      </c>
      <c r="AA78" s="152">
        <v>0</v>
      </c>
      <c r="AB78" s="216">
        <f t="shared" si="35"/>
        <v>0</v>
      </c>
      <c r="AC78" s="152">
        <v>0</v>
      </c>
      <c r="AD78" s="152">
        <v>0</v>
      </c>
    </row>
    <row r="79" spans="1:30" ht="19.5" x14ac:dyDescent="0.3">
      <c r="A79" s="147">
        <v>5</v>
      </c>
      <c r="B79" s="148" t="s">
        <v>107</v>
      </c>
      <c r="C79" s="472">
        <f t="shared" ca="1" si="23"/>
        <v>16160</v>
      </c>
      <c r="D79" s="473">
        <f t="shared" ca="1" si="55"/>
        <v>16160</v>
      </c>
      <c r="E79" s="151">
        <f ca="1">IFERROR(__xludf.DUMMYFUNCTION("IMPORTRANGE(""https://docs.google.com/spreadsheets/d/1-uDff_7J0KD5mKrp0Vvzr7lt3OU09vwQwhkpOPPYv2Y/edit?usp=sharing"",""งบพรบ!HL79"")"),0)</f>
        <v>0</v>
      </c>
      <c r="F79" s="151">
        <f ca="1">IFERROR(__xludf.DUMMYFUNCTION("IMPORTRANGE(""https://docs.google.com/spreadsheets/d/1-uDff_7J0KD5mKrp0Vvzr7lt3OU09vwQwhkpOPPYv2Y/edit?usp=sharing"",""งบพรบ!HM79"")"),16160)</f>
        <v>16160</v>
      </c>
      <c r="G79" s="151">
        <f ca="1">IFERROR(__xludf.DUMMYFUNCTION("IMPORTRANGE(""https://docs.google.com/spreadsheets/d/1-uDff_7J0KD5mKrp0Vvzr7lt3OU09vwQwhkpOPPYv2Y/edit?usp=sharing"",""งบพรบ!HN79"")"),0)</f>
        <v>0</v>
      </c>
      <c r="H79" s="151">
        <f ca="1">IFERROR(__xludf.DUMMYFUNCTION("IMPORTRANGE(""https://docs.google.com/spreadsheets/d/1-uDff_7J0KD5mKrp0Vvzr7lt3OU09vwQwhkpOPPYv2Y/edit?usp=sharing"",""งบพรบ!HP79"")"),16160)</f>
        <v>16160</v>
      </c>
      <c r="I79" s="151">
        <f ca="1">IFERROR(__xludf.DUMMYFUNCTION("IMPORTRANGE(""https://docs.google.com/spreadsheets/d/1-uDff_7J0KD5mKrp0Vvzr7lt3OU09vwQwhkpOPPYv2Y/edit?usp=sharing"",""งบพรบ!HQ79"")"),0)</f>
        <v>0</v>
      </c>
      <c r="J79" s="262">
        <f t="shared" ca="1" si="25"/>
        <v>7170</v>
      </c>
      <c r="K79" s="476">
        <f t="shared" ca="1" si="26"/>
        <v>44.368811881188115</v>
      </c>
      <c r="L79" s="151">
        <f ca="1">IFERROR(__xludf.DUMMYFUNCTION("IMPORTRANGE(""https://docs.google.com/spreadsheets/d/1-uDff_7J0KD5mKrp0Vvzr7lt3OU09vwQwhkpOPPYv2Y/edit?usp=sharing"",""งบพรบ!HR79"")"),7170)</f>
        <v>7170</v>
      </c>
      <c r="M79" s="260">
        <f t="shared" ca="1" si="27"/>
        <v>44.368811881188115</v>
      </c>
      <c r="N79" s="260">
        <f t="shared" ca="1" si="28"/>
        <v>44.368811881188115</v>
      </c>
      <c r="O79" s="151">
        <f ca="1">IFERROR(__xludf.DUMMYFUNCTION("IMPORTRANGE(""https://docs.google.com/spreadsheets/d/1-uDff_7J0KD5mKrp0Vvzr7lt3OU09vwQwhkpOPPYv2Y/edit?usp=sharing"",""งบพรบ!HS79"")"),0)</f>
        <v>0</v>
      </c>
      <c r="P79" s="475">
        <f t="shared" ca="1" si="29"/>
        <v>0</v>
      </c>
      <c r="Q79" s="260">
        <f t="shared" ca="1" si="30"/>
        <v>0</v>
      </c>
      <c r="R79" s="475">
        <v>0</v>
      </c>
      <c r="S79" s="260">
        <v>0</v>
      </c>
      <c r="T79" s="475">
        <v>0</v>
      </c>
      <c r="U79" s="260">
        <v>0</v>
      </c>
      <c r="V79" s="260">
        <v>0</v>
      </c>
      <c r="W79" s="278">
        <v>0</v>
      </c>
      <c r="X79" s="152">
        <v>0</v>
      </c>
      <c r="Y79" s="216">
        <f t="shared" si="33"/>
        <v>0</v>
      </c>
      <c r="Z79" s="278">
        <v>0</v>
      </c>
      <c r="AA79" s="152">
        <v>0</v>
      </c>
      <c r="AB79" s="216">
        <f t="shared" si="35"/>
        <v>0</v>
      </c>
      <c r="AC79" s="152">
        <v>0</v>
      </c>
      <c r="AD79" s="152">
        <v>0</v>
      </c>
    </row>
    <row r="80" spans="1:30" ht="19.5" x14ac:dyDescent="0.3">
      <c r="A80" s="147">
        <v>6</v>
      </c>
      <c r="B80" s="148" t="s">
        <v>108</v>
      </c>
      <c r="C80" s="472">
        <f t="shared" ca="1" si="23"/>
        <v>0</v>
      </c>
      <c r="D80" s="473">
        <f t="shared" ca="1" si="55"/>
        <v>0</v>
      </c>
      <c r="E80" s="151">
        <f ca="1">IFERROR(__xludf.DUMMYFUNCTION("IMPORTRANGE(""https://docs.google.com/spreadsheets/d/1-uDff_7J0KD5mKrp0Vvzr7lt3OU09vwQwhkpOPPYv2Y/edit?usp=sharing"",""งบพรบ!HL80"")"),0)</f>
        <v>0</v>
      </c>
      <c r="F80" s="151">
        <f ca="1">IFERROR(__xludf.DUMMYFUNCTION("IMPORTRANGE(""https://docs.google.com/spreadsheets/d/1-uDff_7J0KD5mKrp0Vvzr7lt3OU09vwQwhkpOPPYv2Y/edit?usp=sharing"",""งบพรบ!HM80"")"),0)</f>
        <v>0</v>
      </c>
      <c r="G80" s="151">
        <f ca="1">IFERROR(__xludf.DUMMYFUNCTION("IMPORTRANGE(""https://docs.google.com/spreadsheets/d/1-uDff_7J0KD5mKrp0Vvzr7lt3OU09vwQwhkpOPPYv2Y/edit?usp=sharing"",""งบพรบ!HN80"")"),0)</f>
        <v>0</v>
      </c>
      <c r="H80" s="151">
        <f ca="1">IFERROR(__xludf.DUMMYFUNCTION("IMPORTRANGE(""https://docs.google.com/spreadsheets/d/1-uDff_7J0KD5mKrp0Vvzr7lt3OU09vwQwhkpOPPYv2Y/edit?usp=sharing"",""งบพรบ!HP80"")"),0)</f>
        <v>0</v>
      </c>
      <c r="I80" s="151">
        <f ca="1">IFERROR(__xludf.DUMMYFUNCTION("IMPORTRANGE(""https://docs.google.com/spreadsheets/d/1-uDff_7J0KD5mKrp0Vvzr7lt3OU09vwQwhkpOPPYv2Y/edit?usp=sharing"",""งบพรบ!HQ80"")"),0)</f>
        <v>0</v>
      </c>
      <c r="J80" s="262">
        <f t="shared" ca="1" si="25"/>
        <v>0</v>
      </c>
      <c r="K80" s="476">
        <f t="shared" ca="1" si="26"/>
        <v>0</v>
      </c>
      <c r="L80" s="151">
        <f ca="1">IFERROR(__xludf.DUMMYFUNCTION("IMPORTRANGE(""https://docs.google.com/spreadsheets/d/1-uDff_7J0KD5mKrp0Vvzr7lt3OU09vwQwhkpOPPYv2Y/edit?usp=sharing"",""งบพรบ!HR80"")"),0)</f>
        <v>0</v>
      </c>
      <c r="M80" s="260">
        <f t="shared" ca="1" si="27"/>
        <v>0</v>
      </c>
      <c r="N80" s="260">
        <f t="shared" ca="1" si="28"/>
        <v>0</v>
      </c>
      <c r="O80" s="151">
        <f ca="1">IFERROR(__xludf.DUMMYFUNCTION("IMPORTRANGE(""https://docs.google.com/spreadsheets/d/1-uDff_7J0KD5mKrp0Vvzr7lt3OU09vwQwhkpOPPYv2Y/edit?usp=sharing"",""งบพรบ!HS80"")"),0)</f>
        <v>0</v>
      </c>
      <c r="P80" s="475">
        <f t="shared" ca="1" si="29"/>
        <v>0</v>
      </c>
      <c r="Q80" s="260">
        <f t="shared" ca="1" si="30"/>
        <v>0</v>
      </c>
      <c r="R80" s="475">
        <v>0</v>
      </c>
      <c r="S80" s="260">
        <v>0</v>
      </c>
      <c r="T80" s="475">
        <v>0</v>
      </c>
      <c r="U80" s="260">
        <v>0</v>
      </c>
      <c r="V80" s="260">
        <v>0</v>
      </c>
      <c r="W80" s="278">
        <v>0</v>
      </c>
      <c r="X80" s="152">
        <v>0</v>
      </c>
      <c r="Y80" s="216">
        <f t="shared" si="33"/>
        <v>0</v>
      </c>
      <c r="Z80" s="278">
        <v>0</v>
      </c>
      <c r="AA80" s="152">
        <v>0</v>
      </c>
      <c r="AB80" s="216">
        <f t="shared" si="35"/>
        <v>0</v>
      </c>
      <c r="AC80" s="152">
        <v>0</v>
      </c>
      <c r="AD80" s="152">
        <v>0</v>
      </c>
    </row>
    <row r="81" spans="1:30" ht="19.5" x14ac:dyDescent="0.3">
      <c r="A81" s="147">
        <v>7</v>
      </c>
      <c r="B81" s="148" t="s">
        <v>109</v>
      </c>
      <c r="C81" s="472">
        <f t="shared" ca="1" si="23"/>
        <v>0</v>
      </c>
      <c r="D81" s="473">
        <f t="shared" ca="1" si="55"/>
        <v>0</v>
      </c>
      <c r="E81" s="151">
        <f ca="1">IFERROR(__xludf.DUMMYFUNCTION("IMPORTRANGE(""https://docs.google.com/spreadsheets/d/1-uDff_7J0KD5mKrp0Vvzr7lt3OU09vwQwhkpOPPYv2Y/edit?usp=sharing"",""งบพรบ!HL81"")"),0)</f>
        <v>0</v>
      </c>
      <c r="F81" s="151">
        <f ca="1">IFERROR(__xludf.DUMMYFUNCTION("IMPORTRANGE(""https://docs.google.com/spreadsheets/d/1-uDff_7J0KD5mKrp0Vvzr7lt3OU09vwQwhkpOPPYv2Y/edit?usp=sharing"",""งบพรบ!HM81"")"),0)</f>
        <v>0</v>
      </c>
      <c r="G81" s="151">
        <f ca="1">IFERROR(__xludf.DUMMYFUNCTION("IMPORTRANGE(""https://docs.google.com/spreadsheets/d/1-uDff_7J0KD5mKrp0Vvzr7lt3OU09vwQwhkpOPPYv2Y/edit?usp=sharing"",""งบพรบ!HN81"")"),0)</f>
        <v>0</v>
      </c>
      <c r="H81" s="151">
        <f ca="1">IFERROR(__xludf.DUMMYFUNCTION("IMPORTRANGE(""https://docs.google.com/spreadsheets/d/1-uDff_7J0KD5mKrp0Vvzr7lt3OU09vwQwhkpOPPYv2Y/edit?usp=sharing"",""งบพรบ!HP81"")"),0)</f>
        <v>0</v>
      </c>
      <c r="I81" s="151">
        <f ca="1">IFERROR(__xludf.DUMMYFUNCTION("IMPORTRANGE(""https://docs.google.com/spreadsheets/d/1-uDff_7J0KD5mKrp0Vvzr7lt3OU09vwQwhkpOPPYv2Y/edit?usp=sharing"",""งบพรบ!HQ81"")"),0)</f>
        <v>0</v>
      </c>
      <c r="J81" s="262">
        <f t="shared" ca="1" si="25"/>
        <v>0</v>
      </c>
      <c r="K81" s="476">
        <f t="shared" ca="1" si="26"/>
        <v>0</v>
      </c>
      <c r="L81" s="151">
        <f ca="1">IFERROR(__xludf.DUMMYFUNCTION("IMPORTRANGE(""https://docs.google.com/spreadsheets/d/1-uDff_7J0KD5mKrp0Vvzr7lt3OU09vwQwhkpOPPYv2Y/edit?usp=sharing"",""งบพรบ!HR81"")"),0)</f>
        <v>0</v>
      </c>
      <c r="M81" s="260">
        <f t="shared" ca="1" si="27"/>
        <v>0</v>
      </c>
      <c r="N81" s="260">
        <f t="shared" ca="1" si="28"/>
        <v>0</v>
      </c>
      <c r="O81" s="151">
        <f ca="1">IFERROR(__xludf.DUMMYFUNCTION("IMPORTRANGE(""https://docs.google.com/spreadsheets/d/1-uDff_7J0KD5mKrp0Vvzr7lt3OU09vwQwhkpOPPYv2Y/edit?usp=sharing"",""งบพรบ!HS81"")"),0)</f>
        <v>0</v>
      </c>
      <c r="P81" s="475">
        <f t="shared" ca="1" si="29"/>
        <v>0</v>
      </c>
      <c r="Q81" s="260">
        <f t="shared" ca="1" si="30"/>
        <v>0</v>
      </c>
      <c r="R81" s="475">
        <v>0</v>
      </c>
      <c r="S81" s="260">
        <v>0</v>
      </c>
      <c r="T81" s="475">
        <v>0</v>
      </c>
      <c r="U81" s="260">
        <v>0</v>
      </c>
      <c r="V81" s="260">
        <v>0</v>
      </c>
      <c r="W81" s="278">
        <v>0</v>
      </c>
      <c r="X81" s="152">
        <v>0</v>
      </c>
      <c r="Y81" s="216">
        <f t="shared" si="33"/>
        <v>0</v>
      </c>
      <c r="Z81" s="278">
        <v>0</v>
      </c>
      <c r="AA81" s="152">
        <v>0</v>
      </c>
      <c r="AB81" s="216">
        <f t="shared" si="35"/>
        <v>0</v>
      </c>
      <c r="AC81" s="152">
        <v>0</v>
      </c>
      <c r="AD81" s="152">
        <v>0</v>
      </c>
    </row>
    <row r="82" spans="1:30" ht="19.5" x14ac:dyDescent="0.3">
      <c r="A82" s="147">
        <v>8</v>
      </c>
      <c r="B82" s="148" t="s">
        <v>110</v>
      </c>
      <c r="C82" s="472">
        <f t="shared" ca="1" si="23"/>
        <v>0</v>
      </c>
      <c r="D82" s="473">
        <f t="shared" ca="1" si="55"/>
        <v>0</v>
      </c>
      <c r="E82" s="151">
        <f ca="1">IFERROR(__xludf.DUMMYFUNCTION("IMPORTRANGE(""https://docs.google.com/spreadsheets/d/1-uDff_7J0KD5mKrp0Vvzr7lt3OU09vwQwhkpOPPYv2Y/edit?usp=sharing"",""งบพรบ!HL82"")"),0)</f>
        <v>0</v>
      </c>
      <c r="F82" s="151">
        <f ca="1">IFERROR(__xludf.DUMMYFUNCTION("IMPORTRANGE(""https://docs.google.com/spreadsheets/d/1-uDff_7J0KD5mKrp0Vvzr7lt3OU09vwQwhkpOPPYv2Y/edit?usp=sharing"",""งบพรบ!HM82"")"),0)</f>
        <v>0</v>
      </c>
      <c r="G82" s="151">
        <f ca="1">IFERROR(__xludf.DUMMYFUNCTION("IMPORTRANGE(""https://docs.google.com/spreadsheets/d/1-uDff_7J0KD5mKrp0Vvzr7lt3OU09vwQwhkpOPPYv2Y/edit?usp=sharing"",""งบพรบ!HN82"")"),0)</f>
        <v>0</v>
      </c>
      <c r="H82" s="151">
        <f ca="1">IFERROR(__xludf.DUMMYFUNCTION("IMPORTRANGE(""https://docs.google.com/spreadsheets/d/1-uDff_7J0KD5mKrp0Vvzr7lt3OU09vwQwhkpOPPYv2Y/edit?usp=sharing"",""งบพรบ!HP82"")"),0)</f>
        <v>0</v>
      </c>
      <c r="I82" s="151">
        <f ca="1">IFERROR(__xludf.DUMMYFUNCTION("IMPORTRANGE(""https://docs.google.com/spreadsheets/d/1-uDff_7J0KD5mKrp0Vvzr7lt3OU09vwQwhkpOPPYv2Y/edit?usp=sharing"",""งบพรบ!HQ82"")"),0)</f>
        <v>0</v>
      </c>
      <c r="J82" s="262">
        <f t="shared" ca="1" si="25"/>
        <v>0</v>
      </c>
      <c r="K82" s="476">
        <f t="shared" ca="1" si="26"/>
        <v>0</v>
      </c>
      <c r="L82" s="151">
        <f ca="1">IFERROR(__xludf.DUMMYFUNCTION("IMPORTRANGE(""https://docs.google.com/spreadsheets/d/1-uDff_7J0KD5mKrp0Vvzr7lt3OU09vwQwhkpOPPYv2Y/edit?usp=sharing"",""งบพรบ!HR82"")"),0)</f>
        <v>0</v>
      </c>
      <c r="M82" s="260">
        <f t="shared" ca="1" si="27"/>
        <v>0</v>
      </c>
      <c r="N82" s="260">
        <f t="shared" ca="1" si="28"/>
        <v>0</v>
      </c>
      <c r="O82" s="151">
        <f ca="1">IFERROR(__xludf.DUMMYFUNCTION("IMPORTRANGE(""https://docs.google.com/spreadsheets/d/1-uDff_7J0KD5mKrp0Vvzr7lt3OU09vwQwhkpOPPYv2Y/edit?usp=sharing"",""งบพรบ!HS82"")"),0)</f>
        <v>0</v>
      </c>
      <c r="P82" s="475">
        <f t="shared" ca="1" si="29"/>
        <v>0</v>
      </c>
      <c r="Q82" s="260">
        <f t="shared" ca="1" si="30"/>
        <v>0</v>
      </c>
      <c r="R82" s="475">
        <v>0</v>
      </c>
      <c r="S82" s="260">
        <v>0</v>
      </c>
      <c r="T82" s="475">
        <v>0</v>
      </c>
      <c r="U82" s="260">
        <v>0</v>
      </c>
      <c r="V82" s="260">
        <v>0</v>
      </c>
      <c r="W82" s="278">
        <v>0</v>
      </c>
      <c r="X82" s="152">
        <v>0</v>
      </c>
      <c r="Y82" s="216">
        <f t="shared" si="33"/>
        <v>0</v>
      </c>
      <c r="Z82" s="278">
        <v>0</v>
      </c>
      <c r="AA82" s="152">
        <v>0</v>
      </c>
      <c r="AB82" s="216">
        <f t="shared" si="35"/>
        <v>0</v>
      </c>
      <c r="AC82" s="152">
        <v>0</v>
      </c>
      <c r="AD82" s="152">
        <v>0</v>
      </c>
    </row>
    <row r="83" spans="1:30" ht="19.5" x14ac:dyDescent="0.3">
      <c r="A83" s="147">
        <v>9</v>
      </c>
      <c r="B83" s="148" t="s">
        <v>111</v>
      </c>
      <c r="C83" s="472">
        <f t="shared" ca="1" si="23"/>
        <v>14072</v>
      </c>
      <c r="D83" s="473">
        <f t="shared" ca="1" si="55"/>
        <v>14072</v>
      </c>
      <c r="E83" s="151">
        <f ca="1">IFERROR(__xludf.DUMMYFUNCTION("IMPORTRANGE(""https://docs.google.com/spreadsheets/d/1-uDff_7J0KD5mKrp0Vvzr7lt3OU09vwQwhkpOPPYv2Y/edit?usp=sharing"",""งบพรบ!HL83"")"),0)</f>
        <v>0</v>
      </c>
      <c r="F83" s="151">
        <f ca="1">IFERROR(__xludf.DUMMYFUNCTION("IMPORTRANGE(""https://docs.google.com/spreadsheets/d/1-uDff_7J0KD5mKrp0Vvzr7lt3OU09vwQwhkpOPPYv2Y/edit?usp=sharing"",""งบพรบ!HM83"")"),14072)</f>
        <v>14072</v>
      </c>
      <c r="G83" s="151">
        <f ca="1">IFERROR(__xludf.DUMMYFUNCTION("IMPORTRANGE(""https://docs.google.com/spreadsheets/d/1-uDff_7J0KD5mKrp0Vvzr7lt3OU09vwQwhkpOPPYv2Y/edit?usp=sharing"",""งบพรบ!HN83"")"),0)</f>
        <v>0</v>
      </c>
      <c r="H83" s="151">
        <f ca="1">IFERROR(__xludf.DUMMYFUNCTION("IMPORTRANGE(""https://docs.google.com/spreadsheets/d/1-uDff_7J0KD5mKrp0Vvzr7lt3OU09vwQwhkpOPPYv2Y/edit?usp=sharing"",""งบพรบ!HP83"")"),14072)</f>
        <v>14072</v>
      </c>
      <c r="I83" s="151">
        <f ca="1">IFERROR(__xludf.DUMMYFUNCTION("IMPORTRANGE(""https://docs.google.com/spreadsheets/d/1-uDff_7J0KD5mKrp0Vvzr7lt3OU09vwQwhkpOPPYv2Y/edit?usp=sharing"",""งบพรบ!HQ83"")"),0)</f>
        <v>0</v>
      </c>
      <c r="J83" s="262">
        <f t="shared" ca="1" si="25"/>
        <v>4004</v>
      </c>
      <c r="K83" s="476">
        <f t="shared" ca="1" si="26"/>
        <v>28.453666856168276</v>
      </c>
      <c r="L83" s="151">
        <f ca="1">IFERROR(__xludf.DUMMYFUNCTION("IMPORTRANGE(""https://docs.google.com/spreadsheets/d/1-uDff_7J0KD5mKrp0Vvzr7lt3OU09vwQwhkpOPPYv2Y/edit?usp=sharing"",""งบพรบ!HR83"")"),4004)</f>
        <v>4004</v>
      </c>
      <c r="M83" s="260">
        <f t="shared" ca="1" si="27"/>
        <v>28.453666856168276</v>
      </c>
      <c r="N83" s="260">
        <f t="shared" ca="1" si="28"/>
        <v>28.453666856168276</v>
      </c>
      <c r="O83" s="151">
        <f ca="1">IFERROR(__xludf.DUMMYFUNCTION("IMPORTRANGE(""https://docs.google.com/spreadsheets/d/1-uDff_7J0KD5mKrp0Vvzr7lt3OU09vwQwhkpOPPYv2Y/edit?usp=sharing"",""งบพรบ!HS83"")"),0)</f>
        <v>0</v>
      </c>
      <c r="P83" s="475">
        <f t="shared" ca="1" si="29"/>
        <v>0</v>
      </c>
      <c r="Q83" s="260">
        <f t="shared" ca="1" si="30"/>
        <v>0</v>
      </c>
      <c r="R83" s="475">
        <v>0</v>
      </c>
      <c r="S83" s="260">
        <v>0</v>
      </c>
      <c r="T83" s="475">
        <v>0</v>
      </c>
      <c r="U83" s="260">
        <v>0</v>
      </c>
      <c r="V83" s="260">
        <v>0</v>
      </c>
      <c r="W83" s="278">
        <v>0</v>
      </c>
      <c r="X83" s="152">
        <v>0</v>
      </c>
      <c r="Y83" s="216">
        <f t="shared" si="33"/>
        <v>0</v>
      </c>
      <c r="Z83" s="278">
        <v>0</v>
      </c>
      <c r="AA83" s="152">
        <v>0</v>
      </c>
      <c r="AB83" s="216">
        <f t="shared" si="35"/>
        <v>0</v>
      </c>
      <c r="AC83" s="152">
        <v>0</v>
      </c>
      <c r="AD83" s="152">
        <v>0</v>
      </c>
    </row>
    <row r="84" spans="1:30" ht="19.5" x14ac:dyDescent="0.3">
      <c r="A84" s="147">
        <v>10</v>
      </c>
      <c r="B84" s="148" t="s">
        <v>112</v>
      </c>
      <c r="C84" s="472">
        <f t="shared" ca="1" si="23"/>
        <v>0</v>
      </c>
      <c r="D84" s="473">
        <f t="shared" ca="1" si="55"/>
        <v>0</v>
      </c>
      <c r="E84" s="151">
        <f ca="1">IFERROR(__xludf.DUMMYFUNCTION("IMPORTRANGE(""https://docs.google.com/spreadsheets/d/1-uDff_7J0KD5mKrp0Vvzr7lt3OU09vwQwhkpOPPYv2Y/edit?usp=sharing"",""งบพรบ!HL84"")"),0)</f>
        <v>0</v>
      </c>
      <c r="F84" s="151">
        <f ca="1">IFERROR(__xludf.DUMMYFUNCTION("IMPORTRANGE(""https://docs.google.com/spreadsheets/d/1-uDff_7J0KD5mKrp0Vvzr7lt3OU09vwQwhkpOPPYv2Y/edit?usp=sharing"",""งบพรบ!HM84"")"),0)</f>
        <v>0</v>
      </c>
      <c r="G84" s="151">
        <f ca="1">IFERROR(__xludf.DUMMYFUNCTION("IMPORTRANGE(""https://docs.google.com/spreadsheets/d/1-uDff_7J0KD5mKrp0Vvzr7lt3OU09vwQwhkpOPPYv2Y/edit?usp=sharing"",""งบพรบ!HN84"")"),0)</f>
        <v>0</v>
      </c>
      <c r="H84" s="151">
        <f ca="1">IFERROR(__xludf.DUMMYFUNCTION("IMPORTRANGE(""https://docs.google.com/spreadsheets/d/1-uDff_7J0KD5mKrp0Vvzr7lt3OU09vwQwhkpOPPYv2Y/edit?usp=sharing"",""งบพรบ!HP84"")"),0)</f>
        <v>0</v>
      </c>
      <c r="I84" s="151">
        <f ca="1">IFERROR(__xludf.DUMMYFUNCTION("IMPORTRANGE(""https://docs.google.com/spreadsheets/d/1-uDff_7J0KD5mKrp0Vvzr7lt3OU09vwQwhkpOPPYv2Y/edit?usp=sharing"",""งบพรบ!HQ84"")"),0)</f>
        <v>0</v>
      </c>
      <c r="J84" s="262">
        <f t="shared" ca="1" si="25"/>
        <v>0</v>
      </c>
      <c r="K84" s="476">
        <f t="shared" ca="1" si="26"/>
        <v>0</v>
      </c>
      <c r="L84" s="151">
        <f ca="1">IFERROR(__xludf.DUMMYFUNCTION("IMPORTRANGE(""https://docs.google.com/spreadsheets/d/1-uDff_7J0KD5mKrp0Vvzr7lt3OU09vwQwhkpOPPYv2Y/edit?usp=sharing"",""งบพรบ!HR84"")"),0)</f>
        <v>0</v>
      </c>
      <c r="M84" s="260">
        <f t="shared" ca="1" si="27"/>
        <v>0</v>
      </c>
      <c r="N84" s="260">
        <f t="shared" ca="1" si="28"/>
        <v>0</v>
      </c>
      <c r="O84" s="151">
        <f ca="1">IFERROR(__xludf.DUMMYFUNCTION("IMPORTRANGE(""https://docs.google.com/spreadsheets/d/1-uDff_7J0KD5mKrp0Vvzr7lt3OU09vwQwhkpOPPYv2Y/edit?usp=sharing"",""งบพรบ!HS84"")"),0)</f>
        <v>0</v>
      </c>
      <c r="P84" s="475">
        <f t="shared" ca="1" si="29"/>
        <v>0</v>
      </c>
      <c r="Q84" s="260">
        <f t="shared" ca="1" si="30"/>
        <v>0</v>
      </c>
      <c r="R84" s="475">
        <v>0</v>
      </c>
      <c r="S84" s="260">
        <v>0</v>
      </c>
      <c r="T84" s="475">
        <v>0</v>
      </c>
      <c r="U84" s="260">
        <v>0</v>
      </c>
      <c r="V84" s="260">
        <v>0</v>
      </c>
      <c r="W84" s="278">
        <v>0</v>
      </c>
      <c r="X84" s="152">
        <v>0</v>
      </c>
      <c r="Y84" s="216">
        <f t="shared" si="33"/>
        <v>0</v>
      </c>
      <c r="Z84" s="278">
        <v>0</v>
      </c>
      <c r="AA84" s="152">
        <v>0</v>
      </c>
      <c r="AB84" s="216">
        <f t="shared" si="35"/>
        <v>0</v>
      </c>
      <c r="AC84" s="152">
        <v>0</v>
      </c>
      <c r="AD84" s="152">
        <v>0</v>
      </c>
    </row>
    <row r="85" spans="1:30" ht="19.5" x14ac:dyDescent="0.3">
      <c r="A85" s="147">
        <v>11</v>
      </c>
      <c r="B85" s="148" t="s">
        <v>113</v>
      </c>
      <c r="C85" s="472">
        <f t="shared" ca="1" si="23"/>
        <v>10980</v>
      </c>
      <c r="D85" s="473">
        <f t="shared" ca="1" si="55"/>
        <v>10980</v>
      </c>
      <c r="E85" s="151">
        <f ca="1">IFERROR(__xludf.DUMMYFUNCTION("IMPORTRANGE(""https://docs.google.com/spreadsheets/d/1-uDff_7J0KD5mKrp0Vvzr7lt3OU09vwQwhkpOPPYv2Y/edit?usp=sharing"",""งบพรบ!HL85"")"),0)</f>
        <v>0</v>
      </c>
      <c r="F85" s="151">
        <f ca="1">IFERROR(__xludf.DUMMYFUNCTION("IMPORTRANGE(""https://docs.google.com/spreadsheets/d/1-uDff_7J0KD5mKrp0Vvzr7lt3OU09vwQwhkpOPPYv2Y/edit?usp=sharing"",""งบพรบ!HM85"")"),10980)</f>
        <v>10980</v>
      </c>
      <c r="G85" s="151">
        <f ca="1">IFERROR(__xludf.DUMMYFUNCTION("IMPORTRANGE(""https://docs.google.com/spreadsheets/d/1-uDff_7J0KD5mKrp0Vvzr7lt3OU09vwQwhkpOPPYv2Y/edit?usp=sharing"",""งบพรบ!HN85"")"),0)</f>
        <v>0</v>
      </c>
      <c r="H85" s="151">
        <f ca="1">IFERROR(__xludf.DUMMYFUNCTION("IMPORTRANGE(""https://docs.google.com/spreadsheets/d/1-uDff_7J0KD5mKrp0Vvzr7lt3OU09vwQwhkpOPPYv2Y/edit?usp=sharing"",""งบพรบ!HP85"")"),10980)</f>
        <v>10980</v>
      </c>
      <c r="I85" s="151">
        <f ca="1">IFERROR(__xludf.DUMMYFUNCTION("IMPORTRANGE(""https://docs.google.com/spreadsheets/d/1-uDff_7J0KD5mKrp0Vvzr7lt3OU09vwQwhkpOPPYv2Y/edit?usp=sharing"",""งบพรบ!HQ85"")"),0)</f>
        <v>0</v>
      </c>
      <c r="J85" s="262">
        <f t="shared" ca="1" si="25"/>
        <v>2280</v>
      </c>
      <c r="K85" s="476">
        <f t="shared" ca="1" si="26"/>
        <v>20.765027322404372</v>
      </c>
      <c r="L85" s="151">
        <f ca="1">IFERROR(__xludf.DUMMYFUNCTION("IMPORTRANGE(""https://docs.google.com/spreadsheets/d/1-uDff_7J0KD5mKrp0Vvzr7lt3OU09vwQwhkpOPPYv2Y/edit?usp=sharing"",""งบพรบ!HR85"")"),2280)</f>
        <v>2280</v>
      </c>
      <c r="M85" s="260">
        <f t="shared" ca="1" si="27"/>
        <v>20.765027322404372</v>
      </c>
      <c r="N85" s="260">
        <f t="shared" ca="1" si="28"/>
        <v>20.765027322404372</v>
      </c>
      <c r="O85" s="151">
        <f ca="1">IFERROR(__xludf.DUMMYFUNCTION("IMPORTRANGE(""https://docs.google.com/spreadsheets/d/1-uDff_7J0KD5mKrp0Vvzr7lt3OU09vwQwhkpOPPYv2Y/edit?usp=sharing"",""งบพรบ!HS85"")"),0)</f>
        <v>0</v>
      </c>
      <c r="P85" s="475">
        <f t="shared" ca="1" si="29"/>
        <v>0</v>
      </c>
      <c r="Q85" s="260">
        <f t="shared" ca="1" si="30"/>
        <v>0</v>
      </c>
      <c r="R85" s="475">
        <v>0</v>
      </c>
      <c r="S85" s="260">
        <v>0</v>
      </c>
      <c r="T85" s="475">
        <v>0</v>
      </c>
      <c r="U85" s="260">
        <v>0</v>
      </c>
      <c r="V85" s="260">
        <v>0</v>
      </c>
      <c r="W85" s="278">
        <v>0</v>
      </c>
      <c r="X85" s="152">
        <v>0</v>
      </c>
      <c r="Y85" s="216">
        <f t="shared" si="33"/>
        <v>0</v>
      </c>
      <c r="Z85" s="278">
        <v>0</v>
      </c>
      <c r="AA85" s="152">
        <v>0</v>
      </c>
      <c r="AB85" s="216">
        <f t="shared" si="35"/>
        <v>0</v>
      </c>
      <c r="AC85" s="152">
        <v>0</v>
      </c>
      <c r="AD85" s="152">
        <v>0</v>
      </c>
    </row>
    <row r="86" spans="1:30" ht="19.5" x14ac:dyDescent="0.3">
      <c r="A86" s="147">
        <v>12</v>
      </c>
      <c r="B86" s="148" t="s">
        <v>114</v>
      </c>
      <c r="C86" s="472">
        <f t="shared" ca="1" si="23"/>
        <v>14770</v>
      </c>
      <c r="D86" s="473">
        <f t="shared" ca="1" si="55"/>
        <v>14770</v>
      </c>
      <c r="E86" s="151">
        <f ca="1">IFERROR(__xludf.DUMMYFUNCTION("IMPORTRANGE(""https://docs.google.com/spreadsheets/d/1-uDff_7J0KD5mKrp0Vvzr7lt3OU09vwQwhkpOPPYv2Y/edit?usp=sharing"",""งบพรบ!HL86"")"),0)</f>
        <v>0</v>
      </c>
      <c r="F86" s="151">
        <f ca="1">IFERROR(__xludf.DUMMYFUNCTION("IMPORTRANGE(""https://docs.google.com/spreadsheets/d/1-uDff_7J0KD5mKrp0Vvzr7lt3OU09vwQwhkpOPPYv2Y/edit?usp=sharing"",""งบพรบ!HM86"")"),14770)</f>
        <v>14770</v>
      </c>
      <c r="G86" s="151">
        <f ca="1">IFERROR(__xludf.DUMMYFUNCTION("IMPORTRANGE(""https://docs.google.com/spreadsheets/d/1-uDff_7J0KD5mKrp0Vvzr7lt3OU09vwQwhkpOPPYv2Y/edit?usp=sharing"",""งบพรบ!HN86"")"),0)</f>
        <v>0</v>
      </c>
      <c r="H86" s="151">
        <f ca="1">IFERROR(__xludf.DUMMYFUNCTION("IMPORTRANGE(""https://docs.google.com/spreadsheets/d/1-uDff_7J0KD5mKrp0Vvzr7lt3OU09vwQwhkpOPPYv2Y/edit?usp=sharing"",""งบพรบ!HP86"")"),14770)</f>
        <v>14770</v>
      </c>
      <c r="I86" s="151">
        <f ca="1">IFERROR(__xludf.DUMMYFUNCTION("IMPORTRANGE(""https://docs.google.com/spreadsheets/d/1-uDff_7J0KD5mKrp0Vvzr7lt3OU09vwQwhkpOPPYv2Y/edit?usp=sharing"",""งบพรบ!HQ86"")"),0)</f>
        <v>0</v>
      </c>
      <c r="J86" s="262">
        <f t="shared" ca="1" si="25"/>
        <v>3910</v>
      </c>
      <c r="K86" s="476">
        <f t="shared" ca="1" si="26"/>
        <v>26.472579553148275</v>
      </c>
      <c r="L86" s="151">
        <f ca="1">IFERROR(__xludf.DUMMYFUNCTION("IMPORTRANGE(""https://docs.google.com/spreadsheets/d/1-uDff_7J0KD5mKrp0Vvzr7lt3OU09vwQwhkpOPPYv2Y/edit?usp=sharing"",""งบพรบ!HR86"")"),3910)</f>
        <v>3910</v>
      </c>
      <c r="M86" s="260">
        <f t="shared" ca="1" si="27"/>
        <v>26.472579553148275</v>
      </c>
      <c r="N86" s="260">
        <f t="shared" ca="1" si="28"/>
        <v>26.472579553148275</v>
      </c>
      <c r="O86" s="151">
        <f ca="1">IFERROR(__xludf.DUMMYFUNCTION("IMPORTRANGE(""https://docs.google.com/spreadsheets/d/1-uDff_7J0KD5mKrp0Vvzr7lt3OU09vwQwhkpOPPYv2Y/edit?usp=sharing"",""งบพรบ!HS86"")"),0)</f>
        <v>0</v>
      </c>
      <c r="P86" s="475">
        <f t="shared" ca="1" si="29"/>
        <v>0</v>
      </c>
      <c r="Q86" s="260">
        <f t="shared" ca="1" si="30"/>
        <v>0</v>
      </c>
      <c r="R86" s="475">
        <v>0</v>
      </c>
      <c r="S86" s="260">
        <v>0</v>
      </c>
      <c r="T86" s="475">
        <v>0</v>
      </c>
      <c r="U86" s="260">
        <v>0</v>
      </c>
      <c r="V86" s="260">
        <v>0</v>
      </c>
      <c r="W86" s="279">
        <v>0</v>
      </c>
      <c r="X86" s="397">
        <v>0</v>
      </c>
      <c r="Y86" s="216">
        <f t="shared" si="33"/>
        <v>0</v>
      </c>
      <c r="Z86" s="279">
        <v>0</v>
      </c>
      <c r="AA86" s="397">
        <v>0</v>
      </c>
      <c r="AB86" s="216">
        <f t="shared" si="35"/>
        <v>0</v>
      </c>
      <c r="AC86" s="397">
        <v>0</v>
      </c>
      <c r="AD86" s="397">
        <v>0</v>
      </c>
    </row>
    <row r="87" spans="1:30" ht="19.5" x14ac:dyDescent="0.3">
      <c r="A87" s="147">
        <v>13</v>
      </c>
      <c r="B87" s="148" t="s">
        <v>115</v>
      </c>
      <c r="C87" s="472">
        <f t="shared" ca="1" si="23"/>
        <v>0</v>
      </c>
      <c r="D87" s="473">
        <f t="shared" ca="1" si="55"/>
        <v>0</v>
      </c>
      <c r="E87" s="151">
        <f ca="1">IFERROR(__xludf.DUMMYFUNCTION("IMPORTRANGE(""https://docs.google.com/spreadsheets/d/1-uDff_7J0KD5mKrp0Vvzr7lt3OU09vwQwhkpOPPYv2Y/edit?usp=sharing"",""งบพรบ!HL87"")"),0)</f>
        <v>0</v>
      </c>
      <c r="F87" s="151">
        <f ca="1">IFERROR(__xludf.DUMMYFUNCTION("IMPORTRANGE(""https://docs.google.com/spreadsheets/d/1-uDff_7J0KD5mKrp0Vvzr7lt3OU09vwQwhkpOPPYv2Y/edit?usp=sharing"",""งบพรบ!HM87"")"),0)</f>
        <v>0</v>
      </c>
      <c r="G87" s="151">
        <f ca="1">IFERROR(__xludf.DUMMYFUNCTION("IMPORTRANGE(""https://docs.google.com/spreadsheets/d/1-uDff_7J0KD5mKrp0Vvzr7lt3OU09vwQwhkpOPPYv2Y/edit?usp=sharing"",""งบพรบ!HN87"")"),0)</f>
        <v>0</v>
      </c>
      <c r="H87" s="151">
        <f ca="1">IFERROR(__xludf.DUMMYFUNCTION("IMPORTRANGE(""https://docs.google.com/spreadsheets/d/1-uDff_7J0KD5mKrp0Vvzr7lt3OU09vwQwhkpOPPYv2Y/edit?usp=sharing"",""งบพรบ!HP87"")"),0)</f>
        <v>0</v>
      </c>
      <c r="I87" s="151">
        <f ca="1">IFERROR(__xludf.DUMMYFUNCTION("IMPORTRANGE(""https://docs.google.com/spreadsheets/d/1-uDff_7J0KD5mKrp0Vvzr7lt3OU09vwQwhkpOPPYv2Y/edit?usp=sharing"",""งบพรบ!HQ87"")"),0)</f>
        <v>0</v>
      </c>
      <c r="J87" s="262">
        <f t="shared" ca="1" si="25"/>
        <v>0</v>
      </c>
      <c r="K87" s="476">
        <f t="shared" ca="1" si="26"/>
        <v>0</v>
      </c>
      <c r="L87" s="151">
        <f ca="1">IFERROR(__xludf.DUMMYFUNCTION("IMPORTRANGE(""https://docs.google.com/spreadsheets/d/1-uDff_7J0KD5mKrp0Vvzr7lt3OU09vwQwhkpOPPYv2Y/edit?usp=sharing"",""งบพรบ!HR87"")"),0)</f>
        <v>0</v>
      </c>
      <c r="M87" s="260">
        <f t="shared" ca="1" si="27"/>
        <v>0</v>
      </c>
      <c r="N87" s="260">
        <f t="shared" ca="1" si="28"/>
        <v>0</v>
      </c>
      <c r="O87" s="151">
        <f ca="1">IFERROR(__xludf.DUMMYFUNCTION("IMPORTRANGE(""https://docs.google.com/spreadsheets/d/1-uDff_7J0KD5mKrp0Vvzr7lt3OU09vwQwhkpOPPYv2Y/edit?usp=sharing"",""งบพรบ!HS87"")"),0)</f>
        <v>0</v>
      </c>
      <c r="P87" s="475">
        <f t="shared" ca="1" si="29"/>
        <v>0</v>
      </c>
      <c r="Q87" s="260">
        <f t="shared" ca="1" si="30"/>
        <v>0</v>
      </c>
      <c r="R87" s="475">
        <v>0</v>
      </c>
      <c r="S87" s="260">
        <v>0</v>
      </c>
      <c r="T87" s="475">
        <v>0</v>
      </c>
      <c r="U87" s="260">
        <v>0</v>
      </c>
      <c r="V87" s="260">
        <v>0</v>
      </c>
      <c r="W87" s="278">
        <v>0</v>
      </c>
      <c r="X87" s="152">
        <v>0</v>
      </c>
      <c r="Y87" s="216">
        <f t="shared" si="33"/>
        <v>0</v>
      </c>
      <c r="Z87" s="278">
        <v>0</v>
      </c>
      <c r="AA87" s="152">
        <v>0</v>
      </c>
      <c r="AB87" s="216">
        <f t="shared" si="35"/>
        <v>0</v>
      </c>
      <c r="AC87" s="152">
        <v>0</v>
      </c>
      <c r="AD87" s="152">
        <v>0</v>
      </c>
    </row>
    <row r="88" spans="1:30" ht="19.5" x14ac:dyDescent="0.3">
      <c r="A88" s="155">
        <v>14</v>
      </c>
      <c r="B88" s="156" t="s">
        <v>116</v>
      </c>
      <c r="C88" s="477">
        <f t="shared" ca="1" si="23"/>
        <v>0</v>
      </c>
      <c r="D88" s="478">
        <f t="shared" ca="1" si="55"/>
        <v>0</v>
      </c>
      <c r="E88" s="159">
        <f ca="1">IFERROR(__xludf.DUMMYFUNCTION("IMPORTRANGE(""https://docs.google.com/spreadsheets/d/1-uDff_7J0KD5mKrp0Vvzr7lt3OU09vwQwhkpOPPYv2Y/edit?usp=sharing"",""งบพรบ!HL88"")"),0)</f>
        <v>0</v>
      </c>
      <c r="F88" s="159">
        <f ca="1">IFERROR(__xludf.DUMMYFUNCTION("IMPORTRANGE(""https://docs.google.com/spreadsheets/d/1-uDff_7J0KD5mKrp0Vvzr7lt3OU09vwQwhkpOPPYv2Y/edit?usp=sharing"",""งบพรบ!HM88"")"),0)</f>
        <v>0</v>
      </c>
      <c r="G88" s="159">
        <f ca="1">IFERROR(__xludf.DUMMYFUNCTION("IMPORTRANGE(""https://docs.google.com/spreadsheets/d/1-uDff_7J0KD5mKrp0Vvzr7lt3OU09vwQwhkpOPPYv2Y/edit?usp=sharing"",""งบพรบ!HN88"")"),0)</f>
        <v>0</v>
      </c>
      <c r="H88" s="159">
        <f ca="1">IFERROR(__xludf.DUMMYFUNCTION("IMPORTRANGE(""https://docs.google.com/spreadsheets/d/1-uDff_7J0KD5mKrp0Vvzr7lt3OU09vwQwhkpOPPYv2Y/edit?usp=sharing"",""งบพรบ!HP88"")"),0)</f>
        <v>0</v>
      </c>
      <c r="I88" s="159">
        <f ca="1">IFERROR(__xludf.DUMMYFUNCTION("IMPORTRANGE(""https://docs.google.com/spreadsheets/d/1-uDff_7J0KD5mKrp0Vvzr7lt3OU09vwQwhkpOPPYv2Y/edit?usp=sharing"",""งบพรบ!HQ88"")"),0)</f>
        <v>0</v>
      </c>
      <c r="J88" s="479">
        <f t="shared" ca="1" si="25"/>
        <v>0</v>
      </c>
      <c r="K88" s="480">
        <f t="shared" ca="1" si="26"/>
        <v>0</v>
      </c>
      <c r="L88" s="159">
        <f ca="1">IFERROR(__xludf.DUMMYFUNCTION("IMPORTRANGE(""https://docs.google.com/spreadsheets/d/1-uDff_7J0KD5mKrp0Vvzr7lt3OU09vwQwhkpOPPYv2Y/edit?usp=sharing"",""งบพรบ!HR88"")"),0)</f>
        <v>0</v>
      </c>
      <c r="M88" s="481">
        <f t="shared" ca="1" si="27"/>
        <v>0</v>
      </c>
      <c r="N88" s="481">
        <f t="shared" ca="1" si="28"/>
        <v>0</v>
      </c>
      <c r="O88" s="159">
        <f ca="1">IFERROR(__xludf.DUMMYFUNCTION("IMPORTRANGE(""https://docs.google.com/spreadsheets/d/1-uDff_7J0KD5mKrp0Vvzr7lt3OU09vwQwhkpOPPYv2Y/edit?usp=sharing"",""งบพรบ!HS88"")"),0)</f>
        <v>0</v>
      </c>
      <c r="P88" s="482">
        <f t="shared" ca="1" si="29"/>
        <v>0</v>
      </c>
      <c r="Q88" s="481">
        <f t="shared" ca="1" si="30"/>
        <v>0</v>
      </c>
      <c r="R88" s="482">
        <v>0</v>
      </c>
      <c r="S88" s="481">
        <v>0</v>
      </c>
      <c r="T88" s="482">
        <v>0</v>
      </c>
      <c r="U88" s="481">
        <v>0</v>
      </c>
      <c r="V88" s="481">
        <v>0</v>
      </c>
      <c r="W88" s="280">
        <v>0</v>
      </c>
      <c r="X88" s="191">
        <v>0</v>
      </c>
      <c r="Y88" s="218">
        <f t="shared" si="33"/>
        <v>0</v>
      </c>
      <c r="Z88" s="280">
        <v>0</v>
      </c>
      <c r="AA88" s="191">
        <v>0</v>
      </c>
      <c r="AB88" s="218">
        <f t="shared" si="35"/>
        <v>0</v>
      </c>
      <c r="AC88" s="191">
        <v>0</v>
      </c>
      <c r="AD88" s="191">
        <v>0</v>
      </c>
    </row>
    <row r="89" spans="1:30" ht="19.5" x14ac:dyDescent="0.3">
      <c r="A89" s="698" t="s">
        <v>117</v>
      </c>
      <c r="B89" s="662"/>
      <c r="C89" s="489">
        <f t="shared" ref="C89:T89" ca="1" si="56">SUM(C90:C106)</f>
        <v>3866990</v>
      </c>
      <c r="D89" s="489">
        <f t="shared" ca="1" si="56"/>
        <v>3620890</v>
      </c>
      <c r="E89" s="489">
        <f t="shared" ca="1" si="56"/>
        <v>1578700</v>
      </c>
      <c r="F89" s="489">
        <f t="shared" ca="1" si="56"/>
        <v>2042190</v>
      </c>
      <c r="G89" s="489">
        <f t="shared" ca="1" si="56"/>
        <v>246100</v>
      </c>
      <c r="H89" s="489">
        <f t="shared" ca="1" si="56"/>
        <v>3620890</v>
      </c>
      <c r="I89" s="489">
        <f t="shared" ca="1" si="56"/>
        <v>245600</v>
      </c>
      <c r="J89" s="489">
        <f t="shared" ca="1" si="56"/>
        <v>2443850.1</v>
      </c>
      <c r="K89" s="490">
        <f t="shared" ca="1" si="56"/>
        <v>69.476823425550279</v>
      </c>
      <c r="L89" s="489">
        <f t="shared" ca="1" si="56"/>
        <v>2198250.1</v>
      </c>
      <c r="M89" s="490">
        <f t="shared" ca="1" si="56"/>
        <v>66.79108732349755</v>
      </c>
      <c r="N89" s="490">
        <f t="shared" ca="1" si="56"/>
        <v>166.79108732349755</v>
      </c>
      <c r="O89" s="489">
        <f t="shared" ca="1" si="56"/>
        <v>245600</v>
      </c>
      <c r="P89" s="489">
        <f t="shared" ca="1" si="56"/>
        <v>99.79683055668427</v>
      </c>
      <c r="Q89" s="489">
        <f t="shared" ca="1" si="56"/>
        <v>100</v>
      </c>
      <c r="R89" s="491">
        <f t="shared" ca="1" si="56"/>
        <v>229400</v>
      </c>
      <c r="S89" s="489">
        <f t="shared" ca="1" si="56"/>
        <v>229400</v>
      </c>
      <c r="T89" s="491">
        <f t="shared" ca="1" si="56"/>
        <v>138030</v>
      </c>
      <c r="U89" s="489">
        <f t="shared" ref="U89:U108" ca="1" si="57">IF(R89&gt;0,T89*100/R89,0)</f>
        <v>60.170008718395813</v>
      </c>
      <c r="V89" s="489">
        <f t="shared" ref="V89:V108" ca="1" si="58">IF(S89&gt;0,T89*100/S89,0)</f>
        <v>60.170008718395813</v>
      </c>
      <c r="W89" s="169"/>
      <c r="X89" s="169"/>
      <c r="Y89" s="255"/>
      <c r="Z89" s="169"/>
      <c r="AA89" s="169"/>
      <c r="AB89" s="255"/>
      <c r="AC89" s="169"/>
      <c r="AD89" s="169"/>
    </row>
    <row r="90" spans="1:30" ht="19.5" x14ac:dyDescent="0.3">
      <c r="A90" s="257"/>
      <c r="B90" s="258" t="s">
        <v>118</v>
      </c>
      <c r="C90" s="472">
        <f t="shared" ref="C90:C108" ca="1" si="59">D90+G90</f>
        <v>0</v>
      </c>
      <c r="D90" s="473">
        <f t="shared" ref="D90:D108" ca="1" si="60">+E90+F90</f>
        <v>0</v>
      </c>
      <c r="E90" s="151">
        <f ca="1">IFERROR(__xludf.DUMMYFUNCTION("IMPORTRANGE(""https://docs.google.com/spreadsheets/d/1-uDff_7J0KD5mKrp0Vvzr7lt3OU09vwQwhkpOPPYv2Y/edit?usp=sharing"",""งบพรบ!HL90"")"),0)</f>
        <v>0</v>
      </c>
      <c r="F90" s="151">
        <f ca="1">IFERROR(__xludf.DUMMYFUNCTION("IMPORTRANGE(""https://docs.google.com/spreadsheets/d/1-uDff_7J0KD5mKrp0Vvzr7lt3OU09vwQwhkpOPPYv2Y/edit?usp=sharing"",""งบพรบ!HM90"")"),0)</f>
        <v>0</v>
      </c>
      <c r="G90" s="151">
        <f ca="1">IFERROR(__xludf.DUMMYFUNCTION("IMPORTRANGE(""https://docs.google.com/spreadsheets/d/1-uDff_7J0KD5mKrp0Vvzr7lt3OU09vwQwhkpOPPYv2Y/edit?usp=sharing"",""งบพรบ!HN90"")"),0)</f>
        <v>0</v>
      </c>
      <c r="H90" s="151">
        <f ca="1">IFERROR(__xludf.DUMMYFUNCTION("IMPORTRANGE(""https://docs.google.com/spreadsheets/d/1-uDff_7J0KD5mKrp0Vvzr7lt3OU09vwQwhkpOPPYv2Y/edit?usp=sharing"",""งบพรบ!HP90"")"),0)</f>
        <v>0</v>
      </c>
      <c r="I90" s="151">
        <f ca="1">IFERROR(__xludf.DUMMYFUNCTION("IMPORTRANGE(""https://docs.google.com/spreadsheets/d/1-uDff_7J0KD5mKrp0Vvzr7lt3OU09vwQwhkpOPPYv2Y/edit?usp=sharing"",""งบพรบ!HQ90"")"),0)</f>
        <v>0</v>
      </c>
      <c r="J90" s="262">
        <f t="shared" ref="J90:J108" ca="1" si="61">L90+O90</f>
        <v>0</v>
      </c>
      <c r="K90" s="476">
        <f t="shared" ref="K90:K108" ca="1" si="62">IF(C90&gt;0,J90*100/C90,0)</f>
        <v>0</v>
      </c>
      <c r="L90" s="151">
        <f ca="1">IFERROR(__xludf.DUMMYFUNCTION("IMPORTRANGE(""https://docs.google.com/spreadsheets/d/1-uDff_7J0KD5mKrp0Vvzr7lt3OU09vwQwhkpOPPYv2Y/edit?usp=sharing"",""งบพรบ!HR90"")"),0)</f>
        <v>0</v>
      </c>
      <c r="M90" s="260">
        <f t="shared" ref="M90:M108" ca="1" si="63">IF(D90&gt;0,L90*100/D90,0)</f>
        <v>0</v>
      </c>
      <c r="N90" s="260">
        <f t="shared" ref="N90:N108" ca="1" si="64">IF(H90&gt;0,L90*100/H90,0)</f>
        <v>0</v>
      </c>
      <c r="O90" s="151">
        <f ca="1">IFERROR(__xludf.DUMMYFUNCTION("IMPORTRANGE(""https://docs.google.com/spreadsheets/d/1-uDff_7J0KD5mKrp0Vvzr7lt3OU09vwQwhkpOPPYv2Y/edit?usp=sharing"",""งบพรบ!HS90"")"),0)</f>
        <v>0</v>
      </c>
      <c r="P90" s="475">
        <f t="shared" ref="P90:P108" ca="1" si="65">IF(G90&gt;0,O90*100/G90,0)</f>
        <v>0</v>
      </c>
      <c r="Q90" s="260">
        <f t="shared" ref="Q90:Q108" ca="1" si="66">IF(I90&gt;0,O90*100/I90,0)</f>
        <v>0</v>
      </c>
      <c r="R90" s="67">
        <v>0</v>
      </c>
      <c r="S90" s="67">
        <v>0</v>
      </c>
      <c r="T90" s="67">
        <v>0</v>
      </c>
      <c r="U90" s="260">
        <f t="shared" si="57"/>
        <v>0</v>
      </c>
      <c r="V90" s="260">
        <f t="shared" si="58"/>
        <v>0</v>
      </c>
      <c r="W90" s="492"/>
      <c r="X90" s="492"/>
      <c r="Y90" s="493"/>
      <c r="Z90" s="492"/>
      <c r="AA90" s="492"/>
      <c r="AB90" s="493"/>
      <c r="AC90" s="492"/>
      <c r="AD90" s="492"/>
    </row>
    <row r="91" spans="1:30" ht="19.5" x14ac:dyDescent="0.3">
      <c r="A91" s="257"/>
      <c r="B91" s="258" t="s">
        <v>119</v>
      </c>
      <c r="C91" s="472">
        <f t="shared" ca="1" si="59"/>
        <v>0</v>
      </c>
      <c r="D91" s="473">
        <f t="shared" ca="1" si="60"/>
        <v>0</v>
      </c>
      <c r="E91" s="151">
        <f ca="1">IFERROR(__xludf.DUMMYFUNCTION("IMPORTRANGE(""https://docs.google.com/spreadsheets/d/1-uDff_7J0KD5mKrp0Vvzr7lt3OU09vwQwhkpOPPYv2Y/edit?usp=sharing"",""งบพรบ!HL91"")"),0)</f>
        <v>0</v>
      </c>
      <c r="F91" s="151">
        <f ca="1">IFERROR(__xludf.DUMMYFUNCTION("IMPORTRANGE(""https://docs.google.com/spreadsheets/d/1-uDff_7J0KD5mKrp0Vvzr7lt3OU09vwQwhkpOPPYv2Y/edit?usp=sharing"",""งบพรบ!HM91"")"),0)</f>
        <v>0</v>
      </c>
      <c r="G91" s="151">
        <f ca="1">IFERROR(__xludf.DUMMYFUNCTION("IMPORTRANGE(""https://docs.google.com/spreadsheets/d/1-uDff_7J0KD5mKrp0Vvzr7lt3OU09vwQwhkpOPPYv2Y/edit?usp=sharing"",""งบพรบ!HN91"")"),0)</f>
        <v>0</v>
      </c>
      <c r="H91" s="151">
        <f ca="1">IFERROR(__xludf.DUMMYFUNCTION("IMPORTRANGE(""https://docs.google.com/spreadsheets/d/1-uDff_7J0KD5mKrp0Vvzr7lt3OU09vwQwhkpOPPYv2Y/edit?usp=sharing"",""งบพรบ!HP91"")"),0)</f>
        <v>0</v>
      </c>
      <c r="I91" s="151">
        <f ca="1">IFERROR(__xludf.DUMMYFUNCTION("IMPORTRANGE(""https://docs.google.com/spreadsheets/d/1-uDff_7J0KD5mKrp0Vvzr7lt3OU09vwQwhkpOPPYv2Y/edit?usp=sharing"",""งบพรบ!HQ91"")"),0)</f>
        <v>0</v>
      </c>
      <c r="J91" s="262">
        <f t="shared" ca="1" si="61"/>
        <v>0</v>
      </c>
      <c r="K91" s="476">
        <f t="shared" ca="1" si="62"/>
        <v>0</v>
      </c>
      <c r="L91" s="151">
        <f ca="1">IFERROR(__xludf.DUMMYFUNCTION("IMPORTRANGE(""https://docs.google.com/spreadsheets/d/1-uDff_7J0KD5mKrp0Vvzr7lt3OU09vwQwhkpOPPYv2Y/edit?usp=sharing"",""งบพรบ!HR91"")"),0)</f>
        <v>0</v>
      </c>
      <c r="M91" s="260">
        <f t="shared" ca="1" si="63"/>
        <v>0</v>
      </c>
      <c r="N91" s="260">
        <f t="shared" ca="1" si="64"/>
        <v>0</v>
      </c>
      <c r="O91" s="151">
        <f ca="1">IFERROR(__xludf.DUMMYFUNCTION("IMPORTRANGE(""https://docs.google.com/spreadsheets/d/1-uDff_7J0KD5mKrp0Vvzr7lt3OU09vwQwhkpOPPYv2Y/edit?usp=sharing"",""งบพรบ!HS91"")"),0)</f>
        <v>0</v>
      </c>
      <c r="P91" s="475">
        <f t="shared" ca="1" si="65"/>
        <v>0</v>
      </c>
      <c r="Q91" s="260">
        <f t="shared" ca="1" si="66"/>
        <v>0</v>
      </c>
      <c r="R91" s="67">
        <v>0</v>
      </c>
      <c r="S91" s="67">
        <v>0</v>
      </c>
      <c r="T91" s="67">
        <v>0</v>
      </c>
      <c r="U91" s="260">
        <f t="shared" si="57"/>
        <v>0</v>
      </c>
      <c r="V91" s="260">
        <f t="shared" si="58"/>
        <v>0</v>
      </c>
      <c r="W91" s="492"/>
      <c r="X91" s="492"/>
      <c r="Y91" s="493"/>
      <c r="Z91" s="492"/>
      <c r="AA91" s="492"/>
      <c r="AB91" s="493"/>
      <c r="AC91" s="492"/>
      <c r="AD91" s="492"/>
    </row>
    <row r="92" spans="1:30" ht="19.5" x14ac:dyDescent="0.3">
      <c r="A92" s="257"/>
      <c r="B92" s="258" t="s">
        <v>120</v>
      </c>
      <c r="C92" s="472">
        <f t="shared" ca="1" si="59"/>
        <v>0</v>
      </c>
      <c r="D92" s="473">
        <f t="shared" ca="1" si="60"/>
        <v>0</v>
      </c>
      <c r="E92" s="151">
        <f ca="1">IFERROR(__xludf.DUMMYFUNCTION("IMPORTRANGE(""https://docs.google.com/spreadsheets/d/1-uDff_7J0KD5mKrp0Vvzr7lt3OU09vwQwhkpOPPYv2Y/edit?usp=sharing"",""งบพรบ!HL92"")"),0)</f>
        <v>0</v>
      </c>
      <c r="F92" s="151">
        <f ca="1">IFERROR(__xludf.DUMMYFUNCTION("IMPORTRANGE(""https://docs.google.com/spreadsheets/d/1-uDff_7J0KD5mKrp0Vvzr7lt3OU09vwQwhkpOPPYv2Y/edit?usp=sharing"",""งบพรบ!HM92"")"),0)</f>
        <v>0</v>
      </c>
      <c r="G92" s="151">
        <f ca="1">IFERROR(__xludf.DUMMYFUNCTION("IMPORTRANGE(""https://docs.google.com/spreadsheets/d/1-uDff_7J0KD5mKrp0Vvzr7lt3OU09vwQwhkpOPPYv2Y/edit?usp=sharing"",""งบพรบ!HN92"")"),0)</f>
        <v>0</v>
      </c>
      <c r="H92" s="151">
        <f ca="1">IFERROR(__xludf.DUMMYFUNCTION("IMPORTRANGE(""https://docs.google.com/spreadsheets/d/1-uDff_7J0KD5mKrp0Vvzr7lt3OU09vwQwhkpOPPYv2Y/edit?usp=sharing"",""งบพรบ!HP92"")"),0)</f>
        <v>0</v>
      </c>
      <c r="I92" s="151">
        <f ca="1">IFERROR(__xludf.DUMMYFUNCTION("IMPORTRANGE(""https://docs.google.com/spreadsheets/d/1-uDff_7J0KD5mKrp0Vvzr7lt3OU09vwQwhkpOPPYv2Y/edit?usp=sharing"",""งบพรบ!HQ92"")"),0)</f>
        <v>0</v>
      </c>
      <c r="J92" s="262">
        <f t="shared" ca="1" si="61"/>
        <v>0</v>
      </c>
      <c r="K92" s="476">
        <f t="shared" ca="1" si="62"/>
        <v>0</v>
      </c>
      <c r="L92" s="151">
        <f ca="1">IFERROR(__xludf.DUMMYFUNCTION("IMPORTRANGE(""https://docs.google.com/spreadsheets/d/1-uDff_7J0KD5mKrp0Vvzr7lt3OU09vwQwhkpOPPYv2Y/edit?usp=sharing"",""งบพรบ!HR92"")"),0)</f>
        <v>0</v>
      </c>
      <c r="M92" s="260">
        <f t="shared" ca="1" si="63"/>
        <v>0</v>
      </c>
      <c r="N92" s="260">
        <f t="shared" ca="1" si="64"/>
        <v>0</v>
      </c>
      <c r="O92" s="151">
        <f ca="1">IFERROR(__xludf.DUMMYFUNCTION("IMPORTRANGE(""https://docs.google.com/spreadsheets/d/1-uDff_7J0KD5mKrp0Vvzr7lt3OU09vwQwhkpOPPYv2Y/edit?usp=sharing"",""งบพรบ!HS92"")"),0)</f>
        <v>0</v>
      </c>
      <c r="P92" s="475">
        <f t="shared" ca="1" si="65"/>
        <v>0</v>
      </c>
      <c r="Q92" s="260">
        <f t="shared" ca="1" si="66"/>
        <v>0</v>
      </c>
      <c r="R92" s="67">
        <v>0</v>
      </c>
      <c r="S92" s="67">
        <v>0</v>
      </c>
      <c r="T92" s="67">
        <v>0</v>
      </c>
      <c r="U92" s="260">
        <f t="shared" si="57"/>
        <v>0</v>
      </c>
      <c r="V92" s="260">
        <f t="shared" si="58"/>
        <v>0</v>
      </c>
      <c r="W92" s="492"/>
      <c r="X92" s="492"/>
      <c r="Y92" s="493"/>
      <c r="Z92" s="492"/>
      <c r="AA92" s="492"/>
      <c r="AB92" s="493"/>
      <c r="AC92" s="492"/>
      <c r="AD92" s="492"/>
    </row>
    <row r="93" spans="1:30" ht="19.5" x14ac:dyDescent="0.3">
      <c r="A93" s="257"/>
      <c r="B93" s="258" t="s">
        <v>121</v>
      </c>
      <c r="C93" s="472">
        <f t="shared" ca="1" si="59"/>
        <v>0</v>
      </c>
      <c r="D93" s="473">
        <f t="shared" ca="1" si="60"/>
        <v>0</v>
      </c>
      <c r="E93" s="151">
        <f ca="1">IFERROR(__xludf.DUMMYFUNCTION("IMPORTRANGE(""https://docs.google.com/spreadsheets/d/1-uDff_7J0KD5mKrp0Vvzr7lt3OU09vwQwhkpOPPYv2Y/edit?usp=sharing"",""งบพรบ!HL93"")"),0)</f>
        <v>0</v>
      </c>
      <c r="F93" s="151">
        <f ca="1">IFERROR(__xludf.DUMMYFUNCTION("IMPORTRANGE(""https://docs.google.com/spreadsheets/d/1-uDff_7J0KD5mKrp0Vvzr7lt3OU09vwQwhkpOPPYv2Y/edit?usp=sharing"",""งบพรบ!HM93"")"),0)</f>
        <v>0</v>
      </c>
      <c r="G93" s="151">
        <f ca="1">IFERROR(__xludf.DUMMYFUNCTION("IMPORTRANGE(""https://docs.google.com/spreadsheets/d/1-uDff_7J0KD5mKrp0Vvzr7lt3OU09vwQwhkpOPPYv2Y/edit?usp=sharing"",""งบพรบ!HN93"")"),0)</f>
        <v>0</v>
      </c>
      <c r="H93" s="151">
        <f ca="1">IFERROR(__xludf.DUMMYFUNCTION("IMPORTRANGE(""https://docs.google.com/spreadsheets/d/1-uDff_7J0KD5mKrp0Vvzr7lt3OU09vwQwhkpOPPYv2Y/edit?usp=sharing"",""งบพรบ!HP93"")"),342600)</f>
        <v>342600</v>
      </c>
      <c r="I93" s="151">
        <f ca="1">IFERROR(__xludf.DUMMYFUNCTION("IMPORTRANGE(""https://docs.google.com/spreadsheets/d/1-uDff_7J0KD5mKrp0Vvzr7lt3OU09vwQwhkpOPPYv2Y/edit?usp=sharing"",""งบพรบ!HQ93"")"),0)</f>
        <v>0</v>
      </c>
      <c r="J93" s="262">
        <f t="shared" ca="1" si="61"/>
        <v>342600</v>
      </c>
      <c r="K93" s="476">
        <f t="shared" ca="1" si="62"/>
        <v>0</v>
      </c>
      <c r="L93" s="151">
        <f ca="1">IFERROR(__xludf.DUMMYFUNCTION("IMPORTRANGE(""https://docs.google.com/spreadsheets/d/1-uDff_7J0KD5mKrp0Vvzr7lt3OU09vwQwhkpOPPYv2Y/edit?usp=sharing"",""งบพรบ!HR93"")"),342600)</f>
        <v>342600</v>
      </c>
      <c r="M93" s="260">
        <f t="shared" ca="1" si="63"/>
        <v>0</v>
      </c>
      <c r="N93" s="260">
        <f t="shared" ca="1" si="64"/>
        <v>100</v>
      </c>
      <c r="O93" s="151">
        <f ca="1">IFERROR(__xludf.DUMMYFUNCTION("IMPORTRANGE(""https://docs.google.com/spreadsheets/d/1-uDff_7J0KD5mKrp0Vvzr7lt3OU09vwQwhkpOPPYv2Y/edit?usp=sharing"",""งบพรบ!HS93"")"),0)</f>
        <v>0</v>
      </c>
      <c r="P93" s="475">
        <f t="shared" ca="1" si="65"/>
        <v>0</v>
      </c>
      <c r="Q93" s="260">
        <f t="shared" ca="1" si="66"/>
        <v>0</v>
      </c>
      <c r="R93" s="67">
        <v>0</v>
      </c>
      <c r="S93" s="67">
        <v>0</v>
      </c>
      <c r="T93" s="67">
        <v>0</v>
      </c>
      <c r="U93" s="260">
        <f t="shared" si="57"/>
        <v>0</v>
      </c>
      <c r="V93" s="260">
        <f t="shared" si="58"/>
        <v>0</v>
      </c>
      <c r="W93" s="492"/>
      <c r="X93" s="492"/>
      <c r="Y93" s="493"/>
      <c r="Z93" s="492"/>
      <c r="AA93" s="492"/>
      <c r="AB93" s="493"/>
      <c r="AC93" s="492"/>
      <c r="AD93" s="492"/>
    </row>
    <row r="94" spans="1:30" ht="19.5" x14ac:dyDescent="0.3">
      <c r="A94" s="257"/>
      <c r="B94" s="258" t="s">
        <v>122</v>
      </c>
      <c r="C94" s="472">
        <f t="shared" ca="1" si="59"/>
        <v>0</v>
      </c>
      <c r="D94" s="473">
        <f t="shared" ca="1" si="60"/>
        <v>0</v>
      </c>
      <c r="E94" s="151">
        <f ca="1">IFERROR(__xludf.DUMMYFUNCTION("IMPORTRANGE(""https://docs.google.com/spreadsheets/d/1-uDff_7J0KD5mKrp0Vvzr7lt3OU09vwQwhkpOPPYv2Y/edit?usp=sharing"",""งบพรบ!HL94"")"),0)</f>
        <v>0</v>
      </c>
      <c r="F94" s="151">
        <f ca="1">IFERROR(__xludf.DUMMYFUNCTION("IMPORTRANGE(""https://docs.google.com/spreadsheets/d/1-uDff_7J0KD5mKrp0Vvzr7lt3OU09vwQwhkpOPPYv2Y/edit?usp=sharing"",""งบพรบ!HM94"")"),0)</f>
        <v>0</v>
      </c>
      <c r="G94" s="151">
        <f ca="1">IFERROR(__xludf.DUMMYFUNCTION("IMPORTRANGE(""https://docs.google.com/spreadsheets/d/1-uDff_7J0KD5mKrp0Vvzr7lt3OU09vwQwhkpOPPYv2Y/edit?usp=sharing"",""งบพรบ!HN94"")"),0)</f>
        <v>0</v>
      </c>
      <c r="H94" s="151">
        <f ca="1">IFERROR(__xludf.DUMMYFUNCTION("IMPORTRANGE(""https://docs.google.com/spreadsheets/d/1-uDff_7J0KD5mKrp0Vvzr7lt3OU09vwQwhkpOPPYv2Y/edit?usp=sharing"",""งบพรบ!HP94"")"),0)</f>
        <v>0</v>
      </c>
      <c r="I94" s="151">
        <f ca="1">IFERROR(__xludf.DUMMYFUNCTION("IMPORTRANGE(""https://docs.google.com/spreadsheets/d/1-uDff_7J0KD5mKrp0Vvzr7lt3OU09vwQwhkpOPPYv2Y/edit?usp=sharing"",""งบพรบ!HQ94"")"),0)</f>
        <v>0</v>
      </c>
      <c r="J94" s="262">
        <f t="shared" ca="1" si="61"/>
        <v>0</v>
      </c>
      <c r="K94" s="476">
        <f t="shared" ca="1" si="62"/>
        <v>0</v>
      </c>
      <c r="L94" s="151">
        <f ca="1">IFERROR(__xludf.DUMMYFUNCTION("IMPORTRANGE(""https://docs.google.com/spreadsheets/d/1-uDff_7J0KD5mKrp0Vvzr7lt3OU09vwQwhkpOPPYv2Y/edit?usp=sharing"",""งบพรบ!HR94"")"),0)</f>
        <v>0</v>
      </c>
      <c r="M94" s="260">
        <f t="shared" ca="1" si="63"/>
        <v>0</v>
      </c>
      <c r="N94" s="260">
        <f t="shared" ca="1" si="64"/>
        <v>0</v>
      </c>
      <c r="O94" s="151">
        <f ca="1">IFERROR(__xludf.DUMMYFUNCTION("IMPORTRANGE(""https://docs.google.com/spreadsheets/d/1-uDff_7J0KD5mKrp0Vvzr7lt3OU09vwQwhkpOPPYv2Y/edit?usp=sharing"",""งบพรบ!HS94"")"),0)</f>
        <v>0</v>
      </c>
      <c r="P94" s="475">
        <f t="shared" ca="1" si="65"/>
        <v>0</v>
      </c>
      <c r="Q94" s="260">
        <f t="shared" ca="1" si="66"/>
        <v>0</v>
      </c>
      <c r="R94" s="67">
        <v>0</v>
      </c>
      <c r="S94" s="67">
        <v>0</v>
      </c>
      <c r="T94" s="67">
        <v>0</v>
      </c>
      <c r="U94" s="260">
        <f t="shared" si="57"/>
        <v>0</v>
      </c>
      <c r="V94" s="260">
        <f t="shared" si="58"/>
        <v>0</v>
      </c>
      <c r="W94" s="492"/>
      <c r="X94" s="492"/>
      <c r="Y94" s="493"/>
      <c r="Z94" s="492"/>
      <c r="AA94" s="492"/>
      <c r="AB94" s="493"/>
      <c r="AC94" s="492"/>
      <c r="AD94" s="492"/>
    </row>
    <row r="95" spans="1:30" ht="19.5" x14ac:dyDescent="0.3">
      <c r="A95" s="257"/>
      <c r="B95" s="258" t="s">
        <v>123</v>
      </c>
      <c r="C95" s="472">
        <f t="shared" ca="1" si="59"/>
        <v>0</v>
      </c>
      <c r="D95" s="473">
        <f t="shared" ca="1" si="60"/>
        <v>0</v>
      </c>
      <c r="E95" s="151">
        <f ca="1">IFERROR(__xludf.DUMMYFUNCTION("IMPORTRANGE(""https://docs.google.com/spreadsheets/d/1-uDff_7J0KD5mKrp0Vvzr7lt3OU09vwQwhkpOPPYv2Y/edit?usp=sharing"",""งบพรบ!HL95"")"),0)</f>
        <v>0</v>
      </c>
      <c r="F95" s="151">
        <f ca="1">IFERROR(__xludf.DUMMYFUNCTION("IMPORTRANGE(""https://docs.google.com/spreadsheets/d/1-uDff_7J0KD5mKrp0Vvzr7lt3OU09vwQwhkpOPPYv2Y/edit?usp=sharing"",""งบพรบ!HM95"")"),0)</f>
        <v>0</v>
      </c>
      <c r="G95" s="151">
        <f ca="1">IFERROR(__xludf.DUMMYFUNCTION("IMPORTRANGE(""https://docs.google.com/spreadsheets/d/1-uDff_7J0KD5mKrp0Vvzr7lt3OU09vwQwhkpOPPYv2Y/edit?usp=sharing"",""งบพรบ!HN95"")"),0)</f>
        <v>0</v>
      </c>
      <c r="H95" s="151">
        <f ca="1">IFERROR(__xludf.DUMMYFUNCTION("IMPORTRANGE(""https://docs.google.com/spreadsheets/d/1-uDff_7J0KD5mKrp0Vvzr7lt3OU09vwQwhkpOPPYv2Y/edit?usp=sharing"",""งบพรบ!HP95"")"),0)</f>
        <v>0</v>
      </c>
      <c r="I95" s="151">
        <f ca="1">IFERROR(__xludf.DUMMYFUNCTION("IMPORTRANGE(""https://docs.google.com/spreadsheets/d/1-uDff_7J0KD5mKrp0Vvzr7lt3OU09vwQwhkpOPPYv2Y/edit?usp=sharing"",""งบพรบ!HQ95"")"),0)</f>
        <v>0</v>
      </c>
      <c r="J95" s="262">
        <f t="shared" ca="1" si="61"/>
        <v>0</v>
      </c>
      <c r="K95" s="476">
        <f t="shared" ca="1" si="62"/>
        <v>0</v>
      </c>
      <c r="L95" s="151">
        <f ca="1">IFERROR(__xludf.DUMMYFUNCTION("IMPORTRANGE(""https://docs.google.com/spreadsheets/d/1-uDff_7J0KD5mKrp0Vvzr7lt3OU09vwQwhkpOPPYv2Y/edit?usp=sharing"",""งบพรบ!HR95"")"),0)</f>
        <v>0</v>
      </c>
      <c r="M95" s="260">
        <f t="shared" ca="1" si="63"/>
        <v>0</v>
      </c>
      <c r="N95" s="260">
        <f t="shared" ca="1" si="64"/>
        <v>0</v>
      </c>
      <c r="O95" s="151">
        <f ca="1">IFERROR(__xludf.DUMMYFUNCTION("IMPORTRANGE(""https://docs.google.com/spreadsheets/d/1-uDff_7J0KD5mKrp0Vvzr7lt3OU09vwQwhkpOPPYv2Y/edit?usp=sharing"",""งบพรบ!HS95"")"),0)</f>
        <v>0</v>
      </c>
      <c r="P95" s="475">
        <f t="shared" ca="1" si="65"/>
        <v>0</v>
      </c>
      <c r="Q95" s="260">
        <f t="shared" ca="1" si="66"/>
        <v>0</v>
      </c>
      <c r="R95" s="67">
        <v>0</v>
      </c>
      <c r="S95" s="67">
        <v>0</v>
      </c>
      <c r="T95" s="67">
        <v>0</v>
      </c>
      <c r="U95" s="260">
        <f t="shared" si="57"/>
        <v>0</v>
      </c>
      <c r="V95" s="260">
        <f t="shared" si="58"/>
        <v>0</v>
      </c>
      <c r="W95" s="492"/>
      <c r="X95" s="492"/>
      <c r="Y95" s="493"/>
      <c r="Z95" s="492"/>
      <c r="AA95" s="492"/>
      <c r="AB95" s="493"/>
      <c r="AC95" s="492"/>
      <c r="AD95" s="492"/>
    </row>
    <row r="96" spans="1:30" ht="19.5" x14ac:dyDescent="0.3">
      <c r="A96" s="257"/>
      <c r="B96" s="258" t="s">
        <v>124</v>
      </c>
      <c r="C96" s="472">
        <f t="shared" ca="1" si="59"/>
        <v>0</v>
      </c>
      <c r="D96" s="473">
        <f t="shared" ca="1" si="60"/>
        <v>0</v>
      </c>
      <c r="E96" s="151">
        <f ca="1">IFERROR(__xludf.DUMMYFUNCTION("IMPORTRANGE(""https://docs.google.com/spreadsheets/d/1-uDff_7J0KD5mKrp0Vvzr7lt3OU09vwQwhkpOPPYv2Y/edit?usp=sharing"",""งบพรบ!HL96"")"),0)</f>
        <v>0</v>
      </c>
      <c r="F96" s="151">
        <f ca="1">IFERROR(__xludf.DUMMYFUNCTION("IMPORTRANGE(""https://docs.google.com/spreadsheets/d/1-uDff_7J0KD5mKrp0Vvzr7lt3OU09vwQwhkpOPPYv2Y/edit?usp=sharing"",""งบพรบ!HM96"")"),0)</f>
        <v>0</v>
      </c>
      <c r="G96" s="151">
        <f ca="1">IFERROR(__xludf.DUMMYFUNCTION("IMPORTRANGE(""https://docs.google.com/spreadsheets/d/1-uDff_7J0KD5mKrp0Vvzr7lt3OU09vwQwhkpOPPYv2Y/edit?usp=sharing"",""งบพรบ!HN96"")"),0)</f>
        <v>0</v>
      </c>
      <c r="H96" s="151">
        <f ca="1">IFERROR(__xludf.DUMMYFUNCTION("IMPORTRANGE(""https://docs.google.com/spreadsheets/d/1-uDff_7J0KD5mKrp0Vvzr7lt3OU09vwQwhkpOPPYv2Y/edit?usp=sharing"",""งบพรบ!HP96"")"),0)</f>
        <v>0</v>
      </c>
      <c r="I96" s="151">
        <f ca="1">IFERROR(__xludf.DUMMYFUNCTION("IMPORTRANGE(""https://docs.google.com/spreadsheets/d/1-uDff_7J0KD5mKrp0Vvzr7lt3OU09vwQwhkpOPPYv2Y/edit?usp=sharing"",""งบพรบ!HQ96"")"),0)</f>
        <v>0</v>
      </c>
      <c r="J96" s="262">
        <f t="shared" ca="1" si="61"/>
        <v>0</v>
      </c>
      <c r="K96" s="476">
        <f t="shared" ca="1" si="62"/>
        <v>0</v>
      </c>
      <c r="L96" s="151">
        <f ca="1">IFERROR(__xludf.DUMMYFUNCTION("IMPORTRANGE(""https://docs.google.com/spreadsheets/d/1-uDff_7J0KD5mKrp0Vvzr7lt3OU09vwQwhkpOPPYv2Y/edit?usp=sharing"",""งบพรบ!HR96"")"),0)</f>
        <v>0</v>
      </c>
      <c r="M96" s="260">
        <f t="shared" ca="1" si="63"/>
        <v>0</v>
      </c>
      <c r="N96" s="260">
        <f t="shared" ca="1" si="64"/>
        <v>0</v>
      </c>
      <c r="O96" s="151">
        <f ca="1">IFERROR(__xludf.DUMMYFUNCTION("IMPORTRANGE(""https://docs.google.com/spreadsheets/d/1-uDff_7J0KD5mKrp0Vvzr7lt3OU09vwQwhkpOPPYv2Y/edit?usp=sharing"",""งบพรบ!HS96"")"),0)</f>
        <v>0</v>
      </c>
      <c r="P96" s="475">
        <f t="shared" ca="1" si="65"/>
        <v>0</v>
      </c>
      <c r="Q96" s="260">
        <f t="shared" ca="1" si="66"/>
        <v>0</v>
      </c>
      <c r="R96" s="67">
        <v>0</v>
      </c>
      <c r="S96" s="67">
        <v>0</v>
      </c>
      <c r="T96" s="67">
        <v>0</v>
      </c>
      <c r="U96" s="260">
        <f t="shared" si="57"/>
        <v>0</v>
      </c>
      <c r="V96" s="260">
        <f t="shared" si="58"/>
        <v>0</v>
      </c>
      <c r="W96" s="492"/>
      <c r="X96" s="492"/>
      <c r="Y96" s="493"/>
      <c r="Z96" s="492"/>
      <c r="AA96" s="492"/>
      <c r="AB96" s="493"/>
      <c r="AC96" s="492"/>
      <c r="AD96" s="492"/>
    </row>
    <row r="97" spans="1:30" ht="19.5" x14ac:dyDescent="0.3">
      <c r="A97" s="257"/>
      <c r="B97" s="258" t="s">
        <v>125</v>
      </c>
      <c r="C97" s="472">
        <f t="shared" ca="1" si="59"/>
        <v>0</v>
      </c>
      <c r="D97" s="473">
        <f t="shared" ca="1" si="60"/>
        <v>0</v>
      </c>
      <c r="E97" s="151">
        <f ca="1">IFERROR(__xludf.DUMMYFUNCTION("IMPORTRANGE(""https://docs.google.com/spreadsheets/d/1-uDff_7J0KD5mKrp0Vvzr7lt3OU09vwQwhkpOPPYv2Y/edit?usp=sharing"",""งบพรบ!HL97"")"),0)</f>
        <v>0</v>
      </c>
      <c r="F97" s="151">
        <f ca="1">IFERROR(__xludf.DUMMYFUNCTION("IMPORTRANGE(""https://docs.google.com/spreadsheets/d/1-uDff_7J0KD5mKrp0Vvzr7lt3OU09vwQwhkpOPPYv2Y/edit?usp=sharing"",""งบพรบ!HM97"")"),0)</f>
        <v>0</v>
      </c>
      <c r="G97" s="151">
        <f ca="1">IFERROR(__xludf.DUMMYFUNCTION("IMPORTRANGE(""https://docs.google.com/spreadsheets/d/1-uDff_7J0KD5mKrp0Vvzr7lt3OU09vwQwhkpOPPYv2Y/edit?usp=sharing"",""งบพรบ!HN97"")"),0)</f>
        <v>0</v>
      </c>
      <c r="H97" s="151">
        <f ca="1">IFERROR(__xludf.DUMMYFUNCTION("IMPORTRANGE(""https://docs.google.com/spreadsheets/d/1-uDff_7J0KD5mKrp0Vvzr7lt3OU09vwQwhkpOPPYv2Y/edit?usp=sharing"",""งบพรบ!HP97"")"),0)</f>
        <v>0</v>
      </c>
      <c r="I97" s="151">
        <f ca="1">IFERROR(__xludf.DUMMYFUNCTION("IMPORTRANGE(""https://docs.google.com/spreadsheets/d/1-uDff_7J0KD5mKrp0Vvzr7lt3OU09vwQwhkpOPPYv2Y/edit?usp=sharing"",""งบพรบ!HQ97"")"),0)</f>
        <v>0</v>
      </c>
      <c r="J97" s="262">
        <f t="shared" ca="1" si="61"/>
        <v>0</v>
      </c>
      <c r="K97" s="476">
        <f t="shared" ca="1" si="62"/>
        <v>0</v>
      </c>
      <c r="L97" s="151">
        <f ca="1">IFERROR(__xludf.DUMMYFUNCTION("IMPORTRANGE(""https://docs.google.com/spreadsheets/d/1-uDff_7J0KD5mKrp0Vvzr7lt3OU09vwQwhkpOPPYv2Y/edit?usp=sharing"",""งบพรบ!HR97"")"),0)</f>
        <v>0</v>
      </c>
      <c r="M97" s="260">
        <f t="shared" ca="1" si="63"/>
        <v>0</v>
      </c>
      <c r="N97" s="260">
        <f t="shared" ca="1" si="64"/>
        <v>0</v>
      </c>
      <c r="O97" s="151">
        <f ca="1">IFERROR(__xludf.DUMMYFUNCTION("IMPORTRANGE(""https://docs.google.com/spreadsheets/d/1-uDff_7J0KD5mKrp0Vvzr7lt3OU09vwQwhkpOPPYv2Y/edit?usp=sharing"",""งบพรบ!HS97"")"),0)</f>
        <v>0</v>
      </c>
      <c r="P97" s="475">
        <f t="shared" ca="1" si="65"/>
        <v>0</v>
      </c>
      <c r="Q97" s="260">
        <f t="shared" ca="1" si="66"/>
        <v>0</v>
      </c>
      <c r="R97" s="67">
        <v>0</v>
      </c>
      <c r="S97" s="67">
        <v>0</v>
      </c>
      <c r="T97" s="67">
        <v>0</v>
      </c>
      <c r="U97" s="260">
        <f t="shared" si="57"/>
        <v>0</v>
      </c>
      <c r="V97" s="260">
        <f t="shared" si="58"/>
        <v>0</v>
      </c>
      <c r="W97" s="492"/>
      <c r="X97" s="492"/>
      <c r="Y97" s="493"/>
      <c r="Z97" s="492"/>
      <c r="AA97" s="492"/>
      <c r="AB97" s="493"/>
      <c r="AC97" s="492"/>
      <c r="AD97" s="492"/>
    </row>
    <row r="98" spans="1:30" ht="19.5" x14ac:dyDescent="0.3">
      <c r="A98" s="257"/>
      <c r="B98" s="258" t="s">
        <v>126</v>
      </c>
      <c r="C98" s="472">
        <f t="shared" ca="1" si="59"/>
        <v>0</v>
      </c>
      <c r="D98" s="473">
        <f t="shared" ca="1" si="60"/>
        <v>0</v>
      </c>
      <c r="E98" s="151">
        <f ca="1">IFERROR(__xludf.DUMMYFUNCTION("IMPORTRANGE(""https://docs.google.com/spreadsheets/d/1-uDff_7J0KD5mKrp0Vvzr7lt3OU09vwQwhkpOPPYv2Y/edit?usp=sharing"",""งบพรบ!HL98"")"),0)</f>
        <v>0</v>
      </c>
      <c r="F98" s="151">
        <f ca="1">IFERROR(__xludf.DUMMYFUNCTION("IMPORTRANGE(""https://docs.google.com/spreadsheets/d/1-uDff_7J0KD5mKrp0Vvzr7lt3OU09vwQwhkpOPPYv2Y/edit?usp=sharing"",""งบพรบ!HM98"")"),0)</f>
        <v>0</v>
      </c>
      <c r="G98" s="151">
        <f ca="1">IFERROR(__xludf.DUMMYFUNCTION("IMPORTRANGE(""https://docs.google.com/spreadsheets/d/1-uDff_7J0KD5mKrp0Vvzr7lt3OU09vwQwhkpOPPYv2Y/edit?usp=sharing"",""งบพรบ!HN98"")"),0)</f>
        <v>0</v>
      </c>
      <c r="H98" s="151">
        <f ca="1">IFERROR(__xludf.DUMMYFUNCTION("IMPORTRANGE(""https://docs.google.com/spreadsheets/d/1-uDff_7J0KD5mKrp0Vvzr7lt3OU09vwQwhkpOPPYv2Y/edit?usp=sharing"",""งบพรบ!HP98"")"),0)</f>
        <v>0</v>
      </c>
      <c r="I98" s="151">
        <f ca="1">IFERROR(__xludf.DUMMYFUNCTION("IMPORTRANGE(""https://docs.google.com/spreadsheets/d/1-uDff_7J0KD5mKrp0Vvzr7lt3OU09vwQwhkpOPPYv2Y/edit?usp=sharing"",""งบพรบ!HQ98"")"),0)</f>
        <v>0</v>
      </c>
      <c r="J98" s="262">
        <f t="shared" ca="1" si="61"/>
        <v>0</v>
      </c>
      <c r="K98" s="476">
        <f t="shared" ca="1" si="62"/>
        <v>0</v>
      </c>
      <c r="L98" s="151">
        <f ca="1">IFERROR(__xludf.DUMMYFUNCTION("IMPORTRANGE(""https://docs.google.com/spreadsheets/d/1-uDff_7J0KD5mKrp0Vvzr7lt3OU09vwQwhkpOPPYv2Y/edit?usp=sharing"",""งบพรบ!HR98"")"),0)</f>
        <v>0</v>
      </c>
      <c r="M98" s="260">
        <f t="shared" ca="1" si="63"/>
        <v>0</v>
      </c>
      <c r="N98" s="260">
        <f t="shared" ca="1" si="64"/>
        <v>0</v>
      </c>
      <c r="O98" s="151">
        <f ca="1">IFERROR(__xludf.DUMMYFUNCTION("IMPORTRANGE(""https://docs.google.com/spreadsheets/d/1-uDff_7J0KD5mKrp0Vvzr7lt3OU09vwQwhkpOPPYv2Y/edit?usp=sharing"",""งบพรบ!HS98"")"),0)</f>
        <v>0</v>
      </c>
      <c r="P98" s="475">
        <f t="shared" ca="1" si="65"/>
        <v>0</v>
      </c>
      <c r="Q98" s="260">
        <f t="shared" ca="1" si="66"/>
        <v>0</v>
      </c>
      <c r="R98" s="67">
        <f ca="1">IFERROR(__xludf.DUMMYFUNCTION("IMPORTRANGE(""https://docs.google.com/spreadsheets/d/1ItG2mGa2ceCfYo0BwxsXqNm01IGEUdYcSSLTEv9YCik/edit?usp=sharing"",""เบิกจ่ายกองทุน!AS92"")"),229400)</f>
        <v>229400</v>
      </c>
      <c r="S98" s="67">
        <f ca="1">IFERROR(__xludf.DUMMYFUNCTION("IMPORTRANGE(""https://docs.google.com/spreadsheets/d/1ItG2mGa2ceCfYo0BwxsXqNm01IGEUdYcSSLTEv9YCik/edit?usp=sharing"",""เบิกจ่ายกองทุน!AT92"")"),229400)</f>
        <v>229400</v>
      </c>
      <c r="T98" s="67">
        <f ca="1">IFERROR(__xludf.DUMMYFUNCTION("IMPORTRANGE(""https://docs.google.com/spreadsheets/d/1ItG2mGa2ceCfYo0BwxsXqNm01IGEUdYcSSLTEv9YCik/edit?usp=sharing"",""เบิกจ่ายกองทุน!AU92"")"),138030)</f>
        <v>138030</v>
      </c>
      <c r="U98" s="260">
        <f t="shared" ca="1" si="57"/>
        <v>60.170008718395813</v>
      </c>
      <c r="V98" s="260">
        <f t="shared" ca="1" si="58"/>
        <v>60.170008718395813</v>
      </c>
      <c r="W98" s="492"/>
      <c r="X98" s="492"/>
      <c r="Y98" s="493"/>
      <c r="Z98" s="492"/>
      <c r="AA98" s="492"/>
      <c r="AB98" s="493"/>
      <c r="AC98" s="492"/>
      <c r="AD98" s="492"/>
    </row>
    <row r="99" spans="1:30" ht="19.5" x14ac:dyDescent="0.3">
      <c r="A99" s="257"/>
      <c r="B99" s="258" t="s">
        <v>127</v>
      </c>
      <c r="C99" s="472">
        <f t="shared" ca="1" si="59"/>
        <v>0</v>
      </c>
      <c r="D99" s="473">
        <f t="shared" ca="1" si="60"/>
        <v>0</v>
      </c>
      <c r="E99" s="151">
        <f ca="1">IFERROR(__xludf.DUMMYFUNCTION("IMPORTRANGE(""https://docs.google.com/spreadsheets/d/1-uDff_7J0KD5mKrp0Vvzr7lt3OU09vwQwhkpOPPYv2Y/edit?usp=sharing"",""งบพรบ!HL99"")"),0)</f>
        <v>0</v>
      </c>
      <c r="F99" s="151">
        <f ca="1">IFERROR(__xludf.DUMMYFUNCTION("IMPORTRANGE(""https://docs.google.com/spreadsheets/d/1-uDff_7J0KD5mKrp0Vvzr7lt3OU09vwQwhkpOPPYv2Y/edit?usp=sharing"",""งบพรบ!HM99"")"),0)</f>
        <v>0</v>
      </c>
      <c r="G99" s="151">
        <f ca="1">IFERROR(__xludf.DUMMYFUNCTION("IMPORTRANGE(""https://docs.google.com/spreadsheets/d/1-uDff_7J0KD5mKrp0Vvzr7lt3OU09vwQwhkpOPPYv2Y/edit?usp=sharing"",""งบพรบ!HN99"")"),0)</f>
        <v>0</v>
      </c>
      <c r="H99" s="151">
        <f ca="1">IFERROR(__xludf.DUMMYFUNCTION("IMPORTRANGE(""https://docs.google.com/spreadsheets/d/1-uDff_7J0KD5mKrp0Vvzr7lt3OU09vwQwhkpOPPYv2Y/edit?usp=sharing"",""งบพรบ!HP99"")"),0)</f>
        <v>0</v>
      </c>
      <c r="I99" s="151">
        <f ca="1">IFERROR(__xludf.DUMMYFUNCTION("IMPORTRANGE(""https://docs.google.com/spreadsheets/d/1-uDff_7J0KD5mKrp0Vvzr7lt3OU09vwQwhkpOPPYv2Y/edit?usp=sharing"",""งบพรบ!HQ99"")"),0)</f>
        <v>0</v>
      </c>
      <c r="J99" s="262">
        <f t="shared" ca="1" si="61"/>
        <v>0</v>
      </c>
      <c r="K99" s="476">
        <f t="shared" ca="1" si="62"/>
        <v>0</v>
      </c>
      <c r="L99" s="151">
        <f ca="1">IFERROR(__xludf.DUMMYFUNCTION("IMPORTRANGE(""https://docs.google.com/spreadsheets/d/1-uDff_7J0KD5mKrp0Vvzr7lt3OU09vwQwhkpOPPYv2Y/edit?usp=sharing"",""งบพรบ!HR99"")"),0)</f>
        <v>0</v>
      </c>
      <c r="M99" s="260">
        <f t="shared" ca="1" si="63"/>
        <v>0</v>
      </c>
      <c r="N99" s="260">
        <f t="shared" ca="1" si="64"/>
        <v>0</v>
      </c>
      <c r="O99" s="151">
        <f ca="1">IFERROR(__xludf.DUMMYFUNCTION("IMPORTRANGE(""https://docs.google.com/spreadsheets/d/1-uDff_7J0KD5mKrp0Vvzr7lt3OU09vwQwhkpOPPYv2Y/edit?usp=sharing"",""งบพรบ!HS99"")"),0)</f>
        <v>0</v>
      </c>
      <c r="P99" s="475">
        <f t="shared" ca="1" si="65"/>
        <v>0</v>
      </c>
      <c r="Q99" s="260">
        <f t="shared" ca="1" si="66"/>
        <v>0</v>
      </c>
      <c r="R99" s="67">
        <v>0</v>
      </c>
      <c r="S99" s="67">
        <v>0</v>
      </c>
      <c r="T99" s="67">
        <v>0</v>
      </c>
      <c r="U99" s="260">
        <f t="shared" si="57"/>
        <v>0</v>
      </c>
      <c r="V99" s="260">
        <f t="shared" si="58"/>
        <v>0</v>
      </c>
      <c r="W99" s="492"/>
      <c r="X99" s="492"/>
      <c r="Y99" s="493"/>
      <c r="Z99" s="492"/>
      <c r="AA99" s="492"/>
      <c r="AB99" s="493"/>
      <c r="AC99" s="492"/>
      <c r="AD99" s="492"/>
    </row>
    <row r="100" spans="1:30" ht="19.5" x14ac:dyDescent="0.3">
      <c r="A100" s="257"/>
      <c r="B100" s="258" t="s">
        <v>128</v>
      </c>
      <c r="C100" s="472">
        <f t="shared" ca="1" si="59"/>
        <v>0</v>
      </c>
      <c r="D100" s="473">
        <f t="shared" ca="1" si="60"/>
        <v>0</v>
      </c>
      <c r="E100" s="151">
        <f ca="1">IFERROR(__xludf.DUMMYFUNCTION("IMPORTRANGE(""https://docs.google.com/spreadsheets/d/1-uDff_7J0KD5mKrp0Vvzr7lt3OU09vwQwhkpOPPYv2Y/edit?usp=sharing"",""งบพรบ!HL100"")"),0)</f>
        <v>0</v>
      </c>
      <c r="F100" s="151">
        <f ca="1">IFERROR(__xludf.DUMMYFUNCTION("IMPORTRANGE(""https://docs.google.com/spreadsheets/d/1-uDff_7J0KD5mKrp0Vvzr7lt3OU09vwQwhkpOPPYv2Y/edit?usp=sharing"",""งบพรบ!HM100"")"),0)</f>
        <v>0</v>
      </c>
      <c r="G100" s="151">
        <f ca="1">IFERROR(__xludf.DUMMYFUNCTION("IMPORTRANGE(""https://docs.google.com/spreadsheets/d/1-uDff_7J0KD5mKrp0Vvzr7lt3OU09vwQwhkpOPPYv2Y/edit?usp=sharing"",""งบพรบ!HN100"")"),0)</f>
        <v>0</v>
      </c>
      <c r="H100" s="151">
        <f ca="1">IFERROR(__xludf.DUMMYFUNCTION("IMPORTRANGE(""https://docs.google.com/spreadsheets/d/1-uDff_7J0KD5mKrp0Vvzr7lt3OU09vwQwhkpOPPYv2Y/edit?usp=sharing"",""งบพรบ!HP100"")"),0)</f>
        <v>0</v>
      </c>
      <c r="I100" s="151">
        <f ca="1">IFERROR(__xludf.DUMMYFUNCTION("IMPORTRANGE(""https://docs.google.com/spreadsheets/d/1-uDff_7J0KD5mKrp0Vvzr7lt3OU09vwQwhkpOPPYv2Y/edit?usp=sharing"",""งบพรบ!HQ100"")"),0)</f>
        <v>0</v>
      </c>
      <c r="J100" s="262">
        <f t="shared" ca="1" si="61"/>
        <v>0</v>
      </c>
      <c r="K100" s="476">
        <f t="shared" ca="1" si="62"/>
        <v>0</v>
      </c>
      <c r="L100" s="151">
        <f ca="1">IFERROR(__xludf.DUMMYFUNCTION("IMPORTRANGE(""https://docs.google.com/spreadsheets/d/1-uDff_7J0KD5mKrp0Vvzr7lt3OU09vwQwhkpOPPYv2Y/edit?usp=sharing"",""งบพรบ!HR100"")"),0)</f>
        <v>0</v>
      </c>
      <c r="M100" s="260">
        <f t="shared" ca="1" si="63"/>
        <v>0</v>
      </c>
      <c r="N100" s="260">
        <f t="shared" ca="1" si="64"/>
        <v>0</v>
      </c>
      <c r="O100" s="151">
        <f ca="1">IFERROR(__xludf.DUMMYFUNCTION("IMPORTRANGE(""https://docs.google.com/spreadsheets/d/1-uDff_7J0KD5mKrp0Vvzr7lt3OU09vwQwhkpOPPYv2Y/edit?usp=sharing"",""งบพรบ!HS100"")"),0)</f>
        <v>0</v>
      </c>
      <c r="P100" s="475">
        <f t="shared" ca="1" si="65"/>
        <v>0</v>
      </c>
      <c r="Q100" s="260">
        <f t="shared" ca="1" si="66"/>
        <v>0</v>
      </c>
      <c r="R100" s="67">
        <v>0</v>
      </c>
      <c r="S100" s="67">
        <v>0</v>
      </c>
      <c r="T100" s="67">
        <v>0</v>
      </c>
      <c r="U100" s="260">
        <f t="shared" si="57"/>
        <v>0</v>
      </c>
      <c r="V100" s="260">
        <f t="shared" si="58"/>
        <v>0</v>
      </c>
      <c r="W100" s="492"/>
      <c r="X100" s="492"/>
      <c r="Y100" s="493"/>
      <c r="Z100" s="492"/>
      <c r="AA100" s="492"/>
      <c r="AB100" s="493"/>
      <c r="AC100" s="492"/>
      <c r="AD100" s="492"/>
    </row>
    <row r="101" spans="1:30" ht="19.5" x14ac:dyDescent="0.3">
      <c r="A101" s="257"/>
      <c r="B101" s="258" t="s">
        <v>129</v>
      </c>
      <c r="C101" s="472">
        <f t="shared" ca="1" si="59"/>
        <v>3024390</v>
      </c>
      <c r="D101" s="473">
        <f t="shared" ca="1" si="60"/>
        <v>2778290</v>
      </c>
      <c r="E101" s="151">
        <f ca="1">IFERROR(__xludf.DUMMYFUNCTION("IMPORTRANGE(""https://docs.google.com/spreadsheets/d/1-uDff_7J0KD5mKrp0Vvzr7lt3OU09vwQwhkpOPPYv2Y/edit?usp=sharing"",""งบพรบ!HL101"")"),736100)</f>
        <v>736100</v>
      </c>
      <c r="F101" s="151">
        <f ca="1">IFERROR(__xludf.DUMMYFUNCTION("IMPORTRANGE(""https://docs.google.com/spreadsheets/d/1-uDff_7J0KD5mKrp0Vvzr7lt3OU09vwQwhkpOPPYv2Y/edit?usp=sharing"",""งบพรบ!HM101"")"),2042190)</f>
        <v>2042190</v>
      </c>
      <c r="G101" s="151">
        <f ca="1">IFERROR(__xludf.DUMMYFUNCTION("IMPORTRANGE(""https://docs.google.com/spreadsheets/d/1-uDff_7J0KD5mKrp0Vvzr7lt3OU09vwQwhkpOPPYv2Y/edit?usp=sharing"",""งบพรบ!HN101"")"),246100)</f>
        <v>246100</v>
      </c>
      <c r="H101" s="151">
        <f ca="1">IFERROR(__xludf.DUMMYFUNCTION("IMPORTRANGE(""https://docs.google.com/spreadsheets/d/1-uDff_7J0KD5mKrp0Vvzr7lt3OU09vwQwhkpOPPYv2Y/edit?usp=sharing"",""งบพรบ!HP101"")"),2778290)</f>
        <v>2778290</v>
      </c>
      <c r="I101" s="151">
        <f ca="1">IFERROR(__xludf.DUMMYFUNCTION("IMPORTRANGE(""https://docs.google.com/spreadsheets/d/1-uDff_7J0KD5mKrp0Vvzr7lt3OU09vwQwhkpOPPYv2Y/edit?usp=sharing"",""งบพรบ!HQ101"")"),245600)</f>
        <v>245600</v>
      </c>
      <c r="J101" s="262">
        <f t="shared" ca="1" si="61"/>
        <v>2101250.1</v>
      </c>
      <c r="K101" s="476">
        <f t="shared" ca="1" si="62"/>
        <v>69.476823425550279</v>
      </c>
      <c r="L101" s="151">
        <f ca="1">IFERROR(__xludf.DUMMYFUNCTION("IMPORTRANGE(""https://docs.google.com/spreadsheets/d/1-uDff_7J0KD5mKrp0Vvzr7lt3OU09vwQwhkpOPPYv2Y/edit?usp=sharing"",""งบพรบ!HR101"")"),1855650.1)</f>
        <v>1855650.1</v>
      </c>
      <c r="M101" s="260">
        <f t="shared" ca="1" si="63"/>
        <v>66.79108732349755</v>
      </c>
      <c r="N101" s="260">
        <f t="shared" ca="1" si="64"/>
        <v>66.79108732349755</v>
      </c>
      <c r="O101" s="151">
        <f ca="1">IFERROR(__xludf.DUMMYFUNCTION("IMPORTRANGE(""https://docs.google.com/spreadsheets/d/1-uDff_7J0KD5mKrp0Vvzr7lt3OU09vwQwhkpOPPYv2Y/edit?usp=sharing"",""งบพรบ!HS101"")"),245600)</f>
        <v>245600</v>
      </c>
      <c r="P101" s="475">
        <f t="shared" ca="1" si="65"/>
        <v>99.79683055668427</v>
      </c>
      <c r="Q101" s="260">
        <f t="shared" ca="1" si="66"/>
        <v>100</v>
      </c>
      <c r="R101" s="67">
        <v>0</v>
      </c>
      <c r="S101" s="67">
        <v>0</v>
      </c>
      <c r="T101" s="67">
        <v>0</v>
      </c>
      <c r="U101" s="260">
        <f t="shared" si="57"/>
        <v>0</v>
      </c>
      <c r="V101" s="260">
        <f t="shared" si="58"/>
        <v>0</v>
      </c>
      <c r="W101" s="492"/>
      <c r="X101" s="492"/>
      <c r="Y101" s="493"/>
      <c r="Z101" s="492"/>
      <c r="AA101" s="492"/>
      <c r="AB101" s="493"/>
      <c r="AC101" s="492"/>
      <c r="AD101" s="492"/>
    </row>
    <row r="102" spans="1:30" ht="19.5" x14ac:dyDescent="0.3">
      <c r="A102" s="257"/>
      <c r="B102" s="258" t="s">
        <v>130</v>
      </c>
      <c r="C102" s="472">
        <f t="shared" ca="1" si="59"/>
        <v>0</v>
      </c>
      <c r="D102" s="473">
        <f t="shared" ca="1" si="60"/>
        <v>0</v>
      </c>
      <c r="E102" s="151">
        <f ca="1">IFERROR(__xludf.DUMMYFUNCTION("IMPORTRANGE(""https://docs.google.com/spreadsheets/d/1-uDff_7J0KD5mKrp0Vvzr7lt3OU09vwQwhkpOPPYv2Y/edit?usp=sharing"",""งบพรบ!HL102"")"),0)</f>
        <v>0</v>
      </c>
      <c r="F102" s="151">
        <f ca="1">IFERROR(__xludf.DUMMYFUNCTION("IMPORTRANGE(""https://docs.google.com/spreadsheets/d/1-uDff_7J0KD5mKrp0Vvzr7lt3OU09vwQwhkpOPPYv2Y/edit?usp=sharing"",""งบพรบ!HM102"")"),0)</f>
        <v>0</v>
      </c>
      <c r="G102" s="151">
        <f ca="1">IFERROR(__xludf.DUMMYFUNCTION("IMPORTRANGE(""https://docs.google.com/spreadsheets/d/1-uDff_7J0KD5mKrp0Vvzr7lt3OU09vwQwhkpOPPYv2Y/edit?usp=sharing"",""งบพรบ!HN102"")"),0)</f>
        <v>0</v>
      </c>
      <c r="H102" s="151">
        <f ca="1">IFERROR(__xludf.DUMMYFUNCTION("IMPORTRANGE(""https://docs.google.com/spreadsheets/d/1-uDff_7J0KD5mKrp0Vvzr7lt3OU09vwQwhkpOPPYv2Y/edit?usp=sharing"",""งบพรบ!HP102"")"),0)</f>
        <v>0</v>
      </c>
      <c r="I102" s="151">
        <f ca="1">IFERROR(__xludf.DUMMYFUNCTION("IMPORTRANGE(""https://docs.google.com/spreadsheets/d/1-uDff_7J0KD5mKrp0Vvzr7lt3OU09vwQwhkpOPPYv2Y/edit?usp=sharing"",""งบพรบ!HQ102"")"),0)</f>
        <v>0</v>
      </c>
      <c r="J102" s="262">
        <f t="shared" ca="1" si="61"/>
        <v>0</v>
      </c>
      <c r="K102" s="476">
        <f t="shared" ca="1" si="62"/>
        <v>0</v>
      </c>
      <c r="L102" s="151">
        <f ca="1">IFERROR(__xludf.DUMMYFUNCTION("IMPORTRANGE(""https://docs.google.com/spreadsheets/d/1-uDff_7J0KD5mKrp0Vvzr7lt3OU09vwQwhkpOPPYv2Y/edit?usp=sharing"",""งบพรบ!HR102"")"),0)</f>
        <v>0</v>
      </c>
      <c r="M102" s="260">
        <f t="shared" ca="1" si="63"/>
        <v>0</v>
      </c>
      <c r="N102" s="260">
        <f t="shared" ca="1" si="64"/>
        <v>0</v>
      </c>
      <c r="O102" s="151">
        <f ca="1">IFERROR(__xludf.DUMMYFUNCTION("IMPORTRANGE(""https://docs.google.com/spreadsheets/d/1-uDff_7J0KD5mKrp0Vvzr7lt3OU09vwQwhkpOPPYv2Y/edit?usp=sharing"",""งบพรบ!HS102"")"),0)</f>
        <v>0</v>
      </c>
      <c r="P102" s="475">
        <f t="shared" ca="1" si="65"/>
        <v>0</v>
      </c>
      <c r="Q102" s="260">
        <f t="shared" ca="1" si="66"/>
        <v>0</v>
      </c>
      <c r="R102" s="67">
        <v>0</v>
      </c>
      <c r="S102" s="67">
        <v>0</v>
      </c>
      <c r="T102" s="67">
        <v>0</v>
      </c>
      <c r="U102" s="260">
        <f t="shared" si="57"/>
        <v>0</v>
      </c>
      <c r="V102" s="260">
        <f t="shared" si="58"/>
        <v>0</v>
      </c>
      <c r="W102" s="492"/>
      <c r="X102" s="492"/>
      <c r="Y102" s="493"/>
      <c r="Z102" s="492"/>
      <c r="AA102" s="492"/>
      <c r="AB102" s="493"/>
      <c r="AC102" s="492"/>
      <c r="AD102" s="492"/>
    </row>
    <row r="103" spans="1:30" ht="19.5" x14ac:dyDescent="0.3">
      <c r="A103" s="257"/>
      <c r="B103" s="258" t="s">
        <v>131</v>
      </c>
      <c r="C103" s="472">
        <f t="shared" ca="1" si="59"/>
        <v>0</v>
      </c>
      <c r="D103" s="473">
        <f t="shared" ca="1" si="60"/>
        <v>0</v>
      </c>
      <c r="E103" s="151">
        <f ca="1">IFERROR(__xludf.DUMMYFUNCTION("IMPORTRANGE(""https://docs.google.com/spreadsheets/d/1-uDff_7J0KD5mKrp0Vvzr7lt3OU09vwQwhkpOPPYv2Y/edit?usp=sharing"",""งบพรบ!HL103"")"),0)</f>
        <v>0</v>
      </c>
      <c r="F103" s="151">
        <f ca="1">IFERROR(__xludf.DUMMYFUNCTION("IMPORTRANGE(""https://docs.google.com/spreadsheets/d/1-uDff_7J0KD5mKrp0Vvzr7lt3OU09vwQwhkpOPPYv2Y/edit?usp=sharing"",""งบพรบ!HM103"")"),0)</f>
        <v>0</v>
      </c>
      <c r="G103" s="151">
        <f ca="1">IFERROR(__xludf.DUMMYFUNCTION("IMPORTRANGE(""https://docs.google.com/spreadsheets/d/1-uDff_7J0KD5mKrp0Vvzr7lt3OU09vwQwhkpOPPYv2Y/edit?usp=sharing"",""งบพรบ!HN103"")"),0)</f>
        <v>0</v>
      </c>
      <c r="H103" s="151">
        <f ca="1">IFERROR(__xludf.DUMMYFUNCTION("IMPORTRANGE(""https://docs.google.com/spreadsheets/d/1-uDff_7J0KD5mKrp0Vvzr7lt3OU09vwQwhkpOPPYv2Y/edit?usp=sharing"",""งบพรบ!HP103"")"),0)</f>
        <v>0</v>
      </c>
      <c r="I103" s="151">
        <f ca="1">IFERROR(__xludf.DUMMYFUNCTION("IMPORTRANGE(""https://docs.google.com/spreadsheets/d/1-uDff_7J0KD5mKrp0Vvzr7lt3OU09vwQwhkpOPPYv2Y/edit?usp=sharing"",""งบพรบ!HQ103"")"),0)</f>
        <v>0</v>
      </c>
      <c r="J103" s="262">
        <f t="shared" ca="1" si="61"/>
        <v>0</v>
      </c>
      <c r="K103" s="476">
        <f t="shared" ca="1" si="62"/>
        <v>0</v>
      </c>
      <c r="L103" s="151">
        <f ca="1">IFERROR(__xludf.DUMMYFUNCTION("IMPORTRANGE(""https://docs.google.com/spreadsheets/d/1-uDff_7J0KD5mKrp0Vvzr7lt3OU09vwQwhkpOPPYv2Y/edit?usp=sharing"",""งบพรบ!HR103"")"),0)</f>
        <v>0</v>
      </c>
      <c r="M103" s="260">
        <f t="shared" ca="1" si="63"/>
        <v>0</v>
      </c>
      <c r="N103" s="260">
        <f t="shared" ca="1" si="64"/>
        <v>0</v>
      </c>
      <c r="O103" s="151">
        <f ca="1">IFERROR(__xludf.DUMMYFUNCTION("IMPORTRANGE(""https://docs.google.com/spreadsheets/d/1-uDff_7J0KD5mKrp0Vvzr7lt3OU09vwQwhkpOPPYv2Y/edit?usp=sharing"",""งบพรบ!HS103"")"),0)</f>
        <v>0</v>
      </c>
      <c r="P103" s="475">
        <f t="shared" ca="1" si="65"/>
        <v>0</v>
      </c>
      <c r="Q103" s="260">
        <f t="shared" ca="1" si="66"/>
        <v>0</v>
      </c>
      <c r="R103" s="67">
        <v>0</v>
      </c>
      <c r="S103" s="67">
        <v>0</v>
      </c>
      <c r="T103" s="67">
        <v>0</v>
      </c>
      <c r="U103" s="260">
        <f t="shared" si="57"/>
        <v>0</v>
      </c>
      <c r="V103" s="260">
        <f t="shared" si="58"/>
        <v>0</v>
      </c>
      <c r="W103" s="492"/>
      <c r="X103" s="492"/>
      <c r="Y103" s="493"/>
      <c r="Z103" s="492"/>
      <c r="AA103" s="492"/>
      <c r="AB103" s="493"/>
      <c r="AC103" s="492"/>
      <c r="AD103" s="492"/>
    </row>
    <row r="104" spans="1:30" ht="19.5" x14ac:dyDescent="0.3">
      <c r="A104" s="257"/>
      <c r="B104" s="258" t="s">
        <v>132</v>
      </c>
      <c r="C104" s="472">
        <f t="shared" ca="1" si="59"/>
        <v>842600</v>
      </c>
      <c r="D104" s="473">
        <f t="shared" ca="1" si="60"/>
        <v>842600</v>
      </c>
      <c r="E104" s="151">
        <f ca="1">IFERROR(__xludf.DUMMYFUNCTION("IMPORTRANGE(""https://docs.google.com/spreadsheets/d/1-uDff_7J0KD5mKrp0Vvzr7lt3OU09vwQwhkpOPPYv2Y/edit?usp=sharing"",""งบพรบ!HL104"")"),842600)</f>
        <v>842600</v>
      </c>
      <c r="F104" s="151">
        <f ca="1">IFERROR(__xludf.DUMMYFUNCTION("IMPORTRANGE(""https://docs.google.com/spreadsheets/d/1-uDff_7J0KD5mKrp0Vvzr7lt3OU09vwQwhkpOPPYv2Y/edit?usp=sharing"",""งบพรบ!HM104"")"),0)</f>
        <v>0</v>
      </c>
      <c r="G104" s="151">
        <f ca="1">IFERROR(__xludf.DUMMYFUNCTION("IMPORTRANGE(""https://docs.google.com/spreadsheets/d/1-uDff_7J0KD5mKrp0Vvzr7lt3OU09vwQwhkpOPPYv2Y/edit?usp=sharing"",""งบพรบ!HN104"")"),0)</f>
        <v>0</v>
      </c>
      <c r="H104" s="151">
        <f ca="1">IFERROR(__xludf.DUMMYFUNCTION("IMPORTRANGE(""https://docs.google.com/spreadsheets/d/1-uDff_7J0KD5mKrp0Vvzr7lt3OU09vwQwhkpOPPYv2Y/edit?usp=sharing"",""งบพรบ!HP104"")"),500000)</f>
        <v>500000</v>
      </c>
      <c r="I104" s="151">
        <f ca="1">IFERROR(__xludf.DUMMYFUNCTION("IMPORTRANGE(""https://docs.google.com/spreadsheets/d/1-uDff_7J0KD5mKrp0Vvzr7lt3OU09vwQwhkpOPPYv2Y/edit?usp=sharing"",""งบพรบ!HQ104"")"),0)</f>
        <v>0</v>
      </c>
      <c r="J104" s="262">
        <f t="shared" ca="1" si="61"/>
        <v>0</v>
      </c>
      <c r="K104" s="476">
        <f t="shared" ca="1" si="62"/>
        <v>0</v>
      </c>
      <c r="L104" s="151">
        <f ca="1">IFERROR(__xludf.DUMMYFUNCTION("IMPORTRANGE(""https://docs.google.com/spreadsheets/d/1-uDff_7J0KD5mKrp0Vvzr7lt3OU09vwQwhkpOPPYv2Y/edit?usp=sharing"",""งบพรบ!HR104"")"),0)</f>
        <v>0</v>
      </c>
      <c r="M104" s="260">
        <f t="shared" ca="1" si="63"/>
        <v>0</v>
      </c>
      <c r="N104" s="260">
        <f t="shared" ca="1" si="64"/>
        <v>0</v>
      </c>
      <c r="O104" s="151">
        <f ca="1">IFERROR(__xludf.DUMMYFUNCTION("IMPORTRANGE(""https://docs.google.com/spreadsheets/d/1-uDff_7J0KD5mKrp0Vvzr7lt3OU09vwQwhkpOPPYv2Y/edit?usp=sharing"",""งบพรบ!HS104"")"),0)</f>
        <v>0</v>
      </c>
      <c r="P104" s="475">
        <f t="shared" ca="1" si="65"/>
        <v>0</v>
      </c>
      <c r="Q104" s="260">
        <f t="shared" ca="1" si="66"/>
        <v>0</v>
      </c>
      <c r="R104" s="67">
        <v>0</v>
      </c>
      <c r="S104" s="67">
        <v>0</v>
      </c>
      <c r="T104" s="67">
        <v>0</v>
      </c>
      <c r="U104" s="260">
        <f t="shared" si="57"/>
        <v>0</v>
      </c>
      <c r="V104" s="260">
        <f t="shared" si="58"/>
        <v>0</v>
      </c>
      <c r="W104" s="215"/>
      <c r="X104" s="215"/>
      <c r="Y104" s="494"/>
      <c r="Z104" s="215"/>
      <c r="AA104" s="215"/>
      <c r="AB104" s="494"/>
      <c r="AC104" s="215"/>
      <c r="AD104" s="215"/>
    </row>
    <row r="105" spans="1:30" ht="19.5" x14ac:dyDescent="0.3">
      <c r="A105" s="257"/>
      <c r="B105" s="261" t="s">
        <v>133</v>
      </c>
      <c r="C105" s="472">
        <f t="shared" ca="1" si="59"/>
        <v>0</v>
      </c>
      <c r="D105" s="473">
        <f t="shared" ca="1" si="60"/>
        <v>0</v>
      </c>
      <c r="E105" s="151">
        <f ca="1">IFERROR(__xludf.DUMMYFUNCTION("IMPORTRANGE(""https://docs.google.com/spreadsheets/d/1-uDff_7J0KD5mKrp0Vvzr7lt3OU09vwQwhkpOPPYv2Y/edit?usp=sharing"",""งบพรบ!HL105"")"),0)</f>
        <v>0</v>
      </c>
      <c r="F105" s="151">
        <f ca="1">IFERROR(__xludf.DUMMYFUNCTION("IMPORTRANGE(""https://docs.google.com/spreadsheets/d/1-uDff_7J0KD5mKrp0Vvzr7lt3OU09vwQwhkpOPPYv2Y/edit?usp=sharing"",""งบพรบ!HM105"")"),0)</f>
        <v>0</v>
      </c>
      <c r="G105" s="151">
        <f ca="1">IFERROR(__xludf.DUMMYFUNCTION("IMPORTRANGE(""https://docs.google.com/spreadsheets/d/1-uDff_7J0KD5mKrp0Vvzr7lt3OU09vwQwhkpOPPYv2Y/edit?usp=sharing"",""งบพรบ!HN105"")"),0)</f>
        <v>0</v>
      </c>
      <c r="H105" s="151">
        <f ca="1">IFERROR(__xludf.DUMMYFUNCTION("IMPORTRANGE(""https://docs.google.com/spreadsheets/d/1-uDff_7J0KD5mKrp0Vvzr7lt3OU09vwQwhkpOPPYv2Y/edit?usp=sharing"",""งบพรบ!HP105"")"),0)</f>
        <v>0</v>
      </c>
      <c r="I105" s="151">
        <f ca="1">IFERROR(__xludf.DUMMYFUNCTION("IMPORTRANGE(""https://docs.google.com/spreadsheets/d/1-uDff_7J0KD5mKrp0Vvzr7lt3OU09vwQwhkpOPPYv2Y/edit?usp=sharing"",""งบพรบ!HQ105"")"),0)</f>
        <v>0</v>
      </c>
      <c r="J105" s="262">
        <f t="shared" ca="1" si="61"/>
        <v>0</v>
      </c>
      <c r="K105" s="476">
        <f t="shared" ca="1" si="62"/>
        <v>0</v>
      </c>
      <c r="L105" s="151">
        <f ca="1">IFERROR(__xludf.DUMMYFUNCTION("IMPORTRANGE(""https://docs.google.com/spreadsheets/d/1-uDff_7J0KD5mKrp0Vvzr7lt3OU09vwQwhkpOPPYv2Y/edit?usp=sharing"",""งบพรบ!HR105"")"),0)</f>
        <v>0</v>
      </c>
      <c r="M105" s="260">
        <f t="shared" ca="1" si="63"/>
        <v>0</v>
      </c>
      <c r="N105" s="260">
        <f t="shared" ca="1" si="64"/>
        <v>0</v>
      </c>
      <c r="O105" s="151">
        <f ca="1">IFERROR(__xludf.DUMMYFUNCTION("IMPORTRANGE(""https://docs.google.com/spreadsheets/d/1-uDff_7J0KD5mKrp0Vvzr7lt3OU09vwQwhkpOPPYv2Y/edit?usp=sharing"",""งบพรบ!HS105"")"),0)</f>
        <v>0</v>
      </c>
      <c r="P105" s="475">
        <f t="shared" ca="1" si="65"/>
        <v>0</v>
      </c>
      <c r="Q105" s="260">
        <f t="shared" ca="1" si="66"/>
        <v>0</v>
      </c>
      <c r="R105" s="67">
        <v>0</v>
      </c>
      <c r="S105" s="67">
        <v>0</v>
      </c>
      <c r="T105" s="67">
        <v>0</v>
      </c>
      <c r="U105" s="260">
        <f t="shared" si="57"/>
        <v>0</v>
      </c>
      <c r="V105" s="260">
        <f t="shared" si="58"/>
        <v>0</v>
      </c>
      <c r="W105" s="492"/>
      <c r="X105" s="492"/>
      <c r="Y105" s="493"/>
      <c r="Z105" s="492"/>
      <c r="AA105" s="492"/>
      <c r="AB105" s="493"/>
      <c r="AC105" s="492"/>
      <c r="AD105" s="492"/>
    </row>
    <row r="106" spans="1:30" ht="19.5" x14ac:dyDescent="0.3">
      <c r="A106" s="257"/>
      <c r="B106" s="261" t="s">
        <v>134</v>
      </c>
      <c r="C106" s="472">
        <f t="shared" ca="1" si="59"/>
        <v>0</v>
      </c>
      <c r="D106" s="473">
        <f t="shared" ca="1" si="60"/>
        <v>0</v>
      </c>
      <c r="E106" s="151">
        <f ca="1">IFERROR(__xludf.DUMMYFUNCTION("IMPORTRANGE(""https://docs.google.com/spreadsheets/d/1-uDff_7J0KD5mKrp0Vvzr7lt3OU09vwQwhkpOPPYv2Y/edit?usp=sharing"",""งบพรบ!HL106"")"),0)</f>
        <v>0</v>
      </c>
      <c r="F106" s="151">
        <f ca="1">IFERROR(__xludf.DUMMYFUNCTION("IMPORTRANGE(""https://docs.google.com/spreadsheets/d/1-uDff_7J0KD5mKrp0Vvzr7lt3OU09vwQwhkpOPPYv2Y/edit?usp=sharing"",""งบพรบ!HM106"")"),0)</f>
        <v>0</v>
      </c>
      <c r="G106" s="151">
        <f ca="1">IFERROR(__xludf.DUMMYFUNCTION("IMPORTRANGE(""https://docs.google.com/spreadsheets/d/1-uDff_7J0KD5mKrp0Vvzr7lt3OU09vwQwhkpOPPYv2Y/edit?usp=sharing"",""งบพรบ!HN106"")"),0)</f>
        <v>0</v>
      </c>
      <c r="H106" s="151">
        <f ca="1">IFERROR(__xludf.DUMMYFUNCTION("IMPORTRANGE(""https://docs.google.com/spreadsheets/d/1-uDff_7J0KD5mKrp0Vvzr7lt3OU09vwQwhkpOPPYv2Y/edit?usp=sharing"",""งบพรบ!HP106"")"),0)</f>
        <v>0</v>
      </c>
      <c r="I106" s="151">
        <f ca="1">IFERROR(__xludf.DUMMYFUNCTION("IMPORTRANGE(""https://docs.google.com/spreadsheets/d/1-uDff_7J0KD5mKrp0Vvzr7lt3OU09vwQwhkpOPPYv2Y/edit?usp=sharing"",""งบพรบ!HQ106"")"),0)</f>
        <v>0</v>
      </c>
      <c r="J106" s="262">
        <f t="shared" ca="1" si="61"/>
        <v>0</v>
      </c>
      <c r="K106" s="476">
        <f t="shared" ca="1" si="62"/>
        <v>0</v>
      </c>
      <c r="L106" s="151">
        <f ca="1">IFERROR(__xludf.DUMMYFUNCTION("IMPORTRANGE(""https://docs.google.com/spreadsheets/d/1-uDff_7J0KD5mKrp0Vvzr7lt3OU09vwQwhkpOPPYv2Y/edit?usp=sharing"",""งบพรบ!HR106"")"),0)</f>
        <v>0</v>
      </c>
      <c r="M106" s="260">
        <f t="shared" ca="1" si="63"/>
        <v>0</v>
      </c>
      <c r="N106" s="260">
        <f t="shared" ca="1" si="64"/>
        <v>0</v>
      </c>
      <c r="O106" s="151">
        <f ca="1">IFERROR(__xludf.DUMMYFUNCTION("IMPORTRANGE(""https://docs.google.com/spreadsheets/d/1-uDff_7J0KD5mKrp0Vvzr7lt3OU09vwQwhkpOPPYv2Y/edit?usp=sharing"",""งบพรบ!HS106"")"),0)</f>
        <v>0</v>
      </c>
      <c r="P106" s="475">
        <f t="shared" ca="1" si="65"/>
        <v>0</v>
      </c>
      <c r="Q106" s="260">
        <f t="shared" ca="1" si="66"/>
        <v>0</v>
      </c>
      <c r="R106" s="67">
        <v>0</v>
      </c>
      <c r="S106" s="67">
        <v>0</v>
      </c>
      <c r="T106" s="67">
        <v>0</v>
      </c>
      <c r="U106" s="260">
        <f t="shared" si="57"/>
        <v>0</v>
      </c>
      <c r="V106" s="260">
        <f t="shared" si="58"/>
        <v>0</v>
      </c>
      <c r="W106" s="492"/>
      <c r="X106" s="492"/>
      <c r="Y106" s="493"/>
      <c r="Z106" s="492"/>
      <c r="AA106" s="492"/>
      <c r="AB106" s="493"/>
      <c r="AC106" s="492"/>
      <c r="AD106" s="492"/>
    </row>
    <row r="107" spans="1:30" ht="19.5" x14ac:dyDescent="0.3">
      <c r="A107" s="263"/>
      <c r="B107" s="264" t="s">
        <v>26</v>
      </c>
      <c r="C107" s="495">
        <f t="shared" ca="1" si="59"/>
        <v>0</v>
      </c>
      <c r="D107" s="496">
        <f t="shared" ca="1" si="60"/>
        <v>0</v>
      </c>
      <c r="E107" s="265">
        <f ca="1">IFERROR(__xludf.DUMMYFUNCTION("IMPORTRANGE(""https://docs.google.com/spreadsheets/d/1-uDff_7J0KD5mKrp0Vvzr7lt3OU09vwQwhkpOPPYv2Y/edit?usp=sharing"",""งบพรบ!HL107"")"),0)</f>
        <v>0</v>
      </c>
      <c r="F107" s="265">
        <f ca="1">IFERROR(__xludf.DUMMYFUNCTION("IMPORTRANGE(""https://docs.google.com/spreadsheets/d/1-uDff_7J0KD5mKrp0Vvzr7lt3OU09vwQwhkpOPPYv2Y/edit?usp=sharing"",""งบพรบ!HM107"")"),0)</f>
        <v>0</v>
      </c>
      <c r="G107" s="265">
        <f ca="1">IFERROR(__xludf.DUMMYFUNCTION("IMPORTRANGE(""https://docs.google.com/spreadsheets/d/1-uDff_7J0KD5mKrp0Vvzr7lt3OU09vwQwhkpOPPYv2Y/edit?usp=sharing"",""งบพรบ!HN107"")"),0)</f>
        <v>0</v>
      </c>
      <c r="H107" s="265">
        <f ca="1">IFERROR(__xludf.DUMMYFUNCTION("IMPORTRANGE(""https://docs.google.com/spreadsheets/d/1-uDff_7J0KD5mKrp0Vvzr7lt3OU09vwQwhkpOPPYv2Y/edit?usp=sharing"",""งบพรบ!HP107"")"),0)</f>
        <v>0</v>
      </c>
      <c r="I107" s="265">
        <f ca="1">IFERROR(__xludf.DUMMYFUNCTION("IMPORTRANGE(""https://docs.google.com/spreadsheets/d/1-uDff_7J0KD5mKrp0Vvzr7lt3OU09vwQwhkpOPPYv2Y/edit?usp=sharing"",""งบพรบ!HQ107"")"),0)</f>
        <v>0</v>
      </c>
      <c r="J107" s="267">
        <f t="shared" ca="1" si="61"/>
        <v>0</v>
      </c>
      <c r="K107" s="497">
        <f t="shared" ca="1" si="62"/>
        <v>0</v>
      </c>
      <c r="L107" s="265">
        <f ca="1">IFERROR(__xludf.DUMMYFUNCTION("IMPORTRANGE(""https://docs.google.com/spreadsheets/d/1-uDff_7J0KD5mKrp0Vvzr7lt3OU09vwQwhkpOPPYv2Y/edit?usp=sharing"",""งบพรบ!HR107"")"),0)</f>
        <v>0</v>
      </c>
      <c r="M107" s="498">
        <f t="shared" ca="1" si="63"/>
        <v>0</v>
      </c>
      <c r="N107" s="498">
        <f t="shared" ca="1" si="64"/>
        <v>0</v>
      </c>
      <c r="O107" s="265">
        <f ca="1">IFERROR(__xludf.DUMMYFUNCTION("IMPORTRANGE(""https://docs.google.com/spreadsheets/d/1-uDff_7J0KD5mKrp0Vvzr7lt3OU09vwQwhkpOPPYv2Y/edit?usp=sharing"",""งบพรบ!HS107"")"),0)</f>
        <v>0</v>
      </c>
      <c r="P107" s="499">
        <f t="shared" ca="1" si="65"/>
        <v>0</v>
      </c>
      <c r="Q107" s="498">
        <f t="shared" ca="1" si="66"/>
        <v>0</v>
      </c>
      <c r="R107" s="205">
        <v>0</v>
      </c>
      <c r="S107" s="205">
        <v>0</v>
      </c>
      <c r="T107" s="205">
        <v>0</v>
      </c>
      <c r="U107" s="498">
        <f t="shared" si="57"/>
        <v>0</v>
      </c>
      <c r="V107" s="498">
        <f t="shared" si="58"/>
        <v>0</v>
      </c>
      <c r="W107" s="500"/>
      <c r="X107" s="500"/>
      <c r="Y107" s="501"/>
      <c r="Z107" s="500"/>
      <c r="AA107" s="500"/>
      <c r="AB107" s="501"/>
      <c r="AC107" s="500"/>
      <c r="AD107" s="500"/>
    </row>
    <row r="108" spans="1:30" ht="19.5" x14ac:dyDescent="0.3">
      <c r="A108" s="268"/>
      <c r="B108" s="269" t="s">
        <v>135</v>
      </c>
      <c r="C108" s="502">
        <f t="shared" ca="1" si="59"/>
        <v>0</v>
      </c>
      <c r="D108" s="503">
        <f t="shared" ca="1" si="60"/>
        <v>0</v>
      </c>
      <c r="E108" s="270">
        <f ca="1">IFERROR(__xludf.DUMMYFUNCTION("IMPORTRANGE(""https://docs.google.com/spreadsheets/d/1-uDff_7J0KD5mKrp0Vvzr7lt3OU09vwQwhkpOPPYv2Y/edit?usp=sharing"",""งบพรบ!HL108"")"),0)</f>
        <v>0</v>
      </c>
      <c r="F108" s="270">
        <f ca="1">IFERROR(__xludf.DUMMYFUNCTION("IMPORTRANGE(""https://docs.google.com/spreadsheets/d/1-uDff_7J0KD5mKrp0Vvzr7lt3OU09vwQwhkpOPPYv2Y/edit?usp=sharing"",""งบพรบ!HM108"")"),0)</f>
        <v>0</v>
      </c>
      <c r="G108" s="270">
        <f ca="1">IFERROR(__xludf.DUMMYFUNCTION("IMPORTRANGE(""https://docs.google.com/spreadsheets/d/1-uDff_7J0KD5mKrp0Vvzr7lt3OU09vwQwhkpOPPYv2Y/edit?usp=sharing"",""งบพรบ!HN108"")"),0)</f>
        <v>0</v>
      </c>
      <c r="H108" s="270">
        <f ca="1">IFERROR(__xludf.DUMMYFUNCTION("IMPORTRANGE(""https://docs.google.com/spreadsheets/d/1-uDff_7J0KD5mKrp0Vvzr7lt3OU09vwQwhkpOPPYv2Y/edit?usp=sharing"",""งบพรบ!HP108"")"),0)</f>
        <v>0</v>
      </c>
      <c r="I108" s="270">
        <f ca="1">IFERROR(__xludf.DUMMYFUNCTION("IMPORTRANGE(""https://docs.google.com/spreadsheets/d/1-uDff_7J0KD5mKrp0Vvzr7lt3OU09vwQwhkpOPPYv2Y/edit?usp=sharing"",""งบพรบ!HQ108"")"),0)</f>
        <v>0</v>
      </c>
      <c r="J108" s="272">
        <f t="shared" ca="1" si="61"/>
        <v>0</v>
      </c>
      <c r="K108" s="504">
        <f t="shared" ca="1" si="62"/>
        <v>0</v>
      </c>
      <c r="L108" s="270">
        <f ca="1">IFERROR(__xludf.DUMMYFUNCTION("IMPORTRANGE(""https://docs.google.com/spreadsheets/d/1-uDff_7J0KD5mKrp0Vvzr7lt3OU09vwQwhkpOPPYv2Y/edit?usp=sharing"",""งบพรบ!HR108"")"),0)</f>
        <v>0</v>
      </c>
      <c r="M108" s="505">
        <f t="shared" ca="1" si="63"/>
        <v>0</v>
      </c>
      <c r="N108" s="505">
        <f t="shared" ca="1" si="64"/>
        <v>0</v>
      </c>
      <c r="O108" s="270">
        <f ca="1">IFERROR(__xludf.DUMMYFUNCTION("IMPORTRANGE(""https://docs.google.com/spreadsheets/d/1-uDff_7J0KD5mKrp0Vvzr7lt3OU09vwQwhkpOPPYv2Y/edit?usp=sharing"",""งบพรบ!HS108"")"),0)</f>
        <v>0</v>
      </c>
      <c r="P108" s="506">
        <f t="shared" ca="1" si="65"/>
        <v>0</v>
      </c>
      <c r="Q108" s="505">
        <f t="shared" ca="1" si="66"/>
        <v>0</v>
      </c>
      <c r="R108" s="208">
        <v>0</v>
      </c>
      <c r="S108" s="208">
        <v>0</v>
      </c>
      <c r="T108" s="208">
        <v>0</v>
      </c>
      <c r="U108" s="505">
        <f t="shared" si="57"/>
        <v>0</v>
      </c>
      <c r="V108" s="505">
        <f t="shared" si="58"/>
        <v>0</v>
      </c>
      <c r="W108" s="507"/>
      <c r="X108" s="507"/>
      <c r="Y108" s="508"/>
      <c r="Z108" s="507"/>
      <c r="AA108" s="507"/>
      <c r="AB108" s="508"/>
      <c r="AC108" s="507"/>
      <c r="AD108" s="507"/>
    </row>
  </sheetData>
  <mergeCells count="36">
    <mergeCell ref="X5:Y5"/>
    <mergeCell ref="C4:G4"/>
    <mergeCell ref="H4:I4"/>
    <mergeCell ref="Z4:Z5"/>
    <mergeCell ref="AA4:AB5"/>
    <mergeCell ref="C5:C6"/>
    <mergeCell ref="D5:D6"/>
    <mergeCell ref="E5:E6"/>
    <mergeCell ref="F5:F6"/>
    <mergeCell ref="G5:G6"/>
    <mergeCell ref="H5:H6"/>
    <mergeCell ref="I5:I6"/>
    <mergeCell ref="J5:K5"/>
    <mergeCell ref="W2:AD2"/>
    <mergeCell ref="C3:Q3"/>
    <mergeCell ref="W3:Y4"/>
    <mergeCell ref="Z3:AD3"/>
    <mergeCell ref="J4:Q4"/>
    <mergeCell ref="AC4:AC5"/>
    <mergeCell ref="AD4:AD5"/>
    <mergeCell ref="A31:B31"/>
    <mergeCell ref="A52:B52"/>
    <mergeCell ref="A74:B74"/>
    <mergeCell ref="A89:B89"/>
    <mergeCell ref="C2:V2"/>
    <mergeCell ref="L5:N5"/>
    <mergeCell ref="O5:Q5"/>
    <mergeCell ref="A2:B6"/>
    <mergeCell ref="A7:B7"/>
    <mergeCell ref="A13:B13"/>
    <mergeCell ref="R3:V3"/>
    <mergeCell ref="R4:R6"/>
    <mergeCell ref="S4:S6"/>
    <mergeCell ref="T4:T6"/>
    <mergeCell ref="U4:U6"/>
    <mergeCell ref="V4:V6"/>
  </mergeCells>
  <conditionalFormatting sqref="K14:K30 K32:K51 K53:K73 K75:K88 K90:K108">
    <cfRule type="colorScale" priority="2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AB14:AB30 AB9 AB32:AB51 AB53:AB73 AB75:AB88">
    <cfRule type="colorScale" priority="1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AH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24" width="16.42578125" customWidth="1"/>
    <col min="25" max="25" width="20.140625" customWidth="1"/>
    <col min="26" max="26" width="19.42578125" customWidth="1"/>
    <col min="27" max="29" width="16.42578125" customWidth="1"/>
    <col min="30" max="30" width="18.140625" customWidth="1"/>
    <col min="31" max="33" width="16.42578125" customWidth="1"/>
    <col min="34" max="34" width="20.140625" customWidth="1"/>
  </cols>
  <sheetData>
    <row r="1" spans="1:34" ht="19.5" x14ac:dyDescent="0.3">
      <c r="A1" s="1" t="s">
        <v>0</v>
      </c>
      <c r="B1" s="2"/>
      <c r="C1" s="5"/>
      <c r="D1" s="5"/>
      <c r="E1" s="5"/>
      <c r="F1" s="5"/>
      <c r="G1" s="5"/>
      <c r="H1" s="2"/>
      <c r="I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</row>
    <row r="2" spans="1:34" ht="30" customHeight="1" x14ac:dyDescent="0.2">
      <c r="A2" s="657" t="s">
        <v>1</v>
      </c>
      <c r="B2" s="658"/>
      <c r="C2" s="669" t="s">
        <v>315</v>
      </c>
      <c r="D2" s="646"/>
      <c r="E2" s="646"/>
      <c r="F2" s="646"/>
      <c r="G2" s="647"/>
      <c r="H2" s="669" t="s">
        <v>29</v>
      </c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7"/>
    </row>
    <row r="3" spans="1:34" ht="45" customHeight="1" x14ac:dyDescent="0.2">
      <c r="A3" s="659"/>
      <c r="B3" s="660"/>
      <c r="C3" s="645" t="s">
        <v>5</v>
      </c>
      <c r="D3" s="646"/>
      <c r="E3" s="646"/>
      <c r="F3" s="646"/>
      <c r="G3" s="647"/>
      <c r="H3" s="831" t="s">
        <v>316</v>
      </c>
      <c r="I3" s="674"/>
      <c r="J3" s="658"/>
      <c r="K3" s="832" t="s">
        <v>317</v>
      </c>
      <c r="L3" s="674"/>
      <c r="M3" s="658"/>
      <c r="N3" s="832" t="s">
        <v>318</v>
      </c>
      <c r="O3" s="674"/>
      <c r="P3" s="658"/>
      <c r="Q3" s="832" t="s">
        <v>319</v>
      </c>
      <c r="R3" s="658"/>
      <c r="S3" s="832" t="s">
        <v>320</v>
      </c>
      <c r="T3" s="658"/>
      <c r="U3" s="832" t="s">
        <v>321</v>
      </c>
      <c r="V3" s="658"/>
      <c r="W3" s="832" t="s">
        <v>322</v>
      </c>
      <c r="X3" s="658"/>
      <c r="Y3" s="833" t="s">
        <v>323</v>
      </c>
      <c r="Z3" s="833" t="s">
        <v>324</v>
      </c>
      <c r="AA3" s="829" t="s">
        <v>325</v>
      </c>
      <c r="AB3" s="674"/>
      <c r="AC3" s="658"/>
      <c r="AD3" s="830" t="s">
        <v>326</v>
      </c>
      <c r="AE3" s="834" t="s">
        <v>323</v>
      </c>
      <c r="AF3" s="834" t="s">
        <v>324</v>
      </c>
      <c r="AG3" s="830" t="s">
        <v>327</v>
      </c>
      <c r="AH3" s="834" t="s">
        <v>328</v>
      </c>
    </row>
    <row r="4" spans="1:34" ht="45" customHeight="1" x14ac:dyDescent="0.2">
      <c r="A4" s="659"/>
      <c r="B4" s="660"/>
      <c r="C4" s="648" t="s">
        <v>11</v>
      </c>
      <c r="D4" s="651" t="s">
        <v>12</v>
      </c>
      <c r="E4" s="652" t="s">
        <v>13</v>
      </c>
      <c r="F4" s="652" t="s">
        <v>14</v>
      </c>
      <c r="G4" s="652" t="s">
        <v>15</v>
      </c>
      <c r="H4" s="661"/>
      <c r="I4" s="675"/>
      <c r="J4" s="662"/>
      <c r="K4" s="661"/>
      <c r="L4" s="675"/>
      <c r="M4" s="662"/>
      <c r="N4" s="661"/>
      <c r="O4" s="675"/>
      <c r="P4" s="662"/>
      <c r="Q4" s="661"/>
      <c r="R4" s="662"/>
      <c r="S4" s="661"/>
      <c r="T4" s="662"/>
      <c r="U4" s="661"/>
      <c r="V4" s="662"/>
      <c r="W4" s="661"/>
      <c r="X4" s="662"/>
      <c r="Y4" s="650"/>
      <c r="Z4" s="650"/>
      <c r="AA4" s="661"/>
      <c r="AB4" s="675"/>
      <c r="AC4" s="662"/>
      <c r="AD4" s="650"/>
      <c r="AE4" s="650"/>
      <c r="AF4" s="650"/>
      <c r="AG4" s="650"/>
      <c r="AH4" s="650"/>
    </row>
    <row r="5" spans="1:34" ht="30" customHeight="1" x14ac:dyDescent="0.2">
      <c r="A5" s="659"/>
      <c r="B5" s="660"/>
      <c r="C5" s="649"/>
      <c r="D5" s="649"/>
      <c r="E5" s="649"/>
      <c r="F5" s="649"/>
      <c r="G5" s="649"/>
      <c r="H5" s="428" t="s">
        <v>28</v>
      </c>
      <c r="I5" s="713" t="s">
        <v>29</v>
      </c>
      <c r="J5" s="647"/>
      <c r="K5" s="342" t="s">
        <v>28</v>
      </c>
      <c r="L5" s="713" t="s">
        <v>29</v>
      </c>
      <c r="M5" s="647"/>
      <c r="N5" s="342" t="s">
        <v>28</v>
      </c>
      <c r="O5" s="713" t="s">
        <v>29</v>
      </c>
      <c r="P5" s="647"/>
      <c r="Q5" s="713" t="s">
        <v>29</v>
      </c>
      <c r="R5" s="647"/>
      <c r="S5" s="713" t="s">
        <v>29</v>
      </c>
      <c r="T5" s="647"/>
      <c r="U5" s="713" t="s">
        <v>29</v>
      </c>
      <c r="V5" s="647"/>
      <c r="W5" s="713" t="s">
        <v>29</v>
      </c>
      <c r="X5" s="647"/>
      <c r="Y5" s="275" t="s">
        <v>29</v>
      </c>
      <c r="Z5" s="275" t="s">
        <v>29</v>
      </c>
      <c r="AA5" s="517" t="s">
        <v>28</v>
      </c>
      <c r="AB5" s="713" t="s">
        <v>29</v>
      </c>
      <c r="AC5" s="647"/>
      <c r="AD5" s="275" t="s">
        <v>29</v>
      </c>
      <c r="AE5" s="275" t="s">
        <v>29</v>
      </c>
      <c r="AF5" s="275" t="s">
        <v>29</v>
      </c>
      <c r="AG5" s="275" t="s">
        <v>29</v>
      </c>
      <c r="AH5" s="275" t="s">
        <v>29</v>
      </c>
    </row>
    <row r="6" spans="1:34" ht="30" customHeight="1" x14ac:dyDescent="0.2">
      <c r="A6" s="661"/>
      <c r="B6" s="662"/>
      <c r="C6" s="650"/>
      <c r="D6" s="650"/>
      <c r="E6" s="650"/>
      <c r="F6" s="650"/>
      <c r="G6" s="650"/>
      <c r="H6" s="428" t="s">
        <v>140</v>
      </c>
      <c r="I6" s="180" t="s">
        <v>140</v>
      </c>
      <c r="J6" s="210" t="s">
        <v>31</v>
      </c>
      <c r="K6" s="342" t="s">
        <v>153</v>
      </c>
      <c r="L6" s="180" t="s">
        <v>153</v>
      </c>
      <c r="M6" s="210" t="s">
        <v>31</v>
      </c>
      <c r="N6" s="342" t="s">
        <v>153</v>
      </c>
      <c r="O6" s="180" t="s">
        <v>153</v>
      </c>
      <c r="P6" s="210" t="s">
        <v>31</v>
      </c>
      <c r="Q6" s="180" t="s">
        <v>140</v>
      </c>
      <c r="R6" s="180" t="s">
        <v>31</v>
      </c>
      <c r="S6" s="180" t="s">
        <v>140</v>
      </c>
      <c r="T6" s="180" t="s">
        <v>31</v>
      </c>
      <c r="U6" s="180" t="s">
        <v>140</v>
      </c>
      <c r="V6" s="210" t="s">
        <v>31</v>
      </c>
      <c r="W6" s="180" t="s">
        <v>140</v>
      </c>
      <c r="X6" s="210" t="s">
        <v>31</v>
      </c>
      <c r="Y6" s="180" t="s">
        <v>140</v>
      </c>
      <c r="Z6" s="180" t="s">
        <v>140</v>
      </c>
      <c r="AA6" s="517" t="s">
        <v>140</v>
      </c>
      <c r="AB6" s="180" t="s">
        <v>140</v>
      </c>
      <c r="AC6" s="210" t="s">
        <v>31</v>
      </c>
      <c r="AD6" s="180" t="s">
        <v>140</v>
      </c>
      <c r="AE6" s="180" t="s">
        <v>140</v>
      </c>
      <c r="AF6" s="180" t="s">
        <v>140</v>
      </c>
      <c r="AG6" s="180" t="s">
        <v>140</v>
      </c>
      <c r="AH6" s="180" t="s">
        <v>140</v>
      </c>
    </row>
    <row r="7" spans="1:34" ht="19.5" x14ac:dyDescent="0.3">
      <c r="A7" s="663" t="s">
        <v>38</v>
      </c>
      <c r="B7" s="647"/>
      <c r="C7" s="27">
        <f t="shared" ref="C7:E7" ca="1" si="0">C8+C9</f>
        <v>914370</v>
      </c>
      <c r="D7" s="27">
        <f t="shared" ca="1" si="0"/>
        <v>848768</v>
      </c>
      <c r="E7" s="27">
        <f t="shared" ca="1" si="0"/>
        <v>116327</v>
      </c>
      <c r="F7" s="27">
        <f t="shared" ref="F7:F9" ca="1" si="1">IF(C7&gt;0,E7*100/C7,0)</f>
        <v>12.722092807069348</v>
      </c>
      <c r="G7" s="27">
        <f t="shared" ref="G7:G9" ca="1" si="2">IF(D7&gt;0,E7*100/D7,0)</f>
        <v>13.705394171316543</v>
      </c>
      <c r="H7" s="437">
        <f t="shared" ref="H7:I7" ca="1" si="3">H8</f>
        <v>3610</v>
      </c>
      <c r="I7" s="212">
        <f t="shared" ca="1" si="3"/>
        <v>0</v>
      </c>
      <c r="J7" s="213">
        <f t="shared" ref="J7:J8" ca="1" si="4">IF(H7&gt;0,I7*100/H7,0)</f>
        <v>0</v>
      </c>
      <c r="K7" s="353">
        <f t="shared" ref="K7:L7" ca="1" si="5">K8</f>
        <v>30</v>
      </c>
      <c r="L7" s="212">
        <f t="shared" ca="1" si="5"/>
        <v>141</v>
      </c>
      <c r="M7" s="213">
        <f t="shared" ref="M7:M8" ca="1" si="6">IF(K7&gt;0,L7*100/K7,0)</f>
        <v>470</v>
      </c>
      <c r="N7" s="353">
        <f t="shared" ref="N7:O7" ca="1" si="7">N8</f>
        <v>30</v>
      </c>
      <c r="O7" s="212">
        <f t="shared" ca="1" si="7"/>
        <v>243</v>
      </c>
      <c r="P7" s="213">
        <f t="shared" ref="P7:P8" ca="1" si="8">IF(N7&gt;0,O7*100/N7,0)</f>
        <v>810</v>
      </c>
      <c r="Q7" s="212">
        <f ca="1">Q8</f>
        <v>4143.5</v>
      </c>
      <c r="R7" s="213">
        <f t="shared" ref="R7:R8" ca="1" si="9">IF(H7&gt;0,Q7*100/H7,0)</f>
        <v>114.77839335180056</v>
      </c>
      <c r="S7" s="212">
        <f ca="1">S8</f>
        <v>1226</v>
      </c>
      <c r="T7" s="213">
        <f t="shared" ref="T7:T8" ca="1" si="10">IF(H7&gt;0,S7*100/H7,0)</f>
        <v>33.961218836565095</v>
      </c>
      <c r="U7" s="213">
        <f ca="1">U8</f>
        <v>0</v>
      </c>
      <c r="V7" s="213">
        <f t="shared" ref="V7:V8" ca="1" si="11">IF(H7&gt;0,U7*100/H7,0)</f>
        <v>0</v>
      </c>
      <c r="W7" s="213">
        <f ca="1">W8</f>
        <v>0</v>
      </c>
      <c r="X7" s="213">
        <f t="shared" ref="X7:X8" ca="1" si="12">IF(H7&gt;0,W7*100/H7,0)</f>
        <v>0</v>
      </c>
      <c r="Y7" s="213">
        <f t="shared" ref="Y7:AB7" ca="1" si="13">Y8</f>
        <v>0</v>
      </c>
      <c r="Z7" s="213">
        <f t="shared" ca="1" si="13"/>
        <v>0</v>
      </c>
      <c r="AA7" s="536">
        <f t="shared" ca="1" si="13"/>
        <v>0</v>
      </c>
      <c r="AB7" s="212">
        <f t="shared" ca="1" si="13"/>
        <v>179</v>
      </c>
      <c r="AC7" s="213">
        <f t="shared" ref="AC7:AC8" ca="1" si="14">IF(AA7&gt;0,AB7*100/AA7,0)</f>
        <v>0</v>
      </c>
      <c r="AD7" s="212">
        <f t="shared" ref="AD7:AH7" ca="1" si="15">AD8</f>
        <v>179</v>
      </c>
      <c r="AE7" s="212">
        <f t="shared" ca="1" si="15"/>
        <v>0</v>
      </c>
      <c r="AF7" s="212">
        <f t="shared" ca="1" si="15"/>
        <v>179</v>
      </c>
      <c r="AG7" s="212">
        <f t="shared" ca="1" si="15"/>
        <v>177</v>
      </c>
      <c r="AH7" s="212">
        <f t="shared" ca="1" si="15"/>
        <v>0</v>
      </c>
    </row>
    <row r="8" spans="1:34" ht="19.5" x14ac:dyDescent="0.3">
      <c r="A8" s="31" t="s">
        <v>39</v>
      </c>
      <c r="B8" s="31"/>
      <c r="C8" s="37">
        <f t="shared" ref="C8:E8" ca="1" si="16">+C13+C31+C52+C74</f>
        <v>499000</v>
      </c>
      <c r="D8" s="37">
        <f t="shared" ca="1" si="16"/>
        <v>433398</v>
      </c>
      <c r="E8" s="37">
        <f t="shared" ca="1" si="16"/>
        <v>87557</v>
      </c>
      <c r="F8" s="37">
        <f t="shared" ca="1" si="1"/>
        <v>17.546492985971945</v>
      </c>
      <c r="G8" s="37">
        <f t="shared" ca="1" si="2"/>
        <v>20.202446711798395</v>
      </c>
      <c r="H8" s="136">
        <f t="shared" ref="H8:I8" ca="1" si="17">+H13+H31+H52+H74</f>
        <v>3610</v>
      </c>
      <c r="I8" s="136">
        <f t="shared" ca="1" si="17"/>
        <v>0</v>
      </c>
      <c r="J8" s="37">
        <f t="shared" ca="1" si="4"/>
        <v>0</v>
      </c>
      <c r="K8" s="136">
        <f t="shared" ref="K8:L8" ca="1" si="18">+K13+K31+K52+K74</f>
        <v>30</v>
      </c>
      <c r="L8" s="136">
        <f t="shared" ca="1" si="18"/>
        <v>141</v>
      </c>
      <c r="M8" s="37">
        <f t="shared" ca="1" si="6"/>
        <v>470</v>
      </c>
      <c r="N8" s="136">
        <f t="shared" ref="N8:O8" ca="1" si="19">+N13+N31+N52+N74</f>
        <v>30</v>
      </c>
      <c r="O8" s="136">
        <f t="shared" ca="1" si="19"/>
        <v>243</v>
      </c>
      <c r="P8" s="37">
        <f t="shared" ca="1" si="8"/>
        <v>810</v>
      </c>
      <c r="Q8" s="136">
        <f ca="1">+Q13+Q31+Q52+Q74</f>
        <v>4143.5</v>
      </c>
      <c r="R8" s="37">
        <f t="shared" ca="1" si="9"/>
        <v>114.77839335180056</v>
      </c>
      <c r="S8" s="136">
        <f ca="1">+S13+S31+S52+S74</f>
        <v>1226</v>
      </c>
      <c r="T8" s="37">
        <f t="shared" ca="1" si="10"/>
        <v>33.961218836565095</v>
      </c>
      <c r="U8" s="37">
        <f ca="1">+U13+U31+U52+U74</f>
        <v>0</v>
      </c>
      <c r="V8" s="37">
        <f t="shared" ca="1" si="11"/>
        <v>0</v>
      </c>
      <c r="W8" s="37">
        <f ca="1">+W13+W31+W52+W74</f>
        <v>0</v>
      </c>
      <c r="X8" s="37">
        <f t="shared" ca="1" si="12"/>
        <v>0</v>
      </c>
      <c r="Y8" s="37">
        <f t="shared" ref="Y8:AB8" ca="1" si="20">+Y13+Y31+Y52+Y74</f>
        <v>0</v>
      </c>
      <c r="Z8" s="37">
        <f t="shared" ca="1" si="20"/>
        <v>0</v>
      </c>
      <c r="AA8" s="136">
        <f t="shared" ca="1" si="20"/>
        <v>0</v>
      </c>
      <c r="AB8" s="136">
        <f t="shared" ca="1" si="20"/>
        <v>179</v>
      </c>
      <c r="AC8" s="37">
        <f t="shared" ca="1" si="14"/>
        <v>0</v>
      </c>
      <c r="AD8" s="136">
        <f t="shared" ref="AD8:AH8" ca="1" si="21">+AD13+AD31+AD52+AD74</f>
        <v>179</v>
      </c>
      <c r="AE8" s="136">
        <f t="shared" ca="1" si="21"/>
        <v>0</v>
      </c>
      <c r="AF8" s="136">
        <f t="shared" ca="1" si="21"/>
        <v>179</v>
      </c>
      <c r="AG8" s="136">
        <f t="shared" ca="1" si="21"/>
        <v>177</v>
      </c>
      <c r="AH8" s="136">
        <f t="shared" ca="1" si="21"/>
        <v>0</v>
      </c>
    </row>
    <row r="9" spans="1:34" ht="19.5" x14ac:dyDescent="0.3">
      <c r="A9" s="38" t="s">
        <v>40</v>
      </c>
      <c r="B9" s="38"/>
      <c r="C9" s="44">
        <f t="shared" ref="C9:E9" ca="1" si="22">C89</f>
        <v>415370</v>
      </c>
      <c r="D9" s="44">
        <f t="shared" ca="1" si="22"/>
        <v>415370</v>
      </c>
      <c r="E9" s="44">
        <f t="shared" ca="1" si="22"/>
        <v>28770</v>
      </c>
      <c r="F9" s="44">
        <f t="shared" ca="1" si="1"/>
        <v>6.9263548161879767</v>
      </c>
      <c r="G9" s="44">
        <f t="shared" ca="1" si="2"/>
        <v>6.9263548161879767</v>
      </c>
      <c r="H9" s="246"/>
      <c r="I9" s="246"/>
      <c r="J9" s="247"/>
      <c r="K9" s="246"/>
      <c r="L9" s="246"/>
      <c r="M9" s="247"/>
      <c r="N9" s="246"/>
      <c r="O9" s="246"/>
      <c r="P9" s="247"/>
      <c r="Q9" s="246"/>
      <c r="R9" s="44"/>
      <c r="S9" s="246"/>
      <c r="T9" s="44"/>
      <c r="U9" s="247"/>
      <c r="V9" s="44"/>
      <c r="W9" s="247"/>
      <c r="X9" s="44"/>
      <c r="Y9" s="247"/>
      <c r="Z9" s="247"/>
      <c r="AA9" s="246"/>
      <c r="AB9" s="246"/>
      <c r="AC9" s="247"/>
      <c r="AD9" s="246"/>
      <c r="AE9" s="246"/>
      <c r="AF9" s="246"/>
      <c r="AG9" s="246"/>
      <c r="AH9" s="246"/>
    </row>
    <row r="10" spans="1:34" ht="19.5" hidden="1" x14ac:dyDescent="0.3">
      <c r="A10" s="45"/>
      <c r="B10" s="45"/>
      <c r="C10" s="51"/>
      <c r="D10" s="51"/>
      <c r="E10" s="51"/>
      <c r="F10" s="51"/>
      <c r="G10" s="51"/>
      <c r="H10" s="214"/>
      <c r="I10" s="214"/>
      <c r="J10" s="196"/>
      <c r="K10" s="214"/>
      <c r="L10" s="214"/>
      <c r="M10" s="196"/>
      <c r="N10" s="214"/>
      <c r="O10" s="214"/>
      <c r="P10" s="196"/>
      <c r="Q10" s="214"/>
      <c r="R10" s="51"/>
      <c r="S10" s="214"/>
      <c r="T10" s="51"/>
      <c r="U10" s="196"/>
      <c r="V10" s="51"/>
      <c r="W10" s="196"/>
      <c r="X10" s="51"/>
      <c r="Y10" s="196"/>
      <c r="Z10" s="196"/>
      <c r="AA10" s="214"/>
      <c r="AB10" s="214"/>
      <c r="AC10" s="196"/>
      <c r="AD10" s="214"/>
      <c r="AE10" s="214"/>
      <c r="AF10" s="214"/>
      <c r="AG10" s="214"/>
      <c r="AH10" s="214"/>
    </row>
    <row r="11" spans="1:34" ht="19.5" hidden="1" x14ac:dyDescent="0.3">
      <c r="A11" s="45"/>
      <c r="B11" s="45"/>
      <c r="C11" s="51"/>
      <c r="D11" s="51"/>
      <c r="E11" s="51"/>
      <c r="F11" s="51"/>
      <c r="G11" s="51"/>
      <c r="H11" s="214"/>
      <c r="I11" s="214"/>
      <c r="J11" s="196"/>
      <c r="K11" s="214"/>
      <c r="L11" s="214"/>
      <c r="M11" s="196"/>
      <c r="N11" s="214"/>
      <c r="O11" s="214"/>
      <c r="P11" s="196"/>
      <c r="Q11" s="214"/>
      <c r="R11" s="51"/>
      <c r="S11" s="214"/>
      <c r="T11" s="51"/>
      <c r="U11" s="196"/>
      <c r="V11" s="51"/>
      <c r="W11" s="196"/>
      <c r="X11" s="51"/>
      <c r="Y11" s="196"/>
      <c r="Z11" s="196"/>
      <c r="AA11" s="214"/>
      <c r="AB11" s="214"/>
      <c r="AC11" s="196"/>
      <c r="AD11" s="214"/>
      <c r="AE11" s="214"/>
      <c r="AF11" s="214"/>
      <c r="AG11" s="214"/>
      <c r="AH11" s="214"/>
    </row>
    <row r="12" spans="1:34" ht="19.5" hidden="1" x14ac:dyDescent="0.3">
      <c r="A12" s="45"/>
      <c r="B12" s="45"/>
      <c r="C12" s="51"/>
      <c r="D12" s="51"/>
      <c r="E12" s="51"/>
      <c r="F12" s="51"/>
      <c r="G12" s="51"/>
      <c r="H12" s="143"/>
      <c r="I12" s="143"/>
      <c r="J12" s="51"/>
      <c r="K12" s="143"/>
      <c r="L12" s="143"/>
      <c r="M12" s="51"/>
      <c r="N12" s="143"/>
      <c r="O12" s="143"/>
      <c r="P12" s="51"/>
      <c r="Q12" s="143"/>
      <c r="R12" s="51"/>
      <c r="S12" s="143"/>
      <c r="T12" s="51"/>
      <c r="U12" s="51"/>
      <c r="V12" s="51"/>
      <c r="W12" s="51"/>
      <c r="X12" s="51"/>
      <c r="Y12" s="51"/>
      <c r="Z12" s="51"/>
      <c r="AA12" s="143"/>
      <c r="AB12" s="143"/>
      <c r="AC12" s="51"/>
      <c r="AD12" s="143"/>
      <c r="AE12" s="143"/>
      <c r="AF12" s="143"/>
      <c r="AG12" s="143"/>
      <c r="AH12" s="143"/>
    </row>
    <row r="13" spans="1:34" ht="19.5" x14ac:dyDescent="0.3">
      <c r="A13" s="664" t="s">
        <v>41</v>
      </c>
      <c r="B13" s="647"/>
      <c r="C13" s="57">
        <f t="shared" ref="C13:E13" ca="1" si="23">SUM(C14:C30)</f>
        <v>101100</v>
      </c>
      <c r="D13" s="57">
        <f t="shared" ca="1" si="23"/>
        <v>97250</v>
      </c>
      <c r="E13" s="57">
        <f t="shared" ca="1" si="23"/>
        <v>11300</v>
      </c>
      <c r="F13" s="57">
        <f t="shared" ref="F13:F108" ca="1" si="24">IF(C13&gt;0,E13*100/C13,0)</f>
        <v>11.177052423343225</v>
      </c>
      <c r="G13" s="57">
        <f t="shared" ref="G13:G108" ca="1" si="25">IF(D13&gt;0,E13*100/D13,0)</f>
        <v>11.619537275064268</v>
      </c>
      <c r="H13" s="145">
        <f t="shared" ref="H13:I13" ca="1" si="26">SUM(H14:H30)</f>
        <v>700</v>
      </c>
      <c r="I13" s="145">
        <f t="shared" ca="1" si="26"/>
        <v>0</v>
      </c>
      <c r="J13" s="57">
        <f t="shared" ref="J13:J88" ca="1" si="27">IF(H13&gt;0,I13*100/H13,0)</f>
        <v>0</v>
      </c>
      <c r="K13" s="145">
        <f t="shared" ref="K13:L13" ca="1" si="28">SUM(K14:K30)</f>
        <v>7</v>
      </c>
      <c r="L13" s="145">
        <f t="shared" ca="1" si="28"/>
        <v>9</v>
      </c>
      <c r="M13" s="57">
        <f t="shared" ref="M13:M88" ca="1" si="29">IF(K13&gt;0,L13*100/K13,0)</f>
        <v>128.57142857142858</v>
      </c>
      <c r="N13" s="145">
        <f t="shared" ref="N13:O13" ca="1" si="30">SUM(N14:N30)</f>
        <v>7</v>
      </c>
      <c r="O13" s="145">
        <f t="shared" ca="1" si="30"/>
        <v>33</v>
      </c>
      <c r="P13" s="57">
        <f t="shared" ref="P13:P88" ca="1" si="31">IF(N13&gt;0,O13*100/N13,0)</f>
        <v>471.42857142857144</v>
      </c>
      <c r="Q13" s="145">
        <f ca="1">SUM(Q14:Q30)</f>
        <v>1837.5</v>
      </c>
      <c r="R13" s="57">
        <f ca="1">IF(P13&gt;0,Q13*100/P13,0)</f>
        <v>389.77272727272725</v>
      </c>
      <c r="S13" s="145">
        <f ca="1">SUM(S14:S30)</f>
        <v>0</v>
      </c>
      <c r="T13" s="57">
        <f t="shared" ref="T13:T88" ca="1" si="32">IF(H13&gt;0,S13*100/H13,0)</f>
        <v>0</v>
      </c>
      <c r="U13" s="57">
        <f ca="1">SUM(U14:U30)</f>
        <v>0</v>
      </c>
      <c r="V13" s="57">
        <f t="shared" ref="V13:V88" ca="1" si="33">IF(H13&gt;0,U13*100/H13,0)</f>
        <v>0</v>
      </c>
      <c r="W13" s="57">
        <f ca="1">SUM(W14:W30)</f>
        <v>0</v>
      </c>
      <c r="X13" s="57">
        <f t="shared" ref="X13:X88" ca="1" si="34">IF(H13&gt;0,W13*100/H13,0)</f>
        <v>0</v>
      </c>
      <c r="Y13" s="57">
        <f t="shared" ref="Y13:AB13" ca="1" si="35">SUM(Y14:Y30)</f>
        <v>0</v>
      </c>
      <c r="Z13" s="57">
        <f t="shared" ca="1" si="35"/>
        <v>0</v>
      </c>
      <c r="AA13" s="145">
        <f t="shared" ca="1" si="35"/>
        <v>0</v>
      </c>
      <c r="AB13" s="145">
        <f t="shared" ca="1" si="35"/>
        <v>0</v>
      </c>
      <c r="AC13" s="57">
        <f t="shared" ref="AC13:AC88" ca="1" si="36">IF(AA13&gt;0,AB13*100/AA13,0)</f>
        <v>0</v>
      </c>
      <c r="AD13" s="145">
        <f t="shared" ref="AD13:AH13" ca="1" si="37">SUM(AD14:AD30)</f>
        <v>0</v>
      </c>
      <c r="AE13" s="145">
        <f t="shared" ca="1" si="37"/>
        <v>0</v>
      </c>
      <c r="AF13" s="145">
        <f t="shared" ca="1" si="37"/>
        <v>0</v>
      </c>
      <c r="AG13" s="145">
        <f t="shared" ca="1" si="37"/>
        <v>0</v>
      </c>
      <c r="AH13" s="145">
        <f t="shared" ca="1" si="37"/>
        <v>0</v>
      </c>
    </row>
    <row r="14" spans="1:34" ht="19.5" x14ac:dyDescent="0.3">
      <c r="A14" s="58">
        <v>1</v>
      </c>
      <c r="B14" s="59" t="s">
        <v>42</v>
      </c>
      <c r="C14" s="68">
        <f ca="1">IFERROR(__xludf.DUMMYFUNCTION("IMPORTRANGE(""https://docs.google.com/spreadsheets/d/1jTcq05yEiRwXcBMLjiodW9e4biSGYWAHcDj22rKWQ3s/edit?usp=sharing"",""กำแพงเพชร!Q616"")"),1875)</f>
        <v>1875</v>
      </c>
      <c r="D14" s="68">
        <f ca="1">IFERROR(__xludf.DUMMYFUNCTION("IMPORTRANGE(""https://docs.google.com/spreadsheets/d/1jTcq05yEiRwXcBMLjiodW9e4biSGYWAHcDj22rKWQ3s/edit?usp=sharing"",""กำแพงเพชร!R616"")"),600)</f>
        <v>600</v>
      </c>
      <c r="E14" s="68">
        <f ca="1">IFERROR(__xludf.DUMMYFUNCTION("IMPORTRANGE(""https://docs.google.com/spreadsheets/d/1jTcq05yEiRwXcBMLjiodW9e4biSGYWAHcDj22rKWQ3s/edit?usp=sharing"",""กำแพงเพชร!S616"")"),600)</f>
        <v>600</v>
      </c>
      <c r="F14" s="68">
        <f t="shared" ca="1" si="24"/>
        <v>32</v>
      </c>
      <c r="G14" s="68">
        <f t="shared" ca="1" si="25"/>
        <v>100</v>
      </c>
      <c r="H14" s="278">
        <f ca="1">IFERROR(__xludf.DUMMYFUNCTION("IMPORTRANGE(""https://docs.google.com/spreadsheets/d/1jTcq05yEiRwXcBMLjiodW9e4biSGYWAHcDj22rKWQ3s/edit?usp=sharing"",""กำแพงเพชร!I626"")"),0)</f>
        <v>0</v>
      </c>
      <c r="I14" s="152">
        <f ca="1">IFERROR(__xludf.DUMMYFUNCTION("IMPORTRANGE(""https://docs.google.com/spreadsheets/d/1jTcq05yEiRwXcBMLjiodW9e4biSGYWAHcDj22rKWQ3s/edit?usp=sharing"",""กำแพงเพชร!J626"")"),0)</f>
        <v>0</v>
      </c>
      <c r="J14" s="216">
        <f t="shared" ca="1" si="27"/>
        <v>0</v>
      </c>
      <c r="K14" s="152">
        <f ca="1">IFERROR(__xludf.DUMMYFUNCTION("IMPORTRANGE(""https://docs.google.com/spreadsheets/d/1jTcq05yEiRwXcBMLjiodW9e4biSGYWAHcDj22rKWQ3s/edit?usp=sharing"",""กำแพงเพชร!I627"")"),1)</f>
        <v>1</v>
      </c>
      <c r="L14" s="152">
        <f ca="1">IFERROR(__xludf.DUMMYFUNCTION("IMPORTRANGE(""https://docs.google.com/spreadsheets/d/1jTcq05yEiRwXcBMLjiodW9e4biSGYWAHcDj22rKWQ3s/edit?usp=sharing"",""กำแพงเพชร!J627"")"),1)</f>
        <v>1</v>
      </c>
      <c r="M14" s="216">
        <f t="shared" ca="1" si="29"/>
        <v>100</v>
      </c>
      <c r="N14" s="152">
        <f ca="1">IFERROR(__xludf.DUMMYFUNCTION("IMPORTRANGE(""https://docs.google.com/spreadsheets/d/1jTcq05yEiRwXcBMLjiodW9e4biSGYWAHcDj22rKWQ3s/edit?usp=sharing"",""กำแพงเพชร!I628"")"),1)</f>
        <v>1</v>
      </c>
      <c r="O14" s="152">
        <f ca="1">IFERROR(__xludf.DUMMYFUNCTION("IMPORTRANGE(""https://docs.google.com/spreadsheets/d/1jTcq05yEiRwXcBMLjiodW9e4biSGYWAHcDj22rKWQ3s/edit?usp=sharing"",""กำแพงเพชร!J628"")"),1)</f>
        <v>1</v>
      </c>
      <c r="P14" s="216">
        <f t="shared" ca="1" si="31"/>
        <v>100</v>
      </c>
      <c r="Q14" s="152">
        <f ca="1">IFERROR(__xludf.DUMMYFUNCTION("IMPORTRANGE(""https://docs.google.com/spreadsheets/d/1jTcq05yEiRwXcBMLjiodW9e4biSGYWAHcDj22rKWQ3s/edit?usp=sharing"",""กำแพงเพชร!J629"")"),0)</f>
        <v>0</v>
      </c>
      <c r="R14" s="216">
        <f t="shared" ref="R14:R88" ca="1" si="38">IF(H14&gt;0,Q14*100/H14,0)</f>
        <v>0</v>
      </c>
      <c r="S14" s="152">
        <f ca="1">IFERROR(__xludf.DUMMYFUNCTION("IMPORTRANGE(""https://docs.google.com/spreadsheets/d/1jTcq05yEiRwXcBMLjiodW9e4biSGYWAHcDj22rKWQ3s/edit?usp=sharing"",""กำแพงเพชร!J630"")"),0)</f>
        <v>0</v>
      </c>
      <c r="T14" s="216">
        <f t="shared" ca="1" si="32"/>
        <v>0</v>
      </c>
      <c r="U14" s="216">
        <f ca="1">IFERROR(__xludf.DUMMYFUNCTION("IMPORTRANGE(""https://docs.google.com/spreadsheets/d/1jTcq05yEiRwXcBMLjiodW9e4biSGYWAHcDj22rKWQ3s/edit?usp=sharing"",""กำแพงเพชร!J631"")"),0)</f>
        <v>0</v>
      </c>
      <c r="V14" s="216">
        <f t="shared" ca="1" si="33"/>
        <v>0</v>
      </c>
      <c r="W14" s="216">
        <f ca="1">IFERROR(__xludf.DUMMYFUNCTION("IMPORTRANGE(""https://docs.google.com/spreadsheets/d/1jTcq05yEiRwXcBMLjiodW9e4biSGYWAHcDj22rKWQ3s/edit?usp=sharing"",""กำแพงเพชร!J632"")"),0)</f>
        <v>0</v>
      </c>
      <c r="X14" s="216">
        <f t="shared" ca="1" si="34"/>
        <v>0</v>
      </c>
      <c r="Y14" s="216">
        <f ca="1">IFERROR(__xludf.DUMMYFUNCTION("IMPORTRANGE(""https://docs.google.com/spreadsheets/d/1jTcq05yEiRwXcBMLjiodW9e4biSGYWAHcDj22rKWQ3s/edit?usp=sharing"",""กำแพงเพชร!J633"")"),0)</f>
        <v>0</v>
      </c>
      <c r="Z14" s="216">
        <f ca="1">IFERROR(__xludf.DUMMYFUNCTION("IMPORTRANGE(""https://docs.google.com/spreadsheets/d/1jTcq05yEiRwXcBMLjiodW9e4biSGYWAHcDj22rKWQ3s/edit?usp=sharing"",""กำแพงเพชร!J634"")"),0)</f>
        <v>0</v>
      </c>
      <c r="AA14" s="152">
        <f ca="1">IFERROR(__xludf.DUMMYFUNCTION("IMPORTRANGE(""https://docs.google.com/spreadsheets/d/1jTcq05yEiRwXcBMLjiodW9e4biSGYWAHcDj22rKWQ3s/edit?usp=sharing"",""กำแพงเพชร!I635"")"),0)</f>
        <v>0</v>
      </c>
      <c r="AB14" s="152">
        <f ca="1">IFERROR(__xludf.DUMMYFUNCTION("IMPORTRANGE(""https://docs.google.com/spreadsheets/d/1jTcq05yEiRwXcBMLjiodW9e4biSGYWAHcDj22rKWQ3s/edit?usp=sharing"",""กำแพงเพชร!J635"")"),0)</f>
        <v>0</v>
      </c>
      <c r="AC14" s="216">
        <f t="shared" ca="1" si="36"/>
        <v>0</v>
      </c>
      <c r="AD14" s="152">
        <f ca="1">IFERROR(__xludf.DUMMYFUNCTION("IMPORTRANGE(""https://docs.google.com/spreadsheets/d/1jTcq05yEiRwXcBMLjiodW9e4biSGYWAHcDj22rKWQ3s/edit?usp=sharing"",""กำแพงเพชร!J636"")"),0)</f>
        <v>0</v>
      </c>
      <c r="AE14" s="152">
        <f ca="1">IFERROR(__xludf.DUMMYFUNCTION("IMPORTRANGE(""https://docs.google.com/spreadsheets/d/1jTcq05yEiRwXcBMLjiodW9e4biSGYWAHcDj22rKWQ3s/edit?usp=sharing"",""กำแพงเพชร!J637"")"),0)</f>
        <v>0</v>
      </c>
      <c r="AF14" s="152">
        <f ca="1">IFERROR(__xludf.DUMMYFUNCTION("IMPORTRANGE(""https://docs.google.com/spreadsheets/d/1jTcq05yEiRwXcBMLjiodW9e4biSGYWAHcDj22rKWQ3s/edit?usp=sharing"",""กำแพงเพชร!J638"")"),0)</f>
        <v>0</v>
      </c>
      <c r="AG14" s="152">
        <f ca="1">IFERROR(__xludf.DUMMYFUNCTION("IMPORTRANGE(""https://docs.google.com/spreadsheets/d/1jTcq05yEiRwXcBMLjiodW9e4biSGYWAHcDj22rKWQ3s/edit?usp=sharing"",""กำแพงเพชร!J639"")"),0)</f>
        <v>0</v>
      </c>
      <c r="AH14" s="152">
        <f ca="1">IFERROR(__xludf.DUMMYFUNCTION("IMPORTRANGE(""https://docs.google.com/spreadsheets/d/1jTcq05yEiRwXcBMLjiodW9e4biSGYWAHcDj22rKWQ3s/edit?usp=sharing"",""กำแพงเพชร!J640"")"),0)</f>
        <v>0</v>
      </c>
    </row>
    <row r="15" spans="1:34" ht="19.5" x14ac:dyDescent="0.3">
      <c r="A15" s="70">
        <v>2</v>
      </c>
      <c r="B15" s="71" t="s">
        <v>43</v>
      </c>
      <c r="C15" s="68">
        <f ca="1">IFERROR(__xludf.DUMMYFUNCTION("IMPORTRANGE(""https://docs.google.com/spreadsheets/d/1KS0zmDSZPk8KnTAbGN-Xk6MtX1YRZD0ldgdt20K4CRk/edit?usp=sharing"",""เชียงราย!Q616"")"),21950)</f>
        <v>21950</v>
      </c>
      <c r="D15" s="68">
        <f ca="1">IFERROR(__xludf.DUMMYFUNCTION("IMPORTRANGE(""https://docs.google.com/spreadsheets/d/1KS0zmDSZPk8KnTAbGN-Xk6MtX1YRZD0ldgdt20K4CRk/edit?usp=sharing"",""เชียงราย!R616"")"),20675)</f>
        <v>20675</v>
      </c>
      <c r="E15" s="68">
        <f ca="1">IFERROR(__xludf.DUMMYFUNCTION("IMPORTRANGE(""https://docs.google.com/spreadsheets/d/1KS0zmDSZPk8KnTAbGN-Xk6MtX1YRZD0ldgdt20K4CRk/edit?usp=sharing"",""เชียงราย!S616"")"),0)</f>
        <v>0</v>
      </c>
      <c r="F15" s="68">
        <f t="shared" ca="1" si="24"/>
        <v>0</v>
      </c>
      <c r="G15" s="68">
        <f t="shared" ca="1" si="25"/>
        <v>0</v>
      </c>
      <c r="H15" s="278">
        <f ca="1">IFERROR(__xludf.DUMMYFUNCTION("IMPORTRANGE(""https://docs.google.com/spreadsheets/d/1KS0zmDSZPk8KnTAbGN-Xk6MtX1YRZD0ldgdt20K4CRk/edit?usp=sharing"",""เชียงราย!I626"")"),200)</f>
        <v>200</v>
      </c>
      <c r="I15" s="152">
        <f ca="1">IFERROR(__xludf.DUMMYFUNCTION("IMPORTRANGE(""https://docs.google.com/spreadsheets/d/1KS0zmDSZPk8KnTAbGN-Xk6MtX1YRZD0ldgdt20K4CRk/edit?usp=sharing"",""เชียงราย!J626"")"),0)</f>
        <v>0</v>
      </c>
      <c r="J15" s="216">
        <f t="shared" ca="1" si="27"/>
        <v>0</v>
      </c>
      <c r="K15" s="152">
        <f ca="1">IFERROR(__xludf.DUMMYFUNCTION("IMPORTRANGE(""https://docs.google.com/spreadsheets/d/1KS0zmDSZPk8KnTAbGN-Xk6MtX1YRZD0ldgdt20K4CRk/edit?usp=sharing"",""เชียงราย!I627"")"),0)</f>
        <v>0</v>
      </c>
      <c r="L15" s="152">
        <f ca="1">IFERROR(__xludf.DUMMYFUNCTION("IMPORTRANGE(""https://docs.google.com/spreadsheets/d/1KS0zmDSZPk8KnTAbGN-Xk6MtX1YRZD0ldgdt20K4CRk/edit?usp=sharing"",""เชียงราย!J627"")"),2)</f>
        <v>2</v>
      </c>
      <c r="M15" s="216">
        <f t="shared" ca="1" si="29"/>
        <v>0</v>
      </c>
      <c r="N15" s="152">
        <f ca="1">IFERROR(__xludf.DUMMYFUNCTION("IMPORTRANGE(""https://docs.google.com/spreadsheets/d/1KS0zmDSZPk8KnTAbGN-Xk6MtX1YRZD0ldgdt20K4CRk/edit?usp=sharing"",""เชียงราย!I628"")"),0)</f>
        <v>0</v>
      </c>
      <c r="O15" s="152">
        <f ca="1">IFERROR(__xludf.DUMMYFUNCTION("IMPORTRANGE(""https://docs.google.com/spreadsheets/d/1KS0zmDSZPk8KnTAbGN-Xk6MtX1YRZD0ldgdt20K4CRk/edit?usp=sharing"",""เชียงราย!J628"")"),18)</f>
        <v>18</v>
      </c>
      <c r="P15" s="216">
        <f t="shared" ca="1" si="31"/>
        <v>0</v>
      </c>
      <c r="Q15" s="152">
        <f ca="1">IFERROR(__xludf.DUMMYFUNCTION("IMPORTRANGE(""https://docs.google.com/spreadsheets/d/1KS0zmDSZPk8KnTAbGN-Xk6MtX1YRZD0ldgdt20K4CRk/edit?usp=sharing"",""เชียงราย!J629"")"),449)</f>
        <v>449</v>
      </c>
      <c r="R15" s="216">
        <f t="shared" ca="1" si="38"/>
        <v>224.5</v>
      </c>
      <c r="S15" s="152">
        <f ca="1">IFERROR(__xludf.DUMMYFUNCTION("IMPORTRANGE(""https://docs.google.com/spreadsheets/d/1KS0zmDSZPk8KnTAbGN-Xk6MtX1YRZD0ldgdt20K4CRk/edit?usp=sharing"",""เชียงราย!J630"")"),0)</f>
        <v>0</v>
      </c>
      <c r="T15" s="216">
        <f t="shared" ca="1" si="32"/>
        <v>0</v>
      </c>
      <c r="U15" s="216">
        <f ca="1">IFERROR(__xludf.DUMMYFUNCTION("IMPORTRANGE(""https://docs.google.com/spreadsheets/d/1KS0zmDSZPk8KnTAbGN-Xk6MtX1YRZD0ldgdt20K4CRk/edit?usp=sharing"",""เชียงราย!J631"")"),0)</f>
        <v>0</v>
      </c>
      <c r="V15" s="216">
        <f t="shared" ca="1" si="33"/>
        <v>0</v>
      </c>
      <c r="W15" s="216">
        <f ca="1">IFERROR(__xludf.DUMMYFUNCTION("IMPORTRANGE(""https://docs.google.com/spreadsheets/d/1KS0zmDSZPk8KnTAbGN-Xk6MtX1YRZD0ldgdt20K4CRk/edit?usp=sharing"",""เชียงราย!J632"")"),0)</f>
        <v>0</v>
      </c>
      <c r="X15" s="216">
        <f t="shared" ca="1" si="34"/>
        <v>0</v>
      </c>
      <c r="Y15" s="216">
        <f ca="1">IFERROR(__xludf.DUMMYFUNCTION("IMPORTRANGE(""https://docs.google.com/spreadsheets/d/1KS0zmDSZPk8KnTAbGN-Xk6MtX1YRZD0ldgdt20K4CRk/edit?usp=sharing"",""เชียงราย!J633"")"),0)</f>
        <v>0</v>
      </c>
      <c r="Z15" s="216">
        <f ca="1">IFERROR(__xludf.DUMMYFUNCTION("IMPORTRANGE(""https://docs.google.com/spreadsheets/d/1KS0zmDSZPk8KnTAbGN-Xk6MtX1YRZD0ldgdt20K4CRk/edit?usp=sharing"",""เชียงราย!J634"")"),0)</f>
        <v>0</v>
      </c>
      <c r="AA15" s="152">
        <f ca="1">IFERROR(__xludf.DUMMYFUNCTION("IMPORTRANGE(""https://docs.google.com/spreadsheets/d/1KS0zmDSZPk8KnTAbGN-Xk6MtX1YRZD0ldgdt20K4CRk/edit?usp=sharing"",""เชียงราย!I635"")"),0)</f>
        <v>0</v>
      </c>
      <c r="AB15" s="152">
        <f ca="1">IFERROR(__xludf.DUMMYFUNCTION("IMPORTRANGE(""https://docs.google.com/spreadsheets/d/1KS0zmDSZPk8KnTAbGN-Xk6MtX1YRZD0ldgdt20K4CRk/edit?usp=sharing"",""เชียงราย!J635"")"),0)</f>
        <v>0</v>
      </c>
      <c r="AC15" s="216">
        <f t="shared" ca="1" si="36"/>
        <v>0</v>
      </c>
      <c r="AD15" s="152">
        <f ca="1">IFERROR(__xludf.DUMMYFUNCTION("IMPORTRANGE(""https://docs.google.com/spreadsheets/d/1KS0zmDSZPk8KnTAbGN-Xk6MtX1YRZD0ldgdt20K4CRk/edit?usp=sharing"",""เชียงราย!J636"")"),0)</f>
        <v>0</v>
      </c>
      <c r="AE15" s="152">
        <f ca="1">IFERROR(__xludf.DUMMYFUNCTION("IMPORTRANGE(""https://docs.google.com/spreadsheets/d/1KS0zmDSZPk8KnTAbGN-Xk6MtX1YRZD0ldgdt20K4CRk/edit?usp=sharing"",""เชียงราย!J637"")"),0)</f>
        <v>0</v>
      </c>
      <c r="AF15" s="152">
        <f ca="1">IFERROR(__xludf.DUMMYFUNCTION("IMPORTRANGE(""https://docs.google.com/spreadsheets/d/1KS0zmDSZPk8KnTAbGN-Xk6MtX1YRZD0ldgdt20K4CRk/edit?usp=sharing"",""เชียงราย!J638"")"),0)</f>
        <v>0</v>
      </c>
      <c r="AG15" s="152">
        <f ca="1">IFERROR(__xludf.DUMMYFUNCTION("IMPORTRANGE(""https://docs.google.com/spreadsheets/d/1KS0zmDSZPk8KnTAbGN-Xk6MtX1YRZD0ldgdt20K4CRk/edit?usp=sharing"",""เชียงราย!J639"")"),0)</f>
        <v>0</v>
      </c>
      <c r="AH15" s="152">
        <f ca="1">IFERROR(__xludf.DUMMYFUNCTION("IMPORTRANGE(""https://docs.google.com/spreadsheets/d/1KS0zmDSZPk8KnTAbGN-Xk6MtX1YRZD0ldgdt20K4CRk/edit?usp=sharing"",""เชียงราย!J640"")"),0)</f>
        <v>0</v>
      </c>
    </row>
    <row r="16" spans="1:34" ht="19.5" x14ac:dyDescent="0.3">
      <c r="A16" s="70">
        <v>3</v>
      </c>
      <c r="B16" s="71" t="s">
        <v>44</v>
      </c>
      <c r="C16" s="68">
        <f ca="1">IFERROR(__xludf.DUMMYFUNCTION("IMPORTRANGE(""https://docs.google.com/spreadsheets/d/1rEDxBtusbi64tE0zunoIbsTVV16HeL0oJ6trHQeQ7K8/edit?usp=sharing"",""เชียงใหม่!Q616"")"),1625)</f>
        <v>1625</v>
      </c>
      <c r="D16" s="68">
        <f ca="1">IFERROR(__xludf.DUMMYFUNCTION("IMPORTRANGE(""https://docs.google.com/spreadsheets/d/1rEDxBtusbi64tE0zunoIbsTVV16HeL0oJ6trHQeQ7K8/edit?usp=sharing"",""เชียงใหม่!R616"")"),1625)</f>
        <v>1625</v>
      </c>
      <c r="E16" s="68">
        <f ca="1">IFERROR(__xludf.DUMMYFUNCTION("IMPORTRANGE(""https://docs.google.com/spreadsheets/d/1rEDxBtusbi64tE0zunoIbsTVV16HeL0oJ6trHQeQ7K8/edit?usp=sharing"",""เชียงใหม่!S616"")"),1489)</f>
        <v>1489</v>
      </c>
      <c r="F16" s="68">
        <f t="shared" ca="1" si="24"/>
        <v>91.630769230769232</v>
      </c>
      <c r="G16" s="68">
        <f t="shared" ca="1" si="25"/>
        <v>91.630769230769232</v>
      </c>
      <c r="H16" s="278">
        <f ca="1">IFERROR(__xludf.DUMMYFUNCTION("IMPORTRANGE(""https://docs.google.com/spreadsheets/d/1rEDxBtusbi64tE0zunoIbsTVV16HeL0oJ6trHQeQ7K8/edit?usp=sharing"",""เชียงใหม่!I626"")"),0)</f>
        <v>0</v>
      </c>
      <c r="I16" s="152">
        <f ca="1">IFERROR(__xludf.DUMMYFUNCTION("IMPORTRANGE(""https://docs.google.com/spreadsheets/d/1rEDxBtusbi64tE0zunoIbsTVV16HeL0oJ6trHQeQ7K8/edit?usp=sharing"",""เชียงใหม่!J626"")"),0)</f>
        <v>0</v>
      </c>
      <c r="J16" s="216">
        <f t="shared" ca="1" si="27"/>
        <v>0</v>
      </c>
      <c r="K16" s="152">
        <f ca="1">IFERROR(__xludf.DUMMYFUNCTION("IMPORTRANGE(""https://docs.google.com/spreadsheets/d/1rEDxBtusbi64tE0zunoIbsTVV16HeL0oJ6trHQeQ7K8/edit?usp=sharing"",""เชียงใหม่!I627"")"),0)</f>
        <v>0</v>
      </c>
      <c r="L16" s="152">
        <f ca="1">IFERROR(__xludf.DUMMYFUNCTION("IMPORTRANGE(""https://docs.google.com/spreadsheets/d/1rEDxBtusbi64tE0zunoIbsTVV16HeL0oJ6trHQeQ7K8/edit?usp=sharing"",""เชียงใหม่!J627"")"),0)</f>
        <v>0</v>
      </c>
      <c r="M16" s="216">
        <f t="shared" ca="1" si="29"/>
        <v>0</v>
      </c>
      <c r="N16" s="152">
        <f ca="1">IFERROR(__xludf.DUMMYFUNCTION("IMPORTRANGE(""https://docs.google.com/spreadsheets/d/1rEDxBtusbi64tE0zunoIbsTVV16HeL0oJ6trHQeQ7K8/edit?usp=sharing"",""เชียงใหม่!I628"")"),0)</f>
        <v>0</v>
      </c>
      <c r="O16" s="152">
        <f ca="1">IFERROR(__xludf.DUMMYFUNCTION("IMPORTRANGE(""https://docs.google.com/spreadsheets/d/1rEDxBtusbi64tE0zunoIbsTVV16HeL0oJ6trHQeQ7K8/edit?usp=sharing"",""เชียงใหม่!J628"")"),0)</f>
        <v>0</v>
      </c>
      <c r="P16" s="216">
        <f t="shared" ca="1" si="31"/>
        <v>0</v>
      </c>
      <c r="Q16" s="152">
        <f ca="1">IFERROR(__xludf.DUMMYFUNCTION("IMPORTRANGE(""https://docs.google.com/spreadsheets/d/1rEDxBtusbi64tE0zunoIbsTVV16HeL0oJ6trHQeQ7K8/edit?usp=sharing"",""เชียงใหม่!J629"")"),0)</f>
        <v>0</v>
      </c>
      <c r="R16" s="216">
        <f t="shared" ca="1" si="38"/>
        <v>0</v>
      </c>
      <c r="S16" s="152">
        <f ca="1">IFERROR(__xludf.DUMMYFUNCTION("IMPORTRANGE(""https://docs.google.com/spreadsheets/d/1rEDxBtusbi64tE0zunoIbsTVV16HeL0oJ6trHQeQ7K8/edit?usp=sharing"",""เชียงใหม่!J630"")"),0)</f>
        <v>0</v>
      </c>
      <c r="T16" s="216">
        <f t="shared" ca="1" si="32"/>
        <v>0</v>
      </c>
      <c r="U16" s="216">
        <f ca="1">IFERROR(__xludf.DUMMYFUNCTION("IMPORTRANGE(""https://docs.google.com/spreadsheets/d/1rEDxBtusbi64tE0zunoIbsTVV16HeL0oJ6trHQeQ7K8/edit?usp=sharing"",""เชียงใหม่!J631"")"),0)</f>
        <v>0</v>
      </c>
      <c r="V16" s="216">
        <f t="shared" ca="1" si="33"/>
        <v>0</v>
      </c>
      <c r="W16" s="216">
        <f ca="1">IFERROR(__xludf.DUMMYFUNCTION("IMPORTRANGE(""https://docs.google.com/spreadsheets/d/1rEDxBtusbi64tE0zunoIbsTVV16HeL0oJ6trHQeQ7K8/edit?usp=sharing"",""เชียงใหม่!J632"")"),0)</f>
        <v>0</v>
      </c>
      <c r="X16" s="216">
        <f t="shared" ca="1" si="34"/>
        <v>0</v>
      </c>
      <c r="Y16" s="216">
        <f ca="1">IFERROR(__xludf.DUMMYFUNCTION("IMPORTRANGE(""https://docs.google.com/spreadsheets/d/1rEDxBtusbi64tE0zunoIbsTVV16HeL0oJ6trHQeQ7K8/edit?usp=sharing"",""เชียงใหม่!J633"")"),0)</f>
        <v>0</v>
      </c>
      <c r="Z16" s="216">
        <f ca="1">IFERROR(__xludf.DUMMYFUNCTION("IMPORTRANGE(""https://docs.google.com/spreadsheets/d/1rEDxBtusbi64tE0zunoIbsTVV16HeL0oJ6trHQeQ7K8/edit?usp=sharing"",""เชียงใหม่!J634"")"),0)</f>
        <v>0</v>
      </c>
      <c r="AA16" s="152">
        <f ca="1">IFERROR(__xludf.DUMMYFUNCTION("IMPORTRANGE(""https://docs.google.com/spreadsheets/d/1rEDxBtusbi64tE0zunoIbsTVV16HeL0oJ6trHQeQ7K8/edit?usp=sharing"",""เชียงใหม่!I635"")"),0)</f>
        <v>0</v>
      </c>
      <c r="AB16" s="152">
        <f ca="1">IFERROR(__xludf.DUMMYFUNCTION("IMPORTRANGE(""https://docs.google.com/spreadsheets/d/1rEDxBtusbi64tE0zunoIbsTVV16HeL0oJ6trHQeQ7K8/edit?usp=sharing"",""เชียงใหม่!J635"")"),0)</f>
        <v>0</v>
      </c>
      <c r="AC16" s="216">
        <f t="shared" ca="1" si="36"/>
        <v>0</v>
      </c>
      <c r="AD16" s="152">
        <f ca="1">IFERROR(__xludf.DUMMYFUNCTION("IMPORTRANGE(""https://docs.google.com/spreadsheets/d/1rEDxBtusbi64tE0zunoIbsTVV16HeL0oJ6trHQeQ7K8/edit?usp=sharing"",""เชียงใหม่!J636"")"),0)</f>
        <v>0</v>
      </c>
      <c r="AE16" s="152">
        <f ca="1">IFERROR(__xludf.DUMMYFUNCTION("IMPORTRANGE(""https://docs.google.com/spreadsheets/d/1rEDxBtusbi64tE0zunoIbsTVV16HeL0oJ6trHQeQ7K8/edit?usp=sharing"",""เชียงใหม่!J637"")"),0)</f>
        <v>0</v>
      </c>
      <c r="AF16" s="152">
        <f ca="1">IFERROR(__xludf.DUMMYFUNCTION("IMPORTRANGE(""https://docs.google.com/spreadsheets/d/1rEDxBtusbi64tE0zunoIbsTVV16HeL0oJ6trHQeQ7K8/edit?usp=sharing"",""เชียงใหม่!J638"")"),0)</f>
        <v>0</v>
      </c>
      <c r="AG16" s="152">
        <f ca="1">IFERROR(__xludf.DUMMYFUNCTION("IMPORTRANGE(""https://docs.google.com/spreadsheets/d/1rEDxBtusbi64tE0zunoIbsTVV16HeL0oJ6trHQeQ7K8/edit?usp=sharing"",""เชียงใหม่!J639"")"),0)</f>
        <v>0</v>
      </c>
      <c r="AH16" s="152">
        <f ca="1">IFERROR(__xludf.DUMMYFUNCTION("IMPORTRANGE(""https://docs.google.com/spreadsheets/d/1rEDxBtusbi64tE0zunoIbsTVV16HeL0oJ6trHQeQ7K8/edit?usp=sharing"",""เชียงใหม่!J640"")"),0)</f>
        <v>0</v>
      </c>
    </row>
    <row r="17" spans="1:34" ht="19.5" x14ac:dyDescent="0.3">
      <c r="A17" s="70">
        <v>4</v>
      </c>
      <c r="B17" s="71" t="s">
        <v>45</v>
      </c>
      <c r="C17" s="68">
        <f ca="1">IFERROR(__xludf.DUMMYFUNCTION("IMPORTRANGE(""https://docs.google.com/spreadsheets/d/1W6MnUbDkMi6xHnHko_XkFDO9kkuL6Wqyc-6OCDFjW9I/edit?usp=sharing"",""ตาก!Q616"")"),1825)</f>
        <v>1825</v>
      </c>
      <c r="D17" s="68">
        <f ca="1">IFERROR(__xludf.DUMMYFUNCTION("IMPORTRANGE(""https://docs.google.com/spreadsheets/d/1W6MnUbDkMi6xHnHko_XkFDO9kkuL6Wqyc-6OCDFjW9I/edit?usp=sharing"",""ตาก!R616"")"),1825)</f>
        <v>1825</v>
      </c>
      <c r="E17" s="68">
        <f ca="1">IFERROR(__xludf.DUMMYFUNCTION("IMPORTRANGE(""https://docs.google.com/spreadsheets/d/1W6MnUbDkMi6xHnHko_XkFDO9kkuL6Wqyc-6OCDFjW9I/edit?usp=sharing"",""ตาก!S616"")"),1825)</f>
        <v>1825</v>
      </c>
      <c r="F17" s="68">
        <f t="shared" ca="1" si="24"/>
        <v>100</v>
      </c>
      <c r="G17" s="68">
        <f t="shared" ca="1" si="25"/>
        <v>100</v>
      </c>
      <c r="H17" s="278">
        <f ca="1">IFERROR(__xludf.DUMMYFUNCTION("IMPORTRANGE(""https://docs.google.com/spreadsheets/d/1W6MnUbDkMi6xHnHko_XkFDO9kkuL6Wqyc-6OCDFjW9I/edit?usp=sharing"",""ตาก!I626"")"),0)</f>
        <v>0</v>
      </c>
      <c r="I17" s="152">
        <f ca="1">IFERROR(__xludf.DUMMYFUNCTION("IMPORTRANGE(""https://docs.google.com/spreadsheets/d/1W6MnUbDkMi6xHnHko_XkFDO9kkuL6Wqyc-6OCDFjW9I/edit?usp=sharing"",""ตาก!J626"")"),0)</f>
        <v>0</v>
      </c>
      <c r="J17" s="216">
        <f t="shared" ca="1" si="27"/>
        <v>0</v>
      </c>
      <c r="K17" s="152">
        <f ca="1">IFERROR(__xludf.DUMMYFUNCTION("IMPORTRANGE(""https://docs.google.com/spreadsheets/d/1W6MnUbDkMi6xHnHko_XkFDO9kkuL6Wqyc-6OCDFjW9I/edit?usp=sharing"",""ตาก!I627"")"),1)</f>
        <v>1</v>
      </c>
      <c r="L17" s="152">
        <f ca="1">IFERROR(__xludf.DUMMYFUNCTION("IMPORTRANGE(""https://docs.google.com/spreadsheets/d/1W6MnUbDkMi6xHnHko_XkFDO9kkuL6Wqyc-6OCDFjW9I/edit?usp=sharing"",""ตาก!J627"")"),1)</f>
        <v>1</v>
      </c>
      <c r="M17" s="216">
        <f t="shared" ca="1" si="29"/>
        <v>100</v>
      </c>
      <c r="N17" s="152">
        <f ca="1">IFERROR(__xludf.DUMMYFUNCTION("IMPORTRANGE(""https://docs.google.com/spreadsheets/d/1W6MnUbDkMi6xHnHko_XkFDO9kkuL6Wqyc-6OCDFjW9I/edit?usp=sharing"",""ตาก!I628"")"),1)</f>
        <v>1</v>
      </c>
      <c r="O17" s="152">
        <f ca="1">IFERROR(__xludf.DUMMYFUNCTION("IMPORTRANGE(""https://docs.google.com/spreadsheets/d/1W6MnUbDkMi6xHnHko_XkFDO9kkuL6Wqyc-6OCDFjW9I/edit?usp=sharing"",""ตาก!J628"")"),1)</f>
        <v>1</v>
      </c>
      <c r="P17" s="216">
        <f t="shared" ca="1" si="31"/>
        <v>100</v>
      </c>
      <c r="Q17" s="152">
        <f ca="1">IFERROR(__xludf.DUMMYFUNCTION("IMPORTRANGE(""https://docs.google.com/spreadsheets/d/1W6MnUbDkMi6xHnHko_XkFDO9kkuL6Wqyc-6OCDFjW9I/edit?usp=sharing"",""ตาก!J629"")"),0)</f>
        <v>0</v>
      </c>
      <c r="R17" s="216">
        <f t="shared" ca="1" si="38"/>
        <v>0</v>
      </c>
      <c r="S17" s="152">
        <f ca="1">IFERROR(__xludf.DUMMYFUNCTION("IMPORTRANGE(""https://docs.google.com/spreadsheets/d/1W6MnUbDkMi6xHnHko_XkFDO9kkuL6Wqyc-6OCDFjW9I/edit?usp=sharing"",""ตาก!J630"")"),0)</f>
        <v>0</v>
      </c>
      <c r="T17" s="216">
        <f t="shared" ca="1" si="32"/>
        <v>0</v>
      </c>
      <c r="U17" s="216">
        <f ca="1">IFERROR(__xludf.DUMMYFUNCTION("IMPORTRANGE(""https://docs.google.com/spreadsheets/d/1W6MnUbDkMi6xHnHko_XkFDO9kkuL6Wqyc-6OCDFjW9I/edit?usp=sharing"",""ตาก!J631"")"),0)</f>
        <v>0</v>
      </c>
      <c r="V17" s="216">
        <f t="shared" ca="1" si="33"/>
        <v>0</v>
      </c>
      <c r="W17" s="216">
        <f ca="1">IFERROR(__xludf.DUMMYFUNCTION("IMPORTRANGE(""https://docs.google.com/spreadsheets/d/1W6MnUbDkMi6xHnHko_XkFDO9kkuL6Wqyc-6OCDFjW9I/edit?usp=sharing"",""ตาก!J632"")"),0)</f>
        <v>0</v>
      </c>
      <c r="X17" s="216">
        <f t="shared" ca="1" si="34"/>
        <v>0</v>
      </c>
      <c r="Y17" s="216">
        <f ca="1">IFERROR(__xludf.DUMMYFUNCTION("IMPORTRANGE(""https://docs.google.com/spreadsheets/d/1W6MnUbDkMi6xHnHko_XkFDO9kkuL6Wqyc-6OCDFjW9I/edit?usp=sharing"",""ตาก!J633"")"),0)</f>
        <v>0</v>
      </c>
      <c r="Z17" s="216">
        <f ca="1">IFERROR(__xludf.DUMMYFUNCTION("IMPORTRANGE(""https://docs.google.com/spreadsheets/d/1W6MnUbDkMi6xHnHko_XkFDO9kkuL6Wqyc-6OCDFjW9I/edit?usp=sharing"",""ตาก!J634"")"),0)</f>
        <v>0</v>
      </c>
      <c r="AA17" s="152">
        <f ca="1">IFERROR(__xludf.DUMMYFUNCTION("IMPORTRANGE(""https://docs.google.com/spreadsheets/d/1W6MnUbDkMi6xHnHko_XkFDO9kkuL6Wqyc-6OCDFjW9I/edit?usp=sharing"",""ตาก!I635"")"),0)</f>
        <v>0</v>
      </c>
      <c r="AB17" s="152">
        <f ca="1">IFERROR(__xludf.DUMMYFUNCTION("IMPORTRANGE(""https://docs.google.com/spreadsheets/d/1W6MnUbDkMi6xHnHko_XkFDO9kkuL6Wqyc-6OCDFjW9I/edit?usp=sharing"",""ตาก!J635"")"),0)</f>
        <v>0</v>
      </c>
      <c r="AC17" s="216">
        <f t="shared" ca="1" si="36"/>
        <v>0</v>
      </c>
      <c r="AD17" s="152">
        <f ca="1">IFERROR(__xludf.DUMMYFUNCTION("IMPORTRANGE(""https://docs.google.com/spreadsheets/d/1W6MnUbDkMi6xHnHko_XkFDO9kkuL6Wqyc-6OCDFjW9I/edit?usp=sharing"",""ตาก!J636"")"),0)</f>
        <v>0</v>
      </c>
      <c r="AE17" s="152">
        <f ca="1">IFERROR(__xludf.DUMMYFUNCTION("IMPORTRANGE(""https://docs.google.com/spreadsheets/d/1W6MnUbDkMi6xHnHko_XkFDO9kkuL6Wqyc-6OCDFjW9I/edit?usp=sharing"",""ตาก!J637"")"),0)</f>
        <v>0</v>
      </c>
      <c r="AF17" s="152">
        <f ca="1">IFERROR(__xludf.DUMMYFUNCTION("IMPORTRANGE(""https://docs.google.com/spreadsheets/d/1W6MnUbDkMi6xHnHko_XkFDO9kkuL6Wqyc-6OCDFjW9I/edit?usp=sharing"",""ตาก!J638"")"),0)</f>
        <v>0</v>
      </c>
      <c r="AG17" s="152">
        <f ca="1">IFERROR(__xludf.DUMMYFUNCTION("IMPORTRANGE(""https://docs.google.com/spreadsheets/d/1W6MnUbDkMi6xHnHko_XkFDO9kkuL6Wqyc-6OCDFjW9I/edit?usp=sharing"",""ตาก!J639"")"),0)</f>
        <v>0</v>
      </c>
      <c r="AH17" s="152">
        <f ca="1">IFERROR(__xludf.DUMMYFUNCTION("IMPORTRANGE(""https://docs.google.com/spreadsheets/d/1W6MnUbDkMi6xHnHko_XkFDO9kkuL6Wqyc-6OCDFjW9I/edit?usp=sharing"",""ตาก!J640"")"),0)</f>
        <v>0</v>
      </c>
    </row>
    <row r="18" spans="1:34" ht="19.5" x14ac:dyDescent="0.3">
      <c r="A18" s="70">
        <v>5</v>
      </c>
      <c r="B18" s="71" t="s">
        <v>46</v>
      </c>
      <c r="C18" s="68">
        <f ca="1">IFERROR(__xludf.DUMMYFUNCTION("IMPORTRANGE(""https://docs.google.com/spreadsheets/d/1IQAWArduLkta9LpYo4a_ULsyqdta6-6aDDiwpUnQT6c/edit?usp=sharing"",""นครสวรรค์!Q616"")"),7475)</f>
        <v>7475</v>
      </c>
      <c r="D18" s="68">
        <f ca="1">IFERROR(__xludf.DUMMYFUNCTION("IMPORTRANGE(""https://docs.google.com/spreadsheets/d/1IQAWArduLkta9LpYo4a_ULsyqdta6-6aDDiwpUnQT6c/edit?usp=sharing"",""นครสวรรค์!R616"")"),7475)</f>
        <v>7475</v>
      </c>
      <c r="E18" s="68">
        <f ca="1">IFERROR(__xludf.DUMMYFUNCTION("IMPORTRANGE(""https://docs.google.com/spreadsheets/d/1IQAWArduLkta9LpYo4a_ULsyqdta6-6aDDiwpUnQT6c/edit?usp=sharing"",""นครสวรรค์!S616"")"),2140)</f>
        <v>2140</v>
      </c>
      <c r="F18" s="68">
        <f t="shared" ca="1" si="24"/>
        <v>28.628762541806019</v>
      </c>
      <c r="G18" s="68">
        <f t="shared" ca="1" si="25"/>
        <v>28.628762541806019</v>
      </c>
      <c r="H18" s="278">
        <f ca="1">IFERROR(__xludf.DUMMYFUNCTION("IMPORTRANGE(""https://docs.google.com/spreadsheets/d/1IQAWArduLkta9LpYo4a_ULsyqdta6-6aDDiwpUnQT6c/edit?usp=sharing"",""นครสวรรค์!I626"")"),50)</f>
        <v>50</v>
      </c>
      <c r="I18" s="152">
        <f ca="1">IFERROR(__xludf.DUMMYFUNCTION("IMPORTRANGE(""https://docs.google.com/spreadsheets/d/1IQAWArduLkta9LpYo4a_ULsyqdta6-6aDDiwpUnQT6c/edit?usp=sharing"",""นครสวรรค์!J626"")"),0)</f>
        <v>0</v>
      </c>
      <c r="J18" s="216">
        <f t="shared" ca="1" si="27"/>
        <v>0</v>
      </c>
      <c r="K18" s="152">
        <f ca="1">IFERROR(__xludf.DUMMYFUNCTION("IMPORTRANGE(""https://docs.google.com/spreadsheets/d/1IQAWArduLkta9LpYo4a_ULsyqdta6-6aDDiwpUnQT6c/edit?usp=sharing"",""นครสวรรค์!I627"")"),1)</f>
        <v>1</v>
      </c>
      <c r="L18" s="152">
        <f ca="1">IFERROR(__xludf.DUMMYFUNCTION("IMPORTRANGE(""https://docs.google.com/spreadsheets/d/1IQAWArduLkta9LpYo4a_ULsyqdta6-6aDDiwpUnQT6c/edit?usp=sharing"",""นครสวรรค์!J627"")"),1)</f>
        <v>1</v>
      </c>
      <c r="M18" s="216">
        <f t="shared" ca="1" si="29"/>
        <v>100</v>
      </c>
      <c r="N18" s="152">
        <f ca="1">IFERROR(__xludf.DUMMYFUNCTION("IMPORTRANGE(""https://docs.google.com/spreadsheets/d/1IQAWArduLkta9LpYo4a_ULsyqdta6-6aDDiwpUnQT6c/edit?usp=sharing"",""นครสวรรค์!I628"")"),1)</f>
        <v>1</v>
      </c>
      <c r="O18" s="152">
        <f ca="1">IFERROR(__xludf.DUMMYFUNCTION("IMPORTRANGE(""https://docs.google.com/spreadsheets/d/1IQAWArduLkta9LpYo4a_ULsyqdta6-6aDDiwpUnQT6c/edit?usp=sharing"",""นครสวรรค์!J628"")"),1)</f>
        <v>1</v>
      </c>
      <c r="P18" s="216">
        <f t="shared" ca="1" si="31"/>
        <v>100</v>
      </c>
      <c r="Q18" s="152">
        <f ca="1">IFERROR(__xludf.DUMMYFUNCTION("IMPORTRANGE(""https://docs.google.com/spreadsheets/d/1IQAWArduLkta9LpYo4a_ULsyqdta6-6aDDiwpUnQT6c/edit?usp=sharing"",""นครสวรรค์!J629"")"),0)</f>
        <v>0</v>
      </c>
      <c r="R18" s="216">
        <f t="shared" ca="1" si="38"/>
        <v>0</v>
      </c>
      <c r="S18" s="152">
        <f ca="1">IFERROR(__xludf.DUMMYFUNCTION("IMPORTRANGE(""https://docs.google.com/spreadsheets/d/1IQAWArduLkta9LpYo4a_ULsyqdta6-6aDDiwpUnQT6c/edit?usp=sharing"",""นครสวรรค์!J630"")"),0)</f>
        <v>0</v>
      </c>
      <c r="T18" s="216">
        <f t="shared" ca="1" si="32"/>
        <v>0</v>
      </c>
      <c r="U18" s="216">
        <f ca="1">IFERROR(__xludf.DUMMYFUNCTION("IMPORTRANGE(""https://docs.google.com/spreadsheets/d/1IQAWArduLkta9LpYo4a_ULsyqdta6-6aDDiwpUnQT6c/edit?usp=sharing"",""นครสวรรค์!J631"")"),0)</f>
        <v>0</v>
      </c>
      <c r="V18" s="216">
        <f t="shared" ca="1" si="33"/>
        <v>0</v>
      </c>
      <c r="W18" s="216">
        <f ca="1">IFERROR(__xludf.DUMMYFUNCTION("IMPORTRANGE(""https://docs.google.com/spreadsheets/d/1IQAWArduLkta9LpYo4a_ULsyqdta6-6aDDiwpUnQT6c/edit?usp=sharing"",""นครสวรรค์!J632"")"),0)</f>
        <v>0</v>
      </c>
      <c r="X18" s="216">
        <f t="shared" ca="1" si="34"/>
        <v>0</v>
      </c>
      <c r="Y18" s="216">
        <f ca="1">IFERROR(__xludf.DUMMYFUNCTION("IMPORTRANGE(""https://docs.google.com/spreadsheets/d/1IQAWArduLkta9LpYo4a_ULsyqdta6-6aDDiwpUnQT6c/edit?usp=sharing"",""นครสวรรค์!J633"")"),0)</f>
        <v>0</v>
      </c>
      <c r="Z18" s="216">
        <f ca="1">IFERROR(__xludf.DUMMYFUNCTION("IMPORTRANGE(""https://docs.google.com/spreadsheets/d/1IQAWArduLkta9LpYo4a_ULsyqdta6-6aDDiwpUnQT6c/edit?usp=sharing"",""นครสวรรค์!J634"")"),0)</f>
        <v>0</v>
      </c>
      <c r="AA18" s="152">
        <f ca="1">IFERROR(__xludf.DUMMYFUNCTION("IMPORTRANGE(""https://docs.google.com/spreadsheets/d/1IQAWArduLkta9LpYo4a_ULsyqdta6-6aDDiwpUnQT6c/edit?usp=sharing"",""นครสวรรค์!I635"")"),0)</f>
        <v>0</v>
      </c>
      <c r="AB18" s="152">
        <f ca="1">IFERROR(__xludf.DUMMYFUNCTION("IMPORTRANGE(""https://docs.google.com/spreadsheets/d/1IQAWArduLkta9LpYo4a_ULsyqdta6-6aDDiwpUnQT6c/edit?usp=sharing"",""นครสวรรค์!J635"")"),0)</f>
        <v>0</v>
      </c>
      <c r="AC18" s="216">
        <f t="shared" ca="1" si="36"/>
        <v>0</v>
      </c>
      <c r="AD18" s="152">
        <f ca="1">IFERROR(__xludf.DUMMYFUNCTION("IMPORTRANGE(""https://docs.google.com/spreadsheets/d/1IQAWArduLkta9LpYo4a_ULsyqdta6-6aDDiwpUnQT6c/edit?usp=sharing"",""นครสวรรค์!J636"")"),0)</f>
        <v>0</v>
      </c>
      <c r="AE18" s="152">
        <f ca="1">IFERROR(__xludf.DUMMYFUNCTION("IMPORTRANGE(""https://docs.google.com/spreadsheets/d/1IQAWArduLkta9LpYo4a_ULsyqdta6-6aDDiwpUnQT6c/edit?usp=sharing"",""นครสวรรค์!J637"")"),0)</f>
        <v>0</v>
      </c>
      <c r="AF18" s="152">
        <f ca="1">IFERROR(__xludf.DUMMYFUNCTION("IMPORTRANGE(""https://docs.google.com/spreadsheets/d/1IQAWArduLkta9LpYo4a_ULsyqdta6-6aDDiwpUnQT6c/edit?usp=sharing"",""นครสวรรค์!J638"")"),0)</f>
        <v>0</v>
      </c>
      <c r="AG18" s="152">
        <f ca="1">IFERROR(__xludf.DUMMYFUNCTION("IMPORTRANGE(""https://docs.google.com/spreadsheets/d/1IQAWArduLkta9LpYo4a_ULsyqdta6-6aDDiwpUnQT6c/edit?usp=sharing"",""นครสวรรค์!J639"")"),0)</f>
        <v>0</v>
      </c>
      <c r="AH18" s="152">
        <f ca="1">IFERROR(__xludf.DUMMYFUNCTION("IMPORTRANGE(""https://docs.google.com/spreadsheets/d/1IQAWArduLkta9LpYo4a_ULsyqdta6-6aDDiwpUnQT6c/edit?usp=sharing"",""นครสวรรค์!J640"")"),0)</f>
        <v>0</v>
      </c>
    </row>
    <row r="19" spans="1:34" ht="19.5" x14ac:dyDescent="0.3">
      <c r="A19" s="70">
        <v>6</v>
      </c>
      <c r="B19" s="71" t="s">
        <v>47</v>
      </c>
      <c r="C19" s="68">
        <f ca="1">IFERROR(__xludf.DUMMYFUNCTION("IMPORTRANGE(""https://docs.google.com/spreadsheets/d/10s13Sk5xrltsiR-Zkbmk5DwIaDIKO8XlbJAfqyT7Gvg/edit?usp=sharing"",""น่าน!Q616"")"),1975)</f>
        <v>1975</v>
      </c>
      <c r="D19" s="68">
        <f ca="1">IFERROR(__xludf.DUMMYFUNCTION("IMPORTRANGE(""https://docs.google.com/spreadsheets/d/10s13Sk5xrltsiR-Zkbmk5DwIaDIKO8XlbJAfqyT7Gvg/edit?usp=sharing"",""น่าน!R616"")"),1975)</f>
        <v>1975</v>
      </c>
      <c r="E19" s="68">
        <f ca="1">IFERROR(__xludf.DUMMYFUNCTION("IMPORTRANGE(""https://docs.google.com/spreadsheets/d/10s13Sk5xrltsiR-Zkbmk5DwIaDIKO8XlbJAfqyT7Gvg/edit?usp=sharing"",""น่าน!S616"")"),0)</f>
        <v>0</v>
      </c>
      <c r="F19" s="68">
        <f t="shared" ca="1" si="24"/>
        <v>0</v>
      </c>
      <c r="G19" s="68">
        <f t="shared" ca="1" si="25"/>
        <v>0</v>
      </c>
      <c r="H19" s="278">
        <f ca="1">IFERROR(__xludf.DUMMYFUNCTION("IMPORTRANGE(""https://docs.google.com/spreadsheets/d/10s13Sk5xrltsiR-Zkbmk5DwIaDIKO8XlbJAfqyT7Gvg/edit?usp=sharing"",""น่าน!I626"")"),0)</f>
        <v>0</v>
      </c>
      <c r="I19" s="152">
        <f ca="1">IFERROR(__xludf.DUMMYFUNCTION("IMPORTRANGE(""https://docs.google.com/spreadsheets/d/10s13Sk5xrltsiR-Zkbmk5DwIaDIKO8XlbJAfqyT7Gvg/edit?usp=sharing"",""น่าน!J626"")"),0)</f>
        <v>0</v>
      </c>
      <c r="J19" s="216">
        <f t="shared" ca="1" si="27"/>
        <v>0</v>
      </c>
      <c r="K19" s="152">
        <f ca="1">IFERROR(__xludf.DUMMYFUNCTION("IMPORTRANGE(""https://docs.google.com/spreadsheets/d/10s13Sk5xrltsiR-Zkbmk5DwIaDIKO8XlbJAfqyT7Gvg/edit?usp=sharing"",""น่าน!I627"")"),1)</f>
        <v>1</v>
      </c>
      <c r="L19" s="152">
        <f ca="1">IFERROR(__xludf.DUMMYFUNCTION("IMPORTRANGE(""https://docs.google.com/spreadsheets/d/10s13Sk5xrltsiR-Zkbmk5DwIaDIKO8XlbJAfqyT7Gvg/edit?usp=sharing"",""น่าน!J627"")"),1)</f>
        <v>1</v>
      </c>
      <c r="M19" s="216">
        <f t="shared" ca="1" si="29"/>
        <v>100</v>
      </c>
      <c r="N19" s="152">
        <f ca="1">IFERROR(__xludf.DUMMYFUNCTION("IMPORTRANGE(""https://docs.google.com/spreadsheets/d/10s13Sk5xrltsiR-Zkbmk5DwIaDIKO8XlbJAfqyT7Gvg/edit?usp=sharing"",""น่าน!I628"")"),1)</f>
        <v>1</v>
      </c>
      <c r="O19" s="152">
        <f ca="1">IFERROR(__xludf.DUMMYFUNCTION("IMPORTRANGE(""https://docs.google.com/spreadsheets/d/10s13Sk5xrltsiR-Zkbmk5DwIaDIKO8XlbJAfqyT7Gvg/edit?usp=sharing"",""น่าน!J628"")"),1)</f>
        <v>1</v>
      </c>
      <c r="P19" s="216">
        <f t="shared" ca="1" si="31"/>
        <v>100</v>
      </c>
      <c r="Q19" s="152">
        <f ca="1">IFERROR(__xludf.DUMMYFUNCTION("IMPORTRANGE(""https://docs.google.com/spreadsheets/d/10s13Sk5xrltsiR-Zkbmk5DwIaDIKO8XlbJAfqyT7Gvg/edit?usp=sharing"",""น่าน!J629"")"),0)</f>
        <v>0</v>
      </c>
      <c r="R19" s="216">
        <f t="shared" ca="1" si="38"/>
        <v>0</v>
      </c>
      <c r="S19" s="152">
        <f ca="1">IFERROR(__xludf.DUMMYFUNCTION("IMPORTRANGE(""https://docs.google.com/spreadsheets/d/10s13Sk5xrltsiR-Zkbmk5DwIaDIKO8XlbJAfqyT7Gvg/edit?usp=sharing"",""น่าน!J630"")"),0)</f>
        <v>0</v>
      </c>
      <c r="T19" s="216">
        <f t="shared" ca="1" si="32"/>
        <v>0</v>
      </c>
      <c r="U19" s="216">
        <f ca="1">IFERROR(__xludf.DUMMYFUNCTION("IMPORTRANGE(""https://docs.google.com/spreadsheets/d/10s13Sk5xrltsiR-Zkbmk5DwIaDIKO8XlbJAfqyT7Gvg/edit?usp=sharing"",""น่าน!J631"")"),0)</f>
        <v>0</v>
      </c>
      <c r="V19" s="216">
        <f t="shared" ca="1" si="33"/>
        <v>0</v>
      </c>
      <c r="W19" s="216">
        <f ca="1">IFERROR(__xludf.DUMMYFUNCTION("IMPORTRANGE(""https://docs.google.com/spreadsheets/d/10s13Sk5xrltsiR-Zkbmk5DwIaDIKO8XlbJAfqyT7Gvg/edit?usp=sharing"",""น่าน!J632"")"),0)</f>
        <v>0</v>
      </c>
      <c r="X19" s="216">
        <f t="shared" ca="1" si="34"/>
        <v>0</v>
      </c>
      <c r="Y19" s="216">
        <f ca="1">IFERROR(__xludf.DUMMYFUNCTION("IMPORTRANGE(""https://docs.google.com/spreadsheets/d/10s13Sk5xrltsiR-Zkbmk5DwIaDIKO8XlbJAfqyT7Gvg/edit?usp=sharing"",""น่าน!J633"")"),0)</f>
        <v>0</v>
      </c>
      <c r="Z19" s="216">
        <f ca="1">IFERROR(__xludf.DUMMYFUNCTION("IMPORTRANGE(""https://docs.google.com/spreadsheets/d/10s13Sk5xrltsiR-Zkbmk5DwIaDIKO8XlbJAfqyT7Gvg/edit?usp=sharing"",""น่าน!J634"")"),0)</f>
        <v>0</v>
      </c>
      <c r="AA19" s="152">
        <f ca="1">IFERROR(__xludf.DUMMYFUNCTION("IMPORTRANGE(""https://docs.google.com/spreadsheets/d/10s13Sk5xrltsiR-Zkbmk5DwIaDIKO8XlbJAfqyT7Gvg/edit?usp=sharing"",""น่าน!I635"")"),0)</f>
        <v>0</v>
      </c>
      <c r="AB19" s="152">
        <f ca="1">IFERROR(__xludf.DUMMYFUNCTION("IMPORTRANGE(""https://docs.google.com/spreadsheets/d/10s13Sk5xrltsiR-Zkbmk5DwIaDIKO8XlbJAfqyT7Gvg/edit?usp=sharing"",""น่าน!J635"")"),0)</f>
        <v>0</v>
      </c>
      <c r="AC19" s="216">
        <f t="shared" ca="1" si="36"/>
        <v>0</v>
      </c>
      <c r="AD19" s="152">
        <f ca="1">IFERROR(__xludf.DUMMYFUNCTION("IMPORTRANGE(""https://docs.google.com/spreadsheets/d/10s13Sk5xrltsiR-Zkbmk5DwIaDIKO8XlbJAfqyT7Gvg/edit?usp=sharing"",""น่าน!J636"")"),0)</f>
        <v>0</v>
      </c>
      <c r="AE19" s="152">
        <f ca="1">IFERROR(__xludf.DUMMYFUNCTION("IMPORTRANGE(""https://docs.google.com/spreadsheets/d/10s13Sk5xrltsiR-Zkbmk5DwIaDIKO8XlbJAfqyT7Gvg/edit?usp=sharing"",""น่าน!J637"")"),0)</f>
        <v>0</v>
      </c>
      <c r="AF19" s="152">
        <f ca="1">IFERROR(__xludf.DUMMYFUNCTION("IMPORTRANGE(""https://docs.google.com/spreadsheets/d/10s13Sk5xrltsiR-Zkbmk5DwIaDIKO8XlbJAfqyT7Gvg/edit?usp=sharing"",""น่าน!J638"")"),0)</f>
        <v>0</v>
      </c>
      <c r="AG19" s="152">
        <f ca="1">IFERROR(__xludf.DUMMYFUNCTION("IMPORTRANGE(""https://docs.google.com/spreadsheets/d/10s13Sk5xrltsiR-Zkbmk5DwIaDIKO8XlbJAfqyT7Gvg/edit?usp=sharing"",""น่าน!J639"")"),0)</f>
        <v>0</v>
      </c>
      <c r="AH19" s="152">
        <f ca="1">IFERROR(__xludf.DUMMYFUNCTION("IMPORTRANGE(""https://docs.google.com/spreadsheets/d/10s13Sk5xrltsiR-Zkbmk5DwIaDIKO8XlbJAfqyT7Gvg/edit?usp=sharing"",""น่าน!J640"")"),0)</f>
        <v>0</v>
      </c>
    </row>
    <row r="20" spans="1:34" ht="19.5" x14ac:dyDescent="0.3">
      <c r="A20" s="70">
        <v>7</v>
      </c>
      <c r="B20" s="71" t="s">
        <v>48</v>
      </c>
      <c r="C20" s="68">
        <f ca="1">IFERROR(__xludf.DUMMYFUNCTION("IMPORTRANGE(""https://docs.google.com/spreadsheets/d/1uu4nAn4Dbi1XREnLKKotUANlKXa7yCgRcgq8HEzQYW8/edit?usp=sharing"",""พะเยา!Q616"")"),6725)</f>
        <v>6725</v>
      </c>
      <c r="D20" s="68">
        <f ca="1">IFERROR(__xludf.DUMMYFUNCTION("IMPORTRANGE(""https://docs.google.com/spreadsheets/d/1uu4nAn4Dbi1XREnLKKotUANlKXa7yCgRcgq8HEzQYW8/edit?usp=sharing"",""พะเยา!R616"")"),6725)</f>
        <v>6725</v>
      </c>
      <c r="E20" s="68">
        <f ca="1">IFERROR(__xludf.DUMMYFUNCTION("IMPORTRANGE(""https://docs.google.com/spreadsheets/d/1uu4nAn4Dbi1XREnLKKotUANlKXa7yCgRcgq8HEzQYW8/edit?usp=sharing"",""พะเยา!S616"")"),0)</f>
        <v>0</v>
      </c>
      <c r="F20" s="68">
        <f t="shared" ca="1" si="24"/>
        <v>0</v>
      </c>
      <c r="G20" s="68">
        <f t="shared" ca="1" si="25"/>
        <v>0</v>
      </c>
      <c r="H20" s="278">
        <f ca="1">IFERROR(__xludf.DUMMYFUNCTION("IMPORTRANGE(""https://docs.google.com/spreadsheets/d/1uu4nAn4Dbi1XREnLKKotUANlKXa7yCgRcgq8HEzQYW8/edit?usp=sharing"",""พะเยา!I626"")"),50)</f>
        <v>50</v>
      </c>
      <c r="I20" s="152">
        <f ca="1">IFERROR(__xludf.DUMMYFUNCTION("IMPORTRANGE(""https://docs.google.com/spreadsheets/d/1uu4nAn4Dbi1XREnLKKotUANlKXa7yCgRcgq8HEzQYW8/edit?usp=sharing"",""พะเยา!J626"")"),0)</f>
        <v>0</v>
      </c>
      <c r="J20" s="216">
        <f t="shared" ca="1" si="27"/>
        <v>0</v>
      </c>
      <c r="K20" s="152">
        <f ca="1">IFERROR(__xludf.DUMMYFUNCTION("IMPORTRANGE(""https://docs.google.com/spreadsheets/d/1uu4nAn4Dbi1XREnLKKotUANlKXa7yCgRcgq8HEzQYW8/edit?usp=sharing"",""พะเยา!I627"")"),0)</f>
        <v>0</v>
      </c>
      <c r="L20" s="152">
        <f ca="1">IFERROR(__xludf.DUMMYFUNCTION("IMPORTRANGE(""https://docs.google.com/spreadsheets/d/1uu4nAn4Dbi1XREnLKKotUANlKXa7yCgRcgq8HEzQYW8/edit?usp=sharing"",""พะเยา!J627"")"),0)</f>
        <v>0</v>
      </c>
      <c r="M20" s="216">
        <f t="shared" ca="1" si="29"/>
        <v>0</v>
      </c>
      <c r="N20" s="152">
        <f ca="1">IFERROR(__xludf.DUMMYFUNCTION("IMPORTRANGE(""https://docs.google.com/spreadsheets/d/1uu4nAn4Dbi1XREnLKKotUANlKXa7yCgRcgq8HEzQYW8/edit?usp=sharing"",""พะเยา!I628"")"),0)</f>
        <v>0</v>
      </c>
      <c r="O20" s="152">
        <f ca="1">IFERROR(__xludf.DUMMYFUNCTION("IMPORTRANGE(""https://docs.google.com/spreadsheets/d/1uu4nAn4Dbi1XREnLKKotUANlKXa7yCgRcgq8HEzQYW8/edit?usp=sharing"",""พะเยา!J628"")"),0)</f>
        <v>0</v>
      </c>
      <c r="P20" s="216">
        <f t="shared" ca="1" si="31"/>
        <v>0</v>
      </c>
      <c r="Q20" s="152">
        <f ca="1">IFERROR(__xludf.DUMMYFUNCTION("IMPORTRANGE(""https://docs.google.com/spreadsheets/d/1uu4nAn4Dbi1XREnLKKotUANlKXa7yCgRcgq8HEzQYW8/edit?usp=sharing"",""พะเยา!J629"")"),0)</f>
        <v>0</v>
      </c>
      <c r="R20" s="216">
        <f t="shared" ca="1" si="38"/>
        <v>0</v>
      </c>
      <c r="S20" s="152">
        <f ca="1">IFERROR(__xludf.DUMMYFUNCTION("IMPORTRANGE(""https://docs.google.com/spreadsheets/d/1uu4nAn4Dbi1XREnLKKotUANlKXa7yCgRcgq8HEzQYW8/edit?usp=sharing"",""พะเยา!J630"")"),0)</f>
        <v>0</v>
      </c>
      <c r="T20" s="216">
        <f t="shared" ca="1" si="32"/>
        <v>0</v>
      </c>
      <c r="U20" s="216">
        <f ca="1">IFERROR(__xludf.DUMMYFUNCTION("IMPORTRANGE(""https://docs.google.com/spreadsheets/d/1uu4nAn4Dbi1XREnLKKotUANlKXa7yCgRcgq8HEzQYW8/edit?usp=sharing"",""พะเยา!J631"")"),0)</f>
        <v>0</v>
      </c>
      <c r="V20" s="216">
        <f t="shared" ca="1" si="33"/>
        <v>0</v>
      </c>
      <c r="W20" s="216">
        <f ca="1">IFERROR(__xludf.DUMMYFUNCTION("IMPORTRANGE(""https://docs.google.com/spreadsheets/d/1uu4nAn4Dbi1XREnLKKotUANlKXa7yCgRcgq8HEzQYW8/edit?usp=sharing"",""พะเยา!J632"")"),0)</f>
        <v>0</v>
      </c>
      <c r="X20" s="216">
        <f t="shared" ca="1" si="34"/>
        <v>0</v>
      </c>
      <c r="Y20" s="216">
        <f ca="1">IFERROR(__xludf.DUMMYFUNCTION("IMPORTRANGE(""https://docs.google.com/spreadsheets/d/1uu4nAn4Dbi1XREnLKKotUANlKXa7yCgRcgq8HEzQYW8/edit?usp=sharing"",""พะเยา!J633"")"),0)</f>
        <v>0</v>
      </c>
      <c r="Z20" s="216">
        <f ca="1">IFERROR(__xludf.DUMMYFUNCTION("IMPORTRANGE(""https://docs.google.com/spreadsheets/d/1uu4nAn4Dbi1XREnLKKotUANlKXa7yCgRcgq8HEzQYW8/edit?usp=sharing"",""พะเยา!J634"")"),0)</f>
        <v>0</v>
      </c>
      <c r="AA20" s="152">
        <f ca="1">IFERROR(__xludf.DUMMYFUNCTION("IMPORTRANGE(""https://docs.google.com/spreadsheets/d/1uu4nAn4Dbi1XREnLKKotUANlKXa7yCgRcgq8HEzQYW8/edit?usp=sharing"",""พะเยา!I635"")"),0)</f>
        <v>0</v>
      </c>
      <c r="AB20" s="152">
        <f ca="1">IFERROR(__xludf.DUMMYFUNCTION("IMPORTRANGE(""https://docs.google.com/spreadsheets/d/1uu4nAn4Dbi1XREnLKKotUANlKXa7yCgRcgq8HEzQYW8/edit?usp=sharing"",""พะเยา!J635"")"),0)</f>
        <v>0</v>
      </c>
      <c r="AC20" s="216">
        <f t="shared" ca="1" si="36"/>
        <v>0</v>
      </c>
      <c r="AD20" s="152">
        <f ca="1">IFERROR(__xludf.DUMMYFUNCTION("IMPORTRANGE(""https://docs.google.com/spreadsheets/d/1uu4nAn4Dbi1XREnLKKotUANlKXa7yCgRcgq8HEzQYW8/edit?usp=sharing"",""พะเยา!J636"")"),0)</f>
        <v>0</v>
      </c>
      <c r="AE20" s="152">
        <f ca="1">IFERROR(__xludf.DUMMYFUNCTION("IMPORTRANGE(""https://docs.google.com/spreadsheets/d/1uu4nAn4Dbi1XREnLKKotUANlKXa7yCgRcgq8HEzQYW8/edit?usp=sharing"",""พะเยา!J637"")"),0)</f>
        <v>0</v>
      </c>
      <c r="AF20" s="152">
        <f ca="1">IFERROR(__xludf.DUMMYFUNCTION("IMPORTRANGE(""https://docs.google.com/spreadsheets/d/1uu4nAn4Dbi1XREnLKKotUANlKXa7yCgRcgq8HEzQYW8/edit?usp=sharing"",""พะเยา!J638"")"),0)</f>
        <v>0</v>
      </c>
      <c r="AG20" s="152">
        <f ca="1">IFERROR(__xludf.DUMMYFUNCTION("IMPORTRANGE(""https://docs.google.com/spreadsheets/d/1uu4nAn4Dbi1XREnLKKotUANlKXa7yCgRcgq8HEzQYW8/edit?usp=sharing"",""พะเยา!J639"")"),0)</f>
        <v>0</v>
      </c>
      <c r="AH20" s="152">
        <f ca="1">IFERROR(__xludf.DUMMYFUNCTION("IMPORTRANGE(""https://docs.google.com/spreadsheets/d/1uu4nAn4Dbi1XREnLKKotUANlKXa7yCgRcgq8HEzQYW8/edit?usp=sharing"",""พะเยา!J640"")"),0)</f>
        <v>0</v>
      </c>
    </row>
    <row r="21" spans="1:34" ht="19.5" x14ac:dyDescent="0.3">
      <c r="A21" s="70">
        <v>8</v>
      </c>
      <c r="B21" s="71" t="s">
        <v>49</v>
      </c>
      <c r="C21" s="68">
        <f ca="1">IFERROR(__xludf.DUMMYFUNCTION("IMPORTRANGE(""https://docs.google.com/spreadsheets/d/1xfJKIQxVOaPDIICqsflNlLu3JacTDk1FP9RH4phX7mI/edit?usp=sharing"",""พิจิตร!Q616"")"),1300)</f>
        <v>1300</v>
      </c>
      <c r="D21" s="68">
        <f ca="1">IFERROR(__xludf.DUMMYFUNCTION("IMPORTRANGE(""https://docs.google.com/spreadsheets/d/1xfJKIQxVOaPDIICqsflNlLu3JacTDk1FP9RH4phX7mI/edit?usp=sharing"",""พิจิตร!R616"")"),0)</f>
        <v>0</v>
      </c>
      <c r="E21" s="68">
        <f ca="1">IFERROR(__xludf.DUMMYFUNCTION("IMPORTRANGE(""https://docs.google.com/spreadsheets/d/1xfJKIQxVOaPDIICqsflNlLu3JacTDk1FP9RH4phX7mI/edit?usp=sharing"",""พิจิตร!S616"")"),0)</f>
        <v>0</v>
      </c>
      <c r="F21" s="68">
        <f t="shared" ca="1" si="24"/>
        <v>0</v>
      </c>
      <c r="G21" s="68">
        <f t="shared" ca="1" si="25"/>
        <v>0</v>
      </c>
      <c r="H21" s="278">
        <f ca="1">IFERROR(__xludf.DUMMYFUNCTION("IMPORTRANGE(""https://docs.google.com/spreadsheets/d/1xfJKIQxVOaPDIICqsflNlLu3JacTDk1FP9RH4phX7mI/edit?usp=sharing"",""พิจิตร!I626"")"),0)</f>
        <v>0</v>
      </c>
      <c r="I21" s="152">
        <f ca="1">IFERROR(__xludf.DUMMYFUNCTION("IMPORTRANGE(""https://docs.google.com/spreadsheets/d/1xfJKIQxVOaPDIICqsflNlLu3JacTDk1FP9RH4phX7mI/edit?usp=sharing"",""พิจิตร!J626"")"),0)</f>
        <v>0</v>
      </c>
      <c r="J21" s="216">
        <f t="shared" ca="1" si="27"/>
        <v>0</v>
      </c>
      <c r="K21" s="152">
        <f ca="1">IFERROR(__xludf.DUMMYFUNCTION("IMPORTRANGE(""https://docs.google.com/spreadsheets/d/1xfJKIQxVOaPDIICqsflNlLu3JacTDk1FP9RH4phX7mI/edit?usp=sharing"",""พิจิตร!I627"")"),0)</f>
        <v>0</v>
      </c>
      <c r="L21" s="152">
        <f ca="1">IFERROR(__xludf.DUMMYFUNCTION("IMPORTRANGE(""https://docs.google.com/spreadsheets/d/1xfJKIQxVOaPDIICqsflNlLu3JacTDk1FP9RH4phX7mI/edit?usp=sharing"",""พิจิตร!J627"")"),0)</f>
        <v>0</v>
      </c>
      <c r="M21" s="216">
        <f t="shared" ca="1" si="29"/>
        <v>0</v>
      </c>
      <c r="N21" s="152">
        <f ca="1">IFERROR(__xludf.DUMMYFUNCTION("IMPORTRANGE(""https://docs.google.com/spreadsheets/d/1xfJKIQxVOaPDIICqsflNlLu3JacTDk1FP9RH4phX7mI/edit?usp=sharing"",""พิจิตร!I628"")"),0)</f>
        <v>0</v>
      </c>
      <c r="O21" s="152">
        <f ca="1">IFERROR(__xludf.DUMMYFUNCTION("IMPORTRANGE(""https://docs.google.com/spreadsheets/d/1xfJKIQxVOaPDIICqsflNlLu3JacTDk1FP9RH4phX7mI/edit?usp=sharing"",""พิจิตร!J628"")"),0)</f>
        <v>0</v>
      </c>
      <c r="P21" s="216">
        <f t="shared" ca="1" si="31"/>
        <v>0</v>
      </c>
      <c r="Q21" s="152">
        <f ca="1">IFERROR(__xludf.DUMMYFUNCTION("IMPORTRANGE(""https://docs.google.com/spreadsheets/d/1xfJKIQxVOaPDIICqsflNlLu3JacTDk1FP9RH4phX7mI/edit?usp=sharing"",""พิจิตร!J629"")"),0)</f>
        <v>0</v>
      </c>
      <c r="R21" s="216">
        <f t="shared" ca="1" si="38"/>
        <v>0</v>
      </c>
      <c r="S21" s="152">
        <f ca="1">IFERROR(__xludf.DUMMYFUNCTION("IMPORTRANGE(""https://docs.google.com/spreadsheets/d/1xfJKIQxVOaPDIICqsflNlLu3JacTDk1FP9RH4phX7mI/edit?usp=sharing"",""พิจิตร!J630"")"),0)</f>
        <v>0</v>
      </c>
      <c r="T21" s="216">
        <f t="shared" ca="1" si="32"/>
        <v>0</v>
      </c>
      <c r="U21" s="216">
        <f ca="1">IFERROR(__xludf.DUMMYFUNCTION("IMPORTRANGE(""https://docs.google.com/spreadsheets/d/1xfJKIQxVOaPDIICqsflNlLu3JacTDk1FP9RH4phX7mI/edit?usp=sharing"",""พิจิตร!J631"")"),0)</f>
        <v>0</v>
      </c>
      <c r="V21" s="216">
        <f t="shared" ca="1" si="33"/>
        <v>0</v>
      </c>
      <c r="W21" s="216">
        <f ca="1">IFERROR(__xludf.DUMMYFUNCTION("IMPORTRANGE(""https://docs.google.com/spreadsheets/d/1xfJKIQxVOaPDIICqsflNlLu3JacTDk1FP9RH4phX7mI/edit?usp=sharing"",""พิจิตร!J632"")"),0)</f>
        <v>0</v>
      </c>
      <c r="X21" s="216">
        <f t="shared" ca="1" si="34"/>
        <v>0</v>
      </c>
      <c r="Y21" s="216">
        <f ca="1">IFERROR(__xludf.DUMMYFUNCTION("IMPORTRANGE(""https://docs.google.com/spreadsheets/d/1xfJKIQxVOaPDIICqsflNlLu3JacTDk1FP9RH4phX7mI/edit?usp=sharing"",""พิจิตร!J633"")"),0)</f>
        <v>0</v>
      </c>
      <c r="Z21" s="216">
        <f ca="1">IFERROR(__xludf.DUMMYFUNCTION("IMPORTRANGE(""https://docs.google.com/spreadsheets/d/1xfJKIQxVOaPDIICqsflNlLu3JacTDk1FP9RH4phX7mI/edit?usp=sharing"",""พิจิตร!J634"")"),0)</f>
        <v>0</v>
      </c>
      <c r="AA21" s="152">
        <f ca="1">IFERROR(__xludf.DUMMYFUNCTION("IMPORTRANGE(""https://docs.google.com/spreadsheets/d/1xfJKIQxVOaPDIICqsflNlLu3JacTDk1FP9RH4phX7mI/edit?usp=sharing"",""พิจิตร!I635"")"),0)</f>
        <v>0</v>
      </c>
      <c r="AB21" s="152">
        <f ca="1">IFERROR(__xludf.DUMMYFUNCTION("IMPORTRANGE(""https://docs.google.com/spreadsheets/d/1xfJKIQxVOaPDIICqsflNlLu3JacTDk1FP9RH4phX7mI/edit?usp=sharing"",""พิจิตร!J635"")"),0)</f>
        <v>0</v>
      </c>
      <c r="AC21" s="216">
        <f t="shared" ca="1" si="36"/>
        <v>0</v>
      </c>
      <c r="AD21" s="152">
        <f ca="1">IFERROR(__xludf.DUMMYFUNCTION("IMPORTRANGE(""https://docs.google.com/spreadsheets/d/1xfJKIQxVOaPDIICqsflNlLu3JacTDk1FP9RH4phX7mI/edit?usp=sharing"",""พิจิตร!J636"")"),0)</f>
        <v>0</v>
      </c>
      <c r="AE21" s="152">
        <f ca="1">IFERROR(__xludf.DUMMYFUNCTION("IMPORTRANGE(""https://docs.google.com/spreadsheets/d/1xfJKIQxVOaPDIICqsflNlLu3JacTDk1FP9RH4phX7mI/edit?usp=sharing"",""พิจิตร!J637"")"),0)</f>
        <v>0</v>
      </c>
      <c r="AF21" s="152">
        <f ca="1">IFERROR(__xludf.DUMMYFUNCTION("IMPORTRANGE(""https://docs.google.com/spreadsheets/d/1xfJKIQxVOaPDIICqsflNlLu3JacTDk1FP9RH4phX7mI/edit?usp=sharing"",""พิจิตร!J638"")"),0)</f>
        <v>0</v>
      </c>
      <c r="AG21" s="152">
        <f ca="1">IFERROR(__xludf.DUMMYFUNCTION("IMPORTRANGE(""https://docs.google.com/spreadsheets/d/1xfJKIQxVOaPDIICqsflNlLu3JacTDk1FP9RH4phX7mI/edit?usp=sharing"",""พิจิตร!J639"")"),0)</f>
        <v>0</v>
      </c>
      <c r="AH21" s="152">
        <f ca="1">IFERROR(__xludf.DUMMYFUNCTION("IMPORTRANGE(""https://docs.google.com/spreadsheets/d/1xfJKIQxVOaPDIICqsflNlLu3JacTDk1FP9RH4phX7mI/edit?usp=sharing"",""พิจิตร!J640"")"),0)</f>
        <v>0</v>
      </c>
    </row>
    <row r="22" spans="1:34" ht="19.5" x14ac:dyDescent="0.3">
      <c r="A22" s="70">
        <v>9</v>
      </c>
      <c r="B22" s="71" t="s">
        <v>50</v>
      </c>
      <c r="C22" s="68">
        <f ca="1">IFERROR(__xludf.DUMMYFUNCTION("IMPORTRANGE(""https://docs.google.com/spreadsheets/d/1JtRfZkJMHtEhI5RdRHxYUG4FIZHqKDpNyIuN7A1Q0_k/edit?usp=sharing"",""พิษณุโลก!Q616"")"),6725)</f>
        <v>6725</v>
      </c>
      <c r="D22" s="68">
        <f ca="1">IFERROR(__xludf.DUMMYFUNCTION("IMPORTRANGE(""https://docs.google.com/spreadsheets/d/1JtRfZkJMHtEhI5RdRHxYUG4FIZHqKDpNyIuN7A1Q0_k/edit?usp=sharing"",""พิษณุโลก!R616"")"),6725)</f>
        <v>6725</v>
      </c>
      <c r="E22" s="68">
        <f ca="1">IFERROR(__xludf.DUMMYFUNCTION("IMPORTRANGE(""https://docs.google.com/spreadsheets/d/1JtRfZkJMHtEhI5RdRHxYUG4FIZHqKDpNyIuN7A1Q0_k/edit?usp=sharing"",""พิษณุโลก!S616"")"),0)</f>
        <v>0</v>
      </c>
      <c r="F22" s="68">
        <f t="shared" ca="1" si="24"/>
        <v>0</v>
      </c>
      <c r="G22" s="68">
        <f t="shared" ca="1" si="25"/>
        <v>0</v>
      </c>
      <c r="H22" s="278">
        <f ca="1">IFERROR(__xludf.DUMMYFUNCTION("IMPORTRANGE(""https://docs.google.com/spreadsheets/d/1JtRfZkJMHtEhI5RdRHxYUG4FIZHqKDpNyIuN7A1Q0_k/edit?usp=sharing"",""พิษณุโลก!I626"")"),50)</f>
        <v>50</v>
      </c>
      <c r="I22" s="152">
        <f ca="1">IFERROR(__xludf.DUMMYFUNCTION("IMPORTRANGE(""https://docs.google.com/spreadsheets/d/1JtRfZkJMHtEhI5RdRHxYUG4FIZHqKDpNyIuN7A1Q0_k/edit?usp=sharing"",""พิษณุโลก!J626"")"),0)</f>
        <v>0</v>
      </c>
      <c r="J22" s="216">
        <f t="shared" ca="1" si="27"/>
        <v>0</v>
      </c>
      <c r="K22" s="152">
        <f ca="1">IFERROR(__xludf.DUMMYFUNCTION("IMPORTRANGE(""https://docs.google.com/spreadsheets/d/1JtRfZkJMHtEhI5RdRHxYUG4FIZHqKDpNyIuN7A1Q0_k/edit?usp=sharing"",""พิษณุโลก!I627"")"),0)</f>
        <v>0</v>
      </c>
      <c r="L22" s="152">
        <f ca="1">IFERROR(__xludf.DUMMYFUNCTION("IMPORTRANGE(""https://docs.google.com/spreadsheets/d/1JtRfZkJMHtEhI5RdRHxYUG4FIZHqKDpNyIuN7A1Q0_k/edit?usp=sharing"",""พิษณุโลก!J627"")"),0)</f>
        <v>0</v>
      </c>
      <c r="M22" s="216">
        <f t="shared" ca="1" si="29"/>
        <v>0</v>
      </c>
      <c r="N22" s="152">
        <f ca="1">IFERROR(__xludf.DUMMYFUNCTION("IMPORTRANGE(""https://docs.google.com/spreadsheets/d/1JtRfZkJMHtEhI5RdRHxYUG4FIZHqKDpNyIuN7A1Q0_k/edit?usp=sharing"",""พิษณุโลก!I628"")"),0)</f>
        <v>0</v>
      </c>
      <c r="O22" s="152">
        <f ca="1">IFERROR(__xludf.DUMMYFUNCTION("IMPORTRANGE(""https://docs.google.com/spreadsheets/d/1JtRfZkJMHtEhI5RdRHxYUG4FIZHqKDpNyIuN7A1Q0_k/edit?usp=sharing"",""พิษณุโลก!J628"")"),0)</f>
        <v>0</v>
      </c>
      <c r="P22" s="216">
        <f t="shared" ca="1" si="31"/>
        <v>0</v>
      </c>
      <c r="Q22" s="152">
        <f ca="1">IFERROR(__xludf.DUMMYFUNCTION("IMPORTRANGE(""https://docs.google.com/spreadsheets/d/1JtRfZkJMHtEhI5RdRHxYUG4FIZHqKDpNyIuN7A1Q0_k/edit?usp=sharing"",""พิษณุโลก!J629"")"),171)</f>
        <v>171</v>
      </c>
      <c r="R22" s="216">
        <f t="shared" ca="1" si="38"/>
        <v>342</v>
      </c>
      <c r="S22" s="152">
        <f ca="1">IFERROR(__xludf.DUMMYFUNCTION("IMPORTRANGE(""https://docs.google.com/spreadsheets/d/1JtRfZkJMHtEhI5RdRHxYUG4FIZHqKDpNyIuN7A1Q0_k/edit?usp=sharing"",""พิษณุโลก!J630"")"),0)</f>
        <v>0</v>
      </c>
      <c r="T22" s="216">
        <f t="shared" ca="1" si="32"/>
        <v>0</v>
      </c>
      <c r="U22" s="216">
        <f ca="1">IFERROR(__xludf.DUMMYFUNCTION("IMPORTRANGE(""https://docs.google.com/spreadsheets/d/1JtRfZkJMHtEhI5RdRHxYUG4FIZHqKDpNyIuN7A1Q0_k/edit?usp=sharing"",""พิษณุโลก!J631"")"),0)</f>
        <v>0</v>
      </c>
      <c r="V22" s="216">
        <f t="shared" ca="1" si="33"/>
        <v>0</v>
      </c>
      <c r="W22" s="216">
        <f ca="1">IFERROR(__xludf.DUMMYFUNCTION("IMPORTRANGE(""https://docs.google.com/spreadsheets/d/1JtRfZkJMHtEhI5RdRHxYUG4FIZHqKDpNyIuN7A1Q0_k/edit?usp=sharing"",""พิษณุโลก!J632"")"),0)</f>
        <v>0</v>
      </c>
      <c r="X22" s="216">
        <f t="shared" ca="1" si="34"/>
        <v>0</v>
      </c>
      <c r="Y22" s="216">
        <f ca="1">IFERROR(__xludf.DUMMYFUNCTION("IMPORTRANGE(""https://docs.google.com/spreadsheets/d/1JtRfZkJMHtEhI5RdRHxYUG4FIZHqKDpNyIuN7A1Q0_k/edit?usp=sharing"",""พิษณุโลก!J633"")"),0)</f>
        <v>0</v>
      </c>
      <c r="Z22" s="216">
        <f ca="1">IFERROR(__xludf.DUMMYFUNCTION("IMPORTRANGE(""https://docs.google.com/spreadsheets/d/1JtRfZkJMHtEhI5RdRHxYUG4FIZHqKDpNyIuN7A1Q0_k/edit?usp=sharing"",""พิษณุโลก!J634"")"),0)</f>
        <v>0</v>
      </c>
      <c r="AA22" s="152">
        <f ca="1">IFERROR(__xludf.DUMMYFUNCTION("IMPORTRANGE(""https://docs.google.com/spreadsheets/d/1JtRfZkJMHtEhI5RdRHxYUG4FIZHqKDpNyIuN7A1Q0_k/edit?usp=sharing"",""พิษณุโลก!I635"")"),0)</f>
        <v>0</v>
      </c>
      <c r="AB22" s="152">
        <f ca="1">IFERROR(__xludf.DUMMYFUNCTION("IMPORTRANGE(""https://docs.google.com/spreadsheets/d/1JtRfZkJMHtEhI5RdRHxYUG4FIZHqKDpNyIuN7A1Q0_k/edit?usp=sharing"",""พิษณุโลก!J635"")"),0)</f>
        <v>0</v>
      </c>
      <c r="AC22" s="216">
        <f t="shared" ca="1" si="36"/>
        <v>0</v>
      </c>
      <c r="AD22" s="152">
        <f ca="1">IFERROR(__xludf.DUMMYFUNCTION("IMPORTRANGE(""https://docs.google.com/spreadsheets/d/1JtRfZkJMHtEhI5RdRHxYUG4FIZHqKDpNyIuN7A1Q0_k/edit?usp=sharing"",""พิษณุโลก!J636"")"),0)</f>
        <v>0</v>
      </c>
      <c r="AE22" s="152">
        <f ca="1">IFERROR(__xludf.DUMMYFUNCTION("IMPORTRANGE(""https://docs.google.com/spreadsheets/d/1JtRfZkJMHtEhI5RdRHxYUG4FIZHqKDpNyIuN7A1Q0_k/edit?usp=sharing"",""พิษณุโลก!J637"")"),0)</f>
        <v>0</v>
      </c>
      <c r="AF22" s="152">
        <f ca="1">IFERROR(__xludf.DUMMYFUNCTION("IMPORTRANGE(""https://docs.google.com/spreadsheets/d/1JtRfZkJMHtEhI5RdRHxYUG4FIZHqKDpNyIuN7A1Q0_k/edit?usp=sharing"",""พิษณุโลก!J638"")"),0)</f>
        <v>0</v>
      </c>
      <c r="AG22" s="152">
        <f ca="1">IFERROR(__xludf.DUMMYFUNCTION("IMPORTRANGE(""https://docs.google.com/spreadsheets/d/1JtRfZkJMHtEhI5RdRHxYUG4FIZHqKDpNyIuN7A1Q0_k/edit?usp=sharing"",""พิษณุโลก!J639"")"),0)</f>
        <v>0</v>
      </c>
      <c r="AH22" s="152">
        <f ca="1">IFERROR(__xludf.DUMMYFUNCTION("IMPORTRANGE(""https://docs.google.com/spreadsheets/d/1JtRfZkJMHtEhI5RdRHxYUG4FIZHqKDpNyIuN7A1Q0_k/edit?usp=sharing"",""พิษณุโลก!J640"")"),0)</f>
        <v>0</v>
      </c>
    </row>
    <row r="23" spans="1:34" ht="19.5" x14ac:dyDescent="0.3">
      <c r="A23" s="70">
        <v>10</v>
      </c>
      <c r="B23" s="71" t="s">
        <v>51</v>
      </c>
      <c r="C23" s="68">
        <f ca="1">IFERROR(__xludf.DUMMYFUNCTION("IMPORTRANGE(""https://docs.google.com/spreadsheets/d/1xlcVZWUNn6SuWm0c307h32SiGkd9BaeQWlAktfD3KO8/edit?usp=sharing"",""เพชรบูรณ์!Q616"")"),1875)</f>
        <v>1875</v>
      </c>
      <c r="D23" s="68">
        <f ca="1">IFERROR(__xludf.DUMMYFUNCTION("IMPORTRANGE(""https://docs.google.com/spreadsheets/d/1xlcVZWUNn6SuWm0c307h32SiGkd9BaeQWlAktfD3KO8/edit?usp=sharing"",""เพชรบูรณ์!R616"")"),1875)</f>
        <v>1875</v>
      </c>
      <c r="E23" s="68">
        <f ca="1">IFERROR(__xludf.DUMMYFUNCTION("IMPORTRANGE(""https://docs.google.com/spreadsheets/d/1xlcVZWUNn6SuWm0c307h32SiGkd9BaeQWlAktfD3KO8/edit?usp=sharing"",""เพชรบูรณ์!S616"")"),1875)</f>
        <v>1875</v>
      </c>
      <c r="F23" s="68">
        <f t="shared" ca="1" si="24"/>
        <v>100</v>
      </c>
      <c r="G23" s="68">
        <f t="shared" ca="1" si="25"/>
        <v>100</v>
      </c>
      <c r="H23" s="278">
        <f ca="1">IFERROR(__xludf.DUMMYFUNCTION("IMPORTRANGE(""https://docs.google.com/spreadsheets/d/1xlcVZWUNn6SuWm0c307h32SiGkd9BaeQWlAktfD3KO8/edit?usp=sharing"",""เพชรบูรณ์!I626"")"),0)</f>
        <v>0</v>
      </c>
      <c r="I23" s="152">
        <f ca="1">IFERROR(__xludf.DUMMYFUNCTION("IMPORTRANGE(""https://docs.google.com/spreadsheets/d/1xlcVZWUNn6SuWm0c307h32SiGkd9BaeQWlAktfD3KO8/edit?usp=sharing"",""เพชรบูรณ์!J626"")"),0)</f>
        <v>0</v>
      </c>
      <c r="J23" s="216">
        <f t="shared" ca="1" si="27"/>
        <v>0</v>
      </c>
      <c r="K23" s="152">
        <f ca="1">IFERROR(__xludf.DUMMYFUNCTION("IMPORTRANGE(""https://docs.google.com/spreadsheets/d/1xlcVZWUNn6SuWm0c307h32SiGkd9BaeQWlAktfD3KO8/edit?usp=sharing"",""เพชรบูรณ์!I627"")"),1)</f>
        <v>1</v>
      </c>
      <c r="L23" s="152">
        <f ca="1">IFERROR(__xludf.DUMMYFUNCTION("IMPORTRANGE(""https://docs.google.com/spreadsheets/d/1xlcVZWUNn6SuWm0c307h32SiGkd9BaeQWlAktfD3KO8/edit?usp=sharing"",""เพชรบูรณ์!J627"")"),1)</f>
        <v>1</v>
      </c>
      <c r="M23" s="216">
        <f t="shared" ca="1" si="29"/>
        <v>100</v>
      </c>
      <c r="N23" s="152">
        <f ca="1">IFERROR(__xludf.DUMMYFUNCTION("IMPORTRANGE(""https://docs.google.com/spreadsheets/d/1xlcVZWUNn6SuWm0c307h32SiGkd9BaeQWlAktfD3KO8/edit?usp=sharing"",""เพชรบูรณ์!I628"")"),1)</f>
        <v>1</v>
      </c>
      <c r="O23" s="152">
        <f ca="1">IFERROR(__xludf.DUMMYFUNCTION("IMPORTRANGE(""https://docs.google.com/spreadsheets/d/1xlcVZWUNn6SuWm0c307h32SiGkd9BaeQWlAktfD3KO8/edit?usp=sharing"",""เพชรบูรณ์!J628"")"),1)</f>
        <v>1</v>
      </c>
      <c r="P23" s="216">
        <f t="shared" ca="1" si="31"/>
        <v>100</v>
      </c>
      <c r="Q23" s="152">
        <f ca="1">IFERROR(__xludf.DUMMYFUNCTION("IMPORTRANGE(""https://docs.google.com/spreadsheets/d/1xlcVZWUNn6SuWm0c307h32SiGkd9BaeQWlAktfD3KO8/edit?usp=sharing"",""เพชรบูรณ์!J629"")"),0)</f>
        <v>0</v>
      </c>
      <c r="R23" s="216">
        <f t="shared" ca="1" si="38"/>
        <v>0</v>
      </c>
      <c r="S23" s="152">
        <f ca="1">IFERROR(__xludf.DUMMYFUNCTION("IMPORTRANGE(""https://docs.google.com/spreadsheets/d/1xlcVZWUNn6SuWm0c307h32SiGkd9BaeQWlAktfD3KO8/edit?usp=sharing"",""เพชรบูรณ์!J630"")"),0)</f>
        <v>0</v>
      </c>
      <c r="T23" s="216">
        <f t="shared" ca="1" si="32"/>
        <v>0</v>
      </c>
      <c r="U23" s="216">
        <f ca="1">IFERROR(__xludf.DUMMYFUNCTION("IMPORTRANGE(""https://docs.google.com/spreadsheets/d/1xlcVZWUNn6SuWm0c307h32SiGkd9BaeQWlAktfD3KO8/edit?usp=sharing"",""เพชรบูรณ์!J631"")"),0)</f>
        <v>0</v>
      </c>
      <c r="V23" s="216">
        <f t="shared" ca="1" si="33"/>
        <v>0</v>
      </c>
      <c r="W23" s="216">
        <f ca="1">IFERROR(__xludf.DUMMYFUNCTION("IMPORTRANGE(""https://docs.google.com/spreadsheets/d/1xlcVZWUNn6SuWm0c307h32SiGkd9BaeQWlAktfD3KO8/edit?usp=sharing"",""เพชรบูรณ์!J632"")"),0)</f>
        <v>0</v>
      </c>
      <c r="X23" s="216">
        <f t="shared" ca="1" si="34"/>
        <v>0</v>
      </c>
      <c r="Y23" s="216">
        <f ca="1">IFERROR(__xludf.DUMMYFUNCTION("IMPORTRANGE(""https://docs.google.com/spreadsheets/d/1xlcVZWUNn6SuWm0c307h32SiGkd9BaeQWlAktfD3KO8/edit?usp=sharing"",""เพชรบูรณ์!J633"")"),0)</f>
        <v>0</v>
      </c>
      <c r="Z23" s="216">
        <f ca="1">IFERROR(__xludf.DUMMYFUNCTION("IMPORTRANGE(""https://docs.google.com/spreadsheets/d/1xlcVZWUNn6SuWm0c307h32SiGkd9BaeQWlAktfD3KO8/edit?usp=sharing"",""เพชรบูรณ์!J634"")"),0)</f>
        <v>0</v>
      </c>
      <c r="AA23" s="152">
        <f ca="1">IFERROR(__xludf.DUMMYFUNCTION("IMPORTRANGE(""https://docs.google.com/spreadsheets/d/1xlcVZWUNn6SuWm0c307h32SiGkd9BaeQWlAktfD3KO8/edit?usp=sharing"",""เพชรบูรณ์!I635"")"),0)</f>
        <v>0</v>
      </c>
      <c r="AB23" s="152">
        <f ca="1">IFERROR(__xludf.DUMMYFUNCTION("IMPORTRANGE(""https://docs.google.com/spreadsheets/d/1xlcVZWUNn6SuWm0c307h32SiGkd9BaeQWlAktfD3KO8/edit?usp=sharing"",""เพชรบูรณ์!J635"")"),0)</f>
        <v>0</v>
      </c>
      <c r="AC23" s="216">
        <f t="shared" ca="1" si="36"/>
        <v>0</v>
      </c>
      <c r="AD23" s="152">
        <f ca="1">IFERROR(__xludf.DUMMYFUNCTION("IMPORTRANGE(""https://docs.google.com/spreadsheets/d/1xlcVZWUNn6SuWm0c307h32SiGkd9BaeQWlAktfD3KO8/edit?usp=sharing"",""เพชรบูรณ์!J636"")"),0)</f>
        <v>0</v>
      </c>
      <c r="AE23" s="152">
        <f ca="1">IFERROR(__xludf.DUMMYFUNCTION("IMPORTRANGE(""https://docs.google.com/spreadsheets/d/1xlcVZWUNn6SuWm0c307h32SiGkd9BaeQWlAktfD3KO8/edit?usp=sharing"",""เพชรบูรณ์!J637"")"),0)</f>
        <v>0</v>
      </c>
      <c r="AF23" s="152">
        <f ca="1">IFERROR(__xludf.DUMMYFUNCTION("IMPORTRANGE(""https://docs.google.com/spreadsheets/d/1xlcVZWUNn6SuWm0c307h32SiGkd9BaeQWlAktfD3KO8/edit?usp=sharing"",""เพชรบูรณ์!J638"")"),0)</f>
        <v>0</v>
      </c>
      <c r="AG23" s="152">
        <f ca="1">IFERROR(__xludf.DUMMYFUNCTION("IMPORTRANGE(""https://docs.google.com/spreadsheets/d/1xlcVZWUNn6SuWm0c307h32SiGkd9BaeQWlAktfD3KO8/edit?usp=sharing"",""เพชรบูรณ์!J639"")"),0)</f>
        <v>0</v>
      </c>
      <c r="AH23" s="152">
        <f ca="1">IFERROR(__xludf.DUMMYFUNCTION("IMPORTRANGE(""https://docs.google.com/spreadsheets/d/1xlcVZWUNn6SuWm0c307h32SiGkd9BaeQWlAktfD3KO8/edit?usp=sharing"",""เพชรบูรณ์!J640"")"),0)</f>
        <v>0</v>
      </c>
    </row>
    <row r="24" spans="1:34" ht="19.5" x14ac:dyDescent="0.3">
      <c r="A24" s="70">
        <v>11</v>
      </c>
      <c r="B24" s="71" t="s">
        <v>52</v>
      </c>
      <c r="C24" s="68">
        <f ca="1">IFERROR(__xludf.DUMMYFUNCTION("IMPORTRANGE(""https://docs.google.com/spreadsheets/d/1lOVebEIsI9qjGXl6EX66luk7wiuP2tBaryw-wKvv4e0/edit?usp=sharing"",""แพร่!Q616"")"),7300)</f>
        <v>7300</v>
      </c>
      <c r="D24" s="68">
        <f ca="1">IFERROR(__xludf.DUMMYFUNCTION("IMPORTRANGE(""https://docs.google.com/spreadsheets/d/1lOVebEIsI9qjGXl6EX66luk7wiuP2tBaryw-wKvv4e0/edit?usp=sharing"",""แพร่!R616"")"),7300)</f>
        <v>7300</v>
      </c>
      <c r="E24" s="68">
        <f ca="1">IFERROR(__xludf.DUMMYFUNCTION("IMPORTRANGE(""https://docs.google.com/spreadsheets/d/1lOVebEIsI9qjGXl6EX66luk7wiuP2tBaryw-wKvv4e0/edit?usp=sharing"",""แพร่!S616"")"),1161)</f>
        <v>1161</v>
      </c>
      <c r="F24" s="68">
        <f t="shared" ca="1" si="24"/>
        <v>15.904109589041095</v>
      </c>
      <c r="G24" s="68">
        <f t="shared" ca="1" si="25"/>
        <v>15.904109589041095</v>
      </c>
      <c r="H24" s="278">
        <f ca="1">IFERROR(__xludf.DUMMYFUNCTION("IMPORTRANGE(""https://docs.google.com/spreadsheets/d/1lOVebEIsI9qjGXl6EX66luk7wiuP2tBaryw-wKvv4e0/edit?usp=sharing"",""แพร่!I626"")"),50)</f>
        <v>50</v>
      </c>
      <c r="I24" s="152">
        <f ca="1">IFERROR(__xludf.DUMMYFUNCTION("IMPORTRANGE(""https://docs.google.com/spreadsheets/d/1lOVebEIsI9qjGXl6EX66luk7wiuP2tBaryw-wKvv4e0/edit?usp=sharing"",""แพร่!J626"")"),0)</f>
        <v>0</v>
      </c>
      <c r="J24" s="216">
        <f t="shared" ca="1" si="27"/>
        <v>0</v>
      </c>
      <c r="K24" s="152">
        <f ca="1">IFERROR(__xludf.DUMMYFUNCTION("IMPORTRANGE(""https://docs.google.com/spreadsheets/d/1lOVebEIsI9qjGXl6EX66luk7wiuP2tBaryw-wKvv4e0/edit?usp=sharing"",""แพร่!I627"")"),1)</f>
        <v>1</v>
      </c>
      <c r="L24" s="152">
        <f ca="1">IFERROR(__xludf.DUMMYFUNCTION("IMPORTRANGE(""https://docs.google.com/spreadsheets/d/1lOVebEIsI9qjGXl6EX66luk7wiuP2tBaryw-wKvv4e0/edit?usp=sharing"",""แพร่!J627"")"),1)</f>
        <v>1</v>
      </c>
      <c r="M24" s="216">
        <f t="shared" ca="1" si="29"/>
        <v>100</v>
      </c>
      <c r="N24" s="152">
        <f ca="1">IFERROR(__xludf.DUMMYFUNCTION("IMPORTRANGE(""https://docs.google.com/spreadsheets/d/1lOVebEIsI9qjGXl6EX66luk7wiuP2tBaryw-wKvv4e0/edit?usp=sharing"",""แพร่!I628"")"),1)</f>
        <v>1</v>
      </c>
      <c r="O24" s="152">
        <f ca="1">IFERROR(__xludf.DUMMYFUNCTION("IMPORTRANGE(""https://docs.google.com/spreadsheets/d/1lOVebEIsI9qjGXl6EX66luk7wiuP2tBaryw-wKvv4e0/edit?usp=sharing"",""แพร่!J628"")"),1)</f>
        <v>1</v>
      </c>
      <c r="P24" s="216">
        <f t="shared" ca="1" si="31"/>
        <v>100</v>
      </c>
      <c r="Q24" s="152">
        <f ca="1">IFERROR(__xludf.DUMMYFUNCTION("IMPORTRANGE(""https://docs.google.com/spreadsheets/d/1lOVebEIsI9qjGXl6EX66luk7wiuP2tBaryw-wKvv4e0/edit?usp=sharing"",""แพร่!J629"")"),0)</f>
        <v>0</v>
      </c>
      <c r="R24" s="216">
        <f t="shared" ca="1" si="38"/>
        <v>0</v>
      </c>
      <c r="S24" s="152">
        <f ca="1">IFERROR(__xludf.DUMMYFUNCTION("IMPORTRANGE(""https://docs.google.com/spreadsheets/d/1lOVebEIsI9qjGXl6EX66luk7wiuP2tBaryw-wKvv4e0/edit?usp=sharing"",""แพร่!J630"")"),0)</f>
        <v>0</v>
      </c>
      <c r="T24" s="216">
        <f t="shared" ca="1" si="32"/>
        <v>0</v>
      </c>
      <c r="U24" s="216">
        <f ca="1">IFERROR(__xludf.DUMMYFUNCTION("IMPORTRANGE(""https://docs.google.com/spreadsheets/d/1lOVebEIsI9qjGXl6EX66luk7wiuP2tBaryw-wKvv4e0/edit?usp=sharing"",""แพร่!J631"")"),0)</f>
        <v>0</v>
      </c>
      <c r="V24" s="216">
        <f t="shared" ca="1" si="33"/>
        <v>0</v>
      </c>
      <c r="W24" s="216">
        <f ca="1">IFERROR(__xludf.DUMMYFUNCTION("IMPORTRANGE(""https://docs.google.com/spreadsheets/d/1lOVebEIsI9qjGXl6EX66luk7wiuP2tBaryw-wKvv4e0/edit?usp=sharing"",""แพร่!J632"")"),0)</f>
        <v>0</v>
      </c>
      <c r="X24" s="216">
        <f t="shared" ca="1" si="34"/>
        <v>0</v>
      </c>
      <c r="Y24" s="216">
        <f ca="1">IFERROR(__xludf.DUMMYFUNCTION("IMPORTRANGE(""https://docs.google.com/spreadsheets/d/1lOVebEIsI9qjGXl6EX66luk7wiuP2tBaryw-wKvv4e0/edit?usp=sharing"",""แพร่!J633"")"),0)</f>
        <v>0</v>
      </c>
      <c r="Z24" s="216">
        <f ca="1">IFERROR(__xludf.DUMMYFUNCTION("IMPORTRANGE(""https://docs.google.com/spreadsheets/d/1lOVebEIsI9qjGXl6EX66luk7wiuP2tBaryw-wKvv4e0/edit?usp=sharing"",""แพร่!J634"")"),0)</f>
        <v>0</v>
      </c>
      <c r="AA24" s="152">
        <f ca="1">IFERROR(__xludf.DUMMYFUNCTION("IMPORTRANGE(""https://docs.google.com/spreadsheets/d/1lOVebEIsI9qjGXl6EX66luk7wiuP2tBaryw-wKvv4e0/edit?usp=sharing"",""แพร่!I635"")"),0)</f>
        <v>0</v>
      </c>
      <c r="AB24" s="152">
        <f ca="1">IFERROR(__xludf.DUMMYFUNCTION("IMPORTRANGE(""https://docs.google.com/spreadsheets/d/1lOVebEIsI9qjGXl6EX66luk7wiuP2tBaryw-wKvv4e0/edit?usp=sharing"",""แพร่!J635"")"),0)</f>
        <v>0</v>
      </c>
      <c r="AC24" s="216">
        <f t="shared" ca="1" si="36"/>
        <v>0</v>
      </c>
      <c r="AD24" s="152">
        <f ca="1">IFERROR(__xludf.DUMMYFUNCTION("IMPORTRANGE(""https://docs.google.com/spreadsheets/d/1lOVebEIsI9qjGXl6EX66luk7wiuP2tBaryw-wKvv4e0/edit?usp=sharing"",""แพร่!J636"")"),0)</f>
        <v>0</v>
      </c>
      <c r="AE24" s="152">
        <f ca="1">IFERROR(__xludf.DUMMYFUNCTION("IMPORTRANGE(""https://docs.google.com/spreadsheets/d/1lOVebEIsI9qjGXl6EX66luk7wiuP2tBaryw-wKvv4e0/edit?usp=sharing"",""แพร่!J637"")"),0)</f>
        <v>0</v>
      </c>
      <c r="AF24" s="152">
        <f ca="1">IFERROR(__xludf.DUMMYFUNCTION("IMPORTRANGE(""https://docs.google.com/spreadsheets/d/1lOVebEIsI9qjGXl6EX66luk7wiuP2tBaryw-wKvv4e0/edit?usp=sharing"",""แพร่!J638"")"),0)</f>
        <v>0</v>
      </c>
      <c r="AG24" s="152">
        <f ca="1">IFERROR(__xludf.DUMMYFUNCTION("IMPORTRANGE(""https://docs.google.com/spreadsheets/d/1lOVebEIsI9qjGXl6EX66luk7wiuP2tBaryw-wKvv4e0/edit?usp=sharing"",""แพร่!J639"")"),0)</f>
        <v>0</v>
      </c>
      <c r="AH24" s="152">
        <f ca="1">IFERROR(__xludf.DUMMYFUNCTION("IMPORTRANGE(""https://docs.google.com/spreadsheets/d/1lOVebEIsI9qjGXl6EX66luk7wiuP2tBaryw-wKvv4e0/edit?usp=sharing"",""แพร่!J640"")"),0)</f>
        <v>0</v>
      </c>
    </row>
    <row r="25" spans="1:34" ht="19.5" x14ac:dyDescent="0.3">
      <c r="A25" s="70">
        <v>12</v>
      </c>
      <c r="B25" s="71" t="s">
        <v>53</v>
      </c>
      <c r="C25" s="68">
        <f ca="1">IFERROR(__xludf.DUMMYFUNCTION("IMPORTRANGE(""https://docs.google.com/spreadsheets/d/1dQrvX0vEcN7Gu0fnZ0B5S90AeR19zth4XlExFBeExMY/edit?usp=sharing"",""แม่ฮ่องสอน!Q616"")"),7275)</f>
        <v>7275</v>
      </c>
      <c r="D25" s="68">
        <f ca="1">IFERROR(__xludf.DUMMYFUNCTION("IMPORTRANGE(""https://docs.google.com/spreadsheets/d/1dQrvX0vEcN7Gu0fnZ0B5S90AeR19zth4XlExFBeExMY/edit?usp=sharing"",""แม่ฮ่องสอน!R616"")"),7275)</f>
        <v>7275</v>
      </c>
      <c r="E25" s="68">
        <f ca="1">IFERROR(__xludf.DUMMYFUNCTION("IMPORTRANGE(""https://docs.google.com/spreadsheets/d/1dQrvX0vEcN7Gu0fnZ0B5S90AeR19zth4XlExFBeExMY/edit?usp=sharing"",""แม่ฮ่องสอน!S616"")"),0)</f>
        <v>0</v>
      </c>
      <c r="F25" s="68">
        <f t="shared" ca="1" si="24"/>
        <v>0</v>
      </c>
      <c r="G25" s="68">
        <f t="shared" ca="1" si="25"/>
        <v>0</v>
      </c>
      <c r="H25" s="278">
        <f ca="1">IFERROR(__xludf.DUMMYFUNCTION("IMPORTRANGE(""https://docs.google.com/spreadsheets/d/1dQrvX0vEcN7Gu0fnZ0B5S90AeR19zth4XlExFBeExMY/edit?usp=sharing"",""แม่ฮ่องสอน!I626"")"),50)</f>
        <v>50</v>
      </c>
      <c r="I25" s="152">
        <f ca="1">IFERROR(__xludf.DUMMYFUNCTION("IMPORTRANGE(""https://docs.google.com/spreadsheets/d/1dQrvX0vEcN7Gu0fnZ0B5S90AeR19zth4XlExFBeExMY/edit?usp=sharing"",""แม่ฮ่องสอน!J626"")"),0)</f>
        <v>0</v>
      </c>
      <c r="J25" s="216">
        <f t="shared" ca="1" si="27"/>
        <v>0</v>
      </c>
      <c r="K25" s="152">
        <f ca="1">IFERROR(__xludf.DUMMYFUNCTION("IMPORTRANGE(""https://docs.google.com/spreadsheets/d/1dQrvX0vEcN7Gu0fnZ0B5S90AeR19zth4XlExFBeExMY/edit?usp=sharing"",""แม่ฮ่องสอน!I627"")"),1)</f>
        <v>1</v>
      </c>
      <c r="L25" s="152">
        <f ca="1">IFERROR(__xludf.DUMMYFUNCTION("IMPORTRANGE(""https://docs.google.com/spreadsheets/d/1dQrvX0vEcN7Gu0fnZ0B5S90AeR19zth4XlExFBeExMY/edit?usp=sharing"",""แม่ฮ่องสอน!J627"")"),0)</f>
        <v>0</v>
      </c>
      <c r="M25" s="216">
        <f t="shared" ca="1" si="29"/>
        <v>0</v>
      </c>
      <c r="N25" s="152">
        <f ca="1">IFERROR(__xludf.DUMMYFUNCTION("IMPORTRANGE(""https://docs.google.com/spreadsheets/d/1dQrvX0vEcN7Gu0fnZ0B5S90AeR19zth4XlExFBeExMY/edit?usp=sharing"",""แม่ฮ่องสอน!I628"")"),1)</f>
        <v>1</v>
      </c>
      <c r="O25" s="152">
        <f ca="1">IFERROR(__xludf.DUMMYFUNCTION("IMPORTRANGE(""https://docs.google.com/spreadsheets/d/1dQrvX0vEcN7Gu0fnZ0B5S90AeR19zth4XlExFBeExMY/edit?usp=sharing"",""แม่ฮ่องสอน!J628"")"),0)</f>
        <v>0</v>
      </c>
      <c r="P25" s="216">
        <f t="shared" ca="1" si="31"/>
        <v>0</v>
      </c>
      <c r="Q25" s="152">
        <f ca="1">IFERROR(__xludf.DUMMYFUNCTION("IMPORTRANGE(""https://docs.google.com/spreadsheets/d/1dQrvX0vEcN7Gu0fnZ0B5S90AeR19zth4XlExFBeExMY/edit?usp=sharing"",""แม่ฮ่องสอน!J629"")"),0)</f>
        <v>0</v>
      </c>
      <c r="R25" s="216">
        <f t="shared" ca="1" si="38"/>
        <v>0</v>
      </c>
      <c r="S25" s="152">
        <f ca="1">IFERROR(__xludf.DUMMYFUNCTION("IMPORTRANGE(""https://docs.google.com/spreadsheets/d/1dQrvX0vEcN7Gu0fnZ0B5S90AeR19zth4XlExFBeExMY/edit?usp=sharing"",""แม่ฮ่องสอน!J630"")"),0)</f>
        <v>0</v>
      </c>
      <c r="T25" s="216">
        <f t="shared" ca="1" si="32"/>
        <v>0</v>
      </c>
      <c r="U25" s="216">
        <f ca="1">IFERROR(__xludf.DUMMYFUNCTION("IMPORTRANGE(""https://docs.google.com/spreadsheets/d/1dQrvX0vEcN7Gu0fnZ0B5S90AeR19zth4XlExFBeExMY/edit?usp=sharing"",""แม่ฮ่องสอน!J631"")"),0)</f>
        <v>0</v>
      </c>
      <c r="V25" s="216">
        <f t="shared" ca="1" si="33"/>
        <v>0</v>
      </c>
      <c r="W25" s="216">
        <f ca="1">IFERROR(__xludf.DUMMYFUNCTION("IMPORTRANGE(""https://docs.google.com/spreadsheets/d/1dQrvX0vEcN7Gu0fnZ0B5S90AeR19zth4XlExFBeExMY/edit?usp=sharing"",""แม่ฮ่องสอน!J632"")"),0)</f>
        <v>0</v>
      </c>
      <c r="X25" s="216">
        <f t="shared" ca="1" si="34"/>
        <v>0</v>
      </c>
      <c r="Y25" s="216">
        <f ca="1">IFERROR(__xludf.DUMMYFUNCTION("IMPORTRANGE(""https://docs.google.com/spreadsheets/d/1dQrvX0vEcN7Gu0fnZ0B5S90AeR19zth4XlExFBeExMY/edit?usp=sharing"",""แม่ฮ่องสอน!J633"")"),0)</f>
        <v>0</v>
      </c>
      <c r="Z25" s="216">
        <f ca="1">IFERROR(__xludf.DUMMYFUNCTION("IMPORTRANGE(""https://docs.google.com/spreadsheets/d/1dQrvX0vEcN7Gu0fnZ0B5S90AeR19zth4XlExFBeExMY/edit?usp=sharing"",""แม่ฮ่องสอน!J634"")"),0)</f>
        <v>0</v>
      </c>
      <c r="AA25" s="152">
        <f ca="1">IFERROR(__xludf.DUMMYFUNCTION("IMPORTRANGE(""https://docs.google.com/spreadsheets/d/1dQrvX0vEcN7Gu0fnZ0B5S90AeR19zth4XlExFBeExMY/edit?usp=sharing"",""แม่ฮ่องสอน!I635"")"),0)</f>
        <v>0</v>
      </c>
      <c r="AB25" s="152">
        <f ca="1">IFERROR(__xludf.DUMMYFUNCTION("IMPORTRANGE(""https://docs.google.com/spreadsheets/d/1dQrvX0vEcN7Gu0fnZ0B5S90AeR19zth4XlExFBeExMY/edit?usp=sharing"",""แม่ฮ่องสอน!J635"")"),0)</f>
        <v>0</v>
      </c>
      <c r="AC25" s="216">
        <f t="shared" ca="1" si="36"/>
        <v>0</v>
      </c>
      <c r="AD25" s="152">
        <f ca="1">IFERROR(__xludf.DUMMYFUNCTION("IMPORTRANGE(""https://docs.google.com/spreadsheets/d/1dQrvX0vEcN7Gu0fnZ0B5S90AeR19zth4XlExFBeExMY/edit?usp=sharing"",""แม่ฮ่องสอน!J636"")"),0)</f>
        <v>0</v>
      </c>
      <c r="AE25" s="152">
        <f ca="1">IFERROR(__xludf.DUMMYFUNCTION("IMPORTRANGE(""https://docs.google.com/spreadsheets/d/1dQrvX0vEcN7Gu0fnZ0B5S90AeR19zth4XlExFBeExMY/edit?usp=sharing"",""แม่ฮ่องสอน!J637"")"),0)</f>
        <v>0</v>
      </c>
      <c r="AF25" s="152">
        <f ca="1">IFERROR(__xludf.DUMMYFUNCTION("IMPORTRANGE(""https://docs.google.com/spreadsheets/d/1dQrvX0vEcN7Gu0fnZ0B5S90AeR19zth4XlExFBeExMY/edit?usp=sharing"",""แม่ฮ่องสอน!J638"")"),0)</f>
        <v>0</v>
      </c>
      <c r="AG25" s="152">
        <f ca="1">IFERROR(__xludf.DUMMYFUNCTION("IMPORTRANGE(""https://docs.google.com/spreadsheets/d/1dQrvX0vEcN7Gu0fnZ0B5S90AeR19zth4XlExFBeExMY/edit?usp=sharing"",""แม่ฮ่องสอน!J639"")"),0)</f>
        <v>0</v>
      </c>
      <c r="AH25" s="152">
        <f ca="1">IFERROR(__xludf.DUMMYFUNCTION("IMPORTRANGE(""https://docs.google.com/spreadsheets/d/1dQrvX0vEcN7Gu0fnZ0B5S90AeR19zth4XlExFBeExMY/edit?usp=sharing"",""แม่ฮ่องสอน!J640"")"),0)</f>
        <v>0</v>
      </c>
    </row>
    <row r="26" spans="1:34" ht="19.5" x14ac:dyDescent="0.3">
      <c r="A26" s="70">
        <v>13</v>
      </c>
      <c r="B26" s="71" t="s">
        <v>54</v>
      </c>
      <c r="C26" s="68">
        <f ca="1">IFERROR(__xludf.DUMMYFUNCTION("IMPORTRANGE(""https://docs.google.com/spreadsheets/d/1DY4XTNNwjluuxqdfdn6qvOSlMRrZqUtmYcZR0ttFiG4/edit?usp=sharing"",""ลำปาง!Q616"")"),6825)</f>
        <v>6825</v>
      </c>
      <c r="D26" s="68">
        <f ca="1">IFERROR(__xludf.DUMMYFUNCTION("IMPORTRANGE(""https://docs.google.com/spreadsheets/d/1DY4XTNNwjluuxqdfdn6qvOSlMRrZqUtmYcZR0ttFiG4/edit?usp=sharing"",""ลำปาง!R616"")"),6825)</f>
        <v>6825</v>
      </c>
      <c r="E26" s="68">
        <f ca="1">IFERROR(__xludf.DUMMYFUNCTION("IMPORTRANGE(""https://docs.google.com/spreadsheets/d/1DY4XTNNwjluuxqdfdn6qvOSlMRrZqUtmYcZR0ttFiG4/edit?usp=sharing"",""ลำปาง!S616"")"),1000)</f>
        <v>1000</v>
      </c>
      <c r="F26" s="68">
        <f t="shared" ca="1" si="24"/>
        <v>14.652014652014651</v>
      </c>
      <c r="G26" s="68">
        <f t="shared" ca="1" si="25"/>
        <v>14.652014652014651</v>
      </c>
      <c r="H26" s="278">
        <f ca="1">IFERROR(__xludf.DUMMYFUNCTION("IMPORTRANGE(""https://docs.google.com/spreadsheets/d/1DY4XTNNwjluuxqdfdn6qvOSlMRrZqUtmYcZR0ttFiG4/edit?usp=sharing"",""ลำปาง!I626"")"),50)</f>
        <v>50</v>
      </c>
      <c r="I26" s="152">
        <f ca="1">IFERROR(__xludf.DUMMYFUNCTION("IMPORTRANGE(""https://docs.google.com/spreadsheets/d/1DY4XTNNwjluuxqdfdn6qvOSlMRrZqUtmYcZR0ttFiG4/edit?usp=sharing"",""ลำปาง!J626"")"),0)</f>
        <v>0</v>
      </c>
      <c r="J26" s="216">
        <f t="shared" ca="1" si="27"/>
        <v>0</v>
      </c>
      <c r="K26" s="152">
        <f ca="1">IFERROR(__xludf.DUMMYFUNCTION("IMPORTRANGE(""https://docs.google.com/spreadsheets/d/1DY4XTNNwjluuxqdfdn6qvOSlMRrZqUtmYcZR0ttFiG4/edit?usp=sharing"",""ลำปาง!I627"")"),0)</f>
        <v>0</v>
      </c>
      <c r="L26" s="152">
        <f ca="1">IFERROR(__xludf.DUMMYFUNCTION("IMPORTRANGE(""https://docs.google.com/spreadsheets/d/1DY4XTNNwjluuxqdfdn6qvOSlMRrZqUtmYcZR0ttFiG4/edit?usp=sharing"",""ลำปาง!J627"")"),0)</f>
        <v>0</v>
      </c>
      <c r="M26" s="216">
        <f t="shared" ca="1" si="29"/>
        <v>0</v>
      </c>
      <c r="N26" s="152">
        <f ca="1">IFERROR(__xludf.DUMMYFUNCTION("IMPORTRANGE(""https://docs.google.com/spreadsheets/d/1DY4XTNNwjluuxqdfdn6qvOSlMRrZqUtmYcZR0ttFiG4/edit?usp=sharing"",""ลำปาง!I628"")"),0)</f>
        <v>0</v>
      </c>
      <c r="O26" s="152">
        <f ca="1">IFERROR(__xludf.DUMMYFUNCTION("IMPORTRANGE(""https://docs.google.com/spreadsheets/d/1DY4XTNNwjluuxqdfdn6qvOSlMRrZqUtmYcZR0ttFiG4/edit?usp=sharing"",""ลำปาง!J628"")"),0)</f>
        <v>0</v>
      </c>
      <c r="P26" s="216">
        <f t="shared" ca="1" si="31"/>
        <v>0</v>
      </c>
      <c r="Q26" s="152">
        <f ca="1">IFERROR(__xludf.DUMMYFUNCTION("IMPORTRANGE(""https://docs.google.com/spreadsheets/d/1DY4XTNNwjluuxqdfdn6qvOSlMRrZqUtmYcZR0ttFiG4/edit?usp=sharing"",""ลำปาง!J629"")"),0)</f>
        <v>0</v>
      </c>
      <c r="R26" s="216">
        <f t="shared" ca="1" si="38"/>
        <v>0</v>
      </c>
      <c r="S26" s="152">
        <f ca="1">IFERROR(__xludf.DUMMYFUNCTION("IMPORTRANGE(""https://docs.google.com/spreadsheets/d/1DY4XTNNwjluuxqdfdn6qvOSlMRrZqUtmYcZR0ttFiG4/edit?usp=sharing"",""ลำปาง!J630"")"),0)</f>
        <v>0</v>
      </c>
      <c r="T26" s="216">
        <f t="shared" ca="1" si="32"/>
        <v>0</v>
      </c>
      <c r="U26" s="216">
        <f ca="1">IFERROR(__xludf.DUMMYFUNCTION("IMPORTRANGE(""https://docs.google.com/spreadsheets/d/1DY4XTNNwjluuxqdfdn6qvOSlMRrZqUtmYcZR0ttFiG4/edit?usp=sharing"",""ลำปาง!J631"")"),0)</f>
        <v>0</v>
      </c>
      <c r="V26" s="216">
        <f t="shared" ca="1" si="33"/>
        <v>0</v>
      </c>
      <c r="W26" s="216">
        <f ca="1">IFERROR(__xludf.DUMMYFUNCTION("IMPORTRANGE(""https://docs.google.com/spreadsheets/d/1DY4XTNNwjluuxqdfdn6qvOSlMRrZqUtmYcZR0ttFiG4/edit?usp=sharing"",""ลำปาง!J632"")"),0)</f>
        <v>0</v>
      </c>
      <c r="X26" s="216">
        <f t="shared" ca="1" si="34"/>
        <v>0</v>
      </c>
      <c r="Y26" s="216">
        <f ca="1">IFERROR(__xludf.DUMMYFUNCTION("IMPORTRANGE(""https://docs.google.com/spreadsheets/d/1DY4XTNNwjluuxqdfdn6qvOSlMRrZqUtmYcZR0ttFiG4/edit?usp=sharing"",""ลำปาง!J633"")"),0)</f>
        <v>0</v>
      </c>
      <c r="Z26" s="216">
        <f ca="1">IFERROR(__xludf.DUMMYFUNCTION("IMPORTRANGE(""https://docs.google.com/spreadsheets/d/1DY4XTNNwjluuxqdfdn6qvOSlMRrZqUtmYcZR0ttFiG4/edit?usp=sharing"",""ลำปาง!J634"")"),0)</f>
        <v>0</v>
      </c>
      <c r="AA26" s="152">
        <f ca="1">IFERROR(__xludf.DUMMYFUNCTION("IMPORTRANGE(""https://docs.google.com/spreadsheets/d/1DY4XTNNwjluuxqdfdn6qvOSlMRrZqUtmYcZR0ttFiG4/edit?usp=sharing"",""ลำปาง!I635"")"),0)</f>
        <v>0</v>
      </c>
      <c r="AB26" s="152">
        <f ca="1">IFERROR(__xludf.DUMMYFUNCTION("IMPORTRANGE(""https://docs.google.com/spreadsheets/d/1DY4XTNNwjluuxqdfdn6qvOSlMRrZqUtmYcZR0ttFiG4/edit?usp=sharing"",""ลำปาง!J635"")"),0)</f>
        <v>0</v>
      </c>
      <c r="AC26" s="216">
        <f t="shared" ca="1" si="36"/>
        <v>0</v>
      </c>
      <c r="AD26" s="152">
        <f ca="1">IFERROR(__xludf.DUMMYFUNCTION("IMPORTRANGE(""https://docs.google.com/spreadsheets/d/1DY4XTNNwjluuxqdfdn6qvOSlMRrZqUtmYcZR0ttFiG4/edit?usp=sharing"",""ลำปาง!J636"")"),0)</f>
        <v>0</v>
      </c>
      <c r="AE26" s="152">
        <f ca="1">IFERROR(__xludf.DUMMYFUNCTION("IMPORTRANGE(""https://docs.google.com/spreadsheets/d/1DY4XTNNwjluuxqdfdn6qvOSlMRrZqUtmYcZR0ttFiG4/edit?usp=sharing"",""ลำปาง!J637"")"),0)</f>
        <v>0</v>
      </c>
      <c r="AF26" s="152">
        <f ca="1">IFERROR(__xludf.DUMMYFUNCTION("IMPORTRANGE(""https://docs.google.com/spreadsheets/d/1DY4XTNNwjluuxqdfdn6qvOSlMRrZqUtmYcZR0ttFiG4/edit?usp=sharing"",""ลำปาง!J638"")"),0)</f>
        <v>0</v>
      </c>
      <c r="AG26" s="152">
        <f ca="1">IFERROR(__xludf.DUMMYFUNCTION("IMPORTRANGE(""https://docs.google.com/spreadsheets/d/1DY4XTNNwjluuxqdfdn6qvOSlMRrZqUtmYcZR0ttFiG4/edit?usp=sharing"",""ลำปาง!J639"")"),0)</f>
        <v>0</v>
      </c>
      <c r="AH26" s="152">
        <f ca="1">IFERROR(__xludf.DUMMYFUNCTION("IMPORTRANGE(""https://docs.google.com/spreadsheets/d/1DY4XTNNwjluuxqdfdn6qvOSlMRrZqUtmYcZR0ttFiG4/edit?usp=sharing"",""ลำปาง!J640"")"),0)</f>
        <v>0</v>
      </c>
    </row>
    <row r="27" spans="1:34" ht="19.5" x14ac:dyDescent="0.3">
      <c r="A27" s="70">
        <v>14</v>
      </c>
      <c r="B27" s="71" t="s">
        <v>55</v>
      </c>
      <c r="C27" s="68">
        <f ca="1">IFERROR(__xludf.DUMMYFUNCTION("IMPORTRANGE(""https://docs.google.com/spreadsheets/d/1ICwG78r0OFT8biBlxnBF8r7she7gNSzOvJ958PWT09c/edit?usp=sharing"",""ลำพูน!Q616"")"),6700)</f>
        <v>6700</v>
      </c>
      <c r="D27" s="68">
        <f ca="1">IFERROR(__xludf.DUMMYFUNCTION("IMPORTRANGE(""https://docs.google.com/spreadsheets/d/1ICwG78r0OFT8biBlxnBF8r7she7gNSzOvJ958PWT09c/edit?usp=sharing"",""ลำพูน!R616"")"),6700)</f>
        <v>6700</v>
      </c>
      <c r="E27" s="68">
        <f ca="1">IFERROR(__xludf.DUMMYFUNCTION("IMPORTRANGE(""https://docs.google.com/spreadsheets/d/1ICwG78r0OFT8biBlxnBF8r7she7gNSzOvJ958PWT09c/edit?usp=sharing"",""ลำพูน!S616"")"),0)</f>
        <v>0</v>
      </c>
      <c r="F27" s="68">
        <f t="shared" ca="1" si="24"/>
        <v>0</v>
      </c>
      <c r="G27" s="68">
        <f t="shared" ca="1" si="25"/>
        <v>0</v>
      </c>
      <c r="H27" s="278">
        <f ca="1">IFERROR(__xludf.DUMMYFUNCTION("IMPORTRANGE(""https://docs.google.com/spreadsheets/d/1ICwG78r0OFT8biBlxnBF8r7she7gNSzOvJ958PWT09c/edit?usp=sharing"",""ลำพูน!I626"")"),50)</f>
        <v>50</v>
      </c>
      <c r="I27" s="152">
        <f ca="1">IFERROR(__xludf.DUMMYFUNCTION("IMPORTRANGE(""https://docs.google.com/spreadsheets/d/1ICwG78r0OFT8biBlxnBF8r7she7gNSzOvJ958PWT09c/edit?usp=sharing"",""ลำพูน!J626"")"),0)</f>
        <v>0</v>
      </c>
      <c r="J27" s="216">
        <f t="shared" ca="1" si="27"/>
        <v>0</v>
      </c>
      <c r="K27" s="152">
        <f ca="1">IFERROR(__xludf.DUMMYFUNCTION("IMPORTRANGE(""https://docs.google.com/spreadsheets/d/1ICwG78r0OFT8biBlxnBF8r7she7gNSzOvJ958PWT09c/edit?usp=sharing"",""ลำพูน!I627"")"),0)</f>
        <v>0</v>
      </c>
      <c r="L27" s="152">
        <f ca="1">IFERROR(__xludf.DUMMYFUNCTION("IMPORTRANGE(""https://docs.google.com/spreadsheets/d/1ICwG78r0OFT8biBlxnBF8r7she7gNSzOvJ958PWT09c/edit?usp=sharing"",""ลำพูน!J627"")"),0)</f>
        <v>0</v>
      </c>
      <c r="M27" s="216">
        <f t="shared" ca="1" si="29"/>
        <v>0</v>
      </c>
      <c r="N27" s="152">
        <f ca="1">IFERROR(__xludf.DUMMYFUNCTION("IMPORTRANGE(""https://docs.google.com/spreadsheets/d/1ICwG78r0OFT8biBlxnBF8r7she7gNSzOvJ958PWT09c/edit?usp=sharing"",""ลำพูน!I628"")"),0)</f>
        <v>0</v>
      </c>
      <c r="O27" s="152">
        <f ca="1">IFERROR(__xludf.DUMMYFUNCTION("IMPORTRANGE(""https://docs.google.com/spreadsheets/d/1ICwG78r0OFT8biBlxnBF8r7she7gNSzOvJ958PWT09c/edit?usp=sharing"",""ลำพูน!J628"")"),0)</f>
        <v>0</v>
      </c>
      <c r="P27" s="216">
        <f t="shared" ca="1" si="31"/>
        <v>0</v>
      </c>
      <c r="Q27" s="152">
        <f ca="1">IFERROR(__xludf.DUMMYFUNCTION("IMPORTRANGE(""https://docs.google.com/spreadsheets/d/1ICwG78r0OFT8biBlxnBF8r7she7gNSzOvJ958PWT09c/edit?usp=sharing"",""ลำพูน!J629"")"),464.5)</f>
        <v>464.5</v>
      </c>
      <c r="R27" s="216">
        <f t="shared" ca="1" si="38"/>
        <v>929</v>
      </c>
      <c r="S27" s="152">
        <f ca="1">IFERROR(__xludf.DUMMYFUNCTION("IMPORTRANGE(""https://docs.google.com/spreadsheets/d/1ICwG78r0OFT8biBlxnBF8r7she7gNSzOvJ958PWT09c/edit?usp=sharing"",""ลำพูน!J630"")"),0)</f>
        <v>0</v>
      </c>
      <c r="T27" s="216">
        <f t="shared" ca="1" si="32"/>
        <v>0</v>
      </c>
      <c r="U27" s="216">
        <f ca="1">IFERROR(__xludf.DUMMYFUNCTION("IMPORTRANGE(""https://docs.google.com/spreadsheets/d/1ICwG78r0OFT8biBlxnBF8r7she7gNSzOvJ958PWT09c/edit?usp=sharing"",""ลำพูน!J631"")"),0)</f>
        <v>0</v>
      </c>
      <c r="V27" s="216">
        <f t="shared" ca="1" si="33"/>
        <v>0</v>
      </c>
      <c r="W27" s="216">
        <f ca="1">IFERROR(__xludf.DUMMYFUNCTION("IMPORTRANGE(""https://docs.google.com/spreadsheets/d/1ICwG78r0OFT8biBlxnBF8r7she7gNSzOvJ958PWT09c/edit?usp=sharing"",""ลำพูน!J632"")"),0)</f>
        <v>0</v>
      </c>
      <c r="X27" s="216">
        <f t="shared" ca="1" si="34"/>
        <v>0</v>
      </c>
      <c r="Y27" s="216">
        <f ca="1">IFERROR(__xludf.DUMMYFUNCTION("IMPORTRANGE(""https://docs.google.com/spreadsheets/d/1ICwG78r0OFT8biBlxnBF8r7she7gNSzOvJ958PWT09c/edit?usp=sharing"",""ลำพูน!J633"")"),0)</f>
        <v>0</v>
      </c>
      <c r="Z27" s="216">
        <f ca="1">IFERROR(__xludf.DUMMYFUNCTION("IMPORTRANGE(""https://docs.google.com/spreadsheets/d/1ICwG78r0OFT8biBlxnBF8r7she7gNSzOvJ958PWT09c/edit?usp=sharing"",""ลำพูน!J634"")"),0)</f>
        <v>0</v>
      </c>
      <c r="AA27" s="152">
        <f ca="1">IFERROR(__xludf.DUMMYFUNCTION("IMPORTRANGE(""https://docs.google.com/spreadsheets/d/1ICwG78r0OFT8biBlxnBF8r7she7gNSzOvJ958PWT09c/edit?usp=sharing"",""ลำพูน!I635"")"),0)</f>
        <v>0</v>
      </c>
      <c r="AB27" s="152">
        <f ca="1">IFERROR(__xludf.DUMMYFUNCTION("IMPORTRANGE(""https://docs.google.com/spreadsheets/d/1ICwG78r0OFT8biBlxnBF8r7she7gNSzOvJ958PWT09c/edit?usp=sharing"",""ลำพูน!J635"")"),0)</f>
        <v>0</v>
      </c>
      <c r="AC27" s="216">
        <f t="shared" ca="1" si="36"/>
        <v>0</v>
      </c>
      <c r="AD27" s="152">
        <f ca="1">IFERROR(__xludf.DUMMYFUNCTION("IMPORTRANGE(""https://docs.google.com/spreadsheets/d/1ICwG78r0OFT8biBlxnBF8r7she7gNSzOvJ958PWT09c/edit?usp=sharing"",""ลำพูน!J636"")"),0)</f>
        <v>0</v>
      </c>
      <c r="AE27" s="152">
        <f ca="1">IFERROR(__xludf.DUMMYFUNCTION("IMPORTRANGE(""https://docs.google.com/spreadsheets/d/1ICwG78r0OFT8biBlxnBF8r7she7gNSzOvJ958PWT09c/edit?usp=sharing"",""ลำพูน!J637"")"),0)</f>
        <v>0</v>
      </c>
      <c r="AF27" s="152">
        <f ca="1">IFERROR(__xludf.DUMMYFUNCTION("IMPORTRANGE(""https://docs.google.com/spreadsheets/d/1ICwG78r0OFT8biBlxnBF8r7she7gNSzOvJ958PWT09c/edit?usp=sharing"",""ลำพูน!J638"")"),0)</f>
        <v>0</v>
      </c>
      <c r="AG27" s="152">
        <f ca="1">IFERROR(__xludf.DUMMYFUNCTION("IMPORTRANGE(""https://docs.google.com/spreadsheets/d/1ICwG78r0OFT8biBlxnBF8r7she7gNSzOvJ958PWT09c/edit?usp=sharing"",""ลำพูน!J639"")"),0)</f>
        <v>0</v>
      </c>
      <c r="AH27" s="152">
        <f ca="1">IFERROR(__xludf.DUMMYFUNCTION("IMPORTRANGE(""https://docs.google.com/spreadsheets/d/1ICwG78r0OFT8biBlxnBF8r7she7gNSzOvJ958PWT09c/edit?usp=sharing"",""ลำพูน!J640"")"),0)</f>
        <v>0</v>
      </c>
    </row>
    <row r="28" spans="1:34" ht="19.5" x14ac:dyDescent="0.3">
      <c r="A28" s="70">
        <v>15</v>
      </c>
      <c r="B28" s="71" t="s">
        <v>56</v>
      </c>
      <c r="C28" s="68">
        <f ca="1">IFERROR(__xludf.DUMMYFUNCTION("IMPORTRANGE(""https://docs.google.com/spreadsheets/d/1B0f2xJpZUC6Z0xXnqKlZtEPzsf6L84eP1r1Q15seqRM/edit?usp=sharing"",""สุโขทัย!Q616"")"),11725)</f>
        <v>11725</v>
      </c>
      <c r="D28" s="68">
        <f ca="1">IFERROR(__xludf.DUMMYFUNCTION("IMPORTRANGE(""https://docs.google.com/spreadsheets/d/1B0f2xJpZUC6Z0xXnqKlZtEPzsf6L84eP1r1Q15seqRM/edit?usp=sharing"",""สุโขทัย!R616"")"),11725)</f>
        <v>11725</v>
      </c>
      <c r="E28" s="68">
        <f ca="1">IFERROR(__xludf.DUMMYFUNCTION("IMPORTRANGE(""https://docs.google.com/spreadsheets/d/1B0f2xJpZUC6Z0xXnqKlZtEPzsf6L84eP1r1Q15seqRM/edit?usp=sharing"",""สุโขทัย!S616"")"),0)</f>
        <v>0</v>
      </c>
      <c r="F28" s="68">
        <f t="shared" ca="1" si="24"/>
        <v>0</v>
      </c>
      <c r="G28" s="68">
        <f t="shared" ca="1" si="25"/>
        <v>0</v>
      </c>
      <c r="H28" s="278">
        <f ca="1">IFERROR(__xludf.DUMMYFUNCTION("IMPORTRANGE(""https://docs.google.com/spreadsheets/d/1B0f2xJpZUC6Z0xXnqKlZtEPzsf6L84eP1r1Q15seqRM/edit?usp=sharing"",""สุโขทัย!I626"")"),100)</f>
        <v>100</v>
      </c>
      <c r="I28" s="152">
        <f ca="1">IFERROR(__xludf.DUMMYFUNCTION("IMPORTRANGE(""https://docs.google.com/spreadsheets/d/1B0f2xJpZUC6Z0xXnqKlZtEPzsf6L84eP1r1Q15seqRM/edit?usp=sharing"",""สุโขทัย!J626"")"),0)</f>
        <v>0</v>
      </c>
      <c r="J28" s="216">
        <f t="shared" ca="1" si="27"/>
        <v>0</v>
      </c>
      <c r="K28" s="152">
        <f ca="1">IFERROR(__xludf.DUMMYFUNCTION("IMPORTRANGE(""https://docs.google.com/spreadsheets/d/1B0f2xJpZUC6Z0xXnqKlZtEPzsf6L84eP1r1Q15seqRM/edit?usp=sharing"",""สุโขทัย!I627"")"),0)</f>
        <v>0</v>
      </c>
      <c r="L28" s="152">
        <f ca="1">IFERROR(__xludf.DUMMYFUNCTION("IMPORTRANGE(""https://docs.google.com/spreadsheets/d/1B0f2xJpZUC6Z0xXnqKlZtEPzsf6L84eP1r1Q15seqRM/edit?usp=sharing"",""สุโขทัย!J627"")"),0)</f>
        <v>0</v>
      </c>
      <c r="M28" s="216">
        <f t="shared" ca="1" si="29"/>
        <v>0</v>
      </c>
      <c r="N28" s="152">
        <f ca="1">IFERROR(__xludf.DUMMYFUNCTION("IMPORTRANGE(""https://docs.google.com/spreadsheets/d/1B0f2xJpZUC6Z0xXnqKlZtEPzsf6L84eP1r1Q15seqRM/edit?usp=sharing"",""สุโขทัย!I628"")"),0)</f>
        <v>0</v>
      </c>
      <c r="O28" s="152">
        <f ca="1">IFERROR(__xludf.DUMMYFUNCTION("IMPORTRANGE(""https://docs.google.com/spreadsheets/d/1B0f2xJpZUC6Z0xXnqKlZtEPzsf6L84eP1r1Q15seqRM/edit?usp=sharing"",""สุโขทัย!J628"")"),0)</f>
        <v>0</v>
      </c>
      <c r="P28" s="216">
        <f t="shared" ca="1" si="31"/>
        <v>0</v>
      </c>
      <c r="Q28" s="152">
        <f ca="1">IFERROR(__xludf.DUMMYFUNCTION("IMPORTRANGE(""https://docs.google.com/spreadsheets/d/1B0f2xJpZUC6Z0xXnqKlZtEPzsf6L84eP1r1Q15seqRM/edit?usp=sharing"",""สุโขทัย!J629"")"),0)</f>
        <v>0</v>
      </c>
      <c r="R28" s="216">
        <f t="shared" ca="1" si="38"/>
        <v>0</v>
      </c>
      <c r="S28" s="152">
        <f ca="1">IFERROR(__xludf.DUMMYFUNCTION("IMPORTRANGE(""https://docs.google.com/spreadsheets/d/1B0f2xJpZUC6Z0xXnqKlZtEPzsf6L84eP1r1Q15seqRM/edit?usp=sharing"",""สุโขทัย!J630"")"),0)</f>
        <v>0</v>
      </c>
      <c r="T28" s="216">
        <f t="shared" ca="1" si="32"/>
        <v>0</v>
      </c>
      <c r="U28" s="216">
        <f ca="1">IFERROR(__xludf.DUMMYFUNCTION("IMPORTRANGE(""https://docs.google.com/spreadsheets/d/1B0f2xJpZUC6Z0xXnqKlZtEPzsf6L84eP1r1Q15seqRM/edit?usp=sharing"",""สุโขทัย!J631"")"),0)</f>
        <v>0</v>
      </c>
      <c r="V28" s="216">
        <f t="shared" ca="1" si="33"/>
        <v>0</v>
      </c>
      <c r="W28" s="216">
        <f ca="1">IFERROR(__xludf.DUMMYFUNCTION("IMPORTRANGE(""https://docs.google.com/spreadsheets/d/1B0f2xJpZUC6Z0xXnqKlZtEPzsf6L84eP1r1Q15seqRM/edit?usp=sharing"",""สุโขทัย!J632"")"),0)</f>
        <v>0</v>
      </c>
      <c r="X28" s="216">
        <f t="shared" ca="1" si="34"/>
        <v>0</v>
      </c>
      <c r="Y28" s="216">
        <f ca="1">IFERROR(__xludf.DUMMYFUNCTION("IMPORTRANGE(""https://docs.google.com/spreadsheets/d/1B0f2xJpZUC6Z0xXnqKlZtEPzsf6L84eP1r1Q15seqRM/edit?usp=sharing"",""สุโขทัย!J633"")"),0)</f>
        <v>0</v>
      </c>
      <c r="Z28" s="216">
        <f ca="1">IFERROR(__xludf.DUMMYFUNCTION("IMPORTRANGE(""https://docs.google.com/spreadsheets/d/1B0f2xJpZUC6Z0xXnqKlZtEPzsf6L84eP1r1Q15seqRM/edit?usp=sharing"",""สุโขทัย!J634"")"),0)</f>
        <v>0</v>
      </c>
      <c r="AA28" s="152">
        <f ca="1">IFERROR(__xludf.DUMMYFUNCTION("IMPORTRANGE(""https://docs.google.com/spreadsheets/d/1B0f2xJpZUC6Z0xXnqKlZtEPzsf6L84eP1r1Q15seqRM/edit?usp=sharing"",""สุโขทัย!I635"")"),0)</f>
        <v>0</v>
      </c>
      <c r="AB28" s="152">
        <f ca="1">IFERROR(__xludf.DUMMYFUNCTION("IMPORTRANGE(""https://docs.google.com/spreadsheets/d/1B0f2xJpZUC6Z0xXnqKlZtEPzsf6L84eP1r1Q15seqRM/edit?usp=sharing"",""สุโขทัย!J635"")"),0)</f>
        <v>0</v>
      </c>
      <c r="AC28" s="216">
        <f t="shared" ca="1" si="36"/>
        <v>0</v>
      </c>
      <c r="AD28" s="152">
        <f ca="1">IFERROR(__xludf.DUMMYFUNCTION("IMPORTRANGE(""https://docs.google.com/spreadsheets/d/1B0f2xJpZUC6Z0xXnqKlZtEPzsf6L84eP1r1Q15seqRM/edit?usp=sharing"",""สุโขทัย!J636"")"),0)</f>
        <v>0</v>
      </c>
      <c r="AE28" s="152">
        <f ca="1">IFERROR(__xludf.DUMMYFUNCTION("IMPORTRANGE(""https://docs.google.com/spreadsheets/d/1B0f2xJpZUC6Z0xXnqKlZtEPzsf6L84eP1r1Q15seqRM/edit?usp=sharing"",""สุโขทัย!J637"")"),0)</f>
        <v>0</v>
      </c>
      <c r="AF28" s="152">
        <f ca="1">IFERROR(__xludf.DUMMYFUNCTION("IMPORTRANGE(""https://docs.google.com/spreadsheets/d/1B0f2xJpZUC6Z0xXnqKlZtEPzsf6L84eP1r1Q15seqRM/edit?usp=sharing"",""สุโขทัย!J638"")"),0)</f>
        <v>0</v>
      </c>
      <c r="AG28" s="152">
        <f ca="1">IFERROR(__xludf.DUMMYFUNCTION("IMPORTRANGE(""https://docs.google.com/spreadsheets/d/1B0f2xJpZUC6Z0xXnqKlZtEPzsf6L84eP1r1Q15seqRM/edit?usp=sharing"",""สุโขทัย!J639"")"),0)</f>
        <v>0</v>
      </c>
      <c r="AH28" s="152">
        <f ca="1">IFERROR(__xludf.DUMMYFUNCTION("IMPORTRANGE(""https://docs.google.com/spreadsheets/d/1B0f2xJpZUC6Z0xXnqKlZtEPzsf6L84eP1r1Q15seqRM/edit?usp=sharing"",""สุโขทัย!J640"")"),0)</f>
        <v>0</v>
      </c>
    </row>
    <row r="29" spans="1:34" ht="19.5" x14ac:dyDescent="0.3">
      <c r="A29" s="70">
        <v>16</v>
      </c>
      <c r="B29" s="71" t="s">
        <v>57</v>
      </c>
      <c r="C29" s="68">
        <f ca="1">IFERROR(__xludf.DUMMYFUNCTION("IMPORTRANGE(""https://docs.google.com/spreadsheets/d/1v0b9pFQCsKUVExMei7AgY2yQkdeNQvtOssygGsXbiKo/edit?usp=sharing"",""อุตรดิตถ์!Q616"")"),6725)</f>
        <v>6725</v>
      </c>
      <c r="D29" s="68">
        <f ca="1">IFERROR(__xludf.DUMMYFUNCTION("IMPORTRANGE(""https://docs.google.com/spreadsheets/d/1v0b9pFQCsKUVExMei7AgY2yQkdeNQvtOssygGsXbiKo/edit?usp=sharing"",""อุตรดิตถ์!R616"")"),6725)</f>
        <v>6725</v>
      </c>
      <c r="E29" s="68">
        <f ca="1">IFERROR(__xludf.DUMMYFUNCTION("IMPORTRANGE(""https://docs.google.com/spreadsheets/d/1v0b9pFQCsKUVExMei7AgY2yQkdeNQvtOssygGsXbiKo/edit?usp=sharing"",""อุตรดิตถ์!S616"")"),1210)</f>
        <v>1210</v>
      </c>
      <c r="F29" s="68">
        <f t="shared" ca="1" si="24"/>
        <v>17.992565055762082</v>
      </c>
      <c r="G29" s="68">
        <f t="shared" ca="1" si="25"/>
        <v>17.992565055762082</v>
      </c>
      <c r="H29" s="278">
        <f ca="1">IFERROR(__xludf.DUMMYFUNCTION("IMPORTRANGE(""https://docs.google.com/spreadsheets/d/1v0b9pFQCsKUVExMei7AgY2yQkdeNQvtOssygGsXbiKo/edit?usp=sharing"",""อุตรดิตถ์!I626"")"),50)</f>
        <v>50</v>
      </c>
      <c r="I29" s="152">
        <f ca="1">IFERROR(__xludf.DUMMYFUNCTION("IMPORTRANGE(""https://docs.google.com/spreadsheets/d/1v0b9pFQCsKUVExMei7AgY2yQkdeNQvtOssygGsXbiKo/edit?usp=sharing"",""อุตรดิตถ์!J626"")"),0)</f>
        <v>0</v>
      </c>
      <c r="J29" s="216">
        <f t="shared" ca="1" si="27"/>
        <v>0</v>
      </c>
      <c r="K29" s="152">
        <f ca="1">IFERROR(__xludf.DUMMYFUNCTION("IMPORTRANGE(""https://docs.google.com/spreadsheets/d/1v0b9pFQCsKUVExMei7AgY2yQkdeNQvtOssygGsXbiKo/edit?usp=sharing"",""อุตรดิตถ์!I627"")"),0)</f>
        <v>0</v>
      </c>
      <c r="L29" s="152">
        <f ca="1">IFERROR(__xludf.DUMMYFUNCTION("IMPORTRANGE(""https://docs.google.com/spreadsheets/d/1v0b9pFQCsKUVExMei7AgY2yQkdeNQvtOssygGsXbiKo/edit?usp=sharing"",""อุตรดิตถ์!J627"")"),1)</f>
        <v>1</v>
      </c>
      <c r="M29" s="216">
        <f t="shared" ca="1" si="29"/>
        <v>0</v>
      </c>
      <c r="N29" s="152">
        <f ca="1">IFERROR(__xludf.DUMMYFUNCTION("IMPORTRANGE(""https://docs.google.com/spreadsheets/d/1v0b9pFQCsKUVExMei7AgY2yQkdeNQvtOssygGsXbiKo/edit?usp=sharing"",""อุตรดิตถ์!I628"")"),0)</f>
        <v>0</v>
      </c>
      <c r="O29" s="152">
        <f ca="1">IFERROR(__xludf.DUMMYFUNCTION("IMPORTRANGE(""https://docs.google.com/spreadsheets/d/1v0b9pFQCsKUVExMei7AgY2yQkdeNQvtOssygGsXbiKo/edit?usp=sharing"",""อุตรดิตถ์!J628"")"),9)</f>
        <v>9</v>
      </c>
      <c r="P29" s="216">
        <f t="shared" ca="1" si="31"/>
        <v>0</v>
      </c>
      <c r="Q29" s="152">
        <f ca="1">IFERROR(__xludf.DUMMYFUNCTION("IMPORTRANGE(""https://docs.google.com/spreadsheets/d/1v0b9pFQCsKUVExMei7AgY2yQkdeNQvtOssygGsXbiKo/edit?usp=sharing"",""อุตรดิตถ์!J629"")"),753)</f>
        <v>753</v>
      </c>
      <c r="R29" s="216">
        <f t="shared" ca="1" si="38"/>
        <v>1506</v>
      </c>
      <c r="S29" s="152">
        <f ca="1">IFERROR(__xludf.DUMMYFUNCTION("IMPORTRANGE(""https://docs.google.com/spreadsheets/d/1v0b9pFQCsKUVExMei7AgY2yQkdeNQvtOssygGsXbiKo/edit?usp=sharing"",""อุตรดิตถ์!J630"")"),0)</f>
        <v>0</v>
      </c>
      <c r="T29" s="216">
        <f t="shared" ca="1" si="32"/>
        <v>0</v>
      </c>
      <c r="U29" s="216">
        <f ca="1">IFERROR(__xludf.DUMMYFUNCTION("IMPORTRANGE(""https://docs.google.com/spreadsheets/d/1v0b9pFQCsKUVExMei7AgY2yQkdeNQvtOssygGsXbiKo/edit?usp=sharing"",""อุตรดิตถ์!J631"")"),0)</f>
        <v>0</v>
      </c>
      <c r="V29" s="216">
        <f t="shared" ca="1" si="33"/>
        <v>0</v>
      </c>
      <c r="W29" s="216">
        <f ca="1">IFERROR(__xludf.DUMMYFUNCTION("IMPORTRANGE(""https://docs.google.com/spreadsheets/d/1v0b9pFQCsKUVExMei7AgY2yQkdeNQvtOssygGsXbiKo/edit?usp=sharing"",""อุตรดิตถ์!J632"")"),0)</f>
        <v>0</v>
      </c>
      <c r="X29" s="216">
        <f t="shared" ca="1" si="34"/>
        <v>0</v>
      </c>
      <c r="Y29" s="216">
        <f ca="1">IFERROR(__xludf.DUMMYFUNCTION("IMPORTRANGE(""https://docs.google.com/spreadsheets/d/1v0b9pFQCsKUVExMei7AgY2yQkdeNQvtOssygGsXbiKo/edit?usp=sharing"",""อุตรดิตถ์!J633"")"),0)</f>
        <v>0</v>
      </c>
      <c r="Z29" s="216">
        <f ca="1">IFERROR(__xludf.DUMMYFUNCTION("IMPORTRANGE(""https://docs.google.com/spreadsheets/d/1v0b9pFQCsKUVExMei7AgY2yQkdeNQvtOssygGsXbiKo/edit?usp=sharing"",""อุตรดิตถ์!J634"")"),0)</f>
        <v>0</v>
      </c>
      <c r="AA29" s="152">
        <f ca="1">IFERROR(__xludf.DUMMYFUNCTION("IMPORTRANGE(""https://docs.google.com/spreadsheets/d/1v0b9pFQCsKUVExMei7AgY2yQkdeNQvtOssygGsXbiKo/edit?usp=sharing"",""อุตรดิตถ์!I635"")"),0)</f>
        <v>0</v>
      </c>
      <c r="AB29" s="152">
        <f ca="1">IFERROR(__xludf.DUMMYFUNCTION("IMPORTRANGE(""https://docs.google.com/spreadsheets/d/1v0b9pFQCsKUVExMei7AgY2yQkdeNQvtOssygGsXbiKo/edit?usp=sharing"",""อุตรดิตถ์!J635"")"),0)</f>
        <v>0</v>
      </c>
      <c r="AC29" s="216">
        <f t="shared" ca="1" si="36"/>
        <v>0</v>
      </c>
      <c r="AD29" s="152">
        <f ca="1">IFERROR(__xludf.DUMMYFUNCTION("IMPORTRANGE(""https://docs.google.com/spreadsheets/d/1v0b9pFQCsKUVExMei7AgY2yQkdeNQvtOssygGsXbiKo/edit?usp=sharing"",""อุตรดิตถ์!J636"")"),0)</f>
        <v>0</v>
      </c>
      <c r="AE29" s="152">
        <f ca="1">IFERROR(__xludf.DUMMYFUNCTION("IMPORTRANGE(""https://docs.google.com/spreadsheets/d/1v0b9pFQCsKUVExMei7AgY2yQkdeNQvtOssygGsXbiKo/edit?usp=sharing"",""อุตรดิตถ์!J637"")"),0)</f>
        <v>0</v>
      </c>
      <c r="AF29" s="152">
        <f ca="1">IFERROR(__xludf.DUMMYFUNCTION("IMPORTRANGE(""https://docs.google.com/spreadsheets/d/1v0b9pFQCsKUVExMei7AgY2yQkdeNQvtOssygGsXbiKo/edit?usp=sharing"",""อุตรดิตถ์!J638"")"),0)</f>
        <v>0</v>
      </c>
      <c r="AG29" s="152">
        <f ca="1">IFERROR(__xludf.DUMMYFUNCTION("IMPORTRANGE(""https://docs.google.com/spreadsheets/d/1v0b9pFQCsKUVExMei7AgY2yQkdeNQvtOssygGsXbiKo/edit?usp=sharing"",""อุตรดิตถ์!J639"")"),0)</f>
        <v>0</v>
      </c>
      <c r="AH29" s="152">
        <f ca="1">IFERROR(__xludf.DUMMYFUNCTION("IMPORTRANGE(""https://docs.google.com/spreadsheets/d/1v0b9pFQCsKUVExMei7AgY2yQkdeNQvtOssygGsXbiKo/edit?usp=sharing"",""อุตรดิตถ์!J640"")"),0)</f>
        <v>0</v>
      </c>
    </row>
    <row r="30" spans="1:34" ht="19.5" x14ac:dyDescent="0.3">
      <c r="A30" s="80">
        <v>17</v>
      </c>
      <c r="B30" s="81" t="s">
        <v>58</v>
      </c>
      <c r="C30" s="89">
        <f ca="1">IFERROR(__xludf.DUMMYFUNCTION("IMPORTRANGE(""https://docs.google.com/spreadsheets/d/1UsNK1e-WWiCo2PvGqdNfdme4m17_Ezd3J69EeeiQPD0/edit?usp=sharing"",""อุทัยธานี!Q616"")"),1200)</f>
        <v>1200</v>
      </c>
      <c r="D30" s="89">
        <f ca="1">IFERROR(__xludf.DUMMYFUNCTION("IMPORTRANGE(""https://docs.google.com/spreadsheets/d/1UsNK1e-WWiCo2PvGqdNfdme4m17_Ezd3J69EeeiQPD0/edit?usp=sharing"",""อุทัยธานี!R616"")"),1200)</f>
        <v>1200</v>
      </c>
      <c r="E30" s="89">
        <f ca="1">IFERROR(__xludf.DUMMYFUNCTION("IMPORTRANGE(""https://docs.google.com/spreadsheets/d/1UsNK1e-WWiCo2PvGqdNfdme4m17_Ezd3J69EeeiQPD0/edit?usp=sharing"",""อุทัยธานี!S616"")"),0)</f>
        <v>0</v>
      </c>
      <c r="F30" s="89">
        <f t="shared" ca="1" si="24"/>
        <v>0</v>
      </c>
      <c r="G30" s="89">
        <f t="shared" ca="1" si="25"/>
        <v>0</v>
      </c>
      <c r="H30" s="280">
        <f ca="1">IFERROR(__xludf.DUMMYFUNCTION("IMPORTRANGE(""https://docs.google.com/spreadsheets/d/1UsNK1e-WWiCo2PvGqdNfdme4m17_Ezd3J69EeeiQPD0/edit?usp=sharing"",""อุทัยธานี!I626"")"),0)</f>
        <v>0</v>
      </c>
      <c r="I30" s="191">
        <f ca="1">IFERROR(__xludf.DUMMYFUNCTION("IMPORTRANGE(""https://docs.google.com/spreadsheets/d/1UsNK1e-WWiCo2PvGqdNfdme4m17_Ezd3J69EeeiQPD0/edit?usp=sharing"",""อุทัยธานี!J626"")"),0)</f>
        <v>0</v>
      </c>
      <c r="J30" s="218">
        <f t="shared" ca="1" si="27"/>
        <v>0</v>
      </c>
      <c r="K30" s="191">
        <f ca="1">IFERROR(__xludf.DUMMYFUNCTION("IMPORTRANGE(""https://docs.google.com/spreadsheets/d/1UsNK1e-WWiCo2PvGqdNfdme4m17_Ezd3J69EeeiQPD0/edit?usp=sharing"",""อุทัยธานี!I627"")"),0)</f>
        <v>0</v>
      </c>
      <c r="L30" s="191">
        <f ca="1">IFERROR(__xludf.DUMMYFUNCTION("IMPORTRANGE(""https://docs.google.com/spreadsheets/d/1UsNK1e-WWiCo2PvGqdNfdme4m17_Ezd3J69EeeiQPD0/edit?usp=sharing"",""อุทัยธานี!J627"")"),0)</f>
        <v>0</v>
      </c>
      <c r="M30" s="218">
        <f t="shared" ca="1" si="29"/>
        <v>0</v>
      </c>
      <c r="N30" s="191">
        <f ca="1">IFERROR(__xludf.DUMMYFUNCTION("IMPORTRANGE(""https://docs.google.com/spreadsheets/d/1UsNK1e-WWiCo2PvGqdNfdme4m17_Ezd3J69EeeiQPD0/edit?usp=sharing"",""อุทัยธานี!I628"")"),0)</f>
        <v>0</v>
      </c>
      <c r="O30" s="191">
        <f ca="1">IFERROR(__xludf.DUMMYFUNCTION("IMPORTRANGE(""https://docs.google.com/spreadsheets/d/1UsNK1e-WWiCo2PvGqdNfdme4m17_Ezd3J69EeeiQPD0/edit?usp=sharing"",""อุทัยธานี!J628"")"),0)</f>
        <v>0</v>
      </c>
      <c r="P30" s="218">
        <f t="shared" ca="1" si="31"/>
        <v>0</v>
      </c>
      <c r="Q30" s="191">
        <f ca="1">IFERROR(__xludf.DUMMYFUNCTION("IMPORTRANGE(""https://docs.google.com/spreadsheets/d/1UsNK1e-WWiCo2PvGqdNfdme4m17_Ezd3J69EeeiQPD0/edit?usp=sharing"",""อุทัยธานี!J629"")"),0)</f>
        <v>0</v>
      </c>
      <c r="R30" s="218">
        <f t="shared" ca="1" si="38"/>
        <v>0</v>
      </c>
      <c r="S30" s="191">
        <f ca="1">IFERROR(__xludf.DUMMYFUNCTION("IMPORTRANGE(""https://docs.google.com/spreadsheets/d/1UsNK1e-WWiCo2PvGqdNfdme4m17_Ezd3J69EeeiQPD0/edit?usp=sharing"",""อุทัยธานี!J630"")"),0)</f>
        <v>0</v>
      </c>
      <c r="T30" s="218">
        <f t="shared" ca="1" si="32"/>
        <v>0</v>
      </c>
      <c r="U30" s="218">
        <f ca="1">IFERROR(__xludf.DUMMYFUNCTION("IMPORTRANGE(""https://docs.google.com/spreadsheets/d/1UsNK1e-WWiCo2PvGqdNfdme4m17_Ezd3J69EeeiQPD0/edit?usp=sharing"",""อุทัยธานี!J631"")"),0)</f>
        <v>0</v>
      </c>
      <c r="V30" s="218">
        <f t="shared" ca="1" si="33"/>
        <v>0</v>
      </c>
      <c r="W30" s="218">
        <f ca="1">IFERROR(__xludf.DUMMYFUNCTION("IMPORTRANGE(""https://docs.google.com/spreadsheets/d/1UsNK1e-WWiCo2PvGqdNfdme4m17_Ezd3J69EeeiQPD0/edit?usp=sharing"",""อุทัยธานี!J632"")"),0)</f>
        <v>0</v>
      </c>
      <c r="X30" s="218">
        <f t="shared" ca="1" si="34"/>
        <v>0</v>
      </c>
      <c r="Y30" s="218">
        <f ca="1">IFERROR(__xludf.DUMMYFUNCTION("IMPORTRANGE(""https://docs.google.com/spreadsheets/d/1UsNK1e-WWiCo2PvGqdNfdme4m17_Ezd3J69EeeiQPD0/edit?usp=sharing"",""อุทัยธานี!J633"")"),0)</f>
        <v>0</v>
      </c>
      <c r="Z30" s="218">
        <f ca="1">IFERROR(__xludf.DUMMYFUNCTION("IMPORTRANGE(""https://docs.google.com/spreadsheets/d/1UsNK1e-WWiCo2PvGqdNfdme4m17_Ezd3J69EeeiQPD0/edit?usp=sharing"",""อุทัยธานี!J634"")"),0)</f>
        <v>0</v>
      </c>
      <c r="AA30" s="191">
        <f ca="1">IFERROR(__xludf.DUMMYFUNCTION("IMPORTRANGE(""https://docs.google.com/spreadsheets/d/1UsNK1e-WWiCo2PvGqdNfdme4m17_Ezd3J69EeeiQPD0/edit?usp=sharing"",""อุทัยธานี!I635"")"),0)</f>
        <v>0</v>
      </c>
      <c r="AB30" s="191">
        <f ca="1">IFERROR(__xludf.DUMMYFUNCTION("IMPORTRANGE(""https://docs.google.com/spreadsheets/d/1UsNK1e-WWiCo2PvGqdNfdme4m17_Ezd3J69EeeiQPD0/edit?usp=sharing"",""อุทัยธานี!J635"")"),0)</f>
        <v>0</v>
      </c>
      <c r="AC30" s="218">
        <f t="shared" ca="1" si="36"/>
        <v>0</v>
      </c>
      <c r="AD30" s="191">
        <f ca="1">IFERROR(__xludf.DUMMYFUNCTION("IMPORTRANGE(""https://docs.google.com/spreadsheets/d/1UsNK1e-WWiCo2PvGqdNfdme4m17_Ezd3J69EeeiQPD0/edit?usp=sharing"",""อุทัยธานี!J636"")"),0)</f>
        <v>0</v>
      </c>
      <c r="AE30" s="191">
        <f ca="1">IFERROR(__xludf.DUMMYFUNCTION("IMPORTRANGE(""https://docs.google.com/spreadsheets/d/1UsNK1e-WWiCo2PvGqdNfdme4m17_Ezd3J69EeeiQPD0/edit?usp=sharing"",""อุทัยธานี!J637"")"),0)</f>
        <v>0</v>
      </c>
      <c r="AF30" s="191">
        <f ca="1">IFERROR(__xludf.DUMMYFUNCTION("IMPORTRANGE(""https://docs.google.com/spreadsheets/d/1UsNK1e-WWiCo2PvGqdNfdme4m17_Ezd3J69EeeiQPD0/edit?usp=sharing"",""อุทัยธานี!J638"")"),0)</f>
        <v>0</v>
      </c>
      <c r="AG30" s="191">
        <f ca="1">IFERROR(__xludf.DUMMYFUNCTION("IMPORTRANGE(""https://docs.google.com/spreadsheets/d/1UsNK1e-WWiCo2PvGqdNfdme4m17_Ezd3J69EeeiQPD0/edit?usp=sharing"",""อุทัยธานี!J639"")"),0)</f>
        <v>0</v>
      </c>
      <c r="AH30" s="191">
        <f ca="1">IFERROR(__xludf.DUMMYFUNCTION("IMPORTRANGE(""https://docs.google.com/spreadsheets/d/1UsNK1e-WWiCo2PvGqdNfdme4m17_Ezd3J69EeeiQPD0/edit?usp=sharing"",""อุทัยธานี!J640"")"),0)</f>
        <v>0</v>
      </c>
    </row>
    <row r="31" spans="1:34" ht="19.5" x14ac:dyDescent="0.3">
      <c r="A31" s="665" t="s">
        <v>59</v>
      </c>
      <c r="B31" s="666"/>
      <c r="C31" s="94">
        <f t="shared" ref="C31:E31" ca="1" si="39">SUM(C32:C51)</f>
        <v>170750</v>
      </c>
      <c r="D31" s="94">
        <f t="shared" ca="1" si="39"/>
        <v>145718</v>
      </c>
      <c r="E31" s="94">
        <f t="shared" ca="1" si="39"/>
        <v>16428</v>
      </c>
      <c r="F31" s="94">
        <f t="shared" ca="1" si="24"/>
        <v>9.6210834553440705</v>
      </c>
      <c r="G31" s="94">
        <f t="shared" ca="1" si="25"/>
        <v>11.273830274914561</v>
      </c>
      <c r="H31" s="281">
        <f t="shared" ref="H31:I31" ca="1" si="40">SUM(H32:H51)</f>
        <v>1300</v>
      </c>
      <c r="I31" s="161">
        <f t="shared" ca="1" si="40"/>
        <v>0</v>
      </c>
      <c r="J31" s="94">
        <f t="shared" ca="1" si="27"/>
        <v>0</v>
      </c>
      <c r="K31" s="161">
        <f t="shared" ref="K31:L31" ca="1" si="41">SUM(K32:K51)</f>
        <v>7</v>
      </c>
      <c r="L31" s="161">
        <f t="shared" ca="1" si="41"/>
        <v>70</v>
      </c>
      <c r="M31" s="94">
        <f t="shared" ca="1" si="29"/>
        <v>1000</v>
      </c>
      <c r="N31" s="161">
        <f t="shared" ref="N31:O31" ca="1" si="42">SUM(N32:N51)</f>
        <v>7</v>
      </c>
      <c r="O31" s="161">
        <f t="shared" ca="1" si="42"/>
        <v>109</v>
      </c>
      <c r="P31" s="94">
        <f t="shared" ca="1" si="31"/>
        <v>1557.1428571428571</v>
      </c>
      <c r="Q31" s="161">
        <f ca="1">SUM(Q32:Q51)</f>
        <v>1613</v>
      </c>
      <c r="R31" s="94">
        <f t="shared" ca="1" si="38"/>
        <v>124.07692307692308</v>
      </c>
      <c r="S31" s="161">
        <f ca="1">SUM(S32:S51)</f>
        <v>916</v>
      </c>
      <c r="T31" s="94">
        <f t="shared" ca="1" si="32"/>
        <v>70.461538461538467</v>
      </c>
      <c r="U31" s="94">
        <f ca="1">SUM(U32:U51)</f>
        <v>0</v>
      </c>
      <c r="V31" s="94">
        <f t="shared" ca="1" si="33"/>
        <v>0</v>
      </c>
      <c r="W31" s="94">
        <f ca="1">SUM(W32:W51)</f>
        <v>0</v>
      </c>
      <c r="X31" s="94">
        <f t="shared" ca="1" si="34"/>
        <v>0</v>
      </c>
      <c r="Y31" s="94">
        <f t="shared" ref="Y31:AB31" ca="1" si="43">SUM(Y32:Y51)</f>
        <v>0</v>
      </c>
      <c r="Z31" s="94">
        <f t="shared" ca="1" si="43"/>
        <v>0</v>
      </c>
      <c r="AA31" s="161">
        <f t="shared" ca="1" si="43"/>
        <v>0</v>
      </c>
      <c r="AB31" s="161">
        <f t="shared" ca="1" si="43"/>
        <v>179</v>
      </c>
      <c r="AC31" s="94">
        <f t="shared" ca="1" si="36"/>
        <v>0</v>
      </c>
      <c r="AD31" s="161">
        <f t="shared" ref="AD31:AH31" ca="1" si="44">SUM(AD32:AD51)</f>
        <v>179</v>
      </c>
      <c r="AE31" s="161">
        <f t="shared" ca="1" si="44"/>
        <v>0</v>
      </c>
      <c r="AF31" s="161">
        <f t="shared" ca="1" si="44"/>
        <v>179</v>
      </c>
      <c r="AG31" s="161">
        <f t="shared" ca="1" si="44"/>
        <v>0</v>
      </c>
      <c r="AH31" s="161">
        <f t="shared" ca="1" si="44"/>
        <v>0</v>
      </c>
    </row>
    <row r="32" spans="1:34" ht="19.5" x14ac:dyDescent="0.3">
      <c r="A32" s="58">
        <v>1</v>
      </c>
      <c r="B32" s="59" t="s">
        <v>60</v>
      </c>
      <c r="C32" s="68">
        <f ca="1">IFERROR(__xludf.DUMMYFUNCTION("IMPORTRANGE(""https://docs.google.com/spreadsheets/d/1yhBcrRPreicbMKl9Bu_Snb2-OcQAF62RKfhTLhJ2eAA/edit?usp=sharing"",""กาฬสินธุ์!Q616"")"),6950)</f>
        <v>6950</v>
      </c>
      <c r="D32" s="68">
        <f ca="1">IFERROR(__xludf.DUMMYFUNCTION("IMPORTRANGE(""https://docs.google.com/spreadsheets/d/1yhBcrRPreicbMKl9Bu_Snb2-OcQAF62RKfhTLhJ2eAA/edit?usp=sharing"",""กาฬสินธุ์!R616"")"),2800)</f>
        <v>2800</v>
      </c>
      <c r="E32" s="68">
        <f ca="1">IFERROR(__xludf.DUMMYFUNCTION("IMPORTRANGE(""https://docs.google.com/spreadsheets/d/1yhBcrRPreicbMKl9Bu_Snb2-OcQAF62RKfhTLhJ2eAA/edit?usp=sharing"",""กาฬสินธุ์!S616"")"),2800)</f>
        <v>2800</v>
      </c>
      <c r="F32" s="68">
        <f t="shared" ca="1" si="24"/>
        <v>40.28776978417266</v>
      </c>
      <c r="G32" s="68">
        <f t="shared" ca="1" si="25"/>
        <v>100</v>
      </c>
      <c r="H32" s="278">
        <f ca="1">IFERROR(__xludf.DUMMYFUNCTION("IMPORTRANGE(""https://docs.google.com/spreadsheets/d/1yhBcrRPreicbMKl9Bu_Snb2-OcQAF62RKfhTLhJ2eAA/edit?usp=sharing"",""กาฬสินธุ์!I626"")"),50)</f>
        <v>50</v>
      </c>
      <c r="I32" s="152">
        <f ca="1">IFERROR(__xludf.DUMMYFUNCTION("IMPORTRANGE(""https://docs.google.com/spreadsheets/d/1yhBcrRPreicbMKl9Bu_Snb2-OcQAF62RKfhTLhJ2eAA/edit?usp=sharing"",""กาฬสินธุ์!J626"")"),0)</f>
        <v>0</v>
      </c>
      <c r="J32" s="216">
        <f t="shared" ca="1" si="27"/>
        <v>0</v>
      </c>
      <c r="K32" s="152">
        <f ca="1">IFERROR(__xludf.DUMMYFUNCTION("IMPORTRANGE(""https://docs.google.com/spreadsheets/d/1yhBcrRPreicbMKl9Bu_Snb2-OcQAF62RKfhTLhJ2eAA/edit?usp=sharing"",""กาฬสินธุ์!I627"")"),0)</f>
        <v>0</v>
      </c>
      <c r="L32" s="152">
        <f ca="1">IFERROR(__xludf.DUMMYFUNCTION("IMPORTRANGE(""https://docs.google.com/spreadsheets/d/1yhBcrRPreicbMKl9Bu_Snb2-OcQAF62RKfhTLhJ2eAA/edit?usp=sharing"",""กาฬสินธุ์!J627"")"),6)</f>
        <v>6</v>
      </c>
      <c r="M32" s="216">
        <f t="shared" ca="1" si="29"/>
        <v>0</v>
      </c>
      <c r="N32" s="152">
        <f ca="1">IFERROR(__xludf.DUMMYFUNCTION("IMPORTRANGE(""https://docs.google.com/spreadsheets/d/1yhBcrRPreicbMKl9Bu_Snb2-OcQAF62RKfhTLhJ2eAA/edit?usp=sharing"",""กาฬสินธุ์!I628"")"),0)</f>
        <v>0</v>
      </c>
      <c r="O32" s="152">
        <f ca="1">IFERROR(__xludf.DUMMYFUNCTION("IMPORTRANGE(""https://docs.google.com/spreadsheets/d/1yhBcrRPreicbMKl9Bu_Snb2-OcQAF62RKfhTLhJ2eAA/edit?usp=sharing"",""กาฬสินธุ์!J628"")"),6)</f>
        <v>6</v>
      </c>
      <c r="P32" s="216">
        <f t="shared" ca="1" si="31"/>
        <v>0</v>
      </c>
      <c r="Q32" s="152">
        <f ca="1">IFERROR(__xludf.DUMMYFUNCTION("IMPORTRANGE(""https://docs.google.com/spreadsheets/d/1yhBcrRPreicbMKl9Bu_Snb2-OcQAF62RKfhTLhJ2eAA/edit?usp=sharing"",""กาฬสินธุ์!J629"")"),0)</f>
        <v>0</v>
      </c>
      <c r="R32" s="216">
        <f t="shared" ca="1" si="38"/>
        <v>0</v>
      </c>
      <c r="S32" s="152">
        <f ca="1">IFERROR(__xludf.DUMMYFUNCTION("IMPORTRANGE(""https://docs.google.com/spreadsheets/d/1yhBcrRPreicbMKl9Bu_Snb2-OcQAF62RKfhTLhJ2eAA/edit?usp=sharing"",""กาฬสินธุ์!J630"")"),0)</f>
        <v>0</v>
      </c>
      <c r="T32" s="216">
        <f t="shared" ca="1" si="32"/>
        <v>0</v>
      </c>
      <c r="U32" s="216">
        <f ca="1">IFERROR(__xludf.DUMMYFUNCTION("IMPORTRANGE(""https://docs.google.com/spreadsheets/d/1yhBcrRPreicbMKl9Bu_Snb2-OcQAF62RKfhTLhJ2eAA/edit?usp=sharing"",""กาฬสินธุ์!J631"")"),0)</f>
        <v>0</v>
      </c>
      <c r="V32" s="216">
        <f t="shared" ca="1" si="33"/>
        <v>0</v>
      </c>
      <c r="W32" s="216">
        <f ca="1">IFERROR(__xludf.DUMMYFUNCTION("IMPORTRANGE(""https://docs.google.com/spreadsheets/d/1yhBcrRPreicbMKl9Bu_Snb2-OcQAF62RKfhTLhJ2eAA/edit?usp=sharing"",""กาฬสินธุ์!J632"")"),0)</f>
        <v>0</v>
      </c>
      <c r="X32" s="216">
        <f t="shared" ca="1" si="34"/>
        <v>0</v>
      </c>
      <c r="Y32" s="216">
        <f ca="1">IFERROR(__xludf.DUMMYFUNCTION("IMPORTRANGE(""https://docs.google.com/spreadsheets/d/1yhBcrRPreicbMKl9Bu_Snb2-OcQAF62RKfhTLhJ2eAA/edit?usp=sharing"",""กาฬสินธุ์!J633"")"),0)</f>
        <v>0</v>
      </c>
      <c r="Z32" s="216">
        <f ca="1">IFERROR(__xludf.DUMMYFUNCTION("IMPORTRANGE(""https://docs.google.com/spreadsheets/d/1yhBcrRPreicbMKl9Bu_Snb2-OcQAF62RKfhTLhJ2eAA/edit?usp=sharing"",""กาฬสินธุ์!J634"")"),0)</f>
        <v>0</v>
      </c>
      <c r="AA32" s="152">
        <f ca="1">IFERROR(__xludf.DUMMYFUNCTION("IMPORTRANGE(""https://docs.google.com/spreadsheets/d/1yhBcrRPreicbMKl9Bu_Snb2-OcQAF62RKfhTLhJ2eAA/edit?usp=sharing"",""กาฬสินธุ์!I635"")"),0)</f>
        <v>0</v>
      </c>
      <c r="AB32" s="152">
        <f ca="1">IFERROR(__xludf.DUMMYFUNCTION("IMPORTRANGE(""https://docs.google.com/spreadsheets/d/1yhBcrRPreicbMKl9Bu_Snb2-OcQAF62RKfhTLhJ2eAA/edit?usp=sharing"",""กาฬสินธุ์!J635"")"),0)</f>
        <v>0</v>
      </c>
      <c r="AC32" s="216">
        <f t="shared" ca="1" si="36"/>
        <v>0</v>
      </c>
      <c r="AD32" s="152">
        <f ca="1">IFERROR(__xludf.DUMMYFUNCTION("IMPORTRANGE(""https://docs.google.com/spreadsheets/d/1yhBcrRPreicbMKl9Bu_Snb2-OcQAF62RKfhTLhJ2eAA/edit?usp=sharing"",""กาฬสินธุ์!J636"")"),0)</f>
        <v>0</v>
      </c>
      <c r="AE32" s="152">
        <f ca="1">IFERROR(__xludf.DUMMYFUNCTION("IMPORTRANGE(""https://docs.google.com/spreadsheets/d/1yhBcrRPreicbMKl9Bu_Snb2-OcQAF62RKfhTLhJ2eAA/edit?usp=sharing"",""กาฬสินธุ์!J637"")"),0)</f>
        <v>0</v>
      </c>
      <c r="AF32" s="152">
        <f ca="1">IFERROR(__xludf.DUMMYFUNCTION("IMPORTRANGE(""https://docs.google.com/spreadsheets/d/1yhBcrRPreicbMKl9Bu_Snb2-OcQAF62RKfhTLhJ2eAA/edit?usp=sharing"",""กาฬสินธุ์!J638"")"),0)</f>
        <v>0</v>
      </c>
      <c r="AG32" s="152">
        <f ca="1">IFERROR(__xludf.DUMMYFUNCTION("IMPORTRANGE(""https://docs.google.com/spreadsheets/d/1yhBcrRPreicbMKl9Bu_Snb2-OcQAF62RKfhTLhJ2eAA/edit?usp=sharing"",""กาฬสินธุ์!J639"")"),0)</f>
        <v>0</v>
      </c>
      <c r="AH32" s="152">
        <f ca="1">IFERROR(__xludf.DUMMYFUNCTION("IMPORTRANGE(""https://docs.google.com/spreadsheets/d/1yhBcrRPreicbMKl9Bu_Snb2-OcQAF62RKfhTLhJ2eAA/edit?usp=sharing"",""กาฬสินธุ์!J640"")"),0)</f>
        <v>0</v>
      </c>
    </row>
    <row r="33" spans="1:34" ht="19.5" x14ac:dyDescent="0.3">
      <c r="A33" s="70">
        <v>2</v>
      </c>
      <c r="B33" s="71" t="s">
        <v>61</v>
      </c>
      <c r="C33" s="68">
        <f ca="1">IFERROR(__xludf.DUMMYFUNCTION("IMPORTRANGE(""https://docs.google.com/spreadsheets/d/1aHkj4IaQMThhwWwevcOymEh837vdxeC_PycurhTbGFA/edit?usp=sharing"",""ขอนแก่น!Q616"")"),12750)</f>
        <v>12750</v>
      </c>
      <c r="D33" s="68">
        <f ca="1">IFERROR(__xludf.DUMMYFUNCTION("IMPORTRANGE(""https://docs.google.com/spreadsheets/d/1aHkj4IaQMThhwWwevcOymEh837vdxeC_PycurhTbGFA/edit?usp=sharing"",""ขอนแก่น!R616"")"),12750)</f>
        <v>12750</v>
      </c>
      <c r="E33" s="68">
        <f ca="1">IFERROR(__xludf.DUMMYFUNCTION("IMPORTRANGE(""https://docs.google.com/spreadsheets/d/1aHkj4IaQMThhwWwevcOymEh837vdxeC_PycurhTbGFA/edit?usp=sharing"",""ขอนแก่น!S616"")"),0)</f>
        <v>0</v>
      </c>
      <c r="F33" s="68">
        <f t="shared" ca="1" si="24"/>
        <v>0</v>
      </c>
      <c r="G33" s="68">
        <f t="shared" ca="1" si="25"/>
        <v>0</v>
      </c>
      <c r="H33" s="278">
        <f ca="1">IFERROR(__xludf.DUMMYFUNCTION("IMPORTRANGE(""https://docs.google.com/spreadsheets/d/1aHkj4IaQMThhwWwevcOymEh837vdxeC_PycurhTbGFA/edit?usp=sharing"",""ขอนแก่น!I626"")"),100)</f>
        <v>100</v>
      </c>
      <c r="I33" s="152">
        <f ca="1">IFERROR(__xludf.DUMMYFUNCTION("IMPORTRANGE(""https://docs.google.com/spreadsheets/d/1aHkj4IaQMThhwWwevcOymEh837vdxeC_PycurhTbGFA/edit?usp=sharing"",""ขอนแก่น!J626"")"),0)</f>
        <v>0</v>
      </c>
      <c r="J33" s="216">
        <f t="shared" ca="1" si="27"/>
        <v>0</v>
      </c>
      <c r="K33" s="152">
        <f ca="1">IFERROR(__xludf.DUMMYFUNCTION("IMPORTRANGE(""https://docs.google.com/spreadsheets/d/1aHkj4IaQMThhwWwevcOymEh837vdxeC_PycurhTbGFA/edit?usp=sharing"",""ขอนแก่น!I627"")"),1)</f>
        <v>1</v>
      </c>
      <c r="L33" s="152">
        <f ca="1">IFERROR(__xludf.DUMMYFUNCTION("IMPORTRANGE(""https://docs.google.com/spreadsheets/d/1aHkj4IaQMThhwWwevcOymEh837vdxeC_PycurhTbGFA/edit?usp=sharing"",""ขอนแก่น!J627"")"),0)</f>
        <v>0</v>
      </c>
      <c r="M33" s="216">
        <f t="shared" ca="1" si="29"/>
        <v>0</v>
      </c>
      <c r="N33" s="152">
        <f ca="1">IFERROR(__xludf.DUMMYFUNCTION("IMPORTRANGE(""https://docs.google.com/spreadsheets/d/1aHkj4IaQMThhwWwevcOymEh837vdxeC_PycurhTbGFA/edit?usp=sharing"",""ขอนแก่น!I628"")"),1)</f>
        <v>1</v>
      </c>
      <c r="O33" s="152">
        <f ca="1">IFERROR(__xludf.DUMMYFUNCTION("IMPORTRANGE(""https://docs.google.com/spreadsheets/d/1aHkj4IaQMThhwWwevcOymEh837vdxeC_PycurhTbGFA/edit?usp=sharing"",""ขอนแก่น!J628"")"),0)</f>
        <v>0</v>
      </c>
      <c r="P33" s="216">
        <f t="shared" ca="1" si="31"/>
        <v>0</v>
      </c>
      <c r="Q33" s="152">
        <f ca="1">IFERROR(__xludf.DUMMYFUNCTION("IMPORTRANGE(""https://docs.google.com/spreadsheets/d/1aHkj4IaQMThhwWwevcOymEh837vdxeC_PycurhTbGFA/edit?usp=sharing"",""ขอนแก่น!J629"")"),0)</f>
        <v>0</v>
      </c>
      <c r="R33" s="216">
        <f t="shared" ca="1" si="38"/>
        <v>0</v>
      </c>
      <c r="S33" s="152">
        <f ca="1">IFERROR(__xludf.DUMMYFUNCTION("IMPORTRANGE(""https://docs.google.com/spreadsheets/d/1aHkj4IaQMThhwWwevcOymEh837vdxeC_PycurhTbGFA/edit?usp=sharing"",""ขอนแก่น!J630"")"),0)</f>
        <v>0</v>
      </c>
      <c r="T33" s="216">
        <f t="shared" ca="1" si="32"/>
        <v>0</v>
      </c>
      <c r="U33" s="216">
        <f ca="1">IFERROR(__xludf.DUMMYFUNCTION("IMPORTRANGE(""https://docs.google.com/spreadsheets/d/1aHkj4IaQMThhwWwevcOymEh837vdxeC_PycurhTbGFA/edit?usp=sharing"",""ขอนแก่น!J631"")"),0)</f>
        <v>0</v>
      </c>
      <c r="V33" s="216">
        <f t="shared" ca="1" si="33"/>
        <v>0</v>
      </c>
      <c r="W33" s="216">
        <f ca="1">IFERROR(__xludf.DUMMYFUNCTION("IMPORTRANGE(""https://docs.google.com/spreadsheets/d/1aHkj4IaQMThhwWwevcOymEh837vdxeC_PycurhTbGFA/edit?usp=sharing"",""ขอนแก่น!J632"")"),0)</f>
        <v>0</v>
      </c>
      <c r="X33" s="216">
        <f t="shared" ca="1" si="34"/>
        <v>0</v>
      </c>
      <c r="Y33" s="216">
        <f ca="1">IFERROR(__xludf.DUMMYFUNCTION("IMPORTRANGE(""https://docs.google.com/spreadsheets/d/1aHkj4IaQMThhwWwevcOymEh837vdxeC_PycurhTbGFA/edit?usp=sharing"",""ขอนแก่น!J633"")"),0)</f>
        <v>0</v>
      </c>
      <c r="Z33" s="216">
        <f ca="1">IFERROR(__xludf.DUMMYFUNCTION("IMPORTRANGE(""https://docs.google.com/spreadsheets/d/1aHkj4IaQMThhwWwevcOymEh837vdxeC_PycurhTbGFA/edit?usp=sharing"",""ขอนแก่น!J634"")"),0)</f>
        <v>0</v>
      </c>
      <c r="AA33" s="152">
        <f ca="1">IFERROR(__xludf.DUMMYFUNCTION("IMPORTRANGE(""https://docs.google.com/spreadsheets/d/1aHkj4IaQMThhwWwevcOymEh837vdxeC_PycurhTbGFA/edit?usp=sharing"",""ขอนแก่น!I635"")"),0)</f>
        <v>0</v>
      </c>
      <c r="AB33" s="152">
        <f ca="1">IFERROR(__xludf.DUMMYFUNCTION("IMPORTRANGE(""https://docs.google.com/spreadsheets/d/1aHkj4IaQMThhwWwevcOymEh837vdxeC_PycurhTbGFA/edit?usp=sharing"",""ขอนแก่น!J635"")"),0)</f>
        <v>0</v>
      </c>
      <c r="AC33" s="216">
        <f t="shared" ca="1" si="36"/>
        <v>0</v>
      </c>
      <c r="AD33" s="152">
        <f ca="1">IFERROR(__xludf.DUMMYFUNCTION("IMPORTRANGE(""https://docs.google.com/spreadsheets/d/1aHkj4IaQMThhwWwevcOymEh837vdxeC_PycurhTbGFA/edit?usp=sharing"",""ขอนแก่น!J636"")"),0)</f>
        <v>0</v>
      </c>
      <c r="AE33" s="152">
        <f ca="1">IFERROR(__xludf.DUMMYFUNCTION("IMPORTRANGE(""https://docs.google.com/spreadsheets/d/1aHkj4IaQMThhwWwevcOymEh837vdxeC_PycurhTbGFA/edit?usp=sharing"",""ขอนแก่น!J637"")"),0)</f>
        <v>0</v>
      </c>
      <c r="AF33" s="152">
        <f ca="1">IFERROR(__xludf.DUMMYFUNCTION("IMPORTRANGE(""https://docs.google.com/spreadsheets/d/1aHkj4IaQMThhwWwevcOymEh837vdxeC_PycurhTbGFA/edit?usp=sharing"",""ขอนแก่น!J638"")"),0)</f>
        <v>0</v>
      </c>
      <c r="AG33" s="152">
        <f ca="1">IFERROR(__xludf.DUMMYFUNCTION("IMPORTRANGE(""https://docs.google.com/spreadsheets/d/1aHkj4IaQMThhwWwevcOymEh837vdxeC_PycurhTbGFA/edit?usp=sharing"",""ขอนแก่น!J639"")"),0)</f>
        <v>0</v>
      </c>
      <c r="AH33" s="152">
        <f ca="1">IFERROR(__xludf.DUMMYFUNCTION("IMPORTRANGE(""https://docs.google.com/spreadsheets/d/1aHkj4IaQMThhwWwevcOymEh837vdxeC_PycurhTbGFA/edit?usp=sharing"",""ขอนแก่น!J640"")"),0)</f>
        <v>0</v>
      </c>
    </row>
    <row r="34" spans="1:34" ht="19.5" x14ac:dyDescent="0.3">
      <c r="A34" s="70">
        <v>3</v>
      </c>
      <c r="B34" s="71" t="s">
        <v>62</v>
      </c>
      <c r="C34" s="68">
        <f ca="1">IFERROR(__xludf.DUMMYFUNCTION("IMPORTRANGE(""https://docs.google.com/spreadsheets/d/1FvTu2DsIWUjP6WCWra38Bkj_oOl_sOMf14r5Fg5srxU/edit?usp=sharing"",""ชัยภูมิ!Q616"")"),11900)</f>
        <v>11900</v>
      </c>
      <c r="D34" s="68">
        <f ca="1">IFERROR(__xludf.DUMMYFUNCTION("IMPORTRANGE(""https://docs.google.com/spreadsheets/d/1FvTu2DsIWUjP6WCWra38Bkj_oOl_sOMf14r5Fg5srxU/edit?usp=sharing"",""ชัยภูมิ!R616"")"),11900)</f>
        <v>11900</v>
      </c>
      <c r="E34" s="68">
        <f ca="1">IFERROR(__xludf.DUMMYFUNCTION("IMPORTRANGE(""https://docs.google.com/spreadsheets/d/1FvTu2DsIWUjP6WCWra38Bkj_oOl_sOMf14r5Fg5srxU/edit?usp=sharing"",""ชัยภูมิ!S616"")"),0)</f>
        <v>0</v>
      </c>
      <c r="F34" s="68">
        <f t="shared" ca="1" si="24"/>
        <v>0</v>
      </c>
      <c r="G34" s="68">
        <f t="shared" ca="1" si="25"/>
        <v>0</v>
      </c>
      <c r="H34" s="278">
        <f ca="1">IFERROR(__xludf.DUMMYFUNCTION("IMPORTRANGE(""https://docs.google.com/spreadsheets/d/1FvTu2DsIWUjP6WCWra38Bkj_oOl_sOMf14r5Fg5srxU/edit?usp=sharing"",""ชัยภูมิ!I626"")"),100)</f>
        <v>100</v>
      </c>
      <c r="I34" s="152">
        <f ca="1">IFERROR(__xludf.DUMMYFUNCTION("IMPORTRANGE(""https://docs.google.com/spreadsheets/d/1FvTu2DsIWUjP6WCWra38Bkj_oOl_sOMf14r5Fg5srxU/edit?usp=sharing"",""ชัยภูมิ!J626"")"),0)</f>
        <v>0</v>
      </c>
      <c r="J34" s="216">
        <f t="shared" ca="1" si="27"/>
        <v>0</v>
      </c>
      <c r="K34" s="152">
        <f ca="1">IFERROR(__xludf.DUMMYFUNCTION("IMPORTRANGE(""https://docs.google.com/spreadsheets/d/1FvTu2DsIWUjP6WCWra38Bkj_oOl_sOMf14r5Fg5srxU/edit?usp=sharing"",""ชัยภูมิ!I627"")"),0)</f>
        <v>0</v>
      </c>
      <c r="L34" s="152">
        <f ca="1">IFERROR(__xludf.DUMMYFUNCTION("IMPORTRANGE(""https://docs.google.com/spreadsheets/d/1FvTu2DsIWUjP6WCWra38Bkj_oOl_sOMf14r5Fg5srxU/edit?usp=sharing"",""ชัยภูมิ!J627"")"),0)</f>
        <v>0</v>
      </c>
      <c r="M34" s="216">
        <f t="shared" ca="1" si="29"/>
        <v>0</v>
      </c>
      <c r="N34" s="152">
        <f ca="1">IFERROR(__xludf.DUMMYFUNCTION("IMPORTRANGE(""https://docs.google.com/spreadsheets/d/1FvTu2DsIWUjP6WCWra38Bkj_oOl_sOMf14r5Fg5srxU/edit?usp=sharing"",""ชัยภูมิ!I628"")"),0)</f>
        <v>0</v>
      </c>
      <c r="O34" s="152">
        <f ca="1">IFERROR(__xludf.DUMMYFUNCTION("IMPORTRANGE(""https://docs.google.com/spreadsheets/d/1FvTu2DsIWUjP6WCWra38Bkj_oOl_sOMf14r5Fg5srxU/edit?usp=sharing"",""ชัยภูมิ!J628"")"),16)</f>
        <v>16</v>
      </c>
      <c r="P34" s="216">
        <f t="shared" ca="1" si="31"/>
        <v>0</v>
      </c>
      <c r="Q34" s="152">
        <f ca="1">IFERROR(__xludf.DUMMYFUNCTION("IMPORTRANGE(""https://docs.google.com/spreadsheets/d/1FvTu2DsIWUjP6WCWra38Bkj_oOl_sOMf14r5Fg5srxU/edit?usp=sharing"",""ชัยภูมิ!J629"")"),116)</f>
        <v>116</v>
      </c>
      <c r="R34" s="216">
        <f t="shared" ca="1" si="38"/>
        <v>116</v>
      </c>
      <c r="S34" s="152">
        <f ca="1">IFERROR(__xludf.DUMMYFUNCTION("IMPORTRANGE(""https://docs.google.com/spreadsheets/d/1FvTu2DsIWUjP6WCWra38Bkj_oOl_sOMf14r5Fg5srxU/edit?usp=sharing"",""ชัยภูมิ!J630"")"),0)</f>
        <v>0</v>
      </c>
      <c r="T34" s="216">
        <f t="shared" ca="1" si="32"/>
        <v>0</v>
      </c>
      <c r="U34" s="216">
        <f ca="1">IFERROR(__xludf.DUMMYFUNCTION("IMPORTRANGE(""https://docs.google.com/spreadsheets/d/1FvTu2DsIWUjP6WCWra38Bkj_oOl_sOMf14r5Fg5srxU/edit?usp=sharing"",""ชัยภูมิ!J631"")"),0)</f>
        <v>0</v>
      </c>
      <c r="V34" s="216">
        <f t="shared" ca="1" si="33"/>
        <v>0</v>
      </c>
      <c r="W34" s="216">
        <f ca="1">IFERROR(__xludf.DUMMYFUNCTION("IMPORTRANGE(""https://docs.google.com/spreadsheets/d/1FvTu2DsIWUjP6WCWra38Bkj_oOl_sOMf14r5Fg5srxU/edit?usp=sharing"",""ชัยภูมิ!J632"")"),0)</f>
        <v>0</v>
      </c>
      <c r="X34" s="216">
        <f t="shared" ca="1" si="34"/>
        <v>0</v>
      </c>
      <c r="Y34" s="216">
        <f ca="1">IFERROR(__xludf.DUMMYFUNCTION("IMPORTRANGE(""https://docs.google.com/spreadsheets/d/1FvTu2DsIWUjP6WCWra38Bkj_oOl_sOMf14r5Fg5srxU/edit?usp=sharing"",""ชัยภูมิ!J633"")"),0)</f>
        <v>0</v>
      </c>
      <c r="Z34" s="216">
        <f ca="1">IFERROR(__xludf.DUMMYFUNCTION("IMPORTRANGE(""https://docs.google.com/spreadsheets/d/1FvTu2DsIWUjP6WCWra38Bkj_oOl_sOMf14r5Fg5srxU/edit?usp=sharing"",""ชัยภูมิ!J634"")"),0)</f>
        <v>0</v>
      </c>
      <c r="AA34" s="152">
        <f ca="1">IFERROR(__xludf.DUMMYFUNCTION("IMPORTRANGE(""https://docs.google.com/spreadsheets/d/1FvTu2DsIWUjP6WCWra38Bkj_oOl_sOMf14r5Fg5srxU/edit?usp=sharing"",""ชัยภูมิ!I635"")"),0)</f>
        <v>0</v>
      </c>
      <c r="AB34" s="152">
        <f ca="1">IFERROR(__xludf.DUMMYFUNCTION("IMPORTRANGE(""https://docs.google.com/spreadsheets/d/1FvTu2DsIWUjP6WCWra38Bkj_oOl_sOMf14r5Fg5srxU/edit?usp=sharing"",""ชัยภูมิ!J635"")"),0)</f>
        <v>0</v>
      </c>
      <c r="AC34" s="216">
        <f t="shared" ca="1" si="36"/>
        <v>0</v>
      </c>
      <c r="AD34" s="152">
        <f ca="1">IFERROR(__xludf.DUMMYFUNCTION("IMPORTRANGE(""https://docs.google.com/spreadsheets/d/1FvTu2DsIWUjP6WCWra38Bkj_oOl_sOMf14r5Fg5srxU/edit?usp=sharing"",""ชัยภูมิ!J636"")"),0)</f>
        <v>0</v>
      </c>
      <c r="AE34" s="152">
        <f ca="1">IFERROR(__xludf.DUMMYFUNCTION("IMPORTRANGE(""https://docs.google.com/spreadsheets/d/1FvTu2DsIWUjP6WCWra38Bkj_oOl_sOMf14r5Fg5srxU/edit?usp=sharing"",""ชัยภูมิ!J637"")"),0)</f>
        <v>0</v>
      </c>
      <c r="AF34" s="152">
        <f ca="1">IFERROR(__xludf.DUMMYFUNCTION("IMPORTRANGE(""https://docs.google.com/spreadsheets/d/1FvTu2DsIWUjP6WCWra38Bkj_oOl_sOMf14r5Fg5srxU/edit?usp=sharing"",""ชัยภูมิ!J638"")"),0)</f>
        <v>0</v>
      </c>
      <c r="AG34" s="152">
        <f ca="1">IFERROR(__xludf.DUMMYFUNCTION("IMPORTRANGE(""https://docs.google.com/spreadsheets/d/1FvTu2DsIWUjP6WCWra38Bkj_oOl_sOMf14r5Fg5srxU/edit?usp=sharing"",""ชัยภูมิ!J639"")"),0)</f>
        <v>0</v>
      </c>
      <c r="AH34" s="152">
        <f ca="1">IFERROR(__xludf.DUMMYFUNCTION("IMPORTRANGE(""https://docs.google.com/spreadsheets/d/1FvTu2DsIWUjP6WCWra38Bkj_oOl_sOMf14r5Fg5srxU/edit?usp=sharing"",""ชัยภูมิ!J640"")"),0)</f>
        <v>0</v>
      </c>
    </row>
    <row r="35" spans="1:34" ht="19.5" x14ac:dyDescent="0.3">
      <c r="A35" s="70">
        <v>4</v>
      </c>
      <c r="B35" s="71" t="s">
        <v>63</v>
      </c>
      <c r="C35" s="68">
        <f ca="1">IFERROR(__xludf.DUMMYFUNCTION("IMPORTRANGE(""https://docs.google.com/spreadsheets/d/1XVB7oCJ3pr-vBUdflwPQ8Z2LlzhnCvZaaYjAfP-647E/edit?usp=sharing"",""นครพนม!Q616"")"),6800)</f>
        <v>6800</v>
      </c>
      <c r="D35" s="68">
        <f ca="1">IFERROR(__xludf.DUMMYFUNCTION("IMPORTRANGE(""https://docs.google.com/spreadsheets/d/1XVB7oCJ3pr-vBUdflwPQ8Z2LlzhnCvZaaYjAfP-647E/edit?usp=sharing"",""นครพนม!R616"")"),6800)</f>
        <v>6800</v>
      </c>
      <c r="E35" s="68">
        <f ca="1">IFERROR(__xludf.DUMMYFUNCTION("IMPORTRANGE(""https://docs.google.com/spreadsheets/d/1XVB7oCJ3pr-vBUdflwPQ8Z2LlzhnCvZaaYjAfP-647E/edit?usp=sharing"",""นครพนม!S616"")"),0)</f>
        <v>0</v>
      </c>
      <c r="F35" s="68">
        <f t="shared" ca="1" si="24"/>
        <v>0</v>
      </c>
      <c r="G35" s="68">
        <f t="shared" ca="1" si="25"/>
        <v>0</v>
      </c>
      <c r="H35" s="278">
        <f ca="1">IFERROR(__xludf.DUMMYFUNCTION("IMPORTRANGE(""https://docs.google.com/spreadsheets/d/1XVB7oCJ3pr-vBUdflwPQ8Z2LlzhnCvZaaYjAfP-647E/edit?usp=sharing"",""นครพนม!I626"")"),50)</f>
        <v>50</v>
      </c>
      <c r="I35" s="152">
        <f ca="1">IFERROR(__xludf.DUMMYFUNCTION("IMPORTRANGE(""https://docs.google.com/spreadsheets/d/1XVB7oCJ3pr-vBUdflwPQ8Z2LlzhnCvZaaYjAfP-647E/edit?usp=sharing"",""นครพนม!J626"")"),0)</f>
        <v>0</v>
      </c>
      <c r="J35" s="216">
        <f t="shared" ca="1" si="27"/>
        <v>0</v>
      </c>
      <c r="K35" s="152">
        <f ca="1">IFERROR(__xludf.DUMMYFUNCTION("IMPORTRANGE(""https://docs.google.com/spreadsheets/d/1XVB7oCJ3pr-vBUdflwPQ8Z2LlzhnCvZaaYjAfP-647E/edit?usp=sharing"",""นครพนม!I627"")"),0)</f>
        <v>0</v>
      </c>
      <c r="L35" s="152">
        <f ca="1">IFERROR(__xludf.DUMMYFUNCTION("IMPORTRANGE(""https://docs.google.com/spreadsheets/d/1XVB7oCJ3pr-vBUdflwPQ8Z2LlzhnCvZaaYjAfP-647E/edit?usp=sharing"",""นครพนม!J627"")"),0)</f>
        <v>0</v>
      </c>
      <c r="M35" s="216">
        <f t="shared" ca="1" si="29"/>
        <v>0</v>
      </c>
      <c r="N35" s="152">
        <f ca="1">IFERROR(__xludf.DUMMYFUNCTION("IMPORTRANGE(""https://docs.google.com/spreadsheets/d/1XVB7oCJ3pr-vBUdflwPQ8Z2LlzhnCvZaaYjAfP-647E/edit?usp=sharing"",""นครพนม!I628"")"),0)</f>
        <v>0</v>
      </c>
      <c r="O35" s="152">
        <f ca="1">IFERROR(__xludf.DUMMYFUNCTION("IMPORTRANGE(""https://docs.google.com/spreadsheets/d/1XVB7oCJ3pr-vBUdflwPQ8Z2LlzhnCvZaaYjAfP-647E/edit?usp=sharing"",""นครพนม!J628"")"),12)</f>
        <v>12</v>
      </c>
      <c r="P35" s="216">
        <f t="shared" ca="1" si="31"/>
        <v>0</v>
      </c>
      <c r="Q35" s="152">
        <f ca="1">IFERROR(__xludf.DUMMYFUNCTION("IMPORTRANGE(""https://docs.google.com/spreadsheets/d/1XVB7oCJ3pr-vBUdflwPQ8Z2LlzhnCvZaaYjAfP-647E/edit?usp=sharing"",""นครพนม!J629"")"),0)</f>
        <v>0</v>
      </c>
      <c r="R35" s="216">
        <f t="shared" ca="1" si="38"/>
        <v>0</v>
      </c>
      <c r="S35" s="152">
        <f ca="1">IFERROR(__xludf.DUMMYFUNCTION("IMPORTRANGE(""https://docs.google.com/spreadsheets/d/1XVB7oCJ3pr-vBUdflwPQ8Z2LlzhnCvZaaYjAfP-647E/edit?usp=sharing"",""นครพนม!J630"")"),0)</f>
        <v>0</v>
      </c>
      <c r="T35" s="216">
        <f t="shared" ca="1" si="32"/>
        <v>0</v>
      </c>
      <c r="U35" s="216">
        <f ca="1">IFERROR(__xludf.DUMMYFUNCTION("IMPORTRANGE(""https://docs.google.com/spreadsheets/d/1XVB7oCJ3pr-vBUdflwPQ8Z2LlzhnCvZaaYjAfP-647E/edit?usp=sharing"",""นครพนม!J631"")"),0)</f>
        <v>0</v>
      </c>
      <c r="V35" s="216">
        <f t="shared" ca="1" si="33"/>
        <v>0</v>
      </c>
      <c r="W35" s="216">
        <f ca="1">IFERROR(__xludf.DUMMYFUNCTION("IMPORTRANGE(""https://docs.google.com/spreadsheets/d/1XVB7oCJ3pr-vBUdflwPQ8Z2LlzhnCvZaaYjAfP-647E/edit?usp=sharing"",""นครพนม!J632"")"),0)</f>
        <v>0</v>
      </c>
      <c r="X35" s="216">
        <f t="shared" ca="1" si="34"/>
        <v>0</v>
      </c>
      <c r="Y35" s="216">
        <f ca="1">IFERROR(__xludf.DUMMYFUNCTION("IMPORTRANGE(""https://docs.google.com/spreadsheets/d/1XVB7oCJ3pr-vBUdflwPQ8Z2LlzhnCvZaaYjAfP-647E/edit?usp=sharing"",""นครพนม!J633"")"),0)</f>
        <v>0</v>
      </c>
      <c r="Z35" s="216">
        <f ca="1">IFERROR(__xludf.DUMMYFUNCTION("IMPORTRANGE(""https://docs.google.com/spreadsheets/d/1XVB7oCJ3pr-vBUdflwPQ8Z2LlzhnCvZaaYjAfP-647E/edit?usp=sharing"",""นครพนม!J634"")"),0)</f>
        <v>0</v>
      </c>
      <c r="AA35" s="152">
        <f ca="1">IFERROR(__xludf.DUMMYFUNCTION("IMPORTRANGE(""https://docs.google.com/spreadsheets/d/1XVB7oCJ3pr-vBUdflwPQ8Z2LlzhnCvZaaYjAfP-647E/edit?usp=sharing"",""นครพนม!I635"")"),0)</f>
        <v>0</v>
      </c>
      <c r="AB35" s="152">
        <f ca="1">IFERROR(__xludf.DUMMYFUNCTION("IMPORTRANGE(""https://docs.google.com/spreadsheets/d/1XVB7oCJ3pr-vBUdflwPQ8Z2LlzhnCvZaaYjAfP-647E/edit?usp=sharing"",""นครพนม!J635"")"),0)</f>
        <v>0</v>
      </c>
      <c r="AC35" s="216">
        <f t="shared" ca="1" si="36"/>
        <v>0</v>
      </c>
      <c r="AD35" s="152">
        <f ca="1">IFERROR(__xludf.DUMMYFUNCTION("IMPORTRANGE(""https://docs.google.com/spreadsheets/d/1XVB7oCJ3pr-vBUdflwPQ8Z2LlzhnCvZaaYjAfP-647E/edit?usp=sharing"",""นครพนม!J636"")"),0)</f>
        <v>0</v>
      </c>
      <c r="AE35" s="152">
        <f ca="1">IFERROR(__xludf.DUMMYFUNCTION("IMPORTRANGE(""https://docs.google.com/spreadsheets/d/1XVB7oCJ3pr-vBUdflwPQ8Z2LlzhnCvZaaYjAfP-647E/edit?usp=sharing"",""นครพนม!J637"")"),0)</f>
        <v>0</v>
      </c>
      <c r="AF35" s="152">
        <f ca="1">IFERROR(__xludf.DUMMYFUNCTION("IMPORTRANGE(""https://docs.google.com/spreadsheets/d/1XVB7oCJ3pr-vBUdflwPQ8Z2LlzhnCvZaaYjAfP-647E/edit?usp=sharing"",""นครพนม!J638"")"),0)</f>
        <v>0</v>
      </c>
      <c r="AG35" s="152">
        <f ca="1">IFERROR(__xludf.DUMMYFUNCTION("IMPORTRANGE(""https://docs.google.com/spreadsheets/d/1XVB7oCJ3pr-vBUdflwPQ8Z2LlzhnCvZaaYjAfP-647E/edit?usp=sharing"",""นครพนม!J639"")"),0)</f>
        <v>0</v>
      </c>
      <c r="AH35" s="152">
        <f ca="1">IFERROR(__xludf.DUMMYFUNCTION("IMPORTRANGE(""https://docs.google.com/spreadsheets/d/1XVB7oCJ3pr-vBUdflwPQ8Z2LlzhnCvZaaYjAfP-647E/edit?usp=sharing"",""นครพนม!J640"")"),0)</f>
        <v>0</v>
      </c>
    </row>
    <row r="36" spans="1:34" ht="19.5" x14ac:dyDescent="0.3">
      <c r="A36" s="70">
        <v>5</v>
      </c>
      <c r="B36" s="71" t="s">
        <v>64</v>
      </c>
      <c r="C36" s="68">
        <f ca="1">IFERROR(__xludf.DUMMYFUNCTION("IMPORTRANGE(""https://docs.google.com/spreadsheets/d/1Mnpb-8PYAgn85W6KOTD40hc_Xc55CaLfHoGAbrZ8tls/edit?usp=sharing"",""นครราชสีมา!Q616"")"),22300)</f>
        <v>22300</v>
      </c>
      <c r="D36" s="68">
        <f ca="1">IFERROR(__xludf.DUMMYFUNCTION("IMPORTRANGE(""https://docs.google.com/spreadsheets/d/1Mnpb-8PYAgn85W6KOTD40hc_Xc55CaLfHoGAbrZ8tls/edit?usp=sharing"",""นครราชสีมา!R616"")"),1418)</f>
        <v>1418</v>
      </c>
      <c r="E36" s="68">
        <f ca="1">IFERROR(__xludf.DUMMYFUNCTION("IMPORTRANGE(""https://docs.google.com/spreadsheets/d/1Mnpb-8PYAgn85W6KOTD40hc_Xc55CaLfHoGAbrZ8tls/edit?usp=sharing"",""นครราชสีมา!S616"")"),1418)</f>
        <v>1418</v>
      </c>
      <c r="F36" s="68">
        <f t="shared" ca="1" si="24"/>
        <v>6.3587443946188342</v>
      </c>
      <c r="G36" s="68">
        <f t="shared" ca="1" si="25"/>
        <v>100</v>
      </c>
      <c r="H36" s="278">
        <f ca="1">IFERROR(__xludf.DUMMYFUNCTION("IMPORTRANGE(""https://docs.google.com/spreadsheets/d/1Mnpb-8PYAgn85W6KOTD40hc_Xc55CaLfHoGAbrZ8tls/edit?usp=sharing"",""นครราชสีมา!I626"")"),200)</f>
        <v>200</v>
      </c>
      <c r="I36" s="152">
        <f ca="1">IFERROR(__xludf.DUMMYFUNCTION("IMPORTRANGE(""https://docs.google.com/spreadsheets/d/1Mnpb-8PYAgn85W6KOTD40hc_Xc55CaLfHoGAbrZ8tls/edit?usp=sharing"",""นครราชสีมา!J626"")"),0)</f>
        <v>0</v>
      </c>
      <c r="J36" s="216">
        <f t="shared" ca="1" si="27"/>
        <v>0</v>
      </c>
      <c r="K36" s="152">
        <f ca="1">IFERROR(__xludf.DUMMYFUNCTION("IMPORTRANGE(""https://docs.google.com/spreadsheets/d/1Mnpb-8PYAgn85W6KOTD40hc_Xc55CaLfHoGAbrZ8tls/edit?usp=sharing"",""นครราชสีมา!I627"")"),0)</f>
        <v>0</v>
      </c>
      <c r="L36" s="152">
        <f ca="1">IFERROR(__xludf.DUMMYFUNCTION("IMPORTRANGE(""https://docs.google.com/spreadsheets/d/1Mnpb-8PYAgn85W6KOTD40hc_Xc55CaLfHoGAbrZ8tls/edit?usp=sharing"",""นครราชสีมา!J627"")"),4)</f>
        <v>4</v>
      </c>
      <c r="M36" s="216">
        <f t="shared" ca="1" si="29"/>
        <v>0</v>
      </c>
      <c r="N36" s="152">
        <f ca="1">IFERROR(__xludf.DUMMYFUNCTION("IMPORTRANGE(""https://docs.google.com/spreadsheets/d/1Mnpb-8PYAgn85W6KOTD40hc_Xc55CaLfHoGAbrZ8tls/edit?usp=sharing"",""นครราชสีมา!I628"")"),0)</f>
        <v>0</v>
      </c>
      <c r="O36" s="152">
        <f ca="1">IFERROR(__xludf.DUMMYFUNCTION("IMPORTRANGE(""https://docs.google.com/spreadsheets/d/1Mnpb-8PYAgn85W6KOTD40hc_Xc55CaLfHoGAbrZ8tls/edit?usp=sharing"",""นครราชสีมา!J628"")"),4)</f>
        <v>4</v>
      </c>
      <c r="P36" s="216">
        <f t="shared" ca="1" si="31"/>
        <v>0</v>
      </c>
      <c r="Q36" s="152">
        <f ca="1">IFERROR(__xludf.DUMMYFUNCTION("IMPORTRANGE(""https://docs.google.com/spreadsheets/d/1Mnpb-8PYAgn85W6KOTD40hc_Xc55CaLfHoGAbrZ8tls/edit?usp=sharing"",""นครราชสีมา!J629"")"),468)</f>
        <v>468</v>
      </c>
      <c r="R36" s="216">
        <f t="shared" ca="1" si="38"/>
        <v>234</v>
      </c>
      <c r="S36" s="152">
        <f ca="1">IFERROR(__xludf.DUMMYFUNCTION("IMPORTRANGE(""https://docs.google.com/spreadsheets/d/1Mnpb-8PYAgn85W6KOTD40hc_Xc55CaLfHoGAbrZ8tls/edit?usp=sharing"",""นครราชสีมา!J630"")"),468)</f>
        <v>468</v>
      </c>
      <c r="T36" s="216">
        <f t="shared" ca="1" si="32"/>
        <v>234</v>
      </c>
      <c r="U36" s="216">
        <f ca="1">IFERROR(__xludf.DUMMYFUNCTION("IMPORTRANGE(""https://docs.google.com/spreadsheets/d/1Mnpb-8PYAgn85W6KOTD40hc_Xc55CaLfHoGAbrZ8tls/edit?usp=sharing"",""นครราชสีมา!J631"")"),0)</f>
        <v>0</v>
      </c>
      <c r="V36" s="216">
        <f t="shared" ca="1" si="33"/>
        <v>0</v>
      </c>
      <c r="W36" s="216">
        <f ca="1">IFERROR(__xludf.DUMMYFUNCTION("IMPORTRANGE(""https://docs.google.com/spreadsheets/d/1Mnpb-8PYAgn85W6KOTD40hc_Xc55CaLfHoGAbrZ8tls/edit?usp=sharing"",""นครราชสีมา!J632"")"),0)</f>
        <v>0</v>
      </c>
      <c r="X36" s="216">
        <f t="shared" ca="1" si="34"/>
        <v>0</v>
      </c>
      <c r="Y36" s="216">
        <f ca="1">IFERROR(__xludf.DUMMYFUNCTION("IMPORTRANGE(""https://docs.google.com/spreadsheets/d/1Mnpb-8PYAgn85W6KOTD40hc_Xc55CaLfHoGAbrZ8tls/edit?usp=sharing"",""นครราชสีมา!J633"")"),0)</f>
        <v>0</v>
      </c>
      <c r="Z36" s="216">
        <f ca="1">IFERROR(__xludf.DUMMYFUNCTION("IMPORTRANGE(""https://docs.google.com/spreadsheets/d/1Mnpb-8PYAgn85W6KOTD40hc_Xc55CaLfHoGAbrZ8tls/edit?usp=sharing"",""นครราชสีมา!J634"")"),0)</f>
        <v>0</v>
      </c>
      <c r="AA36" s="152">
        <f ca="1">IFERROR(__xludf.DUMMYFUNCTION("IMPORTRANGE(""https://docs.google.com/spreadsheets/d/1Mnpb-8PYAgn85W6KOTD40hc_Xc55CaLfHoGAbrZ8tls/edit?usp=sharing"",""นครราชสีมา!I635"")"),0)</f>
        <v>0</v>
      </c>
      <c r="AB36" s="152">
        <f ca="1">IFERROR(__xludf.DUMMYFUNCTION("IMPORTRANGE(""https://docs.google.com/spreadsheets/d/1Mnpb-8PYAgn85W6KOTD40hc_Xc55CaLfHoGAbrZ8tls/edit?usp=sharing"",""นครราชสีมา!J635"")"),0)</f>
        <v>0</v>
      </c>
      <c r="AC36" s="216">
        <f t="shared" ca="1" si="36"/>
        <v>0</v>
      </c>
      <c r="AD36" s="152">
        <f ca="1">IFERROR(__xludf.DUMMYFUNCTION("IMPORTRANGE(""https://docs.google.com/spreadsheets/d/1Mnpb-8PYAgn85W6KOTD40hc_Xc55CaLfHoGAbrZ8tls/edit?usp=sharing"",""นครราชสีมา!J636"")"),0)</f>
        <v>0</v>
      </c>
      <c r="AE36" s="152">
        <f ca="1">IFERROR(__xludf.DUMMYFUNCTION("IMPORTRANGE(""https://docs.google.com/spreadsheets/d/1Mnpb-8PYAgn85W6KOTD40hc_Xc55CaLfHoGAbrZ8tls/edit?usp=sharing"",""นครราชสีมา!J637"")"),0)</f>
        <v>0</v>
      </c>
      <c r="AF36" s="152">
        <f ca="1">IFERROR(__xludf.DUMMYFUNCTION("IMPORTRANGE(""https://docs.google.com/spreadsheets/d/1Mnpb-8PYAgn85W6KOTD40hc_Xc55CaLfHoGAbrZ8tls/edit?usp=sharing"",""นครราชสีมา!J638"")"),0)</f>
        <v>0</v>
      </c>
      <c r="AG36" s="152">
        <f ca="1">IFERROR(__xludf.DUMMYFUNCTION("IMPORTRANGE(""https://docs.google.com/spreadsheets/d/1Mnpb-8PYAgn85W6KOTD40hc_Xc55CaLfHoGAbrZ8tls/edit?usp=sharing"",""นครราชสีมา!J639"")"),0)</f>
        <v>0</v>
      </c>
      <c r="AH36" s="152">
        <f ca="1">IFERROR(__xludf.DUMMYFUNCTION("IMPORTRANGE(""https://docs.google.com/spreadsheets/d/1Mnpb-8PYAgn85W6KOTD40hc_Xc55CaLfHoGAbrZ8tls/edit?usp=sharing"",""นครราชสีมา!J640"")"),0)</f>
        <v>0</v>
      </c>
    </row>
    <row r="37" spans="1:34" ht="19.5" x14ac:dyDescent="0.3">
      <c r="A37" s="70">
        <v>6</v>
      </c>
      <c r="B37" s="71" t="s">
        <v>65</v>
      </c>
      <c r="C37" s="68">
        <f ca="1">IFERROR(__xludf.DUMMYFUNCTION("IMPORTRANGE(""https://docs.google.com/spreadsheets/d/1xoDLGBv9CYbyosIhki0kTq6IpYNj-gpjxfobnaDiut0/edit?usp=sharing"",""บึงกาฬ!Q616"")"),1800)</f>
        <v>1800</v>
      </c>
      <c r="D37" s="68">
        <f ca="1">IFERROR(__xludf.DUMMYFUNCTION("IMPORTRANGE(""https://docs.google.com/spreadsheets/d/1xoDLGBv9CYbyosIhki0kTq6IpYNj-gpjxfobnaDiut0/edit?usp=sharing"",""บึงกาฬ!R616"")"),1800)</f>
        <v>1800</v>
      </c>
      <c r="E37" s="68">
        <f ca="1">IFERROR(__xludf.DUMMYFUNCTION("IMPORTRANGE(""https://docs.google.com/spreadsheets/d/1xoDLGBv9CYbyosIhki0kTq6IpYNj-gpjxfobnaDiut0/edit?usp=sharing"",""บึงกาฬ!S616"")"),1260)</f>
        <v>1260</v>
      </c>
      <c r="F37" s="68">
        <f t="shared" ca="1" si="24"/>
        <v>70</v>
      </c>
      <c r="G37" s="68">
        <f t="shared" ca="1" si="25"/>
        <v>70</v>
      </c>
      <c r="H37" s="278">
        <f ca="1">IFERROR(__xludf.DUMMYFUNCTION("IMPORTRANGE(""https://docs.google.com/spreadsheets/d/1xoDLGBv9CYbyosIhki0kTq6IpYNj-gpjxfobnaDiut0/edit?usp=sharing"",""บึงกาฬ!I626"")"),0)</f>
        <v>0</v>
      </c>
      <c r="I37" s="152">
        <f ca="1">IFERROR(__xludf.DUMMYFUNCTION("IMPORTRANGE(""https://docs.google.com/spreadsheets/d/1xoDLGBv9CYbyosIhki0kTq6IpYNj-gpjxfobnaDiut0/edit?usp=sharing"",""บึงกาฬ!J626"")"),0)</f>
        <v>0</v>
      </c>
      <c r="J37" s="216">
        <f t="shared" ca="1" si="27"/>
        <v>0</v>
      </c>
      <c r="K37" s="152">
        <f ca="1">IFERROR(__xludf.DUMMYFUNCTION("IMPORTRANGE(""https://docs.google.com/spreadsheets/d/1xoDLGBv9CYbyosIhki0kTq6IpYNj-gpjxfobnaDiut0/edit?usp=sharing"",""บึงกาฬ!I627"")"),1)</f>
        <v>1</v>
      </c>
      <c r="L37" s="152">
        <f ca="1">IFERROR(__xludf.DUMMYFUNCTION("IMPORTRANGE(""https://docs.google.com/spreadsheets/d/1xoDLGBv9CYbyosIhki0kTq6IpYNj-gpjxfobnaDiut0/edit?usp=sharing"",""บึงกาฬ!J627"")"),0)</f>
        <v>0</v>
      </c>
      <c r="M37" s="216">
        <f t="shared" ca="1" si="29"/>
        <v>0</v>
      </c>
      <c r="N37" s="152">
        <f ca="1">IFERROR(__xludf.DUMMYFUNCTION("IMPORTRANGE(""https://docs.google.com/spreadsheets/d/1xoDLGBv9CYbyosIhki0kTq6IpYNj-gpjxfobnaDiut0/edit?usp=sharing"",""บึงกาฬ!I628"")"),1)</f>
        <v>1</v>
      </c>
      <c r="O37" s="152">
        <f ca="1">IFERROR(__xludf.DUMMYFUNCTION("IMPORTRANGE(""https://docs.google.com/spreadsheets/d/1xoDLGBv9CYbyosIhki0kTq6IpYNj-gpjxfobnaDiut0/edit?usp=sharing"",""บึงกาฬ!J628"")"),0)</f>
        <v>0</v>
      </c>
      <c r="P37" s="216">
        <f t="shared" ca="1" si="31"/>
        <v>0</v>
      </c>
      <c r="Q37" s="152">
        <f ca="1">IFERROR(__xludf.DUMMYFUNCTION("IMPORTRANGE(""https://docs.google.com/spreadsheets/d/1xoDLGBv9CYbyosIhki0kTq6IpYNj-gpjxfobnaDiut0/edit?usp=sharing"",""บึงกาฬ!J629"")"),0)</f>
        <v>0</v>
      </c>
      <c r="R37" s="216">
        <f t="shared" ca="1" si="38"/>
        <v>0</v>
      </c>
      <c r="S37" s="152">
        <f ca="1">IFERROR(__xludf.DUMMYFUNCTION("IMPORTRANGE(""https://docs.google.com/spreadsheets/d/1xoDLGBv9CYbyosIhki0kTq6IpYNj-gpjxfobnaDiut0/edit?usp=sharing"",""บึงกาฬ!J630"")"),0)</f>
        <v>0</v>
      </c>
      <c r="T37" s="216">
        <f t="shared" ca="1" si="32"/>
        <v>0</v>
      </c>
      <c r="U37" s="216">
        <f ca="1">IFERROR(__xludf.DUMMYFUNCTION("IMPORTRANGE(""https://docs.google.com/spreadsheets/d/1xoDLGBv9CYbyosIhki0kTq6IpYNj-gpjxfobnaDiut0/edit?usp=sharing"",""บึงกาฬ!J631"")"),0)</f>
        <v>0</v>
      </c>
      <c r="V37" s="216">
        <f t="shared" ca="1" si="33"/>
        <v>0</v>
      </c>
      <c r="W37" s="216">
        <f ca="1">IFERROR(__xludf.DUMMYFUNCTION("IMPORTRANGE(""https://docs.google.com/spreadsheets/d/1xoDLGBv9CYbyosIhki0kTq6IpYNj-gpjxfobnaDiut0/edit?usp=sharing"",""บึงกาฬ!J632"")"),0)</f>
        <v>0</v>
      </c>
      <c r="X37" s="216">
        <f t="shared" ca="1" si="34"/>
        <v>0</v>
      </c>
      <c r="Y37" s="216">
        <f ca="1">IFERROR(__xludf.DUMMYFUNCTION("IMPORTRANGE(""https://docs.google.com/spreadsheets/d/1xoDLGBv9CYbyosIhki0kTq6IpYNj-gpjxfobnaDiut0/edit?usp=sharing"",""บึงกาฬ!J633"")"),0)</f>
        <v>0</v>
      </c>
      <c r="Z37" s="216">
        <f ca="1">IFERROR(__xludf.DUMMYFUNCTION("IMPORTRANGE(""https://docs.google.com/spreadsheets/d/1xoDLGBv9CYbyosIhki0kTq6IpYNj-gpjxfobnaDiut0/edit?usp=sharing"",""บึงกาฬ!J634"")"),0)</f>
        <v>0</v>
      </c>
      <c r="AA37" s="152">
        <f ca="1">IFERROR(__xludf.DUMMYFUNCTION("IMPORTRANGE(""https://docs.google.com/spreadsheets/d/1xoDLGBv9CYbyosIhki0kTq6IpYNj-gpjxfobnaDiut0/edit?usp=sharing"",""บึงกาฬ!I635"")"),0)</f>
        <v>0</v>
      </c>
      <c r="AB37" s="152">
        <f ca="1">IFERROR(__xludf.DUMMYFUNCTION("IMPORTRANGE(""https://docs.google.com/spreadsheets/d/1xoDLGBv9CYbyosIhki0kTq6IpYNj-gpjxfobnaDiut0/edit?usp=sharing"",""บึงกาฬ!J635"")"),0)</f>
        <v>0</v>
      </c>
      <c r="AC37" s="216">
        <f t="shared" ca="1" si="36"/>
        <v>0</v>
      </c>
      <c r="AD37" s="152">
        <f ca="1">IFERROR(__xludf.DUMMYFUNCTION("IMPORTRANGE(""https://docs.google.com/spreadsheets/d/1xoDLGBv9CYbyosIhki0kTq6IpYNj-gpjxfobnaDiut0/edit?usp=sharing"",""บึงกาฬ!J636"")"),0)</f>
        <v>0</v>
      </c>
      <c r="AE37" s="152">
        <f ca="1">IFERROR(__xludf.DUMMYFUNCTION("IMPORTRANGE(""https://docs.google.com/spreadsheets/d/1xoDLGBv9CYbyosIhki0kTq6IpYNj-gpjxfobnaDiut0/edit?usp=sharing"",""บึงกาฬ!J637"")"),0)</f>
        <v>0</v>
      </c>
      <c r="AF37" s="152">
        <f ca="1">IFERROR(__xludf.DUMMYFUNCTION("IMPORTRANGE(""https://docs.google.com/spreadsheets/d/1xoDLGBv9CYbyosIhki0kTq6IpYNj-gpjxfobnaDiut0/edit?usp=sharing"",""บึงกาฬ!J638"")"),0)</f>
        <v>0</v>
      </c>
      <c r="AG37" s="152">
        <f ca="1">IFERROR(__xludf.DUMMYFUNCTION("IMPORTRANGE(""https://docs.google.com/spreadsheets/d/1xoDLGBv9CYbyosIhki0kTq6IpYNj-gpjxfobnaDiut0/edit?usp=sharing"",""บึงกาฬ!J639"")"),0)</f>
        <v>0</v>
      </c>
      <c r="AH37" s="152">
        <f ca="1">IFERROR(__xludf.DUMMYFUNCTION("IMPORTRANGE(""https://docs.google.com/spreadsheets/d/1xoDLGBv9CYbyosIhki0kTq6IpYNj-gpjxfobnaDiut0/edit?usp=sharing"",""บึงกาฬ!J640"")"),0)</f>
        <v>0</v>
      </c>
    </row>
    <row r="38" spans="1:34" ht="19.5" x14ac:dyDescent="0.3">
      <c r="A38" s="70">
        <v>7</v>
      </c>
      <c r="B38" s="71" t="s">
        <v>66</v>
      </c>
      <c r="C38" s="68">
        <f ca="1">IFERROR(__xludf.DUMMYFUNCTION("IMPORTRANGE(""https://docs.google.com/spreadsheets/d/1MMPq-JyI6DSgQETxuSiXkesP-P7JHuemnE6QJIa-Nlw/edit?usp=sharing"",""บุรีรัมย์!Q616"")"),12075)</f>
        <v>12075</v>
      </c>
      <c r="D38" s="68">
        <f ca="1">IFERROR(__xludf.DUMMYFUNCTION("IMPORTRANGE(""https://docs.google.com/spreadsheets/d/1MMPq-JyI6DSgQETxuSiXkesP-P7JHuemnE6QJIa-Nlw/edit?usp=sharing"",""บุรีรัมย์!R616"")"),12075)</f>
        <v>12075</v>
      </c>
      <c r="E38" s="68">
        <f ca="1">IFERROR(__xludf.DUMMYFUNCTION("IMPORTRANGE(""https://docs.google.com/spreadsheets/d/1MMPq-JyI6DSgQETxuSiXkesP-P7JHuemnE6QJIa-Nlw/edit?usp=sharing"",""บุรีรัมย์!S616"")"),2820)</f>
        <v>2820</v>
      </c>
      <c r="F38" s="68">
        <f t="shared" ca="1" si="24"/>
        <v>23.354037267080745</v>
      </c>
      <c r="G38" s="68">
        <f t="shared" ca="1" si="25"/>
        <v>23.354037267080745</v>
      </c>
      <c r="H38" s="278">
        <f ca="1">IFERROR(__xludf.DUMMYFUNCTION("IMPORTRANGE(""https://docs.google.com/spreadsheets/d/1MMPq-JyI6DSgQETxuSiXkesP-P7JHuemnE6QJIa-Nlw/edit?usp=sharing"",""บุรีรัมย์!I626"")"),100)</f>
        <v>100</v>
      </c>
      <c r="I38" s="152">
        <f ca="1">IFERROR(__xludf.DUMMYFUNCTION("IMPORTRANGE(""https://docs.google.com/spreadsheets/d/1MMPq-JyI6DSgQETxuSiXkesP-P7JHuemnE6QJIa-Nlw/edit?usp=sharing"",""บุรีรัมย์!J626"")"),0)</f>
        <v>0</v>
      </c>
      <c r="J38" s="216">
        <f t="shared" ca="1" si="27"/>
        <v>0</v>
      </c>
      <c r="K38" s="152">
        <f ca="1">IFERROR(__xludf.DUMMYFUNCTION("IMPORTRANGE(""https://docs.google.com/spreadsheets/d/1MMPq-JyI6DSgQETxuSiXkesP-P7JHuemnE6QJIa-Nlw/edit?usp=sharing"",""บุรีรัมย์!I627"")"),0)</f>
        <v>0</v>
      </c>
      <c r="L38" s="152">
        <f ca="1">IFERROR(__xludf.DUMMYFUNCTION("IMPORTRANGE(""https://docs.google.com/spreadsheets/d/1MMPq-JyI6DSgQETxuSiXkesP-P7JHuemnE6QJIa-Nlw/edit?usp=sharing"",""บุรีรัมย์!J627"")"),0)</f>
        <v>0</v>
      </c>
      <c r="M38" s="216">
        <f t="shared" ca="1" si="29"/>
        <v>0</v>
      </c>
      <c r="N38" s="152">
        <f ca="1">IFERROR(__xludf.DUMMYFUNCTION("IMPORTRANGE(""https://docs.google.com/spreadsheets/d/1MMPq-JyI6DSgQETxuSiXkesP-P7JHuemnE6QJIa-Nlw/edit?usp=sharing"",""บุรีรัมย์!I628"")"),0)</f>
        <v>0</v>
      </c>
      <c r="O38" s="152">
        <f ca="1">IFERROR(__xludf.DUMMYFUNCTION("IMPORTRANGE(""https://docs.google.com/spreadsheets/d/1MMPq-JyI6DSgQETxuSiXkesP-P7JHuemnE6QJIa-Nlw/edit?usp=sharing"",""บุรีรัมย์!J628"")"),0)</f>
        <v>0</v>
      </c>
      <c r="P38" s="216">
        <f t="shared" ca="1" si="31"/>
        <v>0</v>
      </c>
      <c r="Q38" s="152">
        <f ca="1">IFERROR(__xludf.DUMMYFUNCTION("IMPORTRANGE(""https://docs.google.com/spreadsheets/d/1MMPq-JyI6DSgQETxuSiXkesP-P7JHuemnE6QJIa-Nlw/edit?usp=sharing"",""บุรีรัมย์!J629"")"),0)</f>
        <v>0</v>
      </c>
      <c r="R38" s="216">
        <f t="shared" ca="1" si="38"/>
        <v>0</v>
      </c>
      <c r="S38" s="152">
        <f ca="1">IFERROR(__xludf.DUMMYFUNCTION("IMPORTRANGE(""https://docs.google.com/spreadsheets/d/1MMPq-JyI6DSgQETxuSiXkesP-P7JHuemnE6QJIa-Nlw/edit?usp=sharing"",""บุรีรัมย์!J630"")"),0)</f>
        <v>0</v>
      </c>
      <c r="T38" s="216">
        <f t="shared" ca="1" si="32"/>
        <v>0</v>
      </c>
      <c r="U38" s="216">
        <f ca="1">IFERROR(__xludf.DUMMYFUNCTION("IMPORTRANGE(""https://docs.google.com/spreadsheets/d/1MMPq-JyI6DSgQETxuSiXkesP-P7JHuemnE6QJIa-Nlw/edit?usp=sharing"",""บุรีรัมย์!J631"")"),0)</f>
        <v>0</v>
      </c>
      <c r="V38" s="216">
        <f t="shared" ca="1" si="33"/>
        <v>0</v>
      </c>
      <c r="W38" s="216">
        <f ca="1">IFERROR(__xludf.DUMMYFUNCTION("IMPORTRANGE(""https://docs.google.com/spreadsheets/d/1MMPq-JyI6DSgQETxuSiXkesP-P7JHuemnE6QJIa-Nlw/edit?usp=sharing"",""บุรีรัมย์!J632"")"),0)</f>
        <v>0</v>
      </c>
      <c r="X38" s="216">
        <f t="shared" ca="1" si="34"/>
        <v>0</v>
      </c>
      <c r="Y38" s="216">
        <f ca="1">IFERROR(__xludf.DUMMYFUNCTION("IMPORTRANGE(""https://docs.google.com/spreadsheets/d/1MMPq-JyI6DSgQETxuSiXkesP-P7JHuemnE6QJIa-Nlw/edit?usp=sharing"",""บุรีรัมย์!J633"")"),0)</f>
        <v>0</v>
      </c>
      <c r="Z38" s="216">
        <f ca="1">IFERROR(__xludf.DUMMYFUNCTION("IMPORTRANGE(""https://docs.google.com/spreadsheets/d/1MMPq-JyI6DSgQETxuSiXkesP-P7JHuemnE6QJIa-Nlw/edit?usp=sharing"",""บุรีรัมย์!J634"")"),0)</f>
        <v>0</v>
      </c>
      <c r="AA38" s="152">
        <f ca="1">IFERROR(__xludf.DUMMYFUNCTION("IMPORTRANGE(""https://docs.google.com/spreadsheets/d/1MMPq-JyI6DSgQETxuSiXkesP-P7JHuemnE6QJIa-Nlw/edit?usp=sharing"",""บุรีรัมย์!I635"")"),0)</f>
        <v>0</v>
      </c>
      <c r="AB38" s="152">
        <f ca="1">IFERROR(__xludf.DUMMYFUNCTION("IMPORTRANGE(""https://docs.google.com/spreadsheets/d/1MMPq-JyI6DSgQETxuSiXkesP-P7JHuemnE6QJIa-Nlw/edit?usp=sharing"",""บุรีรัมย์!J635"")"),0)</f>
        <v>0</v>
      </c>
      <c r="AC38" s="216">
        <f t="shared" ca="1" si="36"/>
        <v>0</v>
      </c>
      <c r="AD38" s="152">
        <f ca="1">IFERROR(__xludf.DUMMYFUNCTION("IMPORTRANGE(""https://docs.google.com/spreadsheets/d/1MMPq-JyI6DSgQETxuSiXkesP-P7JHuemnE6QJIa-Nlw/edit?usp=sharing"",""บุรีรัมย์!J636"")"),0)</f>
        <v>0</v>
      </c>
      <c r="AE38" s="152">
        <f ca="1">IFERROR(__xludf.DUMMYFUNCTION("IMPORTRANGE(""https://docs.google.com/spreadsheets/d/1MMPq-JyI6DSgQETxuSiXkesP-P7JHuemnE6QJIa-Nlw/edit?usp=sharing"",""บุรีรัมย์!J637"")"),0)</f>
        <v>0</v>
      </c>
      <c r="AF38" s="152">
        <f ca="1">IFERROR(__xludf.DUMMYFUNCTION("IMPORTRANGE(""https://docs.google.com/spreadsheets/d/1MMPq-JyI6DSgQETxuSiXkesP-P7JHuemnE6QJIa-Nlw/edit?usp=sharing"",""บุรีรัมย์!J638"")"),0)</f>
        <v>0</v>
      </c>
      <c r="AG38" s="152">
        <f ca="1">IFERROR(__xludf.DUMMYFUNCTION("IMPORTRANGE(""https://docs.google.com/spreadsheets/d/1MMPq-JyI6DSgQETxuSiXkesP-P7JHuemnE6QJIa-Nlw/edit?usp=sharing"",""บุรีรัมย์!J639"")"),0)</f>
        <v>0</v>
      </c>
      <c r="AH38" s="152">
        <f ca="1">IFERROR(__xludf.DUMMYFUNCTION("IMPORTRANGE(""https://docs.google.com/spreadsheets/d/1MMPq-JyI6DSgQETxuSiXkesP-P7JHuemnE6QJIa-Nlw/edit?usp=sharing"",""บุรีรัมย์!J640"")"),0)</f>
        <v>0</v>
      </c>
    </row>
    <row r="39" spans="1:34" ht="19.5" x14ac:dyDescent="0.3">
      <c r="A39" s="70">
        <v>8</v>
      </c>
      <c r="B39" s="71" t="s">
        <v>67</v>
      </c>
      <c r="C39" s="68">
        <f ca="1">IFERROR(__xludf.DUMMYFUNCTION("IMPORTRANGE(""https://docs.google.com/spreadsheets/d/1l6IZ8xUPgMrESzcTYwhA1k_tPjeQjJPTqlm8Gd9eU5g/edit?usp=sharing"",""มหาสารคาม!Q616"")"),7425)</f>
        <v>7425</v>
      </c>
      <c r="D39" s="68">
        <f ca="1">IFERROR(__xludf.DUMMYFUNCTION("IMPORTRANGE(""https://docs.google.com/spreadsheets/d/1l6IZ8xUPgMrESzcTYwhA1k_tPjeQjJPTqlm8Gd9eU5g/edit?usp=sharing"",""มหาสารคาม!R616"")"),7425)</f>
        <v>7425</v>
      </c>
      <c r="E39" s="68">
        <f ca="1">IFERROR(__xludf.DUMMYFUNCTION("IMPORTRANGE(""https://docs.google.com/spreadsheets/d/1l6IZ8xUPgMrESzcTYwhA1k_tPjeQjJPTqlm8Gd9eU5g/edit?usp=sharing"",""มหาสารคาม!S616"")"),0)</f>
        <v>0</v>
      </c>
      <c r="F39" s="68">
        <f t="shared" ca="1" si="24"/>
        <v>0</v>
      </c>
      <c r="G39" s="68">
        <f t="shared" ca="1" si="25"/>
        <v>0</v>
      </c>
      <c r="H39" s="278">
        <f ca="1">IFERROR(__xludf.DUMMYFUNCTION("IMPORTRANGE(""https://docs.google.com/spreadsheets/d/1l6IZ8xUPgMrESzcTYwhA1k_tPjeQjJPTqlm8Gd9eU5g/edit?usp=sharing"",""มหาสารคาม!I626"")"),50)</f>
        <v>50</v>
      </c>
      <c r="I39" s="152">
        <f ca="1">IFERROR(__xludf.DUMMYFUNCTION("IMPORTRANGE(""https://docs.google.com/spreadsheets/d/1l6IZ8xUPgMrESzcTYwhA1k_tPjeQjJPTqlm8Gd9eU5g/edit?usp=sharing"",""มหาสารคาม!J626"")"),0)</f>
        <v>0</v>
      </c>
      <c r="J39" s="216">
        <f t="shared" ca="1" si="27"/>
        <v>0</v>
      </c>
      <c r="K39" s="152">
        <f ca="1">IFERROR(__xludf.DUMMYFUNCTION("IMPORTRANGE(""https://docs.google.com/spreadsheets/d/1l6IZ8xUPgMrESzcTYwhA1k_tPjeQjJPTqlm8Gd9eU5g/edit?usp=sharing"",""มหาสารคาม!I627"")"),1)</f>
        <v>1</v>
      </c>
      <c r="L39" s="152">
        <f ca="1">IFERROR(__xludf.DUMMYFUNCTION("IMPORTRANGE(""https://docs.google.com/spreadsheets/d/1l6IZ8xUPgMrESzcTYwhA1k_tPjeQjJPTqlm8Gd9eU5g/edit?usp=sharing"",""มหาสารคาม!J627"")"),1)</f>
        <v>1</v>
      </c>
      <c r="M39" s="216">
        <f t="shared" ca="1" si="29"/>
        <v>100</v>
      </c>
      <c r="N39" s="152">
        <f ca="1">IFERROR(__xludf.DUMMYFUNCTION("IMPORTRANGE(""https://docs.google.com/spreadsheets/d/1l6IZ8xUPgMrESzcTYwhA1k_tPjeQjJPTqlm8Gd9eU5g/edit?usp=sharing"",""มหาสารคาม!I628"")"),1)</f>
        <v>1</v>
      </c>
      <c r="O39" s="152">
        <f ca="1">IFERROR(__xludf.DUMMYFUNCTION("IMPORTRANGE(""https://docs.google.com/spreadsheets/d/1l6IZ8xUPgMrESzcTYwhA1k_tPjeQjJPTqlm8Gd9eU5g/edit?usp=sharing"",""มหาสารคาม!J628"")"),1)</f>
        <v>1</v>
      </c>
      <c r="P39" s="216">
        <f t="shared" ca="1" si="31"/>
        <v>100</v>
      </c>
      <c r="Q39" s="152">
        <f ca="1">IFERROR(__xludf.DUMMYFUNCTION("IMPORTRANGE(""https://docs.google.com/spreadsheets/d/1l6IZ8xUPgMrESzcTYwhA1k_tPjeQjJPTqlm8Gd9eU5g/edit?usp=sharing"",""มหาสารคาม!J629"")"),0)</f>
        <v>0</v>
      </c>
      <c r="R39" s="216">
        <f t="shared" ca="1" si="38"/>
        <v>0</v>
      </c>
      <c r="S39" s="152">
        <f ca="1">IFERROR(__xludf.DUMMYFUNCTION("IMPORTRANGE(""https://docs.google.com/spreadsheets/d/1l6IZ8xUPgMrESzcTYwhA1k_tPjeQjJPTqlm8Gd9eU5g/edit?usp=sharing"",""มหาสารคาม!J630"")"),0)</f>
        <v>0</v>
      </c>
      <c r="T39" s="216">
        <f t="shared" ca="1" si="32"/>
        <v>0</v>
      </c>
      <c r="U39" s="216">
        <f ca="1">IFERROR(__xludf.DUMMYFUNCTION("IMPORTRANGE(""https://docs.google.com/spreadsheets/d/1l6IZ8xUPgMrESzcTYwhA1k_tPjeQjJPTqlm8Gd9eU5g/edit?usp=sharing"",""มหาสารคาม!J631"")"),0)</f>
        <v>0</v>
      </c>
      <c r="V39" s="216">
        <f t="shared" ca="1" si="33"/>
        <v>0</v>
      </c>
      <c r="W39" s="216">
        <f ca="1">IFERROR(__xludf.DUMMYFUNCTION("IMPORTRANGE(""https://docs.google.com/spreadsheets/d/1l6IZ8xUPgMrESzcTYwhA1k_tPjeQjJPTqlm8Gd9eU5g/edit?usp=sharing"",""มหาสารคาม!J632"")"),0)</f>
        <v>0</v>
      </c>
      <c r="X39" s="216">
        <f t="shared" ca="1" si="34"/>
        <v>0</v>
      </c>
      <c r="Y39" s="216">
        <f ca="1">IFERROR(__xludf.DUMMYFUNCTION("IMPORTRANGE(""https://docs.google.com/spreadsheets/d/1l6IZ8xUPgMrESzcTYwhA1k_tPjeQjJPTqlm8Gd9eU5g/edit?usp=sharing"",""มหาสารคาม!J633"")"),0)</f>
        <v>0</v>
      </c>
      <c r="Z39" s="216">
        <f ca="1">IFERROR(__xludf.DUMMYFUNCTION("IMPORTRANGE(""https://docs.google.com/spreadsheets/d/1l6IZ8xUPgMrESzcTYwhA1k_tPjeQjJPTqlm8Gd9eU5g/edit?usp=sharing"",""มหาสารคาม!J634"")"),0)</f>
        <v>0</v>
      </c>
      <c r="AA39" s="152">
        <f ca="1">IFERROR(__xludf.DUMMYFUNCTION("IMPORTRANGE(""https://docs.google.com/spreadsheets/d/1l6IZ8xUPgMrESzcTYwhA1k_tPjeQjJPTqlm8Gd9eU5g/edit?usp=sharing"",""มหาสารคาม!I635"")"),0)</f>
        <v>0</v>
      </c>
      <c r="AB39" s="152">
        <f ca="1">IFERROR(__xludf.DUMMYFUNCTION("IMPORTRANGE(""https://docs.google.com/spreadsheets/d/1l6IZ8xUPgMrESzcTYwhA1k_tPjeQjJPTqlm8Gd9eU5g/edit?usp=sharing"",""มหาสารคาม!J635"")"),0)</f>
        <v>0</v>
      </c>
      <c r="AC39" s="216">
        <f t="shared" ca="1" si="36"/>
        <v>0</v>
      </c>
      <c r="AD39" s="152">
        <f ca="1">IFERROR(__xludf.DUMMYFUNCTION("IMPORTRANGE(""https://docs.google.com/spreadsheets/d/1l6IZ8xUPgMrESzcTYwhA1k_tPjeQjJPTqlm8Gd9eU5g/edit?usp=sharing"",""มหาสารคาม!J636"")"),0)</f>
        <v>0</v>
      </c>
      <c r="AE39" s="152">
        <f ca="1">IFERROR(__xludf.DUMMYFUNCTION("IMPORTRANGE(""https://docs.google.com/spreadsheets/d/1l6IZ8xUPgMrESzcTYwhA1k_tPjeQjJPTqlm8Gd9eU5g/edit?usp=sharing"",""มหาสารคาม!J637"")"),0)</f>
        <v>0</v>
      </c>
      <c r="AF39" s="152">
        <f ca="1">IFERROR(__xludf.DUMMYFUNCTION("IMPORTRANGE(""https://docs.google.com/spreadsheets/d/1l6IZ8xUPgMrESzcTYwhA1k_tPjeQjJPTqlm8Gd9eU5g/edit?usp=sharing"",""มหาสารคาม!J638"")"),0)</f>
        <v>0</v>
      </c>
      <c r="AG39" s="152">
        <f ca="1">IFERROR(__xludf.DUMMYFUNCTION("IMPORTRANGE(""https://docs.google.com/spreadsheets/d/1l6IZ8xUPgMrESzcTYwhA1k_tPjeQjJPTqlm8Gd9eU5g/edit?usp=sharing"",""มหาสารคาม!J639"")"),0)</f>
        <v>0</v>
      </c>
      <c r="AH39" s="152">
        <f ca="1">IFERROR(__xludf.DUMMYFUNCTION("IMPORTRANGE(""https://docs.google.com/spreadsheets/d/1l6IZ8xUPgMrESzcTYwhA1k_tPjeQjJPTqlm8Gd9eU5g/edit?usp=sharing"",""มหาสารคาม!J640"")"),0)</f>
        <v>0</v>
      </c>
    </row>
    <row r="40" spans="1:34" ht="19.5" x14ac:dyDescent="0.3">
      <c r="A40" s="70">
        <v>9</v>
      </c>
      <c r="B40" s="71" t="s">
        <v>68</v>
      </c>
      <c r="C40" s="68">
        <f ca="1">IFERROR(__xludf.DUMMYFUNCTION("IMPORTRANGE(""https://docs.google.com/spreadsheets/d/1uB74YLqNjWX6FObjekfB2NtSYigTQyR2rq9u4Ub2Sq4/edit?usp=sharing"",""มุกดาหาร!Q616"")"),12275)</f>
        <v>12275</v>
      </c>
      <c r="D40" s="68">
        <f ca="1">IFERROR(__xludf.DUMMYFUNCTION("IMPORTRANGE(""https://docs.google.com/spreadsheets/d/1uB74YLqNjWX6FObjekfB2NtSYigTQyR2rq9u4Ub2Sq4/edit?usp=sharing"",""มุกดาหาร!R616"")"),12275)</f>
        <v>12275</v>
      </c>
      <c r="E40" s="68">
        <f ca="1">IFERROR(__xludf.DUMMYFUNCTION("IMPORTRANGE(""https://docs.google.com/spreadsheets/d/1uB74YLqNjWX6FObjekfB2NtSYigTQyR2rq9u4Ub2Sq4/edit?usp=sharing"",""มุกดาหาร!S616"")"),1600)</f>
        <v>1600</v>
      </c>
      <c r="F40" s="68">
        <f t="shared" ca="1" si="24"/>
        <v>13.034623217922608</v>
      </c>
      <c r="G40" s="68">
        <f t="shared" ca="1" si="25"/>
        <v>13.034623217922608</v>
      </c>
      <c r="H40" s="278">
        <f ca="1">IFERROR(__xludf.DUMMYFUNCTION("IMPORTRANGE(""https://docs.google.com/spreadsheets/d/1uB74YLqNjWX6FObjekfB2NtSYigTQyR2rq9u4Ub2Sq4/edit?usp=sharing"",""มุกดาหาร!I626"")"),100)</f>
        <v>100</v>
      </c>
      <c r="I40" s="152">
        <f ca="1">IFERROR(__xludf.DUMMYFUNCTION("IMPORTRANGE(""https://docs.google.com/spreadsheets/d/1uB74YLqNjWX6FObjekfB2NtSYigTQyR2rq9u4Ub2Sq4/edit?usp=sharing"",""มุกดาหาร!J626"")"),0)</f>
        <v>0</v>
      </c>
      <c r="J40" s="216">
        <f t="shared" ca="1" si="27"/>
        <v>0</v>
      </c>
      <c r="K40" s="152">
        <f ca="1">IFERROR(__xludf.DUMMYFUNCTION("IMPORTRANGE(""https://docs.google.com/spreadsheets/d/1uB74YLqNjWX6FObjekfB2NtSYigTQyR2rq9u4Ub2Sq4/edit?usp=sharing"",""มุกดาหาร!I627"")"),1)</f>
        <v>1</v>
      </c>
      <c r="L40" s="152">
        <f ca="1">IFERROR(__xludf.DUMMYFUNCTION("IMPORTRANGE(""https://docs.google.com/spreadsheets/d/1uB74YLqNjWX6FObjekfB2NtSYigTQyR2rq9u4Ub2Sq4/edit?usp=sharing"",""มุกดาหาร!J627"")"),1)</f>
        <v>1</v>
      </c>
      <c r="M40" s="216">
        <f t="shared" ca="1" si="29"/>
        <v>100</v>
      </c>
      <c r="N40" s="152">
        <f ca="1">IFERROR(__xludf.DUMMYFUNCTION("IMPORTRANGE(""https://docs.google.com/spreadsheets/d/1uB74YLqNjWX6FObjekfB2NtSYigTQyR2rq9u4Ub2Sq4/edit?usp=sharing"",""มุกดาหาร!I628"")"),1)</f>
        <v>1</v>
      </c>
      <c r="O40" s="152">
        <f ca="1">IFERROR(__xludf.DUMMYFUNCTION("IMPORTRANGE(""https://docs.google.com/spreadsheets/d/1uB74YLqNjWX6FObjekfB2NtSYigTQyR2rq9u4Ub2Sq4/edit?usp=sharing"",""มุกดาหาร!J628"")"),1)</f>
        <v>1</v>
      </c>
      <c r="P40" s="216">
        <f t="shared" ca="1" si="31"/>
        <v>100</v>
      </c>
      <c r="Q40" s="152">
        <f ca="1">IFERROR(__xludf.DUMMYFUNCTION("IMPORTRANGE(""https://docs.google.com/spreadsheets/d/1uB74YLqNjWX6FObjekfB2NtSYigTQyR2rq9u4Ub2Sq4/edit?usp=sharing"",""มุกดาหาร!J629"")"),266)</f>
        <v>266</v>
      </c>
      <c r="R40" s="216">
        <f t="shared" ca="1" si="38"/>
        <v>266</v>
      </c>
      <c r="S40" s="152">
        <f ca="1">IFERROR(__xludf.DUMMYFUNCTION("IMPORTRANGE(""https://docs.google.com/spreadsheets/d/1uB74YLqNjWX6FObjekfB2NtSYigTQyR2rq9u4Ub2Sq4/edit?usp=sharing"",""มุกดาหาร!J630"")"),266)</f>
        <v>266</v>
      </c>
      <c r="T40" s="216">
        <f t="shared" ca="1" si="32"/>
        <v>266</v>
      </c>
      <c r="U40" s="216">
        <f ca="1">IFERROR(__xludf.DUMMYFUNCTION("IMPORTRANGE(""https://docs.google.com/spreadsheets/d/1uB74YLqNjWX6FObjekfB2NtSYigTQyR2rq9u4Ub2Sq4/edit?usp=sharing"",""มุกดาหาร!J631"")"),0)</f>
        <v>0</v>
      </c>
      <c r="V40" s="216">
        <f t="shared" ca="1" si="33"/>
        <v>0</v>
      </c>
      <c r="W40" s="216">
        <f ca="1">IFERROR(__xludf.DUMMYFUNCTION("IMPORTRANGE(""https://docs.google.com/spreadsheets/d/1uB74YLqNjWX6FObjekfB2NtSYigTQyR2rq9u4Ub2Sq4/edit?usp=sharing"",""มุกดาหาร!J632"")"),0)</f>
        <v>0</v>
      </c>
      <c r="X40" s="216">
        <f t="shared" ca="1" si="34"/>
        <v>0</v>
      </c>
      <c r="Y40" s="216">
        <f ca="1">IFERROR(__xludf.DUMMYFUNCTION("IMPORTRANGE(""https://docs.google.com/spreadsheets/d/1uB74YLqNjWX6FObjekfB2NtSYigTQyR2rq9u4Ub2Sq4/edit?usp=sharing"",""มุกดาหาร!J633"")"),0)</f>
        <v>0</v>
      </c>
      <c r="Z40" s="216">
        <f ca="1">IFERROR(__xludf.DUMMYFUNCTION("IMPORTRANGE(""https://docs.google.com/spreadsheets/d/1uB74YLqNjWX6FObjekfB2NtSYigTQyR2rq9u4Ub2Sq4/edit?usp=sharing"",""มุกดาหาร!J634"")"),0)</f>
        <v>0</v>
      </c>
      <c r="AA40" s="152">
        <f ca="1">IFERROR(__xludf.DUMMYFUNCTION("IMPORTRANGE(""https://docs.google.com/spreadsheets/d/1uB74YLqNjWX6FObjekfB2NtSYigTQyR2rq9u4Ub2Sq4/edit?usp=sharing"",""มุกดาหาร!I635"")"),0)</f>
        <v>0</v>
      </c>
      <c r="AB40" s="152">
        <f ca="1">IFERROR(__xludf.DUMMYFUNCTION("IMPORTRANGE(""https://docs.google.com/spreadsheets/d/1uB74YLqNjWX6FObjekfB2NtSYigTQyR2rq9u4Ub2Sq4/edit?usp=sharing"",""มุกดาหาร!J635"")"),0)</f>
        <v>0</v>
      </c>
      <c r="AC40" s="216">
        <f t="shared" ca="1" si="36"/>
        <v>0</v>
      </c>
      <c r="AD40" s="152">
        <f ca="1">IFERROR(__xludf.DUMMYFUNCTION("IMPORTRANGE(""https://docs.google.com/spreadsheets/d/1uB74YLqNjWX6FObjekfB2NtSYigTQyR2rq9u4Ub2Sq4/edit?usp=sharing"",""มุกดาหาร!J636"")"),0)</f>
        <v>0</v>
      </c>
      <c r="AE40" s="152">
        <f ca="1">IFERROR(__xludf.DUMMYFUNCTION("IMPORTRANGE(""https://docs.google.com/spreadsheets/d/1uB74YLqNjWX6FObjekfB2NtSYigTQyR2rq9u4Ub2Sq4/edit?usp=sharing"",""มุกดาหาร!J637"")"),0)</f>
        <v>0</v>
      </c>
      <c r="AF40" s="152">
        <f ca="1">IFERROR(__xludf.DUMMYFUNCTION("IMPORTRANGE(""https://docs.google.com/spreadsheets/d/1uB74YLqNjWX6FObjekfB2NtSYigTQyR2rq9u4Ub2Sq4/edit?usp=sharing"",""มุกดาหาร!J638"")"),0)</f>
        <v>0</v>
      </c>
      <c r="AG40" s="152">
        <f ca="1">IFERROR(__xludf.DUMMYFUNCTION("IMPORTRANGE(""https://docs.google.com/spreadsheets/d/1uB74YLqNjWX6FObjekfB2NtSYigTQyR2rq9u4Ub2Sq4/edit?usp=sharing"",""มุกดาหาร!J639"")"),0)</f>
        <v>0</v>
      </c>
      <c r="AH40" s="152">
        <f ca="1">IFERROR(__xludf.DUMMYFUNCTION("IMPORTRANGE(""https://docs.google.com/spreadsheets/d/1uB74YLqNjWX6FObjekfB2NtSYigTQyR2rq9u4Ub2Sq4/edit?usp=sharing"",""มุกดาหาร!J640"")"),0)</f>
        <v>0</v>
      </c>
    </row>
    <row r="41" spans="1:34" ht="19.5" x14ac:dyDescent="0.3">
      <c r="A41" s="70">
        <v>10</v>
      </c>
      <c r="B41" s="71" t="s">
        <v>69</v>
      </c>
      <c r="C41" s="68">
        <f ca="1">IFERROR(__xludf.DUMMYFUNCTION("IMPORTRANGE(""https://docs.google.com/spreadsheets/d/1NexK3geCPxCTO1fzNF8dPec7yZyUx3OaWkFBC9HsQOo/edit?usp=sharing"",""ยโสธร!Q616"")"),12325)</f>
        <v>12325</v>
      </c>
      <c r="D41" s="68">
        <f ca="1">IFERROR(__xludf.DUMMYFUNCTION("IMPORTRANGE(""https://docs.google.com/spreadsheets/d/1NexK3geCPxCTO1fzNF8dPec7yZyUx3OaWkFBC9HsQOo/edit?usp=sharing"",""ยโสธร!R616"")"),12325)</f>
        <v>12325</v>
      </c>
      <c r="E41" s="68">
        <f ca="1">IFERROR(__xludf.DUMMYFUNCTION("IMPORTRANGE(""https://docs.google.com/spreadsheets/d/1NexK3geCPxCTO1fzNF8dPec7yZyUx3OaWkFBC9HsQOo/edit?usp=sharing"",""ยโสธร!S616"")"),1600)</f>
        <v>1600</v>
      </c>
      <c r="F41" s="68">
        <f t="shared" ca="1" si="24"/>
        <v>12.981744421906694</v>
      </c>
      <c r="G41" s="68">
        <f t="shared" ca="1" si="25"/>
        <v>12.981744421906694</v>
      </c>
      <c r="H41" s="278">
        <f ca="1">IFERROR(__xludf.DUMMYFUNCTION("IMPORTRANGE(""https://docs.google.com/spreadsheets/d/1NexK3geCPxCTO1fzNF8dPec7yZyUx3OaWkFBC9HsQOo/edit?usp=sharing"",""ยโสธร!I626"")"),100)</f>
        <v>100</v>
      </c>
      <c r="I41" s="152">
        <f ca="1">IFERROR(__xludf.DUMMYFUNCTION("IMPORTRANGE(""https://docs.google.com/spreadsheets/d/1NexK3geCPxCTO1fzNF8dPec7yZyUx3OaWkFBC9HsQOo/edit?usp=sharing"",""ยโสธร!J626"")"),0)</f>
        <v>0</v>
      </c>
      <c r="J41" s="216">
        <f t="shared" ca="1" si="27"/>
        <v>0</v>
      </c>
      <c r="K41" s="152">
        <f ca="1">IFERROR(__xludf.DUMMYFUNCTION("IMPORTRANGE(""https://docs.google.com/spreadsheets/d/1NexK3geCPxCTO1fzNF8dPec7yZyUx3OaWkFBC9HsQOo/edit?usp=sharing"",""ยโสธร!I627"")"),1)</f>
        <v>1</v>
      </c>
      <c r="L41" s="152">
        <f ca="1">IFERROR(__xludf.DUMMYFUNCTION("IMPORTRANGE(""https://docs.google.com/spreadsheets/d/1NexK3geCPxCTO1fzNF8dPec7yZyUx3OaWkFBC9HsQOo/edit?usp=sharing"",""ยโสธร!J627"")"),1)</f>
        <v>1</v>
      </c>
      <c r="M41" s="216">
        <f t="shared" ca="1" si="29"/>
        <v>100</v>
      </c>
      <c r="N41" s="152">
        <f ca="1">IFERROR(__xludf.DUMMYFUNCTION("IMPORTRANGE(""https://docs.google.com/spreadsheets/d/1NexK3geCPxCTO1fzNF8dPec7yZyUx3OaWkFBC9HsQOo/edit?usp=sharing"",""ยโสธร!I628"")"),1)</f>
        <v>1</v>
      </c>
      <c r="O41" s="152">
        <f ca="1">IFERROR(__xludf.DUMMYFUNCTION("IMPORTRANGE(""https://docs.google.com/spreadsheets/d/1NexK3geCPxCTO1fzNF8dPec7yZyUx3OaWkFBC9HsQOo/edit?usp=sharing"",""ยโสธร!J628"")"),1)</f>
        <v>1</v>
      </c>
      <c r="P41" s="216">
        <f t="shared" ca="1" si="31"/>
        <v>100</v>
      </c>
      <c r="Q41" s="152">
        <f ca="1">IFERROR(__xludf.DUMMYFUNCTION("IMPORTRANGE(""https://docs.google.com/spreadsheets/d/1NexK3geCPxCTO1fzNF8dPec7yZyUx3OaWkFBC9HsQOo/edit?usp=sharing"",""ยโสธร!J629"")"),89)</f>
        <v>89</v>
      </c>
      <c r="R41" s="216">
        <f t="shared" ca="1" si="38"/>
        <v>89</v>
      </c>
      <c r="S41" s="152">
        <f ca="1">IFERROR(__xludf.DUMMYFUNCTION("IMPORTRANGE(""https://docs.google.com/spreadsheets/d/1NexK3geCPxCTO1fzNF8dPec7yZyUx3OaWkFBC9HsQOo/edit?usp=sharing"",""ยโสธร!J630"")"),0)</f>
        <v>0</v>
      </c>
      <c r="T41" s="216">
        <f t="shared" ca="1" si="32"/>
        <v>0</v>
      </c>
      <c r="U41" s="216">
        <f ca="1">IFERROR(__xludf.DUMMYFUNCTION("IMPORTRANGE(""https://docs.google.com/spreadsheets/d/1NexK3geCPxCTO1fzNF8dPec7yZyUx3OaWkFBC9HsQOo/edit?usp=sharing"",""ยโสธร!J631"")"),0)</f>
        <v>0</v>
      </c>
      <c r="V41" s="216">
        <f t="shared" ca="1" si="33"/>
        <v>0</v>
      </c>
      <c r="W41" s="216">
        <f ca="1">IFERROR(__xludf.DUMMYFUNCTION("IMPORTRANGE(""https://docs.google.com/spreadsheets/d/1NexK3geCPxCTO1fzNF8dPec7yZyUx3OaWkFBC9HsQOo/edit?usp=sharing"",""ยโสธร!J632"")"),0)</f>
        <v>0</v>
      </c>
      <c r="X41" s="216">
        <f t="shared" ca="1" si="34"/>
        <v>0</v>
      </c>
      <c r="Y41" s="216">
        <f ca="1">IFERROR(__xludf.DUMMYFUNCTION("IMPORTRANGE(""https://docs.google.com/spreadsheets/d/1NexK3geCPxCTO1fzNF8dPec7yZyUx3OaWkFBC9HsQOo/edit?usp=sharing"",""ยโสธร!J633"")"),0)</f>
        <v>0</v>
      </c>
      <c r="Z41" s="216">
        <f ca="1">IFERROR(__xludf.DUMMYFUNCTION("IMPORTRANGE(""https://docs.google.com/spreadsheets/d/1NexK3geCPxCTO1fzNF8dPec7yZyUx3OaWkFBC9HsQOo/edit?usp=sharing"",""ยโสธร!J634"")"),0)</f>
        <v>0</v>
      </c>
      <c r="AA41" s="152">
        <f ca="1">IFERROR(__xludf.DUMMYFUNCTION("IMPORTRANGE(""https://docs.google.com/spreadsheets/d/1NexK3geCPxCTO1fzNF8dPec7yZyUx3OaWkFBC9HsQOo/edit?usp=sharing"",""ยโสธร!I635"")"),0)</f>
        <v>0</v>
      </c>
      <c r="AB41" s="152">
        <f ca="1">IFERROR(__xludf.DUMMYFUNCTION("IMPORTRANGE(""https://docs.google.com/spreadsheets/d/1NexK3geCPxCTO1fzNF8dPec7yZyUx3OaWkFBC9HsQOo/edit?usp=sharing"",""ยโสธร!J635"")"),0)</f>
        <v>0</v>
      </c>
      <c r="AC41" s="216">
        <f t="shared" ca="1" si="36"/>
        <v>0</v>
      </c>
      <c r="AD41" s="152">
        <f ca="1">IFERROR(__xludf.DUMMYFUNCTION("IMPORTRANGE(""https://docs.google.com/spreadsheets/d/1NexK3geCPxCTO1fzNF8dPec7yZyUx3OaWkFBC9HsQOo/edit?usp=sharing"",""ยโสธร!J636"")"),0)</f>
        <v>0</v>
      </c>
      <c r="AE41" s="152">
        <f ca="1">IFERROR(__xludf.DUMMYFUNCTION("IMPORTRANGE(""https://docs.google.com/spreadsheets/d/1NexK3geCPxCTO1fzNF8dPec7yZyUx3OaWkFBC9HsQOo/edit?usp=sharing"",""ยโสธร!J637"")"),0)</f>
        <v>0</v>
      </c>
      <c r="AF41" s="152">
        <f ca="1">IFERROR(__xludf.DUMMYFUNCTION("IMPORTRANGE(""https://docs.google.com/spreadsheets/d/1NexK3geCPxCTO1fzNF8dPec7yZyUx3OaWkFBC9HsQOo/edit?usp=sharing"",""ยโสธร!J638"")"),0)</f>
        <v>0</v>
      </c>
      <c r="AG41" s="152">
        <f ca="1">IFERROR(__xludf.DUMMYFUNCTION("IMPORTRANGE(""https://docs.google.com/spreadsheets/d/1NexK3geCPxCTO1fzNF8dPec7yZyUx3OaWkFBC9HsQOo/edit?usp=sharing"",""ยโสธร!J639"")"),0)</f>
        <v>0</v>
      </c>
      <c r="AH41" s="152">
        <f ca="1">IFERROR(__xludf.DUMMYFUNCTION("IMPORTRANGE(""https://docs.google.com/spreadsheets/d/1NexK3geCPxCTO1fzNF8dPec7yZyUx3OaWkFBC9HsQOo/edit?usp=sharing"",""ยโสธร!J640"")"),0)</f>
        <v>0</v>
      </c>
    </row>
    <row r="42" spans="1:34" ht="19.5" x14ac:dyDescent="0.3">
      <c r="A42" s="70">
        <v>11</v>
      </c>
      <c r="B42" s="71" t="s">
        <v>70</v>
      </c>
      <c r="C42" s="68">
        <f ca="1">IFERROR(__xludf.DUMMYFUNCTION("IMPORTRANGE(""https://docs.google.com/spreadsheets/d/1v_cJrbBlyqmnHPReHk44g9NrMRdENNlSy_E_c5M9fIg/edit?usp=sharing"",""ร้อยเอ็ด!Q616"")"),7000)</f>
        <v>7000</v>
      </c>
      <c r="D42" s="68">
        <f ca="1">IFERROR(__xludf.DUMMYFUNCTION("IMPORTRANGE(""https://docs.google.com/spreadsheets/d/1v_cJrbBlyqmnHPReHk44g9NrMRdENNlSy_E_c5M9fIg/edit?usp=sharing"",""ร้อยเอ็ด!R616"")"),7000)</f>
        <v>7000</v>
      </c>
      <c r="E42" s="68">
        <f ca="1">IFERROR(__xludf.DUMMYFUNCTION("IMPORTRANGE(""https://docs.google.com/spreadsheets/d/1v_cJrbBlyqmnHPReHk44g9NrMRdENNlSy_E_c5M9fIg/edit?usp=sharing"",""ร้อยเอ็ด!S616"")"),500)</f>
        <v>500</v>
      </c>
      <c r="F42" s="68">
        <f t="shared" ca="1" si="24"/>
        <v>7.1428571428571432</v>
      </c>
      <c r="G42" s="68">
        <f t="shared" ca="1" si="25"/>
        <v>7.1428571428571432</v>
      </c>
      <c r="H42" s="278">
        <f ca="1">IFERROR(__xludf.DUMMYFUNCTION("IMPORTRANGE(""https://docs.google.com/spreadsheets/d/1v_cJrbBlyqmnHPReHk44g9NrMRdENNlSy_E_c5M9fIg/edit?usp=sharing"",""ร้อยเอ็ด!I626"")"),50)</f>
        <v>50</v>
      </c>
      <c r="I42" s="152">
        <f ca="1">IFERROR(__xludf.DUMMYFUNCTION("IMPORTRANGE(""https://docs.google.com/spreadsheets/d/1v_cJrbBlyqmnHPReHk44g9NrMRdENNlSy_E_c5M9fIg/edit?usp=sharing"",""ร้อยเอ็ด!J626"")"),0)</f>
        <v>0</v>
      </c>
      <c r="J42" s="216">
        <f t="shared" ca="1" si="27"/>
        <v>0</v>
      </c>
      <c r="K42" s="152">
        <f ca="1">IFERROR(__xludf.DUMMYFUNCTION("IMPORTRANGE(""https://docs.google.com/spreadsheets/d/1v_cJrbBlyqmnHPReHk44g9NrMRdENNlSy_E_c5M9fIg/edit?usp=sharing"",""ร้อยเอ็ด!I627"")"),0)</f>
        <v>0</v>
      </c>
      <c r="L42" s="152">
        <f ca="1">IFERROR(__xludf.DUMMYFUNCTION("IMPORTRANGE(""https://docs.google.com/spreadsheets/d/1v_cJrbBlyqmnHPReHk44g9NrMRdENNlSy_E_c5M9fIg/edit?usp=sharing"",""ร้อยเอ็ด!J627"")"),0)</f>
        <v>0</v>
      </c>
      <c r="M42" s="216">
        <f t="shared" ca="1" si="29"/>
        <v>0</v>
      </c>
      <c r="N42" s="152">
        <f ca="1">IFERROR(__xludf.DUMMYFUNCTION("IMPORTRANGE(""https://docs.google.com/spreadsheets/d/1v_cJrbBlyqmnHPReHk44g9NrMRdENNlSy_E_c5M9fIg/edit?usp=sharing"",""ร้อยเอ็ด!I628"")"),0)</f>
        <v>0</v>
      </c>
      <c r="O42" s="152">
        <f ca="1">IFERROR(__xludf.DUMMYFUNCTION("IMPORTRANGE(""https://docs.google.com/spreadsheets/d/1v_cJrbBlyqmnHPReHk44g9NrMRdENNlSy_E_c5M9fIg/edit?usp=sharing"",""ร้อยเอ็ด!J628"")"),0)</f>
        <v>0</v>
      </c>
      <c r="P42" s="216">
        <f t="shared" ca="1" si="31"/>
        <v>0</v>
      </c>
      <c r="Q42" s="152">
        <f ca="1">IFERROR(__xludf.DUMMYFUNCTION("IMPORTRANGE(""https://docs.google.com/spreadsheets/d/1v_cJrbBlyqmnHPReHk44g9NrMRdENNlSy_E_c5M9fIg/edit?usp=sharing"",""ร้อยเอ็ด!J629"")"),41)</f>
        <v>41</v>
      </c>
      <c r="R42" s="216">
        <f t="shared" ca="1" si="38"/>
        <v>82</v>
      </c>
      <c r="S42" s="152">
        <f ca="1">IFERROR(__xludf.DUMMYFUNCTION("IMPORTRANGE(""https://docs.google.com/spreadsheets/d/1v_cJrbBlyqmnHPReHk44g9NrMRdENNlSy_E_c5M9fIg/edit?usp=sharing"",""ร้อยเอ็ด!J630"")"),0)</f>
        <v>0</v>
      </c>
      <c r="T42" s="216">
        <f t="shared" ca="1" si="32"/>
        <v>0</v>
      </c>
      <c r="U42" s="216">
        <f ca="1">IFERROR(__xludf.DUMMYFUNCTION("IMPORTRANGE(""https://docs.google.com/spreadsheets/d/1v_cJrbBlyqmnHPReHk44g9NrMRdENNlSy_E_c5M9fIg/edit?usp=sharing"",""ร้อยเอ็ด!J631"")"),0)</f>
        <v>0</v>
      </c>
      <c r="V42" s="216">
        <f t="shared" ca="1" si="33"/>
        <v>0</v>
      </c>
      <c r="W42" s="216">
        <f ca="1">IFERROR(__xludf.DUMMYFUNCTION("IMPORTRANGE(""https://docs.google.com/spreadsheets/d/1v_cJrbBlyqmnHPReHk44g9NrMRdENNlSy_E_c5M9fIg/edit?usp=sharing"",""ร้อยเอ็ด!J632"")"),0)</f>
        <v>0</v>
      </c>
      <c r="X42" s="216">
        <f t="shared" ca="1" si="34"/>
        <v>0</v>
      </c>
      <c r="Y42" s="216">
        <f ca="1">IFERROR(__xludf.DUMMYFUNCTION("IMPORTRANGE(""https://docs.google.com/spreadsheets/d/1v_cJrbBlyqmnHPReHk44g9NrMRdENNlSy_E_c5M9fIg/edit?usp=sharing"",""ร้อยเอ็ด!J633"")"),0)</f>
        <v>0</v>
      </c>
      <c r="Z42" s="216">
        <f ca="1">IFERROR(__xludf.DUMMYFUNCTION("IMPORTRANGE(""https://docs.google.com/spreadsheets/d/1v_cJrbBlyqmnHPReHk44g9NrMRdENNlSy_E_c5M9fIg/edit?usp=sharing"",""ร้อยเอ็ด!J634"")"),0)</f>
        <v>0</v>
      </c>
      <c r="AA42" s="152">
        <f ca="1">IFERROR(__xludf.DUMMYFUNCTION("IMPORTRANGE(""https://docs.google.com/spreadsheets/d/1v_cJrbBlyqmnHPReHk44g9NrMRdENNlSy_E_c5M9fIg/edit?usp=sharing"",""ร้อยเอ็ด!I635"")"),0)</f>
        <v>0</v>
      </c>
      <c r="AB42" s="152">
        <f ca="1">IFERROR(__xludf.DUMMYFUNCTION("IMPORTRANGE(""https://docs.google.com/spreadsheets/d/1v_cJrbBlyqmnHPReHk44g9NrMRdENNlSy_E_c5M9fIg/edit?usp=sharing"",""ร้อยเอ็ด!J635"")"),179)</f>
        <v>179</v>
      </c>
      <c r="AC42" s="216">
        <f t="shared" ca="1" si="36"/>
        <v>0</v>
      </c>
      <c r="AD42" s="152">
        <f ca="1">IFERROR(__xludf.DUMMYFUNCTION("IMPORTRANGE(""https://docs.google.com/spreadsheets/d/1v_cJrbBlyqmnHPReHk44g9NrMRdENNlSy_E_c5M9fIg/edit?usp=sharing"",""ร้อยเอ็ด!J636"")"),179)</f>
        <v>179</v>
      </c>
      <c r="AE42" s="152">
        <f ca="1">IFERROR(__xludf.DUMMYFUNCTION("IMPORTRANGE(""https://docs.google.com/spreadsheets/d/1v_cJrbBlyqmnHPReHk44g9NrMRdENNlSy_E_c5M9fIg/edit?usp=sharing"",""ร้อยเอ็ด!J637"")"),0)</f>
        <v>0</v>
      </c>
      <c r="AF42" s="152">
        <f ca="1">IFERROR(__xludf.DUMMYFUNCTION("IMPORTRANGE(""https://docs.google.com/spreadsheets/d/1v_cJrbBlyqmnHPReHk44g9NrMRdENNlSy_E_c5M9fIg/edit?usp=sharing"",""ร้อยเอ็ด!J638"")"),179)</f>
        <v>179</v>
      </c>
      <c r="AG42" s="152">
        <f ca="1">IFERROR(__xludf.DUMMYFUNCTION("IMPORTRANGE(""https://docs.google.com/spreadsheets/d/1v_cJrbBlyqmnHPReHk44g9NrMRdENNlSy_E_c5M9fIg/edit?usp=sharing"",""ร้อยเอ็ด!J639"")"),0)</f>
        <v>0</v>
      </c>
      <c r="AH42" s="152">
        <f ca="1">IFERROR(__xludf.DUMMYFUNCTION("IMPORTRANGE(""https://docs.google.com/spreadsheets/d/1v_cJrbBlyqmnHPReHk44g9NrMRdENNlSy_E_c5M9fIg/edit?usp=sharing"",""ร้อยเอ็ด!J640"")"),0)</f>
        <v>0</v>
      </c>
    </row>
    <row r="43" spans="1:34" ht="19.5" x14ac:dyDescent="0.3">
      <c r="A43" s="70">
        <v>12</v>
      </c>
      <c r="B43" s="71" t="s">
        <v>71</v>
      </c>
      <c r="C43" s="68">
        <f ca="1">IFERROR(__xludf.DUMMYFUNCTION("IMPORTRANGE(""https://docs.google.com/spreadsheets/d/1Ul4RCpCX66NxYADU1QpwAPjOmBzW64SsT11s1wzXw_c/edit?usp=sharing"",""เลย!Q616"")"),6850)</f>
        <v>6850</v>
      </c>
      <c r="D43" s="68">
        <f ca="1">IFERROR(__xludf.DUMMYFUNCTION("IMPORTRANGE(""https://docs.google.com/spreadsheets/d/1Ul4RCpCX66NxYADU1QpwAPjOmBzW64SsT11s1wzXw_c/edit?usp=sharing"",""เลย!R616"")"),6850)</f>
        <v>6850</v>
      </c>
      <c r="E43" s="68">
        <f ca="1">IFERROR(__xludf.DUMMYFUNCTION("IMPORTRANGE(""https://docs.google.com/spreadsheets/d/1Ul4RCpCX66NxYADU1QpwAPjOmBzW64SsT11s1wzXw_c/edit?usp=sharing"",""เลย!S616"")"),0)</f>
        <v>0</v>
      </c>
      <c r="F43" s="68">
        <f t="shared" ca="1" si="24"/>
        <v>0</v>
      </c>
      <c r="G43" s="68">
        <f t="shared" ca="1" si="25"/>
        <v>0</v>
      </c>
      <c r="H43" s="278">
        <f ca="1">IFERROR(__xludf.DUMMYFUNCTION("IMPORTRANGE(""https://docs.google.com/spreadsheets/d/1Ul4RCpCX66NxYADU1QpwAPjOmBzW64SsT11s1wzXw_c/edit?usp=sharing"",""เลย!I626"")"),50)</f>
        <v>50</v>
      </c>
      <c r="I43" s="152">
        <f ca="1">IFERROR(__xludf.DUMMYFUNCTION("IMPORTRANGE(""https://docs.google.com/spreadsheets/d/1Ul4RCpCX66NxYADU1QpwAPjOmBzW64SsT11s1wzXw_c/edit?usp=sharing"",""เลย!J626"")"),0)</f>
        <v>0</v>
      </c>
      <c r="J43" s="216">
        <f t="shared" ca="1" si="27"/>
        <v>0</v>
      </c>
      <c r="K43" s="152">
        <f ca="1">IFERROR(__xludf.DUMMYFUNCTION("IMPORTRANGE(""https://docs.google.com/spreadsheets/d/1Ul4RCpCX66NxYADU1QpwAPjOmBzW64SsT11s1wzXw_c/edit?usp=sharing"",""เลย!I627"")"),0)</f>
        <v>0</v>
      </c>
      <c r="L43" s="152">
        <f ca="1">IFERROR(__xludf.DUMMYFUNCTION("IMPORTRANGE(""https://docs.google.com/spreadsheets/d/1Ul4RCpCX66NxYADU1QpwAPjOmBzW64SsT11s1wzXw_c/edit?usp=sharing"",""เลย!J627"")"),3)</f>
        <v>3</v>
      </c>
      <c r="M43" s="216">
        <f t="shared" ca="1" si="29"/>
        <v>0</v>
      </c>
      <c r="N43" s="152">
        <f ca="1">IFERROR(__xludf.DUMMYFUNCTION("IMPORTRANGE(""https://docs.google.com/spreadsheets/d/1Ul4RCpCX66NxYADU1QpwAPjOmBzW64SsT11s1wzXw_c/edit?usp=sharing"",""เลย!I628"")"),0)</f>
        <v>0</v>
      </c>
      <c r="O43" s="152">
        <f ca="1">IFERROR(__xludf.DUMMYFUNCTION("IMPORTRANGE(""https://docs.google.com/spreadsheets/d/1Ul4RCpCX66NxYADU1QpwAPjOmBzW64SsT11s1wzXw_c/edit?usp=sharing"",""เลย!J628"")"),3)</f>
        <v>3</v>
      </c>
      <c r="P43" s="216">
        <f t="shared" ca="1" si="31"/>
        <v>0</v>
      </c>
      <c r="Q43" s="152">
        <f ca="1">IFERROR(__xludf.DUMMYFUNCTION("IMPORTRANGE(""https://docs.google.com/spreadsheets/d/1Ul4RCpCX66NxYADU1QpwAPjOmBzW64SsT11s1wzXw_c/edit?usp=sharing"",""เลย!J629"")"),0)</f>
        <v>0</v>
      </c>
      <c r="R43" s="216">
        <f t="shared" ca="1" si="38"/>
        <v>0</v>
      </c>
      <c r="S43" s="152">
        <f ca="1">IFERROR(__xludf.DUMMYFUNCTION("IMPORTRANGE(""https://docs.google.com/spreadsheets/d/1Ul4RCpCX66NxYADU1QpwAPjOmBzW64SsT11s1wzXw_c/edit?usp=sharing"",""เลย!J630"")"),0)</f>
        <v>0</v>
      </c>
      <c r="T43" s="216">
        <f t="shared" ca="1" si="32"/>
        <v>0</v>
      </c>
      <c r="U43" s="216">
        <f ca="1">IFERROR(__xludf.DUMMYFUNCTION("IMPORTRANGE(""https://docs.google.com/spreadsheets/d/1Ul4RCpCX66NxYADU1QpwAPjOmBzW64SsT11s1wzXw_c/edit?usp=sharing"",""เลย!J631"")"),0)</f>
        <v>0</v>
      </c>
      <c r="V43" s="216">
        <f t="shared" ca="1" si="33"/>
        <v>0</v>
      </c>
      <c r="W43" s="216">
        <f ca="1">IFERROR(__xludf.DUMMYFUNCTION("IMPORTRANGE(""https://docs.google.com/spreadsheets/d/1Ul4RCpCX66NxYADU1QpwAPjOmBzW64SsT11s1wzXw_c/edit?usp=sharing"",""เลย!J632"")"),0)</f>
        <v>0</v>
      </c>
      <c r="X43" s="216">
        <f t="shared" ca="1" si="34"/>
        <v>0</v>
      </c>
      <c r="Y43" s="216">
        <f ca="1">IFERROR(__xludf.DUMMYFUNCTION("IMPORTRANGE(""https://docs.google.com/spreadsheets/d/1Ul4RCpCX66NxYADU1QpwAPjOmBzW64SsT11s1wzXw_c/edit?usp=sharing"",""เลย!J633"")"),0)</f>
        <v>0</v>
      </c>
      <c r="Z43" s="216">
        <f ca="1">IFERROR(__xludf.DUMMYFUNCTION("IMPORTRANGE(""https://docs.google.com/spreadsheets/d/1Ul4RCpCX66NxYADU1QpwAPjOmBzW64SsT11s1wzXw_c/edit?usp=sharing"",""เลย!J634"")"),0)</f>
        <v>0</v>
      </c>
      <c r="AA43" s="152">
        <f ca="1">IFERROR(__xludf.DUMMYFUNCTION("IMPORTRANGE(""https://docs.google.com/spreadsheets/d/1Ul4RCpCX66NxYADU1QpwAPjOmBzW64SsT11s1wzXw_c/edit?usp=sharing"",""เลย!I635"")"),0)</f>
        <v>0</v>
      </c>
      <c r="AB43" s="152">
        <f ca="1">IFERROR(__xludf.DUMMYFUNCTION("IMPORTRANGE(""https://docs.google.com/spreadsheets/d/1Ul4RCpCX66NxYADU1QpwAPjOmBzW64SsT11s1wzXw_c/edit?usp=sharing"",""เลย!J635"")"),0)</f>
        <v>0</v>
      </c>
      <c r="AC43" s="216">
        <f t="shared" ca="1" si="36"/>
        <v>0</v>
      </c>
      <c r="AD43" s="152">
        <f ca="1">IFERROR(__xludf.DUMMYFUNCTION("IMPORTRANGE(""https://docs.google.com/spreadsheets/d/1Ul4RCpCX66NxYADU1QpwAPjOmBzW64SsT11s1wzXw_c/edit?usp=sharing"",""เลย!J636"")"),0)</f>
        <v>0</v>
      </c>
      <c r="AE43" s="152">
        <f ca="1">IFERROR(__xludf.DUMMYFUNCTION("IMPORTRANGE(""https://docs.google.com/spreadsheets/d/1Ul4RCpCX66NxYADU1QpwAPjOmBzW64SsT11s1wzXw_c/edit?usp=sharing"",""เลย!J637"")"),0)</f>
        <v>0</v>
      </c>
      <c r="AF43" s="152">
        <f ca="1">IFERROR(__xludf.DUMMYFUNCTION("IMPORTRANGE(""https://docs.google.com/spreadsheets/d/1Ul4RCpCX66NxYADU1QpwAPjOmBzW64SsT11s1wzXw_c/edit?usp=sharing"",""เลย!J638"")"),0)</f>
        <v>0</v>
      </c>
      <c r="AG43" s="152">
        <f ca="1">IFERROR(__xludf.DUMMYFUNCTION("IMPORTRANGE(""https://docs.google.com/spreadsheets/d/1Ul4RCpCX66NxYADU1QpwAPjOmBzW64SsT11s1wzXw_c/edit?usp=sharing"",""เลย!J639"")"),0)</f>
        <v>0</v>
      </c>
      <c r="AH43" s="152">
        <f ca="1">IFERROR(__xludf.DUMMYFUNCTION("IMPORTRANGE(""https://docs.google.com/spreadsheets/d/1Ul4RCpCX66NxYADU1QpwAPjOmBzW64SsT11s1wzXw_c/edit?usp=sharing"",""เลย!J640"")"),0)</f>
        <v>0</v>
      </c>
    </row>
    <row r="44" spans="1:34" ht="19.5" x14ac:dyDescent="0.3">
      <c r="A44" s="70">
        <v>13</v>
      </c>
      <c r="B44" s="71" t="s">
        <v>72</v>
      </c>
      <c r="C44" s="68">
        <f ca="1">IFERROR(__xludf.DUMMYFUNCTION("IMPORTRANGE(""https://docs.google.com/spreadsheets/d/1bRrNKwbHDVktQG10isr5vbWRtt5spIZPpkOSWgbT5ug/edit?usp=sharing"",""ศรีสะเกษ!Q616"")"),7050)</f>
        <v>7050</v>
      </c>
      <c r="D44" s="68">
        <f ca="1">IFERROR(__xludf.DUMMYFUNCTION("IMPORTRANGE(""https://docs.google.com/spreadsheets/d/1bRrNKwbHDVktQG10isr5vbWRtt5spIZPpkOSWgbT5ug/edit?usp=sharing"",""ศรีสะเกษ!R616"")"),7050)</f>
        <v>7050</v>
      </c>
      <c r="E44" s="68">
        <f ca="1">IFERROR(__xludf.DUMMYFUNCTION("IMPORTRANGE(""https://docs.google.com/spreadsheets/d/1bRrNKwbHDVktQG10isr5vbWRtt5spIZPpkOSWgbT5ug/edit?usp=sharing"",""ศรีสะเกษ!S616"")"),590)</f>
        <v>590</v>
      </c>
      <c r="F44" s="68">
        <f t="shared" ca="1" si="24"/>
        <v>8.3687943262411348</v>
      </c>
      <c r="G44" s="68">
        <f t="shared" ca="1" si="25"/>
        <v>8.3687943262411348</v>
      </c>
      <c r="H44" s="278">
        <f ca="1">IFERROR(__xludf.DUMMYFUNCTION("IMPORTRANGE(""https://docs.google.com/spreadsheets/d/1bRrNKwbHDVktQG10isr5vbWRtt5spIZPpkOSWgbT5ug/edit?usp=sharing"",""ศรีสะเกษ!I626"")"),50)</f>
        <v>50</v>
      </c>
      <c r="I44" s="152">
        <f ca="1">IFERROR(__xludf.DUMMYFUNCTION("IMPORTRANGE(""https://docs.google.com/spreadsheets/d/1bRrNKwbHDVktQG10isr5vbWRtt5spIZPpkOSWgbT5ug/edit?usp=sharing"",""ศรีสะเกษ!J626"")"),0)</f>
        <v>0</v>
      </c>
      <c r="J44" s="216">
        <f t="shared" ca="1" si="27"/>
        <v>0</v>
      </c>
      <c r="K44" s="152">
        <f ca="1">IFERROR(__xludf.DUMMYFUNCTION("IMPORTRANGE(""https://docs.google.com/spreadsheets/d/1bRrNKwbHDVktQG10isr5vbWRtt5spIZPpkOSWgbT5ug/edit?usp=sharing"",""ศรีสะเกษ!I627"")"),0)</f>
        <v>0</v>
      </c>
      <c r="L44" s="152">
        <f ca="1">IFERROR(__xludf.DUMMYFUNCTION("IMPORTRANGE(""https://docs.google.com/spreadsheets/d/1bRrNKwbHDVktQG10isr5vbWRtt5spIZPpkOSWgbT5ug/edit?usp=sharing"",""ศรีสะเกษ!J627"")"),50)</f>
        <v>50</v>
      </c>
      <c r="M44" s="216">
        <f t="shared" ca="1" si="29"/>
        <v>0</v>
      </c>
      <c r="N44" s="152">
        <f ca="1">IFERROR(__xludf.DUMMYFUNCTION("IMPORTRANGE(""https://docs.google.com/spreadsheets/d/1bRrNKwbHDVktQG10isr5vbWRtt5spIZPpkOSWgbT5ug/edit?usp=sharing"",""ศรีสะเกษ!I628"")"),0)</f>
        <v>0</v>
      </c>
      <c r="O44" s="152">
        <f ca="1">IFERROR(__xludf.DUMMYFUNCTION("IMPORTRANGE(""https://docs.google.com/spreadsheets/d/1bRrNKwbHDVktQG10isr5vbWRtt5spIZPpkOSWgbT5ug/edit?usp=sharing"",""ศรีสะเกษ!J628"")"),50)</f>
        <v>50</v>
      </c>
      <c r="P44" s="216">
        <f t="shared" ca="1" si="31"/>
        <v>0</v>
      </c>
      <c r="Q44" s="152">
        <f ca="1">IFERROR(__xludf.DUMMYFUNCTION("IMPORTRANGE(""https://docs.google.com/spreadsheets/d/1bRrNKwbHDVktQG10isr5vbWRtt5spIZPpkOSWgbT5ug/edit?usp=sharing"",""ศรีสะเกษ!J629"")"),22)</f>
        <v>22</v>
      </c>
      <c r="R44" s="216">
        <f t="shared" ca="1" si="38"/>
        <v>44</v>
      </c>
      <c r="S44" s="152">
        <f ca="1">IFERROR(__xludf.DUMMYFUNCTION("IMPORTRANGE(""https://docs.google.com/spreadsheets/d/1bRrNKwbHDVktQG10isr5vbWRtt5spIZPpkOSWgbT5ug/edit?usp=sharing"",""ศรีสะเกษ!J630"")"),22)</f>
        <v>22</v>
      </c>
      <c r="T44" s="216">
        <f t="shared" ca="1" si="32"/>
        <v>44</v>
      </c>
      <c r="U44" s="216">
        <f ca="1">IFERROR(__xludf.DUMMYFUNCTION("IMPORTRANGE(""https://docs.google.com/spreadsheets/d/1bRrNKwbHDVktQG10isr5vbWRtt5spIZPpkOSWgbT5ug/edit?usp=sharing"",""ศรีสะเกษ!J631"")"),0)</f>
        <v>0</v>
      </c>
      <c r="V44" s="216">
        <f t="shared" ca="1" si="33"/>
        <v>0</v>
      </c>
      <c r="W44" s="216">
        <f ca="1">IFERROR(__xludf.DUMMYFUNCTION("IMPORTRANGE(""https://docs.google.com/spreadsheets/d/1bRrNKwbHDVktQG10isr5vbWRtt5spIZPpkOSWgbT5ug/edit?usp=sharing"",""ศรีสะเกษ!J632"")"),0)</f>
        <v>0</v>
      </c>
      <c r="X44" s="216">
        <f t="shared" ca="1" si="34"/>
        <v>0</v>
      </c>
      <c r="Y44" s="216">
        <f ca="1">IFERROR(__xludf.DUMMYFUNCTION("IMPORTRANGE(""https://docs.google.com/spreadsheets/d/1bRrNKwbHDVktQG10isr5vbWRtt5spIZPpkOSWgbT5ug/edit?usp=sharing"",""ศรีสะเกษ!J633"")"),0)</f>
        <v>0</v>
      </c>
      <c r="Z44" s="216">
        <f ca="1">IFERROR(__xludf.DUMMYFUNCTION("IMPORTRANGE(""https://docs.google.com/spreadsheets/d/1bRrNKwbHDVktQG10isr5vbWRtt5spIZPpkOSWgbT5ug/edit?usp=sharing"",""ศรีสะเกษ!J634"")"),0)</f>
        <v>0</v>
      </c>
      <c r="AA44" s="152">
        <f ca="1">IFERROR(__xludf.DUMMYFUNCTION("IMPORTRANGE(""https://docs.google.com/spreadsheets/d/1bRrNKwbHDVktQG10isr5vbWRtt5spIZPpkOSWgbT5ug/edit?usp=sharing"",""ศรีสะเกษ!I635"")"),0)</f>
        <v>0</v>
      </c>
      <c r="AB44" s="152">
        <f ca="1">IFERROR(__xludf.DUMMYFUNCTION("IMPORTRANGE(""https://docs.google.com/spreadsheets/d/1bRrNKwbHDVktQG10isr5vbWRtt5spIZPpkOSWgbT5ug/edit?usp=sharing"",""ศรีสะเกษ!J635"")"),0)</f>
        <v>0</v>
      </c>
      <c r="AC44" s="216">
        <f t="shared" ca="1" si="36"/>
        <v>0</v>
      </c>
      <c r="AD44" s="152">
        <f ca="1">IFERROR(__xludf.DUMMYFUNCTION("IMPORTRANGE(""https://docs.google.com/spreadsheets/d/1bRrNKwbHDVktQG10isr5vbWRtt5spIZPpkOSWgbT5ug/edit?usp=sharing"",""ศรีสะเกษ!J636"")"),0)</f>
        <v>0</v>
      </c>
      <c r="AE44" s="152">
        <f ca="1">IFERROR(__xludf.DUMMYFUNCTION("IMPORTRANGE(""https://docs.google.com/spreadsheets/d/1bRrNKwbHDVktQG10isr5vbWRtt5spIZPpkOSWgbT5ug/edit?usp=sharing"",""ศรีสะเกษ!J637"")"),0)</f>
        <v>0</v>
      </c>
      <c r="AF44" s="152">
        <f ca="1">IFERROR(__xludf.DUMMYFUNCTION("IMPORTRANGE(""https://docs.google.com/spreadsheets/d/1bRrNKwbHDVktQG10isr5vbWRtt5spIZPpkOSWgbT5ug/edit?usp=sharing"",""ศรีสะเกษ!J638"")"),0)</f>
        <v>0</v>
      </c>
      <c r="AG44" s="152">
        <f ca="1">IFERROR(__xludf.DUMMYFUNCTION("IMPORTRANGE(""https://docs.google.com/spreadsheets/d/1bRrNKwbHDVktQG10isr5vbWRtt5spIZPpkOSWgbT5ug/edit?usp=sharing"",""ศรีสะเกษ!J639"")"),0)</f>
        <v>0</v>
      </c>
      <c r="AH44" s="152">
        <f ca="1">IFERROR(__xludf.DUMMYFUNCTION("IMPORTRANGE(""https://docs.google.com/spreadsheets/d/1bRrNKwbHDVktQG10isr5vbWRtt5spIZPpkOSWgbT5ug/edit?usp=sharing"",""ศรีสะเกษ!J640"")"),0)</f>
        <v>0</v>
      </c>
    </row>
    <row r="45" spans="1:34" ht="19.5" x14ac:dyDescent="0.3">
      <c r="A45" s="70">
        <v>14</v>
      </c>
      <c r="B45" s="71" t="s">
        <v>73</v>
      </c>
      <c r="C45" s="68">
        <f ca="1">IFERROR(__xludf.DUMMYFUNCTION("IMPORTRANGE(""https://docs.google.com/spreadsheets/d/17P34_Ow5kFBfdQD0qspb2UuPX5zpi6WMrQzslghyvrI/edit?usp=sharing"",""สกลนคร!Q616"")"),12550)</f>
        <v>12550</v>
      </c>
      <c r="D45" s="68">
        <f ca="1">IFERROR(__xludf.DUMMYFUNCTION("IMPORTRANGE(""https://docs.google.com/spreadsheets/d/17P34_Ow5kFBfdQD0qspb2UuPX5zpi6WMrQzslghyvrI/edit?usp=sharing"",""สกลนคร!R616"")"),12550)</f>
        <v>12550</v>
      </c>
      <c r="E45" s="68">
        <f ca="1">IFERROR(__xludf.DUMMYFUNCTION("IMPORTRANGE(""https://docs.google.com/spreadsheets/d/17P34_Ow5kFBfdQD0qspb2UuPX5zpi6WMrQzslghyvrI/edit?usp=sharing"",""สกลนคร!S616"")"),0)</f>
        <v>0</v>
      </c>
      <c r="F45" s="68">
        <f t="shared" ca="1" si="24"/>
        <v>0</v>
      </c>
      <c r="G45" s="68">
        <f t="shared" ca="1" si="25"/>
        <v>0</v>
      </c>
      <c r="H45" s="278">
        <f ca="1">IFERROR(__xludf.DUMMYFUNCTION("IMPORTRANGE(""https://docs.google.com/spreadsheets/d/17P34_Ow5kFBfdQD0qspb2UuPX5zpi6WMrQzslghyvrI/edit?usp=sharing"",""สกลนคร!I626"")"),100)</f>
        <v>100</v>
      </c>
      <c r="I45" s="152">
        <f ca="1">IFERROR(__xludf.DUMMYFUNCTION("IMPORTRANGE(""https://docs.google.com/spreadsheets/d/17P34_Ow5kFBfdQD0qspb2UuPX5zpi6WMrQzslghyvrI/edit?usp=sharing"",""สกลนคร!J626"")"),0)</f>
        <v>0</v>
      </c>
      <c r="J45" s="216">
        <f t="shared" ca="1" si="27"/>
        <v>0</v>
      </c>
      <c r="K45" s="152">
        <f ca="1">IFERROR(__xludf.DUMMYFUNCTION("IMPORTRANGE(""https://docs.google.com/spreadsheets/d/17P34_Ow5kFBfdQD0qspb2UuPX5zpi6WMrQzslghyvrI/edit?usp=sharing"",""สกลนคร!I627"")"),1)</f>
        <v>1</v>
      </c>
      <c r="L45" s="152">
        <f ca="1">IFERROR(__xludf.DUMMYFUNCTION("IMPORTRANGE(""https://docs.google.com/spreadsheets/d/17P34_Ow5kFBfdQD0qspb2UuPX5zpi6WMrQzslghyvrI/edit?usp=sharing"",""สกลนคร!J627"")"),0)</f>
        <v>0</v>
      </c>
      <c r="M45" s="216">
        <f t="shared" ca="1" si="29"/>
        <v>0</v>
      </c>
      <c r="N45" s="152">
        <f ca="1">IFERROR(__xludf.DUMMYFUNCTION("IMPORTRANGE(""https://docs.google.com/spreadsheets/d/17P34_Ow5kFBfdQD0qspb2UuPX5zpi6WMrQzslghyvrI/edit?usp=sharing"",""สกลนคร!I628"")"),1)</f>
        <v>1</v>
      </c>
      <c r="O45" s="152">
        <f ca="1">IFERROR(__xludf.DUMMYFUNCTION("IMPORTRANGE(""https://docs.google.com/spreadsheets/d/17P34_Ow5kFBfdQD0qspb2UuPX5zpi6WMrQzslghyvrI/edit?usp=sharing"",""สกลนคร!J628"")"),0)</f>
        <v>0</v>
      </c>
      <c r="P45" s="216">
        <f t="shared" ca="1" si="31"/>
        <v>0</v>
      </c>
      <c r="Q45" s="152">
        <f ca="1">IFERROR(__xludf.DUMMYFUNCTION("IMPORTRANGE(""https://docs.google.com/spreadsheets/d/17P34_Ow5kFBfdQD0qspb2UuPX5zpi6WMrQzslghyvrI/edit?usp=sharing"",""สกลนคร!J629"")"),0)</f>
        <v>0</v>
      </c>
      <c r="R45" s="216">
        <f t="shared" ca="1" si="38"/>
        <v>0</v>
      </c>
      <c r="S45" s="152">
        <f ca="1">IFERROR(__xludf.DUMMYFUNCTION("IMPORTRANGE(""https://docs.google.com/spreadsheets/d/17P34_Ow5kFBfdQD0qspb2UuPX5zpi6WMrQzslghyvrI/edit?usp=sharing"",""สกลนคร!J630"")"),0)</f>
        <v>0</v>
      </c>
      <c r="T45" s="216">
        <f t="shared" ca="1" si="32"/>
        <v>0</v>
      </c>
      <c r="U45" s="216">
        <f ca="1">IFERROR(__xludf.DUMMYFUNCTION("IMPORTRANGE(""https://docs.google.com/spreadsheets/d/17P34_Ow5kFBfdQD0qspb2UuPX5zpi6WMrQzslghyvrI/edit?usp=sharing"",""สกลนคร!J631"")"),0)</f>
        <v>0</v>
      </c>
      <c r="V45" s="216">
        <f t="shared" ca="1" si="33"/>
        <v>0</v>
      </c>
      <c r="W45" s="216">
        <f ca="1">IFERROR(__xludf.DUMMYFUNCTION("IMPORTRANGE(""https://docs.google.com/spreadsheets/d/17P34_Ow5kFBfdQD0qspb2UuPX5zpi6WMrQzslghyvrI/edit?usp=sharing"",""สกลนคร!J632"")"),0)</f>
        <v>0</v>
      </c>
      <c r="X45" s="216">
        <f t="shared" ca="1" si="34"/>
        <v>0</v>
      </c>
      <c r="Y45" s="216">
        <f ca="1">IFERROR(__xludf.DUMMYFUNCTION("IMPORTRANGE(""https://docs.google.com/spreadsheets/d/17P34_Ow5kFBfdQD0qspb2UuPX5zpi6WMrQzslghyvrI/edit?usp=sharing"",""สกลนคร!J633"")"),0)</f>
        <v>0</v>
      </c>
      <c r="Z45" s="216">
        <f ca="1">IFERROR(__xludf.DUMMYFUNCTION("IMPORTRANGE(""https://docs.google.com/spreadsheets/d/17P34_Ow5kFBfdQD0qspb2UuPX5zpi6WMrQzslghyvrI/edit?usp=sharing"",""สกลนคร!J634"")"),0)</f>
        <v>0</v>
      </c>
      <c r="AA45" s="152">
        <f ca="1">IFERROR(__xludf.DUMMYFUNCTION("IMPORTRANGE(""https://docs.google.com/spreadsheets/d/17P34_Ow5kFBfdQD0qspb2UuPX5zpi6WMrQzslghyvrI/edit?usp=sharing"",""สกลนคร!I635"")"),0)</f>
        <v>0</v>
      </c>
      <c r="AB45" s="152">
        <f ca="1">IFERROR(__xludf.DUMMYFUNCTION("IMPORTRANGE(""https://docs.google.com/spreadsheets/d/17P34_Ow5kFBfdQD0qspb2UuPX5zpi6WMrQzslghyvrI/edit?usp=sharing"",""สกลนคร!J635"")"),0)</f>
        <v>0</v>
      </c>
      <c r="AC45" s="216">
        <f t="shared" ca="1" si="36"/>
        <v>0</v>
      </c>
      <c r="AD45" s="152">
        <f ca="1">IFERROR(__xludf.DUMMYFUNCTION("IMPORTRANGE(""https://docs.google.com/spreadsheets/d/17P34_Ow5kFBfdQD0qspb2UuPX5zpi6WMrQzslghyvrI/edit?usp=sharing"",""สกลนคร!J636"")"),0)</f>
        <v>0</v>
      </c>
      <c r="AE45" s="152">
        <f ca="1">IFERROR(__xludf.DUMMYFUNCTION("IMPORTRANGE(""https://docs.google.com/spreadsheets/d/17P34_Ow5kFBfdQD0qspb2UuPX5zpi6WMrQzslghyvrI/edit?usp=sharing"",""สกลนคร!J637"")"),0)</f>
        <v>0</v>
      </c>
      <c r="AF45" s="152">
        <f ca="1">IFERROR(__xludf.DUMMYFUNCTION("IMPORTRANGE(""https://docs.google.com/spreadsheets/d/17P34_Ow5kFBfdQD0qspb2UuPX5zpi6WMrQzslghyvrI/edit?usp=sharing"",""สกลนคร!J638"")"),0)</f>
        <v>0</v>
      </c>
      <c r="AG45" s="152">
        <f ca="1">IFERROR(__xludf.DUMMYFUNCTION("IMPORTRANGE(""https://docs.google.com/spreadsheets/d/17P34_Ow5kFBfdQD0qspb2UuPX5zpi6WMrQzslghyvrI/edit?usp=sharing"",""สกลนคร!J639"")"),0)</f>
        <v>0</v>
      </c>
      <c r="AH45" s="152">
        <f ca="1">IFERROR(__xludf.DUMMYFUNCTION("IMPORTRANGE(""https://docs.google.com/spreadsheets/d/17P34_Ow5kFBfdQD0qspb2UuPX5zpi6WMrQzslghyvrI/edit?usp=sharing"",""สกลนคร!J640"")"),0)</f>
        <v>0</v>
      </c>
    </row>
    <row r="46" spans="1:34" ht="19.5" x14ac:dyDescent="0.3">
      <c r="A46" s="70">
        <v>15</v>
      </c>
      <c r="B46" s="71" t="s">
        <v>74</v>
      </c>
      <c r="C46" s="68">
        <f ca="1">IFERROR(__xludf.DUMMYFUNCTION("IMPORTRANGE(""https://docs.google.com/spreadsheets/d/1yswqbM3-AEpThF3ZSUa1AcmHnmRTF1vlJ1CZGcJ8YuU/edit?usp=sharing"",""สุรินทร์!Q616"")"),6925)</f>
        <v>6925</v>
      </c>
      <c r="D46" s="68">
        <f ca="1">IFERROR(__xludf.DUMMYFUNCTION("IMPORTRANGE(""https://docs.google.com/spreadsheets/d/1yswqbM3-AEpThF3ZSUa1AcmHnmRTF1vlJ1CZGcJ8YuU/edit?usp=sharing"",""สุรินทร์!R616"")"),6925)</f>
        <v>6925</v>
      </c>
      <c r="E46" s="68">
        <f ca="1">IFERROR(__xludf.DUMMYFUNCTION("IMPORTRANGE(""https://docs.google.com/spreadsheets/d/1yswqbM3-AEpThF3ZSUa1AcmHnmRTF1vlJ1CZGcJ8YuU/edit?usp=sharing"",""สุรินทร์!S616"")"),0)</f>
        <v>0</v>
      </c>
      <c r="F46" s="68">
        <f t="shared" ca="1" si="24"/>
        <v>0</v>
      </c>
      <c r="G46" s="68">
        <f t="shared" ca="1" si="25"/>
        <v>0</v>
      </c>
      <c r="H46" s="278">
        <f ca="1">IFERROR(__xludf.DUMMYFUNCTION("IMPORTRANGE(""https://docs.google.com/spreadsheets/d/1yswqbM3-AEpThF3ZSUa1AcmHnmRTF1vlJ1CZGcJ8YuU/edit?usp=sharing"",""สุรินทร์!I626"")"),50)</f>
        <v>50</v>
      </c>
      <c r="I46" s="152">
        <f ca="1">IFERROR(__xludf.DUMMYFUNCTION("IMPORTRANGE(""https://docs.google.com/spreadsheets/d/1yswqbM3-AEpThF3ZSUa1AcmHnmRTF1vlJ1CZGcJ8YuU/edit?usp=sharing"",""สุรินทร์!J626"")"),0)</f>
        <v>0</v>
      </c>
      <c r="J46" s="216">
        <f t="shared" ca="1" si="27"/>
        <v>0</v>
      </c>
      <c r="K46" s="152">
        <f ca="1">IFERROR(__xludf.DUMMYFUNCTION("IMPORTRANGE(""https://docs.google.com/spreadsheets/d/1yswqbM3-AEpThF3ZSUa1AcmHnmRTF1vlJ1CZGcJ8YuU/edit?usp=sharing"",""สุรินทร์!I627"")"),0)</f>
        <v>0</v>
      </c>
      <c r="L46" s="152">
        <f ca="1">IFERROR(__xludf.DUMMYFUNCTION("IMPORTRANGE(""https://docs.google.com/spreadsheets/d/1yswqbM3-AEpThF3ZSUa1AcmHnmRTF1vlJ1CZGcJ8YuU/edit?usp=sharing"",""สุรินทร์!J627"")"),0)</f>
        <v>0</v>
      </c>
      <c r="M46" s="216">
        <f t="shared" ca="1" si="29"/>
        <v>0</v>
      </c>
      <c r="N46" s="152">
        <f ca="1">IFERROR(__xludf.DUMMYFUNCTION("IMPORTRANGE(""https://docs.google.com/spreadsheets/d/1yswqbM3-AEpThF3ZSUa1AcmHnmRTF1vlJ1CZGcJ8YuU/edit?usp=sharing"",""สุรินทร์!I628"")"),0)</f>
        <v>0</v>
      </c>
      <c r="O46" s="152">
        <f ca="1">IFERROR(__xludf.DUMMYFUNCTION("IMPORTRANGE(""https://docs.google.com/spreadsheets/d/1yswqbM3-AEpThF3ZSUa1AcmHnmRTF1vlJ1CZGcJ8YuU/edit?usp=sharing"",""สุรินทร์!J628"")"),0)</f>
        <v>0</v>
      </c>
      <c r="P46" s="216">
        <f t="shared" ca="1" si="31"/>
        <v>0</v>
      </c>
      <c r="Q46" s="152">
        <f ca="1">IFERROR(__xludf.DUMMYFUNCTION("IMPORTRANGE(""https://docs.google.com/spreadsheets/d/1yswqbM3-AEpThF3ZSUa1AcmHnmRTF1vlJ1CZGcJ8YuU/edit?usp=sharing"",""สุรินทร์!J629"")"),100)</f>
        <v>100</v>
      </c>
      <c r="R46" s="216">
        <f t="shared" ca="1" si="38"/>
        <v>200</v>
      </c>
      <c r="S46" s="152">
        <f ca="1">IFERROR(__xludf.DUMMYFUNCTION("IMPORTRANGE(""https://docs.google.com/spreadsheets/d/1yswqbM3-AEpThF3ZSUa1AcmHnmRTF1vlJ1CZGcJ8YuU/edit?usp=sharing"",""สุรินทร์!J630"")"),0)</f>
        <v>0</v>
      </c>
      <c r="T46" s="216">
        <f t="shared" ca="1" si="32"/>
        <v>0</v>
      </c>
      <c r="U46" s="216">
        <f ca="1">IFERROR(__xludf.DUMMYFUNCTION("IMPORTRANGE(""https://docs.google.com/spreadsheets/d/1yswqbM3-AEpThF3ZSUa1AcmHnmRTF1vlJ1CZGcJ8YuU/edit?usp=sharing"",""สุรินทร์!J631"")"),0)</f>
        <v>0</v>
      </c>
      <c r="V46" s="216">
        <f t="shared" ca="1" si="33"/>
        <v>0</v>
      </c>
      <c r="W46" s="216">
        <f ca="1">IFERROR(__xludf.DUMMYFUNCTION("IMPORTRANGE(""https://docs.google.com/spreadsheets/d/1yswqbM3-AEpThF3ZSUa1AcmHnmRTF1vlJ1CZGcJ8YuU/edit?usp=sharing"",""สุรินทร์!J632"")"),0)</f>
        <v>0</v>
      </c>
      <c r="X46" s="216">
        <f t="shared" ca="1" si="34"/>
        <v>0</v>
      </c>
      <c r="Y46" s="216">
        <f ca="1">IFERROR(__xludf.DUMMYFUNCTION("IMPORTRANGE(""https://docs.google.com/spreadsheets/d/1yswqbM3-AEpThF3ZSUa1AcmHnmRTF1vlJ1CZGcJ8YuU/edit?usp=sharing"",""สุรินทร์!J633"")"),0)</f>
        <v>0</v>
      </c>
      <c r="Z46" s="216">
        <f ca="1">IFERROR(__xludf.DUMMYFUNCTION("IMPORTRANGE(""https://docs.google.com/spreadsheets/d/1yswqbM3-AEpThF3ZSUa1AcmHnmRTF1vlJ1CZGcJ8YuU/edit?usp=sharing"",""สุรินทร์!J634"")"),0)</f>
        <v>0</v>
      </c>
      <c r="AA46" s="152">
        <f ca="1">IFERROR(__xludf.DUMMYFUNCTION("IMPORTRANGE(""https://docs.google.com/spreadsheets/d/1yswqbM3-AEpThF3ZSUa1AcmHnmRTF1vlJ1CZGcJ8YuU/edit?usp=sharing"",""สุรินทร์!I635"")"),0)</f>
        <v>0</v>
      </c>
      <c r="AB46" s="152">
        <f ca="1">IFERROR(__xludf.DUMMYFUNCTION("IMPORTRANGE(""https://docs.google.com/spreadsheets/d/1yswqbM3-AEpThF3ZSUa1AcmHnmRTF1vlJ1CZGcJ8YuU/edit?usp=sharing"",""สุรินทร์!J635"")"),0)</f>
        <v>0</v>
      </c>
      <c r="AC46" s="216">
        <f t="shared" ca="1" si="36"/>
        <v>0</v>
      </c>
      <c r="AD46" s="152">
        <f ca="1">IFERROR(__xludf.DUMMYFUNCTION("IMPORTRANGE(""https://docs.google.com/spreadsheets/d/1yswqbM3-AEpThF3ZSUa1AcmHnmRTF1vlJ1CZGcJ8YuU/edit?usp=sharing"",""สุรินทร์!J636"")"),0)</f>
        <v>0</v>
      </c>
      <c r="AE46" s="152">
        <f ca="1">IFERROR(__xludf.DUMMYFUNCTION("IMPORTRANGE(""https://docs.google.com/spreadsheets/d/1yswqbM3-AEpThF3ZSUa1AcmHnmRTF1vlJ1CZGcJ8YuU/edit?usp=sharing"",""สุรินทร์!J637"")"),0)</f>
        <v>0</v>
      </c>
      <c r="AF46" s="152">
        <f ca="1">IFERROR(__xludf.DUMMYFUNCTION("IMPORTRANGE(""https://docs.google.com/spreadsheets/d/1yswqbM3-AEpThF3ZSUa1AcmHnmRTF1vlJ1CZGcJ8YuU/edit?usp=sharing"",""สุรินทร์!J638"")"),0)</f>
        <v>0</v>
      </c>
      <c r="AG46" s="152">
        <f ca="1">IFERROR(__xludf.DUMMYFUNCTION("IMPORTRANGE(""https://docs.google.com/spreadsheets/d/1yswqbM3-AEpThF3ZSUa1AcmHnmRTF1vlJ1CZGcJ8YuU/edit?usp=sharing"",""สุรินทร์!J639"")"),0)</f>
        <v>0</v>
      </c>
      <c r="AH46" s="152">
        <f ca="1">IFERROR(__xludf.DUMMYFUNCTION("IMPORTRANGE(""https://docs.google.com/spreadsheets/d/1yswqbM3-AEpThF3ZSUa1AcmHnmRTF1vlJ1CZGcJ8YuU/edit?usp=sharing"",""สุรินทร์!J640"")"),0)</f>
        <v>0</v>
      </c>
    </row>
    <row r="47" spans="1:34" ht="19.5" x14ac:dyDescent="0.3">
      <c r="A47" s="70">
        <v>16</v>
      </c>
      <c r="B47" s="71" t="s">
        <v>75</v>
      </c>
      <c r="C47" s="68">
        <f ca="1">IFERROR(__xludf.DUMMYFUNCTION("IMPORTRANGE(""https://docs.google.com/spreadsheets/d/13JHU_EFbsQOUQ0JSQ3dWy1VTRosIWcDq6Nc99z2qzdc/edit?usp=sharing"",""หนองคาย!Q616"")"),1225)</f>
        <v>1225</v>
      </c>
      <c r="D47" s="68">
        <f ca="1">IFERROR(__xludf.DUMMYFUNCTION("IMPORTRANGE(""https://docs.google.com/spreadsheets/d/13JHU_EFbsQOUQ0JSQ3dWy1VTRosIWcDq6Nc99z2qzdc/edit?usp=sharing"",""หนองคาย!R616"")"),1225)</f>
        <v>1225</v>
      </c>
      <c r="E47" s="68">
        <f ca="1">IFERROR(__xludf.DUMMYFUNCTION("IMPORTRANGE(""https://docs.google.com/spreadsheets/d/13JHU_EFbsQOUQ0JSQ3dWy1VTRosIWcDq6Nc99z2qzdc/edit?usp=sharing"",""หนองคาย!S616"")"),0)</f>
        <v>0</v>
      </c>
      <c r="F47" s="68">
        <f t="shared" ca="1" si="24"/>
        <v>0</v>
      </c>
      <c r="G47" s="68">
        <f t="shared" ca="1" si="25"/>
        <v>0</v>
      </c>
      <c r="H47" s="278">
        <f ca="1">IFERROR(__xludf.DUMMYFUNCTION("IMPORTRANGE(""https://docs.google.com/spreadsheets/d/13JHU_EFbsQOUQ0JSQ3dWy1VTRosIWcDq6Nc99z2qzdc/edit?usp=sharing"",""หนองคาย!I626"")"),0)</f>
        <v>0</v>
      </c>
      <c r="I47" s="152">
        <f ca="1">IFERROR(__xludf.DUMMYFUNCTION("IMPORTRANGE(""https://docs.google.com/spreadsheets/d/13JHU_EFbsQOUQ0JSQ3dWy1VTRosIWcDq6Nc99z2qzdc/edit?usp=sharing"",""หนองคาย!J626"")"),0)</f>
        <v>0</v>
      </c>
      <c r="J47" s="216">
        <f t="shared" ca="1" si="27"/>
        <v>0</v>
      </c>
      <c r="K47" s="152">
        <f ca="1">IFERROR(__xludf.DUMMYFUNCTION("IMPORTRANGE(""https://docs.google.com/spreadsheets/d/13JHU_EFbsQOUQ0JSQ3dWy1VTRosIWcDq6Nc99z2qzdc/edit?usp=sharing"",""หนองคาย!I627"")"),0)</f>
        <v>0</v>
      </c>
      <c r="L47" s="152">
        <f ca="1">IFERROR(__xludf.DUMMYFUNCTION("IMPORTRANGE(""https://docs.google.com/spreadsheets/d/13JHU_EFbsQOUQ0JSQ3dWy1VTRosIWcDq6Nc99z2qzdc/edit?usp=sharing"",""หนองคาย!J627"")"),0)</f>
        <v>0</v>
      </c>
      <c r="M47" s="216">
        <f t="shared" ca="1" si="29"/>
        <v>0</v>
      </c>
      <c r="N47" s="152">
        <f ca="1">IFERROR(__xludf.DUMMYFUNCTION("IMPORTRANGE(""https://docs.google.com/spreadsheets/d/13JHU_EFbsQOUQ0JSQ3dWy1VTRosIWcDq6Nc99z2qzdc/edit?usp=sharing"",""หนองคาย!I628"")"),0)</f>
        <v>0</v>
      </c>
      <c r="O47" s="152">
        <f ca="1">IFERROR(__xludf.DUMMYFUNCTION("IMPORTRANGE(""https://docs.google.com/spreadsheets/d/13JHU_EFbsQOUQ0JSQ3dWy1VTRosIWcDq6Nc99z2qzdc/edit?usp=sharing"",""หนองคาย!J628"")"),0)</f>
        <v>0</v>
      </c>
      <c r="P47" s="216">
        <f t="shared" ca="1" si="31"/>
        <v>0</v>
      </c>
      <c r="Q47" s="152">
        <f ca="1">IFERROR(__xludf.DUMMYFUNCTION("IMPORTRANGE(""https://docs.google.com/spreadsheets/d/13JHU_EFbsQOUQ0JSQ3dWy1VTRosIWcDq6Nc99z2qzdc/edit?usp=sharing"",""หนองคาย!J629"")"),0)</f>
        <v>0</v>
      </c>
      <c r="R47" s="216">
        <f t="shared" ca="1" si="38"/>
        <v>0</v>
      </c>
      <c r="S47" s="152">
        <f ca="1">IFERROR(__xludf.DUMMYFUNCTION("IMPORTRANGE(""https://docs.google.com/spreadsheets/d/13JHU_EFbsQOUQ0JSQ3dWy1VTRosIWcDq6Nc99z2qzdc/edit?usp=sharing"",""หนองคาย!J630"")"),0)</f>
        <v>0</v>
      </c>
      <c r="T47" s="216">
        <f t="shared" ca="1" si="32"/>
        <v>0</v>
      </c>
      <c r="U47" s="216">
        <f ca="1">IFERROR(__xludf.DUMMYFUNCTION("IMPORTRANGE(""https://docs.google.com/spreadsheets/d/13JHU_EFbsQOUQ0JSQ3dWy1VTRosIWcDq6Nc99z2qzdc/edit?usp=sharing"",""หนองคาย!J631"")"),0)</f>
        <v>0</v>
      </c>
      <c r="V47" s="216">
        <f t="shared" ca="1" si="33"/>
        <v>0</v>
      </c>
      <c r="W47" s="216">
        <f ca="1">IFERROR(__xludf.DUMMYFUNCTION("IMPORTRANGE(""https://docs.google.com/spreadsheets/d/13JHU_EFbsQOUQ0JSQ3dWy1VTRosIWcDq6Nc99z2qzdc/edit?usp=sharing"",""หนองคาย!J632"")"),0)</f>
        <v>0</v>
      </c>
      <c r="X47" s="216">
        <f t="shared" ca="1" si="34"/>
        <v>0</v>
      </c>
      <c r="Y47" s="216">
        <f ca="1">IFERROR(__xludf.DUMMYFUNCTION("IMPORTRANGE(""https://docs.google.com/spreadsheets/d/13JHU_EFbsQOUQ0JSQ3dWy1VTRosIWcDq6Nc99z2qzdc/edit?usp=sharing"",""หนองคาย!J633"")"),0)</f>
        <v>0</v>
      </c>
      <c r="Z47" s="216">
        <f ca="1">IFERROR(__xludf.DUMMYFUNCTION("IMPORTRANGE(""https://docs.google.com/spreadsheets/d/13JHU_EFbsQOUQ0JSQ3dWy1VTRosIWcDq6Nc99z2qzdc/edit?usp=sharing"",""หนองคาย!J634"")"),0)</f>
        <v>0</v>
      </c>
      <c r="AA47" s="152">
        <f ca="1">IFERROR(__xludf.DUMMYFUNCTION("IMPORTRANGE(""https://docs.google.com/spreadsheets/d/13JHU_EFbsQOUQ0JSQ3dWy1VTRosIWcDq6Nc99z2qzdc/edit?usp=sharing"",""หนองคาย!I635"")"),0)</f>
        <v>0</v>
      </c>
      <c r="AB47" s="152">
        <f ca="1">IFERROR(__xludf.DUMMYFUNCTION("IMPORTRANGE(""https://docs.google.com/spreadsheets/d/13JHU_EFbsQOUQ0JSQ3dWy1VTRosIWcDq6Nc99z2qzdc/edit?usp=sharing"",""หนองคาย!J635"")"),0)</f>
        <v>0</v>
      </c>
      <c r="AC47" s="216">
        <f t="shared" ca="1" si="36"/>
        <v>0</v>
      </c>
      <c r="AD47" s="152">
        <f ca="1">IFERROR(__xludf.DUMMYFUNCTION("IMPORTRANGE(""https://docs.google.com/spreadsheets/d/13JHU_EFbsQOUQ0JSQ3dWy1VTRosIWcDq6Nc99z2qzdc/edit?usp=sharing"",""หนองคาย!J636"")"),0)</f>
        <v>0</v>
      </c>
      <c r="AE47" s="152">
        <f ca="1">IFERROR(__xludf.DUMMYFUNCTION("IMPORTRANGE(""https://docs.google.com/spreadsheets/d/13JHU_EFbsQOUQ0JSQ3dWy1VTRosIWcDq6Nc99z2qzdc/edit?usp=sharing"",""หนองคาย!J637"")"),0)</f>
        <v>0</v>
      </c>
      <c r="AF47" s="152">
        <f ca="1">IFERROR(__xludf.DUMMYFUNCTION("IMPORTRANGE(""https://docs.google.com/spreadsheets/d/13JHU_EFbsQOUQ0JSQ3dWy1VTRosIWcDq6Nc99z2qzdc/edit?usp=sharing"",""หนองคาย!J638"")"),0)</f>
        <v>0</v>
      </c>
      <c r="AG47" s="152">
        <f ca="1">IFERROR(__xludf.DUMMYFUNCTION("IMPORTRANGE(""https://docs.google.com/spreadsheets/d/13JHU_EFbsQOUQ0JSQ3dWy1VTRosIWcDq6Nc99z2qzdc/edit?usp=sharing"",""หนองคาย!J639"")"),0)</f>
        <v>0</v>
      </c>
      <c r="AH47" s="152">
        <f ca="1">IFERROR(__xludf.DUMMYFUNCTION("IMPORTRANGE(""https://docs.google.com/spreadsheets/d/13JHU_EFbsQOUQ0JSQ3dWy1VTRosIWcDq6Nc99z2qzdc/edit?usp=sharing"",""หนองคาย!J640"")"),0)</f>
        <v>0</v>
      </c>
    </row>
    <row r="48" spans="1:34" ht="19.5" x14ac:dyDescent="0.3">
      <c r="A48" s="70">
        <v>17</v>
      </c>
      <c r="B48" s="71" t="s">
        <v>76</v>
      </c>
      <c r="C48" s="68">
        <f ca="1">IFERROR(__xludf.DUMMYFUNCTION("IMPORTRANGE(""https://docs.google.com/spreadsheets/d/1Hx73zIEgVdDZZaYSTc46Dqv64atFhpr3GelxLbaIN8A/edit?usp=sharing"",""หนองบัวลำภู!Q616"")"),6650)</f>
        <v>6650</v>
      </c>
      <c r="D48" s="68">
        <f ca="1">IFERROR(__xludf.DUMMYFUNCTION("IMPORTRANGE(""https://docs.google.com/spreadsheets/d/1Hx73zIEgVdDZZaYSTc46Dqv64atFhpr3GelxLbaIN8A/edit?usp=sharing"",""หนองบัวลำภู!R616"")"),6650)</f>
        <v>6650</v>
      </c>
      <c r="E48" s="68">
        <f ca="1">IFERROR(__xludf.DUMMYFUNCTION("IMPORTRANGE(""https://docs.google.com/spreadsheets/d/1Hx73zIEgVdDZZaYSTc46Dqv64atFhpr3GelxLbaIN8A/edit?usp=sharing"",""หนองบัวลำภู!S616"")"),1000)</f>
        <v>1000</v>
      </c>
      <c r="F48" s="68">
        <f t="shared" ca="1" si="24"/>
        <v>15.037593984962406</v>
      </c>
      <c r="G48" s="68">
        <f t="shared" ca="1" si="25"/>
        <v>15.037593984962406</v>
      </c>
      <c r="H48" s="278">
        <f ca="1">IFERROR(__xludf.DUMMYFUNCTION("IMPORTRANGE(""https://docs.google.com/spreadsheets/d/1Hx73zIEgVdDZZaYSTc46Dqv64atFhpr3GelxLbaIN8A/edit?usp=sharing"",""หนองบัวลำภู!I626"")"),50)</f>
        <v>50</v>
      </c>
      <c r="I48" s="152">
        <f ca="1">IFERROR(__xludf.DUMMYFUNCTION("IMPORTRANGE(""https://docs.google.com/spreadsheets/d/1Hx73zIEgVdDZZaYSTc46Dqv64atFhpr3GelxLbaIN8A/edit?usp=sharing"",""หนองบัวลำภู!J626"")"),0)</f>
        <v>0</v>
      </c>
      <c r="J48" s="216">
        <f t="shared" ca="1" si="27"/>
        <v>0</v>
      </c>
      <c r="K48" s="152">
        <f ca="1">IFERROR(__xludf.DUMMYFUNCTION("IMPORTRANGE(""https://docs.google.com/spreadsheets/d/1Hx73zIEgVdDZZaYSTc46Dqv64atFhpr3GelxLbaIN8A/edit?usp=sharing"",""หนองบัวลำภู!I627"")"),0)</f>
        <v>0</v>
      </c>
      <c r="L48" s="152">
        <f ca="1">IFERROR(__xludf.DUMMYFUNCTION("IMPORTRANGE(""https://docs.google.com/spreadsheets/d/1Hx73zIEgVdDZZaYSTc46Dqv64atFhpr3GelxLbaIN8A/edit?usp=sharing"",""หนองบัวลำภู!J627"")"),0)</f>
        <v>0</v>
      </c>
      <c r="M48" s="216">
        <f t="shared" ca="1" si="29"/>
        <v>0</v>
      </c>
      <c r="N48" s="152">
        <f ca="1">IFERROR(__xludf.DUMMYFUNCTION("IMPORTRANGE(""https://docs.google.com/spreadsheets/d/1Hx73zIEgVdDZZaYSTc46Dqv64atFhpr3GelxLbaIN8A/edit?usp=sharing"",""หนองบัวลำภู!I628"")"),0)</f>
        <v>0</v>
      </c>
      <c r="O48" s="152">
        <f ca="1">IFERROR(__xludf.DUMMYFUNCTION("IMPORTRANGE(""https://docs.google.com/spreadsheets/d/1Hx73zIEgVdDZZaYSTc46Dqv64atFhpr3GelxLbaIN8A/edit?usp=sharing"",""หนองบัวลำภู!J628"")"),0)</f>
        <v>0</v>
      </c>
      <c r="P48" s="216">
        <f t="shared" ca="1" si="31"/>
        <v>0</v>
      </c>
      <c r="Q48" s="152">
        <f ca="1">IFERROR(__xludf.DUMMYFUNCTION("IMPORTRANGE(""https://docs.google.com/spreadsheets/d/1Hx73zIEgVdDZZaYSTc46Dqv64atFhpr3GelxLbaIN8A/edit?usp=sharing"",""หนองบัวลำภู!J629"")"),0)</f>
        <v>0</v>
      </c>
      <c r="R48" s="216">
        <f t="shared" ca="1" si="38"/>
        <v>0</v>
      </c>
      <c r="S48" s="152">
        <f ca="1">IFERROR(__xludf.DUMMYFUNCTION("IMPORTRANGE(""https://docs.google.com/spreadsheets/d/1Hx73zIEgVdDZZaYSTc46Dqv64atFhpr3GelxLbaIN8A/edit?usp=sharing"",""หนองบัวลำภู!J630"")"),0)</f>
        <v>0</v>
      </c>
      <c r="T48" s="216">
        <f t="shared" ca="1" si="32"/>
        <v>0</v>
      </c>
      <c r="U48" s="216">
        <f ca="1">IFERROR(__xludf.DUMMYFUNCTION("IMPORTRANGE(""https://docs.google.com/spreadsheets/d/1Hx73zIEgVdDZZaYSTc46Dqv64atFhpr3GelxLbaIN8A/edit?usp=sharing"",""หนองบัวลำภู!J631"")"),0)</f>
        <v>0</v>
      </c>
      <c r="V48" s="216">
        <f t="shared" ca="1" si="33"/>
        <v>0</v>
      </c>
      <c r="W48" s="216">
        <f ca="1">IFERROR(__xludf.DUMMYFUNCTION("IMPORTRANGE(""https://docs.google.com/spreadsheets/d/1Hx73zIEgVdDZZaYSTc46Dqv64atFhpr3GelxLbaIN8A/edit?usp=sharing"",""หนองบัวลำภู!J632"")"),0)</f>
        <v>0</v>
      </c>
      <c r="X48" s="216">
        <f t="shared" ca="1" si="34"/>
        <v>0</v>
      </c>
      <c r="Y48" s="216">
        <f ca="1">IFERROR(__xludf.DUMMYFUNCTION("IMPORTRANGE(""https://docs.google.com/spreadsheets/d/1Hx73zIEgVdDZZaYSTc46Dqv64atFhpr3GelxLbaIN8A/edit?usp=sharing"",""หนองบัวลำภู!J633"")"),0)</f>
        <v>0</v>
      </c>
      <c r="Z48" s="216">
        <f ca="1">IFERROR(__xludf.DUMMYFUNCTION("IMPORTRANGE(""https://docs.google.com/spreadsheets/d/1Hx73zIEgVdDZZaYSTc46Dqv64atFhpr3GelxLbaIN8A/edit?usp=sharing"",""หนองบัวลำภู!J634"")"),0)</f>
        <v>0</v>
      </c>
      <c r="AA48" s="152">
        <f ca="1">IFERROR(__xludf.DUMMYFUNCTION("IMPORTRANGE(""https://docs.google.com/spreadsheets/d/1Hx73zIEgVdDZZaYSTc46Dqv64atFhpr3GelxLbaIN8A/edit?usp=sharing"",""หนองบัวลำภู!I635"")"),0)</f>
        <v>0</v>
      </c>
      <c r="AB48" s="152">
        <f ca="1">IFERROR(__xludf.DUMMYFUNCTION("IMPORTRANGE(""https://docs.google.com/spreadsheets/d/1Hx73zIEgVdDZZaYSTc46Dqv64atFhpr3GelxLbaIN8A/edit?usp=sharing"",""หนองบัวลำภู!J635"")"),0)</f>
        <v>0</v>
      </c>
      <c r="AC48" s="216">
        <f t="shared" ca="1" si="36"/>
        <v>0</v>
      </c>
      <c r="AD48" s="152">
        <f ca="1">IFERROR(__xludf.DUMMYFUNCTION("IMPORTRANGE(""https://docs.google.com/spreadsheets/d/1Hx73zIEgVdDZZaYSTc46Dqv64atFhpr3GelxLbaIN8A/edit?usp=sharing"",""หนองบัวลำภู!J636"")"),0)</f>
        <v>0</v>
      </c>
      <c r="AE48" s="152">
        <f ca="1">IFERROR(__xludf.DUMMYFUNCTION("IMPORTRANGE(""https://docs.google.com/spreadsheets/d/1Hx73zIEgVdDZZaYSTc46Dqv64atFhpr3GelxLbaIN8A/edit?usp=sharing"",""หนองบัวลำภู!J637"")"),0)</f>
        <v>0</v>
      </c>
      <c r="AF48" s="152">
        <f ca="1">IFERROR(__xludf.DUMMYFUNCTION("IMPORTRANGE(""https://docs.google.com/spreadsheets/d/1Hx73zIEgVdDZZaYSTc46Dqv64atFhpr3GelxLbaIN8A/edit?usp=sharing"",""หนองบัวลำภู!J638"")"),0)</f>
        <v>0</v>
      </c>
      <c r="AG48" s="152">
        <f ca="1">IFERROR(__xludf.DUMMYFUNCTION("IMPORTRANGE(""https://docs.google.com/spreadsheets/d/1Hx73zIEgVdDZZaYSTc46Dqv64atFhpr3GelxLbaIN8A/edit?usp=sharing"",""หนองบัวลำภู!J639"")"),0)</f>
        <v>0</v>
      </c>
      <c r="AH48" s="152">
        <f ca="1">IFERROR(__xludf.DUMMYFUNCTION("IMPORTRANGE(""https://docs.google.com/spreadsheets/d/1Hx73zIEgVdDZZaYSTc46Dqv64atFhpr3GelxLbaIN8A/edit?usp=sharing"",""หนองบัวลำภู!J640"")"),0)</f>
        <v>0</v>
      </c>
    </row>
    <row r="49" spans="1:34" ht="19.5" x14ac:dyDescent="0.3">
      <c r="A49" s="70">
        <v>18</v>
      </c>
      <c r="B49" s="71" t="s">
        <v>77</v>
      </c>
      <c r="C49" s="68">
        <f ca="1">IFERROR(__xludf.DUMMYFUNCTION("IMPORTRANGE(""https://docs.google.com/spreadsheets/d/1lFxr3ctmjFN90yc-xV6jrQ9Ty8BKYVBWnAZ15wcNIJc/edit?usp=sharing"",""อำนาจเจริญ!Q616"")"),6675)</f>
        <v>6675</v>
      </c>
      <c r="D49" s="68">
        <f ca="1">IFERROR(__xludf.DUMMYFUNCTION("IMPORTRANGE(""https://docs.google.com/spreadsheets/d/1lFxr3ctmjFN90yc-xV6jrQ9Ty8BKYVBWnAZ15wcNIJc/edit?usp=sharing"",""อำนาจเจริญ!R616"")"),6675)</f>
        <v>6675</v>
      </c>
      <c r="E49" s="68">
        <f ca="1">IFERROR(__xludf.DUMMYFUNCTION("IMPORTRANGE(""https://docs.google.com/spreadsheets/d/1lFxr3ctmjFN90yc-xV6jrQ9Ty8BKYVBWnAZ15wcNIJc/edit?usp=sharing"",""อำนาจเจริญ!S616"")"),1000)</f>
        <v>1000</v>
      </c>
      <c r="F49" s="68">
        <f t="shared" ca="1" si="24"/>
        <v>14.9812734082397</v>
      </c>
      <c r="G49" s="68">
        <f t="shared" ca="1" si="25"/>
        <v>14.9812734082397</v>
      </c>
      <c r="H49" s="278">
        <f ca="1">IFERROR(__xludf.DUMMYFUNCTION("IMPORTRANGE(""https://docs.google.com/spreadsheets/d/1lFxr3ctmjFN90yc-xV6jrQ9Ty8BKYVBWnAZ15wcNIJc/edit?usp=sharing"",""อำนาจเจริญ!I626"")"),50)</f>
        <v>50</v>
      </c>
      <c r="I49" s="152">
        <f ca="1">IFERROR(__xludf.DUMMYFUNCTION("IMPORTRANGE(""https://docs.google.com/spreadsheets/d/1lFxr3ctmjFN90yc-xV6jrQ9Ty8BKYVBWnAZ15wcNIJc/edit?usp=sharing"",""อำนาจเจริญ!J626"")"),0)</f>
        <v>0</v>
      </c>
      <c r="J49" s="216">
        <f t="shared" ca="1" si="27"/>
        <v>0</v>
      </c>
      <c r="K49" s="152">
        <f ca="1">IFERROR(__xludf.DUMMYFUNCTION("IMPORTRANGE(""https://docs.google.com/spreadsheets/d/1lFxr3ctmjFN90yc-xV6jrQ9Ty8BKYVBWnAZ15wcNIJc/edit?usp=sharing"",""อำนาจเจริญ!I627"")"),0)</f>
        <v>0</v>
      </c>
      <c r="L49" s="152">
        <f ca="1">IFERROR(__xludf.DUMMYFUNCTION("IMPORTRANGE(""https://docs.google.com/spreadsheets/d/1lFxr3ctmjFN90yc-xV6jrQ9Ty8BKYVBWnAZ15wcNIJc/edit?usp=sharing"",""อำนาจเจริญ!J627"")"),4)</f>
        <v>4</v>
      </c>
      <c r="M49" s="216">
        <f t="shared" ca="1" si="29"/>
        <v>0</v>
      </c>
      <c r="N49" s="152">
        <f ca="1">IFERROR(__xludf.DUMMYFUNCTION("IMPORTRANGE(""https://docs.google.com/spreadsheets/d/1lFxr3ctmjFN90yc-xV6jrQ9Ty8BKYVBWnAZ15wcNIJc/edit?usp=sharing"",""อำนาจเจริญ!I628"")"),0)</f>
        <v>0</v>
      </c>
      <c r="O49" s="152">
        <f ca="1">IFERROR(__xludf.DUMMYFUNCTION("IMPORTRANGE(""https://docs.google.com/spreadsheets/d/1lFxr3ctmjFN90yc-xV6jrQ9Ty8BKYVBWnAZ15wcNIJc/edit?usp=sharing"",""อำนาจเจริญ!J628"")"),4)</f>
        <v>4</v>
      </c>
      <c r="P49" s="216">
        <f t="shared" ca="1" si="31"/>
        <v>0</v>
      </c>
      <c r="Q49" s="152">
        <f ca="1">IFERROR(__xludf.DUMMYFUNCTION("IMPORTRANGE(""https://docs.google.com/spreadsheets/d/1lFxr3ctmjFN90yc-xV6jrQ9Ty8BKYVBWnAZ15wcNIJc/edit?usp=sharing"",""อำนาจเจริญ!J629"")"),351)</f>
        <v>351</v>
      </c>
      <c r="R49" s="216">
        <f t="shared" ca="1" si="38"/>
        <v>702</v>
      </c>
      <c r="S49" s="152">
        <f ca="1">IFERROR(__xludf.DUMMYFUNCTION("IMPORTRANGE(""https://docs.google.com/spreadsheets/d/1lFxr3ctmjFN90yc-xV6jrQ9Ty8BKYVBWnAZ15wcNIJc/edit?usp=sharing"",""อำนาจเจริญ!J630"")"),0)</f>
        <v>0</v>
      </c>
      <c r="T49" s="216">
        <f t="shared" ca="1" si="32"/>
        <v>0</v>
      </c>
      <c r="U49" s="216">
        <f ca="1">IFERROR(__xludf.DUMMYFUNCTION("IMPORTRANGE(""https://docs.google.com/spreadsheets/d/1lFxr3ctmjFN90yc-xV6jrQ9Ty8BKYVBWnAZ15wcNIJc/edit?usp=sharing"",""อำนาจเจริญ!J631"")"),0)</f>
        <v>0</v>
      </c>
      <c r="V49" s="216">
        <f t="shared" ca="1" si="33"/>
        <v>0</v>
      </c>
      <c r="W49" s="216">
        <f ca="1">IFERROR(__xludf.DUMMYFUNCTION("IMPORTRANGE(""https://docs.google.com/spreadsheets/d/1lFxr3ctmjFN90yc-xV6jrQ9Ty8BKYVBWnAZ15wcNIJc/edit?usp=sharing"",""อำนาจเจริญ!J632"")"),0)</f>
        <v>0</v>
      </c>
      <c r="X49" s="216">
        <f t="shared" ca="1" si="34"/>
        <v>0</v>
      </c>
      <c r="Y49" s="216">
        <f ca="1">IFERROR(__xludf.DUMMYFUNCTION("IMPORTRANGE(""https://docs.google.com/spreadsheets/d/1lFxr3ctmjFN90yc-xV6jrQ9Ty8BKYVBWnAZ15wcNIJc/edit?usp=sharing"",""อำนาจเจริญ!J633"")"),0)</f>
        <v>0</v>
      </c>
      <c r="Z49" s="216">
        <f ca="1">IFERROR(__xludf.DUMMYFUNCTION("IMPORTRANGE(""https://docs.google.com/spreadsheets/d/1lFxr3ctmjFN90yc-xV6jrQ9Ty8BKYVBWnAZ15wcNIJc/edit?usp=sharing"",""อำนาจเจริญ!J634"")"),0)</f>
        <v>0</v>
      </c>
      <c r="AA49" s="152">
        <f ca="1">IFERROR(__xludf.DUMMYFUNCTION("IMPORTRANGE(""https://docs.google.com/spreadsheets/d/1lFxr3ctmjFN90yc-xV6jrQ9Ty8BKYVBWnAZ15wcNIJc/edit?usp=sharing"",""อำนาจเจริญ!I635"")"),0)</f>
        <v>0</v>
      </c>
      <c r="AB49" s="152">
        <f ca="1">IFERROR(__xludf.DUMMYFUNCTION("IMPORTRANGE(""https://docs.google.com/spreadsheets/d/1lFxr3ctmjFN90yc-xV6jrQ9Ty8BKYVBWnAZ15wcNIJc/edit?usp=sharing"",""อำนาจเจริญ!J635"")"),0)</f>
        <v>0</v>
      </c>
      <c r="AC49" s="216">
        <f t="shared" ca="1" si="36"/>
        <v>0</v>
      </c>
      <c r="AD49" s="152">
        <f ca="1">IFERROR(__xludf.DUMMYFUNCTION("IMPORTRANGE(""https://docs.google.com/spreadsheets/d/1lFxr3ctmjFN90yc-xV6jrQ9Ty8BKYVBWnAZ15wcNIJc/edit?usp=sharing"",""อำนาจเจริญ!J636"")"),0)</f>
        <v>0</v>
      </c>
      <c r="AE49" s="152">
        <f ca="1">IFERROR(__xludf.DUMMYFUNCTION("IMPORTRANGE(""https://docs.google.com/spreadsheets/d/1lFxr3ctmjFN90yc-xV6jrQ9Ty8BKYVBWnAZ15wcNIJc/edit?usp=sharing"",""อำนาจเจริญ!J637"")"),0)</f>
        <v>0</v>
      </c>
      <c r="AF49" s="152">
        <f ca="1">IFERROR(__xludf.DUMMYFUNCTION("IMPORTRANGE(""https://docs.google.com/spreadsheets/d/1lFxr3ctmjFN90yc-xV6jrQ9Ty8BKYVBWnAZ15wcNIJc/edit?usp=sharing"",""อำนาจเจริญ!J638"")"),0)</f>
        <v>0</v>
      </c>
      <c r="AG49" s="152">
        <f ca="1">IFERROR(__xludf.DUMMYFUNCTION("IMPORTRANGE(""https://docs.google.com/spreadsheets/d/1lFxr3ctmjFN90yc-xV6jrQ9Ty8BKYVBWnAZ15wcNIJc/edit?usp=sharing"",""อำนาจเจริญ!J639"")"),0)</f>
        <v>0</v>
      </c>
      <c r="AH49" s="152">
        <f ca="1">IFERROR(__xludf.DUMMYFUNCTION("IMPORTRANGE(""https://docs.google.com/spreadsheets/d/1lFxr3ctmjFN90yc-xV6jrQ9Ty8BKYVBWnAZ15wcNIJc/edit?usp=sharing"",""อำนาจเจริญ!J640"")"),0)</f>
        <v>0</v>
      </c>
    </row>
    <row r="50" spans="1:34" ht="19.5" x14ac:dyDescent="0.3">
      <c r="A50" s="70">
        <v>19</v>
      </c>
      <c r="B50" s="71" t="s">
        <v>78</v>
      </c>
      <c r="C50" s="68">
        <f ca="1">IFERROR(__xludf.DUMMYFUNCTION("IMPORTRANGE(""https://docs.google.com/spreadsheets/d/1gF7RJpRnL-1oyjyeWxs5SFWEH7y8ahOZsQlyp2A2e-A/edit?usp=sharing"",""อุดรธานี!Q616"")"),2100)</f>
        <v>2100</v>
      </c>
      <c r="D50" s="68">
        <f ca="1">IFERROR(__xludf.DUMMYFUNCTION("IMPORTRANGE(""https://docs.google.com/spreadsheets/d/1gF7RJpRnL-1oyjyeWxs5SFWEH7y8ahOZsQlyp2A2e-A/edit?usp=sharing"",""อุดรธานี!R616"")"),2100)</f>
        <v>2100</v>
      </c>
      <c r="E50" s="68">
        <f ca="1">IFERROR(__xludf.DUMMYFUNCTION("IMPORTRANGE(""https://docs.google.com/spreadsheets/d/1gF7RJpRnL-1oyjyeWxs5SFWEH7y8ahOZsQlyp2A2e-A/edit?usp=sharing"",""อุดรธานี!S616"")"),0)</f>
        <v>0</v>
      </c>
      <c r="F50" s="68">
        <f t="shared" ca="1" si="24"/>
        <v>0</v>
      </c>
      <c r="G50" s="68">
        <f t="shared" ca="1" si="25"/>
        <v>0</v>
      </c>
      <c r="H50" s="278">
        <f ca="1">IFERROR(__xludf.DUMMYFUNCTION("IMPORTRANGE(""https://docs.google.com/spreadsheets/d/1gF7RJpRnL-1oyjyeWxs5SFWEH7y8ahOZsQlyp2A2e-A/edit?usp=sharing"",""อุดรธานี!I626"")"),0)</f>
        <v>0</v>
      </c>
      <c r="I50" s="152">
        <f ca="1">IFERROR(__xludf.DUMMYFUNCTION("IMPORTRANGE(""https://docs.google.com/spreadsheets/d/1gF7RJpRnL-1oyjyeWxs5SFWEH7y8ahOZsQlyp2A2e-A/edit?usp=sharing"",""อุดรธานี!J626"")"),0)</f>
        <v>0</v>
      </c>
      <c r="J50" s="216">
        <f t="shared" ca="1" si="27"/>
        <v>0</v>
      </c>
      <c r="K50" s="152">
        <f ca="1">IFERROR(__xludf.DUMMYFUNCTION("IMPORTRANGE(""https://docs.google.com/spreadsheets/d/1gF7RJpRnL-1oyjyeWxs5SFWEH7y8ahOZsQlyp2A2e-A/edit?usp=sharing"",""อุดรธานี!I627"")"),1)</f>
        <v>1</v>
      </c>
      <c r="L50" s="152">
        <f ca="1">IFERROR(__xludf.DUMMYFUNCTION("IMPORTRANGE(""https://docs.google.com/spreadsheets/d/1gF7RJpRnL-1oyjyeWxs5SFWEH7y8ahOZsQlyp2A2e-A/edit?usp=sharing"",""อุดรธานี!J627"")"),0)</f>
        <v>0</v>
      </c>
      <c r="M50" s="216">
        <f t="shared" ca="1" si="29"/>
        <v>0</v>
      </c>
      <c r="N50" s="152">
        <f ca="1">IFERROR(__xludf.DUMMYFUNCTION("IMPORTRANGE(""https://docs.google.com/spreadsheets/d/1gF7RJpRnL-1oyjyeWxs5SFWEH7y8ahOZsQlyp2A2e-A/edit?usp=sharing"",""อุดรธานี!I628"")"),1)</f>
        <v>1</v>
      </c>
      <c r="O50" s="152">
        <f ca="1">IFERROR(__xludf.DUMMYFUNCTION("IMPORTRANGE(""https://docs.google.com/spreadsheets/d/1gF7RJpRnL-1oyjyeWxs5SFWEH7y8ahOZsQlyp2A2e-A/edit?usp=sharing"",""อุดรธานี!J628"")"),0)</f>
        <v>0</v>
      </c>
      <c r="P50" s="216">
        <f t="shared" ca="1" si="31"/>
        <v>0</v>
      </c>
      <c r="Q50" s="152">
        <f ca="1">IFERROR(__xludf.DUMMYFUNCTION("IMPORTRANGE(""https://docs.google.com/spreadsheets/d/1gF7RJpRnL-1oyjyeWxs5SFWEH7y8ahOZsQlyp2A2e-A/edit?usp=sharing"",""อุดรธานี!J629"")"),0)</f>
        <v>0</v>
      </c>
      <c r="R50" s="216">
        <f t="shared" ca="1" si="38"/>
        <v>0</v>
      </c>
      <c r="S50" s="152">
        <f ca="1">IFERROR(__xludf.DUMMYFUNCTION("IMPORTRANGE(""https://docs.google.com/spreadsheets/d/1gF7RJpRnL-1oyjyeWxs5SFWEH7y8ahOZsQlyp2A2e-A/edit?usp=sharing"",""อุดรธานี!J630"")"),0)</f>
        <v>0</v>
      </c>
      <c r="T50" s="216">
        <f t="shared" ca="1" si="32"/>
        <v>0</v>
      </c>
      <c r="U50" s="216">
        <f ca="1">IFERROR(__xludf.DUMMYFUNCTION("IMPORTRANGE(""https://docs.google.com/spreadsheets/d/1gF7RJpRnL-1oyjyeWxs5SFWEH7y8ahOZsQlyp2A2e-A/edit?usp=sharing"",""อุดรธานี!J631"")"),0)</f>
        <v>0</v>
      </c>
      <c r="V50" s="216">
        <f t="shared" ca="1" si="33"/>
        <v>0</v>
      </c>
      <c r="W50" s="216">
        <f ca="1">IFERROR(__xludf.DUMMYFUNCTION("IMPORTRANGE(""https://docs.google.com/spreadsheets/d/1gF7RJpRnL-1oyjyeWxs5SFWEH7y8ahOZsQlyp2A2e-A/edit?usp=sharing"",""อุดรธานี!J632"")"),0)</f>
        <v>0</v>
      </c>
      <c r="X50" s="216">
        <f t="shared" ca="1" si="34"/>
        <v>0</v>
      </c>
      <c r="Y50" s="216">
        <f ca="1">IFERROR(__xludf.DUMMYFUNCTION("IMPORTRANGE(""https://docs.google.com/spreadsheets/d/1gF7RJpRnL-1oyjyeWxs5SFWEH7y8ahOZsQlyp2A2e-A/edit?usp=sharing"",""อุดรธานี!J633"")"),0)</f>
        <v>0</v>
      </c>
      <c r="Z50" s="216">
        <f ca="1">IFERROR(__xludf.DUMMYFUNCTION("IMPORTRANGE(""https://docs.google.com/spreadsheets/d/1gF7RJpRnL-1oyjyeWxs5SFWEH7y8ahOZsQlyp2A2e-A/edit?usp=sharing"",""อุดรธานี!J634"")"),0)</f>
        <v>0</v>
      </c>
      <c r="AA50" s="152">
        <f ca="1">IFERROR(__xludf.DUMMYFUNCTION("IMPORTRANGE(""https://docs.google.com/spreadsheets/d/1gF7RJpRnL-1oyjyeWxs5SFWEH7y8ahOZsQlyp2A2e-A/edit?usp=sharing"",""อุดรธานี!I635"")"),0)</f>
        <v>0</v>
      </c>
      <c r="AB50" s="152">
        <f ca="1">IFERROR(__xludf.DUMMYFUNCTION("IMPORTRANGE(""https://docs.google.com/spreadsheets/d/1gF7RJpRnL-1oyjyeWxs5SFWEH7y8ahOZsQlyp2A2e-A/edit?usp=sharing"",""อุดรธานี!J635"")"),0)</f>
        <v>0</v>
      </c>
      <c r="AC50" s="216">
        <f t="shared" ca="1" si="36"/>
        <v>0</v>
      </c>
      <c r="AD50" s="152">
        <f ca="1">IFERROR(__xludf.DUMMYFUNCTION("IMPORTRANGE(""https://docs.google.com/spreadsheets/d/1gF7RJpRnL-1oyjyeWxs5SFWEH7y8ahOZsQlyp2A2e-A/edit?usp=sharing"",""อุดรธานี!J636"")"),0)</f>
        <v>0</v>
      </c>
      <c r="AE50" s="152">
        <f ca="1">IFERROR(__xludf.DUMMYFUNCTION("IMPORTRANGE(""https://docs.google.com/spreadsheets/d/1gF7RJpRnL-1oyjyeWxs5SFWEH7y8ahOZsQlyp2A2e-A/edit?usp=sharing"",""อุดรธานี!J637"")"),0)</f>
        <v>0</v>
      </c>
      <c r="AF50" s="152">
        <f ca="1">IFERROR(__xludf.DUMMYFUNCTION("IMPORTRANGE(""https://docs.google.com/spreadsheets/d/1gF7RJpRnL-1oyjyeWxs5SFWEH7y8ahOZsQlyp2A2e-A/edit?usp=sharing"",""อุดรธานี!J638"")"),0)</f>
        <v>0</v>
      </c>
      <c r="AG50" s="152">
        <f ca="1">IFERROR(__xludf.DUMMYFUNCTION("IMPORTRANGE(""https://docs.google.com/spreadsheets/d/1gF7RJpRnL-1oyjyeWxs5SFWEH7y8ahOZsQlyp2A2e-A/edit?usp=sharing"",""อุดรธานี!J639"")"),0)</f>
        <v>0</v>
      </c>
      <c r="AH50" s="152">
        <f ca="1">IFERROR(__xludf.DUMMYFUNCTION("IMPORTRANGE(""https://docs.google.com/spreadsheets/d/1gF7RJpRnL-1oyjyeWxs5SFWEH7y8ahOZsQlyp2A2e-A/edit?usp=sharing"",""อุดรธานี!J640"")"),0)</f>
        <v>0</v>
      </c>
    </row>
    <row r="51" spans="1:34" ht="19.5" x14ac:dyDescent="0.3">
      <c r="A51" s="80">
        <v>20</v>
      </c>
      <c r="B51" s="81" t="s">
        <v>79</v>
      </c>
      <c r="C51" s="97">
        <f ca="1">IFERROR(__xludf.DUMMYFUNCTION("IMPORTRANGE(""https://docs.google.com/spreadsheets/d/1kfLP0j3INXRa8bTDpcEmoWewMBV61jlFlfzczfjWIgc/edit?usp=sharing"",""อุบลราชธานี!Q616"")"),7125)</f>
        <v>7125</v>
      </c>
      <c r="D51" s="97">
        <f ca="1">IFERROR(__xludf.DUMMYFUNCTION("IMPORTRANGE(""https://docs.google.com/spreadsheets/d/1kfLP0j3INXRa8bTDpcEmoWewMBV61jlFlfzczfjWIgc/edit?usp=sharing"",""อุบลราชธานี!R616"")"),7125)</f>
        <v>7125</v>
      </c>
      <c r="E51" s="97">
        <f ca="1">IFERROR(__xludf.DUMMYFUNCTION("IMPORTRANGE(""https://docs.google.com/spreadsheets/d/1kfLP0j3INXRa8bTDpcEmoWewMBV61jlFlfzczfjWIgc/edit?usp=sharing"",""อุบลราชธานี!S616"")"),1840)</f>
        <v>1840</v>
      </c>
      <c r="F51" s="97">
        <f t="shared" ca="1" si="24"/>
        <v>25.82456140350877</v>
      </c>
      <c r="G51" s="97">
        <f t="shared" ca="1" si="25"/>
        <v>25.82456140350877</v>
      </c>
      <c r="H51" s="280">
        <f ca="1">IFERROR(__xludf.DUMMYFUNCTION("IMPORTRANGE(""https://docs.google.com/spreadsheets/d/1kfLP0j3INXRa8bTDpcEmoWewMBV61jlFlfzczfjWIgc/edit?usp=sharing"",""อุบลราชธานี!I626"")"),50)</f>
        <v>50</v>
      </c>
      <c r="I51" s="191">
        <f ca="1">IFERROR(__xludf.DUMMYFUNCTION("IMPORTRANGE(""https://docs.google.com/spreadsheets/d/1kfLP0j3INXRa8bTDpcEmoWewMBV61jlFlfzczfjWIgc/edit?usp=sharing"",""อุบลราชธานี!J626"")"),0)</f>
        <v>0</v>
      </c>
      <c r="J51" s="218">
        <f t="shared" ca="1" si="27"/>
        <v>0</v>
      </c>
      <c r="K51" s="191">
        <f ca="1">IFERROR(__xludf.DUMMYFUNCTION("IMPORTRANGE(""https://docs.google.com/spreadsheets/d/1kfLP0j3INXRa8bTDpcEmoWewMBV61jlFlfzczfjWIgc/edit?usp=sharing"",""อุบลราชธานี!I627"")"),0)</f>
        <v>0</v>
      </c>
      <c r="L51" s="191">
        <f ca="1">IFERROR(__xludf.DUMMYFUNCTION("IMPORTRANGE(""https://docs.google.com/spreadsheets/d/1kfLP0j3INXRa8bTDpcEmoWewMBV61jlFlfzczfjWIgc/edit?usp=sharing"",""อุบลราชธานี!J627"")"),0)</f>
        <v>0</v>
      </c>
      <c r="M51" s="218">
        <f t="shared" ca="1" si="29"/>
        <v>0</v>
      </c>
      <c r="N51" s="191">
        <f ca="1">IFERROR(__xludf.DUMMYFUNCTION("IMPORTRANGE(""https://docs.google.com/spreadsheets/d/1kfLP0j3INXRa8bTDpcEmoWewMBV61jlFlfzczfjWIgc/edit?usp=sharing"",""อุบลราชธานี!I628"")"),0)</f>
        <v>0</v>
      </c>
      <c r="O51" s="191">
        <f ca="1">IFERROR(__xludf.DUMMYFUNCTION("IMPORTRANGE(""https://docs.google.com/spreadsheets/d/1kfLP0j3INXRa8bTDpcEmoWewMBV61jlFlfzczfjWIgc/edit?usp=sharing"",""อุบลราชธานี!J628"")"),11)</f>
        <v>11</v>
      </c>
      <c r="P51" s="218">
        <f t="shared" ca="1" si="31"/>
        <v>0</v>
      </c>
      <c r="Q51" s="191">
        <f ca="1">IFERROR(__xludf.DUMMYFUNCTION("IMPORTRANGE(""https://docs.google.com/spreadsheets/d/1kfLP0j3INXRa8bTDpcEmoWewMBV61jlFlfzczfjWIgc/edit?usp=sharing"",""อุบลราชธานี!J629"")"),160)</f>
        <v>160</v>
      </c>
      <c r="R51" s="218">
        <f t="shared" ca="1" si="38"/>
        <v>320</v>
      </c>
      <c r="S51" s="191">
        <f ca="1">IFERROR(__xludf.DUMMYFUNCTION("IMPORTRANGE(""https://docs.google.com/spreadsheets/d/1kfLP0j3INXRa8bTDpcEmoWewMBV61jlFlfzczfjWIgc/edit?usp=sharing"",""อุบลราชธานี!J630"")"),160)</f>
        <v>160</v>
      </c>
      <c r="T51" s="218">
        <f t="shared" ca="1" si="32"/>
        <v>320</v>
      </c>
      <c r="U51" s="218">
        <f ca="1">IFERROR(__xludf.DUMMYFUNCTION("IMPORTRANGE(""https://docs.google.com/spreadsheets/d/1kfLP0j3INXRa8bTDpcEmoWewMBV61jlFlfzczfjWIgc/edit?usp=sharing"",""อุบลราชธานี!J631"")"),0)</f>
        <v>0</v>
      </c>
      <c r="V51" s="218">
        <f t="shared" ca="1" si="33"/>
        <v>0</v>
      </c>
      <c r="W51" s="218">
        <f ca="1">IFERROR(__xludf.DUMMYFUNCTION("IMPORTRANGE(""https://docs.google.com/spreadsheets/d/1kfLP0j3INXRa8bTDpcEmoWewMBV61jlFlfzczfjWIgc/edit?usp=sharing"",""อุบลราชธานี!J632"")"),0)</f>
        <v>0</v>
      </c>
      <c r="X51" s="218">
        <f t="shared" ca="1" si="34"/>
        <v>0</v>
      </c>
      <c r="Y51" s="218">
        <f ca="1">IFERROR(__xludf.DUMMYFUNCTION("IMPORTRANGE(""https://docs.google.com/spreadsheets/d/1kfLP0j3INXRa8bTDpcEmoWewMBV61jlFlfzczfjWIgc/edit?usp=sharing"",""อุบลราชธานี!J633"")"),0)</f>
        <v>0</v>
      </c>
      <c r="Z51" s="218">
        <f ca="1">IFERROR(__xludf.DUMMYFUNCTION("IMPORTRANGE(""https://docs.google.com/spreadsheets/d/1kfLP0j3INXRa8bTDpcEmoWewMBV61jlFlfzczfjWIgc/edit?usp=sharing"",""อุบลราชธานี!J634"")"),0)</f>
        <v>0</v>
      </c>
      <c r="AA51" s="191">
        <f ca="1">IFERROR(__xludf.DUMMYFUNCTION("IMPORTRANGE(""https://docs.google.com/spreadsheets/d/1kfLP0j3INXRa8bTDpcEmoWewMBV61jlFlfzczfjWIgc/edit?usp=sharing"",""อุบลราชธานี!I635"")"),0)</f>
        <v>0</v>
      </c>
      <c r="AB51" s="191">
        <f ca="1">IFERROR(__xludf.DUMMYFUNCTION("IMPORTRANGE(""https://docs.google.com/spreadsheets/d/1kfLP0j3INXRa8bTDpcEmoWewMBV61jlFlfzczfjWIgc/edit?usp=sharing"",""อุบลราชธานี!J635"")"),0)</f>
        <v>0</v>
      </c>
      <c r="AC51" s="218">
        <f t="shared" ca="1" si="36"/>
        <v>0</v>
      </c>
      <c r="AD51" s="191">
        <f ca="1">IFERROR(__xludf.DUMMYFUNCTION("IMPORTRANGE(""https://docs.google.com/spreadsheets/d/1kfLP0j3INXRa8bTDpcEmoWewMBV61jlFlfzczfjWIgc/edit?usp=sharing"",""อุบลราชธานี!J636"")"),0)</f>
        <v>0</v>
      </c>
      <c r="AE51" s="191">
        <f ca="1">IFERROR(__xludf.DUMMYFUNCTION("IMPORTRANGE(""https://docs.google.com/spreadsheets/d/1kfLP0j3INXRa8bTDpcEmoWewMBV61jlFlfzczfjWIgc/edit?usp=sharing"",""อุบลราชธานี!J637"")"),0)</f>
        <v>0</v>
      </c>
      <c r="AF51" s="191">
        <f ca="1">IFERROR(__xludf.DUMMYFUNCTION("IMPORTRANGE(""https://docs.google.com/spreadsheets/d/1kfLP0j3INXRa8bTDpcEmoWewMBV61jlFlfzczfjWIgc/edit?usp=sharing"",""อุบลราชธานี!J638"")"),0)</f>
        <v>0</v>
      </c>
      <c r="AG51" s="191">
        <f ca="1">IFERROR(__xludf.DUMMYFUNCTION("IMPORTRANGE(""https://docs.google.com/spreadsheets/d/1kfLP0j3INXRa8bTDpcEmoWewMBV61jlFlfzczfjWIgc/edit?usp=sharing"",""อุบลราชธานี!J639"")"),0)</f>
        <v>0</v>
      </c>
      <c r="AH51" s="191">
        <f ca="1">IFERROR(__xludf.DUMMYFUNCTION("IMPORTRANGE(""https://docs.google.com/spreadsheets/d/1kfLP0j3INXRa8bTDpcEmoWewMBV61jlFlfzczfjWIgc/edit?usp=sharing"",""อุบลราชธานี!J640"")"),0)</f>
        <v>0</v>
      </c>
    </row>
    <row r="52" spans="1:34" ht="19.5" x14ac:dyDescent="0.3">
      <c r="A52" s="712" t="s">
        <v>80</v>
      </c>
      <c r="B52" s="647"/>
      <c r="C52" s="57">
        <f t="shared" ref="C52:E52" ca="1" si="45">SUM(C53:C73)</f>
        <v>143975</v>
      </c>
      <c r="D52" s="57">
        <f t="shared" ca="1" si="45"/>
        <v>124570</v>
      </c>
      <c r="E52" s="57">
        <f t="shared" ca="1" si="45"/>
        <v>35290</v>
      </c>
      <c r="F52" s="57">
        <f t="shared" ca="1" si="24"/>
        <v>24.511199861086993</v>
      </c>
      <c r="G52" s="57">
        <f t="shared" ca="1" si="25"/>
        <v>28.3294533194188</v>
      </c>
      <c r="H52" s="281">
        <f t="shared" ref="H52:I52" ca="1" si="46">SUM(H53:H73)</f>
        <v>1060</v>
      </c>
      <c r="I52" s="161">
        <f t="shared" ca="1" si="46"/>
        <v>0</v>
      </c>
      <c r="J52" s="94">
        <f t="shared" ca="1" si="27"/>
        <v>0</v>
      </c>
      <c r="K52" s="161">
        <f t="shared" ref="K52:L52" ca="1" si="47">SUM(K53:K73)</f>
        <v>7</v>
      </c>
      <c r="L52" s="161">
        <f t="shared" ca="1" si="47"/>
        <v>49</v>
      </c>
      <c r="M52" s="94">
        <f t="shared" ca="1" si="29"/>
        <v>700</v>
      </c>
      <c r="N52" s="161">
        <f t="shared" ref="N52:O52" ca="1" si="48">SUM(N53:N73)</f>
        <v>7</v>
      </c>
      <c r="O52" s="161">
        <f t="shared" ca="1" si="48"/>
        <v>80</v>
      </c>
      <c r="P52" s="94">
        <f t="shared" ca="1" si="31"/>
        <v>1142.8571428571429</v>
      </c>
      <c r="Q52" s="161">
        <f ca="1">SUM(Q53:Q73)</f>
        <v>693</v>
      </c>
      <c r="R52" s="94">
        <f t="shared" ca="1" si="38"/>
        <v>65.377358490566039</v>
      </c>
      <c r="S52" s="161">
        <f ca="1">SUM(S53:S73)</f>
        <v>310</v>
      </c>
      <c r="T52" s="94">
        <f t="shared" ca="1" si="32"/>
        <v>29.245283018867923</v>
      </c>
      <c r="U52" s="94">
        <f ca="1">SUM(U53:U73)</f>
        <v>0</v>
      </c>
      <c r="V52" s="94">
        <f t="shared" ca="1" si="33"/>
        <v>0</v>
      </c>
      <c r="W52" s="94">
        <f ca="1">SUM(W53:W73)</f>
        <v>0</v>
      </c>
      <c r="X52" s="94">
        <f t="shared" ca="1" si="34"/>
        <v>0</v>
      </c>
      <c r="Y52" s="94">
        <f t="shared" ref="Y52:AB52" ca="1" si="49">SUM(Y53:Y73)</f>
        <v>0</v>
      </c>
      <c r="Z52" s="94">
        <f t="shared" ca="1" si="49"/>
        <v>0</v>
      </c>
      <c r="AA52" s="161">
        <f t="shared" ca="1" si="49"/>
        <v>0</v>
      </c>
      <c r="AB52" s="161">
        <f t="shared" ca="1" si="49"/>
        <v>0</v>
      </c>
      <c r="AC52" s="94">
        <f t="shared" ca="1" si="36"/>
        <v>0</v>
      </c>
      <c r="AD52" s="161">
        <f t="shared" ref="AD52:AH52" ca="1" si="50">SUM(AD53:AD73)</f>
        <v>0</v>
      </c>
      <c r="AE52" s="161">
        <f t="shared" ca="1" si="50"/>
        <v>0</v>
      </c>
      <c r="AF52" s="161">
        <f t="shared" ca="1" si="50"/>
        <v>0</v>
      </c>
      <c r="AG52" s="161">
        <f t="shared" ca="1" si="50"/>
        <v>177</v>
      </c>
      <c r="AH52" s="161">
        <f t="shared" ca="1" si="50"/>
        <v>0</v>
      </c>
    </row>
    <row r="53" spans="1:34" ht="19.5" x14ac:dyDescent="0.3">
      <c r="A53" s="58">
        <v>1</v>
      </c>
      <c r="B53" s="59" t="s">
        <v>81</v>
      </c>
      <c r="C53" s="68">
        <f ca="1">IFERROR(__xludf.DUMMYFUNCTION("IMPORTRANGE(""https://docs.google.com/spreadsheets/d/13wPX838HrBrQMCywv1BsuMkt4PEKTChp52zj44s2izQ/edit?usp=sharing"",""กาญจนบุรี!Q616"")"),11825)</f>
        <v>11825</v>
      </c>
      <c r="D53" s="68">
        <f ca="1">IFERROR(__xludf.DUMMYFUNCTION("IMPORTRANGE(""https://docs.google.com/spreadsheets/d/13wPX838HrBrQMCywv1BsuMkt4PEKTChp52zj44s2izQ/edit?usp=sharing"",""กาญจนบุรี!R616"")"),11825)</f>
        <v>11825</v>
      </c>
      <c r="E53" s="68">
        <f ca="1">IFERROR(__xludf.DUMMYFUNCTION("IMPORTRANGE(""https://docs.google.com/spreadsheets/d/13wPX838HrBrQMCywv1BsuMkt4PEKTChp52zj44s2izQ/edit?usp=sharing"",""กาญจนบุรี!S616"")"),1825)</f>
        <v>1825</v>
      </c>
      <c r="F53" s="68">
        <f t="shared" ca="1" si="24"/>
        <v>15.433403805496829</v>
      </c>
      <c r="G53" s="68">
        <f t="shared" ca="1" si="25"/>
        <v>15.433403805496829</v>
      </c>
      <c r="H53" s="278">
        <f ca="1">IFERROR(__xludf.DUMMYFUNCTION("IMPORTRANGE(""https://docs.google.com/spreadsheets/d/13wPX838HrBrQMCywv1BsuMkt4PEKTChp52zj44s2izQ/edit?usp=sharing"",""กาญจนบุรี!I626"")"),100)</f>
        <v>100</v>
      </c>
      <c r="I53" s="152">
        <f ca="1">IFERROR(__xludf.DUMMYFUNCTION("IMPORTRANGE(""https://docs.google.com/spreadsheets/d/13wPX838HrBrQMCywv1BsuMkt4PEKTChp52zj44s2izQ/edit?usp=sharing"",""กาญจนบุรี!J626"")"),0)</f>
        <v>0</v>
      </c>
      <c r="J53" s="216">
        <f t="shared" ca="1" si="27"/>
        <v>0</v>
      </c>
      <c r="K53" s="152">
        <f ca="1">IFERROR(__xludf.DUMMYFUNCTION("IMPORTRANGE(""https://docs.google.com/spreadsheets/d/13wPX838HrBrQMCywv1BsuMkt4PEKTChp52zj44s2izQ/edit?usp=sharing"",""กาญจนบุรี!I627"")"),0)</f>
        <v>0</v>
      </c>
      <c r="L53" s="152">
        <f ca="1">IFERROR(__xludf.DUMMYFUNCTION("IMPORTRANGE(""https://docs.google.com/spreadsheets/d/13wPX838HrBrQMCywv1BsuMkt4PEKTChp52zj44s2izQ/edit?usp=sharing"",""กาญจนบุรี!J627"")"),1)</f>
        <v>1</v>
      </c>
      <c r="M53" s="216">
        <f t="shared" ca="1" si="29"/>
        <v>0</v>
      </c>
      <c r="N53" s="152">
        <f ca="1">IFERROR(__xludf.DUMMYFUNCTION("IMPORTRANGE(""https://docs.google.com/spreadsheets/d/13wPX838HrBrQMCywv1BsuMkt4PEKTChp52zj44s2izQ/edit?usp=sharing"",""กาญจนบุรี!I628"")"),0)</f>
        <v>0</v>
      </c>
      <c r="O53" s="152">
        <f ca="1">IFERROR(__xludf.DUMMYFUNCTION("IMPORTRANGE(""https://docs.google.com/spreadsheets/d/13wPX838HrBrQMCywv1BsuMkt4PEKTChp52zj44s2izQ/edit?usp=sharing"",""กาญจนบุรี!J628"")"),1)</f>
        <v>1</v>
      </c>
      <c r="P53" s="216">
        <f t="shared" ca="1" si="31"/>
        <v>0</v>
      </c>
      <c r="Q53" s="152">
        <f ca="1">IFERROR(__xludf.DUMMYFUNCTION("IMPORTRANGE(""https://docs.google.com/spreadsheets/d/13wPX838HrBrQMCywv1BsuMkt4PEKTChp52zj44s2izQ/edit?usp=sharing"",""กาญจนบุรี!J629"")"),0)</f>
        <v>0</v>
      </c>
      <c r="R53" s="216">
        <f t="shared" ca="1" si="38"/>
        <v>0</v>
      </c>
      <c r="S53" s="152">
        <f ca="1">IFERROR(__xludf.DUMMYFUNCTION("IMPORTRANGE(""https://docs.google.com/spreadsheets/d/13wPX838HrBrQMCywv1BsuMkt4PEKTChp52zj44s2izQ/edit?usp=sharing"",""กาญจนบุรี!J630"")"),0)</f>
        <v>0</v>
      </c>
      <c r="T53" s="216">
        <f t="shared" ca="1" si="32"/>
        <v>0</v>
      </c>
      <c r="U53" s="216">
        <f ca="1">IFERROR(__xludf.DUMMYFUNCTION("IMPORTRANGE(""https://docs.google.com/spreadsheets/d/13wPX838HrBrQMCywv1BsuMkt4PEKTChp52zj44s2izQ/edit?usp=sharing"",""กาญจนบุรี!J631"")"),0)</f>
        <v>0</v>
      </c>
      <c r="V53" s="216">
        <f t="shared" ca="1" si="33"/>
        <v>0</v>
      </c>
      <c r="W53" s="216">
        <f ca="1">IFERROR(__xludf.DUMMYFUNCTION("IMPORTRANGE(""https://docs.google.com/spreadsheets/d/13wPX838HrBrQMCywv1BsuMkt4PEKTChp52zj44s2izQ/edit?usp=sharing"",""กาญจนบุรี!J632"")"),0)</f>
        <v>0</v>
      </c>
      <c r="X53" s="216">
        <f t="shared" ca="1" si="34"/>
        <v>0</v>
      </c>
      <c r="Y53" s="216">
        <f ca="1">IFERROR(__xludf.DUMMYFUNCTION("IMPORTRANGE(""https://docs.google.com/spreadsheets/d/13wPX838HrBrQMCywv1BsuMkt4PEKTChp52zj44s2izQ/edit?usp=sharing"",""กาญจนบุรี!J633"")"),0)</f>
        <v>0</v>
      </c>
      <c r="Z53" s="216">
        <f ca="1">IFERROR(__xludf.DUMMYFUNCTION("IMPORTRANGE(""https://docs.google.com/spreadsheets/d/13wPX838HrBrQMCywv1BsuMkt4PEKTChp52zj44s2izQ/edit?usp=sharing"",""กาญจนบุรี!J634"")"),0)</f>
        <v>0</v>
      </c>
      <c r="AA53" s="152">
        <f ca="1">IFERROR(__xludf.DUMMYFUNCTION("IMPORTRANGE(""https://docs.google.com/spreadsheets/d/13wPX838HrBrQMCywv1BsuMkt4PEKTChp52zj44s2izQ/edit?usp=sharing"",""กาญจนบุรี!I635"")"),0)</f>
        <v>0</v>
      </c>
      <c r="AB53" s="152">
        <f ca="1">IFERROR(__xludf.DUMMYFUNCTION("IMPORTRANGE(""https://docs.google.com/spreadsheets/d/13wPX838HrBrQMCywv1BsuMkt4PEKTChp52zj44s2izQ/edit?usp=sharing"",""กาญจนบุรี!J635"")"),0)</f>
        <v>0</v>
      </c>
      <c r="AC53" s="216">
        <f t="shared" ca="1" si="36"/>
        <v>0</v>
      </c>
      <c r="AD53" s="152">
        <f ca="1">IFERROR(__xludf.DUMMYFUNCTION("IMPORTRANGE(""https://docs.google.com/spreadsheets/d/13wPX838HrBrQMCywv1BsuMkt4PEKTChp52zj44s2izQ/edit?usp=sharing"",""กาญจนบุรี!J636"")"),0)</f>
        <v>0</v>
      </c>
      <c r="AE53" s="152">
        <f ca="1">IFERROR(__xludf.DUMMYFUNCTION("IMPORTRANGE(""https://docs.google.com/spreadsheets/d/13wPX838HrBrQMCywv1BsuMkt4PEKTChp52zj44s2izQ/edit?usp=sharing"",""กาญจนบุรี!J637"")"),0)</f>
        <v>0</v>
      </c>
      <c r="AF53" s="152">
        <f ca="1">IFERROR(__xludf.DUMMYFUNCTION("IMPORTRANGE(""https://docs.google.com/spreadsheets/d/13wPX838HrBrQMCywv1BsuMkt4PEKTChp52zj44s2izQ/edit?usp=sharing"",""กาญจนบุรี!J638"")"),0)</f>
        <v>0</v>
      </c>
      <c r="AG53" s="152">
        <f ca="1">IFERROR(__xludf.DUMMYFUNCTION("IMPORTRANGE(""https://docs.google.com/spreadsheets/d/13wPX838HrBrQMCywv1BsuMkt4PEKTChp52zj44s2izQ/edit?usp=sharing"",""กาญจนบุรี!J639"")"),0)</f>
        <v>0</v>
      </c>
      <c r="AH53" s="152">
        <f ca="1">IFERROR(__xludf.DUMMYFUNCTION("IMPORTRANGE(""https://docs.google.com/spreadsheets/d/13wPX838HrBrQMCywv1BsuMkt4PEKTChp52zj44s2izQ/edit?usp=sharing"",""กาญจนบุรี!J640"")"),0)</f>
        <v>0</v>
      </c>
    </row>
    <row r="54" spans="1:34" ht="19.5" x14ac:dyDescent="0.3">
      <c r="A54" s="70">
        <v>2</v>
      </c>
      <c r="B54" s="71" t="s">
        <v>82</v>
      </c>
      <c r="C54" s="68">
        <f ca="1">IFERROR(__xludf.DUMMYFUNCTION("IMPORTRANGE(""https://docs.google.com/spreadsheets/d/1ddFKvqj1W1NEiWytbGlB1zMx_ykJDVtmfEQ-6-lIUBA/edit?usp=sharing"",""จันทบุรี!Q616"")"),6750)</f>
        <v>6750</v>
      </c>
      <c r="D54" s="68">
        <f ca="1">IFERROR(__xludf.DUMMYFUNCTION("IMPORTRANGE(""https://docs.google.com/spreadsheets/d/1ddFKvqj1W1NEiWytbGlB1zMx_ykJDVtmfEQ-6-lIUBA/edit?usp=sharing"",""จันทบุรี!R616"")"),6750)</f>
        <v>6750</v>
      </c>
      <c r="E54" s="68">
        <f ca="1">IFERROR(__xludf.DUMMYFUNCTION("IMPORTRANGE(""https://docs.google.com/spreadsheets/d/1ddFKvqj1W1NEiWytbGlB1zMx_ykJDVtmfEQ-6-lIUBA/edit?usp=sharing"",""จันทบุรี!S616"")"),0)</f>
        <v>0</v>
      </c>
      <c r="F54" s="68">
        <f t="shared" ca="1" si="24"/>
        <v>0</v>
      </c>
      <c r="G54" s="68">
        <f t="shared" ca="1" si="25"/>
        <v>0</v>
      </c>
      <c r="H54" s="278">
        <f ca="1">IFERROR(__xludf.DUMMYFUNCTION("IMPORTRANGE(""https://docs.google.com/spreadsheets/d/1ddFKvqj1W1NEiWytbGlB1zMx_ykJDVtmfEQ-6-lIUBA/edit?usp=sharing"",""จันทบุรี!I626"")"),50)</f>
        <v>50</v>
      </c>
      <c r="I54" s="152">
        <f ca="1">IFERROR(__xludf.DUMMYFUNCTION("IMPORTRANGE(""https://docs.google.com/spreadsheets/d/1ddFKvqj1W1NEiWytbGlB1zMx_ykJDVtmfEQ-6-lIUBA/edit?usp=sharing"",""จันทบุรี!J626"")"),0)</f>
        <v>0</v>
      </c>
      <c r="J54" s="216">
        <f t="shared" ca="1" si="27"/>
        <v>0</v>
      </c>
      <c r="K54" s="152">
        <f ca="1">IFERROR(__xludf.DUMMYFUNCTION("IMPORTRANGE(""https://docs.google.com/spreadsheets/d/1ddFKvqj1W1NEiWytbGlB1zMx_ykJDVtmfEQ-6-lIUBA/edit?usp=sharing"",""จันทบุรี!I627"")"),0)</f>
        <v>0</v>
      </c>
      <c r="L54" s="152">
        <f ca="1">IFERROR(__xludf.DUMMYFUNCTION("IMPORTRANGE(""https://docs.google.com/spreadsheets/d/1ddFKvqj1W1NEiWytbGlB1zMx_ykJDVtmfEQ-6-lIUBA/edit?usp=sharing"",""จันทบุรี!J627"")"),2)</f>
        <v>2</v>
      </c>
      <c r="M54" s="216">
        <f t="shared" ca="1" si="29"/>
        <v>0</v>
      </c>
      <c r="N54" s="152">
        <f ca="1">IFERROR(__xludf.DUMMYFUNCTION("IMPORTRANGE(""https://docs.google.com/spreadsheets/d/1ddFKvqj1W1NEiWytbGlB1zMx_ykJDVtmfEQ-6-lIUBA/edit?usp=sharing"",""จันทบุรี!I628"")"),0)</f>
        <v>0</v>
      </c>
      <c r="O54" s="152">
        <f ca="1">IFERROR(__xludf.DUMMYFUNCTION("IMPORTRANGE(""https://docs.google.com/spreadsheets/d/1ddFKvqj1W1NEiWytbGlB1zMx_ykJDVtmfEQ-6-lIUBA/edit?usp=sharing"",""จันทบุรี!J628"")"),17)</f>
        <v>17</v>
      </c>
      <c r="P54" s="216">
        <f t="shared" ca="1" si="31"/>
        <v>0</v>
      </c>
      <c r="Q54" s="152">
        <f ca="1">IFERROR(__xludf.DUMMYFUNCTION("IMPORTRANGE(""https://docs.google.com/spreadsheets/d/1ddFKvqj1W1NEiWytbGlB1zMx_ykJDVtmfEQ-6-lIUBA/edit?usp=sharing"",""จันทบุรี!J629"")"),0)</f>
        <v>0</v>
      </c>
      <c r="R54" s="216">
        <f t="shared" ca="1" si="38"/>
        <v>0</v>
      </c>
      <c r="S54" s="152">
        <f ca="1">IFERROR(__xludf.DUMMYFUNCTION("IMPORTRANGE(""https://docs.google.com/spreadsheets/d/1ddFKvqj1W1NEiWytbGlB1zMx_ykJDVtmfEQ-6-lIUBA/edit?usp=sharing"",""จันทบุรี!J630"")"),0)</f>
        <v>0</v>
      </c>
      <c r="T54" s="216">
        <f t="shared" ca="1" si="32"/>
        <v>0</v>
      </c>
      <c r="U54" s="216">
        <f ca="1">IFERROR(__xludf.DUMMYFUNCTION("IMPORTRANGE(""https://docs.google.com/spreadsheets/d/1ddFKvqj1W1NEiWytbGlB1zMx_ykJDVtmfEQ-6-lIUBA/edit?usp=sharing"",""จันทบุรี!J631"")"),0)</f>
        <v>0</v>
      </c>
      <c r="V54" s="216">
        <f t="shared" ca="1" si="33"/>
        <v>0</v>
      </c>
      <c r="W54" s="216">
        <f ca="1">IFERROR(__xludf.DUMMYFUNCTION("IMPORTRANGE(""https://docs.google.com/spreadsheets/d/1ddFKvqj1W1NEiWytbGlB1zMx_ykJDVtmfEQ-6-lIUBA/edit?usp=sharing"",""จันทบุรี!J632"")"),0)</f>
        <v>0</v>
      </c>
      <c r="X54" s="216">
        <f t="shared" ca="1" si="34"/>
        <v>0</v>
      </c>
      <c r="Y54" s="216">
        <f ca="1">IFERROR(__xludf.DUMMYFUNCTION("IMPORTRANGE(""https://docs.google.com/spreadsheets/d/1ddFKvqj1W1NEiWytbGlB1zMx_ykJDVtmfEQ-6-lIUBA/edit?usp=sharing"",""จันทบุรี!J633"")"),0)</f>
        <v>0</v>
      </c>
      <c r="Z54" s="216">
        <f ca="1">IFERROR(__xludf.DUMMYFUNCTION("IMPORTRANGE(""https://docs.google.com/spreadsheets/d/1ddFKvqj1W1NEiWytbGlB1zMx_ykJDVtmfEQ-6-lIUBA/edit?usp=sharing"",""จันทบุรี!J634"")"),0)</f>
        <v>0</v>
      </c>
      <c r="AA54" s="152">
        <f ca="1">IFERROR(__xludf.DUMMYFUNCTION("IMPORTRANGE(""https://docs.google.com/spreadsheets/d/1ddFKvqj1W1NEiWytbGlB1zMx_ykJDVtmfEQ-6-lIUBA/edit?usp=sharing"",""จันทบุรี!I635"")"),0)</f>
        <v>0</v>
      </c>
      <c r="AB54" s="152">
        <f ca="1">IFERROR(__xludf.DUMMYFUNCTION("IMPORTRANGE(""https://docs.google.com/spreadsheets/d/1ddFKvqj1W1NEiWytbGlB1zMx_ykJDVtmfEQ-6-lIUBA/edit?usp=sharing"",""จันทบุรี!J635"")"),0)</f>
        <v>0</v>
      </c>
      <c r="AC54" s="216">
        <f t="shared" ca="1" si="36"/>
        <v>0</v>
      </c>
      <c r="AD54" s="152">
        <f ca="1">IFERROR(__xludf.DUMMYFUNCTION("IMPORTRANGE(""https://docs.google.com/spreadsheets/d/1ddFKvqj1W1NEiWytbGlB1zMx_ykJDVtmfEQ-6-lIUBA/edit?usp=sharing"",""จันทบุรี!J636"")"),0)</f>
        <v>0</v>
      </c>
      <c r="AE54" s="152">
        <f ca="1">IFERROR(__xludf.DUMMYFUNCTION("IMPORTRANGE(""https://docs.google.com/spreadsheets/d/1ddFKvqj1W1NEiWytbGlB1zMx_ykJDVtmfEQ-6-lIUBA/edit?usp=sharing"",""จันทบุรี!J637"")"),0)</f>
        <v>0</v>
      </c>
      <c r="AF54" s="152">
        <f ca="1">IFERROR(__xludf.DUMMYFUNCTION("IMPORTRANGE(""https://docs.google.com/spreadsheets/d/1ddFKvqj1W1NEiWytbGlB1zMx_ykJDVtmfEQ-6-lIUBA/edit?usp=sharing"",""จันทบุรี!J638"")"),0)</f>
        <v>0</v>
      </c>
      <c r="AG54" s="152">
        <f ca="1">IFERROR(__xludf.DUMMYFUNCTION("IMPORTRANGE(""https://docs.google.com/spreadsheets/d/1ddFKvqj1W1NEiWytbGlB1zMx_ykJDVtmfEQ-6-lIUBA/edit?usp=sharing"",""จันทบุรี!J639"")"),0)</f>
        <v>0</v>
      </c>
      <c r="AH54" s="152">
        <f ca="1">IFERROR(__xludf.DUMMYFUNCTION("IMPORTRANGE(""https://docs.google.com/spreadsheets/d/1ddFKvqj1W1NEiWytbGlB1zMx_ykJDVtmfEQ-6-lIUBA/edit?usp=sharing"",""จันทบุรี!J640"")"),0)</f>
        <v>0</v>
      </c>
    </row>
    <row r="55" spans="1:34" ht="19.5" x14ac:dyDescent="0.3">
      <c r="A55" s="70">
        <v>3</v>
      </c>
      <c r="B55" s="71" t="s">
        <v>83</v>
      </c>
      <c r="C55" s="68">
        <f ca="1">IFERROR(__xludf.DUMMYFUNCTION("IMPORTRANGE(""https://docs.google.com/spreadsheets/d/1T1PQvRODqOBZk8BRht_U031fIS1beLA0Ub2CEytj2q0/edit?usp=sharing"",""ฉะเชิงเทรา!Q616"")"),1275)</f>
        <v>1275</v>
      </c>
      <c r="D55" s="68">
        <f ca="1">IFERROR(__xludf.DUMMYFUNCTION("IMPORTRANGE(""https://docs.google.com/spreadsheets/d/1T1PQvRODqOBZk8BRht_U031fIS1beLA0Ub2CEytj2q0/edit?usp=sharing"",""ฉะเชิงเทรา!R616"")"),1275)</f>
        <v>1275</v>
      </c>
      <c r="E55" s="68">
        <f ca="1">IFERROR(__xludf.DUMMYFUNCTION("IMPORTRANGE(""https://docs.google.com/spreadsheets/d/1T1PQvRODqOBZk8BRht_U031fIS1beLA0Ub2CEytj2q0/edit?usp=sharing"",""ฉะเชิงเทรา!S616"")"),0)</f>
        <v>0</v>
      </c>
      <c r="F55" s="68">
        <f t="shared" ca="1" si="24"/>
        <v>0</v>
      </c>
      <c r="G55" s="68">
        <f t="shared" ca="1" si="25"/>
        <v>0</v>
      </c>
      <c r="H55" s="278">
        <f ca="1">IFERROR(__xludf.DUMMYFUNCTION("IMPORTRANGE(""https://docs.google.com/spreadsheets/d/1T1PQvRODqOBZk8BRht_U031fIS1beLA0Ub2CEytj2q0/edit?usp=sharing"",""ฉะเชิงเทรา!I626"")"),0)</f>
        <v>0</v>
      </c>
      <c r="I55" s="152">
        <f ca="1">IFERROR(__xludf.DUMMYFUNCTION("IMPORTRANGE(""https://docs.google.com/spreadsheets/d/1T1PQvRODqOBZk8BRht_U031fIS1beLA0Ub2CEytj2q0/edit?usp=sharing"",""ฉะเชิงเทรา!J626"")"),0)</f>
        <v>0</v>
      </c>
      <c r="J55" s="216">
        <f t="shared" ca="1" si="27"/>
        <v>0</v>
      </c>
      <c r="K55" s="152">
        <f ca="1">IFERROR(__xludf.DUMMYFUNCTION("IMPORTRANGE(""https://docs.google.com/spreadsheets/d/1T1PQvRODqOBZk8BRht_U031fIS1beLA0Ub2CEytj2q0/edit?usp=sharing"",""ฉะเชิงเทรา!I627"")"),0)</f>
        <v>0</v>
      </c>
      <c r="L55" s="152">
        <f ca="1">IFERROR(__xludf.DUMMYFUNCTION("IMPORTRANGE(""https://docs.google.com/spreadsheets/d/1T1PQvRODqOBZk8BRht_U031fIS1beLA0Ub2CEytj2q0/edit?usp=sharing"",""ฉะเชิงเทรา!J627"")"),0)</f>
        <v>0</v>
      </c>
      <c r="M55" s="216">
        <f t="shared" ca="1" si="29"/>
        <v>0</v>
      </c>
      <c r="N55" s="152">
        <f ca="1">IFERROR(__xludf.DUMMYFUNCTION("IMPORTRANGE(""https://docs.google.com/spreadsheets/d/1T1PQvRODqOBZk8BRht_U031fIS1beLA0Ub2CEytj2q0/edit?usp=sharing"",""ฉะเชิงเทรา!I628"")"),0)</f>
        <v>0</v>
      </c>
      <c r="O55" s="152">
        <f ca="1">IFERROR(__xludf.DUMMYFUNCTION("IMPORTRANGE(""https://docs.google.com/spreadsheets/d/1T1PQvRODqOBZk8BRht_U031fIS1beLA0Ub2CEytj2q0/edit?usp=sharing"",""ฉะเชิงเทรา!J628"")"),0)</f>
        <v>0</v>
      </c>
      <c r="P55" s="216">
        <f t="shared" ca="1" si="31"/>
        <v>0</v>
      </c>
      <c r="Q55" s="152">
        <f ca="1">IFERROR(__xludf.DUMMYFUNCTION("IMPORTRANGE(""https://docs.google.com/spreadsheets/d/1T1PQvRODqOBZk8BRht_U031fIS1beLA0Ub2CEytj2q0/edit?usp=sharing"",""ฉะเชิงเทรา!J629"")"),0)</f>
        <v>0</v>
      </c>
      <c r="R55" s="216">
        <f t="shared" ca="1" si="38"/>
        <v>0</v>
      </c>
      <c r="S55" s="152">
        <f ca="1">IFERROR(__xludf.DUMMYFUNCTION("IMPORTRANGE(""https://docs.google.com/spreadsheets/d/1T1PQvRODqOBZk8BRht_U031fIS1beLA0Ub2CEytj2q0/edit?usp=sharing"",""ฉะเชิงเทรา!J630"")"),0)</f>
        <v>0</v>
      </c>
      <c r="T55" s="216">
        <f t="shared" ca="1" si="32"/>
        <v>0</v>
      </c>
      <c r="U55" s="216">
        <f ca="1">IFERROR(__xludf.DUMMYFUNCTION("IMPORTRANGE(""https://docs.google.com/spreadsheets/d/1T1PQvRODqOBZk8BRht_U031fIS1beLA0Ub2CEytj2q0/edit?usp=sharing"",""ฉะเชิงเทรา!J631"")"),0)</f>
        <v>0</v>
      </c>
      <c r="V55" s="216">
        <f t="shared" ca="1" si="33"/>
        <v>0</v>
      </c>
      <c r="W55" s="216">
        <f ca="1">IFERROR(__xludf.DUMMYFUNCTION("IMPORTRANGE(""https://docs.google.com/spreadsheets/d/1T1PQvRODqOBZk8BRht_U031fIS1beLA0Ub2CEytj2q0/edit?usp=sharing"",""ฉะเชิงเทรา!J632"")"),0)</f>
        <v>0</v>
      </c>
      <c r="X55" s="216">
        <f t="shared" ca="1" si="34"/>
        <v>0</v>
      </c>
      <c r="Y55" s="216">
        <f ca="1">IFERROR(__xludf.DUMMYFUNCTION("IMPORTRANGE(""https://docs.google.com/spreadsheets/d/1T1PQvRODqOBZk8BRht_U031fIS1beLA0Ub2CEytj2q0/edit?usp=sharing"",""ฉะเชิงเทรา!J633"")"),0)</f>
        <v>0</v>
      </c>
      <c r="Z55" s="216">
        <f ca="1">IFERROR(__xludf.DUMMYFUNCTION("IMPORTRANGE(""https://docs.google.com/spreadsheets/d/1T1PQvRODqOBZk8BRht_U031fIS1beLA0Ub2CEytj2q0/edit?usp=sharing"",""ฉะเชิงเทรา!J634"")"),0)</f>
        <v>0</v>
      </c>
      <c r="AA55" s="152">
        <f ca="1">IFERROR(__xludf.DUMMYFUNCTION("IMPORTRANGE(""https://docs.google.com/spreadsheets/d/1T1PQvRODqOBZk8BRht_U031fIS1beLA0Ub2CEytj2q0/edit?usp=sharing"",""ฉะเชิงเทรา!I635"")"),0)</f>
        <v>0</v>
      </c>
      <c r="AB55" s="152">
        <f ca="1">IFERROR(__xludf.DUMMYFUNCTION("IMPORTRANGE(""https://docs.google.com/spreadsheets/d/1T1PQvRODqOBZk8BRht_U031fIS1beLA0Ub2CEytj2q0/edit?usp=sharing"",""ฉะเชิงเทรา!J635"")"),0)</f>
        <v>0</v>
      </c>
      <c r="AC55" s="216">
        <f t="shared" ca="1" si="36"/>
        <v>0</v>
      </c>
      <c r="AD55" s="152">
        <f ca="1">IFERROR(__xludf.DUMMYFUNCTION("IMPORTRANGE(""https://docs.google.com/spreadsheets/d/1T1PQvRODqOBZk8BRht_U031fIS1beLA0Ub2CEytj2q0/edit?usp=sharing"",""ฉะเชิงเทรา!J636"")"),0)</f>
        <v>0</v>
      </c>
      <c r="AE55" s="152">
        <f ca="1">IFERROR(__xludf.DUMMYFUNCTION("IMPORTRANGE(""https://docs.google.com/spreadsheets/d/1T1PQvRODqOBZk8BRht_U031fIS1beLA0Ub2CEytj2q0/edit?usp=sharing"",""ฉะเชิงเทรา!J637"")"),0)</f>
        <v>0</v>
      </c>
      <c r="AF55" s="152">
        <f ca="1">IFERROR(__xludf.DUMMYFUNCTION("IMPORTRANGE(""https://docs.google.com/spreadsheets/d/1T1PQvRODqOBZk8BRht_U031fIS1beLA0Ub2CEytj2q0/edit?usp=sharing"",""ฉะเชิงเทรา!J638"")"),0)</f>
        <v>0</v>
      </c>
      <c r="AG55" s="152">
        <f ca="1">IFERROR(__xludf.DUMMYFUNCTION("IMPORTRANGE(""https://docs.google.com/spreadsheets/d/1T1PQvRODqOBZk8BRht_U031fIS1beLA0Ub2CEytj2q0/edit?usp=sharing"",""ฉะเชิงเทรา!J639"")"),0)</f>
        <v>0</v>
      </c>
      <c r="AH55" s="152">
        <f ca="1">IFERROR(__xludf.DUMMYFUNCTION("IMPORTRANGE(""https://docs.google.com/spreadsheets/d/1T1PQvRODqOBZk8BRht_U031fIS1beLA0Ub2CEytj2q0/edit?usp=sharing"",""ฉะเชิงเทรา!J640"")"),0)</f>
        <v>0</v>
      </c>
    </row>
    <row r="56" spans="1:34" ht="19.5" x14ac:dyDescent="0.3">
      <c r="A56" s="70">
        <v>4</v>
      </c>
      <c r="B56" s="71" t="s">
        <v>84</v>
      </c>
      <c r="C56" s="68">
        <f ca="1">IFERROR(__xludf.DUMMYFUNCTION("IMPORTRANGE(""https://docs.google.com/spreadsheets/d/11tr1B-Bhyr79v2bkwVh5h_fR-PStkgjlZtkrZpYurG0/edit?usp=sharing"",""ชลบุรี!Q616"")"),1875)</f>
        <v>1875</v>
      </c>
      <c r="D56" s="68">
        <f ca="1">IFERROR(__xludf.DUMMYFUNCTION("IMPORTRANGE(""https://docs.google.com/spreadsheets/d/11tr1B-Bhyr79v2bkwVh5h_fR-PStkgjlZtkrZpYurG0/edit?usp=sharing"",""ชลบุรี!R616"")"),1875)</f>
        <v>1875</v>
      </c>
      <c r="E56" s="68">
        <f ca="1">IFERROR(__xludf.DUMMYFUNCTION("IMPORTRANGE(""https://docs.google.com/spreadsheets/d/11tr1B-Bhyr79v2bkwVh5h_fR-PStkgjlZtkrZpYurG0/edit?usp=sharing"",""ชลบุรี!S616"")"),1875)</f>
        <v>1875</v>
      </c>
      <c r="F56" s="68">
        <f t="shared" ca="1" si="24"/>
        <v>100</v>
      </c>
      <c r="G56" s="68">
        <f t="shared" ca="1" si="25"/>
        <v>100</v>
      </c>
      <c r="H56" s="278">
        <f ca="1">IFERROR(__xludf.DUMMYFUNCTION("IMPORTRANGE(""https://docs.google.com/spreadsheets/d/11tr1B-Bhyr79v2bkwVh5h_fR-PStkgjlZtkrZpYurG0/edit?usp=sharing"",""ชลบุรี!I626"")"),0)</f>
        <v>0</v>
      </c>
      <c r="I56" s="152">
        <f ca="1">IFERROR(__xludf.DUMMYFUNCTION("IMPORTRANGE(""https://docs.google.com/spreadsheets/d/11tr1B-Bhyr79v2bkwVh5h_fR-PStkgjlZtkrZpYurG0/edit?usp=sharing"",""ชลบุรี!J626"")"),0)</f>
        <v>0</v>
      </c>
      <c r="J56" s="216">
        <f t="shared" ca="1" si="27"/>
        <v>0</v>
      </c>
      <c r="K56" s="152">
        <f ca="1">IFERROR(__xludf.DUMMYFUNCTION("IMPORTRANGE(""https://docs.google.com/spreadsheets/d/11tr1B-Bhyr79v2bkwVh5h_fR-PStkgjlZtkrZpYurG0/edit?usp=sharing"",""ชลบุรี!I627"")"),1)</f>
        <v>1</v>
      </c>
      <c r="L56" s="152">
        <f ca="1">IFERROR(__xludf.DUMMYFUNCTION("IMPORTRANGE(""https://docs.google.com/spreadsheets/d/11tr1B-Bhyr79v2bkwVh5h_fR-PStkgjlZtkrZpYurG0/edit?usp=sharing"",""ชลบุรี!J627"")"),1)</f>
        <v>1</v>
      </c>
      <c r="M56" s="216">
        <f t="shared" ca="1" si="29"/>
        <v>100</v>
      </c>
      <c r="N56" s="152">
        <f ca="1">IFERROR(__xludf.DUMMYFUNCTION("IMPORTRANGE(""https://docs.google.com/spreadsheets/d/11tr1B-Bhyr79v2bkwVh5h_fR-PStkgjlZtkrZpYurG0/edit?usp=sharing"",""ชลบุรี!I628"")"),1)</f>
        <v>1</v>
      </c>
      <c r="O56" s="152">
        <f ca="1">IFERROR(__xludf.DUMMYFUNCTION("IMPORTRANGE(""https://docs.google.com/spreadsheets/d/11tr1B-Bhyr79v2bkwVh5h_fR-PStkgjlZtkrZpYurG0/edit?usp=sharing"",""ชลบุรี!J628"")"),1)</f>
        <v>1</v>
      </c>
      <c r="P56" s="216">
        <f t="shared" ca="1" si="31"/>
        <v>100</v>
      </c>
      <c r="Q56" s="152">
        <f ca="1">IFERROR(__xludf.DUMMYFUNCTION("IMPORTRANGE(""https://docs.google.com/spreadsheets/d/11tr1B-Bhyr79v2bkwVh5h_fR-PStkgjlZtkrZpYurG0/edit?usp=sharing"",""ชลบุรี!J629"")"),0)</f>
        <v>0</v>
      </c>
      <c r="R56" s="216">
        <f t="shared" ca="1" si="38"/>
        <v>0</v>
      </c>
      <c r="S56" s="152">
        <f ca="1">IFERROR(__xludf.DUMMYFUNCTION("IMPORTRANGE(""https://docs.google.com/spreadsheets/d/11tr1B-Bhyr79v2bkwVh5h_fR-PStkgjlZtkrZpYurG0/edit?usp=sharing"",""ชลบุรี!J630"")"),0)</f>
        <v>0</v>
      </c>
      <c r="T56" s="216">
        <f t="shared" ca="1" si="32"/>
        <v>0</v>
      </c>
      <c r="U56" s="216">
        <f ca="1">IFERROR(__xludf.DUMMYFUNCTION("IMPORTRANGE(""https://docs.google.com/spreadsheets/d/11tr1B-Bhyr79v2bkwVh5h_fR-PStkgjlZtkrZpYurG0/edit?usp=sharing"",""ชลบุรี!J631"")"),0)</f>
        <v>0</v>
      </c>
      <c r="V56" s="216">
        <f t="shared" ca="1" si="33"/>
        <v>0</v>
      </c>
      <c r="W56" s="216">
        <f ca="1">IFERROR(__xludf.DUMMYFUNCTION("IMPORTRANGE(""https://docs.google.com/spreadsheets/d/11tr1B-Bhyr79v2bkwVh5h_fR-PStkgjlZtkrZpYurG0/edit?usp=sharing"",""ชลบุรี!J632"")"),0)</f>
        <v>0</v>
      </c>
      <c r="X56" s="216">
        <f t="shared" ca="1" si="34"/>
        <v>0</v>
      </c>
      <c r="Y56" s="216">
        <f ca="1">IFERROR(__xludf.DUMMYFUNCTION("IMPORTRANGE(""https://docs.google.com/spreadsheets/d/11tr1B-Bhyr79v2bkwVh5h_fR-PStkgjlZtkrZpYurG0/edit?usp=sharing"",""ชลบุรี!J633"")"),0)</f>
        <v>0</v>
      </c>
      <c r="Z56" s="216">
        <f ca="1">IFERROR(__xludf.DUMMYFUNCTION("IMPORTRANGE(""https://docs.google.com/spreadsheets/d/11tr1B-Bhyr79v2bkwVh5h_fR-PStkgjlZtkrZpYurG0/edit?usp=sharing"",""ชลบุรี!J634"")"),0)</f>
        <v>0</v>
      </c>
      <c r="AA56" s="152">
        <f ca="1">IFERROR(__xludf.DUMMYFUNCTION("IMPORTRANGE(""https://docs.google.com/spreadsheets/d/11tr1B-Bhyr79v2bkwVh5h_fR-PStkgjlZtkrZpYurG0/edit?usp=sharing"",""ชลบุรี!I635"")"),0)</f>
        <v>0</v>
      </c>
      <c r="AB56" s="152">
        <f ca="1">IFERROR(__xludf.DUMMYFUNCTION("IMPORTRANGE(""https://docs.google.com/spreadsheets/d/11tr1B-Bhyr79v2bkwVh5h_fR-PStkgjlZtkrZpYurG0/edit?usp=sharing"",""ชลบุรี!J635"")"),0)</f>
        <v>0</v>
      </c>
      <c r="AC56" s="216">
        <f t="shared" ca="1" si="36"/>
        <v>0</v>
      </c>
      <c r="AD56" s="152">
        <f ca="1">IFERROR(__xludf.DUMMYFUNCTION("IMPORTRANGE(""https://docs.google.com/spreadsheets/d/11tr1B-Bhyr79v2bkwVh5h_fR-PStkgjlZtkrZpYurG0/edit?usp=sharing"",""ชลบุรี!J636"")"),0)</f>
        <v>0</v>
      </c>
      <c r="AE56" s="152">
        <f ca="1">IFERROR(__xludf.DUMMYFUNCTION("IMPORTRANGE(""https://docs.google.com/spreadsheets/d/11tr1B-Bhyr79v2bkwVh5h_fR-PStkgjlZtkrZpYurG0/edit?usp=sharing"",""ชลบุรี!J637"")"),0)</f>
        <v>0</v>
      </c>
      <c r="AF56" s="152">
        <f ca="1">IFERROR(__xludf.DUMMYFUNCTION("IMPORTRANGE(""https://docs.google.com/spreadsheets/d/11tr1B-Bhyr79v2bkwVh5h_fR-PStkgjlZtkrZpYurG0/edit?usp=sharing"",""ชลบุรี!J638"")"),0)</f>
        <v>0</v>
      </c>
      <c r="AG56" s="152">
        <f ca="1">IFERROR(__xludf.DUMMYFUNCTION("IMPORTRANGE(""https://docs.google.com/spreadsheets/d/11tr1B-Bhyr79v2bkwVh5h_fR-PStkgjlZtkrZpYurG0/edit?usp=sharing"",""ชลบุรี!J639"")"),0)</f>
        <v>0</v>
      </c>
      <c r="AH56" s="152">
        <f ca="1">IFERROR(__xludf.DUMMYFUNCTION("IMPORTRANGE(""https://docs.google.com/spreadsheets/d/11tr1B-Bhyr79v2bkwVh5h_fR-PStkgjlZtkrZpYurG0/edit?usp=sharing"",""ชลบุรี!J640"")"),0)</f>
        <v>0</v>
      </c>
    </row>
    <row r="57" spans="1:34" ht="19.5" x14ac:dyDescent="0.3">
      <c r="A57" s="70">
        <v>5</v>
      </c>
      <c r="B57" s="71" t="s">
        <v>85</v>
      </c>
      <c r="C57" s="68">
        <f ca="1">IFERROR(__xludf.DUMMYFUNCTION("IMPORTRANGE(""https://docs.google.com/spreadsheets/d/1hh-FVnSX0vozXhGluamEcS54Dw9_zqW0N7qJUWgJ0Sw/edit?usp=sharing"",""ชัยนาท!Q616"")"),6700)</f>
        <v>6700</v>
      </c>
      <c r="D57" s="68">
        <f ca="1">IFERROR(__xludf.DUMMYFUNCTION("IMPORTRANGE(""https://docs.google.com/spreadsheets/d/1hh-FVnSX0vozXhGluamEcS54Dw9_zqW0N7qJUWgJ0Sw/edit?usp=sharing"",""ชัยนาท!R616"")"),6700)</f>
        <v>6700</v>
      </c>
      <c r="E57" s="68">
        <f ca="1">IFERROR(__xludf.DUMMYFUNCTION("IMPORTRANGE(""https://docs.google.com/spreadsheets/d/1hh-FVnSX0vozXhGluamEcS54Dw9_zqW0N7qJUWgJ0Sw/edit?usp=sharing"",""ชัยนาท!S616"")"),0)</f>
        <v>0</v>
      </c>
      <c r="F57" s="68">
        <f t="shared" ca="1" si="24"/>
        <v>0</v>
      </c>
      <c r="G57" s="68">
        <f t="shared" ca="1" si="25"/>
        <v>0</v>
      </c>
      <c r="H57" s="278">
        <f ca="1">IFERROR(__xludf.DUMMYFUNCTION("IMPORTRANGE(""https://docs.google.com/spreadsheets/d/1hh-FVnSX0vozXhGluamEcS54Dw9_zqW0N7qJUWgJ0Sw/edit?usp=sharing"",""ชัยนาท!I626"")"),50)</f>
        <v>50</v>
      </c>
      <c r="I57" s="152">
        <f ca="1">IFERROR(__xludf.DUMMYFUNCTION("IMPORTRANGE(""https://docs.google.com/spreadsheets/d/1hh-FVnSX0vozXhGluamEcS54Dw9_zqW0N7qJUWgJ0Sw/edit?usp=sharing"",""ชัยนาท!J626"")"),0)</f>
        <v>0</v>
      </c>
      <c r="J57" s="216">
        <f t="shared" ca="1" si="27"/>
        <v>0</v>
      </c>
      <c r="K57" s="152">
        <f ca="1">IFERROR(__xludf.DUMMYFUNCTION("IMPORTRANGE(""https://docs.google.com/spreadsheets/d/1hh-FVnSX0vozXhGluamEcS54Dw9_zqW0N7qJUWgJ0Sw/edit?usp=sharing"",""ชัยนาท!I627"")"),0)</f>
        <v>0</v>
      </c>
      <c r="L57" s="152">
        <f ca="1">IFERROR(__xludf.DUMMYFUNCTION("IMPORTRANGE(""https://docs.google.com/spreadsheets/d/1hh-FVnSX0vozXhGluamEcS54Dw9_zqW0N7qJUWgJ0Sw/edit?usp=sharing"",""ชัยนาท!J627"")"),8)</f>
        <v>8</v>
      </c>
      <c r="M57" s="216">
        <f t="shared" ca="1" si="29"/>
        <v>0</v>
      </c>
      <c r="N57" s="152">
        <f ca="1">IFERROR(__xludf.DUMMYFUNCTION("IMPORTRANGE(""https://docs.google.com/spreadsheets/d/1hh-FVnSX0vozXhGluamEcS54Dw9_zqW0N7qJUWgJ0Sw/edit?usp=sharing"",""ชัยนาท!I628"")"),0)</f>
        <v>0</v>
      </c>
      <c r="O57" s="152">
        <f ca="1">IFERROR(__xludf.DUMMYFUNCTION("IMPORTRANGE(""https://docs.google.com/spreadsheets/d/1hh-FVnSX0vozXhGluamEcS54Dw9_zqW0N7qJUWgJ0Sw/edit?usp=sharing"",""ชัยนาท!J628"")"),8)</f>
        <v>8</v>
      </c>
      <c r="P57" s="216">
        <f t="shared" ca="1" si="31"/>
        <v>0</v>
      </c>
      <c r="Q57" s="152">
        <f ca="1">IFERROR(__xludf.DUMMYFUNCTION("IMPORTRANGE(""https://docs.google.com/spreadsheets/d/1hh-FVnSX0vozXhGluamEcS54Dw9_zqW0N7qJUWgJ0Sw/edit?usp=sharing"",""ชัยนาท!J629"")"),64)</f>
        <v>64</v>
      </c>
      <c r="R57" s="216">
        <f t="shared" ca="1" si="38"/>
        <v>128</v>
      </c>
      <c r="S57" s="152">
        <f ca="1">IFERROR(__xludf.DUMMYFUNCTION("IMPORTRANGE(""https://docs.google.com/spreadsheets/d/1hh-FVnSX0vozXhGluamEcS54Dw9_zqW0N7qJUWgJ0Sw/edit?usp=sharing"",""ชัยนาท!J630"")"),0)</f>
        <v>0</v>
      </c>
      <c r="T57" s="216">
        <f t="shared" ca="1" si="32"/>
        <v>0</v>
      </c>
      <c r="U57" s="216">
        <f ca="1">IFERROR(__xludf.DUMMYFUNCTION("IMPORTRANGE(""https://docs.google.com/spreadsheets/d/1hh-FVnSX0vozXhGluamEcS54Dw9_zqW0N7qJUWgJ0Sw/edit?usp=sharing"",""ชัยนาท!J631"")"),0)</f>
        <v>0</v>
      </c>
      <c r="V57" s="216">
        <f t="shared" ca="1" si="33"/>
        <v>0</v>
      </c>
      <c r="W57" s="216">
        <f ca="1">IFERROR(__xludf.DUMMYFUNCTION("IMPORTRANGE(""https://docs.google.com/spreadsheets/d/1hh-FVnSX0vozXhGluamEcS54Dw9_zqW0N7qJUWgJ0Sw/edit?usp=sharing"",""ชัยนาท!J632"")"),0)</f>
        <v>0</v>
      </c>
      <c r="X57" s="216">
        <f t="shared" ca="1" si="34"/>
        <v>0</v>
      </c>
      <c r="Y57" s="216">
        <f ca="1">IFERROR(__xludf.DUMMYFUNCTION("IMPORTRANGE(""https://docs.google.com/spreadsheets/d/1hh-FVnSX0vozXhGluamEcS54Dw9_zqW0N7qJUWgJ0Sw/edit?usp=sharing"",""ชัยนาท!J633"")"),0)</f>
        <v>0</v>
      </c>
      <c r="Z57" s="216">
        <f ca="1">IFERROR(__xludf.DUMMYFUNCTION("IMPORTRANGE(""https://docs.google.com/spreadsheets/d/1hh-FVnSX0vozXhGluamEcS54Dw9_zqW0N7qJUWgJ0Sw/edit?usp=sharing"",""ชัยนาท!J634"")"),0)</f>
        <v>0</v>
      </c>
      <c r="AA57" s="152">
        <f ca="1">IFERROR(__xludf.DUMMYFUNCTION("IMPORTRANGE(""https://docs.google.com/spreadsheets/d/1hh-FVnSX0vozXhGluamEcS54Dw9_zqW0N7qJUWgJ0Sw/edit?usp=sharing"",""ชัยนาท!I635"")"),0)</f>
        <v>0</v>
      </c>
      <c r="AB57" s="152">
        <f ca="1">IFERROR(__xludf.DUMMYFUNCTION("IMPORTRANGE(""https://docs.google.com/spreadsheets/d/1hh-FVnSX0vozXhGluamEcS54Dw9_zqW0N7qJUWgJ0Sw/edit?usp=sharing"",""ชัยนาท!J635"")"),0)</f>
        <v>0</v>
      </c>
      <c r="AC57" s="216">
        <f t="shared" ca="1" si="36"/>
        <v>0</v>
      </c>
      <c r="AD57" s="152">
        <f ca="1">IFERROR(__xludf.DUMMYFUNCTION("IMPORTRANGE(""https://docs.google.com/spreadsheets/d/1hh-FVnSX0vozXhGluamEcS54Dw9_zqW0N7qJUWgJ0Sw/edit?usp=sharing"",""ชัยนาท!J636"")"),0)</f>
        <v>0</v>
      </c>
      <c r="AE57" s="152">
        <f ca="1">IFERROR(__xludf.DUMMYFUNCTION("IMPORTRANGE(""https://docs.google.com/spreadsheets/d/1hh-FVnSX0vozXhGluamEcS54Dw9_zqW0N7qJUWgJ0Sw/edit?usp=sharing"",""ชัยนาท!J637"")"),0)</f>
        <v>0</v>
      </c>
      <c r="AF57" s="152">
        <f ca="1">IFERROR(__xludf.DUMMYFUNCTION("IMPORTRANGE(""https://docs.google.com/spreadsheets/d/1hh-FVnSX0vozXhGluamEcS54Dw9_zqW0N7qJUWgJ0Sw/edit?usp=sharing"",""ชัยนาท!J638"")"),0)</f>
        <v>0</v>
      </c>
      <c r="AG57" s="152">
        <f ca="1">IFERROR(__xludf.DUMMYFUNCTION("IMPORTRANGE(""https://docs.google.com/spreadsheets/d/1hh-FVnSX0vozXhGluamEcS54Dw9_zqW0N7qJUWgJ0Sw/edit?usp=sharing"",""ชัยนาท!J639"")"),0)</f>
        <v>0</v>
      </c>
      <c r="AH57" s="152">
        <f ca="1">IFERROR(__xludf.DUMMYFUNCTION("IMPORTRANGE(""https://docs.google.com/spreadsheets/d/1hh-FVnSX0vozXhGluamEcS54Dw9_zqW0N7qJUWgJ0Sw/edit?usp=sharing"",""ชัยนาท!J640"")"),0)</f>
        <v>0</v>
      </c>
    </row>
    <row r="58" spans="1:34" ht="19.5" x14ac:dyDescent="0.3">
      <c r="A58" s="70">
        <v>6</v>
      </c>
      <c r="B58" s="71" t="s">
        <v>86</v>
      </c>
      <c r="C58" s="68">
        <f ca="1">IFERROR(__xludf.DUMMYFUNCTION("IMPORTRANGE(""https://docs.google.com/spreadsheets/d/1jkqa6GXxSacMcY1eN8AHjMNJ_7dDXMJVRLDlaFSOdPM/edit?usp=sharing"",""ตราด!Q616"")"),1775)</f>
        <v>1775</v>
      </c>
      <c r="D58" s="68">
        <f ca="1">IFERROR(__xludf.DUMMYFUNCTION("IMPORTRANGE(""https://docs.google.com/spreadsheets/d/1jkqa6GXxSacMcY1eN8AHjMNJ_7dDXMJVRLDlaFSOdPM/edit?usp=sharing"",""ตราด!R616"")"),1775)</f>
        <v>1775</v>
      </c>
      <c r="E58" s="68">
        <f ca="1">IFERROR(__xludf.DUMMYFUNCTION("IMPORTRANGE(""https://docs.google.com/spreadsheets/d/1jkqa6GXxSacMcY1eN8AHjMNJ_7dDXMJVRLDlaFSOdPM/edit?usp=sharing"",""ตราด!S616"")"),1775)</f>
        <v>1775</v>
      </c>
      <c r="F58" s="68">
        <f t="shared" ca="1" si="24"/>
        <v>100</v>
      </c>
      <c r="G58" s="68">
        <f t="shared" ca="1" si="25"/>
        <v>100</v>
      </c>
      <c r="H58" s="278">
        <f ca="1">IFERROR(__xludf.DUMMYFUNCTION("IMPORTRANGE(""https://docs.google.com/spreadsheets/d/1jkqa6GXxSacMcY1eN8AHjMNJ_7dDXMJVRLDlaFSOdPM/edit?usp=sharing"",""ตราด!I626"")"),0)</f>
        <v>0</v>
      </c>
      <c r="I58" s="152">
        <f ca="1">IFERROR(__xludf.DUMMYFUNCTION("IMPORTRANGE(""https://docs.google.com/spreadsheets/d/1jkqa6GXxSacMcY1eN8AHjMNJ_7dDXMJVRLDlaFSOdPM/edit?usp=sharing"",""ตราด!J626"")"),0)</f>
        <v>0</v>
      </c>
      <c r="J58" s="216">
        <f t="shared" ca="1" si="27"/>
        <v>0</v>
      </c>
      <c r="K58" s="152">
        <f ca="1">IFERROR(__xludf.DUMMYFUNCTION("IMPORTRANGE(""https://docs.google.com/spreadsheets/d/1jkqa6GXxSacMcY1eN8AHjMNJ_7dDXMJVRLDlaFSOdPM/edit?usp=sharing"",""ตราด!I627"")"),1)</f>
        <v>1</v>
      </c>
      <c r="L58" s="152">
        <f ca="1">IFERROR(__xludf.DUMMYFUNCTION("IMPORTRANGE(""https://docs.google.com/spreadsheets/d/1jkqa6GXxSacMcY1eN8AHjMNJ_7dDXMJVRLDlaFSOdPM/edit?usp=sharing"",""ตราด!J627"")"),1)</f>
        <v>1</v>
      </c>
      <c r="M58" s="216">
        <f t="shared" ca="1" si="29"/>
        <v>100</v>
      </c>
      <c r="N58" s="152">
        <f ca="1">IFERROR(__xludf.DUMMYFUNCTION("IMPORTRANGE(""https://docs.google.com/spreadsheets/d/1jkqa6GXxSacMcY1eN8AHjMNJ_7dDXMJVRLDlaFSOdPM/edit?usp=sharing"",""ตราด!I628"")"),1)</f>
        <v>1</v>
      </c>
      <c r="O58" s="152">
        <f ca="1">IFERROR(__xludf.DUMMYFUNCTION("IMPORTRANGE(""https://docs.google.com/spreadsheets/d/1jkqa6GXxSacMcY1eN8AHjMNJ_7dDXMJVRLDlaFSOdPM/edit?usp=sharing"",""ตราด!J628"")"),1)</f>
        <v>1</v>
      </c>
      <c r="P58" s="216">
        <f t="shared" ca="1" si="31"/>
        <v>100</v>
      </c>
      <c r="Q58" s="152">
        <f ca="1">IFERROR(__xludf.DUMMYFUNCTION("IMPORTRANGE(""https://docs.google.com/spreadsheets/d/1jkqa6GXxSacMcY1eN8AHjMNJ_7dDXMJVRLDlaFSOdPM/edit?usp=sharing"",""ตราด!J629"")"),0)</f>
        <v>0</v>
      </c>
      <c r="R58" s="216">
        <f t="shared" ca="1" si="38"/>
        <v>0</v>
      </c>
      <c r="S58" s="152">
        <f ca="1">IFERROR(__xludf.DUMMYFUNCTION("IMPORTRANGE(""https://docs.google.com/spreadsheets/d/1jkqa6GXxSacMcY1eN8AHjMNJ_7dDXMJVRLDlaFSOdPM/edit?usp=sharing"",""ตราด!J630"")"),0)</f>
        <v>0</v>
      </c>
      <c r="T58" s="216">
        <f t="shared" ca="1" si="32"/>
        <v>0</v>
      </c>
      <c r="U58" s="216">
        <f ca="1">IFERROR(__xludf.DUMMYFUNCTION("IMPORTRANGE(""https://docs.google.com/spreadsheets/d/1jkqa6GXxSacMcY1eN8AHjMNJ_7dDXMJVRLDlaFSOdPM/edit?usp=sharing"",""ตราด!J631"")"),0)</f>
        <v>0</v>
      </c>
      <c r="V58" s="216">
        <f t="shared" ca="1" si="33"/>
        <v>0</v>
      </c>
      <c r="W58" s="216">
        <f ca="1">IFERROR(__xludf.DUMMYFUNCTION("IMPORTRANGE(""https://docs.google.com/spreadsheets/d/1jkqa6GXxSacMcY1eN8AHjMNJ_7dDXMJVRLDlaFSOdPM/edit?usp=sharing"",""ตราด!J632"")"),0)</f>
        <v>0</v>
      </c>
      <c r="X58" s="216">
        <f t="shared" ca="1" si="34"/>
        <v>0</v>
      </c>
      <c r="Y58" s="216">
        <f ca="1">IFERROR(__xludf.DUMMYFUNCTION("IMPORTRANGE(""https://docs.google.com/spreadsheets/d/1jkqa6GXxSacMcY1eN8AHjMNJ_7dDXMJVRLDlaFSOdPM/edit?usp=sharing"",""ตราด!J633"")"),0)</f>
        <v>0</v>
      </c>
      <c r="Z58" s="216">
        <f ca="1">IFERROR(__xludf.DUMMYFUNCTION("IMPORTRANGE(""https://docs.google.com/spreadsheets/d/1jkqa6GXxSacMcY1eN8AHjMNJ_7dDXMJVRLDlaFSOdPM/edit?usp=sharing"",""ตราด!J634"")"),0)</f>
        <v>0</v>
      </c>
      <c r="AA58" s="152">
        <f ca="1">IFERROR(__xludf.DUMMYFUNCTION("IMPORTRANGE(""https://docs.google.com/spreadsheets/d/1jkqa6GXxSacMcY1eN8AHjMNJ_7dDXMJVRLDlaFSOdPM/edit?usp=sharing"",""ตราด!I635"")"),0)</f>
        <v>0</v>
      </c>
      <c r="AB58" s="152">
        <f ca="1">IFERROR(__xludf.DUMMYFUNCTION("IMPORTRANGE(""https://docs.google.com/spreadsheets/d/1jkqa6GXxSacMcY1eN8AHjMNJ_7dDXMJVRLDlaFSOdPM/edit?usp=sharing"",""ตราด!J635"")"),0)</f>
        <v>0</v>
      </c>
      <c r="AC58" s="216">
        <f t="shared" ca="1" si="36"/>
        <v>0</v>
      </c>
      <c r="AD58" s="152">
        <f ca="1">IFERROR(__xludf.DUMMYFUNCTION("IMPORTRANGE(""https://docs.google.com/spreadsheets/d/1jkqa6GXxSacMcY1eN8AHjMNJ_7dDXMJVRLDlaFSOdPM/edit?usp=sharing"",""ตราด!J636"")"),0)</f>
        <v>0</v>
      </c>
      <c r="AE58" s="152">
        <f ca="1">IFERROR(__xludf.DUMMYFUNCTION("IMPORTRANGE(""https://docs.google.com/spreadsheets/d/1jkqa6GXxSacMcY1eN8AHjMNJ_7dDXMJVRLDlaFSOdPM/edit?usp=sharing"",""ตราด!J637"")"),0)</f>
        <v>0</v>
      </c>
      <c r="AF58" s="152">
        <f ca="1">IFERROR(__xludf.DUMMYFUNCTION("IMPORTRANGE(""https://docs.google.com/spreadsheets/d/1jkqa6GXxSacMcY1eN8AHjMNJ_7dDXMJVRLDlaFSOdPM/edit?usp=sharing"",""ตราด!J638"")"),0)</f>
        <v>0</v>
      </c>
      <c r="AG58" s="152">
        <f ca="1">IFERROR(__xludf.DUMMYFUNCTION("IMPORTRANGE(""https://docs.google.com/spreadsheets/d/1jkqa6GXxSacMcY1eN8AHjMNJ_7dDXMJVRLDlaFSOdPM/edit?usp=sharing"",""ตราด!J639"")"),0)</f>
        <v>0</v>
      </c>
      <c r="AH58" s="152">
        <f ca="1">IFERROR(__xludf.DUMMYFUNCTION("IMPORTRANGE(""https://docs.google.com/spreadsheets/d/1jkqa6GXxSacMcY1eN8AHjMNJ_7dDXMJVRLDlaFSOdPM/edit?usp=sharing"",""ตราด!J640"")"),0)</f>
        <v>0</v>
      </c>
    </row>
    <row r="59" spans="1:34" ht="19.5" x14ac:dyDescent="0.3">
      <c r="A59" s="70">
        <v>7</v>
      </c>
      <c r="B59" s="71" t="s">
        <v>87</v>
      </c>
      <c r="C59" s="68">
        <f ca="1">IFERROR(__xludf.DUMMYFUNCTION("IMPORTRANGE(""https://docs.google.com/spreadsheets/d/18hSgUJ3VwClqi_qtULmmW3cLr0oe3OKaSYoKzdpTsYQ/edit?usp=sharing"",""นครนายก!Q616"")"),6600)</f>
        <v>6600</v>
      </c>
      <c r="D59" s="68">
        <f ca="1">IFERROR(__xludf.DUMMYFUNCTION("IMPORTRANGE(""https://docs.google.com/spreadsheets/d/18hSgUJ3VwClqi_qtULmmW3cLr0oe3OKaSYoKzdpTsYQ/edit?usp=sharing"",""นครนายก!R616"")"),6600)</f>
        <v>6600</v>
      </c>
      <c r="E59" s="68">
        <f ca="1">IFERROR(__xludf.DUMMYFUNCTION("IMPORTRANGE(""https://docs.google.com/spreadsheets/d/18hSgUJ3VwClqi_qtULmmW3cLr0oe3OKaSYoKzdpTsYQ/edit?usp=sharing"",""นครนายก!S616"")"),1000)</f>
        <v>1000</v>
      </c>
      <c r="F59" s="68">
        <f t="shared" ca="1" si="24"/>
        <v>15.151515151515152</v>
      </c>
      <c r="G59" s="68">
        <f t="shared" ca="1" si="25"/>
        <v>15.151515151515152</v>
      </c>
      <c r="H59" s="278">
        <f ca="1">IFERROR(__xludf.DUMMYFUNCTION("IMPORTRANGE(""https://docs.google.com/spreadsheets/d/18hSgUJ3VwClqi_qtULmmW3cLr0oe3OKaSYoKzdpTsYQ/edit?usp=sharing"",""นครนายก!I626"")"),50)</f>
        <v>50</v>
      </c>
      <c r="I59" s="152">
        <f ca="1">IFERROR(__xludf.DUMMYFUNCTION("IMPORTRANGE(""https://docs.google.com/spreadsheets/d/18hSgUJ3VwClqi_qtULmmW3cLr0oe3OKaSYoKzdpTsYQ/edit?usp=sharing"",""นครนายก!J626"")"),0)</f>
        <v>0</v>
      </c>
      <c r="J59" s="216">
        <f t="shared" ca="1" si="27"/>
        <v>0</v>
      </c>
      <c r="K59" s="152">
        <f ca="1">IFERROR(__xludf.DUMMYFUNCTION("IMPORTRANGE(""https://docs.google.com/spreadsheets/d/18hSgUJ3VwClqi_qtULmmW3cLr0oe3OKaSYoKzdpTsYQ/edit?usp=sharing"",""นครนายก!I627"")"),0)</f>
        <v>0</v>
      </c>
      <c r="L59" s="152">
        <f ca="1">IFERROR(__xludf.DUMMYFUNCTION("IMPORTRANGE(""https://docs.google.com/spreadsheets/d/18hSgUJ3VwClqi_qtULmmW3cLr0oe3OKaSYoKzdpTsYQ/edit?usp=sharing"",""นครนายก!J627"")"),0)</f>
        <v>0</v>
      </c>
      <c r="M59" s="216">
        <f t="shared" ca="1" si="29"/>
        <v>0</v>
      </c>
      <c r="N59" s="152">
        <f ca="1">IFERROR(__xludf.DUMMYFUNCTION("IMPORTRANGE(""https://docs.google.com/spreadsheets/d/18hSgUJ3VwClqi_qtULmmW3cLr0oe3OKaSYoKzdpTsYQ/edit?usp=sharing"",""นครนายก!I628"")"),0)</f>
        <v>0</v>
      </c>
      <c r="O59" s="152">
        <f ca="1">IFERROR(__xludf.DUMMYFUNCTION("IMPORTRANGE(""https://docs.google.com/spreadsheets/d/18hSgUJ3VwClqi_qtULmmW3cLr0oe3OKaSYoKzdpTsYQ/edit?usp=sharing"",""นครนายก!J628"")"),0)</f>
        <v>0</v>
      </c>
      <c r="P59" s="216">
        <f t="shared" ca="1" si="31"/>
        <v>0</v>
      </c>
      <c r="Q59" s="152">
        <f ca="1">IFERROR(__xludf.DUMMYFUNCTION("IMPORTRANGE(""https://docs.google.com/spreadsheets/d/18hSgUJ3VwClqi_qtULmmW3cLr0oe3OKaSYoKzdpTsYQ/edit?usp=sharing"",""นครนายก!J629"")"),0)</f>
        <v>0</v>
      </c>
      <c r="R59" s="216">
        <f t="shared" ca="1" si="38"/>
        <v>0</v>
      </c>
      <c r="S59" s="152">
        <f ca="1">IFERROR(__xludf.DUMMYFUNCTION("IMPORTRANGE(""https://docs.google.com/spreadsheets/d/18hSgUJ3VwClqi_qtULmmW3cLr0oe3OKaSYoKzdpTsYQ/edit?usp=sharing"",""นครนายก!J630"")"),0)</f>
        <v>0</v>
      </c>
      <c r="T59" s="216">
        <f t="shared" ca="1" si="32"/>
        <v>0</v>
      </c>
      <c r="U59" s="216">
        <f ca="1">IFERROR(__xludf.DUMMYFUNCTION("IMPORTRANGE(""https://docs.google.com/spreadsheets/d/18hSgUJ3VwClqi_qtULmmW3cLr0oe3OKaSYoKzdpTsYQ/edit?usp=sharing"",""นครนายก!J631"")"),0)</f>
        <v>0</v>
      </c>
      <c r="V59" s="216">
        <f t="shared" ca="1" si="33"/>
        <v>0</v>
      </c>
      <c r="W59" s="216">
        <f ca="1">IFERROR(__xludf.DUMMYFUNCTION("IMPORTRANGE(""https://docs.google.com/spreadsheets/d/18hSgUJ3VwClqi_qtULmmW3cLr0oe3OKaSYoKzdpTsYQ/edit?usp=sharing"",""นครนายก!J632"")"),0)</f>
        <v>0</v>
      </c>
      <c r="X59" s="216">
        <f t="shared" ca="1" si="34"/>
        <v>0</v>
      </c>
      <c r="Y59" s="216">
        <f ca="1">IFERROR(__xludf.DUMMYFUNCTION("IMPORTRANGE(""https://docs.google.com/spreadsheets/d/18hSgUJ3VwClqi_qtULmmW3cLr0oe3OKaSYoKzdpTsYQ/edit?usp=sharing"",""นครนายก!J633"")"),0)</f>
        <v>0</v>
      </c>
      <c r="Z59" s="216">
        <f ca="1">IFERROR(__xludf.DUMMYFUNCTION("IMPORTRANGE(""https://docs.google.com/spreadsheets/d/18hSgUJ3VwClqi_qtULmmW3cLr0oe3OKaSYoKzdpTsYQ/edit?usp=sharing"",""นครนายก!J634"")"),0)</f>
        <v>0</v>
      </c>
      <c r="AA59" s="152">
        <f ca="1">IFERROR(__xludf.DUMMYFUNCTION("IMPORTRANGE(""https://docs.google.com/spreadsheets/d/18hSgUJ3VwClqi_qtULmmW3cLr0oe3OKaSYoKzdpTsYQ/edit?usp=sharing"",""นครนายก!I635"")"),0)</f>
        <v>0</v>
      </c>
      <c r="AB59" s="152">
        <f ca="1">IFERROR(__xludf.DUMMYFUNCTION("IMPORTRANGE(""https://docs.google.com/spreadsheets/d/18hSgUJ3VwClqi_qtULmmW3cLr0oe3OKaSYoKzdpTsYQ/edit?usp=sharing"",""นครนายก!J635"")"),0)</f>
        <v>0</v>
      </c>
      <c r="AC59" s="216">
        <f t="shared" ca="1" si="36"/>
        <v>0</v>
      </c>
      <c r="AD59" s="152">
        <f ca="1">IFERROR(__xludf.DUMMYFUNCTION("IMPORTRANGE(""https://docs.google.com/spreadsheets/d/18hSgUJ3VwClqi_qtULmmW3cLr0oe3OKaSYoKzdpTsYQ/edit?usp=sharing"",""นครนายก!J636"")"),0)</f>
        <v>0</v>
      </c>
      <c r="AE59" s="152">
        <f ca="1">IFERROR(__xludf.DUMMYFUNCTION("IMPORTRANGE(""https://docs.google.com/spreadsheets/d/18hSgUJ3VwClqi_qtULmmW3cLr0oe3OKaSYoKzdpTsYQ/edit?usp=sharing"",""นครนายก!J637"")"),0)</f>
        <v>0</v>
      </c>
      <c r="AF59" s="152">
        <f ca="1">IFERROR(__xludf.DUMMYFUNCTION("IMPORTRANGE(""https://docs.google.com/spreadsheets/d/18hSgUJ3VwClqi_qtULmmW3cLr0oe3OKaSYoKzdpTsYQ/edit?usp=sharing"",""นครนายก!J638"")"),0)</f>
        <v>0</v>
      </c>
      <c r="AG59" s="152">
        <f ca="1">IFERROR(__xludf.DUMMYFUNCTION("IMPORTRANGE(""https://docs.google.com/spreadsheets/d/18hSgUJ3VwClqi_qtULmmW3cLr0oe3OKaSYoKzdpTsYQ/edit?usp=sharing"",""นครนายก!J639"")"),0)</f>
        <v>0</v>
      </c>
      <c r="AH59" s="152">
        <f ca="1">IFERROR(__xludf.DUMMYFUNCTION("IMPORTRANGE(""https://docs.google.com/spreadsheets/d/18hSgUJ3VwClqi_qtULmmW3cLr0oe3OKaSYoKzdpTsYQ/edit?usp=sharing"",""นครนายก!J640"")"),0)</f>
        <v>0</v>
      </c>
    </row>
    <row r="60" spans="1:34" ht="19.5" x14ac:dyDescent="0.3">
      <c r="A60" s="70">
        <v>8</v>
      </c>
      <c r="B60" s="71" t="s">
        <v>88</v>
      </c>
      <c r="C60" s="68">
        <f ca="1">IFERROR(__xludf.DUMMYFUNCTION("IMPORTRANGE(""https://docs.google.com/spreadsheets/d/1YTZo6WM2dQ6Ix6FSdnL5P7uVnVKu40sxZu975tgG10E/edit?usp=sharing"",""นครปฐม!Q616"")"),7275)</f>
        <v>7275</v>
      </c>
      <c r="D60" s="68">
        <f ca="1">IFERROR(__xludf.DUMMYFUNCTION("IMPORTRANGE(""https://docs.google.com/spreadsheets/d/1YTZo6WM2dQ6Ix6FSdnL5P7uVnVKu40sxZu975tgG10E/edit?usp=sharing"",""นครปฐม!R616"")"),5525)</f>
        <v>5525</v>
      </c>
      <c r="E60" s="68">
        <f ca="1">IFERROR(__xludf.DUMMYFUNCTION("IMPORTRANGE(""https://docs.google.com/spreadsheets/d/1YTZo6WM2dQ6Ix6FSdnL5P7uVnVKu40sxZu975tgG10E/edit?usp=sharing"",""นครปฐม!S616"")"),5525)</f>
        <v>5525</v>
      </c>
      <c r="F60" s="68">
        <f t="shared" ca="1" si="24"/>
        <v>75.945017182130584</v>
      </c>
      <c r="G60" s="68">
        <f t="shared" ca="1" si="25"/>
        <v>100</v>
      </c>
      <c r="H60" s="278">
        <f ca="1">IFERROR(__xludf.DUMMYFUNCTION("IMPORTRANGE(""https://docs.google.com/spreadsheets/d/1YTZo6WM2dQ6Ix6FSdnL5P7uVnVKu40sxZu975tgG10E/edit?usp=sharing"",""นครปฐม!I626"")"),50)</f>
        <v>50</v>
      </c>
      <c r="I60" s="152">
        <f ca="1">IFERROR(__xludf.DUMMYFUNCTION("IMPORTRANGE(""https://docs.google.com/spreadsheets/d/1YTZo6WM2dQ6Ix6FSdnL5P7uVnVKu40sxZu975tgG10E/edit?usp=sharing"",""นครปฐม!J626"")"),0)</f>
        <v>0</v>
      </c>
      <c r="J60" s="216">
        <f t="shared" ca="1" si="27"/>
        <v>0</v>
      </c>
      <c r="K60" s="152">
        <f ca="1">IFERROR(__xludf.DUMMYFUNCTION("IMPORTRANGE(""https://docs.google.com/spreadsheets/d/1YTZo6WM2dQ6Ix6FSdnL5P7uVnVKu40sxZu975tgG10E/edit?usp=sharing"",""นครปฐม!I627"")"),1)</f>
        <v>1</v>
      </c>
      <c r="L60" s="152">
        <f ca="1">IFERROR(__xludf.DUMMYFUNCTION("IMPORTRANGE(""https://docs.google.com/spreadsheets/d/1YTZo6WM2dQ6Ix6FSdnL5P7uVnVKu40sxZu975tgG10E/edit?usp=sharing"",""นครปฐม!J627"")"),1)</f>
        <v>1</v>
      </c>
      <c r="M60" s="216">
        <f t="shared" ca="1" si="29"/>
        <v>100</v>
      </c>
      <c r="N60" s="152">
        <f ca="1">IFERROR(__xludf.DUMMYFUNCTION("IMPORTRANGE(""https://docs.google.com/spreadsheets/d/1YTZo6WM2dQ6Ix6FSdnL5P7uVnVKu40sxZu975tgG10E/edit?usp=sharing"",""นครปฐม!I628"")"),1)</f>
        <v>1</v>
      </c>
      <c r="O60" s="152">
        <f ca="1">IFERROR(__xludf.DUMMYFUNCTION("IMPORTRANGE(""https://docs.google.com/spreadsheets/d/1YTZo6WM2dQ6Ix6FSdnL5P7uVnVKu40sxZu975tgG10E/edit?usp=sharing"",""นครปฐม!J628"")"),1)</f>
        <v>1</v>
      </c>
      <c r="P60" s="216">
        <f t="shared" ca="1" si="31"/>
        <v>100</v>
      </c>
      <c r="Q60" s="152">
        <f ca="1">IFERROR(__xludf.DUMMYFUNCTION("IMPORTRANGE(""https://docs.google.com/spreadsheets/d/1YTZo6WM2dQ6Ix6FSdnL5P7uVnVKu40sxZu975tgG10E/edit?usp=sharing"",""นครปฐม!J629"")"),0)</f>
        <v>0</v>
      </c>
      <c r="R60" s="216">
        <f t="shared" ca="1" si="38"/>
        <v>0</v>
      </c>
      <c r="S60" s="152">
        <f ca="1">IFERROR(__xludf.DUMMYFUNCTION("IMPORTRANGE(""https://docs.google.com/spreadsheets/d/1YTZo6WM2dQ6Ix6FSdnL5P7uVnVKu40sxZu975tgG10E/edit?usp=sharing"",""นครปฐม!J630"")"),0)</f>
        <v>0</v>
      </c>
      <c r="T60" s="216">
        <f t="shared" ca="1" si="32"/>
        <v>0</v>
      </c>
      <c r="U60" s="216">
        <f ca="1">IFERROR(__xludf.DUMMYFUNCTION("IMPORTRANGE(""https://docs.google.com/spreadsheets/d/1YTZo6WM2dQ6Ix6FSdnL5P7uVnVKu40sxZu975tgG10E/edit?usp=sharing"",""นครปฐม!J631"")"),0)</f>
        <v>0</v>
      </c>
      <c r="V60" s="216">
        <f t="shared" ca="1" si="33"/>
        <v>0</v>
      </c>
      <c r="W60" s="216">
        <f ca="1">IFERROR(__xludf.DUMMYFUNCTION("IMPORTRANGE(""https://docs.google.com/spreadsheets/d/1YTZo6WM2dQ6Ix6FSdnL5P7uVnVKu40sxZu975tgG10E/edit?usp=sharing"",""นครปฐม!J632"")"),0)</f>
        <v>0</v>
      </c>
      <c r="X60" s="216">
        <f t="shared" ca="1" si="34"/>
        <v>0</v>
      </c>
      <c r="Y60" s="216">
        <f ca="1">IFERROR(__xludf.DUMMYFUNCTION("IMPORTRANGE(""https://docs.google.com/spreadsheets/d/1YTZo6WM2dQ6Ix6FSdnL5P7uVnVKu40sxZu975tgG10E/edit?usp=sharing"",""นครปฐม!J633"")"),0)</f>
        <v>0</v>
      </c>
      <c r="Z60" s="216">
        <f ca="1">IFERROR(__xludf.DUMMYFUNCTION("IMPORTRANGE(""https://docs.google.com/spreadsheets/d/1YTZo6WM2dQ6Ix6FSdnL5P7uVnVKu40sxZu975tgG10E/edit?usp=sharing"",""นครปฐม!J634"")"),0)</f>
        <v>0</v>
      </c>
      <c r="AA60" s="152">
        <f ca="1">IFERROR(__xludf.DUMMYFUNCTION("IMPORTRANGE(""https://docs.google.com/spreadsheets/d/1YTZo6WM2dQ6Ix6FSdnL5P7uVnVKu40sxZu975tgG10E/edit?usp=sharing"",""นครปฐม!I635"")"),0)</f>
        <v>0</v>
      </c>
      <c r="AB60" s="152">
        <f ca="1">IFERROR(__xludf.DUMMYFUNCTION("IMPORTRANGE(""https://docs.google.com/spreadsheets/d/1YTZo6WM2dQ6Ix6FSdnL5P7uVnVKu40sxZu975tgG10E/edit?usp=sharing"",""นครปฐม!J635"")"),0)</f>
        <v>0</v>
      </c>
      <c r="AC60" s="216">
        <f t="shared" ca="1" si="36"/>
        <v>0</v>
      </c>
      <c r="AD60" s="152">
        <f ca="1">IFERROR(__xludf.DUMMYFUNCTION("IMPORTRANGE(""https://docs.google.com/spreadsheets/d/1YTZo6WM2dQ6Ix6FSdnL5P7uVnVKu40sxZu975tgG10E/edit?usp=sharing"",""นครปฐม!J636"")"),0)</f>
        <v>0</v>
      </c>
      <c r="AE60" s="152">
        <f ca="1">IFERROR(__xludf.DUMMYFUNCTION("IMPORTRANGE(""https://docs.google.com/spreadsheets/d/1YTZo6WM2dQ6Ix6FSdnL5P7uVnVKu40sxZu975tgG10E/edit?usp=sharing"",""นครปฐม!J637"")"),0)</f>
        <v>0</v>
      </c>
      <c r="AF60" s="152">
        <f ca="1">IFERROR(__xludf.DUMMYFUNCTION("IMPORTRANGE(""https://docs.google.com/spreadsheets/d/1YTZo6WM2dQ6Ix6FSdnL5P7uVnVKu40sxZu975tgG10E/edit?usp=sharing"",""นครปฐม!J638"")"),0)</f>
        <v>0</v>
      </c>
      <c r="AG60" s="152">
        <f ca="1">IFERROR(__xludf.DUMMYFUNCTION("IMPORTRANGE(""https://docs.google.com/spreadsheets/d/1YTZo6WM2dQ6Ix6FSdnL5P7uVnVKu40sxZu975tgG10E/edit?usp=sharing"",""นครปฐม!J639"")"),0)</f>
        <v>0</v>
      </c>
      <c r="AH60" s="152">
        <f ca="1">IFERROR(__xludf.DUMMYFUNCTION("IMPORTRANGE(""https://docs.google.com/spreadsheets/d/1YTZo6WM2dQ6Ix6FSdnL5P7uVnVKu40sxZu975tgG10E/edit?usp=sharing"",""นครปฐม!J640"")"),0)</f>
        <v>0</v>
      </c>
    </row>
    <row r="61" spans="1:34" ht="19.5" x14ac:dyDescent="0.3">
      <c r="A61" s="70">
        <v>9</v>
      </c>
      <c r="B61" s="71" t="s">
        <v>89</v>
      </c>
      <c r="C61" s="68">
        <f ca="1">IFERROR(__xludf.DUMMYFUNCTION("IMPORTRANGE(""https://docs.google.com/spreadsheets/d/1OYoGg4WDg5RIzwGeB10padOxJF9E_Vljuvvct_M7RDo/edit?usp=sharing"",""ปทุมธานี!Q616"")"),12275)</f>
        <v>12275</v>
      </c>
      <c r="D61" s="68">
        <f ca="1">IFERROR(__xludf.DUMMYFUNCTION("IMPORTRANGE(""https://docs.google.com/spreadsheets/d/1OYoGg4WDg5RIzwGeB10padOxJF9E_Vljuvvct_M7RDo/edit?usp=sharing"",""ปทุมธานี!R616"")"),12275)</f>
        <v>12275</v>
      </c>
      <c r="E61" s="68">
        <f ca="1">IFERROR(__xludf.DUMMYFUNCTION("IMPORTRANGE(""https://docs.google.com/spreadsheets/d/1OYoGg4WDg5RIzwGeB10padOxJF9E_Vljuvvct_M7RDo/edit?usp=sharing"",""ปทุมธานี!S616"")"),2940)</f>
        <v>2940</v>
      </c>
      <c r="F61" s="68">
        <f t="shared" ca="1" si="24"/>
        <v>23.951120162932789</v>
      </c>
      <c r="G61" s="68">
        <f t="shared" ca="1" si="25"/>
        <v>23.951120162932789</v>
      </c>
      <c r="H61" s="278">
        <f ca="1">IFERROR(__xludf.DUMMYFUNCTION("IMPORTRANGE(""https://docs.google.com/spreadsheets/d/1OYoGg4WDg5RIzwGeB10padOxJF9E_Vljuvvct_M7RDo/edit?usp=sharing"",""ปทุมธานี!I626"")"),100)</f>
        <v>100</v>
      </c>
      <c r="I61" s="152">
        <f ca="1">IFERROR(__xludf.DUMMYFUNCTION("IMPORTRANGE(""https://docs.google.com/spreadsheets/d/1OYoGg4WDg5RIzwGeB10padOxJF9E_Vljuvvct_M7RDo/edit?usp=sharing"",""ปทุมธานี!J626"")"),0)</f>
        <v>0</v>
      </c>
      <c r="J61" s="216">
        <f t="shared" ca="1" si="27"/>
        <v>0</v>
      </c>
      <c r="K61" s="152">
        <f ca="1">IFERROR(__xludf.DUMMYFUNCTION("IMPORTRANGE(""https://docs.google.com/spreadsheets/d/1OYoGg4WDg5RIzwGeB10padOxJF9E_Vljuvvct_M7RDo/edit?usp=sharing"",""ปทุมธานี!I627"")"),1)</f>
        <v>1</v>
      </c>
      <c r="L61" s="152">
        <f ca="1">IFERROR(__xludf.DUMMYFUNCTION("IMPORTRANGE(""https://docs.google.com/spreadsheets/d/1OYoGg4WDg5RIzwGeB10padOxJF9E_Vljuvvct_M7RDo/edit?usp=sharing"",""ปทุมธานี!J627"")"),1)</f>
        <v>1</v>
      </c>
      <c r="M61" s="216">
        <f t="shared" ca="1" si="29"/>
        <v>100</v>
      </c>
      <c r="N61" s="152">
        <f ca="1">IFERROR(__xludf.DUMMYFUNCTION("IMPORTRANGE(""https://docs.google.com/spreadsheets/d/1OYoGg4WDg5RIzwGeB10padOxJF9E_Vljuvvct_M7RDo/edit?usp=sharing"",""ปทุมธานี!I628"")"),1)</f>
        <v>1</v>
      </c>
      <c r="O61" s="152">
        <f ca="1">IFERROR(__xludf.DUMMYFUNCTION("IMPORTRANGE(""https://docs.google.com/spreadsheets/d/1OYoGg4WDg5RIzwGeB10padOxJF9E_Vljuvvct_M7RDo/edit?usp=sharing"",""ปทุมธานี!J628"")"),1)</f>
        <v>1</v>
      </c>
      <c r="P61" s="216">
        <f t="shared" ca="1" si="31"/>
        <v>100</v>
      </c>
      <c r="Q61" s="152">
        <f ca="1">IFERROR(__xludf.DUMMYFUNCTION("IMPORTRANGE(""https://docs.google.com/spreadsheets/d/1OYoGg4WDg5RIzwGeB10padOxJF9E_Vljuvvct_M7RDo/edit?usp=sharing"",""ปทุมธานี!J629"")"),230)</f>
        <v>230</v>
      </c>
      <c r="R61" s="216">
        <f t="shared" ca="1" si="38"/>
        <v>230</v>
      </c>
      <c r="S61" s="152">
        <f ca="1">IFERROR(__xludf.DUMMYFUNCTION("IMPORTRANGE(""https://docs.google.com/spreadsheets/d/1OYoGg4WDg5RIzwGeB10padOxJF9E_Vljuvvct_M7RDo/edit?usp=sharing"",""ปทุมธานี!J630"")"),230)</f>
        <v>230</v>
      </c>
      <c r="T61" s="216">
        <f t="shared" ca="1" si="32"/>
        <v>230</v>
      </c>
      <c r="U61" s="216">
        <f ca="1">IFERROR(__xludf.DUMMYFUNCTION("IMPORTRANGE(""https://docs.google.com/spreadsheets/d/1OYoGg4WDg5RIzwGeB10padOxJF9E_Vljuvvct_M7RDo/edit?usp=sharing"",""ปทุมธานี!J631"")"),0)</f>
        <v>0</v>
      </c>
      <c r="V61" s="216">
        <f t="shared" ca="1" si="33"/>
        <v>0</v>
      </c>
      <c r="W61" s="216">
        <f ca="1">IFERROR(__xludf.DUMMYFUNCTION("IMPORTRANGE(""https://docs.google.com/spreadsheets/d/1OYoGg4WDg5RIzwGeB10padOxJF9E_Vljuvvct_M7RDo/edit?usp=sharing"",""ปทุมธานี!J632"")"),0)</f>
        <v>0</v>
      </c>
      <c r="X61" s="216">
        <f t="shared" ca="1" si="34"/>
        <v>0</v>
      </c>
      <c r="Y61" s="216">
        <f ca="1">IFERROR(__xludf.DUMMYFUNCTION("IMPORTRANGE(""https://docs.google.com/spreadsheets/d/1OYoGg4WDg5RIzwGeB10padOxJF9E_Vljuvvct_M7RDo/edit?usp=sharing"",""ปทุมธานี!J633"")"),0)</f>
        <v>0</v>
      </c>
      <c r="Z61" s="216">
        <f ca="1">IFERROR(__xludf.DUMMYFUNCTION("IMPORTRANGE(""https://docs.google.com/spreadsheets/d/1OYoGg4WDg5RIzwGeB10padOxJF9E_Vljuvvct_M7RDo/edit?usp=sharing"",""ปทุมธานี!J634"")"),0)</f>
        <v>0</v>
      </c>
      <c r="AA61" s="152">
        <f ca="1">IFERROR(__xludf.DUMMYFUNCTION("IMPORTRANGE(""https://docs.google.com/spreadsheets/d/1OYoGg4WDg5RIzwGeB10padOxJF9E_Vljuvvct_M7RDo/edit?usp=sharing"",""ปทุมธานี!I635"")"),0)</f>
        <v>0</v>
      </c>
      <c r="AB61" s="152">
        <f ca="1">IFERROR(__xludf.DUMMYFUNCTION("IMPORTRANGE(""https://docs.google.com/spreadsheets/d/1OYoGg4WDg5RIzwGeB10padOxJF9E_Vljuvvct_M7RDo/edit?usp=sharing"",""ปทุมธานี!J635"")"),0)</f>
        <v>0</v>
      </c>
      <c r="AC61" s="216">
        <f t="shared" ca="1" si="36"/>
        <v>0</v>
      </c>
      <c r="AD61" s="152">
        <f ca="1">IFERROR(__xludf.DUMMYFUNCTION("IMPORTRANGE(""https://docs.google.com/spreadsheets/d/1OYoGg4WDg5RIzwGeB10padOxJF9E_Vljuvvct_M7RDo/edit?usp=sharing"",""ปทุมธานี!J636"")"),0)</f>
        <v>0</v>
      </c>
      <c r="AE61" s="152">
        <f ca="1">IFERROR(__xludf.DUMMYFUNCTION("IMPORTRANGE(""https://docs.google.com/spreadsheets/d/1OYoGg4WDg5RIzwGeB10padOxJF9E_Vljuvvct_M7RDo/edit?usp=sharing"",""ปทุมธานี!J637"")"),0)</f>
        <v>0</v>
      </c>
      <c r="AF61" s="152">
        <f ca="1">IFERROR(__xludf.DUMMYFUNCTION("IMPORTRANGE(""https://docs.google.com/spreadsheets/d/1OYoGg4WDg5RIzwGeB10padOxJF9E_Vljuvvct_M7RDo/edit?usp=sharing"",""ปทุมธานี!J638"")"),0)</f>
        <v>0</v>
      </c>
      <c r="AG61" s="152">
        <f ca="1">IFERROR(__xludf.DUMMYFUNCTION("IMPORTRANGE(""https://docs.google.com/spreadsheets/d/1OYoGg4WDg5RIzwGeB10padOxJF9E_Vljuvvct_M7RDo/edit?usp=sharing"",""ปทุมธานี!J639"")"),0)</f>
        <v>0</v>
      </c>
      <c r="AH61" s="152">
        <f ca="1">IFERROR(__xludf.DUMMYFUNCTION("IMPORTRANGE(""https://docs.google.com/spreadsheets/d/1OYoGg4WDg5RIzwGeB10padOxJF9E_Vljuvvct_M7RDo/edit?usp=sharing"",""ปทุมธานี!J640"")"),0)</f>
        <v>0</v>
      </c>
    </row>
    <row r="62" spans="1:34" ht="19.5" x14ac:dyDescent="0.3">
      <c r="A62" s="70">
        <v>10</v>
      </c>
      <c r="B62" s="71" t="s">
        <v>90</v>
      </c>
      <c r="C62" s="68">
        <f ca="1">IFERROR(__xludf.DUMMYFUNCTION("IMPORTRANGE(""https://docs.google.com/spreadsheets/d/1GbCIE4D4wk9FUozzqk7SxfDMxDVBwVmI5zcaVUSzKAc/edit?usp=sharing"",""ประจวบคีรีขันธ์!Q616"")"),1800)</f>
        <v>1800</v>
      </c>
      <c r="D62" s="68">
        <f ca="1">IFERROR(__xludf.DUMMYFUNCTION("IMPORTRANGE(""https://docs.google.com/spreadsheets/d/1GbCIE4D4wk9FUozzqk7SxfDMxDVBwVmI5zcaVUSzKAc/edit?usp=sharing"",""ประจวบคีรีขันธ์!R616"")"),1800)</f>
        <v>1800</v>
      </c>
      <c r="E62" s="68">
        <f ca="1">IFERROR(__xludf.DUMMYFUNCTION("IMPORTRANGE(""https://docs.google.com/spreadsheets/d/1GbCIE4D4wk9FUozzqk7SxfDMxDVBwVmI5zcaVUSzKAc/edit?usp=sharing"",""ประจวบคีรีขันธ์!S616"")"),1359)</f>
        <v>1359</v>
      </c>
      <c r="F62" s="68">
        <f t="shared" ca="1" si="24"/>
        <v>75.5</v>
      </c>
      <c r="G62" s="68">
        <f t="shared" ca="1" si="25"/>
        <v>75.5</v>
      </c>
      <c r="H62" s="278">
        <f ca="1">IFERROR(__xludf.DUMMYFUNCTION("IMPORTRANGE(""https://docs.google.com/spreadsheets/d/1GbCIE4D4wk9FUozzqk7SxfDMxDVBwVmI5zcaVUSzKAc/edit?usp=sharing"",""ประจวบคีรีขันธ์!I626"")"),0)</f>
        <v>0</v>
      </c>
      <c r="I62" s="152">
        <f ca="1">IFERROR(__xludf.DUMMYFUNCTION("IMPORTRANGE(""https://docs.google.com/spreadsheets/d/1GbCIE4D4wk9FUozzqk7SxfDMxDVBwVmI5zcaVUSzKAc/edit?usp=sharing"",""ประจวบคีรีขันธ์!J626"")"),0)</f>
        <v>0</v>
      </c>
      <c r="J62" s="216">
        <f t="shared" ca="1" si="27"/>
        <v>0</v>
      </c>
      <c r="K62" s="152">
        <f ca="1">IFERROR(__xludf.DUMMYFUNCTION("IMPORTRANGE(""https://docs.google.com/spreadsheets/d/1GbCIE4D4wk9FUozzqk7SxfDMxDVBwVmI5zcaVUSzKAc/edit?usp=sharing"",""ประจวบคีรีขันธ์!I627"")"),1)</f>
        <v>1</v>
      </c>
      <c r="L62" s="152">
        <f ca="1">IFERROR(__xludf.DUMMYFUNCTION("IMPORTRANGE(""https://docs.google.com/spreadsheets/d/1GbCIE4D4wk9FUozzqk7SxfDMxDVBwVmI5zcaVUSzKAc/edit?usp=sharing"",""ประจวบคีรีขันธ์!J627"")"),1)</f>
        <v>1</v>
      </c>
      <c r="M62" s="216">
        <f t="shared" ca="1" si="29"/>
        <v>100</v>
      </c>
      <c r="N62" s="152">
        <f ca="1">IFERROR(__xludf.DUMMYFUNCTION("IMPORTRANGE(""https://docs.google.com/spreadsheets/d/1GbCIE4D4wk9FUozzqk7SxfDMxDVBwVmI5zcaVUSzKAc/edit?usp=sharing"",""ประจวบคีรีขันธ์!I628"")"),1)</f>
        <v>1</v>
      </c>
      <c r="O62" s="152">
        <f ca="1">IFERROR(__xludf.DUMMYFUNCTION("IMPORTRANGE(""https://docs.google.com/spreadsheets/d/1GbCIE4D4wk9FUozzqk7SxfDMxDVBwVmI5zcaVUSzKAc/edit?usp=sharing"",""ประจวบคีรีขันธ์!J628"")"),1)</f>
        <v>1</v>
      </c>
      <c r="P62" s="216">
        <f t="shared" ca="1" si="31"/>
        <v>100</v>
      </c>
      <c r="Q62" s="152">
        <f ca="1">IFERROR(__xludf.DUMMYFUNCTION("IMPORTRANGE(""https://docs.google.com/spreadsheets/d/1GbCIE4D4wk9FUozzqk7SxfDMxDVBwVmI5zcaVUSzKAc/edit?usp=sharing"",""ประจวบคีรีขันธ์!J629"")"),0)</f>
        <v>0</v>
      </c>
      <c r="R62" s="216">
        <f t="shared" ca="1" si="38"/>
        <v>0</v>
      </c>
      <c r="S62" s="152">
        <f ca="1">IFERROR(__xludf.DUMMYFUNCTION("IMPORTRANGE(""https://docs.google.com/spreadsheets/d/1GbCIE4D4wk9FUozzqk7SxfDMxDVBwVmI5zcaVUSzKAc/edit?usp=sharing"",""ประจวบคีรีขันธ์!J630"")"),0)</f>
        <v>0</v>
      </c>
      <c r="T62" s="216">
        <f t="shared" ca="1" si="32"/>
        <v>0</v>
      </c>
      <c r="U62" s="216">
        <f ca="1">IFERROR(__xludf.DUMMYFUNCTION("IMPORTRANGE(""https://docs.google.com/spreadsheets/d/1GbCIE4D4wk9FUozzqk7SxfDMxDVBwVmI5zcaVUSzKAc/edit?usp=sharing"",""ประจวบคีรีขันธ์!J631"")"),0)</f>
        <v>0</v>
      </c>
      <c r="V62" s="216">
        <f t="shared" ca="1" si="33"/>
        <v>0</v>
      </c>
      <c r="W62" s="216">
        <f ca="1">IFERROR(__xludf.DUMMYFUNCTION("IMPORTRANGE(""https://docs.google.com/spreadsheets/d/1GbCIE4D4wk9FUozzqk7SxfDMxDVBwVmI5zcaVUSzKAc/edit?usp=sharing"",""ประจวบคีรีขันธ์!J632"")"),0)</f>
        <v>0</v>
      </c>
      <c r="X62" s="216">
        <f t="shared" ca="1" si="34"/>
        <v>0</v>
      </c>
      <c r="Y62" s="216">
        <f ca="1">IFERROR(__xludf.DUMMYFUNCTION("IMPORTRANGE(""https://docs.google.com/spreadsheets/d/1GbCIE4D4wk9FUozzqk7SxfDMxDVBwVmI5zcaVUSzKAc/edit?usp=sharing"",""ประจวบคีรีขันธ์!J633"")"),0)</f>
        <v>0</v>
      </c>
      <c r="Z62" s="216">
        <f ca="1">IFERROR(__xludf.DUMMYFUNCTION("IMPORTRANGE(""https://docs.google.com/spreadsheets/d/1GbCIE4D4wk9FUozzqk7SxfDMxDVBwVmI5zcaVUSzKAc/edit?usp=sharing"",""ประจวบคีรีขันธ์!J634"")"),0)</f>
        <v>0</v>
      </c>
      <c r="AA62" s="152">
        <f ca="1">IFERROR(__xludf.DUMMYFUNCTION("IMPORTRANGE(""https://docs.google.com/spreadsheets/d/1GbCIE4D4wk9FUozzqk7SxfDMxDVBwVmI5zcaVUSzKAc/edit?usp=sharing"",""ประจวบคีรีขันธ์!I635"")"),0)</f>
        <v>0</v>
      </c>
      <c r="AB62" s="152">
        <f ca="1">IFERROR(__xludf.DUMMYFUNCTION("IMPORTRANGE(""https://docs.google.com/spreadsheets/d/1GbCIE4D4wk9FUozzqk7SxfDMxDVBwVmI5zcaVUSzKAc/edit?usp=sharing"",""ประจวบคีรีขันธ์!J635"")"),0)</f>
        <v>0</v>
      </c>
      <c r="AC62" s="216">
        <f t="shared" ca="1" si="36"/>
        <v>0</v>
      </c>
      <c r="AD62" s="152">
        <f ca="1">IFERROR(__xludf.DUMMYFUNCTION("IMPORTRANGE(""https://docs.google.com/spreadsheets/d/1GbCIE4D4wk9FUozzqk7SxfDMxDVBwVmI5zcaVUSzKAc/edit?usp=sharing"",""ประจวบคีรีขันธ์!J636"")"),0)</f>
        <v>0</v>
      </c>
      <c r="AE62" s="152">
        <f ca="1">IFERROR(__xludf.DUMMYFUNCTION("IMPORTRANGE(""https://docs.google.com/spreadsheets/d/1GbCIE4D4wk9FUozzqk7SxfDMxDVBwVmI5zcaVUSzKAc/edit?usp=sharing"",""ประจวบคีรีขันธ์!J637"")"),0)</f>
        <v>0</v>
      </c>
      <c r="AF62" s="152">
        <f ca="1">IFERROR(__xludf.DUMMYFUNCTION("IMPORTRANGE(""https://docs.google.com/spreadsheets/d/1GbCIE4D4wk9FUozzqk7SxfDMxDVBwVmI5zcaVUSzKAc/edit?usp=sharing"",""ประจวบคีรีขันธ์!J638"")"),0)</f>
        <v>0</v>
      </c>
      <c r="AG62" s="152">
        <f ca="1">IFERROR(__xludf.DUMMYFUNCTION("IMPORTRANGE(""https://docs.google.com/spreadsheets/d/1GbCIE4D4wk9FUozzqk7SxfDMxDVBwVmI5zcaVUSzKAc/edit?usp=sharing"",""ประจวบคีรีขันธ์!J639"")"),0)</f>
        <v>0</v>
      </c>
      <c r="AH62" s="152">
        <f ca="1">IFERROR(__xludf.DUMMYFUNCTION("IMPORTRANGE(""https://docs.google.com/spreadsheets/d/1GbCIE4D4wk9FUozzqk7SxfDMxDVBwVmI5zcaVUSzKAc/edit?usp=sharing"",""ประจวบคีรีขันธ์!J640"")"),0)</f>
        <v>0</v>
      </c>
    </row>
    <row r="63" spans="1:34" ht="19.5" x14ac:dyDescent="0.3">
      <c r="A63" s="70">
        <v>11</v>
      </c>
      <c r="B63" s="71" t="s">
        <v>91</v>
      </c>
      <c r="C63" s="68">
        <f ca="1">IFERROR(__xludf.DUMMYFUNCTION("IMPORTRANGE(""https://docs.google.com/spreadsheets/d/1vVf6wykvW_lAyu7Yo9L4hUTqHqIeP_qcVuxCtosJEbg/edit?usp=sharing"",""ปราจีนบุรี!Q616"")"),6675)</f>
        <v>6675</v>
      </c>
      <c r="D63" s="68">
        <f ca="1">IFERROR(__xludf.DUMMYFUNCTION("IMPORTRANGE(""https://docs.google.com/spreadsheets/d/1vVf6wykvW_lAyu7Yo9L4hUTqHqIeP_qcVuxCtosJEbg/edit?usp=sharing"",""ปราจีนบุรี!R616"")"),6675)</f>
        <v>6675</v>
      </c>
      <c r="E63" s="68">
        <f ca="1">IFERROR(__xludf.DUMMYFUNCTION("IMPORTRANGE(""https://docs.google.com/spreadsheets/d/1vVf6wykvW_lAyu7Yo9L4hUTqHqIeP_qcVuxCtosJEbg/edit?usp=sharing"",""ปราจีนบุรี!S616"")"),0)</f>
        <v>0</v>
      </c>
      <c r="F63" s="68">
        <f t="shared" ca="1" si="24"/>
        <v>0</v>
      </c>
      <c r="G63" s="68">
        <f t="shared" ca="1" si="25"/>
        <v>0</v>
      </c>
      <c r="H63" s="278">
        <f ca="1">IFERROR(__xludf.DUMMYFUNCTION("IMPORTRANGE(""https://docs.google.com/spreadsheets/d/1vVf6wykvW_lAyu7Yo9L4hUTqHqIeP_qcVuxCtosJEbg/edit?usp=sharing"",""ปราจีนบุรี!I626"")"),50)</f>
        <v>50</v>
      </c>
      <c r="I63" s="152">
        <f ca="1">IFERROR(__xludf.DUMMYFUNCTION("IMPORTRANGE(""https://docs.google.com/spreadsheets/d/1vVf6wykvW_lAyu7Yo9L4hUTqHqIeP_qcVuxCtosJEbg/edit?usp=sharing"",""ปราจีนบุรี!J626"")"),0)</f>
        <v>0</v>
      </c>
      <c r="J63" s="216">
        <f t="shared" ca="1" si="27"/>
        <v>0</v>
      </c>
      <c r="K63" s="152">
        <f ca="1">IFERROR(__xludf.DUMMYFUNCTION("IMPORTRANGE(""https://docs.google.com/spreadsheets/d/1vVf6wykvW_lAyu7Yo9L4hUTqHqIeP_qcVuxCtosJEbg/edit?usp=sharing"",""ปราจีนบุรี!I627"")"),0)</f>
        <v>0</v>
      </c>
      <c r="L63" s="152">
        <f ca="1">IFERROR(__xludf.DUMMYFUNCTION("IMPORTRANGE(""https://docs.google.com/spreadsheets/d/1vVf6wykvW_lAyu7Yo9L4hUTqHqIeP_qcVuxCtosJEbg/edit?usp=sharing"",""ปราจีนบุรี!J627"")"),0)</f>
        <v>0</v>
      </c>
      <c r="M63" s="216">
        <f t="shared" ca="1" si="29"/>
        <v>0</v>
      </c>
      <c r="N63" s="152">
        <f ca="1">IFERROR(__xludf.DUMMYFUNCTION("IMPORTRANGE(""https://docs.google.com/spreadsheets/d/1vVf6wykvW_lAyu7Yo9L4hUTqHqIeP_qcVuxCtosJEbg/edit?usp=sharing"",""ปราจีนบุรี!I628"")"),0)</f>
        <v>0</v>
      </c>
      <c r="O63" s="152">
        <f ca="1">IFERROR(__xludf.DUMMYFUNCTION("IMPORTRANGE(""https://docs.google.com/spreadsheets/d/1vVf6wykvW_lAyu7Yo9L4hUTqHqIeP_qcVuxCtosJEbg/edit?usp=sharing"",""ปราจีนบุรี!J628"")"),0)</f>
        <v>0</v>
      </c>
      <c r="P63" s="216">
        <f t="shared" ca="1" si="31"/>
        <v>0</v>
      </c>
      <c r="Q63" s="152">
        <f ca="1">IFERROR(__xludf.DUMMYFUNCTION("IMPORTRANGE(""https://docs.google.com/spreadsheets/d/1vVf6wykvW_lAyu7Yo9L4hUTqHqIeP_qcVuxCtosJEbg/edit?usp=sharing"",""ปราจีนบุรี!J629"")"),0)</f>
        <v>0</v>
      </c>
      <c r="R63" s="216">
        <f t="shared" ca="1" si="38"/>
        <v>0</v>
      </c>
      <c r="S63" s="152">
        <f ca="1">IFERROR(__xludf.DUMMYFUNCTION("IMPORTRANGE(""https://docs.google.com/spreadsheets/d/1vVf6wykvW_lAyu7Yo9L4hUTqHqIeP_qcVuxCtosJEbg/edit?usp=sharing"",""ปราจีนบุรี!J630"")"),0)</f>
        <v>0</v>
      </c>
      <c r="T63" s="216">
        <f t="shared" ca="1" si="32"/>
        <v>0</v>
      </c>
      <c r="U63" s="216">
        <f ca="1">IFERROR(__xludf.DUMMYFUNCTION("IMPORTRANGE(""https://docs.google.com/spreadsheets/d/1vVf6wykvW_lAyu7Yo9L4hUTqHqIeP_qcVuxCtosJEbg/edit?usp=sharing"",""ปราจีนบุรี!J631"")"),0)</f>
        <v>0</v>
      </c>
      <c r="V63" s="216">
        <f t="shared" ca="1" si="33"/>
        <v>0</v>
      </c>
      <c r="W63" s="216">
        <f ca="1">IFERROR(__xludf.DUMMYFUNCTION("IMPORTRANGE(""https://docs.google.com/spreadsheets/d/1vVf6wykvW_lAyu7Yo9L4hUTqHqIeP_qcVuxCtosJEbg/edit?usp=sharing"",""ปราจีนบุรี!J632"")"),0)</f>
        <v>0</v>
      </c>
      <c r="X63" s="216">
        <f t="shared" ca="1" si="34"/>
        <v>0</v>
      </c>
      <c r="Y63" s="216">
        <f ca="1">IFERROR(__xludf.DUMMYFUNCTION("IMPORTRANGE(""https://docs.google.com/spreadsheets/d/1vVf6wykvW_lAyu7Yo9L4hUTqHqIeP_qcVuxCtosJEbg/edit?usp=sharing"",""ปราจีนบุรี!J633"")"),0)</f>
        <v>0</v>
      </c>
      <c r="Z63" s="216">
        <f ca="1">IFERROR(__xludf.DUMMYFUNCTION("IMPORTRANGE(""https://docs.google.com/spreadsheets/d/1vVf6wykvW_lAyu7Yo9L4hUTqHqIeP_qcVuxCtosJEbg/edit?usp=sharing"",""ปราจีนบุรี!J634"")"),0)</f>
        <v>0</v>
      </c>
      <c r="AA63" s="152">
        <f ca="1">IFERROR(__xludf.DUMMYFUNCTION("IMPORTRANGE(""https://docs.google.com/spreadsheets/d/1vVf6wykvW_lAyu7Yo9L4hUTqHqIeP_qcVuxCtosJEbg/edit?usp=sharing"",""ปราจีนบุรี!I635"")"),0)</f>
        <v>0</v>
      </c>
      <c r="AB63" s="152">
        <f ca="1">IFERROR(__xludf.DUMMYFUNCTION("IMPORTRANGE(""https://docs.google.com/spreadsheets/d/1vVf6wykvW_lAyu7Yo9L4hUTqHqIeP_qcVuxCtosJEbg/edit?usp=sharing"",""ปราจีนบุรี!J635"")"),0)</f>
        <v>0</v>
      </c>
      <c r="AC63" s="216">
        <f t="shared" ca="1" si="36"/>
        <v>0</v>
      </c>
      <c r="AD63" s="152">
        <f ca="1">IFERROR(__xludf.DUMMYFUNCTION("IMPORTRANGE(""https://docs.google.com/spreadsheets/d/1vVf6wykvW_lAyu7Yo9L4hUTqHqIeP_qcVuxCtosJEbg/edit?usp=sharing"",""ปราจีนบุรี!J636"")"),0)</f>
        <v>0</v>
      </c>
      <c r="AE63" s="152">
        <f ca="1">IFERROR(__xludf.DUMMYFUNCTION("IMPORTRANGE(""https://docs.google.com/spreadsheets/d/1vVf6wykvW_lAyu7Yo9L4hUTqHqIeP_qcVuxCtosJEbg/edit?usp=sharing"",""ปราจีนบุรี!J637"")"),0)</f>
        <v>0</v>
      </c>
      <c r="AF63" s="152">
        <f ca="1">IFERROR(__xludf.DUMMYFUNCTION("IMPORTRANGE(""https://docs.google.com/spreadsheets/d/1vVf6wykvW_lAyu7Yo9L4hUTqHqIeP_qcVuxCtosJEbg/edit?usp=sharing"",""ปราจีนบุรี!J638"")"),0)</f>
        <v>0</v>
      </c>
      <c r="AG63" s="152">
        <f ca="1">IFERROR(__xludf.DUMMYFUNCTION("IMPORTRANGE(""https://docs.google.com/spreadsheets/d/1vVf6wykvW_lAyu7Yo9L4hUTqHqIeP_qcVuxCtosJEbg/edit?usp=sharing"",""ปราจีนบุรี!J639"")"),0)</f>
        <v>0</v>
      </c>
      <c r="AH63" s="152">
        <f ca="1">IFERROR(__xludf.DUMMYFUNCTION("IMPORTRANGE(""https://docs.google.com/spreadsheets/d/1vVf6wykvW_lAyu7Yo9L4hUTqHqIeP_qcVuxCtosJEbg/edit?usp=sharing"",""ปราจีนบุรี!J640"")"),0)</f>
        <v>0</v>
      </c>
    </row>
    <row r="64" spans="1:34" ht="19.5" x14ac:dyDescent="0.3">
      <c r="A64" s="70">
        <v>12</v>
      </c>
      <c r="B64" s="71" t="s">
        <v>92</v>
      </c>
      <c r="C64" s="68">
        <f ca="1">IFERROR(__xludf.DUMMYFUNCTION("IMPORTRANGE(""https://docs.google.com/spreadsheets/d/1BIDqLLg5jk3v59G8NlR8rk5xfQDKne0sAvZHSj7TI6I/edit?usp=sharing"",""พระนครศรีอยุธยา!Q616"")"),21900)</f>
        <v>21900</v>
      </c>
      <c r="D64" s="68">
        <f ca="1">IFERROR(__xludf.DUMMYFUNCTION("IMPORTRANGE(""https://docs.google.com/spreadsheets/d/1BIDqLLg5jk3v59G8NlR8rk5xfQDKne0sAvZHSj7TI6I/edit?usp=sharing"",""พระนครศรีอยุธยา!R616"")"),21900)</f>
        <v>21900</v>
      </c>
      <c r="E64" s="68">
        <f ca="1">IFERROR(__xludf.DUMMYFUNCTION("IMPORTRANGE(""https://docs.google.com/spreadsheets/d/1BIDqLLg5jk3v59G8NlR8rk5xfQDKne0sAvZHSj7TI6I/edit?usp=sharing"",""พระนครศรีอยุธยา!S616"")"),5371)</f>
        <v>5371</v>
      </c>
      <c r="F64" s="68">
        <f t="shared" ca="1" si="24"/>
        <v>24.525114155251142</v>
      </c>
      <c r="G64" s="68">
        <f t="shared" ca="1" si="25"/>
        <v>24.525114155251142</v>
      </c>
      <c r="H64" s="278">
        <f ca="1">IFERROR(__xludf.DUMMYFUNCTION("IMPORTRANGE(""https://docs.google.com/spreadsheets/d/1BIDqLLg5jk3v59G8NlR8rk5xfQDKne0sAvZHSj7TI6I/edit?usp=sharing"",""พระนครศรีอยุธยา!I626"")"),200)</f>
        <v>200</v>
      </c>
      <c r="I64" s="152">
        <f ca="1">IFERROR(__xludf.DUMMYFUNCTION("IMPORTRANGE(""https://docs.google.com/spreadsheets/d/1BIDqLLg5jk3v59G8NlR8rk5xfQDKne0sAvZHSj7TI6I/edit?usp=sharing"",""พระนครศรีอยุธยา!J626"")"),0)</f>
        <v>0</v>
      </c>
      <c r="J64" s="216">
        <f t="shared" ca="1" si="27"/>
        <v>0</v>
      </c>
      <c r="K64" s="152">
        <f ca="1">IFERROR(__xludf.DUMMYFUNCTION("IMPORTRANGE(""https://docs.google.com/spreadsheets/d/1BIDqLLg5jk3v59G8NlR8rk5xfQDKne0sAvZHSj7TI6I/edit?usp=sharing"",""พระนครศรีอยุธยา!I627"")"),0)</f>
        <v>0</v>
      </c>
      <c r="L64" s="152">
        <f ca="1">IFERROR(__xludf.DUMMYFUNCTION("IMPORTRANGE(""https://docs.google.com/spreadsheets/d/1BIDqLLg5jk3v59G8NlR8rk5xfQDKne0sAvZHSj7TI6I/edit?usp=sharing"",""พระนครศรีอยุธยา!J627"")"),16)</f>
        <v>16</v>
      </c>
      <c r="M64" s="216">
        <f t="shared" ca="1" si="29"/>
        <v>0</v>
      </c>
      <c r="N64" s="152">
        <f ca="1">IFERROR(__xludf.DUMMYFUNCTION("IMPORTRANGE(""https://docs.google.com/spreadsheets/d/1BIDqLLg5jk3v59G8NlR8rk5xfQDKne0sAvZHSj7TI6I/edit?usp=sharing"",""พระนครศรีอยุธยา!I628"")"),0)</f>
        <v>0</v>
      </c>
      <c r="O64" s="152">
        <f ca="1">IFERROR(__xludf.DUMMYFUNCTION("IMPORTRANGE(""https://docs.google.com/spreadsheets/d/1BIDqLLg5jk3v59G8NlR8rk5xfQDKne0sAvZHSj7TI6I/edit?usp=sharing"",""พระนครศรีอยุธยา!J628"")"),16)</f>
        <v>16</v>
      </c>
      <c r="P64" s="216">
        <f t="shared" ca="1" si="31"/>
        <v>0</v>
      </c>
      <c r="Q64" s="152">
        <f ca="1">IFERROR(__xludf.DUMMYFUNCTION("IMPORTRANGE(""https://docs.google.com/spreadsheets/d/1BIDqLLg5jk3v59G8NlR8rk5xfQDKne0sAvZHSj7TI6I/edit?usp=sharing"",""พระนครศรีอยุธยา!J629"")"),200)</f>
        <v>200</v>
      </c>
      <c r="R64" s="216">
        <f t="shared" ca="1" si="38"/>
        <v>100</v>
      </c>
      <c r="S64" s="152">
        <f ca="1">IFERROR(__xludf.DUMMYFUNCTION("IMPORTRANGE(""https://docs.google.com/spreadsheets/d/1BIDqLLg5jk3v59G8NlR8rk5xfQDKne0sAvZHSj7TI6I/edit?usp=sharing"",""พระนครศรีอยุธยา!J630"")"),0)</f>
        <v>0</v>
      </c>
      <c r="T64" s="216">
        <f t="shared" ca="1" si="32"/>
        <v>0</v>
      </c>
      <c r="U64" s="216">
        <f ca="1">IFERROR(__xludf.DUMMYFUNCTION("IMPORTRANGE(""https://docs.google.com/spreadsheets/d/1BIDqLLg5jk3v59G8NlR8rk5xfQDKne0sAvZHSj7TI6I/edit?usp=sharing"",""พระนครศรีอยุธยา!J631"")"),0)</f>
        <v>0</v>
      </c>
      <c r="V64" s="216">
        <f t="shared" ca="1" si="33"/>
        <v>0</v>
      </c>
      <c r="W64" s="216">
        <f ca="1">IFERROR(__xludf.DUMMYFUNCTION("IMPORTRANGE(""https://docs.google.com/spreadsheets/d/1BIDqLLg5jk3v59G8NlR8rk5xfQDKne0sAvZHSj7TI6I/edit?usp=sharing"",""พระนครศรีอยุธยา!J632"")"),0)</f>
        <v>0</v>
      </c>
      <c r="X64" s="216">
        <f t="shared" ca="1" si="34"/>
        <v>0</v>
      </c>
      <c r="Y64" s="216">
        <f ca="1">IFERROR(__xludf.DUMMYFUNCTION("IMPORTRANGE(""https://docs.google.com/spreadsheets/d/1BIDqLLg5jk3v59G8NlR8rk5xfQDKne0sAvZHSj7TI6I/edit?usp=sharing"",""พระนครศรีอยุธยา!J633"")"),0)</f>
        <v>0</v>
      </c>
      <c r="Z64" s="216">
        <f ca="1">IFERROR(__xludf.DUMMYFUNCTION("IMPORTRANGE(""https://docs.google.com/spreadsheets/d/1BIDqLLg5jk3v59G8NlR8rk5xfQDKne0sAvZHSj7TI6I/edit?usp=sharing"",""พระนครศรีอยุธยา!J634"")"),0)</f>
        <v>0</v>
      </c>
      <c r="AA64" s="152">
        <f ca="1">IFERROR(__xludf.DUMMYFUNCTION("IMPORTRANGE(""https://docs.google.com/spreadsheets/d/1BIDqLLg5jk3v59G8NlR8rk5xfQDKne0sAvZHSj7TI6I/edit?usp=sharing"",""พระนครศรีอยุธยา!I635"")"),0)</f>
        <v>0</v>
      </c>
      <c r="AB64" s="152">
        <f ca="1">IFERROR(__xludf.DUMMYFUNCTION("IMPORTRANGE(""https://docs.google.com/spreadsheets/d/1BIDqLLg5jk3v59G8NlR8rk5xfQDKne0sAvZHSj7TI6I/edit?usp=sharing"",""พระนครศรีอยุธยา!J635"")"),0)</f>
        <v>0</v>
      </c>
      <c r="AC64" s="216">
        <f t="shared" ca="1" si="36"/>
        <v>0</v>
      </c>
      <c r="AD64" s="152">
        <f ca="1">IFERROR(__xludf.DUMMYFUNCTION("IMPORTRANGE(""https://docs.google.com/spreadsheets/d/1BIDqLLg5jk3v59G8NlR8rk5xfQDKne0sAvZHSj7TI6I/edit?usp=sharing"",""พระนครศรีอยุธยา!J636"")"),0)</f>
        <v>0</v>
      </c>
      <c r="AE64" s="152">
        <f ca="1">IFERROR(__xludf.DUMMYFUNCTION("IMPORTRANGE(""https://docs.google.com/spreadsheets/d/1BIDqLLg5jk3v59G8NlR8rk5xfQDKne0sAvZHSj7TI6I/edit?usp=sharing"",""พระนครศรีอยุธยา!J637"")"),0)</f>
        <v>0</v>
      </c>
      <c r="AF64" s="152">
        <f ca="1">IFERROR(__xludf.DUMMYFUNCTION("IMPORTRANGE(""https://docs.google.com/spreadsheets/d/1BIDqLLg5jk3v59G8NlR8rk5xfQDKne0sAvZHSj7TI6I/edit?usp=sharing"",""พระนครศรีอยุธยา!J638"")"),0)</f>
        <v>0</v>
      </c>
      <c r="AG64" s="152">
        <f ca="1">IFERROR(__xludf.DUMMYFUNCTION("IMPORTRANGE(""https://docs.google.com/spreadsheets/d/1BIDqLLg5jk3v59G8NlR8rk5xfQDKne0sAvZHSj7TI6I/edit?usp=sharing"",""พระนครศรีอยุธยา!J639"")"),177)</f>
        <v>177</v>
      </c>
      <c r="AH64" s="152">
        <f ca="1">IFERROR(__xludf.DUMMYFUNCTION("IMPORTRANGE(""https://docs.google.com/spreadsheets/d/1BIDqLLg5jk3v59G8NlR8rk5xfQDKne0sAvZHSj7TI6I/edit?usp=sharing"",""พระนครศรีอยุธยา!J640"")"),0)</f>
        <v>0</v>
      </c>
    </row>
    <row r="65" spans="1:34" ht="19.5" x14ac:dyDescent="0.3">
      <c r="A65" s="70">
        <v>13</v>
      </c>
      <c r="B65" s="71" t="s">
        <v>93</v>
      </c>
      <c r="C65" s="68">
        <f ca="1">IFERROR(__xludf.DUMMYFUNCTION("IMPORTRANGE(""https://docs.google.com/spreadsheets/d/1YXvxf8Yu6_rV4hTBrwMqAcAnv6DfhUxh5emyM3CJp_w/edit?usp=sharing"",""เพชรบุรี!Q616"")"),6700)</f>
        <v>6700</v>
      </c>
      <c r="D65" s="68">
        <f ca="1">IFERROR(__xludf.DUMMYFUNCTION("IMPORTRANGE(""https://docs.google.com/spreadsheets/d/1YXvxf8Yu6_rV4hTBrwMqAcAnv6DfhUxh5emyM3CJp_w/edit?usp=sharing"",""เพชรบุรี!R616"")"),6700)</f>
        <v>6700</v>
      </c>
      <c r="E65" s="68">
        <f ca="1">IFERROR(__xludf.DUMMYFUNCTION("IMPORTRANGE(""https://docs.google.com/spreadsheets/d/1YXvxf8Yu6_rV4hTBrwMqAcAnv6DfhUxh5emyM3CJp_w/edit?usp=sharing"",""เพชรบุรี!S616"")"),0)</f>
        <v>0</v>
      </c>
      <c r="F65" s="68">
        <f t="shared" ca="1" si="24"/>
        <v>0</v>
      </c>
      <c r="G65" s="68">
        <f t="shared" ca="1" si="25"/>
        <v>0</v>
      </c>
      <c r="H65" s="278">
        <f ca="1">IFERROR(__xludf.DUMMYFUNCTION("IMPORTRANGE(""https://docs.google.com/spreadsheets/d/1YXvxf8Yu6_rV4hTBrwMqAcAnv6DfhUxh5emyM3CJp_w/edit?usp=sharing"",""เพชรบุรี!I626"")"),50)</f>
        <v>50</v>
      </c>
      <c r="I65" s="152">
        <f ca="1">IFERROR(__xludf.DUMMYFUNCTION("IMPORTRANGE(""https://docs.google.com/spreadsheets/d/1YXvxf8Yu6_rV4hTBrwMqAcAnv6DfhUxh5emyM3CJp_w/edit?usp=sharing"",""เพชรบุรี!J626"")"),0)</f>
        <v>0</v>
      </c>
      <c r="J65" s="216">
        <f t="shared" ca="1" si="27"/>
        <v>0</v>
      </c>
      <c r="K65" s="152">
        <f ca="1">IFERROR(__xludf.DUMMYFUNCTION("IMPORTRANGE(""https://docs.google.com/spreadsheets/d/1YXvxf8Yu6_rV4hTBrwMqAcAnv6DfhUxh5emyM3CJp_w/edit?usp=sharing"",""เพชรบุรี!I627"")"),0)</f>
        <v>0</v>
      </c>
      <c r="L65" s="152">
        <f ca="1">IFERROR(__xludf.DUMMYFUNCTION("IMPORTRANGE(""https://docs.google.com/spreadsheets/d/1YXvxf8Yu6_rV4hTBrwMqAcAnv6DfhUxh5emyM3CJp_w/edit?usp=sharing"",""เพชรบุรี!J627"")"),0)</f>
        <v>0</v>
      </c>
      <c r="M65" s="216">
        <f t="shared" ca="1" si="29"/>
        <v>0</v>
      </c>
      <c r="N65" s="152">
        <f ca="1">IFERROR(__xludf.DUMMYFUNCTION("IMPORTRANGE(""https://docs.google.com/spreadsheets/d/1YXvxf8Yu6_rV4hTBrwMqAcAnv6DfhUxh5emyM3CJp_w/edit?usp=sharing"",""เพชรบุรี!I628"")"),0)</f>
        <v>0</v>
      </c>
      <c r="O65" s="152">
        <f ca="1">IFERROR(__xludf.DUMMYFUNCTION("IMPORTRANGE(""https://docs.google.com/spreadsheets/d/1YXvxf8Yu6_rV4hTBrwMqAcAnv6DfhUxh5emyM3CJp_w/edit?usp=sharing"",""เพชรบุรี!J628"")"),0)</f>
        <v>0</v>
      </c>
      <c r="P65" s="216">
        <f t="shared" ca="1" si="31"/>
        <v>0</v>
      </c>
      <c r="Q65" s="152">
        <f ca="1">IFERROR(__xludf.DUMMYFUNCTION("IMPORTRANGE(""https://docs.google.com/spreadsheets/d/1YXvxf8Yu6_rV4hTBrwMqAcAnv6DfhUxh5emyM3CJp_w/edit?usp=sharing"",""เพชรบุรี!J629"")"),0)</f>
        <v>0</v>
      </c>
      <c r="R65" s="216">
        <f t="shared" ca="1" si="38"/>
        <v>0</v>
      </c>
      <c r="S65" s="152">
        <f ca="1">IFERROR(__xludf.DUMMYFUNCTION("IMPORTRANGE(""https://docs.google.com/spreadsheets/d/1YXvxf8Yu6_rV4hTBrwMqAcAnv6DfhUxh5emyM3CJp_w/edit?usp=sharing"",""เพชรบุรี!J630"")"),0)</f>
        <v>0</v>
      </c>
      <c r="T65" s="216">
        <f t="shared" ca="1" si="32"/>
        <v>0</v>
      </c>
      <c r="U65" s="216">
        <f ca="1">IFERROR(__xludf.DUMMYFUNCTION("IMPORTRANGE(""https://docs.google.com/spreadsheets/d/1YXvxf8Yu6_rV4hTBrwMqAcAnv6DfhUxh5emyM3CJp_w/edit?usp=sharing"",""เพชรบุรี!J631"")"),0)</f>
        <v>0</v>
      </c>
      <c r="V65" s="216">
        <f t="shared" ca="1" si="33"/>
        <v>0</v>
      </c>
      <c r="W65" s="216">
        <f ca="1">IFERROR(__xludf.DUMMYFUNCTION("IMPORTRANGE(""https://docs.google.com/spreadsheets/d/1YXvxf8Yu6_rV4hTBrwMqAcAnv6DfhUxh5emyM3CJp_w/edit?usp=sharing"",""เพชรบุรี!J632"")"),0)</f>
        <v>0</v>
      </c>
      <c r="X65" s="216">
        <f t="shared" ca="1" si="34"/>
        <v>0</v>
      </c>
      <c r="Y65" s="216">
        <f ca="1">IFERROR(__xludf.DUMMYFUNCTION("IMPORTRANGE(""https://docs.google.com/spreadsheets/d/1YXvxf8Yu6_rV4hTBrwMqAcAnv6DfhUxh5emyM3CJp_w/edit?usp=sharing"",""เพชรบุรี!J633"")"),0)</f>
        <v>0</v>
      </c>
      <c r="Z65" s="216">
        <f ca="1">IFERROR(__xludf.DUMMYFUNCTION("IMPORTRANGE(""https://docs.google.com/spreadsheets/d/1YXvxf8Yu6_rV4hTBrwMqAcAnv6DfhUxh5emyM3CJp_w/edit?usp=sharing"",""เพชรบุรี!J634"")"),0)</f>
        <v>0</v>
      </c>
      <c r="AA65" s="152">
        <f ca="1">IFERROR(__xludf.DUMMYFUNCTION("IMPORTRANGE(""https://docs.google.com/spreadsheets/d/1YXvxf8Yu6_rV4hTBrwMqAcAnv6DfhUxh5emyM3CJp_w/edit?usp=sharing"",""เพชรบุรี!I635"")"),0)</f>
        <v>0</v>
      </c>
      <c r="AB65" s="152">
        <f ca="1">IFERROR(__xludf.DUMMYFUNCTION("IMPORTRANGE(""https://docs.google.com/spreadsheets/d/1YXvxf8Yu6_rV4hTBrwMqAcAnv6DfhUxh5emyM3CJp_w/edit?usp=sharing"",""เพชรบุรี!J635"")"),0)</f>
        <v>0</v>
      </c>
      <c r="AC65" s="216">
        <f t="shared" ca="1" si="36"/>
        <v>0</v>
      </c>
      <c r="AD65" s="152">
        <f ca="1">IFERROR(__xludf.DUMMYFUNCTION("IMPORTRANGE(""https://docs.google.com/spreadsheets/d/1YXvxf8Yu6_rV4hTBrwMqAcAnv6DfhUxh5emyM3CJp_w/edit?usp=sharing"",""เพชรบุรี!J636"")"),0)</f>
        <v>0</v>
      </c>
      <c r="AE65" s="152">
        <f ca="1">IFERROR(__xludf.DUMMYFUNCTION("IMPORTRANGE(""https://docs.google.com/spreadsheets/d/1YXvxf8Yu6_rV4hTBrwMqAcAnv6DfhUxh5emyM3CJp_w/edit?usp=sharing"",""เพชรบุรี!J637"")"),0)</f>
        <v>0</v>
      </c>
      <c r="AF65" s="152">
        <f ca="1">IFERROR(__xludf.DUMMYFUNCTION("IMPORTRANGE(""https://docs.google.com/spreadsheets/d/1YXvxf8Yu6_rV4hTBrwMqAcAnv6DfhUxh5emyM3CJp_w/edit?usp=sharing"",""เพชรบุรี!J638"")"),0)</f>
        <v>0</v>
      </c>
      <c r="AG65" s="152">
        <f ca="1">IFERROR(__xludf.DUMMYFUNCTION("IMPORTRANGE(""https://docs.google.com/spreadsheets/d/1YXvxf8Yu6_rV4hTBrwMqAcAnv6DfhUxh5emyM3CJp_w/edit?usp=sharing"",""เพชรบุรี!J639"")"),0)</f>
        <v>0</v>
      </c>
      <c r="AH65" s="152">
        <f ca="1">IFERROR(__xludf.DUMMYFUNCTION("IMPORTRANGE(""https://docs.google.com/spreadsheets/d/1YXvxf8Yu6_rV4hTBrwMqAcAnv6DfhUxh5emyM3CJp_w/edit?usp=sharing"",""เพชรบุรี!J640"")"),0)</f>
        <v>0</v>
      </c>
    </row>
    <row r="66" spans="1:34" ht="19.5" x14ac:dyDescent="0.3">
      <c r="A66" s="70">
        <v>14</v>
      </c>
      <c r="B66" s="71" t="s">
        <v>94</v>
      </c>
      <c r="C66" s="68">
        <f ca="1">IFERROR(__xludf.DUMMYFUNCTION("IMPORTRANGE(""https://docs.google.com/spreadsheets/d/19KBlQQs7uwvsao6t2n-KvW3Ax8J8uRRfZPq1zPbXgKc/edit?usp=sharing"",""ระยอง!Q616"")"),7300)</f>
        <v>7300</v>
      </c>
      <c r="D66" s="68">
        <f ca="1">IFERROR(__xludf.DUMMYFUNCTION("IMPORTRANGE(""https://docs.google.com/spreadsheets/d/19KBlQQs7uwvsao6t2n-KvW3Ax8J8uRRfZPq1zPbXgKc/edit?usp=sharing"",""ระยอง!R616"")"),7300)</f>
        <v>7300</v>
      </c>
      <c r="E66" s="68">
        <f ca="1">IFERROR(__xludf.DUMMYFUNCTION("IMPORTRANGE(""https://docs.google.com/spreadsheets/d/19KBlQQs7uwvsao6t2n-KvW3Ax8J8uRRfZPq1zPbXgKc/edit?usp=sharing"",""ระยอง!S616"")"),1300)</f>
        <v>1300</v>
      </c>
      <c r="F66" s="68">
        <f t="shared" ca="1" si="24"/>
        <v>17.80821917808219</v>
      </c>
      <c r="G66" s="68">
        <f t="shared" ca="1" si="25"/>
        <v>17.80821917808219</v>
      </c>
      <c r="H66" s="278">
        <f ca="1">IFERROR(__xludf.DUMMYFUNCTION("IMPORTRANGE(""https://docs.google.com/spreadsheets/d/19KBlQQs7uwvsao6t2n-KvW3Ax8J8uRRfZPq1zPbXgKc/edit?usp=sharing"",""ระยอง!I626"")"),50)</f>
        <v>50</v>
      </c>
      <c r="I66" s="152">
        <f ca="1">IFERROR(__xludf.DUMMYFUNCTION("IMPORTRANGE(""https://docs.google.com/spreadsheets/d/19KBlQQs7uwvsao6t2n-KvW3Ax8J8uRRfZPq1zPbXgKc/edit?usp=sharing"",""ระยอง!J626"")"),0)</f>
        <v>0</v>
      </c>
      <c r="J66" s="216">
        <f t="shared" ca="1" si="27"/>
        <v>0</v>
      </c>
      <c r="K66" s="152">
        <f ca="1">IFERROR(__xludf.DUMMYFUNCTION("IMPORTRANGE(""https://docs.google.com/spreadsheets/d/19KBlQQs7uwvsao6t2n-KvW3Ax8J8uRRfZPq1zPbXgKc/edit?usp=sharing"",""ระยอง!I627"")"),1)</f>
        <v>1</v>
      </c>
      <c r="L66" s="152">
        <f ca="1">IFERROR(__xludf.DUMMYFUNCTION("IMPORTRANGE(""https://docs.google.com/spreadsheets/d/19KBlQQs7uwvsao6t2n-KvW3Ax8J8uRRfZPq1zPbXgKc/edit?usp=sharing"",""ระยอง!J627"")"),0)</f>
        <v>0</v>
      </c>
      <c r="M66" s="216">
        <f t="shared" ca="1" si="29"/>
        <v>0</v>
      </c>
      <c r="N66" s="152">
        <f ca="1">IFERROR(__xludf.DUMMYFUNCTION("IMPORTRANGE(""https://docs.google.com/spreadsheets/d/19KBlQQs7uwvsao6t2n-KvW3Ax8J8uRRfZPq1zPbXgKc/edit?usp=sharing"",""ระยอง!I628"")"),1)</f>
        <v>1</v>
      </c>
      <c r="O66" s="152">
        <f ca="1">IFERROR(__xludf.DUMMYFUNCTION("IMPORTRANGE(""https://docs.google.com/spreadsheets/d/19KBlQQs7uwvsao6t2n-KvW3Ax8J8uRRfZPq1zPbXgKc/edit?usp=sharing"",""ระยอง!J628"")"),0)</f>
        <v>0</v>
      </c>
      <c r="P66" s="216">
        <f t="shared" ca="1" si="31"/>
        <v>0</v>
      </c>
      <c r="Q66" s="152">
        <f ca="1">IFERROR(__xludf.DUMMYFUNCTION("IMPORTRANGE(""https://docs.google.com/spreadsheets/d/19KBlQQs7uwvsao6t2n-KvW3Ax8J8uRRfZPq1zPbXgKc/edit?usp=sharing"",""ระยอง!J629"")"),0)</f>
        <v>0</v>
      </c>
      <c r="R66" s="216">
        <f t="shared" ca="1" si="38"/>
        <v>0</v>
      </c>
      <c r="S66" s="152">
        <f ca="1">IFERROR(__xludf.DUMMYFUNCTION("IMPORTRANGE(""https://docs.google.com/spreadsheets/d/19KBlQQs7uwvsao6t2n-KvW3Ax8J8uRRfZPq1zPbXgKc/edit?usp=sharing"",""ระยอง!J630"")"),0)</f>
        <v>0</v>
      </c>
      <c r="T66" s="216">
        <f t="shared" ca="1" si="32"/>
        <v>0</v>
      </c>
      <c r="U66" s="216">
        <f ca="1">IFERROR(__xludf.DUMMYFUNCTION("IMPORTRANGE(""https://docs.google.com/spreadsheets/d/19KBlQQs7uwvsao6t2n-KvW3Ax8J8uRRfZPq1zPbXgKc/edit?usp=sharing"",""ระยอง!J631"")"),0)</f>
        <v>0</v>
      </c>
      <c r="V66" s="216">
        <f t="shared" ca="1" si="33"/>
        <v>0</v>
      </c>
      <c r="W66" s="216">
        <f ca="1">IFERROR(__xludf.DUMMYFUNCTION("IMPORTRANGE(""https://docs.google.com/spreadsheets/d/19KBlQQs7uwvsao6t2n-KvW3Ax8J8uRRfZPq1zPbXgKc/edit?usp=sharing"",""ระยอง!J632"")"),0)</f>
        <v>0</v>
      </c>
      <c r="X66" s="216">
        <f t="shared" ca="1" si="34"/>
        <v>0</v>
      </c>
      <c r="Y66" s="216">
        <f ca="1">IFERROR(__xludf.DUMMYFUNCTION("IMPORTRANGE(""https://docs.google.com/spreadsheets/d/19KBlQQs7uwvsao6t2n-KvW3Ax8J8uRRfZPq1zPbXgKc/edit?usp=sharing"",""ระยอง!J633"")"),0)</f>
        <v>0</v>
      </c>
      <c r="Z66" s="216">
        <f ca="1">IFERROR(__xludf.DUMMYFUNCTION("IMPORTRANGE(""https://docs.google.com/spreadsheets/d/19KBlQQs7uwvsao6t2n-KvW3Ax8J8uRRfZPq1zPbXgKc/edit?usp=sharing"",""ระยอง!J634"")"),0)</f>
        <v>0</v>
      </c>
      <c r="AA66" s="152">
        <f ca="1">IFERROR(__xludf.DUMMYFUNCTION("IMPORTRANGE(""https://docs.google.com/spreadsheets/d/19KBlQQs7uwvsao6t2n-KvW3Ax8J8uRRfZPq1zPbXgKc/edit?usp=sharing"",""ระยอง!I635"")"),0)</f>
        <v>0</v>
      </c>
      <c r="AB66" s="152">
        <f ca="1">IFERROR(__xludf.DUMMYFUNCTION("IMPORTRANGE(""https://docs.google.com/spreadsheets/d/19KBlQQs7uwvsao6t2n-KvW3Ax8J8uRRfZPq1zPbXgKc/edit?usp=sharing"",""ระยอง!J635"")"),0)</f>
        <v>0</v>
      </c>
      <c r="AC66" s="216">
        <f t="shared" ca="1" si="36"/>
        <v>0</v>
      </c>
      <c r="AD66" s="152">
        <f ca="1">IFERROR(__xludf.DUMMYFUNCTION("IMPORTRANGE(""https://docs.google.com/spreadsheets/d/19KBlQQs7uwvsao6t2n-KvW3Ax8J8uRRfZPq1zPbXgKc/edit?usp=sharing"",""ระยอง!J636"")"),0)</f>
        <v>0</v>
      </c>
      <c r="AE66" s="152">
        <f ca="1">IFERROR(__xludf.DUMMYFUNCTION("IMPORTRANGE(""https://docs.google.com/spreadsheets/d/19KBlQQs7uwvsao6t2n-KvW3Ax8J8uRRfZPq1zPbXgKc/edit?usp=sharing"",""ระยอง!J637"")"),0)</f>
        <v>0</v>
      </c>
      <c r="AF66" s="152">
        <f ca="1">IFERROR(__xludf.DUMMYFUNCTION("IMPORTRANGE(""https://docs.google.com/spreadsheets/d/19KBlQQs7uwvsao6t2n-KvW3Ax8J8uRRfZPq1zPbXgKc/edit?usp=sharing"",""ระยอง!J638"")"),0)</f>
        <v>0</v>
      </c>
      <c r="AG66" s="152">
        <f ca="1">IFERROR(__xludf.DUMMYFUNCTION("IMPORTRANGE(""https://docs.google.com/spreadsheets/d/19KBlQQs7uwvsao6t2n-KvW3Ax8J8uRRfZPq1zPbXgKc/edit?usp=sharing"",""ระยอง!J639"")"),0)</f>
        <v>0</v>
      </c>
      <c r="AH66" s="152">
        <f ca="1">IFERROR(__xludf.DUMMYFUNCTION("IMPORTRANGE(""https://docs.google.com/spreadsheets/d/19KBlQQs7uwvsao6t2n-KvW3Ax8J8uRRfZPq1zPbXgKc/edit?usp=sharing"",""ระยอง!J640"")"),0)</f>
        <v>0</v>
      </c>
    </row>
    <row r="67" spans="1:34" ht="19.5" x14ac:dyDescent="0.3">
      <c r="A67" s="70">
        <v>15</v>
      </c>
      <c r="B67" s="71" t="s">
        <v>95</v>
      </c>
      <c r="C67" s="68">
        <f ca="1">IFERROR(__xludf.DUMMYFUNCTION("IMPORTRANGE(""https://docs.google.com/spreadsheets/d/1jQ6P4QcrGM89YfqcC_PxOHGCMq5ezhucwJd8ci-NHng/edit?usp=sharing"",""ราชบุรี!Q616"")"),7350)</f>
        <v>7350</v>
      </c>
      <c r="D67" s="68">
        <f ca="1">IFERROR(__xludf.DUMMYFUNCTION("IMPORTRANGE(""https://docs.google.com/spreadsheets/d/1jQ6P4QcrGM89YfqcC_PxOHGCMq5ezhucwJd8ci-NHng/edit?usp=sharing"",""ราชบุรี!R616"")"),1420)</f>
        <v>1420</v>
      </c>
      <c r="E67" s="68">
        <f ca="1">IFERROR(__xludf.DUMMYFUNCTION("IMPORTRANGE(""https://docs.google.com/spreadsheets/d/1jQ6P4QcrGM89YfqcC_PxOHGCMq5ezhucwJd8ci-NHng/edit?usp=sharing"",""ราชบุรี!S616"")"),1420)</f>
        <v>1420</v>
      </c>
      <c r="F67" s="68">
        <f t="shared" ca="1" si="24"/>
        <v>19.319727891156461</v>
      </c>
      <c r="G67" s="68">
        <f t="shared" ca="1" si="25"/>
        <v>100</v>
      </c>
      <c r="H67" s="278">
        <f ca="1">IFERROR(__xludf.DUMMYFUNCTION("IMPORTRANGE(""https://docs.google.com/spreadsheets/d/1jQ6P4QcrGM89YfqcC_PxOHGCMq5ezhucwJd8ci-NHng/edit?usp=sharing"",""ราชบุรี!I626"")"),50)</f>
        <v>50</v>
      </c>
      <c r="I67" s="152">
        <f ca="1">IFERROR(__xludf.DUMMYFUNCTION("IMPORTRANGE(""https://docs.google.com/spreadsheets/d/1jQ6P4QcrGM89YfqcC_PxOHGCMq5ezhucwJd8ci-NHng/edit?usp=sharing"",""ราชบุรี!J626"")"),0)</f>
        <v>0</v>
      </c>
      <c r="J67" s="216">
        <f t="shared" ca="1" si="27"/>
        <v>0</v>
      </c>
      <c r="K67" s="152">
        <f ca="1">IFERROR(__xludf.DUMMYFUNCTION("IMPORTRANGE(""https://docs.google.com/spreadsheets/d/1jQ6P4QcrGM89YfqcC_PxOHGCMq5ezhucwJd8ci-NHng/edit?usp=sharing"",""ราชบุรี!I627"")"),1)</f>
        <v>1</v>
      </c>
      <c r="L67" s="152">
        <f ca="1">IFERROR(__xludf.DUMMYFUNCTION("IMPORTRANGE(""https://docs.google.com/spreadsheets/d/1jQ6P4QcrGM89YfqcC_PxOHGCMq5ezhucwJd8ci-NHng/edit?usp=sharing"",""ราชบุรี!J627"")"),1)</f>
        <v>1</v>
      </c>
      <c r="M67" s="216">
        <f t="shared" ca="1" si="29"/>
        <v>100</v>
      </c>
      <c r="N67" s="152">
        <f ca="1">IFERROR(__xludf.DUMMYFUNCTION("IMPORTRANGE(""https://docs.google.com/spreadsheets/d/1jQ6P4QcrGM89YfqcC_PxOHGCMq5ezhucwJd8ci-NHng/edit?usp=sharing"",""ราชบุรี!I628"")"),1)</f>
        <v>1</v>
      </c>
      <c r="O67" s="152">
        <f ca="1">IFERROR(__xludf.DUMMYFUNCTION("IMPORTRANGE(""https://docs.google.com/spreadsheets/d/1jQ6P4QcrGM89YfqcC_PxOHGCMq5ezhucwJd8ci-NHng/edit?usp=sharing"",""ราชบุรี!J628"")"),1)</f>
        <v>1</v>
      </c>
      <c r="P67" s="216">
        <f t="shared" ca="1" si="31"/>
        <v>100</v>
      </c>
      <c r="Q67" s="152">
        <f ca="1">IFERROR(__xludf.DUMMYFUNCTION("IMPORTRANGE(""https://docs.google.com/spreadsheets/d/1jQ6P4QcrGM89YfqcC_PxOHGCMq5ezhucwJd8ci-NHng/edit?usp=sharing"",""ราชบุรี!J629"")"),0)</f>
        <v>0</v>
      </c>
      <c r="R67" s="216">
        <f t="shared" ca="1" si="38"/>
        <v>0</v>
      </c>
      <c r="S67" s="152">
        <f ca="1">IFERROR(__xludf.DUMMYFUNCTION("IMPORTRANGE(""https://docs.google.com/spreadsheets/d/1jQ6P4QcrGM89YfqcC_PxOHGCMq5ezhucwJd8ci-NHng/edit?usp=sharing"",""ราชบุรี!J630"")"),0)</f>
        <v>0</v>
      </c>
      <c r="T67" s="216">
        <f t="shared" ca="1" si="32"/>
        <v>0</v>
      </c>
      <c r="U67" s="216">
        <f ca="1">IFERROR(__xludf.DUMMYFUNCTION("IMPORTRANGE(""https://docs.google.com/spreadsheets/d/1jQ6P4QcrGM89YfqcC_PxOHGCMq5ezhucwJd8ci-NHng/edit?usp=sharing"",""ราชบุรี!J631"")"),0)</f>
        <v>0</v>
      </c>
      <c r="V67" s="216">
        <f t="shared" ca="1" si="33"/>
        <v>0</v>
      </c>
      <c r="W67" s="216">
        <f ca="1">IFERROR(__xludf.DUMMYFUNCTION("IMPORTRANGE(""https://docs.google.com/spreadsheets/d/1jQ6P4QcrGM89YfqcC_PxOHGCMq5ezhucwJd8ci-NHng/edit?usp=sharing"",""ราชบุรี!J632"")"),0)</f>
        <v>0</v>
      </c>
      <c r="X67" s="216">
        <f t="shared" ca="1" si="34"/>
        <v>0</v>
      </c>
      <c r="Y67" s="216">
        <f ca="1">IFERROR(__xludf.DUMMYFUNCTION("IMPORTRANGE(""https://docs.google.com/spreadsheets/d/1jQ6P4QcrGM89YfqcC_PxOHGCMq5ezhucwJd8ci-NHng/edit?usp=sharing"",""ราชบุรี!J633"")"),0)</f>
        <v>0</v>
      </c>
      <c r="Z67" s="216">
        <f ca="1">IFERROR(__xludf.DUMMYFUNCTION("IMPORTRANGE(""https://docs.google.com/spreadsheets/d/1jQ6P4QcrGM89YfqcC_PxOHGCMq5ezhucwJd8ci-NHng/edit?usp=sharing"",""ราชบุรี!J634"")"),0)</f>
        <v>0</v>
      </c>
      <c r="AA67" s="152">
        <f ca="1">IFERROR(__xludf.DUMMYFUNCTION("IMPORTRANGE(""https://docs.google.com/spreadsheets/d/1jQ6P4QcrGM89YfqcC_PxOHGCMq5ezhucwJd8ci-NHng/edit?usp=sharing"",""ราชบุรี!I635"")"),0)</f>
        <v>0</v>
      </c>
      <c r="AB67" s="152">
        <f ca="1">IFERROR(__xludf.DUMMYFUNCTION("IMPORTRANGE(""https://docs.google.com/spreadsheets/d/1jQ6P4QcrGM89YfqcC_PxOHGCMq5ezhucwJd8ci-NHng/edit?usp=sharing"",""ราชบุรี!J635"")"),0)</f>
        <v>0</v>
      </c>
      <c r="AC67" s="216">
        <f t="shared" ca="1" si="36"/>
        <v>0</v>
      </c>
      <c r="AD67" s="152">
        <f ca="1">IFERROR(__xludf.DUMMYFUNCTION("IMPORTRANGE(""https://docs.google.com/spreadsheets/d/1jQ6P4QcrGM89YfqcC_PxOHGCMq5ezhucwJd8ci-NHng/edit?usp=sharing"",""ราชบุรี!J636"")"),0)</f>
        <v>0</v>
      </c>
      <c r="AE67" s="152">
        <f ca="1">IFERROR(__xludf.DUMMYFUNCTION("IMPORTRANGE(""https://docs.google.com/spreadsheets/d/1jQ6P4QcrGM89YfqcC_PxOHGCMq5ezhucwJd8ci-NHng/edit?usp=sharing"",""ราชบุรี!J637"")"),0)</f>
        <v>0</v>
      </c>
      <c r="AF67" s="152">
        <f ca="1">IFERROR(__xludf.DUMMYFUNCTION("IMPORTRANGE(""https://docs.google.com/spreadsheets/d/1jQ6P4QcrGM89YfqcC_PxOHGCMq5ezhucwJd8ci-NHng/edit?usp=sharing"",""ราชบุรี!J638"")"),0)</f>
        <v>0</v>
      </c>
      <c r="AG67" s="152">
        <f ca="1">IFERROR(__xludf.DUMMYFUNCTION("IMPORTRANGE(""https://docs.google.com/spreadsheets/d/1jQ6P4QcrGM89YfqcC_PxOHGCMq5ezhucwJd8ci-NHng/edit?usp=sharing"",""ราชบุรี!J639"")"),0)</f>
        <v>0</v>
      </c>
      <c r="AH67" s="152">
        <f ca="1">IFERROR(__xludf.DUMMYFUNCTION("IMPORTRANGE(""https://docs.google.com/spreadsheets/d/1jQ6P4QcrGM89YfqcC_PxOHGCMq5ezhucwJd8ci-NHng/edit?usp=sharing"",""ราชบุรี!J640"")"),0)</f>
        <v>0</v>
      </c>
    </row>
    <row r="68" spans="1:34" ht="19.5" x14ac:dyDescent="0.3">
      <c r="A68" s="70">
        <v>16</v>
      </c>
      <c r="B68" s="71" t="s">
        <v>96</v>
      </c>
      <c r="C68" s="68">
        <f ca="1">IFERROR(__xludf.DUMMYFUNCTION("IMPORTRANGE(""https://docs.google.com/spreadsheets/d/1lufeA2cfFqM-elVq2hznhDzC6Pr7wkJ9ZG_sYNGCMCU/edit?usp=sharing"",""ลพบุรี!Q616"")"),6775)</f>
        <v>6775</v>
      </c>
      <c r="D68" s="68">
        <f ca="1">IFERROR(__xludf.DUMMYFUNCTION("IMPORTRANGE(""https://docs.google.com/spreadsheets/d/1lufeA2cfFqM-elVq2hznhDzC6Pr7wkJ9ZG_sYNGCMCU/edit?usp=sharing"",""ลพบุรี!R616"")"),6775)</f>
        <v>6775</v>
      </c>
      <c r="E68" s="68">
        <f ca="1">IFERROR(__xludf.DUMMYFUNCTION("IMPORTRANGE(""https://docs.google.com/spreadsheets/d/1lufeA2cfFqM-elVq2hznhDzC6Pr7wkJ9ZG_sYNGCMCU/edit?usp=sharing"",""ลพบุรี!S616"")"),0)</f>
        <v>0</v>
      </c>
      <c r="F68" s="68">
        <f t="shared" ca="1" si="24"/>
        <v>0</v>
      </c>
      <c r="G68" s="68">
        <f t="shared" ca="1" si="25"/>
        <v>0</v>
      </c>
      <c r="H68" s="278">
        <f ca="1">IFERROR(__xludf.DUMMYFUNCTION("IMPORTRANGE(""https://docs.google.com/spreadsheets/d/1lufeA2cfFqM-elVq2hznhDzC6Pr7wkJ9ZG_sYNGCMCU/edit?usp=sharing"",""ลพบุรี!I626"")"),50)</f>
        <v>50</v>
      </c>
      <c r="I68" s="152">
        <f ca="1">IFERROR(__xludf.DUMMYFUNCTION("IMPORTRANGE(""https://docs.google.com/spreadsheets/d/1lufeA2cfFqM-elVq2hznhDzC6Pr7wkJ9ZG_sYNGCMCU/edit?usp=sharing"",""ลพบุรี!J626"")"),0)</f>
        <v>0</v>
      </c>
      <c r="J68" s="216">
        <f t="shared" ca="1" si="27"/>
        <v>0</v>
      </c>
      <c r="K68" s="152">
        <f ca="1">IFERROR(__xludf.DUMMYFUNCTION("IMPORTRANGE(""https://docs.google.com/spreadsheets/d/1lufeA2cfFqM-elVq2hznhDzC6Pr7wkJ9ZG_sYNGCMCU/edit?usp=sharing"",""ลพบุรี!I627"")"),0)</f>
        <v>0</v>
      </c>
      <c r="L68" s="152">
        <f ca="1">IFERROR(__xludf.DUMMYFUNCTION("IMPORTRANGE(""https://docs.google.com/spreadsheets/d/1lufeA2cfFqM-elVq2hznhDzC6Pr7wkJ9ZG_sYNGCMCU/edit?usp=sharing"",""ลพบุรี!J627"")"),0)</f>
        <v>0</v>
      </c>
      <c r="M68" s="216">
        <f t="shared" ca="1" si="29"/>
        <v>0</v>
      </c>
      <c r="N68" s="152">
        <f ca="1">IFERROR(__xludf.DUMMYFUNCTION("IMPORTRANGE(""https://docs.google.com/spreadsheets/d/1lufeA2cfFqM-elVq2hznhDzC6Pr7wkJ9ZG_sYNGCMCU/edit?usp=sharing"",""ลพบุรี!I628"")"),0)</f>
        <v>0</v>
      </c>
      <c r="O68" s="152">
        <f ca="1">IFERROR(__xludf.DUMMYFUNCTION("IMPORTRANGE(""https://docs.google.com/spreadsheets/d/1lufeA2cfFqM-elVq2hznhDzC6Pr7wkJ9ZG_sYNGCMCU/edit?usp=sharing"",""ลพบุรี!J628"")"),0)</f>
        <v>0</v>
      </c>
      <c r="P68" s="216">
        <f t="shared" ca="1" si="31"/>
        <v>0</v>
      </c>
      <c r="Q68" s="152">
        <f ca="1">IFERROR(__xludf.DUMMYFUNCTION("IMPORTRANGE(""https://docs.google.com/spreadsheets/d/1lufeA2cfFqM-elVq2hznhDzC6Pr7wkJ9ZG_sYNGCMCU/edit?usp=sharing"",""ลพบุรี!J629"")"),0)</f>
        <v>0</v>
      </c>
      <c r="R68" s="216">
        <f t="shared" ca="1" si="38"/>
        <v>0</v>
      </c>
      <c r="S68" s="152">
        <f ca="1">IFERROR(__xludf.DUMMYFUNCTION("IMPORTRANGE(""https://docs.google.com/spreadsheets/d/1lufeA2cfFqM-elVq2hznhDzC6Pr7wkJ9ZG_sYNGCMCU/edit?usp=sharing"",""ลพบุรี!J630"")"),0)</f>
        <v>0</v>
      </c>
      <c r="T68" s="216">
        <f t="shared" ca="1" si="32"/>
        <v>0</v>
      </c>
      <c r="U68" s="615">
        <f ca="1">IFERROR(__xludf.DUMMYFUNCTION("IMPORTRANGE(""https://docs.google.com/spreadsheets/d/1lufeA2cfFqM-elVq2hznhDzC6Pr7wkJ9ZG_sYNGCMCU/edit?usp=sharing"",""ลพบุรี!J631"")"),0)</f>
        <v>0</v>
      </c>
      <c r="V68" s="216">
        <f t="shared" ca="1" si="33"/>
        <v>0</v>
      </c>
      <c r="W68" s="216">
        <f ca="1">IFERROR(__xludf.DUMMYFUNCTION("IMPORTRANGE(""https://docs.google.com/spreadsheets/d/1lufeA2cfFqM-elVq2hznhDzC6Pr7wkJ9ZG_sYNGCMCU/edit?usp=sharing"",""ลพบุรี!J632"")"),0)</f>
        <v>0</v>
      </c>
      <c r="X68" s="216">
        <f t="shared" ca="1" si="34"/>
        <v>0</v>
      </c>
      <c r="Y68" s="216">
        <f ca="1">IFERROR(__xludf.DUMMYFUNCTION("IMPORTRANGE(""https://docs.google.com/spreadsheets/d/1lufeA2cfFqM-elVq2hznhDzC6Pr7wkJ9ZG_sYNGCMCU/edit?usp=sharing"",""ลพบุรี!J633"")"),0)</f>
        <v>0</v>
      </c>
      <c r="Z68" s="216">
        <f ca="1">IFERROR(__xludf.DUMMYFUNCTION("IMPORTRANGE(""https://docs.google.com/spreadsheets/d/1lufeA2cfFqM-elVq2hznhDzC6Pr7wkJ9ZG_sYNGCMCU/edit?usp=sharing"",""ลพบุรี!J634"")"),0)</f>
        <v>0</v>
      </c>
      <c r="AA68" s="152">
        <f ca="1">IFERROR(__xludf.DUMMYFUNCTION("IMPORTRANGE(""https://docs.google.com/spreadsheets/d/1lufeA2cfFqM-elVq2hznhDzC6Pr7wkJ9ZG_sYNGCMCU/edit?usp=sharing"",""ลพบุรี!I635"")"),0)</f>
        <v>0</v>
      </c>
      <c r="AB68" s="152">
        <f ca="1">IFERROR(__xludf.DUMMYFUNCTION("IMPORTRANGE(""https://docs.google.com/spreadsheets/d/1lufeA2cfFqM-elVq2hznhDzC6Pr7wkJ9ZG_sYNGCMCU/edit?usp=sharing"",""ลพบุรี!J635"")"),0)</f>
        <v>0</v>
      </c>
      <c r="AC68" s="216">
        <f t="shared" ca="1" si="36"/>
        <v>0</v>
      </c>
      <c r="AD68" s="152">
        <f ca="1">IFERROR(__xludf.DUMMYFUNCTION("IMPORTRANGE(""https://docs.google.com/spreadsheets/d/1lufeA2cfFqM-elVq2hznhDzC6Pr7wkJ9ZG_sYNGCMCU/edit?usp=sharing"",""ลพบุรี!J636"")"),0)</f>
        <v>0</v>
      </c>
      <c r="AE68" s="152">
        <f ca="1">IFERROR(__xludf.DUMMYFUNCTION("IMPORTRANGE(""https://docs.google.com/spreadsheets/d/1lufeA2cfFqM-elVq2hznhDzC6Pr7wkJ9ZG_sYNGCMCU/edit?usp=sharing"",""ลพบุรี!J637"")"),0)</f>
        <v>0</v>
      </c>
      <c r="AF68" s="152">
        <f ca="1">IFERROR(__xludf.DUMMYFUNCTION("IMPORTRANGE(""https://docs.google.com/spreadsheets/d/1lufeA2cfFqM-elVq2hznhDzC6Pr7wkJ9ZG_sYNGCMCU/edit?usp=sharing"",""ลพบุรี!J638"")"),0)</f>
        <v>0</v>
      </c>
      <c r="AG68" s="152">
        <f ca="1">IFERROR(__xludf.DUMMYFUNCTION("IMPORTRANGE(""https://docs.google.com/spreadsheets/d/1lufeA2cfFqM-elVq2hznhDzC6Pr7wkJ9ZG_sYNGCMCU/edit?usp=sharing"",""ลพบุรี!J639"")"),0)</f>
        <v>0</v>
      </c>
      <c r="AH68" s="152">
        <f ca="1">IFERROR(__xludf.DUMMYFUNCTION("IMPORTRANGE(""https://docs.google.com/spreadsheets/d/1lufeA2cfFqM-elVq2hznhDzC6Pr7wkJ9ZG_sYNGCMCU/edit?usp=sharing"",""ลพบุรี!J640"")"),0)</f>
        <v>0</v>
      </c>
    </row>
    <row r="69" spans="1:34" ht="19.5" x14ac:dyDescent="0.3">
      <c r="A69" s="70">
        <v>17</v>
      </c>
      <c r="B69" s="71" t="s">
        <v>97</v>
      </c>
      <c r="C69" s="68">
        <f ca="1">IFERROR(__xludf.DUMMYFUNCTION("IMPORTRANGE(""https://docs.google.com/spreadsheets/d/10oOiF7loTyfsTkbd4MpaIm0HQ9SwB7IYHdIUvt-U1Uc/edit?usp=sharing"",""สระแก้ว!Q616"")"),11725)</f>
        <v>11725</v>
      </c>
      <c r="D69" s="68">
        <f ca="1">IFERROR(__xludf.DUMMYFUNCTION("IMPORTRANGE(""https://docs.google.com/spreadsheets/d/10oOiF7loTyfsTkbd4MpaIm0HQ9SwB7IYHdIUvt-U1Uc/edit?usp=sharing"",""สระแก้ว!R616"")"),0)</f>
        <v>0</v>
      </c>
      <c r="E69" s="68">
        <f ca="1">IFERROR(__xludf.DUMMYFUNCTION("IMPORTRANGE(""https://docs.google.com/spreadsheets/d/10oOiF7loTyfsTkbd4MpaIm0HQ9SwB7IYHdIUvt-U1Uc/edit?usp=sharing"",""สระแก้ว!S616"")"),0)</f>
        <v>0</v>
      </c>
      <c r="F69" s="68">
        <f t="shared" ca="1" si="24"/>
        <v>0</v>
      </c>
      <c r="G69" s="68">
        <f t="shared" ca="1" si="25"/>
        <v>0</v>
      </c>
      <c r="H69" s="278">
        <f ca="1">IFERROR(__xludf.DUMMYFUNCTION("IMPORTRANGE(""https://docs.google.com/spreadsheets/d/10oOiF7loTyfsTkbd4MpaIm0HQ9SwB7IYHdIUvt-U1Uc/edit?usp=sharing"",""สระแก้ว!I626"")"),100)</f>
        <v>100</v>
      </c>
      <c r="I69" s="152">
        <f ca="1">IFERROR(__xludf.DUMMYFUNCTION("IMPORTRANGE(""https://docs.google.com/spreadsheets/d/10oOiF7loTyfsTkbd4MpaIm0HQ9SwB7IYHdIUvt-U1Uc/edit?usp=sharing"",""สระแก้ว!J626"")"),0)</f>
        <v>0</v>
      </c>
      <c r="J69" s="216">
        <f t="shared" ca="1" si="27"/>
        <v>0</v>
      </c>
      <c r="K69" s="152">
        <f ca="1">IFERROR(__xludf.DUMMYFUNCTION("IMPORTRANGE(""https://docs.google.com/spreadsheets/d/10oOiF7loTyfsTkbd4MpaIm0HQ9SwB7IYHdIUvt-U1Uc/edit?usp=sharing"",""สระแก้ว!I627"")"),0)</f>
        <v>0</v>
      </c>
      <c r="L69" s="152">
        <f ca="1">IFERROR(__xludf.DUMMYFUNCTION("IMPORTRANGE(""https://docs.google.com/spreadsheets/d/10oOiF7loTyfsTkbd4MpaIm0HQ9SwB7IYHdIUvt-U1Uc/edit?usp=sharing"",""สระแก้ว!J627"")"),9)</f>
        <v>9</v>
      </c>
      <c r="M69" s="216">
        <f t="shared" ca="1" si="29"/>
        <v>0</v>
      </c>
      <c r="N69" s="152">
        <f ca="1">IFERROR(__xludf.DUMMYFUNCTION("IMPORTRANGE(""https://docs.google.com/spreadsheets/d/10oOiF7loTyfsTkbd4MpaIm0HQ9SwB7IYHdIUvt-U1Uc/edit?usp=sharing"",""สระแก้ว!I628"")"),0)</f>
        <v>0</v>
      </c>
      <c r="O69" s="152">
        <f ca="1">IFERROR(__xludf.DUMMYFUNCTION("IMPORTRANGE(""https://docs.google.com/spreadsheets/d/10oOiF7loTyfsTkbd4MpaIm0HQ9SwB7IYHdIUvt-U1Uc/edit?usp=sharing"",""สระแก้ว!J628"")"),9)</f>
        <v>9</v>
      </c>
      <c r="P69" s="216">
        <f t="shared" ca="1" si="31"/>
        <v>0</v>
      </c>
      <c r="Q69" s="152">
        <f ca="1">IFERROR(__xludf.DUMMYFUNCTION("IMPORTRANGE(""https://docs.google.com/spreadsheets/d/10oOiF7loTyfsTkbd4MpaIm0HQ9SwB7IYHdIUvt-U1Uc/edit?usp=sharing"",""สระแก้ว!J629"")"),59)</f>
        <v>59</v>
      </c>
      <c r="R69" s="216">
        <f t="shared" ca="1" si="38"/>
        <v>59</v>
      </c>
      <c r="S69" s="152">
        <f ca="1">IFERROR(__xludf.DUMMYFUNCTION("IMPORTRANGE(""https://docs.google.com/spreadsheets/d/10oOiF7loTyfsTkbd4MpaIm0HQ9SwB7IYHdIUvt-U1Uc/edit?usp=sharing"",""สระแก้ว!J630"")"),0)</f>
        <v>0</v>
      </c>
      <c r="T69" s="216">
        <f t="shared" ca="1" si="32"/>
        <v>0</v>
      </c>
      <c r="U69" s="216">
        <f ca="1">IFERROR(__xludf.DUMMYFUNCTION("IMPORTRANGE(""https://docs.google.com/spreadsheets/d/10oOiF7loTyfsTkbd4MpaIm0HQ9SwB7IYHdIUvt-U1Uc/edit?usp=sharing"",""สระแก้ว!J631"")"),0)</f>
        <v>0</v>
      </c>
      <c r="V69" s="216">
        <f t="shared" ca="1" si="33"/>
        <v>0</v>
      </c>
      <c r="W69" s="216">
        <f ca="1">IFERROR(__xludf.DUMMYFUNCTION("IMPORTRANGE(""https://docs.google.com/spreadsheets/d/10oOiF7loTyfsTkbd4MpaIm0HQ9SwB7IYHdIUvt-U1Uc/edit?usp=sharing"",""สระแก้ว!J632"")"),0)</f>
        <v>0</v>
      </c>
      <c r="X69" s="216">
        <f t="shared" ca="1" si="34"/>
        <v>0</v>
      </c>
      <c r="Y69" s="216">
        <f ca="1">IFERROR(__xludf.DUMMYFUNCTION("IMPORTRANGE(""https://docs.google.com/spreadsheets/d/10oOiF7loTyfsTkbd4MpaIm0HQ9SwB7IYHdIUvt-U1Uc/edit?usp=sharing"",""สระแก้ว!J633"")"),0)</f>
        <v>0</v>
      </c>
      <c r="Z69" s="216">
        <f ca="1">IFERROR(__xludf.DUMMYFUNCTION("IMPORTRANGE(""https://docs.google.com/spreadsheets/d/10oOiF7loTyfsTkbd4MpaIm0HQ9SwB7IYHdIUvt-U1Uc/edit?usp=sharing"",""สระแก้ว!J634"")"),0)</f>
        <v>0</v>
      </c>
      <c r="AA69" s="152">
        <f ca="1">IFERROR(__xludf.DUMMYFUNCTION("IMPORTRANGE(""https://docs.google.com/spreadsheets/d/10oOiF7loTyfsTkbd4MpaIm0HQ9SwB7IYHdIUvt-U1Uc/edit?usp=sharing"",""สระแก้ว!I635"")"),0)</f>
        <v>0</v>
      </c>
      <c r="AB69" s="152">
        <f ca="1">IFERROR(__xludf.DUMMYFUNCTION("IMPORTRANGE(""https://docs.google.com/spreadsheets/d/10oOiF7loTyfsTkbd4MpaIm0HQ9SwB7IYHdIUvt-U1Uc/edit?usp=sharing"",""สระแก้ว!J635"")"),0)</f>
        <v>0</v>
      </c>
      <c r="AC69" s="216">
        <f t="shared" ca="1" si="36"/>
        <v>0</v>
      </c>
      <c r="AD69" s="152">
        <f ca="1">IFERROR(__xludf.DUMMYFUNCTION("IMPORTRANGE(""https://docs.google.com/spreadsheets/d/10oOiF7loTyfsTkbd4MpaIm0HQ9SwB7IYHdIUvt-U1Uc/edit?usp=sharing"",""สระแก้ว!J636"")"),0)</f>
        <v>0</v>
      </c>
      <c r="AE69" s="152">
        <f ca="1">IFERROR(__xludf.DUMMYFUNCTION("IMPORTRANGE(""https://docs.google.com/spreadsheets/d/10oOiF7loTyfsTkbd4MpaIm0HQ9SwB7IYHdIUvt-U1Uc/edit?usp=sharing"",""สระแก้ว!J637"")"),0)</f>
        <v>0</v>
      </c>
      <c r="AF69" s="152">
        <f ca="1">IFERROR(__xludf.DUMMYFUNCTION("IMPORTRANGE(""https://docs.google.com/spreadsheets/d/10oOiF7loTyfsTkbd4MpaIm0HQ9SwB7IYHdIUvt-U1Uc/edit?usp=sharing"",""สระแก้ว!J638"")"),0)</f>
        <v>0</v>
      </c>
      <c r="AG69" s="152">
        <f ca="1">IFERROR(__xludf.DUMMYFUNCTION("IMPORTRANGE(""https://docs.google.com/spreadsheets/d/10oOiF7loTyfsTkbd4MpaIm0HQ9SwB7IYHdIUvt-U1Uc/edit?usp=sharing"",""สระแก้ว!J639"")"),0)</f>
        <v>0</v>
      </c>
      <c r="AH69" s="152">
        <f ca="1">IFERROR(__xludf.DUMMYFUNCTION("IMPORTRANGE(""https://docs.google.com/spreadsheets/d/10oOiF7loTyfsTkbd4MpaIm0HQ9SwB7IYHdIUvt-U1Uc/edit?usp=sharing"",""สระแก้ว!J640"")"),0)</f>
        <v>0</v>
      </c>
    </row>
    <row r="70" spans="1:34" ht="19.5" x14ac:dyDescent="0.3">
      <c r="A70" s="70">
        <v>18</v>
      </c>
      <c r="B70" s="71" t="s">
        <v>98</v>
      </c>
      <c r="C70" s="68">
        <f ca="1">IFERROR(__xludf.DUMMYFUNCTION("IMPORTRANGE(""https://docs.google.com/spreadsheets/d/1xmPlrr1QbdSIKvl1dWUl9K4PjAfSL9oeMr_37QVzcxc/edit?usp=sharing"",""สระบุรี!Q616"")"),6825)</f>
        <v>6825</v>
      </c>
      <c r="D70" s="68">
        <f ca="1">IFERROR(__xludf.DUMMYFUNCTION("IMPORTRANGE(""https://docs.google.com/spreadsheets/d/1xmPlrr1QbdSIKvl1dWUl9K4PjAfSL9oeMr_37QVzcxc/edit?usp=sharing"",""สระบุรี!R616"")"),6825)</f>
        <v>6825</v>
      </c>
      <c r="E70" s="68">
        <f ca="1">IFERROR(__xludf.DUMMYFUNCTION("IMPORTRANGE(""https://docs.google.com/spreadsheets/d/1xmPlrr1QbdSIKvl1dWUl9K4PjAfSL9oeMr_37QVzcxc/edit?usp=sharing"",""สระบุรี!S616"")"),0)</f>
        <v>0</v>
      </c>
      <c r="F70" s="68">
        <f t="shared" ca="1" si="24"/>
        <v>0</v>
      </c>
      <c r="G70" s="68">
        <f t="shared" ca="1" si="25"/>
        <v>0</v>
      </c>
      <c r="H70" s="278">
        <f ca="1">IFERROR(__xludf.DUMMYFUNCTION("IMPORTRANGE(""https://docs.google.com/spreadsheets/d/1xmPlrr1QbdSIKvl1dWUl9K4PjAfSL9oeMr_37QVzcxc/edit?usp=sharing"",""สระบุรี!I626"")"),50)</f>
        <v>50</v>
      </c>
      <c r="I70" s="152">
        <f ca="1">IFERROR(__xludf.DUMMYFUNCTION("IMPORTRANGE(""https://docs.google.com/spreadsheets/d/1xmPlrr1QbdSIKvl1dWUl9K4PjAfSL9oeMr_37QVzcxc/edit?usp=sharing"",""สระบุรี!J626"")"),0)</f>
        <v>0</v>
      </c>
      <c r="J70" s="216">
        <f t="shared" ca="1" si="27"/>
        <v>0</v>
      </c>
      <c r="K70" s="152">
        <f ca="1">IFERROR(__xludf.DUMMYFUNCTION("IMPORTRANGE(""https://docs.google.com/spreadsheets/d/1xmPlrr1QbdSIKvl1dWUl9K4PjAfSL9oeMr_37QVzcxc/edit?usp=sharing"",""สระบุรี!I627"")"),0)</f>
        <v>0</v>
      </c>
      <c r="L70" s="152">
        <f ca="1">IFERROR(__xludf.DUMMYFUNCTION("IMPORTRANGE(""https://docs.google.com/spreadsheets/d/1xmPlrr1QbdSIKvl1dWUl9K4PjAfSL9oeMr_37QVzcxc/edit?usp=sharing"",""สระบุรี!J627"")"),7)</f>
        <v>7</v>
      </c>
      <c r="M70" s="216">
        <f t="shared" ca="1" si="29"/>
        <v>0</v>
      </c>
      <c r="N70" s="152">
        <f ca="1">IFERROR(__xludf.DUMMYFUNCTION("IMPORTRANGE(""https://docs.google.com/spreadsheets/d/1xmPlrr1QbdSIKvl1dWUl9K4PjAfSL9oeMr_37QVzcxc/edit?usp=sharing"",""สระบุรี!I628"")"),0)</f>
        <v>0</v>
      </c>
      <c r="O70" s="152">
        <f ca="1">IFERROR(__xludf.DUMMYFUNCTION("IMPORTRANGE(""https://docs.google.com/spreadsheets/d/1xmPlrr1QbdSIKvl1dWUl9K4PjAfSL9oeMr_37QVzcxc/edit?usp=sharing"",""สระบุรี!J628"")"),7)</f>
        <v>7</v>
      </c>
      <c r="P70" s="216">
        <f t="shared" ca="1" si="31"/>
        <v>0</v>
      </c>
      <c r="Q70" s="152">
        <f ca="1">IFERROR(__xludf.DUMMYFUNCTION("IMPORTRANGE(""https://docs.google.com/spreadsheets/d/1xmPlrr1QbdSIKvl1dWUl9K4PjAfSL9oeMr_37QVzcxc/edit?usp=sharing"",""สระบุรี!J629"")"),0)</f>
        <v>0</v>
      </c>
      <c r="R70" s="216">
        <f t="shared" ca="1" si="38"/>
        <v>0</v>
      </c>
      <c r="S70" s="152">
        <f ca="1">IFERROR(__xludf.DUMMYFUNCTION("IMPORTRANGE(""https://docs.google.com/spreadsheets/d/1xmPlrr1QbdSIKvl1dWUl9K4PjAfSL9oeMr_37QVzcxc/edit?usp=sharing"",""สระบุรี!J630"")"),0)</f>
        <v>0</v>
      </c>
      <c r="T70" s="216">
        <f t="shared" ca="1" si="32"/>
        <v>0</v>
      </c>
      <c r="U70" s="216">
        <f ca="1">IFERROR(__xludf.DUMMYFUNCTION("IMPORTRANGE(""https://docs.google.com/spreadsheets/d/1xmPlrr1QbdSIKvl1dWUl9K4PjAfSL9oeMr_37QVzcxc/edit?usp=sharing"",""สระบุรี!J631"")"),0)</f>
        <v>0</v>
      </c>
      <c r="V70" s="216">
        <f t="shared" ca="1" si="33"/>
        <v>0</v>
      </c>
      <c r="W70" s="216">
        <f ca="1">IFERROR(__xludf.DUMMYFUNCTION("IMPORTRANGE(""https://docs.google.com/spreadsheets/d/1xmPlrr1QbdSIKvl1dWUl9K4PjAfSL9oeMr_37QVzcxc/edit?usp=sharing"",""สระบุรี!J632"")"),0)</f>
        <v>0</v>
      </c>
      <c r="X70" s="216">
        <f t="shared" ca="1" si="34"/>
        <v>0</v>
      </c>
      <c r="Y70" s="216">
        <f ca="1">IFERROR(__xludf.DUMMYFUNCTION("IMPORTRANGE(""https://docs.google.com/spreadsheets/d/1xmPlrr1QbdSIKvl1dWUl9K4PjAfSL9oeMr_37QVzcxc/edit?usp=sharing"",""สระบุรี!J633"")"),0)</f>
        <v>0</v>
      </c>
      <c r="Z70" s="216">
        <f ca="1">IFERROR(__xludf.DUMMYFUNCTION("IMPORTRANGE(""https://docs.google.com/spreadsheets/d/1xmPlrr1QbdSIKvl1dWUl9K4PjAfSL9oeMr_37QVzcxc/edit?usp=sharing"",""สระบุรี!J634"")"),0)</f>
        <v>0</v>
      </c>
      <c r="AA70" s="152">
        <f ca="1">IFERROR(__xludf.DUMMYFUNCTION("IMPORTRANGE(""https://docs.google.com/spreadsheets/d/1xmPlrr1QbdSIKvl1dWUl9K4PjAfSL9oeMr_37QVzcxc/edit?usp=sharing"",""สระบุรี!I635"")"),0)</f>
        <v>0</v>
      </c>
      <c r="AB70" s="152">
        <f ca="1">IFERROR(__xludf.DUMMYFUNCTION("IMPORTRANGE(""https://docs.google.com/spreadsheets/d/1xmPlrr1QbdSIKvl1dWUl9K4PjAfSL9oeMr_37QVzcxc/edit?usp=sharing"",""สระบุรี!J635"")"),0)</f>
        <v>0</v>
      </c>
      <c r="AC70" s="216">
        <f t="shared" ca="1" si="36"/>
        <v>0</v>
      </c>
      <c r="AD70" s="152">
        <f ca="1">IFERROR(__xludf.DUMMYFUNCTION("IMPORTRANGE(""https://docs.google.com/spreadsheets/d/1xmPlrr1QbdSIKvl1dWUl9K4PjAfSL9oeMr_37QVzcxc/edit?usp=sharing"",""สระบุรี!J636"")"),0)</f>
        <v>0</v>
      </c>
      <c r="AE70" s="152">
        <f ca="1">IFERROR(__xludf.DUMMYFUNCTION("IMPORTRANGE(""https://docs.google.com/spreadsheets/d/1xmPlrr1QbdSIKvl1dWUl9K4PjAfSL9oeMr_37QVzcxc/edit?usp=sharing"",""สระบุรี!J637"")"),0)</f>
        <v>0</v>
      </c>
      <c r="AF70" s="152">
        <f ca="1">IFERROR(__xludf.DUMMYFUNCTION("IMPORTRANGE(""https://docs.google.com/spreadsheets/d/1xmPlrr1QbdSIKvl1dWUl9K4PjAfSL9oeMr_37QVzcxc/edit?usp=sharing"",""สระบุรี!J638"")"),0)</f>
        <v>0</v>
      </c>
      <c r="AG70" s="152">
        <f ca="1">IFERROR(__xludf.DUMMYFUNCTION("IMPORTRANGE(""https://docs.google.com/spreadsheets/d/1xmPlrr1QbdSIKvl1dWUl9K4PjAfSL9oeMr_37QVzcxc/edit?usp=sharing"",""สระบุรี!J639"")"),0)</f>
        <v>0</v>
      </c>
      <c r="AH70" s="152">
        <f ca="1">IFERROR(__xludf.DUMMYFUNCTION("IMPORTRANGE(""https://docs.google.com/spreadsheets/d/1xmPlrr1QbdSIKvl1dWUl9K4PjAfSL9oeMr_37QVzcxc/edit?usp=sharing"",""สระบุรี!J640"")"),0)</f>
        <v>0</v>
      </c>
    </row>
    <row r="71" spans="1:34" ht="19.5" x14ac:dyDescent="0.3">
      <c r="A71" s="70">
        <v>19</v>
      </c>
      <c r="B71" s="71" t="s">
        <v>99</v>
      </c>
      <c r="C71" s="68">
        <f ca="1">IFERROR(__xludf.DUMMYFUNCTION("IMPORTRANGE(""https://docs.google.com/spreadsheets/d/1j51vR6CYVGhABJpv6tkstgok82RLpXieLzW1yOY5rHw/edit?usp=sharing"",""สิงห์บุรี!Q616"")"),4650)</f>
        <v>4650</v>
      </c>
      <c r="D71" s="68">
        <f ca="1">IFERROR(__xludf.DUMMYFUNCTION("IMPORTRANGE(""https://docs.google.com/spreadsheets/d/1j51vR6CYVGhABJpv6tkstgok82RLpXieLzW1yOY5rHw/edit?usp=sharing"",""สิงห์บุรี!R616"")"),4650)</f>
        <v>4650</v>
      </c>
      <c r="E71" s="68">
        <f ca="1">IFERROR(__xludf.DUMMYFUNCTION("IMPORTRANGE(""https://docs.google.com/spreadsheets/d/1j51vR6CYVGhABJpv6tkstgok82RLpXieLzW1yOY5rHw/edit?usp=sharing"",""สิงห์บุรี!S616"")"),650)</f>
        <v>650</v>
      </c>
      <c r="F71" s="68">
        <f t="shared" ca="1" si="24"/>
        <v>13.978494623655914</v>
      </c>
      <c r="G71" s="68">
        <f t="shared" ca="1" si="25"/>
        <v>13.978494623655914</v>
      </c>
      <c r="H71" s="278">
        <f ca="1">IFERROR(__xludf.DUMMYFUNCTION("IMPORTRANGE(""https://docs.google.com/spreadsheets/d/1j51vR6CYVGhABJpv6tkstgok82RLpXieLzW1yOY5rHw/edit?usp=sharing"",""สิงห์บุรี!I626"")"),30)</f>
        <v>30</v>
      </c>
      <c r="I71" s="152">
        <f ca="1">IFERROR(__xludf.DUMMYFUNCTION("IMPORTRANGE(""https://docs.google.com/spreadsheets/d/1j51vR6CYVGhABJpv6tkstgok82RLpXieLzW1yOY5rHw/edit?usp=sharing"",""สิงห์บุรี!J626"")"),0)</f>
        <v>0</v>
      </c>
      <c r="J71" s="216">
        <f t="shared" ca="1" si="27"/>
        <v>0</v>
      </c>
      <c r="K71" s="152">
        <f ca="1">IFERROR(__xludf.DUMMYFUNCTION("IMPORTRANGE(""https://docs.google.com/spreadsheets/d/1j51vR6CYVGhABJpv6tkstgok82RLpXieLzW1yOY5rHw/edit?usp=sharing"",""สิงห์บุรี!I627"")"),0)</f>
        <v>0</v>
      </c>
      <c r="L71" s="152">
        <f ca="1">IFERROR(__xludf.DUMMYFUNCTION("IMPORTRANGE(""https://docs.google.com/spreadsheets/d/1j51vR6CYVGhABJpv6tkstgok82RLpXieLzW1yOY5rHw/edit?usp=sharing"",""สิงห์บุรี!J627"")"),0)</f>
        <v>0</v>
      </c>
      <c r="M71" s="216">
        <f t="shared" ca="1" si="29"/>
        <v>0</v>
      </c>
      <c r="N71" s="152">
        <f ca="1">IFERROR(__xludf.DUMMYFUNCTION("IMPORTRANGE(""https://docs.google.com/spreadsheets/d/1j51vR6CYVGhABJpv6tkstgok82RLpXieLzW1yOY5rHw/edit?usp=sharing"",""สิงห์บุรี!I628"")"),0)</f>
        <v>0</v>
      </c>
      <c r="O71" s="152">
        <f ca="1">IFERROR(__xludf.DUMMYFUNCTION("IMPORTRANGE(""https://docs.google.com/spreadsheets/d/1j51vR6CYVGhABJpv6tkstgok82RLpXieLzW1yOY5rHw/edit?usp=sharing"",""สิงห์บุรี!J628"")"),6)</f>
        <v>6</v>
      </c>
      <c r="P71" s="216">
        <f t="shared" ca="1" si="31"/>
        <v>0</v>
      </c>
      <c r="Q71" s="152">
        <f ca="1">IFERROR(__xludf.DUMMYFUNCTION("IMPORTRANGE(""https://docs.google.com/spreadsheets/d/1j51vR6CYVGhABJpv6tkstgok82RLpXieLzW1yOY5rHw/edit?usp=sharing"",""สิงห์บุรี!J629"")"),0)</f>
        <v>0</v>
      </c>
      <c r="R71" s="216">
        <f t="shared" ca="1" si="38"/>
        <v>0</v>
      </c>
      <c r="S71" s="152">
        <f ca="1">IFERROR(__xludf.DUMMYFUNCTION("IMPORTRANGE(""https://docs.google.com/spreadsheets/d/1j51vR6CYVGhABJpv6tkstgok82RLpXieLzW1yOY5rHw/edit?usp=sharing"",""สิงห์บุรี!J630"")"),0)</f>
        <v>0</v>
      </c>
      <c r="T71" s="216">
        <f t="shared" ca="1" si="32"/>
        <v>0</v>
      </c>
      <c r="U71" s="216">
        <f ca="1">IFERROR(__xludf.DUMMYFUNCTION("IMPORTRANGE(""https://docs.google.com/spreadsheets/d/1j51vR6CYVGhABJpv6tkstgok82RLpXieLzW1yOY5rHw/edit?usp=sharing"",""สิงห์บุรี!J631"")"),0)</f>
        <v>0</v>
      </c>
      <c r="V71" s="216">
        <f t="shared" ca="1" si="33"/>
        <v>0</v>
      </c>
      <c r="W71" s="216">
        <f ca="1">IFERROR(__xludf.DUMMYFUNCTION("IMPORTRANGE(""https://docs.google.com/spreadsheets/d/1j51vR6CYVGhABJpv6tkstgok82RLpXieLzW1yOY5rHw/edit?usp=sharing"",""สิงห์บุรี!J632"")"),0)</f>
        <v>0</v>
      </c>
      <c r="X71" s="216">
        <f t="shared" ca="1" si="34"/>
        <v>0</v>
      </c>
      <c r="Y71" s="216">
        <f ca="1">IFERROR(__xludf.DUMMYFUNCTION("IMPORTRANGE(""https://docs.google.com/spreadsheets/d/1j51vR6CYVGhABJpv6tkstgok82RLpXieLzW1yOY5rHw/edit?usp=sharing"",""สิงห์บุรี!J633"")"),0)</f>
        <v>0</v>
      </c>
      <c r="Z71" s="216">
        <f ca="1">IFERROR(__xludf.DUMMYFUNCTION("IMPORTRANGE(""https://docs.google.com/spreadsheets/d/1j51vR6CYVGhABJpv6tkstgok82RLpXieLzW1yOY5rHw/edit?usp=sharing"",""สิงห์บุรี!J634"")"),0)</f>
        <v>0</v>
      </c>
      <c r="AA71" s="152">
        <f ca="1">IFERROR(__xludf.DUMMYFUNCTION("IMPORTRANGE(""https://docs.google.com/spreadsheets/d/1j51vR6CYVGhABJpv6tkstgok82RLpXieLzW1yOY5rHw/edit?usp=sharing"",""สิงห์บุรี!I635"")"),0)</f>
        <v>0</v>
      </c>
      <c r="AB71" s="152">
        <f ca="1">IFERROR(__xludf.DUMMYFUNCTION("IMPORTRANGE(""https://docs.google.com/spreadsheets/d/1j51vR6CYVGhABJpv6tkstgok82RLpXieLzW1yOY5rHw/edit?usp=sharing"",""สิงห์บุรี!J635"")"),0)</f>
        <v>0</v>
      </c>
      <c r="AC71" s="216">
        <f t="shared" ca="1" si="36"/>
        <v>0</v>
      </c>
      <c r="AD71" s="152">
        <f ca="1">IFERROR(__xludf.DUMMYFUNCTION("IMPORTRANGE(""https://docs.google.com/spreadsheets/d/1j51vR6CYVGhABJpv6tkstgok82RLpXieLzW1yOY5rHw/edit?usp=sharing"",""สิงห์บุรี!J636"")"),0)</f>
        <v>0</v>
      </c>
      <c r="AE71" s="152">
        <f ca="1">IFERROR(__xludf.DUMMYFUNCTION("IMPORTRANGE(""https://docs.google.com/spreadsheets/d/1j51vR6CYVGhABJpv6tkstgok82RLpXieLzW1yOY5rHw/edit?usp=sharing"",""สิงห์บุรี!J637"")"),0)</f>
        <v>0</v>
      </c>
      <c r="AF71" s="152">
        <f ca="1">IFERROR(__xludf.DUMMYFUNCTION("IMPORTRANGE(""https://docs.google.com/spreadsheets/d/1j51vR6CYVGhABJpv6tkstgok82RLpXieLzW1yOY5rHw/edit?usp=sharing"",""สิงห์บุรี!J638"")"),0)</f>
        <v>0</v>
      </c>
      <c r="AG71" s="152">
        <f ca="1">IFERROR(__xludf.DUMMYFUNCTION("IMPORTRANGE(""https://docs.google.com/spreadsheets/d/1j51vR6CYVGhABJpv6tkstgok82RLpXieLzW1yOY5rHw/edit?usp=sharing"",""สิงห์บุรี!J639"")"),0)</f>
        <v>0</v>
      </c>
      <c r="AH71" s="152">
        <f ca="1">IFERROR(__xludf.DUMMYFUNCTION("IMPORTRANGE(""https://docs.google.com/spreadsheets/d/1j51vR6CYVGhABJpv6tkstgok82RLpXieLzW1yOY5rHw/edit?usp=sharing"",""สิงห์บุรี!J640"")"),0)</f>
        <v>0</v>
      </c>
    </row>
    <row r="72" spans="1:34" ht="19.5" x14ac:dyDescent="0.3">
      <c r="A72" s="70">
        <v>20</v>
      </c>
      <c r="B72" s="71" t="s">
        <v>100</v>
      </c>
      <c r="C72" s="68">
        <f ca="1">IFERROR(__xludf.DUMMYFUNCTION("IMPORTRANGE(""https://docs.google.com/spreadsheets/d/1H1EalTWKUSzO4Z1-1CwzoDUaVffgrThEBe2sl74kKG0/edit?usp=sharing"",""สุพรรณบุรี!Q616"")"),1250)</f>
        <v>1250</v>
      </c>
      <c r="D72" s="68">
        <f ca="1">IFERROR(__xludf.DUMMYFUNCTION("IMPORTRANGE(""https://docs.google.com/spreadsheets/d/1H1EalTWKUSzO4Z1-1CwzoDUaVffgrThEBe2sl74kKG0/edit?usp=sharing"",""สุพรรณบุรี!R616"")"),1250)</f>
        <v>1250</v>
      </c>
      <c r="E72" s="68">
        <f ca="1">IFERROR(__xludf.DUMMYFUNCTION("IMPORTRANGE(""https://docs.google.com/spreadsheets/d/1H1EalTWKUSzO4Z1-1CwzoDUaVffgrThEBe2sl74kKG0/edit?usp=sharing"",""สุพรรณบุรี!S616"")"),9250)</f>
        <v>9250</v>
      </c>
      <c r="F72" s="68">
        <f t="shared" ca="1" si="24"/>
        <v>740</v>
      </c>
      <c r="G72" s="68">
        <f t="shared" ca="1" si="25"/>
        <v>740</v>
      </c>
      <c r="H72" s="278">
        <f ca="1">IFERROR(__xludf.DUMMYFUNCTION("IMPORTRANGE(""https://docs.google.com/spreadsheets/d/1H1EalTWKUSzO4Z1-1CwzoDUaVffgrThEBe2sl74kKG0/edit?usp=sharing"",""สุพรรณบุรี!I626"")"),0)</f>
        <v>0</v>
      </c>
      <c r="I72" s="152">
        <f ca="1">IFERROR(__xludf.DUMMYFUNCTION("IMPORTRANGE(""https://docs.google.com/spreadsheets/d/1H1EalTWKUSzO4Z1-1CwzoDUaVffgrThEBe2sl74kKG0/edit?usp=sharing"",""สุพรรณบุรี!J626"")"),0)</f>
        <v>0</v>
      </c>
      <c r="J72" s="216">
        <f t="shared" ca="1" si="27"/>
        <v>0</v>
      </c>
      <c r="K72" s="152">
        <f ca="1">IFERROR(__xludf.DUMMYFUNCTION("IMPORTRANGE(""https://docs.google.com/spreadsheets/d/1H1EalTWKUSzO4Z1-1CwzoDUaVffgrThEBe2sl74kKG0/edit?usp=sharing"",""สุพรรณบุรี!I627"")"),0)</f>
        <v>0</v>
      </c>
      <c r="L72" s="152">
        <f ca="1">IFERROR(__xludf.DUMMYFUNCTION("IMPORTRANGE(""https://docs.google.com/spreadsheets/d/1H1EalTWKUSzO4Z1-1CwzoDUaVffgrThEBe2sl74kKG0/edit?usp=sharing"",""สุพรรณบุรี!J627"")"),0)</f>
        <v>0</v>
      </c>
      <c r="M72" s="216">
        <f t="shared" ca="1" si="29"/>
        <v>0</v>
      </c>
      <c r="N72" s="152">
        <f ca="1">IFERROR(__xludf.DUMMYFUNCTION("IMPORTRANGE(""https://docs.google.com/spreadsheets/d/1H1EalTWKUSzO4Z1-1CwzoDUaVffgrThEBe2sl74kKG0/edit?usp=sharing"",""สุพรรณบุรี!I628"")"),0)</f>
        <v>0</v>
      </c>
      <c r="O72" s="152">
        <f ca="1">IFERROR(__xludf.DUMMYFUNCTION("IMPORTRANGE(""https://docs.google.com/spreadsheets/d/1H1EalTWKUSzO4Z1-1CwzoDUaVffgrThEBe2sl74kKG0/edit?usp=sharing"",""สุพรรณบุรี!J628"")"),10)</f>
        <v>10</v>
      </c>
      <c r="P72" s="216">
        <f t="shared" ca="1" si="31"/>
        <v>0</v>
      </c>
      <c r="Q72" s="152">
        <f ca="1">IFERROR(__xludf.DUMMYFUNCTION("IMPORTRANGE(""https://docs.google.com/spreadsheets/d/1H1EalTWKUSzO4Z1-1CwzoDUaVffgrThEBe2sl74kKG0/edit?usp=sharing"",""สุพรรณบุรี!J629"")"),80)</f>
        <v>80</v>
      </c>
      <c r="R72" s="216">
        <f t="shared" ca="1" si="38"/>
        <v>0</v>
      </c>
      <c r="S72" s="152">
        <f ca="1">IFERROR(__xludf.DUMMYFUNCTION("IMPORTRANGE(""https://docs.google.com/spreadsheets/d/1H1EalTWKUSzO4Z1-1CwzoDUaVffgrThEBe2sl74kKG0/edit?usp=sharing"",""สุพรรณบุรี!J630"")"),80)</f>
        <v>80</v>
      </c>
      <c r="T72" s="216">
        <f t="shared" ca="1" si="32"/>
        <v>0</v>
      </c>
      <c r="U72" s="216">
        <f ca="1">IFERROR(__xludf.DUMMYFUNCTION("IMPORTRANGE(""https://docs.google.com/spreadsheets/d/1H1EalTWKUSzO4Z1-1CwzoDUaVffgrThEBe2sl74kKG0/edit?usp=sharing"",""สุพรรณบุรี!J631"")"),0)</f>
        <v>0</v>
      </c>
      <c r="V72" s="216">
        <f t="shared" ca="1" si="33"/>
        <v>0</v>
      </c>
      <c r="W72" s="216">
        <f ca="1">IFERROR(__xludf.DUMMYFUNCTION("IMPORTRANGE(""https://docs.google.com/spreadsheets/d/1H1EalTWKUSzO4Z1-1CwzoDUaVffgrThEBe2sl74kKG0/edit?usp=sharing"",""สุพรรณบุรี!J632"")"),0)</f>
        <v>0</v>
      </c>
      <c r="X72" s="216">
        <f t="shared" ca="1" si="34"/>
        <v>0</v>
      </c>
      <c r="Y72" s="216">
        <f ca="1">IFERROR(__xludf.DUMMYFUNCTION("IMPORTRANGE(""https://docs.google.com/spreadsheets/d/1H1EalTWKUSzO4Z1-1CwzoDUaVffgrThEBe2sl74kKG0/edit?usp=sharing"",""สุพรรณบุรี!J633"")"),0)</f>
        <v>0</v>
      </c>
      <c r="Z72" s="216">
        <f ca="1">IFERROR(__xludf.DUMMYFUNCTION("IMPORTRANGE(""https://docs.google.com/spreadsheets/d/1H1EalTWKUSzO4Z1-1CwzoDUaVffgrThEBe2sl74kKG0/edit?usp=sharing"",""สุพรรณบุรี!J634"")"),0)</f>
        <v>0</v>
      </c>
      <c r="AA72" s="152">
        <f ca="1">IFERROR(__xludf.DUMMYFUNCTION("IMPORTRANGE(""https://docs.google.com/spreadsheets/d/1H1EalTWKUSzO4Z1-1CwzoDUaVffgrThEBe2sl74kKG0/edit?usp=sharing"",""สุพรรณบุรี!I635"")"),0)</f>
        <v>0</v>
      </c>
      <c r="AB72" s="152">
        <f ca="1">IFERROR(__xludf.DUMMYFUNCTION("IMPORTRANGE(""https://docs.google.com/spreadsheets/d/1H1EalTWKUSzO4Z1-1CwzoDUaVffgrThEBe2sl74kKG0/edit?usp=sharing"",""สุพรรณบุรี!J635"")"),0)</f>
        <v>0</v>
      </c>
      <c r="AC72" s="216">
        <f t="shared" ca="1" si="36"/>
        <v>0</v>
      </c>
      <c r="AD72" s="152">
        <f ca="1">IFERROR(__xludf.DUMMYFUNCTION("IMPORTRANGE(""https://docs.google.com/spreadsheets/d/1H1EalTWKUSzO4Z1-1CwzoDUaVffgrThEBe2sl74kKG0/edit?usp=sharing"",""สุพรรณบุรี!J636"")"),0)</f>
        <v>0</v>
      </c>
      <c r="AE72" s="152">
        <f ca="1">IFERROR(__xludf.DUMMYFUNCTION("IMPORTRANGE(""https://docs.google.com/spreadsheets/d/1H1EalTWKUSzO4Z1-1CwzoDUaVffgrThEBe2sl74kKG0/edit?usp=sharing"",""สุพรรณบุรี!J637"")"),0)</f>
        <v>0</v>
      </c>
      <c r="AF72" s="152">
        <f ca="1">IFERROR(__xludf.DUMMYFUNCTION("IMPORTRANGE(""https://docs.google.com/spreadsheets/d/1H1EalTWKUSzO4Z1-1CwzoDUaVffgrThEBe2sl74kKG0/edit?usp=sharing"",""สุพรรณบุรี!J638"")"),0)</f>
        <v>0</v>
      </c>
      <c r="AG72" s="152">
        <f ca="1">IFERROR(__xludf.DUMMYFUNCTION("IMPORTRANGE(""https://docs.google.com/spreadsheets/d/1H1EalTWKUSzO4Z1-1CwzoDUaVffgrThEBe2sl74kKG0/edit?usp=sharing"",""สุพรรณบุรี!J639"")"),0)</f>
        <v>0</v>
      </c>
      <c r="AH72" s="152">
        <f ca="1">IFERROR(__xludf.DUMMYFUNCTION("IMPORTRANGE(""https://docs.google.com/spreadsheets/d/1H1EalTWKUSzO4Z1-1CwzoDUaVffgrThEBe2sl74kKG0/edit?usp=sharing"",""สุพรรณบุรี!J640"")"),0)</f>
        <v>0</v>
      </c>
    </row>
    <row r="73" spans="1:34" ht="19.5" x14ac:dyDescent="0.3">
      <c r="A73" s="80">
        <v>21</v>
      </c>
      <c r="B73" s="81" t="s">
        <v>101</v>
      </c>
      <c r="C73" s="89">
        <f ca="1">IFERROR(__xludf.DUMMYFUNCTION("IMPORTRANGE(""https://docs.google.com/spreadsheets/d/1BmIruG_sIrJLYao_Pdr7zVArWsfoBt2692TMi6x_854/edit?usp=sharing"",""อ่างทอง!Q616"")"),4675)</f>
        <v>4675</v>
      </c>
      <c r="D73" s="89">
        <f ca="1">IFERROR(__xludf.DUMMYFUNCTION("IMPORTRANGE(""https://docs.google.com/spreadsheets/d/1BmIruG_sIrJLYao_Pdr7zVArWsfoBt2692TMi6x_854/edit?usp=sharing"",""อ่างทอง!R616"")"),4675)</f>
        <v>4675</v>
      </c>
      <c r="E73" s="89">
        <f ca="1">IFERROR(__xludf.DUMMYFUNCTION("IMPORTRANGE(""https://docs.google.com/spreadsheets/d/1BmIruG_sIrJLYao_Pdr7zVArWsfoBt2692TMi6x_854/edit?usp=sharing"",""อ่างทอง!S616"")"),1000)</f>
        <v>1000</v>
      </c>
      <c r="F73" s="89">
        <f t="shared" ca="1" si="24"/>
        <v>21.390374331550802</v>
      </c>
      <c r="G73" s="89">
        <f t="shared" ca="1" si="25"/>
        <v>21.390374331550802</v>
      </c>
      <c r="H73" s="280">
        <f ca="1">IFERROR(__xludf.DUMMYFUNCTION("IMPORTRANGE(""https://docs.google.com/spreadsheets/d/1BmIruG_sIrJLYao_Pdr7zVArWsfoBt2692TMi6x_854/edit?usp=sharing"",""อ่างทอง!I626"")"),30)</f>
        <v>30</v>
      </c>
      <c r="I73" s="191">
        <f ca="1">IFERROR(__xludf.DUMMYFUNCTION("IMPORTRANGE(""https://docs.google.com/spreadsheets/d/1BmIruG_sIrJLYao_Pdr7zVArWsfoBt2692TMi6x_854/edit?usp=sharing"",""อ่างทอง!J626"")"),0)</f>
        <v>0</v>
      </c>
      <c r="J73" s="218">
        <f t="shared" ca="1" si="27"/>
        <v>0</v>
      </c>
      <c r="K73" s="191">
        <f ca="1">IFERROR(__xludf.DUMMYFUNCTION("IMPORTRANGE(""https://docs.google.com/spreadsheets/d/1BmIruG_sIrJLYao_Pdr7zVArWsfoBt2692TMi6x_854/edit?usp=sharing"",""อ่างทอง!I627"")"),0)</f>
        <v>0</v>
      </c>
      <c r="L73" s="191">
        <f ca="1">IFERROR(__xludf.DUMMYFUNCTION("IMPORTRANGE(""https://docs.google.com/spreadsheets/d/1BmIruG_sIrJLYao_Pdr7zVArWsfoBt2692TMi6x_854/edit?usp=sharing"",""อ่างทอง!J627"")"),0)</f>
        <v>0</v>
      </c>
      <c r="M73" s="218">
        <f t="shared" ca="1" si="29"/>
        <v>0</v>
      </c>
      <c r="N73" s="191">
        <f ca="1">IFERROR(__xludf.DUMMYFUNCTION("IMPORTRANGE(""https://docs.google.com/spreadsheets/d/1BmIruG_sIrJLYao_Pdr7zVArWsfoBt2692TMi6x_854/edit?usp=sharing"",""อ่างทอง!I628"")"),0)</f>
        <v>0</v>
      </c>
      <c r="O73" s="191">
        <f ca="1">IFERROR(__xludf.DUMMYFUNCTION("IMPORTRANGE(""https://docs.google.com/spreadsheets/d/1BmIruG_sIrJLYao_Pdr7zVArWsfoBt2692TMi6x_854/edit?usp=sharing"",""อ่างทอง!J628"")"),0)</f>
        <v>0</v>
      </c>
      <c r="P73" s="218">
        <f t="shared" ca="1" si="31"/>
        <v>0</v>
      </c>
      <c r="Q73" s="191">
        <f ca="1">IFERROR(__xludf.DUMMYFUNCTION("IMPORTRANGE(""https://docs.google.com/spreadsheets/d/1BmIruG_sIrJLYao_Pdr7zVArWsfoBt2692TMi6x_854/edit?usp=sharing"",""อ่างทอง!J629"")"),60)</f>
        <v>60</v>
      </c>
      <c r="R73" s="218">
        <f t="shared" ca="1" si="38"/>
        <v>200</v>
      </c>
      <c r="S73" s="191">
        <f ca="1">IFERROR(__xludf.DUMMYFUNCTION("IMPORTRANGE(""https://docs.google.com/spreadsheets/d/1BmIruG_sIrJLYao_Pdr7zVArWsfoBt2692TMi6x_854/edit?usp=sharing"",""อ่างทอง!J630"")"),0)</f>
        <v>0</v>
      </c>
      <c r="T73" s="218">
        <f t="shared" ca="1" si="32"/>
        <v>0</v>
      </c>
      <c r="U73" s="218">
        <f ca="1">IFERROR(__xludf.DUMMYFUNCTION("IMPORTRANGE(""https://docs.google.com/spreadsheets/d/1BmIruG_sIrJLYao_Pdr7zVArWsfoBt2692TMi6x_854/edit?usp=sharing"",""อ่างทอง!J631"")"),0)</f>
        <v>0</v>
      </c>
      <c r="V73" s="218">
        <f t="shared" ca="1" si="33"/>
        <v>0</v>
      </c>
      <c r="W73" s="218">
        <f ca="1">IFERROR(__xludf.DUMMYFUNCTION("IMPORTRANGE(""https://docs.google.com/spreadsheets/d/1BmIruG_sIrJLYao_Pdr7zVArWsfoBt2692TMi6x_854/edit?usp=sharing"",""อ่างทอง!J632"")"),0)</f>
        <v>0</v>
      </c>
      <c r="X73" s="218">
        <f t="shared" ca="1" si="34"/>
        <v>0</v>
      </c>
      <c r="Y73" s="218">
        <f ca="1">IFERROR(__xludf.DUMMYFUNCTION("IMPORTRANGE(""https://docs.google.com/spreadsheets/d/1BmIruG_sIrJLYao_Pdr7zVArWsfoBt2692TMi6x_854/edit?usp=sharing"",""อ่างทอง!J633"")"),0)</f>
        <v>0</v>
      </c>
      <c r="Z73" s="218">
        <f ca="1">IFERROR(__xludf.DUMMYFUNCTION("IMPORTRANGE(""https://docs.google.com/spreadsheets/d/1BmIruG_sIrJLYao_Pdr7zVArWsfoBt2692TMi6x_854/edit?usp=sharing"",""อ่างทอง!J634"")"),0)</f>
        <v>0</v>
      </c>
      <c r="AA73" s="191">
        <f ca="1">IFERROR(__xludf.DUMMYFUNCTION("IMPORTRANGE(""https://docs.google.com/spreadsheets/d/1BmIruG_sIrJLYao_Pdr7zVArWsfoBt2692TMi6x_854/edit?usp=sharing"",""อ่างทอง!I635"")"),0)</f>
        <v>0</v>
      </c>
      <c r="AB73" s="191">
        <f ca="1">IFERROR(__xludf.DUMMYFUNCTION("IMPORTRANGE(""https://docs.google.com/spreadsheets/d/1BmIruG_sIrJLYao_Pdr7zVArWsfoBt2692TMi6x_854/edit?usp=sharing"",""อ่างทอง!J635"")"),0)</f>
        <v>0</v>
      </c>
      <c r="AC73" s="218">
        <f t="shared" ca="1" si="36"/>
        <v>0</v>
      </c>
      <c r="AD73" s="191">
        <f ca="1">IFERROR(__xludf.DUMMYFUNCTION("IMPORTRANGE(""https://docs.google.com/spreadsheets/d/1BmIruG_sIrJLYao_Pdr7zVArWsfoBt2692TMi6x_854/edit?usp=sharing"",""อ่างทอง!J636"")"),0)</f>
        <v>0</v>
      </c>
      <c r="AE73" s="191">
        <f ca="1">IFERROR(__xludf.DUMMYFUNCTION("IMPORTRANGE(""https://docs.google.com/spreadsheets/d/1BmIruG_sIrJLYao_Pdr7zVArWsfoBt2692TMi6x_854/edit?usp=sharing"",""อ่างทอง!J637"")"),0)</f>
        <v>0</v>
      </c>
      <c r="AF73" s="191">
        <f ca="1">IFERROR(__xludf.DUMMYFUNCTION("IMPORTRANGE(""https://docs.google.com/spreadsheets/d/1BmIruG_sIrJLYao_Pdr7zVArWsfoBt2692TMi6x_854/edit?usp=sharing"",""อ่างทอง!J638"")"),0)</f>
        <v>0</v>
      </c>
      <c r="AG73" s="616">
        <f ca="1">IFERROR(__xludf.DUMMYFUNCTION("IMPORTRANGE(""https://docs.google.com/spreadsheets/d/1BmIruG_sIrJLYao_Pdr7zVArWsfoBt2692TMi6x_854/edit?usp=sharing"",""อ่างทอง!J639"")"),0)</f>
        <v>0</v>
      </c>
      <c r="AH73" s="191">
        <f ca="1">IFERROR(__xludf.DUMMYFUNCTION("IMPORTRANGE(""https://docs.google.com/spreadsheets/d/1BmIruG_sIrJLYao_Pdr7zVArWsfoBt2692TMi6x_854/edit?usp=sharing"",""อ่างทอง!J640"")"),0)</f>
        <v>0</v>
      </c>
    </row>
    <row r="74" spans="1:34" ht="19.5" x14ac:dyDescent="0.3">
      <c r="A74" s="664" t="s">
        <v>102</v>
      </c>
      <c r="B74" s="647"/>
      <c r="C74" s="94">
        <f t="shared" ref="C74:E74" ca="1" si="51">SUM(C75:C88)</f>
        <v>83175</v>
      </c>
      <c r="D74" s="94">
        <f t="shared" ca="1" si="51"/>
        <v>65860</v>
      </c>
      <c r="E74" s="94">
        <f t="shared" ca="1" si="51"/>
        <v>24539</v>
      </c>
      <c r="F74" s="94">
        <f t="shared" ca="1" si="24"/>
        <v>29.502855425308084</v>
      </c>
      <c r="G74" s="94">
        <f t="shared" ca="1" si="25"/>
        <v>37.259337989675068</v>
      </c>
      <c r="H74" s="281">
        <f t="shared" ref="H74:I74" ca="1" si="52">SUM(H75:H88)</f>
        <v>550</v>
      </c>
      <c r="I74" s="161">
        <f t="shared" ca="1" si="52"/>
        <v>0</v>
      </c>
      <c r="J74" s="94">
        <f t="shared" ca="1" si="27"/>
        <v>0</v>
      </c>
      <c r="K74" s="161">
        <f t="shared" ref="K74:L74" ca="1" si="53">SUM(K75:K88)</f>
        <v>9</v>
      </c>
      <c r="L74" s="161">
        <f t="shared" ca="1" si="53"/>
        <v>13</v>
      </c>
      <c r="M74" s="94">
        <f t="shared" ca="1" si="29"/>
        <v>144.44444444444446</v>
      </c>
      <c r="N74" s="161">
        <f t="shared" ref="N74:O74" ca="1" si="54">SUM(N75:N88)</f>
        <v>9</v>
      </c>
      <c r="O74" s="161">
        <f t="shared" ca="1" si="54"/>
        <v>21</v>
      </c>
      <c r="P74" s="94">
        <f t="shared" ca="1" si="31"/>
        <v>233.33333333333334</v>
      </c>
      <c r="Q74" s="161">
        <f ca="1">SUM(Q75:Q88)</f>
        <v>0</v>
      </c>
      <c r="R74" s="94">
        <f t="shared" ca="1" si="38"/>
        <v>0</v>
      </c>
      <c r="S74" s="161">
        <f ca="1">SUM(S75:S88)</f>
        <v>0</v>
      </c>
      <c r="T74" s="94">
        <f t="shared" ca="1" si="32"/>
        <v>0</v>
      </c>
      <c r="U74" s="94">
        <f ca="1">SUM(U75:U88)</f>
        <v>0</v>
      </c>
      <c r="V74" s="94">
        <f t="shared" ca="1" si="33"/>
        <v>0</v>
      </c>
      <c r="W74" s="94">
        <f ca="1">SUM(W75:W88)</f>
        <v>0</v>
      </c>
      <c r="X74" s="94">
        <f t="shared" ca="1" si="34"/>
        <v>0</v>
      </c>
      <c r="Y74" s="94">
        <f t="shared" ref="Y74:AB74" ca="1" si="55">SUM(Y75:Y88)</f>
        <v>0</v>
      </c>
      <c r="Z74" s="94">
        <f t="shared" ca="1" si="55"/>
        <v>0</v>
      </c>
      <c r="AA74" s="161">
        <f t="shared" ca="1" si="55"/>
        <v>0</v>
      </c>
      <c r="AB74" s="161">
        <f t="shared" ca="1" si="55"/>
        <v>0</v>
      </c>
      <c r="AC74" s="94">
        <f t="shared" ca="1" si="36"/>
        <v>0</v>
      </c>
      <c r="AD74" s="161">
        <f t="shared" ref="AD74:AH74" ca="1" si="56">SUM(AD75:AD88)</f>
        <v>0</v>
      </c>
      <c r="AE74" s="161">
        <f t="shared" ca="1" si="56"/>
        <v>0</v>
      </c>
      <c r="AF74" s="161">
        <f t="shared" ca="1" si="56"/>
        <v>0</v>
      </c>
      <c r="AG74" s="161">
        <f t="shared" ca="1" si="56"/>
        <v>0</v>
      </c>
      <c r="AH74" s="161">
        <f t="shared" ca="1" si="56"/>
        <v>0</v>
      </c>
    </row>
    <row r="75" spans="1:34" ht="19.5" x14ac:dyDescent="0.3">
      <c r="A75" s="58">
        <v>1</v>
      </c>
      <c r="B75" s="59" t="s">
        <v>103</v>
      </c>
      <c r="C75" s="68">
        <f ca="1">IFERROR(__xludf.DUMMYFUNCTION("IMPORTRANGE(""https://docs.google.com/spreadsheets/d/1kKUcYdkIfrgTSj8iHHHB2MD2FAtwyyocFgqGQn6ADyI/edit?usp=sharing"",""กระบี่!Q616"")"),1800)</f>
        <v>1800</v>
      </c>
      <c r="D75" s="68">
        <f ca="1">IFERROR(__xludf.DUMMYFUNCTION("IMPORTRANGE(""https://docs.google.com/spreadsheets/d/1kKUcYdkIfrgTSj8iHHHB2MD2FAtwyyocFgqGQn6ADyI/edit?usp=sharing"",""กระบี่!R616"")"),1800)</f>
        <v>1800</v>
      </c>
      <c r="E75" s="68">
        <f ca="1">IFERROR(__xludf.DUMMYFUNCTION("IMPORTRANGE(""https://docs.google.com/spreadsheets/d/1kKUcYdkIfrgTSj8iHHHB2MD2FAtwyyocFgqGQn6ADyI/edit?usp=sharing"",""กระบี่!S616"")"),945)</f>
        <v>945</v>
      </c>
      <c r="F75" s="68">
        <f t="shared" ca="1" si="24"/>
        <v>52.5</v>
      </c>
      <c r="G75" s="68">
        <f t="shared" ca="1" si="25"/>
        <v>52.5</v>
      </c>
      <c r="H75" s="278">
        <f ca="1">IFERROR(__xludf.DUMMYFUNCTION("IMPORTRANGE(""https://docs.google.com/spreadsheets/d/1kKUcYdkIfrgTSj8iHHHB2MD2FAtwyyocFgqGQn6ADyI/edit?usp=sharing"",""กระบี่!I626"")"),0)</f>
        <v>0</v>
      </c>
      <c r="I75" s="152">
        <f ca="1">IFERROR(__xludf.DUMMYFUNCTION("IMPORTRANGE(""https://docs.google.com/spreadsheets/d/1kKUcYdkIfrgTSj8iHHHB2MD2FAtwyyocFgqGQn6ADyI/edit?usp=sharing"",""กระบี่!J626"")"),0)</f>
        <v>0</v>
      </c>
      <c r="J75" s="216">
        <f t="shared" ca="1" si="27"/>
        <v>0</v>
      </c>
      <c r="K75" s="152">
        <f ca="1">IFERROR(__xludf.DUMMYFUNCTION("IMPORTRANGE(""https://docs.google.com/spreadsheets/d/1kKUcYdkIfrgTSj8iHHHB2MD2FAtwyyocFgqGQn6ADyI/edit?usp=sharing"",""กระบี่!I627"")"),1)</f>
        <v>1</v>
      </c>
      <c r="L75" s="152">
        <f ca="1">IFERROR(__xludf.DUMMYFUNCTION("IMPORTRANGE(""https://docs.google.com/spreadsheets/d/1kKUcYdkIfrgTSj8iHHHB2MD2FAtwyyocFgqGQn6ADyI/edit?usp=sharing"",""กระบี่!J627"")"),0)</f>
        <v>0</v>
      </c>
      <c r="M75" s="216">
        <f t="shared" ca="1" si="29"/>
        <v>0</v>
      </c>
      <c r="N75" s="152">
        <f ca="1">IFERROR(__xludf.DUMMYFUNCTION("IMPORTRANGE(""https://docs.google.com/spreadsheets/d/1kKUcYdkIfrgTSj8iHHHB2MD2FAtwyyocFgqGQn6ADyI/edit?usp=sharing"",""กระบี่!I628"")"),1)</f>
        <v>1</v>
      </c>
      <c r="O75" s="152">
        <f ca="1">IFERROR(__xludf.DUMMYFUNCTION("IMPORTRANGE(""https://docs.google.com/spreadsheets/d/1kKUcYdkIfrgTSj8iHHHB2MD2FAtwyyocFgqGQn6ADyI/edit?usp=sharing"",""กระบี่!J628"")"),0)</f>
        <v>0</v>
      </c>
      <c r="P75" s="216">
        <f t="shared" ca="1" si="31"/>
        <v>0</v>
      </c>
      <c r="Q75" s="152">
        <f ca="1">IFERROR(__xludf.DUMMYFUNCTION("IMPORTRANGE(""https://docs.google.com/spreadsheets/d/1kKUcYdkIfrgTSj8iHHHB2MD2FAtwyyocFgqGQn6ADyI/edit?usp=sharing"",""กระบี่!J629"")"),0)</f>
        <v>0</v>
      </c>
      <c r="R75" s="216">
        <f t="shared" ca="1" si="38"/>
        <v>0</v>
      </c>
      <c r="S75" s="152">
        <f ca="1">IFERROR(__xludf.DUMMYFUNCTION("IMPORTRANGE(""https://docs.google.com/spreadsheets/d/1kKUcYdkIfrgTSj8iHHHB2MD2FAtwyyocFgqGQn6ADyI/edit?usp=sharing"",""กระบี่!J630"")"),0)</f>
        <v>0</v>
      </c>
      <c r="T75" s="216">
        <f t="shared" ca="1" si="32"/>
        <v>0</v>
      </c>
      <c r="U75" s="216">
        <f ca="1">IFERROR(__xludf.DUMMYFUNCTION("IMPORTRANGE(""https://docs.google.com/spreadsheets/d/1kKUcYdkIfrgTSj8iHHHB2MD2FAtwyyocFgqGQn6ADyI/edit?usp=sharing"",""กระบี่!J631"")"),0)</f>
        <v>0</v>
      </c>
      <c r="V75" s="216">
        <f t="shared" ca="1" si="33"/>
        <v>0</v>
      </c>
      <c r="W75" s="216">
        <f ca="1">IFERROR(__xludf.DUMMYFUNCTION("IMPORTRANGE(""https://docs.google.com/spreadsheets/d/1kKUcYdkIfrgTSj8iHHHB2MD2FAtwyyocFgqGQn6ADyI/edit?usp=sharing"",""กระบี่!J632"")"),0)</f>
        <v>0</v>
      </c>
      <c r="X75" s="216">
        <f t="shared" ca="1" si="34"/>
        <v>0</v>
      </c>
      <c r="Y75" s="216">
        <f ca="1">IFERROR(__xludf.DUMMYFUNCTION("IMPORTRANGE(""https://docs.google.com/spreadsheets/d/1kKUcYdkIfrgTSj8iHHHB2MD2FAtwyyocFgqGQn6ADyI/edit?usp=sharing"",""กระบี่!J633"")"),0)</f>
        <v>0</v>
      </c>
      <c r="Z75" s="216">
        <f ca="1">IFERROR(__xludf.DUMMYFUNCTION("IMPORTRANGE(""https://docs.google.com/spreadsheets/d/1kKUcYdkIfrgTSj8iHHHB2MD2FAtwyyocFgqGQn6ADyI/edit?usp=sharing"",""กระบี่!J634"")"),0)</f>
        <v>0</v>
      </c>
      <c r="AA75" s="152">
        <f ca="1">IFERROR(__xludf.DUMMYFUNCTION("IMPORTRANGE(""https://docs.google.com/spreadsheets/d/1kKUcYdkIfrgTSj8iHHHB2MD2FAtwyyocFgqGQn6ADyI/edit?usp=sharing"",""กระบี่!I635"")"),0)</f>
        <v>0</v>
      </c>
      <c r="AB75" s="152">
        <f ca="1">IFERROR(__xludf.DUMMYFUNCTION("IMPORTRANGE(""https://docs.google.com/spreadsheets/d/1kKUcYdkIfrgTSj8iHHHB2MD2FAtwyyocFgqGQn6ADyI/edit?usp=sharing"",""กระบี่!J635"")"),0)</f>
        <v>0</v>
      </c>
      <c r="AC75" s="216">
        <f t="shared" ca="1" si="36"/>
        <v>0</v>
      </c>
      <c r="AD75" s="152">
        <f ca="1">IFERROR(__xludf.DUMMYFUNCTION("IMPORTRANGE(""https://docs.google.com/spreadsheets/d/1kKUcYdkIfrgTSj8iHHHB2MD2FAtwyyocFgqGQn6ADyI/edit?usp=sharing"",""กระบี่!J636"")"),0)</f>
        <v>0</v>
      </c>
      <c r="AE75" s="152">
        <f ca="1">IFERROR(__xludf.DUMMYFUNCTION("IMPORTRANGE(""https://docs.google.com/spreadsheets/d/1kKUcYdkIfrgTSj8iHHHB2MD2FAtwyyocFgqGQn6ADyI/edit?usp=sharing"",""กระบี่!J637"")"),0)</f>
        <v>0</v>
      </c>
      <c r="AF75" s="152">
        <f ca="1">IFERROR(__xludf.DUMMYFUNCTION("IMPORTRANGE(""https://docs.google.com/spreadsheets/d/1kKUcYdkIfrgTSj8iHHHB2MD2FAtwyyocFgqGQn6ADyI/edit?usp=sharing"",""กระบี่!J638"")"),0)</f>
        <v>0</v>
      </c>
      <c r="AG75" s="152">
        <f ca="1">IFERROR(__xludf.DUMMYFUNCTION("IMPORTRANGE(""https://docs.google.com/spreadsheets/d/1kKUcYdkIfrgTSj8iHHHB2MD2FAtwyyocFgqGQn6ADyI/edit?usp=sharing"",""กระบี่!J639"")"),0)</f>
        <v>0</v>
      </c>
      <c r="AH75" s="152">
        <f ca="1">IFERROR(__xludf.DUMMYFUNCTION("IMPORTRANGE(""https://docs.google.com/spreadsheets/d/1kKUcYdkIfrgTSj8iHHHB2MD2FAtwyyocFgqGQn6ADyI/edit?usp=sharing"",""กระบี่!J640"")"),0)</f>
        <v>0</v>
      </c>
    </row>
    <row r="76" spans="1:34" ht="19.5" x14ac:dyDescent="0.3">
      <c r="A76" s="70">
        <v>2</v>
      </c>
      <c r="B76" s="71" t="s">
        <v>104</v>
      </c>
      <c r="C76" s="68">
        <f ca="1">IFERROR(__xludf.DUMMYFUNCTION("IMPORTRANGE(""https://docs.google.com/spreadsheets/d/1GwtLaSlNZkLk7iDqcyZz22giiy40b_usZZBXYciEN1U/edit?usp=sharing"",""ชุมพร!Q616"")"),7300)</f>
        <v>7300</v>
      </c>
      <c r="D76" s="68">
        <f ca="1">IFERROR(__xludf.DUMMYFUNCTION("IMPORTRANGE(""https://docs.google.com/spreadsheets/d/1GwtLaSlNZkLk7iDqcyZz22giiy40b_usZZBXYciEN1U/edit?usp=sharing"",""ชุมพร!R616"")"),7300)</f>
        <v>7300</v>
      </c>
      <c r="E76" s="68">
        <f ca="1">IFERROR(__xludf.DUMMYFUNCTION("IMPORTRANGE(""https://docs.google.com/spreadsheets/d/1GwtLaSlNZkLk7iDqcyZz22giiy40b_usZZBXYciEN1U/edit?usp=sharing"",""ชุมพร!S616"")"),0)</f>
        <v>0</v>
      </c>
      <c r="F76" s="68">
        <f t="shared" ca="1" si="24"/>
        <v>0</v>
      </c>
      <c r="G76" s="68">
        <f t="shared" ca="1" si="25"/>
        <v>0</v>
      </c>
      <c r="H76" s="278">
        <f ca="1">IFERROR(__xludf.DUMMYFUNCTION("IMPORTRANGE(""https://docs.google.com/spreadsheets/d/1GwtLaSlNZkLk7iDqcyZz22giiy40b_usZZBXYciEN1U/edit?usp=sharing"",""ชุมพร!I626"")"),50)</f>
        <v>50</v>
      </c>
      <c r="I76" s="152">
        <f ca="1">IFERROR(__xludf.DUMMYFUNCTION("IMPORTRANGE(""https://docs.google.com/spreadsheets/d/1GwtLaSlNZkLk7iDqcyZz22giiy40b_usZZBXYciEN1U/edit?usp=sharing"",""ชุมพร!J626"")"),0)</f>
        <v>0</v>
      </c>
      <c r="J76" s="216">
        <f t="shared" ca="1" si="27"/>
        <v>0</v>
      </c>
      <c r="K76" s="152">
        <f ca="1">IFERROR(__xludf.DUMMYFUNCTION("IMPORTRANGE(""https://docs.google.com/spreadsheets/d/1GwtLaSlNZkLk7iDqcyZz22giiy40b_usZZBXYciEN1U/edit?usp=sharing"",""ชุมพร!I627"")"),1)</f>
        <v>1</v>
      </c>
      <c r="L76" s="152">
        <f ca="1">IFERROR(__xludf.DUMMYFUNCTION("IMPORTRANGE(""https://docs.google.com/spreadsheets/d/1GwtLaSlNZkLk7iDqcyZz22giiy40b_usZZBXYciEN1U/edit?usp=sharing"",""ชุมพร!J627"")"),1)</f>
        <v>1</v>
      </c>
      <c r="M76" s="216">
        <f t="shared" ca="1" si="29"/>
        <v>100</v>
      </c>
      <c r="N76" s="152">
        <f ca="1">IFERROR(__xludf.DUMMYFUNCTION("IMPORTRANGE(""https://docs.google.com/spreadsheets/d/1GwtLaSlNZkLk7iDqcyZz22giiy40b_usZZBXYciEN1U/edit?usp=sharing"",""ชุมพร!I628"")"),1)</f>
        <v>1</v>
      </c>
      <c r="O76" s="152">
        <f ca="1">IFERROR(__xludf.DUMMYFUNCTION("IMPORTRANGE(""https://docs.google.com/spreadsheets/d/1GwtLaSlNZkLk7iDqcyZz22giiy40b_usZZBXYciEN1U/edit?usp=sharing"",""ชุมพร!J628"")"),1)</f>
        <v>1</v>
      </c>
      <c r="P76" s="216">
        <f t="shared" ca="1" si="31"/>
        <v>100</v>
      </c>
      <c r="Q76" s="152">
        <f ca="1">IFERROR(__xludf.DUMMYFUNCTION("IMPORTRANGE(""https://docs.google.com/spreadsheets/d/1GwtLaSlNZkLk7iDqcyZz22giiy40b_usZZBXYciEN1U/edit?usp=sharing"",""ชุมพร!J629"")"),0)</f>
        <v>0</v>
      </c>
      <c r="R76" s="216">
        <f t="shared" ca="1" si="38"/>
        <v>0</v>
      </c>
      <c r="S76" s="152">
        <f ca="1">IFERROR(__xludf.DUMMYFUNCTION("IMPORTRANGE(""https://docs.google.com/spreadsheets/d/1GwtLaSlNZkLk7iDqcyZz22giiy40b_usZZBXYciEN1U/edit?usp=sharing"",""ชุมพร!J630"")"),0)</f>
        <v>0</v>
      </c>
      <c r="T76" s="216">
        <f t="shared" ca="1" si="32"/>
        <v>0</v>
      </c>
      <c r="U76" s="216">
        <f ca="1">IFERROR(__xludf.DUMMYFUNCTION("IMPORTRANGE(""https://docs.google.com/spreadsheets/d/1GwtLaSlNZkLk7iDqcyZz22giiy40b_usZZBXYciEN1U/edit?usp=sharing"",""ชุมพร!J631"")"),0)</f>
        <v>0</v>
      </c>
      <c r="V76" s="216">
        <f t="shared" ca="1" si="33"/>
        <v>0</v>
      </c>
      <c r="W76" s="216">
        <f ca="1">IFERROR(__xludf.DUMMYFUNCTION("IMPORTRANGE(""https://docs.google.com/spreadsheets/d/1GwtLaSlNZkLk7iDqcyZz22giiy40b_usZZBXYciEN1U/edit?usp=sharing"",""ชุมพร!J632"")"),0)</f>
        <v>0</v>
      </c>
      <c r="X76" s="216">
        <f t="shared" ca="1" si="34"/>
        <v>0</v>
      </c>
      <c r="Y76" s="216">
        <f ca="1">IFERROR(__xludf.DUMMYFUNCTION("IMPORTRANGE(""https://docs.google.com/spreadsheets/d/1GwtLaSlNZkLk7iDqcyZz22giiy40b_usZZBXYciEN1U/edit?usp=sharing"",""ชุมพร!J633"")"),0)</f>
        <v>0</v>
      </c>
      <c r="Z76" s="216">
        <f ca="1">IFERROR(__xludf.DUMMYFUNCTION("IMPORTRANGE(""https://docs.google.com/spreadsheets/d/1GwtLaSlNZkLk7iDqcyZz22giiy40b_usZZBXYciEN1U/edit?usp=sharing"",""ชุมพร!J634"")"),0)</f>
        <v>0</v>
      </c>
      <c r="AA76" s="152">
        <f ca="1">IFERROR(__xludf.DUMMYFUNCTION("IMPORTRANGE(""https://docs.google.com/spreadsheets/d/1GwtLaSlNZkLk7iDqcyZz22giiy40b_usZZBXYciEN1U/edit?usp=sharing"",""ชุมพร!I635"")"),0)</f>
        <v>0</v>
      </c>
      <c r="AB76" s="152">
        <f ca="1">IFERROR(__xludf.DUMMYFUNCTION("IMPORTRANGE(""https://docs.google.com/spreadsheets/d/1GwtLaSlNZkLk7iDqcyZz22giiy40b_usZZBXYciEN1U/edit?usp=sharing"",""ชุมพร!J635"")"),0)</f>
        <v>0</v>
      </c>
      <c r="AC76" s="216">
        <f t="shared" ca="1" si="36"/>
        <v>0</v>
      </c>
      <c r="AD76" s="152">
        <f ca="1">IFERROR(__xludf.DUMMYFUNCTION("IMPORTRANGE(""https://docs.google.com/spreadsheets/d/1GwtLaSlNZkLk7iDqcyZz22giiy40b_usZZBXYciEN1U/edit?usp=sharing"",""ชุมพร!J636"")"),0)</f>
        <v>0</v>
      </c>
      <c r="AE76" s="152">
        <f ca="1">IFERROR(__xludf.DUMMYFUNCTION("IMPORTRANGE(""https://docs.google.com/spreadsheets/d/1GwtLaSlNZkLk7iDqcyZz22giiy40b_usZZBXYciEN1U/edit?usp=sharing"",""ชุมพร!J637"")"),0)</f>
        <v>0</v>
      </c>
      <c r="AF76" s="152">
        <f ca="1">IFERROR(__xludf.DUMMYFUNCTION("IMPORTRANGE(""https://docs.google.com/spreadsheets/d/1GwtLaSlNZkLk7iDqcyZz22giiy40b_usZZBXYciEN1U/edit?usp=sharing"",""ชุมพร!J638"")"),0)</f>
        <v>0</v>
      </c>
      <c r="AG76" s="152">
        <f ca="1">IFERROR(__xludf.DUMMYFUNCTION("IMPORTRANGE(""https://docs.google.com/spreadsheets/d/1GwtLaSlNZkLk7iDqcyZz22giiy40b_usZZBXYciEN1U/edit?usp=sharing"",""ชุมพร!J639"")"),0)</f>
        <v>0</v>
      </c>
      <c r="AH76" s="152">
        <f ca="1">IFERROR(__xludf.DUMMYFUNCTION("IMPORTRANGE(""https://docs.google.com/spreadsheets/d/1GwtLaSlNZkLk7iDqcyZz22giiy40b_usZZBXYciEN1U/edit?usp=sharing"",""ชุมพร!J640"")"),0)</f>
        <v>0</v>
      </c>
    </row>
    <row r="77" spans="1:34" ht="19.5" x14ac:dyDescent="0.3">
      <c r="A77" s="70">
        <v>3</v>
      </c>
      <c r="B77" s="71" t="s">
        <v>105</v>
      </c>
      <c r="C77" s="68">
        <f ca="1">IFERROR(__xludf.DUMMYFUNCTION("IMPORTRANGE(""https://docs.google.com/spreadsheets/d/16pAz3pOhQEZBhvFNMa5KGgZS6iKWpsKX0pg6tQmwFpo/edit?usp=sharing"",""ตรัง!Q616"")"),7350)</f>
        <v>7350</v>
      </c>
      <c r="D77" s="68">
        <f ca="1">IFERROR(__xludf.DUMMYFUNCTION("IMPORTRANGE(""https://docs.google.com/spreadsheets/d/16pAz3pOhQEZBhvFNMa5KGgZS6iKWpsKX0pg6tQmwFpo/edit?usp=sharing"",""ตรัง!R616"")"),7350)</f>
        <v>7350</v>
      </c>
      <c r="E77" s="68">
        <f ca="1">IFERROR(__xludf.DUMMYFUNCTION("IMPORTRANGE(""https://docs.google.com/spreadsheets/d/16pAz3pOhQEZBhvFNMa5KGgZS6iKWpsKX0pg6tQmwFpo/edit?usp=sharing"",""ตรัง!S616"")"),1600)</f>
        <v>1600</v>
      </c>
      <c r="F77" s="68">
        <f t="shared" ca="1" si="24"/>
        <v>21.768707482993197</v>
      </c>
      <c r="G77" s="68">
        <f t="shared" ca="1" si="25"/>
        <v>21.768707482993197</v>
      </c>
      <c r="H77" s="278">
        <f ca="1">IFERROR(__xludf.DUMMYFUNCTION("IMPORTRANGE(""https://docs.google.com/spreadsheets/d/16pAz3pOhQEZBhvFNMa5KGgZS6iKWpsKX0pg6tQmwFpo/edit?usp=sharing"",""ตรัง!I626"")"),50)</f>
        <v>50</v>
      </c>
      <c r="I77" s="152">
        <f ca="1">IFERROR(__xludf.DUMMYFUNCTION("IMPORTRANGE(""https://docs.google.com/spreadsheets/d/16pAz3pOhQEZBhvFNMa5KGgZS6iKWpsKX0pg6tQmwFpo/edit?usp=sharing"",""ตรัง!J626"")"),0)</f>
        <v>0</v>
      </c>
      <c r="J77" s="216">
        <f t="shared" ca="1" si="27"/>
        <v>0</v>
      </c>
      <c r="K77" s="152">
        <f ca="1">IFERROR(__xludf.DUMMYFUNCTION("IMPORTRANGE(""https://docs.google.com/spreadsheets/d/16pAz3pOhQEZBhvFNMa5KGgZS6iKWpsKX0pg6tQmwFpo/edit?usp=sharing"",""ตรัง!I627"")"),1)</f>
        <v>1</v>
      </c>
      <c r="L77" s="152">
        <f ca="1">IFERROR(__xludf.DUMMYFUNCTION("IMPORTRANGE(""https://docs.google.com/spreadsheets/d/16pAz3pOhQEZBhvFNMa5KGgZS6iKWpsKX0pg6tQmwFpo/edit?usp=sharing"",""ตรัง!J627"")"),1)</f>
        <v>1</v>
      </c>
      <c r="M77" s="216">
        <f t="shared" ca="1" si="29"/>
        <v>100</v>
      </c>
      <c r="N77" s="152">
        <f ca="1">IFERROR(__xludf.DUMMYFUNCTION("IMPORTRANGE(""https://docs.google.com/spreadsheets/d/16pAz3pOhQEZBhvFNMa5KGgZS6iKWpsKX0pg6tQmwFpo/edit?usp=sharing"",""ตรัง!I628"")"),1)</f>
        <v>1</v>
      </c>
      <c r="O77" s="152">
        <f ca="1">IFERROR(__xludf.DUMMYFUNCTION("IMPORTRANGE(""https://docs.google.com/spreadsheets/d/16pAz3pOhQEZBhvFNMa5KGgZS6iKWpsKX0pg6tQmwFpo/edit?usp=sharing"",""ตรัง!J628"")"),1)</f>
        <v>1</v>
      </c>
      <c r="P77" s="216">
        <f t="shared" ca="1" si="31"/>
        <v>100</v>
      </c>
      <c r="Q77" s="152">
        <f ca="1">IFERROR(__xludf.DUMMYFUNCTION("IMPORTRANGE(""https://docs.google.com/spreadsheets/d/16pAz3pOhQEZBhvFNMa5KGgZS6iKWpsKX0pg6tQmwFpo/edit?usp=sharing"",""ตรัง!J629"")"),0)</f>
        <v>0</v>
      </c>
      <c r="R77" s="216">
        <f t="shared" ca="1" si="38"/>
        <v>0</v>
      </c>
      <c r="S77" s="152">
        <f ca="1">IFERROR(__xludf.DUMMYFUNCTION("IMPORTRANGE(""https://docs.google.com/spreadsheets/d/16pAz3pOhQEZBhvFNMa5KGgZS6iKWpsKX0pg6tQmwFpo/edit?usp=sharing"",""ตรัง!J630"")"),0)</f>
        <v>0</v>
      </c>
      <c r="T77" s="216">
        <f t="shared" ca="1" si="32"/>
        <v>0</v>
      </c>
      <c r="U77" s="216">
        <f ca="1">IFERROR(__xludf.DUMMYFUNCTION("IMPORTRANGE(""https://docs.google.com/spreadsheets/d/16pAz3pOhQEZBhvFNMa5KGgZS6iKWpsKX0pg6tQmwFpo/edit?usp=sharing"",""ตรัง!J631"")"),0)</f>
        <v>0</v>
      </c>
      <c r="V77" s="216">
        <f t="shared" ca="1" si="33"/>
        <v>0</v>
      </c>
      <c r="W77" s="216">
        <f ca="1">IFERROR(__xludf.DUMMYFUNCTION("IMPORTRANGE(""https://docs.google.com/spreadsheets/d/16pAz3pOhQEZBhvFNMa5KGgZS6iKWpsKX0pg6tQmwFpo/edit?usp=sharing"",""ตรัง!J632"")"),0)</f>
        <v>0</v>
      </c>
      <c r="X77" s="216">
        <f t="shared" ca="1" si="34"/>
        <v>0</v>
      </c>
      <c r="Y77" s="216">
        <f ca="1">IFERROR(__xludf.DUMMYFUNCTION("IMPORTRANGE(""https://docs.google.com/spreadsheets/d/16pAz3pOhQEZBhvFNMa5KGgZS6iKWpsKX0pg6tQmwFpo/edit?usp=sharing"",""ตรัง!J633"")"),0)</f>
        <v>0</v>
      </c>
      <c r="Z77" s="216">
        <f ca="1">IFERROR(__xludf.DUMMYFUNCTION("IMPORTRANGE(""https://docs.google.com/spreadsheets/d/16pAz3pOhQEZBhvFNMa5KGgZS6iKWpsKX0pg6tQmwFpo/edit?usp=sharing"",""ตรัง!J634"")"),0)</f>
        <v>0</v>
      </c>
      <c r="AA77" s="152">
        <f ca="1">IFERROR(__xludf.DUMMYFUNCTION("IMPORTRANGE(""https://docs.google.com/spreadsheets/d/16pAz3pOhQEZBhvFNMa5KGgZS6iKWpsKX0pg6tQmwFpo/edit?usp=sharing"",""ตรัง!I635"")"),0)</f>
        <v>0</v>
      </c>
      <c r="AB77" s="152">
        <f ca="1">IFERROR(__xludf.DUMMYFUNCTION("IMPORTRANGE(""https://docs.google.com/spreadsheets/d/16pAz3pOhQEZBhvFNMa5KGgZS6iKWpsKX0pg6tQmwFpo/edit?usp=sharing"",""ตรัง!J635"")"),0)</f>
        <v>0</v>
      </c>
      <c r="AC77" s="216">
        <f t="shared" ca="1" si="36"/>
        <v>0</v>
      </c>
      <c r="AD77" s="152">
        <f ca="1">IFERROR(__xludf.DUMMYFUNCTION("IMPORTRANGE(""https://docs.google.com/spreadsheets/d/16pAz3pOhQEZBhvFNMa5KGgZS6iKWpsKX0pg6tQmwFpo/edit?usp=sharing"",""ตรัง!J636"")"),0)</f>
        <v>0</v>
      </c>
      <c r="AE77" s="152">
        <f ca="1">IFERROR(__xludf.DUMMYFUNCTION("IMPORTRANGE(""https://docs.google.com/spreadsheets/d/16pAz3pOhQEZBhvFNMa5KGgZS6iKWpsKX0pg6tQmwFpo/edit?usp=sharing"",""ตรัง!J637"")"),0)</f>
        <v>0</v>
      </c>
      <c r="AF77" s="152">
        <f ca="1">IFERROR(__xludf.DUMMYFUNCTION("IMPORTRANGE(""https://docs.google.com/spreadsheets/d/16pAz3pOhQEZBhvFNMa5KGgZS6iKWpsKX0pg6tQmwFpo/edit?usp=sharing"",""ตรัง!J638"")"),0)</f>
        <v>0</v>
      </c>
      <c r="AG77" s="152">
        <f ca="1">IFERROR(__xludf.DUMMYFUNCTION("IMPORTRANGE(""https://docs.google.com/spreadsheets/d/16pAz3pOhQEZBhvFNMa5KGgZS6iKWpsKX0pg6tQmwFpo/edit?usp=sharing"",""ตรัง!J639"")"),0)</f>
        <v>0</v>
      </c>
      <c r="AH77" s="152">
        <f ca="1">IFERROR(__xludf.DUMMYFUNCTION("IMPORTRANGE(""https://docs.google.com/spreadsheets/d/16pAz3pOhQEZBhvFNMa5KGgZS6iKWpsKX0pg6tQmwFpo/edit?usp=sharing"",""ตรัง!J640"")"),0)</f>
        <v>0</v>
      </c>
    </row>
    <row r="78" spans="1:34" ht="19.5" x14ac:dyDescent="0.3">
      <c r="A78" s="70">
        <v>4</v>
      </c>
      <c r="B78" s="71" t="s">
        <v>106</v>
      </c>
      <c r="C78" s="68">
        <f ca="1">IFERROR(__xludf.DUMMYFUNCTION("IMPORTRANGE(""https://docs.google.com/spreadsheets/d/1Dj4jcHCTV9JXKCaMoheSXS52JE63kDKyG7bPXnFogHk/edit?usp=sharing"",""นครศรีธรรมราช!Q616"")"),12675)</f>
        <v>12675</v>
      </c>
      <c r="D78" s="68">
        <f ca="1">IFERROR(__xludf.DUMMYFUNCTION("IMPORTRANGE(""https://docs.google.com/spreadsheets/d/1Dj4jcHCTV9JXKCaMoheSXS52JE63kDKyG7bPXnFogHk/edit?usp=sharing"",""นครศรีธรรมราช!R616"")"),12675)</f>
        <v>12675</v>
      </c>
      <c r="E78" s="68">
        <f ca="1">IFERROR(__xludf.DUMMYFUNCTION("IMPORTRANGE(""https://docs.google.com/spreadsheets/d/1Dj4jcHCTV9JXKCaMoheSXS52JE63kDKyG7bPXnFogHk/edit?usp=sharing"",""นครศรีธรรมราช!S616"")"),1619)</f>
        <v>1619</v>
      </c>
      <c r="F78" s="68">
        <f t="shared" ca="1" si="24"/>
        <v>12.773175542406312</v>
      </c>
      <c r="G78" s="68">
        <f t="shared" ca="1" si="25"/>
        <v>12.773175542406312</v>
      </c>
      <c r="H78" s="278">
        <f ca="1">IFERROR(__xludf.DUMMYFUNCTION("IMPORTRANGE(""https://docs.google.com/spreadsheets/d/1Dj4jcHCTV9JXKCaMoheSXS52JE63kDKyG7bPXnFogHk/edit?usp=sharing"",""นครศรีธรรมราช!I626"")"),100)</f>
        <v>100</v>
      </c>
      <c r="I78" s="152">
        <f ca="1">IFERROR(__xludf.DUMMYFUNCTION("IMPORTRANGE(""https://docs.google.com/spreadsheets/d/1Dj4jcHCTV9JXKCaMoheSXS52JE63kDKyG7bPXnFogHk/edit?usp=sharing"",""นครศรีธรรมราช!J626"")"),0)</f>
        <v>0</v>
      </c>
      <c r="J78" s="216">
        <f t="shared" ca="1" si="27"/>
        <v>0</v>
      </c>
      <c r="K78" s="152">
        <f ca="1">IFERROR(__xludf.DUMMYFUNCTION("IMPORTRANGE(""https://docs.google.com/spreadsheets/d/1Dj4jcHCTV9JXKCaMoheSXS52JE63kDKyG7bPXnFogHk/edit?usp=sharing"",""นครศรีธรรมราช!I627"")"),1)</f>
        <v>1</v>
      </c>
      <c r="L78" s="152">
        <f ca="1">IFERROR(__xludf.DUMMYFUNCTION("IMPORTRANGE(""https://docs.google.com/spreadsheets/d/1Dj4jcHCTV9JXKCaMoheSXS52JE63kDKyG7bPXnFogHk/edit?usp=sharing"",""นครศรีธรรมราช!J627"")"),0)</f>
        <v>0</v>
      </c>
      <c r="M78" s="216">
        <f t="shared" ca="1" si="29"/>
        <v>0</v>
      </c>
      <c r="N78" s="152">
        <f ca="1">IFERROR(__xludf.DUMMYFUNCTION("IMPORTRANGE(""https://docs.google.com/spreadsheets/d/1Dj4jcHCTV9JXKCaMoheSXS52JE63kDKyG7bPXnFogHk/edit?usp=sharing"",""นครศรีธรรมราช!I628"")"),1)</f>
        <v>1</v>
      </c>
      <c r="O78" s="152">
        <f ca="1">IFERROR(__xludf.DUMMYFUNCTION("IMPORTRANGE(""https://docs.google.com/spreadsheets/d/1Dj4jcHCTV9JXKCaMoheSXS52JE63kDKyG7bPXnFogHk/edit?usp=sharing"",""นครศรีธรรมราช!J628"")"),0)</f>
        <v>0</v>
      </c>
      <c r="P78" s="216">
        <f t="shared" ca="1" si="31"/>
        <v>0</v>
      </c>
      <c r="Q78" s="152">
        <f ca="1">IFERROR(__xludf.DUMMYFUNCTION("IMPORTRANGE(""https://docs.google.com/spreadsheets/d/1Dj4jcHCTV9JXKCaMoheSXS52JE63kDKyG7bPXnFogHk/edit?usp=sharing"",""นครศรีธรรมราช!J629"")"),0)</f>
        <v>0</v>
      </c>
      <c r="R78" s="216">
        <f t="shared" ca="1" si="38"/>
        <v>0</v>
      </c>
      <c r="S78" s="152">
        <f ca="1">IFERROR(__xludf.DUMMYFUNCTION("IMPORTRANGE(""https://docs.google.com/spreadsheets/d/1Dj4jcHCTV9JXKCaMoheSXS52JE63kDKyG7bPXnFogHk/edit?usp=sharing"",""นครศรีธรรมราช!J630"")"),0)</f>
        <v>0</v>
      </c>
      <c r="T78" s="216">
        <f t="shared" ca="1" si="32"/>
        <v>0</v>
      </c>
      <c r="U78" s="216">
        <f ca="1">IFERROR(__xludf.DUMMYFUNCTION("IMPORTRANGE(""https://docs.google.com/spreadsheets/d/1Dj4jcHCTV9JXKCaMoheSXS52JE63kDKyG7bPXnFogHk/edit?usp=sharing"",""นครศรีธรรมราช!J631"")"),0)</f>
        <v>0</v>
      </c>
      <c r="V78" s="216">
        <f t="shared" ca="1" si="33"/>
        <v>0</v>
      </c>
      <c r="W78" s="216">
        <f ca="1">IFERROR(__xludf.DUMMYFUNCTION("IMPORTRANGE(""https://docs.google.com/spreadsheets/d/1Dj4jcHCTV9JXKCaMoheSXS52JE63kDKyG7bPXnFogHk/edit?usp=sharing"",""นครศรีธรรมราช!J632"")"),0)</f>
        <v>0</v>
      </c>
      <c r="X78" s="216">
        <f t="shared" ca="1" si="34"/>
        <v>0</v>
      </c>
      <c r="Y78" s="216">
        <f ca="1">IFERROR(__xludf.DUMMYFUNCTION("IMPORTRANGE(""https://docs.google.com/spreadsheets/d/1Dj4jcHCTV9JXKCaMoheSXS52JE63kDKyG7bPXnFogHk/edit?usp=sharing"",""นครศรีธรรมราช!J633"")"),0)</f>
        <v>0</v>
      </c>
      <c r="Z78" s="216">
        <f ca="1">IFERROR(__xludf.DUMMYFUNCTION("IMPORTRANGE(""https://docs.google.com/spreadsheets/d/1Dj4jcHCTV9JXKCaMoheSXS52JE63kDKyG7bPXnFogHk/edit?usp=sharing"",""นครศรีธรรมราช!J634"")"),0)</f>
        <v>0</v>
      </c>
      <c r="AA78" s="152">
        <f ca="1">IFERROR(__xludf.DUMMYFUNCTION("IMPORTRANGE(""https://docs.google.com/spreadsheets/d/1Dj4jcHCTV9JXKCaMoheSXS52JE63kDKyG7bPXnFogHk/edit?usp=sharing"",""นครศรีธรรมราช!I635"")"),0)</f>
        <v>0</v>
      </c>
      <c r="AB78" s="152">
        <f ca="1">IFERROR(__xludf.DUMMYFUNCTION("IMPORTRANGE(""https://docs.google.com/spreadsheets/d/1Dj4jcHCTV9JXKCaMoheSXS52JE63kDKyG7bPXnFogHk/edit?usp=sharing"",""นครศรีธรรมราช!J635"")"),0)</f>
        <v>0</v>
      </c>
      <c r="AC78" s="216">
        <f t="shared" ca="1" si="36"/>
        <v>0</v>
      </c>
      <c r="AD78" s="152">
        <f ca="1">IFERROR(__xludf.DUMMYFUNCTION("IMPORTRANGE(""https://docs.google.com/spreadsheets/d/1Dj4jcHCTV9JXKCaMoheSXS52JE63kDKyG7bPXnFogHk/edit?usp=sharing"",""นครศรีธรรมราช!J636"")"),0)</f>
        <v>0</v>
      </c>
      <c r="AE78" s="152">
        <f ca="1">IFERROR(__xludf.DUMMYFUNCTION("IMPORTRANGE(""https://docs.google.com/spreadsheets/d/1Dj4jcHCTV9JXKCaMoheSXS52JE63kDKyG7bPXnFogHk/edit?usp=sharing"",""นครศรีธรรมราช!J637"")"),0)</f>
        <v>0</v>
      </c>
      <c r="AF78" s="152">
        <f ca="1">IFERROR(__xludf.DUMMYFUNCTION("IMPORTRANGE(""https://docs.google.com/spreadsheets/d/1Dj4jcHCTV9JXKCaMoheSXS52JE63kDKyG7bPXnFogHk/edit?usp=sharing"",""นครศรีธรรมราช!J638"")"),0)</f>
        <v>0</v>
      </c>
      <c r="AG78" s="152">
        <f ca="1">IFERROR(__xludf.DUMMYFUNCTION("IMPORTRANGE(""https://docs.google.com/spreadsheets/d/1Dj4jcHCTV9JXKCaMoheSXS52JE63kDKyG7bPXnFogHk/edit?usp=sharing"",""นครศรีธรรมราช!J639"")"),0)</f>
        <v>0</v>
      </c>
      <c r="AH78" s="152">
        <f ca="1">IFERROR(__xludf.DUMMYFUNCTION("IMPORTRANGE(""https://docs.google.com/spreadsheets/d/1Dj4jcHCTV9JXKCaMoheSXS52JE63kDKyG7bPXnFogHk/edit?usp=sharing"",""นครศรีธรรมราช!J640"")"),0)</f>
        <v>0</v>
      </c>
    </row>
    <row r="79" spans="1:34" ht="19.5" x14ac:dyDescent="0.3">
      <c r="A79" s="70">
        <v>5</v>
      </c>
      <c r="B79" s="71" t="s">
        <v>107</v>
      </c>
      <c r="C79" s="68">
        <f ca="1">IFERROR(__xludf.DUMMYFUNCTION("IMPORTRANGE(""https://docs.google.com/spreadsheets/d/1iodCdmuK2GR3jzUwk8tpccY2JHQQA-87DLOtJP-ooyU/edit?usp=sharing"",""นราธิวาส!Q616"")"),6825)</f>
        <v>6825</v>
      </c>
      <c r="D79" s="68">
        <f ca="1">IFERROR(__xludf.DUMMYFUNCTION("IMPORTRANGE(""https://docs.google.com/spreadsheets/d/1iodCdmuK2GR3jzUwk8tpccY2JHQQA-87DLOtJP-ooyU/edit?usp=sharing"",""นราธิวาส!R616"")"),1825)</f>
        <v>1825</v>
      </c>
      <c r="E79" s="68">
        <f ca="1">IFERROR(__xludf.DUMMYFUNCTION("IMPORTRANGE(""https://docs.google.com/spreadsheets/d/1iodCdmuK2GR3jzUwk8tpccY2JHQQA-87DLOtJP-ooyU/edit?usp=sharing"",""นราธิวาส!S616"")"),1825)</f>
        <v>1825</v>
      </c>
      <c r="F79" s="68">
        <f t="shared" ca="1" si="24"/>
        <v>26.739926739926741</v>
      </c>
      <c r="G79" s="68">
        <f t="shared" ca="1" si="25"/>
        <v>100</v>
      </c>
      <c r="H79" s="278">
        <f ca="1">IFERROR(__xludf.DUMMYFUNCTION("IMPORTRANGE(""https://docs.google.com/spreadsheets/d/1iodCdmuK2GR3jzUwk8tpccY2JHQQA-87DLOtJP-ooyU/edit?usp=sharing"",""นราธิวาส!I626"")"),50)</f>
        <v>50</v>
      </c>
      <c r="I79" s="152">
        <f ca="1">IFERROR(__xludf.DUMMYFUNCTION("IMPORTRANGE(""https://docs.google.com/spreadsheets/d/1iodCdmuK2GR3jzUwk8tpccY2JHQQA-87DLOtJP-ooyU/edit?usp=sharing"",""นราธิวาส!J626"")"),0)</f>
        <v>0</v>
      </c>
      <c r="J79" s="216">
        <f t="shared" ca="1" si="27"/>
        <v>0</v>
      </c>
      <c r="K79" s="152">
        <f ca="1">IFERROR(__xludf.DUMMYFUNCTION("IMPORTRANGE(""https://docs.google.com/spreadsheets/d/1iodCdmuK2GR3jzUwk8tpccY2JHQQA-87DLOtJP-ooyU/edit?usp=sharing"",""นราธิวาส!I627"")"),0)</f>
        <v>0</v>
      </c>
      <c r="L79" s="152">
        <f ca="1">IFERROR(__xludf.DUMMYFUNCTION("IMPORTRANGE(""https://docs.google.com/spreadsheets/d/1iodCdmuK2GR3jzUwk8tpccY2JHQQA-87DLOtJP-ooyU/edit?usp=sharing"",""นราธิวาส!J627"")"),0)</f>
        <v>0</v>
      </c>
      <c r="M79" s="216">
        <f t="shared" ca="1" si="29"/>
        <v>0</v>
      </c>
      <c r="N79" s="152">
        <f ca="1">IFERROR(__xludf.DUMMYFUNCTION("IMPORTRANGE(""https://docs.google.com/spreadsheets/d/1iodCdmuK2GR3jzUwk8tpccY2JHQQA-87DLOtJP-ooyU/edit?usp=sharing"",""นราธิวาส!I628"")"),0)</f>
        <v>0</v>
      </c>
      <c r="O79" s="152">
        <f ca="1">IFERROR(__xludf.DUMMYFUNCTION("IMPORTRANGE(""https://docs.google.com/spreadsheets/d/1iodCdmuK2GR3jzUwk8tpccY2JHQQA-87DLOtJP-ooyU/edit?usp=sharing"",""นราธิวาส!J628"")"),0)</f>
        <v>0</v>
      </c>
      <c r="P79" s="216">
        <f t="shared" ca="1" si="31"/>
        <v>0</v>
      </c>
      <c r="Q79" s="152">
        <f ca="1">IFERROR(__xludf.DUMMYFUNCTION("IMPORTRANGE(""https://docs.google.com/spreadsheets/d/1iodCdmuK2GR3jzUwk8tpccY2JHQQA-87DLOtJP-ooyU/edit?usp=sharing"",""นราธิวาส!J629"")"),0)</f>
        <v>0</v>
      </c>
      <c r="R79" s="216">
        <f t="shared" ca="1" si="38"/>
        <v>0</v>
      </c>
      <c r="S79" s="152">
        <f ca="1">IFERROR(__xludf.DUMMYFUNCTION("IMPORTRANGE(""https://docs.google.com/spreadsheets/d/1iodCdmuK2GR3jzUwk8tpccY2JHQQA-87DLOtJP-ooyU/edit?usp=sharing"",""นราธิวาส!J630"")"),0)</f>
        <v>0</v>
      </c>
      <c r="T79" s="216">
        <f t="shared" ca="1" si="32"/>
        <v>0</v>
      </c>
      <c r="U79" s="216">
        <f ca="1">IFERROR(__xludf.DUMMYFUNCTION("IMPORTRANGE(""https://docs.google.com/spreadsheets/d/1iodCdmuK2GR3jzUwk8tpccY2JHQQA-87DLOtJP-ooyU/edit?usp=sharing"",""นราธิวาส!J631"")"),0)</f>
        <v>0</v>
      </c>
      <c r="V79" s="216">
        <f t="shared" ca="1" si="33"/>
        <v>0</v>
      </c>
      <c r="W79" s="216">
        <f ca="1">IFERROR(__xludf.DUMMYFUNCTION("IMPORTRANGE(""https://docs.google.com/spreadsheets/d/1iodCdmuK2GR3jzUwk8tpccY2JHQQA-87DLOtJP-ooyU/edit?usp=sharing"",""นราธิวาส!J632"")"),0)</f>
        <v>0</v>
      </c>
      <c r="X79" s="216">
        <f t="shared" ca="1" si="34"/>
        <v>0</v>
      </c>
      <c r="Y79" s="216">
        <f ca="1">IFERROR(__xludf.DUMMYFUNCTION("IMPORTRANGE(""https://docs.google.com/spreadsheets/d/1iodCdmuK2GR3jzUwk8tpccY2JHQQA-87DLOtJP-ooyU/edit?usp=sharing"",""นราธิวาส!J633"")"),0)</f>
        <v>0</v>
      </c>
      <c r="Z79" s="216">
        <f ca="1">IFERROR(__xludf.DUMMYFUNCTION("IMPORTRANGE(""https://docs.google.com/spreadsheets/d/1iodCdmuK2GR3jzUwk8tpccY2JHQQA-87DLOtJP-ooyU/edit?usp=sharing"",""นราธิวาส!J634"")"),0)</f>
        <v>0</v>
      </c>
      <c r="AA79" s="152">
        <f ca="1">IFERROR(__xludf.DUMMYFUNCTION("IMPORTRANGE(""https://docs.google.com/spreadsheets/d/1iodCdmuK2GR3jzUwk8tpccY2JHQQA-87DLOtJP-ooyU/edit?usp=sharing"",""นราธิวาส!I635"")"),0)</f>
        <v>0</v>
      </c>
      <c r="AB79" s="152">
        <f ca="1">IFERROR(__xludf.DUMMYFUNCTION("IMPORTRANGE(""https://docs.google.com/spreadsheets/d/1iodCdmuK2GR3jzUwk8tpccY2JHQQA-87DLOtJP-ooyU/edit?usp=sharing"",""นราธิวาส!J635"")"),0)</f>
        <v>0</v>
      </c>
      <c r="AC79" s="216">
        <f t="shared" ca="1" si="36"/>
        <v>0</v>
      </c>
      <c r="AD79" s="152">
        <f ca="1">IFERROR(__xludf.DUMMYFUNCTION("IMPORTRANGE(""https://docs.google.com/spreadsheets/d/1iodCdmuK2GR3jzUwk8tpccY2JHQQA-87DLOtJP-ooyU/edit?usp=sharing"",""นราธิวาส!J636"")"),0)</f>
        <v>0</v>
      </c>
      <c r="AE79" s="152">
        <f ca="1">IFERROR(__xludf.DUMMYFUNCTION("IMPORTRANGE(""https://docs.google.com/spreadsheets/d/1iodCdmuK2GR3jzUwk8tpccY2JHQQA-87DLOtJP-ooyU/edit?usp=sharing"",""นราธิวาส!J637"")"),0)</f>
        <v>0</v>
      </c>
      <c r="AF79" s="152">
        <f ca="1">IFERROR(__xludf.DUMMYFUNCTION("IMPORTRANGE(""https://docs.google.com/spreadsheets/d/1iodCdmuK2GR3jzUwk8tpccY2JHQQA-87DLOtJP-ooyU/edit?usp=sharing"",""นราธิวาส!J638"")"),0)</f>
        <v>0</v>
      </c>
      <c r="AG79" s="152">
        <f ca="1">IFERROR(__xludf.DUMMYFUNCTION("IMPORTRANGE(""https://docs.google.com/spreadsheets/d/1iodCdmuK2GR3jzUwk8tpccY2JHQQA-87DLOtJP-ooyU/edit?usp=sharing"",""นราธิวาส!J639"")"),0)</f>
        <v>0</v>
      </c>
      <c r="AH79" s="152">
        <f ca="1">IFERROR(__xludf.DUMMYFUNCTION("IMPORTRANGE(""https://docs.google.com/spreadsheets/d/1iodCdmuK2GR3jzUwk8tpccY2JHQQA-87DLOtJP-ooyU/edit?usp=sharing"",""นราธิวาส!J640"")"),0)</f>
        <v>0</v>
      </c>
    </row>
    <row r="80" spans="1:34" ht="19.5" x14ac:dyDescent="0.3">
      <c r="A80" s="70">
        <v>6</v>
      </c>
      <c r="B80" s="71" t="s">
        <v>108</v>
      </c>
      <c r="C80" s="68">
        <f ca="1">IFERROR(__xludf.DUMMYFUNCTION("IMPORTRANGE(""https://docs.google.com/spreadsheets/d/1SDNX3JhDdYRuIOsj0Wh2M-Qa_eaXl0NbWmhAOTbfQAs/edit?usp=sharing"",""ปัตตานี!Q616"")"),6800)</f>
        <v>6800</v>
      </c>
      <c r="D80" s="68">
        <f ca="1">IFERROR(__xludf.DUMMYFUNCTION("IMPORTRANGE(""https://docs.google.com/spreadsheets/d/1SDNX3JhDdYRuIOsj0Wh2M-Qa_eaXl0NbWmhAOTbfQAs/edit?usp=sharing"",""ปัตตานี!R616"")"),6800)</f>
        <v>6800</v>
      </c>
      <c r="E80" s="68">
        <f ca="1">IFERROR(__xludf.DUMMYFUNCTION("IMPORTRANGE(""https://docs.google.com/spreadsheets/d/1SDNX3JhDdYRuIOsj0Wh2M-Qa_eaXl0NbWmhAOTbfQAs/edit?usp=sharing"",""ปัตตานี!S616"")"),6150)</f>
        <v>6150</v>
      </c>
      <c r="F80" s="68">
        <f t="shared" ca="1" si="24"/>
        <v>90.441176470588232</v>
      </c>
      <c r="G80" s="68">
        <f t="shared" ca="1" si="25"/>
        <v>90.441176470588232</v>
      </c>
      <c r="H80" s="278">
        <f ca="1">IFERROR(__xludf.DUMMYFUNCTION("IMPORTRANGE(""https://docs.google.com/spreadsheets/d/1SDNX3JhDdYRuIOsj0Wh2M-Qa_eaXl0NbWmhAOTbfQAs/edit?usp=sharing"",""ปัตตานี!I626"")"),50)</f>
        <v>50</v>
      </c>
      <c r="I80" s="152">
        <f ca="1">IFERROR(__xludf.DUMMYFUNCTION("IMPORTRANGE(""https://docs.google.com/spreadsheets/d/1SDNX3JhDdYRuIOsj0Wh2M-Qa_eaXl0NbWmhAOTbfQAs/edit?usp=sharing"",""ปัตตานี!J626"")"),0)</f>
        <v>0</v>
      </c>
      <c r="J80" s="216">
        <f t="shared" ca="1" si="27"/>
        <v>0</v>
      </c>
      <c r="K80" s="152">
        <f ca="1">IFERROR(__xludf.DUMMYFUNCTION("IMPORTRANGE(""https://docs.google.com/spreadsheets/d/1SDNX3JhDdYRuIOsj0Wh2M-Qa_eaXl0NbWmhAOTbfQAs/edit?usp=sharing"",""ปัตตานี!I627"")"),0)</f>
        <v>0</v>
      </c>
      <c r="L80" s="152">
        <f ca="1">IFERROR(__xludf.DUMMYFUNCTION("IMPORTRANGE(""https://docs.google.com/spreadsheets/d/1SDNX3JhDdYRuIOsj0Wh2M-Qa_eaXl0NbWmhAOTbfQAs/edit?usp=sharing"",""ปัตตานี!J627"")"),0)</f>
        <v>0</v>
      </c>
      <c r="M80" s="216">
        <f t="shared" ca="1" si="29"/>
        <v>0</v>
      </c>
      <c r="N80" s="152">
        <f ca="1">IFERROR(__xludf.DUMMYFUNCTION("IMPORTRANGE(""https://docs.google.com/spreadsheets/d/1SDNX3JhDdYRuIOsj0Wh2M-Qa_eaXl0NbWmhAOTbfQAs/edit?usp=sharing"",""ปัตตานี!I628"")"),0)</f>
        <v>0</v>
      </c>
      <c r="O80" s="152">
        <f ca="1">IFERROR(__xludf.DUMMYFUNCTION("IMPORTRANGE(""https://docs.google.com/spreadsheets/d/1SDNX3JhDdYRuIOsj0Wh2M-Qa_eaXl0NbWmhAOTbfQAs/edit?usp=sharing"",""ปัตตานี!J628"")"),0)</f>
        <v>0</v>
      </c>
      <c r="P80" s="216">
        <f t="shared" ca="1" si="31"/>
        <v>0</v>
      </c>
      <c r="Q80" s="152">
        <f ca="1">IFERROR(__xludf.DUMMYFUNCTION("IMPORTRANGE(""https://docs.google.com/spreadsheets/d/1SDNX3JhDdYRuIOsj0Wh2M-Qa_eaXl0NbWmhAOTbfQAs/edit?usp=sharing"",""ปัตตานี!J629"")"),0)</f>
        <v>0</v>
      </c>
      <c r="R80" s="216">
        <f t="shared" ca="1" si="38"/>
        <v>0</v>
      </c>
      <c r="S80" s="152">
        <f ca="1">IFERROR(__xludf.DUMMYFUNCTION("IMPORTRANGE(""https://docs.google.com/spreadsheets/d/1SDNX3JhDdYRuIOsj0Wh2M-Qa_eaXl0NbWmhAOTbfQAs/edit?usp=sharing"",""ปัตตานี!J630"")"),0)</f>
        <v>0</v>
      </c>
      <c r="T80" s="216">
        <f t="shared" ca="1" si="32"/>
        <v>0</v>
      </c>
      <c r="U80" s="216">
        <f ca="1">IFERROR(__xludf.DUMMYFUNCTION("IMPORTRANGE(""https://docs.google.com/spreadsheets/d/1SDNX3JhDdYRuIOsj0Wh2M-Qa_eaXl0NbWmhAOTbfQAs/edit?usp=sharing"",""ปัตตานี!J631"")"),0)</f>
        <v>0</v>
      </c>
      <c r="V80" s="216">
        <f t="shared" ca="1" si="33"/>
        <v>0</v>
      </c>
      <c r="W80" s="216">
        <f ca="1">IFERROR(__xludf.DUMMYFUNCTION("IMPORTRANGE(""https://docs.google.com/spreadsheets/d/1SDNX3JhDdYRuIOsj0Wh2M-Qa_eaXl0NbWmhAOTbfQAs/edit?usp=sharing"",""ปัตตานี!J632"")"),0)</f>
        <v>0</v>
      </c>
      <c r="X80" s="216">
        <f t="shared" ca="1" si="34"/>
        <v>0</v>
      </c>
      <c r="Y80" s="216">
        <f ca="1">IFERROR(__xludf.DUMMYFUNCTION("IMPORTRANGE(""https://docs.google.com/spreadsheets/d/1SDNX3JhDdYRuIOsj0Wh2M-Qa_eaXl0NbWmhAOTbfQAs/edit?usp=sharing"",""ปัตตานี!J633"")"),0)</f>
        <v>0</v>
      </c>
      <c r="Z80" s="216">
        <f ca="1">IFERROR(__xludf.DUMMYFUNCTION("IMPORTRANGE(""https://docs.google.com/spreadsheets/d/1SDNX3JhDdYRuIOsj0Wh2M-Qa_eaXl0NbWmhAOTbfQAs/edit?usp=sharing"",""ปัตตานี!J634"")"),0)</f>
        <v>0</v>
      </c>
      <c r="AA80" s="152">
        <f ca="1">IFERROR(__xludf.DUMMYFUNCTION("IMPORTRANGE(""https://docs.google.com/spreadsheets/d/1SDNX3JhDdYRuIOsj0Wh2M-Qa_eaXl0NbWmhAOTbfQAs/edit?usp=sharing"",""ปัตตานี!I635"")"),0)</f>
        <v>0</v>
      </c>
      <c r="AB80" s="152">
        <f ca="1">IFERROR(__xludf.DUMMYFUNCTION("IMPORTRANGE(""https://docs.google.com/spreadsheets/d/1SDNX3JhDdYRuIOsj0Wh2M-Qa_eaXl0NbWmhAOTbfQAs/edit?usp=sharing"",""ปัตตานี!J635"")"),0)</f>
        <v>0</v>
      </c>
      <c r="AC80" s="216">
        <f t="shared" ca="1" si="36"/>
        <v>0</v>
      </c>
      <c r="AD80" s="152">
        <f ca="1">IFERROR(__xludf.DUMMYFUNCTION("IMPORTRANGE(""https://docs.google.com/spreadsheets/d/1SDNX3JhDdYRuIOsj0Wh2M-Qa_eaXl0NbWmhAOTbfQAs/edit?usp=sharing"",""ปัตตานี!J636"")"),0)</f>
        <v>0</v>
      </c>
      <c r="AE80" s="152">
        <f ca="1">IFERROR(__xludf.DUMMYFUNCTION("IMPORTRANGE(""https://docs.google.com/spreadsheets/d/1SDNX3JhDdYRuIOsj0Wh2M-Qa_eaXl0NbWmhAOTbfQAs/edit?usp=sharing"",""ปัตตานี!J637"")"),0)</f>
        <v>0</v>
      </c>
      <c r="AF80" s="152">
        <f ca="1">IFERROR(__xludf.DUMMYFUNCTION("IMPORTRANGE(""https://docs.google.com/spreadsheets/d/1SDNX3JhDdYRuIOsj0Wh2M-Qa_eaXl0NbWmhAOTbfQAs/edit?usp=sharing"",""ปัตตานี!J638"")"),0)</f>
        <v>0</v>
      </c>
      <c r="AG80" s="152">
        <f ca="1">IFERROR(__xludf.DUMMYFUNCTION("IMPORTRANGE(""https://docs.google.com/spreadsheets/d/1SDNX3JhDdYRuIOsj0Wh2M-Qa_eaXl0NbWmhAOTbfQAs/edit?usp=sharing"",""ปัตตานี!J639"")"),0)</f>
        <v>0</v>
      </c>
      <c r="AH80" s="152">
        <f ca="1">IFERROR(__xludf.DUMMYFUNCTION("IMPORTRANGE(""https://docs.google.com/spreadsheets/d/1SDNX3JhDdYRuIOsj0Wh2M-Qa_eaXl0NbWmhAOTbfQAs/edit?usp=sharing"",""ปัตตานี!J640"")"),0)</f>
        <v>0</v>
      </c>
    </row>
    <row r="81" spans="1:34" ht="19.5" x14ac:dyDescent="0.3">
      <c r="A81" s="70">
        <v>7</v>
      </c>
      <c r="B81" s="71" t="s">
        <v>109</v>
      </c>
      <c r="C81" s="68">
        <f ca="1">IFERROR(__xludf.DUMMYFUNCTION("IMPORTRANGE(""https://docs.google.com/spreadsheets/d/16JDLGguT8s5DsGCND1KcwHP_AWR_zDMTqLHPLJUKhaU/edit?usp=sharing"",""พังงา!Q616"")"),7300)</f>
        <v>7300</v>
      </c>
      <c r="D81" s="68">
        <f ca="1">IFERROR(__xludf.DUMMYFUNCTION("IMPORTRANGE(""https://docs.google.com/spreadsheets/d/16JDLGguT8s5DsGCND1KcwHP_AWR_zDMTqLHPLJUKhaU/edit?usp=sharing"",""พังงา!R616"")"),7300)</f>
        <v>7300</v>
      </c>
      <c r="E81" s="68">
        <f ca="1">IFERROR(__xludf.DUMMYFUNCTION("IMPORTRANGE(""https://docs.google.com/spreadsheets/d/16JDLGguT8s5DsGCND1KcwHP_AWR_zDMTqLHPLJUKhaU/edit?usp=sharing"",""พังงา!S616"")"),600)</f>
        <v>600</v>
      </c>
      <c r="F81" s="68">
        <f t="shared" ca="1" si="24"/>
        <v>8.2191780821917817</v>
      </c>
      <c r="G81" s="68">
        <f t="shared" ca="1" si="25"/>
        <v>8.2191780821917817</v>
      </c>
      <c r="H81" s="278">
        <f ca="1">IFERROR(__xludf.DUMMYFUNCTION("IMPORTRANGE(""https://docs.google.com/spreadsheets/d/16JDLGguT8s5DsGCND1KcwHP_AWR_zDMTqLHPLJUKhaU/edit?usp=sharing"",""พังงา!I626"")"),50)</f>
        <v>50</v>
      </c>
      <c r="I81" s="152">
        <f ca="1">IFERROR(__xludf.DUMMYFUNCTION("IMPORTRANGE(""https://docs.google.com/spreadsheets/d/16JDLGguT8s5DsGCND1KcwHP_AWR_zDMTqLHPLJUKhaU/edit?usp=sharing"",""พังงา!J626"")"),0)</f>
        <v>0</v>
      </c>
      <c r="J81" s="216">
        <f t="shared" ca="1" si="27"/>
        <v>0</v>
      </c>
      <c r="K81" s="152">
        <f ca="1">IFERROR(__xludf.DUMMYFUNCTION("IMPORTRANGE(""https://docs.google.com/spreadsheets/d/16JDLGguT8s5DsGCND1KcwHP_AWR_zDMTqLHPLJUKhaU/edit?usp=sharing"",""พังงา!I627"")"),1)</f>
        <v>1</v>
      </c>
      <c r="L81" s="152">
        <f ca="1">IFERROR(__xludf.DUMMYFUNCTION("IMPORTRANGE(""https://docs.google.com/spreadsheets/d/16JDLGguT8s5DsGCND1KcwHP_AWR_zDMTqLHPLJUKhaU/edit?usp=sharing"",""พังงา!J627"")"),1)</f>
        <v>1</v>
      </c>
      <c r="M81" s="216">
        <f t="shared" ca="1" si="29"/>
        <v>100</v>
      </c>
      <c r="N81" s="152">
        <f ca="1">IFERROR(__xludf.DUMMYFUNCTION("IMPORTRANGE(""https://docs.google.com/spreadsheets/d/16JDLGguT8s5DsGCND1KcwHP_AWR_zDMTqLHPLJUKhaU/edit?usp=sharing"",""พังงา!I628"")"),1)</f>
        <v>1</v>
      </c>
      <c r="O81" s="152">
        <f ca="1">IFERROR(__xludf.DUMMYFUNCTION("IMPORTRANGE(""https://docs.google.com/spreadsheets/d/16JDLGguT8s5DsGCND1KcwHP_AWR_zDMTqLHPLJUKhaU/edit?usp=sharing"",""พังงา!J628"")"),1)</f>
        <v>1</v>
      </c>
      <c r="P81" s="216">
        <f t="shared" ca="1" si="31"/>
        <v>100</v>
      </c>
      <c r="Q81" s="152">
        <f ca="1">IFERROR(__xludf.DUMMYFUNCTION("IMPORTRANGE(""https://docs.google.com/spreadsheets/d/16JDLGguT8s5DsGCND1KcwHP_AWR_zDMTqLHPLJUKhaU/edit?usp=sharing"",""พังงา!J629"")"),0)</f>
        <v>0</v>
      </c>
      <c r="R81" s="216">
        <f t="shared" ca="1" si="38"/>
        <v>0</v>
      </c>
      <c r="S81" s="152">
        <f ca="1">IFERROR(__xludf.DUMMYFUNCTION("IMPORTRANGE(""https://docs.google.com/spreadsheets/d/16JDLGguT8s5DsGCND1KcwHP_AWR_zDMTqLHPLJUKhaU/edit?usp=sharing"",""พังงา!J630"")"),0)</f>
        <v>0</v>
      </c>
      <c r="T81" s="216">
        <f t="shared" ca="1" si="32"/>
        <v>0</v>
      </c>
      <c r="U81" s="216">
        <f ca="1">IFERROR(__xludf.DUMMYFUNCTION("IMPORTRANGE(""https://docs.google.com/spreadsheets/d/16JDLGguT8s5DsGCND1KcwHP_AWR_zDMTqLHPLJUKhaU/edit?usp=sharing"",""พังงา!J631"")"),0)</f>
        <v>0</v>
      </c>
      <c r="V81" s="216">
        <f t="shared" ca="1" si="33"/>
        <v>0</v>
      </c>
      <c r="W81" s="216">
        <f ca="1">IFERROR(__xludf.DUMMYFUNCTION("IMPORTRANGE(""https://docs.google.com/spreadsheets/d/16JDLGguT8s5DsGCND1KcwHP_AWR_zDMTqLHPLJUKhaU/edit?usp=sharing"",""พังงา!J632"")"),0)</f>
        <v>0</v>
      </c>
      <c r="X81" s="216">
        <f t="shared" ca="1" si="34"/>
        <v>0</v>
      </c>
      <c r="Y81" s="216">
        <f ca="1">IFERROR(__xludf.DUMMYFUNCTION("IMPORTRANGE(""https://docs.google.com/spreadsheets/d/16JDLGguT8s5DsGCND1KcwHP_AWR_zDMTqLHPLJUKhaU/edit?usp=sharing"",""พังงา!J633"")"),0)</f>
        <v>0</v>
      </c>
      <c r="Z81" s="216">
        <f ca="1">IFERROR(__xludf.DUMMYFUNCTION("IMPORTRANGE(""https://docs.google.com/spreadsheets/d/16JDLGguT8s5DsGCND1KcwHP_AWR_zDMTqLHPLJUKhaU/edit?usp=sharing"",""พังงา!J634"")"),0)</f>
        <v>0</v>
      </c>
      <c r="AA81" s="152">
        <f ca="1">IFERROR(__xludf.DUMMYFUNCTION("IMPORTRANGE(""https://docs.google.com/spreadsheets/d/16JDLGguT8s5DsGCND1KcwHP_AWR_zDMTqLHPLJUKhaU/edit?usp=sharing"",""พังงา!I635"")"),0)</f>
        <v>0</v>
      </c>
      <c r="AB81" s="152">
        <f ca="1">IFERROR(__xludf.DUMMYFUNCTION("IMPORTRANGE(""https://docs.google.com/spreadsheets/d/16JDLGguT8s5DsGCND1KcwHP_AWR_zDMTqLHPLJUKhaU/edit?usp=sharing"",""พังงา!J635"")"),0)</f>
        <v>0</v>
      </c>
      <c r="AC81" s="216">
        <f t="shared" ca="1" si="36"/>
        <v>0</v>
      </c>
      <c r="AD81" s="152">
        <f ca="1">IFERROR(__xludf.DUMMYFUNCTION("IMPORTRANGE(""https://docs.google.com/spreadsheets/d/16JDLGguT8s5DsGCND1KcwHP_AWR_zDMTqLHPLJUKhaU/edit?usp=sharing"",""พังงา!J636"")"),0)</f>
        <v>0</v>
      </c>
      <c r="AE81" s="152">
        <f ca="1">IFERROR(__xludf.DUMMYFUNCTION("IMPORTRANGE(""https://docs.google.com/spreadsheets/d/16JDLGguT8s5DsGCND1KcwHP_AWR_zDMTqLHPLJUKhaU/edit?usp=sharing"",""พังงา!J637"")"),0)</f>
        <v>0</v>
      </c>
      <c r="AF81" s="152">
        <f ca="1">IFERROR(__xludf.DUMMYFUNCTION("IMPORTRANGE(""https://docs.google.com/spreadsheets/d/16JDLGguT8s5DsGCND1KcwHP_AWR_zDMTqLHPLJUKhaU/edit?usp=sharing"",""พังงา!J638"")"),0)</f>
        <v>0</v>
      </c>
      <c r="AG81" s="152">
        <f ca="1">IFERROR(__xludf.DUMMYFUNCTION("IMPORTRANGE(""https://docs.google.com/spreadsheets/d/16JDLGguT8s5DsGCND1KcwHP_AWR_zDMTqLHPLJUKhaU/edit?usp=sharing"",""พังงา!J639"")"),0)</f>
        <v>0</v>
      </c>
      <c r="AH81" s="152">
        <f ca="1">IFERROR(__xludf.DUMMYFUNCTION("IMPORTRANGE(""https://docs.google.com/spreadsheets/d/16JDLGguT8s5DsGCND1KcwHP_AWR_zDMTqLHPLJUKhaU/edit?usp=sharing"",""พังงา!J640"")"),0)</f>
        <v>0</v>
      </c>
    </row>
    <row r="82" spans="1:34" ht="19.5" x14ac:dyDescent="0.3">
      <c r="A82" s="70">
        <v>8</v>
      </c>
      <c r="B82" s="71" t="s">
        <v>110</v>
      </c>
      <c r="C82" s="68">
        <f ca="1">IFERROR(__xludf.DUMMYFUNCTION("IMPORTRANGE(""https://docs.google.com/spreadsheets/d/17ht0gPKzzT3PObBL1XJkeRmntBXI7wGjpLV7QorqlTk/edit?usp=sharing"",""พัทลุง!Q616"")"),6775)</f>
        <v>6775</v>
      </c>
      <c r="D82" s="68">
        <f ca="1">IFERROR(__xludf.DUMMYFUNCTION("IMPORTRANGE(""https://docs.google.com/spreadsheets/d/17ht0gPKzzT3PObBL1XJkeRmntBXI7wGjpLV7QorqlTk/edit?usp=sharing"",""พัทลุง!R616"")"),0)</f>
        <v>0</v>
      </c>
      <c r="E82" s="68">
        <f ca="1">IFERROR(__xludf.DUMMYFUNCTION("IMPORTRANGE(""https://docs.google.com/spreadsheets/d/17ht0gPKzzT3PObBL1XJkeRmntBXI7wGjpLV7QorqlTk/edit?usp=sharing"",""พัทลุง!S616"")"),0)</f>
        <v>0</v>
      </c>
      <c r="F82" s="68">
        <f t="shared" ca="1" si="24"/>
        <v>0</v>
      </c>
      <c r="G82" s="68">
        <f t="shared" ca="1" si="25"/>
        <v>0</v>
      </c>
      <c r="H82" s="278">
        <f ca="1">IFERROR(__xludf.DUMMYFUNCTION("IMPORTRANGE(""https://docs.google.com/spreadsheets/d/17ht0gPKzzT3PObBL1XJkeRmntBXI7wGjpLV7QorqlTk/edit?usp=sharing"",""พัทลุง!I626"")"),50)</f>
        <v>50</v>
      </c>
      <c r="I82" s="152">
        <f ca="1">IFERROR(__xludf.DUMMYFUNCTION("IMPORTRANGE(""https://docs.google.com/spreadsheets/d/17ht0gPKzzT3PObBL1XJkeRmntBXI7wGjpLV7QorqlTk/edit?usp=sharing"",""พัทลุง!J626"")"),0)</f>
        <v>0</v>
      </c>
      <c r="J82" s="216">
        <f t="shared" ca="1" si="27"/>
        <v>0</v>
      </c>
      <c r="K82" s="152">
        <f ca="1">IFERROR(__xludf.DUMMYFUNCTION("IMPORTRANGE(""https://docs.google.com/spreadsheets/d/17ht0gPKzzT3PObBL1XJkeRmntBXI7wGjpLV7QorqlTk/edit?usp=sharing"",""พัทลุง!I627"")"),0)</f>
        <v>0</v>
      </c>
      <c r="L82" s="152">
        <f ca="1">IFERROR(__xludf.DUMMYFUNCTION("IMPORTRANGE(""https://docs.google.com/spreadsheets/d/17ht0gPKzzT3PObBL1XJkeRmntBXI7wGjpLV7QorqlTk/edit?usp=sharing"",""พัทลุง!J627"")"),0)</f>
        <v>0</v>
      </c>
      <c r="M82" s="216">
        <f t="shared" ca="1" si="29"/>
        <v>0</v>
      </c>
      <c r="N82" s="152">
        <f ca="1">IFERROR(__xludf.DUMMYFUNCTION("IMPORTRANGE(""https://docs.google.com/spreadsheets/d/17ht0gPKzzT3PObBL1XJkeRmntBXI7wGjpLV7QorqlTk/edit?usp=sharing"",""พัทลุง!I628"")"),0)</f>
        <v>0</v>
      </c>
      <c r="O82" s="152">
        <f ca="1">IFERROR(__xludf.DUMMYFUNCTION("IMPORTRANGE(""https://docs.google.com/spreadsheets/d/17ht0gPKzzT3PObBL1XJkeRmntBXI7wGjpLV7QorqlTk/edit?usp=sharing"",""พัทลุง!J628"")"),0)</f>
        <v>0</v>
      </c>
      <c r="P82" s="216">
        <f t="shared" ca="1" si="31"/>
        <v>0</v>
      </c>
      <c r="Q82" s="152">
        <f ca="1">IFERROR(__xludf.DUMMYFUNCTION("IMPORTRANGE(""https://docs.google.com/spreadsheets/d/17ht0gPKzzT3PObBL1XJkeRmntBXI7wGjpLV7QorqlTk/edit?usp=sharing"",""พัทลุง!J629"")"),0)</f>
        <v>0</v>
      </c>
      <c r="R82" s="216">
        <f t="shared" ca="1" si="38"/>
        <v>0</v>
      </c>
      <c r="S82" s="152">
        <f ca="1">IFERROR(__xludf.DUMMYFUNCTION("IMPORTRANGE(""https://docs.google.com/spreadsheets/d/17ht0gPKzzT3PObBL1XJkeRmntBXI7wGjpLV7QorqlTk/edit?usp=sharing"",""พัทลุง!J630"")"),0)</f>
        <v>0</v>
      </c>
      <c r="T82" s="216">
        <f t="shared" ca="1" si="32"/>
        <v>0</v>
      </c>
      <c r="U82" s="216">
        <f ca="1">IFERROR(__xludf.DUMMYFUNCTION("IMPORTRANGE(""https://docs.google.com/spreadsheets/d/17ht0gPKzzT3PObBL1XJkeRmntBXI7wGjpLV7QorqlTk/edit?usp=sharing"",""พัทลุง!J631"")"),0)</f>
        <v>0</v>
      </c>
      <c r="V82" s="216">
        <f t="shared" ca="1" si="33"/>
        <v>0</v>
      </c>
      <c r="W82" s="216">
        <f ca="1">IFERROR(__xludf.DUMMYFUNCTION("IMPORTRANGE(""https://docs.google.com/spreadsheets/d/17ht0gPKzzT3PObBL1XJkeRmntBXI7wGjpLV7QorqlTk/edit?usp=sharing"",""พัทลุง!J632"")"),0)</f>
        <v>0</v>
      </c>
      <c r="X82" s="216">
        <f t="shared" ca="1" si="34"/>
        <v>0</v>
      </c>
      <c r="Y82" s="216">
        <f ca="1">IFERROR(__xludf.DUMMYFUNCTION("IMPORTRANGE(""https://docs.google.com/spreadsheets/d/17ht0gPKzzT3PObBL1XJkeRmntBXI7wGjpLV7QorqlTk/edit?usp=sharing"",""พัทลุง!J633"")"),0)</f>
        <v>0</v>
      </c>
      <c r="Z82" s="216">
        <f ca="1">IFERROR(__xludf.DUMMYFUNCTION("IMPORTRANGE(""https://docs.google.com/spreadsheets/d/17ht0gPKzzT3PObBL1XJkeRmntBXI7wGjpLV7QorqlTk/edit?usp=sharing"",""พัทลุง!J634"")"),0)</f>
        <v>0</v>
      </c>
      <c r="AA82" s="152">
        <f ca="1">IFERROR(__xludf.DUMMYFUNCTION("IMPORTRANGE(""https://docs.google.com/spreadsheets/d/17ht0gPKzzT3PObBL1XJkeRmntBXI7wGjpLV7QorqlTk/edit?usp=sharing"",""พัทลุง!I635"")"),0)</f>
        <v>0</v>
      </c>
      <c r="AB82" s="152">
        <f ca="1">IFERROR(__xludf.DUMMYFUNCTION("IMPORTRANGE(""https://docs.google.com/spreadsheets/d/17ht0gPKzzT3PObBL1XJkeRmntBXI7wGjpLV7QorqlTk/edit?usp=sharing"",""พัทลุง!J635"")"),0)</f>
        <v>0</v>
      </c>
      <c r="AC82" s="216">
        <f t="shared" ca="1" si="36"/>
        <v>0</v>
      </c>
      <c r="AD82" s="152">
        <f ca="1">IFERROR(__xludf.DUMMYFUNCTION("IMPORTRANGE(""https://docs.google.com/spreadsheets/d/17ht0gPKzzT3PObBL1XJkeRmntBXI7wGjpLV7QorqlTk/edit?usp=sharing"",""พัทลุง!J636"")"),0)</f>
        <v>0</v>
      </c>
      <c r="AE82" s="152">
        <f ca="1">IFERROR(__xludf.DUMMYFUNCTION("IMPORTRANGE(""https://docs.google.com/spreadsheets/d/17ht0gPKzzT3PObBL1XJkeRmntBXI7wGjpLV7QorqlTk/edit?usp=sharing"",""พัทลุง!J637"")"),0)</f>
        <v>0</v>
      </c>
      <c r="AF82" s="152">
        <f ca="1">IFERROR(__xludf.DUMMYFUNCTION("IMPORTRANGE(""https://docs.google.com/spreadsheets/d/17ht0gPKzzT3PObBL1XJkeRmntBXI7wGjpLV7QorqlTk/edit?usp=sharing"",""พัทลุง!J638"")"),0)</f>
        <v>0</v>
      </c>
      <c r="AG82" s="152">
        <f ca="1">IFERROR(__xludf.DUMMYFUNCTION("IMPORTRANGE(""https://docs.google.com/spreadsheets/d/17ht0gPKzzT3PObBL1XJkeRmntBXI7wGjpLV7QorqlTk/edit?usp=sharing"",""พัทลุง!J639"")"),0)</f>
        <v>0</v>
      </c>
      <c r="AH82" s="152">
        <f ca="1">IFERROR(__xludf.DUMMYFUNCTION("IMPORTRANGE(""https://docs.google.com/spreadsheets/d/17ht0gPKzzT3PObBL1XJkeRmntBXI7wGjpLV7QorqlTk/edit?usp=sharing"",""พัทลุง!J640"")"),0)</f>
        <v>0</v>
      </c>
    </row>
    <row r="83" spans="1:34" ht="19.5" x14ac:dyDescent="0.3">
      <c r="A83" s="70">
        <v>9</v>
      </c>
      <c r="B83" s="71" t="s">
        <v>111</v>
      </c>
      <c r="C83" s="68">
        <f ca="1">IFERROR(__xludf.DUMMYFUNCTION("IMPORTRANGE(""https://docs.google.com/spreadsheets/d/1rd4qoM1q_hsgaolqNGfrim9gbsoLxQsda4-vOz5x_BM/edit?usp=sharing"",""ภูเก็ต!Q616"")"),1675)</f>
        <v>1675</v>
      </c>
      <c r="D83" s="68">
        <f ca="1">IFERROR(__xludf.DUMMYFUNCTION("IMPORTRANGE(""https://docs.google.com/spreadsheets/d/1rd4qoM1q_hsgaolqNGfrim9gbsoLxQsda4-vOz5x_BM/edit?usp=sharing"",""ภูเก็ต!R616"")"),1675)</f>
        <v>1675</v>
      </c>
      <c r="E83" s="68">
        <f ca="1">IFERROR(__xludf.DUMMYFUNCTION("IMPORTRANGE(""https://docs.google.com/spreadsheets/d/1rd4qoM1q_hsgaolqNGfrim9gbsoLxQsda4-vOz5x_BM/edit?usp=sharing"",""ภูเก็ต!S616"")"),600)</f>
        <v>600</v>
      </c>
      <c r="F83" s="68">
        <f t="shared" ca="1" si="24"/>
        <v>35.820895522388057</v>
      </c>
      <c r="G83" s="68">
        <f t="shared" ca="1" si="25"/>
        <v>35.820895522388057</v>
      </c>
      <c r="H83" s="278">
        <f ca="1">IFERROR(__xludf.DUMMYFUNCTION("IMPORTRANGE(""https://docs.google.com/spreadsheets/d/1rd4qoM1q_hsgaolqNGfrim9gbsoLxQsda4-vOz5x_BM/edit?usp=sharing"",""ภูเก็ต!I626"")"),0)</f>
        <v>0</v>
      </c>
      <c r="I83" s="152">
        <f ca="1">IFERROR(__xludf.DUMMYFUNCTION("IMPORTRANGE(""https://docs.google.com/spreadsheets/d/1rd4qoM1q_hsgaolqNGfrim9gbsoLxQsda4-vOz5x_BM/edit?usp=sharing"",""ภูเก็ต!J626"")"),0)</f>
        <v>0</v>
      </c>
      <c r="J83" s="216">
        <f t="shared" ca="1" si="27"/>
        <v>0</v>
      </c>
      <c r="K83" s="152">
        <f ca="1">IFERROR(__xludf.DUMMYFUNCTION("IMPORTRANGE(""https://docs.google.com/spreadsheets/d/1rd4qoM1q_hsgaolqNGfrim9gbsoLxQsda4-vOz5x_BM/edit?usp=sharing"",""ภูเก็ต!I627"")"),1)</f>
        <v>1</v>
      </c>
      <c r="L83" s="152">
        <f ca="1">IFERROR(__xludf.DUMMYFUNCTION("IMPORTRANGE(""https://docs.google.com/spreadsheets/d/1rd4qoM1q_hsgaolqNGfrim9gbsoLxQsda4-vOz5x_BM/edit?usp=sharing"",""ภูเก็ต!J627"")"),1)</f>
        <v>1</v>
      </c>
      <c r="M83" s="216">
        <f t="shared" ca="1" si="29"/>
        <v>100</v>
      </c>
      <c r="N83" s="152">
        <f ca="1">IFERROR(__xludf.DUMMYFUNCTION("IMPORTRANGE(""https://docs.google.com/spreadsheets/d/1rd4qoM1q_hsgaolqNGfrim9gbsoLxQsda4-vOz5x_BM/edit?usp=sharing"",""ภูเก็ต!I628"")"),1)</f>
        <v>1</v>
      </c>
      <c r="O83" s="152">
        <f ca="1">IFERROR(__xludf.DUMMYFUNCTION("IMPORTRANGE(""https://docs.google.com/spreadsheets/d/1rd4qoM1q_hsgaolqNGfrim9gbsoLxQsda4-vOz5x_BM/edit?usp=sharing"",""ภูเก็ต!J628"")"),1)</f>
        <v>1</v>
      </c>
      <c r="P83" s="216">
        <f t="shared" ca="1" si="31"/>
        <v>100</v>
      </c>
      <c r="Q83" s="152">
        <f ca="1">IFERROR(__xludf.DUMMYFUNCTION("IMPORTRANGE(""https://docs.google.com/spreadsheets/d/1rd4qoM1q_hsgaolqNGfrim9gbsoLxQsda4-vOz5x_BM/edit?usp=sharing"",""ภูเก็ต!J629"")"),0)</f>
        <v>0</v>
      </c>
      <c r="R83" s="216">
        <f t="shared" ca="1" si="38"/>
        <v>0</v>
      </c>
      <c r="S83" s="152">
        <f ca="1">IFERROR(__xludf.DUMMYFUNCTION("IMPORTRANGE(""https://docs.google.com/spreadsheets/d/1rd4qoM1q_hsgaolqNGfrim9gbsoLxQsda4-vOz5x_BM/edit?usp=sharing"",""ภูเก็ต!J630"")"),0)</f>
        <v>0</v>
      </c>
      <c r="T83" s="216">
        <f t="shared" ca="1" si="32"/>
        <v>0</v>
      </c>
      <c r="U83" s="216">
        <f ca="1">IFERROR(__xludf.DUMMYFUNCTION("IMPORTRANGE(""https://docs.google.com/spreadsheets/d/1rd4qoM1q_hsgaolqNGfrim9gbsoLxQsda4-vOz5x_BM/edit?usp=sharing"",""ภูเก็ต!J631"")"),0)</f>
        <v>0</v>
      </c>
      <c r="V83" s="216">
        <f t="shared" ca="1" si="33"/>
        <v>0</v>
      </c>
      <c r="W83" s="216">
        <f ca="1">IFERROR(__xludf.DUMMYFUNCTION("IMPORTRANGE(""https://docs.google.com/spreadsheets/d/1rd4qoM1q_hsgaolqNGfrim9gbsoLxQsda4-vOz5x_BM/edit?usp=sharing"",""ภูเก็ต!J632"")"),0)</f>
        <v>0</v>
      </c>
      <c r="X83" s="216">
        <f t="shared" ca="1" si="34"/>
        <v>0</v>
      </c>
      <c r="Y83" s="216">
        <f ca="1">IFERROR(__xludf.DUMMYFUNCTION("IMPORTRANGE(""https://docs.google.com/spreadsheets/d/1rd4qoM1q_hsgaolqNGfrim9gbsoLxQsda4-vOz5x_BM/edit?usp=sharing"",""ภูเก็ต!J633"")"),0)</f>
        <v>0</v>
      </c>
      <c r="Z83" s="216">
        <f ca="1">IFERROR(__xludf.DUMMYFUNCTION("IMPORTRANGE(""https://docs.google.com/spreadsheets/d/1rd4qoM1q_hsgaolqNGfrim9gbsoLxQsda4-vOz5x_BM/edit?usp=sharing"",""ภูเก็ต!J634"")"),0)</f>
        <v>0</v>
      </c>
      <c r="AA83" s="152">
        <f ca="1">IFERROR(__xludf.DUMMYFUNCTION("IMPORTRANGE(""https://docs.google.com/spreadsheets/d/1rd4qoM1q_hsgaolqNGfrim9gbsoLxQsda4-vOz5x_BM/edit?usp=sharing"",""ภูเก็ต!I635"")"),0)</f>
        <v>0</v>
      </c>
      <c r="AB83" s="152">
        <f ca="1">IFERROR(__xludf.DUMMYFUNCTION("IMPORTRANGE(""https://docs.google.com/spreadsheets/d/1rd4qoM1q_hsgaolqNGfrim9gbsoLxQsda4-vOz5x_BM/edit?usp=sharing"",""ภูเก็ต!J635"")"),0)</f>
        <v>0</v>
      </c>
      <c r="AC83" s="216">
        <f t="shared" ca="1" si="36"/>
        <v>0</v>
      </c>
      <c r="AD83" s="152">
        <f ca="1">IFERROR(__xludf.DUMMYFUNCTION("IMPORTRANGE(""https://docs.google.com/spreadsheets/d/1rd4qoM1q_hsgaolqNGfrim9gbsoLxQsda4-vOz5x_BM/edit?usp=sharing"",""ภูเก็ต!J636"")"),0)</f>
        <v>0</v>
      </c>
      <c r="AE83" s="152">
        <f ca="1">IFERROR(__xludf.DUMMYFUNCTION("IMPORTRANGE(""https://docs.google.com/spreadsheets/d/1rd4qoM1q_hsgaolqNGfrim9gbsoLxQsda4-vOz5x_BM/edit?usp=sharing"",""ภูเก็ต!J637"")"),0)</f>
        <v>0</v>
      </c>
      <c r="AF83" s="152">
        <f ca="1">IFERROR(__xludf.DUMMYFUNCTION("IMPORTRANGE(""https://docs.google.com/spreadsheets/d/1rd4qoM1q_hsgaolqNGfrim9gbsoLxQsda4-vOz5x_BM/edit?usp=sharing"",""ภูเก็ต!J638"")"),0)</f>
        <v>0</v>
      </c>
      <c r="AG83" s="152">
        <f ca="1">IFERROR(__xludf.DUMMYFUNCTION("IMPORTRANGE(""https://docs.google.com/spreadsheets/d/1rd4qoM1q_hsgaolqNGfrim9gbsoLxQsda4-vOz5x_BM/edit?usp=sharing"",""ภูเก็ต!J639"")"),0)</f>
        <v>0</v>
      </c>
      <c r="AH83" s="152">
        <f ca="1">IFERROR(__xludf.DUMMYFUNCTION("IMPORTRANGE(""https://docs.google.com/spreadsheets/d/1rd4qoM1q_hsgaolqNGfrim9gbsoLxQsda4-vOz5x_BM/edit?usp=sharing"",""ภูเก็ต!J640"")"),0)</f>
        <v>0</v>
      </c>
    </row>
    <row r="84" spans="1:34" ht="19.5" x14ac:dyDescent="0.3">
      <c r="A84" s="70">
        <v>10</v>
      </c>
      <c r="B84" s="71" t="s">
        <v>112</v>
      </c>
      <c r="C84" s="68">
        <f ca="1">IFERROR(__xludf.DUMMYFUNCTION("IMPORTRANGE(""https://docs.google.com/spreadsheets/d/1woKwKjgoLssDvPcPeVyezB5izizAn4X1JDrys69n6xI/edit?usp=sharing"",""ยะลา!Q616"")"),6700)</f>
        <v>6700</v>
      </c>
      <c r="D84" s="68">
        <f ca="1">IFERROR(__xludf.DUMMYFUNCTION("IMPORTRANGE(""https://docs.google.com/spreadsheets/d/1woKwKjgoLssDvPcPeVyezB5izizAn4X1JDrys69n6xI/edit?usp=sharing"",""ยะลา!R616"")"),6700)</f>
        <v>6700</v>
      </c>
      <c r="E84" s="68">
        <f ca="1">IFERROR(__xludf.DUMMYFUNCTION("IMPORTRANGE(""https://docs.google.com/spreadsheets/d/1woKwKjgoLssDvPcPeVyezB5izizAn4X1JDrys69n6xI/edit?usp=sharing"",""ยะลา!S616"")"),0)</f>
        <v>0</v>
      </c>
      <c r="F84" s="68">
        <f t="shared" ca="1" si="24"/>
        <v>0</v>
      </c>
      <c r="G84" s="68">
        <f t="shared" ca="1" si="25"/>
        <v>0</v>
      </c>
      <c r="H84" s="278">
        <f ca="1">IFERROR(__xludf.DUMMYFUNCTION("IMPORTRANGE(""https://docs.google.com/spreadsheets/d/1woKwKjgoLssDvPcPeVyezB5izizAn4X1JDrys69n6xI/edit?usp=sharing"",""ยะลา!I626"")"),50)</f>
        <v>50</v>
      </c>
      <c r="I84" s="152">
        <f ca="1">IFERROR(__xludf.DUMMYFUNCTION("IMPORTRANGE(""https://docs.google.com/spreadsheets/d/1woKwKjgoLssDvPcPeVyezB5izizAn4X1JDrys69n6xI/edit?usp=sharing"",""ยะลา!J626"")"),0)</f>
        <v>0</v>
      </c>
      <c r="J84" s="216">
        <f t="shared" ca="1" si="27"/>
        <v>0</v>
      </c>
      <c r="K84" s="152">
        <f ca="1">IFERROR(__xludf.DUMMYFUNCTION("IMPORTRANGE(""https://docs.google.com/spreadsheets/d/1woKwKjgoLssDvPcPeVyezB5izizAn4X1JDrys69n6xI/edit?usp=sharing"",""ยะลา!I627"")"),0)</f>
        <v>0</v>
      </c>
      <c r="L84" s="152">
        <f ca="1">IFERROR(__xludf.DUMMYFUNCTION("IMPORTRANGE(""https://docs.google.com/spreadsheets/d/1woKwKjgoLssDvPcPeVyezB5izizAn4X1JDrys69n6xI/edit?usp=sharing"",""ยะลา!J627"")"),0)</f>
        <v>0</v>
      </c>
      <c r="M84" s="216">
        <f t="shared" ca="1" si="29"/>
        <v>0</v>
      </c>
      <c r="N84" s="152">
        <f ca="1">IFERROR(__xludf.DUMMYFUNCTION("IMPORTRANGE(""https://docs.google.com/spreadsheets/d/1woKwKjgoLssDvPcPeVyezB5izizAn4X1JDrys69n6xI/edit?usp=sharing"",""ยะลา!I628"")"),0)</f>
        <v>0</v>
      </c>
      <c r="O84" s="152">
        <f ca="1">IFERROR(__xludf.DUMMYFUNCTION("IMPORTRANGE(""https://docs.google.com/spreadsheets/d/1woKwKjgoLssDvPcPeVyezB5izizAn4X1JDrys69n6xI/edit?usp=sharing"",""ยะลา!J628"")"),8)</f>
        <v>8</v>
      </c>
      <c r="P84" s="216">
        <f t="shared" ca="1" si="31"/>
        <v>0</v>
      </c>
      <c r="Q84" s="152">
        <f ca="1">IFERROR(__xludf.DUMMYFUNCTION("IMPORTRANGE(""https://docs.google.com/spreadsheets/d/1woKwKjgoLssDvPcPeVyezB5izizAn4X1JDrys69n6xI/edit?usp=sharing"",""ยะลา!J629"")"),0)</f>
        <v>0</v>
      </c>
      <c r="R84" s="216">
        <f t="shared" ca="1" si="38"/>
        <v>0</v>
      </c>
      <c r="S84" s="152">
        <f ca="1">IFERROR(__xludf.DUMMYFUNCTION("IMPORTRANGE(""https://docs.google.com/spreadsheets/d/1woKwKjgoLssDvPcPeVyezB5izizAn4X1JDrys69n6xI/edit?usp=sharing"",""ยะลา!J630"")"),0)</f>
        <v>0</v>
      </c>
      <c r="T84" s="216">
        <f t="shared" ca="1" si="32"/>
        <v>0</v>
      </c>
      <c r="U84" s="216">
        <f ca="1">IFERROR(__xludf.DUMMYFUNCTION("IMPORTRANGE(""https://docs.google.com/spreadsheets/d/1woKwKjgoLssDvPcPeVyezB5izizAn4X1JDrys69n6xI/edit?usp=sharing"",""ยะลา!J631"")"),0)</f>
        <v>0</v>
      </c>
      <c r="V84" s="216">
        <f t="shared" ca="1" si="33"/>
        <v>0</v>
      </c>
      <c r="W84" s="216">
        <f ca="1">IFERROR(__xludf.DUMMYFUNCTION("IMPORTRANGE(""https://docs.google.com/spreadsheets/d/1woKwKjgoLssDvPcPeVyezB5izizAn4X1JDrys69n6xI/edit?usp=sharing"",""ยะลา!J632"")"),0)</f>
        <v>0</v>
      </c>
      <c r="X84" s="216">
        <f t="shared" ca="1" si="34"/>
        <v>0</v>
      </c>
      <c r="Y84" s="216">
        <f ca="1">IFERROR(__xludf.DUMMYFUNCTION("IMPORTRANGE(""https://docs.google.com/spreadsheets/d/1woKwKjgoLssDvPcPeVyezB5izizAn4X1JDrys69n6xI/edit?usp=sharing"",""ยะลา!J633"")"),0)</f>
        <v>0</v>
      </c>
      <c r="Z84" s="216">
        <f ca="1">IFERROR(__xludf.DUMMYFUNCTION("IMPORTRANGE(""https://docs.google.com/spreadsheets/d/1woKwKjgoLssDvPcPeVyezB5izizAn4X1JDrys69n6xI/edit?usp=sharing"",""ยะลา!J634"")"),0)</f>
        <v>0</v>
      </c>
      <c r="AA84" s="152">
        <f ca="1">IFERROR(__xludf.DUMMYFUNCTION("IMPORTRANGE(""https://docs.google.com/spreadsheets/d/1woKwKjgoLssDvPcPeVyezB5izizAn4X1JDrys69n6xI/edit?usp=sharing"",""ยะลา!I635"")"),0)</f>
        <v>0</v>
      </c>
      <c r="AB84" s="152">
        <f ca="1">IFERROR(__xludf.DUMMYFUNCTION("IMPORTRANGE(""https://docs.google.com/spreadsheets/d/1woKwKjgoLssDvPcPeVyezB5izizAn4X1JDrys69n6xI/edit?usp=sharing"",""ยะลา!J635"")"),0)</f>
        <v>0</v>
      </c>
      <c r="AC84" s="216">
        <f t="shared" ca="1" si="36"/>
        <v>0</v>
      </c>
      <c r="AD84" s="152">
        <f ca="1">IFERROR(__xludf.DUMMYFUNCTION("IMPORTRANGE(""https://docs.google.com/spreadsheets/d/1woKwKjgoLssDvPcPeVyezB5izizAn4X1JDrys69n6xI/edit?usp=sharing"",""ยะลา!J636"")"),0)</f>
        <v>0</v>
      </c>
      <c r="AE84" s="152">
        <f ca="1">IFERROR(__xludf.DUMMYFUNCTION("IMPORTRANGE(""https://docs.google.com/spreadsheets/d/1woKwKjgoLssDvPcPeVyezB5izizAn4X1JDrys69n6xI/edit?usp=sharing"",""ยะลา!J637"")"),0)</f>
        <v>0</v>
      </c>
      <c r="AF84" s="152">
        <f ca="1">IFERROR(__xludf.DUMMYFUNCTION("IMPORTRANGE(""https://docs.google.com/spreadsheets/d/1woKwKjgoLssDvPcPeVyezB5izizAn4X1JDrys69n6xI/edit?usp=sharing"",""ยะลา!J638"")"),0)</f>
        <v>0</v>
      </c>
      <c r="AG84" s="152">
        <f ca="1">IFERROR(__xludf.DUMMYFUNCTION("IMPORTRANGE(""https://docs.google.com/spreadsheets/d/1woKwKjgoLssDvPcPeVyezB5izizAn4X1JDrys69n6xI/edit?usp=sharing"",""ยะลา!J639"")"),0)</f>
        <v>0</v>
      </c>
      <c r="AH84" s="152">
        <f ca="1">IFERROR(__xludf.DUMMYFUNCTION("IMPORTRANGE(""https://docs.google.com/spreadsheets/d/1woKwKjgoLssDvPcPeVyezB5izizAn4X1JDrys69n6xI/edit?usp=sharing"",""ยะลา!J640"")"),0)</f>
        <v>0</v>
      </c>
    </row>
    <row r="85" spans="1:34" ht="19.5" x14ac:dyDescent="0.3">
      <c r="A85" s="70">
        <v>11</v>
      </c>
      <c r="B85" s="71" t="s">
        <v>113</v>
      </c>
      <c r="C85" s="68">
        <f ca="1">IFERROR(__xludf.DUMMYFUNCTION("IMPORTRANGE(""https://docs.google.com/spreadsheets/d/1qfrKjzMhm2HJfxQ-qVlJlJQ25Hne1d0khsySbZyGtPA/edit?usp=sharing"",""ระนอง!Q616"")"),1725)</f>
        <v>1725</v>
      </c>
      <c r="D85" s="68">
        <f ca="1">IFERROR(__xludf.DUMMYFUNCTION("IMPORTRANGE(""https://docs.google.com/spreadsheets/d/1qfrKjzMhm2HJfxQ-qVlJlJQ25Hne1d0khsySbZyGtPA/edit?usp=sharing"",""ระนอง!R616"")"),1725)</f>
        <v>1725</v>
      </c>
      <c r="E85" s="68">
        <f ca="1">IFERROR(__xludf.DUMMYFUNCTION("IMPORTRANGE(""https://docs.google.com/spreadsheets/d/1qfrKjzMhm2HJfxQ-qVlJlJQ25Hne1d0khsySbZyGtPA/edit?usp=sharing"",""ระนอง!S616"")"),1725)</f>
        <v>1725</v>
      </c>
      <c r="F85" s="68">
        <f t="shared" ca="1" si="24"/>
        <v>100</v>
      </c>
      <c r="G85" s="68">
        <f t="shared" ca="1" si="25"/>
        <v>100</v>
      </c>
      <c r="H85" s="278">
        <f ca="1">IFERROR(__xludf.DUMMYFUNCTION("IMPORTRANGE(""https://docs.google.com/spreadsheets/d/1qfrKjzMhm2HJfxQ-qVlJlJQ25Hne1d0khsySbZyGtPA/edit?usp=sharing"",""ระนอง!I626"")"),0)</f>
        <v>0</v>
      </c>
      <c r="I85" s="152">
        <f ca="1">IFERROR(__xludf.DUMMYFUNCTION("IMPORTRANGE(""https://docs.google.com/spreadsheets/d/1qfrKjzMhm2HJfxQ-qVlJlJQ25Hne1d0khsySbZyGtPA/edit?usp=sharing"",""ระนอง!J626"")"),0)</f>
        <v>0</v>
      </c>
      <c r="J85" s="216">
        <f t="shared" ca="1" si="27"/>
        <v>0</v>
      </c>
      <c r="K85" s="152">
        <f ca="1">IFERROR(__xludf.DUMMYFUNCTION("IMPORTRANGE(""https://docs.google.com/spreadsheets/d/1qfrKjzMhm2HJfxQ-qVlJlJQ25Hne1d0khsySbZyGtPA/edit?usp=sharing"",""ระนอง!I627"")"),1)</f>
        <v>1</v>
      </c>
      <c r="L85" s="152">
        <f ca="1">IFERROR(__xludf.DUMMYFUNCTION("IMPORTRANGE(""https://docs.google.com/spreadsheets/d/1qfrKjzMhm2HJfxQ-qVlJlJQ25Hne1d0khsySbZyGtPA/edit?usp=sharing"",""ระนอง!J627"")"),1)</f>
        <v>1</v>
      </c>
      <c r="M85" s="216">
        <f t="shared" ca="1" si="29"/>
        <v>100</v>
      </c>
      <c r="N85" s="152">
        <f ca="1">IFERROR(__xludf.DUMMYFUNCTION("IMPORTRANGE(""https://docs.google.com/spreadsheets/d/1qfrKjzMhm2HJfxQ-qVlJlJQ25Hne1d0khsySbZyGtPA/edit?usp=sharing"",""ระนอง!I628"")"),1)</f>
        <v>1</v>
      </c>
      <c r="O85" s="152">
        <f ca="1">IFERROR(__xludf.DUMMYFUNCTION("IMPORTRANGE(""https://docs.google.com/spreadsheets/d/1qfrKjzMhm2HJfxQ-qVlJlJQ25Hne1d0khsySbZyGtPA/edit?usp=sharing"",""ระนอง!J628"")"),1)</f>
        <v>1</v>
      </c>
      <c r="P85" s="216">
        <f t="shared" ca="1" si="31"/>
        <v>100</v>
      </c>
      <c r="Q85" s="152">
        <f ca="1">IFERROR(__xludf.DUMMYFUNCTION("IMPORTRANGE(""https://docs.google.com/spreadsheets/d/1qfrKjzMhm2HJfxQ-qVlJlJQ25Hne1d0khsySbZyGtPA/edit?usp=sharing"",""ระนอง!J629"")"),0)</f>
        <v>0</v>
      </c>
      <c r="R85" s="216">
        <f t="shared" ca="1" si="38"/>
        <v>0</v>
      </c>
      <c r="S85" s="152">
        <f ca="1">IFERROR(__xludf.DUMMYFUNCTION("IMPORTRANGE(""https://docs.google.com/spreadsheets/d/1qfrKjzMhm2HJfxQ-qVlJlJQ25Hne1d0khsySbZyGtPA/edit?usp=sharing"",""ระนอง!J630"")"),0)</f>
        <v>0</v>
      </c>
      <c r="T85" s="216">
        <f t="shared" ca="1" si="32"/>
        <v>0</v>
      </c>
      <c r="U85" s="216">
        <f ca="1">IFERROR(__xludf.DUMMYFUNCTION("IMPORTRANGE(""https://docs.google.com/spreadsheets/d/1qfrKjzMhm2HJfxQ-qVlJlJQ25Hne1d0khsySbZyGtPA/edit?usp=sharing"",""ระนอง!J631"")"),0)</f>
        <v>0</v>
      </c>
      <c r="V85" s="216">
        <f t="shared" ca="1" si="33"/>
        <v>0</v>
      </c>
      <c r="W85" s="216">
        <f ca="1">IFERROR(__xludf.DUMMYFUNCTION("IMPORTRANGE(""https://docs.google.com/spreadsheets/d/1qfrKjzMhm2HJfxQ-qVlJlJQ25Hne1d0khsySbZyGtPA/edit?usp=sharing"",""ระนอง!J632"")"),0)</f>
        <v>0</v>
      </c>
      <c r="X85" s="216">
        <f t="shared" ca="1" si="34"/>
        <v>0</v>
      </c>
      <c r="Y85" s="216">
        <f ca="1">IFERROR(__xludf.DUMMYFUNCTION("IMPORTRANGE(""https://docs.google.com/spreadsheets/d/1qfrKjzMhm2HJfxQ-qVlJlJQ25Hne1d0khsySbZyGtPA/edit?usp=sharing"",""ระนอง!J633"")"),0)</f>
        <v>0</v>
      </c>
      <c r="Z85" s="216">
        <f ca="1">IFERROR(__xludf.DUMMYFUNCTION("IMPORTRANGE(""https://docs.google.com/spreadsheets/d/1qfrKjzMhm2HJfxQ-qVlJlJQ25Hne1d0khsySbZyGtPA/edit?usp=sharing"",""ระนอง!J634"")"),0)</f>
        <v>0</v>
      </c>
      <c r="AA85" s="152">
        <f ca="1">IFERROR(__xludf.DUMMYFUNCTION("IMPORTRANGE(""https://docs.google.com/spreadsheets/d/1qfrKjzMhm2HJfxQ-qVlJlJQ25Hne1d0khsySbZyGtPA/edit?usp=sharing"",""ระนอง!I635"")"),0)</f>
        <v>0</v>
      </c>
      <c r="AB85" s="152">
        <f ca="1">IFERROR(__xludf.DUMMYFUNCTION("IMPORTRANGE(""https://docs.google.com/spreadsheets/d/1qfrKjzMhm2HJfxQ-qVlJlJQ25Hne1d0khsySbZyGtPA/edit?usp=sharing"",""ระนอง!J635"")"),0)</f>
        <v>0</v>
      </c>
      <c r="AC85" s="216">
        <f t="shared" ca="1" si="36"/>
        <v>0</v>
      </c>
      <c r="AD85" s="152">
        <f ca="1">IFERROR(__xludf.DUMMYFUNCTION("IMPORTRANGE(""https://docs.google.com/spreadsheets/d/1qfrKjzMhm2HJfxQ-qVlJlJQ25Hne1d0khsySbZyGtPA/edit?usp=sharing"",""ระนอง!J636"")"),0)</f>
        <v>0</v>
      </c>
      <c r="AE85" s="152">
        <f ca="1">IFERROR(__xludf.DUMMYFUNCTION("IMPORTRANGE(""https://docs.google.com/spreadsheets/d/1qfrKjzMhm2HJfxQ-qVlJlJQ25Hne1d0khsySbZyGtPA/edit?usp=sharing"",""ระนอง!J637"")"),0)</f>
        <v>0</v>
      </c>
      <c r="AF85" s="152">
        <f ca="1">IFERROR(__xludf.DUMMYFUNCTION("IMPORTRANGE(""https://docs.google.com/spreadsheets/d/1qfrKjzMhm2HJfxQ-qVlJlJQ25Hne1d0khsySbZyGtPA/edit?usp=sharing"",""ระนอง!J638"")"),0)</f>
        <v>0</v>
      </c>
      <c r="AG85" s="152">
        <f ca="1">IFERROR(__xludf.DUMMYFUNCTION("IMPORTRANGE(""https://docs.google.com/spreadsheets/d/1qfrKjzMhm2HJfxQ-qVlJlJQ25Hne1d0khsySbZyGtPA/edit?usp=sharing"",""ระนอง!J639"")"),0)</f>
        <v>0</v>
      </c>
      <c r="AH85" s="152">
        <f ca="1">IFERROR(__xludf.DUMMYFUNCTION("IMPORTRANGE(""https://docs.google.com/spreadsheets/d/1qfrKjzMhm2HJfxQ-qVlJlJQ25Hne1d0khsySbZyGtPA/edit?usp=sharing"",""ระนอง!J640"")"),0)</f>
        <v>0</v>
      </c>
    </row>
    <row r="86" spans="1:34" ht="19.5" x14ac:dyDescent="0.3">
      <c r="A86" s="70">
        <v>12</v>
      </c>
      <c r="B86" s="71" t="s">
        <v>114</v>
      </c>
      <c r="C86" s="68">
        <f ca="1">IFERROR(__xludf.DUMMYFUNCTION("IMPORTRANGE(""https://docs.google.com/spreadsheets/d/1IbSCnFOKpZsnFogBHJnL_isstZVaOMnFiIN0fGTPZZw/edit?usp=sharing"",""สงขลา!Q616"")"),6900)</f>
        <v>6900</v>
      </c>
      <c r="D86" s="68">
        <f ca="1">IFERROR(__xludf.DUMMYFUNCTION("IMPORTRANGE(""https://docs.google.com/spreadsheets/d/1IbSCnFOKpZsnFogBHJnL_isstZVaOMnFiIN0fGTPZZw/edit?usp=sharing"",""สงขลา!R616"")"),1360)</f>
        <v>1360</v>
      </c>
      <c r="E86" s="68">
        <f ca="1">IFERROR(__xludf.DUMMYFUNCTION("IMPORTRANGE(""https://docs.google.com/spreadsheets/d/1IbSCnFOKpZsnFogBHJnL_isstZVaOMnFiIN0fGTPZZw/edit?usp=sharing"",""สงขลา!S616"")"),1360)</f>
        <v>1360</v>
      </c>
      <c r="F86" s="68">
        <f t="shared" ca="1" si="24"/>
        <v>19.710144927536231</v>
      </c>
      <c r="G86" s="68">
        <f t="shared" ca="1" si="25"/>
        <v>100</v>
      </c>
      <c r="H86" s="278">
        <f ca="1">IFERROR(__xludf.DUMMYFUNCTION("IMPORTRANGE(""https://docs.google.com/spreadsheets/d/1IbSCnFOKpZsnFogBHJnL_isstZVaOMnFiIN0fGTPZZw/edit?usp=sharing"",""สงขลา!I626"")"),50)</f>
        <v>50</v>
      </c>
      <c r="I86" s="152">
        <f ca="1">IFERROR(__xludf.DUMMYFUNCTION("IMPORTRANGE(""https://docs.google.com/spreadsheets/d/1IbSCnFOKpZsnFogBHJnL_isstZVaOMnFiIN0fGTPZZw/edit?usp=sharing"",""สงขลา!J626"")"),0)</f>
        <v>0</v>
      </c>
      <c r="J86" s="216">
        <f t="shared" ca="1" si="27"/>
        <v>0</v>
      </c>
      <c r="K86" s="152">
        <f ca="1">IFERROR(__xludf.DUMMYFUNCTION("IMPORTRANGE(""https://docs.google.com/spreadsheets/d/1IbSCnFOKpZsnFogBHJnL_isstZVaOMnFiIN0fGTPZZw/edit?usp=sharing"",""สงขลา!I627"")"),0)</f>
        <v>0</v>
      </c>
      <c r="L86" s="152">
        <f ca="1">IFERROR(__xludf.DUMMYFUNCTION("IMPORTRANGE(""https://docs.google.com/spreadsheets/d/1IbSCnFOKpZsnFogBHJnL_isstZVaOMnFiIN0fGTPZZw/edit?usp=sharing"",""สงขลา!J627"")"),0)</f>
        <v>0</v>
      </c>
      <c r="M86" s="216">
        <f t="shared" ca="1" si="29"/>
        <v>0</v>
      </c>
      <c r="N86" s="152">
        <f ca="1">IFERROR(__xludf.DUMMYFUNCTION("IMPORTRANGE(""https://docs.google.com/spreadsheets/d/1IbSCnFOKpZsnFogBHJnL_isstZVaOMnFiIN0fGTPZZw/edit?usp=sharing"",""สงขลา!I628"")"),0)</f>
        <v>0</v>
      </c>
      <c r="O86" s="152">
        <f ca="1">IFERROR(__xludf.DUMMYFUNCTION("IMPORTRANGE(""https://docs.google.com/spreadsheets/d/1IbSCnFOKpZsnFogBHJnL_isstZVaOMnFiIN0fGTPZZw/edit?usp=sharing"",""สงขลา!J628"")"),0)</f>
        <v>0</v>
      </c>
      <c r="P86" s="216">
        <f t="shared" ca="1" si="31"/>
        <v>0</v>
      </c>
      <c r="Q86" s="152">
        <f ca="1">IFERROR(__xludf.DUMMYFUNCTION("IMPORTRANGE(""https://docs.google.com/spreadsheets/d/1IbSCnFOKpZsnFogBHJnL_isstZVaOMnFiIN0fGTPZZw/edit?usp=sharing"",""สงขลา!J629"")"),0)</f>
        <v>0</v>
      </c>
      <c r="R86" s="216">
        <f t="shared" ca="1" si="38"/>
        <v>0</v>
      </c>
      <c r="S86" s="152">
        <f ca="1">IFERROR(__xludf.DUMMYFUNCTION("IMPORTRANGE(""https://docs.google.com/spreadsheets/d/1IbSCnFOKpZsnFogBHJnL_isstZVaOMnFiIN0fGTPZZw/edit?usp=sharing"",""สงขลา!J630"")"),0)</f>
        <v>0</v>
      </c>
      <c r="T86" s="216">
        <f t="shared" ca="1" si="32"/>
        <v>0</v>
      </c>
      <c r="U86" s="216">
        <f ca="1">IFERROR(__xludf.DUMMYFUNCTION("IMPORTRANGE(""https://docs.google.com/spreadsheets/d/1IbSCnFOKpZsnFogBHJnL_isstZVaOMnFiIN0fGTPZZw/edit?usp=sharing"",""สงขลา!J631"")"),0)</f>
        <v>0</v>
      </c>
      <c r="V86" s="216">
        <f t="shared" ca="1" si="33"/>
        <v>0</v>
      </c>
      <c r="W86" s="216">
        <f ca="1">IFERROR(__xludf.DUMMYFUNCTION("IMPORTRANGE(""https://docs.google.com/spreadsheets/d/1IbSCnFOKpZsnFogBHJnL_isstZVaOMnFiIN0fGTPZZw/edit?usp=sharing"",""สงขลา!J632"")"),0)</f>
        <v>0</v>
      </c>
      <c r="X86" s="216">
        <f t="shared" ca="1" si="34"/>
        <v>0</v>
      </c>
      <c r="Y86" s="216">
        <f ca="1">IFERROR(__xludf.DUMMYFUNCTION("IMPORTRANGE(""https://docs.google.com/spreadsheets/d/1IbSCnFOKpZsnFogBHJnL_isstZVaOMnFiIN0fGTPZZw/edit?usp=sharing"",""สงขลา!J633"")"),0)</f>
        <v>0</v>
      </c>
      <c r="Z86" s="216">
        <f ca="1">IFERROR(__xludf.DUMMYFUNCTION("IMPORTRANGE(""https://docs.google.com/spreadsheets/d/1IbSCnFOKpZsnFogBHJnL_isstZVaOMnFiIN0fGTPZZw/edit?usp=sharing"",""สงขลา!J634"")"),0)</f>
        <v>0</v>
      </c>
      <c r="AA86" s="152">
        <f ca="1">IFERROR(__xludf.DUMMYFUNCTION("IMPORTRANGE(""https://docs.google.com/spreadsheets/d/1IbSCnFOKpZsnFogBHJnL_isstZVaOMnFiIN0fGTPZZw/edit?usp=sharing"",""สงขลา!I635"")"),0)</f>
        <v>0</v>
      </c>
      <c r="AB86" s="152">
        <f ca="1">IFERROR(__xludf.DUMMYFUNCTION("IMPORTRANGE(""https://docs.google.com/spreadsheets/d/1IbSCnFOKpZsnFogBHJnL_isstZVaOMnFiIN0fGTPZZw/edit?usp=sharing"",""สงขลา!J635"")"),0)</f>
        <v>0</v>
      </c>
      <c r="AC86" s="216">
        <f t="shared" ca="1" si="36"/>
        <v>0</v>
      </c>
      <c r="AD86" s="152">
        <f ca="1">IFERROR(__xludf.DUMMYFUNCTION("IMPORTRANGE(""https://docs.google.com/spreadsheets/d/1IbSCnFOKpZsnFogBHJnL_isstZVaOMnFiIN0fGTPZZw/edit?usp=sharing"",""สงขลา!J636"")"),0)</f>
        <v>0</v>
      </c>
      <c r="AE86" s="152">
        <f ca="1">IFERROR(__xludf.DUMMYFUNCTION("IMPORTRANGE(""https://docs.google.com/spreadsheets/d/1IbSCnFOKpZsnFogBHJnL_isstZVaOMnFiIN0fGTPZZw/edit?usp=sharing"",""สงขลา!J637"")"),0)</f>
        <v>0</v>
      </c>
      <c r="AF86" s="152">
        <f ca="1">IFERROR(__xludf.DUMMYFUNCTION("IMPORTRANGE(""https://docs.google.com/spreadsheets/d/1IbSCnFOKpZsnFogBHJnL_isstZVaOMnFiIN0fGTPZZw/edit?usp=sharing"",""สงขลา!J638"")"),0)</f>
        <v>0</v>
      </c>
      <c r="AG86" s="152">
        <f ca="1">IFERROR(__xludf.DUMMYFUNCTION("IMPORTRANGE(""https://docs.google.com/spreadsheets/d/1IbSCnFOKpZsnFogBHJnL_isstZVaOMnFiIN0fGTPZZw/edit?usp=sharing"",""สงขลา!J639"")"),0)</f>
        <v>0</v>
      </c>
      <c r="AH86" s="152">
        <f ca="1">IFERROR(__xludf.DUMMYFUNCTION("IMPORTRANGE(""https://docs.google.com/spreadsheets/d/1IbSCnFOKpZsnFogBHJnL_isstZVaOMnFiIN0fGTPZZw/edit?usp=sharing"",""สงขลา!J640"")"),0)</f>
        <v>0</v>
      </c>
    </row>
    <row r="87" spans="1:34" ht="19.5" x14ac:dyDescent="0.3">
      <c r="A87" s="70">
        <v>13</v>
      </c>
      <c r="B87" s="71" t="s">
        <v>115</v>
      </c>
      <c r="C87" s="68">
        <f ca="1">IFERROR(__xludf.DUMMYFUNCTION("IMPORTRANGE(""https://docs.google.com/spreadsheets/d/1q9nWasZJ-K8bFGvbE9n0qSRuKGA4Toe3Y89cKCiVtCU/edit?usp=sharing"",""สตูล!Q616"")"),7275)</f>
        <v>7275</v>
      </c>
      <c r="D87" s="68">
        <f ca="1">IFERROR(__xludf.DUMMYFUNCTION("IMPORTRANGE(""https://docs.google.com/spreadsheets/d/1q9nWasZJ-K8bFGvbE9n0qSRuKGA4Toe3Y89cKCiVtCU/edit?usp=sharing"",""สตูล!R616"")"),7275)</f>
        <v>7275</v>
      </c>
      <c r="E87" s="68">
        <f ca="1">IFERROR(__xludf.DUMMYFUNCTION("IMPORTRANGE(""https://docs.google.com/spreadsheets/d/1q9nWasZJ-K8bFGvbE9n0qSRuKGA4Toe3Y89cKCiVtCU/edit?usp=sharing"",""สตูล!S616"")"),6040)</f>
        <v>6040</v>
      </c>
      <c r="F87" s="68">
        <f t="shared" ca="1" si="24"/>
        <v>83.024054982817873</v>
      </c>
      <c r="G87" s="68">
        <f t="shared" ca="1" si="25"/>
        <v>83.024054982817873</v>
      </c>
      <c r="H87" s="278">
        <f ca="1">IFERROR(__xludf.DUMMYFUNCTION("IMPORTRANGE(""https://docs.google.com/spreadsheets/d/1q9nWasZJ-K8bFGvbE9n0qSRuKGA4Toe3Y89cKCiVtCU/edit?usp=sharing"",""สตูล!I626"")"),50)</f>
        <v>50</v>
      </c>
      <c r="I87" s="152">
        <f ca="1">IFERROR(__xludf.DUMMYFUNCTION("IMPORTRANGE(""https://docs.google.com/spreadsheets/d/1q9nWasZJ-K8bFGvbE9n0qSRuKGA4Toe3Y89cKCiVtCU/edit?usp=sharing"",""สตูล!J626"")"),0)</f>
        <v>0</v>
      </c>
      <c r="J87" s="216">
        <f t="shared" ca="1" si="27"/>
        <v>0</v>
      </c>
      <c r="K87" s="152">
        <f ca="1">IFERROR(__xludf.DUMMYFUNCTION("IMPORTRANGE(""https://docs.google.com/spreadsheets/d/1q9nWasZJ-K8bFGvbE9n0qSRuKGA4Toe3Y89cKCiVtCU/edit?usp=sharing"",""สตูล!I627"")"),1)</f>
        <v>1</v>
      </c>
      <c r="L87" s="152">
        <f ca="1">IFERROR(__xludf.DUMMYFUNCTION("IMPORTRANGE(""https://docs.google.com/spreadsheets/d/1q9nWasZJ-K8bFGvbE9n0qSRuKGA4Toe3Y89cKCiVtCU/edit?usp=sharing"",""สตูล!J627"")"),7)</f>
        <v>7</v>
      </c>
      <c r="M87" s="216">
        <f t="shared" ca="1" si="29"/>
        <v>700</v>
      </c>
      <c r="N87" s="152">
        <f ca="1">IFERROR(__xludf.DUMMYFUNCTION("IMPORTRANGE(""https://docs.google.com/spreadsheets/d/1q9nWasZJ-K8bFGvbE9n0qSRuKGA4Toe3Y89cKCiVtCU/edit?usp=sharing"",""สตูล!I628"")"),1)</f>
        <v>1</v>
      </c>
      <c r="O87" s="152">
        <f ca="1">IFERROR(__xludf.DUMMYFUNCTION("IMPORTRANGE(""https://docs.google.com/spreadsheets/d/1q9nWasZJ-K8bFGvbE9n0qSRuKGA4Toe3Y89cKCiVtCU/edit?usp=sharing"",""สตูล!J628"")"),7)</f>
        <v>7</v>
      </c>
      <c r="P87" s="216">
        <f t="shared" ca="1" si="31"/>
        <v>700</v>
      </c>
      <c r="Q87" s="152">
        <f ca="1">IFERROR(__xludf.DUMMYFUNCTION("IMPORTRANGE(""https://docs.google.com/spreadsheets/d/1q9nWasZJ-K8bFGvbE9n0qSRuKGA4Toe3Y89cKCiVtCU/edit?usp=sharing"",""สตูล!J629"")"),0)</f>
        <v>0</v>
      </c>
      <c r="R87" s="216">
        <f t="shared" ca="1" si="38"/>
        <v>0</v>
      </c>
      <c r="S87" s="152">
        <f ca="1">IFERROR(__xludf.DUMMYFUNCTION("IMPORTRANGE(""https://docs.google.com/spreadsheets/d/1q9nWasZJ-K8bFGvbE9n0qSRuKGA4Toe3Y89cKCiVtCU/edit?usp=sharing"",""สตูล!J630"")"),0)</f>
        <v>0</v>
      </c>
      <c r="T87" s="216">
        <f t="shared" ca="1" si="32"/>
        <v>0</v>
      </c>
      <c r="U87" s="216">
        <f ca="1">IFERROR(__xludf.DUMMYFUNCTION("IMPORTRANGE(""https://docs.google.com/spreadsheets/d/1q9nWasZJ-K8bFGvbE9n0qSRuKGA4Toe3Y89cKCiVtCU/edit?usp=sharing"",""สตูล!J631"")"),0)</f>
        <v>0</v>
      </c>
      <c r="V87" s="216">
        <f t="shared" ca="1" si="33"/>
        <v>0</v>
      </c>
      <c r="W87" s="216">
        <f ca="1">IFERROR(__xludf.DUMMYFUNCTION("IMPORTRANGE(""https://docs.google.com/spreadsheets/d/1q9nWasZJ-K8bFGvbE9n0qSRuKGA4Toe3Y89cKCiVtCU/edit?usp=sharing"",""สตูล!J632"")"),0)</f>
        <v>0</v>
      </c>
      <c r="X87" s="216">
        <f t="shared" ca="1" si="34"/>
        <v>0</v>
      </c>
      <c r="Y87" s="216">
        <f ca="1">IFERROR(__xludf.DUMMYFUNCTION("IMPORTRANGE(""https://docs.google.com/spreadsheets/d/1q9nWasZJ-K8bFGvbE9n0qSRuKGA4Toe3Y89cKCiVtCU/edit?usp=sharing"",""สตูล!J633"")"),0)</f>
        <v>0</v>
      </c>
      <c r="Z87" s="216">
        <f ca="1">IFERROR(__xludf.DUMMYFUNCTION("IMPORTRANGE(""https://docs.google.com/spreadsheets/d/1q9nWasZJ-K8bFGvbE9n0qSRuKGA4Toe3Y89cKCiVtCU/edit?usp=sharing"",""สตูล!J634"")"),0)</f>
        <v>0</v>
      </c>
      <c r="AA87" s="152">
        <f ca="1">IFERROR(__xludf.DUMMYFUNCTION("IMPORTRANGE(""https://docs.google.com/spreadsheets/d/1q9nWasZJ-K8bFGvbE9n0qSRuKGA4Toe3Y89cKCiVtCU/edit?usp=sharing"",""สตูล!I635"")"),0)</f>
        <v>0</v>
      </c>
      <c r="AB87" s="152">
        <f ca="1">IFERROR(__xludf.DUMMYFUNCTION("IMPORTRANGE(""https://docs.google.com/spreadsheets/d/1q9nWasZJ-K8bFGvbE9n0qSRuKGA4Toe3Y89cKCiVtCU/edit?usp=sharing"",""สตูล!J635"")"),0)</f>
        <v>0</v>
      </c>
      <c r="AC87" s="216">
        <f t="shared" ca="1" si="36"/>
        <v>0</v>
      </c>
      <c r="AD87" s="152">
        <f ca="1">IFERROR(__xludf.DUMMYFUNCTION("IMPORTRANGE(""https://docs.google.com/spreadsheets/d/1q9nWasZJ-K8bFGvbE9n0qSRuKGA4Toe3Y89cKCiVtCU/edit?usp=sharing"",""สตูล!J636"")"),0)</f>
        <v>0</v>
      </c>
      <c r="AE87" s="152">
        <f ca="1">IFERROR(__xludf.DUMMYFUNCTION("IMPORTRANGE(""https://docs.google.com/spreadsheets/d/1q9nWasZJ-K8bFGvbE9n0qSRuKGA4Toe3Y89cKCiVtCU/edit?usp=sharing"",""สตูล!J637"")"),0)</f>
        <v>0</v>
      </c>
      <c r="AF87" s="152">
        <f ca="1">IFERROR(__xludf.DUMMYFUNCTION("IMPORTRANGE(""https://docs.google.com/spreadsheets/d/1q9nWasZJ-K8bFGvbE9n0qSRuKGA4Toe3Y89cKCiVtCU/edit?usp=sharing"",""สตูล!J638"")"),0)</f>
        <v>0</v>
      </c>
      <c r="AG87" s="152">
        <f ca="1">IFERROR(__xludf.DUMMYFUNCTION("IMPORTRANGE(""https://docs.google.com/spreadsheets/d/1q9nWasZJ-K8bFGvbE9n0qSRuKGA4Toe3Y89cKCiVtCU/edit?usp=sharing"",""สตูล!J639"")"),0)</f>
        <v>0</v>
      </c>
      <c r="AH87" s="152">
        <f ca="1">IFERROR(__xludf.DUMMYFUNCTION("IMPORTRANGE(""https://docs.google.com/spreadsheets/d/1q9nWasZJ-K8bFGvbE9n0qSRuKGA4Toe3Y89cKCiVtCU/edit?usp=sharing"",""สตูล!J640"")"),0)</f>
        <v>0</v>
      </c>
    </row>
    <row r="88" spans="1:34" ht="19.5" x14ac:dyDescent="0.3">
      <c r="A88" s="80">
        <v>14</v>
      </c>
      <c r="B88" s="81" t="s">
        <v>116</v>
      </c>
      <c r="C88" s="89">
        <f ca="1">IFERROR(__xludf.DUMMYFUNCTION("IMPORTRANGE(""https://docs.google.com/spreadsheets/d/18T20gbkS_WBjdscyTOV05cvq_JqvqQ17C81mpxf7Ncs/edit?usp=sharing"",""สุราษฎร์ธานี!Q616"")"),2075)</f>
        <v>2075</v>
      </c>
      <c r="D88" s="89">
        <f ca="1">IFERROR(__xludf.DUMMYFUNCTION("IMPORTRANGE(""https://docs.google.com/spreadsheets/d/18T20gbkS_WBjdscyTOV05cvq_JqvqQ17C81mpxf7Ncs/edit?usp=sharing"",""สุราษฎร์ธานี!R616"")"),2075)</f>
        <v>2075</v>
      </c>
      <c r="E88" s="89">
        <f ca="1">IFERROR(__xludf.DUMMYFUNCTION("IMPORTRANGE(""https://docs.google.com/spreadsheets/d/18T20gbkS_WBjdscyTOV05cvq_JqvqQ17C81mpxf7Ncs/edit?usp=sharing"",""สุราษฎร์ธานี!S616"")"),2075)</f>
        <v>2075</v>
      </c>
      <c r="F88" s="89">
        <f t="shared" ca="1" si="24"/>
        <v>100</v>
      </c>
      <c r="G88" s="89">
        <f t="shared" ca="1" si="25"/>
        <v>100</v>
      </c>
      <c r="H88" s="280">
        <f ca="1">IFERROR(__xludf.DUMMYFUNCTION("IMPORTRANGE(""https://docs.google.com/spreadsheets/d/18T20gbkS_WBjdscyTOV05cvq_JqvqQ17C81mpxf7Ncs/edit?usp=sharing"",""สุราษฎร์ธานี!I626"")"),0)</f>
        <v>0</v>
      </c>
      <c r="I88" s="191">
        <f ca="1">IFERROR(__xludf.DUMMYFUNCTION("IMPORTRANGE(""https://docs.google.com/spreadsheets/d/18T20gbkS_WBjdscyTOV05cvq_JqvqQ17C81mpxf7Ncs/edit?usp=sharing"",""สุราษฎร์ธานี!J626"")"),0)</f>
        <v>0</v>
      </c>
      <c r="J88" s="218">
        <f t="shared" ca="1" si="27"/>
        <v>0</v>
      </c>
      <c r="K88" s="191">
        <f ca="1">IFERROR(__xludf.DUMMYFUNCTION("IMPORTRANGE(""https://docs.google.com/spreadsheets/d/18T20gbkS_WBjdscyTOV05cvq_JqvqQ17C81mpxf7Ncs/edit?usp=sharing"",""สุราษฎร์ธานี!I627"")"),1)</f>
        <v>1</v>
      </c>
      <c r="L88" s="191">
        <f ca="1">IFERROR(__xludf.DUMMYFUNCTION("IMPORTRANGE(""https://docs.google.com/spreadsheets/d/18T20gbkS_WBjdscyTOV05cvq_JqvqQ17C81mpxf7Ncs/edit?usp=sharing"",""สุราษฎร์ธานี!J627"")"),1)</f>
        <v>1</v>
      </c>
      <c r="M88" s="218">
        <f t="shared" ca="1" si="29"/>
        <v>100</v>
      </c>
      <c r="N88" s="191">
        <f ca="1">IFERROR(__xludf.DUMMYFUNCTION("IMPORTRANGE(""https://docs.google.com/spreadsheets/d/18T20gbkS_WBjdscyTOV05cvq_JqvqQ17C81mpxf7Ncs/edit?usp=sharing"",""สุราษฎร์ธานี!I628"")"),1)</f>
        <v>1</v>
      </c>
      <c r="O88" s="191">
        <f ca="1">IFERROR(__xludf.DUMMYFUNCTION("IMPORTRANGE(""https://docs.google.com/spreadsheets/d/18T20gbkS_WBjdscyTOV05cvq_JqvqQ17C81mpxf7Ncs/edit?usp=sharing"",""สุราษฎร์ธานี!J628"")"),1)</f>
        <v>1</v>
      </c>
      <c r="P88" s="218">
        <f t="shared" ca="1" si="31"/>
        <v>100</v>
      </c>
      <c r="Q88" s="191">
        <f ca="1">IFERROR(__xludf.DUMMYFUNCTION("IMPORTRANGE(""https://docs.google.com/spreadsheets/d/18T20gbkS_WBjdscyTOV05cvq_JqvqQ17C81mpxf7Ncs/edit?usp=sharing"",""สุราษฎร์ธานี!J629"")"),0)</f>
        <v>0</v>
      </c>
      <c r="R88" s="218">
        <f t="shared" ca="1" si="38"/>
        <v>0</v>
      </c>
      <c r="S88" s="191">
        <f ca="1">IFERROR(__xludf.DUMMYFUNCTION("IMPORTRANGE(""https://docs.google.com/spreadsheets/d/18T20gbkS_WBjdscyTOV05cvq_JqvqQ17C81mpxf7Ncs/edit?usp=sharing"",""สุราษฎร์ธานี!J630"")"),0)</f>
        <v>0</v>
      </c>
      <c r="T88" s="218">
        <f t="shared" ca="1" si="32"/>
        <v>0</v>
      </c>
      <c r="U88" s="218">
        <f ca="1">IFERROR(__xludf.DUMMYFUNCTION("IMPORTRANGE(""https://docs.google.com/spreadsheets/d/18T20gbkS_WBjdscyTOV05cvq_JqvqQ17C81mpxf7Ncs/edit?usp=sharing"",""สุราษฎร์ธานี!J631"")"),0)</f>
        <v>0</v>
      </c>
      <c r="V88" s="218">
        <f t="shared" ca="1" si="33"/>
        <v>0</v>
      </c>
      <c r="W88" s="218">
        <f ca="1">IFERROR(__xludf.DUMMYFUNCTION("IMPORTRANGE(""https://docs.google.com/spreadsheets/d/18T20gbkS_WBjdscyTOV05cvq_JqvqQ17C81mpxf7Ncs/edit?usp=sharing"",""สุราษฎร์ธานี!J632"")"),0)</f>
        <v>0</v>
      </c>
      <c r="X88" s="218">
        <f t="shared" ca="1" si="34"/>
        <v>0</v>
      </c>
      <c r="Y88" s="218">
        <f ca="1">IFERROR(__xludf.DUMMYFUNCTION("IMPORTRANGE(""https://docs.google.com/spreadsheets/d/18T20gbkS_WBjdscyTOV05cvq_JqvqQ17C81mpxf7Ncs/edit?usp=sharing"",""สุราษฎร์ธานี!J633"")"),0)</f>
        <v>0</v>
      </c>
      <c r="Z88" s="218">
        <f ca="1">IFERROR(__xludf.DUMMYFUNCTION("IMPORTRANGE(""https://docs.google.com/spreadsheets/d/18T20gbkS_WBjdscyTOV05cvq_JqvqQ17C81mpxf7Ncs/edit?usp=sharing"",""สุราษฎร์ธานี!J634"")"),0)</f>
        <v>0</v>
      </c>
      <c r="AA88" s="191">
        <f ca="1">IFERROR(__xludf.DUMMYFUNCTION("IMPORTRANGE(""https://docs.google.com/spreadsheets/d/18T20gbkS_WBjdscyTOV05cvq_JqvqQ17C81mpxf7Ncs/edit?usp=sharing"",""สุราษฎร์ธานี!I635"")"),0)</f>
        <v>0</v>
      </c>
      <c r="AB88" s="191">
        <f ca="1">IFERROR(__xludf.DUMMYFUNCTION("IMPORTRANGE(""https://docs.google.com/spreadsheets/d/18T20gbkS_WBjdscyTOV05cvq_JqvqQ17C81mpxf7Ncs/edit?usp=sharing"",""สุราษฎร์ธานี!J635"")"),0)</f>
        <v>0</v>
      </c>
      <c r="AC88" s="218">
        <f t="shared" ca="1" si="36"/>
        <v>0</v>
      </c>
      <c r="AD88" s="191">
        <f ca="1">IFERROR(__xludf.DUMMYFUNCTION("IMPORTRANGE(""https://docs.google.com/spreadsheets/d/18T20gbkS_WBjdscyTOV05cvq_JqvqQ17C81mpxf7Ncs/edit?usp=sharing"",""สุราษฎร์ธานี!J636"")"),0)</f>
        <v>0</v>
      </c>
      <c r="AE88" s="191">
        <f ca="1">IFERROR(__xludf.DUMMYFUNCTION("IMPORTRANGE(""https://docs.google.com/spreadsheets/d/18T20gbkS_WBjdscyTOV05cvq_JqvqQ17C81mpxf7Ncs/edit?usp=sharing"",""สุราษฎร์ธานี!J637"")"),0)</f>
        <v>0</v>
      </c>
      <c r="AF88" s="191">
        <f ca="1">IFERROR(__xludf.DUMMYFUNCTION("IMPORTRANGE(""https://docs.google.com/spreadsheets/d/18T20gbkS_WBjdscyTOV05cvq_JqvqQ17C81mpxf7Ncs/edit?usp=sharing"",""สุราษฎร์ธานี!J638"")"),0)</f>
        <v>0</v>
      </c>
      <c r="AG88" s="191">
        <f ca="1">IFERROR(__xludf.DUMMYFUNCTION("IMPORTRANGE(""https://docs.google.com/spreadsheets/d/18T20gbkS_WBjdscyTOV05cvq_JqvqQ17C81mpxf7Ncs/edit?usp=sharing"",""สุราษฎร์ธานี!J639"")"),0)</f>
        <v>0</v>
      </c>
      <c r="AH88" s="191">
        <f ca="1">IFERROR(__xludf.DUMMYFUNCTION("IMPORTRANGE(""https://docs.google.com/spreadsheets/d/18T20gbkS_WBjdscyTOV05cvq_JqvqQ17C81mpxf7Ncs/edit?usp=sharing"",""สุราษฎร์ธานี!J640"")"),0)</f>
        <v>0</v>
      </c>
    </row>
    <row r="89" spans="1:34" ht="19.5" x14ac:dyDescent="0.3">
      <c r="A89" s="698" t="s">
        <v>117</v>
      </c>
      <c r="B89" s="662"/>
      <c r="C89" s="39">
        <f t="shared" ref="C89:E89" ca="1" si="57">SUM(C90:C106)</f>
        <v>415370</v>
      </c>
      <c r="D89" s="39">
        <f t="shared" ca="1" si="57"/>
        <v>415370</v>
      </c>
      <c r="E89" s="39">
        <f t="shared" ca="1" si="57"/>
        <v>28770</v>
      </c>
      <c r="F89" s="39">
        <f t="shared" ca="1" si="24"/>
        <v>6.9263548161879767</v>
      </c>
      <c r="G89" s="39">
        <f t="shared" ca="1" si="25"/>
        <v>6.9263548161879767</v>
      </c>
      <c r="H89" s="39"/>
      <c r="I89" s="39"/>
      <c r="J89" s="41"/>
      <c r="K89" s="39"/>
      <c r="L89" s="39"/>
      <c r="M89" s="41"/>
      <c r="N89" s="39"/>
      <c r="O89" s="39"/>
      <c r="P89" s="41"/>
      <c r="Q89" s="39"/>
      <c r="R89" s="39"/>
      <c r="S89" s="41"/>
      <c r="T89" s="39"/>
      <c r="U89" s="39"/>
      <c r="V89" s="41"/>
      <c r="W89" s="39"/>
      <c r="X89" s="39"/>
      <c r="Y89" s="39"/>
      <c r="Z89" s="39"/>
      <c r="AA89" s="41"/>
      <c r="AB89" s="39"/>
      <c r="AC89" s="39"/>
      <c r="AD89" s="41"/>
      <c r="AE89" s="39"/>
      <c r="AF89" s="39"/>
      <c r="AG89" s="41"/>
      <c r="AH89" s="39"/>
    </row>
    <row r="90" spans="1:34" ht="19.5" x14ac:dyDescent="0.25">
      <c r="A90" s="102"/>
      <c r="B90" s="103" t="s">
        <v>118</v>
      </c>
      <c r="C90" s="66">
        <v>0</v>
      </c>
      <c r="D90" s="66">
        <v>0</v>
      </c>
      <c r="E90" s="66">
        <v>0</v>
      </c>
      <c r="F90" s="65">
        <f t="shared" si="24"/>
        <v>0</v>
      </c>
      <c r="G90" s="65">
        <f t="shared" si="25"/>
        <v>0</v>
      </c>
      <c r="H90" s="62"/>
      <c r="I90" s="62"/>
      <c r="J90" s="65"/>
      <c r="K90" s="62"/>
      <c r="L90" s="62"/>
      <c r="M90" s="65"/>
      <c r="N90" s="62"/>
      <c r="O90" s="62"/>
      <c r="P90" s="65"/>
      <c r="Q90" s="62"/>
      <c r="R90" s="62"/>
      <c r="S90" s="65"/>
      <c r="T90" s="62"/>
      <c r="U90" s="62"/>
      <c r="V90" s="65"/>
      <c r="W90" s="62"/>
      <c r="X90" s="62"/>
      <c r="Y90" s="62"/>
      <c r="Z90" s="62"/>
      <c r="AA90" s="65"/>
      <c r="AB90" s="62"/>
      <c r="AC90" s="62"/>
      <c r="AD90" s="65"/>
      <c r="AE90" s="62"/>
      <c r="AF90" s="62"/>
      <c r="AG90" s="65"/>
      <c r="AH90" s="62"/>
    </row>
    <row r="91" spans="1:34" ht="19.5" x14ac:dyDescent="0.25">
      <c r="A91" s="105"/>
      <c r="B91" s="106" t="s">
        <v>119</v>
      </c>
      <c r="C91" s="77">
        <v>0</v>
      </c>
      <c r="D91" s="77">
        <v>0</v>
      </c>
      <c r="E91" s="77">
        <v>0</v>
      </c>
      <c r="F91" s="76">
        <f t="shared" si="24"/>
        <v>0</v>
      </c>
      <c r="G91" s="76">
        <f t="shared" si="25"/>
        <v>0</v>
      </c>
      <c r="H91" s="74"/>
      <c r="I91" s="74"/>
      <c r="J91" s="76"/>
      <c r="K91" s="74"/>
      <c r="L91" s="74"/>
      <c r="M91" s="76"/>
      <c r="N91" s="74"/>
      <c r="O91" s="74"/>
      <c r="P91" s="76"/>
      <c r="Q91" s="74"/>
      <c r="R91" s="74"/>
      <c r="S91" s="76"/>
      <c r="T91" s="74"/>
      <c r="U91" s="74"/>
      <c r="V91" s="76"/>
      <c r="W91" s="74"/>
      <c r="X91" s="74"/>
      <c r="Y91" s="74"/>
      <c r="Z91" s="74"/>
      <c r="AA91" s="76"/>
      <c r="AB91" s="74"/>
      <c r="AC91" s="74"/>
      <c r="AD91" s="76"/>
      <c r="AE91" s="74"/>
      <c r="AF91" s="74"/>
      <c r="AG91" s="76"/>
      <c r="AH91" s="74"/>
    </row>
    <row r="92" spans="1:34" ht="19.5" x14ac:dyDescent="0.25">
      <c r="A92" s="105"/>
      <c r="B92" s="106" t="s">
        <v>120</v>
      </c>
      <c r="C92" s="77">
        <v>0</v>
      </c>
      <c r="D92" s="77">
        <v>0</v>
      </c>
      <c r="E92" s="77">
        <v>0</v>
      </c>
      <c r="F92" s="76">
        <f t="shared" si="24"/>
        <v>0</v>
      </c>
      <c r="G92" s="76">
        <f t="shared" si="25"/>
        <v>0</v>
      </c>
      <c r="H92" s="74"/>
      <c r="I92" s="74"/>
      <c r="J92" s="76"/>
      <c r="K92" s="74"/>
      <c r="L92" s="74"/>
      <c r="M92" s="76"/>
      <c r="N92" s="74"/>
      <c r="O92" s="74"/>
      <c r="P92" s="76"/>
      <c r="Q92" s="74"/>
      <c r="R92" s="74"/>
      <c r="S92" s="76"/>
      <c r="T92" s="74"/>
      <c r="U92" s="74"/>
      <c r="V92" s="76"/>
      <c r="W92" s="74"/>
      <c r="X92" s="74"/>
      <c r="Y92" s="74"/>
      <c r="Z92" s="74"/>
      <c r="AA92" s="76"/>
      <c r="AB92" s="74"/>
      <c r="AC92" s="74"/>
      <c r="AD92" s="76"/>
      <c r="AE92" s="74"/>
      <c r="AF92" s="74"/>
      <c r="AG92" s="76"/>
      <c r="AH92" s="74"/>
    </row>
    <row r="93" spans="1:34" ht="19.5" x14ac:dyDescent="0.25">
      <c r="A93" s="105"/>
      <c r="B93" s="106" t="s">
        <v>121</v>
      </c>
      <c r="C93" s="77">
        <v>0</v>
      </c>
      <c r="D93" s="77">
        <v>0</v>
      </c>
      <c r="E93" s="77">
        <v>0</v>
      </c>
      <c r="F93" s="76">
        <f t="shared" si="24"/>
        <v>0</v>
      </c>
      <c r="G93" s="76">
        <f t="shared" si="25"/>
        <v>0</v>
      </c>
      <c r="H93" s="74"/>
      <c r="I93" s="74"/>
      <c r="J93" s="76"/>
      <c r="K93" s="74"/>
      <c r="L93" s="74"/>
      <c r="M93" s="76"/>
      <c r="N93" s="74"/>
      <c r="O93" s="74"/>
      <c r="P93" s="76"/>
      <c r="Q93" s="74"/>
      <c r="R93" s="74"/>
      <c r="S93" s="76"/>
      <c r="T93" s="74"/>
      <c r="U93" s="74"/>
      <c r="V93" s="76"/>
      <c r="W93" s="74"/>
      <c r="X93" s="74"/>
      <c r="Y93" s="74"/>
      <c r="Z93" s="74"/>
      <c r="AA93" s="76"/>
      <c r="AB93" s="74"/>
      <c r="AC93" s="74"/>
      <c r="AD93" s="76"/>
      <c r="AE93" s="74"/>
      <c r="AF93" s="74"/>
      <c r="AG93" s="76"/>
      <c r="AH93" s="74"/>
    </row>
    <row r="94" spans="1:34" ht="19.5" x14ac:dyDescent="0.25">
      <c r="A94" s="105"/>
      <c r="B94" s="106" t="s">
        <v>122</v>
      </c>
      <c r="C94" s="77">
        <v>0</v>
      </c>
      <c r="D94" s="77">
        <v>0</v>
      </c>
      <c r="E94" s="77">
        <v>0</v>
      </c>
      <c r="F94" s="76">
        <f t="shared" si="24"/>
        <v>0</v>
      </c>
      <c r="G94" s="76">
        <f t="shared" si="25"/>
        <v>0</v>
      </c>
      <c r="H94" s="74"/>
      <c r="I94" s="74"/>
      <c r="J94" s="76"/>
      <c r="K94" s="74"/>
      <c r="L94" s="74"/>
      <c r="M94" s="76"/>
      <c r="N94" s="74"/>
      <c r="O94" s="74"/>
      <c r="P94" s="76"/>
      <c r="Q94" s="74"/>
      <c r="R94" s="74"/>
      <c r="S94" s="76"/>
      <c r="T94" s="74"/>
      <c r="U94" s="74"/>
      <c r="V94" s="76"/>
      <c r="W94" s="74"/>
      <c r="X94" s="74"/>
      <c r="Y94" s="74"/>
      <c r="Z94" s="74"/>
      <c r="AA94" s="76"/>
      <c r="AB94" s="74"/>
      <c r="AC94" s="74"/>
      <c r="AD94" s="76"/>
      <c r="AE94" s="74"/>
      <c r="AF94" s="74"/>
      <c r="AG94" s="76"/>
      <c r="AH94" s="74"/>
    </row>
    <row r="95" spans="1:34" ht="19.5" x14ac:dyDescent="0.25">
      <c r="A95" s="105"/>
      <c r="B95" s="106" t="s">
        <v>123</v>
      </c>
      <c r="C95" s="77">
        <v>0</v>
      </c>
      <c r="D95" s="77">
        <v>0</v>
      </c>
      <c r="E95" s="77">
        <v>0</v>
      </c>
      <c r="F95" s="76">
        <f t="shared" si="24"/>
        <v>0</v>
      </c>
      <c r="G95" s="76">
        <f t="shared" si="25"/>
        <v>0</v>
      </c>
      <c r="H95" s="74"/>
      <c r="I95" s="74"/>
      <c r="J95" s="76"/>
      <c r="K95" s="74"/>
      <c r="L95" s="74"/>
      <c r="M95" s="76"/>
      <c r="N95" s="74"/>
      <c r="O95" s="74"/>
      <c r="P95" s="76"/>
      <c r="Q95" s="74"/>
      <c r="R95" s="74"/>
      <c r="S95" s="76"/>
      <c r="T95" s="74"/>
      <c r="U95" s="74"/>
      <c r="V95" s="76"/>
      <c r="W95" s="74"/>
      <c r="X95" s="74"/>
      <c r="Y95" s="74"/>
      <c r="Z95" s="74"/>
      <c r="AA95" s="76"/>
      <c r="AB95" s="74"/>
      <c r="AC95" s="74"/>
      <c r="AD95" s="76"/>
      <c r="AE95" s="74"/>
      <c r="AF95" s="74"/>
      <c r="AG95" s="76"/>
      <c r="AH95" s="74"/>
    </row>
    <row r="96" spans="1:34" ht="19.5" x14ac:dyDescent="0.25">
      <c r="A96" s="105"/>
      <c r="B96" s="106" t="s">
        <v>124</v>
      </c>
      <c r="C96" s="77">
        <f ca="1">IFERROR(__xludf.DUMMYFUNCTION("IMPORTRANGE(""https://docs.google.com/spreadsheets/d/1ItG2mGa2ceCfYo0BwxsXqNm01IGEUdYcSSLTEv9YCik/edit?usp=sharing"",""เบิกจ่ายกองทุน!F91"")"),415370)</f>
        <v>415370</v>
      </c>
      <c r="D96" s="77">
        <f ca="1">IFERROR(__xludf.DUMMYFUNCTION("IMPORTRANGE(""https://docs.google.com/spreadsheets/d/1ItG2mGa2ceCfYo0BwxsXqNm01IGEUdYcSSLTEv9YCik/edit?usp=sharing"",""เบิกจ่ายกองทุน!G91"")"),415370)</f>
        <v>415370</v>
      </c>
      <c r="E96" s="77">
        <f ca="1">IFERROR(__xludf.DUMMYFUNCTION("IMPORTRANGE(""https://docs.google.com/spreadsheets/d/1ItG2mGa2ceCfYo0BwxsXqNm01IGEUdYcSSLTEv9YCik/edit?usp=sharing"",""เบิกจ่ายกองทุน!H91"")"),28770)</f>
        <v>28770</v>
      </c>
      <c r="F96" s="76">
        <f t="shared" ca="1" si="24"/>
        <v>6.9263548161879767</v>
      </c>
      <c r="G96" s="76">
        <f t="shared" ca="1" si="25"/>
        <v>6.9263548161879767</v>
      </c>
      <c r="H96" s="74"/>
      <c r="I96" s="74"/>
      <c r="J96" s="76"/>
      <c r="K96" s="74"/>
      <c r="L96" s="74"/>
      <c r="M96" s="76"/>
      <c r="N96" s="74"/>
      <c r="O96" s="74"/>
      <c r="P96" s="76"/>
      <c r="Q96" s="74"/>
      <c r="R96" s="74"/>
      <c r="S96" s="76"/>
      <c r="T96" s="74"/>
      <c r="U96" s="74"/>
      <c r="V96" s="76"/>
      <c r="W96" s="74"/>
      <c r="X96" s="74"/>
      <c r="Y96" s="74"/>
      <c r="Z96" s="74"/>
      <c r="AA96" s="76"/>
      <c r="AB96" s="74"/>
      <c r="AC96" s="74"/>
      <c r="AD96" s="76"/>
      <c r="AE96" s="74"/>
      <c r="AF96" s="74"/>
      <c r="AG96" s="76"/>
      <c r="AH96" s="74"/>
    </row>
    <row r="97" spans="1:34" ht="19.5" x14ac:dyDescent="0.25">
      <c r="A97" s="105"/>
      <c r="B97" s="106" t="s">
        <v>125</v>
      </c>
      <c r="C97" s="77">
        <v>0</v>
      </c>
      <c r="D97" s="77">
        <v>0</v>
      </c>
      <c r="E97" s="77">
        <v>0</v>
      </c>
      <c r="F97" s="76">
        <f t="shared" si="24"/>
        <v>0</v>
      </c>
      <c r="G97" s="76">
        <f t="shared" si="25"/>
        <v>0</v>
      </c>
      <c r="H97" s="74"/>
      <c r="I97" s="74"/>
      <c r="J97" s="76"/>
      <c r="K97" s="74"/>
      <c r="L97" s="74"/>
      <c r="M97" s="76"/>
      <c r="N97" s="74"/>
      <c r="O97" s="74"/>
      <c r="P97" s="76"/>
      <c r="Q97" s="74"/>
      <c r="R97" s="74"/>
      <c r="S97" s="76"/>
      <c r="T97" s="74"/>
      <c r="U97" s="74"/>
      <c r="V97" s="76"/>
      <c r="W97" s="74"/>
      <c r="X97" s="74"/>
      <c r="Y97" s="74"/>
      <c r="Z97" s="74"/>
      <c r="AA97" s="76"/>
      <c r="AB97" s="74"/>
      <c r="AC97" s="74"/>
      <c r="AD97" s="76"/>
      <c r="AE97" s="74"/>
      <c r="AF97" s="74"/>
      <c r="AG97" s="76"/>
      <c r="AH97" s="74"/>
    </row>
    <row r="98" spans="1:34" ht="19.5" x14ac:dyDescent="0.25">
      <c r="A98" s="105"/>
      <c r="B98" s="106" t="s">
        <v>126</v>
      </c>
      <c r="C98" s="77">
        <v>0</v>
      </c>
      <c r="D98" s="77">
        <v>0</v>
      </c>
      <c r="E98" s="77">
        <v>0</v>
      </c>
      <c r="F98" s="76">
        <f t="shared" si="24"/>
        <v>0</v>
      </c>
      <c r="G98" s="76">
        <f t="shared" si="25"/>
        <v>0</v>
      </c>
      <c r="H98" s="74"/>
      <c r="I98" s="74"/>
      <c r="J98" s="76"/>
      <c r="K98" s="74"/>
      <c r="L98" s="74"/>
      <c r="M98" s="76"/>
      <c r="N98" s="74"/>
      <c r="O98" s="74"/>
      <c r="P98" s="76"/>
      <c r="Q98" s="74"/>
      <c r="R98" s="74"/>
      <c r="S98" s="76"/>
      <c r="T98" s="74"/>
      <c r="U98" s="74"/>
      <c r="V98" s="76"/>
      <c r="W98" s="74"/>
      <c r="X98" s="74"/>
      <c r="Y98" s="74"/>
      <c r="Z98" s="74"/>
      <c r="AA98" s="76"/>
      <c r="AB98" s="74"/>
      <c r="AC98" s="74"/>
      <c r="AD98" s="76"/>
      <c r="AE98" s="74"/>
      <c r="AF98" s="74"/>
      <c r="AG98" s="76"/>
      <c r="AH98" s="74"/>
    </row>
    <row r="99" spans="1:34" ht="19.5" x14ac:dyDescent="0.25">
      <c r="A99" s="105"/>
      <c r="B99" s="106" t="s">
        <v>127</v>
      </c>
      <c r="C99" s="77">
        <v>0</v>
      </c>
      <c r="D99" s="77">
        <v>0</v>
      </c>
      <c r="E99" s="77">
        <v>0</v>
      </c>
      <c r="F99" s="76">
        <f t="shared" si="24"/>
        <v>0</v>
      </c>
      <c r="G99" s="76">
        <f t="shared" si="25"/>
        <v>0</v>
      </c>
      <c r="H99" s="74"/>
      <c r="I99" s="74"/>
      <c r="J99" s="76"/>
      <c r="K99" s="74"/>
      <c r="L99" s="74"/>
      <c r="M99" s="76"/>
      <c r="N99" s="74"/>
      <c r="O99" s="74"/>
      <c r="P99" s="76"/>
      <c r="Q99" s="74"/>
      <c r="R99" s="74"/>
      <c r="S99" s="76"/>
      <c r="T99" s="74"/>
      <c r="U99" s="74"/>
      <c r="V99" s="76"/>
      <c r="W99" s="74"/>
      <c r="X99" s="74"/>
      <c r="Y99" s="74"/>
      <c r="Z99" s="74"/>
      <c r="AA99" s="76"/>
      <c r="AB99" s="74"/>
      <c r="AC99" s="74"/>
      <c r="AD99" s="76"/>
      <c r="AE99" s="74"/>
      <c r="AF99" s="74"/>
      <c r="AG99" s="76"/>
      <c r="AH99" s="74"/>
    </row>
    <row r="100" spans="1:34" ht="19.5" x14ac:dyDescent="0.25">
      <c r="A100" s="105"/>
      <c r="B100" s="106" t="s">
        <v>128</v>
      </c>
      <c r="C100" s="77">
        <v>0</v>
      </c>
      <c r="D100" s="77">
        <v>0</v>
      </c>
      <c r="E100" s="77">
        <v>0</v>
      </c>
      <c r="F100" s="76">
        <f t="shared" si="24"/>
        <v>0</v>
      </c>
      <c r="G100" s="76">
        <f t="shared" si="25"/>
        <v>0</v>
      </c>
      <c r="H100" s="74"/>
      <c r="I100" s="74"/>
      <c r="J100" s="76"/>
      <c r="K100" s="74"/>
      <c r="L100" s="74"/>
      <c r="M100" s="76"/>
      <c r="N100" s="74"/>
      <c r="O100" s="74"/>
      <c r="P100" s="76"/>
      <c r="Q100" s="74"/>
      <c r="R100" s="74"/>
      <c r="S100" s="76"/>
      <c r="T100" s="74"/>
      <c r="U100" s="74"/>
      <c r="V100" s="76"/>
      <c r="W100" s="74"/>
      <c r="X100" s="74"/>
      <c r="Y100" s="74"/>
      <c r="Z100" s="74"/>
      <c r="AA100" s="76"/>
      <c r="AB100" s="74"/>
      <c r="AC100" s="74"/>
      <c r="AD100" s="76"/>
      <c r="AE100" s="74"/>
      <c r="AF100" s="74"/>
      <c r="AG100" s="76"/>
      <c r="AH100" s="74"/>
    </row>
    <row r="101" spans="1:34" ht="19.5" x14ac:dyDescent="0.25">
      <c r="A101" s="105"/>
      <c r="B101" s="106" t="s">
        <v>129</v>
      </c>
      <c r="C101" s="77">
        <v>0</v>
      </c>
      <c r="D101" s="77">
        <v>0</v>
      </c>
      <c r="E101" s="77">
        <v>0</v>
      </c>
      <c r="F101" s="76">
        <f t="shared" si="24"/>
        <v>0</v>
      </c>
      <c r="G101" s="76">
        <f t="shared" si="25"/>
        <v>0</v>
      </c>
      <c r="H101" s="74"/>
      <c r="I101" s="74"/>
      <c r="J101" s="76"/>
      <c r="K101" s="74"/>
      <c r="L101" s="74"/>
      <c r="M101" s="76"/>
      <c r="N101" s="74"/>
      <c r="O101" s="74"/>
      <c r="P101" s="76"/>
      <c r="Q101" s="74"/>
      <c r="R101" s="74"/>
      <c r="S101" s="76"/>
      <c r="T101" s="74"/>
      <c r="U101" s="74"/>
      <c r="V101" s="76"/>
      <c r="W101" s="74"/>
      <c r="X101" s="74"/>
      <c r="Y101" s="74"/>
      <c r="Z101" s="74"/>
      <c r="AA101" s="76"/>
      <c r="AB101" s="74"/>
      <c r="AC101" s="74"/>
      <c r="AD101" s="76"/>
      <c r="AE101" s="74"/>
      <c r="AF101" s="74"/>
      <c r="AG101" s="76"/>
      <c r="AH101" s="74"/>
    </row>
    <row r="102" spans="1:34" ht="19.5" x14ac:dyDescent="0.25">
      <c r="A102" s="105"/>
      <c r="B102" s="106" t="s">
        <v>130</v>
      </c>
      <c r="C102" s="77">
        <v>0</v>
      </c>
      <c r="D102" s="77">
        <v>0</v>
      </c>
      <c r="E102" s="77">
        <v>0</v>
      </c>
      <c r="F102" s="76">
        <f t="shared" si="24"/>
        <v>0</v>
      </c>
      <c r="G102" s="76">
        <f t="shared" si="25"/>
        <v>0</v>
      </c>
      <c r="H102" s="74"/>
      <c r="I102" s="74"/>
      <c r="J102" s="76"/>
      <c r="K102" s="74"/>
      <c r="L102" s="74"/>
      <c r="M102" s="76"/>
      <c r="N102" s="74"/>
      <c r="O102" s="74"/>
      <c r="P102" s="76"/>
      <c r="Q102" s="74"/>
      <c r="R102" s="74"/>
      <c r="S102" s="76"/>
      <c r="T102" s="74"/>
      <c r="U102" s="74"/>
      <c r="V102" s="76"/>
      <c r="W102" s="74"/>
      <c r="X102" s="74"/>
      <c r="Y102" s="74"/>
      <c r="Z102" s="74"/>
      <c r="AA102" s="76"/>
      <c r="AB102" s="74"/>
      <c r="AC102" s="74"/>
      <c r="AD102" s="76"/>
      <c r="AE102" s="74"/>
      <c r="AF102" s="74"/>
      <c r="AG102" s="76"/>
      <c r="AH102" s="74"/>
    </row>
    <row r="103" spans="1:34" ht="19.5" x14ac:dyDescent="0.25">
      <c r="A103" s="105"/>
      <c r="B103" s="106" t="s">
        <v>131</v>
      </c>
      <c r="C103" s="107">
        <v>0</v>
      </c>
      <c r="D103" s="107">
        <v>0</v>
      </c>
      <c r="E103" s="107">
        <v>0</v>
      </c>
      <c r="F103" s="108">
        <f t="shared" si="24"/>
        <v>0</v>
      </c>
      <c r="G103" s="108">
        <f t="shared" si="25"/>
        <v>0</v>
      </c>
      <c r="H103" s="203"/>
      <c r="I103" s="203"/>
      <c r="J103" s="108"/>
      <c r="K103" s="203"/>
      <c r="L103" s="203"/>
      <c r="M103" s="108"/>
      <c r="N103" s="203"/>
      <c r="O103" s="203"/>
      <c r="P103" s="108"/>
      <c r="Q103" s="203"/>
      <c r="R103" s="203"/>
      <c r="S103" s="108"/>
      <c r="T103" s="203"/>
      <c r="U103" s="203"/>
      <c r="V103" s="108"/>
      <c r="W103" s="203"/>
      <c r="X103" s="203"/>
      <c r="Y103" s="203"/>
      <c r="Z103" s="203"/>
      <c r="AA103" s="108"/>
      <c r="AB103" s="203"/>
      <c r="AC103" s="203"/>
      <c r="AD103" s="108"/>
      <c r="AE103" s="203"/>
      <c r="AF103" s="203"/>
      <c r="AG103" s="108"/>
      <c r="AH103" s="203"/>
    </row>
    <row r="104" spans="1:34" ht="19.5" x14ac:dyDescent="0.25">
      <c r="A104" s="105"/>
      <c r="B104" s="106" t="s">
        <v>132</v>
      </c>
      <c r="C104" s="77">
        <v>0</v>
      </c>
      <c r="D104" s="77">
        <v>0</v>
      </c>
      <c r="E104" s="77">
        <v>0</v>
      </c>
      <c r="F104" s="76">
        <f t="shared" si="24"/>
        <v>0</v>
      </c>
      <c r="G104" s="76">
        <f t="shared" si="25"/>
        <v>0</v>
      </c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</row>
    <row r="105" spans="1:34" ht="19.5" x14ac:dyDescent="0.25">
      <c r="A105" s="105"/>
      <c r="B105" s="109" t="s">
        <v>133</v>
      </c>
      <c r="C105" s="110">
        <v>0</v>
      </c>
      <c r="D105" s="110">
        <v>0</v>
      </c>
      <c r="E105" s="110">
        <v>0</v>
      </c>
      <c r="F105" s="111">
        <f t="shared" si="24"/>
        <v>0</v>
      </c>
      <c r="G105" s="111">
        <f t="shared" si="25"/>
        <v>0</v>
      </c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</row>
    <row r="106" spans="1:34" ht="19.5" x14ac:dyDescent="0.25">
      <c r="A106" s="105"/>
      <c r="B106" s="109" t="s">
        <v>134</v>
      </c>
      <c r="C106" s="77">
        <v>0</v>
      </c>
      <c r="D106" s="77">
        <v>0</v>
      </c>
      <c r="E106" s="77">
        <v>0</v>
      </c>
      <c r="F106" s="76">
        <f t="shared" si="24"/>
        <v>0</v>
      </c>
      <c r="G106" s="76">
        <f t="shared" si="25"/>
        <v>0</v>
      </c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</row>
    <row r="107" spans="1:34" ht="19.5" x14ac:dyDescent="0.25">
      <c r="A107" s="105"/>
      <c r="B107" s="109" t="s">
        <v>26</v>
      </c>
      <c r="C107" s="77">
        <v>0</v>
      </c>
      <c r="D107" s="77">
        <v>0</v>
      </c>
      <c r="E107" s="77">
        <v>0</v>
      </c>
      <c r="F107" s="76">
        <f t="shared" si="24"/>
        <v>0</v>
      </c>
      <c r="G107" s="76">
        <f t="shared" si="25"/>
        <v>0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</row>
    <row r="108" spans="1:34" ht="19.5" x14ac:dyDescent="0.25">
      <c r="A108" s="112"/>
      <c r="B108" s="113" t="s">
        <v>135</v>
      </c>
      <c r="C108" s="87">
        <v>0</v>
      </c>
      <c r="D108" s="87">
        <v>0</v>
      </c>
      <c r="E108" s="87">
        <v>0</v>
      </c>
      <c r="F108" s="86">
        <f t="shared" si="24"/>
        <v>0</v>
      </c>
      <c r="G108" s="86">
        <f t="shared" si="25"/>
        <v>0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</row>
  </sheetData>
  <mergeCells count="38">
    <mergeCell ref="AF3:AF4"/>
    <mergeCell ref="AG3:AG4"/>
    <mergeCell ref="AH3:AH4"/>
    <mergeCell ref="C4:C6"/>
    <mergeCell ref="D4:D6"/>
    <mergeCell ref="E4:E6"/>
    <mergeCell ref="F4:F6"/>
    <mergeCell ref="A74:B74"/>
    <mergeCell ref="A89:B89"/>
    <mergeCell ref="C2:G2"/>
    <mergeCell ref="H2:AH2"/>
    <mergeCell ref="C3:G3"/>
    <mergeCell ref="K3:M4"/>
    <mergeCell ref="N3:P4"/>
    <mergeCell ref="G4:G6"/>
    <mergeCell ref="AB5:AC5"/>
    <mergeCell ref="Q3:R4"/>
    <mergeCell ref="S3:T4"/>
    <mergeCell ref="U3:V4"/>
    <mergeCell ref="W3:X4"/>
    <mergeCell ref="Y3:Y4"/>
    <mergeCell ref="Z3:Z4"/>
    <mergeCell ref="AE3:AE4"/>
    <mergeCell ref="A2:B6"/>
    <mergeCell ref="A7:B7"/>
    <mergeCell ref="A13:B13"/>
    <mergeCell ref="A31:B31"/>
    <mergeCell ref="A52:B52"/>
    <mergeCell ref="AA3:AC4"/>
    <mergeCell ref="AD3:AD4"/>
    <mergeCell ref="H3:J4"/>
    <mergeCell ref="I5:J5"/>
    <mergeCell ref="L5:M5"/>
    <mergeCell ref="O5:P5"/>
    <mergeCell ref="Q5:R5"/>
    <mergeCell ref="S5:T5"/>
    <mergeCell ref="U5:V5"/>
    <mergeCell ref="W5:X5"/>
  </mergeCells>
  <conditionalFormatting sqref="F14:F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J14:J30 M14:M30 P14:P30 R14:R30 T14:T30 V14:V30 X14:X30 AC14:AC30 J32:J51 M32:M51 P32:P51 R32:R51 T32:T51 V32:V51 X32:X51 AC32:AC51 J53:J73 M53:M73 P53:P73 R53:R73 T53:T73 V53:V73 X53:X73 AC53:AC73 J75:J88 M75:M88 P75:P88 R75:R88 T75:T88 V75:V88 X75:X88 AC75:AC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BK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6.42578125" customWidth="1"/>
    <col min="4" max="4" width="16.5703125" customWidth="1"/>
    <col min="5" max="5" width="15.28515625" customWidth="1"/>
    <col min="38" max="38" width="14.5703125" customWidth="1"/>
  </cols>
  <sheetData>
    <row r="1" spans="1:63" ht="19.5" x14ac:dyDescent="0.3">
      <c r="A1" s="1" t="s">
        <v>0</v>
      </c>
      <c r="B1" s="2"/>
      <c r="C1" s="5"/>
      <c r="D1" s="5"/>
      <c r="E1" s="5"/>
      <c r="F1" s="5"/>
      <c r="G1" s="5"/>
      <c r="H1" s="2"/>
      <c r="I1" s="2"/>
      <c r="J1" s="4"/>
    </row>
    <row r="2" spans="1:63" ht="30" customHeight="1" x14ac:dyDescent="0.2">
      <c r="A2" s="657" t="s">
        <v>1</v>
      </c>
      <c r="B2" s="658"/>
      <c r="C2" s="669" t="s">
        <v>329</v>
      </c>
      <c r="D2" s="646"/>
      <c r="E2" s="646"/>
      <c r="F2" s="646"/>
      <c r="G2" s="646"/>
      <c r="H2" s="646"/>
      <c r="I2" s="646"/>
      <c r="J2" s="647"/>
      <c r="K2" s="837" t="s">
        <v>330</v>
      </c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X2" s="646"/>
      <c r="AY2" s="646"/>
      <c r="AZ2" s="646"/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7"/>
    </row>
    <row r="3" spans="1:63" ht="30" customHeight="1" x14ac:dyDescent="0.2">
      <c r="A3" s="659"/>
      <c r="B3" s="660"/>
      <c r="C3" s="645" t="s">
        <v>5</v>
      </c>
      <c r="D3" s="646"/>
      <c r="E3" s="646"/>
      <c r="F3" s="646"/>
      <c r="G3" s="647"/>
      <c r="H3" s="832" t="s">
        <v>331</v>
      </c>
      <c r="I3" s="674"/>
      <c r="J3" s="658"/>
      <c r="K3" s="835" t="s">
        <v>332</v>
      </c>
      <c r="L3" s="674"/>
      <c r="M3" s="658"/>
      <c r="N3" s="739" t="s">
        <v>333</v>
      </c>
      <c r="O3" s="646"/>
      <c r="P3" s="646"/>
      <c r="Q3" s="646"/>
      <c r="R3" s="646"/>
      <c r="S3" s="646"/>
      <c r="T3" s="646"/>
      <c r="U3" s="646"/>
      <c r="V3" s="647"/>
      <c r="W3" s="779" t="s">
        <v>334</v>
      </c>
      <c r="X3" s="646"/>
      <c r="Y3" s="646"/>
      <c r="Z3" s="646"/>
      <c r="AA3" s="646"/>
      <c r="AB3" s="646"/>
      <c r="AC3" s="646"/>
      <c r="AD3" s="646"/>
      <c r="AE3" s="646"/>
      <c r="AF3" s="646"/>
      <c r="AG3" s="647"/>
      <c r="AH3" s="831" t="s">
        <v>335</v>
      </c>
      <c r="AI3" s="674"/>
      <c r="AJ3" s="674"/>
      <c r="AK3" s="674"/>
      <c r="AL3" s="658"/>
      <c r="AM3" s="779" t="s">
        <v>336</v>
      </c>
      <c r="AN3" s="646"/>
      <c r="AO3" s="646"/>
      <c r="AP3" s="646"/>
      <c r="AQ3" s="646"/>
      <c r="AR3" s="646"/>
      <c r="AS3" s="646"/>
      <c r="AT3" s="646"/>
      <c r="AU3" s="646"/>
      <c r="AV3" s="646"/>
      <c r="AW3" s="646"/>
      <c r="AX3" s="646"/>
      <c r="AY3" s="646"/>
      <c r="AZ3" s="646"/>
      <c r="BA3" s="646"/>
      <c r="BB3" s="647"/>
      <c r="BC3" s="779" t="s">
        <v>337</v>
      </c>
      <c r="BD3" s="646"/>
      <c r="BE3" s="646"/>
      <c r="BF3" s="646"/>
      <c r="BG3" s="646"/>
      <c r="BH3" s="646"/>
      <c r="BI3" s="646"/>
      <c r="BJ3" s="646"/>
      <c r="BK3" s="647"/>
    </row>
    <row r="4" spans="1:63" ht="60" customHeight="1" x14ac:dyDescent="0.2">
      <c r="A4" s="659"/>
      <c r="B4" s="660"/>
      <c r="C4" s="648" t="s">
        <v>11</v>
      </c>
      <c r="D4" s="651" t="s">
        <v>12</v>
      </c>
      <c r="E4" s="652" t="s">
        <v>13</v>
      </c>
      <c r="F4" s="652" t="s">
        <v>14</v>
      </c>
      <c r="G4" s="652" t="s">
        <v>15</v>
      </c>
      <c r="H4" s="661"/>
      <c r="I4" s="675"/>
      <c r="J4" s="662"/>
      <c r="K4" s="661"/>
      <c r="L4" s="675"/>
      <c r="M4" s="662"/>
      <c r="N4" s="739" t="s">
        <v>190</v>
      </c>
      <c r="O4" s="646"/>
      <c r="P4" s="647"/>
      <c r="Q4" s="715" t="s">
        <v>338</v>
      </c>
      <c r="R4" s="646"/>
      <c r="S4" s="647"/>
      <c r="T4" s="715" t="s">
        <v>339</v>
      </c>
      <c r="U4" s="646"/>
      <c r="V4" s="647"/>
      <c r="W4" s="779" t="s">
        <v>190</v>
      </c>
      <c r="X4" s="646"/>
      <c r="Y4" s="647"/>
      <c r="Z4" s="739" t="s">
        <v>340</v>
      </c>
      <c r="AA4" s="647"/>
      <c r="AB4" s="739" t="s">
        <v>341</v>
      </c>
      <c r="AC4" s="646"/>
      <c r="AD4" s="647"/>
      <c r="AE4" s="739" t="s">
        <v>342</v>
      </c>
      <c r="AF4" s="646"/>
      <c r="AG4" s="647"/>
      <c r="AH4" s="661"/>
      <c r="AI4" s="675"/>
      <c r="AJ4" s="675"/>
      <c r="AK4" s="675"/>
      <c r="AL4" s="662"/>
      <c r="AM4" s="836" t="s">
        <v>190</v>
      </c>
      <c r="AN4" s="646"/>
      <c r="AO4" s="646"/>
      <c r="AP4" s="646"/>
      <c r="AQ4" s="646"/>
      <c r="AR4" s="647"/>
      <c r="AS4" s="739" t="s">
        <v>343</v>
      </c>
      <c r="AT4" s="646"/>
      <c r="AU4" s="646"/>
      <c r="AV4" s="646"/>
      <c r="AW4" s="647"/>
      <c r="AX4" s="739" t="s">
        <v>344</v>
      </c>
      <c r="AY4" s="646"/>
      <c r="AZ4" s="646"/>
      <c r="BA4" s="646"/>
      <c r="BB4" s="647"/>
      <c r="BC4" s="779" t="s">
        <v>190</v>
      </c>
      <c r="BD4" s="646"/>
      <c r="BE4" s="647"/>
      <c r="BF4" s="739" t="s">
        <v>345</v>
      </c>
      <c r="BG4" s="646"/>
      <c r="BH4" s="647"/>
      <c r="BI4" s="739" t="s">
        <v>346</v>
      </c>
      <c r="BJ4" s="646"/>
      <c r="BK4" s="647"/>
    </row>
    <row r="5" spans="1:63" ht="30" customHeight="1" x14ac:dyDescent="0.2">
      <c r="A5" s="659"/>
      <c r="B5" s="660"/>
      <c r="C5" s="649"/>
      <c r="D5" s="649"/>
      <c r="E5" s="649"/>
      <c r="F5" s="649"/>
      <c r="G5" s="649"/>
      <c r="H5" s="342" t="s">
        <v>28</v>
      </c>
      <c r="I5" s="713" t="s">
        <v>29</v>
      </c>
      <c r="J5" s="647"/>
      <c r="K5" s="119" t="s">
        <v>28</v>
      </c>
      <c r="L5" s="713" t="s">
        <v>29</v>
      </c>
      <c r="M5" s="647"/>
      <c r="N5" s="342" t="s">
        <v>28</v>
      </c>
      <c r="O5" s="713" t="s">
        <v>29</v>
      </c>
      <c r="P5" s="647"/>
      <c r="Q5" s="713" t="s">
        <v>29</v>
      </c>
      <c r="R5" s="646"/>
      <c r="S5" s="647"/>
      <c r="T5" s="713" t="s">
        <v>29</v>
      </c>
      <c r="U5" s="646"/>
      <c r="V5" s="647"/>
      <c r="W5" s="428" t="s">
        <v>28</v>
      </c>
      <c r="X5" s="713" t="s">
        <v>29</v>
      </c>
      <c r="Y5" s="647"/>
      <c r="Z5" s="713" t="s">
        <v>29</v>
      </c>
      <c r="AA5" s="647"/>
      <c r="AB5" s="713" t="s">
        <v>29</v>
      </c>
      <c r="AC5" s="646"/>
      <c r="AD5" s="647"/>
      <c r="AE5" s="713" t="s">
        <v>29</v>
      </c>
      <c r="AF5" s="646"/>
      <c r="AG5" s="647"/>
      <c r="AH5" s="617" t="s">
        <v>28</v>
      </c>
      <c r="AI5" s="713" t="s">
        <v>29</v>
      </c>
      <c r="AJ5" s="646"/>
      <c r="AK5" s="646"/>
      <c r="AL5" s="647"/>
      <c r="AM5" s="836" t="s">
        <v>28</v>
      </c>
      <c r="AN5" s="647"/>
      <c r="AO5" s="713" t="s">
        <v>29</v>
      </c>
      <c r="AP5" s="646"/>
      <c r="AQ5" s="646"/>
      <c r="AR5" s="647"/>
      <c r="AS5" s="836" t="s">
        <v>28</v>
      </c>
      <c r="AT5" s="647"/>
      <c r="AU5" s="713" t="s">
        <v>29</v>
      </c>
      <c r="AV5" s="646"/>
      <c r="AW5" s="647"/>
      <c r="AX5" s="836" t="s">
        <v>28</v>
      </c>
      <c r="AY5" s="647"/>
      <c r="AZ5" s="713" t="s">
        <v>29</v>
      </c>
      <c r="BA5" s="646"/>
      <c r="BB5" s="647"/>
      <c r="BC5" s="617" t="s">
        <v>28</v>
      </c>
      <c r="BD5" s="713" t="s">
        <v>29</v>
      </c>
      <c r="BE5" s="647"/>
      <c r="BF5" s="713" t="s">
        <v>29</v>
      </c>
      <c r="BG5" s="646"/>
      <c r="BH5" s="647"/>
      <c r="BI5" s="713" t="s">
        <v>29</v>
      </c>
      <c r="BJ5" s="646"/>
      <c r="BK5" s="647"/>
    </row>
    <row r="6" spans="1:63" ht="30" customHeight="1" x14ac:dyDescent="0.2">
      <c r="A6" s="661"/>
      <c r="B6" s="662"/>
      <c r="C6" s="650"/>
      <c r="D6" s="650"/>
      <c r="E6" s="650"/>
      <c r="F6" s="650"/>
      <c r="G6" s="650"/>
      <c r="H6" s="342" t="s">
        <v>140</v>
      </c>
      <c r="I6" s="180" t="s">
        <v>140</v>
      </c>
      <c r="J6" s="210" t="s">
        <v>31</v>
      </c>
      <c r="K6" s="119" t="s">
        <v>153</v>
      </c>
      <c r="L6" s="180" t="s">
        <v>153</v>
      </c>
      <c r="M6" s="210" t="s">
        <v>31</v>
      </c>
      <c r="N6" s="342" t="s">
        <v>140</v>
      </c>
      <c r="O6" s="180" t="s">
        <v>140</v>
      </c>
      <c r="P6" s="210" t="s">
        <v>31</v>
      </c>
      <c r="Q6" s="180" t="s">
        <v>35</v>
      </c>
      <c r="R6" s="180" t="s">
        <v>34</v>
      </c>
      <c r="S6" s="210" t="s">
        <v>140</v>
      </c>
      <c r="T6" s="180" t="s">
        <v>35</v>
      </c>
      <c r="U6" s="180" t="s">
        <v>34</v>
      </c>
      <c r="V6" s="210" t="s">
        <v>140</v>
      </c>
      <c r="W6" s="428" t="s">
        <v>140</v>
      </c>
      <c r="X6" s="180" t="s">
        <v>140</v>
      </c>
      <c r="Y6" s="210" t="s">
        <v>31</v>
      </c>
      <c r="Z6" s="180" t="s">
        <v>34</v>
      </c>
      <c r="AA6" s="180" t="s">
        <v>140</v>
      </c>
      <c r="AB6" s="180" t="s">
        <v>35</v>
      </c>
      <c r="AC6" s="180" t="s">
        <v>34</v>
      </c>
      <c r="AD6" s="180" t="s">
        <v>140</v>
      </c>
      <c r="AE6" s="180" t="s">
        <v>35</v>
      </c>
      <c r="AF6" s="180" t="s">
        <v>34</v>
      </c>
      <c r="AG6" s="180" t="s">
        <v>140</v>
      </c>
      <c r="AH6" s="428" t="s">
        <v>140</v>
      </c>
      <c r="AI6" s="180" t="s">
        <v>35</v>
      </c>
      <c r="AJ6" s="180" t="s">
        <v>34</v>
      </c>
      <c r="AK6" s="180" t="s">
        <v>140</v>
      </c>
      <c r="AL6" s="180" t="s">
        <v>228</v>
      </c>
      <c r="AM6" s="428" t="s">
        <v>35</v>
      </c>
      <c r="AN6" s="428" t="s">
        <v>140</v>
      </c>
      <c r="AO6" s="180" t="s">
        <v>35</v>
      </c>
      <c r="AP6" s="180" t="s">
        <v>31</v>
      </c>
      <c r="AQ6" s="180" t="s">
        <v>140</v>
      </c>
      <c r="AR6" s="180" t="s">
        <v>31</v>
      </c>
      <c r="AS6" s="428" t="s">
        <v>35</v>
      </c>
      <c r="AT6" s="428" t="s">
        <v>140</v>
      </c>
      <c r="AU6" s="180" t="s">
        <v>35</v>
      </c>
      <c r="AV6" s="180" t="s">
        <v>34</v>
      </c>
      <c r="AW6" s="180" t="s">
        <v>140</v>
      </c>
      <c r="AX6" s="428" t="s">
        <v>35</v>
      </c>
      <c r="AY6" s="428" t="s">
        <v>140</v>
      </c>
      <c r="AZ6" s="180" t="s">
        <v>35</v>
      </c>
      <c r="BA6" s="180" t="s">
        <v>34</v>
      </c>
      <c r="BB6" s="180" t="s">
        <v>140</v>
      </c>
      <c r="BC6" s="428" t="s">
        <v>140</v>
      </c>
      <c r="BD6" s="180" t="s">
        <v>140</v>
      </c>
      <c r="BE6" s="180" t="s">
        <v>31</v>
      </c>
      <c r="BF6" s="180" t="s">
        <v>35</v>
      </c>
      <c r="BG6" s="180" t="s">
        <v>34</v>
      </c>
      <c r="BH6" s="180" t="s">
        <v>140</v>
      </c>
      <c r="BI6" s="180" t="s">
        <v>35</v>
      </c>
      <c r="BJ6" s="180" t="s">
        <v>34</v>
      </c>
      <c r="BK6" s="180" t="s">
        <v>140</v>
      </c>
    </row>
    <row r="7" spans="1:63" ht="19.5" x14ac:dyDescent="0.3">
      <c r="A7" s="663" t="s">
        <v>38</v>
      </c>
      <c r="B7" s="647"/>
      <c r="C7" s="27">
        <f t="shared" ref="C7:E7" ca="1" si="0">C8+C9</f>
        <v>1085630</v>
      </c>
      <c r="D7" s="27">
        <f t="shared" ca="1" si="0"/>
        <v>1083710</v>
      </c>
      <c r="E7" s="27">
        <f t="shared" ca="1" si="0"/>
        <v>301311</v>
      </c>
      <c r="F7" s="27">
        <f t="shared" ref="F7:F9" ca="1" si="1">IF(C7&gt;0,E7*100/C7,0)</f>
        <v>27.754483571750963</v>
      </c>
      <c r="G7" s="27">
        <f t="shared" ref="G7:G9" ca="1" si="2">IF(D7&gt;0,E7*100/D7,0)</f>
        <v>27.803655959620194</v>
      </c>
      <c r="H7" s="353">
        <f t="shared" ref="H7:I7" ca="1" si="3">H8</f>
        <v>481</v>
      </c>
      <c r="I7" s="212">
        <f t="shared" ca="1" si="3"/>
        <v>911.93999999999994</v>
      </c>
      <c r="J7" s="213">
        <f t="shared" ref="J7:J8" ca="1" si="4">IF(H7&gt;0,I7*100/H7,0)</f>
        <v>189.59251559251558</v>
      </c>
      <c r="K7" s="211">
        <f t="shared" ref="K7:L7" ca="1" si="5">K8</f>
        <v>339</v>
      </c>
      <c r="L7" s="212">
        <f t="shared" ca="1" si="5"/>
        <v>62</v>
      </c>
      <c r="M7" s="213">
        <f t="shared" ref="M7:M8" ca="1" si="6">IF(K7&gt;0,L7*100/K7,0)</f>
        <v>18.289085545722713</v>
      </c>
      <c r="N7" s="353">
        <f t="shared" ref="N7:O7" ca="1" si="7">N8</f>
        <v>3686</v>
      </c>
      <c r="O7" s="212">
        <f t="shared" ca="1" si="7"/>
        <v>4375.88</v>
      </c>
      <c r="P7" s="213">
        <f t="shared" ref="P7:P8" ca="1" si="8">IF(N7&gt;0,O7*100/N7,0)</f>
        <v>118.71622354856213</v>
      </c>
      <c r="Q7" s="213">
        <f t="shared" ref="Q7:X7" ca="1" si="9">Q8</f>
        <v>235</v>
      </c>
      <c r="R7" s="213">
        <f t="shared" ca="1" si="9"/>
        <v>250</v>
      </c>
      <c r="S7" s="213">
        <f t="shared" ca="1" si="9"/>
        <v>3534.48</v>
      </c>
      <c r="T7" s="213">
        <f t="shared" ca="1" si="9"/>
        <v>59</v>
      </c>
      <c r="U7" s="213">
        <f t="shared" ca="1" si="9"/>
        <v>85</v>
      </c>
      <c r="V7" s="213">
        <f t="shared" ca="1" si="9"/>
        <v>841.4</v>
      </c>
      <c r="W7" s="437">
        <f t="shared" ca="1" si="9"/>
        <v>4295</v>
      </c>
      <c r="X7" s="212">
        <f t="shared" ca="1" si="9"/>
        <v>1264.4969999999998</v>
      </c>
      <c r="Y7" s="213">
        <f t="shared" ref="Y7:Y8" ca="1" si="10">IF(W7&gt;0,X7*100/W7,0)</f>
        <v>29.441140861466817</v>
      </c>
      <c r="Z7" s="212">
        <f t="shared" ref="Z7:AK7" ca="1" si="11">Z8</f>
        <v>53</v>
      </c>
      <c r="AA7" s="212">
        <f t="shared" ca="1" si="11"/>
        <v>242.61699999999999</v>
      </c>
      <c r="AB7" s="212">
        <f t="shared" ca="1" si="11"/>
        <v>148</v>
      </c>
      <c r="AC7" s="212">
        <f t="shared" ca="1" si="11"/>
        <v>99</v>
      </c>
      <c r="AD7" s="212">
        <f t="shared" ca="1" si="11"/>
        <v>1064.0875000000001</v>
      </c>
      <c r="AE7" s="212">
        <f t="shared" ca="1" si="11"/>
        <v>22</v>
      </c>
      <c r="AF7" s="212">
        <f t="shared" ca="1" si="11"/>
        <v>22</v>
      </c>
      <c r="AG7" s="212">
        <f t="shared" ca="1" si="11"/>
        <v>242.40949999999998</v>
      </c>
      <c r="AH7" s="437">
        <f t="shared" ca="1" si="11"/>
        <v>5419</v>
      </c>
      <c r="AI7" s="212">
        <f t="shared" ca="1" si="11"/>
        <v>164</v>
      </c>
      <c r="AJ7" s="212">
        <f t="shared" ca="1" si="11"/>
        <v>177</v>
      </c>
      <c r="AK7" s="212">
        <f t="shared" ca="1" si="11"/>
        <v>2288.7199999999998</v>
      </c>
      <c r="AL7" s="213">
        <f t="shared" ref="AL7:AL8" ca="1" si="12">IF(AH7&gt;0,AK7*100/AH7,0)</f>
        <v>42.23509872670234</v>
      </c>
      <c r="AM7" s="437">
        <f t="shared" ref="AM7:AO7" ca="1" si="13">AM8</f>
        <v>401</v>
      </c>
      <c r="AN7" s="437">
        <f t="shared" ca="1" si="13"/>
        <v>4606</v>
      </c>
      <c r="AO7" s="212">
        <f t="shared" ca="1" si="13"/>
        <v>232</v>
      </c>
      <c r="AP7" s="213">
        <f t="shared" ref="AP7:AP8" ca="1" si="14">IF(AM7&gt;0,AO7*100/AM7,0)</f>
        <v>57.855361596009978</v>
      </c>
      <c r="AQ7" s="212">
        <f ca="1">AQ8</f>
        <v>2339.6999999999998</v>
      </c>
      <c r="AR7" s="213">
        <f t="shared" ref="AR7:AR8" ca="1" si="15">IF(AN7&gt;0,AQ7*100/AN7,0)</f>
        <v>50.796786799826307</v>
      </c>
      <c r="AS7" s="437">
        <f t="shared" ref="AS7:BD7" ca="1" si="16">AS8</f>
        <v>294</v>
      </c>
      <c r="AT7" s="437">
        <f t="shared" ca="1" si="16"/>
        <v>3534</v>
      </c>
      <c r="AU7" s="212">
        <f t="shared" ca="1" si="16"/>
        <v>139</v>
      </c>
      <c r="AV7" s="212">
        <f t="shared" ca="1" si="16"/>
        <v>157</v>
      </c>
      <c r="AW7" s="212">
        <f t="shared" ca="1" si="16"/>
        <v>1760.99</v>
      </c>
      <c r="AX7" s="437">
        <f t="shared" ca="1" si="16"/>
        <v>107</v>
      </c>
      <c r="AY7" s="437">
        <f t="shared" ca="1" si="16"/>
        <v>1072</v>
      </c>
      <c r="AZ7" s="212">
        <f t="shared" ca="1" si="16"/>
        <v>93</v>
      </c>
      <c r="BA7" s="212">
        <f t="shared" ca="1" si="16"/>
        <v>112</v>
      </c>
      <c r="BB7" s="212">
        <f t="shared" ca="1" si="16"/>
        <v>578.71</v>
      </c>
      <c r="BC7" s="437">
        <f t="shared" ca="1" si="16"/>
        <v>1361</v>
      </c>
      <c r="BD7" s="212">
        <f t="shared" ca="1" si="16"/>
        <v>1012.1</v>
      </c>
      <c r="BE7" s="213">
        <f t="shared" ref="BE7:BE8" ca="1" si="17">IF(BC7&gt;0,BD7*100/BC7,0)</f>
        <v>74.364437913299042</v>
      </c>
      <c r="BF7" s="212">
        <f t="shared" ref="BF7:BK7" ca="1" si="18">BF8</f>
        <v>17</v>
      </c>
      <c r="BG7" s="212">
        <f t="shared" ca="1" si="18"/>
        <v>13</v>
      </c>
      <c r="BH7" s="212">
        <f t="shared" ca="1" si="18"/>
        <v>169.95</v>
      </c>
      <c r="BI7" s="212">
        <f t="shared" ca="1" si="18"/>
        <v>113</v>
      </c>
      <c r="BJ7" s="212">
        <f t="shared" ca="1" si="18"/>
        <v>70</v>
      </c>
      <c r="BK7" s="212">
        <f t="shared" ca="1" si="18"/>
        <v>842.15</v>
      </c>
    </row>
    <row r="8" spans="1:63" ht="19.5" x14ac:dyDescent="0.3">
      <c r="A8" s="31" t="s">
        <v>39</v>
      </c>
      <c r="B8" s="31"/>
      <c r="C8" s="37">
        <f t="shared" ref="C8:E8" ca="1" si="19">+C13+C31+C52+C74</f>
        <v>988860</v>
      </c>
      <c r="D8" s="37">
        <f t="shared" ca="1" si="19"/>
        <v>986940</v>
      </c>
      <c r="E8" s="37">
        <f t="shared" ca="1" si="19"/>
        <v>270811</v>
      </c>
      <c r="F8" s="37">
        <f t="shared" ca="1" si="1"/>
        <v>27.386182068240196</v>
      </c>
      <c r="G8" s="37">
        <f t="shared" ca="1" si="2"/>
        <v>27.439459338966909</v>
      </c>
      <c r="H8" s="136">
        <f t="shared" ref="H8:I8" ca="1" si="20">+H13+H31+H52+H74</f>
        <v>481</v>
      </c>
      <c r="I8" s="276">
        <f t="shared" ca="1" si="20"/>
        <v>911.93999999999994</v>
      </c>
      <c r="J8" s="37">
        <f t="shared" ca="1" si="4"/>
        <v>189.59251559251558</v>
      </c>
      <c r="K8" s="136">
        <f t="shared" ref="K8:L8" ca="1" si="21">+K13+K31+K52+K74</f>
        <v>339</v>
      </c>
      <c r="L8" s="276">
        <f t="shared" ca="1" si="21"/>
        <v>62</v>
      </c>
      <c r="M8" s="37">
        <f t="shared" ca="1" si="6"/>
        <v>18.289085545722713</v>
      </c>
      <c r="N8" s="136">
        <f t="shared" ref="N8:O8" ca="1" si="22">+N13+N31+N52+N74</f>
        <v>3686</v>
      </c>
      <c r="O8" s="136">
        <f t="shared" ca="1" si="22"/>
        <v>4375.88</v>
      </c>
      <c r="P8" s="37">
        <f t="shared" ca="1" si="8"/>
        <v>118.71622354856213</v>
      </c>
      <c r="Q8" s="37">
        <f t="shared" ref="Q8:X8" ca="1" si="23">+Q13+Q31+Q52+Q74</f>
        <v>235</v>
      </c>
      <c r="R8" s="37">
        <f t="shared" ca="1" si="23"/>
        <v>250</v>
      </c>
      <c r="S8" s="37">
        <f t="shared" ca="1" si="23"/>
        <v>3534.48</v>
      </c>
      <c r="T8" s="37">
        <f t="shared" ca="1" si="23"/>
        <v>59</v>
      </c>
      <c r="U8" s="37">
        <f t="shared" ca="1" si="23"/>
        <v>85</v>
      </c>
      <c r="V8" s="37">
        <f t="shared" ca="1" si="23"/>
        <v>841.4</v>
      </c>
      <c r="W8" s="136">
        <f t="shared" ca="1" si="23"/>
        <v>4295</v>
      </c>
      <c r="X8" s="136">
        <f t="shared" ca="1" si="23"/>
        <v>1264.4969999999998</v>
      </c>
      <c r="Y8" s="37">
        <f t="shared" ca="1" si="10"/>
        <v>29.441140861466817</v>
      </c>
      <c r="Z8" s="136">
        <f t="shared" ref="Z8:AK8" ca="1" si="24">+Z13+Z31+Z52+Z74</f>
        <v>53</v>
      </c>
      <c r="AA8" s="136">
        <f t="shared" ca="1" si="24"/>
        <v>242.61699999999999</v>
      </c>
      <c r="AB8" s="136">
        <f t="shared" ca="1" si="24"/>
        <v>148</v>
      </c>
      <c r="AC8" s="136">
        <f t="shared" ca="1" si="24"/>
        <v>99</v>
      </c>
      <c r="AD8" s="136">
        <f t="shared" ca="1" si="24"/>
        <v>1064.0875000000001</v>
      </c>
      <c r="AE8" s="136">
        <f t="shared" ca="1" si="24"/>
        <v>22</v>
      </c>
      <c r="AF8" s="136">
        <f t="shared" ca="1" si="24"/>
        <v>22</v>
      </c>
      <c r="AG8" s="136">
        <f t="shared" ca="1" si="24"/>
        <v>242.40949999999998</v>
      </c>
      <c r="AH8" s="136">
        <f t="shared" ca="1" si="24"/>
        <v>5419</v>
      </c>
      <c r="AI8" s="276">
        <f t="shared" ca="1" si="24"/>
        <v>164</v>
      </c>
      <c r="AJ8" s="276">
        <f t="shared" ca="1" si="24"/>
        <v>177</v>
      </c>
      <c r="AK8" s="276">
        <f t="shared" ca="1" si="24"/>
        <v>2288.7199999999998</v>
      </c>
      <c r="AL8" s="37">
        <f t="shared" ca="1" si="12"/>
        <v>42.23509872670234</v>
      </c>
      <c r="AM8" s="136">
        <f t="shared" ref="AM8:AO8" ca="1" si="25">+AM13+AM31+AM52+AM74</f>
        <v>401</v>
      </c>
      <c r="AN8" s="136">
        <f t="shared" ca="1" si="25"/>
        <v>4606</v>
      </c>
      <c r="AO8" s="276">
        <f t="shared" ca="1" si="25"/>
        <v>232</v>
      </c>
      <c r="AP8" s="37">
        <f t="shared" ca="1" si="14"/>
        <v>57.855361596009978</v>
      </c>
      <c r="AQ8" s="276">
        <f ca="1">+AQ13+AQ31+AQ52+AQ74</f>
        <v>2339.6999999999998</v>
      </c>
      <c r="AR8" s="37">
        <f t="shared" ca="1" si="15"/>
        <v>50.796786799826307</v>
      </c>
      <c r="AS8" s="136">
        <f t="shared" ref="AS8:BD8" ca="1" si="26">+AS13+AS31+AS52+AS74</f>
        <v>294</v>
      </c>
      <c r="AT8" s="136">
        <f t="shared" ca="1" si="26"/>
        <v>3534</v>
      </c>
      <c r="AU8" s="276">
        <f t="shared" ca="1" si="26"/>
        <v>139</v>
      </c>
      <c r="AV8" s="276">
        <f t="shared" ca="1" si="26"/>
        <v>157</v>
      </c>
      <c r="AW8" s="276">
        <f t="shared" ca="1" si="26"/>
        <v>1760.99</v>
      </c>
      <c r="AX8" s="136">
        <f t="shared" ca="1" si="26"/>
        <v>107</v>
      </c>
      <c r="AY8" s="136">
        <f t="shared" ca="1" si="26"/>
        <v>1072</v>
      </c>
      <c r="AZ8" s="276">
        <f t="shared" ca="1" si="26"/>
        <v>93</v>
      </c>
      <c r="BA8" s="276">
        <f t="shared" ca="1" si="26"/>
        <v>112</v>
      </c>
      <c r="BB8" s="276">
        <f t="shared" ca="1" si="26"/>
        <v>578.71</v>
      </c>
      <c r="BC8" s="136">
        <f t="shared" ca="1" si="26"/>
        <v>1361</v>
      </c>
      <c r="BD8" s="136">
        <f t="shared" ca="1" si="26"/>
        <v>1012.1</v>
      </c>
      <c r="BE8" s="37">
        <f t="shared" ca="1" si="17"/>
        <v>74.364437913299042</v>
      </c>
      <c r="BF8" s="136">
        <f t="shared" ref="BF8:BK8" ca="1" si="27">+BF13+BF31+BF52+BF74</f>
        <v>17</v>
      </c>
      <c r="BG8" s="136">
        <f t="shared" ca="1" si="27"/>
        <v>13</v>
      </c>
      <c r="BH8" s="136">
        <f t="shared" ca="1" si="27"/>
        <v>169.95</v>
      </c>
      <c r="BI8" s="136">
        <f t="shared" ca="1" si="27"/>
        <v>113</v>
      </c>
      <c r="BJ8" s="136">
        <f t="shared" ca="1" si="27"/>
        <v>70</v>
      </c>
      <c r="BK8" s="136">
        <f t="shared" ca="1" si="27"/>
        <v>842.15</v>
      </c>
    </row>
    <row r="9" spans="1:63" ht="19.5" x14ac:dyDescent="0.3">
      <c r="A9" s="38" t="s">
        <v>40</v>
      </c>
      <c r="B9" s="38"/>
      <c r="C9" s="44">
        <f t="shared" ref="C9:E9" ca="1" si="28">C96</f>
        <v>96770</v>
      </c>
      <c r="D9" s="44">
        <f t="shared" ca="1" si="28"/>
        <v>96770</v>
      </c>
      <c r="E9" s="44">
        <f t="shared" ca="1" si="28"/>
        <v>30500</v>
      </c>
      <c r="F9" s="44">
        <f t="shared" ca="1" si="1"/>
        <v>31.518032448072749</v>
      </c>
      <c r="G9" s="44">
        <f t="shared" ca="1" si="2"/>
        <v>31.518032448072749</v>
      </c>
      <c r="H9" s="246"/>
      <c r="I9" s="246"/>
      <c r="J9" s="247"/>
      <c r="K9" s="246"/>
      <c r="L9" s="246"/>
      <c r="M9" s="247"/>
      <c r="N9" s="246"/>
      <c r="O9" s="246"/>
      <c r="P9" s="247"/>
      <c r="Q9" s="247"/>
      <c r="R9" s="247"/>
      <c r="S9" s="247"/>
      <c r="T9" s="247"/>
      <c r="U9" s="247"/>
      <c r="V9" s="247"/>
      <c r="W9" s="246"/>
      <c r="X9" s="246"/>
      <c r="Y9" s="247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44"/>
      <c r="AM9" s="246"/>
      <c r="AN9" s="246"/>
      <c r="AO9" s="246"/>
      <c r="AP9" s="44"/>
      <c r="AQ9" s="246"/>
      <c r="AR9" s="44"/>
      <c r="AS9" s="246"/>
      <c r="AT9" s="246"/>
      <c r="AU9" s="246"/>
      <c r="AV9" s="246"/>
      <c r="AW9" s="246"/>
      <c r="AX9" s="246"/>
      <c r="AY9" s="246"/>
      <c r="AZ9" s="246"/>
      <c r="BA9" s="246"/>
      <c r="BB9" s="246"/>
      <c r="BC9" s="246"/>
      <c r="BD9" s="246"/>
      <c r="BE9" s="44"/>
      <c r="BF9" s="246"/>
      <c r="BG9" s="246"/>
      <c r="BH9" s="246"/>
      <c r="BI9" s="246"/>
      <c r="BJ9" s="246"/>
      <c r="BK9" s="246"/>
    </row>
    <row r="10" spans="1:63" ht="19.5" hidden="1" x14ac:dyDescent="0.3">
      <c r="A10" s="45"/>
      <c r="B10" s="45"/>
      <c r="C10" s="51"/>
      <c r="D10" s="51"/>
      <c r="E10" s="51"/>
      <c r="F10" s="51"/>
      <c r="G10" s="51"/>
      <c r="H10" s="214"/>
      <c r="I10" s="214"/>
      <c r="J10" s="196"/>
      <c r="K10" s="214"/>
      <c r="L10" s="214"/>
      <c r="M10" s="196"/>
      <c r="N10" s="214"/>
      <c r="O10" s="214"/>
      <c r="P10" s="196"/>
      <c r="Q10" s="196"/>
      <c r="R10" s="196"/>
      <c r="S10" s="196"/>
      <c r="T10" s="196"/>
      <c r="U10" s="196"/>
      <c r="V10" s="196"/>
      <c r="W10" s="214"/>
      <c r="X10" s="214"/>
      <c r="Y10" s="196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51"/>
      <c r="AM10" s="214"/>
      <c r="AN10" s="214"/>
      <c r="AO10" s="214"/>
      <c r="AP10" s="51"/>
      <c r="AQ10" s="214"/>
      <c r="AR10" s="51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51"/>
      <c r="BF10" s="214"/>
      <c r="BG10" s="214"/>
      <c r="BH10" s="214"/>
      <c r="BI10" s="214"/>
      <c r="BJ10" s="214"/>
      <c r="BK10" s="214"/>
    </row>
    <row r="11" spans="1:63" ht="19.5" hidden="1" x14ac:dyDescent="0.3">
      <c r="A11" s="45"/>
      <c r="B11" s="45"/>
      <c r="C11" s="51"/>
      <c r="D11" s="51"/>
      <c r="E11" s="51"/>
      <c r="F11" s="51"/>
      <c r="G11" s="51"/>
      <c r="H11" s="214"/>
      <c r="I11" s="214"/>
      <c r="J11" s="196"/>
      <c r="K11" s="214"/>
      <c r="L11" s="214"/>
      <c r="M11" s="196"/>
      <c r="N11" s="214"/>
      <c r="O11" s="214"/>
      <c r="P11" s="196"/>
      <c r="Q11" s="196"/>
      <c r="R11" s="196"/>
      <c r="S11" s="196"/>
      <c r="T11" s="196"/>
      <c r="U11" s="196"/>
      <c r="V11" s="196"/>
      <c r="W11" s="214"/>
      <c r="X11" s="214"/>
      <c r="Y11" s="196"/>
      <c r="Z11" s="214"/>
      <c r="AA11" s="214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  <c r="AL11" s="51"/>
      <c r="AM11" s="214"/>
      <c r="AN11" s="214"/>
      <c r="AO11" s="214"/>
      <c r="AP11" s="51"/>
      <c r="AQ11" s="214"/>
      <c r="AR11" s="51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51"/>
      <c r="BF11" s="214"/>
      <c r="BG11" s="214"/>
      <c r="BH11" s="214"/>
      <c r="BI11" s="214"/>
      <c r="BJ11" s="214"/>
      <c r="BK11" s="214"/>
    </row>
    <row r="12" spans="1:63" ht="19.5" hidden="1" x14ac:dyDescent="0.3">
      <c r="A12" s="45"/>
      <c r="B12" s="45"/>
      <c r="C12" s="51"/>
      <c r="D12" s="51"/>
      <c r="E12" s="51"/>
      <c r="F12" s="51"/>
      <c r="G12" s="51"/>
      <c r="H12" s="143"/>
      <c r="I12" s="143"/>
      <c r="J12" s="51"/>
      <c r="K12" s="143"/>
      <c r="L12" s="143"/>
      <c r="M12" s="51"/>
      <c r="N12" s="143"/>
      <c r="O12" s="143"/>
      <c r="P12" s="51"/>
      <c r="Q12" s="51"/>
      <c r="R12" s="51"/>
      <c r="S12" s="51"/>
      <c r="T12" s="51"/>
      <c r="U12" s="51"/>
      <c r="V12" s="51"/>
      <c r="W12" s="143"/>
      <c r="X12" s="143"/>
      <c r="Y12" s="51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51"/>
      <c r="AM12" s="143"/>
      <c r="AN12" s="143"/>
      <c r="AO12" s="143"/>
      <c r="AP12" s="51"/>
      <c r="AQ12" s="143"/>
      <c r="AR12" s="51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51"/>
      <c r="BF12" s="143"/>
      <c r="BG12" s="143"/>
      <c r="BH12" s="143"/>
      <c r="BI12" s="143"/>
      <c r="BJ12" s="143"/>
      <c r="BK12" s="143"/>
    </row>
    <row r="13" spans="1:63" ht="19.5" x14ac:dyDescent="0.3">
      <c r="A13" s="664" t="s">
        <v>41</v>
      </c>
      <c r="B13" s="647"/>
      <c r="C13" s="57">
        <f t="shared" ref="C13:E13" ca="1" si="29">SUM(C14:C30)</f>
        <v>389440</v>
      </c>
      <c r="D13" s="57">
        <f t="shared" ca="1" si="29"/>
        <v>389440</v>
      </c>
      <c r="E13" s="57">
        <f t="shared" ca="1" si="29"/>
        <v>42325</v>
      </c>
      <c r="F13" s="57">
        <f t="shared" ref="F13:F106" ca="1" si="30">IF(C13&gt;0,E13*100/C13,0)</f>
        <v>10.868169679539852</v>
      </c>
      <c r="G13" s="57">
        <f t="shared" ref="G13:G106" ca="1" si="31">IF(D13&gt;0,E13*100/D13,0)</f>
        <v>10.868169679539852</v>
      </c>
      <c r="H13" s="145">
        <f t="shared" ref="H13:I13" ca="1" si="32">SUM(H14:H30)</f>
        <v>0</v>
      </c>
      <c r="I13" s="277">
        <f t="shared" ca="1" si="32"/>
        <v>0</v>
      </c>
      <c r="J13" s="57">
        <f t="shared" ref="J13:J88" ca="1" si="33">IF(H13&gt;0,I13*100/H13,0)</f>
        <v>0</v>
      </c>
      <c r="K13" s="145">
        <f t="shared" ref="K13:L13" ca="1" si="34">SUM(K14:K30)</f>
        <v>103</v>
      </c>
      <c r="L13" s="277">
        <f t="shared" ca="1" si="34"/>
        <v>0</v>
      </c>
      <c r="M13" s="57">
        <f t="shared" ref="M13:M88" ca="1" si="35">IF(K13&gt;0,L13*100/K13,0)</f>
        <v>0</v>
      </c>
      <c r="N13" s="145">
        <f t="shared" ref="N13:O13" ca="1" si="36">SUM(N14:N30)</f>
        <v>2370</v>
      </c>
      <c r="O13" s="145">
        <f t="shared" ca="1" si="36"/>
        <v>2968.07</v>
      </c>
      <c r="P13" s="57">
        <f t="shared" ref="P13:P88" ca="1" si="37">IF(N13&gt;0,O13*100/N13,0)</f>
        <v>125.23502109704641</v>
      </c>
      <c r="Q13" s="57">
        <f t="shared" ref="Q13:X13" ca="1" si="38">SUM(Q14:Q30)</f>
        <v>170</v>
      </c>
      <c r="R13" s="57">
        <f t="shared" ca="1" si="38"/>
        <v>171</v>
      </c>
      <c r="S13" s="57">
        <f t="shared" ca="1" si="38"/>
        <v>2848.67</v>
      </c>
      <c r="T13" s="57">
        <f t="shared" ca="1" si="38"/>
        <v>6</v>
      </c>
      <c r="U13" s="57">
        <f t="shared" ca="1" si="38"/>
        <v>6</v>
      </c>
      <c r="V13" s="57">
        <f t="shared" ca="1" si="38"/>
        <v>119.4</v>
      </c>
      <c r="W13" s="145">
        <f t="shared" ca="1" si="38"/>
        <v>2490</v>
      </c>
      <c r="X13" s="145">
        <f t="shared" ca="1" si="38"/>
        <v>586</v>
      </c>
      <c r="Y13" s="57">
        <f t="shared" ref="Y13:Y88" ca="1" si="39">IF(W13&gt;0,X13*100/W13,0)</f>
        <v>23.53413654618474</v>
      </c>
      <c r="Z13" s="145">
        <f t="shared" ref="Z13:AK13" ca="1" si="40">SUM(Z14:Z30)</f>
        <v>3</v>
      </c>
      <c r="AA13" s="145">
        <f t="shared" ca="1" si="40"/>
        <v>64</v>
      </c>
      <c r="AB13" s="145">
        <f t="shared" ca="1" si="40"/>
        <v>65</v>
      </c>
      <c r="AC13" s="145">
        <f t="shared" ca="1" si="40"/>
        <v>66</v>
      </c>
      <c r="AD13" s="145">
        <f t="shared" ca="1" si="40"/>
        <v>586</v>
      </c>
      <c r="AE13" s="145">
        <f t="shared" ca="1" si="40"/>
        <v>0</v>
      </c>
      <c r="AF13" s="145">
        <f t="shared" ca="1" si="40"/>
        <v>0</v>
      </c>
      <c r="AG13" s="145">
        <f t="shared" ca="1" si="40"/>
        <v>0</v>
      </c>
      <c r="AH13" s="145">
        <f t="shared" ca="1" si="40"/>
        <v>2932</v>
      </c>
      <c r="AI13" s="277">
        <f t="shared" ca="1" si="40"/>
        <v>46</v>
      </c>
      <c r="AJ13" s="277">
        <f t="shared" ca="1" si="40"/>
        <v>48</v>
      </c>
      <c r="AK13" s="277">
        <f t="shared" ca="1" si="40"/>
        <v>775</v>
      </c>
      <c r="AL13" s="57">
        <f t="shared" ref="AL13:AL88" ca="1" si="41">IF(AH13&gt;0,AK13*100/AH13,0)</f>
        <v>26.432469304229194</v>
      </c>
      <c r="AM13" s="145">
        <f t="shared" ref="AM13:AO13" ca="1" si="42">SUM(AM14:AM30)</f>
        <v>98</v>
      </c>
      <c r="AN13" s="145">
        <f t="shared" ca="1" si="42"/>
        <v>1629</v>
      </c>
      <c r="AO13" s="277">
        <f t="shared" ca="1" si="42"/>
        <v>16</v>
      </c>
      <c r="AP13" s="57">
        <f t="shared" ref="AP13:AP88" ca="1" si="43">IF(AM13&gt;0,AO13*100/AM13,0)</f>
        <v>16.326530612244898</v>
      </c>
      <c r="AQ13" s="277">
        <f ca="1">SUM(AQ14:AQ30)</f>
        <v>319</v>
      </c>
      <c r="AR13" s="57">
        <f t="shared" ref="AR13:AR88" ca="1" si="44">IF(AN13&gt;0,AQ13*100/AN13,0)</f>
        <v>19.582565991405769</v>
      </c>
      <c r="AS13" s="145">
        <f t="shared" ref="AS13:BD13" ca="1" si="45">SUM(AS14:AS30)</f>
        <v>86</v>
      </c>
      <c r="AT13" s="145">
        <f t="shared" ca="1" si="45"/>
        <v>1509</v>
      </c>
      <c r="AU13" s="277">
        <f t="shared" ca="1" si="45"/>
        <v>16</v>
      </c>
      <c r="AV13" s="277">
        <f t="shared" ca="1" si="45"/>
        <v>19</v>
      </c>
      <c r="AW13" s="277">
        <f t="shared" ca="1" si="45"/>
        <v>319</v>
      </c>
      <c r="AX13" s="145">
        <f t="shared" ca="1" si="45"/>
        <v>12</v>
      </c>
      <c r="AY13" s="145">
        <f t="shared" ca="1" si="45"/>
        <v>120</v>
      </c>
      <c r="AZ13" s="277">
        <f t="shared" ca="1" si="45"/>
        <v>0</v>
      </c>
      <c r="BA13" s="277">
        <f t="shared" ca="1" si="45"/>
        <v>0</v>
      </c>
      <c r="BB13" s="277">
        <f t="shared" ca="1" si="45"/>
        <v>0</v>
      </c>
      <c r="BC13" s="145">
        <f t="shared" ca="1" si="45"/>
        <v>204</v>
      </c>
      <c r="BD13" s="145">
        <f t="shared" ca="1" si="45"/>
        <v>123</v>
      </c>
      <c r="BE13" s="57">
        <f t="shared" ref="BE13:BE88" ca="1" si="46">IF(BC13&gt;0,BD13*100/BC13,0)</f>
        <v>60.294117647058826</v>
      </c>
      <c r="BF13" s="145">
        <f t="shared" ref="BF13:BK13" ca="1" si="47">SUM(BF14:BF30)</f>
        <v>3</v>
      </c>
      <c r="BG13" s="145">
        <f t="shared" ca="1" si="47"/>
        <v>3</v>
      </c>
      <c r="BH13" s="145">
        <f t="shared" ca="1" si="47"/>
        <v>66</v>
      </c>
      <c r="BI13" s="145">
        <f t="shared" ca="1" si="47"/>
        <v>3</v>
      </c>
      <c r="BJ13" s="145">
        <f t="shared" ca="1" si="47"/>
        <v>3</v>
      </c>
      <c r="BK13" s="145">
        <f t="shared" ca="1" si="47"/>
        <v>57</v>
      </c>
    </row>
    <row r="14" spans="1:63" ht="19.5" x14ac:dyDescent="0.3">
      <c r="A14" s="58">
        <v>1</v>
      </c>
      <c r="B14" s="59" t="s">
        <v>42</v>
      </c>
      <c r="C14" s="68">
        <f ca="1">IFERROR(__xludf.DUMMYFUNCTION("IMPORTRANGE(""https://docs.google.com/spreadsheets/d/1jTcq05yEiRwXcBMLjiodW9e4biSGYWAHcDj22rKWQ3s/edit?usp=sharing"",""กำแพงเพชร!Q642"")"),2900)</f>
        <v>2900</v>
      </c>
      <c r="D14" s="68">
        <f ca="1">IFERROR(__xludf.DUMMYFUNCTION("IMPORTRANGE(""https://docs.google.com/spreadsheets/d/1jTcq05yEiRwXcBMLjiodW9e4biSGYWAHcDj22rKWQ3s/edit?usp=sharing"",""กำแพงเพชร!R642"")"),2900)</f>
        <v>2900</v>
      </c>
      <c r="E14" s="68">
        <f ca="1">IFERROR(__xludf.DUMMYFUNCTION("IMPORTRANGE(""https://docs.google.com/spreadsheets/d/1jTcq05yEiRwXcBMLjiodW9e4biSGYWAHcDj22rKWQ3s/edit?usp=sharing"",""กำแพงเพชร!S642"")"),0)</f>
        <v>0</v>
      </c>
      <c r="F14" s="68">
        <f t="shared" ca="1" si="30"/>
        <v>0</v>
      </c>
      <c r="G14" s="68">
        <f t="shared" ca="1" si="31"/>
        <v>0</v>
      </c>
      <c r="H14" s="278">
        <f ca="1">IFERROR(__xludf.DUMMYFUNCTION("IMPORTRANGE(""https://docs.google.com/spreadsheets/d/1jTcq05yEiRwXcBMLjiodW9e4biSGYWAHcDj22rKWQ3s/edit?usp=sharing"",""กำแพงเพชร!I652"")"),0)</f>
        <v>0</v>
      </c>
      <c r="I14" s="152">
        <f ca="1">IFERROR(__xludf.DUMMYFUNCTION("IMPORTRANGE(""https://docs.google.com/spreadsheets/d/1jTcq05yEiRwXcBMLjiodW9e4biSGYWAHcDj22rKWQ3s/edit?usp=sharing"",""กำแพงเพชร!J652"")"),0)</f>
        <v>0</v>
      </c>
      <c r="J14" s="216">
        <f t="shared" ca="1" si="33"/>
        <v>0</v>
      </c>
      <c r="K14" s="152">
        <f ca="1">IFERROR(__xludf.DUMMYFUNCTION("IMPORTRANGE(""https://docs.google.com/spreadsheets/d/1jTcq05yEiRwXcBMLjiodW9e4biSGYWAHcDj22rKWQ3s/edit?usp=sharing"",""กำแพงเพชร!I653"")"),0)</f>
        <v>0</v>
      </c>
      <c r="L14" s="152">
        <f ca="1">IFERROR(__xludf.DUMMYFUNCTION("IMPORTRANGE(""https://docs.google.com/spreadsheets/d/1jTcq05yEiRwXcBMLjiodW9e4biSGYWAHcDj22rKWQ3s/edit?usp=sharing"",""กำแพงเพชร!J653"")"),0)</f>
        <v>0</v>
      </c>
      <c r="M14" s="216">
        <f t="shared" ca="1" si="35"/>
        <v>0</v>
      </c>
      <c r="N14" s="152">
        <f ca="1">IFERROR(__xludf.DUMMYFUNCTION("IMPORTRANGE(""https://docs.google.com/spreadsheets/d/1jTcq05yEiRwXcBMLjiodW9e4biSGYWAHcDj22rKWQ3s/edit?usp=sharing"",""กำแพงเพชร!I654"")"),83)</f>
        <v>83</v>
      </c>
      <c r="O14" s="152">
        <f ca="1">IFERROR(__xludf.DUMMYFUNCTION("IMPORTRANGE(""https://docs.google.com/spreadsheets/d/1jTcq05yEiRwXcBMLjiodW9e4biSGYWAHcDj22rKWQ3s/edit?usp=sharing"",""กำแพงเพชร!J654"")"),131.71)</f>
        <v>131.71</v>
      </c>
      <c r="P14" s="216">
        <f t="shared" ca="1" si="37"/>
        <v>158.68674698795181</v>
      </c>
      <c r="Q14" s="216">
        <f ca="1">IFERROR(__xludf.DUMMYFUNCTION("IMPORTRANGE(""https://docs.google.com/spreadsheets/d/1jTcq05yEiRwXcBMLjiodW9e4biSGYWAHcDj22rKWQ3s/edit?usp=sharing"",""กำแพงเพชร!J655"")"),7)</f>
        <v>7</v>
      </c>
      <c r="R14" s="216">
        <f ca="1">IFERROR(__xludf.DUMMYFUNCTION("IMPORTRANGE(""https://docs.google.com/spreadsheets/d/1jTcq05yEiRwXcBMLjiodW9e4biSGYWAHcDj22rKWQ3s/edit?usp=sharing"",""กำแพงเพชร!J656"")"),7)</f>
        <v>7</v>
      </c>
      <c r="S14" s="216">
        <f ca="1">IFERROR(__xludf.DUMMYFUNCTION("IMPORTRANGE(""https://docs.google.com/spreadsheets/d/1jTcq05yEiRwXcBMLjiodW9e4biSGYWAHcDj22rKWQ3s/edit?usp=sharing"",""กำแพงเพชร!J657"")"),131.71)</f>
        <v>131.71</v>
      </c>
      <c r="T14" s="216">
        <f ca="1">IFERROR(__xludf.DUMMYFUNCTION("IMPORTRANGE(""https://docs.google.com/spreadsheets/d/1jTcq05yEiRwXcBMLjiodW9e4biSGYWAHcDj22rKWQ3s/edit?usp=sharing"",""กำแพงเพชร!J658"")"),0)</f>
        <v>0</v>
      </c>
      <c r="U14" s="216">
        <f ca="1">IFERROR(__xludf.DUMMYFUNCTION("IMPORTRANGE(""https://docs.google.com/spreadsheets/d/1jTcq05yEiRwXcBMLjiodW9e4biSGYWAHcDj22rKWQ3s/edit?usp=sharing"",""กำแพงเพชร!J659"")"),0)</f>
        <v>0</v>
      </c>
      <c r="V14" s="216">
        <f ca="1">IFERROR(__xludf.DUMMYFUNCTION("IMPORTRANGE(""https://docs.google.com/spreadsheets/d/1jTcq05yEiRwXcBMLjiodW9e4biSGYWAHcDj22rKWQ3s/edit?usp=sharing"",""กำแพงเพชร!J660"")"),0)</f>
        <v>0</v>
      </c>
      <c r="W14" s="152">
        <f ca="1">IFERROR(__xludf.DUMMYFUNCTION("IMPORTRANGE(""https://docs.google.com/spreadsheets/d/1jTcq05yEiRwXcBMLjiodW9e4biSGYWAHcDj22rKWQ3s/edit?usp=sharing"",""กำแพงเพชร!I661"")"),0)</f>
        <v>0</v>
      </c>
      <c r="X14" s="152">
        <f ca="1">IFERROR(__xludf.DUMMYFUNCTION("IMPORTRANGE(""https://docs.google.com/spreadsheets/d/1jTcq05yEiRwXcBMLjiodW9e4biSGYWAHcDj22rKWQ3s/edit?usp=sharing"",""กำแพงเพชร!J661"")"),0)</f>
        <v>0</v>
      </c>
      <c r="Y14" s="216">
        <f t="shared" ca="1" si="39"/>
        <v>0</v>
      </c>
      <c r="Z14" s="152">
        <f ca="1">IFERROR(__xludf.DUMMYFUNCTION("IMPORTRANGE(""https://docs.google.com/spreadsheets/d/1jTcq05yEiRwXcBMLjiodW9e4biSGYWAHcDj22rKWQ3s/edit?usp=sharing"",""กำแพงเพชร!J662"")"),0)</f>
        <v>0</v>
      </c>
      <c r="AA14" s="152">
        <f ca="1">IFERROR(__xludf.DUMMYFUNCTION("IMPORTRANGE(""https://docs.google.com/spreadsheets/d/1jTcq05yEiRwXcBMLjiodW9e4biSGYWAHcDj22rKWQ3s/edit?usp=sharing"",""กำแพงเพชร!J663"")"),0)</f>
        <v>0</v>
      </c>
      <c r="AB14" s="152">
        <f ca="1">IFERROR(__xludf.DUMMYFUNCTION("IMPORTRANGE(""https://docs.google.com/spreadsheets/d/1jTcq05yEiRwXcBMLjiodW9e4biSGYWAHcDj22rKWQ3s/edit?usp=sharing"",""กำแพงเพชร!J665"")"),0)</f>
        <v>0</v>
      </c>
      <c r="AC14" s="152">
        <f ca="1">IFERROR(__xludf.DUMMYFUNCTION("IMPORTRANGE(""https://docs.google.com/spreadsheets/d/1jTcq05yEiRwXcBMLjiodW9e4biSGYWAHcDj22rKWQ3s/edit?usp=sharing"",""กำแพงเพชร!J666"")"),0)</f>
        <v>0</v>
      </c>
      <c r="AD14" s="152">
        <f ca="1">IFERROR(__xludf.DUMMYFUNCTION("IMPORTRANGE(""https://docs.google.com/spreadsheets/d/1jTcq05yEiRwXcBMLjiodW9e4biSGYWAHcDj22rKWQ3s/edit?usp=sharing"",""กำแพงเพชร!J667"")"),0)</f>
        <v>0</v>
      </c>
      <c r="AE14" s="152">
        <f ca="1">IFERROR(__xludf.DUMMYFUNCTION("IMPORTRANGE(""https://docs.google.com/spreadsheets/d/1jTcq05yEiRwXcBMLjiodW9e4biSGYWAHcDj22rKWQ3s/edit?usp=sharing"",""กำแพงเพชร!J668"")"),0)</f>
        <v>0</v>
      </c>
      <c r="AF14" s="152">
        <f ca="1">IFERROR(__xludf.DUMMYFUNCTION("IMPORTRANGE(""https://docs.google.com/spreadsheets/d/1jTcq05yEiRwXcBMLjiodW9e4biSGYWAHcDj22rKWQ3s/edit?usp=sharing"",""กำแพงเพชร!J669"")"),0)</f>
        <v>0</v>
      </c>
      <c r="AG14" s="152">
        <f ca="1">IFERROR(__xludf.DUMMYFUNCTION("IMPORTRANGE(""https://docs.google.com/spreadsheets/d/1jTcq05yEiRwXcBMLjiodW9e4biSGYWAHcDj22rKWQ3s/edit?usp=sharing"",""กำแพงเพชร!J670"")"),0)</f>
        <v>0</v>
      </c>
      <c r="AH14" s="152">
        <f ca="1">IFERROR(__xludf.DUMMYFUNCTION("IMPORTRANGE(""https://docs.google.com/spreadsheets/d/1jTcq05yEiRwXcBMLjiodW9e4biSGYWAHcDj22rKWQ3s/edit?usp=sharing"",""กำแพงเพชร!I673"")"),0)</f>
        <v>0</v>
      </c>
      <c r="AI14" s="152">
        <f ca="1">IFERROR(__xludf.DUMMYFUNCTION("IMPORTRANGE(""https://docs.google.com/spreadsheets/d/1jTcq05yEiRwXcBMLjiodW9e4biSGYWAHcDj22rKWQ3s/edit?usp=sharing"",""กำแพงเพชร!J671"")"),1)</f>
        <v>1</v>
      </c>
      <c r="AJ14" s="152">
        <f ca="1">IFERROR(__xludf.DUMMYFUNCTION("IMPORTRANGE(""https://docs.google.com/spreadsheets/d/1jTcq05yEiRwXcBMLjiodW9e4biSGYWAHcDj22rKWQ3s/edit?usp=sharing"",""กำแพงเพชร!J672"")"),1)</f>
        <v>1</v>
      </c>
      <c r="AK14" s="152">
        <f ca="1">IFERROR(__xludf.DUMMYFUNCTION("IMPORTRANGE(""https://docs.google.com/spreadsheets/d/1jTcq05yEiRwXcBMLjiodW9e4biSGYWAHcDj22rKWQ3s/edit?usp=sharing"",""กำแพงเพชร!J673"")"),17.29)</f>
        <v>17.29</v>
      </c>
      <c r="AL14" s="216">
        <f t="shared" ca="1" si="41"/>
        <v>0</v>
      </c>
      <c r="AM14" s="152">
        <f ca="1">IFERROR(__xludf.DUMMYFUNCTION("IMPORTRANGE(""https://docs.google.com/spreadsheets/d/1jTcq05yEiRwXcBMLjiodW9e4biSGYWAHcDj22rKWQ3s/edit?usp=sharing"",""กำแพงเพชร!I674"")"),2)</f>
        <v>2</v>
      </c>
      <c r="AN14" s="152">
        <f ca="1">IFERROR(__xludf.DUMMYFUNCTION("IMPORTRANGE(""https://docs.google.com/spreadsheets/d/1jTcq05yEiRwXcBMLjiodW9e4biSGYWAHcDj22rKWQ3s/edit?usp=sharing"",""กำแพงเพชร!I675"")"),59)</f>
        <v>59</v>
      </c>
      <c r="AO14" s="152">
        <f ca="1">IFERROR(__xludf.DUMMYFUNCTION("IMPORTRANGE(""https://docs.google.com/spreadsheets/d/1jTcq05yEiRwXcBMLjiodW9e4biSGYWAHcDj22rKWQ3s/edit?usp=sharing"",""กำแพงเพชร!J674"")"),0)</f>
        <v>0</v>
      </c>
      <c r="AP14" s="216">
        <f t="shared" ca="1" si="43"/>
        <v>0</v>
      </c>
      <c r="AQ14" s="152">
        <f ca="1">IFERROR(__xludf.DUMMYFUNCTION("IMPORTRANGE(""https://docs.google.com/spreadsheets/d/1jTcq05yEiRwXcBMLjiodW9e4biSGYWAHcDj22rKWQ3s/edit?usp=sharing"",""กำแพงเพชร!J675"")"),0)</f>
        <v>0</v>
      </c>
      <c r="AR14" s="216">
        <f t="shared" ca="1" si="44"/>
        <v>0</v>
      </c>
      <c r="AS14" s="152">
        <f ca="1">IFERROR(__xludf.DUMMYFUNCTION("IMPORTRANGE(""https://docs.google.com/spreadsheets/d/1jTcq05yEiRwXcBMLjiodW9e4biSGYWAHcDj22rKWQ3s/edit?usp=sharing"",""กำแพงเพชร!I676"")"),2)</f>
        <v>2</v>
      </c>
      <c r="AT14" s="152">
        <f ca="1">IFERROR(__xludf.DUMMYFUNCTION("IMPORTRANGE(""https://docs.google.com/spreadsheets/d/1jTcq05yEiRwXcBMLjiodW9e4biSGYWAHcDj22rKWQ3s/edit?usp=sharing"",""กำแพงเพชร!I678"")"),59)</f>
        <v>59</v>
      </c>
      <c r="AU14" s="152">
        <f ca="1">IFERROR(__xludf.DUMMYFUNCTION("IMPORTRANGE(""https://docs.google.com/spreadsheets/d/1jTcq05yEiRwXcBMLjiodW9e4biSGYWAHcDj22rKWQ3s/edit?usp=sharing"",""กำแพงเพชร!J676"")"),0)</f>
        <v>0</v>
      </c>
      <c r="AV14" s="152">
        <f ca="1">IFERROR(__xludf.DUMMYFUNCTION("IMPORTRANGE(""https://docs.google.com/spreadsheets/d/1jTcq05yEiRwXcBMLjiodW9e4biSGYWAHcDj22rKWQ3s/edit?usp=sharing"",""กำแพงเพชร!J677"")"),0)</f>
        <v>0</v>
      </c>
      <c r="AW14" s="152">
        <f ca="1">IFERROR(__xludf.DUMMYFUNCTION("IMPORTRANGE(""https://docs.google.com/spreadsheets/d/1jTcq05yEiRwXcBMLjiodW9e4biSGYWAHcDj22rKWQ3s/edit?usp=sharing"",""กำแพงเพชร!J678"")"),0)</f>
        <v>0</v>
      </c>
      <c r="AX14" s="152">
        <f ca="1">IFERROR(__xludf.DUMMYFUNCTION("IMPORTRANGE(""https://docs.google.com/spreadsheets/d/1jTcq05yEiRwXcBMLjiodW9e4biSGYWAHcDj22rKWQ3s/edit?usp=sharing"",""กำแพงเพชร!I679"")"),0)</f>
        <v>0</v>
      </c>
      <c r="AY14" s="152">
        <f ca="1">IFERROR(__xludf.DUMMYFUNCTION("IMPORTRANGE(""https://docs.google.com/spreadsheets/d/1jTcq05yEiRwXcBMLjiodW9e4biSGYWAHcDj22rKWQ3s/edit?usp=sharing"",""กำแพงเพชร!I681"")"),0)</f>
        <v>0</v>
      </c>
      <c r="AZ14" s="152">
        <f ca="1">IFERROR(__xludf.DUMMYFUNCTION("IMPORTRANGE(""https://docs.google.com/spreadsheets/d/1jTcq05yEiRwXcBMLjiodW9e4biSGYWAHcDj22rKWQ3s/edit?usp=sharing"",""กำแพงเพชร!J679"")"),0)</f>
        <v>0</v>
      </c>
      <c r="BA14" s="152">
        <f ca="1">IFERROR(__xludf.DUMMYFUNCTION("IMPORTRANGE(""https://docs.google.com/spreadsheets/d/1jTcq05yEiRwXcBMLjiodW9e4biSGYWAHcDj22rKWQ3s/edit?usp=sharing"",""กำแพงเพชร!J680"")"),0)</f>
        <v>0</v>
      </c>
      <c r="BB14" s="152">
        <f ca="1">IFERROR(__xludf.DUMMYFUNCTION("IMPORTRANGE(""https://docs.google.com/spreadsheets/d/1jTcq05yEiRwXcBMLjiodW9e4biSGYWAHcDj22rKWQ3s/edit?usp=sharing"",""กำแพงเพชร!J681"")"),0)</f>
        <v>0</v>
      </c>
      <c r="BC14" s="152">
        <f ca="1">IFERROR(__xludf.DUMMYFUNCTION("IMPORTRANGE(""https://docs.google.com/spreadsheets/d/1jTcq05yEiRwXcBMLjiodW9e4biSGYWAHcDj22rKWQ3s/edit?usp=sharing"",""กำแพงเพชร!I682"")"),0)</f>
        <v>0</v>
      </c>
      <c r="BD14" s="152">
        <f ca="1">IFERROR(__xludf.DUMMYFUNCTION("IMPORTRANGE(""https://docs.google.com/spreadsheets/d/1jTcq05yEiRwXcBMLjiodW9e4biSGYWAHcDj22rKWQ3s/edit?usp=sharing"",""กำแพงเพชร!J682"")"),0)</f>
        <v>0</v>
      </c>
      <c r="BE14" s="216">
        <f t="shared" ca="1" si="46"/>
        <v>0</v>
      </c>
      <c r="BF14" s="152">
        <f ca="1">IFERROR(__xludf.DUMMYFUNCTION("IMPORTRANGE(""https://docs.google.com/spreadsheets/d/1jTcq05yEiRwXcBMLjiodW9e4biSGYWAHcDj22rKWQ3s/edit?usp=sharing"",""กำแพงเพชร!J683"")"),0)</f>
        <v>0</v>
      </c>
      <c r="BG14" s="152">
        <f ca="1">IFERROR(__xludf.DUMMYFUNCTION("IMPORTRANGE(""https://docs.google.com/spreadsheets/d/1jTcq05yEiRwXcBMLjiodW9e4biSGYWAHcDj22rKWQ3s/edit?usp=sharing"",""กำแพงเพชร!J684"")"),0)</f>
        <v>0</v>
      </c>
      <c r="BH14" s="152">
        <f ca="1">IFERROR(__xludf.DUMMYFUNCTION("IMPORTRANGE(""https://docs.google.com/spreadsheets/d/1jTcq05yEiRwXcBMLjiodW9e4biSGYWAHcDj22rKWQ3s/edit?usp=sharing"",""กำแพงเพชร!J685"")"),0)</f>
        <v>0</v>
      </c>
      <c r="BI14" s="152">
        <f ca="1">IFERROR(__xludf.DUMMYFUNCTION("IMPORTRANGE(""https://docs.google.com/spreadsheets/d/1jTcq05yEiRwXcBMLjiodW9e4biSGYWAHcDj22rKWQ3s/edit?usp=sharing"",""กำแพงเพชร!J686"")"),0)</f>
        <v>0</v>
      </c>
      <c r="BJ14" s="152">
        <f ca="1">IFERROR(__xludf.DUMMYFUNCTION("IMPORTRANGE(""https://docs.google.com/spreadsheets/d/1jTcq05yEiRwXcBMLjiodW9e4biSGYWAHcDj22rKWQ3s/edit?usp=sharing"",""กำแพงเพชร!J687"")"),0)</f>
        <v>0</v>
      </c>
      <c r="BK14" s="152">
        <f ca="1">IFERROR(__xludf.DUMMYFUNCTION("IMPORTRANGE(""https://docs.google.com/spreadsheets/d/1jTcq05yEiRwXcBMLjiodW9e4biSGYWAHcDj22rKWQ3s/edit?usp=sharing"",""กำแพงเพชร!J688"")"),0)</f>
        <v>0</v>
      </c>
    </row>
    <row r="15" spans="1:63" ht="19.5" x14ac:dyDescent="0.3">
      <c r="A15" s="70">
        <v>2</v>
      </c>
      <c r="B15" s="71" t="s">
        <v>43</v>
      </c>
      <c r="C15" s="68">
        <f ca="1">IFERROR(__xludf.DUMMYFUNCTION("IMPORTRANGE(""https://docs.google.com/spreadsheets/d/1KS0zmDSZPk8KnTAbGN-Xk6MtX1YRZD0ldgdt20K4CRk/edit?usp=sharing"",""เชียงราย!Q642"")"),0)</f>
        <v>0</v>
      </c>
      <c r="D15" s="68">
        <f ca="1">IFERROR(__xludf.DUMMYFUNCTION("IMPORTRANGE(""https://docs.google.com/spreadsheets/d/1KS0zmDSZPk8KnTAbGN-Xk6MtX1YRZD0ldgdt20K4CRk/edit?usp=sharing"",""เชียงราย!R642"")"),0)</f>
        <v>0</v>
      </c>
      <c r="E15" s="68">
        <f ca="1">IFERROR(__xludf.DUMMYFUNCTION("IMPORTRANGE(""https://docs.google.com/spreadsheets/d/1KS0zmDSZPk8KnTAbGN-Xk6MtX1YRZD0ldgdt20K4CRk/edit?usp=sharing"",""เชียงราย!S642"")"),0)</f>
        <v>0</v>
      </c>
      <c r="F15" s="68">
        <f t="shared" ca="1" si="30"/>
        <v>0</v>
      </c>
      <c r="G15" s="68">
        <f t="shared" ca="1" si="31"/>
        <v>0</v>
      </c>
      <c r="H15" s="278">
        <f ca="1">IFERROR(__xludf.DUMMYFUNCTION("IMPORTRANGE(""https://docs.google.com/spreadsheets/d/1KS0zmDSZPk8KnTAbGN-Xk6MtX1YRZD0ldgdt20K4CRk/edit?usp=sharing"",""เชียงราย!I652"")"),0)</f>
        <v>0</v>
      </c>
      <c r="I15" s="152">
        <f ca="1">IFERROR(__xludf.DUMMYFUNCTION("IMPORTRANGE(""https://docs.google.com/spreadsheets/d/1KS0zmDSZPk8KnTAbGN-Xk6MtX1YRZD0ldgdt20K4CRk/edit?usp=sharing"",""เชียงราย!J652"")"),0)</f>
        <v>0</v>
      </c>
      <c r="J15" s="216">
        <f t="shared" ca="1" si="33"/>
        <v>0</v>
      </c>
      <c r="K15" s="152">
        <f ca="1">IFERROR(__xludf.DUMMYFUNCTION("IMPORTRANGE(""https://docs.google.com/spreadsheets/d/1KS0zmDSZPk8KnTAbGN-Xk6MtX1YRZD0ldgdt20K4CRk/edit?usp=sharing"",""เชียงราย!I653"")"),0)</f>
        <v>0</v>
      </c>
      <c r="L15" s="152">
        <f ca="1">IFERROR(__xludf.DUMMYFUNCTION("IMPORTRANGE(""https://docs.google.com/spreadsheets/d/1KS0zmDSZPk8KnTAbGN-Xk6MtX1YRZD0ldgdt20K4CRk/edit?usp=sharing"",""เชียงราย!J653"")"),0)</f>
        <v>0</v>
      </c>
      <c r="M15" s="216">
        <f t="shared" ca="1" si="35"/>
        <v>0</v>
      </c>
      <c r="N15" s="152">
        <f ca="1">IFERROR(__xludf.DUMMYFUNCTION("IMPORTRANGE(""https://docs.google.com/spreadsheets/d/1KS0zmDSZPk8KnTAbGN-Xk6MtX1YRZD0ldgdt20K4CRk/edit?usp=sharing"",""เชียงราย!I654"")"),0)</f>
        <v>0</v>
      </c>
      <c r="O15" s="152">
        <f ca="1">IFERROR(__xludf.DUMMYFUNCTION("IMPORTRANGE(""https://docs.google.com/spreadsheets/d/1KS0zmDSZPk8KnTAbGN-Xk6MtX1YRZD0ldgdt20K4CRk/edit?usp=sharing"",""เชียงราย!J654"")"),0)</f>
        <v>0</v>
      </c>
      <c r="P15" s="216">
        <f t="shared" ca="1" si="37"/>
        <v>0</v>
      </c>
      <c r="Q15" s="216">
        <f ca="1">IFERROR(__xludf.DUMMYFUNCTION("IMPORTRANGE(""https://docs.google.com/spreadsheets/d/1KS0zmDSZPk8KnTAbGN-Xk6MtX1YRZD0ldgdt20K4CRk/edit?usp=sharing"",""เชียงราย!J655"")"),0)</f>
        <v>0</v>
      </c>
      <c r="R15" s="216">
        <f ca="1">IFERROR(__xludf.DUMMYFUNCTION("IMPORTRANGE(""https://docs.google.com/spreadsheets/d/1KS0zmDSZPk8KnTAbGN-Xk6MtX1YRZD0ldgdt20K4CRk/edit?usp=sharing"",""เชียงราย!J656"")"),0)</f>
        <v>0</v>
      </c>
      <c r="S15" s="216">
        <f ca="1">IFERROR(__xludf.DUMMYFUNCTION("IMPORTRANGE(""https://docs.google.com/spreadsheets/d/1KS0zmDSZPk8KnTAbGN-Xk6MtX1YRZD0ldgdt20K4CRk/edit?usp=sharing"",""เชียงราย!J657"")"),0)</f>
        <v>0</v>
      </c>
      <c r="T15" s="216">
        <f ca="1">IFERROR(__xludf.DUMMYFUNCTION("IMPORTRANGE(""https://docs.google.com/spreadsheets/d/1KS0zmDSZPk8KnTAbGN-Xk6MtX1YRZD0ldgdt20K4CRk/edit?usp=sharing"",""เชียงราย!J658"")"),0)</f>
        <v>0</v>
      </c>
      <c r="U15" s="216">
        <f ca="1">IFERROR(__xludf.DUMMYFUNCTION("IMPORTRANGE(""https://docs.google.com/spreadsheets/d/1KS0zmDSZPk8KnTAbGN-Xk6MtX1YRZD0ldgdt20K4CRk/edit?usp=sharing"",""เชียงราย!J659"")"),0)</f>
        <v>0</v>
      </c>
      <c r="V15" s="216">
        <f ca="1">IFERROR(__xludf.DUMMYFUNCTION("IMPORTRANGE(""https://docs.google.com/spreadsheets/d/1KS0zmDSZPk8KnTAbGN-Xk6MtX1YRZD0ldgdt20K4CRk/edit?usp=sharing"",""เชียงราย!J660"")"),0)</f>
        <v>0</v>
      </c>
      <c r="W15" s="152">
        <f ca="1">IFERROR(__xludf.DUMMYFUNCTION("IMPORTRANGE(""https://docs.google.com/spreadsheets/d/1KS0zmDSZPk8KnTAbGN-Xk6MtX1YRZD0ldgdt20K4CRk/edit?usp=sharing"",""เชียงราย!I661"")"),0)</f>
        <v>0</v>
      </c>
      <c r="X15" s="152">
        <f ca="1">IFERROR(__xludf.DUMMYFUNCTION("IMPORTRANGE(""https://docs.google.com/spreadsheets/d/1KS0zmDSZPk8KnTAbGN-Xk6MtX1YRZD0ldgdt20K4CRk/edit?usp=sharing"",""เชียงราย!J661"")"),0)</f>
        <v>0</v>
      </c>
      <c r="Y15" s="216">
        <f t="shared" ca="1" si="39"/>
        <v>0</v>
      </c>
      <c r="Z15" s="152">
        <f ca="1">IFERROR(__xludf.DUMMYFUNCTION("IMPORTRANGE(""https://docs.google.com/spreadsheets/d/1KS0zmDSZPk8KnTAbGN-Xk6MtX1YRZD0ldgdt20K4CRk/edit?usp=sharing"",""เชียงราย!J662"")"),0)</f>
        <v>0</v>
      </c>
      <c r="AA15" s="152">
        <f ca="1">IFERROR(__xludf.DUMMYFUNCTION("IMPORTRANGE(""https://docs.google.com/spreadsheets/d/1KS0zmDSZPk8KnTAbGN-Xk6MtX1YRZD0ldgdt20K4CRk/edit?usp=sharing"",""เชียงราย!J663"")"),0)</f>
        <v>0</v>
      </c>
      <c r="AB15" s="152">
        <f ca="1">IFERROR(__xludf.DUMMYFUNCTION("IMPORTRANGE(""https://docs.google.com/spreadsheets/d/1KS0zmDSZPk8KnTAbGN-Xk6MtX1YRZD0ldgdt20K4CRk/edit?usp=sharing"",""เชียงราย!J665"")"),0)</f>
        <v>0</v>
      </c>
      <c r="AC15" s="152">
        <f ca="1">IFERROR(__xludf.DUMMYFUNCTION("IMPORTRANGE(""https://docs.google.com/spreadsheets/d/1KS0zmDSZPk8KnTAbGN-Xk6MtX1YRZD0ldgdt20K4CRk/edit?usp=sharing"",""เชียงราย!J666"")"),0)</f>
        <v>0</v>
      </c>
      <c r="AD15" s="152">
        <f ca="1">IFERROR(__xludf.DUMMYFUNCTION("IMPORTRANGE(""https://docs.google.com/spreadsheets/d/1KS0zmDSZPk8KnTAbGN-Xk6MtX1YRZD0ldgdt20K4CRk/edit?usp=sharing"",""เชียงราย!J667"")"),0)</f>
        <v>0</v>
      </c>
      <c r="AE15" s="152">
        <f ca="1">IFERROR(__xludf.DUMMYFUNCTION("IMPORTRANGE(""https://docs.google.com/spreadsheets/d/1KS0zmDSZPk8KnTAbGN-Xk6MtX1YRZD0ldgdt20K4CRk/edit?usp=sharing"",""เชียงราย!J668"")"),0)</f>
        <v>0</v>
      </c>
      <c r="AF15" s="152">
        <f ca="1">IFERROR(__xludf.DUMMYFUNCTION("IMPORTRANGE(""https://docs.google.com/spreadsheets/d/1KS0zmDSZPk8KnTAbGN-Xk6MtX1YRZD0ldgdt20K4CRk/edit?usp=sharing"",""เชียงราย!J669"")"),0)</f>
        <v>0</v>
      </c>
      <c r="AG15" s="152">
        <f ca="1">IFERROR(__xludf.DUMMYFUNCTION("IMPORTRANGE(""https://docs.google.com/spreadsheets/d/1KS0zmDSZPk8KnTAbGN-Xk6MtX1YRZD0ldgdt20K4CRk/edit?usp=sharing"",""เชียงราย!J670"")"),0)</f>
        <v>0</v>
      </c>
      <c r="AH15" s="152">
        <f ca="1">IFERROR(__xludf.DUMMYFUNCTION("IMPORTRANGE(""https://docs.google.com/spreadsheets/d/1KS0zmDSZPk8KnTAbGN-Xk6MtX1YRZD0ldgdt20K4CRk/edit?usp=sharing"",""เชียงราย!I673"")"),0)</f>
        <v>0</v>
      </c>
      <c r="AI15" s="152">
        <f ca="1">IFERROR(__xludf.DUMMYFUNCTION("IMPORTRANGE(""https://docs.google.com/spreadsheets/d/1KS0zmDSZPk8KnTAbGN-Xk6MtX1YRZD0ldgdt20K4CRk/edit?usp=sharing"",""เชียงราย!J671"")"),0)</f>
        <v>0</v>
      </c>
      <c r="AJ15" s="152">
        <f ca="1">IFERROR(__xludf.DUMMYFUNCTION("IMPORTRANGE(""https://docs.google.com/spreadsheets/d/1KS0zmDSZPk8KnTAbGN-Xk6MtX1YRZD0ldgdt20K4CRk/edit?usp=sharing"",""เชียงราย!J672"")"),0)</f>
        <v>0</v>
      </c>
      <c r="AK15" s="152">
        <f ca="1">IFERROR(__xludf.DUMMYFUNCTION("IMPORTRANGE(""https://docs.google.com/spreadsheets/d/1KS0zmDSZPk8KnTAbGN-Xk6MtX1YRZD0ldgdt20K4CRk/edit?usp=sharing"",""เชียงราย!J673"")"),0)</f>
        <v>0</v>
      </c>
      <c r="AL15" s="216">
        <f t="shared" ca="1" si="41"/>
        <v>0</v>
      </c>
      <c r="AM15" s="152">
        <f ca="1">IFERROR(__xludf.DUMMYFUNCTION("IMPORTRANGE(""https://docs.google.com/spreadsheets/d/1KS0zmDSZPk8KnTAbGN-Xk6MtX1YRZD0ldgdt20K4CRk/edit?usp=sharing"",""เชียงราย!I674"")"),0)</f>
        <v>0</v>
      </c>
      <c r="AN15" s="152">
        <f ca="1">IFERROR(__xludf.DUMMYFUNCTION("IMPORTRANGE(""https://docs.google.com/spreadsheets/d/1KS0zmDSZPk8KnTAbGN-Xk6MtX1YRZD0ldgdt20K4CRk/edit?usp=sharing"",""เชียงราย!I675"")"),0)</f>
        <v>0</v>
      </c>
      <c r="AO15" s="152">
        <f ca="1">IFERROR(__xludf.DUMMYFUNCTION("IMPORTRANGE(""https://docs.google.com/spreadsheets/d/1KS0zmDSZPk8KnTAbGN-Xk6MtX1YRZD0ldgdt20K4CRk/edit?usp=sharing"",""เชียงราย!J674"")"),0)</f>
        <v>0</v>
      </c>
      <c r="AP15" s="216">
        <f t="shared" ca="1" si="43"/>
        <v>0</v>
      </c>
      <c r="AQ15" s="152">
        <f ca="1">IFERROR(__xludf.DUMMYFUNCTION("IMPORTRANGE(""https://docs.google.com/spreadsheets/d/1KS0zmDSZPk8KnTAbGN-Xk6MtX1YRZD0ldgdt20K4CRk/edit?usp=sharing"",""เชียงราย!J675"")"),0)</f>
        <v>0</v>
      </c>
      <c r="AR15" s="216">
        <f t="shared" ca="1" si="44"/>
        <v>0</v>
      </c>
      <c r="AS15" s="152">
        <f ca="1">IFERROR(__xludf.DUMMYFUNCTION("IMPORTRANGE(""https://docs.google.com/spreadsheets/d/1KS0zmDSZPk8KnTAbGN-Xk6MtX1YRZD0ldgdt20K4CRk/edit?usp=sharing"",""เชียงราย!I676"")"),0)</f>
        <v>0</v>
      </c>
      <c r="AT15" s="152">
        <f ca="1">IFERROR(__xludf.DUMMYFUNCTION("IMPORTRANGE(""https://docs.google.com/spreadsheets/d/1KS0zmDSZPk8KnTAbGN-Xk6MtX1YRZD0ldgdt20K4CRk/edit?usp=sharing"",""เชียงราย!I678"")"),0)</f>
        <v>0</v>
      </c>
      <c r="AU15" s="152">
        <f ca="1">IFERROR(__xludf.DUMMYFUNCTION("IMPORTRANGE(""https://docs.google.com/spreadsheets/d/1KS0zmDSZPk8KnTAbGN-Xk6MtX1YRZD0ldgdt20K4CRk/edit?usp=sharing"",""เชียงราย!J676"")"),0)</f>
        <v>0</v>
      </c>
      <c r="AV15" s="152">
        <f ca="1">IFERROR(__xludf.DUMMYFUNCTION("IMPORTRANGE(""https://docs.google.com/spreadsheets/d/1KS0zmDSZPk8KnTAbGN-Xk6MtX1YRZD0ldgdt20K4CRk/edit?usp=sharing"",""เชียงราย!J677"")"),0)</f>
        <v>0</v>
      </c>
      <c r="AW15" s="152">
        <f ca="1">IFERROR(__xludf.DUMMYFUNCTION("IMPORTRANGE(""https://docs.google.com/spreadsheets/d/1KS0zmDSZPk8KnTAbGN-Xk6MtX1YRZD0ldgdt20K4CRk/edit?usp=sharing"",""เชียงราย!J678"")"),0)</f>
        <v>0</v>
      </c>
      <c r="AX15" s="152">
        <f ca="1">IFERROR(__xludf.DUMMYFUNCTION("IMPORTRANGE(""https://docs.google.com/spreadsheets/d/1KS0zmDSZPk8KnTAbGN-Xk6MtX1YRZD0ldgdt20K4CRk/edit?usp=sharing"",""เชียงราย!I679"")"),0)</f>
        <v>0</v>
      </c>
      <c r="AY15" s="152">
        <f ca="1">IFERROR(__xludf.DUMMYFUNCTION("IMPORTRANGE(""https://docs.google.com/spreadsheets/d/1KS0zmDSZPk8KnTAbGN-Xk6MtX1YRZD0ldgdt20K4CRk/edit?usp=sharing"",""เชียงราย!I681"")"),0)</f>
        <v>0</v>
      </c>
      <c r="AZ15" s="152">
        <f ca="1">IFERROR(__xludf.DUMMYFUNCTION("IMPORTRANGE(""https://docs.google.com/spreadsheets/d/1KS0zmDSZPk8KnTAbGN-Xk6MtX1YRZD0ldgdt20K4CRk/edit?usp=sharing"",""เชียงราย!J679"")"),0)</f>
        <v>0</v>
      </c>
      <c r="BA15" s="152">
        <f ca="1">IFERROR(__xludf.DUMMYFUNCTION("IMPORTRANGE(""https://docs.google.com/spreadsheets/d/1KS0zmDSZPk8KnTAbGN-Xk6MtX1YRZD0ldgdt20K4CRk/edit?usp=sharing"",""เชียงราย!J680"")"),0)</f>
        <v>0</v>
      </c>
      <c r="BB15" s="152">
        <f ca="1">IFERROR(__xludf.DUMMYFUNCTION("IMPORTRANGE(""https://docs.google.com/spreadsheets/d/1KS0zmDSZPk8KnTAbGN-Xk6MtX1YRZD0ldgdt20K4CRk/edit?usp=sharing"",""เชียงราย!J681"")"),0)</f>
        <v>0</v>
      </c>
      <c r="BC15" s="152">
        <f ca="1">IFERROR(__xludf.DUMMYFUNCTION("IMPORTRANGE(""https://docs.google.com/spreadsheets/d/1KS0zmDSZPk8KnTAbGN-Xk6MtX1YRZD0ldgdt20K4CRk/edit?usp=sharing"",""เชียงราย!I682"")"),0)</f>
        <v>0</v>
      </c>
      <c r="BD15" s="152">
        <f ca="1">IFERROR(__xludf.DUMMYFUNCTION("IMPORTRANGE(""https://docs.google.com/spreadsheets/d/1KS0zmDSZPk8KnTAbGN-Xk6MtX1YRZD0ldgdt20K4CRk/edit?usp=sharing"",""เชียงราย!J682"")"),0)</f>
        <v>0</v>
      </c>
      <c r="BE15" s="216">
        <f t="shared" ca="1" si="46"/>
        <v>0</v>
      </c>
      <c r="BF15" s="152">
        <f ca="1">IFERROR(__xludf.DUMMYFUNCTION("IMPORTRANGE(""https://docs.google.com/spreadsheets/d/1KS0zmDSZPk8KnTAbGN-Xk6MtX1YRZD0ldgdt20K4CRk/edit?usp=sharing"",""เชียงราย!J683"")"),0)</f>
        <v>0</v>
      </c>
      <c r="BG15" s="152">
        <f ca="1">IFERROR(__xludf.DUMMYFUNCTION("IMPORTRANGE(""https://docs.google.com/spreadsheets/d/1KS0zmDSZPk8KnTAbGN-Xk6MtX1YRZD0ldgdt20K4CRk/edit?usp=sharing"",""เชียงราย!J684"")"),0)</f>
        <v>0</v>
      </c>
      <c r="BH15" s="152">
        <f ca="1">IFERROR(__xludf.DUMMYFUNCTION("IMPORTRANGE(""https://docs.google.com/spreadsheets/d/1KS0zmDSZPk8KnTAbGN-Xk6MtX1YRZD0ldgdt20K4CRk/edit?usp=sharing"",""เชียงราย!J685"")"),0)</f>
        <v>0</v>
      </c>
      <c r="BI15" s="152">
        <f ca="1">IFERROR(__xludf.DUMMYFUNCTION("IMPORTRANGE(""https://docs.google.com/spreadsheets/d/1KS0zmDSZPk8KnTAbGN-Xk6MtX1YRZD0ldgdt20K4CRk/edit?usp=sharing"",""เชียงราย!J686"")"),0)</f>
        <v>0</v>
      </c>
      <c r="BJ15" s="152">
        <f ca="1">IFERROR(__xludf.DUMMYFUNCTION("IMPORTRANGE(""https://docs.google.com/spreadsheets/d/1KS0zmDSZPk8KnTAbGN-Xk6MtX1YRZD0ldgdt20K4CRk/edit?usp=sharing"",""เชียงราย!J687"")"),0)</f>
        <v>0</v>
      </c>
      <c r="BK15" s="152">
        <f ca="1">IFERROR(__xludf.DUMMYFUNCTION("IMPORTRANGE(""https://docs.google.com/spreadsheets/d/1KS0zmDSZPk8KnTAbGN-Xk6MtX1YRZD0ldgdt20K4CRk/edit?usp=sharing"",""เชียงราย!J688"")"),0)</f>
        <v>0</v>
      </c>
    </row>
    <row r="16" spans="1:63" ht="19.5" x14ac:dyDescent="0.3">
      <c r="A16" s="70">
        <v>3</v>
      </c>
      <c r="B16" s="71" t="s">
        <v>44</v>
      </c>
      <c r="C16" s="68">
        <f ca="1">IFERROR(__xludf.DUMMYFUNCTION("IMPORTRANGE(""https://docs.google.com/spreadsheets/d/1rEDxBtusbi64tE0zunoIbsTVV16HeL0oJ6trHQeQ7K8/edit?usp=sharing"",""เชียงใหม่!Q642"")"),7060)</f>
        <v>7060</v>
      </c>
      <c r="D16" s="68">
        <f ca="1">IFERROR(__xludf.DUMMYFUNCTION("IMPORTRANGE(""https://docs.google.com/spreadsheets/d/1rEDxBtusbi64tE0zunoIbsTVV16HeL0oJ6trHQeQ7K8/edit?usp=sharing"",""เชียงใหม่!R642"")"),7060)</f>
        <v>7060</v>
      </c>
      <c r="E16" s="68">
        <f ca="1">IFERROR(__xludf.DUMMYFUNCTION("IMPORTRANGE(""https://docs.google.com/spreadsheets/d/1rEDxBtusbi64tE0zunoIbsTVV16HeL0oJ6trHQeQ7K8/edit?usp=sharing"",""เชียงใหม่!S642"")"),3040)</f>
        <v>3040</v>
      </c>
      <c r="F16" s="68">
        <f t="shared" ca="1" si="30"/>
        <v>43.059490084985839</v>
      </c>
      <c r="G16" s="68">
        <f t="shared" ca="1" si="31"/>
        <v>43.059490084985839</v>
      </c>
      <c r="H16" s="278">
        <f ca="1">IFERROR(__xludf.DUMMYFUNCTION("IMPORTRANGE(""https://docs.google.com/spreadsheets/d/1rEDxBtusbi64tE0zunoIbsTVV16HeL0oJ6trHQeQ7K8/edit?usp=sharing"",""เชียงใหม่!I652"")"),0)</f>
        <v>0</v>
      </c>
      <c r="I16" s="152">
        <f ca="1">IFERROR(__xludf.DUMMYFUNCTION("IMPORTRANGE(""https://docs.google.com/spreadsheets/d/1rEDxBtusbi64tE0zunoIbsTVV16HeL0oJ6trHQeQ7K8/edit?usp=sharing"",""เชียงใหม่!J652"")"),0)</f>
        <v>0</v>
      </c>
      <c r="J16" s="216">
        <f t="shared" ca="1" si="33"/>
        <v>0</v>
      </c>
      <c r="K16" s="152">
        <f ca="1">IFERROR(__xludf.DUMMYFUNCTION("IMPORTRANGE(""https://docs.google.com/spreadsheets/d/1rEDxBtusbi64tE0zunoIbsTVV16HeL0oJ6trHQeQ7K8/edit?usp=sharing"",""เชียงใหม่!I653"")"),43)</f>
        <v>43</v>
      </c>
      <c r="L16" s="152">
        <f ca="1">IFERROR(__xludf.DUMMYFUNCTION("IMPORTRANGE(""https://docs.google.com/spreadsheets/d/1rEDxBtusbi64tE0zunoIbsTVV16HeL0oJ6trHQeQ7K8/edit?usp=sharing"",""เชียงใหม่!J653"")"),0)</f>
        <v>0</v>
      </c>
      <c r="M16" s="216">
        <f t="shared" ca="1" si="35"/>
        <v>0</v>
      </c>
      <c r="N16" s="152">
        <f ca="1">IFERROR(__xludf.DUMMYFUNCTION("IMPORTRANGE(""https://docs.google.com/spreadsheets/d/1rEDxBtusbi64tE0zunoIbsTVV16HeL0oJ6trHQeQ7K8/edit?usp=sharing"",""เชียงใหม่!I654"")"),0)</f>
        <v>0</v>
      </c>
      <c r="O16" s="152">
        <f ca="1">IFERROR(__xludf.DUMMYFUNCTION("IMPORTRANGE(""https://docs.google.com/spreadsheets/d/1rEDxBtusbi64tE0zunoIbsTVV16HeL0oJ6trHQeQ7K8/edit?usp=sharing"",""เชียงใหม่!J654"")"),0)</f>
        <v>0</v>
      </c>
      <c r="P16" s="216">
        <f t="shared" ca="1" si="37"/>
        <v>0</v>
      </c>
      <c r="Q16" s="216">
        <f ca="1">IFERROR(__xludf.DUMMYFUNCTION("IMPORTRANGE(""https://docs.google.com/spreadsheets/d/1rEDxBtusbi64tE0zunoIbsTVV16HeL0oJ6trHQeQ7K8/edit?usp=sharing"",""เชียงใหม่!J655"")"),0)</f>
        <v>0</v>
      </c>
      <c r="R16" s="216">
        <f ca="1">IFERROR(__xludf.DUMMYFUNCTION("IMPORTRANGE(""https://docs.google.com/spreadsheets/d/1rEDxBtusbi64tE0zunoIbsTVV16HeL0oJ6trHQeQ7K8/edit?usp=sharing"",""เชียงใหม่!J656"")"),0)</f>
        <v>0</v>
      </c>
      <c r="S16" s="216">
        <f ca="1">IFERROR(__xludf.DUMMYFUNCTION("IMPORTRANGE(""https://docs.google.com/spreadsheets/d/1rEDxBtusbi64tE0zunoIbsTVV16HeL0oJ6trHQeQ7K8/edit?usp=sharing"",""เชียงใหม่!J657"")"),0)</f>
        <v>0</v>
      </c>
      <c r="T16" s="216">
        <f ca="1">IFERROR(__xludf.DUMMYFUNCTION("IMPORTRANGE(""https://docs.google.com/spreadsheets/d/1rEDxBtusbi64tE0zunoIbsTVV16HeL0oJ6trHQeQ7K8/edit?usp=sharing"",""เชียงใหม่!J658"")"),0)</f>
        <v>0</v>
      </c>
      <c r="U16" s="216">
        <f ca="1">IFERROR(__xludf.DUMMYFUNCTION("IMPORTRANGE(""https://docs.google.com/spreadsheets/d/1rEDxBtusbi64tE0zunoIbsTVV16HeL0oJ6trHQeQ7K8/edit?usp=sharing"",""เชียงใหม่!J659"")"),0)</f>
        <v>0</v>
      </c>
      <c r="V16" s="216">
        <f ca="1">IFERROR(__xludf.DUMMYFUNCTION("IMPORTRANGE(""https://docs.google.com/spreadsheets/d/1rEDxBtusbi64tE0zunoIbsTVV16HeL0oJ6trHQeQ7K8/edit?usp=sharing"",""เชียงใหม่!J660"")"),0)</f>
        <v>0</v>
      </c>
      <c r="W16" s="152">
        <f ca="1">IFERROR(__xludf.DUMMYFUNCTION("IMPORTRANGE(""https://docs.google.com/spreadsheets/d/1rEDxBtusbi64tE0zunoIbsTVV16HeL0oJ6trHQeQ7K8/edit?usp=sharing"",""เชียงใหม่!I661"")"),0)</f>
        <v>0</v>
      </c>
      <c r="X16" s="152">
        <f ca="1">IFERROR(__xludf.DUMMYFUNCTION("IMPORTRANGE(""https://docs.google.com/spreadsheets/d/1rEDxBtusbi64tE0zunoIbsTVV16HeL0oJ6trHQeQ7K8/edit?usp=sharing"",""เชียงใหม่!J661"")"),0)</f>
        <v>0</v>
      </c>
      <c r="Y16" s="216">
        <f t="shared" ca="1" si="39"/>
        <v>0</v>
      </c>
      <c r="Z16" s="152">
        <f ca="1">IFERROR(__xludf.DUMMYFUNCTION("IMPORTRANGE(""https://docs.google.com/spreadsheets/d/1rEDxBtusbi64tE0zunoIbsTVV16HeL0oJ6trHQeQ7K8/edit?usp=sharing"",""เชียงใหม่!J662"")"),0)</f>
        <v>0</v>
      </c>
      <c r="AA16" s="152">
        <f ca="1">IFERROR(__xludf.DUMMYFUNCTION("IMPORTRANGE(""https://docs.google.com/spreadsheets/d/1rEDxBtusbi64tE0zunoIbsTVV16HeL0oJ6trHQeQ7K8/edit?usp=sharing"",""เชียงใหม่!J663"")"),0)</f>
        <v>0</v>
      </c>
      <c r="AB16" s="152">
        <f ca="1">IFERROR(__xludf.DUMMYFUNCTION("IMPORTRANGE(""https://docs.google.com/spreadsheets/d/1rEDxBtusbi64tE0zunoIbsTVV16HeL0oJ6trHQeQ7K8/edit?usp=sharing"",""เชียงใหม่!J665"")"),0)</f>
        <v>0</v>
      </c>
      <c r="AC16" s="152">
        <f ca="1">IFERROR(__xludf.DUMMYFUNCTION("IMPORTRANGE(""https://docs.google.com/spreadsheets/d/1rEDxBtusbi64tE0zunoIbsTVV16HeL0oJ6trHQeQ7K8/edit?usp=sharing"",""เชียงใหม่!J666"")"),0)</f>
        <v>0</v>
      </c>
      <c r="AD16" s="152">
        <f ca="1">IFERROR(__xludf.DUMMYFUNCTION("IMPORTRANGE(""https://docs.google.com/spreadsheets/d/1rEDxBtusbi64tE0zunoIbsTVV16HeL0oJ6trHQeQ7K8/edit?usp=sharing"",""เชียงใหม่!J667"")"),0)</f>
        <v>0</v>
      </c>
      <c r="AE16" s="152">
        <f ca="1">IFERROR(__xludf.DUMMYFUNCTION("IMPORTRANGE(""https://docs.google.com/spreadsheets/d/1rEDxBtusbi64tE0zunoIbsTVV16HeL0oJ6trHQeQ7K8/edit?usp=sharing"",""เชียงใหม่!J668"")"),0)</f>
        <v>0</v>
      </c>
      <c r="AF16" s="152">
        <f ca="1">IFERROR(__xludf.DUMMYFUNCTION("IMPORTRANGE(""https://docs.google.com/spreadsheets/d/1rEDxBtusbi64tE0zunoIbsTVV16HeL0oJ6trHQeQ7K8/edit?usp=sharing"",""เชียงใหม่!J669"")"),0)</f>
        <v>0</v>
      </c>
      <c r="AG16" s="152">
        <f ca="1">IFERROR(__xludf.DUMMYFUNCTION("IMPORTRANGE(""https://docs.google.com/spreadsheets/d/1rEDxBtusbi64tE0zunoIbsTVV16HeL0oJ6trHQeQ7K8/edit?usp=sharing"",""เชียงใหม่!J670"")"),0)</f>
        <v>0</v>
      </c>
      <c r="AH16" s="152">
        <f ca="1">IFERROR(__xludf.DUMMYFUNCTION("IMPORTRANGE(""https://docs.google.com/spreadsheets/d/1rEDxBtusbi64tE0zunoIbsTVV16HeL0oJ6trHQeQ7K8/edit?usp=sharing"",""เชียงใหม่!I673"")"),15)</f>
        <v>15</v>
      </c>
      <c r="AI16" s="152">
        <f ca="1">IFERROR(__xludf.DUMMYFUNCTION("IMPORTRANGE(""https://docs.google.com/spreadsheets/d/1rEDxBtusbi64tE0zunoIbsTVV16HeL0oJ6trHQeQ7K8/edit?usp=sharing"",""เชียงใหม่!J671"")"),6)</f>
        <v>6</v>
      </c>
      <c r="AJ16" s="152">
        <f ca="1">IFERROR(__xludf.DUMMYFUNCTION("IMPORTRANGE(""https://docs.google.com/spreadsheets/d/1rEDxBtusbi64tE0zunoIbsTVV16HeL0oJ6trHQeQ7K8/edit?usp=sharing"",""เชียงใหม่!J672"")"),6)</f>
        <v>6</v>
      </c>
      <c r="AK16" s="152">
        <f ca="1">IFERROR(__xludf.DUMMYFUNCTION("IMPORTRANGE(""https://docs.google.com/spreadsheets/d/1rEDxBtusbi64tE0zunoIbsTVV16HeL0oJ6trHQeQ7K8/edit?usp=sharing"",""เชียงใหม่!J673"")"),25.36)</f>
        <v>25.36</v>
      </c>
      <c r="AL16" s="216">
        <f t="shared" ca="1" si="41"/>
        <v>169.06666666666666</v>
      </c>
      <c r="AM16" s="152">
        <f ca="1">IFERROR(__xludf.DUMMYFUNCTION("IMPORTRANGE(""https://docs.google.com/spreadsheets/d/1rEDxBtusbi64tE0zunoIbsTVV16HeL0oJ6trHQeQ7K8/edit?usp=sharing"",""เชียงใหม่!I674"")"),0)</f>
        <v>0</v>
      </c>
      <c r="AN16" s="152">
        <f ca="1">IFERROR(__xludf.DUMMYFUNCTION("IMPORTRANGE(""https://docs.google.com/spreadsheets/d/1rEDxBtusbi64tE0zunoIbsTVV16HeL0oJ6trHQeQ7K8/edit?usp=sharing"",""เชียงใหม่!I675"")"),0)</f>
        <v>0</v>
      </c>
      <c r="AO16" s="152">
        <f ca="1">IFERROR(__xludf.DUMMYFUNCTION("IMPORTRANGE(""https://docs.google.com/spreadsheets/d/1rEDxBtusbi64tE0zunoIbsTVV16HeL0oJ6trHQeQ7K8/edit?usp=sharing"",""เชียงใหม่!J674"")"),0)</f>
        <v>0</v>
      </c>
      <c r="AP16" s="216">
        <f t="shared" ca="1" si="43"/>
        <v>0</v>
      </c>
      <c r="AQ16" s="152">
        <f ca="1">IFERROR(__xludf.DUMMYFUNCTION("IMPORTRANGE(""https://docs.google.com/spreadsheets/d/1rEDxBtusbi64tE0zunoIbsTVV16HeL0oJ6trHQeQ7K8/edit?usp=sharing"",""เชียงใหม่!J675"")"),0)</f>
        <v>0</v>
      </c>
      <c r="AR16" s="216">
        <f t="shared" ca="1" si="44"/>
        <v>0</v>
      </c>
      <c r="AS16" s="152">
        <f ca="1">IFERROR(__xludf.DUMMYFUNCTION("IMPORTRANGE(""https://docs.google.com/spreadsheets/d/1rEDxBtusbi64tE0zunoIbsTVV16HeL0oJ6trHQeQ7K8/edit?usp=sharing"",""เชียงใหม่!I676"")"),0)</f>
        <v>0</v>
      </c>
      <c r="AT16" s="152">
        <f ca="1">IFERROR(__xludf.DUMMYFUNCTION("IMPORTRANGE(""https://docs.google.com/spreadsheets/d/1rEDxBtusbi64tE0zunoIbsTVV16HeL0oJ6trHQeQ7K8/edit?usp=sharing"",""เชียงใหม่!I678"")"),0)</f>
        <v>0</v>
      </c>
      <c r="AU16" s="152">
        <f ca="1">IFERROR(__xludf.DUMMYFUNCTION("IMPORTRANGE(""https://docs.google.com/spreadsheets/d/1rEDxBtusbi64tE0zunoIbsTVV16HeL0oJ6trHQeQ7K8/edit?usp=sharing"",""เชียงใหม่!J676"")"),0)</f>
        <v>0</v>
      </c>
      <c r="AV16" s="152">
        <f ca="1">IFERROR(__xludf.DUMMYFUNCTION("IMPORTRANGE(""https://docs.google.com/spreadsheets/d/1rEDxBtusbi64tE0zunoIbsTVV16HeL0oJ6trHQeQ7K8/edit?usp=sharing"",""เชียงใหม่!J677"")"),0)</f>
        <v>0</v>
      </c>
      <c r="AW16" s="152">
        <f ca="1">IFERROR(__xludf.DUMMYFUNCTION("IMPORTRANGE(""https://docs.google.com/spreadsheets/d/1rEDxBtusbi64tE0zunoIbsTVV16HeL0oJ6trHQeQ7K8/edit?usp=sharing"",""เชียงใหม่!J678"")"),0)</f>
        <v>0</v>
      </c>
      <c r="AX16" s="152">
        <f ca="1">IFERROR(__xludf.DUMMYFUNCTION("IMPORTRANGE(""https://docs.google.com/spreadsheets/d/1rEDxBtusbi64tE0zunoIbsTVV16HeL0oJ6trHQeQ7K8/edit?usp=sharing"",""เชียงใหม่!I679"")"),0)</f>
        <v>0</v>
      </c>
      <c r="AY16" s="152">
        <f ca="1">IFERROR(__xludf.DUMMYFUNCTION("IMPORTRANGE(""https://docs.google.com/spreadsheets/d/1rEDxBtusbi64tE0zunoIbsTVV16HeL0oJ6trHQeQ7K8/edit?usp=sharing"",""เชียงใหม่!I681"")"),0)</f>
        <v>0</v>
      </c>
      <c r="AZ16" s="152">
        <f ca="1">IFERROR(__xludf.DUMMYFUNCTION("IMPORTRANGE(""https://docs.google.com/spreadsheets/d/1rEDxBtusbi64tE0zunoIbsTVV16HeL0oJ6trHQeQ7K8/edit?usp=sharing"",""เชียงใหม่!J679"")"),0)</f>
        <v>0</v>
      </c>
      <c r="BA16" s="152">
        <f ca="1">IFERROR(__xludf.DUMMYFUNCTION("IMPORTRANGE(""https://docs.google.com/spreadsheets/d/1rEDxBtusbi64tE0zunoIbsTVV16HeL0oJ6trHQeQ7K8/edit?usp=sharing"",""เชียงใหม่!J680"")"),0)</f>
        <v>0</v>
      </c>
      <c r="BB16" s="152">
        <f ca="1">IFERROR(__xludf.DUMMYFUNCTION("IMPORTRANGE(""https://docs.google.com/spreadsheets/d/1rEDxBtusbi64tE0zunoIbsTVV16HeL0oJ6trHQeQ7K8/edit?usp=sharing"",""เชียงใหม่!J681"")"),0)</f>
        <v>0</v>
      </c>
      <c r="BC16" s="152">
        <f ca="1">IFERROR(__xludf.DUMMYFUNCTION("IMPORTRANGE(""https://docs.google.com/spreadsheets/d/1rEDxBtusbi64tE0zunoIbsTVV16HeL0oJ6trHQeQ7K8/edit?usp=sharing"",""เชียงใหม่!I682"")"),0)</f>
        <v>0</v>
      </c>
      <c r="BD16" s="152">
        <f ca="1">IFERROR(__xludf.DUMMYFUNCTION("IMPORTRANGE(""https://docs.google.com/spreadsheets/d/1rEDxBtusbi64tE0zunoIbsTVV16HeL0oJ6trHQeQ7K8/edit?usp=sharing"",""เชียงใหม่!J682"")"),0)</f>
        <v>0</v>
      </c>
      <c r="BE16" s="216">
        <f t="shared" ca="1" si="46"/>
        <v>0</v>
      </c>
      <c r="BF16" s="152">
        <f ca="1">IFERROR(__xludf.DUMMYFUNCTION("IMPORTRANGE(""https://docs.google.com/spreadsheets/d/1rEDxBtusbi64tE0zunoIbsTVV16HeL0oJ6trHQeQ7K8/edit?usp=sharing"",""เชียงใหม่!J683"")"),0)</f>
        <v>0</v>
      </c>
      <c r="BG16" s="152">
        <f ca="1">IFERROR(__xludf.DUMMYFUNCTION("IMPORTRANGE(""https://docs.google.com/spreadsheets/d/1rEDxBtusbi64tE0zunoIbsTVV16HeL0oJ6trHQeQ7K8/edit?usp=sharing"",""เชียงใหม่!J684"")"),0)</f>
        <v>0</v>
      </c>
      <c r="BH16" s="152">
        <f ca="1">IFERROR(__xludf.DUMMYFUNCTION("IMPORTRANGE(""https://docs.google.com/spreadsheets/d/1rEDxBtusbi64tE0zunoIbsTVV16HeL0oJ6trHQeQ7K8/edit?usp=sharing"",""เชียงใหม่!J685"")"),0)</f>
        <v>0</v>
      </c>
      <c r="BI16" s="152">
        <f ca="1">IFERROR(__xludf.DUMMYFUNCTION("IMPORTRANGE(""https://docs.google.com/spreadsheets/d/1rEDxBtusbi64tE0zunoIbsTVV16HeL0oJ6trHQeQ7K8/edit?usp=sharing"",""เชียงใหม่!J686"")"),0)</f>
        <v>0</v>
      </c>
      <c r="BJ16" s="152">
        <f ca="1">IFERROR(__xludf.DUMMYFUNCTION("IMPORTRANGE(""https://docs.google.com/spreadsheets/d/1rEDxBtusbi64tE0zunoIbsTVV16HeL0oJ6trHQeQ7K8/edit?usp=sharing"",""เชียงใหม่!J687"")"),0)</f>
        <v>0</v>
      </c>
      <c r="BK16" s="152">
        <f ca="1">IFERROR(__xludf.DUMMYFUNCTION("IMPORTRANGE(""https://docs.google.com/spreadsheets/d/1rEDxBtusbi64tE0zunoIbsTVV16HeL0oJ6trHQeQ7K8/edit?usp=sharing"",""เชียงใหม่!J688"")"),0)</f>
        <v>0</v>
      </c>
    </row>
    <row r="17" spans="1:63" ht="19.5" x14ac:dyDescent="0.3">
      <c r="A17" s="70">
        <v>4</v>
      </c>
      <c r="B17" s="71" t="s">
        <v>45</v>
      </c>
      <c r="C17" s="68">
        <f ca="1">IFERROR(__xludf.DUMMYFUNCTION("IMPORTRANGE(""https://docs.google.com/spreadsheets/d/1W6MnUbDkMi6xHnHko_XkFDO9kkuL6Wqyc-6OCDFjW9I/edit?usp=sharing"",""ตาก!Q642"")"),0)</f>
        <v>0</v>
      </c>
      <c r="D17" s="68">
        <f ca="1">IFERROR(__xludf.DUMMYFUNCTION("IMPORTRANGE(""https://docs.google.com/spreadsheets/d/1W6MnUbDkMi6xHnHko_XkFDO9kkuL6Wqyc-6OCDFjW9I/edit?usp=sharing"",""ตาก!R642"")"),0)</f>
        <v>0</v>
      </c>
      <c r="E17" s="68">
        <f ca="1">IFERROR(__xludf.DUMMYFUNCTION("IMPORTRANGE(""https://docs.google.com/spreadsheets/d/1W6MnUbDkMi6xHnHko_XkFDO9kkuL6Wqyc-6OCDFjW9I/edit?usp=sharing"",""ตาก!S642"")"),0)</f>
        <v>0</v>
      </c>
      <c r="F17" s="68">
        <f t="shared" ca="1" si="30"/>
        <v>0</v>
      </c>
      <c r="G17" s="68">
        <f t="shared" ca="1" si="31"/>
        <v>0</v>
      </c>
      <c r="H17" s="278">
        <f ca="1">IFERROR(__xludf.DUMMYFUNCTION("IMPORTRANGE(""https://docs.google.com/spreadsheets/d/1W6MnUbDkMi6xHnHko_XkFDO9kkuL6Wqyc-6OCDFjW9I/edit?usp=sharing"",""ตาก!I652"")"),0)</f>
        <v>0</v>
      </c>
      <c r="I17" s="152">
        <f ca="1">IFERROR(__xludf.DUMMYFUNCTION("IMPORTRANGE(""https://docs.google.com/spreadsheets/d/1W6MnUbDkMi6xHnHko_XkFDO9kkuL6Wqyc-6OCDFjW9I/edit?usp=sharing"",""ตาก!J652"")"),0)</f>
        <v>0</v>
      </c>
      <c r="J17" s="216">
        <f t="shared" ca="1" si="33"/>
        <v>0</v>
      </c>
      <c r="K17" s="152">
        <f ca="1">IFERROR(__xludf.DUMMYFUNCTION("IMPORTRANGE(""https://docs.google.com/spreadsheets/d/1W6MnUbDkMi6xHnHko_XkFDO9kkuL6Wqyc-6OCDFjW9I/edit?usp=sharing"",""ตาก!I653"")"),0)</f>
        <v>0</v>
      </c>
      <c r="L17" s="152">
        <f ca="1">IFERROR(__xludf.DUMMYFUNCTION("IMPORTRANGE(""https://docs.google.com/spreadsheets/d/1W6MnUbDkMi6xHnHko_XkFDO9kkuL6Wqyc-6OCDFjW9I/edit?usp=sharing"",""ตาก!J653"")"),0)</f>
        <v>0</v>
      </c>
      <c r="M17" s="216">
        <f t="shared" ca="1" si="35"/>
        <v>0</v>
      </c>
      <c r="N17" s="152">
        <f ca="1">IFERROR(__xludf.DUMMYFUNCTION("IMPORTRANGE(""https://docs.google.com/spreadsheets/d/1W6MnUbDkMi6xHnHko_XkFDO9kkuL6Wqyc-6OCDFjW9I/edit?usp=sharing"",""ตาก!I654"")"),0)</f>
        <v>0</v>
      </c>
      <c r="O17" s="152">
        <f ca="1">IFERROR(__xludf.DUMMYFUNCTION("IMPORTRANGE(""https://docs.google.com/spreadsheets/d/1W6MnUbDkMi6xHnHko_XkFDO9kkuL6Wqyc-6OCDFjW9I/edit?usp=sharing"",""ตาก!J654"")"),0)</f>
        <v>0</v>
      </c>
      <c r="P17" s="216">
        <f t="shared" ca="1" si="37"/>
        <v>0</v>
      </c>
      <c r="Q17" s="216">
        <f ca="1">IFERROR(__xludf.DUMMYFUNCTION("IMPORTRANGE(""https://docs.google.com/spreadsheets/d/1W6MnUbDkMi6xHnHko_XkFDO9kkuL6Wqyc-6OCDFjW9I/edit?usp=sharing"",""ตาก!J655"")"),0)</f>
        <v>0</v>
      </c>
      <c r="R17" s="216">
        <f ca="1">IFERROR(__xludf.DUMMYFUNCTION("IMPORTRANGE(""https://docs.google.com/spreadsheets/d/1W6MnUbDkMi6xHnHko_XkFDO9kkuL6Wqyc-6OCDFjW9I/edit?usp=sharing"",""ตาก!J656"")"),0)</f>
        <v>0</v>
      </c>
      <c r="S17" s="216">
        <f ca="1">IFERROR(__xludf.DUMMYFUNCTION("IMPORTRANGE(""https://docs.google.com/spreadsheets/d/1W6MnUbDkMi6xHnHko_XkFDO9kkuL6Wqyc-6OCDFjW9I/edit?usp=sharing"",""ตาก!J657"")"),0)</f>
        <v>0</v>
      </c>
      <c r="T17" s="216">
        <f ca="1">IFERROR(__xludf.DUMMYFUNCTION("IMPORTRANGE(""https://docs.google.com/spreadsheets/d/1W6MnUbDkMi6xHnHko_XkFDO9kkuL6Wqyc-6OCDFjW9I/edit?usp=sharing"",""ตาก!J658"")"),0)</f>
        <v>0</v>
      </c>
      <c r="U17" s="216">
        <f ca="1">IFERROR(__xludf.DUMMYFUNCTION("IMPORTRANGE(""https://docs.google.com/spreadsheets/d/1W6MnUbDkMi6xHnHko_XkFDO9kkuL6Wqyc-6OCDFjW9I/edit?usp=sharing"",""ตาก!J659"")"),0)</f>
        <v>0</v>
      </c>
      <c r="V17" s="216">
        <f ca="1">IFERROR(__xludf.DUMMYFUNCTION("IMPORTRANGE(""https://docs.google.com/spreadsheets/d/1W6MnUbDkMi6xHnHko_XkFDO9kkuL6Wqyc-6OCDFjW9I/edit?usp=sharing"",""ตาก!J660"")"),0)</f>
        <v>0</v>
      </c>
      <c r="W17" s="152">
        <f ca="1">IFERROR(__xludf.DUMMYFUNCTION("IMPORTRANGE(""https://docs.google.com/spreadsheets/d/1W6MnUbDkMi6xHnHko_XkFDO9kkuL6Wqyc-6OCDFjW9I/edit?usp=sharing"",""ตาก!I661"")"),0)</f>
        <v>0</v>
      </c>
      <c r="X17" s="152">
        <f ca="1">IFERROR(__xludf.DUMMYFUNCTION("IMPORTRANGE(""https://docs.google.com/spreadsheets/d/1W6MnUbDkMi6xHnHko_XkFDO9kkuL6Wqyc-6OCDFjW9I/edit?usp=sharing"",""ตาก!J661"")"),0)</f>
        <v>0</v>
      </c>
      <c r="Y17" s="216">
        <f t="shared" ca="1" si="39"/>
        <v>0</v>
      </c>
      <c r="Z17" s="152">
        <f ca="1">IFERROR(__xludf.DUMMYFUNCTION("IMPORTRANGE(""https://docs.google.com/spreadsheets/d/1W6MnUbDkMi6xHnHko_XkFDO9kkuL6Wqyc-6OCDFjW9I/edit?usp=sharing"",""ตาก!J662"")"),0)</f>
        <v>0</v>
      </c>
      <c r="AA17" s="152">
        <f ca="1">IFERROR(__xludf.DUMMYFUNCTION("IMPORTRANGE(""https://docs.google.com/spreadsheets/d/1W6MnUbDkMi6xHnHko_XkFDO9kkuL6Wqyc-6OCDFjW9I/edit?usp=sharing"",""ตาก!J663"")"),0)</f>
        <v>0</v>
      </c>
      <c r="AB17" s="152">
        <f ca="1">IFERROR(__xludf.DUMMYFUNCTION("IMPORTRANGE(""https://docs.google.com/spreadsheets/d/1W6MnUbDkMi6xHnHko_XkFDO9kkuL6Wqyc-6OCDFjW9I/edit?usp=sharing"",""ตาก!J665"")"),0)</f>
        <v>0</v>
      </c>
      <c r="AC17" s="152">
        <f ca="1">IFERROR(__xludf.DUMMYFUNCTION("IMPORTRANGE(""https://docs.google.com/spreadsheets/d/1W6MnUbDkMi6xHnHko_XkFDO9kkuL6Wqyc-6OCDFjW9I/edit?usp=sharing"",""ตาก!J666"")"),0)</f>
        <v>0</v>
      </c>
      <c r="AD17" s="152">
        <f ca="1">IFERROR(__xludf.DUMMYFUNCTION("IMPORTRANGE(""https://docs.google.com/spreadsheets/d/1W6MnUbDkMi6xHnHko_XkFDO9kkuL6Wqyc-6OCDFjW9I/edit?usp=sharing"",""ตาก!J667"")"),0)</f>
        <v>0</v>
      </c>
      <c r="AE17" s="152">
        <f ca="1">IFERROR(__xludf.DUMMYFUNCTION("IMPORTRANGE(""https://docs.google.com/spreadsheets/d/1W6MnUbDkMi6xHnHko_XkFDO9kkuL6Wqyc-6OCDFjW9I/edit?usp=sharing"",""ตาก!J668"")"),0)</f>
        <v>0</v>
      </c>
      <c r="AF17" s="152">
        <f ca="1">IFERROR(__xludf.DUMMYFUNCTION("IMPORTRANGE(""https://docs.google.com/spreadsheets/d/1W6MnUbDkMi6xHnHko_XkFDO9kkuL6Wqyc-6OCDFjW9I/edit?usp=sharing"",""ตาก!J669"")"),0)</f>
        <v>0</v>
      </c>
      <c r="AG17" s="152">
        <f ca="1">IFERROR(__xludf.DUMMYFUNCTION("IMPORTRANGE(""https://docs.google.com/spreadsheets/d/1W6MnUbDkMi6xHnHko_XkFDO9kkuL6Wqyc-6OCDFjW9I/edit?usp=sharing"",""ตาก!J670"")"),0)</f>
        <v>0</v>
      </c>
      <c r="AH17" s="152">
        <f ca="1">IFERROR(__xludf.DUMMYFUNCTION("IMPORTRANGE(""https://docs.google.com/spreadsheets/d/1W6MnUbDkMi6xHnHko_XkFDO9kkuL6Wqyc-6OCDFjW9I/edit?usp=sharing"",""ตาก!I673"")"),0)</f>
        <v>0</v>
      </c>
      <c r="AI17" s="152">
        <f ca="1">IFERROR(__xludf.DUMMYFUNCTION("IMPORTRANGE(""https://docs.google.com/spreadsheets/d/1W6MnUbDkMi6xHnHko_XkFDO9kkuL6Wqyc-6OCDFjW9I/edit?usp=sharing"",""ตาก!J671"")"),0)</f>
        <v>0</v>
      </c>
      <c r="AJ17" s="152">
        <f ca="1">IFERROR(__xludf.DUMMYFUNCTION("IMPORTRANGE(""https://docs.google.com/spreadsheets/d/1W6MnUbDkMi6xHnHko_XkFDO9kkuL6Wqyc-6OCDFjW9I/edit?usp=sharing"",""ตาก!J672"")"),0)</f>
        <v>0</v>
      </c>
      <c r="AK17" s="152">
        <f ca="1">IFERROR(__xludf.DUMMYFUNCTION("IMPORTRANGE(""https://docs.google.com/spreadsheets/d/1W6MnUbDkMi6xHnHko_XkFDO9kkuL6Wqyc-6OCDFjW9I/edit?usp=sharing"",""ตาก!J673"")"),0)</f>
        <v>0</v>
      </c>
      <c r="AL17" s="216">
        <f t="shared" ca="1" si="41"/>
        <v>0</v>
      </c>
      <c r="AM17" s="152">
        <f ca="1">IFERROR(__xludf.DUMMYFUNCTION("IMPORTRANGE(""https://docs.google.com/spreadsheets/d/1W6MnUbDkMi6xHnHko_XkFDO9kkuL6Wqyc-6OCDFjW9I/edit?usp=sharing"",""ตาก!I674"")"),0)</f>
        <v>0</v>
      </c>
      <c r="AN17" s="152">
        <f ca="1">IFERROR(__xludf.DUMMYFUNCTION("IMPORTRANGE(""https://docs.google.com/spreadsheets/d/1W6MnUbDkMi6xHnHko_XkFDO9kkuL6Wqyc-6OCDFjW9I/edit?usp=sharing"",""ตาก!I675"")"),0)</f>
        <v>0</v>
      </c>
      <c r="AO17" s="152">
        <f ca="1">IFERROR(__xludf.DUMMYFUNCTION("IMPORTRANGE(""https://docs.google.com/spreadsheets/d/1W6MnUbDkMi6xHnHko_XkFDO9kkuL6Wqyc-6OCDFjW9I/edit?usp=sharing"",""ตาก!J674"")"),0)</f>
        <v>0</v>
      </c>
      <c r="AP17" s="216">
        <f t="shared" ca="1" si="43"/>
        <v>0</v>
      </c>
      <c r="AQ17" s="152">
        <f ca="1">IFERROR(__xludf.DUMMYFUNCTION("IMPORTRANGE(""https://docs.google.com/spreadsheets/d/1W6MnUbDkMi6xHnHko_XkFDO9kkuL6Wqyc-6OCDFjW9I/edit?usp=sharing"",""ตาก!J675"")"),0)</f>
        <v>0</v>
      </c>
      <c r="AR17" s="216">
        <f t="shared" ca="1" si="44"/>
        <v>0</v>
      </c>
      <c r="AS17" s="152">
        <f ca="1">IFERROR(__xludf.DUMMYFUNCTION("IMPORTRANGE(""https://docs.google.com/spreadsheets/d/1W6MnUbDkMi6xHnHko_XkFDO9kkuL6Wqyc-6OCDFjW9I/edit?usp=sharing"",""ตาก!I676"")"),0)</f>
        <v>0</v>
      </c>
      <c r="AT17" s="152">
        <f ca="1">IFERROR(__xludf.DUMMYFUNCTION("IMPORTRANGE(""https://docs.google.com/spreadsheets/d/1W6MnUbDkMi6xHnHko_XkFDO9kkuL6Wqyc-6OCDFjW9I/edit?usp=sharing"",""ตาก!I678"")"),0)</f>
        <v>0</v>
      </c>
      <c r="AU17" s="152">
        <f ca="1">IFERROR(__xludf.DUMMYFUNCTION("IMPORTRANGE(""https://docs.google.com/spreadsheets/d/1W6MnUbDkMi6xHnHko_XkFDO9kkuL6Wqyc-6OCDFjW9I/edit?usp=sharing"",""ตาก!J676"")"),0)</f>
        <v>0</v>
      </c>
      <c r="AV17" s="152">
        <f ca="1">IFERROR(__xludf.DUMMYFUNCTION("IMPORTRANGE(""https://docs.google.com/spreadsheets/d/1W6MnUbDkMi6xHnHko_XkFDO9kkuL6Wqyc-6OCDFjW9I/edit?usp=sharing"",""ตาก!J677"")"),0)</f>
        <v>0</v>
      </c>
      <c r="AW17" s="152">
        <f ca="1">IFERROR(__xludf.DUMMYFUNCTION("IMPORTRANGE(""https://docs.google.com/spreadsheets/d/1W6MnUbDkMi6xHnHko_XkFDO9kkuL6Wqyc-6OCDFjW9I/edit?usp=sharing"",""ตาก!J678"")"),0)</f>
        <v>0</v>
      </c>
      <c r="AX17" s="152">
        <f ca="1">IFERROR(__xludf.DUMMYFUNCTION("IMPORTRANGE(""https://docs.google.com/spreadsheets/d/1W6MnUbDkMi6xHnHko_XkFDO9kkuL6Wqyc-6OCDFjW9I/edit?usp=sharing"",""ตาก!I679"")"),0)</f>
        <v>0</v>
      </c>
      <c r="AY17" s="152">
        <f ca="1">IFERROR(__xludf.DUMMYFUNCTION("IMPORTRANGE(""https://docs.google.com/spreadsheets/d/1W6MnUbDkMi6xHnHko_XkFDO9kkuL6Wqyc-6OCDFjW9I/edit?usp=sharing"",""ตาก!I681"")"),0)</f>
        <v>0</v>
      </c>
      <c r="AZ17" s="152">
        <f ca="1">IFERROR(__xludf.DUMMYFUNCTION("IMPORTRANGE(""https://docs.google.com/spreadsheets/d/1W6MnUbDkMi6xHnHko_XkFDO9kkuL6Wqyc-6OCDFjW9I/edit?usp=sharing"",""ตาก!J679"")"),0)</f>
        <v>0</v>
      </c>
      <c r="BA17" s="152">
        <f ca="1">IFERROR(__xludf.DUMMYFUNCTION("IMPORTRANGE(""https://docs.google.com/spreadsheets/d/1W6MnUbDkMi6xHnHko_XkFDO9kkuL6Wqyc-6OCDFjW9I/edit?usp=sharing"",""ตาก!J680"")"),0)</f>
        <v>0</v>
      </c>
      <c r="BB17" s="152">
        <f ca="1">IFERROR(__xludf.DUMMYFUNCTION("IMPORTRANGE(""https://docs.google.com/spreadsheets/d/1W6MnUbDkMi6xHnHko_XkFDO9kkuL6Wqyc-6OCDFjW9I/edit?usp=sharing"",""ตาก!J681"")"),0)</f>
        <v>0</v>
      </c>
      <c r="BC17" s="152">
        <f ca="1">IFERROR(__xludf.DUMMYFUNCTION("IMPORTRANGE(""https://docs.google.com/spreadsheets/d/1W6MnUbDkMi6xHnHko_XkFDO9kkuL6Wqyc-6OCDFjW9I/edit?usp=sharing"",""ตาก!I682"")"),0)</f>
        <v>0</v>
      </c>
      <c r="BD17" s="152">
        <f ca="1">IFERROR(__xludf.DUMMYFUNCTION("IMPORTRANGE(""https://docs.google.com/spreadsheets/d/1W6MnUbDkMi6xHnHko_XkFDO9kkuL6Wqyc-6OCDFjW9I/edit?usp=sharing"",""ตาก!J682"")"),0)</f>
        <v>0</v>
      </c>
      <c r="BE17" s="216">
        <f t="shared" ca="1" si="46"/>
        <v>0</v>
      </c>
      <c r="BF17" s="152">
        <f ca="1">IFERROR(__xludf.DUMMYFUNCTION("IMPORTRANGE(""https://docs.google.com/spreadsheets/d/1W6MnUbDkMi6xHnHko_XkFDO9kkuL6Wqyc-6OCDFjW9I/edit?usp=sharing"",""ตาก!J683"")"),0)</f>
        <v>0</v>
      </c>
      <c r="BG17" s="152">
        <f ca="1">IFERROR(__xludf.DUMMYFUNCTION("IMPORTRANGE(""https://docs.google.com/spreadsheets/d/1W6MnUbDkMi6xHnHko_XkFDO9kkuL6Wqyc-6OCDFjW9I/edit?usp=sharing"",""ตาก!J684"")"),0)</f>
        <v>0</v>
      </c>
      <c r="BH17" s="152">
        <f ca="1">IFERROR(__xludf.DUMMYFUNCTION("IMPORTRANGE(""https://docs.google.com/spreadsheets/d/1W6MnUbDkMi6xHnHko_XkFDO9kkuL6Wqyc-6OCDFjW9I/edit?usp=sharing"",""ตาก!J685"")"),0)</f>
        <v>0</v>
      </c>
      <c r="BI17" s="152">
        <f ca="1">IFERROR(__xludf.DUMMYFUNCTION("IMPORTRANGE(""https://docs.google.com/spreadsheets/d/1W6MnUbDkMi6xHnHko_XkFDO9kkuL6Wqyc-6OCDFjW9I/edit?usp=sharing"",""ตาก!J686"")"),0)</f>
        <v>0</v>
      </c>
      <c r="BJ17" s="152">
        <f ca="1">IFERROR(__xludf.DUMMYFUNCTION("IMPORTRANGE(""https://docs.google.com/spreadsheets/d/1W6MnUbDkMi6xHnHko_XkFDO9kkuL6Wqyc-6OCDFjW9I/edit?usp=sharing"",""ตาก!J687"")"),0)</f>
        <v>0</v>
      </c>
      <c r="BK17" s="152">
        <f ca="1">IFERROR(__xludf.DUMMYFUNCTION("IMPORTRANGE(""https://docs.google.com/spreadsheets/d/1W6MnUbDkMi6xHnHko_XkFDO9kkuL6Wqyc-6OCDFjW9I/edit?usp=sharing"",""ตาก!J688"")"),0)</f>
        <v>0</v>
      </c>
    </row>
    <row r="18" spans="1:63" ht="19.5" x14ac:dyDescent="0.3">
      <c r="A18" s="70">
        <v>5</v>
      </c>
      <c r="B18" s="71" t="s">
        <v>46</v>
      </c>
      <c r="C18" s="68">
        <f ca="1">IFERROR(__xludf.DUMMYFUNCTION("IMPORTRANGE(""https://docs.google.com/spreadsheets/d/1IQAWArduLkta9LpYo4a_ULsyqdta6-6aDDiwpUnQT6c/edit?usp=sharing"",""นครสวรรค์!Q642"")"),284040)</f>
        <v>284040</v>
      </c>
      <c r="D18" s="68">
        <f ca="1">IFERROR(__xludf.DUMMYFUNCTION("IMPORTRANGE(""https://docs.google.com/spreadsheets/d/1IQAWArduLkta9LpYo4a_ULsyqdta6-6aDDiwpUnQT6c/edit?usp=sharing"",""นครสวรรค์!R642"")"),284040)</f>
        <v>284040</v>
      </c>
      <c r="E18" s="68">
        <f ca="1">IFERROR(__xludf.DUMMYFUNCTION("IMPORTRANGE(""https://docs.google.com/spreadsheets/d/1IQAWArduLkta9LpYo4a_ULsyqdta6-6aDDiwpUnQT6c/edit?usp=sharing"",""นครสวรรค์!S642"")"),15830)</f>
        <v>15830</v>
      </c>
      <c r="F18" s="68">
        <f t="shared" ca="1" si="30"/>
        <v>5.5731587100408397</v>
      </c>
      <c r="G18" s="68">
        <f t="shared" ca="1" si="31"/>
        <v>5.5731587100408397</v>
      </c>
      <c r="H18" s="278">
        <f ca="1">IFERROR(__xludf.DUMMYFUNCTION("IMPORTRANGE(""https://docs.google.com/spreadsheets/d/1IQAWArduLkta9LpYo4a_ULsyqdta6-6aDDiwpUnQT6c/edit?usp=sharing"",""นครสวรรค์!I652"")"),0)</f>
        <v>0</v>
      </c>
      <c r="I18" s="152">
        <f ca="1">IFERROR(__xludf.DUMMYFUNCTION("IMPORTRANGE(""https://docs.google.com/spreadsheets/d/1IQAWArduLkta9LpYo4a_ULsyqdta6-6aDDiwpUnQT6c/edit?usp=sharing"",""นครสวรรค์!J652"")"),0)</f>
        <v>0</v>
      </c>
      <c r="J18" s="216">
        <f t="shared" ca="1" si="33"/>
        <v>0</v>
      </c>
      <c r="K18" s="152">
        <f ca="1">IFERROR(__xludf.DUMMYFUNCTION("IMPORTRANGE(""https://docs.google.com/spreadsheets/d/1IQAWArduLkta9LpYo4a_ULsyqdta6-6aDDiwpUnQT6c/edit?usp=sharing"",""นครสวรรค์!I653"")"),40)</f>
        <v>40</v>
      </c>
      <c r="L18" s="152">
        <f ca="1">IFERROR(__xludf.DUMMYFUNCTION("IMPORTRANGE(""https://docs.google.com/spreadsheets/d/1IQAWArduLkta9LpYo4a_ULsyqdta6-6aDDiwpUnQT6c/edit?usp=sharing"",""นครสวรรค์!J653"")"),0)</f>
        <v>0</v>
      </c>
      <c r="M18" s="216">
        <f t="shared" ca="1" si="35"/>
        <v>0</v>
      </c>
      <c r="N18" s="152">
        <f ca="1">IFERROR(__xludf.DUMMYFUNCTION("IMPORTRANGE(""https://docs.google.com/spreadsheets/d/1IQAWArduLkta9LpYo4a_ULsyqdta6-6aDDiwpUnQT6c/edit?usp=sharing"",""นครสวรรค์!I654"")"),1955)</f>
        <v>1955</v>
      </c>
      <c r="O18" s="152">
        <f ca="1">IFERROR(__xludf.DUMMYFUNCTION("IMPORTRANGE(""https://docs.google.com/spreadsheets/d/1IQAWArduLkta9LpYo4a_ULsyqdta6-6aDDiwpUnQT6c/edit?usp=sharing"",""นครสวรรค์!J654"")"),2447)</f>
        <v>2447</v>
      </c>
      <c r="P18" s="216">
        <f t="shared" ca="1" si="37"/>
        <v>125.16624040920716</v>
      </c>
      <c r="Q18" s="216">
        <f ca="1">IFERROR(__xludf.DUMMYFUNCTION("IMPORTRANGE(""https://docs.google.com/spreadsheets/d/1IQAWArduLkta9LpYo4a_ULsyqdta6-6aDDiwpUnQT6c/edit?usp=sharing"",""นครสวรรค์!J655"")"),118)</f>
        <v>118</v>
      </c>
      <c r="R18" s="216">
        <f ca="1">IFERROR(__xludf.DUMMYFUNCTION("IMPORTRANGE(""https://docs.google.com/spreadsheets/d/1IQAWArduLkta9LpYo4a_ULsyqdta6-6aDDiwpUnQT6c/edit?usp=sharing"",""นครสวรรค์!J656"")"),118)</f>
        <v>118</v>
      </c>
      <c r="S18" s="216">
        <f ca="1">IFERROR(__xludf.DUMMYFUNCTION("IMPORTRANGE(""https://docs.google.com/spreadsheets/d/1IQAWArduLkta9LpYo4a_ULsyqdta6-6aDDiwpUnQT6c/edit?usp=sharing"",""นครสวรรค์!J657"")"),2447)</f>
        <v>2447</v>
      </c>
      <c r="T18" s="216">
        <f ca="1">IFERROR(__xludf.DUMMYFUNCTION("IMPORTRANGE(""https://docs.google.com/spreadsheets/d/1IQAWArduLkta9LpYo4a_ULsyqdta6-6aDDiwpUnQT6c/edit?usp=sharing"",""นครสวรรค์!J658"")"),0)</f>
        <v>0</v>
      </c>
      <c r="U18" s="216">
        <f ca="1">IFERROR(__xludf.DUMMYFUNCTION("IMPORTRANGE(""https://docs.google.com/spreadsheets/d/1IQAWArduLkta9LpYo4a_ULsyqdta6-6aDDiwpUnQT6c/edit?usp=sharing"",""นครสวรรค์!J659"")"),0)</f>
        <v>0</v>
      </c>
      <c r="V18" s="216">
        <f ca="1">IFERROR(__xludf.DUMMYFUNCTION("IMPORTRANGE(""https://docs.google.com/spreadsheets/d/1IQAWArduLkta9LpYo4a_ULsyqdta6-6aDDiwpUnQT6c/edit?usp=sharing"",""นครสวรรค์!J660"")"),0)</f>
        <v>0</v>
      </c>
      <c r="W18" s="152">
        <f ca="1">IFERROR(__xludf.DUMMYFUNCTION("IMPORTRANGE(""https://docs.google.com/spreadsheets/d/1IQAWArduLkta9LpYo4a_ULsyqdta6-6aDDiwpUnQT6c/edit?usp=sharing"",""นครสวรรค์!I661"")"),1846)</f>
        <v>1846</v>
      </c>
      <c r="X18" s="152">
        <f ca="1">IFERROR(__xludf.DUMMYFUNCTION("IMPORTRANGE(""https://docs.google.com/spreadsheets/d/1IQAWArduLkta9LpYo4a_ULsyqdta6-6aDDiwpUnQT6c/edit?usp=sharing"",""นครสวรรค์!J661"")"),0)</f>
        <v>0</v>
      </c>
      <c r="Y18" s="216">
        <f t="shared" ca="1" si="39"/>
        <v>0</v>
      </c>
      <c r="Z18" s="152">
        <f ca="1">IFERROR(__xludf.DUMMYFUNCTION("IMPORTRANGE(""https://docs.google.com/spreadsheets/d/1IQAWArduLkta9LpYo4a_ULsyqdta6-6aDDiwpUnQT6c/edit?usp=sharing"",""นครสวรรค์!J662"")"),0)</f>
        <v>0</v>
      </c>
      <c r="AA18" s="152">
        <f ca="1">IFERROR(__xludf.DUMMYFUNCTION("IMPORTRANGE(""https://docs.google.com/spreadsheets/d/1IQAWArduLkta9LpYo4a_ULsyqdta6-6aDDiwpUnQT6c/edit?usp=sharing"",""นครสวรรค์!J663"")"),0)</f>
        <v>0</v>
      </c>
      <c r="AB18" s="152">
        <f ca="1">IFERROR(__xludf.DUMMYFUNCTION("IMPORTRANGE(""https://docs.google.com/spreadsheets/d/1IQAWArduLkta9LpYo4a_ULsyqdta6-6aDDiwpUnQT6c/edit?usp=sharing"",""นครสวรรค์!J665"")"),0)</f>
        <v>0</v>
      </c>
      <c r="AC18" s="152">
        <f ca="1">IFERROR(__xludf.DUMMYFUNCTION("IMPORTRANGE(""https://docs.google.com/spreadsheets/d/1IQAWArduLkta9LpYo4a_ULsyqdta6-6aDDiwpUnQT6c/edit?usp=sharing"",""นครสวรรค์!J666"")"),0)</f>
        <v>0</v>
      </c>
      <c r="AD18" s="152">
        <f ca="1">IFERROR(__xludf.DUMMYFUNCTION("IMPORTRANGE(""https://docs.google.com/spreadsheets/d/1IQAWArduLkta9LpYo4a_ULsyqdta6-6aDDiwpUnQT6c/edit?usp=sharing"",""นครสวรรค์!J667"")"),0)</f>
        <v>0</v>
      </c>
      <c r="AE18" s="152">
        <f ca="1">IFERROR(__xludf.DUMMYFUNCTION("IMPORTRANGE(""https://docs.google.com/spreadsheets/d/1IQAWArduLkta9LpYo4a_ULsyqdta6-6aDDiwpUnQT6c/edit?usp=sharing"",""นครสวรรค์!J668"")"),0)</f>
        <v>0</v>
      </c>
      <c r="AF18" s="152">
        <f ca="1">IFERROR(__xludf.DUMMYFUNCTION("IMPORTRANGE(""https://docs.google.com/spreadsheets/d/1IQAWArduLkta9LpYo4a_ULsyqdta6-6aDDiwpUnQT6c/edit?usp=sharing"",""นครสวรรค์!J669"")"),0)</f>
        <v>0</v>
      </c>
      <c r="AG18" s="152">
        <f ca="1">IFERROR(__xludf.DUMMYFUNCTION("IMPORTRANGE(""https://docs.google.com/spreadsheets/d/1IQAWArduLkta9LpYo4a_ULsyqdta6-6aDDiwpUnQT6c/edit?usp=sharing"",""นครสวรรค์!J670"")"),0)</f>
        <v>0</v>
      </c>
      <c r="AH18" s="152">
        <f ca="1">IFERROR(__xludf.DUMMYFUNCTION("IMPORTRANGE(""https://docs.google.com/spreadsheets/d/1IQAWArduLkta9LpYo4a_ULsyqdta6-6aDDiwpUnQT6c/edit?usp=sharing"",""นครสวรรค์!I673"")"),2500)</f>
        <v>2500</v>
      </c>
      <c r="AI18" s="152">
        <f ca="1">IFERROR(__xludf.DUMMYFUNCTION("IMPORTRANGE(""https://docs.google.com/spreadsheets/d/1IQAWArduLkta9LpYo4a_ULsyqdta6-6aDDiwpUnQT6c/edit?usp=sharing"",""นครสวรรค์!J671"")"),29)</f>
        <v>29</v>
      </c>
      <c r="AJ18" s="152">
        <f ca="1">IFERROR(__xludf.DUMMYFUNCTION("IMPORTRANGE(""https://docs.google.com/spreadsheets/d/1IQAWArduLkta9LpYo4a_ULsyqdta6-6aDDiwpUnQT6c/edit?usp=sharing"",""นครสวรรค์!J672"")"),31)</f>
        <v>31</v>
      </c>
      <c r="AK18" s="152">
        <f ca="1">IFERROR(__xludf.DUMMYFUNCTION("IMPORTRANGE(""https://docs.google.com/spreadsheets/d/1IQAWArduLkta9LpYo4a_ULsyqdta6-6aDDiwpUnQT6c/edit?usp=sharing"",""นครสวรรค์!J673"")"),558.4)</f>
        <v>558.4</v>
      </c>
      <c r="AL18" s="216">
        <f t="shared" ca="1" si="41"/>
        <v>22.335999999999999</v>
      </c>
      <c r="AM18" s="152">
        <f ca="1">IFERROR(__xludf.DUMMYFUNCTION("IMPORTRANGE(""https://docs.google.com/spreadsheets/d/1IQAWArduLkta9LpYo4a_ULsyqdta6-6aDDiwpUnQT6c/edit?usp=sharing"",""นครสวรรค์!I674"")"),40)</f>
        <v>40</v>
      </c>
      <c r="AN18" s="152">
        <f ca="1">IFERROR(__xludf.DUMMYFUNCTION("IMPORTRANGE(""https://docs.google.com/spreadsheets/d/1IQAWArduLkta9LpYo4a_ULsyqdta6-6aDDiwpUnQT6c/edit?usp=sharing"",""นครสวรรค์!I675"")"),1009)</f>
        <v>1009</v>
      </c>
      <c r="AO18" s="152">
        <f ca="1">IFERROR(__xludf.DUMMYFUNCTION("IMPORTRANGE(""https://docs.google.com/spreadsheets/d/1IQAWArduLkta9LpYo4a_ULsyqdta6-6aDDiwpUnQT6c/edit?usp=sharing"",""นครสวรรค์!J674"")"),0)</f>
        <v>0</v>
      </c>
      <c r="AP18" s="216">
        <f t="shared" ca="1" si="43"/>
        <v>0</v>
      </c>
      <c r="AQ18" s="152">
        <f ca="1">IFERROR(__xludf.DUMMYFUNCTION("IMPORTRANGE(""https://docs.google.com/spreadsheets/d/1IQAWArduLkta9LpYo4a_ULsyqdta6-6aDDiwpUnQT6c/edit?usp=sharing"",""นครสวรรค์!J675"")"),0)</f>
        <v>0</v>
      </c>
      <c r="AR18" s="216">
        <f t="shared" ca="1" si="44"/>
        <v>0</v>
      </c>
      <c r="AS18" s="152">
        <f ca="1">IFERROR(__xludf.DUMMYFUNCTION("IMPORTRANGE(""https://docs.google.com/spreadsheets/d/1IQAWArduLkta9LpYo4a_ULsyqdta6-6aDDiwpUnQT6c/edit?usp=sharing"",""นครสวรรค์!I676"")"),40)</f>
        <v>40</v>
      </c>
      <c r="AT18" s="152">
        <f ca="1">IFERROR(__xludf.DUMMYFUNCTION("IMPORTRANGE(""https://docs.google.com/spreadsheets/d/1IQAWArduLkta9LpYo4a_ULsyqdta6-6aDDiwpUnQT6c/edit?usp=sharing"",""นครสวรรค์!I678"")"),1009)</f>
        <v>1009</v>
      </c>
      <c r="AU18" s="152">
        <f ca="1">IFERROR(__xludf.DUMMYFUNCTION("IMPORTRANGE(""https://docs.google.com/spreadsheets/d/1IQAWArduLkta9LpYo4a_ULsyqdta6-6aDDiwpUnQT6c/edit?usp=sharing"",""นครสวรรค์!J676"")"),0)</f>
        <v>0</v>
      </c>
      <c r="AV18" s="152">
        <f ca="1">IFERROR(__xludf.DUMMYFUNCTION("IMPORTRANGE(""https://docs.google.com/spreadsheets/d/1IQAWArduLkta9LpYo4a_ULsyqdta6-6aDDiwpUnQT6c/edit?usp=sharing"",""นครสวรรค์!J677"")"),0)</f>
        <v>0</v>
      </c>
      <c r="AW18" s="152">
        <f ca="1">IFERROR(__xludf.DUMMYFUNCTION("IMPORTRANGE(""https://docs.google.com/spreadsheets/d/1IQAWArduLkta9LpYo4a_ULsyqdta6-6aDDiwpUnQT6c/edit?usp=sharing"",""นครสวรรค์!J678"")"),0)</f>
        <v>0</v>
      </c>
      <c r="AX18" s="152">
        <f ca="1">IFERROR(__xludf.DUMMYFUNCTION("IMPORTRANGE(""https://docs.google.com/spreadsheets/d/1IQAWArduLkta9LpYo4a_ULsyqdta6-6aDDiwpUnQT6c/edit?usp=sharing"",""นครสวรรค์!I679"")"),0)</f>
        <v>0</v>
      </c>
      <c r="AY18" s="152">
        <f ca="1">IFERROR(__xludf.DUMMYFUNCTION("IMPORTRANGE(""https://docs.google.com/spreadsheets/d/1IQAWArduLkta9LpYo4a_ULsyqdta6-6aDDiwpUnQT6c/edit?usp=sharing"",""นครสวรรค์!I681"")"),0)</f>
        <v>0</v>
      </c>
      <c r="AZ18" s="152">
        <f ca="1">IFERROR(__xludf.DUMMYFUNCTION("IMPORTRANGE(""https://docs.google.com/spreadsheets/d/1IQAWArduLkta9LpYo4a_ULsyqdta6-6aDDiwpUnQT6c/edit?usp=sharing"",""นครสวรรค์!J679"")"),0)</f>
        <v>0</v>
      </c>
      <c r="BA18" s="152">
        <f ca="1">IFERROR(__xludf.DUMMYFUNCTION("IMPORTRANGE(""https://docs.google.com/spreadsheets/d/1IQAWArduLkta9LpYo4a_ULsyqdta6-6aDDiwpUnQT6c/edit?usp=sharing"",""นครสวรรค์!J680"")"),0)</f>
        <v>0</v>
      </c>
      <c r="BB18" s="152">
        <f ca="1">IFERROR(__xludf.DUMMYFUNCTION("IMPORTRANGE(""https://docs.google.com/spreadsheets/d/1IQAWArduLkta9LpYo4a_ULsyqdta6-6aDDiwpUnQT6c/edit?usp=sharing"",""นครสวรรค์!J681"")"),0)</f>
        <v>0</v>
      </c>
      <c r="BC18" s="152">
        <f ca="1">IFERROR(__xludf.DUMMYFUNCTION("IMPORTRANGE(""https://docs.google.com/spreadsheets/d/1IQAWArduLkta9LpYo4a_ULsyqdta6-6aDDiwpUnQT6c/edit?usp=sharing"",""นครสวรรค์!I682"")"),105)</f>
        <v>105</v>
      </c>
      <c r="BD18" s="152">
        <f ca="1">IFERROR(__xludf.DUMMYFUNCTION("IMPORTRANGE(""https://docs.google.com/spreadsheets/d/1IQAWArduLkta9LpYo4a_ULsyqdta6-6aDDiwpUnQT6c/edit?usp=sharing"",""นครสวรรค์!J682"")"),0)</f>
        <v>0</v>
      </c>
      <c r="BE18" s="216">
        <f t="shared" ca="1" si="46"/>
        <v>0</v>
      </c>
      <c r="BF18" s="152">
        <f ca="1">IFERROR(__xludf.DUMMYFUNCTION("IMPORTRANGE(""https://docs.google.com/spreadsheets/d/1IQAWArduLkta9LpYo4a_ULsyqdta6-6aDDiwpUnQT6c/edit?usp=sharing"",""นครสวรรค์!J683"")"),0)</f>
        <v>0</v>
      </c>
      <c r="BG18" s="152">
        <f ca="1">IFERROR(__xludf.DUMMYFUNCTION("IMPORTRANGE(""https://docs.google.com/spreadsheets/d/1IQAWArduLkta9LpYo4a_ULsyqdta6-6aDDiwpUnQT6c/edit?usp=sharing"",""นครสวรรค์!J684"")"),0)</f>
        <v>0</v>
      </c>
      <c r="BH18" s="152">
        <f ca="1">IFERROR(__xludf.DUMMYFUNCTION("IMPORTRANGE(""https://docs.google.com/spreadsheets/d/1IQAWArduLkta9LpYo4a_ULsyqdta6-6aDDiwpUnQT6c/edit?usp=sharing"",""นครสวรรค์!J685"")"),0)</f>
        <v>0</v>
      </c>
      <c r="BI18" s="152">
        <f ca="1">IFERROR(__xludf.DUMMYFUNCTION("IMPORTRANGE(""https://docs.google.com/spreadsheets/d/1IQAWArduLkta9LpYo4a_ULsyqdta6-6aDDiwpUnQT6c/edit?usp=sharing"",""นครสวรรค์!J686"")"),0)</f>
        <v>0</v>
      </c>
      <c r="BJ18" s="152">
        <f ca="1">IFERROR(__xludf.DUMMYFUNCTION("IMPORTRANGE(""https://docs.google.com/spreadsheets/d/1IQAWArduLkta9LpYo4a_ULsyqdta6-6aDDiwpUnQT6c/edit?usp=sharing"",""นครสวรรค์!J687"")"),0)</f>
        <v>0</v>
      </c>
      <c r="BK18" s="152">
        <f ca="1">IFERROR(__xludf.DUMMYFUNCTION("IMPORTRANGE(""https://docs.google.com/spreadsheets/d/1IQAWArduLkta9LpYo4a_ULsyqdta6-6aDDiwpUnQT6c/edit?usp=sharing"",""นครสวรรค์!J688"")"),0)</f>
        <v>0</v>
      </c>
    </row>
    <row r="19" spans="1:63" ht="19.5" x14ac:dyDescent="0.3">
      <c r="A19" s="70">
        <v>6</v>
      </c>
      <c r="B19" s="71" t="s">
        <v>47</v>
      </c>
      <c r="C19" s="68">
        <f ca="1">IFERROR(__xludf.DUMMYFUNCTION("IMPORTRANGE(""https://docs.google.com/spreadsheets/d/10s13Sk5xrltsiR-Zkbmk5DwIaDIKO8XlbJAfqyT7Gvg/edit?usp=sharing"",""น่าน!Q642"")"),0)</f>
        <v>0</v>
      </c>
      <c r="D19" s="68">
        <f ca="1">IFERROR(__xludf.DUMMYFUNCTION("IMPORTRANGE(""https://docs.google.com/spreadsheets/d/10s13Sk5xrltsiR-Zkbmk5DwIaDIKO8XlbJAfqyT7Gvg/edit?usp=sharing"",""น่าน!R642"")"),0)</f>
        <v>0</v>
      </c>
      <c r="E19" s="68">
        <f ca="1">IFERROR(__xludf.DUMMYFUNCTION("IMPORTRANGE(""https://docs.google.com/spreadsheets/d/10s13Sk5xrltsiR-Zkbmk5DwIaDIKO8XlbJAfqyT7Gvg/edit?usp=sharing"",""น่าน!S642"")"),0)</f>
        <v>0</v>
      </c>
      <c r="F19" s="68">
        <f t="shared" ca="1" si="30"/>
        <v>0</v>
      </c>
      <c r="G19" s="68">
        <f t="shared" ca="1" si="31"/>
        <v>0</v>
      </c>
      <c r="H19" s="278">
        <f ca="1">IFERROR(__xludf.DUMMYFUNCTION("IMPORTRANGE(""https://docs.google.com/spreadsheets/d/10s13Sk5xrltsiR-Zkbmk5DwIaDIKO8XlbJAfqyT7Gvg/edit?usp=sharing"",""น่าน!I652"")"),0)</f>
        <v>0</v>
      </c>
      <c r="I19" s="152">
        <f ca="1">IFERROR(__xludf.DUMMYFUNCTION("IMPORTRANGE(""https://docs.google.com/spreadsheets/d/10s13Sk5xrltsiR-Zkbmk5DwIaDIKO8XlbJAfqyT7Gvg/edit?usp=sharing"",""น่าน!J652"")"),0)</f>
        <v>0</v>
      </c>
      <c r="J19" s="216">
        <f t="shared" ca="1" si="33"/>
        <v>0</v>
      </c>
      <c r="K19" s="152">
        <f ca="1">IFERROR(__xludf.DUMMYFUNCTION("IMPORTRANGE(""https://docs.google.com/spreadsheets/d/10s13Sk5xrltsiR-Zkbmk5DwIaDIKO8XlbJAfqyT7Gvg/edit?usp=sharing"",""น่าน!I653"")"),0)</f>
        <v>0</v>
      </c>
      <c r="L19" s="152">
        <f ca="1">IFERROR(__xludf.DUMMYFUNCTION("IMPORTRANGE(""https://docs.google.com/spreadsheets/d/10s13Sk5xrltsiR-Zkbmk5DwIaDIKO8XlbJAfqyT7Gvg/edit?usp=sharing"",""น่าน!J653"")"),0)</f>
        <v>0</v>
      </c>
      <c r="M19" s="216">
        <f t="shared" ca="1" si="35"/>
        <v>0</v>
      </c>
      <c r="N19" s="152">
        <f ca="1">IFERROR(__xludf.DUMMYFUNCTION("IMPORTRANGE(""https://docs.google.com/spreadsheets/d/10s13Sk5xrltsiR-Zkbmk5DwIaDIKO8XlbJAfqyT7Gvg/edit?usp=sharing"",""น่าน!I654"")"),0)</f>
        <v>0</v>
      </c>
      <c r="O19" s="152">
        <f ca="1">IFERROR(__xludf.DUMMYFUNCTION("IMPORTRANGE(""https://docs.google.com/spreadsheets/d/10s13Sk5xrltsiR-Zkbmk5DwIaDIKO8XlbJAfqyT7Gvg/edit?usp=sharing"",""น่าน!J654"")"),0)</f>
        <v>0</v>
      </c>
      <c r="P19" s="216">
        <f t="shared" ca="1" si="37"/>
        <v>0</v>
      </c>
      <c r="Q19" s="216">
        <f ca="1">IFERROR(__xludf.DUMMYFUNCTION("IMPORTRANGE(""https://docs.google.com/spreadsheets/d/10s13Sk5xrltsiR-Zkbmk5DwIaDIKO8XlbJAfqyT7Gvg/edit?usp=sharing"",""น่าน!J655"")"),0)</f>
        <v>0</v>
      </c>
      <c r="R19" s="216">
        <f ca="1">IFERROR(__xludf.DUMMYFUNCTION("IMPORTRANGE(""https://docs.google.com/spreadsheets/d/10s13Sk5xrltsiR-Zkbmk5DwIaDIKO8XlbJAfqyT7Gvg/edit?usp=sharing"",""น่าน!J656"")"),0)</f>
        <v>0</v>
      </c>
      <c r="S19" s="216">
        <f ca="1">IFERROR(__xludf.DUMMYFUNCTION("IMPORTRANGE(""https://docs.google.com/spreadsheets/d/10s13Sk5xrltsiR-Zkbmk5DwIaDIKO8XlbJAfqyT7Gvg/edit?usp=sharing"",""น่าน!J657"")"),0)</f>
        <v>0</v>
      </c>
      <c r="T19" s="216">
        <f ca="1">IFERROR(__xludf.DUMMYFUNCTION("IMPORTRANGE(""https://docs.google.com/spreadsheets/d/10s13Sk5xrltsiR-Zkbmk5DwIaDIKO8XlbJAfqyT7Gvg/edit?usp=sharing"",""น่าน!J658"")"),0)</f>
        <v>0</v>
      </c>
      <c r="U19" s="216">
        <f ca="1">IFERROR(__xludf.DUMMYFUNCTION("IMPORTRANGE(""https://docs.google.com/spreadsheets/d/10s13Sk5xrltsiR-Zkbmk5DwIaDIKO8XlbJAfqyT7Gvg/edit?usp=sharing"",""น่าน!J659"")"),0)</f>
        <v>0</v>
      </c>
      <c r="V19" s="216">
        <f ca="1">IFERROR(__xludf.DUMMYFUNCTION("IMPORTRANGE(""https://docs.google.com/spreadsheets/d/10s13Sk5xrltsiR-Zkbmk5DwIaDIKO8XlbJAfqyT7Gvg/edit?usp=sharing"",""น่าน!J660"")"),0)</f>
        <v>0</v>
      </c>
      <c r="W19" s="152">
        <f ca="1">IFERROR(__xludf.DUMMYFUNCTION("IMPORTRANGE(""https://docs.google.com/spreadsheets/d/10s13Sk5xrltsiR-Zkbmk5DwIaDIKO8XlbJAfqyT7Gvg/edit?usp=sharing"",""น่าน!I661"")"),0)</f>
        <v>0</v>
      </c>
      <c r="X19" s="152">
        <f ca="1">IFERROR(__xludf.DUMMYFUNCTION("IMPORTRANGE(""https://docs.google.com/spreadsheets/d/10s13Sk5xrltsiR-Zkbmk5DwIaDIKO8XlbJAfqyT7Gvg/edit?usp=sharing"",""น่าน!J661"")"),0)</f>
        <v>0</v>
      </c>
      <c r="Y19" s="216">
        <f t="shared" ca="1" si="39"/>
        <v>0</v>
      </c>
      <c r="Z19" s="152">
        <f ca="1">IFERROR(__xludf.DUMMYFUNCTION("IMPORTRANGE(""https://docs.google.com/spreadsheets/d/10s13Sk5xrltsiR-Zkbmk5DwIaDIKO8XlbJAfqyT7Gvg/edit?usp=sharing"",""น่าน!J662"")"),0)</f>
        <v>0</v>
      </c>
      <c r="AA19" s="152">
        <f ca="1">IFERROR(__xludf.DUMMYFUNCTION("IMPORTRANGE(""https://docs.google.com/spreadsheets/d/10s13Sk5xrltsiR-Zkbmk5DwIaDIKO8XlbJAfqyT7Gvg/edit?usp=sharing"",""น่าน!J663"")"),0)</f>
        <v>0</v>
      </c>
      <c r="AB19" s="152">
        <f ca="1">IFERROR(__xludf.DUMMYFUNCTION("IMPORTRANGE(""https://docs.google.com/spreadsheets/d/10s13Sk5xrltsiR-Zkbmk5DwIaDIKO8XlbJAfqyT7Gvg/edit?usp=sharing"",""น่าน!J665"")"),0)</f>
        <v>0</v>
      </c>
      <c r="AC19" s="152">
        <f ca="1">IFERROR(__xludf.DUMMYFUNCTION("IMPORTRANGE(""https://docs.google.com/spreadsheets/d/10s13Sk5xrltsiR-Zkbmk5DwIaDIKO8XlbJAfqyT7Gvg/edit?usp=sharing"",""น่าน!J666"")"),0)</f>
        <v>0</v>
      </c>
      <c r="AD19" s="152">
        <f ca="1">IFERROR(__xludf.DUMMYFUNCTION("IMPORTRANGE(""https://docs.google.com/spreadsheets/d/10s13Sk5xrltsiR-Zkbmk5DwIaDIKO8XlbJAfqyT7Gvg/edit?usp=sharing"",""น่าน!J667"")"),0)</f>
        <v>0</v>
      </c>
      <c r="AE19" s="152">
        <f ca="1">IFERROR(__xludf.DUMMYFUNCTION("IMPORTRANGE(""https://docs.google.com/spreadsheets/d/10s13Sk5xrltsiR-Zkbmk5DwIaDIKO8XlbJAfqyT7Gvg/edit?usp=sharing"",""น่าน!J668"")"),0)</f>
        <v>0</v>
      </c>
      <c r="AF19" s="152">
        <f ca="1">IFERROR(__xludf.DUMMYFUNCTION("IMPORTRANGE(""https://docs.google.com/spreadsheets/d/10s13Sk5xrltsiR-Zkbmk5DwIaDIKO8XlbJAfqyT7Gvg/edit?usp=sharing"",""น่าน!J669"")"),0)</f>
        <v>0</v>
      </c>
      <c r="AG19" s="152">
        <f ca="1">IFERROR(__xludf.DUMMYFUNCTION("IMPORTRANGE(""https://docs.google.com/spreadsheets/d/10s13Sk5xrltsiR-Zkbmk5DwIaDIKO8XlbJAfqyT7Gvg/edit?usp=sharing"",""น่าน!J670"")"),0)</f>
        <v>0</v>
      </c>
      <c r="AH19" s="152">
        <f ca="1">IFERROR(__xludf.DUMMYFUNCTION("IMPORTRANGE(""https://docs.google.com/spreadsheets/d/10s13Sk5xrltsiR-Zkbmk5DwIaDIKO8XlbJAfqyT7Gvg/edit?usp=sharing"",""น่าน!I673"")"),0)</f>
        <v>0</v>
      </c>
      <c r="AI19" s="152">
        <f ca="1">IFERROR(__xludf.DUMMYFUNCTION("IMPORTRANGE(""https://docs.google.com/spreadsheets/d/10s13Sk5xrltsiR-Zkbmk5DwIaDIKO8XlbJAfqyT7Gvg/edit?usp=sharing"",""น่าน!J671"")"),0)</f>
        <v>0</v>
      </c>
      <c r="AJ19" s="152">
        <f ca="1">IFERROR(__xludf.DUMMYFUNCTION("IMPORTRANGE(""https://docs.google.com/spreadsheets/d/10s13Sk5xrltsiR-Zkbmk5DwIaDIKO8XlbJAfqyT7Gvg/edit?usp=sharing"",""น่าน!J672"")"),0)</f>
        <v>0</v>
      </c>
      <c r="AK19" s="152">
        <f ca="1">IFERROR(__xludf.DUMMYFUNCTION("IMPORTRANGE(""https://docs.google.com/spreadsheets/d/10s13Sk5xrltsiR-Zkbmk5DwIaDIKO8XlbJAfqyT7Gvg/edit?usp=sharing"",""น่าน!J673"")"),0)</f>
        <v>0</v>
      </c>
      <c r="AL19" s="216">
        <f t="shared" ca="1" si="41"/>
        <v>0</v>
      </c>
      <c r="AM19" s="152">
        <f ca="1">IFERROR(__xludf.DUMMYFUNCTION("IMPORTRANGE(""https://docs.google.com/spreadsheets/d/10s13Sk5xrltsiR-Zkbmk5DwIaDIKO8XlbJAfqyT7Gvg/edit?usp=sharing"",""น่าน!I674"")"),0)</f>
        <v>0</v>
      </c>
      <c r="AN19" s="152">
        <f ca="1">IFERROR(__xludf.DUMMYFUNCTION("IMPORTRANGE(""https://docs.google.com/spreadsheets/d/10s13Sk5xrltsiR-Zkbmk5DwIaDIKO8XlbJAfqyT7Gvg/edit?usp=sharing"",""น่าน!I675"")"),0)</f>
        <v>0</v>
      </c>
      <c r="AO19" s="152">
        <f ca="1">IFERROR(__xludf.DUMMYFUNCTION("IMPORTRANGE(""https://docs.google.com/spreadsheets/d/10s13Sk5xrltsiR-Zkbmk5DwIaDIKO8XlbJAfqyT7Gvg/edit?usp=sharing"",""น่าน!J674"")"),0)</f>
        <v>0</v>
      </c>
      <c r="AP19" s="216">
        <f t="shared" ca="1" si="43"/>
        <v>0</v>
      </c>
      <c r="AQ19" s="152">
        <f ca="1">IFERROR(__xludf.DUMMYFUNCTION("IMPORTRANGE(""https://docs.google.com/spreadsheets/d/10s13Sk5xrltsiR-Zkbmk5DwIaDIKO8XlbJAfqyT7Gvg/edit?usp=sharing"",""น่าน!J675"")"),0)</f>
        <v>0</v>
      </c>
      <c r="AR19" s="216">
        <f t="shared" ca="1" si="44"/>
        <v>0</v>
      </c>
      <c r="AS19" s="152">
        <f ca="1">IFERROR(__xludf.DUMMYFUNCTION("IMPORTRANGE(""https://docs.google.com/spreadsheets/d/10s13Sk5xrltsiR-Zkbmk5DwIaDIKO8XlbJAfqyT7Gvg/edit?usp=sharing"",""น่าน!I676"")"),0)</f>
        <v>0</v>
      </c>
      <c r="AT19" s="152">
        <f ca="1">IFERROR(__xludf.DUMMYFUNCTION("IMPORTRANGE(""https://docs.google.com/spreadsheets/d/10s13Sk5xrltsiR-Zkbmk5DwIaDIKO8XlbJAfqyT7Gvg/edit?usp=sharing"",""น่าน!I678"")"),0)</f>
        <v>0</v>
      </c>
      <c r="AU19" s="152">
        <f ca="1">IFERROR(__xludf.DUMMYFUNCTION("IMPORTRANGE(""https://docs.google.com/spreadsheets/d/10s13Sk5xrltsiR-Zkbmk5DwIaDIKO8XlbJAfqyT7Gvg/edit?usp=sharing"",""น่าน!J676"")"),0)</f>
        <v>0</v>
      </c>
      <c r="AV19" s="152">
        <f ca="1">IFERROR(__xludf.DUMMYFUNCTION("IMPORTRANGE(""https://docs.google.com/spreadsheets/d/10s13Sk5xrltsiR-Zkbmk5DwIaDIKO8XlbJAfqyT7Gvg/edit?usp=sharing"",""น่าน!J677"")"),0)</f>
        <v>0</v>
      </c>
      <c r="AW19" s="152">
        <f ca="1">IFERROR(__xludf.DUMMYFUNCTION("IMPORTRANGE(""https://docs.google.com/spreadsheets/d/10s13Sk5xrltsiR-Zkbmk5DwIaDIKO8XlbJAfqyT7Gvg/edit?usp=sharing"",""น่าน!J678"")"),0)</f>
        <v>0</v>
      </c>
      <c r="AX19" s="152">
        <f ca="1">IFERROR(__xludf.DUMMYFUNCTION("IMPORTRANGE(""https://docs.google.com/spreadsheets/d/10s13Sk5xrltsiR-Zkbmk5DwIaDIKO8XlbJAfqyT7Gvg/edit?usp=sharing"",""น่าน!I679"")"),0)</f>
        <v>0</v>
      </c>
      <c r="AY19" s="152">
        <f ca="1">IFERROR(__xludf.DUMMYFUNCTION("IMPORTRANGE(""https://docs.google.com/spreadsheets/d/10s13Sk5xrltsiR-Zkbmk5DwIaDIKO8XlbJAfqyT7Gvg/edit?usp=sharing"",""น่าน!I681"")"),0)</f>
        <v>0</v>
      </c>
      <c r="AZ19" s="152">
        <f ca="1">IFERROR(__xludf.DUMMYFUNCTION("IMPORTRANGE(""https://docs.google.com/spreadsheets/d/10s13Sk5xrltsiR-Zkbmk5DwIaDIKO8XlbJAfqyT7Gvg/edit?usp=sharing"",""น่าน!J679"")"),0)</f>
        <v>0</v>
      </c>
      <c r="BA19" s="152">
        <f ca="1">IFERROR(__xludf.DUMMYFUNCTION("IMPORTRANGE(""https://docs.google.com/spreadsheets/d/10s13Sk5xrltsiR-Zkbmk5DwIaDIKO8XlbJAfqyT7Gvg/edit?usp=sharing"",""น่าน!J680"")"),0)</f>
        <v>0</v>
      </c>
      <c r="BB19" s="152">
        <f ca="1">IFERROR(__xludf.DUMMYFUNCTION("IMPORTRANGE(""https://docs.google.com/spreadsheets/d/10s13Sk5xrltsiR-Zkbmk5DwIaDIKO8XlbJAfqyT7Gvg/edit?usp=sharing"",""น่าน!J681"")"),0)</f>
        <v>0</v>
      </c>
      <c r="BC19" s="152">
        <f ca="1">IFERROR(__xludf.DUMMYFUNCTION("IMPORTRANGE(""https://docs.google.com/spreadsheets/d/10s13Sk5xrltsiR-Zkbmk5DwIaDIKO8XlbJAfqyT7Gvg/edit?usp=sharing"",""น่าน!I682"")"),0)</f>
        <v>0</v>
      </c>
      <c r="BD19" s="152">
        <f ca="1">IFERROR(__xludf.DUMMYFUNCTION("IMPORTRANGE(""https://docs.google.com/spreadsheets/d/10s13Sk5xrltsiR-Zkbmk5DwIaDIKO8XlbJAfqyT7Gvg/edit?usp=sharing"",""น่าน!J682"")"),0)</f>
        <v>0</v>
      </c>
      <c r="BE19" s="216">
        <f t="shared" ca="1" si="46"/>
        <v>0</v>
      </c>
      <c r="BF19" s="152">
        <f ca="1">IFERROR(__xludf.DUMMYFUNCTION("IMPORTRANGE(""https://docs.google.com/spreadsheets/d/10s13Sk5xrltsiR-Zkbmk5DwIaDIKO8XlbJAfqyT7Gvg/edit?usp=sharing"",""น่าน!J683"")"),0)</f>
        <v>0</v>
      </c>
      <c r="BG19" s="152">
        <f ca="1">IFERROR(__xludf.DUMMYFUNCTION("IMPORTRANGE(""https://docs.google.com/spreadsheets/d/10s13Sk5xrltsiR-Zkbmk5DwIaDIKO8XlbJAfqyT7Gvg/edit?usp=sharing"",""น่าน!J684"")"),0)</f>
        <v>0</v>
      </c>
      <c r="BH19" s="152">
        <f ca="1">IFERROR(__xludf.DUMMYFUNCTION("IMPORTRANGE(""https://docs.google.com/spreadsheets/d/10s13Sk5xrltsiR-Zkbmk5DwIaDIKO8XlbJAfqyT7Gvg/edit?usp=sharing"",""น่าน!J685"")"),0)</f>
        <v>0</v>
      </c>
      <c r="BI19" s="152">
        <f ca="1">IFERROR(__xludf.DUMMYFUNCTION("IMPORTRANGE(""https://docs.google.com/spreadsheets/d/10s13Sk5xrltsiR-Zkbmk5DwIaDIKO8XlbJAfqyT7Gvg/edit?usp=sharing"",""น่าน!J686"")"),0)</f>
        <v>0</v>
      </c>
      <c r="BJ19" s="152">
        <f ca="1">IFERROR(__xludf.DUMMYFUNCTION("IMPORTRANGE(""https://docs.google.com/spreadsheets/d/10s13Sk5xrltsiR-Zkbmk5DwIaDIKO8XlbJAfqyT7Gvg/edit?usp=sharing"",""น่าน!J687"")"),0)</f>
        <v>0</v>
      </c>
      <c r="BK19" s="152">
        <f ca="1">IFERROR(__xludf.DUMMYFUNCTION("IMPORTRANGE(""https://docs.google.com/spreadsheets/d/10s13Sk5xrltsiR-Zkbmk5DwIaDIKO8XlbJAfqyT7Gvg/edit?usp=sharing"",""น่าน!J688"")"),0)</f>
        <v>0</v>
      </c>
    </row>
    <row r="20" spans="1:63" ht="19.5" x14ac:dyDescent="0.3">
      <c r="A20" s="70">
        <v>7</v>
      </c>
      <c r="B20" s="71" t="s">
        <v>48</v>
      </c>
      <c r="C20" s="68">
        <f ca="1">IFERROR(__xludf.DUMMYFUNCTION("IMPORTRANGE(""https://docs.google.com/spreadsheets/d/1uu4nAn4Dbi1XREnLKKotUANlKXa7yCgRcgq8HEzQYW8/edit?usp=sharing"",""พะเยา!Q642"")"),5900)</f>
        <v>5900</v>
      </c>
      <c r="D20" s="68">
        <f ca="1">IFERROR(__xludf.DUMMYFUNCTION("IMPORTRANGE(""https://docs.google.com/spreadsheets/d/1uu4nAn4Dbi1XREnLKKotUANlKXa7yCgRcgq8HEzQYW8/edit?usp=sharing"",""พะเยา!R642"")"),5900)</f>
        <v>5900</v>
      </c>
      <c r="E20" s="68">
        <f ca="1">IFERROR(__xludf.DUMMYFUNCTION("IMPORTRANGE(""https://docs.google.com/spreadsheets/d/1uu4nAn4Dbi1XREnLKKotUANlKXa7yCgRcgq8HEzQYW8/edit?usp=sharing"",""พะเยา!S642"")"),0)</f>
        <v>0</v>
      </c>
      <c r="F20" s="68">
        <f t="shared" ca="1" si="30"/>
        <v>0</v>
      </c>
      <c r="G20" s="68">
        <f t="shared" ca="1" si="31"/>
        <v>0</v>
      </c>
      <c r="H20" s="278">
        <f ca="1">IFERROR(__xludf.DUMMYFUNCTION("IMPORTRANGE(""https://docs.google.com/spreadsheets/d/1uu4nAn4Dbi1XREnLKKotUANlKXa7yCgRcgq8HEzQYW8/edit?usp=sharing"",""พะเยา!I652"")"),0)</f>
        <v>0</v>
      </c>
      <c r="I20" s="152">
        <f ca="1">IFERROR(__xludf.DUMMYFUNCTION("IMPORTRANGE(""https://docs.google.com/spreadsheets/d/1uu4nAn4Dbi1XREnLKKotUANlKXa7yCgRcgq8HEzQYW8/edit?usp=sharing"",""พะเยา!J652"")"),0)</f>
        <v>0</v>
      </c>
      <c r="J20" s="216">
        <f t="shared" ca="1" si="33"/>
        <v>0</v>
      </c>
      <c r="K20" s="152">
        <f ca="1">IFERROR(__xludf.DUMMYFUNCTION("IMPORTRANGE(""https://docs.google.com/spreadsheets/d/1uu4nAn4Dbi1XREnLKKotUANlKXa7yCgRcgq8HEzQYW8/edit?usp=sharing"",""พะเยา!I653"")"),20)</f>
        <v>20</v>
      </c>
      <c r="L20" s="152">
        <f ca="1">IFERROR(__xludf.DUMMYFUNCTION("IMPORTRANGE(""https://docs.google.com/spreadsheets/d/1uu4nAn4Dbi1XREnLKKotUANlKXa7yCgRcgq8HEzQYW8/edit?usp=sharing"",""พะเยา!J653"")"),0)</f>
        <v>0</v>
      </c>
      <c r="M20" s="216">
        <f t="shared" ca="1" si="35"/>
        <v>0</v>
      </c>
      <c r="N20" s="152">
        <f ca="1">IFERROR(__xludf.DUMMYFUNCTION("IMPORTRANGE(""https://docs.google.com/spreadsheets/d/1uu4nAn4Dbi1XREnLKKotUANlKXa7yCgRcgq8HEzQYW8/edit?usp=sharing"",""พะเยา!I654"")"),125)</f>
        <v>125</v>
      </c>
      <c r="O20" s="152">
        <f ca="1">IFERROR(__xludf.DUMMYFUNCTION("IMPORTRANGE(""https://docs.google.com/spreadsheets/d/1uu4nAn4Dbi1XREnLKKotUANlKXa7yCgRcgq8HEzQYW8/edit?usp=sharing"",""พะเยา!J654"")"),200.28)</f>
        <v>200.28</v>
      </c>
      <c r="P20" s="216">
        <f t="shared" ca="1" si="37"/>
        <v>160.22399999999999</v>
      </c>
      <c r="Q20" s="216">
        <f ca="1">IFERROR(__xludf.DUMMYFUNCTION("IMPORTRANGE(""https://docs.google.com/spreadsheets/d/1uu4nAn4Dbi1XREnLKKotUANlKXa7yCgRcgq8HEzQYW8/edit?usp=sharing"",""พะเยา!J655"")"),39)</f>
        <v>39</v>
      </c>
      <c r="R20" s="216">
        <f ca="1">IFERROR(__xludf.DUMMYFUNCTION("IMPORTRANGE(""https://docs.google.com/spreadsheets/d/1uu4nAn4Dbi1XREnLKKotUANlKXa7yCgRcgq8HEzQYW8/edit?usp=sharing"",""พะเยา!J656"")"),39)</f>
        <v>39</v>
      </c>
      <c r="S20" s="216">
        <f ca="1">IFERROR(__xludf.DUMMYFUNCTION("IMPORTRANGE(""https://docs.google.com/spreadsheets/d/1uu4nAn4Dbi1XREnLKKotUANlKXa7yCgRcgq8HEzQYW8/edit?usp=sharing"",""พะเยา!J657"")"),200.28)</f>
        <v>200.28</v>
      </c>
      <c r="T20" s="216">
        <f ca="1">IFERROR(__xludf.DUMMYFUNCTION("IMPORTRANGE(""https://docs.google.com/spreadsheets/d/1uu4nAn4Dbi1XREnLKKotUANlKXa7yCgRcgq8HEzQYW8/edit?usp=sharing"",""พะเยา!J658"")"),0)</f>
        <v>0</v>
      </c>
      <c r="U20" s="216">
        <f ca="1">IFERROR(__xludf.DUMMYFUNCTION("IMPORTRANGE(""https://docs.google.com/spreadsheets/d/1uu4nAn4Dbi1XREnLKKotUANlKXa7yCgRcgq8HEzQYW8/edit?usp=sharing"",""พะเยา!J659"")"),0)</f>
        <v>0</v>
      </c>
      <c r="V20" s="216">
        <f ca="1">IFERROR(__xludf.DUMMYFUNCTION("IMPORTRANGE(""https://docs.google.com/spreadsheets/d/1uu4nAn4Dbi1XREnLKKotUANlKXa7yCgRcgq8HEzQYW8/edit?usp=sharing"",""พะเยา!J660"")"),0)</f>
        <v>0</v>
      </c>
      <c r="W20" s="152">
        <f ca="1">IFERROR(__xludf.DUMMYFUNCTION("IMPORTRANGE(""https://docs.google.com/spreadsheets/d/1uu4nAn4Dbi1XREnLKKotUANlKXa7yCgRcgq8HEzQYW8/edit?usp=sharing"",""พะเยา!I661"")"),0)</f>
        <v>0</v>
      </c>
      <c r="X20" s="152">
        <f ca="1">IFERROR(__xludf.DUMMYFUNCTION("IMPORTRANGE(""https://docs.google.com/spreadsheets/d/1uu4nAn4Dbi1XREnLKKotUANlKXa7yCgRcgq8HEzQYW8/edit?usp=sharing"",""พะเยา!J661"")"),0)</f>
        <v>0</v>
      </c>
      <c r="Y20" s="216">
        <f t="shared" ca="1" si="39"/>
        <v>0</v>
      </c>
      <c r="Z20" s="152">
        <f ca="1">IFERROR(__xludf.DUMMYFUNCTION("IMPORTRANGE(""https://docs.google.com/spreadsheets/d/1uu4nAn4Dbi1XREnLKKotUANlKXa7yCgRcgq8HEzQYW8/edit?usp=sharing"",""พะเยา!J662"")"),0)</f>
        <v>0</v>
      </c>
      <c r="AA20" s="152">
        <f ca="1">IFERROR(__xludf.DUMMYFUNCTION("IMPORTRANGE(""https://docs.google.com/spreadsheets/d/1uu4nAn4Dbi1XREnLKKotUANlKXa7yCgRcgq8HEzQYW8/edit?usp=sharing"",""พะเยา!J663"")"),0)</f>
        <v>0</v>
      </c>
      <c r="AB20" s="152">
        <f ca="1">IFERROR(__xludf.DUMMYFUNCTION("IMPORTRANGE(""https://docs.google.com/spreadsheets/d/1uu4nAn4Dbi1XREnLKKotUANlKXa7yCgRcgq8HEzQYW8/edit?usp=sharing"",""พะเยา!J665"")"),0)</f>
        <v>0</v>
      </c>
      <c r="AC20" s="152">
        <f ca="1">IFERROR(__xludf.DUMMYFUNCTION("IMPORTRANGE(""https://docs.google.com/spreadsheets/d/1uu4nAn4Dbi1XREnLKKotUANlKXa7yCgRcgq8HEzQYW8/edit?usp=sharing"",""พะเยา!J666"")"),0)</f>
        <v>0</v>
      </c>
      <c r="AD20" s="152">
        <f ca="1">IFERROR(__xludf.DUMMYFUNCTION("IMPORTRANGE(""https://docs.google.com/spreadsheets/d/1uu4nAn4Dbi1XREnLKKotUANlKXa7yCgRcgq8HEzQYW8/edit?usp=sharing"",""พะเยา!J667"")"),0)</f>
        <v>0</v>
      </c>
      <c r="AE20" s="152">
        <f ca="1">IFERROR(__xludf.DUMMYFUNCTION("IMPORTRANGE(""https://docs.google.com/spreadsheets/d/1uu4nAn4Dbi1XREnLKKotUANlKXa7yCgRcgq8HEzQYW8/edit?usp=sharing"",""พะเยา!J668"")"),0)</f>
        <v>0</v>
      </c>
      <c r="AF20" s="152">
        <f ca="1">IFERROR(__xludf.DUMMYFUNCTION("IMPORTRANGE(""https://docs.google.com/spreadsheets/d/1uu4nAn4Dbi1XREnLKKotUANlKXa7yCgRcgq8HEzQYW8/edit?usp=sharing"",""พะเยา!J669"")"),0)</f>
        <v>0</v>
      </c>
      <c r="AG20" s="152">
        <f ca="1">IFERROR(__xludf.DUMMYFUNCTION("IMPORTRANGE(""https://docs.google.com/spreadsheets/d/1uu4nAn4Dbi1XREnLKKotUANlKXa7yCgRcgq8HEzQYW8/edit?usp=sharing"",""พะเยา!J670"")"),0)</f>
        <v>0</v>
      </c>
      <c r="AH20" s="152">
        <f ca="1">IFERROR(__xludf.DUMMYFUNCTION("IMPORTRANGE(""https://docs.google.com/spreadsheets/d/1uu4nAn4Dbi1XREnLKKotUANlKXa7yCgRcgq8HEzQYW8/edit?usp=sharing"",""พะเยา!I673"")"),0)</f>
        <v>0</v>
      </c>
      <c r="AI20" s="152">
        <f ca="1">IFERROR(__xludf.DUMMYFUNCTION("IMPORTRANGE(""https://docs.google.com/spreadsheets/d/1uu4nAn4Dbi1XREnLKKotUANlKXa7yCgRcgq8HEzQYW8/edit?usp=sharing"",""พะเยา!J671"")"),0)</f>
        <v>0</v>
      </c>
      <c r="AJ20" s="152">
        <f ca="1">IFERROR(__xludf.DUMMYFUNCTION("IMPORTRANGE(""https://docs.google.com/spreadsheets/d/1uu4nAn4Dbi1XREnLKKotUANlKXa7yCgRcgq8HEzQYW8/edit?usp=sharing"",""พะเยา!J672"")"),0)</f>
        <v>0</v>
      </c>
      <c r="AK20" s="152">
        <f ca="1">IFERROR(__xludf.DUMMYFUNCTION("IMPORTRANGE(""https://docs.google.com/spreadsheets/d/1uu4nAn4Dbi1XREnLKKotUANlKXa7yCgRcgq8HEzQYW8/edit?usp=sharing"",""พะเยา!J673"")"),0)</f>
        <v>0</v>
      </c>
      <c r="AL20" s="216">
        <f t="shared" ca="1" si="41"/>
        <v>0</v>
      </c>
      <c r="AM20" s="152">
        <f ca="1">IFERROR(__xludf.DUMMYFUNCTION("IMPORTRANGE(""https://docs.google.com/spreadsheets/d/1uu4nAn4Dbi1XREnLKKotUANlKXa7yCgRcgq8HEzQYW8/edit?usp=sharing"",""พะเยา!I674"")"),0)</f>
        <v>0</v>
      </c>
      <c r="AN20" s="152">
        <f ca="1">IFERROR(__xludf.DUMMYFUNCTION("IMPORTRANGE(""https://docs.google.com/spreadsheets/d/1uu4nAn4Dbi1XREnLKKotUANlKXa7yCgRcgq8HEzQYW8/edit?usp=sharing"",""พะเยา!I675"")"),0)</f>
        <v>0</v>
      </c>
      <c r="AO20" s="152">
        <f ca="1">IFERROR(__xludf.DUMMYFUNCTION("IMPORTRANGE(""https://docs.google.com/spreadsheets/d/1uu4nAn4Dbi1XREnLKKotUANlKXa7yCgRcgq8HEzQYW8/edit?usp=sharing"",""พะเยา!J674"")"),0)</f>
        <v>0</v>
      </c>
      <c r="AP20" s="216">
        <f t="shared" ca="1" si="43"/>
        <v>0</v>
      </c>
      <c r="AQ20" s="152">
        <f ca="1">IFERROR(__xludf.DUMMYFUNCTION("IMPORTRANGE(""https://docs.google.com/spreadsheets/d/1uu4nAn4Dbi1XREnLKKotUANlKXa7yCgRcgq8HEzQYW8/edit?usp=sharing"",""พะเยา!J675"")"),0)</f>
        <v>0</v>
      </c>
      <c r="AR20" s="216">
        <f t="shared" ca="1" si="44"/>
        <v>0</v>
      </c>
      <c r="AS20" s="152">
        <f ca="1">IFERROR(__xludf.DUMMYFUNCTION("IMPORTRANGE(""https://docs.google.com/spreadsheets/d/1uu4nAn4Dbi1XREnLKKotUANlKXa7yCgRcgq8HEzQYW8/edit?usp=sharing"",""พะเยา!I676"")"),0)</f>
        <v>0</v>
      </c>
      <c r="AT20" s="152">
        <f ca="1">IFERROR(__xludf.DUMMYFUNCTION("IMPORTRANGE(""https://docs.google.com/spreadsheets/d/1uu4nAn4Dbi1XREnLKKotUANlKXa7yCgRcgq8HEzQYW8/edit?usp=sharing"",""พะเยา!I678"")"),0)</f>
        <v>0</v>
      </c>
      <c r="AU20" s="152">
        <f ca="1">IFERROR(__xludf.DUMMYFUNCTION("IMPORTRANGE(""https://docs.google.com/spreadsheets/d/1uu4nAn4Dbi1XREnLKKotUANlKXa7yCgRcgq8HEzQYW8/edit?usp=sharing"",""พะเยา!J676"")"),0)</f>
        <v>0</v>
      </c>
      <c r="AV20" s="152">
        <f ca="1">IFERROR(__xludf.DUMMYFUNCTION("IMPORTRANGE(""https://docs.google.com/spreadsheets/d/1uu4nAn4Dbi1XREnLKKotUANlKXa7yCgRcgq8HEzQYW8/edit?usp=sharing"",""พะเยา!J677"")"),0)</f>
        <v>0</v>
      </c>
      <c r="AW20" s="152">
        <f ca="1">IFERROR(__xludf.DUMMYFUNCTION("IMPORTRANGE(""https://docs.google.com/spreadsheets/d/1uu4nAn4Dbi1XREnLKKotUANlKXa7yCgRcgq8HEzQYW8/edit?usp=sharing"",""พะเยา!J678"")"),0)</f>
        <v>0</v>
      </c>
      <c r="AX20" s="152">
        <f ca="1">IFERROR(__xludf.DUMMYFUNCTION("IMPORTRANGE(""https://docs.google.com/spreadsheets/d/1uu4nAn4Dbi1XREnLKKotUANlKXa7yCgRcgq8HEzQYW8/edit?usp=sharing"",""พะเยา!I679"")"),0)</f>
        <v>0</v>
      </c>
      <c r="AY20" s="152">
        <f ca="1">IFERROR(__xludf.DUMMYFUNCTION("IMPORTRANGE(""https://docs.google.com/spreadsheets/d/1uu4nAn4Dbi1XREnLKKotUANlKXa7yCgRcgq8HEzQYW8/edit?usp=sharing"",""พะเยา!I681"")"),0)</f>
        <v>0</v>
      </c>
      <c r="AZ20" s="152">
        <f ca="1">IFERROR(__xludf.DUMMYFUNCTION("IMPORTRANGE(""https://docs.google.com/spreadsheets/d/1uu4nAn4Dbi1XREnLKKotUANlKXa7yCgRcgq8HEzQYW8/edit?usp=sharing"",""พะเยา!J679"")"),0)</f>
        <v>0</v>
      </c>
      <c r="BA20" s="152">
        <f ca="1">IFERROR(__xludf.DUMMYFUNCTION("IMPORTRANGE(""https://docs.google.com/spreadsheets/d/1uu4nAn4Dbi1XREnLKKotUANlKXa7yCgRcgq8HEzQYW8/edit?usp=sharing"",""พะเยา!J680"")"),0)</f>
        <v>0</v>
      </c>
      <c r="BB20" s="152">
        <f ca="1">IFERROR(__xludf.DUMMYFUNCTION("IMPORTRANGE(""https://docs.google.com/spreadsheets/d/1uu4nAn4Dbi1XREnLKKotUANlKXa7yCgRcgq8HEzQYW8/edit?usp=sharing"",""พะเยา!J681"")"),0)</f>
        <v>0</v>
      </c>
      <c r="BC20" s="152">
        <f ca="1">IFERROR(__xludf.DUMMYFUNCTION("IMPORTRANGE(""https://docs.google.com/spreadsheets/d/1uu4nAn4Dbi1XREnLKKotUANlKXa7yCgRcgq8HEzQYW8/edit?usp=sharing"",""พะเยา!I682"")"),0)</f>
        <v>0</v>
      </c>
      <c r="BD20" s="152">
        <f ca="1">IFERROR(__xludf.DUMMYFUNCTION("IMPORTRANGE(""https://docs.google.com/spreadsheets/d/1uu4nAn4Dbi1XREnLKKotUANlKXa7yCgRcgq8HEzQYW8/edit?usp=sharing"",""พะเยา!J682"")"),0)</f>
        <v>0</v>
      </c>
      <c r="BE20" s="216">
        <f t="shared" ca="1" si="46"/>
        <v>0</v>
      </c>
      <c r="BF20" s="152">
        <f ca="1">IFERROR(__xludf.DUMMYFUNCTION("IMPORTRANGE(""https://docs.google.com/spreadsheets/d/1uu4nAn4Dbi1XREnLKKotUANlKXa7yCgRcgq8HEzQYW8/edit?usp=sharing"",""พะเยา!J683"")"),0)</f>
        <v>0</v>
      </c>
      <c r="BG20" s="152">
        <f ca="1">IFERROR(__xludf.DUMMYFUNCTION("IMPORTRANGE(""https://docs.google.com/spreadsheets/d/1uu4nAn4Dbi1XREnLKKotUANlKXa7yCgRcgq8HEzQYW8/edit?usp=sharing"",""พะเยา!J684"")"),0)</f>
        <v>0</v>
      </c>
      <c r="BH20" s="152">
        <f ca="1">IFERROR(__xludf.DUMMYFUNCTION("IMPORTRANGE(""https://docs.google.com/spreadsheets/d/1uu4nAn4Dbi1XREnLKKotUANlKXa7yCgRcgq8HEzQYW8/edit?usp=sharing"",""พะเยา!J685"")"),0)</f>
        <v>0</v>
      </c>
      <c r="BI20" s="152">
        <f ca="1">IFERROR(__xludf.DUMMYFUNCTION("IMPORTRANGE(""https://docs.google.com/spreadsheets/d/1uu4nAn4Dbi1XREnLKKotUANlKXa7yCgRcgq8HEzQYW8/edit?usp=sharing"",""พะเยา!J686"")"),0)</f>
        <v>0</v>
      </c>
      <c r="BJ20" s="152">
        <f ca="1">IFERROR(__xludf.DUMMYFUNCTION("IMPORTRANGE(""https://docs.google.com/spreadsheets/d/1uu4nAn4Dbi1XREnLKKotUANlKXa7yCgRcgq8HEzQYW8/edit?usp=sharing"",""พะเยา!J687"")"),0)</f>
        <v>0</v>
      </c>
      <c r="BK20" s="152">
        <f ca="1">IFERROR(__xludf.DUMMYFUNCTION("IMPORTRANGE(""https://docs.google.com/spreadsheets/d/1uu4nAn4Dbi1XREnLKKotUANlKXa7yCgRcgq8HEzQYW8/edit?usp=sharing"",""พะเยา!J688"")"),0)</f>
        <v>0</v>
      </c>
    </row>
    <row r="21" spans="1:63" ht="19.5" x14ac:dyDescent="0.3">
      <c r="A21" s="70">
        <v>8</v>
      </c>
      <c r="B21" s="71" t="s">
        <v>49</v>
      </c>
      <c r="C21" s="68">
        <f ca="1">IFERROR(__xludf.DUMMYFUNCTION("IMPORTRANGE(""https://docs.google.com/spreadsheets/d/1xfJKIQxVOaPDIICqsflNlLu3JacTDk1FP9RH4phX7mI/edit?usp=sharing"",""พิจิตร!Q642"")"),8760)</f>
        <v>8760</v>
      </c>
      <c r="D21" s="68">
        <f ca="1">IFERROR(__xludf.DUMMYFUNCTION("IMPORTRANGE(""https://docs.google.com/spreadsheets/d/1xfJKIQxVOaPDIICqsflNlLu3JacTDk1FP9RH4phX7mI/edit?usp=sharing"",""พิจิตร!R642"")"),8760)</f>
        <v>8760</v>
      </c>
      <c r="E21" s="68">
        <f ca="1">IFERROR(__xludf.DUMMYFUNCTION("IMPORTRANGE(""https://docs.google.com/spreadsheets/d/1xfJKIQxVOaPDIICqsflNlLu3JacTDk1FP9RH4phX7mI/edit?usp=sharing"",""พิจิตร!S642"")"),5575)</f>
        <v>5575</v>
      </c>
      <c r="F21" s="68">
        <f t="shared" ca="1" si="30"/>
        <v>63.641552511415526</v>
      </c>
      <c r="G21" s="68">
        <f t="shared" ca="1" si="31"/>
        <v>63.641552511415526</v>
      </c>
      <c r="H21" s="278">
        <f ca="1">IFERROR(__xludf.DUMMYFUNCTION("IMPORTRANGE(""https://docs.google.com/spreadsheets/d/1xfJKIQxVOaPDIICqsflNlLu3JacTDk1FP9RH4phX7mI/edit?usp=sharing"",""พิจิตร!I652"")"),0)</f>
        <v>0</v>
      </c>
      <c r="I21" s="152">
        <f ca="1">IFERROR(__xludf.DUMMYFUNCTION("IMPORTRANGE(""https://docs.google.com/spreadsheets/d/1xfJKIQxVOaPDIICqsflNlLu3JacTDk1FP9RH4phX7mI/edit?usp=sharing"",""พิจิตร!J652"")"),0)</f>
        <v>0</v>
      </c>
      <c r="J21" s="216">
        <f t="shared" ca="1" si="33"/>
        <v>0</v>
      </c>
      <c r="K21" s="152">
        <f ca="1">IFERROR(__xludf.DUMMYFUNCTION("IMPORTRANGE(""https://docs.google.com/spreadsheets/d/1xfJKIQxVOaPDIICqsflNlLu3JacTDk1FP9RH4phX7mI/edit?usp=sharing"",""พิจิตร!I653"")"),0)</f>
        <v>0</v>
      </c>
      <c r="L21" s="152">
        <f ca="1">IFERROR(__xludf.DUMMYFUNCTION("IMPORTRANGE(""https://docs.google.com/spreadsheets/d/1xfJKIQxVOaPDIICqsflNlLu3JacTDk1FP9RH4phX7mI/edit?usp=sharing"",""พิจิตร!J653"")"),0)</f>
        <v>0</v>
      </c>
      <c r="M21" s="216">
        <f t="shared" ca="1" si="35"/>
        <v>0</v>
      </c>
      <c r="N21" s="152">
        <f ca="1">IFERROR(__xludf.DUMMYFUNCTION("IMPORTRANGE(""https://docs.google.com/spreadsheets/d/1xfJKIQxVOaPDIICqsflNlLu3JacTDk1FP9RH4phX7mI/edit?usp=sharing"",""พิจิตร!I654"")"),30)</f>
        <v>30</v>
      </c>
      <c r="O21" s="152">
        <f ca="1">IFERROR(__xludf.DUMMYFUNCTION("IMPORTRANGE(""https://docs.google.com/spreadsheets/d/1xfJKIQxVOaPDIICqsflNlLu3JacTDk1FP9RH4phX7mI/edit?usp=sharing"",""พิจิตร!J654"")"),95.4)</f>
        <v>95.4</v>
      </c>
      <c r="P21" s="216">
        <f t="shared" ca="1" si="37"/>
        <v>318</v>
      </c>
      <c r="Q21" s="216">
        <f ca="1">IFERROR(__xludf.DUMMYFUNCTION("IMPORTRANGE(""https://docs.google.com/spreadsheets/d/1xfJKIQxVOaPDIICqsflNlLu3JacTDk1FP9RH4phX7mI/edit?usp=sharing"",""พิจิตร!J655"")"),0)</f>
        <v>0</v>
      </c>
      <c r="R21" s="216">
        <f ca="1">IFERROR(__xludf.DUMMYFUNCTION("IMPORTRANGE(""https://docs.google.com/spreadsheets/d/1xfJKIQxVOaPDIICqsflNlLu3JacTDk1FP9RH4phX7mI/edit?usp=sharing"",""พิจิตร!J656"")"),0)</f>
        <v>0</v>
      </c>
      <c r="S21" s="216">
        <f ca="1">IFERROR(__xludf.DUMMYFUNCTION("IMPORTRANGE(""https://docs.google.com/spreadsheets/d/1xfJKIQxVOaPDIICqsflNlLu3JacTDk1FP9RH4phX7mI/edit?usp=sharing"",""พิจิตร!J657"")"),0)</f>
        <v>0</v>
      </c>
      <c r="T21" s="216">
        <f ca="1">IFERROR(__xludf.DUMMYFUNCTION("IMPORTRANGE(""https://docs.google.com/spreadsheets/d/1xfJKIQxVOaPDIICqsflNlLu3JacTDk1FP9RH4phX7mI/edit?usp=sharing"",""พิจิตร!J658"")"),5)</f>
        <v>5</v>
      </c>
      <c r="U21" s="216">
        <f ca="1">IFERROR(__xludf.DUMMYFUNCTION("IMPORTRANGE(""https://docs.google.com/spreadsheets/d/1xfJKIQxVOaPDIICqsflNlLu3JacTDk1FP9RH4phX7mI/edit?usp=sharing"",""พิจิตร!J659"")"),5)</f>
        <v>5</v>
      </c>
      <c r="V21" s="216">
        <f ca="1">IFERROR(__xludf.DUMMYFUNCTION("IMPORTRANGE(""https://docs.google.com/spreadsheets/d/1xfJKIQxVOaPDIICqsflNlLu3JacTDk1FP9RH4phX7mI/edit?usp=sharing"",""พิจิตร!J660"")"),95.4)</f>
        <v>95.4</v>
      </c>
      <c r="W21" s="152">
        <f ca="1">IFERROR(__xludf.DUMMYFUNCTION("IMPORTRANGE(""https://docs.google.com/spreadsheets/d/1xfJKIQxVOaPDIICqsflNlLu3JacTDk1FP9RH4phX7mI/edit?usp=sharing"",""พิจิตร!I661"")"),19)</f>
        <v>19</v>
      </c>
      <c r="X21" s="152">
        <f ca="1">IFERROR(__xludf.DUMMYFUNCTION("IMPORTRANGE(""https://docs.google.com/spreadsheets/d/1xfJKIQxVOaPDIICqsflNlLu3JacTDk1FP9RH4phX7mI/edit?usp=sharing"",""พิจิตร!J661"")"),0)</f>
        <v>0</v>
      </c>
      <c r="Y21" s="216">
        <f t="shared" ca="1" si="39"/>
        <v>0</v>
      </c>
      <c r="Z21" s="152">
        <f ca="1">IFERROR(__xludf.DUMMYFUNCTION("IMPORTRANGE(""https://docs.google.com/spreadsheets/d/1xfJKIQxVOaPDIICqsflNlLu3JacTDk1FP9RH4phX7mI/edit?usp=sharing"",""พิจิตร!J662"")"),0)</f>
        <v>0</v>
      </c>
      <c r="AA21" s="152">
        <f ca="1">IFERROR(__xludf.DUMMYFUNCTION("IMPORTRANGE(""https://docs.google.com/spreadsheets/d/1xfJKIQxVOaPDIICqsflNlLu3JacTDk1FP9RH4phX7mI/edit?usp=sharing"",""พิจิตร!J663"")"),0)</f>
        <v>0</v>
      </c>
      <c r="AB21" s="152">
        <f ca="1">IFERROR(__xludf.DUMMYFUNCTION("IMPORTRANGE(""https://docs.google.com/spreadsheets/d/1xfJKIQxVOaPDIICqsflNlLu3JacTDk1FP9RH4phX7mI/edit?usp=sharing"",""พิจิตร!J665"")"),0)</f>
        <v>0</v>
      </c>
      <c r="AC21" s="152">
        <f ca="1">IFERROR(__xludf.DUMMYFUNCTION("IMPORTRANGE(""https://docs.google.com/spreadsheets/d/1xfJKIQxVOaPDIICqsflNlLu3JacTDk1FP9RH4phX7mI/edit?usp=sharing"",""พิจิตร!J666"")"),0)</f>
        <v>0</v>
      </c>
      <c r="AD21" s="152">
        <f ca="1">IFERROR(__xludf.DUMMYFUNCTION("IMPORTRANGE(""https://docs.google.com/spreadsheets/d/1xfJKIQxVOaPDIICqsflNlLu3JacTDk1FP9RH4phX7mI/edit?usp=sharing"",""พิจิตร!J667"")"),0)</f>
        <v>0</v>
      </c>
      <c r="AE21" s="152">
        <f ca="1">IFERROR(__xludf.DUMMYFUNCTION("IMPORTRANGE(""https://docs.google.com/spreadsheets/d/1xfJKIQxVOaPDIICqsflNlLu3JacTDk1FP9RH4phX7mI/edit?usp=sharing"",""พิจิตร!J668"")"),0)</f>
        <v>0</v>
      </c>
      <c r="AF21" s="152">
        <f ca="1">IFERROR(__xludf.DUMMYFUNCTION("IMPORTRANGE(""https://docs.google.com/spreadsheets/d/1xfJKIQxVOaPDIICqsflNlLu3JacTDk1FP9RH4phX7mI/edit?usp=sharing"",""พิจิตร!J669"")"),0)</f>
        <v>0</v>
      </c>
      <c r="AG21" s="152">
        <f ca="1">IFERROR(__xludf.DUMMYFUNCTION("IMPORTRANGE(""https://docs.google.com/spreadsheets/d/1xfJKIQxVOaPDIICqsflNlLu3JacTDk1FP9RH4phX7mI/edit?usp=sharing"",""พิจิตร!J670"")"),0)</f>
        <v>0</v>
      </c>
      <c r="AH21" s="152">
        <f ca="1">IFERROR(__xludf.DUMMYFUNCTION("IMPORTRANGE(""https://docs.google.com/spreadsheets/d/1xfJKIQxVOaPDIICqsflNlLu3JacTDk1FP9RH4phX7mI/edit?usp=sharing"",""พิจิตร!I673"")"),20)</f>
        <v>20</v>
      </c>
      <c r="AI21" s="152">
        <f ca="1">IFERROR(__xludf.DUMMYFUNCTION("IMPORTRANGE(""https://docs.google.com/spreadsheets/d/1xfJKIQxVOaPDIICqsflNlLu3JacTDk1FP9RH4phX7mI/edit?usp=sharing"",""พิจิตร!J671"")"),0)</f>
        <v>0</v>
      </c>
      <c r="AJ21" s="152">
        <f ca="1">IFERROR(__xludf.DUMMYFUNCTION("IMPORTRANGE(""https://docs.google.com/spreadsheets/d/1xfJKIQxVOaPDIICqsflNlLu3JacTDk1FP9RH4phX7mI/edit?usp=sharing"",""พิจิตร!J672"")"),0)</f>
        <v>0</v>
      </c>
      <c r="AK21" s="152">
        <f ca="1">IFERROR(__xludf.DUMMYFUNCTION("IMPORTRANGE(""https://docs.google.com/spreadsheets/d/1xfJKIQxVOaPDIICqsflNlLu3JacTDk1FP9RH4phX7mI/edit?usp=sharing"",""พิจิตร!J673"")"),0)</f>
        <v>0</v>
      </c>
      <c r="AL21" s="216">
        <f t="shared" ca="1" si="41"/>
        <v>0</v>
      </c>
      <c r="AM21" s="152">
        <f ca="1">IFERROR(__xludf.DUMMYFUNCTION("IMPORTRANGE(""https://docs.google.com/spreadsheets/d/1xfJKIQxVOaPDIICqsflNlLu3JacTDk1FP9RH4phX7mI/edit?usp=sharing"",""พิจิตร!I674"")"),10)</f>
        <v>10</v>
      </c>
      <c r="AN21" s="152">
        <f ca="1">IFERROR(__xludf.DUMMYFUNCTION("IMPORTRANGE(""https://docs.google.com/spreadsheets/d/1xfJKIQxVOaPDIICqsflNlLu3JacTDk1FP9RH4phX7mI/edit?usp=sharing"",""พิจิตร!I675"")"),100)</f>
        <v>100</v>
      </c>
      <c r="AO21" s="152">
        <f ca="1">IFERROR(__xludf.DUMMYFUNCTION("IMPORTRANGE(""https://docs.google.com/spreadsheets/d/1xfJKIQxVOaPDIICqsflNlLu3JacTDk1FP9RH4phX7mI/edit?usp=sharing"",""พิจิตร!J674"")"),5)</f>
        <v>5</v>
      </c>
      <c r="AP21" s="216">
        <f t="shared" ca="1" si="43"/>
        <v>50</v>
      </c>
      <c r="AQ21" s="152">
        <f ca="1">IFERROR(__xludf.DUMMYFUNCTION("IMPORTRANGE(""https://docs.google.com/spreadsheets/d/1xfJKIQxVOaPDIICqsflNlLu3JacTDk1FP9RH4phX7mI/edit?usp=sharing"",""พิจิตร!J675"")"),116.54)</f>
        <v>116.54</v>
      </c>
      <c r="AR21" s="216">
        <f t="shared" ca="1" si="44"/>
        <v>116.54</v>
      </c>
      <c r="AS21" s="152">
        <f ca="1">IFERROR(__xludf.DUMMYFUNCTION("IMPORTRANGE(""https://docs.google.com/spreadsheets/d/1xfJKIQxVOaPDIICqsflNlLu3JacTDk1FP9RH4phX7mI/edit?usp=sharing"",""พิจิตร!I676"")"),6)</f>
        <v>6</v>
      </c>
      <c r="AT21" s="152">
        <f ca="1">IFERROR(__xludf.DUMMYFUNCTION("IMPORTRANGE(""https://docs.google.com/spreadsheets/d/1xfJKIQxVOaPDIICqsflNlLu3JacTDk1FP9RH4phX7mI/edit?usp=sharing"",""พิจิตร!I678"")"),60)</f>
        <v>60</v>
      </c>
      <c r="AU21" s="152">
        <f ca="1">IFERROR(__xludf.DUMMYFUNCTION("IMPORTRANGE(""https://docs.google.com/spreadsheets/d/1xfJKIQxVOaPDIICqsflNlLu3JacTDk1FP9RH4phX7mI/edit?usp=sharing"",""พิจิตร!J676"")"),5)</f>
        <v>5</v>
      </c>
      <c r="AV21" s="152">
        <f ca="1">IFERROR(__xludf.DUMMYFUNCTION("IMPORTRANGE(""https://docs.google.com/spreadsheets/d/1xfJKIQxVOaPDIICqsflNlLu3JacTDk1FP9RH4phX7mI/edit?usp=sharing"",""พิจิตร!J677"")"),6)</f>
        <v>6</v>
      </c>
      <c r="AW21" s="152">
        <f ca="1">IFERROR(__xludf.DUMMYFUNCTION("IMPORTRANGE(""https://docs.google.com/spreadsheets/d/1xfJKIQxVOaPDIICqsflNlLu3JacTDk1FP9RH4phX7mI/edit?usp=sharing"",""พิจิตร!J678"")"),116.54)</f>
        <v>116.54</v>
      </c>
      <c r="AX21" s="152">
        <f ca="1">IFERROR(__xludf.DUMMYFUNCTION("IMPORTRANGE(""https://docs.google.com/spreadsheets/d/1xfJKIQxVOaPDIICqsflNlLu3JacTDk1FP9RH4phX7mI/edit?usp=sharing"",""พิจิตร!I679"")"),4)</f>
        <v>4</v>
      </c>
      <c r="AY21" s="152">
        <f ca="1">IFERROR(__xludf.DUMMYFUNCTION("IMPORTRANGE(""https://docs.google.com/spreadsheets/d/1xfJKIQxVOaPDIICqsflNlLu3JacTDk1FP9RH4phX7mI/edit?usp=sharing"",""พิจิตร!I681"")"),40)</f>
        <v>40</v>
      </c>
      <c r="AZ21" s="152">
        <f ca="1">IFERROR(__xludf.DUMMYFUNCTION("IMPORTRANGE(""https://docs.google.com/spreadsheets/d/1xfJKIQxVOaPDIICqsflNlLu3JacTDk1FP9RH4phX7mI/edit?usp=sharing"",""พิจิตร!J679"")"),0)</f>
        <v>0</v>
      </c>
      <c r="BA21" s="152">
        <f ca="1">IFERROR(__xludf.DUMMYFUNCTION("IMPORTRANGE(""https://docs.google.com/spreadsheets/d/1xfJKIQxVOaPDIICqsflNlLu3JacTDk1FP9RH4phX7mI/edit?usp=sharing"",""พิจิตร!J680"")"),0)</f>
        <v>0</v>
      </c>
      <c r="BB21" s="152">
        <f ca="1">IFERROR(__xludf.DUMMYFUNCTION("IMPORTRANGE(""https://docs.google.com/spreadsheets/d/1xfJKIQxVOaPDIICqsflNlLu3JacTDk1FP9RH4phX7mI/edit?usp=sharing"",""พิจิตร!J681"")"),0)</f>
        <v>0</v>
      </c>
      <c r="BC21" s="152">
        <f ca="1">IFERROR(__xludf.DUMMYFUNCTION("IMPORTRANGE(""https://docs.google.com/spreadsheets/d/1xfJKIQxVOaPDIICqsflNlLu3JacTDk1FP9RH4phX7mI/edit?usp=sharing"",""พิจิตร!I682"")"),0)</f>
        <v>0</v>
      </c>
      <c r="BD21" s="152">
        <f ca="1">IFERROR(__xludf.DUMMYFUNCTION("IMPORTRANGE(""https://docs.google.com/spreadsheets/d/1xfJKIQxVOaPDIICqsflNlLu3JacTDk1FP9RH4phX7mI/edit?usp=sharing"",""พิจิตร!J682"")"),0)</f>
        <v>0</v>
      </c>
      <c r="BE21" s="216">
        <f t="shared" ca="1" si="46"/>
        <v>0</v>
      </c>
      <c r="BF21" s="152">
        <f ca="1">IFERROR(__xludf.DUMMYFUNCTION("IMPORTRANGE(""https://docs.google.com/spreadsheets/d/1xfJKIQxVOaPDIICqsflNlLu3JacTDk1FP9RH4phX7mI/edit?usp=sharing"",""พิจิตร!J683"")"),0)</f>
        <v>0</v>
      </c>
      <c r="BG21" s="152">
        <f ca="1">IFERROR(__xludf.DUMMYFUNCTION("IMPORTRANGE(""https://docs.google.com/spreadsheets/d/1xfJKIQxVOaPDIICqsflNlLu3JacTDk1FP9RH4phX7mI/edit?usp=sharing"",""พิจิตร!J684"")"),0)</f>
        <v>0</v>
      </c>
      <c r="BH21" s="152">
        <f ca="1">IFERROR(__xludf.DUMMYFUNCTION("IMPORTRANGE(""https://docs.google.com/spreadsheets/d/1xfJKIQxVOaPDIICqsflNlLu3JacTDk1FP9RH4phX7mI/edit?usp=sharing"",""พิจิตร!J685"")"),0)</f>
        <v>0</v>
      </c>
      <c r="BI21" s="152">
        <f ca="1">IFERROR(__xludf.DUMMYFUNCTION("IMPORTRANGE(""https://docs.google.com/spreadsheets/d/1xfJKIQxVOaPDIICqsflNlLu3JacTDk1FP9RH4phX7mI/edit?usp=sharing"",""พิจิตร!J686"")"),0)</f>
        <v>0</v>
      </c>
      <c r="BJ21" s="152">
        <f ca="1">IFERROR(__xludf.DUMMYFUNCTION("IMPORTRANGE(""https://docs.google.com/spreadsheets/d/1xfJKIQxVOaPDIICqsflNlLu3JacTDk1FP9RH4phX7mI/edit?usp=sharing"",""พิจิตร!J687"")"),0)</f>
        <v>0</v>
      </c>
      <c r="BK21" s="152">
        <f ca="1">IFERROR(__xludf.DUMMYFUNCTION("IMPORTRANGE(""https://docs.google.com/spreadsheets/d/1xfJKIQxVOaPDIICqsflNlLu3JacTDk1FP9RH4phX7mI/edit?usp=sharing"",""พิจิตร!J688"")"),0)</f>
        <v>0</v>
      </c>
    </row>
    <row r="22" spans="1:63" ht="19.5" x14ac:dyDescent="0.3">
      <c r="A22" s="70">
        <v>9</v>
      </c>
      <c r="B22" s="71" t="s">
        <v>50</v>
      </c>
      <c r="C22" s="68">
        <f ca="1">IFERROR(__xludf.DUMMYFUNCTION("IMPORTRANGE(""https://docs.google.com/spreadsheets/d/1JtRfZkJMHtEhI5RdRHxYUG4FIZHqKDpNyIuN7A1Q0_k/edit?usp=sharing"",""พิษณุโลก!Q642"")"),0)</f>
        <v>0</v>
      </c>
      <c r="D22" s="68">
        <f ca="1">IFERROR(__xludf.DUMMYFUNCTION("IMPORTRANGE(""https://docs.google.com/spreadsheets/d/1JtRfZkJMHtEhI5RdRHxYUG4FIZHqKDpNyIuN7A1Q0_k/edit?usp=sharing"",""พิษณุโลก!R642"")"),0)</f>
        <v>0</v>
      </c>
      <c r="E22" s="68">
        <f ca="1">IFERROR(__xludf.DUMMYFUNCTION("IMPORTRANGE(""https://docs.google.com/spreadsheets/d/1JtRfZkJMHtEhI5RdRHxYUG4FIZHqKDpNyIuN7A1Q0_k/edit?usp=sharing"",""พิษณุโลก!S642"")"),0)</f>
        <v>0</v>
      </c>
      <c r="F22" s="68">
        <f t="shared" ca="1" si="30"/>
        <v>0</v>
      </c>
      <c r="G22" s="68">
        <f t="shared" ca="1" si="31"/>
        <v>0</v>
      </c>
      <c r="H22" s="278">
        <f ca="1">IFERROR(__xludf.DUMMYFUNCTION("IMPORTRANGE(""https://docs.google.com/spreadsheets/d/1JtRfZkJMHtEhI5RdRHxYUG4FIZHqKDpNyIuN7A1Q0_k/edit?usp=sharing"",""พิษณุโลก!I652"")"),0)</f>
        <v>0</v>
      </c>
      <c r="I22" s="152">
        <f ca="1">IFERROR(__xludf.DUMMYFUNCTION("IMPORTRANGE(""https://docs.google.com/spreadsheets/d/1JtRfZkJMHtEhI5RdRHxYUG4FIZHqKDpNyIuN7A1Q0_k/edit?usp=sharing"",""พิษณุโลก!J652"")"),0)</f>
        <v>0</v>
      </c>
      <c r="J22" s="216">
        <f t="shared" ca="1" si="33"/>
        <v>0</v>
      </c>
      <c r="K22" s="152">
        <f ca="1">IFERROR(__xludf.DUMMYFUNCTION("IMPORTRANGE(""https://docs.google.com/spreadsheets/d/1JtRfZkJMHtEhI5RdRHxYUG4FIZHqKDpNyIuN7A1Q0_k/edit?usp=sharing"",""พิษณุโลก!I653"")"),0)</f>
        <v>0</v>
      </c>
      <c r="L22" s="152">
        <f ca="1">IFERROR(__xludf.DUMMYFUNCTION("IMPORTRANGE(""https://docs.google.com/spreadsheets/d/1JtRfZkJMHtEhI5RdRHxYUG4FIZHqKDpNyIuN7A1Q0_k/edit?usp=sharing"",""พิษณุโลก!J653"")"),0)</f>
        <v>0</v>
      </c>
      <c r="M22" s="216">
        <f t="shared" ca="1" si="35"/>
        <v>0</v>
      </c>
      <c r="N22" s="152">
        <f ca="1">IFERROR(__xludf.DUMMYFUNCTION("IMPORTRANGE(""https://docs.google.com/spreadsheets/d/1JtRfZkJMHtEhI5RdRHxYUG4FIZHqKDpNyIuN7A1Q0_k/edit?usp=sharing"",""พิษณุโลก!I654"")"),0)</f>
        <v>0</v>
      </c>
      <c r="O22" s="152">
        <f ca="1">IFERROR(__xludf.DUMMYFUNCTION("IMPORTRANGE(""https://docs.google.com/spreadsheets/d/1JtRfZkJMHtEhI5RdRHxYUG4FIZHqKDpNyIuN7A1Q0_k/edit?usp=sharing"",""พิษณุโลก!J654"")"),0)</f>
        <v>0</v>
      </c>
      <c r="P22" s="216">
        <f t="shared" ca="1" si="37"/>
        <v>0</v>
      </c>
      <c r="Q22" s="216">
        <f ca="1">IFERROR(__xludf.DUMMYFUNCTION("IMPORTRANGE(""https://docs.google.com/spreadsheets/d/1JtRfZkJMHtEhI5RdRHxYUG4FIZHqKDpNyIuN7A1Q0_k/edit?usp=sharing"",""พิษณุโลก!J655"")"),0)</f>
        <v>0</v>
      </c>
      <c r="R22" s="216">
        <f ca="1">IFERROR(__xludf.DUMMYFUNCTION("IMPORTRANGE(""https://docs.google.com/spreadsheets/d/1JtRfZkJMHtEhI5RdRHxYUG4FIZHqKDpNyIuN7A1Q0_k/edit?usp=sharing"",""พิษณุโลก!J656"")"),0)</f>
        <v>0</v>
      </c>
      <c r="S22" s="216">
        <f ca="1">IFERROR(__xludf.DUMMYFUNCTION("IMPORTRANGE(""https://docs.google.com/spreadsheets/d/1JtRfZkJMHtEhI5RdRHxYUG4FIZHqKDpNyIuN7A1Q0_k/edit?usp=sharing"",""พิษณุโลก!J657"")"),0)</f>
        <v>0</v>
      </c>
      <c r="T22" s="216">
        <f ca="1">IFERROR(__xludf.DUMMYFUNCTION("IMPORTRANGE(""https://docs.google.com/spreadsheets/d/1JtRfZkJMHtEhI5RdRHxYUG4FIZHqKDpNyIuN7A1Q0_k/edit?usp=sharing"",""พิษณุโลก!J658"")"),0)</f>
        <v>0</v>
      </c>
      <c r="U22" s="216">
        <f ca="1">IFERROR(__xludf.DUMMYFUNCTION("IMPORTRANGE(""https://docs.google.com/spreadsheets/d/1JtRfZkJMHtEhI5RdRHxYUG4FIZHqKDpNyIuN7A1Q0_k/edit?usp=sharing"",""พิษณุโลก!J659"")"),0)</f>
        <v>0</v>
      </c>
      <c r="V22" s="216">
        <f ca="1">IFERROR(__xludf.DUMMYFUNCTION("IMPORTRANGE(""https://docs.google.com/spreadsheets/d/1JtRfZkJMHtEhI5RdRHxYUG4FIZHqKDpNyIuN7A1Q0_k/edit?usp=sharing"",""พิษณุโลก!J660"")"),0)</f>
        <v>0</v>
      </c>
      <c r="W22" s="152">
        <f ca="1">IFERROR(__xludf.DUMMYFUNCTION("IMPORTRANGE(""https://docs.google.com/spreadsheets/d/1JtRfZkJMHtEhI5RdRHxYUG4FIZHqKDpNyIuN7A1Q0_k/edit?usp=sharing"",""พิษณุโลก!I661"")"),0)</f>
        <v>0</v>
      </c>
      <c r="X22" s="152">
        <f ca="1">IFERROR(__xludf.DUMMYFUNCTION("IMPORTRANGE(""https://docs.google.com/spreadsheets/d/1JtRfZkJMHtEhI5RdRHxYUG4FIZHqKDpNyIuN7A1Q0_k/edit?usp=sharing"",""พิษณุโลก!J661"")"),0)</f>
        <v>0</v>
      </c>
      <c r="Y22" s="216">
        <f t="shared" ca="1" si="39"/>
        <v>0</v>
      </c>
      <c r="Z22" s="152">
        <f ca="1">IFERROR(__xludf.DUMMYFUNCTION("IMPORTRANGE(""https://docs.google.com/spreadsheets/d/1JtRfZkJMHtEhI5RdRHxYUG4FIZHqKDpNyIuN7A1Q0_k/edit?usp=sharing"",""พิษณุโลก!J662"")"),0)</f>
        <v>0</v>
      </c>
      <c r="AA22" s="152">
        <f ca="1">IFERROR(__xludf.DUMMYFUNCTION("IMPORTRANGE(""https://docs.google.com/spreadsheets/d/1JtRfZkJMHtEhI5RdRHxYUG4FIZHqKDpNyIuN7A1Q0_k/edit?usp=sharing"",""พิษณุโลก!J663"")"),0)</f>
        <v>0</v>
      </c>
      <c r="AB22" s="152">
        <f ca="1">IFERROR(__xludf.DUMMYFUNCTION("IMPORTRANGE(""https://docs.google.com/spreadsheets/d/1JtRfZkJMHtEhI5RdRHxYUG4FIZHqKDpNyIuN7A1Q0_k/edit?usp=sharing"",""พิษณุโลก!J665"")"),0)</f>
        <v>0</v>
      </c>
      <c r="AC22" s="152">
        <f ca="1">IFERROR(__xludf.DUMMYFUNCTION("IMPORTRANGE(""https://docs.google.com/spreadsheets/d/1JtRfZkJMHtEhI5RdRHxYUG4FIZHqKDpNyIuN7A1Q0_k/edit?usp=sharing"",""พิษณุโลก!J666"")"),0)</f>
        <v>0</v>
      </c>
      <c r="AD22" s="152">
        <f ca="1">IFERROR(__xludf.DUMMYFUNCTION("IMPORTRANGE(""https://docs.google.com/spreadsheets/d/1JtRfZkJMHtEhI5RdRHxYUG4FIZHqKDpNyIuN7A1Q0_k/edit?usp=sharing"",""พิษณุโลก!J667"")"),0)</f>
        <v>0</v>
      </c>
      <c r="AE22" s="152">
        <f ca="1">IFERROR(__xludf.DUMMYFUNCTION("IMPORTRANGE(""https://docs.google.com/spreadsheets/d/1JtRfZkJMHtEhI5RdRHxYUG4FIZHqKDpNyIuN7A1Q0_k/edit?usp=sharing"",""พิษณุโลก!J668"")"),0)</f>
        <v>0</v>
      </c>
      <c r="AF22" s="152">
        <f ca="1">IFERROR(__xludf.DUMMYFUNCTION("IMPORTRANGE(""https://docs.google.com/spreadsheets/d/1JtRfZkJMHtEhI5RdRHxYUG4FIZHqKDpNyIuN7A1Q0_k/edit?usp=sharing"",""พิษณุโลก!J669"")"),0)</f>
        <v>0</v>
      </c>
      <c r="AG22" s="152">
        <f ca="1">IFERROR(__xludf.DUMMYFUNCTION("IMPORTRANGE(""https://docs.google.com/spreadsheets/d/1JtRfZkJMHtEhI5RdRHxYUG4FIZHqKDpNyIuN7A1Q0_k/edit?usp=sharing"",""พิษณุโลก!J670"")"),0)</f>
        <v>0</v>
      </c>
      <c r="AH22" s="152">
        <f ca="1">IFERROR(__xludf.DUMMYFUNCTION("IMPORTRANGE(""https://docs.google.com/spreadsheets/d/1JtRfZkJMHtEhI5RdRHxYUG4FIZHqKDpNyIuN7A1Q0_k/edit?usp=sharing"",""พิษณุโลก!I673"")"),0)</f>
        <v>0</v>
      </c>
      <c r="AI22" s="152">
        <f ca="1">IFERROR(__xludf.DUMMYFUNCTION("IMPORTRANGE(""https://docs.google.com/spreadsheets/d/1JtRfZkJMHtEhI5RdRHxYUG4FIZHqKDpNyIuN7A1Q0_k/edit?usp=sharing"",""พิษณุโลก!J671"")"),0)</f>
        <v>0</v>
      </c>
      <c r="AJ22" s="152">
        <f ca="1">IFERROR(__xludf.DUMMYFUNCTION("IMPORTRANGE(""https://docs.google.com/spreadsheets/d/1JtRfZkJMHtEhI5RdRHxYUG4FIZHqKDpNyIuN7A1Q0_k/edit?usp=sharing"",""พิษณุโลก!J672"")"),0)</f>
        <v>0</v>
      </c>
      <c r="AK22" s="152">
        <f ca="1">IFERROR(__xludf.DUMMYFUNCTION("IMPORTRANGE(""https://docs.google.com/spreadsheets/d/1JtRfZkJMHtEhI5RdRHxYUG4FIZHqKDpNyIuN7A1Q0_k/edit?usp=sharing"",""พิษณุโลก!J673"")"),0)</f>
        <v>0</v>
      </c>
      <c r="AL22" s="216">
        <f t="shared" ca="1" si="41"/>
        <v>0</v>
      </c>
      <c r="AM22" s="152">
        <f ca="1">IFERROR(__xludf.DUMMYFUNCTION("IMPORTRANGE(""https://docs.google.com/spreadsheets/d/1JtRfZkJMHtEhI5RdRHxYUG4FIZHqKDpNyIuN7A1Q0_k/edit?usp=sharing"",""พิษณุโลก!I674"")"),0)</f>
        <v>0</v>
      </c>
      <c r="AN22" s="152">
        <f ca="1">IFERROR(__xludf.DUMMYFUNCTION("IMPORTRANGE(""https://docs.google.com/spreadsheets/d/1JtRfZkJMHtEhI5RdRHxYUG4FIZHqKDpNyIuN7A1Q0_k/edit?usp=sharing"",""พิษณุโลก!I675"")"),0)</f>
        <v>0</v>
      </c>
      <c r="AO22" s="152">
        <f ca="1">IFERROR(__xludf.DUMMYFUNCTION("IMPORTRANGE(""https://docs.google.com/spreadsheets/d/1JtRfZkJMHtEhI5RdRHxYUG4FIZHqKDpNyIuN7A1Q0_k/edit?usp=sharing"",""พิษณุโลก!J674"")"),0)</f>
        <v>0</v>
      </c>
      <c r="AP22" s="216">
        <f t="shared" ca="1" si="43"/>
        <v>0</v>
      </c>
      <c r="AQ22" s="152">
        <f ca="1">IFERROR(__xludf.DUMMYFUNCTION("IMPORTRANGE(""https://docs.google.com/spreadsheets/d/1JtRfZkJMHtEhI5RdRHxYUG4FIZHqKDpNyIuN7A1Q0_k/edit?usp=sharing"",""พิษณุโลก!J675"")"),0)</f>
        <v>0</v>
      </c>
      <c r="AR22" s="216">
        <f t="shared" ca="1" si="44"/>
        <v>0</v>
      </c>
      <c r="AS22" s="152">
        <f ca="1">IFERROR(__xludf.DUMMYFUNCTION("IMPORTRANGE(""https://docs.google.com/spreadsheets/d/1JtRfZkJMHtEhI5RdRHxYUG4FIZHqKDpNyIuN7A1Q0_k/edit?usp=sharing"",""พิษณุโลก!I676"")"),0)</f>
        <v>0</v>
      </c>
      <c r="AT22" s="152">
        <f ca="1">IFERROR(__xludf.DUMMYFUNCTION("IMPORTRANGE(""https://docs.google.com/spreadsheets/d/1JtRfZkJMHtEhI5RdRHxYUG4FIZHqKDpNyIuN7A1Q0_k/edit?usp=sharing"",""พิษณุโลก!I678"")"),0)</f>
        <v>0</v>
      </c>
      <c r="AU22" s="152">
        <f ca="1">IFERROR(__xludf.DUMMYFUNCTION("IMPORTRANGE(""https://docs.google.com/spreadsheets/d/1JtRfZkJMHtEhI5RdRHxYUG4FIZHqKDpNyIuN7A1Q0_k/edit?usp=sharing"",""พิษณุโลก!J676"")"),0)</f>
        <v>0</v>
      </c>
      <c r="AV22" s="152">
        <f ca="1">IFERROR(__xludf.DUMMYFUNCTION("IMPORTRANGE(""https://docs.google.com/spreadsheets/d/1JtRfZkJMHtEhI5RdRHxYUG4FIZHqKDpNyIuN7A1Q0_k/edit?usp=sharing"",""พิษณุโลก!J677"")"),0)</f>
        <v>0</v>
      </c>
      <c r="AW22" s="152">
        <f ca="1">IFERROR(__xludf.DUMMYFUNCTION("IMPORTRANGE(""https://docs.google.com/spreadsheets/d/1JtRfZkJMHtEhI5RdRHxYUG4FIZHqKDpNyIuN7A1Q0_k/edit?usp=sharing"",""พิษณุโลก!J678"")"),0)</f>
        <v>0</v>
      </c>
      <c r="AX22" s="152">
        <f ca="1">IFERROR(__xludf.DUMMYFUNCTION("IMPORTRANGE(""https://docs.google.com/spreadsheets/d/1JtRfZkJMHtEhI5RdRHxYUG4FIZHqKDpNyIuN7A1Q0_k/edit?usp=sharing"",""พิษณุโลก!I679"")"),0)</f>
        <v>0</v>
      </c>
      <c r="AY22" s="152">
        <f ca="1">IFERROR(__xludf.DUMMYFUNCTION("IMPORTRANGE(""https://docs.google.com/spreadsheets/d/1JtRfZkJMHtEhI5RdRHxYUG4FIZHqKDpNyIuN7A1Q0_k/edit?usp=sharing"",""พิษณุโลก!I681"")"),0)</f>
        <v>0</v>
      </c>
      <c r="AZ22" s="152">
        <f ca="1">IFERROR(__xludf.DUMMYFUNCTION("IMPORTRANGE(""https://docs.google.com/spreadsheets/d/1JtRfZkJMHtEhI5RdRHxYUG4FIZHqKDpNyIuN7A1Q0_k/edit?usp=sharing"",""พิษณุโลก!J679"")"),0)</f>
        <v>0</v>
      </c>
      <c r="BA22" s="152">
        <f ca="1">IFERROR(__xludf.DUMMYFUNCTION("IMPORTRANGE(""https://docs.google.com/spreadsheets/d/1JtRfZkJMHtEhI5RdRHxYUG4FIZHqKDpNyIuN7A1Q0_k/edit?usp=sharing"",""พิษณุโลก!J680"")"),0)</f>
        <v>0</v>
      </c>
      <c r="BB22" s="152">
        <f ca="1">IFERROR(__xludf.DUMMYFUNCTION("IMPORTRANGE(""https://docs.google.com/spreadsheets/d/1JtRfZkJMHtEhI5RdRHxYUG4FIZHqKDpNyIuN7A1Q0_k/edit?usp=sharing"",""พิษณุโลก!J681"")"),0)</f>
        <v>0</v>
      </c>
      <c r="BC22" s="152">
        <f ca="1">IFERROR(__xludf.DUMMYFUNCTION("IMPORTRANGE(""https://docs.google.com/spreadsheets/d/1JtRfZkJMHtEhI5RdRHxYUG4FIZHqKDpNyIuN7A1Q0_k/edit?usp=sharing"",""พิษณุโลก!I682"")"),0)</f>
        <v>0</v>
      </c>
      <c r="BD22" s="152">
        <f ca="1">IFERROR(__xludf.DUMMYFUNCTION("IMPORTRANGE(""https://docs.google.com/spreadsheets/d/1JtRfZkJMHtEhI5RdRHxYUG4FIZHqKDpNyIuN7A1Q0_k/edit?usp=sharing"",""พิษณุโลก!J682"")"),0)</f>
        <v>0</v>
      </c>
      <c r="BE22" s="216">
        <f t="shared" ca="1" si="46"/>
        <v>0</v>
      </c>
      <c r="BF22" s="152">
        <f ca="1">IFERROR(__xludf.DUMMYFUNCTION("IMPORTRANGE(""https://docs.google.com/spreadsheets/d/1JtRfZkJMHtEhI5RdRHxYUG4FIZHqKDpNyIuN7A1Q0_k/edit?usp=sharing"",""พิษณุโลก!J683"")"),0)</f>
        <v>0</v>
      </c>
      <c r="BG22" s="152">
        <f ca="1">IFERROR(__xludf.DUMMYFUNCTION("IMPORTRANGE(""https://docs.google.com/spreadsheets/d/1JtRfZkJMHtEhI5RdRHxYUG4FIZHqKDpNyIuN7A1Q0_k/edit?usp=sharing"",""พิษณุโลก!J684"")"),0)</f>
        <v>0</v>
      </c>
      <c r="BH22" s="152">
        <f ca="1">IFERROR(__xludf.DUMMYFUNCTION("IMPORTRANGE(""https://docs.google.com/spreadsheets/d/1JtRfZkJMHtEhI5RdRHxYUG4FIZHqKDpNyIuN7A1Q0_k/edit?usp=sharing"",""พิษณุโลก!J685"")"),0)</f>
        <v>0</v>
      </c>
      <c r="BI22" s="152">
        <f ca="1">IFERROR(__xludf.DUMMYFUNCTION("IMPORTRANGE(""https://docs.google.com/spreadsheets/d/1JtRfZkJMHtEhI5RdRHxYUG4FIZHqKDpNyIuN7A1Q0_k/edit?usp=sharing"",""พิษณุโลก!J686"")"),0)</f>
        <v>0</v>
      </c>
      <c r="BJ22" s="152">
        <f ca="1">IFERROR(__xludf.DUMMYFUNCTION("IMPORTRANGE(""https://docs.google.com/spreadsheets/d/1JtRfZkJMHtEhI5RdRHxYUG4FIZHqKDpNyIuN7A1Q0_k/edit?usp=sharing"",""พิษณุโลก!J687"")"),0)</f>
        <v>0</v>
      </c>
      <c r="BK22" s="152">
        <f ca="1">IFERROR(__xludf.DUMMYFUNCTION("IMPORTRANGE(""https://docs.google.com/spreadsheets/d/1JtRfZkJMHtEhI5RdRHxYUG4FIZHqKDpNyIuN7A1Q0_k/edit?usp=sharing"",""พิษณุโลก!J688"")"),0)</f>
        <v>0</v>
      </c>
    </row>
    <row r="23" spans="1:63" ht="19.5" x14ac:dyDescent="0.3">
      <c r="A23" s="70">
        <v>10</v>
      </c>
      <c r="B23" s="71" t="s">
        <v>51</v>
      </c>
      <c r="C23" s="68">
        <f ca="1">IFERROR(__xludf.DUMMYFUNCTION("IMPORTRANGE(""https://docs.google.com/spreadsheets/d/1xlcVZWUNn6SuWm0c307h32SiGkd9BaeQWlAktfD3KO8/edit?usp=sharing"",""เพชรบูรณ์!Q642"")"),22120)</f>
        <v>22120</v>
      </c>
      <c r="D23" s="68">
        <f ca="1">IFERROR(__xludf.DUMMYFUNCTION("IMPORTRANGE(""https://docs.google.com/spreadsheets/d/1xlcVZWUNn6SuWm0c307h32SiGkd9BaeQWlAktfD3KO8/edit?usp=sharing"",""เพชรบูรณ์!R642"")"),22120)</f>
        <v>22120</v>
      </c>
      <c r="E23" s="68">
        <f ca="1">IFERROR(__xludf.DUMMYFUNCTION("IMPORTRANGE(""https://docs.google.com/spreadsheets/d/1xlcVZWUNn6SuWm0c307h32SiGkd9BaeQWlAktfD3KO8/edit?usp=sharing"",""เพชรบูรณ์!S642"")"),0)</f>
        <v>0</v>
      </c>
      <c r="F23" s="68">
        <f t="shared" ca="1" si="30"/>
        <v>0</v>
      </c>
      <c r="G23" s="68">
        <f t="shared" ca="1" si="31"/>
        <v>0</v>
      </c>
      <c r="H23" s="278">
        <f ca="1">IFERROR(__xludf.DUMMYFUNCTION("IMPORTRANGE(""https://docs.google.com/spreadsheets/d/1xlcVZWUNn6SuWm0c307h32SiGkd9BaeQWlAktfD3KO8/edit?usp=sharing"",""เพชรบูรณ์!I652"")"),0)</f>
        <v>0</v>
      </c>
      <c r="I23" s="397">
        <f ca="1">IFERROR(__xludf.DUMMYFUNCTION("IMPORTRANGE(""https://docs.google.com/spreadsheets/d/1xlcVZWUNn6SuWm0c307h32SiGkd9BaeQWlAktfD3KO8/edit?usp=sharing"",""เพชรบูรณ์!J652"")"),0)</f>
        <v>0</v>
      </c>
      <c r="J23" s="216">
        <f t="shared" ca="1" si="33"/>
        <v>0</v>
      </c>
      <c r="K23" s="152">
        <f ca="1">IFERROR(__xludf.DUMMYFUNCTION("IMPORTRANGE(""https://docs.google.com/spreadsheets/d/1xlcVZWUNn6SuWm0c307h32SiGkd9BaeQWlAktfD3KO8/edit?usp=sharing"",""เพชรบูรณ์!I653"")"),0)</f>
        <v>0</v>
      </c>
      <c r="L23" s="397">
        <f ca="1">IFERROR(__xludf.DUMMYFUNCTION("IMPORTRANGE(""https://docs.google.com/spreadsheets/d/1xlcVZWUNn6SuWm0c307h32SiGkd9BaeQWlAktfD3KO8/edit?usp=sharing"",""เพชรบูรณ์!J653"")"),0)</f>
        <v>0</v>
      </c>
      <c r="M23" s="216">
        <f t="shared" ca="1" si="35"/>
        <v>0</v>
      </c>
      <c r="N23" s="152">
        <f ca="1">IFERROR(__xludf.DUMMYFUNCTION("IMPORTRANGE(""https://docs.google.com/spreadsheets/d/1xlcVZWUNn6SuWm0c307h32SiGkd9BaeQWlAktfD3KO8/edit?usp=sharing"",""เพชรบูรณ์!I654"")"),0)</f>
        <v>0</v>
      </c>
      <c r="O23" s="152">
        <f ca="1">IFERROR(__xludf.DUMMYFUNCTION("IMPORTRANGE(""https://docs.google.com/spreadsheets/d/1xlcVZWUNn6SuWm0c307h32SiGkd9BaeQWlAktfD3KO8/edit?usp=sharing"",""เพชรบูรณ์!J654"")"),0)</f>
        <v>0</v>
      </c>
      <c r="P23" s="216">
        <f t="shared" ca="1" si="37"/>
        <v>0</v>
      </c>
      <c r="Q23" s="216">
        <f ca="1">IFERROR(__xludf.DUMMYFUNCTION("IMPORTRANGE(""https://docs.google.com/spreadsheets/d/1xlcVZWUNn6SuWm0c307h32SiGkd9BaeQWlAktfD3KO8/edit?usp=sharing"",""เพชรบูรณ์!J655"")"),0)</f>
        <v>0</v>
      </c>
      <c r="R23" s="216">
        <f ca="1">IFERROR(__xludf.DUMMYFUNCTION("IMPORTRANGE(""https://docs.google.com/spreadsheets/d/1xlcVZWUNn6SuWm0c307h32SiGkd9BaeQWlAktfD3KO8/edit?usp=sharing"",""เพชรบูรณ์!J656"")"),0)</f>
        <v>0</v>
      </c>
      <c r="S23" s="216">
        <f ca="1">IFERROR(__xludf.DUMMYFUNCTION("IMPORTRANGE(""https://docs.google.com/spreadsheets/d/1xlcVZWUNn6SuWm0c307h32SiGkd9BaeQWlAktfD3KO8/edit?usp=sharing"",""เพชรบูรณ์!J657"")"),0)</f>
        <v>0</v>
      </c>
      <c r="T23" s="216">
        <f ca="1">IFERROR(__xludf.DUMMYFUNCTION("IMPORTRANGE(""https://docs.google.com/spreadsheets/d/1xlcVZWUNn6SuWm0c307h32SiGkd9BaeQWlAktfD3KO8/edit?usp=sharing"",""เพชรบูรณ์!J658"")"),0)</f>
        <v>0</v>
      </c>
      <c r="U23" s="216">
        <f ca="1">IFERROR(__xludf.DUMMYFUNCTION("IMPORTRANGE(""https://docs.google.com/spreadsheets/d/1xlcVZWUNn6SuWm0c307h32SiGkd9BaeQWlAktfD3KO8/edit?usp=sharing"",""เพชรบูรณ์!J659"")"),0)</f>
        <v>0</v>
      </c>
      <c r="V23" s="216">
        <f ca="1">IFERROR(__xludf.DUMMYFUNCTION("IMPORTRANGE(""https://docs.google.com/spreadsheets/d/1xlcVZWUNn6SuWm0c307h32SiGkd9BaeQWlAktfD3KO8/edit?usp=sharing"",""เพชรบูรณ์!J660"")"),0)</f>
        <v>0</v>
      </c>
      <c r="W23" s="152">
        <f ca="1">IFERROR(__xludf.DUMMYFUNCTION("IMPORTRANGE(""https://docs.google.com/spreadsheets/d/1xlcVZWUNn6SuWm0c307h32SiGkd9BaeQWlAktfD3KO8/edit?usp=sharing"",""เพชรบูรณ์!I661"")"),522)</f>
        <v>522</v>
      </c>
      <c r="X23" s="152">
        <f ca="1">IFERROR(__xludf.DUMMYFUNCTION("IMPORTRANGE(""https://docs.google.com/spreadsheets/d/1xlcVZWUNn6SuWm0c307h32SiGkd9BaeQWlAktfD3KO8/edit?usp=sharing"",""เพชรบูรณ์!J661"")"),522)</f>
        <v>522</v>
      </c>
      <c r="Y23" s="216">
        <f t="shared" ca="1" si="39"/>
        <v>100</v>
      </c>
      <c r="Z23" s="152">
        <f ca="1">IFERROR(__xludf.DUMMYFUNCTION("IMPORTRANGE(""https://docs.google.com/spreadsheets/d/1xlcVZWUNn6SuWm0c307h32SiGkd9BaeQWlAktfD3KO8/edit?usp=sharing"",""เพชรบูรณ์!J662"")"),0)</f>
        <v>0</v>
      </c>
      <c r="AA23" s="152">
        <f ca="1">IFERROR(__xludf.DUMMYFUNCTION("IMPORTRANGE(""https://docs.google.com/spreadsheets/d/1xlcVZWUNn6SuWm0c307h32SiGkd9BaeQWlAktfD3KO8/edit?usp=sharing"",""เพชรบูรณ์!J663"")"),0)</f>
        <v>0</v>
      </c>
      <c r="AB23" s="152">
        <f ca="1">IFERROR(__xludf.DUMMYFUNCTION("IMPORTRANGE(""https://docs.google.com/spreadsheets/d/1xlcVZWUNn6SuWm0c307h32SiGkd9BaeQWlAktfD3KO8/edit?usp=sharing"",""เพชรบูรณ์!J665"")"),57)</f>
        <v>57</v>
      </c>
      <c r="AC23" s="152">
        <f ca="1">IFERROR(__xludf.DUMMYFUNCTION("IMPORTRANGE(""https://docs.google.com/spreadsheets/d/1xlcVZWUNn6SuWm0c307h32SiGkd9BaeQWlAktfD3KO8/edit?usp=sharing"",""เพชรบูรณ์!J666"")"),57)</f>
        <v>57</v>
      </c>
      <c r="AD23" s="152">
        <f ca="1">IFERROR(__xludf.DUMMYFUNCTION("IMPORTRANGE(""https://docs.google.com/spreadsheets/d/1xlcVZWUNn6SuWm0c307h32SiGkd9BaeQWlAktfD3KO8/edit?usp=sharing"",""เพชรบูรณ์!J667"")"),522)</f>
        <v>522</v>
      </c>
      <c r="AE23" s="152">
        <f ca="1">IFERROR(__xludf.DUMMYFUNCTION("IMPORTRANGE(""https://docs.google.com/spreadsheets/d/1xlcVZWUNn6SuWm0c307h32SiGkd9BaeQWlAktfD3KO8/edit?usp=sharing"",""เพชรบูรณ์!J668"")"),0)</f>
        <v>0</v>
      </c>
      <c r="AF23" s="152">
        <f ca="1">IFERROR(__xludf.DUMMYFUNCTION("IMPORTRANGE(""https://docs.google.com/spreadsheets/d/1xlcVZWUNn6SuWm0c307h32SiGkd9BaeQWlAktfD3KO8/edit?usp=sharing"",""เพชรบูรณ์!J669"")"),0)</f>
        <v>0</v>
      </c>
      <c r="AG23" s="152">
        <f ca="1">IFERROR(__xludf.DUMMYFUNCTION("IMPORTRANGE(""https://docs.google.com/spreadsheets/d/1xlcVZWUNn6SuWm0c307h32SiGkd9BaeQWlAktfD3KO8/edit?usp=sharing"",""เพชรบูรณ์!J670"")"),0)</f>
        <v>0</v>
      </c>
      <c r="AH23" s="152">
        <f ca="1">IFERROR(__xludf.DUMMYFUNCTION("IMPORTRANGE(""https://docs.google.com/spreadsheets/d/1xlcVZWUNn6SuWm0c307h32SiGkd9BaeQWlAktfD3KO8/edit?usp=sharing"",""เพชรบูรณ์!I673"")"),0)</f>
        <v>0</v>
      </c>
      <c r="AI23" s="397">
        <f ca="1">IFERROR(__xludf.DUMMYFUNCTION("IMPORTRANGE(""https://docs.google.com/spreadsheets/d/1xlcVZWUNn6SuWm0c307h32SiGkd9BaeQWlAktfD3KO8/edit?usp=sharing"",""เพชรบูรณ์!J671"")"),0)</f>
        <v>0</v>
      </c>
      <c r="AJ23" s="397">
        <f ca="1">IFERROR(__xludf.DUMMYFUNCTION("IMPORTRANGE(""https://docs.google.com/spreadsheets/d/1xlcVZWUNn6SuWm0c307h32SiGkd9BaeQWlAktfD3KO8/edit?usp=sharing"",""เพชรบูรณ์!J672"")"),0)</f>
        <v>0</v>
      </c>
      <c r="AK23" s="397">
        <f ca="1">IFERROR(__xludf.DUMMYFUNCTION("IMPORTRANGE(""https://docs.google.com/spreadsheets/d/1xlcVZWUNn6SuWm0c307h32SiGkd9BaeQWlAktfD3KO8/edit?usp=sharing"",""เพชรบูรณ์!J673"")"),0)</f>
        <v>0</v>
      </c>
      <c r="AL23" s="216">
        <f t="shared" ca="1" si="41"/>
        <v>0</v>
      </c>
      <c r="AM23" s="152">
        <f ca="1">IFERROR(__xludf.DUMMYFUNCTION("IMPORTRANGE(""https://docs.google.com/spreadsheets/d/1xlcVZWUNn6SuWm0c307h32SiGkd9BaeQWlAktfD3KO8/edit?usp=sharing"",""เพชรบูรณ์!I674"")"),2)</f>
        <v>2</v>
      </c>
      <c r="AN23" s="152">
        <f ca="1">IFERROR(__xludf.DUMMYFUNCTION("IMPORTRANGE(""https://docs.google.com/spreadsheets/d/1xlcVZWUNn6SuWm0c307h32SiGkd9BaeQWlAktfD3KO8/edit?usp=sharing"",""เพชรบูรณ์!I675"")"),18)</f>
        <v>18</v>
      </c>
      <c r="AO23" s="397">
        <f ca="1">IFERROR(__xludf.DUMMYFUNCTION("IMPORTRANGE(""https://docs.google.com/spreadsheets/d/1xlcVZWUNn6SuWm0c307h32SiGkd9BaeQWlAktfD3KO8/edit?usp=sharing"",""เพชรบูรณ์!J674"")"),1)</f>
        <v>1</v>
      </c>
      <c r="AP23" s="216">
        <f t="shared" ca="1" si="43"/>
        <v>50</v>
      </c>
      <c r="AQ23" s="397">
        <f ca="1">IFERROR(__xludf.DUMMYFUNCTION("IMPORTRANGE(""https://docs.google.com/spreadsheets/d/1xlcVZWUNn6SuWm0c307h32SiGkd9BaeQWlAktfD3KO8/edit?usp=sharing"",""เพชรบูรณ์!J675"")"),10.18)</f>
        <v>10.18</v>
      </c>
      <c r="AR23" s="216">
        <f t="shared" ca="1" si="44"/>
        <v>56.555555555555557</v>
      </c>
      <c r="AS23" s="152">
        <f ca="1">IFERROR(__xludf.DUMMYFUNCTION("IMPORTRANGE(""https://docs.google.com/spreadsheets/d/1xlcVZWUNn6SuWm0c307h32SiGkd9BaeQWlAktfD3KO8/edit?usp=sharing"",""เพชรบูรณ์!I676"")"),2)</f>
        <v>2</v>
      </c>
      <c r="AT23" s="152">
        <f ca="1">IFERROR(__xludf.DUMMYFUNCTION("IMPORTRANGE(""https://docs.google.com/spreadsheets/d/1xlcVZWUNn6SuWm0c307h32SiGkd9BaeQWlAktfD3KO8/edit?usp=sharing"",""เพชรบูรณ์!I678"")"),18)</f>
        <v>18</v>
      </c>
      <c r="AU23" s="397">
        <f ca="1">IFERROR(__xludf.DUMMYFUNCTION("IMPORTRANGE(""https://docs.google.com/spreadsheets/d/1xlcVZWUNn6SuWm0c307h32SiGkd9BaeQWlAktfD3KO8/edit?usp=sharing"",""เพชรบูรณ์!J676"")"),1)</f>
        <v>1</v>
      </c>
      <c r="AV23" s="397">
        <f ca="1">IFERROR(__xludf.DUMMYFUNCTION("IMPORTRANGE(""https://docs.google.com/spreadsheets/d/1xlcVZWUNn6SuWm0c307h32SiGkd9BaeQWlAktfD3KO8/edit?usp=sharing"",""เพชรบูรณ์!J677"")"),1)</f>
        <v>1</v>
      </c>
      <c r="AW23" s="397">
        <f ca="1">IFERROR(__xludf.DUMMYFUNCTION("IMPORTRANGE(""https://docs.google.com/spreadsheets/d/1xlcVZWUNn6SuWm0c307h32SiGkd9BaeQWlAktfD3KO8/edit?usp=sharing"",""เพชรบูรณ์!J678"")"),10.18)</f>
        <v>10.18</v>
      </c>
      <c r="AX23" s="152">
        <f ca="1">IFERROR(__xludf.DUMMYFUNCTION("IMPORTRANGE(""https://docs.google.com/spreadsheets/d/1xlcVZWUNn6SuWm0c307h32SiGkd9BaeQWlAktfD3KO8/edit?usp=sharing"",""เพชรบูรณ์!I679"")"),0)</f>
        <v>0</v>
      </c>
      <c r="AY23" s="152">
        <f ca="1">IFERROR(__xludf.DUMMYFUNCTION("IMPORTRANGE(""https://docs.google.com/spreadsheets/d/1xlcVZWUNn6SuWm0c307h32SiGkd9BaeQWlAktfD3KO8/edit?usp=sharing"",""เพชรบูรณ์!I681"")"),0)</f>
        <v>0</v>
      </c>
      <c r="AZ23" s="397">
        <f ca="1">IFERROR(__xludf.DUMMYFUNCTION("IMPORTRANGE(""https://docs.google.com/spreadsheets/d/1xlcVZWUNn6SuWm0c307h32SiGkd9BaeQWlAktfD3KO8/edit?usp=sharing"",""เพชรบูรณ์!J679"")"),0)</f>
        <v>0</v>
      </c>
      <c r="BA23" s="397">
        <f ca="1">IFERROR(__xludf.DUMMYFUNCTION("IMPORTRANGE(""https://docs.google.com/spreadsheets/d/1xlcVZWUNn6SuWm0c307h32SiGkd9BaeQWlAktfD3KO8/edit?usp=sharing"",""เพชรบูรณ์!J680"")"),0)</f>
        <v>0</v>
      </c>
      <c r="BB23" s="397">
        <f ca="1">IFERROR(__xludf.DUMMYFUNCTION("IMPORTRANGE(""https://docs.google.com/spreadsheets/d/1xlcVZWUNn6SuWm0c307h32SiGkd9BaeQWlAktfD3KO8/edit?usp=sharing"",""เพชรบูรณ์!J681"")"),0)</f>
        <v>0</v>
      </c>
      <c r="BC23" s="152">
        <f ca="1">IFERROR(__xludf.DUMMYFUNCTION("IMPORTRANGE(""https://docs.google.com/spreadsheets/d/1xlcVZWUNn6SuWm0c307h32SiGkd9BaeQWlAktfD3KO8/edit?usp=sharing"",""เพชรบูรณ์!I682"")"),0)</f>
        <v>0</v>
      </c>
      <c r="BD23" s="152">
        <f ca="1">IFERROR(__xludf.DUMMYFUNCTION("IMPORTRANGE(""https://docs.google.com/spreadsheets/d/1xlcVZWUNn6SuWm0c307h32SiGkd9BaeQWlAktfD3KO8/edit?usp=sharing"",""เพชรบูรณ์!J682"")"),0)</f>
        <v>0</v>
      </c>
      <c r="BE23" s="216">
        <f t="shared" ca="1" si="46"/>
        <v>0</v>
      </c>
      <c r="BF23" s="152">
        <f ca="1">IFERROR(__xludf.DUMMYFUNCTION("IMPORTRANGE(""https://docs.google.com/spreadsheets/d/1xlcVZWUNn6SuWm0c307h32SiGkd9BaeQWlAktfD3KO8/edit?usp=sharing"",""เพชรบูรณ์!J683"")"),0)</f>
        <v>0</v>
      </c>
      <c r="BG23" s="152">
        <f ca="1">IFERROR(__xludf.DUMMYFUNCTION("IMPORTRANGE(""https://docs.google.com/spreadsheets/d/1xlcVZWUNn6SuWm0c307h32SiGkd9BaeQWlAktfD3KO8/edit?usp=sharing"",""เพชรบูรณ์!J684"")"),0)</f>
        <v>0</v>
      </c>
      <c r="BH23" s="152">
        <f ca="1">IFERROR(__xludf.DUMMYFUNCTION("IMPORTRANGE(""https://docs.google.com/spreadsheets/d/1xlcVZWUNn6SuWm0c307h32SiGkd9BaeQWlAktfD3KO8/edit?usp=sharing"",""เพชรบูรณ์!J685"")"),0)</f>
        <v>0</v>
      </c>
      <c r="BI23" s="152">
        <f ca="1">IFERROR(__xludf.DUMMYFUNCTION("IMPORTRANGE(""https://docs.google.com/spreadsheets/d/1xlcVZWUNn6SuWm0c307h32SiGkd9BaeQWlAktfD3KO8/edit?usp=sharing"",""เพชรบูรณ์!J686"")"),0)</f>
        <v>0</v>
      </c>
      <c r="BJ23" s="152">
        <f ca="1">IFERROR(__xludf.DUMMYFUNCTION("IMPORTRANGE(""https://docs.google.com/spreadsheets/d/1xlcVZWUNn6SuWm0c307h32SiGkd9BaeQWlAktfD3KO8/edit?usp=sharing"",""เพชรบูรณ์!J687"")"),0)</f>
        <v>0</v>
      </c>
      <c r="BK23" s="152">
        <f ca="1">IFERROR(__xludf.DUMMYFUNCTION("IMPORTRANGE(""https://docs.google.com/spreadsheets/d/1xlcVZWUNn6SuWm0c307h32SiGkd9BaeQWlAktfD3KO8/edit?usp=sharing"",""เพชรบูรณ์!J688"")"),0)</f>
        <v>0</v>
      </c>
    </row>
    <row r="24" spans="1:63" ht="19.5" x14ac:dyDescent="0.3">
      <c r="A24" s="70">
        <v>11</v>
      </c>
      <c r="B24" s="71" t="s">
        <v>52</v>
      </c>
      <c r="C24" s="68">
        <f ca="1">IFERROR(__xludf.DUMMYFUNCTION("IMPORTRANGE(""https://docs.google.com/spreadsheets/d/1lOVebEIsI9qjGXl6EX66luk7wiuP2tBaryw-wKvv4e0/edit?usp=sharing"",""แพร่!Q642"")"),0)</f>
        <v>0</v>
      </c>
      <c r="D24" s="68">
        <f ca="1">IFERROR(__xludf.DUMMYFUNCTION("IMPORTRANGE(""https://docs.google.com/spreadsheets/d/1lOVebEIsI9qjGXl6EX66luk7wiuP2tBaryw-wKvv4e0/edit?usp=sharing"",""แพร่!R642"")"),0)</f>
        <v>0</v>
      </c>
      <c r="E24" s="68">
        <f ca="1">IFERROR(__xludf.DUMMYFUNCTION("IMPORTRANGE(""https://docs.google.com/spreadsheets/d/1lOVebEIsI9qjGXl6EX66luk7wiuP2tBaryw-wKvv4e0/edit?usp=sharing"",""แพร่!S642"")"),0)</f>
        <v>0</v>
      </c>
      <c r="F24" s="68">
        <f t="shared" ca="1" si="30"/>
        <v>0</v>
      </c>
      <c r="G24" s="68">
        <f t="shared" ca="1" si="31"/>
        <v>0</v>
      </c>
      <c r="H24" s="278">
        <f ca="1">IFERROR(__xludf.DUMMYFUNCTION("IMPORTRANGE(""https://docs.google.com/spreadsheets/d/1lOVebEIsI9qjGXl6EX66luk7wiuP2tBaryw-wKvv4e0/edit?usp=sharing"",""แพร่!I652"")"),0)</f>
        <v>0</v>
      </c>
      <c r="I24" s="152">
        <f ca="1">IFERROR(__xludf.DUMMYFUNCTION("IMPORTRANGE(""https://docs.google.com/spreadsheets/d/1lOVebEIsI9qjGXl6EX66luk7wiuP2tBaryw-wKvv4e0/edit?usp=sharing"",""แพร่!J652"")"),0)</f>
        <v>0</v>
      </c>
      <c r="J24" s="216">
        <f t="shared" ca="1" si="33"/>
        <v>0</v>
      </c>
      <c r="K24" s="152">
        <f ca="1">IFERROR(__xludf.DUMMYFUNCTION("IMPORTRANGE(""https://docs.google.com/spreadsheets/d/1lOVebEIsI9qjGXl6EX66luk7wiuP2tBaryw-wKvv4e0/edit?usp=sharing"",""แพร่!I653"")"),0)</f>
        <v>0</v>
      </c>
      <c r="L24" s="152">
        <f ca="1">IFERROR(__xludf.DUMMYFUNCTION("IMPORTRANGE(""https://docs.google.com/spreadsheets/d/1lOVebEIsI9qjGXl6EX66luk7wiuP2tBaryw-wKvv4e0/edit?usp=sharing"",""แพร่!J653"")"),0)</f>
        <v>0</v>
      </c>
      <c r="M24" s="216">
        <f t="shared" ca="1" si="35"/>
        <v>0</v>
      </c>
      <c r="N24" s="152">
        <f ca="1">IFERROR(__xludf.DUMMYFUNCTION("IMPORTRANGE(""https://docs.google.com/spreadsheets/d/1lOVebEIsI9qjGXl6EX66luk7wiuP2tBaryw-wKvv4e0/edit?usp=sharing"",""แพร่!I654"")"),0)</f>
        <v>0</v>
      </c>
      <c r="O24" s="152">
        <f ca="1">IFERROR(__xludf.DUMMYFUNCTION("IMPORTRANGE(""https://docs.google.com/spreadsheets/d/1lOVebEIsI9qjGXl6EX66luk7wiuP2tBaryw-wKvv4e0/edit?usp=sharing"",""แพร่!J654"")"),0)</f>
        <v>0</v>
      </c>
      <c r="P24" s="216">
        <f t="shared" ca="1" si="37"/>
        <v>0</v>
      </c>
      <c r="Q24" s="216">
        <f ca="1">IFERROR(__xludf.DUMMYFUNCTION("IMPORTRANGE(""https://docs.google.com/spreadsheets/d/1lOVebEIsI9qjGXl6EX66luk7wiuP2tBaryw-wKvv4e0/edit?usp=sharing"",""แพร่!J655"")"),0)</f>
        <v>0</v>
      </c>
      <c r="R24" s="216">
        <f ca="1">IFERROR(__xludf.DUMMYFUNCTION("IMPORTRANGE(""https://docs.google.com/spreadsheets/d/1lOVebEIsI9qjGXl6EX66luk7wiuP2tBaryw-wKvv4e0/edit?usp=sharing"",""แพร่!J656"")"),0)</f>
        <v>0</v>
      </c>
      <c r="S24" s="216">
        <f ca="1">IFERROR(__xludf.DUMMYFUNCTION("IMPORTRANGE(""https://docs.google.com/spreadsheets/d/1lOVebEIsI9qjGXl6EX66luk7wiuP2tBaryw-wKvv4e0/edit?usp=sharing"",""แพร่!J657"")"),0)</f>
        <v>0</v>
      </c>
      <c r="T24" s="216">
        <f ca="1">IFERROR(__xludf.DUMMYFUNCTION("IMPORTRANGE(""https://docs.google.com/spreadsheets/d/1lOVebEIsI9qjGXl6EX66luk7wiuP2tBaryw-wKvv4e0/edit?usp=sharing"",""แพร่!J658"")"),0)</f>
        <v>0</v>
      </c>
      <c r="U24" s="216">
        <f ca="1">IFERROR(__xludf.DUMMYFUNCTION("IMPORTRANGE(""https://docs.google.com/spreadsheets/d/1lOVebEIsI9qjGXl6EX66luk7wiuP2tBaryw-wKvv4e0/edit?usp=sharing"",""แพร่!J659"")"),0)</f>
        <v>0</v>
      </c>
      <c r="V24" s="216">
        <f ca="1">IFERROR(__xludf.DUMMYFUNCTION("IMPORTRANGE(""https://docs.google.com/spreadsheets/d/1lOVebEIsI9qjGXl6EX66luk7wiuP2tBaryw-wKvv4e0/edit?usp=sharing"",""แพร่!J660"")"),0)</f>
        <v>0</v>
      </c>
      <c r="W24" s="152">
        <f ca="1">IFERROR(__xludf.DUMMYFUNCTION("IMPORTRANGE(""https://docs.google.com/spreadsheets/d/1lOVebEIsI9qjGXl6EX66luk7wiuP2tBaryw-wKvv4e0/edit?usp=sharing"",""แพร่!I661"")"),0)</f>
        <v>0</v>
      </c>
      <c r="X24" s="152">
        <f ca="1">IFERROR(__xludf.DUMMYFUNCTION("IMPORTRANGE(""https://docs.google.com/spreadsheets/d/1lOVebEIsI9qjGXl6EX66luk7wiuP2tBaryw-wKvv4e0/edit?usp=sharing"",""แพร่!J661"")"),0)</f>
        <v>0</v>
      </c>
      <c r="Y24" s="216">
        <f t="shared" ca="1" si="39"/>
        <v>0</v>
      </c>
      <c r="Z24" s="152">
        <f ca="1">IFERROR(__xludf.DUMMYFUNCTION("IMPORTRANGE(""https://docs.google.com/spreadsheets/d/1lOVebEIsI9qjGXl6EX66luk7wiuP2tBaryw-wKvv4e0/edit?usp=sharing"",""แพร่!J662"")"),0)</f>
        <v>0</v>
      </c>
      <c r="AA24" s="152">
        <f ca="1">IFERROR(__xludf.DUMMYFUNCTION("IMPORTRANGE(""https://docs.google.com/spreadsheets/d/1lOVebEIsI9qjGXl6EX66luk7wiuP2tBaryw-wKvv4e0/edit?usp=sharing"",""แพร่!J663"")"),0)</f>
        <v>0</v>
      </c>
      <c r="AB24" s="152">
        <f ca="1">IFERROR(__xludf.DUMMYFUNCTION("IMPORTRANGE(""https://docs.google.com/spreadsheets/d/1lOVebEIsI9qjGXl6EX66luk7wiuP2tBaryw-wKvv4e0/edit?usp=sharing"",""แพร่!J665"")"),0)</f>
        <v>0</v>
      </c>
      <c r="AC24" s="152">
        <f ca="1">IFERROR(__xludf.DUMMYFUNCTION("IMPORTRANGE(""https://docs.google.com/spreadsheets/d/1lOVebEIsI9qjGXl6EX66luk7wiuP2tBaryw-wKvv4e0/edit?usp=sharing"",""แพร่!J666"")"),0)</f>
        <v>0</v>
      </c>
      <c r="AD24" s="152">
        <f ca="1">IFERROR(__xludf.DUMMYFUNCTION("IMPORTRANGE(""https://docs.google.com/spreadsheets/d/1lOVebEIsI9qjGXl6EX66luk7wiuP2tBaryw-wKvv4e0/edit?usp=sharing"",""แพร่!J667"")"),0)</f>
        <v>0</v>
      </c>
      <c r="AE24" s="152">
        <f ca="1">IFERROR(__xludf.DUMMYFUNCTION("IMPORTRANGE(""https://docs.google.com/spreadsheets/d/1lOVebEIsI9qjGXl6EX66luk7wiuP2tBaryw-wKvv4e0/edit?usp=sharing"",""แพร่!J668"")"),0)</f>
        <v>0</v>
      </c>
      <c r="AF24" s="152">
        <f ca="1">IFERROR(__xludf.DUMMYFUNCTION("IMPORTRANGE(""https://docs.google.com/spreadsheets/d/1lOVebEIsI9qjGXl6EX66luk7wiuP2tBaryw-wKvv4e0/edit?usp=sharing"",""แพร่!J669"")"),0)</f>
        <v>0</v>
      </c>
      <c r="AG24" s="152">
        <f ca="1">IFERROR(__xludf.DUMMYFUNCTION("IMPORTRANGE(""https://docs.google.com/spreadsheets/d/1lOVebEIsI9qjGXl6EX66luk7wiuP2tBaryw-wKvv4e0/edit?usp=sharing"",""แพร่!J670"")"),0)</f>
        <v>0</v>
      </c>
      <c r="AH24" s="152">
        <f ca="1">IFERROR(__xludf.DUMMYFUNCTION("IMPORTRANGE(""https://docs.google.com/spreadsheets/d/1lOVebEIsI9qjGXl6EX66luk7wiuP2tBaryw-wKvv4e0/edit?usp=sharing"",""แพร่!I673"")"),0)</f>
        <v>0</v>
      </c>
      <c r="AI24" s="152">
        <f ca="1">IFERROR(__xludf.DUMMYFUNCTION("IMPORTRANGE(""https://docs.google.com/spreadsheets/d/1lOVebEIsI9qjGXl6EX66luk7wiuP2tBaryw-wKvv4e0/edit?usp=sharing"",""แพร่!J671"")"),0)</f>
        <v>0</v>
      </c>
      <c r="AJ24" s="152">
        <f ca="1">IFERROR(__xludf.DUMMYFUNCTION("IMPORTRANGE(""https://docs.google.com/spreadsheets/d/1lOVebEIsI9qjGXl6EX66luk7wiuP2tBaryw-wKvv4e0/edit?usp=sharing"",""แพร่!J672"")"),0)</f>
        <v>0</v>
      </c>
      <c r="AK24" s="152">
        <f ca="1">IFERROR(__xludf.DUMMYFUNCTION("IMPORTRANGE(""https://docs.google.com/spreadsheets/d/1lOVebEIsI9qjGXl6EX66luk7wiuP2tBaryw-wKvv4e0/edit?usp=sharing"",""แพร่!J673"")"),0)</f>
        <v>0</v>
      </c>
      <c r="AL24" s="216">
        <f t="shared" ca="1" si="41"/>
        <v>0</v>
      </c>
      <c r="AM24" s="152">
        <f ca="1">IFERROR(__xludf.DUMMYFUNCTION("IMPORTRANGE(""https://docs.google.com/spreadsheets/d/1lOVebEIsI9qjGXl6EX66luk7wiuP2tBaryw-wKvv4e0/edit?usp=sharing"",""แพร่!I674"")"),0)</f>
        <v>0</v>
      </c>
      <c r="AN24" s="152">
        <f ca="1">IFERROR(__xludf.DUMMYFUNCTION("IMPORTRANGE(""https://docs.google.com/spreadsheets/d/1lOVebEIsI9qjGXl6EX66luk7wiuP2tBaryw-wKvv4e0/edit?usp=sharing"",""แพร่!I675"")"),0)</f>
        <v>0</v>
      </c>
      <c r="AO24" s="152">
        <f ca="1">IFERROR(__xludf.DUMMYFUNCTION("IMPORTRANGE(""https://docs.google.com/spreadsheets/d/1lOVebEIsI9qjGXl6EX66luk7wiuP2tBaryw-wKvv4e0/edit?usp=sharing"",""แพร่!J674"")"),0)</f>
        <v>0</v>
      </c>
      <c r="AP24" s="216">
        <f t="shared" ca="1" si="43"/>
        <v>0</v>
      </c>
      <c r="AQ24" s="152">
        <f ca="1">IFERROR(__xludf.DUMMYFUNCTION("IMPORTRANGE(""https://docs.google.com/spreadsheets/d/1lOVebEIsI9qjGXl6EX66luk7wiuP2tBaryw-wKvv4e0/edit?usp=sharing"",""แพร่!J675"")"),0)</f>
        <v>0</v>
      </c>
      <c r="AR24" s="216">
        <f t="shared" ca="1" si="44"/>
        <v>0</v>
      </c>
      <c r="AS24" s="152">
        <f ca="1">IFERROR(__xludf.DUMMYFUNCTION("IMPORTRANGE(""https://docs.google.com/spreadsheets/d/1lOVebEIsI9qjGXl6EX66luk7wiuP2tBaryw-wKvv4e0/edit?usp=sharing"",""แพร่!I676"")"),0)</f>
        <v>0</v>
      </c>
      <c r="AT24" s="152">
        <f ca="1">IFERROR(__xludf.DUMMYFUNCTION("IMPORTRANGE(""https://docs.google.com/spreadsheets/d/1lOVebEIsI9qjGXl6EX66luk7wiuP2tBaryw-wKvv4e0/edit?usp=sharing"",""แพร่!I678"")"),0)</f>
        <v>0</v>
      </c>
      <c r="AU24" s="152">
        <f ca="1">IFERROR(__xludf.DUMMYFUNCTION("IMPORTRANGE(""https://docs.google.com/spreadsheets/d/1lOVebEIsI9qjGXl6EX66luk7wiuP2tBaryw-wKvv4e0/edit?usp=sharing"",""แพร่!J676"")"),0)</f>
        <v>0</v>
      </c>
      <c r="AV24" s="152">
        <f ca="1">IFERROR(__xludf.DUMMYFUNCTION("IMPORTRANGE(""https://docs.google.com/spreadsheets/d/1lOVebEIsI9qjGXl6EX66luk7wiuP2tBaryw-wKvv4e0/edit?usp=sharing"",""แพร่!J677"")"),0)</f>
        <v>0</v>
      </c>
      <c r="AW24" s="152">
        <f ca="1">IFERROR(__xludf.DUMMYFUNCTION("IMPORTRANGE(""https://docs.google.com/spreadsheets/d/1lOVebEIsI9qjGXl6EX66luk7wiuP2tBaryw-wKvv4e0/edit?usp=sharing"",""แพร่!J678"")"),0)</f>
        <v>0</v>
      </c>
      <c r="AX24" s="152">
        <f ca="1">IFERROR(__xludf.DUMMYFUNCTION("IMPORTRANGE(""https://docs.google.com/spreadsheets/d/1lOVebEIsI9qjGXl6EX66luk7wiuP2tBaryw-wKvv4e0/edit?usp=sharing"",""แพร่!I679"")"),0)</f>
        <v>0</v>
      </c>
      <c r="AY24" s="152">
        <f ca="1">IFERROR(__xludf.DUMMYFUNCTION("IMPORTRANGE(""https://docs.google.com/spreadsheets/d/1lOVebEIsI9qjGXl6EX66luk7wiuP2tBaryw-wKvv4e0/edit?usp=sharing"",""แพร่!I681"")"),0)</f>
        <v>0</v>
      </c>
      <c r="AZ24" s="152">
        <f ca="1">IFERROR(__xludf.DUMMYFUNCTION("IMPORTRANGE(""https://docs.google.com/spreadsheets/d/1lOVebEIsI9qjGXl6EX66luk7wiuP2tBaryw-wKvv4e0/edit?usp=sharing"",""แพร่!J679"")"),0)</f>
        <v>0</v>
      </c>
      <c r="BA24" s="152">
        <f ca="1">IFERROR(__xludf.DUMMYFUNCTION("IMPORTRANGE(""https://docs.google.com/spreadsheets/d/1lOVebEIsI9qjGXl6EX66luk7wiuP2tBaryw-wKvv4e0/edit?usp=sharing"",""แพร่!J680"")"),0)</f>
        <v>0</v>
      </c>
      <c r="BB24" s="152">
        <f ca="1">IFERROR(__xludf.DUMMYFUNCTION("IMPORTRANGE(""https://docs.google.com/spreadsheets/d/1lOVebEIsI9qjGXl6EX66luk7wiuP2tBaryw-wKvv4e0/edit?usp=sharing"",""แพร่!J681"")"),0)</f>
        <v>0</v>
      </c>
      <c r="BC24" s="152">
        <f ca="1">IFERROR(__xludf.DUMMYFUNCTION("IMPORTRANGE(""https://docs.google.com/spreadsheets/d/1lOVebEIsI9qjGXl6EX66luk7wiuP2tBaryw-wKvv4e0/edit?usp=sharing"",""แพร่!I682"")"),0)</f>
        <v>0</v>
      </c>
      <c r="BD24" s="152">
        <f ca="1">IFERROR(__xludf.DUMMYFUNCTION("IMPORTRANGE(""https://docs.google.com/spreadsheets/d/1lOVebEIsI9qjGXl6EX66luk7wiuP2tBaryw-wKvv4e0/edit?usp=sharing"",""แพร่!J682"")"),0)</f>
        <v>0</v>
      </c>
      <c r="BE24" s="216">
        <f t="shared" ca="1" si="46"/>
        <v>0</v>
      </c>
      <c r="BF24" s="152">
        <f ca="1">IFERROR(__xludf.DUMMYFUNCTION("IMPORTRANGE(""https://docs.google.com/spreadsheets/d/1lOVebEIsI9qjGXl6EX66luk7wiuP2tBaryw-wKvv4e0/edit?usp=sharing"",""แพร่!J683"")"),0)</f>
        <v>0</v>
      </c>
      <c r="BG24" s="152">
        <f ca="1">IFERROR(__xludf.DUMMYFUNCTION("IMPORTRANGE(""https://docs.google.com/spreadsheets/d/1lOVebEIsI9qjGXl6EX66luk7wiuP2tBaryw-wKvv4e0/edit?usp=sharing"",""แพร่!J684"")"),0)</f>
        <v>0</v>
      </c>
      <c r="BH24" s="152">
        <f ca="1">IFERROR(__xludf.DUMMYFUNCTION("IMPORTRANGE(""https://docs.google.com/spreadsheets/d/1lOVebEIsI9qjGXl6EX66luk7wiuP2tBaryw-wKvv4e0/edit?usp=sharing"",""แพร่!J685"")"),0)</f>
        <v>0</v>
      </c>
      <c r="BI24" s="152">
        <f ca="1">IFERROR(__xludf.DUMMYFUNCTION("IMPORTRANGE(""https://docs.google.com/spreadsheets/d/1lOVebEIsI9qjGXl6EX66luk7wiuP2tBaryw-wKvv4e0/edit?usp=sharing"",""แพร่!J686"")"),0)</f>
        <v>0</v>
      </c>
      <c r="BJ24" s="152">
        <f ca="1">IFERROR(__xludf.DUMMYFUNCTION("IMPORTRANGE(""https://docs.google.com/spreadsheets/d/1lOVebEIsI9qjGXl6EX66luk7wiuP2tBaryw-wKvv4e0/edit?usp=sharing"",""แพร่!J687"")"),0)</f>
        <v>0</v>
      </c>
      <c r="BK24" s="152">
        <f ca="1">IFERROR(__xludf.DUMMYFUNCTION("IMPORTRANGE(""https://docs.google.com/spreadsheets/d/1lOVebEIsI9qjGXl6EX66luk7wiuP2tBaryw-wKvv4e0/edit?usp=sharing"",""แพร่!J688"")"),0)</f>
        <v>0</v>
      </c>
    </row>
    <row r="25" spans="1:63" ht="19.5" x14ac:dyDescent="0.3">
      <c r="A25" s="70">
        <v>12</v>
      </c>
      <c r="B25" s="71" t="s">
        <v>53</v>
      </c>
      <c r="C25" s="68">
        <f ca="1">IFERROR(__xludf.DUMMYFUNCTION("IMPORTRANGE(""https://docs.google.com/spreadsheets/d/1dQrvX0vEcN7Gu0fnZ0B5S90AeR19zth4XlExFBeExMY/edit?usp=sharing"",""แม่ฮ่องสอน!Q642"")"),0)</f>
        <v>0</v>
      </c>
      <c r="D25" s="68">
        <f ca="1">IFERROR(__xludf.DUMMYFUNCTION("IMPORTRANGE(""https://docs.google.com/spreadsheets/d/1dQrvX0vEcN7Gu0fnZ0B5S90AeR19zth4XlExFBeExMY/edit?usp=sharing"",""แม่ฮ่องสอน!R642"")"),0)</f>
        <v>0</v>
      </c>
      <c r="E25" s="68">
        <f ca="1">IFERROR(__xludf.DUMMYFUNCTION("IMPORTRANGE(""https://docs.google.com/spreadsheets/d/1dQrvX0vEcN7Gu0fnZ0B5S90AeR19zth4XlExFBeExMY/edit?usp=sharing"",""แม่ฮ่องสอน!S642"")"),0)</f>
        <v>0</v>
      </c>
      <c r="F25" s="68">
        <f t="shared" ca="1" si="30"/>
        <v>0</v>
      </c>
      <c r="G25" s="68">
        <f t="shared" ca="1" si="31"/>
        <v>0</v>
      </c>
      <c r="H25" s="278">
        <f ca="1">IFERROR(__xludf.DUMMYFUNCTION("IMPORTRANGE(""https://docs.google.com/spreadsheets/d/1dQrvX0vEcN7Gu0fnZ0B5S90AeR19zth4XlExFBeExMY/edit?usp=sharing"",""แม่ฮ่องสอน!I652"")"),0)</f>
        <v>0</v>
      </c>
      <c r="I25" s="152">
        <f ca="1">IFERROR(__xludf.DUMMYFUNCTION("IMPORTRANGE(""https://docs.google.com/spreadsheets/d/1dQrvX0vEcN7Gu0fnZ0B5S90AeR19zth4XlExFBeExMY/edit?usp=sharing"",""แม่ฮ่องสอน!J652"")"),0)</f>
        <v>0</v>
      </c>
      <c r="J25" s="216">
        <f t="shared" ca="1" si="33"/>
        <v>0</v>
      </c>
      <c r="K25" s="152">
        <f ca="1">IFERROR(__xludf.DUMMYFUNCTION("IMPORTRANGE(""https://docs.google.com/spreadsheets/d/1dQrvX0vEcN7Gu0fnZ0B5S90AeR19zth4XlExFBeExMY/edit?usp=sharing"",""แม่ฮ่องสอน!I653"")"),0)</f>
        <v>0</v>
      </c>
      <c r="L25" s="152">
        <f ca="1">IFERROR(__xludf.DUMMYFUNCTION("IMPORTRANGE(""https://docs.google.com/spreadsheets/d/1dQrvX0vEcN7Gu0fnZ0B5S90AeR19zth4XlExFBeExMY/edit?usp=sharing"",""แม่ฮ่องสอน!J653"")"),0)</f>
        <v>0</v>
      </c>
      <c r="M25" s="216">
        <f t="shared" ca="1" si="35"/>
        <v>0</v>
      </c>
      <c r="N25" s="152">
        <f ca="1">IFERROR(__xludf.DUMMYFUNCTION("IMPORTRANGE(""https://docs.google.com/spreadsheets/d/1dQrvX0vEcN7Gu0fnZ0B5S90AeR19zth4XlExFBeExMY/edit?usp=sharing"",""แม่ฮ่องสอน!I654"")"),0)</f>
        <v>0</v>
      </c>
      <c r="O25" s="152">
        <f ca="1">IFERROR(__xludf.DUMMYFUNCTION("IMPORTRANGE(""https://docs.google.com/spreadsheets/d/1dQrvX0vEcN7Gu0fnZ0B5S90AeR19zth4XlExFBeExMY/edit?usp=sharing"",""แม่ฮ่องสอน!J654"")"),0)</f>
        <v>0</v>
      </c>
      <c r="P25" s="216">
        <f t="shared" ca="1" si="37"/>
        <v>0</v>
      </c>
      <c r="Q25" s="216">
        <f ca="1">IFERROR(__xludf.DUMMYFUNCTION("IMPORTRANGE(""https://docs.google.com/spreadsheets/d/1dQrvX0vEcN7Gu0fnZ0B5S90AeR19zth4XlExFBeExMY/edit?usp=sharing"",""แม่ฮ่องสอน!J655"")"),0)</f>
        <v>0</v>
      </c>
      <c r="R25" s="216">
        <f ca="1">IFERROR(__xludf.DUMMYFUNCTION("IMPORTRANGE(""https://docs.google.com/spreadsheets/d/1dQrvX0vEcN7Gu0fnZ0B5S90AeR19zth4XlExFBeExMY/edit?usp=sharing"",""แม่ฮ่องสอน!J656"")"),0)</f>
        <v>0</v>
      </c>
      <c r="S25" s="216">
        <f ca="1">IFERROR(__xludf.DUMMYFUNCTION("IMPORTRANGE(""https://docs.google.com/spreadsheets/d/1dQrvX0vEcN7Gu0fnZ0B5S90AeR19zth4XlExFBeExMY/edit?usp=sharing"",""แม่ฮ่องสอน!J657"")"),0)</f>
        <v>0</v>
      </c>
      <c r="T25" s="216">
        <f ca="1">IFERROR(__xludf.DUMMYFUNCTION("IMPORTRANGE(""https://docs.google.com/spreadsheets/d/1dQrvX0vEcN7Gu0fnZ0B5S90AeR19zth4XlExFBeExMY/edit?usp=sharing"",""แม่ฮ่องสอน!J658"")"),0)</f>
        <v>0</v>
      </c>
      <c r="U25" s="216">
        <f ca="1">IFERROR(__xludf.DUMMYFUNCTION("IMPORTRANGE(""https://docs.google.com/spreadsheets/d/1dQrvX0vEcN7Gu0fnZ0B5S90AeR19zth4XlExFBeExMY/edit?usp=sharing"",""แม่ฮ่องสอน!J659"")"),0)</f>
        <v>0</v>
      </c>
      <c r="V25" s="216">
        <f ca="1">IFERROR(__xludf.DUMMYFUNCTION("IMPORTRANGE(""https://docs.google.com/spreadsheets/d/1dQrvX0vEcN7Gu0fnZ0B5S90AeR19zth4XlExFBeExMY/edit?usp=sharing"",""แม่ฮ่องสอน!J660"")"),0)</f>
        <v>0</v>
      </c>
      <c r="W25" s="152">
        <f ca="1">IFERROR(__xludf.DUMMYFUNCTION("IMPORTRANGE(""https://docs.google.com/spreadsheets/d/1dQrvX0vEcN7Gu0fnZ0B5S90AeR19zth4XlExFBeExMY/edit?usp=sharing"",""แม่ฮ่องสอน!I661"")"),0)</f>
        <v>0</v>
      </c>
      <c r="X25" s="152">
        <f ca="1">IFERROR(__xludf.DUMMYFUNCTION("IMPORTRANGE(""https://docs.google.com/spreadsheets/d/1dQrvX0vEcN7Gu0fnZ0B5S90AeR19zth4XlExFBeExMY/edit?usp=sharing"",""แม่ฮ่องสอน!J661"")"),0)</f>
        <v>0</v>
      </c>
      <c r="Y25" s="216">
        <f t="shared" ca="1" si="39"/>
        <v>0</v>
      </c>
      <c r="Z25" s="152">
        <f ca="1">IFERROR(__xludf.DUMMYFUNCTION("IMPORTRANGE(""https://docs.google.com/spreadsheets/d/1dQrvX0vEcN7Gu0fnZ0B5S90AeR19zth4XlExFBeExMY/edit?usp=sharing"",""แม่ฮ่องสอน!J662"")"),0)</f>
        <v>0</v>
      </c>
      <c r="AA25" s="152">
        <f ca="1">IFERROR(__xludf.DUMMYFUNCTION("IMPORTRANGE(""https://docs.google.com/spreadsheets/d/1dQrvX0vEcN7Gu0fnZ0B5S90AeR19zth4XlExFBeExMY/edit?usp=sharing"",""แม่ฮ่องสอน!J663"")"),0)</f>
        <v>0</v>
      </c>
      <c r="AB25" s="152">
        <f ca="1">IFERROR(__xludf.DUMMYFUNCTION("IMPORTRANGE(""https://docs.google.com/spreadsheets/d/1dQrvX0vEcN7Gu0fnZ0B5S90AeR19zth4XlExFBeExMY/edit?usp=sharing"",""แม่ฮ่องสอน!J665"")"),0)</f>
        <v>0</v>
      </c>
      <c r="AC25" s="152">
        <f ca="1">IFERROR(__xludf.DUMMYFUNCTION("IMPORTRANGE(""https://docs.google.com/spreadsheets/d/1dQrvX0vEcN7Gu0fnZ0B5S90AeR19zth4XlExFBeExMY/edit?usp=sharing"",""แม่ฮ่องสอน!J666"")"),0)</f>
        <v>0</v>
      </c>
      <c r="AD25" s="152">
        <f ca="1">IFERROR(__xludf.DUMMYFUNCTION("IMPORTRANGE(""https://docs.google.com/spreadsheets/d/1dQrvX0vEcN7Gu0fnZ0B5S90AeR19zth4XlExFBeExMY/edit?usp=sharing"",""แม่ฮ่องสอน!J667"")"),0)</f>
        <v>0</v>
      </c>
      <c r="AE25" s="152">
        <f ca="1">IFERROR(__xludf.DUMMYFUNCTION("IMPORTRANGE(""https://docs.google.com/spreadsheets/d/1dQrvX0vEcN7Gu0fnZ0B5S90AeR19zth4XlExFBeExMY/edit?usp=sharing"",""แม่ฮ่องสอน!J668"")"),0)</f>
        <v>0</v>
      </c>
      <c r="AF25" s="152">
        <f ca="1">IFERROR(__xludf.DUMMYFUNCTION("IMPORTRANGE(""https://docs.google.com/spreadsheets/d/1dQrvX0vEcN7Gu0fnZ0B5S90AeR19zth4XlExFBeExMY/edit?usp=sharing"",""แม่ฮ่องสอน!J669"")"),0)</f>
        <v>0</v>
      </c>
      <c r="AG25" s="152">
        <f ca="1">IFERROR(__xludf.DUMMYFUNCTION("IMPORTRANGE(""https://docs.google.com/spreadsheets/d/1dQrvX0vEcN7Gu0fnZ0B5S90AeR19zth4XlExFBeExMY/edit?usp=sharing"",""แม่ฮ่องสอน!J670"")"),0)</f>
        <v>0</v>
      </c>
      <c r="AH25" s="152">
        <f ca="1">IFERROR(__xludf.DUMMYFUNCTION("IMPORTRANGE(""https://docs.google.com/spreadsheets/d/1dQrvX0vEcN7Gu0fnZ0B5S90AeR19zth4XlExFBeExMY/edit?usp=sharing"",""แม่ฮ่องสอน!I673"")"),0)</f>
        <v>0</v>
      </c>
      <c r="AI25" s="152">
        <f ca="1">IFERROR(__xludf.DUMMYFUNCTION("IMPORTRANGE(""https://docs.google.com/spreadsheets/d/1dQrvX0vEcN7Gu0fnZ0B5S90AeR19zth4XlExFBeExMY/edit?usp=sharing"",""แม่ฮ่องสอน!J671"")"),0)</f>
        <v>0</v>
      </c>
      <c r="AJ25" s="152">
        <f ca="1">IFERROR(__xludf.DUMMYFUNCTION("IMPORTRANGE(""https://docs.google.com/spreadsheets/d/1dQrvX0vEcN7Gu0fnZ0B5S90AeR19zth4XlExFBeExMY/edit?usp=sharing"",""แม่ฮ่องสอน!J672"")"),0)</f>
        <v>0</v>
      </c>
      <c r="AK25" s="152">
        <f ca="1">IFERROR(__xludf.DUMMYFUNCTION("IMPORTRANGE(""https://docs.google.com/spreadsheets/d/1dQrvX0vEcN7Gu0fnZ0B5S90AeR19zth4XlExFBeExMY/edit?usp=sharing"",""แม่ฮ่องสอน!J673"")"),0)</f>
        <v>0</v>
      </c>
      <c r="AL25" s="216">
        <f t="shared" ca="1" si="41"/>
        <v>0</v>
      </c>
      <c r="AM25" s="152">
        <f ca="1">IFERROR(__xludf.DUMMYFUNCTION("IMPORTRANGE(""https://docs.google.com/spreadsheets/d/1dQrvX0vEcN7Gu0fnZ0B5S90AeR19zth4XlExFBeExMY/edit?usp=sharing"",""แม่ฮ่องสอน!I674"")"),0)</f>
        <v>0</v>
      </c>
      <c r="AN25" s="152">
        <f ca="1">IFERROR(__xludf.DUMMYFUNCTION("IMPORTRANGE(""https://docs.google.com/spreadsheets/d/1dQrvX0vEcN7Gu0fnZ0B5S90AeR19zth4XlExFBeExMY/edit?usp=sharing"",""แม่ฮ่องสอน!I675"")"),0)</f>
        <v>0</v>
      </c>
      <c r="AO25" s="152">
        <f ca="1">IFERROR(__xludf.DUMMYFUNCTION("IMPORTRANGE(""https://docs.google.com/spreadsheets/d/1dQrvX0vEcN7Gu0fnZ0B5S90AeR19zth4XlExFBeExMY/edit?usp=sharing"",""แม่ฮ่องสอน!J674"")"),0)</f>
        <v>0</v>
      </c>
      <c r="AP25" s="216">
        <f t="shared" ca="1" si="43"/>
        <v>0</v>
      </c>
      <c r="AQ25" s="152">
        <f ca="1">IFERROR(__xludf.DUMMYFUNCTION("IMPORTRANGE(""https://docs.google.com/spreadsheets/d/1dQrvX0vEcN7Gu0fnZ0B5S90AeR19zth4XlExFBeExMY/edit?usp=sharing"",""แม่ฮ่องสอน!J675"")"),0)</f>
        <v>0</v>
      </c>
      <c r="AR25" s="216">
        <f t="shared" ca="1" si="44"/>
        <v>0</v>
      </c>
      <c r="AS25" s="152">
        <f ca="1">IFERROR(__xludf.DUMMYFUNCTION("IMPORTRANGE(""https://docs.google.com/spreadsheets/d/1dQrvX0vEcN7Gu0fnZ0B5S90AeR19zth4XlExFBeExMY/edit?usp=sharing"",""แม่ฮ่องสอน!I676"")"),0)</f>
        <v>0</v>
      </c>
      <c r="AT25" s="152">
        <f ca="1">IFERROR(__xludf.DUMMYFUNCTION("IMPORTRANGE(""https://docs.google.com/spreadsheets/d/1dQrvX0vEcN7Gu0fnZ0B5S90AeR19zth4XlExFBeExMY/edit?usp=sharing"",""แม่ฮ่องสอน!I678"")"),0)</f>
        <v>0</v>
      </c>
      <c r="AU25" s="152">
        <f ca="1">IFERROR(__xludf.DUMMYFUNCTION("IMPORTRANGE(""https://docs.google.com/spreadsheets/d/1dQrvX0vEcN7Gu0fnZ0B5S90AeR19zth4XlExFBeExMY/edit?usp=sharing"",""แม่ฮ่องสอน!J676"")"),0)</f>
        <v>0</v>
      </c>
      <c r="AV25" s="152">
        <f ca="1">IFERROR(__xludf.DUMMYFUNCTION("IMPORTRANGE(""https://docs.google.com/spreadsheets/d/1dQrvX0vEcN7Gu0fnZ0B5S90AeR19zth4XlExFBeExMY/edit?usp=sharing"",""แม่ฮ่องสอน!J677"")"),0)</f>
        <v>0</v>
      </c>
      <c r="AW25" s="152">
        <f ca="1">IFERROR(__xludf.DUMMYFUNCTION("IMPORTRANGE(""https://docs.google.com/spreadsheets/d/1dQrvX0vEcN7Gu0fnZ0B5S90AeR19zth4XlExFBeExMY/edit?usp=sharing"",""แม่ฮ่องสอน!J678"")"),0)</f>
        <v>0</v>
      </c>
      <c r="AX25" s="152">
        <f ca="1">IFERROR(__xludf.DUMMYFUNCTION("IMPORTRANGE(""https://docs.google.com/spreadsheets/d/1dQrvX0vEcN7Gu0fnZ0B5S90AeR19zth4XlExFBeExMY/edit?usp=sharing"",""แม่ฮ่องสอน!I679"")"),0)</f>
        <v>0</v>
      </c>
      <c r="AY25" s="152">
        <f ca="1">IFERROR(__xludf.DUMMYFUNCTION("IMPORTRANGE(""https://docs.google.com/spreadsheets/d/1dQrvX0vEcN7Gu0fnZ0B5S90AeR19zth4XlExFBeExMY/edit?usp=sharing"",""แม่ฮ่องสอน!I681"")"),0)</f>
        <v>0</v>
      </c>
      <c r="AZ25" s="152">
        <f ca="1">IFERROR(__xludf.DUMMYFUNCTION("IMPORTRANGE(""https://docs.google.com/spreadsheets/d/1dQrvX0vEcN7Gu0fnZ0B5S90AeR19zth4XlExFBeExMY/edit?usp=sharing"",""แม่ฮ่องสอน!J679"")"),0)</f>
        <v>0</v>
      </c>
      <c r="BA25" s="152">
        <f ca="1">IFERROR(__xludf.DUMMYFUNCTION("IMPORTRANGE(""https://docs.google.com/spreadsheets/d/1dQrvX0vEcN7Gu0fnZ0B5S90AeR19zth4XlExFBeExMY/edit?usp=sharing"",""แม่ฮ่องสอน!J680"")"),0)</f>
        <v>0</v>
      </c>
      <c r="BB25" s="152">
        <f ca="1">IFERROR(__xludf.DUMMYFUNCTION("IMPORTRANGE(""https://docs.google.com/spreadsheets/d/1dQrvX0vEcN7Gu0fnZ0B5S90AeR19zth4XlExFBeExMY/edit?usp=sharing"",""แม่ฮ่องสอน!J681"")"),0)</f>
        <v>0</v>
      </c>
      <c r="BC25" s="152">
        <f ca="1">IFERROR(__xludf.DUMMYFUNCTION("IMPORTRANGE(""https://docs.google.com/spreadsheets/d/1dQrvX0vEcN7Gu0fnZ0B5S90AeR19zth4XlExFBeExMY/edit?usp=sharing"",""แม่ฮ่องสอน!I682"")"),0)</f>
        <v>0</v>
      </c>
      <c r="BD25" s="152">
        <f ca="1">IFERROR(__xludf.DUMMYFUNCTION("IMPORTRANGE(""https://docs.google.com/spreadsheets/d/1dQrvX0vEcN7Gu0fnZ0B5S90AeR19zth4XlExFBeExMY/edit?usp=sharing"",""แม่ฮ่องสอน!J682"")"),0)</f>
        <v>0</v>
      </c>
      <c r="BE25" s="216">
        <f t="shared" ca="1" si="46"/>
        <v>0</v>
      </c>
      <c r="BF25" s="152">
        <f ca="1">IFERROR(__xludf.DUMMYFUNCTION("IMPORTRANGE(""https://docs.google.com/spreadsheets/d/1dQrvX0vEcN7Gu0fnZ0B5S90AeR19zth4XlExFBeExMY/edit?usp=sharing"",""แม่ฮ่องสอน!J683"")"),0)</f>
        <v>0</v>
      </c>
      <c r="BG25" s="152">
        <f ca="1">IFERROR(__xludf.DUMMYFUNCTION("IMPORTRANGE(""https://docs.google.com/spreadsheets/d/1dQrvX0vEcN7Gu0fnZ0B5S90AeR19zth4XlExFBeExMY/edit?usp=sharing"",""แม่ฮ่องสอน!J684"")"),0)</f>
        <v>0</v>
      </c>
      <c r="BH25" s="152">
        <f ca="1">IFERROR(__xludf.DUMMYFUNCTION("IMPORTRANGE(""https://docs.google.com/spreadsheets/d/1dQrvX0vEcN7Gu0fnZ0B5S90AeR19zth4XlExFBeExMY/edit?usp=sharing"",""แม่ฮ่องสอน!J685"")"),0)</f>
        <v>0</v>
      </c>
      <c r="BI25" s="152">
        <f ca="1">IFERROR(__xludf.DUMMYFUNCTION("IMPORTRANGE(""https://docs.google.com/spreadsheets/d/1dQrvX0vEcN7Gu0fnZ0B5S90AeR19zth4XlExFBeExMY/edit?usp=sharing"",""แม่ฮ่องสอน!J686"")"),0)</f>
        <v>0</v>
      </c>
      <c r="BJ25" s="152">
        <f ca="1">IFERROR(__xludf.DUMMYFUNCTION("IMPORTRANGE(""https://docs.google.com/spreadsheets/d/1dQrvX0vEcN7Gu0fnZ0B5S90AeR19zth4XlExFBeExMY/edit?usp=sharing"",""แม่ฮ่องสอน!J687"")"),0)</f>
        <v>0</v>
      </c>
      <c r="BK25" s="152">
        <f ca="1">IFERROR(__xludf.DUMMYFUNCTION("IMPORTRANGE(""https://docs.google.com/spreadsheets/d/1dQrvX0vEcN7Gu0fnZ0B5S90AeR19zth4XlExFBeExMY/edit?usp=sharing"",""แม่ฮ่องสอน!J688"")"),0)</f>
        <v>0</v>
      </c>
    </row>
    <row r="26" spans="1:63" ht="19.5" x14ac:dyDescent="0.3">
      <c r="A26" s="70">
        <v>13</v>
      </c>
      <c r="B26" s="71" t="s">
        <v>54</v>
      </c>
      <c r="C26" s="68">
        <f ca="1">IFERROR(__xludf.DUMMYFUNCTION("IMPORTRANGE(""https://docs.google.com/spreadsheets/d/1DY4XTNNwjluuxqdfdn6qvOSlMRrZqUtmYcZR0ttFiG4/edit?usp=sharing"",""ลำปาง!Q642"")"),0)</f>
        <v>0</v>
      </c>
      <c r="D26" s="68">
        <f ca="1">IFERROR(__xludf.DUMMYFUNCTION("IMPORTRANGE(""https://docs.google.com/spreadsheets/d/1DY4XTNNwjluuxqdfdn6qvOSlMRrZqUtmYcZR0ttFiG4/edit?usp=sharing"",""ลำปาง!R642"")"),0)</f>
        <v>0</v>
      </c>
      <c r="E26" s="68">
        <f ca="1">IFERROR(__xludf.DUMMYFUNCTION("IMPORTRANGE(""https://docs.google.com/spreadsheets/d/1DY4XTNNwjluuxqdfdn6qvOSlMRrZqUtmYcZR0ttFiG4/edit?usp=sharing"",""ลำปาง!S642"")"),0)</f>
        <v>0</v>
      </c>
      <c r="F26" s="68">
        <f t="shared" ca="1" si="30"/>
        <v>0</v>
      </c>
      <c r="G26" s="68">
        <f t="shared" ca="1" si="31"/>
        <v>0</v>
      </c>
      <c r="H26" s="278">
        <f ca="1">IFERROR(__xludf.DUMMYFUNCTION("IMPORTRANGE(""https://docs.google.com/spreadsheets/d/1DY4XTNNwjluuxqdfdn6qvOSlMRrZqUtmYcZR0ttFiG4/edit?usp=sharing"",""ลำปาง!I652"")"),0)</f>
        <v>0</v>
      </c>
      <c r="I26" s="152">
        <f ca="1">IFERROR(__xludf.DUMMYFUNCTION("IMPORTRANGE(""https://docs.google.com/spreadsheets/d/1DY4XTNNwjluuxqdfdn6qvOSlMRrZqUtmYcZR0ttFiG4/edit?usp=sharing"",""ลำปาง!J652"")"),0)</f>
        <v>0</v>
      </c>
      <c r="J26" s="216">
        <f t="shared" ca="1" si="33"/>
        <v>0</v>
      </c>
      <c r="K26" s="152">
        <f ca="1">IFERROR(__xludf.DUMMYFUNCTION("IMPORTRANGE(""https://docs.google.com/spreadsheets/d/1DY4XTNNwjluuxqdfdn6qvOSlMRrZqUtmYcZR0ttFiG4/edit?usp=sharing"",""ลำปาง!I653"")"),0)</f>
        <v>0</v>
      </c>
      <c r="L26" s="152">
        <f ca="1">IFERROR(__xludf.DUMMYFUNCTION("IMPORTRANGE(""https://docs.google.com/spreadsheets/d/1DY4XTNNwjluuxqdfdn6qvOSlMRrZqUtmYcZR0ttFiG4/edit?usp=sharing"",""ลำปาง!J653"")"),0)</f>
        <v>0</v>
      </c>
      <c r="M26" s="216">
        <f t="shared" ca="1" si="35"/>
        <v>0</v>
      </c>
      <c r="N26" s="152">
        <f ca="1">IFERROR(__xludf.DUMMYFUNCTION("IMPORTRANGE(""https://docs.google.com/spreadsheets/d/1DY4XTNNwjluuxqdfdn6qvOSlMRrZqUtmYcZR0ttFiG4/edit?usp=sharing"",""ลำปาง!I654"")"),0)</f>
        <v>0</v>
      </c>
      <c r="O26" s="152">
        <f ca="1">IFERROR(__xludf.DUMMYFUNCTION("IMPORTRANGE(""https://docs.google.com/spreadsheets/d/1DY4XTNNwjluuxqdfdn6qvOSlMRrZqUtmYcZR0ttFiG4/edit?usp=sharing"",""ลำปาง!J654"")"),0)</f>
        <v>0</v>
      </c>
      <c r="P26" s="216">
        <f t="shared" ca="1" si="37"/>
        <v>0</v>
      </c>
      <c r="Q26" s="216">
        <f ca="1">IFERROR(__xludf.DUMMYFUNCTION("IMPORTRANGE(""https://docs.google.com/spreadsheets/d/1DY4XTNNwjluuxqdfdn6qvOSlMRrZqUtmYcZR0ttFiG4/edit?usp=sharing"",""ลำปาง!J655"")"),0)</f>
        <v>0</v>
      </c>
      <c r="R26" s="216">
        <f ca="1">IFERROR(__xludf.DUMMYFUNCTION("IMPORTRANGE(""https://docs.google.com/spreadsheets/d/1DY4XTNNwjluuxqdfdn6qvOSlMRrZqUtmYcZR0ttFiG4/edit?usp=sharing"",""ลำปาง!J656"")"),0)</f>
        <v>0</v>
      </c>
      <c r="S26" s="216">
        <f ca="1">IFERROR(__xludf.DUMMYFUNCTION("IMPORTRANGE(""https://docs.google.com/spreadsheets/d/1DY4XTNNwjluuxqdfdn6qvOSlMRrZqUtmYcZR0ttFiG4/edit?usp=sharing"",""ลำปาง!J657"")"),0)</f>
        <v>0</v>
      </c>
      <c r="T26" s="216">
        <f ca="1">IFERROR(__xludf.DUMMYFUNCTION("IMPORTRANGE(""https://docs.google.com/spreadsheets/d/1DY4XTNNwjluuxqdfdn6qvOSlMRrZqUtmYcZR0ttFiG4/edit?usp=sharing"",""ลำปาง!J658"")"),0)</f>
        <v>0</v>
      </c>
      <c r="U26" s="216">
        <f ca="1">IFERROR(__xludf.DUMMYFUNCTION("IMPORTRANGE(""https://docs.google.com/spreadsheets/d/1DY4XTNNwjluuxqdfdn6qvOSlMRrZqUtmYcZR0ttFiG4/edit?usp=sharing"",""ลำปาง!J659"")"),0)</f>
        <v>0</v>
      </c>
      <c r="V26" s="216">
        <f ca="1">IFERROR(__xludf.DUMMYFUNCTION("IMPORTRANGE(""https://docs.google.com/spreadsheets/d/1DY4XTNNwjluuxqdfdn6qvOSlMRrZqUtmYcZR0ttFiG4/edit?usp=sharing"",""ลำปาง!J660"")"),0)</f>
        <v>0</v>
      </c>
      <c r="W26" s="152">
        <f ca="1">IFERROR(__xludf.DUMMYFUNCTION("IMPORTRANGE(""https://docs.google.com/spreadsheets/d/1DY4XTNNwjluuxqdfdn6qvOSlMRrZqUtmYcZR0ttFiG4/edit?usp=sharing"",""ลำปาง!I661"")"),0)</f>
        <v>0</v>
      </c>
      <c r="X26" s="152">
        <f ca="1">IFERROR(__xludf.DUMMYFUNCTION("IMPORTRANGE(""https://docs.google.com/spreadsheets/d/1DY4XTNNwjluuxqdfdn6qvOSlMRrZqUtmYcZR0ttFiG4/edit?usp=sharing"",""ลำปาง!J661"")"),0)</f>
        <v>0</v>
      </c>
      <c r="Y26" s="216">
        <f t="shared" ca="1" si="39"/>
        <v>0</v>
      </c>
      <c r="Z26" s="152">
        <f ca="1">IFERROR(__xludf.DUMMYFUNCTION("IMPORTRANGE(""https://docs.google.com/spreadsheets/d/1DY4XTNNwjluuxqdfdn6qvOSlMRrZqUtmYcZR0ttFiG4/edit?usp=sharing"",""ลำปาง!J662"")"),0)</f>
        <v>0</v>
      </c>
      <c r="AA26" s="152">
        <f ca="1">IFERROR(__xludf.DUMMYFUNCTION("IMPORTRANGE(""https://docs.google.com/spreadsheets/d/1DY4XTNNwjluuxqdfdn6qvOSlMRrZqUtmYcZR0ttFiG4/edit?usp=sharing"",""ลำปาง!J663"")"),0)</f>
        <v>0</v>
      </c>
      <c r="AB26" s="152">
        <f ca="1">IFERROR(__xludf.DUMMYFUNCTION("IMPORTRANGE(""https://docs.google.com/spreadsheets/d/1DY4XTNNwjluuxqdfdn6qvOSlMRrZqUtmYcZR0ttFiG4/edit?usp=sharing"",""ลำปาง!J665"")"),0)</f>
        <v>0</v>
      </c>
      <c r="AC26" s="152">
        <f ca="1">IFERROR(__xludf.DUMMYFUNCTION("IMPORTRANGE(""https://docs.google.com/spreadsheets/d/1DY4XTNNwjluuxqdfdn6qvOSlMRrZqUtmYcZR0ttFiG4/edit?usp=sharing"",""ลำปาง!J666"")"),0)</f>
        <v>0</v>
      </c>
      <c r="AD26" s="152">
        <f ca="1">IFERROR(__xludf.DUMMYFUNCTION("IMPORTRANGE(""https://docs.google.com/spreadsheets/d/1DY4XTNNwjluuxqdfdn6qvOSlMRrZqUtmYcZR0ttFiG4/edit?usp=sharing"",""ลำปาง!J667"")"),0)</f>
        <v>0</v>
      </c>
      <c r="AE26" s="152">
        <f ca="1">IFERROR(__xludf.DUMMYFUNCTION("IMPORTRANGE(""https://docs.google.com/spreadsheets/d/1DY4XTNNwjluuxqdfdn6qvOSlMRrZqUtmYcZR0ttFiG4/edit?usp=sharing"",""ลำปาง!J668"")"),0)</f>
        <v>0</v>
      </c>
      <c r="AF26" s="152">
        <f ca="1">IFERROR(__xludf.DUMMYFUNCTION("IMPORTRANGE(""https://docs.google.com/spreadsheets/d/1DY4XTNNwjluuxqdfdn6qvOSlMRrZqUtmYcZR0ttFiG4/edit?usp=sharing"",""ลำปาง!J669"")"),0)</f>
        <v>0</v>
      </c>
      <c r="AG26" s="152">
        <f ca="1">IFERROR(__xludf.DUMMYFUNCTION("IMPORTRANGE(""https://docs.google.com/spreadsheets/d/1DY4XTNNwjluuxqdfdn6qvOSlMRrZqUtmYcZR0ttFiG4/edit?usp=sharing"",""ลำปาง!J670"")"),0)</f>
        <v>0</v>
      </c>
      <c r="AH26" s="152">
        <f ca="1">IFERROR(__xludf.DUMMYFUNCTION("IMPORTRANGE(""https://docs.google.com/spreadsheets/d/1DY4XTNNwjluuxqdfdn6qvOSlMRrZqUtmYcZR0ttFiG4/edit?usp=sharing"",""ลำปาง!I673"")"),0)</f>
        <v>0</v>
      </c>
      <c r="AI26" s="152">
        <f ca="1">IFERROR(__xludf.DUMMYFUNCTION("IMPORTRANGE(""https://docs.google.com/spreadsheets/d/1DY4XTNNwjluuxqdfdn6qvOSlMRrZqUtmYcZR0ttFiG4/edit?usp=sharing"",""ลำปาง!J671"")"),0)</f>
        <v>0</v>
      </c>
      <c r="AJ26" s="152">
        <f ca="1">IFERROR(__xludf.DUMMYFUNCTION("IMPORTRANGE(""https://docs.google.com/spreadsheets/d/1DY4XTNNwjluuxqdfdn6qvOSlMRrZqUtmYcZR0ttFiG4/edit?usp=sharing"",""ลำปาง!J672"")"),0)</f>
        <v>0</v>
      </c>
      <c r="AK26" s="152">
        <f ca="1">IFERROR(__xludf.DUMMYFUNCTION("IMPORTRANGE(""https://docs.google.com/spreadsheets/d/1DY4XTNNwjluuxqdfdn6qvOSlMRrZqUtmYcZR0ttFiG4/edit?usp=sharing"",""ลำปาง!J673"")"),0)</f>
        <v>0</v>
      </c>
      <c r="AL26" s="216">
        <f t="shared" ca="1" si="41"/>
        <v>0</v>
      </c>
      <c r="AM26" s="152">
        <f ca="1">IFERROR(__xludf.DUMMYFUNCTION("IMPORTRANGE(""https://docs.google.com/spreadsheets/d/1DY4XTNNwjluuxqdfdn6qvOSlMRrZqUtmYcZR0ttFiG4/edit?usp=sharing"",""ลำปาง!I674"")"),0)</f>
        <v>0</v>
      </c>
      <c r="AN26" s="152">
        <f ca="1">IFERROR(__xludf.DUMMYFUNCTION("IMPORTRANGE(""https://docs.google.com/spreadsheets/d/1DY4XTNNwjluuxqdfdn6qvOSlMRrZqUtmYcZR0ttFiG4/edit?usp=sharing"",""ลำปาง!I675"")"),0)</f>
        <v>0</v>
      </c>
      <c r="AO26" s="152">
        <f ca="1">IFERROR(__xludf.DUMMYFUNCTION("IMPORTRANGE(""https://docs.google.com/spreadsheets/d/1DY4XTNNwjluuxqdfdn6qvOSlMRrZqUtmYcZR0ttFiG4/edit?usp=sharing"",""ลำปาง!J674"")"),0)</f>
        <v>0</v>
      </c>
      <c r="AP26" s="216">
        <f t="shared" ca="1" si="43"/>
        <v>0</v>
      </c>
      <c r="AQ26" s="152">
        <f ca="1">IFERROR(__xludf.DUMMYFUNCTION("IMPORTRANGE(""https://docs.google.com/spreadsheets/d/1DY4XTNNwjluuxqdfdn6qvOSlMRrZqUtmYcZR0ttFiG4/edit?usp=sharing"",""ลำปาง!J675"")"),0)</f>
        <v>0</v>
      </c>
      <c r="AR26" s="216">
        <f t="shared" ca="1" si="44"/>
        <v>0</v>
      </c>
      <c r="AS26" s="152">
        <f ca="1">IFERROR(__xludf.DUMMYFUNCTION("IMPORTRANGE(""https://docs.google.com/spreadsheets/d/1DY4XTNNwjluuxqdfdn6qvOSlMRrZqUtmYcZR0ttFiG4/edit?usp=sharing"",""ลำปาง!I676"")"),0)</f>
        <v>0</v>
      </c>
      <c r="AT26" s="152">
        <f ca="1">IFERROR(__xludf.DUMMYFUNCTION("IMPORTRANGE(""https://docs.google.com/spreadsheets/d/1DY4XTNNwjluuxqdfdn6qvOSlMRrZqUtmYcZR0ttFiG4/edit?usp=sharing"",""ลำปาง!I678"")"),0)</f>
        <v>0</v>
      </c>
      <c r="AU26" s="152">
        <f ca="1">IFERROR(__xludf.DUMMYFUNCTION("IMPORTRANGE(""https://docs.google.com/spreadsheets/d/1DY4XTNNwjluuxqdfdn6qvOSlMRrZqUtmYcZR0ttFiG4/edit?usp=sharing"",""ลำปาง!J676"")"),0)</f>
        <v>0</v>
      </c>
      <c r="AV26" s="152">
        <f ca="1">IFERROR(__xludf.DUMMYFUNCTION("IMPORTRANGE(""https://docs.google.com/spreadsheets/d/1DY4XTNNwjluuxqdfdn6qvOSlMRrZqUtmYcZR0ttFiG4/edit?usp=sharing"",""ลำปาง!J677"")"),0)</f>
        <v>0</v>
      </c>
      <c r="AW26" s="152">
        <f ca="1">IFERROR(__xludf.DUMMYFUNCTION("IMPORTRANGE(""https://docs.google.com/spreadsheets/d/1DY4XTNNwjluuxqdfdn6qvOSlMRrZqUtmYcZR0ttFiG4/edit?usp=sharing"",""ลำปาง!J678"")"),0)</f>
        <v>0</v>
      </c>
      <c r="AX26" s="152">
        <f ca="1">IFERROR(__xludf.DUMMYFUNCTION("IMPORTRANGE(""https://docs.google.com/spreadsheets/d/1DY4XTNNwjluuxqdfdn6qvOSlMRrZqUtmYcZR0ttFiG4/edit?usp=sharing"",""ลำปาง!I679"")"),0)</f>
        <v>0</v>
      </c>
      <c r="AY26" s="152">
        <f ca="1">IFERROR(__xludf.DUMMYFUNCTION("IMPORTRANGE(""https://docs.google.com/spreadsheets/d/1DY4XTNNwjluuxqdfdn6qvOSlMRrZqUtmYcZR0ttFiG4/edit?usp=sharing"",""ลำปาง!I681"")"),0)</f>
        <v>0</v>
      </c>
      <c r="AZ26" s="152">
        <f ca="1">IFERROR(__xludf.DUMMYFUNCTION("IMPORTRANGE(""https://docs.google.com/spreadsheets/d/1DY4XTNNwjluuxqdfdn6qvOSlMRrZqUtmYcZR0ttFiG4/edit?usp=sharing"",""ลำปาง!J679"")"),0)</f>
        <v>0</v>
      </c>
      <c r="BA26" s="152">
        <f ca="1">IFERROR(__xludf.DUMMYFUNCTION("IMPORTRANGE(""https://docs.google.com/spreadsheets/d/1DY4XTNNwjluuxqdfdn6qvOSlMRrZqUtmYcZR0ttFiG4/edit?usp=sharing"",""ลำปาง!J680"")"),0)</f>
        <v>0</v>
      </c>
      <c r="BB26" s="152">
        <f ca="1">IFERROR(__xludf.DUMMYFUNCTION("IMPORTRANGE(""https://docs.google.com/spreadsheets/d/1DY4XTNNwjluuxqdfdn6qvOSlMRrZqUtmYcZR0ttFiG4/edit?usp=sharing"",""ลำปาง!J681"")"),0)</f>
        <v>0</v>
      </c>
      <c r="BC26" s="152">
        <f ca="1">IFERROR(__xludf.DUMMYFUNCTION("IMPORTRANGE(""https://docs.google.com/spreadsheets/d/1DY4XTNNwjluuxqdfdn6qvOSlMRrZqUtmYcZR0ttFiG4/edit?usp=sharing"",""ลำปาง!I682"")"),0)</f>
        <v>0</v>
      </c>
      <c r="BD26" s="152">
        <f ca="1">IFERROR(__xludf.DUMMYFUNCTION("IMPORTRANGE(""https://docs.google.com/spreadsheets/d/1DY4XTNNwjluuxqdfdn6qvOSlMRrZqUtmYcZR0ttFiG4/edit?usp=sharing"",""ลำปาง!J682"")"),0)</f>
        <v>0</v>
      </c>
      <c r="BE26" s="216">
        <f t="shared" ca="1" si="46"/>
        <v>0</v>
      </c>
      <c r="BF26" s="152">
        <f ca="1">IFERROR(__xludf.DUMMYFUNCTION("IMPORTRANGE(""https://docs.google.com/spreadsheets/d/1DY4XTNNwjluuxqdfdn6qvOSlMRrZqUtmYcZR0ttFiG4/edit?usp=sharing"",""ลำปาง!J683"")"),0)</f>
        <v>0</v>
      </c>
      <c r="BG26" s="152">
        <f ca="1">IFERROR(__xludf.DUMMYFUNCTION("IMPORTRANGE(""https://docs.google.com/spreadsheets/d/1DY4XTNNwjluuxqdfdn6qvOSlMRrZqUtmYcZR0ttFiG4/edit?usp=sharing"",""ลำปาง!J684"")"),0)</f>
        <v>0</v>
      </c>
      <c r="BH26" s="152">
        <f ca="1">IFERROR(__xludf.DUMMYFUNCTION("IMPORTRANGE(""https://docs.google.com/spreadsheets/d/1DY4XTNNwjluuxqdfdn6qvOSlMRrZqUtmYcZR0ttFiG4/edit?usp=sharing"",""ลำปาง!J685"")"),0)</f>
        <v>0</v>
      </c>
      <c r="BI26" s="152">
        <f ca="1">IFERROR(__xludf.DUMMYFUNCTION("IMPORTRANGE(""https://docs.google.com/spreadsheets/d/1DY4XTNNwjluuxqdfdn6qvOSlMRrZqUtmYcZR0ttFiG4/edit?usp=sharing"",""ลำปาง!J686"")"),0)</f>
        <v>0</v>
      </c>
      <c r="BJ26" s="152">
        <f ca="1">IFERROR(__xludf.DUMMYFUNCTION("IMPORTRANGE(""https://docs.google.com/spreadsheets/d/1DY4XTNNwjluuxqdfdn6qvOSlMRrZqUtmYcZR0ttFiG4/edit?usp=sharing"",""ลำปาง!J687"")"),0)</f>
        <v>0</v>
      </c>
      <c r="BK26" s="152">
        <f ca="1">IFERROR(__xludf.DUMMYFUNCTION("IMPORTRANGE(""https://docs.google.com/spreadsheets/d/1DY4XTNNwjluuxqdfdn6qvOSlMRrZqUtmYcZR0ttFiG4/edit?usp=sharing"",""ลำปาง!J688"")"),0)</f>
        <v>0</v>
      </c>
    </row>
    <row r="27" spans="1:63" ht="19.5" x14ac:dyDescent="0.3">
      <c r="A27" s="70">
        <v>14</v>
      </c>
      <c r="B27" s="71" t="s">
        <v>55</v>
      </c>
      <c r="C27" s="68">
        <f ca="1">IFERROR(__xludf.DUMMYFUNCTION("IMPORTRANGE(""https://docs.google.com/spreadsheets/d/1ICwG78r0OFT8biBlxnBF8r7she7gNSzOvJ958PWT09c/edit?usp=sharing"",""ลำพูน!Q642"")"),16640)</f>
        <v>16640</v>
      </c>
      <c r="D27" s="68">
        <f ca="1">IFERROR(__xludf.DUMMYFUNCTION("IMPORTRANGE(""https://docs.google.com/spreadsheets/d/1ICwG78r0OFT8biBlxnBF8r7she7gNSzOvJ958PWT09c/edit?usp=sharing"",""ลำพูน!R642"")"),16640)</f>
        <v>16640</v>
      </c>
      <c r="E27" s="68">
        <f ca="1">IFERROR(__xludf.DUMMYFUNCTION("IMPORTRANGE(""https://docs.google.com/spreadsheets/d/1ICwG78r0OFT8biBlxnBF8r7she7gNSzOvJ958PWT09c/edit?usp=sharing"",""ลำพูน!S642"")"),0)</f>
        <v>0</v>
      </c>
      <c r="F27" s="68">
        <f t="shared" ca="1" si="30"/>
        <v>0</v>
      </c>
      <c r="G27" s="68">
        <f t="shared" ca="1" si="31"/>
        <v>0</v>
      </c>
      <c r="H27" s="278">
        <f ca="1">IFERROR(__xludf.DUMMYFUNCTION("IMPORTRANGE(""https://docs.google.com/spreadsheets/d/1ICwG78r0OFT8biBlxnBF8r7she7gNSzOvJ958PWT09c/edit?usp=sharing"",""ลำพูน!I652"")"),0)</f>
        <v>0</v>
      </c>
      <c r="I27" s="152">
        <f ca="1">IFERROR(__xludf.DUMMYFUNCTION("IMPORTRANGE(""https://docs.google.com/spreadsheets/d/1ICwG78r0OFT8biBlxnBF8r7she7gNSzOvJ958PWT09c/edit?usp=sharing"",""ลำพูน!J652"")"),0)</f>
        <v>0</v>
      </c>
      <c r="J27" s="216">
        <f t="shared" ca="1" si="33"/>
        <v>0</v>
      </c>
      <c r="K27" s="152">
        <f ca="1">IFERROR(__xludf.DUMMYFUNCTION("IMPORTRANGE(""https://docs.google.com/spreadsheets/d/1ICwG78r0OFT8biBlxnBF8r7she7gNSzOvJ958PWT09c/edit?usp=sharing"",""ลำพูน!I653"")"),0)</f>
        <v>0</v>
      </c>
      <c r="L27" s="152">
        <f ca="1">IFERROR(__xludf.DUMMYFUNCTION("IMPORTRANGE(""https://docs.google.com/spreadsheets/d/1ICwG78r0OFT8biBlxnBF8r7she7gNSzOvJ958PWT09c/edit?usp=sharing"",""ลำพูน!J653"")"),0)</f>
        <v>0</v>
      </c>
      <c r="M27" s="216">
        <f t="shared" ca="1" si="35"/>
        <v>0</v>
      </c>
      <c r="N27" s="152">
        <f ca="1">IFERROR(__xludf.DUMMYFUNCTION("IMPORTRANGE(""https://docs.google.com/spreadsheets/d/1ICwG78r0OFT8biBlxnBF8r7she7gNSzOvJ958PWT09c/edit?usp=sharing"",""ลำพูน!I654"")"),80)</f>
        <v>80</v>
      </c>
      <c r="O27" s="152">
        <f ca="1">IFERROR(__xludf.DUMMYFUNCTION("IMPORTRANGE(""https://docs.google.com/spreadsheets/d/1ICwG78r0OFT8biBlxnBF8r7she7gNSzOvJ958PWT09c/edit?usp=sharing"",""ลำพูน!J654"")"),30.68)</f>
        <v>30.68</v>
      </c>
      <c r="P27" s="216">
        <f t="shared" ca="1" si="37"/>
        <v>38.35</v>
      </c>
      <c r="Q27" s="216">
        <f ca="1">IFERROR(__xludf.DUMMYFUNCTION("IMPORTRANGE(""https://docs.google.com/spreadsheets/d/1ICwG78r0OFT8biBlxnBF8r7she7gNSzOvJ958PWT09c/edit?usp=sharing"",""ลำพูน!J655"")"),4)</f>
        <v>4</v>
      </c>
      <c r="R27" s="216">
        <f ca="1">IFERROR(__xludf.DUMMYFUNCTION("IMPORTRANGE(""https://docs.google.com/spreadsheets/d/1ICwG78r0OFT8biBlxnBF8r7she7gNSzOvJ958PWT09c/edit?usp=sharing"",""ลำพูน!J656"")"),5)</f>
        <v>5</v>
      </c>
      <c r="S27" s="216">
        <f ca="1">IFERROR(__xludf.DUMMYFUNCTION("IMPORTRANGE(""https://docs.google.com/spreadsheets/d/1ICwG78r0OFT8biBlxnBF8r7she7gNSzOvJ958PWT09c/edit?usp=sharing"",""ลำพูน!J657"")"),30.68)</f>
        <v>30.68</v>
      </c>
      <c r="T27" s="216">
        <f ca="1">IFERROR(__xludf.DUMMYFUNCTION("IMPORTRANGE(""https://docs.google.com/spreadsheets/d/1ICwG78r0OFT8biBlxnBF8r7she7gNSzOvJ958PWT09c/edit?usp=sharing"",""ลำพูน!J658"")"),0)</f>
        <v>0</v>
      </c>
      <c r="U27" s="216">
        <f ca="1">IFERROR(__xludf.DUMMYFUNCTION("IMPORTRANGE(""https://docs.google.com/spreadsheets/d/1ICwG78r0OFT8biBlxnBF8r7she7gNSzOvJ958PWT09c/edit?usp=sharing"",""ลำพูน!J659"")"),0)</f>
        <v>0</v>
      </c>
      <c r="V27" s="216">
        <f ca="1">IFERROR(__xludf.DUMMYFUNCTION("IMPORTRANGE(""https://docs.google.com/spreadsheets/d/1ICwG78r0OFT8biBlxnBF8r7she7gNSzOvJ958PWT09c/edit?usp=sharing"",""ลำพูน!J660"")"),0)</f>
        <v>0</v>
      </c>
      <c r="W27" s="152">
        <f ca="1">IFERROR(__xludf.DUMMYFUNCTION("IMPORTRANGE(""https://docs.google.com/spreadsheets/d/1ICwG78r0OFT8biBlxnBF8r7she7gNSzOvJ958PWT09c/edit?usp=sharing"",""ลำพูน!I661"")"),1)</f>
        <v>1</v>
      </c>
      <c r="X27" s="152">
        <f ca="1">IFERROR(__xludf.DUMMYFUNCTION("IMPORTRANGE(""https://docs.google.com/spreadsheets/d/1ICwG78r0OFT8biBlxnBF8r7she7gNSzOvJ958PWT09c/edit?usp=sharing"",""ลำพูน!J661"")"),0)</f>
        <v>0</v>
      </c>
      <c r="Y27" s="216">
        <f t="shared" ca="1" si="39"/>
        <v>0</v>
      </c>
      <c r="Z27" s="152">
        <f ca="1">IFERROR(__xludf.DUMMYFUNCTION("IMPORTRANGE(""https://docs.google.com/spreadsheets/d/1ICwG78r0OFT8biBlxnBF8r7she7gNSzOvJ958PWT09c/edit?usp=sharing"",""ลำพูน!J662"")"),0)</f>
        <v>0</v>
      </c>
      <c r="AA27" s="152">
        <f ca="1">IFERROR(__xludf.DUMMYFUNCTION("IMPORTRANGE(""https://docs.google.com/spreadsheets/d/1ICwG78r0OFT8biBlxnBF8r7she7gNSzOvJ958PWT09c/edit?usp=sharing"",""ลำพูน!J663"")"),0)</f>
        <v>0</v>
      </c>
      <c r="AB27" s="152">
        <f ca="1">IFERROR(__xludf.DUMMYFUNCTION("IMPORTRANGE(""https://docs.google.com/spreadsheets/d/1ICwG78r0OFT8biBlxnBF8r7she7gNSzOvJ958PWT09c/edit?usp=sharing"",""ลำพูน!J665"")"),0)</f>
        <v>0</v>
      </c>
      <c r="AC27" s="152">
        <f ca="1">IFERROR(__xludf.DUMMYFUNCTION("IMPORTRANGE(""https://docs.google.com/spreadsheets/d/1ICwG78r0OFT8biBlxnBF8r7she7gNSzOvJ958PWT09c/edit?usp=sharing"",""ลำพูน!J666"")"),0)</f>
        <v>0</v>
      </c>
      <c r="AD27" s="152">
        <f ca="1">IFERROR(__xludf.DUMMYFUNCTION("IMPORTRANGE(""https://docs.google.com/spreadsheets/d/1ICwG78r0OFT8biBlxnBF8r7she7gNSzOvJ958PWT09c/edit?usp=sharing"",""ลำพูน!J667"")"),0)</f>
        <v>0</v>
      </c>
      <c r="AE27" s="152">
        <f ca="1">IFERROR(__xludf.DUMMYFUNCTION("IMPORTRANGE(""https://docs.google.com/spreadsheets/d/1ICwG78r0OFT8biBlxnBF8r7she7gNSzOvJ958PWT09c/edit?usp=sharing"",""ลำพูน!J668"")"),0)</f>
        <v>0</v>
      </c>
      <c r="AF27" s="152">
        <f ca="1">IFERROR(__xludf.DUMMYFUNCTION("IMPORTRANGE(""https://docs.google.com/spreadsheets/d/1ICwG78r0OFT8biBlxnBF8r7she7gNSzOvJ958PWT09c/edit?usp=sharing"",""ลำพูน!J669"")"),0)</f>
        <v>0</v>
      </c>
      <c r="AG27" s="152">
        <f ca="1">IFERROR(__xludf.DUMMYFUNCTION("IMPORTRANGE(""https://docs.google.com/spreadsheets/d/1ICwG78r0OFT8biBlxnBF8r7she7gNSzOvJ958PWT09c/edit?usp=sharing"",""ลำพูน!J670"")"),0)</f>
        <v>0</v>
      </c>
      <c r="AH27" s="152">
        <f ca="1">IFERROR(__xludf.DUMMYFUNCTION("IMPORTRANGE(""https://docs.google.com/spreadsheets/d/1ICwG78r0OFT8biBlxnBF8r7she7gNSzOvJ958PWT09c/edit?usp=sharing"",""ลำพูน!I673"")"),100)</f>
        <v>100</v>
      </c>
      <c r="AI27" s="152">
        <f ca="1">IFERROR(__xludf.DUMMYFUNCTION("IMPORTRANGE(""https://docs.google.com/spreadsheets/d/1ICwG78r0OFT8biBlxnBF8r7she7gNSzOvJ958PWT09c/edit?usp=sharing"",""ลำพูน!J671"")"),0)</f>
        <v>0</v>
      </c>
      <c r="AJ27" s="152">
        <f ca="1">IFERROR(__xludf.DUMMYFUNCTION("IMPORTRANGE(""https://docs.google.com/spreadsheets/d/1ICwG78r0OFT8biBlxnBF8r7she7gNSzOvJ958PWT09c/edit?usp=sharing"",""ลำพูน!J672"")"),0)</f>
        <v>0</v>
      </c>
      <c r="AK27" s="152">
        <f ca="1">IFERROR(__xludf.DUMMYFUNCTION("IMPORTRANGE(""https://docs.google.com/spreadsheets/d/1ICwG78r0OFT8biBlxnBF8r7she7gNSzOvJ958PWT09c/edit?usp=sharing"",""ลำพูน!J673"")"),0)</f>
        <v>0</v>
      </c>
      <c r="AL27" s="216">
        <f t="shared" ca="1" si="41"/>
        <v>0</v>
      </c>
      <c r="AM27" s="152">
        <f ca="1">IFERROR(__xludf.DUMMYFUNCTION("IMPORTRANGE(""https://docs.google.com/spreadsheets/d/1ICwG78r0OFT8biBlxnBF8r7she7gNSzOvJ958PWT09c/edit?usp=sharing"",""ลำพูน!I674"")"),25)</f>
        <v>25</v>
      </c>
      <c r="AN27" s="152">
        <f ca="1">IFERROR(__xludf.DUMMYFUNCTION("IMPORTRANGE(""https://docs.google.com/spreadsheets/d/1ICwG78r0OFT8biBlxnBF8r7she7gNSzOvJ958PWT09c/edit?usp=sharing"",""ลำพูน!I675"")"),210)</f>
        <v>210</v>
      </c>
      <c r="AO27" s="152">
        <f ca="1">IFERROR(__xludf.DUMMYFUNCTION("IMPORTRANGE(""https://docs.google.com/spreadsheets/d/1ICwG78r0OFT8biBlxnBF8r7she7gNSzOvJ958PWT09c/edit?usp=sharing"",""ลำพูน!J674"")"),2)</f>
        <v>2</v>
      </c>
      <c r="AP27" s="216">
        <f t="shared" ca="1" si="43"/>
        <v>8</v>
      </c>
      <c r="AQ27" s="152">
        <f ca="1">IFERROR(__xludf.DUMMYFUNCTION("IMPORTRANGE(""https://docs.google.com/spreadsheets/d/1ICwG78r0OFT8biBlxnBF8r7she7gNSzOvJ958PWT09c/edit?usp=sharing"",""ลำพูน!J675"")"),12.12)</f>
        <v>12.12</v>
      </c>
      <c r="AR27" s="216">
        <f t="shared" ca="1" si="44"/>
        <v>5.7714285714285714</v>
      </c>
      <c r="AS27" s="152">
        <f ca="1">IFERROR(__xludf.DUMMYFUNCTION("IMPORTRANGE(""https://docs.google.com/spreadsheets/d/1ICwG78r0OFT8biBlxnBF8r7she7gNSzOvJ958PWT09c/edit?usp=sharing"",""ลำพูน!I676"")"),20)</f>
        <v>20</v>
      </c>
      <c r="AT27" s="152">
        <f ca="1">IFERROR(__xludf.DUMMYFUNCTION("IMPORTRANGE(""https://docs.google.com/spreadsheets/d/1ICwG78r0OFT8biBlxnBF8r7she7gNSzOvJ958PWT09c/edit?usp=sharing"",""ลำพูน!I678"")"),160)</f>
        <v>160</v>
      </c>
      <c r="AU27" s="152">
        <f ca="1">IFERROR(__xludf.DUMMYFUNCTION("IMPORTRANGE(""https://docs.google.com/spreadsheets/d/1ICwG78r0OFT8biBlxnBF8r7she7gNSzOvJ958PWT09c/edit?usp=sharing"",""ลำพูน!J676"")"),2)</f>
        <v>2</v>
      </c>
      <c r="AV27" s="152">
        <f ca="1">IFERROR(__xludf.DUMMYFUNCTION("IMPORTRANGE(""https://docs.google.com/spreadsheets/d/1ICwG78r0OFT8biBlxnBF8r7she7gNSzOvJ958PWT09c/edit?usp=sharing"",""ลำพูน!J677"")"),2)</f>
        <v>2</v>
      </c>
      <c r="AW27" s="152">
        <f ca="1">IFERROR(__xludf.DUMMYFUNCTION("IMPORTRANGE(""https://docs.google.com/spreadsheets/d/1ICwG78r0OFT8biBlxnBF8r7she7gNSzOvJ958PWT09c/edit?usp=sharing"",""ลำพูน!J678"")"),12.12)</f>
        <v>12.12</v>
      </c>
      <c r="AX27" s="152">
        <f ca="1">IFERROR(__xludf.DUMMYFUNCTION("IMPORTRANGE(""https://docs.google.com/spreadsheets/d/1ICwG78r0OFT8biBlxnBF8r7she7gNSzOvJ958PWT09c/edit?usp=sharing"",""ลำพูน!I679"")"),5)</f>
        <v>5</v>
      </c>
      <c r="AY27" s="152">
        <f ca="1">IFERROR(__xludf.DUMMYFUNCTION("IMPORTRANGE(""https://docs.google.com/spreadsheets/d/1ICwG78r0OFT8biBlxnBF8r7she7gNSzOvJ958PWT09c/edit?usp=sharing"",""ลำพูน!I681"")"),50)</f>
        <v>50</v>
      </c>
      <c r="AZ27" s="152">
        <f ca="1">IFERROR(__xludf.DUMMYFUNCTION("IMPORTRANGE(""https://docs.google.com/spreadsheets/d/1ICwG78r0OFT8biBlxnBF8r7she7gNSzOvJ958PWT09c/edit?usp=sharing"",""ลำพูน!J679"")"),0)</f>
        <v>0</v>
      </c>
      <c r="BA27" s="152">
        <f ca="1">IFERROR(__xludf.DUMMYFUNCTION("IMPORTRANGE(""https://docs.google.com/spreadsheets/d/1ICwG78r0OFT8biBlxnBF8r7she7gNSzOvJ958PWT09c/edit?usp=sharing"",""ลำพูน!J680"")"),0)</f>
        <v>0</v>
      </c>
      <c r="BB27" s="152">
        <f ca="1">IFERROR(__xludf.DUMMYFUNCTION("IMPORTRANGE(""https://docs.google.com/spreadsheets/d/1ICwG78r0OFT8biBlxnBF8r7she7gNSzOvJ958PWT09c/edit?usp=sharing"",""ลำพูน!J681"")"),0)</f>
        <v>0</v>
      </c>
      <c r="BC27" s="152">
        <f ca="1">IFERROR(__xludf.DUMMYFUNCTION("IMPORTRANGE(""https://docs.google.com/spreadsheets/d/1ICwG78r0OFT8biBlxnBF8r7she7gNSzOvJ958PWT09c/edit?usp=sharing"",""ลำพูน!I682"")"),0)</f>
        <v>0</v>
      </c>
      <c r="BD27" s="152">
        <f ca="1">IFERROR(__xludf.DUMMYFUNCTION("IMPORTRANGE(""https://docs.google.com/spreadsheets/d/1ICwG78r0OFT8biBlxnBF8r7she7gNSzOvJ958PWT09c/edit?usp=sharing"",""ลำพูน!J682"")"),0)</f>
        <v>0</v>
      </c>
      <c r="BE27" s="216">
        <f t="shared" ca="1" si="46"/>
        <v>0</v>
      </c>
      <c r="BF27" s="152">
        <f ca="1">IFERROR(__xludf.DUMMYFUNCTION("IMPORTRANGE(""https://docs.google.com/spreadsheets/d/1ICwG78r0OFT8biBlxnBF8r7she7gNSzOvJ958PWT09c/edit?usp=sharing"",""ลำพูน!J683"")"),0)</f>
        <v>0</v>
      </c>
      <c r="BG27" s="152">
        <f ca="1">IFERROR(__xludf.DUMMYFUNCTION("IMPORTRANGE(""https://docs.google.com/spreadsheets/d/1ICwG78r0OFT8biBlxnBF8r7she7gNSzOvJ958PWT09c/edit?usp=sharing"",""ลำพูน!J684"")"),0)</f>
        <v>0</v>
      </c>
      <c r="BH27" s="152">
        <f ca="1">IFERROR(__xludf.DUMMYFUNCTION("IMPORTRANGE(""https://docs.google.com/spreadsheets/d/1ICwG78r0OFT8biBlxnBF8r7she7gNSzOvJ958PWT09c/edit?usp=sharing"",""ลำพูน!J685"")"),0)</f>
        <v>0</v>
      </c>
      <c r="BI27" s="152">
        <f ca="1">IFERROR(__xludf.DUMMYFUNCTION("IMPORTRANGE(""https://docs.google.com/spreadsheets/d/1ICwG78r0OFT8biBlxnBF8r7she7gNSzOvJ958PWT09c/edit?usp=sharing"",""ลำพูน!J686"")"),0)</f>
        <v>0</v>
      </c>
      <c r="BJ27" s="152">
        <f ca="1">IFERROR(__xludf.DUMMYFUNCTION("IMPORTRANGE(""https://docs.google.com/spreadsheets/d/1ICwG78r0OFT8biBlxnBF8r7she7gNSzOvJ958PWT09c/edit?usp=sharing"",""ลำพูน!J687"")"),0)</f>
        <v>0</v>
      </c>
      <c r="BK27" s="152">
        <f ca="1">IFERROR(__xludf.DUMMYFUNCTION("IMPORTRANGE(""https://docs.google.com/spreadsheets/d/1ICwG78r0OFT8biBlxnBF8r7she7gNSzOvJ958PWT09c/edit?usp=sharing"",""ลำพูน!J688"")"),0)</f>
        <v>0</v>
      </c>
    </row>
    <row r="28" spans="1:63" ht="19.5" x14ac:dyDescent="0.3">
      <c r="A28" s="70">
        <v>15</v>
      </c>
      <c r="B28" s="71" t="s">
        <v>56</v>
      </c>
      <c r="C28" s="68">
        <f ca="1">IFERROR(__xludf.DUMMYFUNCTION("IMPORTRANGE(""https://docs.google.com/spreadsheets/d/1B0f2xJpZUC6Z0xXnqKlZtEPzsf6L84eP1r1Q15seqRM/edit?usp=sharing"",""สุโขทัย!Q642"")"),2180)</f>
        <v>2180</v>
      </c>
      <c r="D28" s="68">
        <f ca="1">IFERROR(__xludf.DUMMYFUNCTION("IMPORTRANGE(""https://docs.google.com/spreadsheets/d/1B0f2xJpZUC6Z0xXnqKlZtEPzsf6L84eP1r1Q15seqRM/edit?usp=sharing"",""สุโขทัย!R642"")"),2180)</f>
        <v>2180</v>
      </c>
      <c r="E28" s="68">
        <f ca="1">IFERROR(__xludf.DUMMYFUNCTION("IMPORTRANGE(""https://docs.google.com/spreadsheets/d/1B0f2xJpZUC6Z0xXnqKlZtEPzsf6L84eP1r1Q15seqRM/edit?usp=sharing"",""สุโขทัย!S642"")"),0)</f>
        <v>0</v>
      </c>
      <c r="F28" s="68">
        <f t="shared" ca="1" si="30"/>
        <v>0</v>
      </c>
      <c r="G28" s="68">
        <f t="shared" ca="1" si="31"/>
        <v>0</v>
      </c>
      <c r="H28" s="278">
        <f ca="1">IFERROR(__xludf.DUMMYFUNCTION("IMPORTRANGE(""https://docs.google.com/spreadsheets/d/1B0f2xJpZUC6Z0xXnqKlZtEPzsf6L84eP1r1Q15seqRM/edit?usp=sharing"",""สุโขทัย!I652"")"),0)</f>
        <v>0</v>
      </c>
      <c r="I28" s="152">
        <f ca="1">IFERROR(__xludf.DUMMYFUNCTION("IMPORTRANGE(""https://docs.google.com/spreadsheets/d/1B0f2xJpZUC6Z0xXnqKlZtEPzsf6L84eP1r1Q15seqRM/edit?usp=sharing"",""สุโขทัย!J652"")"),0)</f>
        <v>0</v>
      </c>
      <c r="J28" s="216">
        <f t="shared" ca="1" si="33"/>
        <v>0</v>
      </c>
      <c r="K28" s="152">
        <f ca="1">IFERROR(__xludf.DUMMYFUNCTION("IMPORTRANGE(""https://docs.google.com/spreadsheets/d/1B0f2xJpZUC6Z0xXnqKlZtEPzsf6L84eP1r1Q15seqRM/edit?usp=sharing"",""สุโขทัย!I653"")"),0)</f>
        <v>0</v>
      </c>
      <c r="L28" s="152">
        <f ca="1">IFERROR(__xludf.DUMMYFUNCTION("IMPORTRANGE(""https://docs.google.com/spreadsheets/d/1B0f2xJpZUC6Z0xXnqKlZtEPzsf6L84eP1r1Q15seqRM/edit?usp=sharing"",""สุโขทัย!J653"")"),0)</f>
        <v>0</v>
      </c>
      <c r="M28" s="216">
        <f t="shared" ca="1" si="35"/>
        <v>0</v>
      </c>
      <c r="N28" s="152">
        <f ca="1">IFERROR(__xludf.DUMMYFUNCTION("IMPORTRANGE(""https://docs.google.com/spreadsheets/d/1B0f2xJpZUC6Z0xXnqKlZtEPzsf6L84eP1r1Q15seqRM/edit?usp=sharing"",""สุโขทัย!I654"")"),29)</f>
        <v>29</v>
      </c>
      <c r="O28" s="152">
        <f ca="1">IFERROR(__xludf.DUMMYFUNCTION("IMPORTRANGE(""https://docs.google.com/spreadsheets/d/1B0f2xJpZUC6Z0xXnqKlZtEPzsf6L84eP1r1Q15seqRM/edit?usp=sharing"",""สุโขทัย!J654"")"),0)</f>
        <v>0</v>
      </c>
      <c r="P28" s="216">
        <f t="shared" ca="1" si="37"/>
        <v>0</v>
      </c>
      <c r="Q28" s="216" t="str">
        <f ca="1">IFERROR(__xludf.DUMMYFUNCTION("IMPORTRANGE(""https://docs.google.com/spreadsheets/d/1B0f2xJpZUC6Z0xXnqKlZtEPzsf6L84eP1r1Q15seqRM/edit?usp=sharing"",""สุโขทัย!J655"")"),"")</f>
        <v/>
      </c>
      <c r="R28" s="216" t="str">
        <f ca="1">IFERROR(__xludf.DUMMYFUNCTION("IMPORTRANGE(""https://docs.google.com/spreadsheets/d/1B0f2xJpZUC6Z0xXnqKlZtEPzsf6L84eP1r1Q15seqRM/edit?usp=sharing"",""สุโขทัย!J656"")"),"")</f>
        <v/>
      </c>
      <c r="S28" s="216" t="str">
        <f ca="1">IFERROR(__xludf.DUMMYFUNCTION("IMPORTRANGE(""https://docs.google.com/spreadsheets/d/1B0f2xJpZUC6Z0xXnqKlZtEPzsf6L84eP1r1Q15seqRM/edit?usp=sharing"",""สุโขทัย!J657"")"),"")</f>
        <v/>
      </c>
      <c r="T28" s="216">
        <f ca="1">IFERROR(__xludf.DUMMYFUNCTION("IMPORTRANGE(""https://docs.google.com/spreadsheets/d/1B0f2xJpZUC6Z0xXnqKlZtEPzsf6L84eP1r1Q15seqRM/edit?usp=sharing"",""สุโขทัย!J658"")"),0)</f>
        <v>0</v>
      </c>
      <c r="U28" s="216">
        <f ca="1">IFERROR(__xludf.DUMMYFUNCTION("IMPORTRANGE(""https://docs.google.com/spreadsheets/d/1B0f2xJpZUC6Z0xXnqKlZtEPzsf6L84eP1r1Q15seqRM/edit?usp=sharing"",""สุโขทัย!J659"")"),0)</f>
        <v>0</v>
      </c>
      <c r="V28" s="216">
        <f ca="1">IFERROR(__xludf.DUMMYFUNCTION("IMPORTRANGE(""https://docs.google.com/spreadsheets/d/1B0f2xJpZUC6Z0xXnqKlZtEPzsf6L84eP1r1Q15seqRM/edit?usp=sharing"",""สุโขทัย!J660"")"),0)</f>
        <v>0</v>
      </c>
      <c r="W28" s="152">
        <f ca="1">IFERROR(__xludf.DUMMYFUNCTION("IMPORTRANGE(""https://docs.google.com/spreadsheets/d/1B0f2xJpZUC6Z0xXnqKlZtEPzsf6L84eP1r1Q15seqRM/edit?usp=sharing"",""สุโขทัย!I661"")"),0)</f>
        <v>0</v>
      </c>
      <c r="X28" s="152">
        <f ca="1">IFERROR(__xludf.DUMMYFUNCTION("IMPORTRANGE(""https://docs.google.com/spreadsheets/d/1B0f2xJpZUC6Z0xXnqKlZtEPzsf6L84eP1r1Q15seqRM/edit?usp=sharing"",""สุโขทัย!J661"")"),0)</f>
        <v>0</v>
      </c>
      <c r="Y28" s="216">
        <f t="shared" ca="1" si="39"/>
        <v>0</v>
      </c>
      <c r="Z28" s="152">
        <f ca="1">IFERROR(__xludf.DUMMYFUNCTION("IMPORTRANGE(""https://docs.google.com/spreadsheets/d/1B0f2xJpZUC6Z0xXnqKlZtEPzsf6L84eP1r1Q15seqRM/edit?usp=sharing"",""สุโขทัย!J662"")"),0)</f>
        <v>0</v>
      </c>
      <c r="AA28" s="152">
        <f ca="1">IFERROR(__xludf.DUMMYFUNCTION("IMPORTRANGE(""https://docs.google.com/spreadsheets/d/1B0f2xJpZUC6Z0xXnqKlZtEPzsf6L84eP1r1Q15seqRM/edit?usp=sharing"",""สุโขทัย!J663"")"),0)</f>
        <v>0</v>
      </c>
      <c r="AB28" s="152">
        <f ca="1">IFERROR(__xludf.DUMMYFUNCTION("IMPORTRANGE(""https://docs.google.com/spreadsheets/d/1B0f2xJpZUC6Z0xXnqKlZtEPzsf6L84eP1r1Q15seqRM/edit?usp=sharing"",""สุโขทัย!J665"")"),0)</f>
        <v>0</v>
      </c>
      <c r="AC28" s="152">
        <f ca="1">IFERROR(__xludf.DUMMYFUNCTION("IMPORTRANGE(""https://docs.google.com/spreadsheets/d/1B0f2xJpZUC6Z0xXnqKlZtEPzsf6L84eP1r1Q15seqRM/edit?usp=sharing"",""สุโขทัย!J666"")"),0)</f>
        <v>0</v>
      </c>
      <c r="AD28" s="152">
        <f ca="1">IFERROR(__xludf.DUMMYFUNCTION("IMPORTRANGE(""https://docs.google.com/spreadsheets/d/1B0f2xJpZUC6Z0xXnqKlZtEPzsf6L84eP1r1Q15seqRM/edit?usp=sharing"",""สุโขทัย!J667"")"),0)</f>
        <v>0</v>
      </c>
      <c r="AE28" s="152">
        <f ca="1">IFERROR(__xludf.DUMMYFUNCTION("IMPORTRANGE(""https://docs.google.com/spreadsheets/d/1B0f2xJpZUC6Z0xXnqKlZtEPzsf6L84eP1r1Q15seqRM/edit?usp=sharing"",""สุโขทัย!J668"")"),0)</f>
        <v>0</v>
      </c>
      <c r="AF28" s="152">
        <f ca="1">IFERROR(__xludf.DUMMYFUNCTION("IMPORTRANGE(""https://docs.google.com/spreadsheets/d/1B0f2xJpZUC6Z0xXnqKlZtEPzsf6L84eP1r1Q15seqRM/edit?usp=sharing"",""สุโขทัย!J669"")"),0)</f>
        <v>0</v>
      </c>
      <c r="AG28" s="152">
        <f ca="1">IFERROR(__xludf.DUMMYFUNCTION("IMPORTRANGE(""https://docs.google.com/spreadsheets/d/1B0f2xJpZUC6Z0xXnqKlZtEPzsf6L84eP1r1Q15seqRM/edit?usp=sharing"",""สุโขทัย!J670"")"),0)</f>
        <v>0</v>
      </c>
      <c r="AH28" s="152">
        <f ca="1">IFERROR(__xludf.DUMMYFUNCTION("IMPORTRANGE(""https://docs.google.com/spreadsheets/d/1B0f2xJpZUC6Z0xXnqKlZtEPzsf6L84eP1r1Q15seqRM/edit?usp=sharing"",""สุโขทัย!I673"")"),0)</f>
        <v>0</v>
      </c>
      <c r="AI28" s="152">
        <f ca="1">IFERROR(__xludf.DUMMYFUNCTION("IMPORTRANGE(""https://docs.google.com/spreadsheets/d/1B0f2xJpZUC6Z0xXnqKlZtEPzsf6L84eP1r1Q15seqRM/edit?usp=sharing"",""สุโขทัย!J671"")"),0)</f>
        <v>0</v>
      </c>
      <c r="AJ28" s="152">
        <f ca="1">IFERROR(__xludf.DUMMYFUNCTION("IMPORTRANGE(""https://docs.google.com/spreadsheets/d/1B0f2xJpZUC6Z0xXnqKlZtEPzsf6L84eP1r1Q15seqRM/edit?usp=sharing"",""สุโขทัย!J672"")"),0)</f>
        <v>0</v>
      </c>
      <c r="AK28" s="152">
        <f ca="1">IFERROR(__xludf.DUMMYFUNCTION("IMPORTRANGE(""https://docs.google.com/spreadsheets/d/1B0f2xJpZUC6Z0xXnqKlZtEPzsf6L84eP1r1Q15seqRM/edit?usp=sharing"",""สุโขทัย!J673"")"),0)</f>
        <v>0</v>
      </c>
      <c r="AL28" s="216">
        <f t="shared" ca="1" si="41"/>
        <v>0</v>
      </c>
      <c r="AM28" s="152">
        <f ca="1">IFERROR(__xludf.DUMMYFUNCTION("IMPORTRANGE(""https://docs.google.com/spreadsheets/d/1B0f2xJpZUC6Z0xXnqKlZtEPzsf6L84eP1r1Q15seqRM/edit?usp=sharing"",""สุโขทัย!I674"")"),5)</f>
        <v>5</v>
      </c>
      <c r="AN28" s="152">
        <f ca="1">IFERROR(__xludf.DUMMYFUNCTION("IMPORTRANGE(""https://docs.google.com/spreadsheets/d/1B0f2xJpZUC6Z0xXnqKlZtEPzsf6L84eP1r1Q15seqRM/edit?usp=sharing"",""สุโขทัย!I675"")"),73)</f>
        <v>73</v>
      </c>
      <c r="AO28" s="152">
        <f ca="1">IFERROR(__xludf.DUMMYFUNCTION("IMPORTRANGE(""https://docs.google.com/spreadsheets/d/1B0f2xJpZUC6Z0xXnqKlZtEPzsf6L84eP1r1Q15seqRM/edit?usp=sharing"",""สุโขทัย!J674"")"),1)</f>
        <v>1</v>
      </c>
      <c r="AP28" s="216">
        <f t="shared" ca="1" si="43"/>
        <v>20</v>
      </c>
      <c r="AQ28" s="152">
        <f ca="1">IFERROR(__xludf.DUMMYFUNCTION("IMPORTRANGE(""https://docs.google.com/spreadsheets/d/1B0f2xJpZUC6Z0xXnqKlZtEPzsf6L84eP1r1Q15seqRM/edit?usp=sharing"",""สุโขทัย!J675"")"),25)</f>
        <v>25</v>
      </c>
      <c r="AR28" s="216">
        <f t="shared" ca="1" si="44"/>
        <v>34.246575342465754</v>
      </c>
      <c r="AS28" s="152">
        <f ca="1">IFERROR(__xludf.DUMMYFUNCTION("IMPORTRANGE(""https://docs.google.com/spreadsheets/d/1B0f2xJpZUC6Z0xXnqKlZtEPzsf6L84eP1r1Q15seqRM/edit?usp=sharing"",""สุโขทัย!I676"")"),5)</f>
        <v>5</v>
      </c>
      <c r="AT28" s="152">
        <f ca="1">IFERROR(__xludf.DUMMYFUNCTION("IMPORTRANGE(""https://docs.google.com/spreadsheets/d/1B0f2xJpZUC6Z0xXnqKlZtEPzsf6L84eP1r1Q15seqRM/edit?usp=sharing"",""สุโขทัย!I678"")"),73)</f>
        <v>73</v>
      </c>
      <c r="AU28" s="152">
        <f ca="1">IFERROR(__xludf.DUMMYFUNCTION("IMPORTRANGE(""https://docs.google.com/spreadsheets/d/1B0f2xJpZUC6Z0xXnqKlZtEPzsf6L84eP1r1Q15seqRM/edit?usp=sharing"",""สุโขทัย!J676"")"),1)</f>
        <v>1</v>
      </c>
      <c r="AV28" s="152">
        <f ca="1">IFERROR(__xludf.DUMMYFUNCTION("IMPORTRANGE(""https://docs.google.com/spreadsheets/d/1B0f2xJpZUC6Z0xXnqKlZtEPzsf6L84eP1r1Q15seqRM/edit?usp=sharing"",""สุโขทัย!J677"")"),1)</f>
        <v>1</v>
      </c>
      <c r="AW28" s="152">
        <f ca="1">IFERROR(__xludf.DUMMYFUNCTION("IMPORTRANGE(""https://docs.google.com/spreadsheets/d/1B0f2xJpZUC6Z0xXnqKlZtEPzsf6L84eP1r1Q15seqRM/edit?usp=sharing"",""สุโขทัย!J678"")"),25)</f>
        <v>25</v>
      </c>
      <c r="AX28" s="152">
        <f ca="1">IFERROR(__xludf.DUMMYFUNCTION("IMPORTRANGE(""https://docs.google.com/spreadsheets/d/1B0f2xJpZUC6Z0xXnqKlZtEPzsf6L84eP1r1Q15seqRM/edit?usp=sharing"",""สุโขทัย!I679"")"),0)</f>
        <v>0</v>
      </c>
      <c r="AY28" s="152">
        <f ca="1">IFERROR(__xludf.DUMMYFUNCTION("IMPORTRANGE(""https://docs.google.com/spreadsheets/d/1B0f2xJpZUC6Z0xXnqKlZtEPzsf6L84eP1r1Q15seqRM/edit?usp=sharing"",""สุโขทัย!I681"")"),0)</f>
        <v>0</v>
      </c>
      <c r="AZ28" s="152">
        <f ca="1">IFERROR(__xludf.DUMMYFUNCTION("IMPORTRANGE(""https://docs.google.com/spreadsheets/d/1B0f2xJpZUC6Z0xXnqKlZtEPzsf6L84eP1r1Q15seqRM/edit?usp=sharing"",""สุโขทัย!J679"")"),0)</f>
        <v>0</v>
      </c>
      <c r="BA28" s="152">
        <f ca="1">IFERROR(__xludf.DUMMYFUNCTION("IMPORTRANGE(""https://docs.google.com/spreadsheets/d/1B0f2xJpZUC6Z0xXnqKlZtEPzsf6L84eP1r1Q15seqRM/edit?usp=sharing"",""สุโขทัย!J680"")"),0)</f>
        <v>0</v>
      </c>
      <c r="BB28" s="152">
        <f ca="1">IFERROR(__xludf.DUMMYFUNCTION("IMPORTRANGE(""https://docs.google.com/spreadsheets/d/1B0f2xJpZUC6Z0xXnqKlZtEPzsf6L84eP1r1Q15seqRM/edit?usp=sharing"",""สุโขทัย!J681"")"),0)</f>
        <v>0</v>
      </c>
      <c r="BC28" s="152">
        <f ca="1">IFERROR(__xludf.DUMMYFUNCTION("IMPORTRANGE(""https://docs.google.com/spreadsheets/d/1B0f2xJpZUC6Z0xXnqKlZtEPzsf6L84eP1r1Q15seqRM/edit?usp=sharing"",""สุโขทัย!I682"")"),0)</f>
        <v>0</v>
      </c>
      <c r="BD28" s="152">
        <f ca="1">IFERROR(__xludf.DUMMYFUNCTION("IMPORTRANGE(""https://docs.google.com/spreadsheets/d/1B0f2xJpZUC6Z0xXnqKlZtEPzsf6L84eP1r1Q15seqRM/edit?usp=sharing"",""สุโขทัย!J682"")"),0)</f>
        <v>0</v>
      </c>
      <c r="BE28" s="216">
        <f t="shared" ca="1" si="46"/>
        <v>0</v>
      </c>
      <c r="BF28" s="152">
        <f ca="1">IFERROR(__xludf.DUMMYFUNCTION("IMPORTRANGE(""https://docs.google.com/spreadsheets/d/1B0f2xJpZUC6Z0xXnqKlZtEPzsf6L84eP1r1Q15seqRM/edit?usp=sharing"",""สุโขทัย!J683"")"),0)</f>
        <v>0</v>
      </c>
      <c r="BG28" s="152">
        <f ca="1">IFERROR(__xludf.DUMMYFUNCTION("IMPORTRANGE(""https://docs.google.com/spreadsheets/d/1B0f2xJpZUC6Z0xXnqKlZtEPzsf6L84eP1r1Q15seqRM/edit?usp=sharing"",""สุโขทัย!J684"")"),0)</f>
        <v>0</v>
      </c>
      <c r="BH28" s="152">
        <f ca="1">IFERROR(__xludf.DUMMYFUNCTION("IMPORTRANGE(""https://docs.google.com/spreadsheets/d/1B0f2xJpZUC6Z0xXnqKlZtEPzsf6L84eP1r1Q15seqRM/edit?usp=sharing"",""สุโขทัย!J685"")"),0)</f>
        <v>0</v>
      </c>
      <c r="BI28" s="152">
        <f ca="1">IFERROR(__xludf.DUMMYFUNCTION("IMPORTRANGE(""https://docs.google.com/spreadsheets/d/1B0f2xJpZUC6Z0xXnqKlZtEPzsf6L84eP1r1Q15seqRM/edit?usp=sharing"",""สุโขทัย!J686"")"),0)</f>
        <v>0</v>
      </c>
      <c r="BJ28" s="152">
        <f ca="1">IFERROR(__xludf.DUMMYFUNCTION("IMPORTRANGE(""https://docs.google.com/spreadsheets/d/1B0f2xJpZUC6Z0xXnqKlZtEPzsf6L84eP1r1Q15seqRM/edit?usp=sharing"",""สุโขทัย!J687"")"),0)</f>
        <v>0</v>
      </c>
      <c r="BK28" s="152">
        <f ca="1">IFERROR(__xludf.DUMMYFUNCTION("IMPORTRANGE(""https://docs.google.com/spreadsheets/d/1B0f2xJpZUC6Z0xXnqKlZtEPzsf6L84eP1r1Q15seqRM/edit?usp=sharing"",""สุโขทัย!J688"")"),0)</f>
        <v>0</v>
      </c>
    </row>
    <row r="29" spans="1:63" ht="19.5" x14ac:dyDescent="0.3">
      <c r="A29" s="70">
        <v>16</v>
      </c>
      <c r="B29" s="71" t="s">
        <v>57</v>
      </c>
      <c r="C29" s="68">
        <f ca="1">IFERROR(__xludf.DUMMYFUNCTION("IMPORTRANGE(""https://docs.google.com/spreadsheets/d/1v0b9pFQCsKUVExMei7AgY2yQkdeNQvtOssygGsXbiKo/edit?usp=sharing"",""อุตรดิตถ์!Q642"")"),5600)</f>
        <v>5600</v>
      </c>
      <c r="D29" s="68">
        <f ca="1">IFERROR(__xludf.DUMMYFUNCTION("IMPORTRANGE(""https://docs.google.com/spreadsheets/d/1v0b9pFQCsKUVExMei7AgY2yQkdeNQvtOssygGsXbiKo/edit?usp=sharing"",""อุตรดิตถ์!R642"")"),5600)</f>
        <v>5600</v>
      </c>
      <c r="E29" s="68">
        <f ca="1">IFERROR(__xludf.DUMMYFUNCTION("IMPORTRANGE(""https://docs.google.com/spreadsheets/d/1v0b9pFQCsKUVExMei7AgY2yQkdeNQvtOssygGsXbiKo/edit?usp=sharing"",""อุตรดิตถ์!S642"")"),470)</f>
        <v>470</v>
      </c>
      <c r="F29" s="68">
        <f t="shared" ca="1" si="30"/>
        <v>8.3928571428571423</v>
      </c>
      <c r="G29" s="68">
        <f t="shared" ca="1" si="31"/>
        <v>8.3928571428571423</v>
      </c>
      <c r="H29" s="278">
        <f ca="1">IFERROR(__xludf.DUMMYFUNCTION("IMPORTRANGE(""https://docs.google.com/spreadsheets/d/1v0b9pFQCsKUVExMei7AgY2yQkdeNQvtOssygGsXbiKo/edit?usp=sharing"",""อุตรดิตถ์!I652"")"),0)</f>
        <v>0</v>
      </c>
      <c r="I29" s="152">
        <f ca="1">IFERROR(__xludf.DUMMYFUNCTION("IMPORTRANGE(""https://docs.google.com/spreadsheets/d/1v0b9pFQCsKUVExMei7AgY2yQkdeNQvtOssygGsXbiKo/edit?usp=sharing"",""อุตรดิตถ์!J652"")"),0)</f>
        <v>0</v>
      </c>
      <c r="J29" s="216">
        <f t="shared" ca="1" si="33"/>
        <v>0</v>
      </c>
      <c r="K29" s="152">
        <f ca="1">IFERROR(__xludf.DUMMYFUNCTION("IMPORTRANGE(""https://docs.google.com/spreadsheets/d/1v0b9pFQCsKUVExMei7AgY2yQkdeNQvtOssygGsXbiKo/edit?usp=sharing"",""อุตรดิตถ์!I653"")"),0)</f>
        <v>0</v>
      </c>
      <c r="L29" s="152">
        <f ca="1">IFERROR(__xludf.DUMMYFUNCTION("IMPORTRANGE(""https://docs.google.com/spreadsheets/d/1v0b9pFQCsKUVExMei7AgY2yQkdeNQvtOssygGsXbiKo/edit?usp=sharing"",""อุตรดิตถ์!J653"")"),0)</f>
        <v>0</v>
      </c>
      <c r="M29" s="216">
        <f t="shared" ca="1" si="35"/>
        <v>0</v>
      </c>
      <c r="N29" s="152">
        <f ca="1">IFERROR(__xludf.DUMMYFUNCTION("IMPORTRANGE(""https://docs.google.com/spreadsheets/d/1v0b9pFQCsKUVExMei7AgY2yQkdeNQvtOssygGsXbiKo/edit?usp=sharing"",""อุตรดิตถ์!I654"")"),8)</f>
        <v>8</v>
      </c>
      <c r="O29" s="152">
        <f ca="1">IFERROR(__xludf.DUMMYFUNCTION("IMPORTRANGE(""https://docs.google.com/spreadsheets/d/1v0b9pFQCsKUVExMei7AgY2yQkdeNQvtOssygGsXbiKo/edit?usp=sharing"",""อุตรดิตถ์!J654"")"),3)</f>
        <v>3</v>
      </c>
      <c r="P29" s="216">
        <f t="shared" ca="1" si="37"/>
        <v>37.5</v>
      </c>
      <c r="Q29" s="216">
        <f ca="1">IFERROR(__xludf.DUMMYFUNCTION("IMPORTRANGE(""https://docs.google.com/spreadsheets/d/1v0b9pFQCsKUVExMei7AgY2yQkdeNQvtOssygGsXbiKo/edit?usp=sharing"",""อุตรดิตถ์!J655"")"),0)</f>
        <v>0</v>
      </c>
      <c r="R29" s="216">
        <f ca="1">IFERROR(__xludf.DUMMYFUNCTION("IMPORTRANGE(""https://docs.google.com/spreadsheets/d/1v0b9pFQCsKUVExMei7AgY2yQkdeNQvtOssygGsXbiKo/edit?usp=sharing"",""อุตรดิตถ์!J656"")"),0)</f>
        <v>0</v>
      </c>
      <c r="S29" s="216">
        <f ca="1">IFERROR(__xludf.DUMMYFUNCTION("IMPORTRANGE(""https://docs.google.com/spreadsheets/d/1v0b9pFQCsKUVExMei7AgY2yQkdeNQvtOssygGsXbiKo/edit?usp=sharing"",""อุตรดิตถ์!J657"")"),0)</f>
        <v>0</v>
      </c>
      <c r="T29" s="216">
        <f ca="1">IFERROR(__xludf.DUMMYFUNCTION("IMPORTRANGE(""https://docs.google.com/spreadsheets/d/1v0b9pFQCsKUVExMei7AgY2yQkdeNQvtOssygGsXbiKo/edit?usp=sharing"",""อุตรดิตถ์!J658"")"),0)</f>
        <v>0</v>
      </c>
      <c r="U29" s="216">
        <f ca="1">IFERROR(__xludf.DUMMYFUNCTION("IMPORTRANGE(""https://docs.google.com/spreadsheets/d/1v0b9pFQCsKUVExMei7AgY2yQkdeNQvtOssygGsXbiKo/edit?usp=sharing"",""อุตรดิตถ์!J659"")"),0)</f>
        <v>0</v>
      </c>
      <c r="V29" s="216">
        <f ca="1">IFERROR(__xludf.DUMMYFUNCTION("IMPORTRANGE(""https://docs.google.com/spreadsheets/d/1v0b9pFQCsKUVExMei7AgY2yQkdeNQvtOssygGsXbiKo/edit?usp=sharing"",""อุตรดิตถ์!J660"")"),3)</f>
        <v>3</v>
      </c>
      <c r="W29" s="152">
        <f ca="1">IFERROR(__xludf.DUMMYFUNCTION("IMPORTRANGE(""https://docs.google.com/spreadsheets/d/1v0b9pFQCsKUVExMei7AgY2yQkdeNQvtOssygGsXbiKo/edit?usp=sharing"",""อุตรดิตถ์!I661"")"),0)</f>
        <v>0</v>
      </c>
      <c r="X29" s="152">
        <f ca="1">IFERROR(__xludf.DUMMYFUNCTION("IMPORTRANGE(""https://docs.google.com/spreadsheets/d/1v0b9pFQCsKUVExMei7AgY2yQkdeNQvtOssygGsXbiKo/edit?usp=sharing"",""อุตรดิตถ์!J661"")"),0)</f>
        <v>0</v>
      </c>
      <c r="Y29" s="216">
        <f t="shared" ca="1" si="39"/>
        <v>0</v>
      </c>
      <c r="Z29" s="152">
        <f ca="1">IFERROR(__xludf.DUMMYFUNCTION("IMPORTRANGE(""https://docs.google.com/spreadsheets/d/1v0b9pFQCsKUVExMei7AgY2yQkdeNQvtOssygGsXbiKo/edit?usp=sharing"",""อุตรดิตถ์!J662"")"),0)</f>
        <v>0</v>
      </c>
      <c r="AA29" s="152">
        <f ca="1">IFERROR(__xludf.DUMMYFUNCTION("IMPORTRANGE(""https://docs.google.com/spreadsheets/d/1v0b9pFQCsKUVExMei7AgY2yQkdeNQvtOssygGsXbiKo/edit?usp=sharing"",""อุตรดิตถ์!J663"")"),0)</f>
        <v>0</v>
      </c>
      <c r="AB29" s="152">
        <f ca="1">IFERROR(__xludf.DUMMYFUNCTION("IMPORTRANGE(""https://docs.google.com/spreadsheets/d/1v0b9pFQCsKUVExMei7AgY2yQkdeNQvtOssygGsXbiKo/edit?usp=sharing"",""อุตรดิตถ์!J665"")"),0)</f>
        <v>0</v>
      </c>
      <c r="AC29" s="152">
        <f ca="1">IFERROR(__xludf.DUMMYFUNCTION("IMPORTRANGE(""https://docs.google.com/spreadsheets/d/1v0b9pFQCsKUVExMei7AgY2yQkdeNQvtOssygGsXbiKo/edit?usp=sharing"",""อุตรดิตถ์!J666"")"),0)</f>
        <v>0</v>
      </c>
      <c r="AD29" s="152">
        <f ca="1">IFERROR(__xludf.DUMMYFUNCTION("IMPORTRANGE(""https://docs.google.com/spreadsheets/d/1v0b9pFQCsKUVExMei7AgY2yQkdeNQvtOssygGsXbiKo/edit?usp=sharing"",""อุตรดิตถ์!J667"")"),0)</f>
        <v>0</v>
      </c>
      <c r="AE29" s="152">
        <f ca="1">IFERROR(__xludf.DUMMYFUNCTION("IMPORTRANGE(""https://docs.google.com/spreadsheets/d/1v0b9pFQCsKUVExMei7AgY2yQkdeNQvtOssygGsXbiKo/edit?usp=sharing"",""อุตรดิตถ์!J668"")"),0)</f>
        <v>0</v>
      </c>
      <c r="AF29" s="152">
        <f ca="1">IFERROR(__xludf.DUMMYFUNCTION("IMPORTRANGE(""https://docs.google.com/spreadsheets/d/1v0b9pFQCsKUVExMei7AgY2yQkdeNQvtOssygGsXbiKo/edit?usp=sharing"",""อุตรดิตถ์!J669"")"),0)</f>
        <v>0</v>
      </c>
      <c r="AG29" s="152">
        <f ca="1">IFERROR(__xludf.DUMMYFUNCTION("IMPORTRANGE(""https://docs.google.com/spreadsheets/d/1v0b9pFQCsKUVExMei7AgY2yQkdeNQvtOssygGsXbiKo/edit?usp=sharing"",""อุตรดิตถ์!J670"")"),0)</f>
        <v>0</v>
      </c>
      <c r="AH29" s="152">
        <f ca="1">IFERROR(__xludf.DUMMYFUNCTION("IMPORTRANGE(""https://docs.google.com/spreadsheets/d/1v0b9pFQCsKUVExMei7AgY2yQkdeNQvtOssygGsXbiKo/edit?usp=sharing"",""อุตรดิตถ์!I673"")"),72)</f>
        <v>72</v>
      </c>
      <c r="AI29" s="152">
        <f ca="1">IFERROR(__xludf.DUMMYFUNCTION("IMPORTRANGE(""https://docs.google.com/spreadsheets/d/1v0b9pFQCsKUVExMei7AgY2yQkdeNQvtOssygGsXbiKo/edit?usp=sharing"",""อุตรดิตถ์!J671"")"),0)</f>
        <v>0</v>
      </c>
      <c r="AJ29" s="152">
        <f ca="1">IFERROR(__xludf.DUMMYFUNCTION("IMPORTRANGE(""https://docs.google.com/spreadsheets/d/1v0b9pFQCsKUVExMei7AgY2yQkdeNQvtOssygGsXbiKo/edit?usp=sharing"",""อุตรดิตถ์!J672"")"),0)</f>
        <v>0</v>
      </c>
      <c r="AK29" s="152">
        <f ca="1">IFERROR(__xludf.DUMMYFUNCTION("IMPORTRANGE(""https://docs.google.com/spreadsheets/d/1v0b9pFQCsKUVExMei7AgY2yQkdeNQvtOssygGsXbiKo/edit?usp=sharing"",""อุตรดิตถ์!J673"")"),0)</f>
        <v>0</v>
      </c>
      <c r="AL29" s="216">
        <f t="shared" ca="1" si="41"/>
        <v>0</v>
      </c>
      <c r="AM29" s="152">
        <f ca="1">IFERROR(__xludf.DUMMYFUNCTION("IMPORTRANGE(""https://docs.google.com/spreadsheets/d/1v0b9pFQCsKUVExMei7AgY2yQkdeNQvtOssygGsXbiKo/edit?usp=sharing"",""อุตรดิตถ์!I674"")"),1)</f>
        <v>1</v>
      </c>
      <c r="AN29" s="152">
        <f ca="1">IFERROR(__xludf.DUMMYFUNCTION("IMPORTRANGE(""https://docs.google.com/spreadsheets/d/1v0b9pFQCsKUVExMei7AgY2yQkdeNQvtOssygGsXbiKo/edit?usp=sharing"",""อุตรดิตถ์!I675"")"),5)</f>
        <v>5</v>
      </c>
      <c r="AO29" s="152">
        <f ca="1">IFERROR(__xludf.DUMMYFUNCTION("IMPORTRANGE(""https://docs.google.com/spreadsheets/d/1v0b9pFQCsKUVExMei7AgY2yQkdeNQvtOssygGsXbiKo/edit?usp=sharing"",""อุตรดิตถ์!J674"")"),0)</f>
        <v>0</v>
      </c>
      <c r="AP29" s="216">
        <f t="shared" ca="1" si="43"/>
        <v>0</v>
      </c>
      <c r="AQ29" s="152">
        <f ca="1">IFERROR(__xludf.DUMMYFUNCTION("IMPORTRANGE(""https://docs.google.com/spreadsheets/d/1v0b9pFQCsKUVExMei7AgY2yQkdeNQvtOssygGsXbiKo/edit?usp=sharing"",""อุตรดิตถ์!J675"")"),0)</f>
        <v>0</v>
      </c>
      <c r="AR29" s="216">
        <f t="shared" ca="1" si="44"/>
        <v>0</v>
      </c>
      <c r="AS29" s="152">
        <f ca="1">IFERROR(__xludf.DUMMYFUNCTION("IMPORTRANGE(""https://docs.google.com/spreadsheets/d/1v0b9pFQCsKUVExMei7AgY2yQkdeNQvtOssygGsXbiKo/edit?usp=sharing"",""อุตรดิตถ์!I676"")"),1)</f>
        <v>1</v>
      </c>
      <c r="AT29" s="152">
        <f ca="1">IFERROR(__xludf.DUMMYFUNCTION("IMPORTRANGE(""https://docs.google.com/spreadsheets/d/1v0b9pFQCsKUVExMei7AgY2yQkdeNQvtOssygGsXbiKo/edit?usp=sharing"",""อุตรดิตถ์!I678"")"),5)</f>
        <v>5</v>
      </c>
      <c r="AU29" s="152">
        <f ca="1">IFERROR(__xludf.DUMMYFUNCTION("IMPORTRANGE(""https://docs.google.com/spreadsheets/d/1v0b9pFQCsKUVExMei7AgY2yQkdeNQvtOssygGsXbiKo/edit?usp=sharing"",""อุตรดิตถ์!J676"")"),0)</f>
        <v>0</v>
      </c>
      <c r="AV29" s="152">
        <f ca="1">IFERROR(__xludf.DUMMYFUNCTION("IMPORTRANGE(""https://docs.google.com/spreadsheets/d/1v0b9pFQCsKUVExMei7AgY2yQkdeNQvtOssygGsXbiKo/edit?usp=sharing"",""อุตรดิตถ์!J677"")"),0)</f>
        <v>0</v>
      </c>
      <c r="AW29" s="152">
        <f ca="1">IFERROR(__xludf.DUMMYFUNCTION("IMPORTRANGE(""https://docs.google.com/spreadsheets/d/1v0b9pFQCsKUVExMei7AgY2yQkdeNQvtOssygGsXbiKo/edit?usp=sharing"",""อุตรดิตถ์!J678"")"),0)</f>
        <v>0</v>
      </c>
      <c r="AX29" s="152">
        <f ca="1">IFERROR(__xludf.DUMMYFUNCTION("IMPORTRANGE(""https://docs.google.com/spreadsheets/d/1v0b9pFQCsKUVExMei7AgY2yQkdeNQvtOssygGsXbiKo/edit?usp=sharing"",""อุตรดิตถ์!I679"")"),0)</f>
        <v>0</v>
      </c>
      <c r="AY29" s="152">
        <f ca="1">IFERROR(__xludf.DUMMYFUNCTION("IMPORTRANGE(""https://docs.google.com/spreadsheets/d/1v0b9pFQCsKUVExMei7AgY2yQkdeNQvtOssygGsXbiKo/edit?usp=sharing"",""อุตรดิตถ์!I681"")"),0)</f>
        <v>0</v>
      </c>
      <c r="AZ29" s="152">
        <f ca="1">IFERROR(__xludf.DUMMYFUNCTION("IMPORTRANGE(""https://docs.google.com/spreadsheets/d/1v0b9pFQCsKUVExMei7AgY2yQkdeNQvtOssygGsXbiKo/edit?usp=sharing"",""อุตรดิตถ์!J679"")"),0)</f>
        <v>0</v>
      </c>
      <c r="BA29" s="152">
        <f ca="1">IFERROR(__xludf.DUMMYFUNCTION("IMPORTRANGE(""https://docs.google.com/spreadsheets/d/1v0b9pFQCsKUVExMei7AgY2yQkdeNQvtOssygGsXbiKo/edit?usp=sharing"",""อุตรดิตถ์!J680"")"),0)</f>
        <v>0</v>
      </c>
      <c r="BB29" s="152">
        <f ca="1">IFERROR(__xludf.DUMMYFUNCTION("IMPORTRANGE(""https://docs.google.com/spreadsheets/d/1v0b9pFQCsKUVExMei7AgY2yQkdeNQvtOssygGsXbiKo/edit?usp=sharing"",""อุตรดิตถ์!J681"")"),0)</f>
        <v>0</v>
      </c>
      <c r="BC29" s="152">
        <f ca="1">IFERROR(__xludf.DUMMYFUNCTION("IMPORTRANGE(""https://docs.google.com/spreadsheets/d/1v0b9pFQCsKUVExMei7AgY2yQkdeNQvtOssygGsXbiKo/edit?usp=sharing"",""อุตรดิตถ์!I682"")"),0)</f>
        <v>0</v>
      </c>
      <c r="BD29" s="152">
        <f ca="1">IFERROR(__xludf.DUMMYFUNCTION("IMPORTRANGE(""https://docs.google.com/spreadsheets/d/1v0b9pFQCsKUVExMei7AgY2yQkdeNQvtOssygGsXbiKo/edit?usp=sharing"",""อุตรดิตถ์!J682"")"),0)</f>
        <v>0</v>
      </c>
      <c r="BE29" s="216">
        <f t="shared" ca="1" si="46"/>
        <v>0</v>
      </c>
      <c r="BF29" s="152">
        <f ca="1">IFERROR(__xludf.DUMMYFUNCTION("IMPORTRANGE(""https://docs.google.com/spreadsheets/d/1v0b9pFQCsKUVExMei7AgY2yQkdeNQvtOssygGsXbiKo/edit?usp=sharing"",""อุตรดิตถ์!J683"")"),0)</f>
        <v>0</v>
      </c>
      <c r="BG29" s="152">
        <f ca="1">IFERROR(__xludf.DUMMYFUNCTION("IMPORTRANGE(""https://docs.google.com/spreadsheets/d/1v0b9pFQCsKUVExMei7AgY2yQkdeNQvtOssygGsXbiKo/edit?usp=sharing"",""อุตรดิตถ์!J684"")"),0)</f>
        <v>0</v>
      </c>
      <c r="BH29" s="152">
        <f ca="1">IFERROR(__xludf.DUMMYFUNCTION("IMPORTRANGE(""https://docs.google.com/spreadsheets/d/1v0b9pFQCsKUVExMei7AgY2yQkdeNQvtOssygGsXbiKo/edit?usp=sharing"",""อุตรดิตถ์!J685"")"),0)</f>
        <v>0</v>
      </c>
      <c r="BI29" s="152">
        <f ca="1">IFERROR(__xludf.DUMMYFUNCTION("IMPORTRANGE(""https://docs.google.com/spreadsheets/d/1v0b9pFQCsKUVExMei7AgY2yQkdeNQvtOssygGsXbiKo/edit?usp=sharing"",""อุตรดิตถ์!J686"")"),0)</f>
        <v>0</v>
      </c>
      <c r="BJ29" s="152">
        <f ca="1">IFERROR(__xludf.DUMMYFUNCTION("IMPORTRANGE(""https://docs.google.com/spreadsheets/d/1v0b9pFQCsKUVExMei7AgY2yQkdeNQvtOssygGsXbiKo/edit?usp=sharing"",""อุตรดิตถ์!J687"")"),0)</f>
        <v>0</v>
      </c>
      <c r="BK29" s="152">
        <f ca="1">IFERROR(__xludf.DUMMYFUNCTION("IMPORTRANGE(""https://docs.google.com/spreadsheets/d/1v0b9pFQCsKUVExMei7AgY2yQkdeNQvtOssygGsXbiKo/edit?usp=sharing"",""อุตรดิตถ์!J688"")"),0)</f>
        <v>0</v>
      </c>
    </row>
    <row r="30" spans="1:63" ht="19.5" x14ac:dyDescent="0.3">
      <c r="A30" s="80">
        <v>17</v>
      </c>
      <c r="B30" s="81" t="s">
        <v>58</v>
      </c>
      <c r="C30" s="89">
        <f ca="1">IFERROR(__xludf.DUMMYFUNCTION("IMPORTRANGE(""https://docs.google.com/spreadsheets/d/1UsNK1e-WWiCo2PvGqdNfdme4m17_Ezd3J69EeeiQPD0/edit?usp=sharing"",""อุทัยธานี!Q642"")"),34240)</f>
        <v>34240</v>
      </c>
      <c r="D30" s="89">
        <f ca="1">IFERROR(__xludf.DUMMYFUNCTION("IMPORTRANGE(""https://docs.google.com/spreadsheets/d/1UsNK1e-WWiCo2PvGqdNfdme4m17_Ezd3J69EeeiQPD0/edit?usp=sharing"",""อุทัยธานี!R642"")"),34240)</f>
        <v>34240</v>
      </c>
      <c r="E30" s="89">
        <f ca="1">IFERROR(__xludf.DUMMYFUNCTION("IMPORTRANGE(""https://docs.google.com/spreadsheets/d/1UsNK1e-WWiCo2PvGqdNfdme4m17_Ezd3J69EeeiQPD0/edit?usp=sharing"",""อุทัยธานี!S642"")"),17410)</f>
        <v>17410</v>
      </c>
      <c r="F30" s="89">
        <f t="shared" ca="1" si="30"/>
        <v>50.846962616822431</v>
      </c>
      <c r="G30" s="89">
        <f t="shared" ca="1" si="31"/>
        <v>50.846962616822431</v>
      </c>
      <c r="H30" s="280">
        <f ca="1">IFERROR(__xludf.DUMMYFUNCTION("IMPORTRANGE(""https://docs.google.com/spreadsheets/d/1UsNK1e-WWiCo2PvGqdNfdme4m17_Ezd3J69EeeiQPD0/edit?usp=sharing"",""อุทัยธานี!I652"")"),0)</f>
        <v>0</v>
      </c>
      <c r="I30" s="191">
        <f ca="1">IFERROR(__xludf.DUMMYFUNCTION("IMPORTRANGE(""https://docs.google.com/spreadsheets/d/1UsNK1e-WWiCo2PvGqdNfdme4m17_Ezd3J69EeeiQPD0/edit?usp=sharing"",""อุทัยธานี!J652"")"),0)</f>
        <v>0</v>
      </c>
      <c r="J30" s="218">
        <f t="shared" ca="1" si="33"/>
        <v>0</v>
      </c>
      <c r="K30" s="191">
        <f ca="1">IFERROR(__xludf.DUMMYFUNCTION("IMPORTRANGE(""https://docs.google.com/spreadsheets/d/1UsNK1e-WWiCo2PvGqdNfdme4m17_Ezd3J69EeeiQPD0/edit?usp=sharing"",""อุทัยธานี!I653"")"),0)</f>
        <v>0</v>
      </c>
      <c r="L30" s="191">
        <f ca="1">IFERROR(__xludf.DUMMYFUNCTION("IMPORTRANGE(""https://docs.google.com/spreadsheets/d/1UsNK1e-WWiCo2PvGqdNfdme4m17_Ezd3J69EeeiQPD0/edit?usp=sharing"",""อุทัยธานี!J653"")"),0)</f>
        <v>0</v>
      </c>
      <c r="M30" s="218">
        <f t="shared" ca="1" si="35"/>
        <v>0</v>
      </c>
      <c r="N30" s="191">
        <f ca="1">IFERROR(__xludf.DUMMYFUNCTION("IMPORTRANGE(""https://docs.google.com/spreadsheets/d/1UsNK1e-WWiCo2PvGqdNfdme4m17_Ezd3J69EeeiQPD0/edit?usp=sharing"",""อุทัยธานี!I654"")"),60)</f>
        <v>60</v>
      </c>
      <c r="O30" s="191">
        <f ca="1">IFERROR(__xludf.DUMMYFUNCTION("IMPORTRANGE(""https://docs.google.com/spreadsheets/d/1UsNK1e-WWiCo2PvGqdNfdme4m17_Ezd3J69EeeiQPD0/edit?usp=sharing"",""อุทัยธานี!J654"")"),60)</f>
        <v>60</v>
      </c>
      <c r="P30" s="218">
        <f t="shared" ca="1" si="37"/>
        <v>100</v>
      </c>
      <c r="Q30" s="218">
        <f ca="1">IFERROR(__xludf.DUMMYFUNCTION("IMPORTRANGE(""https://docs.google.com/spreadsheets/d/1UsNK1e-WWiCo2PvGqdNfdme4m17_Ezd3J69EeeiQPD0/edit?usp=sharing"",""อุทัยธานี!J655"")"),2)</f>
        <v>2</v>
      </c>
      <c r="R30" s="218">
        <f ca="1">IFERROR(__xludf.DUMMYFUNCTION("IMPORTRANGE(""https://docs.google.com/spreadsheets/d/1UsNK1e-WWiCo2PvGqdNfdme4m17_Ezd3J69EeeiQPD0/edit?usp=sharing"",""อุทัยธานี!J656"")"),2)</f>
        <v>2</v>
      </c>
      <c r="S30" s="218">
        <f ca="1">IFERROR(__xludf.DUMMYFUNCTION("IMPORTRANGE(""https://docs.google.com/spreadsheets/d/1UsNK1e-WWiCo2PvGqdNfdme4m17_Ezd3J69EeeiQPD0/edit?usp=sharing"",""อุทัยธานี!J657"")"),39)</f>
        <v>39</v>
      </c>
      <c r="T30" s="218">
        <f ca="1">IFERROR(__xludf.DUMMYFUNCTION("IMPORTRANGE(""https://docs.google.com/spreadsheets/d/1UsNK1e-WWiCo2PvGqdNfdme4m17_Ezd3J69EeeiQPD0/edit?usp=sharing"",""อุทัยธานี!J658"")"),1)</f>
        <v>1</v>
      </c>
      <c r="U30" s="218">
        <f ca="1">IFERROR(__xludf.DUMMYFUNCTION("IMPORTRANGE(""https://docs.google.com/spreadsheets/d/1UsNK1e-WWiCo2PvGqdNfdme4m17_Ezd3J69EeeiQPD0/edit?usp=sharing"",""อุทัยธานี!J659"")"),1)</f>
        <v>1</v>
      </c>
      <c r="V30" s="218">
        <f ca="1">IFERROR(__xludf.DUMMYFUNCTION("IMPORTRANGE(""https://docs.google.com/spreadsheets/d/1UsNK1e-WWiCo2PvGqdNfdme4m17_Ezd3J69EeeiQPD0/edit?usp=sharing"",""อุทัยธานี!J660"")"),21)</f>
        <v>21</v>
      </c>
      <c r="W30" s="191">
        <f ca="1">IFERROR(__xludf.DUMMYFUNCTION("IMPORTRANGE(""https://docs.google.com/spreadsheets/d/1UsNK1e-WWiCo2PvGqdNfdme4m17_Ezd3J69EeeiQPD0/edit?usp=sharing"",""อุทัยธานี!I661"")"),102)</f>
        <v>102</v>
      </c>
      <c r="X30" s="191">
        <f ca="1">IFERROR(__xludf.DUMMYFUNCTION("IMPORTRANGE(""https://docs.google.com/spreadsheets/d/1UsNK1e-WWiCo2PvGqdNfdme4m17_Ezd3J69EeeiQPD0/edit?usp=sharing"",""อุทัยธานี!J661"")"),64)</f>
        <v>64</v>
      </c>
      <c r="Y30" s="218">
        <f t="shared" ca="1" si="39"/>
        <v>62.745098039215684</v>
      </c>
      <c r="Z30" s="191">
        <f ca="1">IFERROR(__xludf.DUMMYFUNCTION("IMPORTRANGE(""https://docs.google.com/spreadsheets/d/1UsNK1e-WWiCo2PvGqdNfdme4m17_Ezd3J69EeeiQPD0/edit?usp=sharing"",""อุทัยธานี!J662"")"),3)</f>
        <v>3</v>
      </c>
      <c r="AA30" s="191">
        <f ca="1">IFERROR(__xludf.DUMMYFUNCTION("IMPORTRANGE(""https://docs.google.com/spreadsheets/d/1UsNK1e-WWiCo2PvGqdNfdme4m17_Ezd3J69EeeiQPD0/edit?usp=sharing"",""อุทัยธานี!J663"")"),64)</f>
        <v>64</v>
      </c>
      <c r="AB30" s="191">
        <f ca="1">IFERROR(__xludf.DUMMYFUNCTION("IMPORTRANGE(""https://docs.google.com/spreadsheets/d/1UsNK1e-WWiCo2PvGqdNfdme4m17_Ezd3J69EeeiQPD0/edit?usp=sharing"",""อุทัยธานี!J665"")"),8)</f>
        <v>8</v>
      </c>
      <c r="AC30" s="191">
        <f ca="1">IFERROR(__xludf.DUMMYFUNCTION("IMPORTRANGE(""https://docs.google.com/spreadsheets/d/1UsNK1e-WWiCo2PvGqdNfdme4m17_Ezd3J69EeeiQPD0/edit?usp=sharing"",""อุทัยธานี!J666"")"),9)</f>
        <v>9</v>
      </c>
      <c r="AD30" s="191">
        <f ca="1">IFERROR(__xludf.DUMMYFUNCTION("IMPORTRANGE(""https://docs.google.com/spreadsheets/d/1UsNK1e-WWiCo2PvGqdNfdme4m17_Ezd3J69EeeiQPD0/edit?usp=sharing"",""อุทัยธานี!J667"")"),64)</f>
        <v>64</v>
      </c>
      <c r="AE30" s="191">
        <f ca="1">IFERROR(__xludf.DUMMYFUNCTION("IMPORTRANGE(""https://docs.google.com/spreadsheets/d/1UsNK1e-WWiCo2PvGqdNfdme4m17_Ezd3J69EeeiQPD0/edit?usp=sharing"",""อุทัยธานี!J668"")"),0)</f>
        <v>0</v>
      </c>
      <c r="AF30" s="191">
        <f ca="1">IFERROR(__xludf.DUMMYFUNCTION("IMPORTRANGE(""https://docs.google.com/spreadsheets/d/1UsNK1e-WWiCo2PvGqdNfdme4m17_Ezd3J69EeeiQPD0/edit?usp=sharing"",""อุทัยธานี!J669"")"),0)</f>
        <v>0</v>
      </c>
      <c r="AG30" s="191">
        <f ca="1">IFERROR(__xludf.DUMMYFUNCTION("IMPORTRANGE(""https://docs.google.com/spreadsheets/d/1UsNK1e-WWiCo2PvGqdNfdme4m17_Ezd3J69EeeiQPD0/edit?usp=sharing"",""อุทัยธานี!J670"")"),0)</f>
        <v>0</v>
      </c>
      <c r="AH30" s="191">
        <f ca="1">IFERROR(__xludf.DUMMYFUNCTION("IMPORTRANGE(""https://docs.google.com/spreadsheets/d/1UsNK1e-WWiCo2PvGqdNfdme4m17_Ezd3J69EeeiQPD0/edit?usp=sharing"",""อุทัยธานี!I673"")"),225)</f>
        <v>225</v>
      </c>
      <c r="AI30" s="191">
        <f ca="1">IFERROR(__xludf.DUMMYFUNCTION("IMPORTRANGE(""https://docs.google.com/spreadsheets/d/1UsNK1e-WWiCo2PvGqdNfdme4m17_Ezd3J69EeeiQPD0/edit?usp=sharing"",""อุทัยธานี!J671"")"),10)</f>
        <v>10</v>
      </c>
      <c r="AJ30" s="191">
        <f ca="1">IFERROR(__xludf.DUMMYFUNCTION("IMPORTRANGE(""https://docs.google.com/spreadsheets/d/1UsNK1e-WWiCo2PvGqdNfdme4m17_Ezd3J69EeeiQPD0/edit?usp=sharing"",""อุทัยธานี!J672"")"),10)</f>
        <v>10</v>
      </c>
      <c r="AK30" s="191">
        <f ca="1">IFERROR(__xludf.DUMMYFUNCTION("IMPORTRANGE(""https://docs.google.com/spreadsheets/d/1UsNK1e-WWiCo2PvGqdNfdme4m17_Ezd3J69EeeiQPD0/edit?usp=sharing"",""อุทัยธานี!J673"")"),173.95)</f>
        <v>173.95</v>
      </c>
      <c r="AL30" s="218">
        <f t="shared" ca="1" si="41"/>
        <v>77.311111111111117</v>
      </c>
      <c r="AM30" s="191">
        <f ca="1">IFERROR(__xludf.DUMMYFUNCTION("IMPORTRANGE(""https://docs.google.com/spreadsheets/d/1UsNK1e-WWiCo2PvGqdNfdme4m17_Ezd3J69EeeiQPD0/edit?usp=sharing"",""อุทัยธานี!I674"")"),13)</f>
        <v>13</v>
      </c>
      <c r="AN30" s="191">
        <f ca="1">IFERROR(__xludf.DUMMYFUNCTION("IMPORTRANGE(""https://docs.google.com/spreadsheets/d/1UsNK1e-WWiCo2PvGqdNfdme4m17_Ezd3J69EeeiQPD0/edit?usp=sharing"",""อุทัยธานี!I675"")"),155)</f>
        <v>155</v>
      </c>
      <c r="AO30" s="191">
        <f ca="1">IFERROR(__xludf.DUMMYFUNCTION("IMPORTRANGE(""https://docs.google.com/spreadsheets/d/1UsNK1e-WWiCo2PvGqdNfdme4m17_Ezd3J69EeeiQPD0/edit?usp=sharing"",""อุทัยธานี!J674"")"),7)</f>
        <v>7</v>
      </c>
      <c r="AP30" s="218">
        <f t="shared" ca="1" si="43"/>
        <v>53.846153846153847</v>
      </c>
      <c r="AQ30" s="191">
        <f ca="1">IFERROR(__xludf.DUMMYFUNCTION("IMPORTRANGE(""https://docs.google.com/spreadsheets/d/1UsNK1e-WWiCo2PvGqdNfdme4m17_Ezd3J69EeeiQPD0/edit?usp=sharing"",""อุทัยธานี!J675"")"),155.16)</f>
        <v>155.16</v>
      </c>
      <c r="AR30" s="218">
        <f t="shared" ca="1" si="44"/>
        <v>100.10322580645162</v>
      </c>
      <c r="AS30" s="191">
        <f ca="1">IFERROR(__xludf.DUMMYFUNCTION("IMPORTRANGE(""https://docs.google.com/spreadsheets/d/1UsNK1e-WWiCo2PvGqdNfdme4m17_Ezd3J69EeeiQPD0/edit?usp=sharing"",""อุทัยธานี!I676"")"),10)</f>
        <v>10</v>
      </c>
      <c r="AT30" s="191">
        <f ca="1">IFERROR(__xludf.DUMMYFUNCTION("IMPORTRANGE(""https://docs.google.com/spreadsheets/d/1UsNK1e-WWiCo2PvGqdNfdme4m17_Ezd3J69EeeiQPD0/edit?usp=sharing"",""อุทัยธานี!I678"")"),125)</f>
        <v>125</v>
      </c>
      <c r="AU30" s="191">
        <f ca="1">IFERROR(__xludf.DUMMYFUNCTION("IMPORTRANGE(""https://docs.google.com/spreadsheets/d/1UsNK1e-WWiCo2PvGqdNfdme4m17_Ezd3J69EeeiQPD0/edit?usp=sharing"",""อุทัยธานี!J676"")"),7)</f>
        <v>7</v>
      </c>
      <c r="AV30" s="191">
        <f ca="1">IFERROR(__xludf.DUMMYFUNCTION("IMPORTRANGE(""https://docs.google.com/spreadsheets/d/1UsNK1e-WWiCo2PvGqdNfdme4m17_Ezd3J69EeeiQPD0/edit?usp=sharing"",""อุทัยธานี!J677"")"),9)</f>
        <v>9</v>
      </c>
      <c r="AW30" s="191">
        <f ca="1">IFERROR(__xludf.DUMMYFUNCTION("IMPORTRANGE(""https://docs.google.com/spreadsheets/d/1UsNK1e-WWiCo2PvGqdNfdme4m17_Ezd3J69EeeiQPD0/edit?usp=sharing"",""อุทัยธานี!J678"")"),155.16)</f>
        <v>155.16</v>
      </c>
      <c r="AX30" s="191">
        <f ca="1">IFERROR(__xludf.DUMMYFUNCTION("IMPORTRANGE(""https://docs.google.com/spreadsheets/d/1UsNK1e-WWiCo2PvGqdNfdme4m17_Ezd3J69EeeiQPD0/edit?usp=sharing"",""อุทัยธานี!I679"")"),3)</f>
        <v>3</v>
      </c>
      <c r="AY30" s="191">
        <f ca="1">IFERROR(__xludf.DUMMYFUNCTION("IMPORTRANGE(""https://docs.google.com/spreadsheets/d/1UsNK1e-WWiCo2PvGqdNfdme4m17_Ezd3J69EeeiQPD0/edit?usp=sharing"",""อุทัยธานี!I681"")"),30)</f>
        <v>30</v>
      </c>
      <c r="AZ30" s="191">
        <f ca="1">IFERROR(__xludf.DUMMYFUNCTION("IMPORTRANGE(""https://docs.google.com/spreadsheets/d/1UsNK1e-WWiCo2PvGqdNfdme4m17_Ezd3J69EeeiQPD0/edit?usp=sharing"",""อุทัยธานี!J679"")"),0)</f>
        <v>0</v>
      </c>
      <c r="BA30" s="191">
        <f ca="1">IFERROR(__xludf.DUMMYFUNCTION("IMPORTRANGE(""https://docs.google.com/spreadsheets/d/1UsNK1e-WWiCo2PvGqdNfdme4m17_Ezd3J69EeeiQPD0/edit?usp=sharing"",""อุทัยธานี!J680"")"),0)</f>
        <v>0</v>
      </c>
      <c r="BB30" s="191">
        <f ca="1">IFERROR(__xludf.DUMMYFUNCTION("IMPORTRANGE(""https://docs.google.com/spreadsheets/d/1UsNK1e-WWiCo2PvGqdNfdme4m17_Ezd3J69EeeiQPD0/edit?usp=sharing"",""อุทัยธานี!J681"")"),0)</f>
        <v>0</v>
      </c>
      <c r="BC30" s="191">
        <f ca="1">IFERROR(__xludf.DUMMYFUNCTION("IMPORTRANGE(""https://docs.google.com/spreadsheets/d/1UsNK1e-WWiCo2PvGqdNfdme4m17_Ezd3J69EeeiQPD0/edit?usp=sharing"",""อุทัยธานี!I682"")"),99)</f>
        <v>99</v>
      </c>
      <c r="BD30" s="191">
        <f ca="1">IFERROR(__xludf.DUMMYFUNCTION("IMPORTRANGE(""https://docs.google.com/spreadsheets/d/1UsNK1e-WWiCo2PvGqdNfdme4m17_Ezd3J69EeeiQPD0/edit?usp=sharing"",""อุทัยธานี!J682"")"),123)</f>
        <v>123</v>
      </c>
      <c r="BE30" s="218">
        <f t="shared" ca="1" si="46"/>
        <v>124.24242424242425</v>
      </c>
      <c r="BF30" s="191">
        <f ca="1">IFERROR(__xludf.DUMMYFUNCTION("IMPORTRANGE(""https://docs.google.com/spreadsheets/d/1UsNK1e-WWiCo2PvGqdNfdme4m17_Ezd3J69EeeiQPD0/edit?usp=sharing"",""อุทัยธานี!J683"")"),3)</f>
        <v>3</v>
      </c>
      <c r="BG30" s="191">
        <f ca="1">IFERROR(__xludf.DUMMYFUNCTION("IMPORTRANGE(""https://docs.google.com/spreadsheets/d/1UsNK1e-WWiCo2PvGqdNfdme4m17_Ezd3J69EeeiQPD0/edit?usp=sharing"",""อุทัยธานี!J684"")"),3)</f>
        <v>3</v>
      </c>
      <c r="BH30" s="191">
        <f ca="1">IFERROR(__xludf.DUMMYFUNCTION("IMPORTRANGE(""https://docs.google.com/spreadsheets/d/1UsNK1e-WWiCo2PvGqdNfdme4m17_Ezd3J69EeeiQPD0/edit?usp=sharing"",""อุทัยธานี!J685"")"),66)</f>
        <v>66</v>
      </c>
      <c r="BI30" s="191">
        <f ca="1">IFERROR(__xludf.DUMMYFUNCTION("IMPORTRANGE(""https://docs.google.com/spreadsheets/d/1UsNK1e-WWiCo2PvGqdNfdme4m17_Ezd3J69EeeiQPD0/edit?usp=sharing"",""อุทัยธานี!J686"")"),3)</f>
        <v>3</v>
      </c>
      <c r="BJ30" s="191">
        <f ca="1">IFERROR(__xludf.DUMMYFUNCTION("IMPORTRANGE(""https://docs.google.com/spreadsheets/d/1UsNK1e-WWiCo2PvGqdNfdme4m17_Ezd3J69EeeiQPD0/edit?usp=sharing"",""อุทัยธานี!J687"")"),3)</f>
        <v>3</v>
      </c>
      <c r="BK30" s="191">
        <f ca="1">IFERROR(__xludf.DUMMYFUNCTION("IMPORTRANGE(""https://docs.google.com/spreadsheets/d/1UsNK1e-WWiCo2PvGqdNfdme4m17_Ezd3J69EeeiQPD0/edit?usp=sharing"",""อุทัยธานี!J688"")"),57)</f>
        <v>57</v>
      </c>
    </row>
    <row r="31" spans="1:63" ht="19.5" x14ac:dyDescent="0.3">
      <c r="A31" s="665" t="s">
        <v>59</v>
      </c>
      <c r="B31" s="666"/>
      <c r="C31" s="94">
        <f t="shared" ref="C31:E31" ca="1" si="48">SUM(C32:C51)</f>
        <v>173560</v>
      </c>
      <c r="D31" s="94">
        <f t="shared" ca="1" si="48"/>
        <v>171640</v>
      </c>
      <c r="E31" s="94">
        <f t="shared" ca="1" si="48"/>
        <v>102915</v>
      </c>
      <c r="F31" s="94">
        <f t="shared" ca="1" si="30"/>
        <v>59.296496888684025</v>
      </c>
      <c r="G31" s="94">
        <f t="shared" ca="1" si="31"/>
        <v>59.959799580517362</v>
      </c>
      <c r="H31" s="281">
        <f t="shared" ref="H31:I31" ca="1" si="49">SUM(H32:H51)</f>
        <v>460</v>
      </c>
      <c r="I31" s="369">
        <f t="shared" ca="1" si="49"/>
        <v>838.64</v>
      </c>
      <c r="J31" s="94">
        <f t="shared" ca="1" si="33"/>
        <v>182.31304347826088</v>
      </c>
      <c r="K31" s="161">
        <f t="shared" ref="K31:L31" ca="1" si="50">SUM(K32:K51)</f>
        <v>54</v>
      </c>
      <c r="L31" s="369">
        <f t="shared" ca="1" si="50"/>
        <v>18</v>
      </c>
      <c r="M31" s="94">
        <f t="shared" ca="1" si="35"/>
        <v>33.333333333333336</v>
      </c>
      <c r="N31" s="161">
        <f t="shared" ref="N31:O31" ca="1" si="51">SUM(N32:N51)</f>
        <v>361</v>
      </c>
      <c r="O31" s="161">
        <f t="shared" ca="1" si="51"/>
        <v>234.18</v>
      </c>
      <c r="P31" s="94">
        <f t="shared" ca="1" si="37"/>
        <v>64.86980609418282</v>
      </c>
      <c r="Q31" s="94">
        <f t="shared" ref="Q31:X31" ca="1" si="52">SUM(Q32:Q51)</f>
        <v>25</v>
      </c>
      <c r="R31" s="94">
        <f t="shared" ca="1" si="52"/>
        <v>37</v>
      </c>
      <c r="S31" s="94">
        <f t="shared" ca="1" si="52"/>
        <v>210.18</v>
      </c>
      <c r="T31" s="94">
        <f t="shared" ca="1" si="52"/>
        <v>2</v>
      </c>
      <c r="U31" s="94">
        <f t="shared" ca="1" si="52"/>
        <v>2</v>
      </c>
      <c r="V31" s="94">
        <f t="shared" ca="1" si="52"/>
        <v>24</v>
      </c>
      <c r="W31" s="161">
        <f t="shared" ca="1" si="52"/>
        <v>555</v>
      </c>
      <c r="X31" s="161">
        <f t="shared" ca="1" si="52"/>
        <v>0</v>
      </c>
      <c r="Y31" s="94">
        <f t="shared" ca="1" si="39"/>
        <v>0</v>
      </c>
      <c r="Z31" s="161">
        <f t="shared" ref="Z31:AK31" ca="1" si="53">SUM(Z32:Z51)</f>
        <v>0</v>
      </c>
      <c r="AA31" s="161">
        <f t="shared" ca="1" si="53"/>
        <v>0</v>
      </c>
      <c r="AB31" s="161">
        <f t="shared" ca="1" si="53"/>
        <v>0</v>
      </c>
      <c r="AC31" s="161">
        <f t="shared" ca="1" si="53"/>
        <v>0</v>
      </c>
      <c r="AD31" s="161">
        <f t="shared" ca="1" si="53"/>
        <v>0</v>
      </c>
      <c r="AE31" s="161">
        <f t="shared" ca="1" si="53"/>
        <v>0</v>
      </c>
      <c r="AF31" s="161">
        <f t="shared" ca="1" si="53"/>
        <v>0</v>
      </c>
      <c r="AG31" s="161">
        <f t="shared" ca="1" si="53"/>
        <v>0</v>
      </c>
      <c r="AH31" s="161">
        <f t="shared" ca="1" si="53"/>
        <v>441</v>
      </c>
      <c r="AI31" s="369">
        <f t="shared" ca="1" si="53"/>
        <v>5</v>
      </c>
      <c r="AJ31" s="369">
        <f t="shared" ca="1" si="53"/>
        <v>5</v>
      </c>
      <c r="AK31" s="369">
        <f t="shared" ca="1" si="53"/>
        <v>50.14</v>
      </c>
      <c r="AL31" s="94">
        <f t="shared" ca="1" si="41"/>
        <v>11.369614512471655</v>
      </c>
      <c r="AM31" s="161">
        <f t="shared" ref="AM31:AO31" ca="1" si="54">SUM(AM32:AM51)</f>
        <v>35</v>
      </c>
      <c r="AN31" s="161">
        <f t="shared" ca="1" si="54"/>
        <v>274</v>
      </c>
      <c r="AO31" s="369">
        <f t="shared" ca="1" si="54"/>
        <v>15</v>
      </c>
      <c r="AP31" s="94">
        <f t="shared" ca="1" si="43"/>
        <v>42.857142857142854</v>
      </c>
      <c r="AQ31" s="369">
        <f ca="1">SUM(AQ32:AQ51)</f>
        <v>155.54</v>
      </c>
      <c r="AR31" s="94">
        <f t="shared" ca="1" si="44"/>
        <v>56.76642335766423</v>
      </c>
      <c r="AS31" s="161">
        <f t="shared" ref="AS31:BD31" ca="1" si="55">SUM(AS32:AS51)</f>
        <v>35</v>
      </c>
      <c r="AT31" s="161">
        <f t="shared" ca="1" si="55"/>
        <v>274</v>
      </c>
      <c r="AU31" s="369">
        <f t="shared" ca="1" si="55"/>
        <v>15</v>
      </c>
      <c r="AV31" s="369">
        <f t="shared" ca="1" si="55"/>
        <v>15</v>
      </c>
      <c r="AW31" s="369">
        <f t="shared" ca="1" si="55"/>
        <v>155.54</v>
      </c>
      <c r="AX31" s="161">
        <f t="shared" ca="1" si="55"/>
        <v>0</v>
      </c>
      <c r="AY31" s="161">
        <f t="shared" ca="1" si="55"/>
        <v>0</v>
      </c>
      <c r="AZ31" s="369">
        <f t="shared" ca="1" si="55"/>
        <v>0</v>
      </c>
      <c r="BA31" s="369">
        <f t="shared" ca="1" si="55"/>
        <v>0</v>
      </c>
      <c r="BB31" s="369">
        <f t="shared" ca="1" si="55"/>
        <v>0</v>
      </c>
      <c r="BC31" s="161">
        <f t="shared" ca="1" si="55"/>
        <v>500</v>
      </c>
      <c r="BD31" s="161">
        <f t="shared" ca="1" si="55"/>
        <v>281</v>
      </c>
      <c r="BE31" s="94">
        <f t="shared" ca="1" si="46"/>
        <v>56.2</v>
      </c>
      <c r="BF31" s="161">
        <f t="shared" ref="BF31:BK31" ca="1" si="56">SUM(BF32:BF51)</f>
        <v>0</v>
      </c>
      <c r="BG31" s="161">
        <f t="shared" ca="1" si="56"/>
        <v>0</v>
      </c>
      <c r="BH31" s="161">
        <f t="shared" ca="1" si="56"/>
        <v>0</v>
      </c>
      <c r="BI31" s="161">
        <f t="shared" ca="1" si="56"/>
        <v>25</v>
      </c>
      <c r="BJ31" s="161">
        <f t="shared" ca="1" si="56"/>
        <v>25</v>
      </c>
      <c r="BK31" s="161">
        <f t="shared" ca="1" si="56"/>
        <v>281</v>
      </c>
    </row>
    <row r="32" spans="1:63" ht="19.5" x14ac:dyDescent="0.3">
      <c r="A32" s="58">
        <v>1</v>
      </c>
      <c r="B32" s="59" t="s">
        <v>60</v>
      </c>
      <c r="C32" s="68">
        <f ca="1">IFERROR(__xludf.DUMMYFUNCTION("IMPORTRANGE(""https://docs.google.com/spreadsheets/d/1yhBcrRPreicbMKl9Bu_Snb2-OcQAF62RKfhTLhJ2eAA/edit?usp=sharing"",""กาฬสินธุ์!Q642"")"),1920)</f>
        <v>1920</v>
      </c>
      <c r="D32" s="68">
        <f ca="1">IFERROR(__xludf.DUMMYFUNCTION("IMPORTRANGE(""https://docs.google.com/spreadsheets/d/1yhBcrRPreicbMKl9Bu_Snb2-OcQAF62RKfhTLhJ2eAA/edit?usp=sharing"",""กาฬสินธุ์!R642"")"),0)</f>
        <v>0</v>
      </c>
      <c r="E32" s="68">
        <f ca="1">IFERROR(__xludf.DUMMYFUNCTION("IMPORTRANGE(""https://docs.google.com/spreadsheets/d/1yhBcrRPreicbMKl9Bu_Snb2-OcQAF62RKfhTLhJ2eAA/edit?usp=sharing"",""กาฬสินธุ์!S642"")"),0)</f>
        <v>0</v>
      </c>
      <c r="F32" s="68">
        <f t="shared" ca="1" si="30"/>
        <v>0</v>
      </c>
      <c r="G32" s="68">
        <f t="shared" ca="1" si="31"/>
        <v>0</v>
      </c>
      <c r="H32" s="278">
        <f ca="1">IFERROR(__xludf.DUMMYFUNCTION("IMPORTRANGE(""https://docs.google.com/spreadsheets/d/1yhBcrRPreicbMKl9Bu_Snb2-OcQAF62RKfhTLhJ2eAA/edit?usp=sharing"",""กาฬสินธุ์!I652"")"),0)</f>
        <v>0</v>
      </c>
      <c r="I32" s="152">
        <f ca="1">IFERROR(__xludf.DUMMYFUNCTION("IMPORTRANGE(""https://docs.google.com/spreadsheets/d/1yhBcrRPreicbMKl9Bu_Snb2-OcQAF62RKfhTLhJ2eAA/edit?usp=sharing"",""กาฬสินธุ์!J652"")"),0)</f>
        <v>0</v>
      </c>
      <c r="J32" s="216">
        <f t="shared" ca="1" si="33"/>
        <v>0</v>
      </c>
      <c r="K32" s="152">
        <f ca="1">IFERROR(__xludf.DUMMYFUNCTION("IMPORTRANGE(""https://docs.google.com/spreadsheets/d/1yhBcrRPreicbMKl9Bu_Snb2-OcQAF62RKfhTLhJ2eAA/edit?usp=sharing"",""กาฬสินธุ์!I653"")"),3)</f>
        <v>3</v>
      </c>
      <c r="L32" s="152">
        <f ca="1">IFERROR(__xludf.DUMMYFUNCTION("IMPORTRANGE(""https://docs.google.com/spreadsheets/d/1yhBcrRPreicbMKl9Bu_Snb2-OcQAF62RKfhTLhJ2eAA/edit?usp=sharing"",""กาฬสินธุ์!J653"")"),0)</f>
        <v>0</v>
      </c>
      <c r="M32" s="216">
        <f t="shared" ca="1" si="35"/>
        <v>0</v>
      </c>
      <c r="N32" s="152">
        <f ca="1">IFERROR(__xludf.DUMMYFUNCTION("IMPORTRANGE(""https://docs.google.com/spreadsheets/d/1yhBcrRPreicbMKl9Bu_Snb2-OcQAF62RKfhTLhJ2eAA/edit?usp=sharing"",""กาฬสินธุ์!I654"")"),10)</f>
        <v>10</v>
      </c>
      <c r="O32" s="152">
        <f ca="1">IFERROR(__xludf.DUMMYFUNCTION("IMPORTRANGE(""https://docs.google.com/spreadsheets/d/1yhBcrRPreicbMKl9Bu_Snb2-OcQAF62RKfhTLhJ2eAA/edit?usp=sharing"",""กาฬสินธุ์!J654"")"),25.24)</f>
        <v>25.24</v>
      </c>
      <c r="P32" s="216">
        <f t="shared" ca="1" si="37"/>
        <v>252.4</v>
      </c>
      <c r="Q32" s="216">
        <f ca="1">IFERROR(__xludf.DUMMYFUNCTION("IMPORTRANGE(""https://docs.google.com/spreadsheets/d/1yhBcrRPreicbMKl9Bu_Snb2-OcQAF62RKfhTLhJ2eAA/edit?usp=sharing"",""กาฬสินธุ์!J655"")"),5)</f>
        <v>5</v>
      </c>
      <c r="R32" s="216">
        <f ca="1">IFERROR(__xludf.DUMMYFUNCTION("IMPORTRANGE(""https://docs.google.com/spreadsheets/d/1yhBcrRPreicbMKl9Bu_Snb2-OcQAF62RKfhTLhJ2eAA/edit?usp=sharing"",""กาฬสินธุ์!J656"")"),5)</f>
        <v>5</v>
      </c>
      <c r="S32" s="216">
        <f ca="1">IFERROR(__xludf.DUMMYFUNCTION("IMPORTRANGE(""https://docs.google.com/spreadsheets/d/1yhBcrRPreicbMKl9Bu_Snb2-OcQAF62RKfhTLhJ2eAA/edit?usp=sharing"",""กาฬสินธุ์!J657"")"),25.24)</f>
        <v>25.24</v>
      </c>
      <c r="T32" s="216">
        <f ca="1">IFERROR(__xludf.DUMMYFUNCTION("IMPORTRANGE(""https://docs.google.com/spreadsheets/d/1yhBcrRPreicbMKl9Bu_Snb2-OcQAF62RKfhTLhJ2eAA/edit?usp=sharing"",""กาฬสินธุ์!J658"")"),0)</f>
        <v>0</v>
      </c>
      <c r="U32" s="216">
        <f ca="1">IFERROR(__xludf.DUMMYFUNCTION("IMPORTRANGE(""https://docs.google.com/spreadsheets/d/1yhBcrRPreicbMKl9Bu_Snb2-OcQAF62RKfhTLhJ2eAA/edit?usp=sharing"",""กาฬสินธุ์!J659"")"),0)</f>
        <v>0</v>
      </c>
      <c r="V32" s="216">
        <f ca="1">IFERROR(__xludf.DUMMYFUNCTION("IMPORTRANGE(""https://docs.google.com/spreadsheets/d/1yhBcrRPreicbMKl9Bu_Snb2-OcQAF62RKfhTLhJ2eAA/edit?usp=sharing"",""กาฬสินธุ์!J660"")"),0)</f>
        <v>0</v>
      </c>
      <c r="W32" s="152">
        <f ca="1">IFERROR(__xludf.DUMMYFUNCTION("IMPORTRANGE(""https://docs.google.com/spreadsheets/d/1yhBcrRPreicbMKl9Bu_Snb2-OcQAF62RKfhTLhJ2eAA/edit?usp=sharing"",""กาฬสินธุ์!I661"")"),0)</f>
        <v>0</v>
      </c>
      <c r="X32" s="152">
        <f ca="1">IFERROR(__xludf.DUMMYFUNCTION("IMPORTRANGE(""https://docs.google.com/spreadsheets/d/1yhBcrRPreicbMKl9Bu_Snb2-OcQAF62RKfhTLhJ2eAA/edit?usp=sharing"",""กาฬสินธุ์!J661"")"),0)</f>
        <v>0</v>
      </c>
      <c r="Y32" s="216">
        <f t="shared" ca="1" si="39"/>
        <v>0</v>
      </c>
      <c r="Z32" s="152">
        <f ca="1">IFERROR(__xludf.DUMMYFUNCTION("IMPORTRANGE(""https://docs.google.com/spreadsheets/d/1yhBcrRPreicbMKl9Bu_Snb2-OcQAF62RKfhTLhJ2eAA/edit?usp=sharing"",""กาฬสินธุ์!J662"")"),0)</f>
        <v>0</v>
      </c>
      <c r="AA32" s="152">
        <f ca="1">IFERROR(__xludf.DUMMYFUNCTION("IMPORTRANGE(""https://docs.google.com/spreadsheets/d/1yhBcrRPreicbMKl9Bu_Snb2-OcQAF62RKfhTLhJ2eAA/edit?usp=sharing"",""กาฬสินธุ์!J663"")"),0)</f>
        <v>0</v>
      </c>
      <c r="AB32" s="152">
        <f ca="1">IFERROR(__xludf.DUMMYFUNCTION("IMPORTRANGE(""https://docs.google.com/spreadsheets/d/1yhBcrRPreicbMKl9Bu_Snb2-OcQAF62RKfhTLhJ2eAA/edit?usp=sharing"",""กาฬสินธุ์!J665"")"),0)</f>
        <v>0</v>
      </c>
      <c r="AC32" s="152">
        <f ca="1">IFERROR(__xludf.DUMMYFUNCTION("IMPORTRANGE(""https://docs.google.com/spreadsheets/d/1yhBcrRPreicbMKl9Bu_Snb2-OcQAF62RKfhTLhJ2eAA/edit?usp=sharing"",""กาฬสินธุ์!J666"")"),0)</f>
        <v>0</v>
      </c>
      <c r="AD32" s="152">
        <f ca="1">IFERROR(__xludf.DUMMYFUNCTION("IMPORTRANGE(""https://docs.google.com/spreadsheets/d/1yhBcrRPreicbMKl9Bu_Snb2-OcQAF62RKfhTLhJ2eAA/edit?usp=sharing"",""กาฬสินธุ์!J667"")"),0)</f>
        <v>0</v>
      </c>
      <c r="AE32" s="152">
        <f ca="1">IFERROR(__xludf.DUMMYFUNCTION("IMPORTRANGE(""https://docs.google.com/spreadsheets/d/1yhBcrRPreicbMKl9Bu_Snb2-OcQAF62RKfhTLhJ2eAA/edit?usp=sharing"",""กาฬสินธุ์!J668"")"),0)</f>
        <v>0</v>
      </c>
      <c r="AF32" s="152">
        <f ca="1">IFERROR(__xludf.DUMMYFUNCTION("IMPORTRANGE(""https://docs.google.com/spreadsheets/d/1yhBcrRPreicbMKl9Bu_Snb2-OcQAF62RKfhTLhJ2eAA/edit?usp=sharing"",""กาฬสินธุ์!J669"")"),0)</f>
        <v>0</v>
      </c>
      <c r="AG32" s="152">
        <f ca="1">IFERROR(__xludf.DUMMYFUNCTION("IMPORTRANGE(""https://docs.google.com/spreadsheets/d/1yhBcrRPreicbMKl9Bu_Snb2-OcQAF62RKfhTLhJ2eAA/edit?usp=sharing"",""กาฬสินธุ์!J670"")"),0)</f>
        <v>0</v>
      </c>
      <c r="AH32" s="152">
        <f ca="1">IFERROR(__xludf.DUMMYFUNCTION("IMPORTRANGE(""https://docs.google.com/spreadsheets/d/1yhBcrRPreicbMKl9Bu_Snb2-OcQAF62RKfhTLhJ2eAA/edit?usp=sharing"",""กาฬสินธุ์!I673"")"),0)</f>
        <v>0</v>
      </c>
      <c r="AI32" s="152">
        <f ca="1">IFERROR(__xludf.DUMMYFUNCTION("IMPORTRANGE(""https://docs.google.com/spreadsheets/d/1yhBcrRPreicbMKl9Bu_Snb2-OcQAF62RKfhTLhJ2eAA/edit?usp=sharing"",""กาฬสินธุ์!J671"")"),0)</f>
        <v>0</v>
      </c>
      <c r="AJ32" s="152">
        <f ca="1">IFERROR(__xludf.DUMMYFUNCTION("IMPORTRANGE(""https://docs.google.com/spreadsheets/d/1yhBcrRPreicbMKl9Bu_Snb2-OcQAF62RKfhTLhJ2eAA/edit?usp=sharing"",""กาฬสินธุ์!J672"")"),0)</f>
        <v>0</v>
      </c>
      <c r="AK32" s="152">
        <f ca="1">IFERROR(__xludf.DUMMYFUNCTION("IMPORTRANGE(""https://docs.google.com/spreadsheets/d/1yhBcrRPreicbMKl9Bu_Snb2-OcQAF62RKfhTLhJ2eAA/edit?usp=sharing"",""กาฬสินธุ์!J673"")"),0)</f>
        <v>0</v>
      </c>
      <c r="AL32" s="216">
        <f t="shared" ca="1" si="41"/>
        <v>0</v>
      </c>
      <c r="AM32" s="152">
        <f ca="1">IFERROR(__xludf.DUMMYFUNCTION("IMPORTRANGE(""https://docs.google.com/spreadsheets/d/1yhBcrRPreicbMKl9Bu_Snb2-OcQAF62RKfhTLhJ2eAA/edit?usp=sharing"",""กาฬสินธุ์!I674"")"),3)</f>
        <v>3</v>
      </c>
      <c r="AN32" s="152">
        <f ca="1">IFERROR(__xludf.DUMMYFUNCTION("IMPORTRANGE(""https://docs.google.com/spreadsheets/d/1yhBcrRPreicbMKl9Bu_Snb2-OcQAF62RKfhTLhJ2eAA/edit?usp=sharing"",""กาฬสินธุ์!I675"")"),6)</f>
        <v>6</v>
      </c>
      <c r="AO32" s="152">
        <f ca="1">IFERROR(__xludf.DUMMYFUNCTION("IMPORTRANGE(""https://docs.google.com/spreadsheets/d/1yhBcrRPreicbMKl9Bu_Snb2-OcQAF62RKfhTLhJ2eAA/edit?usp=sharing"",""กาฬสินธุ์!J674"")"),0)</f>
        <v>0</v>
      </c>
      <c r="AP32" s="216">
        <f t="shared" ca="1" si="43"/>
        <v>0</v>
      </c>
      <c r="AQ32" s="152">
        <f ca="1">IFERROR(__xludf.DUMMYFUNCTION("IMPORTRANGE(""https://docs.google.com/spreadsheets/d/1yhBcrRPreicbMKl9Bu_Snb2-OcQAF62RKfhTLhJ2eAA/edit?usp=sharing"",""กาฬสินธุ์!J675"")"),0)</f>
        <v>0</v>
      </c>
      <c r="AR32" s="216">
        <f t="shared" ca="1" si="44"/>
        <v>0</v>
      </c>
      <c r="AS32" s="152">
        <f ca="1">IFERROR(__xludf.DUMMYFUNCTION("IMPORTRANGE(""https://docs.google.com/spreadsheets/d/1yhBcrRPreicbMKl9Bu_Snb2-OcQAF62RKfhTLhJ2eAA/edit?usp=sharing"",""กาฬสินธุ์!I676"")"),3)</f>
        <v>3</v>
      </c>
      <c r="AT32" s="152">
        <f ca="1">IFERROR(__xludf.DUMMYFUNCTION("IMPORTRANGE(""https://docs.google.com/spreadsheets/d/1yhBcrRPreicbMKl9Bu_Snb2-OcQAF62RKfhTLhJ2eAA/edit?usp=sharing"",""กาฬสินธุ์!I678"")"),6)</f>
        <v>6</v>
      </c>
      <c r="AU32" s="152">
        <f ca="1">IFERROR(__xludf.DUMMYFUNCTION("IMPORTRANGE(""https://docs.google.com/spreadsheets/d/1yhBcrRPreicbMKl9Bu_Snb2-OcQAF62RKfhTLhJ2eAA/edit?usp=sharing"",""กาฬสินธุ์!J676"")"),0)</f>
        <v>0</v>
      </c>
      <c r="AV32" s="152">
        <f ca="1">IFERROR(__xludf.DUMMYFUNCTION("IMPORTRANGE(""https://docs.google.com/spreadsheets/d/1yhBcrRPreicbMKl9Bu_Snb2-OcQAF62RKfhTLhJ2eAA/edit?usp=sharing"",""กาฬสินธุ์!J677"")"),0)</f>
        <v>0</v>
      </c>
      <c r="AW32" s="152">
        <f ca="1">IFERROR(__xludf.DUMMYFUNCTION("IMPORTRANGE(""https://docs.google.com/spreadsheets/d/1yhBcrRPreicbMKl9Bu_Snb2-OcQAF62RKfhTLhJ2eAA/edit?usp=sharing"",""กาฬสินธุ์!J678"")"),0)</f>
        <v>0</v>
      </c>
      <c r="AX32" s="152">
        <f ca="1">IFERROR(__xludf.DUMMYFUNCTION("IMPORTRANGE(""https://docs.google.com/spreadsheets/d/1yhBcrRPreicbMKl9Bu_Snb2-OcQAF62RKfhTLhJ2eAA/edit?usp=sharing"",""กาฬสินธุ์!I679"")"),0)</f>
        <v>0</v>
      </c>
      <c r="AY32" s="152">
        <f ca="1">IFERROR(__xludf.DUMMYFUNCTION("IMPORTRANGE(""https://docs.google.com/spreadsheets/d/1yhBcrRPreicbMKl9Bu_Snb2-OcQAF62RKfhTLhJ2eAA/edit?usp=sharing"",""กาฬสินธุ์!I681"")"),0)</f>
        <v>0</v>
      </c>
      <c r="AZ32" s="152">
        <f ca="1">IFERROR(__xludf.DUMMYFUNCTION("IMPORTRANGE(""https://docs.google.com/spreadsheets/d/1yhBcrRPreicbMKl9Bu_Snb2-OcQAF62RKfhTLhJ2eAA/edit?usp=sharing"",""กาฬสินธุ์!J679"")"),0)</f>
        <v>0</v>
      </c>
      <c r="BA32" s="152">
        <f ca="1">IFERROR(__xludf.DUMMYFUNCTION("IMPORTRANGE(""https://docs.google.com/spreadsheets/d/1yhBcrRPreicbMKl9Bu_Snb2-OcQAF62RKfhTLhJ2eAA/edit?usp=sharing"",""กาฬสินธุ์!J680"")"),0)</f>
        <v>0</v>
      </c>
      <c r="BB32" s="152">
        <f ca="1">IFERROR(__xludf.DUMMYFUNCTION("IMPORTRANGE(""https://docs.google.com/spreadsheets/d/1yhBcrRPreicbMKl9Bu_Snb2-OcQAF62RKfhTLhJ2eAA/edit?usp=sharing"",""กาฬสินธุ์!J681"")"),0)</f>
        <v>0</v>
      </c>
      <c r="BC32" s="152">
        <f ca="1">IFERROR(__xludf.DUMMYFUNCTION("IMPORTRANGE(""https://docs.google.com/spreadsheets/d/1yhBcrRPreicbMKl9Bu_Snb2-OcQAF62RKfhTLhJ2eAA/edit?usp=sharing"",""กาฬสินธุ์!I682"")"),0)</f>
        <v>0</v>
      </c>
      <c r="BD32" s="152">
        <f ca="1">IFERROR(__xludf.DUMMYFUNCTION("IMPORTRANGE(""https://docs.google.com/spreadsheets/d/1yhBcrRPreicbMKl9Bu_Snb2-OcQAF62RKfhTLhJ2eAA/edit?usp=sharing"",""กาฬสินธุ์!J682"")"),0)</f>
        <v>0</v>
      </c>
      <c r="BE32" s="216">
        <f t="shared" ca="1" si="46"/>
        <v>0</v>
      </c>
      <c r="BF32" s="152">
        <f ca="1">IFERROR(__xludf.DUMMYFUNCTION("IMPORTRANGE(""https://docs.google.com/spreadsheets/d/1yhBcrRPreicbMKl9Bu_Snb2-OcQAF62RKfhTLhJ2eAA/edit?usp=sharing"",""กาฬสินธุ์!J683"")"),0)</f>
        <v>0</v>
      </c>
      <c r="BG32" s="152">
        <f ca="1">IFERROR(__xludf.DUMMYFUNCTION("IMPORTRANGE(""https://docs.google.com/spreadsheets/d/1yhBcrRPreicbMKl9Bu_Snb2-OcQAF62RKfhTLhJ2eAA/edit?usp=sharing"",""กาฬสินธุ์!J684"")"),0)</f>
        <v>0</v>
      </c>
      <c r="BH32" s="152">
        <f ca="1">IFERROR(__xludf.DUMMYFUNCTION("IMPORTRANGE(""https://docs.google.com/spreadsheets/d/1yhBcrRPreicbMKl9Bu_Snb2-OcQAF62RKfhTLhJ2eAA/edit?usp=sharing"",""กาฬสินธุ์!J685"")"),0)</f>
        <v>0</v>
      </c>
      <c r="BI32" s="152">
        <f ca="1">IFERROR(__xludf.DUMMYFUNCTION("IMPORTRANGE(""https://docs.google.com/spreadsheets/d/1yhBcrRPreicbMKl9Bu_Snb2-OcQAF62RKfhTLhJ2eAA/edit?usp=sharing"",""กาฬสินธุ์!J686"")"),0)</f>
        <v>0</v>
      </c>
      <c r="BJ32" s="152">
        <f ca="1">IFERROR(__xludf.DUMMYFUNCTION("IMPORTRANGE(""https://docs.google.com/spreadsheets/d/1yhBcrRPreicbMKl9Bu_Snb2-OcQAF62RKfhTLhJ2eAA/edit?usp=sharing"",""กาฬสินธุ์!J687"")"),0)</f>
        <v>0</v>
      </c>
      <c r="BK32" s="152">
        <f ca="1">IFERROR(__xludf.DUMMYFUNCTION("IMPORTRANGE(""https://docs.google.com/spreadsheets/d/1yhBcrRPreicbMKl9Bu_Snb2-OcQAF62RKfhTLhJ2eAA/edit?usp=sharing"",""กาฬสินธุ์!J688"")"),0)</f>
        <v>0</v>
      </c>
    </row>
    <row r="33" spans="1:63" ht="19.5" x14ac:dyDescent="0.3">
      <c r="A33" s="70">
        <v>2</v>
      </c>
      <c r="B33" s="71" t="s">
        <v>61</v>
      </c>
      <c r="C33" s="68">
        <f ca="1">IFERROR(__xludf.DUMMYFUNCTION("IMPORTRANGE(""https://docs.google.com/spreadsheets/d/1aHkj4IaQMThhwWwevcOymEh837vdxeC_PycurhTbGFA/edit?usp=sharing"",""ขอนแก่น!Q642"")"),13940)</f>
        <v>13940</v>
      </c>
      <c r="D33" s="68">
        <f ca="1">IFERROR(__xludf.DUMMYFUNCTION("IMPORTRANGE(""https://docs.google.com/spreadsheets/d/1aHkj4IaQMThhwWwevcOymEh837vdxeC_PycurhTbGFA/edit?usp=sharing"",""ขอนแก่น!R642"")"),13940)</f>
        <v>13940</v>
      </c>
      <c r="E33" s="68">
        <f ca="1">IFERROR(__xludf.DUMMYFUNCTION("IMPORTRANGE(""https://docs.google.com/spreadsheets/d/1aHkj4IaQMThhwWwevcOymEh837vdxeC_PycurhTbGFA/edit?usp=sharing"",""ขอนแก่น!S642"")"),360)</f>
        <v>360</v>
      </c>
      <c r="F33" s="68">
        <f t="shared" ca="1" si="30"/>
        <v>2.5824964131994261</v>
      </c>
      <c r="G33" s="68">
        <f t="shared" ca="1" si="31"/>
        <v>2.5824964131994261</v>
      </c>
      <c r="H33" s="278">
        <f ca="1">IFERROR(__xludf.DUMMYFUNCTION("IMPORTRANGE(""https://docs.google.com/spreadsheets/d/1aHkj4IaQMThhwWwevcOymEh837vdxeC_PycurhTbGFA/edit?usp=sharing"",""ขอนแก่น!I652"")"),0)</f>
        <v>0</v>
      </c>
      <c r="I33" s="152">
        <f ca="1">IFERROR(__xludf.DUMMYFUNCTION("IMPORTRANGE(""https://docs.google.com/spreadsheets/d/1aHkj4IaQMThhwWwevcOymEh837vdxeC_PycurhTbGFA/edit?usp=sharing"",""ขอนแก่น!J652"")"),0)</f>
        <v>0</v>
      </c>
      <c r="J33" s="216">
        <f t="shared" ca="1" si="33"/>
        <v>0</v>
      </c>
      <c r="K33" s="152">
        <f ca="1">IFERROR(__xludf.DUMMYFUNCTION("IMPORTRANGE(""https://docs.google.com/spreadsheets/d/1aHkj4IaQMThhwWwevcOymEh837vdxeC_PycurhTbGFA/edit?usp=sharing"",""ขอนแก่น!I653"")"),0)</f>
        <v>0</v>
      </c>
      <c r="L33" s="152">
        <f ca="1">IFERROR(__xludf.DUMMYFUNCTION("IMPORTRANGE(""https://docs.google.com/spreadsheets/d/1aHkj4IaQMThhwWwevcOymEh837vdxeC_PycurhTbGFA/edit?usp=sharing"",""ขอนแก่น!J653"")"),0)</f>
        <v>0</v>
      </c>
      <c r="M33" s="216">
        <f t="shared" ca="1" si="35"/>
        <v>0</v>
      </c>
      <c r="N33" s="152">
        <f ca="1">IFERROR(__xludf.DUMMYFUNCTION("IMPORTRANGE(""https://docs.google.com/spreadsheets/d/1aHkj4IaQMThhwWwevcOymEh837vdxeC_PycurhTbGFA/edit?usp=sharing"",""ขอนแก่น!I654"")"),68)</f>
        <v>68</v>
      </c>
      <c r="O33" s="152">
        <f ca="1">IFERROR(__xludf.DUMMYFUNCTION("IMPORTRANGE(""https://docs.google.com/spreadsheets/d/1aHkj4IaQMThhwWwevcOymEh837vdxeC_PycurhTbGFA/edit?usp=sharing"",""ขอนแก่น!J654"")"),30.94)</f>
        <v>30.94</v>
      </c>
      <c r="P33" s="216">
        <f t="shared" ca="1" si="37"/>
        <v>45.5</v>
      </c>
      <c r="Q33" s="216">
        <f ca="1">IFERROR(__xludf.DUMMYFUNCTION("IMPORTRANGE(""https://docs.google.com/spreadsheets/d/1aHkj4IaQMThhwWwevcOymEh837vdxeC_PycurhTbGFA/edit?usp=sharing"",""ขอนแก่น!J655"")"),2)</f>
        <v>2</v>
      </c>
      <c r="R33" s="216">
        <f ca="1">IFERROR(__xludf.DUMMYFUNCTION("IMPORTRANGE(""https://docs.google.com/spreadsheets/d/1aHkj4IaQMThhwWwevcOymEh837vdxeC_PycurhTbGFA/edit?usp=sharing"",""ขอนแก่น!J656"")"),4)</f>
        <v>4</v>
      </c>
      <c r="S33" s="216">
        <f ca="1">IFERROR(__xludf.DUMMYFUNCTION("IMPORTRANGE(""https://docs.google.com/spreadsheets/d/1aHkj4IaQMThhwWwevcOymEh837vdxeC_PycurhTbGFA/edit?usp=sharing"",""ขอนแก่น!J657"")"),30.94)</f>
        <v>30.94</v>
      </c>
      <c r="T33" s="216">
        <f ca="1">IFERROR(__xludf.DUMMYFUNCTION("IMPORTRANGE(""https://docs.google.com/spreadsheets/d/1aHkj4IaQMThhwWwevcOymEh837vdxeC_PycurhTbGFA/edit?usp=sharing"",""ขอนแก่น!J658"")"),0)</f>
        <v>0</v>
      </c>
      <c r="U33" s="216">
        <f ca="1">IFERROR(__xludf.DUMMYFUNCTION("IMPORTRANGE(""https://docs.google.com/spreadsheets/d/1aHkj4IaQMThhwWwevcOymEh837vdxeC_PycurhTbGFA/edit?usp=sharing"",""ขอนแก่น!J659"")"),0)</f>
        <v>0</v>
      </c>
      <c r="V33" s="216">
        <f ca="1">IFERROR(__xludf.DUMMYFUNCTION("IMPORTRANGE(""https://docs.google.com/spreadsheets/d/1aHkj4IaQMThhwWwevcOymEh837vdxeC_PycurhTbGFA/edit?usp=sharing"",""ขอนแก่น!J660"")"),0)</f>
        <v>0</v>
      </c>
      <c r="W33" s="152">
        <f ca="1">IFERROR(__xludf.DUMMYFUNCTION("IMPORTRANGE(""https://docs.google.com/spreadsheets/d/1aHkj4IaQMThhwWwevcOymEh837vdxeC_PycurhTbGFA/edit?usp=sharing"",""ขอนแก่น!I661"")"),0)</f>
        <v>0</v>
      </c>
      <c r="X33" s="152">
        <f ca="1">IFERROR(__xludf.DUMMYFUNCTION("IMPORTRANGE(""https://docs.google.com/spreadsheets/d/1aHkj4IaQMThhwWwevcOymEh837vdxeC_PycurhTbGFA/edit?usp=sharing"",""ขอนแก่น!J661"")"),0)</f>
        <v>0</v>
      </c>
      <c r="Y33" s="216">
        <f t="shared" ca="1" si="39"/>
        <v>0</v>
      </c>
      <c r="Z33" s="152">
        <f ca="1">IFERROR(__xludf.DUMMYFUNCTION("IMPORTRANGE(""https://docs.google.com/spreadsheets/d/1aHkj4IaQMThhwWwevcOymEh837vdxeC_PycurhTbGFA/edit?usp=sharing"",""ขอนแก่น!J662"")"),0)</f>
        <v>0</v>
      </c>
      <c r="AA33" s="152">
        <f ca="1">IFERROR(__xludf.DUMMYFUNCTION("IMPORTRANGE(""https://docs.google.com/spreadsheets/d/1aHkj4IaQMThhwWwevcOymEh837vdxeC_PycurhTbGFA/edit?usp=sharing"",""ขอนแก่น!J663"")"),0)</f>
        <v>0</v>
      </c>
      <c r="AB33" s="152">
        <f ca="1">IFERROR(__xludf.DUMMYFUNCTION("IMPORTRANGE(""https://docs.google.com/spreadsheets/d/1aHkj4IaQMThhwWwevcOymEh837vdxeC_PycurhTbGFA/edit?usp=sharing"",""ขอนแก่น!J665"")"),0)</f>
        <v>0</v>
      </c>
      <c r="AC33" s="152">
        <f ca="1">IFERROR(__xludf.DUMMYFUNCTION("IMPORTRANGE(""https://docs.google.com/spreadsheets/d/1aHkj4IaQMThhwWwevcOymEh837vdxeC_PycurhTbGFA/edit?usp=sharing"",""ขอนแก่น!J666"")"),0)</f>
        <v>0</v>
      </c>
      <c r="AD33" s="152">
        <f ca="1">IFERROR(__xludf.DUMMYFUNCTION("IMPORTRANGE(""https://docs.google.com/spreadsheets/d/1aHkj4IaQMThhwWwevcOymEh837vdxeC_PycurhTbGFA/edit?usp=sharing"",""ขอนแก่น!J667"")"),0)</f>
        <v>0</v>
      </c>
      <c r="AE33" s="152">
        <f ca="1">IFERROR(__xludf.DUMMYFUNCTION("IMPORTRANGE(""https://docs.google.com/spreadsheets/d/1aHkj4IaQMThhwWwevcOymEh837vdxeC_PycurhTbGFA/edit?usp=sharing"",""ขอนแก่น!J668"")"),0)</f>
        <v>0</v>
      </c>
      <c r="AF33" s="152">
        <f ca="1">IFERROR(__xludf.DUMMYFUNCTION("IMPORTRANGE(""https://docs.google.com/spreadsheets/d/1aHkj4IaQMThhwWwevcOymEh837vdxeC_PycurhTbGFA/edit?usp=sharing"",""ขอนแก่น!J669"")"),0)</f>
        <v>0</v>
      </c>
      <c r="AG33" s="152">
        <f ca="1">IFERROR(__xludf.DUMMYFUNCTION("IMPORTRANGE(""https://docs.google.com/spreadsheets/d/1aHkj4IaQMThhwWwevcOymEh837vdxeC_PycurhTbGFA/edit?usp=sharing"",""ขอนแก่น!J670"")"),0)</f>
        <v>0</v>
      </c>
      <c r="AH33" s="152">
        <f ca="1">IFERROR(__xludf.DUMMYFUNCTION("IMPORTRANGE(""https://docs.google.com/spreadsheets/d/1aHkj4IaQMThhwWwevcOymEh837vdxeC_PycurhTbGFA/edit?usp=sharing"",""ขอนแก่น!I673"")"),193)</f>
        <v>193</v>
      </c>
      <c r="AI33" s="152">
        <f ca="1">IFERROR(__xludf.DUMMYFUNCTION("IMPORTRANGE(""https://docs.google.com/spreadsheets/d/1aHkj4IaQMThhwWwevcOymEh837vdxeC_PycurhTbGFA/edit?usp=sharing"",""ขอนแก่น!J671"")"),0)</f>
        <v>0</v>
      </c>
      <c r="AJ33" s="152">
        <f ca="1">IFERROR(__xludf.DUMMYFUNCTION("IMPORTRANGE(""https://docs.google.com/spreadsheets/d/1aHkj4IaQMThhwWwevcOymEh837vdxeC_PycurhTbGFA/edit?usp=sharing"",""ขอนแก่น!J672"")"),0)</f>
        <v>0</v>
      </c>
      <c r="AK33" s="152">
        <f ca="1">IFERROR(__xludf.DUMMYFUNCTION("IMPORTRANGE(""https://docs.google.com/spreadsheets/d/1aHkj4IaQMThhwWwevcOymEh837vdxeC_PycurhTbGFA/edit?usp=sharing"",""ขอนแก่น!J673"")"),0)</f>
        <v>0</v>
      </c>
      <c r="AL33" s="216">
        <f t="shared" ca="1" si="41"/>
        <v>0</v>
      </c>
      <c r="AM33" s="152">
        <f ca="1">IFERROR(__xludf.DUMMYFUNCTION("IMPORTRANGE(""https://docs.google.com/spreadsheets/d/1aHkj4IaQMThhwWwevcOymEh837vdxeC_PycurhTbGFA/edit?usp=sharing"",""ขอนแก่น!I674"")"),0)</f>
        <v>0</v>
      </c>
      <c r="AN33" s="152">
        <f ca="1">IFERROR(__xludf.DUMMYFUNCTION("IMPORTRANGE(""https://docs.google.com/spreadsheets/d/1aHkj4IaQMThhwWwevcOymEh837vdxeC_PycurhTbGFA/edit?usp=sharing"",""ขอนแก่น!I675"")"),0)</f>
        <v>0</v>
      </c>
      <c r="AO33" s="152">
        <f ca="1">IFERROR(__xludf.DUMMYFUNCTION("IMPORTRANGE(""https://docs.google.com/spreadsheets/d/1aHkj4IaQMThhwWwevcOymEh837vdxeC_PycurhTbGFA/edit?usp=sharing"",""ขอนแก่น!J674"")"),0)</f>
        <v>0</v>
      </c>
      <c r="AP33" s="216">
        <f t="shared" ca="1" si="43"/>
        <v>0</v>
      </c>
      <c r="AQ33" s="152">
        <f ca="1">IFERROR(__xludf.DUMMYFUNCTION("IMPORTRANGE(""https://docs.google.com/spreadsheets/d/1aHkj4IaQMThhwWwevcOymEh837vdxeC_PycurhTbGFA/edit?usp=sharing"",""ขอนแก่น!J675"")"),0)</f>
        <v>0</v>
      </c>
      <c r="AR33" s="216">
        <f t="shared" ca="1" si="44"/>
        <v>0</v>
      </c>
      <c r="AS33" s="152">
        <f ca="1">IFERROR(__xludf.DUMMYFUNCTION("IMPORTRANGE(""https://docs.google.com/spreadsheets/d/1aHkj4IaQMThhwWwevcOymEh837vdxeC_PycurhTbGFA/edit?usp=sharing"",""ขอนแก่น!I676"")"),0)</f>
        <v>0</v>
      </c>
      <c r="AT33" s="152">
        <f ca="1">IFERROR(__xludf.DUMMYFUNCTION("IMPORTRANGE(""https://docs.google.com/spreadsheets/d/1aHkj4IaQMThhwWwevcOymEh837vdxeC_PycurhTbGFA/edit?usp=sharing"",""ขอนแก่น!I678"")"),0)</f>
        <v>0</v>
      </c>
      <c r="AU33" s="152">
        <f ca="1">IFERROR(__xludf.DUMMYFUNCTION("IMPORTRANGE(""https://docs.google.com/spreadsheets/d/1aHkj4IaQMThhwWwevcOymEh837vdxeC_PycurhTbGFA/edit?usp=sharing"",""ขอนแก่น!J676"")"),0)</f>
        <v>0</v>
      </c>
      <c r="AV33" s="152">
        <f ca="1">IFERROR(__xludf.DUMMYFUNCTION("IMPORTRANGE(""https://docs.google.com/spreadsheets/d/1aHkj4IaQMThhwWwevcOymEh837vdxeC_PycurhTbGFA/edit?usp=sharing"",""ขอนแก่น!J677"")"),0)</f>
        <v>0</v>
      </c>
      <c r="AW33" s="152">
        <f ca="1">IFERROR(__xludf.DUMMYFUNCTION("IMPORTRANGE(""https://docs.google.com/spreadsheets/d/1aHkj4IaQMThhwWwevcOymEh837vdxeC_PycurhTbGFA/edit?usp=sharing"",""ขอนแก่น!J678"")"),0)</f>
        <v>0</v>
      </c>
      <c r="AX33" s="152">
        <f ca="1">IFERROR(__xludf.DUMMYFUNCTION("IMPORTRANGE(""https://docs.google.com/spreadsheets/d/1aHkj4IaQMThhwWwevcOymEh837vdxeC_PycurhTbGFA/edit?usp=sharing"",""ขอนแก่น!I679"")"),0)</f>
        <v>0</v>
      </c>
      <c r="AY33" s="152">
        <f ca="1">IFERROR(__xludf.DUMMYFUNCTION("IMPORTRANGE(""https://docs.google.com/spreadsheets/d/1aHkj4IaQMThhwWwevcOymEh837vdxeC_PycurhTbGFA/edit?usp=sharing"",""ขอนแก่น!I681"")"),0)</f>
        <v>0</v>
      </c>
      <c r="AZ33" s="152">
        <f ca="1">IFERROR(__xludf.DUMMYFUNCTION("IMPORTRANGE(""https://docs.google.com/spreadsheets/d/1aHkj4IaQMThhwWwevcOymEh837vdxeC_PycurhTbGFA/edit?usp=sharing"",""ขอนแก่น!J679"")"),0)</f>
        <v>0</v>
      </c>
      <c r="BA33" s="152">
        <f ca="1">IFERROR(__xludf.DUMMYFUNCTION("IMPORTRANGE(""https://docs.google.com/spreadsheets/d/1aHkj4IaQMThhwWwevcOymEh837vdxeC_PycurhTbGFA/edit?usp=sharing"",""ขอนแก่น!J680"")"),0)</f>
        <v>0</v>
      </c>
      <c r="BB33" s="152">
        <f ca="1">IFERROR(__xludf.DUMMYFUNCTION("IMPORTRANGE(""https://docs.google.com/spreadsheets/d/1aHkj4IaQMThhwWwevcOymEh837vdxeC_PycurhTbGFA/edit?usp=sharing"",""ขอนแก่น!J681"")"),0)</f>
        <v>0</v>
      </c>
      <c r="BC33" s="152">
        <f ca="1">IFERROR(__xludf.DUMMYFUNCTION("IMPORTRANGE(""https://docs.google.com/spreadsheets/d/1aHkj4IaQMThhwWwevcOymEh837vdxeC_PycurhTbGFA/edit?usp=sharing"",""ขอนแก่น!I682"")"),0)</f>
        <v>0</v>
      </c>
      <c r="BD33" s="152">
        <f ca="1">IFERROR(__xludf.DUMMYFUNCTION("IMPORTRANGE(""https://docs.google.com/spreadsheets/d/1aHkj4IaQMThhwWwevcOymEh837vdxeC_PycurhTbGFA/edit?usp=sharing"",""ขอนแก่น!J682"")"),0)</f>
        <v>0</v>
      </c>
      <c r="BE33" s="216">
        <f t="shared" ca="1" si="46"/>
        <v>0</v>
      </c>
      <c r="BF33" s="152">
        <f ca="1">IFERROR(__xludf.DUMMYFUNCTION("IMPORTRANGE(""https://docs.google.com/spreadsheets/d/1aHkj4IaQMThhwWwevcOymEh837vdxeC_PycurhTbGFA/edit?usp=sharing"",""ขอนแก่น!J683"")"),0)</f>
        <v>0</v>
      </c>
      <c r="BG33" s="152">
        <f ca="1">IFERROR(__xludf.DUMMYFUNCTION("IMPORTRANGE(""https://docs.google.com/spreadsheets/d/1aHkj4IaQMThhwWwevcOymEh837vdxeC_PycurhTbGFA/edit?usp=sharing"",""ขอนแก่น!J684"")"),0)</f>
        <v>0</v>
      </c>
      <c r="BH33" s="152">
        <f ca="1">IFERROR(__xludf.DUMMYFUNCTION("IMPORTRANGE(""https://docs.google.com/spreadsheets/d/1aHkj4IaQMThhwWwevcOymEh837vdxeC_PycurhTbGFA/edit?usp=sharing"",""ขอนแก่น!J685"")"),0)</f>
        <v>0</v>
      </c>
      <c r="BI33" s="152">
        <f ca="1">IFERROR(__xludf.DUMMYFUNCTION("IMPORTRANGE(""https://docs.google.com/spreadsheets/d/1aHkj4IaQMThhwWwevcOymEh837vdxeC_PycurhTbGFA/edit?usp=sharing"",""ขอนแก่น!J686"")"),0)</f>
        <v>0</v>
      </c>
      <c r="BJ33" s="152">
        <f ca="1">IFERROR(__xludf.DUMMYFUNCTION("IMPORTRANGE(""https://docs.google.com/spreadsheets/d/1aHkj4IaQMThhwWwevcOymEh837vdxeC_PycurhTbGFA/edit?usp=sharing"",""ขอนแก่น!J687"")"),0)</f>
        <v>0</v>
      </c>
      <c r="BK33" s="152">
        <f ca="1">IFERROR(__xludf.DUMMYFUNCTION("IMPORTRANGE(""https://docs.google.com/spreadsheets/d/1aHkj4IaQMThhwWwevcOymEh837vdxeC_PycurhTbGFA/edit?usp=sharing"",""ขอนแก่น!J688"")"),0)</f>
        <v>0</v>
      </c>
    </row>
    <row r="34" spans="1:63" ht="19.5" x14ac:dyDescent="0.3">
      <c r="A34" s="70">
        <v>3</v>
      </c>
      <c r="B34" s="71" t="s">
        <v>62</v>
      </c>
      <c r="C34" s="68">
        <f ca="1">IFERROR(__xludf.DUMMYFUNCTION("IMPORTRANGE(""https://docs.google.com/spreadsheets/d/1FvTu2DsIWUjP6WCWra38Bkj_oOl_sOMf14r5Fg5srxU/edit?usp=sharing"",""ชัยภูมิ!Q642"")"),4520)</f>
        <v>4520</v>
      </c>
      <c r="D34" s="68">
        <f ca="1">IFERROR(__xludf.DUMMYFUNCTION("IMPORTRANGE(""https://docs.google.com/spreadsheets/d/1FvTu2DsIWUjP6WCWra38Bkj_oOl_sOMf14r5Fg5srxU/edit?usp=sharing"",""ชัยภูมิ!R642"")"),4520)</f>
        <v>4520</v>
      </c>
      <c r="E34" s="68">
        <f ca="1">IFERROR(__xludf.DUMMYFUNCTION("IMPORTRANGE(""https://docs.google.com/spreadsheets/d/1FvTu2DsIWUjP6WCWra38Bkj_oOl_sOMf14r5Fg5srxU/edit?usp=sharing"",""ชัยภูมิ!S642"")"),1590)</f>
        <v>1590</v>
      </c>
      <c r="F34" s="68">
        <f t="shared" ca="1" si="30"/>
        <v>35.176991150442475</v>
      </c>
      <c r="G34" s="68">
        <f t="shared" ca="1" si="31"/>
        <v>35.176991150442475</v>
      </c>
      <c r="H34" s="278">
        <f ca="1">IFERROR(__xludf.DUMMYFUNCTION("IMPORTRANGE(""https://docs.google.com/spreadsheets/d/1FvTu2DsIWUjP6WCWra38Bkj_oOl_sOMf14r5Fg5srxU/edit?usp=sharing"",""ชัยภูมิ!I652"")"),0)</f>
        <v>0</v>
      </c>
      <c r="I34" s="152">
        <f ca="1">IFERROR(__xludf.DUMMYFUNCTION("IMPORTRANGE(""https://docs.google.com/spreadsheets/d/1FvTu2DsIWUjP6WCWra38Bkj_oOl_sOMf14r5Fg5srxU/edit?usp=sharing"",""ชัยภูมิ!J652"")"),0)</f>
        <v>0</v>
      </c>
      <c r="J34" s="216">
        <f t="shared" ca="1" si="33"/>
        <v>0</v>
      </c>
      <c r="K34" s="152">
        <f ca="1">IFERROR(__xludf.DUMMYFUNCTION("IMPORTRANGE(""https://docs.google.com/spreadsheets/d/1FvTu2DsIWUjP6WCWra38Bkj_oOl_sOMf14r5Fg5srxU/edit?usp=sharing"",""ชัยภูมิ!I653"")"),0)</f>
        <v>0</v>
      </c>
      <c r="L34" s="152">
        <f ca="1">IFERROR(__xludf.DUMMYFUNCTION("IMPORTRANGE(""https://docs.google.com/spreadsheets/d/1FvTu2DsIWUjP6WCWra38Bkj_oOl_sOMf14r5Fg5srxU/edit?usp=sharing"",""ชัยภูมิ!J653"")"),2)</f>
        <v>2</v>
      </c>
      <c r="M34" s="216">
        <f t="shared" ca="1" si="35"/>
        <v>0</v>
      </c>
      <c r="N34" s="152">
        <f ca="1">IFERROR(__xludf.DUMMYFUNCTION("IMPORTRANGE(""https://docs.google.com/spreadsheets/d/1FvTu2DsIWUjP6WCWra38Bkj_oOl_sOMf14r5Fg5srxU/edit?usp=sharing"",""ชัยภูมิ!I654"")"),30)</f>
        <v>30</v>
      </c>
      <c r="O34" s="152">
        <f ca="1">IFERROR(__xludf.DUMMYFUNCTION("IMPORTRANGE(""https://docs.google.com/spreadsheets/d/1FvTu2DsIWUjP6WCWra38Bkj_oOl_sOMf14r5Fg5srxU/edit?usp=sharing"",""ชัยภูมิ!J654"")"),24)</f>
        <v>24</v>
      </c>
      <c r="P34" s="216">
        <f t="shared" ca="1" si="37"/>
        <v>80</v>
      </c>
      <c r="Q34" s="216">
        <f ca="1">IFERROR(__xludf.DUMMYFUNCTION("IMPORTRANGE(""https://docs.google.com/spreadsheets/d/1FvTu2DsIWUjP6WCWra38Bkj_oOl_sOMf14r5Fg5srxU/edit?usp=sharing"",""ชัยภูมิ!J655"")"),0)</f>
        <v>0</v>
      </c>
      <c r="R34" s="216">
        <f ca="1">IFERROR(__xludf.DUMMYFUNCTION("IMPORTRANGE(""https://docs.google.com/spreadsheets/d/1FvTu2DsIWUjP6WCWra38Bkj_oOl_sOMf14r5Fg5srxU/edit?usp=sharing"",""ชัยภูมิ!J656"")"),0)</f>
        <v>0</v>
      </c>
      <c r="S34" s="216">
        <f ca="1">IFERROR(__xludf.DUMMYFUNCTION("IMPORTRANGE(""https://docs.google.com/spreadsheets/d/1FvTu2DsIWUjP6WCWra38Bkj_oOl_sOMf14r5Fg5srxU/edit?usp=sharing"",""ชัยภูมิ!J657"")"),0)</f>
        <v>0</v>
      </c>
      <c r="T34" s="216">
        <f ca="1">IFERROR(__xludf.DUMMYFUNCTION("IMPORTRANGE(""https://docs.google.com/spreadsheets/d/1FvTu2DsIWUjP6WCWra38Bkj_oOl_sOMf14r5Fg5srxU/edit?usp=sharing"",""ชัยภูมิ!J658"")"),2)</f>
        <v>2</v>
      </c>
      <c r="U34" s="216">
        <f ca="1">IFERROR(__xludf.DUMMYFUNCTION("IMPORTRANGE(""https://docs.google.com/spreadsheets/d/1FvTu2DsIWUjP6WCWra38Bkj_oOl_sOMf14r5Fg5srxU/edit?usp=sharing"",""ชัยภูมิ!J659"")"),2)</f>
        <v>2</v>
      </c>
      <c r="V34" s="216">
        <f ca="1">IFERROR(__xludf.DUMMYFUNCTION("IMPORTRANGE(""https://docs.google.com/spreadsheets/d/1FvTu2DsIWUjP6WCWra38Bkj_oOl_sOMf14r5Fg5srxU/edit?usp=sharing"",""ชัยภูมิ!J660"")"),24)</f>
        <v>24</v>
      </c>
      <c r="W34" s="152">
        <f ca="1">IFERROR(__xludf.DUMMYFUNCTION("IMPORTRANGE(""https://docs.google.com/spreadsheets/d/1FvTu2DsIWUjP6WCWra38Bkj_oOl_sOMf14r5Fg5srxU/edit?usp=sharing"",""ชัยภูมิ!I661"")"),16)</f>
        <v>16</v>
      </c>
      <c r="X34" s="152">
        <f ca="1">IFERROR(__xludf.DUMMYFUNCTION("IMPORTRANGE(""https://docs.google.com/spreadsheets/d/1FvTu2DsIWUjP6WCWra38Bkj_oOl_sOMf14r5Fg5srxU/edit?usp=sharing"",""ชัยภูมิ!J661"")"),0)</f>
        <v>0</v>
      </c>
      <c r="Y34" s="216">
        <f t="shared" ca="1" si="39"/>
        <v>0</v>
      </c>
      <c r="Z34" s="152">
        <f ca="1">IFERROR(__xludf.DUMMYFUNCTION("IMPORTRANGE(""https://docs.google.com/spreadsheets/d/1FvTu2DsIWUjP6WCWra38Bkj_oOl_sOMf14r5Fg5srxU/edit?usp=sharing"",""ชัยภูมิ!J662"")"),0)</f>
        <v>0</v>
      </c>
      <c r="AA34" s="152">
        <f ca="1">IFERROR(__xludf.DUMMYFUNCTION("IMPORTRANGE(""https://docs.google.com/spreadsheets/d/1FvTu2DsIWUjP6WCWra38Bkj_oOl_sOMf14r5Fg5srxU/edit?usp=sharing"",""ชัยภูมิ!J663"")"),0)</f>
        <v>0</v>
      </c>
      <c r="AB34" s="152">
        <f ca="1">IFERROR(__xludf.DUMMYFUNCTION("IMPORTRANGE(""https://docs.google.com/spreadsheets/d/1FvTu2DsIWUjP6WCWra38Bkj_oOl_sOMf14r5Fg5srxU/edit?usp=sharing"",""ชัยภูมิ!J665"")"),0)</f>
        <v>0</v>
      </c>
      <c r="AC34" s="152">
        <f ca="1">IFERROR(__xludf.DUMMYFUNCTION("IMPORTRANGE(""https://docs.google.com/spreadsheets/d/1FvTu2DsIWUjP6WCWra38Bkj_oOl_sOMf14r5Fg5srxU/edit?usp=sharing"",""ชัยภูมิ!J666"")"),0)</f>
        <v>0</v>
      </c>
      <c r="AD34" s="152">
        <f ca="1">IFERROR(__xludf.DUMMYFUNCTION("IMPORTRANGE(""https://docs.google.com/spreadsheets/d/1FvTu2DsIWUjP6WCWra38Bkj_oOl_sOMf14r5Fg5srxU/edit?usp=sharing"",""ชัยภูมิ!J667"")"),0)</f>
        <v>0</v>
      </c>
      <c r="AE34" s="152">
        <f ca="1">IFERROR(__xludf.DUMMYFUNCTION("IMPORTRANGE(""https://docs.google.com/spreadsheets/d/1FvTu2DsIWUjP6WCWra38Bkj_oOl_sOMf14r5Fg5srxU/edit?usp=sharing"",""ชัยภูมิ!J668"")"),0)</f>
        <v>0</v>
      </c>
      <c r="AF34" s="152">
        <f ca="1">IFERROR(__xludf.DUMMYFUNCTION("IMPORTRANGE(""https://docs.google.com/spreadsheets/d/1FvTu2DsIWUjP6WCWra38Bkj_oOl_sOMf14r5Fg5srxU/edit?usp=sharing"",""ชัยภูมิ!J669"")"),0)</f>
        <v>0</v>
      </c>
      <c r="AG34" s="152">
        <f ca="1">IFERROR(__xludf.DUMMYFUNCTION("IMPORTRANGE(""https://docs.google.com/spreadsheets/d/1FvTu2DsIWUjP6WCWra38Bkj_oOl_sOMf14r5Fg5srxU/edit?usp=sharing"",""ชัยภูมิ!J670"")"),0)</f>
        <v>0</v>
      </c>
      <c r="AH34" s="152">
        <f ca="1">IFERROR(__xludf.DUMMYFUNCTION("IMPORTRANGE(""https://docs.google.com/spreadsheets/d/1FvTu2DsIWUjP6WCWra38Bkj_oOl_sOMf14r5Fg5srxU/edit?usp=sharing"",""ชัยภูมิ!I673"")"),0)</f>
        <v>0</v>
      </c>
      <c r="AI34" s="152">
        <f ca="1">IFERROR(__xludf.DUMMYFUNCTION("IMPORTRANGE(""https://docs.google.com/spreadsheets/d/1FvTu2DsIWUjP6WCWra38Bkj_oOl_sOMf14r5Fg5srxU/edit?usp=sharing"",""ชัยภูมิ!J671"")"),0)</f>
        <v>0</v>
      </c>
      <c r="AJ34" s="152">
        <f ca="1">IFERROR(__xludf.DUMMYFUNCTION("IMPORTRANGE(""https://docs.google.com/spreadsheets/d/1FvTu2DsIWUjP6WCWra38Bkj_oOl_sOMf14r5Fg5srxU/edit?usp=sharing"",""ชัยภูมิ!J672"")"),0)</f>
        <v>0</v>
      </c>
      <c r="AK34" s="152">
        <f ca="1">IFERROR(__xludf.DUMMYFUNCTION("IMPORTRANGE(""https://docs.google.com/spreadsheets/d/1FvTu2DsIWUjP6WCWra38Bkj_oOl_sOMf14r5Fg5srxU/edit?usp=sharing"",""ชัยภูมิ!J673"")"),0)</f>
        <v>0</v>
      </c>
      <c r="AL34" s="216">
        <f t="shared" ca="1" si="41"/>
        <v>0</v>
      </c>
      <c r="AM34" s="152">
        <f ca="1">IFERROR(__xludf.DUMMYFUNCTION("IMPORTRANGE(""https://docs.google.com/spreadsheets/d/1FvTu2DsIWUjP6WCWra38Bkj_oOl_sOMf14r5Fg5srxU/edit?usp=sharing"",""ชัยภูมิ!I674"")"),19)</f>
        <v>19</v>
      </c>
      <c r="AN34" s="152">
        <f ca="1">IFERROR(__xludf.DUMMYFUNCTION("IMPORTRANGE(""https://docs.google.com/spreadsheets/d/1FvTu2DsIWUjP6WCWra38Bkj_oOl_sOMf14r5Fg5srxU/edit?usp=sharing"",""ชัยภูมิ!I675"")"),156)</f>
        <v>156</v>
      </c>
      <c r="AO34" s="152">
        <f ca="1">IFERROR(__xludf.DUMMYFUNCTION("IMPORTRANGE(""https://docs.google.com/spreadsheets/d/1FvTu2DsIWUjP6WCWra38Bkj_oOl_sOMf14r5Fg5srxU/edit?usp=sharing"",""ชัยภูมิ!J674"")"),5)</f>
        <v>5</v>
      </c>
      <c r="AP34" s="216">
        <f t="shared" ca="1" si="43"/>
        <v>26.315789473684209</v>
      </c>
      <c r="AQ34" s="152">
        <f ca="1">IFERROR(__xludf.DUMMYFUNCTION("IMPORTRANGE(""https://docs.google.com/spreadsheets/d/1FvTu2DsIWUjP6WCWra38Bkj_oOl_sOMf14r5Fg5srxU/edit?usp=sharing"",""ชัยภูมิ!J675"")"),59)</f>
        <v>59</v>
      </c>
      <c r="AR34" s="216">
        <f t="shared" ca="1" si="44"/>
        <v>37.820512820512818</v>
      </c>
      <c r="AS34" s="152">
        <f ca="1">IFERROR(__xludf.DUMMYFUNCTION("IMPORTRANGE(""https://docs.google.com/spreadsheets/d/1FvTu2DsIWUjP6WCWra38Bkj_oOl_sOMf14r5Fg5srxU/edit?usp=sharing"",""ชัยภูมิ!I676"")"),19)</f>
        <v>19</v>
      </c>
      <c r="AT34" s="152">
        <f ca="1">IFERROR(__xludf.DUMMYFUNCTION("IMPORTRANGE(""https://docs.google.com/spreadsheets/d/1FvTu2DsIWUjP6WCWra38Bkj_oOl_sOMf14r5Fg5srxU/edit?usp=sharing"",""ชัยภูมิ!I678"")"),156)</f>
        <v>156</v>
      </c>
      <c r="AU34" s="152">
        <f ca="1">IFERROR(__xludf.DUMMYFUNCTION("IMPORTRANGE(""https://docs.google.com/spreadsheets/d/1FvTu2DsIWUjP6WCWra38Bkj_oOl_sOMf14r5Fg5srxU/edit?usp=sharing"",""ชัยภูมิ!J676"")"),5)</f>
        <v>5</v>
      </c>
      <c r="AV34" s="152">
        <f ca="1">IFERROR(__xludf.DUMMYFUNCTION("IMPORTRANGE(""https://docs.google.com/spreadsheets/d/1FvTu2DsIWUjP6WCWra38Bkj_oOl_sOMf14r5Fg5srxU/edit?usp=sharing"",""ชัยภูมิ!J677"")"),5)</f>
        <v>5</v>
      </c>
      <c r="AW34" s="152">
        <f ca="1">IFERROR(__xludf.DUMMYFUNCTION("IMPORTRANGE(""https://docs.google.com/spreadsheets/d/1FvTu2DsIWUjP6WCWra38Bkj_oOl_sOMf14r5Fg5srxU/edit?usp=sharing"",""ชัยภูมิ!J678"")"),59)</f>
        <v>59</v>
      </c>
      <c r="AX34" s="152">
        <f ca="1">IFERROR(__xludf.DUMMYFUNCTION("IMPORTRANGE(""https://docs.google.com/spreadsheets/d/1FvTu2DsIWUjP6WCWra38Bkj_oOl_sOMf14r5Fg5srxU/edit?usp=sharing"",""ชัยภูมิ!I679"")"),0)</f>
        <v>0</v>
      </c>
      <c r="AY34" s="152">
        <f ca="1">IFERROR(__xludf.DUMMYFUNCTION("IMPORTRANGE(""https://docs.google.com/spreadsheets/d/1FvTu2DsIWUjP6WCWra38Bkj_oOl_sOMf14r5Fg5srxU/edit?usp=sharing"",""ชัยภูมิ!I681"")"),0)</f>
        <v>0</v>
      </c>
      <c r="AZ34" s="152">
        <f ca="1">IFERROR(__xludf.DUMMYFUNCTION("IMPORTRANGE(""https://docs.google.com/spreadsheets/d/1FvTu2DsIWUjP6WCWra38Bkj_oOl_sOMf14r5Fg5srxU/edit?usp=sharing"",""ชัยภูมิ!J679"")"),0)</f>
        <v>0</v>
      </c>
      <c r="BA34" s="152">
        <f ca="1">IFERROR(__xludf.DUMMYFUNCTION("IMPORTRANGE(""https://docs.google.com/spreadsheets/d/1FvTu2DsIWUjP6WCWra38Bkj_oOl_sOMf14r5Fg5srxU/edit?usp=sharing"",""ชัยภูมิ!J680"")"),0)</f>
        <v>0</v>
      </c>
      <c r="BB34" s="152">
        <f ca="1">IFERROR(__xludf.DUMMYFUNCTION("IMPORTRANGE(""https://docs.google.com/spreadsheets/d/1FvTu2DsIWUjP6WCWra38Bkj_oOl_sOMf14r5Fg5srxU/edit?usp=sharing"",""ชัยภูมิ!J681"")"),0)</f>
        <v>0</v>
      </c>
      <c r="BC34" s="152">
        <f ca="1">IFERROR(__xludf.DUMMYFUNCTION("IMPORTRANGE(""https://docs.google.com/spreadsheets/d/1FvTu2DsIWUjP6WCWra38Bkj_oOl_sOMf14r5Fg5srxU/edit?usp=sharing"",""ชัยภูมิ!I682"")"),0)</f>
        <v>0</v>
      </c>
      <c r="BD34" s="152">
        <f ca="1">IFERROR(__xludf.DUMMYFUNCTION("IMPORTRANGE(""https://docs.google.com/spreadsheets/d/1FvTu2DsIWUjP6WCWra38Bkj_oOl_sOMf14r5Fg5srxU/edit?usp=sharing"",""ชัยภูมิ!J682"")"),0)</f>
        <v>0</v>
      </c>
      <c r="BE34" s="216">
        <f t="shared" ca="1" si="46"/>
        <v>0</v>
      </c>
      <c r="BF34" s="152">
        <f ca="1">IFERROR(__xludf.DUMMYFUNCTION("IMPORTRANGE(""https://docs.google.com/spreadsheets/d/1FvTu2DsIWUjP6WCWra38Bkj_oOl_sOMf14r5Fg5srxU/edit?usp=sharing"",""ชัยภูมิ!J683"")"),0)</f>
        <v>0</v>
      </c>
      <c r="BG34" s="152">
        <f ca="1">IFERROR(__xludf.DUMMYFUNCTION("IMPORTRANGE(""https://docs.google.com/spreadsheets/d/1FvTu2DsIWUjP6WCWra38Bkj_oOl_sOMf14r5Fg5srxU/edit?usp=sharing"",""ชัยภูมิ!J684"")"),0)</f>
        <v>0</v>
      </c>
      <c r="BH34" s="152">
        <f ca="1">IFERROR(__xludf.DUMMYFUNCTION("IMPORTRANGE(""https://docs.google.com/spreadsheets/d/1FvTu2DsIWUjP6WCWra38Bkj_oOl_sOMf14r5Fg5srxU/edit?usp=sharing"",""ชัยภูมิ!J685"")"),0)</f>
        <v>0</v>
      </c>
      <c r="BI34" s="152">
        <f ca="1">IFERROR(__xludf.DUMMYFUNCTION("IMPORTRANGE(""https://docs.google.com/spreadsheets/d/1FvTu2DsIWUjP6WCWra38Bkj_oOl_sOMf14r5Fg5srxU/edit?usp=sharing"",""ชัยภูมิ!J686"")"),0)</f>
        <v>0</v>
      </c>
      <c r="BJ34" s="152">
        <f ca="1">IFERROR(__xludf.DUMMYFUNCTION("IMPORTRANGE(""https://docs.google.com/spreadsheets/d/1FvTu2DsIWUjP6WCWra38Bkj_oOl_sOMf14r5Fg5srxU/edit?usp=sharing"",""ชัยภูมิ!J687"")"),0)</f>
        <v>0</v>
      </c>
      <c r="BK34" s="152">
        <f ca="1">IFERROR(__xludf.DUMMYFUNCTION("IMPORTRANGE(""https://docs.google.com/spreadsheets/d/1FvTu2DsIWUjP6WCWra38Bkj_oOl_sOMf14r5Fg5srxU/edit?usp=sharing"",""ชัยภูมิ!J688"")"),0)</f>
        <v>0</v>
      </c>
    </row>
    <row r="35" spans="1:63" ht="19.5" x14ac:dyDescent="0.3">
      <c r="A35" s="70">
        <v>4</v>
      </c>
      <c r="B35" s="71" t="s">
        <v>63</v>
      </c>
      <c r="C35" s="68">
        <f ca="1">IFERROR(__xludf.DUMMYFUNCTION("IMPORTRANGE(""https://docs.google.com/spreadsheets/d/1XVB7oCJ3pr-vBUdflwPQ8Z2LlzhnCvZaaYjAfP-647E/edit?usp=sharing"",""นครพนม!Q642"")"),1600)</f>
        <v>1600</v>
      </c>
      <c r="D35" s="68">
        <f ca="1">IFERROR(__xludf.DUMMYFUNCTION("IMPORTRANGE(""https://docs.google.com/spreadsheets/d/1XVB7oCJ3pr-vBUdflwPQ8Z2LlzhnCvZaaYjAfP-647E/edit?usp=sharing"",""นครพนม!R642"")"),1600)</f>
        <v>1600</v>
      </c>
      <c r="E35" s="68">
        <f ca="1">IFERROR(__xludf.DUMMYFUNCTION("IMPORTRANGE(""https://docs.google.com/spreadsheets/d/1XVB7oCJ3pr-vBUdflwPQ8Z2LlzhnCvZaaYjAfP-647E/edit?usp=sharing"",""นครพนม!S642"")"),0)</f>
        <v>0</v>
      </c>
      <c r="F35" s="68">
        <f t="shared" ca="1" si="30"/>
        <v>0</v>
      </c>
      <c r="G35" s="68">
        <f t="shared" ca="1" si="31"/>
        <v>0</v>
      </c>
      <c r="H35" s="278">
        <f ca="1">IFERROR(__xludf.DUMMYFUNCTION("IMPORTRANGE(""https://docs.google.com/spreadsheets/d/1XVB7oCJ3pr-vBUdflwPQ8Z2LlzhnCvZaaYjAfP-647E/edit?usp=sharing"",""นครพนม!I652"")"),0)</f>
        <v>0</v>
      </c>
      <c r="I35" s="152">
        <f ca="1">IFERROR(__xludf.DUMMYFUNCTION("IMPORTRANGE(""https://docs.google.com/spreadsheets/d/1XVB7oCJ3pr-vBUdflwPQ8Z2LlzhnCvZaaYjAfP-647E/edit?usp=sharing"",""นครพนม!J652"")"),0)</f>
        <v>0</v>
      </c>
      <c r="J35" s="216">
        <f t="shared" ca="1" si="33"/>
        <v>0</v>
      </c>
      <c r="K35" s="152">
        <f ca="1">IFERROR(__xludf.DUMMYFUNCTION("IMPORTRANGE(""https://docs.google.com/spreadsheets/d/1XVB7oCJ3pr-vBUdflwPQ8Z2LlzhnCvZaaYjAfP-647E/edit?usp=sharing"",""นครพนม!I653"")"),5)</f>
        <v>5</v>
      </c>
      <c r="L35" s="152">
        <f ca="1">IFERROR(__xludf.DUMMYFUNCTION("IMPORTRANGE(""https://docs.google.com/spreadsheets/d/1XVB7oCJ3pr-vBUdflwPQ8Z2LlzhnCvZaaYjAfP-647E/edit?usp=sharing"",""นครพนม!J653"")"),0)</f>
        <v>0</v>
      </c>
      <c r="M35" s="216">
        <f t="shared" ca="1" si="35"/>
        <v>0</v>
      </c>
      <c r="N35" s="152">
        <f ca="1">IFERROR(__xludf.DUMMYFUNCTION("IMPORTRANGE(""https://docs.google.com/spreadsheets/d/1XVB7oCJ3pr-vBUdflwPQ8Z2LlzhnCvZaaYjAfP-647E/edit?usp=sharing"",""นครพนม!I654"")"),0)</f>
        <v>0</v>
      </c>
      <c r="O35" s="152">
        <f ca="1">IFERROR(__xludf.DUMMYFUNCTION("IMPORTRANGE(""https://docs.google.com/spreadsheets/d/1XVB7oCJ3pr-vBUdflwPQ8Z2LlzhnCvZaaYjAfP-647E/edit?usp=sharing"",""นครพนม!J654"")"),0)</f>
        <v>0</v>
      </c>
      <c r="P35" s="216">
        <f t="shared" ca="1" si="37"/>
        <v>0</v>
      </c>
      <c r="Q35" s="216">
        <f ca="1">IFERROR(__xludf.DUMMYFUNCTION("IMPORTRANGE(""https://docs.google.com/spreadsheets/d/1XVB7oCJ3pr-vBUdflwPQ8Z2LlzhnCvZaaYjAfP-647E/edit?usp=sharing"",""นครพนม!J655"")"),0)</f>
        <v>0</v>
      </c>
      <c r="R35" s="216">
        <f ca="1">IFERROR(__xludf.DUMMYFUNCTION("IMPORTRANGE(""https://docs.google.com/spreadsheets/d/1XVB7oCJ3pr-vBUdflwPQ8Z2LlzhnCvZaaYjAfP-647E/edit?usp=sharing"",""นครพนม!J656"")"),0)</f>
        <v>0</v>
      </c>
      <c r="S35" s="216">
        <f ca="1">IFERROR(__xludf.DUMMYFUNCTION("IMPORTRANGE(""https://docs.google.com/spreadsheets/d/1XVB7oCJ3pr-vBUdflwPQ8Z2LlzhnCvZaaYjAfP-647E/edit?usp=sharing"",""นครพนม!J657"")"),0)</f>
        <v>0</v>
      </c>
      <c r="T35" s="216">
        <f ca="1">IFERROR(__xludf.DUMMYFUNCTION("IMPORTRANGE(""https://docs.google.com/spreadsheets/d/1XVB7oCJ3pr-vBUdflwPQ8Z2LlzhnCvZaaYjAfP-647E/edit?usp=sharing"",""นครพนม!J658"")"),0)</f>
        <v>0</v>
      </c>
      <c r="U35" s="216">
        <f ca="1">IFERROR(__xludf.DUMMYFUNCTION("IMPORTRANGE(""https://docs.google.com/spreadsheets/d/1XVB7oCJ3pr-vBUdflwPQ8Z2LlzhnCvZaaYjAfP-647E/edit?usp=sharing"",""นครพนม!J659"")"),0)</f>
        <v>0</v>
      </c>
      <c r="V35" s="216">
        <f ca="1">IFERROR(__xludf.DUMMYFUNCTION("IMPORTRANGE(""https://docs.google.com/spreadsheets/d/1XVB7oCJ3pr-vBUdflwPQ8Z2LlzhnCvZaaYjAfP-647E/edit?usp=sharing"",""นครพนม!J660"")"),0)</f>
        <v>0</v>
      </c>
      <c r="W35" s="152">
        <f ca="1">IFERROR(__xludf.DUMMYFUNCTION("IMPORTRANGE(""https://docs.google.com/spreadsheets/d/1XVB7oCJ3pr-vBUdflwPQ8Z2LlzhnCvZaaYjAfP-647E/edit?usp=sharing"",""นครพนม!I661"")"),0)</f>
        <v>0</v>
      </c>
      <c r="X35" s="152">
        <f ca="1">IFERROR(__xludf.DUMMYFUNCTION("IMPORTRANGE(""https://docs.google.com/spreadsheets/d/1XVB7oCJ3pr-vBUdflwPQ8Z2LlzhnCvZaaYjAfP-647E/edit?usp=sharing"",""นครพนม!J661"")"),0)</f>
        <v>0</v>
      </c>
      <c r="Y35" s="216">
        <f t="shared" ca="1" si="39"/>
        <v>0</v>
      </c>
      <c r="Z35" s="152">
        <f ca="1">IFERROR(__xludf.DUMMYFUNCTION("IMPORTRANGE(""https://docs.google.com/spreadsheets/d/1XVB7oCJ3pr-vBUdflwPQ8Z2LlzhnCvZaaYjAfP-647E/edit?usp=sharing"",""นครพนม!J662"")"),0)</f>
        <v>0</v>
      </c>
      <c r="AA35" s="152">
        <f ca="1">IFERROR(__xludf.DUMMYFUNCTION("IMPORTRANGE(""https://docs.google.com/spreadsheets/d/1XVB7oCJ3pr-vBUdflwPQ8Z2LlzhnCvZaaYjAfP-647E/edit?usp=sharing"",""นครพนม!J663"")"),0)</f>
        <v>0</v>
      </c>
      <c r="AB35" s="152">
        <f ca="1">IFERROR(__xludf.DUMMYFUNCTION("IMPORTRANGE(""https://docs.google.com/spreadsheets/d/1XVB7oCJ3pr-vBUdflwPQ8Z2LlzhnCvZaaYjAfP-647E/edit?usp=sharing"",""นครพนม!J665"")"),0)</f>
        <v>0</v>
      </c>
      <c r="AC35" s="152">
        <f ca="1">IFERROR(__xludf.DUMMYFUNCTION("IMPORTRANGE(""https://docs.google.com/spreadsheets/d/1XVB7oCJ3pr-vBUdflwPQ8Z2LlzhnCvZaaYjAfP-647E/edit?usp=sharing"",""นครพนม!J666"")"),0)</f>
        <v>0</v>
      </c>
      <c r="AD35" s="152">
        <f ca="1">IFERROR(__xludf.DUMMYFUNCTION("IMPORTRANGE(""https://docs.google.com/spreadsheets/d/1XVB7oCJ3pr-vBUdflwPQ8Z2LlzhnCvZaaYjAfP-647E/edit?usp=sharing"",""นครพนม!J667"")"),0)</f>
        <v>0</v>
      </c>
      <c r="AE35" s="152">
        <f ca="1">IFERROR(__xludf.DUMMYFUNCTION("IMPORTRANGE(""https://docs.google.com/spreadsheets/d/1XVB7oCJ3pr-vBUdflwPQ8Z2LlzhnCvZaaYjAfP-647E/edit?usp=sharing"",""นครพนม!J668"")"),0)</f>
        <v>0</v>
      </c>
      <c r="AF35" s="152">
        <f ca="1">IFERROR(__xludf.DUMMYFUNCTION("IMPORTRANGE(""https://docs.google.com/spreadsheets/d/1XVB7oCJ3pr-vBUdflwPQ8Z2LlzhnCvZaaYjAfP-647E/edit?usp=sharing"",""นครพนม!J669"")"),0)</f>
        <v>0</v>
      </c>
      <c r="AG35" s="152">
        <f ca="1">IFERROR(__xludf.DUMMYFUNCTION("IMPORTRANGE(""https://docs.google.com/spreadsheets/d/1XVB7oCJ3pr-vBUdflwPQ8Z2LlzhnCvZaaYjAfP-647E/edit?usp=sharing"",""นครพนม!J670"")"),0)</f>
        <v>0</v>
      </c>
      <c r="AH35" s="152">
        <f ca="1">IFERROR(__xludf.DUMMYFUNCTION("IMPORTRANGE(""https://docs.google.com/spreadsheets/d/1XVB7oCJ3pr-vBUdflwPQ8Z2LlzhnCvZaaYjAfP-647E/edit?usp=sharing"",""นครพนม!I673"")"),0)</f>
        <v>0</v>
      </c>
      <c r="AI35" s="152">
        <f ca="1">IFERROR(__xludf.DUMMYFUNCTION("IMPORTRANGE(""https://docs.google.com/spreadsheets/d/1XVB7oCJ3pr-vBUdflwPQ8Z2LlzhnCvZaaYjAfP-647E/edit?usp=sharing"",""นครพนม!J671"")"),0)</f>
        <v>0</v>
      </c>
      <c r="AJ35" s="152">
        <f ca="1">IFERROR(__xludf.DUMMYFUNCTION("IMPORTRANGE(""https://docs.google.com/spreadsheets/d/1XVB7oCJ3pr-vBUdflwPQ8Z2LlzhnCvZaaYjAfP-647E/edit?usp=sharing"",""นครพนม!J672"")"),0)</f>
        <v>0</v>
      </c>
      <c r="AK35" s="152">
        <f ca="1">IFERROR(__xludf.DUMMYFUNCTION("IMPORTRANGE(""https://docs.google.com/spreadsheets/d/1XVB7oCJ3pr-vBUdflwPQ8Z2LlzhnCvZaaYjAfP-647E/edit?usp=sharing"",""นครพนม!J673"")"),0)</f>
        <v>0</v>
      </c>
      <c r="AL35" s="216">
        <f t="shared" ca="1" si="41"/>
        <v>0</v>
      </c>
      <c r="AM35" s="152">
        <f ca="1">IFERROR(__xludf.DUMMYFUNCTION("IMPORTRANGE(""https://docs.google.com/spreadsheets/d/1XVB7oCJ3pr-vBUdflwPQ8Z2LlzhnCvZaaYjAfP-647E/edit?usp=sharing"",""นครพนม!I674"")"),0)</f>
        <v>0</v>
      </c>
      <c r="AN35" s="152">
        <f ca="1">IFERROR(__xludf.DUMMYFUNCTION("IMPORTRANGE(""https://docs.google.com/spreadsheets/d/1XVB7oCJ3pr-vBUdflwPQ8Z2LlzhnCvZaaYjAfP-647E/edit?usp=sharing"",""นครพนม!I675"")"),0)</f>
        <v>0</v>
      </c>
      <c r="AO35" s="152">
        <f ca="1">IFERROR(__xludf.DUMMYFUNCTION("IMPORTRANGE(""https://docs.google.com/spreadsheets/d/1XVB7oCJ3pr-vBUdflwPQ8Z2LlzhnCvZaaYjAfP-647E/edit?usp=sharing"",""นครพนม!J674"")"),0)</f>
        <v>0</v>
      </c>
      <c r="AP35" s="216">
        <f t="shared" ca="1" si="43"/>
        <v>0</v>
      </c>
      <c r="AQ35" s="152">
        <f ca="1">IFERROR(__xludf.DUMMYFUNCTION("IMPORTRANGE(""https://docs.google.com/spreadsheets/d/1XVB7oCJ3pr-vBUdflwPQ8Z2LlzhnCvZaaYjAfP-647E/edit?usp=sharing"",""นครพนม!J675"")"),0)</f>
        <v>0</v>
      </c>
      <c r="AR35" s="216">
        <f t="shared" ca="1" si="44"/>
        <v>0</v>
      </c>
      <c r="AS35" s="152">
        <f ca="1">IFERROR(__xludf.DUMMYFUNCTION("IMPORTRANGE(""https://docs.google.com/spreadsheets/d/1XVB7oCJ3pr-vBUdflwPQ8Z2LlzhnCvZaaYjAfP-647E/edit?usp=sharing"",""นครพนม!I676"")"),0)</f>
        <v>0</v>
      </c>
      <c r="AT35" s="152">
        <f ca="1">IFERROR(__xludf.DUMMYFUNCTION("IMPORTRANGE(""https://docs.google.com/spreadsheets/d/1XVB7oCJ3pr-vBUdflwPQ8Z2LlzhnCvZaaYjAfP-647E/edit?usp=sharing"",""นครพนม!I678"")"),0)</f>
        <v>0</v>
      </c>
      <c r="AU35" s="152">
        <f ca="1">IFERROR(__xludf.DUMMYFUNCTION("IMPORTRANGE(""https://docs.google.com/spreadsheets/d/1XVB7oCJ3pr-vBUdflwPQ8Z2LlzhnCvZaaYjAfP-647E/edit?usp=sharing"",""นครพนม!J676"")"),0)</f>
        <v>0</v>
      </c>
      <c r="AV35" s="152">
        <f ca="1">IFERROR(__xludf.DUMMYFUNCTION("IMPORTRANGE(""https://docs.google.com/spreadsheets/d/1XVB7oCJ3pr-vBUdflwPQ8Z2LlzhnCvZaaYjAfP-647E/edit?usp=sharing"",""นครพนม!J677"")"),0)</f>
        <v>0</v>
      </c>
      <c r="AW35" s="152">
        <f ca="1">IFERROR(__xludf.DUMMYFUNCTION("IMPORTRANGE(""https://docs.google.com/spreadsheets/d/1XVB7oCJ3pr-vBUdflwPQ8Z2LlzhnCvZaaYjAfP-647E/edit?usp=sharing"",""นครพนม!J678"")"),0)</f>
        <v>0</v>
      </c>
      <c r="AX35" s="152">
        <f ca="1">IFERROR(__xludf.DUMMYFUNCTION("IMPORTRANGE(""https://docs.google.com/spreadsheets/d/1XVB7oCJ3pr-vBUdflwPQ8Z2LlzhnCvZaaYjAfP-647E/edit?usp=sharing"",""นครพนม!I679"")"),0)</f>
        <v>0</v>
      </c>
      <c r="AY35" s="152">
        <f ca="1">IFERROR(__xludf.DUMMYFUNCTION("IMPORTRANGE(""https://docs.google.com/spreadsheets/d/1XVB7oCJ3pr-vBUdflwPQ8Z2LlzhnCvZaaYjAfP-647E/edit?usp=sharing"",""นครพนม!I681"")"),0)</f>
        <v>0</v>
      </c>
      <c r="AZ35" s="152">
        <f ca="1">IFERROR(__xludf.DUMMYFUNCTION("IMPORTRANGE(""https://docs.google.com/spreadsheets/d/1XVB7oCJ3pr-vBUdflwPQ8Z2LlzhnCvZaaYjAfP-647E/edit?usp=sharing"",""นครพนม!J679"")"),0)</f>
        <v>0</v>
      </c>
      <c r="BA35" s="152">
        <f ca="1">IFERROR(__xludf.DUMMYFUNCTION("IMPORTRANGE(""https://docs.google.com/spreadsheets/d/1XVB7oCJ3pr-vBUdflwPQ8Z2LlzhnCvZaaYjAfP-647E/edit?usp=sharing"",""นครพนม!J680"")"),0)</f>
        <v>0</v>
      </c>
      <c r="BB35" s="152">
        <f ca="1">IFERROR(__xludf.DUMMYFUNCTION("IMPORTRANGE(""https://docs.google.com/spreadsheets/d/1XVB7oCJ3pr-vBUdflwPQ8Z2LlzhnCvZaaYjAfP-647E/edit?usp=sharing"",""นครพนม!J681"")"),0)</f>
        <v>0</v>
      </c>
      <c r="BC35" s="152">
        <f ca="1">IFERROR(__xludf.DUMMYFUNCTION("IMPORTRANGE(""https://docs.google.com/spreadsheets/d/1XVB7oCJ3pr-vBUdflwPQ8Z2LlzhnCvZaaYjAfP-647E/edit?usp=sharing"",""นครพนม!I682"")"),0)</f>
        <v>0</v>
      </c>
      <c r="BD35" s="152">
        <f ca="1">IFERROR(__xludf.DUMMYFUNCTION("IMPORTRANGE(""https://docs.google.com/spreadsheets/d/1XVB7oCJ3pr-vBUdflwPQ8Z2LlzhnCvZaaYjAfP-647E/edit?usp=sharing"",""นครพนม!J682"")"),0)</f>
        <v>0</v>
      </c>
      <c r="BE35" s="216">
        <f t="shared" ca="1" si="46"/>
        <v>0</v>
      </c>
      <c r="BF35" s="152">
        <f ca="1">IFERROR(__xludf.DUMMYFUNCTION("IMPORTRANGE(""https://docs.google.com/spreadsheets/d/1XVB7oCJ3pr-vBUdflwPQ8Z2LlzhnCvZaaYjAfP-647E/edit?usp=sharing"",""นครพนม!J683"")"),0)</f>
        <v>0</v>
      </c>
      <c r="BG35" s="152">
        <f ca="1">IFERROR(__xludf.DUMMYFUNCTION("IMPORTRANGE(""https://docs.google.com/spreadsheets/d/1XVB7oCJ3pr-vBUdflwPQ8Z2LlzhnCvZaaYjAfP-647E/edit?usp=sharing"",""นครพนม!J684"")"),0)</f>
        <v>0</v>
      </c>
      <c r="BH35" s="152">
        <f ca="1">IFERROR(__xludf.DUMMYFUNCTION("IMPORTRANGE(""https://docs.google.com/spreadsheets/d/1XVB7oCJ3pr-vBUdflwPQ8Z2LlzhnCvZaaYjAfP-647E/edit?usp=sharing"",""นครพนม!J685"")"),0)</f>
        <v>0</v>
      </c>
      <c r="BI35" s="152">
        <f ca="1">IFERROR(__xludf.DUMMYFUNCTION("IMPORTRANGE(""https://docs.google.com/spreadsheets/d/1XVB7oCJ3pr-vBUdflwPQ8Z2LlzhnCvZaaYjAfP-647E/edit?usp=sharing"",""นครพนม!J686"")"),0)</f>
        <v>0</v>
      </c>
      <c r="BJ35" s="152">
        <f ca="1">IFERROR(__xludf.DUMMYFUNCTION("IMPORTRANGE(""https://docs.google.com/spreadsheets/d/1XVB7oCJ3pr-vBUdflwPQ8Z2LlzhnCvZaaYjAfP-647E/edit?usp=sharing"",""นครพนม!J687"")"),0)</f>
        <v>0</v>
      </c>
      <c r="BK35" s="152">
        <f ca="1">IFERROR(__xludf.DUMMYFUNCTION("IMPORTRANGE(""https://docs.google.com/spreadsheets/d/1XVB7oCJ3pr-vBUdflwPQ8Z2LlzhnCvZaaYjAfP-647E/edit?usp=sharing"",""นครพนม!J688"")"),0)</f>
        <v>0</v>
      </c>
    </row>
    <row r="36" spans="1:63" ht="19.5" x14ac:dyDescent="0.3">
      <c r="A36" s="70">
        <v>5</v>
      </c>
      <c r="B36" s="71" t="s">
        <v>64</v>
      </c>
      <c r="C36" s="68">
        <f ca="1">IFERROR(__xludf.DUMMYFUNCTION("IMPORTRANGE(""https://docs.google.com/spreadsheets/d/1Mnpb-8PYAgn85W6KOTD40hc_Xc55CaLfHoGAbrZ8tls/edit?usp=sharing"",""นครราชสีมา!Q642"")"),0)</f>
        <v>0</v>
      </c>
      <c r="D36" s="68">
        <f ca="1">IFERROR(__xludf.DUMMYFUNCTION("IMPORTRANGE(""https://docs.google.com/spreadsheets/d/1Mnpb-8PYAgn85W6KOTD40hc_Xc55CaLfHoGAbrZ8tls/edit?usp=sharing"",""นครราชสีมา!R642"")"),0)</f>
        <v>0</v>
      </c>
      <c r="E36" s="68">
        <f ca="1">IFERROR(__xludf.DUMMYFUNCTION("IMPORTRANGE(""https://docs.google.com/spreadsheets/d/1Mnpb-8PYAgn85W6KOTD40hc_Xc55CaLfHoGAbrZ8tls/edit?usp=sharing"",""นครราชสีมา!S642"")"),0)</f>
        <v>0</v>
      </c>
      <c r="F36" s="68">
        <f t="shared" ca="1" si="30"/>
        <v>0</v>
      </c>
      <c r="G36" s="68">
        <f t="shared" ca="1" si="31"/>
        <v>0</v>
      </c>
      <c r="H36" s="278">
        <f ca="1">IFERROR(__xludf.DUMMYFUNCTION("IMPORTRANGE(""https://docs.google.com/spreadsheets/d/1Mnpb-8PYAgn85W6KOTD40hc_Xc55CaLfHoGAbrZ8tls/edit?usp=sharing"",""นครราชสีมา!I652"")"),0)</f>
        <v>0</v>
      </c>
      <c r="I36" s="152">
        <f ca="1">IFERROR(__xludf.DUMMYFUNCTION("IMPORTRANGE(""https://docs.google.com/spreadsheets/d/1Mnpb-8PYAgn85W6KOTD40hc_Xc55CaLfHoGAbrZ8tls/edit?usp=sharing"",""นครราชสีมา!J652"")"),0)</f>
        <v>0</v>
      </c>
      <c r="J36" s="216">
        <f t="shared" ca="1" si="33"/>
        <v>0</v>
      </c>
      <c r="K36" s="152">
        <f ca="1">IFERROR(__xludf.DUMMYFUNCTION("IMPORTRANGE(""https://docs.google.com/spreadsheets/d/1Mnpb-8PYAgn85W6KOTD40hc_Xc55CaLfHoGAbrZ8tls/edit?usp=sharing"",""นครราชสีมา!I653"")"),0)</f>
        <v>0</v>
      </c>
      <c r="L36" s="152">
        <f ca="1">IFERROR(__xludf.DUMMYFUNCTION("IMPORTRANGE(""https://docs.google.com/spreadsheets/d/1Mnpb-8PYAgn85W6KOTD40hc_Xc55CaLfHoGAbrZ8tls/edit?usp=sharing"",""นครราชสีมา!J653"")"),0)</f>
        <v>0</v>
      </c>
      <c r="M36" s="216">
        <f t="shared" ca="1" si="35"/>
        <v>0</v>
      </c>
      <c r="N36" s="152">
        <f ca="1">IFERROR(__xludf.DUMMYFUNCTION("IMPORTRANGE(""https://docs.google.com/spreadsheets/d/1Mnpb-8PYAgn85W6KOTD40hc_Xc55CaLfHoGAbrZ8tls/edit?usp=sharing"",""นครราชสีมา!I654"")"),0)</f>
        <v>0</v>
      </c>
      <c r="O36" s="152">
        <f ca="1">IFERROR(__xludf.DUMMYFUNCTION("IMPORTRANGE(""https://docs.google.com/spreadsheets/d/1Mnpb-8PYAgn85W6KOTD40hc_Xc55CaLfHoGAbrZ8tls/edit?usp=sharing"",""นครราชสีมา!J654"")"),0)</f>
        <v>0</v>
      </c>
      <c r="P36" s="216">
        <f t="shared" ca="1" si="37"/>
        <v>0</v>
      </c>
      <c r="Q36" s="216">
        <f ca="1">IFERROR(__xludf.DUMMYFUNCTION("IMPORTRANGE(""https://docs.google.com/spreadsheets/d/1Mnpb-8PYAgn85W6KOTD40hc_Xc55CaLfHoGAbrZ8tls/edit?usp=sharing"",""นครราชสีมา!J655"")"),0)</f>
        <v>0</v>
      </c>
      <c r="R36" s="216">
        <f ca="1">IFERROR(__xludf.DUMMYFUNCTION("IMPORTRANGE(""https://docs.google.com/spreadsheets/d/1Mnpb-8PYAgn85W6KOTD40hc_Xc55CaLfHoGAbrZ8tls/edit?usp=sharing"",""นครราชสีมา!J656"")"),0)</f>
        <v>0</v>
      </c>
      <c r="S36" s="216">
        <f ca="1">IFERROR(__xludf.DUMMYFUNCTION("IMPORTRANGE(""https://docs.google.com/spreadsheets/d/1Mnpb-8PYAgn85W6KOTD40hc_Xc55CaLfHoGAbrZ8tls/edit?usp=sharing"",""นครราชสีมา!J657"")"),0)</f>
        <v>0</v>
      </c>
      <c r="T36" s="216">
        <f ca="1">IFERROR(__xludf.DUMMYFUNCTION("IMPORTRANGE(""https://docs.google.com/spreadsheets/d/1Mnpb-8PYAgn85W6KOTD40hc_Xc55CaLfHoGAbrZ8tls/edit?usp=sharing"",""นครราชสีมา!J658"")"),0)</f>
        <v>0</v>
      </c>
      <c r="U36" s="216">
        <f ca="1">IFERROR(__xludf.DUMMYFUNCTION("IMPORTRANGE(""https://docs.google.com/spreadsheets/d/1Mnpb-8PYAgn85W6KOTD40hc_Xc55CaLfHoGAbrZ8tls/edit?usp=sharing"",""นครราชสีมา!J659"")"),0)</f>
        <v>0</v>
      </c>
      <c r="V36" s="216">
        <f ca="1">IFERROR(__xludf.DUMMYFUNCTION("IMPORTRANGE(""https://docs.google.com/spreadsheets/d/1Mnpb-8PYAgn85W6KOTD40hc_Xc55CaLfHoGAbrZ8tls/edit?usp=sharing"",""นครราชสีมา!J660"")"),0)</f>
        <v>0</v>
      </c>
      <c r="W36" s="152">
        <f ca="1">IFERROR(__xludf.DUMMYFUNCTION("IMPORTRANGE(""https://docs.google.com/spreadsheets/d/1Mnpb-8PYAgn85W6KOTD40hc_Xc55CaLfHoGAbrZ8tls/edit?usp=sharing"",""นครราชสีมา!I661"")"),0)</f>
        <v>0</v>
      </c>
      <c r="X36" s="152">
        <f ca="1">IFERROR(__xludf.DUMMYFUNCTION("IMPORTRANGE(""https://docs.google.com/spreadsheets/d/1Mnpb-8PYAgn85W6KOTD40hc_Xc55CaLfHoGAbrZ8tls/edit?usp=sharing"",""นครราชสีมา!J661"")"),0)</f>
        <v>0</v>
      </c>
      <c r="Y36" s="216">
        <f t="shared" ca="1" si="39"/>
        <v>0</v>
      </c>
      <c r="Z36" s="152">
        <f ca="1">IFERROR(__xludf.DUMMYFUNCTION("IMPORTRANGE(""https://docs.google.com/spreadsheets/d/1Mnpb-8PYAgn85W6KOTD40hc_Xc55CaLfHoGAbrZ8tls/edit?usp=sharing"",""นครราชสีมา!J662"")"),0)</f>
        <v>0</v>
      </c>
      <c r="AA36" s="152">
        <f ca="1">IFERROR(__xludf.DUMMYFUNCTION("IMPORTRANGE(""https://docs.google.com/spreadsheets/d/1Mnpb-8PYAgn85W6KOTD40hc_Xc55CaLfHoGAbrZ8tls/edit?usp=sharing"",""นครราชสีมา!J663"")"),0)</f>
        <v>0</v>
      </c>
      <c r="AB36" s="152">
        <f ca="1">IFERROR(__xludf.DUMMYFUNCTION("IMPORTRANGE(""https://docs.google.com/spreadsheets/d/1Mnpb-8PYAgn85W6KOTD40hc_Xc55CaLfHoGAbrZ8tls/edit?usp=sharing"",""นครราชสีมา!J665"")"),0)</f>
        <v>0</v>
      </c>
      <c r="AC36" s="152">
        <f ca="1">IFERROR(__xludf.DUMMYFUNCTION("IMPORTRANGE(""https://docs.google.com/spreadsheets/d/1Mnpb-8PYAgn85W6KOTD40hc_Xc55CaLfHoGAbrZ8tls/edit?usp=sharing"",""นครราชสีมา!J666"")"),0)</f>
        <v>0</v>
      </c>
      <c r="AD36" s="152">
        <f ca="1">IFERROR(__xludf.DUMMYFUNCTION("IMPORTRANGE(""https://docs.google.com/spreadsheets/d/1Mnpb-8PYAgn85W6KOTD40hc_Xc55CaLfHoGAbrZ8tls/edit?usp=sharing"",""นครราชสีมา!J667"")"),0)</f>
        <v>0</v>
      </c>
      <c r="AE36" s="152">
        <f ca="1">IFERROR(__xludf.DUMMYFUNCTION("IMPORTRANGE(""https://docs.google.com/spreadsheets/d/1Mnpb-8PYAgn85W6KOTD40hc_Xc55CaLfHoGAbrZ8tls/edit?usp=sharing"",""นครราชสีมา!J668"")"),0)</f>
        <v>0</v>
      </c>
      <c r="AF36" s="152">
        <f ca="1">IFERROR(__xludf.DUMMYFUNCTION("IMPORTRANGE(""https://docs.google.com/spreadsheets/d/1Mnpb-8PYAgn85W6KOTD40hc_Xc55CaLfHoGAbrZ8tls/edit?usp=sharing"",""นครราชสีมา!J669"")"),0)</f>
        <v>0</v>
      </c>
      <c r="AG36" s="152">
        <f ca="1">IFERROR(__xludf.DUMMYFUNCTION("IMPORTRANGE(""https://docs.google.com/spreadsheets/d/1Mnpb-8PYAgn85W6KOTD40hc_Xc55CaLfHoGAbrZ8tls/edit?usp=sharing"",""นครราชสีมา!J670"")"),0)</f>
        <v>0</v>
      </c>
      <c r="AH36" s="152">
        <f ca="1">IFERROR(__xludf.DUMMYFUNCTION("IMPORTRANGE(""https://docs.google.com/spreadsheets/d/1Mnpb-8PYAgn85W6KOTD40hc_Xc55CaLfHoGAbrZ8tls/edit?usp=sharing"",""นครราชสีมา!I673"")"),0)</f>
        <v>0</v>
      </c>
      <c r="AI36" s="152">
        <f ca="1">IFERROR(__xludf.DUMMYFUNCTION("IMPORTRANGE(""https://docs.google.com/spreadsheets/d/1Mnpb-8PYAgn85W6KOTD40hc_Xc55CaLfHoGAbrZ8tls/edit?usp=sharing"",""นครราชสีมา!J671"")"),0)</f>
        <v>0</v>
      </c>
      <c r="AJ36" s="152">
        <f ca="1">IFERROR(__xludf.DUMMYFUNCTION("IMPORTRANGE(""https://docs.google.com/spreadsheets/d/1Mnpb-8PYAgn85W6KOTD40hc_Xc55CaLfHoGAbrZ8tls/edit?usp=sharing"",""นครราชสีมา!J672"")"),0)</f>
        <v>0</v>
      </c>
      <c r="AK36" s="152">
        <f ca="1">IFERROR(__xludf.DUMMYFUNCTION("IMPORTRANGE(""https://docs.google.com/spreadsheets/d/1Mnpb-8PYAgn85W6KOTD40hc_Xc55CaLfHoGAbrZ8tls/edit?usp=sharing"",""นครราชสีมา!J673"")"),0)</f>
        <v>0</v>
      </c>
      <c r="AL36" s="216">
        <f t="shared" ca="1" si="41"/>
        <v>0</v>
      </c>
      <c r="AM36" s="152">
        <f ca="1">IFERROR(__xludf.DUMMYFUNCTION("IMPORTRANGE(""https://docs.google.com/spreadsheets/d/1Mnpb-8PYAgn85W6KOTD40hc_Xc55CaLfHoGAbrZ8tls/edit?usp=sharing"",""นครราชสีมา!I674"")"),0)</f>
        <v>0</v>
      </c>
      <c r="AN36" s="152">
        <f ca="1">IFERROR(__xludf.DUMMYFUNCTION("IMPORTRANGE(""https://docs.google.com/spreadsheets/d/1Mnpb-8PYAgn85W6KOTD40hc_Xc55CaLfHoGAbrZ8tls/edit?usp=sharing"",""นครราชสีมา!I675"")"),0)</f>
        <v>0</v>
      </c>
      <c r="AO36" s="152">
        <f ca="1">IFERROR(__xludf.DUMMYFUNCTION("IMPORTRANGE(""https://docs.google.com/spreadsheets/d/1Mnpb-8PYAgn85W6KOTD40hc_Xc55CaLfHoGAbrZ8tls/edit?usp=sharing"",""นครราชสีมา!J674"")"),0)</f>
        <v>0</v>
      </c>
      <c r="AP36" s="216">
        <f t="shared" ca="1" si="43"/>
        <v>0</v>
      </c>
      <c r="AQ36" s="152">
        <f ca="1">IFERROR(__xludf.DUMMYFUNCTION("IMPORTRANGE(""https://docs.google.com/spreadsheets/d/1Mnpb-8PYAgn85W6KOTD40hc_Xc55CaLfHoGAbrZ8tls/edit?usp=sharing"",""นครราชสีมา!J675"")"),0)</f>
        <v>0</v>
      </c>
      <c r="AR36" s="216">
        <f t="shared" ca="1" si="44"/>
        <v>0</v>
      </c>
      <c r="AS36" s="152">
        <f ca="1">IFERROR(__xludf.DUMMYFUNCTION("IMPORTRANGE(""https://docs.google.com/spreadsheets/d/1Mnpb-8PYAgn85W6KOTD40hc_Xc55CaLfHoGAbrZ8tls/edit?usp=sharing"",""นครราชสีมา!I676"")"),0)</f>
        <v>0</v>
      </c>
      <c r="AT36" s="152">
        <f ca="1">IFERROR(__xludf.DUMMYFUNCTION("IMPORTRANGE(""https://docs.google.com/spreadsheets/d/1Mnpb-8PYAgn85W6KOTD40hc_Xc55CaLfHoGAbrZ8tls/edit?usp=sharing"",""นครราชสีมา!I678"")"),0)</f>
        <v>0</v>
      </c>
      <c r="AU36" s="152">
        <f ca="1">IFERROR(__xludf.DUMMYFUNCTION("IMPORTRANGE(""https://docs.google.com/spreadsheets/d/1Mnpb-8PYAgn85W6KOTD40hc_Xc55CaLfHoGAbrZ8tls/edit?usp=sharing"",""นครราชสีมา!J676"")"),0)</f>
        <v>0</v>
      </c>
      <c r="AV36" s="152">
        <f ca="1">IFERROR(__xludf.DUMMYFUNCTION("IMPORTRANGE(""https://docs.google.com/spreadsheets/d/1Mnpb-8PYAgn85W6KOTD40hc_Xc55CaLfHoGAbrZ8tls/edit?usp=sharing"",""นครราชสีมา!J677"")"),0)</f>
        <v>0</v>
      </c>
      <c r="AW36" s="152">
        <f ca="1">IFERROR(__xludf.DUMMYFUNCTION("IMPORTRANGE(""https://docs.google.com/spreadsheets/d/1Mnpb-8PYAgn85W6KOTD40hc_Xc55CaLfHoGAbrZ8tls/edit?usp=sharing"",""นครราชสีมา!J678"")"),0)</f>
        <v>0</v>
      </c>
      <c r="AX36" s="152">
        <f ca="1">IFERROR(__xludf.DUMMYFUNCTION("IMPORTRANGE(""https://docs.google.com/spreadsheets/d/1Mnpb-8PYAgn85W6KOTD40hc_Xc55CaLfHoGAbrZ8tls/edit?usp=sharing"",""นครราชสีมา!I679"")"),0)</f>
        <v>0</v>
      </c>
      <c r="AY36" s="152">
        <f ca="1">IFERROR(__xludf.DUMMYFUNCTION("IMPORTRANGE(""https://docs.google.com/spreadsheets/d/1Mnpb-8PYAgn85W6KOTD40hc_Xc55CaLfHoGAbrZ8tls/edit?usp=sharing"",""นครราชสีมา!I681"")"),0)</f>
        <v>0</v>
      </c>
      <c r="AZ36" s="152">
        <f ca="1">IFERROR(__xludf.DUMMYFUNCTION("IMPORTRANGE(""https://docs.google.com/spreadsheets/d/1Mnpb-8PYAgn85W6KOTD40hc_Xc55CaLfHoGAbrZ8tls/edit?usp=sharing"",""นครราชสีมา!J679"")"),0)</f>
        <v>0</v>
      </c>
      <c r="BA36" s="152">
        <f ca="1">IFERROR(__xludf.DUMMYFUNCTION("IMPORTRANGE(""https://docs.google.com/spreadsheets/d/1Mnpb-8PYAgn85W6KOTD40hc_Xc55CaLfHoGAbrZ8tls/edit?usp=sharing"",""นครราชสีมา!J680"")"),0)</f>
        <v>0</v>
      </c>
      <c r="BB36" s="152">
        <f ca="1">IFERROR(__xludf.DUMMYFUNCTION("IMPORTRANGE(""https://docs.google.com/spreadsheets/d/1Mnpb-8PYAgn85W6KOTD40hc_Xc55CaLfHoGAbrZ8tls/edit?usp=sharing"",""นครราชสีมา!J681"")"),0)</f>
        <v>0</v>
      </c>
      <c r="BC36" s="152">
        <f ca="1">IFERROR(__xludf.DUMMYFUNCTION("IMPORTRANGE(""https://docs.google.com/spreadsheets/d/1Mnpb-8PYAgn85W6KOTD40hc_Xc55CaLfHoGAbrZ8tls/edit?usp=sharing"",""นครราชสีมา!I682"")"),0)</f>
        <v>0</v>
      </c>
      <c r="BD36" s="152">
        <f ca="1">IFERROR(__xludf.DUMMYFUNCTION("IMPORTRANGE(""https://docs.google.com/spreadsheets/d/1Mnpb-8PYAgn85W6KOTD40hc_Xc55CaLfHoGAbrZ8tls/edit?usp=sharing"",""นครราชสีมา!J682"")"),0)</f>
        <v>0</v>
      </c>
      <c r="BE36" s="216">
        <f t="shared" ca="1" si="46"/>
        <v>0</v>
      </c>
      <c r="BF36" s="152">
        <f ca="1">IFERROR(__xludf.DUMMYFUNCTION("IMPORTRANGE(""https://docs.google.com/spreadsheets/d/1Mnpb-8PYAgn85W6KOTD40hc_Xc55CaLfHoGAbrZ8tls/edit?usp=sharing"",""นครราชสีมา!J683"")"),0)</f>
        <v>0</v>
      </c>
      <c r="BG36" s="152">
        <f ca="1">IFERROR(__xludf.DUMMYFUNCTION("IMPORTRANGE(""https://docs.google.com/spreadsheets/d/1Mnpb-8PYAgn85W6KOTD40hc_Xc55CaLfHoGAbrZ8tls/edit?usp=sharing"",""นครราชสีมา!J684"")"),0)</f>
        <v>0</v>
      </c>
      <c r="BH36" s="152">
        <f ca="1">IFERROR(__xludf.DUMMYFUNCTION("IMPORTRANGE(""https://docs.google.com/spreadsheets/d/1Mnpb-8PYAgn85W6KOTD40hc_Xc55CaLfHoGAbrZ8tls/edit?usp=sharing"",""นครราชสีมา!J685"")"),0)</f>
        <v>0</v>
      </c>
      <c r="BI36" s="152">
        <f ca="1">IFERROR(__xludf.DUMMYFUNCTION("IMPORTRANGE(""https://docs.google.com/spreadsheets/d/1Mnpb-8PYAgn85W6KOTD40hc_Xc55CaLfHoGAbrZ8tls/edit?usp=sharing"",""นครราชสีมา!J686"")"),0)</f>
        <v>0</v>
      </c>
      <c r="BJ36" s="152">
        <f ca="1">IFERROR(__xludf.DUMMYFUNCTION("IMPORTRANGE(""https://docs.google.com/spreadsheets/d/1Mnpb-8PYAgn85W6KOTD40hc_Xc55CaLfHoGAbrZ8tls/edit?usp=sharing"",""นครราชสีมา!J687"")"),0)</f>
        <v>0</v>
      </c>
      <c r="BK36" s="152">
        <f ca="1">IFERROR(__xludf.DUMMYFUNCTION("IMPORTRANGE(""https://docs.google.com/spreadsheets/d/1Mnpb-8PYAgn85W6KOTD40hc_Xc55CaLfHoGAbrZ8tls/edit?usp=sharing"",""นครราชสีมา!J688"")"),0)</f>
        <v>0</v>
      </c>
    </row>
    <row r="37" spans="1:63" ht="19.5" x14ac:dyDescent="0.3">
      <c r="A37" s="70">
        <v>6</v>
      </c>
      <c r="B37" s="71" t="s">
        <v>65</v>
      </c>
      <c r="C37" s="68">
        <f ca="1">IFERROR(__xludf.DUMMYFUNCTION("IMPORTRANGE(""https://docs.google.com/spreadsheets/d/1xoDLGBv9CYbyosIhki0kTq6IpYNj-gpjxfobnaDiut0/edit?usp=sharing"",""บึงกาฬ!Q642"")"),0)</f>
        <v>0</v>
      </c>
      <c r="D37" s="68">
        <f ca="1">IFERROR(__xludf.DUMMYFUNCTION("IMPORTRANGE(""https://docs.google.com/spreadsheets/d/1xoDLGBv9CYbyosIhki0kTq6IpYNj-gpjxfobnaDiut0/edit?usp=sharing"",""บึงกาฬ!R642"")"),0)</f>
        <v>0</v>
      </c>
      <c r="E37" s="68">
        <f ca="1">IFERROR(__xludf.DUMMYFUNCTION("IMPORTRANGE(""https://docs.google.com/spreadsheets/d/1xoDLGBv9CYbyosIhki0kTq6IpYNj-gpjxfobnaDiut0/edit?usp=sharing"",""บึงกาฬ!S642"")"),0)</f>
        <v>0</v>
      </c>
      <c r="F37" s="68">
        <f t="shared" ca="1" si="30"/>
        <v>0</v>
      </c>
      <c r="G37" s="68">
        <f t="shared" ca="1" si="31"/>
        <v>0</v>
      </c>
      <c r="H37" s="278">
        <f ca="1">IFERROR(__xludf.DUMMYFUNCTION("IMPORTRANGE(""https://docs.google.com/spreadsheets/d/1xoDLGBv9CYbyosIhki0kTq6IpYNj-gpjxfobnaDiut0/edit?usp=sharing"",""บึงกาฬ!I652"")"),0)</f>
        <v>0</v>
      </c>
      <c r="I37" s="152">
        <f ca="1">IFERROR(__xludf.DUMMYFUNCTION("IMPORTRANGE(""https://docs.google.com/spreadsheets/d/1xoDLGBv9CYbyosIhki0kTq6IpYNj-gpjxfobnaDiut0/edit?usp=sharing"",""บึงกาฬ!J652"")"),0)</f>
        <v>0</v>
      </c>
      <c r="J37" s="216">
        <f t="shared" ca="1" si="33"/>
        <v>0</v>
      </c>
      <c r="K37" s="152">
        <f ca="1">IFERROR(__xludf.DUMMYFUNCTION("IMPORTRANGE(""https://docs.google.com/spreadsheets/d/1xoDLGBv9CYbyosIhki0kTq6IpYNj-gpjxfobnaDiut0/edit?usp=sharing"",""บึงกาฬ!I653"")"),0)</f>
        <v>0</v>
      </c>
      <c r="L37" s="152">
        <f ca="1">IFERROR(__xludf.DUMMYFUNCTION("IMPORTRANGE(""https://docs.google.com/spreadsheets/d/1xoDLGBv9CYbyosIhki0kTq6IpYNj-gpjxfobnaDiut0/edit?usp=sharing"",""บึงกาฬ!J653"")"),0)</f>
        <v>0</v>
      </c>
      <c r="M37" s="216">
        <f t="shared" ca="1" si="35"/>
        <v>0</v>
      </c>
      <c r="N37" s="152">
        <f ca="1">IFERROR(__xludf.DUMMYFUNCTION("IMPORTRANGE(""https://docs.google.com/spreadsheets/d/1xoDLGBv9CYbyosIhki0kTq6IpYNj-gpjxfobnaDiut0/edit?usp=sharing"",""บึงกาฬ!I654"")"),0)</f>
        <v>0</v>
      </c>
      <c r="O37" s="152">
        <f ca="1">IFERROR(__xludf.DUMMYFUNCTION("IMPORTRANGE(""https://docs.google.com/spreadsheets/d/1xoDLGBv9CYbyosIhki0kTq6IpYNj-gpjxfobnaDiut0/edit?usp=sharing"",""บึงกาฬ!J654"")"),0)</f>
        <v>0</v>
      </c>
      <c r="P37" s="216">
        <f t="shared" ca="1" si="37"/>
        <v>0</v>
      </c>
      <c r="Q37" s="216">
        <f ca="1">IFERROR(__xludf.DUMMYFUNCTION("IMPORTRANGE(""https://docs.google.com/spreadsheets/d/1xoDLGBv9CYbyosIhki0kTq6IpYNj-gpjxfobnaDiut0/edit?usp=sharing"",""บึงกาฬ!J655"")"),0)</f>
        <v>0</v>
      </c>
      <c r="R37" s="216">
        <f ca="1">IFERROR(__xludf.DUMMYFUNCTION("IMPORTRANGE(""https://docs.google.com/spreadsheets/d/1xoDLGBv9CYbyosIhki0kTq6IpYNj-gpjxfobnaDiut0/edit?usp=sharing"",""บึงกาฬ!J656"")"),0)</f>
        <v>0</v>
      </c>
      <c r="S37" s="216">
        <f ca="1">IFERROR(__xludf.DUMMYFUNCTION("IMPORTRANGE(""https://docs.google.com/spreadsheets/d/1xoDLGBv9CYbyosIhki0kTq6IpYNj-gpjxfobnaDiut0/edit?usp=sharing"",""บึงกาฬ!J657"")"),0)</f>
        <v>0</v>
      </c>
      <c r="T37" s="216">
        <f ca="1">IFERROR(__xludf.DUMMYFUNCTION("IMPORTRANGE(""https://docs.google.com/spreadsheets/d/1xoDLGBv9CYbyosIhki0kTq6IpYNj-gpjxfobnaDiut0/edit?usp=sharing"",""บึงกาฬ!J658"")"),0)</f>
        <v>0</v>
      </c>
      <c r="U37" s="216">
        <f ca="1">IFERROR(__xludf.DUMMYFUNCTION("IMPORTRANGE(""https://docs.google.com/spreadsheets/d/1xoDLGBv9CYbyosIhki0kTq6IpYNj-gpjxfobnaDiut0/edit?usp=sharing"",""บึงกาฬ!J659"")"),0)</f>
        <v>0</v>
      </c>
      <c r="V37" s="216">
        <f ca="1">IFERROR(__xludf.DUMMYFUNCTION("IMPORTRANGE(""https://docs.google.com/spreadsheets/d/1xoDLGBv9CYbyosIhki0kTq6IpYNj-gpjxfobnaDiut0/edit?usp=sharing"",""บึงกาฬ!J660"")"),0)</f>
        <v>0</v>
      </c>
      <c r="W37" s="152">
        <f ca="1">IFERROR(__xludf.DUMMYFUNCTION("IMPORTRANGE(""https://docs.google.com/spreadsheets/d/1xoDLGBv9CYbyosIhki0kTq6IpYNj-gpjxfobnaDiut0/edit?usp=sharing"",""บึงกาฬ!I661"")"),0)</f>
        <v>0</v>
      </c>
      <c r="X37" s="152">
        <f ca="1">IFERROR(__xludf.DUMMYFUNCTION("IMPORTRANGE(""https://docs.google.com/spreadsheets/d/1xoDLGBv9CYbyosIhki0kTq6IpYNj-gpjxfobnaDiut0/edit?usp=sharing"",""บึงกาฬ!J661"")"),0)</f>
        <v>0</v>
      </c>
      <c r="Y37" s="216">
        <f t="shared" ca="1" si="39"/>
        <v>0</v>
      </c>
      <c r="Z37" s="152">
        <f ca="1">IFERROR(__xludf.DUMMYFUNCTION("IMPORTRANGE(""https://docs.google.com/spreadsheets/d/1xoDLGBv9CYbyosIhki0kTq6IpYNj-gpjxfobnaDiut0/edit?usp=sharing"",""บึงกาฬ!J662"")"),0)</f>
        <v>0</v>
      </c>
      <c r="AA37" s="152">
        <f ca="1">IFERROR(__xludf.DUMMYFUNCTION("IMPORTRANGE(""https://docs.google.com/spreadsheets/d/1xoDLGBv9CYbyosIhki0kTq6IpYNj-gpjxfobnaDiut0/edit?usp=sharing"",""บึงกาฬ!J663"")"),0)</f>
        <v>0</v>
      </c>
      <c r="AB37" s="152">
        <f ca="1">IFERROR(__xludf.DUMMYFUNCTION("IMPORTRANGE(""https://docs.google.com/spreadsheets/d/1xoDLGBv9CYbyosIhki0kTq6IpYNj-gpjxfobnaDiut0/edit?usp=sharing"",""บึงกาฬ!J665"")"),0)</f>
        <v>0</v>
      </c>
      <c r="AC37" s="152">
        <f ca="1">IFERROR(__xludf.DUMMYFUNCTION("IMPORTRANGE(""https://docs.google.com/spreadsheets/d/1xoDLGBv9CYbyosIhki0kTq6IpYNj-gpjxfobnaDiut0/edit?usp=sharing"",""บึงกาฬ!J666"")"),0)</f>
        <v>0</v>
      </c>
      <c r="AD37" s="152">
        <f ca="1">IFERROR(__xludf.DUMMYFUNCTION("IMPORTRANGE(""https://docs.google.com/spreadsheets/d/1xoDLGBv9CYbyosIhki0kTq6IpYNj-gpjxfobnaDiut0/edit?usp=sharing"",""บึงกาฬ!J667"")"),0)</f>
        <v>0</v>
      </c>
      <c r="AE37" s="152">
        <f ca="1">IFERROR(__xludf.DUMMYFUNCTION("IMPORTRANGE(""https://docs.google.com/spreadsheets/d/1xoDLGBv9CYbyosIhki0kTq6IpYNj-gpjxfobnaDiut0/edit?usp=sharing"",""บึงกาฬ!J668"")"),0)</f>
        <v>0</v>
      </c>
      <c r="AF37" s="152">
        <f ca="1">IFERROR(__xludf.DUMMYFUNCTION("IMPORTRANGE(""https://docs.google.com/spreadsheets/d/1xoDLGBv9CYbyosIhki0kTq6IpYNj-gpjxfobnaDiut0/edit?usp=sharing"",""บึงกาฬ!J669"")"),0)</f>
        <v>0</v>
      </c>
      <c r="AG37" s="152">
        <f ca="1">IFERROR(__xludf.DUMMYFUNCTION("IMPORTRANGE(""https://docs.google.com/spreadsheets/d/1xoDLGBv9CYbyosIhki0kTq6IpYNj-gpjxfobnaDiut0/edit?usp=sharing"",""บึงกาฬ!J670"")"),0)</f>
        <v>0</v>
      </c>
      <c r="AH37" s="152">
        <f ca="1">IFERROR(__xludf.DUMMYFUNCTION("IMPORTRANGE(""https://docs.google.com/spreadsheets/d/1xoDLGBv9CYbyosIhki0kTq6IpYNj-gpjxfobnaDiut0/edit?usp=sharing"",""บึงกาฬ!I673"")"),0)</f>
        <v>0</v>
      </c>
      <c r="AI37" s="152">
        <f ca="1">IFERROR(__xludf.DUMMYFUNCTION("IMPORTRANGE(""https://docs.google.com/spreadsheets/d/1xoDLGBv9CYbyosIhki0kTq6IpYNj-gpjxfobnaDiut0/edit?usp=sharing"",""บึงกาฬ!J671"")"),0)</f>
        <v>0</v>
      </c>
      <c r="AJ37" s="152">
        <f ca="1">IFERROR(__xludf.DUMMYFUNCTION("IMPORTRANGE(""https://docs.google.com/spreadsheets/d/1xoDLGBv9CYbyosIhki0kTq6IpYNj-gpjxfobnaDiut0/edit?usp=sharing"",""บึงกาฬ!J672"")"),0)</f>
        <v>0</v>
      </c>
      <c r="AK37" s="152">
        <f ca="1">IFERROR(__xludf.DUMMYFUNCTION("IMPORTRANGE(""https://docs.google.com/spreadsheets/d/1xoDLGBv9CYbyosIhki0kTq6IpYNj-gpjxfobnaDiut0/edit?usp=sharing"",""บึงกาฬ!J673"")"),0)</f>
        <v>0</v>
      </c>
      <c r="AL37" s="216">
        <f t="shared" ca="1" si="41"/>
        <v>0</v>
      </c>
      <c r="AM37" s="152">
        <f ca="1">IFERROR(__xludf.DUMMYFUNCTION("IMPORTRANGE(""https://docs.google.com/spreadsheets/d/1xoDLGBv9CYbyosIhki0kTq6IpYNj-gpjxfobnaDiut0/edit?usp=sharing"",""บึงกาฬ!I674"")"),0)</f>
        <v>0</v>
      </c>
      <c r="AN37" s="152">
        <f ca="1">IFERROR(__xludf.DUMMYFUNCTION("IMPORTRANGE(""https://docs.google.com/spreadsheets/d/1xoDLGBv9CYbyosIhki0kTq6IpYNj-gpjxfobnaDiut0/edit?usp=sharing"",""บึงกาฬ!I675"")"),0)</f>
        <v>0</v>
      </c>
      <c r="AO37" s="152">
        <f ca="1">IFERROR(__xludf.DUMMYFUNCTION("IMPORTRANGE(""https://docs.google.com/spreadsheets/d/1xoDLGBv9CYbyosIhki0kTq6IpYNj-gpjxfobnaDiut0/edit?usp=sharing"",""บึงกาฬ!J674"")"),0)</f>
        <v>0</v>
      </c>
      <c r="AP37" s="216">
        <f t="shared" ca="1" si="43"/>
        <v>0</v>
      </c>
      <c r="AQ37" s="152">
        <f ca="1">IFERROR(__xludf.DUMMYFUNCTION("IMPORTRANGE(""https://docs.google.com/spreadsheets/d/1xoDLGBv9CYbyosIhki0kTq6IpYNj-gpjxfobnaDiut0/edit?usp=sharing"",""บึงกาฬ!J675"")"),0)</f>
        <v>0</v>
      </c>
      <c r="AR37" s="216">
        <f t="shared" ca="1" si="44"/>
        <v>0</v>
      </c>
      <c r="AS37" s="152">
        <f ca="1">IFERROR(__xludf.DUMMYFUNCTION("IMPORTRANGE(""https://docs.google.com/spreadsheets/d/1xoDLGBv9CYbyosIhki0kTq6IpYNj-gpjxfobnaDiut0/edit?usp=sharing"",""บึงกาฬ!I676"")"),0)</f>
        <v>0</v>
      </c>
      <c r="AT37" s="152">
        <f ca="1">IFERROR(__xludf.DUMMYFUNCTION("IMPORTRANGE(""https://docs.google.com/spreadsheets/d/1xoDLGBv9CYbyosIhki0kTq6IpYNj-gpjxfobnaDiut0/edit?usp=sharing"",""บึงกาฬ!I678"")"),0)</f>
        <v>0</v>
      </c>
      <c r="AU37" s="152">
        <f ca="1">IFERROR(__xludf.DUMMYFUNCTION("IMPORTRANGE(""https://docs.google.com/spreadsheets/d/1xoDLGBv9CYbyosIhki0kTq6IpYNj-gpjxfobnaDiut0/edit?usp=sharing"",""บึงกาฬ!J676"")"),0)</f>
        <v>0</v>
      </c>
      <c r="AV37" s="152">
        <f ca="1">IFERROR(__xludf.DUMMYFUNCTION("IMPORTRANGE(""https://docs.google.com/spreadsheets/d/1xoDLGBv9CYbyosIhki0kTq6IpYNj-gpjxfobnaDiut0/edit?usp=sharing"",""บึงกาฬ!J677"")"),0)</f>
        <v>0</v>
      </c>
      <c r="AW37" s="152">
        <f ca="1">IFERROR(__xludf.DUMMYFUNCTION("IMPORTRANGE(""https://docs.google.com/spreadsheets/d/1xoDLGBv9CYbyosIhki0kTq6IpYNj-gpjxfobnaDiut0/edit?usp=sharing"",""บึงกาฬ!J678"")"),0)</f>
        <v>0</v>
      </c>
      <c r="AX37" s="152">
        <f ca="1">IFERROR(__xludf.DUMMYFUNCTION("IMPORTRANGE(""https://docs.google.com/spreadsheets/d/1xoDLGBv9CYbyosIhki0kTq6IpYNj-gpjxfobnaDiut0/edit?usp=sharing"",""บึงกาฬ!I679"")"),0)</f>
        <v>0</v>
      </c>
      <c r="AY37" s="152">
        <f ca="1">IFERROR(__xludf.DUMMYFUNCTION("IMPORTRANGE(""https://docs.google.com/spreadsheets/d/1xoDLGBv9CYbyosIhki0kTq6IpYNj-gpjxfobnaDiut0/edit?usp=sharing"",""บึงกาฬ!I681"")"),0)</f>
        <v>0</v>
      </c>
      <c r="AZ37" s="152">
        <f ca="1">IFERROR(__xludf.DUMMYFUNCTION("IMPORTRANGE(""https://docs.google.com/spreadsheets/d/1xoDLGBv9CYbyosIhki0kTq6IpYNj-gpjxfobnaDiut0/edit?usp=sharing"",""บึงกาฬ!J679"")"),0)</f>
        <v>0</v>
      </c>
      <c r="BA37" s="152">
        <f ca="1">IFERROR(__xludf.DUMMYFUNCTION("IMPORTRANGE(""https://docs.google.com/spreadsheets/d/1xoDLGBv9CYbyosIhki0kTq6IpYNj-gpjxfobnaDiut0/edit?usp=sharing"",""บึงกาฬ!J680"")"),0)</f>
        <v>0</v>
      </c>
      <c r="BB37" s="152">
        <f ca="1">IFERROR(__xludf.DUMMYFUNCTION("IMPORTRANGE(""https://docs.google.com/spreadsheets/d/1xoDLGBv9CYbyosIhki0kTq6IpYNj-gpjxfobnaDiut0/edit?usp=sharing"",""บึงกาฬ!J681"")"),0)</f>
        <v>0</v>
      </c>
      <c r="BC37" s="152">
        <f ca="1">IFERROR(__xludf.DUMMYFUNCTION("IMPORTRANGE(""https://docs.google.com/spreadsheets/d/1xoDLGBv9CYbyosIhki0kTq6IpYNj-gpjxfobnaDiut0/edit?usp=sharing"",""บึงกาฬ!I682"")"),0)</f>
        <v>0</v>
      </c>
      <c r="BD37" s="152">
        <f ca="1">IFERROR(__xludf.DUMMYFUNCTION("IMPORTRANGE(""https://docs.google.com/spreadsheets/d/1xoDLGBv9CYbyosIhki0kTq6IpYNj-gpjxfobnaDiut0/edit?usp=sharing"",""บึงกาฬ!J682"")"),0)</f>
        <v>0</v>
      </c>
      <c r="BE37" s="216">
        <f t="shared" ca="1" si="46"/>
        <v>0</v>
      </c>
      <c r="BF37" s="152">
        <f ca="1">IFERROR(__xludf.DUMMYFUNCTION("IMPORTRANGE(""https://docs.google.com/spreadsheets/d/1xoDLGBv9CYbyosIhki0kTq6IpYNj-gpjxfobnaDiut0/edit?usp=sharing"",""บึงกาฬ!J683"")"),0)</f>
        <v>0</v>
      </c>
      <c r="BG37" s="152">
        <f ca="1">IFERROR(__xludf.DUMMYFUNCTION("IMPORTRANGE(""https://docs.google.com/spreadsheets/d/1xoDLGBv9CYbyosIhki0kTq6IpYNj-gpjxfobnaDiut0/edit?usp=sharing"",""บึงกาฬ!J684"")"),0)</f>
        <v>0</v>
      </c>
      <c r="BH37" s="152">
        <f ca="1">IFERROR(__xludf.DUMMYFUNCTION("IMPORTRANGE(""https://docs.google.com/spreadsheets/d/1xoDLGBv9CYbyosIhki0kTq6IpYNj-gpjxfobnaDiut0/edit?usp=sharing"",""บึงกาฬ!J685"")"),0)</f>
        <v>0</v>
      </c>
      <c r="BI37" s="152">
        <f ca="1">IFERROR(__xludf.DUMMYFUNCTION("IMPORTRANGE(""https://docs.google.com/spreadsheets/d/1xoDLGBv9CYbyosIhki0kTq6IpYNj-gpjxfobnaDiut0/edit?usp=sharing"",""บึงกาฬ!J686"")"),0)</f>
        <v>0</v>
      </c>
      <c r="BJ37" s="152">
        <f ca="1">IFERROR(__xludf.DUMMYFUNCTION("IMPORTRANGE(""https://docs.google.com/spreadsheets/d/1xoDLGBv9CYbyosIhki0kTq6IpYNj-gpjxfobnaDiut0/edit?usp=sharing"",""บึงกาฬ!J687"")"),0)</f>
        <v>0</v>
      </c>
      <c r="BK37" s="152">
        <f ca="1">IFERROR(__xludf.DUMMYFUNCTION("IMPORTRANGE(""https://docs.google.com/spreadsheets/d/1xoDLGBv9CYbyosIhki0kTq6IpYNj-gpjxfobnaDiut0/edit?usp=sharing"",""บึงกาฬ!J688"")"),0)</f>
        <v>0</v>
      </c>
    </row>
    <row r="38" spans="1:63" ht="19.5" x14ac:dyDescent="0.3">
      <c r="A38" s="70">
        <v>7</v>
      </c>
      <c r="B38" s="71" t="s">
        <v>66</v>
      </c>
      <c r="C38" s="68">
        <f ca="1">IFERROR(__xludf.DUMMYFUNCTION("IMPORTRANGE(""https://docs.google.com/spreadsheets/d/1MMPq-JyI6DSgQETxuSiXkesP-P7JHuemnE6QJIa-Nlw/edit?usp=sharing"",""บุรีรัมย์!Q642"")"),18000)</f>
        <v>18000</v>
      </c>
      <c r="D38" s="68">
        <f ca="1">IFERROR(__xludf.DUMMYFUNCTION("IMPORTRANGE(""https://docs.google.com/spreadsheets/d/1MMPq-JyI6DSgQETxuSiXkesP-P7JHuemnE6QJIa-Nlw/edit?usp=sharing"",""บุรีรัมย์!R642"")"),18000)</f>
        <v>18000</v>
      </c>
      <c r="E38" s="68">
        <f ca="1">IFERROR(__xludf.DUMMYFUNCTION("IMPORTRANGE(""https://docs.google.com/spreadsheets/d/1MMPq-JyI6DSgQETxuSiXkesP-P7JHuemnE6QJIa-Nlw/edit?usp=sharing"",""บุรีรัมย์!S642"")"),1090)</f>
        <v>1090</v>
      </c>
      <c r="F38" s="68">
        <f t="shared" ca="1" si="30"/>
        <v>6.0555555555555554</v>
      </c>
      <c r="G38" s="68">
        <f t="shared" ca="1" si="31"/>
        <v>6.0555555555555554</v>
      </c>
      <c r="H38" s="278">
        <f ca="1">IFERROR(__xludf.DUMMYFUNCTION("IMPORTRANGE(""https://docs.google.com/spreadsheets/d/1MMPq-JyI6DSgQETxuSiXkesP-P7JHuemnE6QJIa-Nlw/edit?usp=sharing"",""บุรีรัมย์!I652"")"),0)</f>
        <v>0</v>
      </c>
      <c r="I38" s="152">
        <f ca="1">IFERROR(__xludf.DUMMYFUNCTION("IMPORTRANGE(""https://docs.google.com/spreadsheets/d/1MMPq-JyI6DSgQETxuSiXkesP-P7JHuemnE6QJIa-Nlw/edit?usp=sharing"",""บุรีรัมย์!J652"")"),0)</f>
        <v>0</v>
      </c>
      <c r="J38" s="216">
        <f t="shared" ca="1" si="33"/>
        <v>0</v>
      </c>
      <c r="K38" s="152">
        <f ca="1">IFERROR(__xludf.DUMMYFUNCTION("IMPORTRANGE(""https://docs.google.com/spreadsheets/d/1MMPq-JyI6DSgQETxuSiXkesP-P7JHuemnE6QJIa-Nlw/edit?usp=sharing"",""บุรีรัมย์!I653"")"),0)</f>
        <v>0</v>
      </c>
      <c r="L38" s="152">
        <f ca="1">IFERROR(__xludf.DUMMYFUNCTION("IMPORTRANGE(""https://docs.google.com/spreadsheets/d/1MMPq-JyI6DSgQETxuSiXkesP-P7JHuemnE6QJIa-Nlw/edit?usp=sharing"",""บุรีรัมย์!J653"")"),0)</f>
        <v>0</v>
      </c>
      <c r="M38" s="216">
        <f t="shared" ca="1" si="35"/>
        <v>0</v>
      </c>
      <c r="N38" s="152">
        <f ca="1">IFERROR(__xludf.DUMMYFUNCTION("IMPORTRANGE(""https://docs.google.com/spreadsheets/d/1MMPq-JyI6DSgQETxuSiXkesP-P7JHuemnE6QJIa-Nlw/edit?usp=sharing"",""บุรีรัมย์!I654"")"),140)</f>
        <v>140</v>
      </c>
      <c r="O38" s="152">
        <f ca="1">IFERROR(__xludf.DUMMYFUNCTION("IMPORTRANGE(""https://docs.google.com/spreadsheets/d/1MMPq-JyI6DSgQETxuSiXkesP-P7JHuemnE6QJIa-Nlw/edit?usp=sharing"",""บุรีรัมย์!J654"")"),154)</f>
        <v>154</v>
      </c>
      <c r="P38" s="216">
        <f t="shared" ca="1" si="37"/>
        <v>110</v>
      </c>
      <c r="Q38" s="216">
        <f ca="1">IFERROR(__xludf.DUMMYFUNCTION("IMPORTRANGE(""https://docs.google.com/spreadsheets/d/1MMPq-JyI6DSgQETxuSiXkesP-P7JHuemnE6QJIa-Nlw/edit?usp=sharing"",""บุรีรัมย์!J655"")"),18)</f>
        <v>18</v>
      </c>
      <c r="R38" s="216">
        <f ca="1">IFERROR(__xludf.DUMMYFUNCTION("IMPORTRANGE(""https://docs.google.com/spreadsheets/d/1MMPq-JyI6DSgQETxuSiXkesP-P7JHuemnE6QJIa-Nlw/edit?usp=sharing"",""บุรีรัมย์!J656"")"),28)</f>
        <v>28</v>
      </c>
      <c r="S38" s="216">
        <f ca="1">IFERROR(__xludf.DUMMYFUNCTION("IMPORTRANGE(""https://docs.google.com/spreadsheets/d/1MMPq-JyI6DSgQETxuSiXkesP-P7JHuemnE6QJIa-Nlw/edit?usp=sharing"",""บุรีรัมย์!J657"")"),154)</f>
        <v>154</v>
      </c>
      <c r="T38" s="216">
        <f ca="1">IFERROR(__xludf.DUMMYFUNCTION("IMPORTRANGE(""https://docs.google.com/spreadsheets/d/1MMPq-JyI6DSgQETxuSiXkesP-P7JHuemnE6QJIa-Nlw/edit?usp=sharing"",""บุรีรัมย์!J658"")"),0)</f>
        <v>0</v>
      </c>
      <c r="U38" s="216">
        <f ca="1">IFERROR(__xludf.DUMMYFUNCTION("IMPORTRANGE(""https://docs.google.com/spreadsheets/d/1MMPq-JyI6DSgQETxuSiXkesP-P7JHuemnE6QJIa-Nlw/edit?usp=sharing"",""บุรีรัมย์!J659"")"),0)</f>
        <v>0</v>
      </c>
      <c r="V38" s="216">
        <f ca="1">IFERROR(__xludf.DUMMYFUNCTION("IMPORTRANGE(""https://docs.google.com/spreadsheets/d/1MMPq-JyI6DSgQETxuSiXkesP-P7JHuemnE6QJIa-Nlw/edit?usp=sharing"",""บุรีรัมย์!J660"")"),0)</f>
        <v>0</v>
      </c>
      <c r="W38" s="152">
        <f ca="1">IFERROR(__xludf.DUMMYFUNCTION("IMPORTRANGE(""https://docs.google.com/spreadsheets/d/1MMPq-JyI6DSgQETxuSiXkesP-P7JHuemnE6QJIa-Nlw/edit?usp=sharing"",""บุรีรัมย์!I661"")"),203)</f>
        <v>203</v>
      </c>
      <c r="X38" s="152">
        <f ca="1">IFERROR(__xludf.DUMMYFUNCTION("IMPORTRANGE(""https://docs.google.com/spreadsheets/d/1MMPq-JyI6DSgQETxuSiXkesP-P7JHuemnE6QJIa-Nlw/edit?usp=sharing"",""บุรีรัมย์!J661"")"),0)</f>
        <v>0</v>
      </c>
      <c r="Y38" s="216">
        <f t="shared" ca="1" si="39"/>
        <v>0</v>
      </c>
      <c r="Z38" s="152">
        <f ca="1">IFERROR(__xludf.DUMMYFUNCTION("IMPORTRANGE(""https://docs.google.com/spreadsheets/d/1MMPq-JyI6DSgQETxuSiXkesP-P7JHuemnE6QJIa-Nlw/edit?usp=sharing"",""บุรีรัมย์!J662"")"),0)</f>
        <v>0</v>
      </c>
      <c r="AA38" s="152">
        <f ca="1">IFERROR(__xludf.DUMMYFUNCTION("IMPORTRANGE(""https://docs.google.com/spreadsheets/d/1MMPq-JyI6DSgQETxuSiXkesP-P7JHuemnE6QJIa-Nlw/edit?usp=sharing"",""บุรีรัมย์!J663"")"),0)</f>
        <v>0</v>
      </c>
      <c r="AB38" s="152">
        <f ca="1">IFERROR(__xludf.DUMMYFUNCTION("IMPORTRANGE(""https://docs.google.com/spreadsheets/d/1MMPq-JyI6DSgQETxuSiXkesP-P7JHuemnE6QJIa-Nlw/edit?usp=sharing"",""บุรีรัมย์!J665"")"),0)</f>
        <v>0</v>
      </c>
      <c r="AC38" s="152">
        <f ca="1">IFERROR(__xludf.DUMMYFUNCTION("IMPORTRANGE(""https://docs.google.com/spreadsheets/d/1MMPq-JyI6DSgQETxuSiXkesP-P7JHuemnE6QJIa-Nlw/edit?usp=sharing"",""บุรีรัมย์!J666"")"),0)</f>
        <v>0</v>
      </c>
      <c r="AD38" s="152">
        <f ca="1">IFERROR(__xludf.DUMMYFUNCTION("IMPORTRANGE(""https://docs.google.com/spreadsheets/d/1MMPq-JyI6DSgQETxuSiXkesP-P7JHuemnE6QJIa-Nlw/edit?usp=sharing"",""บุรีรัมย์!J667"")"),0)</f>
        <v>0</v>
      </c>
      <c r="AE38" s="152">
        <f ca="1">IFERROR(__xludf.DUMMYFUNCTION("IMPORTRANGE(""https://docs.google.com/spreadsheets/d/1MMPq-JyI6DSgQETxuSiXkesP-P7JHuemnE6QJIa-Nlw/edit?usp=sharing"",""บุรีรัมย์!J668"")"),0)</f>
        <v>0</v>
      </c>
      <c r="AF38" s="152">
        <f ca="1">IFERROR(__xludf.DUMMYFUNCTION("IMPORTRANGE(""https://docs.google.com/spreadsheets/d/1MMPq-JyI6DSgQETxuSiXkesP-P7JHuemnE6QJIa-Nlw/edit?usp=sharing"",""บุรีรัมย์!J669"")"),0)</f>
        <v>0</v>
      </c>
      <c r="AG38" s="152">
        <f ca="1">IFERROR(__xludf.DUMMYFUNCTION("IMPORTRANGE(""https://docs.google.com/spreadsheets/d/1MMPq-JyI6DSgQETxuSiXkesP-P7JHuemnE6QJIa-Nlw/edit?usp=sharing"",""บุรีรัมย์!J670"")"),0)</f>
        <v>0</v>
      </c>
      <c r="AH38" s="152">
        <f ca="1">IFERROR(__xludf.DUMMYFUNCTION("IMPORTRANGE(""https://docs.google.com/spreadsheets/d/1MMPq-JyI6DSgQETxuSiXkesP-P7JHuemnE6QJIa-Nlw/edit?usp=sharing"",""บุรีรัมย์!I673"")"),0)</f>
        <v>0</v>
      </c>
      <c r="AI38" s="152">
        <f ca="1">IFERROR(__xludf.DUMMYFUNCTION("IMPORTRANGE(""https://docs.google.com/spreadsheets/d/1MMPq-JyI6DSgQETxuSiXkesP-P7JHuemnE6QJIa-Nlw/edit?usp=sharing"",""บุรีรัมย์!J671"")"),0)</f>
        <v>0</v>
      </c>
      <c r="AJ38" s="152">
        <f ca="1">IFERROR(__xludf.DUMMYFUNCTION("IMPORTRANGE(""https://docs.google.com/spreadsheets/d/1MMPq-JyI6DSgQETxuSiXkesP-P7JHuemnE6QJIa-Nlw/edit?usp=sharing"",""บุรีรัมย์!J672"")"),0)</f>
        <v>0</v>
      </c>
      <c r="AK38" s="152">
        <f ca="1">IFERROR(__xludf.DUMMYFUNCTION("IMPORTRANGE(""https://docs.google.com/spreadsheets/d/1MMPq-JyI6DSgQETxuSiXkesP-P7JHuemnE6QJIa-Nlw/edit?usp=sharing"",""บุรีรัมย์!J673"")"),0)</f>
        <v>0</v>
      </c>
      <c r="AL38" s="216">
        <f t="shared" ca="1" si="41"/>
        <v>0</v>
      </c>
      <c r="AM38" s="152">
        <f ca="1">IFERROR(__xludf.DUMMYFUNCTION("IMPORTRANGE(""https://docs.google.com/spreadsheets/d/1MMPq-JyI6DSgQETxuSiXkesP-P7JHuemnE6QJIa-Nlw/edit?usp=sharing"",""บุรีรัมย์!I674"")"),9)</f>
        <v>9</v>
      </c>
      <c r="AN38" s="152">
        <f ca="1">IFERROR(__xludf.DUMMYFUNCTION("IMPORTRANGE(""https://docs.google.com/spreadsheets/d/1MMPq-JyI6DSgQETxuSiXkesP-P7JHuemnE6QJIa-Nlw/edit?usp=sharing"",""บุรีรัมย์!I675"")"),75)</f>
        <v>75</v>
      </c>
      <c r="AO38" s="152">
        <f ca="1">IFERROR(__xludf.DUMMYFUNCTION("IMPORTRANGE(""https://docs.google.com/spreadsheets/d/1MMPq-JyI6DSgQETxuSiXkesP-P7JHuemnE6QJIa-Nlw/edit?usp=sharing"",""บุรีรัมย์!J674"")"),7)</f>
        <v>7</v>
      </c>
      <c r="AP38" s="216">
        <f t="shared" ca="1" si="43"/>
        <v>77.777777777777771</v>
      </c>
      <c r="AQ38" s="152">
        <f ca="1">IFERROR(__xludf.DUMMYFUNCTION("IMPORTRANGE(""https://docs.google.com/spreadsheets/d/1MMPq-JyI6DSgQETxuSiXkesP-P7JHuemnE6QJIa-Nlw/edit?usp=sharing"",""บุรีรัมย์!J675"")"),65.2)</f>
        <v>65.2</v>
      </c>
      <c r="AR38" s="216">
        <f t="shared" ca="1" si="44"/>
        <v>86.933333333333337</v>
      </c>
      <c r="AS38" s="152">
        <f ca="1">IFERROR(__xludf.DUMMYFUNCTION("IMPORTRANGE(""https://docs.google.com/spreadsheets/d/1MMPq-JyI6DSgQETxuSiXkesP-P7JHuemnE6QJIa-Nlw/edit?usp=sharing"",""บุรีรัมย์!I676"")"),9)</f>
        <v>9</v>
      </c>
      <c r="AT38" s="152">
        <f ca="1">IFERROR(__xludf.DUMMYFUNCTION("IMPORTRANGE(""https://docs.google.com/spreadsheets/d/1MMPq-JyI6DSgQETxuSiXkesP-P7JHuemnE6QJIa-Nlw/edit?usp=sharing"",""บุรีรัมย์!I678"")"),75)</f>
        <v>75</v>
      </c>
      <c r="AU38" s="152">
        <f ca="1">IFERROR(__xludf.DUMMYFUNCTION("IMPORTRANGE(""https://docs.google.com/spreadsheets/d/1MMPq-JyI6DSgQETxuSiXkesP-P7JHuemnE6QJIa-Nlw/edit?usp=sharing"",""บุรีรัมย์!J676"")"),7)</f>
        <v>7</v>
      </c>
      <c r="AV38" s="152">
        <f ca="1">IFERROR(__xludf.DUMMYFUNCTION("IMPORTRANGE(""https://docs.google.com/spreadsheets/d/1MMPq-JyI6DSgQETxuSiXkesP-P7JHuemnE6QJIa-Nlw/edit?usp=sharing"",""บุรีรัมย์!J677"")"),7)</f>
        <v>7</v>
      </c>
      <c r="AW38" s="152">
        <f ca="1">IFERROR(__xludf.DUMMYFUNCTION("IMPORTRANGE(""https://docs.google.com/spreadsheets/d/1MMPq-JyI6DSgQETxuSiXkesP-P7JHuemnE6QJIa-Nlw/edit?usp=sharing"",""บุรีรัมย์!J678"")"),65.2)</f>
        <v>65.2</v>
      </c>
      <c r="AX38" s="152">
        <f ca="1">IFERROR(__xludf.DUMMYFUNCTION("IMPORTRANGE(""https://docs.google.com/spreadsheets/d/1MMPq-JyI6DSgQETxuSiXkesP-P7JHuemnE6QJIa-Nlw/edit?usp=sharing"",""บุรีรัมย์!I679"")"),0)</f>
        <v>0</v>
      </c>
      <c r="AY38" s="152">
        <f ca="1">IFERROR(__xludf.DUMMYFUNCTION("IMPORTRANGE(""https://docs.google.com/spreadsheets/d/1MMPq-JyI6DSgQETxuSiXkesP-P7JHuemnE6QJIa-Nlw/edit?usp=sharing"",""บุรีรัมย์!I681"")"),0)</f>
        <v>0</v>
      </c>
      <c r="AZ38" s="152">
        <f ca="1">IFERROR(__xludf.DUMMYFUNCTION("IMPORTRANGE(""https://docs.google.com/spreadsheets/d/1MMPq-JyI6DSgQETxuSiXkesP-P7JHuemnE6QJIa-Nlw/edit?usp=sharing"",""บุรีรัมย์!J679"")"),0)</f>
        <v>0</v>
      </c>
      <c r="BA38" s="152">
        <f ca="1">IFERROR(__xludf.DUMMYFUNCTION("IMPORTRANGE(""https://docs.google.com/spreadsheets/d/1MMPq-JyI6DSgQETxuSiXkesP-P7JHuemnE6QJIa-Nlw/edit?usp=sharing"",""บุรีรัมย์!J680"")"),0)</f>
        <v>0</v>
      </c>
      <c r="BB38" s="152">
        <f ca="1">IFERROR(__xludf.DUMMYFUNCTION("IMPORTRANGE(""https://docs.google.com/spreadsheets/d/1MMPq-JyI6DSgQETxuSiXkesP-P7JHuemnE6QJIa-Nlw/edit?usp=sharing"",""บุรีรัมย์!J681"")"),0)</f>
        <v>0</v>
      </c>
      <c r="BC38" s="152">
        <f ca="1">IFERROR(__xludf.DUMMYFUNCTION("IMPORTRANGE(""https://docs.google.com/spreadsheets/d/1MMPq-JyI6DSgQETxuSiXkesP-P7JHuemnE6QJIa-Nlw/edit?usp=sharing"",""บุรีรัมย์!I682"")"),50)</f>
        <v>50</v>
      </c>
      <c r="BD38" s="152">
        <f ca="1">IFERROR(__xludf.DUMMYFUNCTION("IMPORTRANGE(""https://docs.google.com/spreadsheets/d/1MMPq-JyI6DSgQETxuSiXkesP-P7JHuemnE6QJIa-Nlw/edit?usp=sharing"",""บุรีรัมย์!J682"")"),145)</f>
        <v>145</v>
      </c>
      <c r="BE38" s="216">
        <f t="shared" ca="1" si="46"/>
        <v>290</v>
      </c>
      <c r="BF38" s="152">
        <f ca="1">IFERROR(__xludf.DUMMYFUNCTION("IMPORTRANGE(""https://docs.google.com/spreadsheets/d/1MMPq-JyI6DSgQETxuSiXkesP-P7JHuemnE6QJIa-Nlw/edit?usp=sharing"",""บุรีรัมย์!J683"")"),0)</f>
        <v>0</v>
      </c>
      <c r="BG38" s="152">
        <f ca="1">IFERROR(__xludf.DUMMYFUNCTION("IMPORTRANGE(""https://docs.google.com/spreadsheets/d/1MMPq-JyI6DSgQETxuSiXkesP-P7JHuemnE6QJIa-Nlw/edit?usp=sharing"",""บุรีรัมย์!J684"")"),0)</f>
        <v>0</v>
      </c>
      <c r="BH38" s="152">
        <f ca="1">IFERROR(__xludf.DUMMYFUNCTION("IMPORTRANGE(""https://docs.google.com/spreadsheets/d/1MMPq-JyI6DSgQETxuSiXkesP-P7JHuemnE6QJIa-Nlw/edit?usp=sharing"",""บุรีรัมย์!J685"")"),0)</f>
        <v>0</v>
      </c>
      <c r="BI38" s="152">
        <f ca="1">IFERROR(__xludf.DUMMYFUNCTION("IMPORTRANGE(""https://docs.google.com/spreadsheets/d/1MMPq-JyI6DSgQETxuSiXkesP-P7JHuemnE6QJIa-Nlw/edit?usp=sharing"",""บุรีรัมย์!J686"")"),12)</f>
        <v>12</v>
      </c>
      <c r="BJ38" s="152">
        <f ca="1">IFERROR(__xludf.DUMMYFUNCTION("IMPORTRANGE(""https://docs.google.com/spreadsheets/d/1MMPq-JyI6DSgQETxuSiXkesP-P7JHuemnE6QJIa-Nlw/edit?usp=sharing"",""บุรีรัมย์!J687"")"),12)</f>
        <v>12</v>
      </c>
      <c r="BK38" s="152">
        <f ca="1">IFERROR(__xludf.DUMMYFUNCTION("IMPORTRANGE(""https://docs.google.com/spreadsheets/d/1MMPq-JyI6DSgQETxuSiXkesP-P7JHuemnE6QJIa-Nlw/edit?usp=sharing"",""บุรีรัมย์!J688"")"),145)</f>
        <v>145</v>
      </c>
    </row>
    <row r="39" spans="1:63" ht="19.5" x14ac:dyDescent="0.3">
      <c r="A39" s="70">
        <v>8</v>
      </c>
      <c r="B39" s="71" t="s">
        <v>67</v>
      </c>
      <c r="C39" s="68">
        <f ca="1">IFERROR(__xludf.DUMMYFUNCTION("IMPORTRANGE(""https://docs.google.com/spreadsheets/d/1l6IZ8xUPgMrESzcTYwhA1k_tPjeQjJPTqlm8Gd9eU5g/edit?usp=sharing"",""มหาสารคาม!Q642"")"),0)</f>
        <v>0</v>
      </c>
      <c r="D39" s="68">
        <f ca="1">IFERROR(__xludf.DUMMYFUNCTION("IMPORTRANGE(""https://docs.google.com/spreadsheets/d/1l6IZ8xUPgMrESzcTYwhA1k_tPjeQjJPTqlm8Gd9eU5g/edit?usp=sharing"",""มหาสารคาม!R642"")"),0)</f>
        <v>0</v>
      </c>
      <c r="E39" s="68">
        <f ca="1">IFERROR(__xludf.DUMMYFUNCTION("IMPORTRANGE(""https://docs.google.com/spreadsheets/d/1l6IZ8xUPgMrESzcTYwhA1k_tPjeQjJPTqlm8Gd9eU5g/edit?usp=sharing"",""มหาสารคาม!S642"")"),0)</f>
        <v>0</v>
      </c>
      <c r="F39" s="68">
        <f t="shared" ca="1" si="30"/>
        <v>0</v>
      </c>
      <c r="G39" s="68">
        <f t="shared" ca="1" si="31"/>
        <v>0</v>
      </c>
      <c r="H39" s="278">
        <f ca="1">IFERROR(__xludf.DUMMYFUNCTION("IMPORTRANGE(""https://docs.google.com/spreadsheets/d/1l6IZ8xUPgMrESzcTYwhA1k_tPjeQjJPTqlm8Gd9eU5g/edit?usp=sharing"",""มหาสารคาม!I652"")"),0)</f>
        <v>0</v>
      </c>
      <c r="I39" s="397">
        <f ca="1">IFERROR(__xludf.DUMMYFUNCTION("IMPORTRANGE(""https://docs.google.com/spreadsheets/d/1l6IZ8xUPgMrESzcTYwhA1k_tPjeQjJPTqlm8Gd9eU5g/edit?usp=sharing"",""มหาสารคาม!J652"")"),0)</f>
        <v>0</v>
      </c>
      <c r="J39" s="216">
        <f t="shared" ca="1" si="33"/>
        <v>0</v>
      </c>
      <c r="K39" s="152">
        <f ca="1">IFERROR(__xludf.DUMMYFUNCTION("IMPORTRANGE(""https://docs.google.com/spreadsheets/d/1l6IZ8xUPgMrESzcTYwhA1k_tPjeQjJPTqlm8Gd9eU5g/edit?usp=sharing"",""มหาสารคาม!I653"")"),0)</f>
        <v>0</v>
      </c>
      <c r="L39" s="397">
        <f ca="1">IFERROR(__xludf.DUMMYFUNCTION("IMPORTRANGE(""https://docs.google.com/spreadsheets/d/1l6IZ8xUPgMrESzcTYwhA1k_tPjeQjJPTqlm8Gd9eU5g/edit?usp=sharing"",""มหาสารคาม!J653"")"),0)</f>
        <v>0</v>
      </c>
      <c r="M39" s="216">
        <f t="shared" ca="1" si="35"/>
        <v>0</v>
      </c>
      <c r="N39" s="152">
        <f ca="1">IFERROR(__xludf.DUMMYFUNCTION("IMPORTRANGE(""https://docs.google.com/spreadsheets/d/1l6IZ8xUPgMrESzcTYwhA1k_tPjeQjJPTqlm8Gd9eU5g/edit?usp=sharing"",""มหาสารคาม!I654"")"),0)</f>
        <v>0</v>
      </c>
      <c r="O39" s="152">
        <f ca="1">IFERROR(__xludf.DUMMYFUNCTION("IMPORTRANGE(""https://docs.google.com/spreadsheets/d/1l6IZ8xUPgMrESzcTYwhA1k_tPjeQjJPTqlm8Gd9eU5g/edit?usp=sharing"",""มหาสารคาม!J654"")"),0)</f>
        <v>0</v>
      </c>
      <c r="P39" s="216">
        <f t="shared" ca="1" si="37"/>
        <v>0</v>
      </c>
      <c r="Q39" s="216">
        <f ca="1">IFERROR(__xludf.DUMMYFUNCTION("IMPORTRANGE(""https://docs.google.com/spreadsheets/d/1l6IZ8xUPgMrESzcTYwhA1k_tPjeQjJPTqlm8Gd9eU5g/edit?usp=sharing"",""มหาสารคาม!J655"")"),0)</f>
        <v>0</v>
      </c>
      <c r="R39" s="216">
        <f ca="1">IFERROR(__xludf.DUMMYFUNCTION("IMPORTRANGE(""https://docs.google.com/spreadsheets/d/1l6IZ8xUPgMrESzcTYwhA1k_tPjeQjJPTqlm8Gd9eU5g/edit?usp=sharing"",""มหาสารคาม!J656"")"),0)</f>
        <v>0</v>
      </c>
      <c r="S39" s="216">
        <f ca="1">IFERROR(__xludf.DUMMYFUNCTION("IMPORTRANGE(""https://docs.google.com/spreadsheets/d/1l6IZ8xUPgMrESzcTYwhA1k_tPjeQjJPTqlm8Gd9eU5g/edit?usp=sharing"",""มหาสารคาม!J657"")"),0)</f>
        <v>0</v>
      </c>
      <c r="T39" s="216">
        <f ca="1">IFERROR(__xludf.DUMMYFUNCTION("IMPORTRANGE(""https://docs.google.com/spreadsheets/d/1l6IZ8xUPgMrESzcTYwhA1k_tPjeQjJPTqlm8Gd9eU5g/edit?usp=sharing"",""มหาสารคาม!J658"")"),0)</f>
        <v>0</v>
      </c>
      <c r="U39" s="216">
        <f ca="1">IFERROR(__xludf.DUMMYFUNCTION("IMPORTRANGE(""https://docs.google.com/spreadsheets/d/1l6IZ8xUPgMrESzcTYwhA1k_tPjeQjJPTqlm8Gd9eU5g/edit?usp=sharing"",""มหาสารคาม!J659"")"),0)</f>
        <v>0</v>
      </c>
      <c r="V39" s="216">
        <f ca="1">IFERROR(__xludf.DUMMYFUNCTION("IMPORTRANGE(""https://docs.google.com/spreadsheets/d/1l6IZ8xUPgMrESzcTYwhA1k_tPjeQjJPTqlm8Gd9eU5g/edit?usp=sharing"",""มหาสารคาม!J660"")"),0)</f>
        <v>0</v>
      </c>
      <c r="W39" s="152">
        <f ca="1">IFERROR(__xludf.DUMMYFUNCTION("IMPORTRANGE(""https://docs.google.com/spreadsheets/d/1l6IZ8xUPgMrESzcTYwhA1k_tPjeQjJPTqlm8Gd9eU5g/edit?usp=sharing"",""มหาสารคาม!I661"")"),0)</f>
        <v>0</v>
      </c>
      <c r="X39" s="152">
        <f ca="1">IFERROR(__xludf.DUMMYFUNCTION("IMPORTRANGE(""https://docs.google.com/spreadsheets/d/1l6IZ8xUPgMrESzcTYwhA1k_tPjeQjJPTqlm8Gd9eU5g/edit?usp=sharing"",""มหาสารคาม!J661"")"),0)</f>
        <v>0</v>
      </c>
      <c r="Y39" s="216">
        <f t="shared" ca="1" si="39"/>
        <v>0</v>
      </c>
      <c r="Z39" s="152">
        <f ca="1">IFERROR(__xludf.DUMMYFUNCTION("IMPORTRANGE(""https://docs.google.com/spreadsheets/d/1l6IZ8xUPgMrESzcTYwhA1k_tPjeQjJPTqlm8Gd9eU5g/edit?usp=sharing"",""มหาสารคาม!J662"")"),0)</f>
        <v>0</v>
      </c>
      <c r="AA39" s="152">
        <f ca="1">IFERROR(__xludf.DUMMYFUNCTION("IMPORTRANGE(""https://docs.google.com/spreadsheets/d/1l6IZ8xUPgMrESzcTYwhA1k_tPjeQjJPTqlm8Gd9eU5g/edit?usp=sharing"",""มหาสารคาม!J663"")"),0)</f>
        <v>0</v>
      </c>
      <c r="AB39" s="152">
        <f ca="1">IFERROR(__xludf.DUMMYFUNCTION("IMPORTRANGE(""https://docs.google.com/spreadsheets/d/1l6IZ8xUPgMrESzcTYwhA1k_tPjeQjJPTqlm8Gd9eU5g/edit?usp=sharing"",""มหาสารคาม!J665"")"),0)</f>
        <v>0</v>
      </c>
      <c r="AC39" s="152">
        <f ca="1">IFERROR(__xludf.DUMMYFUNCTION("IMPORTRANGE(""https://docs.google.com/spreadsheets/d/1l6IZ8xUPgMrESzcTYwhA1k_tPjeQjJPTqlm8Gd9eU5g/edit?usp=sharing"",""มหาสารคาม!J666"")"),0)</f>
        <v>0</v>
      </c>
      <c r="AD39" s="152">
        <f ca="1">IFERROR(__xludf.DUMMYFUNCTION("IMPORTRANGE(""https://docs.google.com/spreadsheets/d/1l6IZ8xUPgMrESzcTYwhA1k_tPjeQjJPTqlm8Gd9eU5g/edit?usp=sharing"",""มหาสารคาม!J667"")"),0)</f>
        <v>0</v>
      </c>
      <c r="AE39" s="152">
        <f ca="1">IFERROR(__xludf.DUMMYFUNCTION("IMPORTRANGE(""https://docs.google.com/spreadsheets/d/1l6IZ8xUPgMrESzcTYwhA1k_tPjeQjJPTqlm8Gd9eU5g/edit?usp=sharing"",""มหาสารคาม!J668"")"),0)</f>
        <v>0</v>
      </c>
      <c r="AF39" s="152">
        <f ca="1">IFERROR(__xludf.DUMMYFUNCTION("IMPORTRANGE(""https://docs.google.com/spreadsheets/d/1l6IZ8xUPgMrESzcTYwhA1k_tPjeQjJPTqlm8Gd9eU5g/edit?usp=sharing"",""มหาสารคาม!J669"")"),0)</f>
        <v>0</v>
      </c>
      <c r="AG39" s="152">
        <f ca="1">IFERROR(__xludf.DUMMYFUNCTION("IMPORTRANGE(""https://docs.google.com/spreadsheets/d/1l6IZ8xUPgMrESzcTYwhA1k_tPjeQjJPTqlm8Gd9eU5g/edit?usp=sharing"",""มหาสารคาม!J670"")"),0)</f>
        <v>0</v>
      </c>
      <c r="AH39" s="152">
        <f ca="1">IFERROR(__xludf.DUMMYFUNCTION("IMPORTRANGE(""https://docs.google.com/spreadsheets/d/1l6IZ8xUPgMrESzcTYwhA1k_tPjeQjJPTqlm8Gd9eU5g/edit?usp=sharing"",""มหาสารคาม!I673"")"),0)</f>
        <v>0</v>
      </c>
      <c r="AI39" s="397">
        <f ca="1">IFERROR(__xludf.DUMMYFUNCTION("IMPORTRANGE(""https://docs.google.com/spreadsheets/d/1l6IZ8xUPgMrESzcTYwhA1k_tPjeQjJPTqlm8Gd9eU5g/edit?usp=sharing"",""มหาสารคาม!J671"")"),0)</f>
        <v>0</v>
      </c>
      <c r="AJ39" s="397">
        <f ca="1">IFERROR(__xludf.DUMMYFUNCTION("IMPORTRANGE(""https://docs.google.com/spreadsheets/d/1l6IZ8xUPgMrESzcTYwhA1k_tPjeQjJPTqlm8Gd9eU5g/edit?usp=sharing"",""มหาสารคาม!J672"")"),0)</f>
        <v>0</v>
      </c>
      <c r="AK39" s="397">
        <f ca="1">IFERROR(__xludf.DUMMYFUNCTION("IMPORTRANGE(""https://docs.google.com/spreadsheets/d/1l6IZ8xUPgMrESzcTYwhA1k_tPjeQjJPTqlm8Gd9eU5g/edit?usp=sharing"",""มหาสารคาม!J673"")"),0)</f>
        <v>0</v>
      </c>
      <c r="AL39" s="216">
        <f t="shared" ca="1" si="41"/>
        <v>0</v>
      </c>
      <c r="AM39" s="152">
        <f ca="1">IFERROR(__xludf.DUMMYFUNCTION("IMPORTRANGE(""https://docs.google.com/spreadsheets/d/1l6IZ8xUPgMrESzcTYwhA1k_tPjeQjJPTqlm8Gd9eU5g/edit?usp=sharing"",""มหาสารคาม!I674"")"),0)</f>
        <v>0</v>
      </c>
      <c r="AN39" s="152">
        <f ca="1">IFERROR(__xludf.DUMMYFUNCTION("IMPORTRANGE(""https://docs.google.com/spreadsheets/d/1l6IZ8xUPgMrESzcTYwhA1k_tPjeQjJPTqlm8Gd9eU5g/edit?usp=sharing"",""มหาสารคาม!I675"")"),0)</f>
        <v>0</v>
      </c>
      <c r="AO39" s="397">
        <f ca="1">IFERROR(__xludf.DUMMYFUNCTION("IMPORTRANGE(""https://docs.google.com/spreadsheets/d/1l6IZ8xUPgMrESzcTYwhA1k_tPjeQjJPTqlm8Gd9eU5g/edit?usp=sharing"",""มหาสารคาม!J674"")"),0)</f>
        <v>0</v>
      </c>
      <c r="AP39" s="216">
        <f t="shared" ca="1" si="43"/>
        <v>0</v>
      </c>
      <c r="AQ39" s="397">
        <f ca="1">IFERROR(__xludf.DUMMYFUNCTION("IMPORTRANGE(""https://docs.google.com/spreadsheets/d/1l6IZ8xUPgMrESzcTYwhA1k_tPjeQjJPTqlm8Gd9eU5g/edit?usp=sharing"",""มหาสารคาม!J675"")"),0)</f>
        <v>0</v>
      </c>
      <c r="AR39" s="216">
        <f t="shared" ca="1" si="44"/>
        <v>0</v>
      </c>
      <c r="AS39" s="152">
        <f ca="1">IFERROR(__xludf.DUMMYFUNCTION("IMPORTRANGE(""https://docs.google.com/spreadsheets/d/1l6IZ8xUPgMrESzcTYwhA1k_tPjeQjJPTqlm8Gd9eU5g/edit?usp=sharing"",""มหาสารคาม!I676"")"),0)</f>
        <v>0</v>
      </c>
      <c r="AT39" s="152">
        <f ca="1">IFERROR(__xludf.DUMMYFUNCTION("IMPORTRANGE(""https://docs.google.com/spreadsheets/d/1l6IZ8xUPgMrESzcTYwhA1k_tPjeQjJPTqlm8Gd9eU5g/edit?usp=sharing"",""มหาสารคาม!I678"")"),0)</f>
        <v>0</v>
      </c>
      <c r="AU39" s="397">
        <f ca="1">IFERROR(__xludf.DUMMYFUNCTION("IMPORTRANGE(""https://docs.google.com/spreadsheets/d/1l6IZ8xUPgMrESzcTYwhA1k_tPjeQjJPTqlm8Gd9eU5g/edit?usp=sharing"",""มหาสารคาม!J676"")"),0)</f>
        <v>0</v>
      </c>
      <c r="AV39" s="397">
        <f ca="1">IFERROR(__xludf.DUMMYFUNCTION("IMPORTRANGE(""https://docs.google.com/spreadsheets/d/1l6IZ8xUPgMrESzcTYwhA1k_tPjeQjJPTqlm8Gd9eU5g/edit?usp=sharing"",""มหาสารคาม!J677"")"),0)</f>
        <v>0</v>
      </c>
      <c r="AW39" s="397">
        <f ca="1">IFERROR(__xludf.DUMMYFUNCTION("IMPORTRANGE(""https://docs.google.com/spreadsheets/d/1l6IZ8xUPgMrESzcTYwhA1k_tPjeQjJPTqlm8Gd9eU5g/edit?usp=sharing"",""มหาสารคาม!J678"")"),0)</f>
        <v>0</v>
      </c>
      <c r="AX39" s="152">
        <f ca="1">IFERROR(__xludf.DUMMYFUNCTION("IMPORTRANGE(""https://docs.google.com/spreadsheets/d/1l6IZ8xUPgMrESzcTYwhA1k_tPjeQjJPTqlm8Gd9eU5g/edit?usp=sharing"",""มหาสารคาม!I679"")"),0)</f>
        <v>0</v>
      </c>
      <c r="AY39" s="152">
        <f ca="1">IFERROR(__xludf.DUMMYFUNCTION("IMPORTRANGE(""https://docs.google.com/spreadsheets/d/1l6IZ8xUPgMrESzcTYwhA1k_tPjeQjJPTqlm8Gd9eU5g/edit?usp=sharing"",""มหาสารคาม!I681"")"),0)</f>
        <v>0</v>
      </c>
      <c r="AZ39" s="397">
        <f ca="1">IFERROR(__xludf.DUMMYFUNCTION("IMPORTRANGE(""https://docs.google.com/spreadsheets/d/1l6IZ8xUPgMrESzcTYwhA1k_tPjeQjJPTqlm8Gd9eU5g/edit?usp=sharing"",""มหาสารคาม!J679"")"),0)</f>
        <v>0</v>
      </c>
      <c r="BA39" s="397">
        <f ca="1">IFERROR(__xludf.DUMMYFUNCTION("IMPORTRANGE(""https://docs.google.com/spreadsheets/d/1l6IZ8xUPgMrESzcTYwhA1k_tPjeQjJPTqlm8Gd9eU5g/edit?usp=sharing"",""มหาสารคาม!J680"")"),0)</f>
        <v>0</v>
      </c>
      <c r="BB39" s="397">
        <f ca="1">IFERROR(__xludf.DUMMYFUNCTION("IMPORTRANGE(""https://docs.google.com/spreadsheets/d/1l6IZ8xUPgMrESzcTYwhA1k_tPjeQjJPTqlm8Gd9eU5g/edit?usp=sharing"",""มหาสารคาม!J681"")"),0)</f>
        <v>0</v>
      </c>
      <c r="BC39" s="152">
        <f ca="1">IFERROR(__xludf.DUMMYFUNCTION("IMPORTRANGE(""https://docs.google.com/spreadsheets/d/1l6IZ8xUPgMrESzcTYwhA1k_tPjeQjJPTqlm8Gd9eU5g/edit?usp=sharing"",""มหาสารคาม!I682"")"),0)</f>
        <v>0</v>
      </c>
      <c r="BD39" s="152">
        <f ca="1">IFERROR(__xludf.DUMMYFUNCTION("IMPORTRANGE(""https://docs.google.com/spreadsheets/d/1l6IZ8xUPgMrESzcTYwhA1k_tPjeQjJPTqlm8Gd9eU5g/edit?usp=sharing"",""มหาสารคาม!J682"")"),0)</f>
        <v>0</v>
      </c>
      <c r="BE39" s="216">
        <f t="shared" ca="1" si="46"/>
        <v>0</v>
      </c>
      <c r="BF39" s="152">
        <f ca="1">IFERROR(__xludf.DUMMYFUNCTION("IMPORTRANGE(""https://docs.google.com/spreadsheets/d/1l6IZ8xUPgMrESzcTYwhA1k_tPjeQjJPTqlm8Gd9eU5g/edit?usp=sharing"",""มหาสารคาม!J683"")"),0)</f>
        <v>0</v>
      </c>
      <c r="BG39" s="152">
        <f ca="1">IFERROR(__xludf.DUMMYFUNCTION("IMPORTRANGE(""https://docs.google.com/spreadsheets/d/1l6IZ8xUPgMrESzcTYwhA1k_tPjeQjJPTqlm8Gd9eU5g/edit?usp=sharing"",""มหาสารคาม!J684"")"),0)</f>
        <v>0</v>
      </c>
      <c r="BH39" s="152">
        <f ca="1">IFERROR(__xludf.DUMMYFUNCTION("IMPORTRANGE(""https://docs.google.com/spreadsheets/d/1l6IZ8xUPgMrESzcTYwhA1k_tPjeQjJPTqlm8Gd9eU5g/edit?usp=sharing"",""มหาสารคาม!J685"")"),0)</f>
        <v>0</v>
      </c>
      <c r="BI39" s="152">
        <f ca="1">IFERROR(__xludf.DUMMYFUNCTION("IMPORTRANGE(""https://docs.google.com/spreadsheets/d/1l6IZ8xUPgMrESzcTYwhA1k_tPjeQjJPTqlm8Gd9eU5g/edit?usp=sharing"",""มหาสารคาม!J686"")"),0)</f>
        <v>0</v>
      </c>
      <c r="BJ39" s="152">
        <f ca="1">IFERROR(__xludf.DUMMYFUNCTION("IMPORTRANGE(""https://docs.google.com/spreadsheets/d/1l6IZ8xUPgMrESzcTYwhA1k_tPjeQjJPTqlm8Gd9eU5g/edit?usp=sharing"",""มหาสารคาม!J687"")"),0)</f>
        <v>0</v>
      </c>
      <c r="BK39" s="152">
        <f ca="1">IFERROR(__xludf.DUMMYFUNCTION("IMPORTRANGE(""https://docs.google.com/spreadsheets/d/1l6IZ8xUPgMrESzcTYwhA1k_tPjeQjJPTqlm8Gd9eU5g/edit?usp=sharing"",""มหาสารคาม!J688"")"),0)</f>
        <v>0</v>
      </c>
    </row>
    <row r="40" spans="1:63" ht="19.5" x14ac:dyDescent="0.3">
      <c r="A40" s="70">
        <v>9</v>
      </c>
      <c r="B40" s="71" t="s">
        <v>68</v>
      </c>
      <c r="C40" s="68">
        <f ca="1">IFERROR(__xludf.DUMMYFUNCTION("IMPORTRANGE(""https://docs.google.com/spreadsheets/d/1uB74YLqNjWX6FObjekfB2NtSYigTQyR2rq9u4Ub2Sq4/edit?usp=sharing"",""มุกดาหาร!Q642"")"),0)</f>
        <v>0</v>
      </c>
      <c r="D40" s="68">
        <f ca="1">IFERROR(__xludf.DUMMYFUNCTION("IMPORTRANGE(""https://docs.google.com/spreadsheets/d/1uB74YLqNjWX6FObjekfB2NtSYigTQyR2rq9u4Ub2Sq4/edit?usp=sharing"",""มุกดาหาร!R642"")"),0)</f>
        <v>0</v>
      </c>
      <c r="E40" s="68">
        <f ca="1">IFERROR(__xludf.DUMMYFUNCTION("IMPORTRANGE(""https://docs.google.com/spreadsheets/d/1uB74YLqNjWX6FObjekfB2NtSYigTQyR2rq9u4Ub2Sq4/edit?usp=sharing"",""มุกดาหาร!S642"")"),0)</f>
        <v>0</v>
      </c>
      <c r="F40" s="68">
        <f t="shared" ca="1" si="30"/>
        <v>0</v>
      </c>
      <c r="G40" s="68">
        <f t="shared" ca="1" si="31"/>
        <v>0</v>
      </c>
      <c r="H40" s="278">
        <f ca="1">IFERROR(__xludf.DUMMYFUNCTION("IMPORTRANGE(""https://docs.google.com/spreadsheets/d/1uB74YLqNjWX6FObjekfB2NtSYigTQyR2rq9u4Ub2Sq4/edit?usp=sharing"",""มุกดาหาร!I652"")"),0)</f>
        <v>0</v>
      </c>
      <c r="I40" s="152">
        <f ca="1">IFERROR(__xludf.DUMMYFUNCTION("IMPORTRANGE(""https://docs.google.com/spreadsheets/d/1uB74YLqNjWX6FObjekfB2NtSYigTQyR2rq9u4Ub2Sq4/edit?usp=sharing"",""มุกดาหาร!J652"")"),0)</f>
        <v>0</v>
      </c>
      <c r="J40" s="216">
        <f t="shared" ca="1" si="33"/>
        <v>0</v>
      </c>
      <c r="K40" s="152">
        <f ca="1">IFERROR(__xludf.DUMMYFUNCTION("IMPORTRANGE(""https://docs.google.com/spreadsheets/d/1uB74YLqNjWX6FObjekfB2NtSYigTQyR2rq9u4Ub2Sq4/edit?usp=sharing"",""มุกดาหาร!I653"")"),0)</f>
        <v>0</v>
      </c>
      <c r="L40" s="152">
        <f ca="1">IFERROR(__xludf.DUMMYFUNCTION("IMPORTRANGE(""https://docs.google.com/spreadsheets/d/1uB74YLqNjWX6FObjekfB2NtSYigTQyR2rq9u4Ub2Sq4/edit?usp=sharing"",""มุกดาหาร!J653"")"),0)</f>
        <v>0</v>
      </c>
      <c r="M40" s="216">
        <f t="shared" ca="1" si="35"/>
        <v>0</v>
      </c>
      <c r="N40" s="152">
        <f ca="1">IFERROR(__xludf.DUMMYFUNCTION("IMPORTRANGE(""https://docs.google.com/spreadsheets/d/1uB74YLqNjWX6FObjekfB2NtSYigTQyR2rq9u4Ub2Sq4/edit?usp=sharing"",""มุกดาหาร!I654"")"),0)</f>
        <v>0</v>
      </c>
      <c r="O40" s="152">
        <f ca="1">IFERROR(__xludf.DUMMYFUNCTION("IMPORTRANGE(""https://docs.google.com/spreadsheets/d/1uB74YLqNjWX6FObjekfB2NtSYigTQyR2rq9u4Ub2Sq4/edit?usp=sharing"",""มุกดาหาร!J654"")"),0)</f>
        <v>0</v>
      </c>
      <c r="P40" s="216">
        <f t="shared" ca="1" si="37"/>
        <v>0</v>
      </c>
      <c r="Q40" s="216">
        <f ca="1">IFERROR(__xludf.DUMMYFUNCTION("IMPORTRANGE(""https://docs.google.com/spreadsheets/d/1uB74YLqNjWX6FObjekfB2NtSYigTQyR2rq9u4Ub2Sq4/edit?usp=sharing"",""มุกดาหาร!J655"")"),0)</f>
        <v>0</v>
      </c>
      <c r="R40" s="216">
        <f ca="1">IFERROR(__xludf.DUMMYFUNCTION("IMPORTRANGE(""https://docs.google.com/spreadsheets/d/1uB74YLqNjWX6FObjekfB2NtSYigTQyR2rq9u4Ub2Sq4/edit?usp=sharing"",""มุกดาหาร!J656"")"),0)</f>
        <v>0</v>
      </c>
      <c r="S40" s="216">
        <f ca="1">IFERROR(__xludf.DUMMYFUNCTION("IMPORTRANGE(""https://docs.google.com/spreadsheets/d/1uB74YLqNjWX6FObjekfB2NtSYigTQyR2rq9u4Ub2Sq4/edit?usp=sharing"",""มุกดาหาร!J657"")"),0)</f>
        <v>0</v>
      </c>
      <c r="T40" s="216">
        <f ca="1">IFERROR(__xludf.DUMMYFUNCTION("IMPORTRANGE(""https://docs.google.com/spreadsheets/d/1uB74YLqNjWX6FObjekfB2NtSYigTQyR2rq9u4Ub2Sq4/edit?usp=sharing"",""มุกดาหาร!J658"")"),0)</f>
        <v>0</v>
      </c>
      <c r="U40" s="216">
        <f ca="1">IFERROR(__xludf.DUMMYFUNCTION("IMPORTRANGE(""https://docs.google.com/spreadsheets/d/1uB74YLqNjWX6FObjekfB2NtSYigTQyR2rq9u4Ub2Sq4/edit?usp=sharing"",""มุกดาหาร!J659"")"),0)</f>
        <v>0</v>
      </c>
      <c r="V40" s="216">
        <f ca="1">IFERROR(__xludf.DUMMYFUNCTION("IMPORTRANGE(""https://docs.google.com/spreadsheets/d/1uB74YLqNjWX6FObjekfB2NtSYigTQyR2rq9u4Ub2Sq4/edit?usp=sharing"",""มุกดาหาร!J660"")"),0)</f>
        <v>0</v>
      </c>
      <c r="W40" s="152">
        <f ca="1">IFERROR(__xludf.DUMMYFUNCTION("IMPORTRANGE(""https://docs.google.com/spreadsheets/d/1uB74YLqNjWX6FObjekfB2NtSYigTQyR2rq9u4Ub2Sq4/edit?usp=sharing"",""มุกดาหาร!I661"")"),0)</f>
        <v>0</v>
      </c>
      <c r="X40" s="152">
        <f ca="1">IFERROR(__xludf.DUMMYFUNCTION("IMPORTRANGE(""https://docs.google.com/spreadsheets/d/1uB74YLqNjWX6FObjekfB2NtSYigTQyR2rq9u4Ub2Sq4/edit?usp=sharing"",""มุกดาหาร!J661"")"),0)</f>
        <v>0</v>
      </c>
      <c r="Y40" s="216">
        <f t="shared" ca="1" si="39"/>
        <v>0</v>
      </c>
      <c r="Z40" s="152">
        <f ca="1">IFERROR(__xludf.DUMMYFUNCTION("IMPORTRANGE(""https://docs.google.com/spreadsheets/d/1uB74YLqNjWX6FObjekfB2NtSYigTQyR2rq9u4Ub2Sq4/edit?usp=sharing"",""มุกดาหาร!J662"")"),0)</f>
        <v>0</v>
      </c>
      <c r="AA40" s="152">
        <f ca="1">IFERROR(__xludf.DUMMYFUNCTION("IMPORTRANGE(""https://docs.google.com/spreadsheets/d/1uB74YLqNjWX6FObjekfB2NtSYigTQyR2rq9u4Ub2Sq4/edit?usp=sharing"",""มุกดาหาร!J663"")"),0)</f>
        <v>0</v>
      </c>
      <c r="AB40" s="152">
        <f ca="1">IFERROR(__xludf.DUMMYFUNCTION("IMPORTRANGE(""https://docs.google.com/spreadsheets/d/1uB74YLqNjWX6FObjekfB2NtSYigTQyR2rq9u4Ub2Sq4/edit?usp=sharing"",""มุกดาหาร!J665"")"),0)</f>
        <v>0</v>
      </c>
      <c r="AC40" s="152">
        <f ca="1">IFERROR(__xludf.DUMMYFUNCTION("IMPORTRANGE(""https://docs.google.com/spreadsheets/d/1uB74YLqNjWX6FObjekfB2NtSYigTQyR2rq9u4Ub2Sq4/edit?usp=sharing"",""มุกดาหาร!J666"")"),0)</f>
        <v>0</v>
      </c>
      <c r="AD40" s="152">
        <f ca="1">IFERROR(__xludf.DUMMYFUNCTION("IMPORTRANGE(""https://docs.google.com/spreadsheets/d/1uB74YLqNjWX6FObjekfB2NtSYigTQyR2rq9u4Ub2Sq4/edit?usp=sharing"",""มุกดาหาร!J667"")"),0)</f>
        <v>0</v>
      </c>
      <c r="AE40" s="152">
        <f ca="1">IFERROR(__xludf.DUMMYFUNCTION("IMPORTRANGE(""https://docs.google.com/spreadsheets/d/1uB74YLqNjWX6FObjekfB2NtSYigTQyR2rq9u4Ub2Sq4/edit?usp=sharing"",""มุกดาหาร!J668"")"),0)</f>
        <v>0</v>
      </c>
      <c r="AF40" s="152">
        <f ca="1">IFERROR(__xludf.DUMMYFUNCTION("IMPORTRANGE(""https://docs.google.com/spreadsheets/d/1uB74YLqNjWX6FObjekfB2NtSYigTQyR2rq9u4Ub2Sq4/edit?usp=sharing"",""มุกดาหาร!J669"")"),0)</f>
        <v>0</v>
      </c>
      <c r="AG40" s="152">
        <f ca="1">IFERROR(__xludf.DUMMYFUNCTION("IMPORTRANGE(""https://docs.google.com/spreadsheets/d/1uB74YLqNjWX6FObjekfB2NtSYigTQyR2rq9u4Ub2Sq4/edit?usp=sharing"",""มุกดาหาร!J670"")"),0)</f>
        <v>0</v>
      </c>
      <c r="AH40" s="152">
        <f ca="1">IFERROR(__xludf.DUMMYFUNCTION("IMPORTRANGE(""https://docs.google.com/spreadsheets/d/1uB74YLqNjWX6FObjekfB2NtSYigTQyR2rq9u4Ub2Sq4/edit?usp=sharing"",""มุกดาหาร!I673"")"),0)</f>
        <v>0</v>
      </c>
      <c r="AI40" s="152">
        <f ca="1">IFERROR(__xludf.DUMMYFUNCTION("IMPORTRANGE(""https://docs.google.com/spreadsheets/d/1uB74YLqNjWX6FObjekfB2NtSYigTQyR2rq9u4Ub2Sq4/edit?usp=sharing"",""มุกดาหาร!J671"")"),0)</f>
        <v>0</v>
      </c>
      <c r="AJ40" s="152">
        <f ca="1">IFERROR(__xludf.DUMMYFUNCTION("IMPORTRANGE(""https://docs.google.com/spreadsheets/d/1uB74YLqNjWX6FObjekfB2NtSYigTQyR2rq9u4Ub2Sq4/edit?usp=sharing"",""มุกดาหาร!J672"")"),0)</f>
        <v>0</v>
      </c>
      <c r="AK40" s="152">
        <f ca="1">IFERROR(__xludf.DUMMYFUNCTION("IMPORTRANGE(""https://docs.google.com/spreadsheets/d/1uB74YLqNjWX6FObjekfB2NtSYigTQyR2rq9u4Ub2Sq4/edit?usp=sharing"",""มุกดาหาร!J673"")"),0)</f>
        <v>0</v>
      </c>
      <c r="AL40" s="216">
        <f t="shared" ca="1" si="41"/>
        <v>0</v>
      </c>
      <c r="AM40" s="152">
        <f ca="1">IFERROR(__xludf.DUMMYFUNCTION("IMPORTRANGE(""https://docs.google.com/spreadsheets/d/1uB74YLqNjWX6FObjekfB2NtSYigTQyR2rq9u4Ub2Sq4/edit?usp=sharing"",""มุกดาหาร!I674"")"),0)</f>
        <v>0</v>
      </c>
      <c r="AN40" s="152">
        <f ca="1">IFERROR(__xludf.DUMMYFUNCTION("IMPORTRANGE(""https://docs.google.com/spreadsheets/d/1uB74YLqNjWX6FObjekfB2NtSYigTQyR2rq9u4Ub2Sq4/edit?usp=sharing"",""มุกดาหาร!I675"")"),0)</f>
        <v>0</v>
      </c>
      <c r="AO40" s="152">
        <f ca="1">IFERROR(__xludf.DUMMYFUNCTION("IMPORTRANGE(""https://docs.google.com/spreadsheets/d/1uB74YLqNjWX6FObjekfB2NtSYigTQyR2rq9u4Ub2Sq4/edit?usp=sharing"",""มุกดาหาร!J674"")"),0)</f>
        <v>0</v>
      </c>
      <c r="AP40" s="216">
        <f t="shared" ca="1" si="43"/>
        <v>0</v>
      </c>
      <c r="AQ40" s="152">
        <f ca="1">IFERROR(__xludf.DUMMYFUNCTION("IMPORTRANGE(""https://docs.google.com/spreadsheets/d/1uB74YLqNjWX6FObjekfB2NtSYigTQyR2rq9u4Ub2Sq4/edit?usp=sharing"",""มุกดาหาร!J675"")"),0)</f>
        <v>0</v>
      </c>
      <c r="AR40" s="216">
        <f t="shared" ca="1" si="44"/>
        <v>0</v>
      </c>
      <c r="AS40" s="152">
        <f ca="1">IFERROR(__xludf.DUMMYFUNCTION("IMPORTRANGE(""https://docs.google.com/spreadsheets/d/1uB74YLqNjWX6FObjekfB2NtSYigTQyR2rq9u4Ub2Sq4/edit?usp=sharing"",""มุกดาหาร!I676"")"),0)</f>
        <v>0</v>
      </c>
      <c r="AT40" s="152">
        <f ca="1">IFERROR(__xludf.DUMMYFUNCTION("IMPORTRANGE(""https://docs.google.com/spreadsheets/d/1uB74YLqNjWX6FObjekfB2NtSYigTQyR2rq9u4Ub2Sq4/edit?usp=sharing"",""มุกดาหาร!I678"")"),0)</f>
        <v>0</v>
      </c>
      <c r="AU40" s="152">
        <f ca="1">IFERROR(__xludf.DUMMYFUNCTION("IMPORTRANGE(""https://docs.google.com/spreadsheets/d/1uB74YLqNjWX6FObjekfB2NtSYigTQyR2rq9u4Ub2Sq4/edit?usp=sharing"",""มุกดาหาร!J676"")"),0)</f>
        <v>0</v>
      </c>
      <c r="AV40" s="152">
        <f ca="1">IFERROR(__xludf.DUMMYFUNCTION("IMPORTRANGE(""https://docs.google.com/spreadsheets/d/1uB74YLqNjWX6FObjekfB2NtSYigTQyR2rq9u4Ub2Sq4/edit?usp=sharing"",""มุกดาหาร!J677"")"),0)</f>
        <v>0</v>
      </c>
      <c r="AW40" s="152">
        <f ca="1">IFERROR(__xludf.DUMMYFUNCTION("IMPORTRANGE(""https://docs.google.com/spreadsheets/d/1uB74YLqNjWX6FObjekfB2NtSYigTQyR2rq9u4Ub2Sq4/edit?usp=sharing"",""มุกดาหาร!J678"")"),0)</f>
        <v>0</v>
      </c>
      <c r="AX40" s="152">
        <f ca="1">IFERROR(__xludf.DUMMYFUNCTION("IMPORTRANGE(""https://docs.google.com/spreadsheets/d/1uB74YLqNjWX6FObjekfB2NtSYigTQyR2rq9u4Ub2Sq4/edit?usp=sharing"",""มุกดาหาร!I679"")"),0)</f>
        <v>0</v>
      </c>
      <c r="AY40" s="152">
        <f ca="1">IFERROR(__xludf.DUMMYFUNCTION("IMPORTRANGE(""https://docs.google.com/spreadsheets/d/1uB74YLqNjWX6FObjekfB2NtSYigTQyR2rq9u4Ub2Sq4/edit?usp=sharing"",""มุกดาหาร!I681"")"),0)</f>
        <v>0</v>
      </c>
      <c r="AZ40" s="152">
        <f ca="1">IFERROR(__xludf.DUMMYFUNCTION("IMPORTRANGE(""https://docs.google.com/spreadsheets/d/1uB74YLqNjWX6FObjekfB2NtSYigTQyR2rq9u4Ub2Sq4/edit?usp=sharing"",""มุกดาหาร!J679"")"),0)</f>
        <v>0</v>
      </c>
      <c r="BA40" s="152">
        <f ca="1">IFERROR(__xludf.DUMMYFUNCTION("IMPORTRANGE(""https://docs.google.com/spreadsheets/d/1uB74YLqNjWX6FObjekfB2NtSYigTQyR2rq9u4Ub2Sq4/edit?usp=sharing"",""มุกดาหาร!J680"")"),0)</f>
        <v>0</v>
      </c>
      <c r="BB40" s="152">
        <f ca="1">IFERROR(__xludf.DUMMYFUNCTION("IMPORTRANGE(""https://docs.google.com/spreadsheets/d/1uB74YLqNjWX6FObjekfB2NtSYigTQyR2rq9u4Ub2Sq4/edit?usp=sharing"",""มุกดาหาร!J681"")"),0)</f>
        <v>0</v>
      </c>
      <c r="BC40" s="152">
        <f ca="1">IFERROR(__xludf.DUMMYFUNCTION("IMPORTRANGE(""https://docs.google.com/spreadsheets/d/1uB74YLqNjWX6FObjekfB2NtSYigTQyR2rq9u4Ub2Sq4/edit?usp=sharing"",""มุกดาหาร!I682"")"),0)</f>
        <v>0</v>
      </c>
      <c r="BD40" s="152">
        <f ca="1">IFERROR(__xludf.DUMMYFUNCTION("IMPORTRANGE(""https://docs.google.com/spreadsheets/d/1uB74YLqNjWX6FObjekfB2NtSYigTQyR2rq9u4Ub2Sq4/edit?usp=sharing"",""มุกดาหาร!J682"")"),0)</f>
        <v>0</v>
      </c>
      <c r="BE40" s="216">
        <f t="shared" ca="1" si="46"/>
        <v>0</v>
      </c>
      <c r="BF40" s="152">
        <f ca="1">IFERROR(__xludf.DUMMYFUNCTION("IMPORTRANGE(""https://docs.google.com/spreadsheets/d/1uB74YLqNjWX6FObjekfB2NtSYigTQyR2rq9u4Ub2Sq4/edit?usp=sharing"",""มุกดาหาร!J683"")"),0)</f>
        <v>0</v>
      </c>
      <c r="BG40" s="152">
        <f ca="1">IFERROR(__xludf.DUMMYFUNCTION("IMPORTRANGE(""https://docs.google.com/spreadsheets/d/1uB74YLqNjWX6FObjekfB2NtSYigTQyR2rq9u4Ub2Sq4/edit?usp=sharing"",""มุกดาหาร!J684"")"),0)</f>
        <v>0</v>
      </c>
      <c r="BH40" s="152">
        <f ca="1">IFERROR(__xludf.DUMMYFUNCTION("IMPORTRANGE(""https://docs.google.com/spreadsheets/d/1uB74YLqNjWX6FObjekfB2NtSYigTQyR2rq9u4Ub2Sq4/edit?usp=sharing"",""มุกดาหาร!J685"")"),0)</f>
        <v>0</v>
      </c>
      <c r="BI40" s="152">
        <f ca="1">IFERROR(__xludf.DUMMYFUNCTION("IMPORTRANGE(""https://docs.google.com/spreadsheets/d/1uB74YLqNjWX6FObjekfB2NtSYigTQyR2rq9u4Ub2Sq4/edit?usp=sharing"",""มุกดาหาร!J686"")"),0)</f>
        <v>0</v>
      </c>
      <c r="BJ40" s="152">
        <f ca="1">IFERROR(__xludf.DUMMYFUNCTION("IMPORTRANGE(""https://docs.google.com/spreadsheets/d/1uB74YLqNjWX6FObjekfB2NtSYigTQyR2rq9u4Ub2Sq4/edit?usp=sharing"",""มุกดาหาร!J687"")"),0)</f>
        <v>0</v>
      </c>
      <c r="BK40" s="152">
        <f ca="1">IFERROR(__xludf.DUMMYFUNCTION("IMPORTRANGE(""https://docs.google.com/spreadsheets/d/1uB74YLqNjWX6FObjekfB2NtSYigTQyR2rq9u4Ub2Sq4/edit?usp=sharing"",""มุกดาหาร!J688"")"),0)</f>
        <v>0</v>
      </c>
    </row>
    <row r="41" spans="1:63" ht="19.5" x14ac:dyDescent="0.3">
      <c r="A41" s="70">
        <v>10</v>
      </c>
      <c r="B41" s="71" t="s">
        <v>69</v>
      </c>
      <c r="C41" s="68">
        <f ca="1">IFERROR(__xludf.DUMMYFUNCTION("IMPORTRANGE(""https://docs.google.com/spreadsheets/d/1NexK3geCPxCTO1fzNF8dPec7yZyUx3OaWkFBC9HsQOo/edit?usp=sharing"",""ยโสธร!Q642"")"),0)</f>
        <v>0</v>
      </c>
      <c r="D41" s="68">
        <f ca="1">IFERROR(__xludf.DUMMYFUNCTION("IMPORTRANGE(""https://docs.google.com/spreadsheets/d/1NexK3geCPxCTO1fzNF8dPec7yZyUx3OaWkFBC9HsQOo/edit?usp=sharing"",""ยโสธร!R642"")"),0)</f>
        <v>0</v>
      </c>
      <c r="E41" s="68">
        <f ca="1">IFERROR(__xludf.DUMMYFUNCTION("IMPORTRANGE(""https://docs.google.com/spreadsheets/d/1NexK3geCPxCTO1fzNF8dPec7yZyUx3OaWkFBC9HsQOo/edit?usp=sharing"",""ยโสธร!S642"")"),0)</f>
        <v>0</v>
      </c>
      <c r="F41" s="68">
        <f t="shared" ca="1" si="30"/>
        <v>0</v>
      </c>
      <c r="G41" s="68">
        <f t="shared" ca="1" si="31"/>
        <v>0</v>
      </c>
      <c r="H41" s="278">
        <f ca="1">IFERROR(__xludf.DUMMYFUNCTION("IMPORTRANGE(""https://docs.google.com/spreadsheets/d/1NexK3geCPxCTO1fzNF8dPec7yZyUx3OaWkFBC9HsQOo/edit?usp=sharing"",""ยโสธร!I652"")"),0)</f>
        <v>0</v>
      </c>
      <c r="I41" s="152">
        <f ca="1">IFERROR(__xludf.DUMMYFUNCTION("IMPORTRANGE(""https://docs.google.com/spreadsheets/d/1NexK3geCPxCTO1fzNF8dPec7yZyUx3OaWkFBC9HsQOo/edit?usp=sharing"",""ยโสธร!J652"")"),0)</f>
        <v>0</v>
      </c>
      <c r="J41" s="216">
        <f t="shared" ca="1" si="33"/>
        <v>0</v>
      </c>
      <c r="K41" s="152">
        <f ca="1">IFERROR(__xludf.DUMMYFUNCTION("IMPORTRANGE(""https://docs.google.com/spreadsheets/d/1NexK3geCPxCTO1fzNF8dPec7yZyUx3OaWkFBC9HsQOo/edit?usp=sharing"",""ยโสธร!I653"")"),0)</f>
        <v>0</v>
      </c>
      <c r="L41" s="152">
        <f ca="1">IFERROR(__xludf.DUMMYFUNCTION("IMPORTRANGE(""https://docs.google.com/spreadsheets/d/1NexK3geCPxCTO1fzNF8dPec7yZyUx3OaWkFBC9HsQOo/edit?usp=sharing"",""ยโสธร!J653"")"),0)</f>
        <v>0</v>
      </c>
      <c r="M41" s="216">
        <f t="shared" ca="1" si="35"/>
        <v>0</v>
      </c>
      <c r="N41" s="152">
        <f ca="1">IFERROR(__xludf.DUMMYFUNCTION("IMPORTRANGE(""https://docs.google.com/spreadsheets/d/1NexK3geCPxCTO1fzNF8dPec7yZyUx3OaWkFBC9HsQOo/edit?usp=sharing"",""ยโสธร!I654"")"),0)</f>
        <v>0</v>
      </c>
      <c r="O41" s="152">
        <f ca="1">IFERROR(__xludf.DUMMYFUNCTION("IMPORTRANGE(""https://docs.google.com/spreadsheets/d/1NexK3geCPxCTO1fzNF8dPec7yZyUx3OaWkFBC9HsQOo/edit?usp=sharing"",""ยโสธร!J654"")"),0)</f>
        <v>0</v>
      </c>
      <c r="P41" s="216">
        <f t="shared" ca="1" si="37"/>
        <v>0</v>
      </c>
      <c r="Q41" s="216">
        <f ca="1">IFERROR(__xludf.DUMMYFUNCTION("IMPORTRANGE(""https://docs.google.com/spreadsheets/d/1NexK3geCPxCTO1fzNF8dPec7yZyUx3OaWkFBC9HsQOo/edit?usp=sharing"",""ยโสธร!J655"")"),0)</f>
        <v>0</v>
      </c>
      <c r="R41" s="216">
        <f ca="1">IFERROR(__xludf.DUMMYFUNCTION("IMPORTRANGE(""https://docs.google.com/spreadsheets/d/1NexK3geCPxCTO1fzNF8dPec7yZyUx3OaWkFBC9HsQOo/edit?usp=sharing"",""ยโสธร!J656"")"),0)</f>
        <v>0</v>
      </c>
      <c r="S41" s="216">
        <f ca="1">IFERROR(__xludf.DUMMYFUNCTION("IMPORTRANGE(""https://docs.google.com/spreadsheets/d/1NexK3geCPxCTO1fzNF8dPec7yZyUx3OaWkFBC9HsQOo/edit?usp=sharing"",""ยโสธร!J657"")"),0)</f>
        <v>0</v>
      </c>
      <c r="T41" s="216">
        <f ca="1">IFERROR(__xludf.DUMMYFUNCTION("IMPORTRANGE(""https://docs.google.com/spreadsheets/d/1NexK3geCPxCTO1fzNF8dPec7yZyUx3OaWkFBC9HsQOo/edit?usp=sharing"",""ยโสธร!J658"")"),0)</f>
        <v>0</v>
      </c>
      <c r="U41" s="216">
        <f ca="1">IFERROR(__xludf.DUMMYFUNCTION("IMPORTRANGE(""https://docs.google.com/spreadsheets/d/1NexK3geCPxCTO1fzNF8dPec7yZyUx3OaWkFBC9HsQOo/edit?usp=sharing"",""ยโสธร!J659"")"),0)</f>
        <v>0</v>
      </c>
      <c r="V41" s="216">
        <f ca="1">IFERROR(__xludf.DUMMYFUNCTION("IMPORTRANGE(""https://docs.google.com/spreadsheets/d/1NexK3geCPxCTO1fzNF8dPec7yZyUx3OaWkFBC9HsQOo/edit?usp=sharing"",""ยโสธร!J660"")"),0)</f>
        <v>0</v>
      </c>
      <c r="W41" s="152">
        <f ca="1">IFERROR(__xludf.DUMMYFUNCTION("IMPORTRANGE(""https://docs.google.com/spreadsheets/d/1NexK3geCPxCTO1fzNF8dPec7yZyUx3OaWkFBC9HsQOo/edit?usp=sharing"",""ยโสธร!I661"")"),0)</f>
        <v>0</v>
      </c>
      <c r="X41" s="152">
        <f ca="1">IFERROR(__xludf.DUMMYFUNCTION("IMPORTRANGE(""https://docs.google.com/spreadsheets/d/1NexK3geCPxCTO1fzNF8dPec7yZyUx3OaWkFBC9HsQOo/edit?usp=sharing"",""ยโสธร!J661"")"),0)</f>
        <v>0</v>
      </c>
      <c r="Y41" s="216">
        <f t="shared" ca="1" si="39"/>
        <v>0</v>
      </c>
      <c r="Z41" s="152">
        <f ca="1">IFERROR(__xludf.DUMMYFUNCTION("IMPORTRANGE(""https://docs.google.com/spreadsheets/d/1NexK3geCPxCTO1fzNF8dPec7yZyUx3OaWkFBC9HsQOo/edit?usp=sharing"",""ยโสธร!J662"")"),0)</f>
        <v>0</v>
      </c>
      <c r="AA41" s="152">
        <f ca="1">IFERROR(__xludf.DUMMYFUNCTION("IMPORTRANGE(""https://docs.google.com/spreadsheets/d/1NexK3geCPxCTO1fzNF8dPec7yZyUx3OaWkFBC9HsQOo/edit?usp=sharing"",""ยโสธร!J663"")"),0)</f>
        <v>0</v>
      </c>
      <c r="AB41" s="152">
        <f ca="1">IFERROR(__xludf.DUMMYFUNCTION("IMPORTRANGE(""https://docs.google.com/spreadsheets/d/1NexK3geCPxCTO1fzNF8dPec7yZyUx3OaWkFBC9HsQOo/edit?usp=sharing"",""ยโสธร!J665"")"),0)</f>
        <v>0</v>
      </c>
      <c r="AC41" s="152">
        <f ca="1">IFERROR(__xludf.DUMMYFUNCTION("IMPORTRANGE(""https://docs.google.com/spreadsheets/d/1NexK3geCPxCTO1fzNF8dPec7yZyUx3OaWkFBC9HsQOo/edit?usp=sharing"",""ยโสธร!J666"")"),0)</f>
        <v>0</v>
      </c>
      <c r="AD41" s="152">
        <f ca="1">IFERROR(__xludf.DUMMYFUNCTION("IMPORTRANGE(""https://docs.google.com/spreadsheets/d/1NexK3geCPxCTO1fzNF8dPec7yZyUx3OaWkFBC9HsQOo/edit?usp=sharing"",""ยโสธร!J667"")"),0)</f>
        <v>0</v>
      </c>
      <c r="AE41" s="152">
        <f ca="1">IFERROR(__xludf.DUMMYFUNCTION("IMPORTRANGE(""https://docs.google.com/spreadsheets/d/1NexK3geCPxCTO1fzNF8dPec7yZyUx3OaWkFBC9HsQOo/edit?usp=sharing"",""ยโสธร!J668"")"),0)</f>
        <v>0</v>
      </c>
      <c r="AF41" s="152">
        <f ca="1">IFERROR(__xludf.DUMMYFUNCTION("IMPORTRANGE(""https://docs.google.com/spreadsheets/d/1NexK3geCPxCTO1fzNF8dPec7yZyUx3OaWkFBC9HsQOo/edit?usp=sharing"",""ยโสธร!J669"")"),0)</f>
        <v>0</v>
      </c>
      <c r="AG41" s="152">
        <f ca="1">IFERROR(__xludf.DUMMYFUNCTION("IMPORTRANGE(""https://docs.google.com/spreadsheets/d/1NexK3geCPxCTO1fzNF8dPec7yZyUx3OaWkFBC9HsQOo/edit?usp=sharing"",""ยโสธร!J670"")"),0)</f>
        <v>0</v>
      </c>
      <c r="AH41" s="152">
        <f ca="1">IFERROR(__xludf.DUMMYFUNCTION("IMPORTRANGE(""https://docs.google.com/spreadsheets/d/1NexK3geCPxCTO1fzNF8dPec7yZyUx3OaWkFBC9HsQOo/edit?usp=sharing"",""ยโสธร!I673"")"),0)</f>
        <v>0</v>
      </c>
      <c r="AI41" s="152">
        <f ca="1">IFERROR(__xludf.DUMMYFUNCTION("IMPORTRANGE(""https://docs.google.com/spreadsheets/d/1NexK3geCPxCTO1fzNF8dPec7yZyUx3OaWkFBC9HsQOo/edit?usp=sharing"",""ยโสธร!J671"")"),0)</f>
        <v>0</v>
      </c>
      <c r="AJ41" s="152">
        <f ca="1">IFERROR(__xludf.DUMMYFUNCTION("IMPORTRANGE(""https://docs.google.com/spreadsheets/d/1NexK3geCPxCTO1fzNF8dPec7yZyUx3OaWkFBC9HsQOo/edit?usp=sharing"",""ยโสธร!J672"")"),0)</f>
        <v>0</v>
      </c>
      <c r="AK41" s="152">
        <f ca="1">IFERROR(__xludf.DUMMYFUNCTION("IMPORTRANGE(""https://docs.google.com/spreadsheets/d/1NexK3geCPxCTO1fzNF8dPec7yZyUx3OaWkFBC9HsQOo/edit?usp=sharing"",""ยโสธร!J673"")"),0)</f>
        <v>0</v>
      </c>
      <c r="AL41" s="216">
        <f t="shared" ca="1" si="41"/>
        <v>0</v>
      </c>
      <c r="AM41" s="152">
        <f ca="1">IFERROR(__xludf.DUMMYFUNCTION("IMPORTRANGE(""https://docs.google.com/spreadsheets/d/1NexK3geCPxCTO1fzNF8dPec7yZyUx3OaWkFBC9HsQOo/edit?usp=sharing"",""ยโสธร!I674"")"),0)</f>
        <v>0</v>
      </c>
      <c r="AN41" s="152">
        <f ca="1">IFERROR(__xludf.DUMMYFUNCTION("IMPORTRANGE(""https://docs.google.com/spreadsheets/d/1NexK3geCPxCTO1fzNF8dPec7yZyUx3OaWkFBC9HsQOo/edit?usp=sharing"",""ยโสธร!I675"")"),0)</f>
        <v>0</v>
      </c>
      <c r="AO41" s="152">
        <f ca="1">IFERROR(__xludf.DUMMYFUNCTION("IMPORTRANGE(""https://docs.google.com/spreadsheets/d/1NexK3geCPxCTO1fzNF8dPec7yZyUx3OaWkFBC9HsQOo/edit?usp=sharing"",""ยโสธร!J674"")"),0)</f>
        <v>0</v>
      </c>
      <c r="AP41" s="216">
        <f t="shared" ca="1" si="43"/>
        <v>0</v>
      </c>
      <c r="AQ41" s="152">
        <f ca="1">IFERROR(__xludf.DUMMYFUNCTION("IMPORTRANGE(""https://docs.google.com/spreadsheets/d/1NexK3geCPxCTO1fzNF8dPec7yZyUx3OaWkFBC9HsQOo/edit?usp=sharing"",""ยโสธร!J675"")"),0)</f>
        <v>0</v>
      </c>
      <c r="AR41" s="216">
        <f t="shared" ca="1" si="44"/>
        <v>0</v>
      </c>
      <c r="AS41" s="152">
        <f ca="1">IFERROR(__xludf.DUMMYFUNCTION("IMPORTRANGE(""https://docs.google.com/spreadsheets/d/1NexK3geCPxCTO1fzNF8dPec7yZyUx3OaWkFBC9HsQOo/edit?usp=sharing"",""ยโสธร!I676"")"),0)</f>
        <v>0</v>
      </c>
      <c r="AT41" s="152">
        <f ca="1">IFERROR(__xludf.DUMMYFUNCTION("IMPORTRANGE(""https://docs.google.com/spreadsheets/d/1NexK3geCPxCTO1fzNF8dPec7yZyUx3OaWkFBC9HsQOo/edit?usp=sharing"",""ยโสธร!I678"")"),0)</f>
        <v>0</v>
      </c>
      <c r="AU41" s="152">
        <f ca="1">IFERROR(__xludf.DUMMYFUNCTION("IMPORTRANGE(""https://docs.google.com/spreadsheets/d/1NexK3geCPxCTO1fzNF8dPec7yZyUx3OaWkFBC9HsQOo/edit?usp=sharing"",""ยโสธร!J676"")"),0)</f>
        <v>0</v>
      </c>
      <c r="AV41" s="152">
        <f ca="1">IFERROR(__xludf.DUMMYFUNCTION("IMPORTRANGE(""https://docs.google.com/spreadsheets/d/1NexK3geCPxCTO1fzNF8dPec7yZyUx3OaWkFBC9HsQOo/edit?usp=sharing"",""ยโสธร!J677"")"),0)</f>
        <v>0</v>
      </c>
      <c r="AW41" s="152">
        <f ca="1">IFERROR(__xludf.DUMMYFUNCTION("IMPORTRANGE(""https://docs.google.com/spreadsheets/d/1NexK3geCPxCTO1fzNF8dPec7yZyUx3OaWkFBC9HsQOo/edit?usp=sharing"",""ยโสธร!J678"")"),0)</f>
        <v>0</v>
      </c>
      <c r="AX41" s="152">
        <f ca="1">IFERROR(__xludf.DUMMYFUNCTION("IMPORTRANGE(""https://docs.google.com/spreadsheets/d/1NexK3geCPxCTO1fzNF8dPec7yZyUx3OaWkFBC9HsQOo/edit?usp=sharing"",""ยโสธร!I679"")"),0)</f>
        <v>0</v>
      </c>
      <c r="AY41" s="152">
        <f ca="1">IFERROR(__xludf.DUMMYFUNCTION("IMPORTRANGE(""https://docs.google.com/spreadsheets/d/1NexK3geCPxCTO1fzNF8dPec7yZyUx3OaWkFBC9HsQOo/edit?usp=sharing"",""ยโสธร!I681"")"),0)</f>
        <v>0</v>
      </c>
      <c r="AZ41" s="152">
        <f ca="1">IFERROR(__xludf.DUMMYFUNCTION("IMPORTRANGE(""https://docs.google.com/spreadsheets/d/1NexK3geCPxCTO1fzNF8dPec7yZyUx3OaWkFBC9HsQOo/edit?usp=sharing"",""ยโสธร!J679"")"),0)</f>
        <v>0</v>
      </c>
      <c r="BA41" s="152">
        <f ca="1">IFERROR(__xludf.DUMMYFUNCTION("IMPORTRANGE(""https://docs.google.com/spreadsheets/d/1NexK3geCPxCTO1fzNF8dPec7yZyUx3OaWkFBC9HsQOo/edit?usp=sharing"",""ยโสธร!J680"")"),0)</f>
        <v>0</v>
      </c>
      <c r="BB41" s="152">
        <f ca="1">IFERROR(__xludf.DUMMYFUNCTION("IMPORTRANGE(""https://docs.google.com/spreadsheets/d/1NexK3geCPxCTO1fzNF8dPec7yZyUx3OaWkFBC9HsQOo/edit?usp=sharing"",""ยโสธร!J681"")"),0)</f>
        <v>0</v>
      </c>
      <c r="BC41" s="152">
        <f ca="1">IFERROR(__xludf.DUMMYFUNCTION("IMPORTRANGE(""https://docs.google.com/spreadsheets/d/1NexK3geCPxCTO1fzNF8dPec7yZyUx3OaWkFBC9HsQOo/edit?usp=sharing"",""ยโสธร!I682"")"),0)</f>
        <v>0</v>
      </c>
      <c r="BD41" s="152">
        <f ca="1">IFERROR(__xludf.DUMMYFUNCTION("IMPORTRANGE(""https://docs.google.com/spreadsheets/d/1NexK3geCPxCTO1fzNF8dPec7yZyUx3OaWkFBC9HsQOo/edit?usp=sharing"",""ยโสธร!J682"")"),0)</f>
        <v>0</v>
      </c>
      <c r="BE41" s="216">
        <f t="shared" ca="1" si="46"/>
        <v>0</v>
      </c>
      <c r="BF41" s="152">
        <f ca="1">IFERROR(__xludf.DUMMYFUNCTION("IMPORTRANGE(""https://docs.google.com/spreadsheets/d/1NexK3geCPxCTO1fzNF8dPec7yZyUx3OaWkFBC9HsQOo/edit?usp=sharing"",""ยโสธร!J683"")"),0)</f>
        <v>0</v>
      </c>
      <c r="BG41" s="152">
        <f ca="1">IFERROR(__xludf.DUMMYFUNCTION("IMPORTRANGE(""https://docs.google.com/spreadsheets/d/1NexK3geCPxCTO1fzNF8dPec7yZyUx3OaWkFBC9HsQOo/edit?usp=sharing"",""ยโสธร!J684"")"),0)</f>
        <v>0</v>
      </c>
      <c r="BH41" s="152">
        <f ca="1">IFERROR(__xludf.DUMMYFUNCTION("IMPORTRANGE(""https://docs.google.com/spreadsheets/d/1NexK3geCPxCTO1fzNF8dPec7yZyUx3OaWkFBC9HsQOo/edit?usp=sharing"",""ยโสธร!J685"")"),0)</f>
        <v>0</v>
      </c>
      <c r="BI41" s="152">
        <f ca="1">IFERROR(__xludf.DUMMYFUNCTION("IMPORTRANGE(""https://docs.google.com/spreadsheets/d/1NexK3geCPxCTO1fzNF8dPec7yZyUx3OaWkFBC9HsQOo/edit?usp=sharing"",""ยโสธร!J686"")"),0)</f>
        <v>0</v>
      </c>
      <c r="BJ41" s="152">
        <f ca="1">IFERROR(__xludf.DUMMYFUNCTION("IMPORTRANGE(""https://docs.google.com/spreadsheets/d/1NexK3geCPxCTO1fzNF8dPec7yZyUx3OaWkFBC9HsQOo/edit?usp=sharing"",""ยโสธร!J687"")"),0)</f>
        <v>0</v>
      </c>
      <c r="BK41" s="152">
        <f ca="1">IFERROR(__xludf.DUMMYFUNCTION("IMPORTRANGE(""https://docs.google.com/spreadsheets/d/1NexK3geCPxCTO1fzNF8dPec7yZyUx3OaWkFBC9HsQOo/edit?usp=sharing"",""ยโสธร!J688"")"),0)</f>
        <v>0</v>
      </c>
    </row>
    <row r="42" spans="1:63" ht="19.5" x14ac:dyDescent="0.3">
      <c r="A42" s="70">
        <v>11</v>
      </c>
      <c r="B42" s="71" t="s">
        <v>70</v>
      </c>
      <c r="C42" s="68">
        <f ca="1">IFERROR(__xludf.DUMMYFUNCTION("IMPORTRANGE(""https://docs.google.com/spreadsheets/d/1v_cJrbBlyqmnHPReHk44g9NrMRdENNlSy_E_c5M9fIg/edit?usp=sharing"",""ร้อยเอ็ด!Q642"")"),1960)</f>
        <v>1960</v>
      </c>
      <c r="D42" s="68">
        <f ca="1">IFERROR(__xludf.DUMMYFUNCTION("IMPORTRANGE(""https://docs.google.com/spreadsheets/d/1v_cJrbBlyqmnHPReHk44g9NrMRdENNlSy_E_c5M9fIg/edit?usp=sharing"",""ร้อยเอ็ด!R642"")"),1960)</f>
        <v>1960</v>
      </c>
      <c r="E42" s="68">
        <f ca="1">IFERROR(__xludf.DUMMYFUNCTION("IMPORTRANGE(""https://docs.google.com/spreadsheets/d/1v_cJrbBlyqmnHPReHk44g9NrMRdENNlSy_E_c5M9fIg/edit?usp=sharing"",""ร้อยเอ็ด!S642"")"),480)</f>
        <v>480</v>
      </c>
      <c r="F42" s="68">
        <f t="shared" ca="1" si="30"/>
        <v>24.489795918367346</v>
      </c>
      <c r="G42" s="68">
        <f t="shared" ca="1" si="31"/>
        <v>24.489795918367346</v>
      </c>
      <c r="H42" s="278">
        <f ca="1">IFERROR(__xludf.DUMMYFUNCTION("IMPORTRANGE(""https://docs.google.com/spreadsheets/d/1v_cJrbBlyqmnHPReHk44g9NrMRdENNlSy_E_c5M9fIg/edit?usp=sharing"",""ร้อยเอ็ด!I652"")"),0)</f>
        <v>0</v>
      </c>
      <c r="I42" s="152">
        <f ca="1">IFERROR(__xludf.DUMMYFUNCTION("IMPORTRANGE(""https://docs.google.com/spreadsheets/d/1v_cJrbBlyqmnHPReHk44g9NrMRdENNlSy_E_c5M9fIg/edit?usp=sharing"",""ร้อยเอ็ด!J652"")"),0)</f>
        <v>0</v>
      </c>
      <c r="J42" s="216">
        <f t="shared" ca="1" si="33"/>
        <v>0</v>
      </c>
      <c r="K42" s="152">
        <f ca="1">IFERROR(__xludf.DUMMYFUNCTION("IMPORTRANGE(""https://docs.google.com/spreadsheets/d/1v_cJrbBlyqmnHPReHk44g9NrMRdENNlSy_E_c5M9fIg/edit?usp=sharing"",""ร้อยเอ็ด!I653"")"),0)</f>
        <v>0</v>
      </c>
      <c r="L42" s="152">
        <f ca="1">IFERROR(__xludf.DUMMYFUNCTION("IMPORTRANGE(""https://docs.google.com/spreadsheets/d/1v_cJrbBlyqmnHPReHk44g9NrMRdENNlSy_E_c5M9fIg/edit?usp=sharing"",""ร้อยเอ็ด!J653"")"),0)</f>
        <v>0</v>
      </c>
      <c r="M42" s="216">
        <f t="shared" ca="1" si="35"/>
        <v>0</v>
      </c>
      <c r="N42" s="152">
        <f ca="1">IFERROR(__xludf.DUMMYFUNCTION("IMPORTRANGE(""https://docs.google.com/spreadsheets/d/1v_cJrbBlyqmnHPReHk44g9NrMRdENNlSy_E_c5M9fIg/edit?usp=sharing"",""ร้อยเอ็ด!I654"")"),0)</f>
        <v>0</v>
      </c>
      <c r="O42" s="152">
        <f ca="1">IFERROR(__xludf.DUMMYFUNCTION("IMPORTRANGE(""https://docs.google.com/spreadsheets/d/1v_cJrbBlyqmnHPReHk44g9NrMRdENNlSy_E_c5M9fIg/edit?usp=sharing"",""ร้อยเอ็ด!J654"")"),0)</f>
        <v>0</v>
      </c>
      <c r="P42" s="216">
        <f t="shared" ca="1" si="37"/>
        <v>0</v>
      </c>
      <c r="Q42" s="216">
        <f ca="1">IFERROR(__xludf.DUMMYFUNCTION("IMPORTRANGE(""https://docs.google.com/spreadsheets/d/1v_cJrbBlyqmnHPReHk44g9NrMRdENNlSy_E_c5M9fIg/edit?usp=sharing"",""ร้อยเอ็ด!J655"")"),0)</f>
        <v>0</v>
      </c>
      <c r="R42" s="216">
        <f ca="1">IFERROR(__xludf.DUMMYFUNCTION("IMPORTRANGE(""https://docs.google.com/spreadsheets/d/1v_cJrbBlyqmnHPReHk44g9NrMRdENNlSy_E_c5M9fIg/edit?usp=sharing"",""ร้อยเอ็ด!J656"")"),0)</f>
        <v>0</v>
      </c>
      <c r="S42" s="216">
        <f ca="1">IFERROR(__xludf.DUMMYFUNCTION("IMPORTRANGE(""https://docs.google.com/spreadsheets/d/1v_cJrbBlyqmnHPReHk44g9NrMRdENNlSy_E_c5M9fIg/edit?usp=sharing"",""ร้อยเอ็ด!J657"")"),0)</f>
        <v>0</v>
      </c>
      <c r="T42" s="216">
        <f ca="1">IFERROR(__xludf.DUMMYFUNCTION("IMPORTRANGE(""https://docs.google.com/spreadsheets/d/1v_cJrbBlyqmnHPReHk44g9NrMRdENNlSy_E_c5M9fIg/edit?usp=sharing"",""ร้อยเอ็ด!J658"")"),0)</f>
        <v>0</v>
      </c>
      <c r="U42" s="216">
        <f ca="1">IFERROR(__xludf.DUMMYFUNCTION("IMPORTRANGE(""https://docs.google.com/spreadsheets/d/1v_cJrbBlyqmnHPReHk44g9NrMRdENNlSy_E_c5M9fIg/edit?usp=sharing"",""ร้อยเอ็ด!J659"")"),0)</f>
        <v>0</v>
      </c>
      <c r="V42" s="216">
        <f ca="1">IFERROR(__xludf.DUMMYFUNCTION("IMPORTRANGE(""https://docs.google.com/spreadsheets/d/1v_cJrbBlyqmnHPReHk44g9NrMRdENNlSy_E_c5M9fIg/edit?usp=sharing"",""ร้อยเอ็ด!J660"")"),0)</f>
        <v>0</v>
      </c>
      <c r="W42" s="152">
        <f ca="1">IFERROR(__xludf.DUMMYFUNCTION("IMPORTRANGE(""https://docs.google.com/spreadsheets/d/1v_cJrbBlyqmnHPReHk44g9NrMRdENNlSy_E_c5M9fIg/edit?usp=sharing"",""ร้อยเอ็ด!I661"")"),0)</f>
        <v>0</v>
      </c>
      <c r="X42" s="152">
        <f ca="1">IFERROR(__xludf.DUMMYFUNCTION("IMPORTRANGE(""https://docs.google.com/spreadsheets/d/1v_cJrbBlyqmnHPReHk44g9NrMRdENNlSy_E_c5M9fIg/edit?usp=sharing"",""ร้อยเอ็ด!J661"")"),0)</f>
        <v>0</v>
      </c>
      <c r="Y42" s="216">
        <f t="shared" ca="1" si="39"/>
        <v>0</v>
      </c>
      <c r="Z42" s="152">
        <f ca="1">IFERROR(__xludf.DUMMYFUNCTION("IMPORTRANGE(""https://docs.google.com/spreadsheets/d/1v_cJrbBlyqmnHPReHk44g9NrMRdENNlSy_E_c5M9fIg/edit?usp=sharing"",""ร้อยเอ็ด!J662"")"),0)</f>
        <v>0</v>
      </c>
      <c r="AA42" s="152">
        <f ca="1">IFERROR(__xludf.DUMMYFUNCTION("IMPORTRANGE(""https://docs.google.com/spreadsheets/d/1v_cJrbBlyqmnHPReHk44g9NrMRdENNlSy_E_c5M9fIg/edit?usp=sharing"",""ร้อยเอ็ด!J663"")"),0)</f>
        <v>0</v>
      </c>
      <c r="AB42" s="152">
        <f ca="1">IFERROR(__xludf.DUMMYFUNCTION("IMPORTRANGE(""https://docs.google.com/spreadsheets/d/1v_cJrbBlyqmnHPReHk44g9NrMRdENNlSy_E_c5M9fIg/edit?usp=sharing"",""ร้อยเอ็ด!J665"")"),0)</f>
        <v>0</v>
      </c>
      <c r="AC42" s="152">
        <f ca="1">IFERROR(__xludf.DUMMYFUNCTION("IMPORTRANGE(""https://docs.google.com/spreadsheets/d/1v_cJrbBlyqmnHPReHk44g9NrMRdENNlSy_E_c5M9fIg/edit?usp=sharing"",""ร้อยเอ็ด!J666"")"),0)</f>
        <v>0</v>
      </c>
      <c r="AD42" s="152">
        <f ca="1">IFERROR(__xludf.DUMMYFUNCTION("IMPORTRANGE(""https://docs.google.com/spreadsheets/d/1v_cJrbBlyqmnHPReHk44g9NrMRdENNlSy_E_c5M9fIg/edit?usp=sharing"",""ร้อยเอ็ด!J667"")"),0)</f>
        <v>0</v>
      </c>
      <c r="AE42" s="152">
        <f ca="1">IFERROR(__xludf.DUMMYFUNCTION("IMPORTRANGE(""https://docs.google.com/spreadsheets/d/1v_cJrbBlyqmnHPReHk44g9NrMRdENNlSy_E_c5M9fIg/edit?usp=sharing"",""ร้อยเอ็ด!J668"")"),0)</f>
        <v>0</v>
      </c>
      <c r="AF42" s="152">
        <f ca="1">IFERROR(__xludf.DUMMYFUNCTION("IMPORTRANGE(""https://docs.google.com/spreadsheets/d/1v_cJrbBlyqmnHPReHk44g9NrMRdENNlSy_E_c5M9fIg/edit?usp=sharing"",""ร้อยเอ็ด!J669"")"),0)</f>
        <v>0</v>
      </c>
      <c r="AG42" s="152">
        <f ca="1">IFERROR(__xludf.DUMMYFUNCTION("IMPORTRANGE(""https://docs.google.com/spreadsheets/d/1v_cJrbBlyqmnHPReHk44g9NrMRdENNlSy_E_c5M9fIg/edit?usp=sharing"",""ร้อยเอ็ด!J670"")"),0)</f>
        <v>0</v>
      </c>
      <c r="AH42" s="152">
        <f ca="1">IFERROR(__xludf.DUMMYFUNCTION("IMPORTRANGE(""https://docs.google.com/spreadsheets/d/1v_cJrbBlyqmnHPReHk44g9NrMRdENNlSy_E_c5M9fIg/edit?usp=sharing"",""ร้อยเอ็ด!I673"")"),14)</f>
        <v>14</v>
      </c>
      <c r="AI42" s="152">
        <f ca="1">IFERROR(__xludf.DUMMYFUNCTION("IMPORTRANGE(""https://docs.google.com/spreadsheets/d/1v_cJrbBlyqmnHPReHk44g9NrMRdENNlSy_E_c5M9fIg/edit?usp=sharing"",""ร้อยเอ็ด!J671"")"),0)</f>
        <v>0</v>
      </c>
      <c r="AJ42" s="152">
        <f ca="1">IFERROR(__xludf.DUMMYFUNCTION("IMPORTRANGE(""https://docs.google.com/spreadsheets/d/1v_cJrbBlyqmnHPReHk44g9NrMRdENNlSy_E_c5M9fIg/edit?usp=sharing"",""ร้อยเอ็ด!J672"")"),0)</f>
        <v>0</v>
      </c>
      <c r="AK42" s="152">
        <f ca="1">IFERROR(__xludf.DUMMYFUNCTION("IMPORTRANGE(""https://docs.google.com/spreadsheets/d/1v_cJrbBlyqmnHPReHk44g9NrMRdENNlSy_E_c5M9fIg/edit?usp=sharing"",""ร้อยเอ็ด!J673"")"),0)</f>
        <v>0</v>
      </c>
      <c r="AL42" s="216">
        <f t="shared" ca="1" si="41"/>
        <v>0</v>
      </c>
      <c r="AM42" s="152">
        <f ca="1">IFERROR(__xludf.DUMMYFUNCTION("IMPORTRANGE(""https://docs.google.com/spreadsheets/d/1v_cJrbBlyqmnHPReHk44g9NrMRdENNlSy_E_c5M9fIg/edit?usp=sharing"",""ร้อยเอ็ด!I674"")"),1)</f>
        <v>1</v>
      </c>
      <c r="AN42" s="152">
        <f ca="1">IFERROR(__xludf.DUMMYFUNCTION("IMPORTRANGE(""https://docs.google.com/spreadsheets/d/1v_cJrbBlyqmnHPReHk44g9NrMRdENNlSy_E_c5M9fIg/edit?usp=sharing"",""ร้อยเอ็ด!I675"")"),10)</f>
        <v>10</v>
      </c>
      <c r="AO42" s="152">
        <f ca="1">IFERROR(__xludf.DUMMYFUNCTION("IMPORTRANGE(""https://docs.google.com/spreadsheets/d/1v_cJrbBlyqmnHPReHk44g9NrMRdENNlSy_E_c5M9fIg/edit?usp=sharing"",""ร้อยเอ็ด!J674"")"),0)</f>
        <v>0</v>
      </c>
      <c r="AP42" s="216">
        <f t="shared" ca="1" si="43"/>
        <v>0</v>
      </c>
      <c r="AQ42" s="152">
        <f ca="1">IFERROR(__xludf.DUMMYFUNCTION("IMPORTRANGE(""https://docs.google.com/spreadsheets/d/1v_cJrbBlyqmnHPReHk44g9NrMRdENNlSy_E_c5M9fIg/edit?usp=sharing"",""ร้อยเอ็ด!J675"")"),0)</f>
        <v>0</v>
      </c>
      <c r="AR42" s="216">
        <f t="shared" ca="1" si="44"/>
        <v>0</v>
      </c>
      <c r="AS42" s="152">
        <f ca="1">IFERROR(__xludf.DUMMYFUNCTION("IMPORTRANGE(""https://docs.google.com/spreadsheets/d/1v_cJrbBlyqmnHPReHk44g9NrMRdENNlSy_E_c5M9fIg/edit?usp=sharing"",""ร้อยเอ็ด!I676"")"),1)</f>
        <v>1</v>
      </c>
      <c r="AT42" s="152">
        <f ca="1">IFERROR(__xludf.DUMMYFUNCTION("IMPORTRANGE(""https://docs.google.com/spreadsheets/d/1v_cJrbBlyqmnHPReHk44g9NrMRdENNlSy_E_c5M9fIg/edit?usp=sharing"",""ร้อยเอ็ด!I678"")"),10)</f>
        <v>10</v>
      </c>
      <c r="AU42" s="152">
        <f ca="1">IFERROR(__xludf.DUMMYFUNCTION("IMPORTRANGE(""https://docs.google.com/spreadsheets/d/1v_cJrbBlyqmnHPReHk44g9NrMRdENNlSy_E_c5M9fIg/edit?usp=sharing"",""ร้อยเอ็ด!J676"")"),0)</f>
        <v>0</v>
      </c>
      <c r="AV42" s="152">
        <f ca="1">IFERROR(__xludf.DUMMYFUNCTION("IMPORTRANGE(""https://docs.google.com/spreadsheets/d/1v_cJrbBlyqmnHPReHk44g9NrMRdENNlSy_E_c5M9fIg/edit?usp=sharing"",""ร้อยเอ็ด!J677"")"),0)</f>
        <v>0</v>
      </c>
      <c r="AW42" s="152">
        <f ca="1">IFERROR(__xludf.DUMMYFUNCTION("IMPORTRANGE(""https://docs.google.com/spreadsheets/d/1v_cJrbBlyqmnHPReHk44g9NrMRdENNlSy_E_c5M9fIg/edit?usp=sharing"",""ร้อยเอ็ด!J678"")"),0)</f>
        <v>0</v>
      </c>
      <c r="AX42" s="152">
        <f ca="1">IFERROR(__xludf.DUMMYFUNCTION("IMPORTRANGE(""https://docs.google.com/spreadsheets/d/1v_cJrbBlyqmnHPReHk44g9NrMRdENNlSy_E_c5M9fIg/edit?usp=sharing"",""ร้อยเอ็ด!I679"")"),0)</f>
        <v>0</v>
      </c>
      <c r="AY42" s="152">
        <f ca="1">IFERROR(__xludf.DUMMYFUNCTION("IMPORTRANGE(""https://docs.google.com/spreadsheets/d/1v_cJrbBlyqmnHPReHk44g9NrMRdENNlSy_E_c5M9fIg/edit?usp=sharing"",""ร้อยเอ็ด!I681"")"),0)</f>
        <v>0</v>
      </c>
      <c r="AZ42" s="152">
        <f ca="1">IFERROR(__xludf.DUMMYFUNCTION("IMPORTRANGE(""https://docs.google.com/spreadsheets/d/1v_cJrbBlyqmnHPReHk44g9NrMRdENNlSy_E_c5M9fIg/edit?usp=sharing"",""ร้อยเอ็ด!J679"")"),0)</f>
        <v>0</v>
      </c>
      <c r="BA42" s="152">
        <f ca="1">IFERROR(__xludf.DUMMYFUNCTION("IMPORTRANGE(""https://docs.google.com/spreadsheets/d/1v_cJrbBlyqmnHPReHk44g9NrMRdENNlSy_E_c5M9fIg/edit?usp=sharing"",""ร้อยเอ็ด!J680"")"),0)</f>
        <v>0</v>
      </c>
      <c r="BB42" s="152">
        <f ca="1">IFERROR(__xludf.DUMMYFUNCTION("IMPORTRANGE(""https://docs.google.com/spreadsheets/d/1v_cJrbBlyqmnHPReHk44g9NrMRdENNlSy_E_c5M9fIg/edit?usp=sharing"",""ร้อยเอ็ด!J681"")"),0)</f>
        <v>0</v>
      </c>
      <c r="BC42" s="152">
        <f ca="1">IFERROR(__xludf.DUMMYFUNCTION("IMPORTRANGE(""https://docs.google.com/spreadsheets/d/1v_cJrbBlyqmnHPReHk44g9NrMRdENNlSy_E_c5M9fIg/edit?usp=sharing"",""ร้อยเอ็ด!I682"")"),0)</f>
        <v>0</v>
      </c>
      <c r="BD42" s="152">
        <f ca="1">IFERROR(__xludf.DUMMYFUNCTION("IMPORTRANGE(""https://docs.google.com/spreadsheets/d/1v_cJrbBlyqmnHPReHk44g9NrMRdENNlSy_E_c5M9fIg/edit?usp=sharing"",""ร้อยเอ็ด!J682"")"),0)</f>
        <v>0</v>
      </c>
      <c r="BE42" s="216">
        <f t="shared" ca="1" si="46"/>
        <v>0</v>
      </c>
      <c r="BF42" s="152">
        <f ca="1">IFERROR(__xludf.DUMMYFUNCTION("IMPORTRANGE(""https://docs.google.com/spreadsheets/d/1v_cJrbBlyqmnHPReHk44g9NrMRdENNlSy_E_c5M9fIg/edit?usp=sharing"",""ร้อยเอ็ด!J683"")"),0)</f>
        <v>0</v>
      </c>
      <c r="BG42" s="152">
        <f ca="1">IFERROR(__xludf.DUMMYFUNCTION("IMPORTRANGE(""https://docs.google.com/spreadsheets/d/1v_cJrbBlyqmnHPReHk44g9NrMRdENNlSy_E_c5M9fIg/edit?usp=sharing"",""ร้อยเอ็ด!J684"")"),0)</f>
        <v>0</v>
      </c>
      <c r="BH42" s="152">
        <f ca="1">IFERROR(__xludf.DUMMYFUNCTION("IMPORTRANGE(""https://docs.google.com/spreadsheets/d/1v_cJrbBlyqmnHPReHk44g9NrMRdENNlSy_E_c5M9fIg/edit?usp=sharing"",""ร้อยเอ็ด!J685"")"),0)</f>
        <v>0</v>
      </c>
      <c r="BI42" s="152">
        <f ca="1">IFERROR(__xludf.DUMMYFUNCTION("IMPORTRANGE(""https://docs.google.com/spreadsheets/d/1v_cJrbBlyqmnHPReHk44g9NrMRdENNlSy_E_c5M9fIg/edit?usp=sharing"",""ร้อยเอ็ด!J686"")"),0)</f>
        <v>0</v>
      </c>
      <c r="BJ42" s="152">
        <f ca="1">IFERROR(__xludf.DUMMYFUNCTION("IMPORTRANGE(""https://docs.google.com/spreadsheets/d/1v_cJrbBlyqmnHPReHk44g9NrMRdENNlSy_E_c5M9fIg/edit?usp=sharing"",""ร้อยเอ็ด!J687"")"),0)</f>
        <v>0</v>
      </c>
      <c r="BK42" s="152">
        <f ca="1">IFERROR(__xludf.DUMMYFUNCTION("IMPORTRANGE(""https://docs.google.com/spreadsheets/d/1v_cJrbBlyqmnHPReHk44g9NrMRdENNlSy_E_c5M9fIg/edit?usp=sharing"",""ร้อยเอ็ด!J688"")"),0)</f>
        <v>0</v>
      </c>
    </row>
    <row r="43" spans="1:63" ht="19.5" x14ac:dyDescent="0.3">
      <c r="A43" s="70">
        <v>12</v>
      </c>
      <c r="B43" s="71" t="s">
        <v>71</v>
      </c>
      <c r="C43" s="68">
        <f ca="1">IFERROR(__xludf.DUMMYFUNCTION("IMPORTRANGE(""https://docs.google.com/spreadsheets/d/1Ul4RCpCX66NxYADU1QpwAPjOmBzW64SsT11s1wzXw_c/edit?usp=sharing"",""เลย!Q642"")"),2520)</f>
        <v>2520</v>
      </c>
      <c r="D43" s="68">
        <f ca="1">IFERROR(__xludf.DUMMYFUNCTION("IMPORTRANGE(""https://docs.google.com/spreadsheets/d/1Ul4RCpCX66NxYADU1QpwAPjOmBzW64SsT11s1wzXw_c/edit?usp=sharing"",""เลย!R642"")"),2520)</f>
        <v>2520</v>
      </c>
      <c r="E43" s="68">
        <f ca="1">IFERROR(__xludf.DUMMYFUNCTION("IMPORTRANGE(""https://docs.google.com/spreadsheets/d/1Ul4RCpCX66NxYADU1QpwAPjOmBzW64SsT11s1wzXw_c/edit?usp=sharing"",""เลย!S642"")"),0)</f>
        <v>0</v>
      </c>
      <c r="F43" s="68">
        <f t="shared" ca="1" si="30"/>
        <v>0</v>
      </c>
      <c r="G43" s="68">
        <f t="shared" ca="1" si="31"/>
        <v>0</v>
      </c>
      <c r="H43" s="278">
        <f ca="1">IFERROR(__xludf.DUMMYFUNCTION("IMPORTRANGE(""https://docs.google.com/spreadsheets/d/1Ul4RCpCX66NxYADU1QpwAPjOmBzW64SsT11s1wzXw_c/edit?usp=sharing"",""เลย!I652"")"),0)</f>
        <v>0</v>
      </c>
      <c r="I43" s="152">
        <f ca="1">IFERROR(__xludf.DUMMYFUNCTION("IMPORTRANGE(""https://docs.google.com/spreadsheets/d/1Ul4RCpCX66NxYADU1QpwAPjOmBzW64SsT11s1wzXw_c/edit?usp=sharing"",""เลย!J652"")"),0)</f>
        <v>0</v>
      </c>
      <c r="J43" s="216">
        <f t="shared" ca="1" si="33"/>
        <v>0</v>
      </c>
      <c r="K43" s="152">
        <f ca="1">IFERROR(__xludf.DUMMYFUNCTION("IMPORTRANGE(""https://docs.google.com/spreadsheets/d/1Ul4RCpCX66NxYADU1QpwAPjOmBzW64SsT11s1wzXw_c/edit?usp=sharing"",""เลย!I653"")"),4)</f>
        <v>4</v>
      </c>
      <c r="L43" s="152">
        <f ca="1">IFERROR(__xludf.DUMMYFUNCTION("IMPORTRANGE(""https://docs.google.com/spreadsheets/d/1Ul4RCpCX66NxYADU1QpwAPjOmBzW64SsT11s1wzXw_c/edit?usp=sharing"",""เลย!J653"")"),0)</f>
        <v>0</v>
      </c>
      <c r="M43" s="216">
        <f t="shared" ca="1" si="35"/>
        <v>0</v>
      </c>
      <c r="N43" s="152">
        <f ca="1">IFERROR(__xludf.DUMMYFUNCTION("IMPORTRANGE(""https://docs.google.com/spreadsheets/d/1Ul4RCpCX66NxYADU1QpwAPjOmBzW64SsT11s1wzXw_c/edit?usp=sharing"",""เลย!I654"")"),0)</f>
        <v>0</v>
      </c>
      <c r="O43" s="152">
        <f ca="1">IFERROR(__xludf.DUMMYFUNCTION("IMPORTRANGE(""https://docs.google.com/spreadsheets/d/1Ul4RCpCX66NxYADU1QpwAPjOmBzW64SsT11s1wzXw_c/edit?usp=sharing"",""เลย!J654"")"),0)</f>
        <v>0</v>
      </c>
      <c r="P43" s="216">
        <f t="shared" ca="1" si="37"/>
        <v>0</v>
      </c>
      <c r="Q43" s="216">
        <f ca="1">IFERROR(__xludf.DUMMYFUNCTION("IMPORTRANGE(""https://docs.google.com/spreadsheets/d/1Ul4RCpCX66NxYADU1QpwAPjOmBzW64SsT11s1wzXw_c/edit?usp=sharing"",""เลย!J655"")"),0)</f>
        <v>0</v>
      </c>
      <c r="R43" s="216">
        <f ca="1">IFERROR(__xludf.DUMMYFUNCTION("IMPORTRANGE(""https://docs.google.com/spreadsheets/d/1Ul4RCpCX66NxYADU1QpwAPjOmBzW64SsT11s1wzXw_c/edit?usp=sharing"",""เลย!J656"")"),0)</f>
        <v>0</v>
      </c>
      <c r="S43" s="216">
        <f ca="1">IFERROR(__xludf.DUMMYFUNCTION("IMPORTRANGE(""https://docs.google.com/spreadsheets/d/1Ul4RCpCX66NxYADU1QpwAPjOmBzW64SsT11s1wzXw_c/edit?usp=sharing"",""เลย!J657"")"),0)</f>
        <v>0</v>
      </c>
      <c r="T43" s="216">
        <f ca="1">IFERROR(__xludf.DUMMYFUNCTION("IMPORTRANGE(""https://docs.google.com/spreadsheets/d/1Ul4RCpCX66NxYADU1QpwAPjOmBzW64SsT11s1wzXw_c/edit?usp=sharing"",""เลย!J658"")"),0)</f>
        <v>0</v>
      </c>
      <c r="U43" s="216">
        <f ca="1">IFERROR(__xludf.DUMMYFUNCTION("IMPORTRANGE(""https://docs.google.com/spreadsheets/d/1Ul4RCpCX66NxYADU1QpwAPjOmBzW64SsT11s1wzXw_c/edit?usp=sharing"",""เลย!J659"")"),0)</f>
        <v>0</v>
      </c>
      <c r="V43" s="216">
        <f ca="1">IFERROR(__xludf.DUMMYFUNCTION("IMPORTRANGE(""https://docs.google.com/spreadsheets/d/1Ul4RCpCX66NxYADU1QpwAPjOmBzW64SsT11s1wzXw_c/edit?usp=sharing"",""เลย!J660"")"),0)</f>
        <v>0</v>
      </c>
      <c r="W43" s="152">
        <f ca="1">IFERROR(__xludf.DUMMYFUNCTION("IMPORTRANGE(""https://docs.google.com/spreadsheets/d/1Ul4RCpCX66NxYADU1QpwAPjOmBzW64SsT11s1wzXw_c/edit?usp=sharing"",""เลย!I661"")"),20)</f>
        <v>20</v>
      </c>
      <c r="X43" s="152">
        <f ca="1">IFERROR(__xludf.DUMMYFUNCTION("IMPORTRANGE(""https://docs.google.com/spreadsheets/d/1Ul4RCpCX66NxYADU1QpwAPjOmBzW64SsT11s1wzXw_c/edit?usp=sharing"",""เลย!J661"")"),0)</f>
        <v>0</v>
      </c>
      <c r="Y43" s="216">
        <f t="shared" ca="1" si="39"/>
        <v>0</v>
      </c>
      <c r="Z43" s="152">
        <f ca="1">IFERROR(__xludf.DUMMYFUNCTION("IMPORTRANGE(""https://docs.google.com/spreadsheets/d/1Ul4RCpCX66NxYADU1QpwAPjOmBzW64SsT11s1wzXw_c/edit?usp=sharing"",""เลย!J662"")"),0)</f>
        <v>0</v>
      </c>
      <c r="AA43" s="152">
        <f ca="1">IFERROR(__xludf.DUMMYFUNCTION("IMPORTRANGE(""https://docs.google.com/spreadsheets/d/1Ul4RCpCX66NxYADU1QpwAPjOmBzW64SsT11s1wzXw_c/edit?usp=sharing"",""เลย!J663"")"),0)</f>
        <v>0</v>
      </c>
      <c r="AB43" s="152">
        <f ca="1">IFERROR(__xludf.DUMMYFUNCTION("IMPORTRANGE(""https://docs.google.com/spreadsheets/d/1Ul4RCpCX66NxYADU1QpwAPjOmBzW64SsT11s1wzXw_c/edit?usp=sharing"",""เลย!J665"")"),0)</f>
        <v>0</v>
      </c>
      <c r="AC43" s="152">
        <f ca="1">IFERROR(__xludf.DUMMYFUNCTION("IMPORTRANGE(""https://docs.google.com/spreadsheets/d/1Ul4RCpCX66NxYADU1QpwAPjOmBzW64SsT11s1wzXw_c/edit?usp=sharing"",""เลย!J666"")"),0)</f>
        <v>0</v>
      </c>
      <c r="AD43" s="152">
        <f ca="1">IFERROR(__xludf.DUMMYFUNCTION("IMPORTRANGE(""https://docs.google.com/spreadsheets/d/1Ul4RCpCX66NxYADU1QpwAPjOmBzW64SsT11s1wzXw_c/edit?usp=sharing"",""เลย!J667"")"),0)</f>
        <v>0</v>
      </c>
      <c r="AE43" s="152">
        <f ca="1">IFERROR(__xludf.DUMMYFUNCTION("IMPORTRANGE(""https://docs.google.com/spreadsheets/d/1Ul4RCpCX66NxYADU1QpwAPjOmBzW64SsT11s1wzXw_c/edit?usp=sharing"",""เลย!J668"")"),0)</f>
        <v>0</v>
      </c>
      <c r="AF43" s="152">
        <f ca="1">IFERROR(__xludf.DUMMYFUNCTION("IMPORTRANGE(""https://docs.google.com/spreadsheets/d/1Ul4RCpCX66NxYADU1QpwAPjOmBzW64SsT11s1wzXw_c/edit?usp=sharing"",""เลย!J669"")"),0)</f>
        <v>0</v>
      </c>
      <c r="AG43" s="152">
        <f ca="1">IFERROR(__xludf.DUMMYFUNCTION("IMPORTRANGE(""https://docs.google.com/spreadsheets/d/1Ul4RCpCX66NxYADU1QpwAPjOmBzW64SsT11s1wzXw_c/edit?usp=sharing"",""เลย!J670"")"),0)</f>
        <v>0</v>
      </c>
      <c r="AH43" s="152">
        <f ca="1">IFERROR(__xludf.DUMMYFUNCTION("IMPORTRANGE(""https://docs.google.com/spreadsheets/d/1Ul4RCpCX66NxYADU1QpwAPjOmBzW64SsT11s1wzXw_c/edit?usp=sharing"",""เลย!I673"")"),0)</f>
        <v>0</v>
      </c>
      <c r="AI43" s="152">
        <f ca="1">IFERROR(__xludf.DUMMYFUNCTION("IMPORTRANGE(""https://docs.google.com/spreadsheets/d/1Ul4RCpCX66NxYADU1QpwAPjOmBzW64SsT11s1wzXw_c/edit?usp=sharing"",""เลย!J671"")"),0)</f>
        <v>0</v>
      </c>
      <c r="AJ43" s="152">
        <f ca="1">IFERROR(__xludf.DUMMYFUNCTION("IMPORTRANGE(""https://docs.google.com/spreadsheets/d/1Ul4RCpCX66NxYADU1QpwAPjOmBzW64SsT11s1wzXw_c/edit?usp=sharing"",""เลย!J672"")"),0)</f>
        <v>0</v>
      </c>
      <c r="AK43" s="152">
        <f ca="1">IFERROR(__xludf.DUMMYFUNCTION("IMPORTRANGE(""https://docs.google.com/spreadsheets/d/1Ul4RCpCX66NxYADU1QpwAPjOmBzW64SsT11s1wzXw_c/edit?usp=sharing"",""เลย!J673"")"),0)</f>
        <v>0</v>
      </c>
      <c r="AL43" s="216">
        <f t="shared" ca="1" si="41"/>
        <v>0</v>
      </c>
      <c r="AM43" s="152">
        <f ca="1">IFERROR(__xludf.DUMMYFUNCTION("IMPORTRANGE(""https://docs.google.com/spreadsheets/d/1Ul4RCpCX66NxYADU1QpwAPjOmBzW64SsT11s1wzXw_c/edit?usp=sharing"",""เลย!I674"")"),2)</f>
        <v>2</v>
      </c>
      <c r="AN43" s="152">
        <f ca="1">IFERROR(__xludf.DUMMYFUNCTION("IMPORTRANGE(""https://docs.google.com/spreadsheets/d/1Ul4RCpCX66NxYADU1QpwAPjOmBzW64SsT11s1wzXw_c/edit?usp=sharing"",""เลย!I675"")"),12)</f>
        <v>12</v>
      </c>
      <c r="AO43" s="152">
        <f ca="1">IFERROR(__xludf.DUMMYFUNCTION("IMPORTRANGE(""https://docs.google.com/spreadsheets/d/1Ul4RCpCX66NxYADU1QpwAPjOmBzW64SsT11s1wzXw_c/edit?usp=sharing"",""เลย!J674"")"),0)</f>
        <v>0</v>
      </c>
      <c r="AP43" s="216">
        <f t="shared" ca="1" si="43"/>
        <v>0</v>
      </c>
      <c r="AQ43" s="152">
        <f ca="1">IFERROR(__xludf.DUMMYFUNCTION("IMPORTRANGE(""https://docs.google.com/spreadsheets/d/1Ul4RCpCX66NxYADU1QpwAPjOmBzW64SsT11s1wzXw_c/edit?usp=sharing"",""เลย!J675"")"),0)</f>
        <v>0</v>
      </c>
      <c r="AR43" s="216">
        <f t="shared" ca="1" si="44"/>
        <v>0</v>
      </c>
      <c r="AS43" s="152">
        <f ca="1">IFERROR(__xludf.DUMMYFUNCTION("IMPORTRANGE(""https://docs.google.com/spreadsheets/d/1Ul4RCpCX66NxYADU1QpwAPjOmBzW64SsT11s1wzXw_c/edit?usp=sharing"",""เลย!I676"")"),2)</f>
        <v>2</v>
      </c>
      <c r="AT43" s="152">
        <f ca="1">IFERROR(__xludf.DUMMYFUNCTION("IMPORTRANGE(""https://docs.google.com/spreadsheets/d/1Ul4RCpCX66NxYADU1QpwAPjOmBzW64SsT11s1wzXw_c/edit?usp=sharing"",""เลย!I678"")"),12)</f>
        <v>12</v>
      </c>
      <c r="AU43" s="152">
        <f ca="1">IFERROR(__xludf.DUMMYFUNCTION("IMPORTRANGE(""https://docs.google.com/spreadsheets/d/1Ul4RCpCX66NxYADU1QpwAPjOmBzW64SsT11s1wzXw_c/edit?usp=sharing"",""เลย!J676"")"),0)</f>
        <v>0</v>
      </c>
      <c r="AV43" s="152">
        <f ca="1">IFERROR(__xludf.DUMMYFUNCTION("IMPORTRANGE(""https://docs.google.com/spreadsheets/d/1Ul4RCpCX66NxYADU1QpwAPjOmBzW64SsT11s1wzXw_c/edit?usp=sharing"",""เลย!J677"")"),0)</f>
        <v>0</v>
      </c>
      <c r="AW43" s="152">
        <f ca="1">IFERROR(__xludf.DUMMYFUNCTION("IMPORTRANGE(""https://docs.google.com/spreadsheets/d/1Ul4RCpCX66NxYADU1QpwAPjOmBzW64SsT11s1wzXw_c/edit?usp=sharing"",""เลย!J678"")"),0)</f>
        <v>0</v>
      </c>
      <c r="AX43" s="152">
        <f ca="1">IFERROR(__xludf.DUMMYFUNCTION("IMPORTRANGE(""https://docs.google.com/spreadsheets/d/1Ul4RCpCX66NxYADU1QpwAPjOmBzW64SsT11s1wzXw_c/edit?usp=sharing"",""เลย!I679"")"),0)</f>
        <v>0</v>
      </c>
      <c r="AY43" s="152">
        <f ca="1">IFERROR(__xludf.DUMMYFUNCTION("IMPORTRANGE(""https://docs.google.com/spreadsheets/d/1Ul4RCpCX66NxYADU1QpwAPjOmBzW64SsT11s1wzXw_c/edit?usp=sharing"",""เลย!I681"")"),0)</f>
        <v>0</v>
      </c>
      <c r="AZ43" s="152">
        <f ca="1">IFERROR(__xludf.DUMMYFUNCTION("IMPORTRANGE(""https://docs.google.com/spreadsheets/d/1Ul4RCpCX66NxYADU1QpwAPjOmBzW64SsT11s1wzXw_c/edit?usp=sharing"",""เลย!J679"")"),0)</f>
        <v>0</v>
      </c>
      <c r="BA43" s="152">
        <f ca="1">IFERROR(__xludf.DUMMYFUNCTION("IMPORTRANGE(""https://docs.google.com/spreadsheets/d/1Ul4RCpCX66NxYADU1QpwAPjOmBzW64SsT11s1wzXw_c/edit?usp=sharing"",""เลย!J680"")"),0)</f>
        <v>0</v>
      </c>
      <c r="BB43" s="152">
        <f ca="1">IFERROR(__xludf.DUMMYFUNCTION("IMPORTRANGE(""https://docs.google.com/spreadsheets/d/1Ul4RCpCX66NxYADU1QpwAPjOmBzW64SsT11s1wzXw_c/edit?usp=sharing"",""เลย!J681"")"),0)</f>
        <v>0</v>
      </c>
      <c r="BC43" s="152">
        <f ca="1">IFERROR(__xludf.DUMMYFUNCTION("IMPORTRANGE(""https://docs.google.com/spreadsheets/d/1Ul4RCpCX66NxYADU1QpwAPjOmBzW64SsT11s1wzXw_c/edit?usp=sharing"",""เลย!I682"")"),0)</f>
        <v>0</v>
      </c>
      <c r="BD43" s="152">
        <f ca="1">IFERROR(__xludf.DUMMYFUNCTION("IMPORTRANGE(""https://docs.google.com/spreadsheets/d/1Ul4RCpCX66NxYADU1QpwAPjOmBzW64SsT11s1wzXw_c/edit?usp=sharing"",""เลย!J682"")"),0)</f>
        <v>0</v>
      </c>
      <c r="BE43" s="216">
        <f t="shared" ca="1" si="46"/>
        <v>0</v>
      </c>
      <c r="BF43" s="152">
        <f ca="1">IFERROR(__xludf.DUMMYFUNCTION("IMPORTRANGE(""https://docs.google.com/spreadsheets/d/1Ul4RCpCX66NxYADU1QpwAPjOmBzW64SsT11s1wzXw_c/edit?usp=sharing"",""เลย!J683"")"),0)</f>
        <v>0</v>
      </c>
      <c r="BG43" s="152">
        <f ca="1">IFERROR(__xludf.DUMMYFUNCTION("IMPORTRANGE(""https://docs.google.com/spreadsheets/d/1Ul4RCpCX66NxYADU1QpwAPjOmBzW64SsT11s1wzXw_c/edit?usp=sharing"",""เลย!J684"")"),0)</f>
        <v>0</v>
      </c>
      <c r="BH43" s="152">
        <f ca="1">IFERROR(__xludf.DUMMYFUNCTION("IMPORTRANGE(""https://docs.google.com/spreadsheets/d/1Ul4RCpCX66NxYADU1QpwAPjOmBzW64SsT11s1wzXw_c/edit?usp=sharing"",""เลย!J685"")"),0)</f>
        <v>0</v>
      </c>
      <c r="BI43" s="152">
        <f ca="1">IFERROR(__xludf.DUMMYFUNCTION("IMPORTRANGE(""https://docs.google.com/spreadsheets/d/1Ul4RCpCX66NxYADU1QpwAPjOmBzW64SsT11s1wzXw_c/edit?usp=sharing"",""เลย!J686"")"),0)</f>
        <v>0</v>
      </c>
      <c r="BJ43" s="152">
        <f ca="1">IFERROR(__xludf.DUMMYFUNCTION("IMPORTRANGE(""https://docs.google.com/spreadsheets/d/1Ul4RCpCX66NxYADU1QpwAPjOmBzW64SsT11s1wzXw_c/edit?usp=sharing"",""เลย!J687"")"),0)</f>
        <v>0</v>
      </c>
      <c r="BK43" s="152">
        <f ca="1">IFERROR(__xludf.DUMMYFUNCTION("IMPORTRANGE(""https://docs.google.com/spreadsheets/d/1Ul4RCpCX66NxYADU1QpwAPjOmBzW64SsT11s1wzXw_c/edit?usp=sharing"",""เลย!J688"")"),0)</f>
        <v>0</v>
      </c>
    </row>
    <row r="44" spans="1:63" ht="19.5" x14ac:dyDescent="0.3">
      <c r="A44" s="70">
        <v>13</v>
      </c>
      <c r="B44" s="71" t="s">
        <v>72</v>
      </c>
      <c r="C44" s="68">
        <f ca="1">IFERROR(__xludf.DUMMYFUNCTION("IMPORTRANGE(""https://docs.google.com/spreadsheets/d/1bRrNKwbHDVktQG10isr5vbWRtt5spIZPpkOSWgbT5ug/edit?usp=sharing"",""ศรีสะเกษ!Q642"")"),0)</f>
        <v>0</v>
      </c>
      <c r="D44" s="68">
        <f ca="1">IFERROR(__xludf.DUMMYFUNCTION("IMPORTRANGE(""https://docs.google.com/spreadsheets/d/1bRrNKwbHDVktQG10isr5vbWRtt5spIZPpkOSWgbT5ug/edit?usp=sharing"",""ศรีสะเกษ!R642"")"),0)</f>
        <v>0</v>
      </c>
      <c r="E44" s="68">
        <f ca="1">IFERROR(__xludf.DUMMYFUNCTION("IMPORTRANGE(""https://docs.google.com/spreadsheets/d/1bRrNKwbHDVktQG10isr5vbWRtt5spIZPpkOSWgbT5ug/edit?usp=sharing"",""ศรีสะเกษ!S642"")"),0)</f>
        <v>0</v>
      </c>
      <c r="F44" s="68">
        <f t="shared" ca="1" si="30"/>
        <v>0</v>
      </c>
      <c r="G44" s="68">
        <f t="shared" ca="1" si="31"/>
        <v>0</v>
      </c>
      <c r="H44" s="278">
        <f ca="1">IFERROR(__xludf.DUMMYFUNCTION("IMPORTRANGE(""https://docs.google.com/spreadsheets/d/1bRrNKwbHDVktQG10isr5vbWRtt5spIZPpkOSWgbT5ug/edit?usp=sharing"",""ศรีสะเกษ!I652"")"),0)</f>
        <v>0</v>
      </c>
      <c r="I44" s="397">
        <f ca="1">IFERROR(__xludf.DUMMYFUNCTION("IMPORTRANGE(""https://docs.google.com/spreadsheets/d/1bRrNKwbHDVktQG10isr5vbWRtt5spIZPpkOSWgbT5ug/edit?usp=sharing"",""ศรีสะเกษ!J652"")"),0)</f>
        <v>0</v>
      </c>
      <c r="J44" s="216">
        <f t="shared" ca="1" si="33"/>
        <v>0</v>
      </c>
      <c r="K44" s="152">
        <f ca="1">IFERROR(__xludf.DUMMYFUNCTION("IMPORTRANGE(""https://docs.google.com/spreadsheets/d/1bRrNKwbHDVktQG10isr5vbWRtt5spIZPpkOSWgbT5ug/edit?usp=sharing"",""ศรีสะเกษ!I653"")"),0)</f>
        <v>0</v>
      </c>
      <c r="L44" s="397">
        <f ca="1">IFERROR(__xludf.DUMMYFUNCTION("IMPORTRANGE(""https://docs.google.com/spreadsheets/d/1bRrNKwbHDVktQG10isr5vbWRtt5spIZPpkOSWgbT5ug/edit?usp=sharing"",""ศรีสะเกษ!J653"")"),0)</f>
        <v>0</v>
      </c>
      <c r="M44" s="216">
        <f t="shared" ca="1" si="35"/>
        <v>0</v>
      </c>
      <c r="N44" s="152">
        <f ca="1">IFERROR(__xludf.DUMMYFUNCTION("IMPORTRANGE(""https://docs.google.com/spreadsheets/d/1bRrNKwbHDVktQG10isr5vbWRtt5spIZPpkOSWgbT5ug/edit?usp=sharing"",""ศรีสะเกษ!I654"")"),0)</f>
        <v>0</v>
      </c>
      <c r="O44" s="152">
        <f ca="1">IFERROR(__xludf.DUMMYFUNCTION("IMPORTRANGE(""https://docs.google.com/spreadsheets/d/1bRrNKwbHDVktQG10isr5vbWRtt5spIZPpkOSWgbT5ug/edit?usp=sharing"",""ศรีสะเกษ!J654"")"),0)</f>
        <v>0</v>
      </c>
      <c r="P44" s="216">
        <f t="shared" ca="1" si="37"/>
        <v>0</v>
      </c>
      <c r="Q44" s="216">
        <f ca="1">IFERROR(__xludf.DUMMYFUNCTION("IMPORTRANGE(""https://docs.google.com/spreadsheets/d/1bRrNKwbHDVktQG10isr5vbWRtt5spIZPpkOSWgbT5ug/edit?usp=sharing"",""ศรีสะเกษ!J655"")"),0)</f>
        <v>0</v>
      </c>
      <c r="R44" s="216">
        <f ca="1">IFERROR(__xludf.DUMMYFUNCTION("IMPORTRANGE(""https://docs.google.com/spreadsheets/d/1bRrNKwbHDVktQG10isr5vbWRtt5spIZPpkOSWgbT5ug/edit?usp=sharing"",""ศรีสะเกษ!J656"")"),0)</f>
        <v>0</v>
      </c>
      <c r="S44" s="216">
        <f ca="1">IFERROR(__xludf.DUMMYFUNCTION("IMPORTRANGE(""https://docs.google.com/spreadsheets/d/1bRrNKwbHDVktQG10isr5vbWRtt5spIZPpkOSWgbT5ug/edit?usp=sharing"",""ศรีสะเกษ!J657"")"),0)</f>
        <v>0</v>
      </c>
      <c r="T44" s="216">
        <f ca="1">IFERROR(__xludf.DUMMYFUNCTION("IMPORTRANGE(""https://docs.google.com/spreadsheets/d/1bRrNKwbHDVktQG10isr5vbWRtt5spIZPpkOSWgbT5ug/edit?usp=sharing"",""ศรีสะเกษ!J658"")"),0)</f>
        <v>0</v>
      </c>
      <c r="U44" s="216">
        <f ca="1">IFERROR(__xludf.DUMMYFUNCTION("IMPORTRANGE(""https://docs.google.com/spreadsheets/d/1bRrNKwbHDVktQG10isr5vbWRtt5spIZPpkOSWgbT5ug/edit?usp=sharing"",""ศรีสะเกษ!J659"")"),0)</f>
        <v>0</v>
      </c>
      <c r="V44" s="216">
        <f ca="1">IFERROR(__xludf.DUMMYFUNCTION("IMPORTRANGE(""https://docs.google.com/spreadsheets/d/1bRrNKwbHDVktQG10isr5vbWRtt5spIZPpkOSWgbT5ug/edit?usp=sharing"",""ศรีสะเกษ!J660"")"),0)</f>
        <v>0</v>
      </c>
      <c r="W44" s="152">
        <f ca="1">IFERROR(__xludf.DUMMYFUNCTION("IMPORTRANGE(""https://docs.google.com/spreadsheets/d/1bRrNKwbHDVktQG10isr5vbWRtt5spIZPpkOSWgbT5ug/edit?usp=sharing"",""ศรีสะเกษ!I661"")"),0)</f>
        <v>0</v>
      </c>
      <c r="X44" s="152">
        <f ca="1">IFERROR(__xludf.DUMMYFUNCTION("IMPORTRANGE(""https://docs.google.com/spreadsheets/d/1bRrNKwbHDVktQG10isr5vbWRtt5spIZPpkOSWgbT5ug/edit?usp=sharing"",""ศรีสะเกษ!J661"")"),0)</f>
        <v>0</v>
      </c>
      <c r="Y44" s="216">
        <f t="shared" ca="1" si="39"/>
        <v>0</v>
      </c>
      <c r="Z44" s="152">
        <f ca="1">IFERROR(__xludf.DUMMYFUNCTION("IMPORTRANGE(""https://docs.google.com/spreadsheets/d/1bRrNKwbHDVktQG10isr5vbWRtt5spIZPpkOSWgbT5ug/edit?usp=sharing"",""ศรีสะเกษ!J662"")"),0)</f>
        <v>0</v>
      </c>
      <c r="AA44" s="152">
        <f ca="1">IFERROR(__xludf.DUMMYFUNCTION("IMPORTRANGE(""https://docs.google.com/spreadsheets/d/1bRrNKwbHDVktQG10isr5vbWRtt5spIZPpkOSWgbT5ug/edit?usp=sharing"",""ศรีสะเกษ!J663"")"),0)</f>
        <v>0</v>
      </c>
      <c r="AB44" s="152">
        <f ca="1">IFERROR(__xludf.DUMMYFUNCTION("IMPORTRANGE(""https://docs.google.com/spreadsheets/d/1bRrNKwbHDVktQG10isr5vbWRtt5spIZPpkOSWgbT5ug/edit?usp=sharing"",""ศรีสะเกษ!J665"")"),0)</f>
        <v>0</v>
      </c>
      <c r="AC44" s="152">
        <f ca="1">IFERROR(__xludf.DUMMYFUNCTION("IMPORTRANGE(""https://docs.google.com/spreadsheets/d/1bRrNKwbHDVktQG10isr5vbWRtt5spIZPpkOSWgbT5ug/edit?usp=sharing"",""ศรีสะเกษ!J666"")"),0)</f>
        <v>0</v>
      </c>
      <c r="AD44" s="152">
        <f ca="1">IFERROR(__xludf.DUMMYFUNCTION("IMPORTRANGE(""https://docs.google.com/spreadsheets/d/1bRrNKwbHDVktQG10isr5vbWRtt5spIZPpkOSWgbT5ug/edit?usp=sharing"",""ศรีสะเกษ!J667"")"),0)</f>
        <v>0</v>
      </c>
      <c r="AE44" s="152">
        <f ca="1">IFERROR(__xludf.DUMMYFUNCTION("IMPORTRANGE(""https://docs.google.com/spreadsheets/d/1bRrNKwbHDVktQG10isr5vbWRtt5spIZPpkOSWgbT5ug/edit?usp=sharing"",""ศรีสะเกษ!J668"")"),0)</f>
        <v>0</v>
      </c>
      <c r="AF44" s="152">
        <f ca="1">IFERROR(__xludf.DUMMYFUNCTION("IMPORTRANGE(""https://docs.google.com/spreadsheets/d/1bRrNKwbHDVktQG10isr5vbWRtt5spIZPpkOSWgbT5ug/edit?usp=sharing"",""ศรีสะเกษ!J669"")"),0)</f>
        <v>0</v>
      </c>
      <c r="AG44" s="152">
        <f ca="1">IFERROR(__xludf.DUMMYFUNCTION("IMPORTRANGE(""https://docs.google.com/spreadsheets/d/1bRrNKwbHDVktQG10isr5vbWRtt5spIZPpkOSWgbT5ug/edit?usp=sharing"",""ศรีสะเกษ!J670"")"),0)</f>
        <v>0</v>
      </c>
      <c r="AH44" s="152">
        <f ca="1">IFERROR(__xludf.DUMMYFUNCTION("IMPORTRANGE(""https://docs.google.com/spreadsheets/d/1bRrNKwbHDVktQG10isr5vbWRtt5spIZPpkOSWgbT5ug/edit?usp=sharing"",""ศรีสะเกษ!I673"")"),0)</f>
        <v>0</v>
      </c>
      <c r="AI44" s="397">
        <f ca="1">IFERROR(__xludf.DUMMYFUNCTION("IMPORTRANGE(""https://docs.google.com/spreadsheets/d/1bRrNKwbHDVktQG10isr5vbWRtt5spIZPpkOSWgbT5ug/edit?usp=sharing"",""ศรีสะเกษ!J671"")"),0)</f>
        <v>0</v>
      </c>
      <c r="AJ44" s="397">
        <f ca="1">IFERROR(__xludf.DUMMYFUNCTION("IMPORTRANGE(""https://docs.google.com/spreadsheets/d/1bRrNKwbHDVktQG10isr5vbWRtt5spIZPpkOSWgbT5ug/edit?usp=sharing"",""ศรีสะเกษ!J672"")"),0)</f>
        <v>0</v>
      </c>
      <c r="AK44" s="397">
        <f ca="1">IFERROR(__xludf.DUMMYFUNCTION("IMPORTRANGE(""https://docs.google.com/spreadsheets/d/1bRrNKwbHDVktQG10isr5vbWRtt5spIZPpkOSWgbT5ug/edit?usp=sharing"",""ศรีสะเกษ!J673"")"),0)</f>
        <v>0</v>
      </c>
      <c r="AL44" s="216">
        <f t="shared" ca="1" si="41"/>
        <v>0</v>
      </c>
      <c r="AM44" s="152">
        <f ca="1">IFERROR(__xludf.DUMMYFUNCTION("IMPORTRANGE(""https://docs.google.com/spreadsheets/d/1bRrNKwbHDVktQG10isr5vbWRtt5spIZPpkOSWgbT5ug/edit?usp=sharing"",""ศรีสะเกษ!I674"")"),0)</f>
        <v>0</v>
      </c>
      <c r="AN44" s="152">
        <f ca="1">IFERROR(__xludf.DUMMYFUNCTION("IMPORTRANGE(""https://docs.google.com/spreadsheets/d/1bRrNKwbHDVktQG10isr5vbWRtt5spIZPpkOSWgbT5ug/edit?usp=sharing"",""ศรีสะเกษ!I675"")"),0)</f>
        <v>0</v>
      </c>
      <c r="AO44" s="397">
        <f ca="1">IFERROR(__xludf.DUMMYFUNCTION("IMPORTRANGE(""https://docs.google.com/spreadsheets/d/1bRrNKwbHDVktQG10isr5vbWRtt5spIZPpkOSWgbT5ug/edit?usp=sharing"",""ศรีสะเกษ!J674"")"),0)</f>
        <v>0</v>
      </c>
      <c r="AP44" s="216">
        <f t="shared" ca="1" si="43"/>
        <v>0</v>
      </c>
      <c r="AQ44" s="397">
        <f ca="1">IFERROR(__xludf.DUMMYFUNCTION("IMPORTRANGE(""https://docs.google.com/spreadsheets/d/1bRrNKwbHDVktQG10isr5vbWRtt5spIZPpkOSWgbT5ug/edit?usp=sharing"",""ศรีสะเกษ!J675"")"),0)</f>
        <v>0</v>
      </c>
      <c r="AR44" s="216">
        <f t="shared" ca="1" si="44"/>
        <v>0</v>
      </c>
      <c r="AS44" s="152">
        <f ca="1">IFERROR(__xludf.DUMMYFUNCTION("IMPORTRANGE(""https://docs.google.com/spreadsheets/d/1bRrNKwbHDVktQG10isr5vbWRtt5spIZPpkOSWgbT5ug/edit?usp=sharing"",""ศรีสะเกษ!I676"")"),0)</f>
        <v>0</v>
      </c>
      <c r="AT44" s="152">
        <f ca="1">IFERROR(__xludf.DUMMYFUNCTION("IMPORTRANGE(""https://docs.google.com/spreadsheets/d/1bRrNKwbHDVktQG10isr5vbWRtt5spIZPpkOSWgbT5ug/edit?usp=sharing"",""ศรีสะเกษ!I678"")"),0)</f>
        <v>0</v>
      </c>
      <c r="AU44" s="397">
        <f ca="1">IFERROR(__xludf.DUMMYFUNCTION("IMPORTRANGE(""https://docs.google.com/spreadsheets/d/1bRrNKwbHDVktQG10isr5vbWRtt5spIZPpkOSWgbT5ug/edit?usp=sharing"",""ศรีสะเกษ!J676"")"),0)</f>
        <v>0</v>
      </c>
      <c r="AV44" s="397">
        <f ca="1">IFERROR(__xludf.DUMMYFUNCTION("IMPORTRANGE(""https://docs.google.com/spreadsheets/d/1bRrNKwbHDVktQG10isr5vbWRtt5spIZPpkOSWgbT5ug/edit?usp=sharing"",""ศรีสะเกษ!J677"")"),0)</f>
        <v>0</v>
      </c>
      <c r="AW44" s="397">
        <f ca="1">IFERROR(__xludf.DUMMYFUNCTION("IMPORTRANGE(""https://docs.google.com/spreadsheets/d/1bRrNKwbHDVktQG10isr5vbWRtt5spIZPpkOSWgbT5ug/edit?usp=sharing"",""ศรีสะเกษ!J678"")"),0)</f>
        <v>0</v>
      </c>
      <c r="AX44" s="152">
        <f ca="1">IFERROR(__xludf.DUMMYFUNCTION("IMPORTRANGE(""https://docs.google.com/spreadsheets/d/1bRrNKwbHDVktQG10isr5vbWRtt5spIZPpkOSWgbT5ug/edit?usp=sharing"",""ศรีสะเกษ!I679"")"),0)</f>
        <v>0</v>
      </c>
      <c r="AY44" s="152">
        <f ca="1">IFERROR(__xludf.DUMMYFUNCTION("IMPORTRANGE(""https://docs.google.com/spreadsheets/d/1bRrNKwbHDVktQG10isr5vbWRtt5spIZPpkOSWgbT5ug/edit?usp=sharing"",""ศรีสะเกษ!I681"")"),0)</f>
        <v>0</v>
      </c>
      <c r="AZ44" s="397">
        <f ca="1">IFERROR(__xludf.DUMMYFUNCTION("IMPORTRANGE(""https://docs.google.com/spreadsheets/d/1bRrNKwbHDVktQG10isr5vbWRtt5spIZPpkOSWgbT5ug/edit?usp=sharing"",""ศรีสะเกษ!J679"")"),0)</f>
        <v>0</v>
      </c>
      <c r="BA44" s="397">
        <f ca="1">IFERROR(__xludf.DUMMYFUNCTION("IMPORTRANGE(""https://docs.google.com/spreadsheets/d/1bRrNKwbHDVktQG10isr5vbWRtt5spIZPpkOSWgbT5ug/edit?usp=sharing"",""ศรีสะเกษ!J680"")"),0)</f>
        <v>0</v>
      </c>
      <c r="BB44" s="397">
        <f ca="1">IFERROR(__xludf.DUMMYFUNCTION("IMPORTRANGE(""https://docs.google.com/spreadsheets/d/1bRrNKwbHDVktQG10isr5vbWRtt5spIZPpkOSWgbT5ug/edit?usp=sharing"",""ศรีสะเกษ!J681"")"),0)</f>
        <v>0</v>
      </c>
      <c r="BC44" s="152">
        <f ca="1">IFERROR(__xludf.DUMMYFUNCTION("IMPORTRANGE(""https://docs.google.com/spreadsheets/d/1bRrNKwbHDVktQG10isr5vbWRtt5spIZPpkOSWgbT5ug/edit?usp=sharing"",""ศรีสะเกษ!I682"")"),0)</f>
        <v>0</v>
      </c>
      <c r="BD44" s="152">
        <f ca="1">IFERROR(__xludf.DUMMYFUNCTION("IMPORTRANGE(""https://docs.google.com/spreadsheets/d/1bRrNKwbHDVktQG10isr5vbWRtt5spIZPpkOSWgbT5ug/edit?usp=sharing"",""ศรีสะเกษ!J682"")"),0)</f>
        <v>0</v>
      </c>
      <c r="BE44" s="216">
        <f t="shared" ca="1" si="46"/>
        <v>0</v>
      </c>
      <c r="BF44" s="152">
        <f ca="1">IFERROR(__xludf.DUMMYFUNCTION("IMPORTRANGE(""https://docs.google.com/spreadsheets/d/1bRrNKwbHDVktQG10isr5vbWRtt5spIZPpkOSWgbT5ug/edit?usp=sharing"",""ศรีสะเกษ!J683"")"),0)</f>
        <v>0</v>
      </c>
      <c r="BG44" s="152">
        <f ca="1">IFERROR(__xludf.DUMMYFUNCTION("IMPORTRANGE(""https://docs.google.com/spreadsheets/d/1bRrNKwbHDVktQG10isr5vbWRtt5spIZPpkOSWgbT5ug/edit?usp=sharing"",""ศรีสะเกษ!J684"")"),0)</f>
        <v>0</v>
      </c>
      <c r="BH44" s="152">
        <f ca="1">IFERROR(__xludf.DUMMYFUNCTION("IMPORTRANGE(""https://docs.google.com/spreadsheets/d/1bRrNKwbHDVktQG10isr5vbWRtt5spIZPpkOSWgbT5ug/edit?usp=sharing"",""ศรีสะเกษ!J685"")"),0)</f>
        <v>0</v>
      </c>
      <c r="BI44" s="152">
        <f ca="1">IFERROR(__xludf.DUMMYFUNCTION("IMPORTRANGE(""https://docs.google.com/spreadsheets/d/1bRrNKwbHDVktQG10isr5vbWRtt5spIZPpkOSWgbT5ug/edit?usp=sharing"",""ศรีสะเกษ!J686"")"),0)</f>
        <v>0</v>
      </c>
      <c r="BJ44" s="152">
        <f ca="1">IFERROR(__xludf.DUMMYFUNCTION("IMPORTRANGE(""https://docs.google.com/spreadsheets/d/1bRrNKwbHDVktQG10isr5vbWRtt5spIZPpkOSWgbT5ug/edit?usp=sharing"",""ศรีสะเกษ!J687"")"),0)</f>
        <v>0</v>
      </c>
      <c r="BK44" s="152">
        <f ca="1">IFERROR(__xludf.DUMMYFUNCTION("IMPORTRANGE(""https://docs.google.com/spreadsheets/d/1bRrNKwbHDVktQG10isr5vbWRtt5spIZPpkOSWgbT5ug/edit?usp=sharing"",""ศรีสะเกษ!J688"")"),0)</f>
        <v>0</v>
      </c>
    </row>
    <row r="45" spans="1:63" ht="19.5" x14ac:dyDescent="0.3">
      <c r="A45" s="70">
        <v>14</v>
      </c>
      <c r="B45" s="71" t="s">
        <v>73</v>
      </c>
      <c r="C45" s="68">
        <f ca="1">IFERROR(__xludf.DUMMYFUNCTION("IMPORTRANGE(""https://docs.google.com/spreadsheets/d/17P34_Ow5kFBfdQD0qspb2UuPX5zpi6WMrQzslghyvrI/edit?usp=sharing"",""สกลนคร!Q642"")"),0)</f>
        <v>0</v>
      </c>
      <c r="D45" s="68">
        <f ca="1">IFERROR(__xludf.DUMMYFUNCTION("IMPORTRANGE(""https://docs.google.com/spreadsheets/d/17P34_Ow5kFBfdQD0qspb2UuPX5zpi6WMrQzslghyvrI/edit?usp=sharing"",""สกลนคร!R642"")"),0)</f>
        <v>0</v>
      </c>
      <c r="E45" s="68">
        <f ca="1">IFERROR(__xludf.DUMMYFUNCTION("IMPORTRANGE(""https://docs.google.com/spreadsheets/d/17P34_Ow5kFBfdQD0qspb2UuPX5zpi6WMrQzslghyvrI/edit?usp=sharing"",""สกลนคร!S642"")"),0)</f>
        <v>0</v>
      </c>
      <c r="F45" s="68">
        <f t="shared" ca="1" si="30"/>
        <v>0</v>
      </c>
      <c r="G45" s="68">
        <f t="shared" ca="1" si="31"/>
        <v>0</v>
      </c>
      <c r="H45" s="278">
        <f ca="1">IFERROR(__xludf.DUMMYFUNCTION("IMPORTRANGE(""https://docs.google.com/spreadsheets/d/17P34_Ow5kFBfdQD0qspb2UuPX5zpi6WMrQzslghyvrI/edit?usp=sharing"",""สกลนคร!I652"")"),0)</f>
        <v>0</v>
      </c>
      <c r="I45" s="152">
        <f ca="1">IFERROR(__xludf.DUMMYFUNCTION("IMPORTRANGE(""https://docs.google.com/spreadsheets/d/17P34_Ow5kFBfdQD0qspb2UuPX5zpi6WMrQzslghyvrI/edit?usp=sharing"",""สกลนคร!J652"")"),0)</f>
        <v>0</v>
      </c>
      <c r="J45" s="216">
        <f t="shared" ca="1" si="33"/>
        <v>0</v>
      </c>
      <c r="K45" s="152">
        <f ca="1">IFERROR(__xludf.DUMMYFUNCTION("IMPORTRANGE(""https://docs.google.com/spreadsheets/d/17P34_Ow5kFBfdQD0qspb2UuPX5zpi6WMrQzslghyvrI/edit?usp=sharing"",""สกลนคร!I653"")"),0)</f>
        <v>0</v>
      </c>
      <c r="L45" s="152">
        <f ca="1">IFERROR(__xludf.DUMMYFUNCTION("IMPORTRANGE(""https://docs.google.com/spreadsheets/d/17P34_Ow5kFBfdQD0qspb2UuPX5zpi6WMrQzslghyvrI/edit?usp=sharing"",""สกลนคร!J653"")"),0)</f>
        <v>0</v>
      </c>
      <c r="M45" s="216">
        <f t="shared" ca="1" si="35"/>
        <v>0</v>
      </c>
      <c r="N45" s="152">
        <f ca="1">IFERROR(__xludf.DUMMYFUNCTION("IMPORTRANGE(""https://docs.google.com/spreadsheets/d/17P34_Ow5kFBfdQD0qspb2UuPX5zpi6WMrQzslghyvrI/edit?usp=sharing"",""สกลนคร!I654"")"),0)</f>
        <v>0</v>
      </c>
      <c r="O45" s="152">
        <f ca="1">IFERROR(__xludf.DUMMYFUNCTION("IMPORTRANGE(""https://docs.google.com/spreadsheets/d/17P34_Ow5kFBfdQD0qspb2UuPX5zpi6WMrQzslghyvrI/edit?usp=sharing"",""สกลนคร!J654"")"),0)</f>
        <v>0</v>
      </c>
      <c r="P45" s="216">
        <f t="shared" ca="1" si="37"/>
        <v>0</v>
      </c>
      <c r="Q45" s="216">
        <f ca="1">IFERROR(__xludf.DUMMYFUNCTION("IMPORTRANGE(""https://docs.google.com/spreadsheets/d/17P34_Ow5kFBfdQD0qspb2UuPX5zpi6WMrQzslghyvrI/edit?usp=sharing"",""สกลนคร!J655"")"),0)</f>
        <v>0</v>
      </c>
      <c r="R45" s="216">
        <f ca="1">IFERROR(__xludf.DUMMYFUNCTION("IMPORTRANGE(""https://docs.google.com/spreadsheets/d/17P34_Ow5kFBfdQD0qspb2UuPX5zpi6WMrQzslghyvrI/edit?usp=sharing"",""สกลนคร!J656"")"),0)</f>
        <v>0</v>
      </c>
      <c r="S45" s="216">
        <f ca="1">IFERROR(__xludf.DUMMYFUNCTION("IMPORTRANGE(""https://docs.google.com/spreadsheets/d/17P34_Ow5kFBfdQD0qspb2UuPX5zpi6WMrQzslghyvrI/edit?usp=sharing"",""สกลนคร!J657"")"),0)</f>
        <v>0</v>
      </c>
      <c r="T45" s="216">
        <f ca="1">IFERROR(__xludf.DUMMYFUNCTION("IMPORTRANGE(""https://docs.google.com/spreadsheets/d/17P34_Ow5kFBfdQD0qspb2UuPX5zpi6WMrQzslghyvrI/edit?usp=sharing"",""สกลนคร!J658"")"),0)</f>
        <v>0</v>
      </c>
      <c r="U45" s="216">
        <f ca="1">IFERROR(__xludf.DUMMYFUNCTION("IMPORTRANGE(""https://docs.google.com/spreadsheets/d/17P34_Ow5kFBfdQD0qspb2UuPX5zpi6WMrQzslghyvrI/edit?usp=sharing"",""สกลนคร!J659"")"),0)</f>
        <v>0</v>
      </c>
      <c r="V45" s="216">
        <f ca="1">IFERROR(__xludf.DUMMYFUNCTION("IMPORTRANGE(""https://docs.google.com/spreadsheets/d/17P34_Ow5kFBfdQD0qspb2UuPX5zpi6WMrQzslghyvrI/edit?usp=sharing"",""สกลนคร!J660"")"),0)</f>
        <v>0</v>
      </c>
      <c r="W45" s="152">
        <f ca="1">IFERROR(__xludf.DUMMYFUNCTION("IMPORTRANGE(""https://docs.google.com/spreadsheets/d/17P34_Ow5kFBfdQD0qspb2UuPX5zpi6WMrQzslghyvrI/edit?usp=sharing"",""สกลนคร!I661"")"),0)</f>
        <v>0</v>
      </c>
      <c r="X45" s="152">
        <f ca="1">IFERROR(__xludf.DUMMYFUNCTION("IMPORTRANGE(""https://docs.google.com/spreadsheets/d/17P34_Ow5kFBfdQD0qspb2UuPX5zpi6WMrQzslghyvrI/edit?usp=sharing"",""สกลนคร!J661"")"),0)</f>
        <v>0</v>
      </c>
      <c r="Y45" s="216">
        <f t="shared" ca="1" si="39"/>
        <v>0</v>
      </c>
      <c r="Z45" s="152">
        <f ca="1">IFERROR(__xludf.DUMMYFUNCTION("IMPORTRANGE(""https://docs.google.com/spreadsheets/d/17P34_Ow5kFBfdQD0qspb2UuPX5zpi6WMrQzslghyvrI/edit?usp=sharing"",""สกลนคร!J662"")"),0)</f>
        <v>0</v>
      </c>
      <c r="AA45" s="152">
        <f ca="1">IFERROR(__xludf.DUMMYFUNCTION("IMPORTRANGE(""https://docs.google.com/spreadsheets/d/17P34_Ow5kFBfdQD0qspb2UuPX5zpi6WMrQzslghyvrI/edit?usp=sharing"",""สกลนคร!J663"")"),0)</f>
        <v>0</v>
      </c>
      <c r="AB45" s="152">
        <f ca="1">IFERROR(__xludf.DUMMYFUNCTION("IMPORTRANGE(""https://docs.google.com/spreadsheets/d/17P34_Ow5kFBfdQD0qspb2UuPX5zpi6WMrQzslghyvrI/edit?usp=sharing"",""สกลนคร!J665"")"),0)</f>
        <v>0</v>
      </c>
      <c r="AC45" s="152">
        <f ca="1">IFERROR(__xludf.DUMMYFUNCTION("IMPORTRANGE(""https://docs.google.com/spreadsheets/d/17P34_Ow5kFBfdQD0qspb2UuPX5zpi6WMrQzslghyvrI/edit?usp=sharing"",""สกลนคร!J666"")"),0)</f>
        <v>0</v>
      </c>
      <c r="AD45" s="152">
        <f ca="1">IFERROR(__xludf.DUMMYFUNCTION("IMPORTRANGE(""https://docs.google.com/spreadsheets/d/17P34_Ow5kFBfdQD0qspb2UuPX5zpi6WMrQzslghyvrI/edit?usp=sharing"",""สกลนคร!J667"")"),0)</f>
        <v>0</v>
      </c>
      <c r="AE45" s="152">
        <f ca="1">IFERROR(__xludf.DUMMYFUNCTION("IMPORTRANGE(""https://docs.google.com/spreadsheets/d/17P34_Ow5kFBfdQD0qspb2UuPX5zpi6WMrQzslghyvrI/edit?usp=sharing"",""สกลนคร!J668"")"),0)</f>
        <v>0</v>
      </c>
      <c r="AF45" s="152">
        <f ca="1">IFERROR(__xludf.DUMMYFUNCTION("IMPORTRANGE(""https://docs.google.com/spreadsheets/d/17P34_Ow5kFBfdQD0qspb2UuPX5zpi6WMrQzslghyvrI/edit?usp=sharing"",""สกลนคร!J669"")"),0)</f>
        <v>0</v>
      </c>
      <c r="AG45" s="152">
        <f ca="1">IFERROR(__xludf.DUMMYFUNCTION("IMPORTRANGE(""https://docs.google.com/spreadsheets/d/17P34_Ow5kFBfdQD0qspb2UuPX5zpi6WMrQzslghyvrI/edit?usp=sharing"",""สกลนคร!J670"")"),0)</f>
        <v>0</v>
      </c>
      <c r="AH45" s="152">
        <f ca="1">IFERROR(__xludf.DUMMYFUNCTION("IMPORTRANGE(""https://docs.google.com/spreadsheets/d/17P34_Ow5kFBfdQD0qspb2UuPX5zpi6WMrQzslghyvrI/edit?usp=sharing"",""สกลนคร!I673"")"),0)</f>
        <v>0</v>
      </c>
      <c r="AI45" s="152">
        <f ca="1">IFERROR(__xludf.DUMMYFUNCTION("IMPORTRANGE(""https://docs.google.com/spreadsheets/d/17P34_Ow5kFBfdQD0qspb2UuPX5zpi6WMrQzslghyvrI/edit?usp=sharing"",""สกลนคร!J671"")"),0)</f>
        <v>0</v>
      </c>
      <c r="AJ45" s="152">
        <f ca="1">IFERROR(__xludf.DUMMYFUNCTION("IMPORTRANGE(""https://docs.google.com/spreadsheets/d/17P34_Ow5kFBfdQD0qspb2UuPX5zpi6WMrQzslghyvrI/edit?usp=sharing"",""สกลนคร!J672"")"),0)</f>
        <v>0</v>
      </c>
      <c r="AK45" s="152">
        <f ca="1">IFERROR(__xludf.DUMMYFUNCTION("IMPORTRANGE(""https://docs.google.com/spreadsheets/d/17P34_Ow5kFBfdQD0qspb2UuPX5zpi6WMrQzslghyvrI/edit?usp=sharing"",""สกลนคร!J673"")"),0)</f>
        <v>0</v>
      </c>
      <c r="AL45" s="216">
        <f t="shared" ca="1" si="41"/>
        <v>0</v>
      </c>
      <c r="AM45" s="152">
        <f ca="1">IFERROR(__xludf.DUMMYFUNCTION("IMPORTRANGE(""https://docs.google.com/spreadsheets/d/17P34_Ow5kFBfdQD0qspb2UuPX5zpi6WMrQzslghyvrI/edit?usp=sharing"",""สกลนคร!I674"")"),0)</f>
        <v>0</v>
      </c>
      <c r="AN45" s="152">
        <f ca="1">IFERROR(__xludf.DUMMYFUNCTION("IMPORTRANGE(""https://docs.google.com/spreadsheets/d/17P34_Ow5kFBfdQD0qspb2UuPX5zpi6WMrQzslghyvrI/edit?usp=sharing"",""สกลนคร!I675"")"),0)</f>
        <v>0</v>
      </c>
      <c r="AO45" s="152">
        <f ca="1">IFERROR(__xludf.DUMMYFUNCTION("IMPORTRANGE(""https://docs.google.com/spreadsheets/d/17P34_Ow5kFBfdQD0qspb2UuPX5zpi6WMrQzslghyvrI/edit?usp=sharing"",""สกลนคร!J674"")"),0)</f>
        <v>0</v>
      </c>
      <c r="AP45" s="216">
        <f t="shared" ca="1" si="43"/>
        <v>0</v>
      </c>
      <c r="AQ45" s="152">
        <f ca="1">IFERROR(__xludf.DUMMYFUNCTION("IMPORTRANGE(""https://docs.google.com/spreadsheets/d/17P34_Ow5kFBfdQD0qspb2UuPX5zpi6WMrQzslghyvrI/edit?usp=sharing"",""สกลนคร!J675"")"),0)</f>
        <v>0</v>
      </c>
      <c r="AR45" s="216">
        <f t="shared" ca="1" si="44"/>
        <v>0</v>
      </c>
      <c r="AS45" s="152">
        <f ca="1">IFERROR(__xludf.DUMMYFUNCTION("IMPORTRANGE(""https://docs.google.com/spreadsheets/d/17P34_Ow5kFBfdQD0qspb2UuPX5zpi6WMrQzslghyvrI/edit?usp=sharing"",""สกลนคร!I676"")"),0)</f>
        <v>0</v>
      </c>
      <c r="AT45" s="152">
        <f ca="1">IFERROR(__xludf.DUMMYFUNCTION("IMPORTRANGE(""https://docs.google.com/spreadsheets/d/17P34_Ow5kFBfdQD0qspb2UuPX5zpi6WMrQzslghyvrI/edit?usp=sharing"",""สกลนคร!I678"")"),0)</f>
        <v>0</v>
      </c>
      <c r="AU45" s="152">
        <f ca="1">IFERROR(__xludf.DUMMYFUNCTION("IMPORTRANGE(""https://docs.google.com/spreadsheets/d/17P34_Ow5kFBfdQD0qspb2UuPX5zpi6WMrQzslghyvrI/edit?usp=sharing"",""สกลนคร!J676"")"),0)</f>
        <v>0</v>
      </c>
      <c r="AV45" s="152">
        <f ca="1">IFERROR(__xludf.DUMMYFUNCTION("IMPORTRANGE(""https://docs.google.com/spreadsheets/d/17P34_Ow5kFBfdQD0qspb2UuPX5zpi6WMrQzslghyvrI/edit?usp=sharing"",""สกลนคร!J677"")"),0)</f>
        <v>0</v>
      </c>
      <c r="AW45" s="152">
        <f ca="1">IFERROR(__xludf.DUMMYFUNCTION("IMPORTRANGE(""https://docs.google.com/spreadsheets/d/17P34_Ow5kFBfdQD0qspb2UuPX5zpi6WMrQzslghyvrI/edit?usp=sharing"",""สกลนคร!J678"")"),0)</f>
        <v>0</v>
      </c>
      <c r="AX45" s="152">
        <f ca="1">IFERROR(__xludf.DUMMYFUNCTION("IMPORTRANGE(""https://docs.google.com/spreadsheets/d/17P34_Ow5kFBfdQD0qspb2UuPX5zpi6WMrQzslghyvrI/edit?usp=sharing"",""สกลนคร!I679"")"),0)</f>
        <v>0</v>
      </c>
      <c r="AY45" s="152">
        <f ca="1">IFERROR(__xludf.DUMMYFUNCTION("IMPORTRANGE(""https://docs.google.com/spreadsheets/d/17P34_Ow5kFBfdQD0qspb2UuPX5zpi6WMrQzslghyvrI/edit?usp=sharing"",""สกลนคร!I681"")"),0)</f>
        <v>0</v>
      </c>
      <c r="AZ45" s="152">
        <f ca="1">IFERROR(__xludf.DUMMYFUNCTION("IMPORTRANGE(""https://docs.google.com/spreadsheets/d/17P34_Ow5kFBfdQD0qspb2UuPX5zpi6WMrQzslghyvrI/edit?usp=sharing"",""สกลนคร!J679"")"),0)</f>
        <v>0</v>
      </c>
      <c r="BA45" s="152">
        <f ca="1">IFERROR(__xludf.DUMMYFUNCTION("IMPORTRANGE(""https://docs.google.com/spreadsheets/d/17P34_Ow5kFBfdQD0qspb2UuPX5zpi6WMrQzslghyvrI/edit?usp=sharing"",""สกลนคร!J680"")"),0)</f>
        <v>0</v>
      </c>
      <c r="BB45" s="152">
        <f ca="1">IFERROR(__xludf.DUMMYFUNCTION("IMPORTRANGE(""https://docs.google.com/spreadsheets/d/17P34_Ow5kFBfdQD0qspb2UuPX5zpi6WMrQzslghyvrI/edit?usp=sharing"",""สกลนคร!J681"")"),0)</f>
        <v>0</v>
      </c>
      <c r="BC45" s="152">
        <f ca="1">IFERROR(__xludf.DUMMYFUNCTION("IMPORTRANGE(""https://docs.google.com/spreadsheets/d/17P34_Ow5kFBfdQD0qspb2UuPX5zpi6WMrQzslghyvrI/edit?usp=sharing"",""สกลนคร!I682"")"),0)</f>
        <v>0</v>
      </c>
      <c r="BD45" s="152">
        <f ca="1">IFERROR(__xludf.DUMMYFUNCTION("IMPORTRANGE(""https://docs.google.com/spreadsheets/d/17P34_Ow5kFBfdQD0qspb2UuPX5zpi6WMrQzslghyvrI/edit?usp=sharing"",""สกลนคร!J682"")"),0)</f>
        <v>0</v>
      </c>
      <c r="BE45" s="216">
        <f t="shared" ca="1" si="46"/>
        <v>0</v>
      </c>
      <c r="BF45" s="152">
        <f ca="1">IFERROR(__xludf.DUMMYFUNCTION("IMPORTRANGE(""https://docs.google.com/spreadsheets/d/17P34_Ow5kFBfdQD0qspb2UuPX5zpi6WMrQzslghyvrI/edit?usp=sharing"",""สกลนคร!J683"")"),0)</f>
        <v>0</v>
      </c>
      <c r="BG45" s="152">
        <f ca="1">IFERROR(__xludf.DUMMYFUNCTION("IMPORTRANGE(""https://docs.google.com/spreadsheets/d/17P34_Ow5kFBfdQD0qspb2UuPX5zpi6WMrQzslghyvrI/edit?usp=sharing"",""สกลนคร!J684"")"),0)</f>
        <v>0</v>
      </c>
      <c r="BH45" s="152">
        <f ca="1">IFERROR(__xludf.DUMMYFUNCTION("IMPORTRANGE(""https://docs.google.com/spreadsheets/d/17P34_Ow5kFBfdQD0qspb2UuPX5zpi6WMrQzslghyvrI/edit?usp=sharing"",""สกลนคร!J685"")"),0)</f>
        <v>0</v>
      </c>
      <c r="BI45" s="152">
        <f ca="1">IFERROR(__xludf.DUMMYFUNCTION("IMPORTRANGE(""https://docs.google.com/spreadsheets/d/17P34_Ow5kFBfdQD0qspb2UuPX5zpi6WMrQzslghyvrI/edit?usp=sharing"",""สกลนคร!J686"")"),0)</f>
        <v>0</v>
      </c>
      <c r="BJ45" s="152">
        <f ca="1">IFERROR(__xludf.DUMMYFUNCTION("IMPORTRANGE(""https://docs.google.com/spreadsheets/d/17P34_Ow5kFBfdQD0qspb2UuPX5zpi6WMrQzslghyvrI/edit?usp=sharing"",""สกลนคร!J687"")"),0)</f>
        <v>0</v>
      </c>
      <c r="BK45" s="152">
        <f ca="1">IFERROR(__xludf.DUMMYFUNCTION("IMPORTRANGE(""https://docs.google.com/spreadsheets/d/17P34_Ow5kFBfdQD0qspb2UuPX5zpi6WMrQzslghyvrI/edit?usp=sharing"",""สกลนคร!J688"")"),0)</f>
        <v>0</v>
      </c>
    </row>
    <row r="46" spans="1:63" ht="19.5" x14ac:dyDescent="0.3">
      <c r="A46" s="70">
        <v>15</v>
      </c>
      <c r="B46" s="71" t="s">
        <v>74</v>
      </c>
      <c r="C46" s="68">
        <f ca="1">IFERROR(__xludf.DUMMYFUNCTION("IMPORTRANGE(""https://docs.google.com/spreadsheets/d/1yswqbM3-AEpThF3ZSUa1AcmHnmRTF1vlJ1CZGcJ8YuU/edit?usp=sharing"",""สุรินทร์!Q642"")"),9000)</f>
        <v>9000</v>
      </c>
      <c r="D46" s="68">
        <f ca="1">IFERROR(__xludf.DUMMYFUNCTION("IMPORTRANGE(""https://docs.google.com/spreadsheets/d/1yswqbM3-AEpThF3ZSUa1AcmHnmRTF1vlJ1CZGcJ8YuU/edit?usp=sharing"",""สุรินทร์!R642"")"),9000)</f>
        <v>9000</v>
      </c>
      <c r="E46" s="68">
        <f ca="1">IFERROR(__xludf.DUMMYFUNCTION("IMPORTRANGE(""https://docs.google.com/spreadsheets/d/1yswqbM3-AEpThF3ZSUa1AcmHnmRTF1vlJ1CZGcJ8YuU/edit?usp=sharing"",""สุรินทร์!S642"")"),1360)</f>
        <v>1360</v>
      </c>
      <c r="F46" s="68">
        <f t="shared" ca="1" si="30"/>
        <v>15.111111111111111</v>
      </c>
      <c r="G46" s="68">
        <f t="shared" ca="1" si="31"/>
        <v>15.111111111111111</v>
      </c>
      <c r="H46" s="278">
        <f ca="1">IFERROR(__xludf.DUMMYFUNCTION("IMPORTRANGE(""https://docs.google.com/spreadsheets/d/1yswqbM3-AEpThF3ZSUa1AcmHnmRTF1vlJ1CZGcJ8YuU/edit?usp=sharing"",""สุรินทร์!I652"")"),0)</f>
        <v>0</v>
      </c>
      <c r="I46" s="152">
        <f ca="1">IFERROR(__xludf.DUMMYFUNCTION("IMPORTRANGE(""https://docs.google.com/spreadsheets/d/1yswqbM3-AEpThF3ZSUa1AcmHnmRTF1vlJ1CZGcJ8YuU/edit?usp=sharing"",""สุรินทร์!J652"")"),0)</f>
        <v>0</v>
      </c>
      <c r="J46" s="216">
        <f t="shared" ca="1" si="33"/>
        <v>0</v>
      </c>
      <c r="K46" s="152">
        <f ca="1">IFERROR(__xludf.DUMMYFUNCTION("IMPORTRANGE(""https://docs.google.com/spreadsheets/d/1yswqbM3-AEpThF3ZSUa1AcmHnmRTF1vlJ1CZGcJ8YuU/edit?usp=sharing"",""สุรินทร์!I653"")"),0)</f>
        <v>0</v>
      </c>
      <c r="L46" s="152">
        <f ca="1">IFERROR(__xludf.DUMMYFUNCTION("IMPORTRANGE(""https://docs.google.com/spreadsheets/d/1yswqbM3-AEpThF3ZSUa1AcmHnmRTF1vlJ1CZGcJ8YuU/edit?usp=sharing"",""สุรินทร์!J653"")"),0)</f>
        <v>0</v>
      </c>
      <c r="M46" s="216">
        <f t="shared" ca="1" si="35"/>
        <v>0</v>
      </c>
      <c r="N46" s="152">
        <f ca="1">IFERROR(__xludf.DUMMYFUNCTION("IMPORTRANGE(""https://docs.google.com/spreadsheets/d/1yswqbM3-AEpThF3ZSUa1AcmHnmRTF1vlJ1CZGcJ8YuU/edit?usp=sharing"",""สุรินทร์!I654"")"),100)</f>
        <v>100</v>
      </c>
      <c r="O46" s="152">
        <f ca="1">IFERROR(__xludf.DUMMYFUNCTION("IMPORTRANGE(""https://docs.google.com/spreadsheets/d/1yswqbM3-AEpThF3ZSUa1AcmHnmRTF1vlJ1CZGcJ8YuU/edit?usp=sharing"",""สุรินทร์!J654"")"),0)</f>
        <v>0</v>
      </c>
      <c r="P46" s="216">
        <f t="shared" ca="1" si="37"/>
        <v>0</v>
      </c>
      <c r="Q46" s="216">
        <f ca="1">IFERROR(__xludf.DUMMYFUNCTION("IMPORTRANGE(""https://docs.google.com/spreadsheets/d/1yswqbM3-AEpThF3ZSUa1AcmHnmRTF1vlJ1CZGcJ8YuU/edit?usp=sharing"",""สุรินทร์!J655"")"),0)</f>
        <v>0</v>
      </c>
      <c r="R46" s="216">
        <f ca="1">IFERROR(__xludf.DUMMYFUNCTION("IMPORTRANGE(""https://docs.google.com/spreadsheets/d/1yswqbM3-AEpThF3ZSUa1AcmHnmRTF1vlJ1CZGcJ8YuU/edit?usp=sharing"",""สุรินทร์!J656"")"),0)</f>
        <v>0</v>
      </c>
      <c r="S46" s="216">
        <f ca="1">IFERROR(__xludf.DUMMYFUNCTION("IMPORTRANGE(""https://docs.google.com/spreadsheets/d/1yswqbM3-AEpThF3ZSUa1AcmHnmRTF1vlJ1CZGcJ8YuU/edit?usp=sharing"",""สุรินทร์!J657"")"),0)</f>
        <v>0</v>
      </c>
      <c r="T46" s="216">
        <f ca="1">IFERROR(__xludf.DUMMYFUNCTION("IMPORTRANGE(""https://docs.google.com/spreadsheets/d/1yswqbM3-AEpThF3ZSUa1AcmHnmRTF1vlJ1CZGcJ8YuU/edit?usp=sharing"",""สุรินทร์!J658"")"),0)</f>
        <v>0</v>
      </c>
      <c r="U46" s="216">
        <f ca="1">IFERROR(__xludf.DUMMYFUNCTION("IMPORTRANGE(""https://docs.google.com/spreadsheets/d/1yswqbM3-AEpThF3ZSUa1AcmHnmRTF1vlJ1CZGcJ8YuU/edit?usp=sharing"",""สุรินทร์!J659"")"),0)</f>
        <v>0</v>
      </c>
      <c r="V46" s="216">
        <f ca="1">IFERROR(__xludf.DUMMYFUNCTION("IMPORTRANGE(""https://docs.google.com/spreadsheets/d/1yswqbM3-AEpThF3ZSUa1AcmHnmRTF1vlJ1CZGcJ8YuU/edit?usp=sharing"",""สุรินทร์!J660"")"),0)</f>
        <v>0</v>
      </c>
      <c r="W46" s="152">
        <f ca="1">IFERROR(__xludf.DUMMYFUNCTION("IMPORTRANGE(""https://docs.google.com/spreadsheets/d/1yswqbM3-AEpThF3ZSUa1AcmHnmRTF1vlJ1CZGcJ8YuU/edit?usp=sharing"",""สุรินทร์!I661"")"),0)</f>
        <v>0</v>
      </c>
      <c r="X46" s="152">
        <f ca="1">IFERROR(__xludf.DUMMYFUNCTION("IMPORTRANGE(""https://docs.google.com/spreadsheets/d/1yswqbM3-AEpThF3ZSUa1AcmHnmRTF1vlJ1CZGcJ8YuU/edit?usp=sharing"",""สุรินทร์!J661"")"),0)</f>
        <v>0</v>
      </c>
      <c r="Y46" s="216">
        <f t="shared" ca="1" si="39"/>
        <v>0</v>
      </c>
      <c r="Z46" s="152">
        <f ca="1">IFERROR(__xludf.DUMMYFUNCTION("IMPORTRANGE(""https://docs.google.com/spreadsheets/d/1yswqbM3-AEpThF3ZSUa1AcmHnmRTF1vlJ1CZGcJ8YuU/edit?usp=sharing"",""สุรินทร์!J662"")"),0)</f>
        <v>0</v>
      </c>
      <c r="AA46" s="152">
        <f ca="1">IFERROR(__xludf.DUMMYFUNCTION("IMPORTRANGE(""https://docs.google.com/spreadsheets/d/1yswqbM3-AEpThF3ZSUa1AcmHnmRTF1vlJ1CZGcJ8YuU/edit?usp=sharing"",""สุรินทร์!J663"")"),0)</f>
        <v>0</v>
      </c>
      <c r="AB46" s="152">
        <f ca="1">IFERROR(__xludf.DUMMYFUNCTION("IMPORTRANGE(""https://docs.google.com/spreadsheets/d/1yswqbM3-AEpThF3ZSUa1AcmHnmRTF1vlJ1CZGcJ8YuU/edit?usp=sharing"",""สุรินทร์!J665"")"),0)</f>
        <v>0</v>
      </c>
      <c r="AC46" s="152">
        <f ca="1">IFERROR(__xludf.DUMMYFUNCTION("IMPORTRANGE(""https://docs.google.com/spreadsheets/d/1yswqbM3-AEpThF3ZSUa1AcmHnmRTF1vlJ1CZGcJ8YuU/edit?usp=sharing"",""สุรินทร์!J666"")"),0)</f>
        <v>0</v>
      </c>
      <c r="AD46" s="152">
        <f ca="1">IFERROR(__xludf.DUMMYFUNCTION("IMPORTRANGE(""https://docs.google.com/spreadsheets/d/1yswqbM3-AEpThF3ZSUa1AcmHnmRTF1vlJ1CZGcJ8YuU/edit?usp=sharing"",""สุรินทร์!J667"")"),0)</f>
        <v>0</v>
      </c>
      <c r="AE46" s="152">
        <f ca="1">IFERROR(__xludf.DUMMYFUNCTION("IMPORTRANGE(""https://docs.google.com/spreadsheets/d/1yswqbM3-AEpThF3ZSUa1AcmHnmRTF1vlJ1CZGcJ8YuU/edit?usp=sharing"",""สุรินทร์!J668"")"),0)</f>
        <v>0</v>
      </c>
      <c r="AF46" s="152">
        <f ca="1">IFERROR(__xludf.DUMMYFUNCTION("IMPORTRANGE(""https://docs.google.com/spreadsheets/d/1yswqbM3-AEpThF3ZSUa1AcmHnmRTF1vlJ1CZGcJ8YuU/edit?usp=sharing"",""สุรินทร์!J669"")"),0)</f>
        <v>0</v>
      </c>
      <c r="AG46" s="152">
        <f ca="1">IFERROR(__xludf.DUMMYFUNCTION("IMPORTRANGE(""https://docs.google.com/spreadsheets/d/1yswqbM3-AEpThF3ZSUa1AcmHnmRTF1vlJ1CZGcJ8YuU/edit?usp=sharing"",""สุรินทร์!J670"")"),0)</f>
        <v>0</v>
      </c>
      <c r="AH46" s="152">
        <f ca="1">IFERROR(__xludf.DUMMYFUNCTION("IMPORTRANGE(""https://docs.google.com/spreadsheets/d/1yswqbM3-AEpThF3ZSUa1AcmHnmRTF1vlJ1CZGcJ8YuU/edit?usp=sharing"",""สุรินทร์!I673"")"),100)</f>
        <v>100</v>
      </c>
      <c r="AI46" s="152">
        <f ca="1">IFERROR(__xludf.DUMMYFUNCTION("IMPORTRANGE(""https://docs.google.com/spreadsheets/d/1yswqbM3-AEpThF3ZSUa1AcmHnmRTF1vlJ1CZGcJ8YuU/edit?usp=sharing"",""สุรินทร์!J671"")"),0)</f>
        <v>0</v>
      </c>
      <c r="AJ46" s="152">
        <f ca="1">IFERROR(__xludf.DUMMYFUNCTION("IMPORTRANGE(""https://docs.google.com/spreadsheets/d/1yswqbM3-AEpThF3ZSUa1AcmHnmRTF1vlJ1CZGcJ8YuU/edit?usp=sharing"",""สุรินทร์!J672"")"),0)</f>
        <v>0</v>
      </c>
      <c r="AK46" s="152">
        <f ca="1">IFERROR(__xludf.DUMMYFUNCTION("IMPORTRANGE(""https://docs.google.com/spreadsheets/d/1yswqbM3-AEpThF3ZSUa1AcmHnmRTF1vlJ1CZGcJ8YuU/edit?usp=sharing"",""สุรินทร์!J673"")"),0)</f>
        <v>0</v>
      </c>
      <c r="AL46" s="216">
        <f t="shared" ca="1" si="41"/>
        <v>0</v>
      </c>
      <c r="AM46" s="152">
        <f ca="1">IFERROR(__xludf.DUMMYFUNCTION("IMPORTRANGE(""https://docs.google.com/spreadsheets/d/1yswqbM3-AEpThF3ZSUa1AcmHnmRTF1vlJ1CZGcJ8YuU/edit?usp=sharing"",""สุรินทร์!I674"")"),0)</f>
        <v>0</v>
      </c>
      <c r="AN46" s="152">
        <f ca="1">IFERROR(__xludf.DUMMYFUNCTION("IMPORTRANGE(""https://docs.google.com/spreadsheets/d/1yswqbM3-AEpThF3ZSUa1AcmHnmRTF1vlJ1CZGcJ8YuU/edit?usp=sharing"",""สุรินทร์!I675"")"),0)</f>
        <v>0</v>
      </c>
      <c r="AO46" s="152">
        <f ca="1">IFERROR(__xludf.DUMMYFUNCTION("IMPORTRANGE(""https://docs.google.com/spreadsheets/d/1yswqbM3-AEpThF3ZSUa1AcmHnmRTF1vlJ1CZGcJ8YuU/edit?usp=sharing"",""สุรินทร์!J674"")"),0)</f>
        <v>0</v>
      </c>
      <c r="AP46" s="216">
        <f t="shared" ca="1" si="43"/>
        <v>0</v>
      </c>
      <c r="AQ46" s="152">
        <f ca="1">IFERROR(__xludf.DUMMYFUNCTION("IMPORTRANGE(""https://docs.google.com/spreadsheets/d/1yswqbM3-AEpThF3ZSUa1AcmHnmRTF1vlJ1CZGcJ8YuU/edit?usp=sharing"",""สุรินทร์!J675"")"),0)</f>
        <v>0</v>
      </c>
      <c r="AR46" s="216">
        <f t="shared" ca="1" si="44"/>
        <v>0</v>
      </c>
      <c r="AS46" s="152">
        <f ca="1">IFERROR(__xludf.DUMMYFUNCTION("IMPORTRANGE(""https://docs.google.com/spreadsheets/d/1yswqbM3-AEpThF3ZSUa1AcmHnmRTF1vlJ1CZGcJ8YuU/edit?usp=sharing"",""สุรินทร์!I676"")"),0)</f>
        <v>0</v>
      </c>
      <c r="AT46" s="152">
        <f ca="1">IFERROR(__xludf.DUMMYFUNCTION("IMPORTRANGE(""https://docs.google.com/spreadsheets/d/1yswqbM3-AEpThF3ZSUa1AcmHnmRTF1vlJ1CZGcJ8YuU/edit?usp=sharing"",""สุรินทร์!I678"")"),0)</f>
        <v>0</v>
      </c>
      <c r="AU46" s="152">
        <f ca="1">IFERROR(__xludf.DUMMYFUNCTION("IMPORTRANGE(""https://docs.google.com/spreadsheets/d/1yswqbM3-AEpThF3ZSUa1AcmHnmRTF1vlJ1CZGcJ8YuU/edit?usp=sharing"",""สุรินทร์!J676"")"),0)</f>
        <v>0</v>
      </c>
      <c r="AV46" s="152">
        <f ca="1">IFERROR(__xludf.DUMMYFUNCTION("IMPORTRANGE(""https://docs.google.com/spreadsheets/d/1yswqbM3-AEpThF3ZSUa1AcmHnmRTF1vlJ1CZGcJ8YuU/edit?usp=sharing"",""สุรินทร์!J677"")"),0)</f>
        <v>0</v>
      </c>
      <c r="AW46" s="152">
        <f ca="1">IFERROR(__xludf.DUMMYFUNCTION("IMPORTRANGE(""https://docs.google.com/spreadsheets/d/1yswqbM3-AEpThF3ZSUa1AcmHnmRTF1vlJ1CZGcJ8YuU/edit?usp=sharing"",""สุรินทร์!J678"")"),0)</f>
        <v>0</v>
      </c>
      <c r="AX46" s="152">
        <f ca="1">IFERROR(__xludf.DUMMYFUNCTION("IMPORTRANGE(""https://docs.google.com/spreadsheets/d/1yswqbM3-AEpThF3ZSUa1AcmHnmRTF1vlJ1CZGcJ8YuU/edit?usp=sharing"",""สุรินทร์!I679"")"),0)</f>
        <v>0</v>
      </c>
      <c r="AY46" s="152">
        <f ca="1">IFERROR(__xludf.DUMMYFUNCTION("IMPORTRANGE(""https://docs.google.com/spreadsheets/d/1yswqbM3-AEpThF3ZSUa1AcmHnmRTF1vlJ1CZGcJ8YuU/edit?usp=sharing"",""สุรินทร์!I681"")"),0)</f>
        <v>0</v>
      </c>
      <c r="AZ46" s="152">
        <f ca="1">IFERROR(__xludf.DUMMYFUNCTION("IMPORTRANGE(""https://docs.google.com/spreadsheets/d/1yswqbM3-AEpThF3ZSUa1AcmHnmRTF1vlJ1CZGcJ8YuU/edit?usp=sharing"",""สุรินทร์!J679"")"),0)</f>
        <v>0</v>
      </c>
      <c r="BA46" s="152">
        <f ca="1">IFERROR(__xludf.DUMMYFUNCTION("IMPORTRANGE(""https://docs.google.com/spreadsheets/d/1yswqbM3-AEpThF3ZSUa1AcmHnmRTF1vlJ1CZGcJ8YuU/edit?usp=sharing"",""สุรินทร์!J680"")"),0)</f>
        <v>0</v>
      </c>
      <c r="BB46" s="152">
        <f ca="1">IFERROR(__xludf.DUMMYFUNCTION("IMPORTRANGE(""https://docs.google.com/spreadsheets/d/1yswqbM3-AEpThF3ZSUa1AcmHnmRTF1vlJ1CZGcJ8YuU/edit?usp=sharing"",""สุรินทร์!J681"")"),0)</f>
        <v>0</v>
      </c>
      <c r="BC46" s="152">
        <f ca="1">IFERROR(__xludf.DUMMYFUNCTION("IMPORTRANGE(""https://docs.google.com/spreadsheets/d/1yswqbM3-AEpThF3ZSUa1AcmHnmRTF1vlJ1CZGcJ8YuU/edit?usp=sharing"",""สุรินทร์!I682"")"),0)</f>
        <v>0</v>
      </c>
      <c r="BD46" s="152">
        <f ca="1">IFERROR(__xludf.DUMMYFUNCTION("IMPORTRANGE(""https://docs.google.com/spreadsheets/d/1yswqbM3-AEpThF3ZSUa1AcmHnmRTF1vlJ1CZGcJ8YuU/edit?usp=sharing"",""สุรินทร์!J682"")"),0)</f>
        <v>0</v>
      </c>
      <c r="BE46" s="216">
        <f t="shared" ca="1" si="46"/>
        <v>0</v>
      </c>
      <c r="BF46" s="152">
        <f ca="1">IFERROR(__xludf.DUMMYFUNCTION("IMPORTRANGE(""https://docs.google.com/spreadsheets/d/1yswqbM3-AEpThF3ZSUa1AcmHnmRTF1vlJ1CZGcJ8YuU/edit?usp=sharing"",""สุรินทร์!J683"")"),0)</f>
        <v>0</v>
      </c>
      <c r="BG46" s="152">
        <f ca="1">IFERROR(__xludf.DUMMYFUNCTION("IMPORTRANGE(""https://docs.google.com/spreadsheets/d/1yswqbM3-AEpThF3ZSUa1AcmHnmRTF1vlJ1CZGcJ8YuU/edit?usp=sharing"",""สุรินทร์!J684"")"),0)</f>
        <v>0</v>
      </c>
      <c r="BH46" s="152">
        <f ca="1">IFERROR(__xludf.DUMMYFUNCTION("IMPORTRANGE(""https://docs.google.com/spreadsheets/d/1yswqbM3-AEpThF3ZSUa1AcmHnmRTF1vlJ1CZGcJ8YuU/edit?usp=sharing"",""สุรินทร์!J685"")"),0)</f>
        <v>0</v>
      </c>
      <c r="BI46" s="152">
        <f ca="1">IFERROR(__xludf.DUMMYFUNCTION("IMPORTRANGE(""https://docs.google.com/spreadsheets/d/1yswqbM3-AEpThF3ZSUa1AcmHnmRTF1vlJ1CZGcJ8YuU/edit?usp=sharing"",""สุรินทร์!J686"")"),0)</f>
        <v>0</v>
      </c>
      <c r="BJ46" s="152">
        <f ca="1">IFERROR(__xludf.DUMMYFUNCTION("IMPORTRANGE(""https://docs.google.com/spreadsheets/d/1yswqbM3-AEpThF3ZSUa1AcmHnmRTF1vlJ1CZGcJ8YuU/edit?usp=sharing"",""สุรินทร์!J687"")"),0)</f>
        <v>0</v>
      </c>
      <c r="BK46" s="152">
        <f ca="1">IFERROR(__xludf.DUMMYFUNCTION("IMPORTRANGE(""https://docs.google.com/spreadsheets/d/1yswqbM3-AEpThF3ZSUa1AcmHnmRTF1vlJ1CZGcJ8YuU/edit?usp=sharing"",""สุรินทร์!J688"")"),0)</f>
        <v>0</v>
      </c>
    </row>
    <row r="47" spans="1:63" ht="19.5" x14ac:dyDescent="0.3">
      <c r="A47" s="70">
        <v>16</v>
      </c>
      <c r="B47" s="71" t="s">
        <v>75</v>
      </c>
      <c r="C47" s="68">
        <f ca="1">IFERROR(__xludf.DUMMYFUNCTION("IMPORTRANGE(""https://docs.google.com/spreadsheets/d/13JHU_EFbsQOUQ0JSQ3dWy1VTRosIWcDq6Nc99z2qzdc/edit?usp=sharing"",""หนองคาย!Q642"")"),19240)</f>
        <v>19240</v>
      </c>
      <c r="D47" s="68">
        <f ca="1">IFERROR(__xludf.DUMMYFUNCTION("IMPORTRANGE(""https://docs.google.com/spreadsheets/d/13JHU_EFbsQOUQ0JSQ3dWy1VTRosIWcDq6Nc99z2qzdc/edit?usp=sharing"",""หนองคาย!R642"")"),19240)</f>
        <v>19240</v>
      </c>
      <c r="E47" s="68">
        <f ca="1">IFERROR(__xludf.DUMMYFUNCTION("IMPORTRANGE(""https://docs.google.com/spreadsheets/d/13JHU_EFbsQOUQ0JSQ3dWy1VTRosIWcDq6Nc99z2qzdc/edit?usp=sharing"",""หนองคาย!S642"")"),7825)</f>
        <v>7825</v>
      </c>
      <c r="F47" s="68">
        <f t="shared" ca="1" si="30"/>
        <v>40.670478170478169</v>
      </c>
      <c r="G47" s="68">
        <f t="shared" ca="1" si="31"/>
        <v>40.670478170478169</v>
      </c>
      <c r="H47" s="278">
        <f ca="1">IFERROR(__xludf.DUMMYFUNCTION("IMPORTRANGE(""https://docs.google.com/spreadsheets/d/13JHU_EFbsQOUQ0JSQ3dWy1VTRosIWcDq6Nc99z2qzdc/edit?usp=sharing"",""หนองคาย!I652"")"),0)</f>
        <v>0</v>
      </c>
      <c r="I47" s="152">
        <f ca="1">IFERROR(__xludf.DUMMYFUNCTION("IMPORTRANGE(""https://docs.google.com/spreadsheets/d/13JHU_EFbsQOUQ0JSQ3dWy1VTRosIWcDq6Nc99z2qzdc/edit?usp=sharing"",""หนองคาย!J652"")"),0)</f>
        <v>0</v>
      </c>
      <c r="J47" s="216">
        <f t="shared" ca="1" si="33"/>
        <v>0</v>
      </c>
      <c r="K47" s="152">
        <f ca="1">IFERROR(__xludf.DUMMYFUNCTION("IMPORTRANGE(""https://docs.google.com/spreadsheets/d/13JHU_EFbsQOUQ0JSQ3dWy1VTRosIWcDq6Nc99z2qzdc/edit?usp=sharing"",""หนองคาย!I653"")"),0)</f>
        <v>0</v>
      </c>
      <c r="L47" s="152">
        <f ca="1">IFERROR(__xludf.DUMMYFUNCTION("IMPORTRANGE(""https://docs.google.com/spreadsheets/d/13JHU_EFbsQOUQ0JSQ3dWy1VTRosIWcDq6Nc99z2qzdc/edit?usp=sharing"",""หนองคาย!J653"")"),0)</f>
        <v>0</v>
      </c>
      <c r="M47" s="216">
        <f t="shared" ca="1" si="35"/>
        <v>0</v>
      </c>
      <c r="N47" s="152">
        <f ca="1">IFERROR(__xludf.DUMMYFUNCTION("IMPORTRANGE(""https://docs.google.com/spreadsheets/d/13JHU_EFbsQOUQ0JSQ3dWy1VTRosIWcDq6Nc99z2qzdc/edit?usp=sharing"",""หนองคาย!I654"")"),13)</f>
        <v>13</v>
      </c>
      <c r="O47" s="152">
        <f ca="1">IFERROR(__xludf.DUMMYFUNCTION("IMPORTRANGE(""https://docs.google.com/spreadsheets/d/13JHU_EFbsQOUQ0JSQ3dWy1VTRosIWcDq6Nc99z2qzdc/edit?usp=sharing"",""หนองคาย!J654"")"),0)</f>
        <v>0</v>
      </c>
      <c r="P47" s="216">
        <f t="shared" ca="1" si="37"/>
        <v>0</v>
      </c>
      <c r="Q47" s="216">
        <f ca="1">IFERROR(__xludf.DUMMYFUNCTION("IMPORTRANGE(""https://docs.google.com/spreadsheets/d/13JHU_EFbsQOUQ0JSQ3dWy1VTRosIWcDq6Nc99z2qzdc/edit?usp=sharing"",""หนองคาย!J655"")"),0)</f>
        <v>0</v>
      </c>
      <c r="R47" s="216">
        <f ca="1">IFERROR(__xludf.DUMMYFUNCTION("IMPORTRANGE(""https://docs.google.com/spreadsheets/d/13JHU_EFbsQOUQ0JSQ3dWy1VTRosIWcDq6Nc99z2qzdc/edit?usp=sharing"",""หนองคาย!J656"")"),0)</f>
        <v>0</v>
      </c>
      <c r="S47" s="216">
        <f ca="1">IFERROR(__xludf.DUMMYFUNCTION("IMPORTRANGE(""https://docs.google.com/spreadsheets/d/13JHU_EFbsQOUQ0JSQ3dWy1VTRosIWcDq6Nc99z2qzdc/edit?usp=sharing"",""หนองคาย!J657"")"),0)</f>
        <v>0</v>
      </c>
      <c r="T47" s="216">
        <f ca="1">IFERROR(__xludf.DUMMYFUNCTION("IMPORTRANGE(""https://docs.google.com/spreadsheets/d/13JHU_EFbsQOUQ0JSQ3dWy1VTRosIWcDq6Nc99z2qzdc/edit?usp=sharing"",""หนองคาย!J658"")"),0)</f>
        <v>0</v>
      </c>
      <c r="U47" s="216">
        <f ca="1">IFERROR(__xludf.DUMMYFUNCTION("IMPORTRANGE(""https://docs.google.com/spreadsheets/d/13JHU_EFbsQOUQ0JSQ3dWy1VTRosIWcDq6Nc99z2qzdc/edit?usp=sharing"",""หนองคาย!J659"")"),0)</f>
        <v>0</v>
      </c>
      <c r="V47" s="216">
        <f ca="1">IFERROR(__xludf.DUMMYFUNCTION("IMPORTRANGE(""https://docs.google.com/spreadsheets/d/13JHU_EFbsQOUQ0JSQ3dWy1VTRosIWcDq6Nc99z2qzdc/edit?usp=sharing"",""หนองคาย!J660"")"),0)</f>
        <v>0</v>
      </c>
      <c r="W47" s="152">
        <f ca="1">IFERROR(__xludf.DUMMYFUNCTION("IMPORTRANGE(""https://docs.google.com/spreadsheets/d/13JHU_EFbsQOUQ0JSQ3dWy1VTRosIWcDq6Nc99z2qzdc/edit?usp=sharing"",""หนองคาย!I661"")"),316)</f>
        <v>316</v>
      </c>
      <c r="X47" s="152">
        <f ca="1">IFERROR(__xludf.DUMMYFUNCTION("IMPORTRANGE(""https://docs.google.com/spreadsheets/d/13JHU_EFbsQOUQ0JSQ3dWy1VTRosIWcDq6Nc99z2qzdc/edit?usp=sharing"",""หนองคาย!J661"")"),0)</f>
        <v>0</v>
      </c>
      <c r="Y47" s="216">
        <f t="shared" ca="1" si="39"/>
        <v>0</v>
      </c>
      <c r="Z47" s="152">
        <f ca="1">IFERROR(__xludf.DUMMYFUNCTION("IMPORTRANGE(""https://docs.google.com/spreadsheets/d/13JHU_EFbsQOUQ0JSQ3dWy1VTRosIWcDq6Nc99z2qzdc/edit?usp=sharing"",""หนองคาย!J662"")"),0)</f>
        <v>0</v>
      </c>
      <c r="AA47" s="152">
        <f ca="1">IFERROR(__xludf.DUMMYFUNCTION("IMPORTRANGE(""https://docs.google.com/spreadsheets/d/13JHU_EFbsQOUQ0JSQ3dWy1VTRosIWcDq6Nc99z2qzdc/edit?usp=sharing"",""หนองคาย!J663"")"),0)</f>
        <v>0</v>
      </c>
      <c r="AB47" s="152">
        <f ca="1">IFERROR(__xludf.DUMMYFUNCTION("IMPORTRANGE(""https://docs.google.com/spreadsheets/d/13JHU_EFbsQOUQ0JSQ3dWy1VTRosIWcDq6Nc99z2qzdc/edit?usp=sharing"",""หนองคาย!J665"")"),0)</f>
        <v>0</v>
      </c>
      <c r="AC47" s="152">
        <f ca="1">IFERROR(__xludf.DUMMYFUNCTION("IMPORTRANGE(""https://docs.google.com/spreadsheets/d/13JHU_EFbsQOUQ0JSQ3dWy1VTRosIWcDq6Nc99z2qzdc/edit?usp=sharing"",""หนองคาย!J666"")"),0)</f>
        <v>0</v>
      </c>
      <c r="AD47" s="152">
        <f ca="1">IFERROR(__xludf.DUMMYFUNCTION("IMPORTRANGE(""https://docs.google.com/spreadsheets/d/13JHU_EFbsQOUQ0JSQ3dWy1VTRosIWcDq6Nc99z2qzdc/edit?usp=sharing"",""หนองคาย!J667"")"),0)</f>
        <v>0</v>
      </c>
      <c r="AE47" s="152">
        <f ca="1">IFERROR(__xludf.DUMMYFUNCTION("IMPORTRANGE(""https://docs.google.com/spreadsheets/d/13JHU_EFbsQOUQ0JSQ3dWy1VTRosIWcDq6Nc99z2qzdc/edit?usp=sharing"",""หนองคาย!J668"")"),0)</f>
        <v>0</v>
      </c>
      <c r="AF47" s="152">
        <f ca="1">IFERROR(__xludf.DUMMYFUNCTION("IMPORTRANGE(""https://docs.google.com/spreadsheets/d/13JHU_EFbsQOUQ0JSQ3dWy1VTRosIWcDq6Nc99z2qzdc/edit?usp=sharing"",""หนองคาย!J669"")"),0)</f>
        <v>0</v>
      </c>
      <c r="AG47" s="152">
        <f ca="1">IFERROR(__xludf.DUMMYFUNCTION("IMPORTRANGE(""https://docs.google.com/spreadsheets/d/13JHU_EFbsQOUQ0JSQ3dWy1VTRosIWcDq6Nc99z2qzdc/edit?usp=sharing"",""หนองคาย!J670"")"),0)</f>
        <v>0</v>
      </c>
      <c r="AH47" s="152">
        <f ca="1">IFERROR(__xludf.DUMMYFUNCTION("IMPORTRANGE(""https://docs.google.com/spreadsheets/d/13JHU_EFbsQOUQ0JSQ3dWy1VTRosIWcDq6Nc99z2qzdc/edit?usp=sharing"",""หนองคาย!I673"")"),87)</f>
        <v>87</v>
      </c>
      <c r="AI47" s="152">
        <f ca="1">IFERROR(__xludf.DUMMYFUNCTION("IMPORTRANGE(""https://docs.google.com/spreadsheets/d/13JHU_EFbsQOUQ0JSQ3dWy1VTRosIWcDq6Nc99z2qzdc/edit?usp=sharing"",""หนองคาย!J671"")"),5)</f>
        <v>5</v>
      </c>
      <c r="AJ47" s="152">
        <f ca="1">IFERROR(__xludf.DUMMYFUNCTION("IMPORTRANGE(""https://docs.google.com/spreadsheets/d/13JHU_EFbsQOUQ0JSQ3dWy1VTRosIWcDq6Nc99z2qzdc/edit?usp=sharing"",""หนองคาย!J672"")"),5)</f>
        <v>5</v>
      </c>
      <c r="AK47" s="152">
        <f ca="1">IFERROR(__xludf.DUMMYFUNCTION("IMPORTRANGE(""https://docs.google.com/spreadsheets/d/13JHU_EFbsQOUQ0JSQ3dWy1VTRosIWcDq6Nc99z2qzdc/edit?usp=sharing"",""หนองคาย!J673"")"),50.14)</f>
        <v>50.14</v>
      </c>
      <c r="AL47" s="216">
        <f t="shared" ca="1" si="41"/>
        <v>57.632183908045974</v>
      </c>
      <c r="AM47" s="152">
        <f ca="1">IFERROR(__xludf.DUMMYFUNCTION("IMPORTRANGE(""https://docs.google.com/spreadsheets/d/13JHU_EFbsQOUQ0JSQ3dWy1VTRosIWcDq6Nc99z2qzdc/edit?usp=sharing"",""หนองคาย!I674"")"),1)</f>
        <v>1</v>
      </c>
      <c r="AN47" s="152">
        <f ca="1">IFERROR(__xludf.DUMMYFUNCTION("IMPORTRANGE(""https://docs.google.com/spreadsheets/d/13JHU_EFbsQOUQ0JSQ3dWy1VTRosIWcDq6Nc99z2qzdc/edit?usp=sharing"",""หนองคาย!I675"")"),15)</f>
        <v>15</v>
      </c>
      <c r="AO47" s="152">
        <f ca="1">IFERROR(__xludf.DUMMYFUNCTION("IMPORTRANGE(""https://docs.google.com/spreadsheets/d/13JHU_EFbsQOUQ0JSQ3dWy1VTRosIWcDq6Nc99z2qzdc/edit?usp=sharing"",""หนองคาย!J674"")"),3)</f>
        <v>3</v>
      </c>
      <c r="AP47" s="216">
        <f t="shared" ca="1" si="43"/>
        <v>300</v>
      </c>
      <c r="AQ47" s="152">
        <f ca="1">IFERROR(__xludf.DUMMYFUNCTION("IMPORTRANGE(""https://docs.google.com/spreadsheets/d/13JHU_EFbsQOUQ0JSQ3dWy1VTRosIWcDq6Nc99z2qzdc/edit?usp=sharing"",""หนองคาย!J675"")"),31.34)</f>
        <v>31.34</v>
      </c>
      <c r="AR47" s="216">
        <f t="shared" ca="1" si="44"/>
        <v>208.93333333333334</v>
      </c>
      <c r="AS47" s="152">
        <f ca="1">IFERROR(__xludf.DUMMYFUNCTION("IMPORTRANGE(""https://docs.google.com/spreadsheets/d/13JHU_EFbsQOUQ0JSQ3dWy1VTRosIWcDq6Nc99z2qzdc/edit?usp=sharing"",""หนองคาย!I676"")"),1)</f>
        <v>1</v>
      </c>
      <c r="AT47" s="152">
        <f ca="1">IFERROR(__xludf.DUMMYFUNCTION("IMPORTRANGE(""https://docs.google.com/spreadsheets/d/13JHU_EFbsQOUQ0JSQ3dWy1VTRosIWcDq6Nc99z2qzdc/edit?usp=sharing"",""หนองคาย!I678"")"),15)</f>
        <v>15</v>
      </c>
      <c r="AU47" s="152">
        <f ca="1">IFERROR(__xludf.DUMMYFUNCTION("IMPORTRANGE(""https://docs.google.com/spreadsheets/d/13JHU_EFbsQOUQ0JSQ3dWy1VTRosIWcDq6Nc99z2qzdc/edit?usp=sharing"",""หนองคาย!J676"")"),3)</f>
        <v>3</v>
      </c>
      <c r="AV47" s="152">
        <f ca="1">IFERROR(__xludf.DUMMYFUNCTION("IMPORTRANGE(""https://docs.google.com/spreadsheets/d/13JHU_EFbsQOUQ0JSQ3dWy1VTRosIWcDq6Nc99z2qzdc/edit?usp=sharing"",""หนองคาย!J677"")"),3)</f>
        <v>3</v>
      </c>
      <c r="AW47" s="152">
        <f ca="1">IFERROR(__xludf.DUMMYFUNCTION("IMPORTRANGE(""https://docs.google.com/spreadsheets/d/13JHU_EFbsQOUQ0JSQ3dWy1VTRosIWcDq6Nc99z2qzdc/edit?usp=sharing"",""หนองคาย!J678"")"),31.34)</f>
        <v>31.34</v>
      </c>
      <c r="AX47" s="152">
        <f ca="1">IFERROR(__xludf.DUMMYFUNCTION("IMPORTRANGE(""https://docs.google.com/spreadsheets/d/13JHU_EFbsQOUQ0JSQ3dWy1VTRosIWcDq6Nc99z2qzdc/edit?usp=sharing"",""หนองคาย!I679"")"),0)</f>
        <v>0</v>
      </c>
      <c r="AY47" s="152">
        <f ca="1">IFERROR(__xludf.DUMMYFUNCTION("IMPORTRANGE(""https://docs.google.com/spreadsheets/d/13JHU_EFbsQOUQ0JSQ3dWy1VTRosIWcDq6Nc99z2qzdc/edit?usp=sharing"",""หนองคาย!I681"")"),0)</f>
        <v>0</v>
      </c>
      <c r="AZ47" s="152">
        <f ca="1">IFERROR(__xludf.DUMMYFUNCTION("IMPORTRANGE(""https://docs.google.com/spreadsheets/d/13JHU_EFbsQOUQ0JSQ3dWy1VTRosIWcDq6Nc99z2qzdc/edit?usp=sharing"",""หนองคาย!J679"")"),0)</f>
        <v>0</v>
      </c>
      <c r="BA47" s="152">
        <f ca="1">IFERROR(__xludf.DUMMYFUNCTION("IMPORTRANGE(""https://docs.google.com/spreadsheets/d/13JHU_EFbsQOUQ0JSQ3dWy1VTRosIWcDq6Nc99z2qzdc/edit?usp=sharing"",""หนองคาย!J680"")"),0)</f>
        <v>0</v>
      </c>
      <c r="BB47" s="152">
        <f ca="1">IFERROR(__xludf.DUMMYFUNCTION("IMPORTRANGE(""https://docs.google.com/spreadsheets/d/13JHU_EFbsQOUQ0JSQ3dWy1VTRosIWcDq6Nc99z2qzdc/edit?usp=sharing"",""หนองคาย!J681"")"),0)</f>
        <v>0</v>
      </c>
      <c r="BC47" s="152">
        <f ca="1">IFERROR(__xludf.DUMMYFUNCTION("IMPORTRANGE(""https://docs.google.com/spreadsheets/d/13JHU_EFbsQOUQ0JSQ3dWy1VTRosIWcDq6Nc99z2qzdc/edit?usp=sharing"",""หนองคาย!I682"")"),0)</f>
        <v>0</v>
      </c>
      <c r="BD47" s="152">
        <f ca="1">IFERROR(__xludf.DUMMYFUNCTION("IMPORTRANGE(""https://docs.google.com/spreadsheets/d/13JHU_EFbsQOUQ0JSQ3dWy1VTRosIWcDq6Nc99z2qzdc/edit?usp=sharing"",""หนองคาย!J682"")"),0)</f>
        <v>0</v>
      </c>
      <c r="BE47" s="216">
        <f t="shared" ca="1" si="46"/>
        <v>0</v>
      </c>
      <c r="BF47" s="152">
        <f ca="1">IFERROR(__xludf.DUMMYFUNCTION("IMPORTRANGE(""https://docs.google.com/spreadsheets/d/13JHU_EFbsQOUQ0JSQ3dWy1VTRosIWcDq6Nc99z2qzdc/edit?usp=sharing"",""หนองคาย!J683"")"),0)</f>
        <v>0</v>
      </c>
      <c r="BG47" s="152">
        <f ca="1">IFERROR(__xludf.DUMMYFUNCTION("IMPORTRANGE(""https://docs.google.com/spreadsheets/d/13JHU_EFbsQOUQ0JSQ3dWy1VTRosIWcDq6Nc99z2qzdc/edit?usp=sharing"",""หนองคาย!J684"")"),0)</f>
        <v>0</v>
      </c>
      <c r="BH47" s="152">
        <f ca="1">IFERROR(__xludf.DUMMYFUNCTION("IMPORTRANGE(""https://docs.google.com/spreadsheets/d/13JHU_EFbsQOUQ0JSQ3dWy1VTRosIWcDq6Nc99z2qzdc/edit?usp=sharing"",""หนองคาย!J685"")"),0)</f>
        <v>0</v>
      </c>
      <c r="BI47" s="152">
        <f ca="1">IFERROR(__xludf.DUMMYFUNCTION("IMPORTRANGE(""https://docs.google.com/spreadsheets/d/13JHU_EFbsQOUQ0JSQ3dWy1VTRosIWcDq6Nc99z2qzdc/edit?usp=sharing"",""หนองคาย!J686"")"),0)</f>
        <v>0</v>
      </c>
      <c r="BJ47" s="152">
        <f ca="1">IFERROR(__xludf.DUMMYFUNCTION("IMPORTRANGE(""https://docs.google.com/spreadsheets/d/13JHU_EFbsQOUQ0JSQ3dWy1VTRosIWcDq6Nc99z2qzdc/edit?usp=sharing"",""หนองคาย!J687"")"),0)</f>
        <v>0</v>
      </c>
      <c r="BK47" s="152">
        <f ca="1">IFERROR(__xludf.DUMMYFUNCTION("IMPORTRANGE(""https://docs.google.com/spreadsheets/d/13JHU_EFbsQOUQ0JSQ3dWy1VTRosIWcDq6Nc99z2qzdc/edit?usp=sharing"",""หนองคาย!J688"")"),0)</f>
        <v>0</v>
      </c>
    </row>
    <row r="48" spans="1:63" ht="19.5" x14ac:dyDescent="0.3">
      <c r="A48" s="70">
        <v>17</v>
      </c>
      <c r="B48" s="71" t="s">
        <v>76</v>
      </c>
      <c r="C48" s="68">
        <f ca="1">IFERROR(__xludf.DUMMYFUNCTION("IMPORTRANGE(""https://docs.google.com/spreadsheets/d/1Hx73zIEgVdDZZaYSTc46Dqv64atFhpr3GelxLbaIN8A/edit?usp=sharing"",""หนองบัวลำภู!Q642"")"),0)</f>
        <v>0</v>
      </c>
      <c r="D48" s="68">
        <f ca="1">IFERROR(__xludf.DUMMYFUNCTION("IMPORTRANGE(""https://docs.google.com/spreadsheets/d/1Hx73zIEgVdDZZaYSTc46Dqv64atFhpr3GelxLbaIN8A/edit?usp=sharing"",""หนองบัวลำภู!R642"")"),0)</f>
        <v>0</v>
      </c>
      <c r="E48" s="68">
        <f ca="1">IFERROR(__xludf.DUMMYFUNCTION("IMPORTRANGE(""https://docs.google.com/spreadsheets/d/1Hx73zIEgVdDZZaYSTc46Dqv64atFhpr3GelxLbaIN8A/edit?usp=sharing"",""หนองบัวลำภู!S642"")"),0)</f>
        <v>0</v>
      </c>
      <c r="F48" s="68">
        <f t="shared" ca="1" si="30"/>
        <v>0</v>
      </c>
      <c r="G48" s="68">
        <f t="shared" ca="1" si="31"/>
        <v>0</v>
      </c>
      <c r="H48" s="278">
        <f ca="1">IFERROR(__xludf.DUMMYFUNCTION("IMPORTRANGE(""https://docs.google.com/spreadsheets/d/1Hx73zIEgVdDZZaYSTc46Dqv64atFhpr3GelxLbaIN8A/edit?usp=sharing"",""หนองบัวลำภู!I652"")"),0)</f>
        <v>0</v>
      </c>
      <c r="I48" s="152">
        <f ca="1">IFERROR(__xludf.DUMMYFUNCTION("IMPORTRANGE(""https://docs.google.com/spreadsheets/d/1Hx73zIEgVdDZZaYSTc46Dqv64atFhpr3GelxLbaIN8A/edit?usp=sharing"",""หนองบัวลำภู!J652"")"),0)</f>
        <v>0</v>
      </c>
      <c r="J48" s="216">
        <f t="shared" ca="1" si="33"/>
        <v>0</v>
      </c>
      <c r="K48" s="152">
        <f ca="1">IFERROR(__xludf.DUMMYFUNCTION("IMPORTRANGE(""https://docs.google.com/spreadsheets/d/1Hx73zIEgVdDZZaYSTc46Dqv64atFhpr3GelxLbaIN8A/edit?usp=sharing"",""หนองบัวลำภู!I653"")"),0)</f>
        <v>0</v>
      </c>
      <c r="L48" s="152">
        <f ca="1">IFERROR(__xludf.DUMMYFUNCTION("IMPORTRANGE(""https://docs.google.com/spreadsheets/d/1Hx73zIEgVdDZZaYSTc46Dqv64atFhpr3GelxLbaIN8A/edit?usp=sharing"",""หนองบัวลำภู!J653"")"),0)</f>
        <v>0</v>
      </c>
      <c r="M48" s="216">
        <f t="shared" ca="1" si="35"/>
        <v>0</v>
      </c>
      <c r="N48" s="152">
        <f ca="1">IFERROR(__xludf.DUMMYFUNCTION("IMPORTRANGE(""https://docs.google.com/spreadsheets/d/1Hx73zIEgVdDZZaYSTc46Dqv64atFhpr3GelxLbaIN8A/edit?usp=sharing"",""หนองบัวลำภู!I654"")"),0)</f>
        <v>0</v>
      </c>
      <c r="O48" s="152">
        <f ca="1">IFERROR(__xludf.DUMMYFUNCTION("IMPORTRANGE(""https://docs.google.com/spreadsheets/d/1Hx73zIEgVdDZZaYSTc46Dqv64atFhpr3GelxLbaIN8A/edit?usp=sharing"",""หนองบัวลำภู!J654"")"),0)</f>
        <v>0</v>
      </c>
      <c r="P48" s="216">
        <f t="shared" ca="1" si="37"/>
        <v>0</v>
      </c>
      <c r="Q48" s="216">
        <f ca="1">IFERROR(__xludf.DUMMYFUNCTION("IMPORTRANGE(""https://docs.google.com/spreadsheets/d/1Hx73zIEgVdDZZaYSTc46Dqv64atFhpr3GelxLbaIN8A/edit?usp=sharing"",""หนองบัวลำภู!J655"")"),0)</f>
        <v>0</v>
      </c>
      <c r="R48" s="216">
        <f ca="1">IFERROR(__xludf.DUMMYFUNCTION("IMPORTRANGE(""https://docs.google.com/spreadsheets/d/1Hx73zIEgVdDZZaYSTc46Dqv64atFhpr3GelxLbaIN8A/edit?usp=sharing"",""หนองบัวลำภู!J656"")"),0)</f>
        <v>0</v>
      </c>
      <c r="S48" s="216">
        <f ca="1">IFERROR(__xludf.DUMMYFUNCTION("IMPORTRANGE(""https://docs.google.com/spreadsheets/d/1Hx73zIEgVdDZZaYSTc46Dqv64atFhpr3GelxLbaIN8A/edit?usp=sharing"",""หนองบัวลำภู!J657"")"),0)</f>
        <v>0</v>
      </c>
      <c r="T48" s="216">
        <f ca="1">IFERROR(__xludf.DUMMYFUNCTION("IMPORTRANGE(""https://docs.google.com/spreadsheets/d/1Hx73zIEgVdDZZaYSTc46Dqv64atFhpr3GelxLbaIN8A/edit?usp=sharing"",""หนองบัวลำภู!J658"")"),0)</f>
        <v>0</v>
      </c>
      <c r="U48" s="216">
        <f ca="1">IFERROR(__xludf.DUMMYFUNCTION("IMPORTRANGE(""https://docs.google.com/spreadsheets/d/1Hx73zIEgVdDZZaYSTc46Dqv64atFhpr3GelxLbaIN8A/edit?usp=sharing"",""หนองบัวลำภู!J659"")"),0)</f>
        <v>0</v>
      </c>
      <c r="V48" s="216">
        <f ca="1">IFERROR(__xludf.DUMMYFUNCTION("IMPORTRANGE(""https://docs.google.com/spreadsheets/d/1Hx73zIEgVdDZZaYSTc46Dqv64atFhpr3GelxLbaIN8A/edit?usp=sharing"",""หนองบัวลำภู!J660"")"),0)</f>
        <v>0</v>
      </c>
      <c r="W48" s="152">
        <f ca="1">IFERROR(__xludf.DUMMYFUNCTION("IMPORTRANGE(""https://docs.google.com/spreadsheets/d/1Hx73zIEgVdDZZaYSTc46Dqv64atFhpr3GelxLbaIN8A/edit?usp=sharing"",""หนองบัวลำภู!I661"")"),0)</f>
        <v>0</v>
      </c>
      <c r="X48" s="152">
        <f ca="1">IFERROR(__xludf.DUMMYFUNCTION("IMPORTRANGE(""https://docs.google.com/spreadsheets/d/1Hx73zIEgVdDZZaYSTc46Dqv64atFhpr3GelxLbaIN8A/edit?usp=sharing"",""หนองบัวลำภู!J661"")"),0)</f>
        <v>0</v>
      </c>
      <c r="Y48" s="216">
        <f t="shared" ca="1" si="39"/>
        <v>0</v>
      </c>
      <c r="Z48" s="152">
        <f ca="1">IFERROR(__xludf.DUMMYFUNCTION("IMPORTRANGE(""https://docs.google.com/spreadsheets/d/1Hx73zIEgVdDZZaYSTc46Dqv64atFhpr3GelxLbaIN8A/edit?usp=sharing"",""หนองบัวลำภู!J662"")"),0)</f>
        <v>0</v>
      </c>
      <c r="AA48" s="152">
        <f ca="1">IFERROR(__xludf.DUMMYFUNCTION("IMPORTRANGE(""https://docs.google.com/spreadsheets/d/1Hx73zIEgVdDZZaYSTc46Dqv64atFhpr3GelxLbaIN8A/edit?usp=sharing"",""หนองบัวลำภู!J663"")"),0)</f>
        <v>0</v>
      </c>
      <c r="AB48" s="152">
        <f ca="1">IFERROR(__xludf.DUMMYFUNCTION("IMPORTRANGE(""https://docs.google.com/spreadsheets/d/1Hx73zIEgVdDZZaYSTc46Dqv64atFhpr3GelxLbaIN8A/edit?usp=sharing"",""หนองบัวลำภู!J665"")"),0)</f>
        <v>0</v>
      </c>
      <c r="AC48" s="152">
        <f ca="1">IFERROR(__xludf.DUMMYFUNCTION("IMPORTRANGE(""https://docs.google.com/spreadsheets/d/1Hx73zIEgVdDZZaYSTc46Dqv64atFhpr3GelxLbaIN8A/edit?usp=sharing"",""หนองบัวลำภู!J666"")"),0)</f>
        <v>0</v>
      </c>
      <c r="AD48" s="152">
        <f ca="1">IFERROR(__xludf.DUMMYFUNCTION("IMPORTRANGE(""https://docs.google.com/spreadsheets/d/1Hx73zIEgVdDZZaYSTc46Dqv64atFhpr3GelxLbaIN8A/edit?usp=sharing"",""หนองบัวลำภู!J667"")"),0)</f>
        <v>0</v>
      </c>
      <c r="AE48" s="152">
        <f ca="1">IFERROR(__xludf.DUMMYFUNCTION("IMPORTRANGE(""https://docs.google.com/spreadsheets/d/1Hx73zIEgVdDZZaYSTc46Dqv64atFhpr3GelxLbaIN8A/edit?usp=sharing"",""หนองบัวลำภู!J668"")"),0)</f>
        <v>0</v>
      </c>
      <c r="AF48" s="152">
        <f ca="1">IFERROR(__xludf.DUMMYFUNCTION("IMPORTRANGE(""https://docs.google.com/spreadsheets/d/1Hx73zIEgVdDZZaYSTc46Dqv64atFhpr3GelxLbaIN8A/edit?usp=sharing"",""หนองบัวลำภู!J669"")"),0)</f>
        <v>0</v>
      </c>
      <c r="AG48" s="152">
        <f ca="1">IFERROR(__xludf.DUMMYFUNCTION("IMPORTRANGE(""https://docs.google.com/spreadsheets/d/1Hx73zIEgVdDZZaYSTc46Dqv64atFhpr3GelxLbaIN8A/edit?usp=sharing"",""หนองบัวลำภู!J670"")"),0)</f>
        <v>0</v>
      </c>
      <c r="AH48" s="152">
        <f ca="1">IFERROR(__xludf.DUMMYFUNCTION("IMPORTRANGE(""https://docs.google.com/spreadsheets/d/1Hx73zIEgVdDZZaYSTc46Dqv64atFhpr3GelxLbaIN8A/edit?usp=sharing"",""หนองบัวลำภู!I673"")"),0)</f>
        <v>0</v>
      </c>
      <c r="AI48" s="152">
        <f ca="1">IFERROR(__xludf.DUMMYFUNCTION("IMPORTRANGE(""https://docs.google.com/spreadsheets/d/1Hx73zIEgVdDZZaYSTc46Dqv64atFhpr3GelxLbaIN8A/edit?usp=sharing"",""หนองบัวลำภู!J671"")"),0)</f>
        <v>0</v>
      </c>
      <c r="AJ48" s="152">
        <f ca="1">IFERROR(__xludf.DUMMYFUNCTION("IMPORTRANGE(""https://docs.google.com/spreadsheets/d/1Hx73zIEgVdDZZaYSTc46Dqv64atFhpr3GelxLbaIN8A/edit?usp=sharing"",""หนองบัวลำภู!J672"")"),0)</f>
        <v>0</v>
      </c>
      <c r="AK48" s="152">
        <f ca="1">IFERROR(__xludf.DUMMYFUNCTION("IMPORTRANGE(""https://docs.google.com/spreadsheets/d/1Hx73zIEgVdDZZaYSTc46Dqv64atFhpr3GelxLbaIN8A/edit?usp=sharing"",""หนองบัวลำภู!J673"")"),0)</f>
        <v>0</v>
      </c>
      <c r="AL48" s="216">
        <f t="shared" ca="1" si="41"/>
        <v>0</v>
      </c>
      <c r="AM48" s="152">
        <f ca="1">IFERROR(__xludf.DUMMYFUNCTION("IMPORTRANGE(""https://docs.google.com/spreadsheets/d/1Hx73zIEgVdDZZaYSTc46Dqv64atFhpr3GelxLbaIN8A/edit?usp=sharing"",""หนองบัวลำภู!I674"")"),0)</f>
        <v>0</v>
      </c>
      <c r="AN48" s="152">
        <f ca="1">IFERROR(__xludf.DUMMYFUNCTION("IMPORTRANGE(""https://docs.google.com/spreadsheets/d/1Hx73zIEgVdDZZaYSTc46Dqv64atFhpr3GelxLbaIN8A/edit?usp=sharing"",""หนองบัวลำภู!I675"")"),0)</f>
        <v>0</v>
      </c>
      <c r="AO48" s="152">
        <f ca="1">IFERROR(__xludf.DUMMYFUNCTION("IMPORTRANGE(""https://docs.google.com/spreadsheets/d/1Hx73zIEgVdDZZaYSTc46Dqv64atFhpr3GelxLbaIN8A/edit?usp=sharing"",""หนองบัวลำภู!J674"")"),0)</f>
        <v>0</v>
      </c>
      <c r="AP48" s="216">
        <f t="shared" ca="1" si="43"/>
        <v>0</v>
      </c>
      <c r="AQ48" s="152">
        <f ca="1">IFERROR(__xludf.DUMMYFUNCTION("IMPORTRANGE(""https://docs.google.com/spreadsheets/d/1Hx73zIEgVdDZZaYSTc46Dqv64atFhpr3GelxLbaIN8A/edit?usp=sharing"",""หนองบัวลำภู!J675"")"),0)</f>
        <v>0</v>
      </c>
      <c r="AR48" s="216">
        <f t="shared" ca="1" si="44"/>
        <v>0</v>
      </c>
      <c r="AS48" s="152">
        <f ca="1">IFERROR(__xludf.DUMMYFUNCTION("IMPORTRANGE(""https://docs.google.com/spreadsheets/d/1Hx73zIEgVdDZZaYSTc46Dqv64atFhpr3GelxLbaIN8A/edit?usp=sharing"",""หนองบัวลำภู!I676"")"),0)</f>
        <v>0</v>
      </c>
      <c r="AT48" s="152">
        <f ca="1">IFERROR(__xludf.DUMMYFUNCTION("IMPORTRANGE(""https://docs.google.com/spreadsheets/d/1Hx73zIEgVdDZZaYSTc46Dqv64atFhpr3GelxLbaIN8A/edit?usp=sharing"",""หนองบัวลำภู!I678"")"),0)</f>
        <v>0</v>
      </c>
      <c r="AU48" s="152">
        <f ca="1">IFERROR(__xludf.DUMMYFUNCTION("IMPORTRANGE(""https://docs.google.com/spreadsheets/d/1Hx73zIEgVdDZZaYSTc46Dqv64atFhpr3GelxLbaIN8A/edit?usp=sharing"",""หนองบัวลำภู!J676"")"),0)</f>
        <v>0</v>
      </c>
      <c r="AV48" s="152">
        <f ca="1">IFERROR(__xludf.DUMMYFUNCTION("IMPORTRANGE(""https://docs.google.com/spreadsheets/d/1Hx73zIEgVdDZZaYSTc46Dqv64atFhpr3GelxLbaIN8A/edit?usp=sharing"",""หนองบัวลำภู!J677"")"),0)</f>
        <v>0</v>
      </c>
      <c r="AW48" s="152">
        <f ca="1">IFERROR(__xludf.DUMMYFUNCTION("IMPORTRANGE(""https://docs.google.com/spreadsheets/d/1Hx73zIEgVdDZZaYSTc46Dqv64atFhpr3GelxLbaIN8A/edit?usp=sharing"",""หนองบัวลำภู!J678"")"),0)</f>
        <v>0</v>
      </c>
      <c r="AX48" s="152">
        <f ca="1">IFERROR(__xludf.DUMMYFUNCTION("IMPORTRANGE(""https://docs.google.com/spreadsheets/d/1Hx73zIEgVdDZZaYSTc46Dqv64atFhpr3GelxLbaIN8A/edit?usp=sharing"",""หนองบัวลำภู!I679"")"),0)</f>
        <v>0</v>
      </c>
      <c r="AY48" s="152">
        <f ca="1">IFERROR(__xludf.DUMMYFUNCTION("IMPORTRANGE(""https://docs.google.com/spreadsheets/d/1Hx73zIEgVdDZZaYSTc46Dqv64atFhpr3GelxLbaIN8A/edit?usp=sharing"",""หนองบัวลำภู!I681"")"),0)</f>
        <v>0</v>
      </c>
      <c r="AZ48" s="152">
        <f ca="1">IFERROR(__xludf.DUMMYFUNCTION("IMPORTRANGE(""https://docs.google.com/spreadsheets/d/1Hx73zIEgVdDZZaYSTc46Dqv64atFhpr3GelxLbaIN8A/edit?usp=sharing"",""หนองบัวลำภู!J679"")"),0)</f>
        <v>0</v>
      </c>
      <c r="BA48" s="152">
        <f ca="1">IFERROR(__xludf.DUMMYFUNCTION("IMPORTRANGE(""https://docs.google.com/spreadsheets/d/1Hx73zIEgVdDZZaYSTc46Dqv64atFhpr3GelxLbaIN8A/edit?usp=sharing"",""หนองบัวลำภู!J680"")"),0)</f>
        <v>0</v>
      </c>
      <c r="BB48" s="152">
        <f ca="1">IFERROR(__xludf.DUMMYFUNCTION("IMPORTRANGE(""https://docs.google.com/spreadsheets/d/1Hx73zIEgVdDZZaYSTc46Dqv64atFhpr3GelxLbaIN8A/edit?usp=sharing"",""หนองบัวลำภู!J681"")"),0)</f>
        <v>0</v>
      </c>
      <c r="BC48" s="152">
        <f ca="1">IFERROR(__xludf.DUMMYFUNCTION("IMPORTRANGE(""https://docs.google.com/spreadsheets/d/1Hx73zIEgVdDZZaYSTc46Dqv64atFhpr3GelxLbaIN8A/edit?usp=sharing"",""หนองบัวลำภู!I682"")"),0)</f>
        <v>0</v>
      </c>
      <c r="BD48" s="152">
        <f ca="1">IFERROR(__xludf.DUMMYFUNCTION("IMPORTRANGE(""https://docs.google.com/spreadsheets/d/1Hx73zIEgVdDZZaYSTc46Dqv64atFhpr3GelxLbaIN8A/edit?usp=sharing"",""หนองบัวลำภู!J682"")"),0)</f>
        <v>0</v>
      </c>
      <c r="BE48" s="216">
        <f t="shared" ca="1" si="46"/>
        <v>0</v>
      </c>
      <c r="BF48" s="152">
        <f ca="1">IFERROR(__xludf.DUMMYFUNCTION("IMPORTRANGE(""https://docs.google.com/spreadsheets/d/1Hx73zIEgVdDZZaYSTc46Dqv64atFhpr3GelxLbaIN8A/edit?usp=sharing"",""หนองบัวลำภู!J683"")"),0)</f>
        <v>0</v>
      </c>
      <c r="BG48" s="152">
        <f ca="1">IFERROR(__xludf.DUMMYFUNCTION("IMPORTRANGE(""https://docs.google.com/spreadsheets/d/1Hx73zIEgVdDZZaYSTc46Dqv64atFhpr3GelxLbaIN8A/edit?usp=sharing"",""หนองบัวลำภู!J684"")"),0)</f>
        <v>0</v>
      </c>
      <c r="BH48" s="152">
        <f ca="1">IFERROR(__xludf.DUMMYFUNCTION("IMPORTRANGE(""https://docs.google.com/spreadsheets/d/1Hx73zIEgVdDZZaYSTc46Dqv64atFhpr3GelxLbaIN8A/edit?usp=sharing"",""หนองบัวลำภู!J685"")"),0)</f>
        <v>0</v>
      </c>
      <c r="BI48" s="152">
        <f ca="1">IFERROR(__xludf.DUMMYFUNCTION("IMPORTRANGE(""https://docs.google.com/spreadsheets/d/1Hx73zIEgVdDZZaYSTc46Dqv64atFhpr3GelxLbaIN8A/edit?usp=sharing"",""หนองบัวลำภู!J686"")"),0)</f>
        <v>0</v>
      </c>
      <c r="BJ48" s="152">
        <f ca="1">IFERROR(__xludf.DUMMYFUNCTION("IMPORTRANGE(""https://docs.google.com/spreadsheets/d/1Hx73zIEgVdDZZaYSTc46Dqv64atFhpr3GelxLbaIN8A/edit?usp=sharing"",""หนองบัวลำภู!J687"")"),0)</f>
        <v>0</v>
      </c>
      <c r="BK48" s="152">
        <f ca="1">IFERROR(__xludf.DUMMYFUNCTION("IMPORTRANGE(""https://docs.google.com/spreadsheets/d/1Hx73zIEgVdDZZaYSTc46Dqv64atFhpr3GelxLbaIN8A/edit?usp=sharing"",""หนองบัวลำภู!J688"")"),0)</f>
        <v>0</v>
      </c>
    </row>
    <row r="49" spans="1:63" ht="19.5" x14ac:dyDescent="0.3">
      <c r="A49" s="70">
        <v>18</v>
      </c>
      <c r="B49" s="71" t="s">
        <v>77</v>
      </c>
      <c r="C49" s="68">
        <f ca="1">IFERROR(__xludf.DUMMYFUNCTION("IMPORTRANGE(""https://docs.google.com/spreadsheets/d/1lFxr3ctmjFN90yc-xV6jrQ9Ty8BKYVBWnAZ15wcNIJc/edit?usp=sharing"",""อำนาจเจริญ!Q642"")"),0)</f>
        <v>0</v>
      </c>
      <c r="D49" s="68">
        <f ca="1">IFERROR(__xludf.DUMMYFUNCTION("IMPORTRANGE(""https://docs.google.com/spreadsheets/d/1lFxr3ctmjFN90yc-xV6jrQ9Ty8BKYVBWnAZ15wcNIJc/edit?usp=sharing"",""อำนาจเจริญ!R642"")"),0)</f>
        <v>0</v>
      </c>
      <c r="E49" s="68">
        <f ca="1">IFERROR(__xludf.DUMMYFUNCTION("IMPORTRANGE(""https://docs.google.com/spreadsheets/d/1lFxr3ctmjFN90yc-xV6jrQ9Ty8BKYVBWnAZ15wcNIJc/edit?usp=sharing"",""อำนาจเจริญ!S642"")"),0)</f>
        <v>0</v>
      </c>
      <c r="F49" s="68">
        <f t="shared" ca="1" si="30"/>
        <v>0</v>
      </c>
      <c r="G49" s="68">
        <f t="shared" ca="1" si="31"/>
        <v>0</v>
      </c>
      <c r="H49" s="278">
        <f ca="1">IFERROR(__xludf.DUMMYFUNCTION("IMPORTRANGE(""https://docs.google.com/spreadsheets/d/1lFxr3ctmjFN90yc-xV6jrQ9Ty8BKYVBWnAZ15wcNIJc/edit?usp=sharing"",""อำนาจเจริญ!I652"")"),0)</f>
        <v>0</v>
      </c>
      <c r="I49" s="152">
        <f ca="1">IFERROR(__xludf.DUMMYFUNCTION("IMPORTRANGE(""https://docs.google.com/spreadsheets/d/1lFxr3ctmjFN90yc-xV6jrQ9Ty8BKYVBWnAZ15wcNIJc/edit?usp=sharing"",""อำนาจเจริญ!J652"")"),0)</f>
        <v>0</v>
      </c>
      <c r="J49" s="216">
        <f t="shared" ca="1" si="33"/>
        <v>0</v>
      </c>
      <c r="K49" s="152">
        <f ca="1">IFERROR(__xludf.DUMMYFUNCTION("IMPORTRANGE(""https://docs.google.com/spreadsheets/d/1lFxr3ctmjFN90yc-xV6jrQ9Ty8BKYVBWnAZ15wcNIJc/edit?usp=sharing"",""อำนาจเจริญ!I653"")"),0)</f>
        <v>0</v>
      </c>
      <c r="L49" s="152">
        <f ca="1">IFERROR(__xludf.DUMMYFUNCTION("IMPORTRANGE(""https://docs.google.com/spreadsheets/d/1lFxr3ctmjFN90yc-xV6jrQ9Ty8BKYVBWnAZ15wcNIJc/edit?usp=sharing"",""อำนาจเจริญ!J653"")"),0)</f>
        <v>0</v>
      </c>
      <c r="M49" s="216">
        <f t="shared" ca="1" si="35"/>
        <v>0</v>
      </c>
      <c r="N49" s="152">
        <f ca="1">IFERROR(__xludf.DUMMYFUNCTION("IMPORTRANGE(""https://docs.google.com/spreadsheets/d/1lFxr3ctmjFN90yc-xV6jrQ9Ty8BKYVBWnAZ15wcNIJc/edit?usp=sharing"",""อำนาจเจริญ!I654"")"),0)</f>
        <v>0</v>
      </c>
      <c r="O49" s="152">
        <f ca="1">IFERROR(__xludf.DUMMYFUNCTION("IMPORTRANGE(""https://docs.google.com/spreadsheets/d/1lFxr3ctmjFN90yc-xV6jrQ9Ty8BKYVBWnAZ15wcNIJc/edit?usp=sharing"",""อำนาจเจริญ!J654"")"),0)</f>
        <v>0</v>
      </c>
      <c r="P49" s="216">
        <f t="shared" ca="1" si="37"/>
        <v>0</v>
      </c>
      <c r="Q49" s="216">
        <f ca="1">IFERROR(__xludf.DUMMYFUNCTION("IMPORTRANGE(""https://docs.google.com/spreadsheets/d/1lFxr3ctmjFN90yc-xV6jrQ9Ty8BKYVBWnAZ15wcNIJc/edit?usp=sharing"",""อำนาจเจริญ!J655"")"),0)</f>
        <v>0</v>
      </c>
      <c r="R49" s="216">
        <f ca="1">IFERROR(__xludf.DUMMYFUNCTION("IMPORTRANGE(""https://docs.google.com/spreadsheets/d/1lFxr3ctmjFN90yc-xV6jrQ9Ty8BKYVBWnAZ15wcNIJc/edit?usp=sharing"",""อำนาจเจริญ!J656"")"),0)</f>
        <v>0</v>
      </c>
      <c r="S49" s="216">
        <f ca="1">IFERROR(__xludf.DUMMYFUNCTION("IMPORTRANGE(""https://docs.google.com/spreadsheets/d/1lFxr3ctmjFN90yc-xV6jrQ9Ty8BKYVBWnAZ15wcNIJc/edit?usp=sharing"",""อำนาจเจริญ!J657"")"),0)</f>
        <v>0</v>
      </c>
      <c r="T49" s="216">
        <f ca="1">IFERROR(__xludf.DUMMYFUNCTION("IMPORTRANGE(""https://docs.google.com/spreadsheets/d/1lFxr3ctmjFN90yc-xV6jrQ9Ty8BKYVBWnAZ15wcNIJc/edit?usp=sharing"",""อำนาจเจริญ!J658"")"),0)</f>
        <v>0</v>
      </c>
      <c r="U49" s="216">
        <f ca="1">IFERROR(__xludf.DUMMYFUNCTION("IMPORTRANGE(""https://docs.google.com/spreadsheets/d/1lFxr3ctmjFN90yc-xV6jrQ9Ty8BKYVBWnAZ15wcNIJc/edit?usp=sharing"",""อำนาจเจริญ!J659"")"),0)</f>
        <v>0</v>
      </c>
      <c r="V49" s="216">
        <f ca="1">IFERROR(__xludf.DUMMYFUNCTION("IMPORTRANGE(""https://docs.google.com/spreadsheets/d/1lFxr3ctmjFN90yc-xV6jrQ9Ty8BKYVBWnAZ15wcNIJc/edit?usp=sharing"",""อำนาจเจริญ!J660"")"),0)</f>
        <v>0</v>
      </c>
      <c r="W49" s="152">
        <f ca="1">IFERROR(__xludf.DUMMYFUNCTION("IMPORTRANGE(""https://docs.google.com/spreadsheets/d/1lFxr3ctmjFN90yc-xV6jrQ9Ty8BKYVBWnAZ15wcNIJc/edit?usp=sharing"",""อำนาจเจริญ!I661"")"),0)</f>
        <v>0</v>
      </c>
      <c r="X49" s="152">
        <f ca="1">IFERROR(__xludf.DUMMYFUNCTION("IMPORTRANGE(""https://docs.google.com/spreadsheets/d/1lFxr3ctmjFN90yc-xV6jrQ9Ty8BKYVBWnAZ15wcNIJc/edit?usp=sharing"",""อำนาจเจริญ!J661"")"),0)</f>
        <v>0</v>
      </c>
      <c r="Y49" s="216">
        <f t="shared" ca="1" si="39"/>
        <v>0</v>
      </c>
      <c r="Z49" s="152">
        <f ca="1">IFERROR(__xludf.DUMMYFUNCTION("IMPORTRANGE(""https://docs.google.com/spreadsheets/d/1lFxr3ctmjFN90yc-xV6jrQ9Ty8BKYVBWnAZ15wcNIJc/edit?usp=sharing"",""อำนาจเจริญ!J662"")"),0)</f>
        <v>0</v>
      </c>
      <c r="AA49" s="152">
        <f ca="1">IFERROR(__xludf.DUMMYFUNCTION("IMPORTRANGE(""https://docs.google.com/spreadsheets/d/1lFxr3ctmjFN90yc-xV6jrQ9Ty8BKYVBWnAZ15wcNIJc/edit?usp=sharing"",""อำนาจเจริญ!J663"")"),0)</f>
        <v>0</v>
      </c>
      <c r="AB49" s="152">
        <f ca="1">IFERROR(__xludf.DUMMYFUNCTION("IMPORTRANGE(""https://docs.google.com/spreadsheets/d/1lFxr3ctmjFN90yc-xV6jrQ9Ty8BKYVBWnAZ15wcNIJc/edit?usp=sharing"",""อำนาจเจริญ!J665"")"),0)</f>
        <v>0</v>
      </c>
      <c r="AC49" s="152">
        <f ca="1">IFERROR(__xludf.DUMMYFUNCTION("IMPORTRANGE(""https://docs.google.com/spreadsheets/d/1lFxr3ctmjFN90yc-xV6jrQ9Ty8BKYVBWnAZ15wcNIJc/edit?usp=sharing"",""อำนาจเจริญ!J666"")"),0)</f>
        <v>0</v>
      </c>
      <c r="AD49" s="152">
        <f ca="1">IFERROR(__xludf.DUMMYFUNCTION("IMPORTRANGE(""https://docs.google.com/spreadsheets/d/1lFxr3ctmjFN90yc-xV6jrQ9Ty8BKYVBWnAZ15wcNIJc/edit?usp=sharing"",""อำนาจเจริญ!J667"")"),0)</f>
        <v>0</v>
      </c>
      <c r="AE49" s="152">
        <f ca="1">IFERROR(__xludf.DUMMYFUNCTION("IMPORTRANGE(""https://docs.google.com/spreadsheets/d/1lFxr3ctmjFN90yc-xV6jrQ9Ty8BKYVBWnAZ15wcNIJc/edit?usp=sharing"",""อำนาจเจริญ!J668"")"),0)</f>
        <v>0</v>
      </c>
      <c r="AF49" s="152">
        <f ca="1">IFERROR(__xludf.DUMMYFUNCTION("IMPORTRANGE(""https://docs.google.com/spreadsheets/d/1lFxr3ctmjFN90yc-xV6jrQ9Ty8BKYVBWnAZ15wcNIJc/edit?usp=sharing"",""อำนาจเจริญ!J669"")"),0)</f>
        <v>0</v>
      </c>
      <c r="AG49" s="152">
        <f ca="1">IFERROR(__xludf.DUMMYFUNCTION("IMPORTRANGE(""https://docs.google.com/spreadsheets/d/1lFxr3ctmjFN90yc-xV6jrQ9Ty8BKYVBWnAZ15wcNIJc/edit?usp=sharing"",""อำนาจเจริญ!J670"")"),0)</f>
        <v>0</v>
      </c>
      <c r="AH49" s="152">
        <f ca="1">IFERROR(__xludf.DUMMYFUNCTION("IMPORTRANGE(""https://docs.google.com/spreadsheets/d/1lFxr3ctmjFN90yc-xV6jrQ9Ty8BKYVBWnAZ15wcNIJc/edit?usp=sharing"",""อำนาจเจริญ!I673"")"),0)</f>
        <v>0</v>
      </c>
      <c r="AI49" s="152">
        <f ca="1">IFERROR(__xludf.DUMMYFUNCTION("IMPORTRANGE(""https://docs.google.com/spreadsheets/d/1lFxr3ctmjFN90yc-xV6jrQ9Ty8BKYVBWnAZ15wcNIJc/edit?usp=sharing"",""อำนาจเจริญ!J671"")"),0)</f>
        <v>0</v>
      </c>
      <c r="AJ49" s="152">
        <f ca="1">IFERROR(__xludf.DUMMYFUNCTION("IMPORTRANGE(""https://docs.google.com/spreadsheets/d/1lFxr3ctmjFN90yc-xV6jrQ9Ty8BKYVBWnAZ15wcNIJc/edit?usp=sharing"",""อำนาจเจริญ!J672"")"),0)</f>
        <v>0</v>
      </c>
      <c r="AK49" s="152">
        <f ca="1">IFERROR(__xludf.DUMMYFUNCTION("IMPORTRANGE(""https://docs.google.com/spreadsheets/d/1lFxr3ctmjFN90yc-xV6jrQ9Ty8BKYVBWnAZ15wcNIJc/edit?usp=sharing"",""อำนาจเจริญ!J673"")"),0)</f>
        <v>0</v>
      </c>
      <c r="AL49" s="216">
        <f t="shared" ca="1" si="41"/>
        <v>0</v>
      </c>
      <c r="AM49" s="152">
        <f ca="1">IFERROR(__xludf.DUMMYFUNCTION("IMPORTRANGE(""https://docs.google.com/spreadsheets/d/1lFxr3ctmjFN90yc-xV6jrQ9Ty8BKYVBWnAZ15wcNIJc/edit?usp=sharing"",""อำนาจเจริญ!I674"")"),0)</f>
        <v>0</v>
      </c>
      <c r="AN49" s="152">
        <f ca="1">IFERROR(__xludf.DUMMYFUNCTION("IMPORTRANGE(""https://docs.google.com/spreadsheets/d/1lFxr3ctmjFN90yc-xV6jrQ9Ty8BKYVBWnAZ15wcNIJc/edit?usp=sharing"",""อำนาจเจริญ!I675"")"),0)</f>
        <v>0</v>
      </c>
      <c r="AO49" s="152">
        <f ca="1">IFERROR(__xludf.DUMMYFUNCTION("IMPORTRANGE(""https://docs.google.com/spreadsheets/d/1lFxr3ctmjFN90yc-xV6jrQ9Ty8BKYVBWnAZ15wcNIJc/edit?usp=sharing"",""อำนาจเจริญ!J674"")"),0)</f>
        <v>0</v>
      </c>
      <c r="AP49" s="216">
        <f t="shared" ca="1" si="43"/>
        <v>0</v>
      </c>
      <c r="AQ49" s="152">
        <f ca="1">IFERROR(__xludf.DUMMYFUNCTION("IMPORTRANGE(""https://docs.google.com/spreadsheets/d/1lFxr3ctmjFN90yc-xV6jrQ9Ty8BKYVBWnAZ15wcNIJc/edit?usp=sharing"",""อำนาจเจริญ!J675"")"),0)</f>
        <v>0</v>
      </c>
      <c r="AR49" s="216">
        <f t="shared" ca="1" si="44"/>
        <v>0</v>
      </c>
      <c r="AS49" s="152">
        <f ca="1">IFERROR(__xludf.DUMMYFUNCTION("IMPORTRANGE(""https://docs.google.com/spreadsheets/d/1lFxr3ctmjFN90yc-xV6jrQ9Ty8BKYVBWnAZ15wcNIJc/edit?usp=sharing"",""อำนาจเจริญ!I676"")"),0)</f>
        <v>0</v>
      </c>
      <c r="AT49" s="152">
        <f ca="1">IFERROR(__xludf.DUMMYFUNCTION("IMPORTRANGE(""https://docs.google.com/spreadsheets/d/1lFxr3ctmjFN90yc-xV6jrQ9Ty8BKYVBWnAZ15wcNIJc/edit?usp=sharing"",""อำนาจเจริญ!I678"")"),0)</f>
        <v>0</v>
      </c>
      <c r="AU49" s="152">
        <f ca="1">IFERROR(__xludf.DUMMYFUNCTION("IMPORTRANGE(""https://docs.google.com/spreadsheets/d/1lFxr3ctmjFN90yc-xV6jrQ9Ty8BKYVBWnAZ15wcNIJc/edit?usp=sharing"",""อำนาจเจริญ!J676"")"),0)</f>
        <v>0</v>
      </c>
      <c r="AV49" s="152">
        <f ca="1">IFERROR(__xludf.DUMMYFUNCTION("IMPORTRANGE(""https://docs.google.com/spreadsheets/d/1lFxr3ctmjFN90yc-xV6jrQ9Ty8BKYVBWnAZ15wcNIJc/edit?usp=sharing"",""อำนาจเจริญ!J677"")"),0)</f>
        <v>0</v>
      </c>
      <c r="AW49" s="152">
        <f ca="1">IFERROR(__xludf.DUMMYFUNCTION("IMPORTRANGE(""https://docs.google.com/spreadsheets/d/1lFxr3ctmjFN90yc-xV6jrQ9Ty8BKYVBWnAZ15wcNIJc/edit?usp=sharing"",""อำนาจเจริญ!J678"")"),0)</f>
        <v>0</v>
      </c>
      <c r="AX49" s="152">
        <f ca="1">IFERROR(__xludf.DUMMYFUNCTION("IMPORTRANGE(""https://docs.google.com/spreadsheets/d/1lFxr3ctmjFN90yc-xV6jrQ9Ty8BKYVBWnAZ15wcNIJc/edit?usp=sharing"",""อำนาจเจริญ!I679"")"),0)</f>
        <v>0</v>
      </c>
      <c r="AY49" s="152">
        <f ca="1">IFERROR(__xludf.DUMMYFUNCTION("IMPORTRANGE(""https://docs.google.com/spreadsheets/d/1lFxr3ctmjFN90yc-xV6jrQ9Ty8BKYVBWnAZ15wcNIJc/edit?usp=sharing"",""อำนาจเจริญ!I681"")"),0)</f>
        <v>0</v>
      </c>
      <c r="AZ49" s="152">
        <f ca="1">IFERROR(__xludf.DUMMYFUNCTION("IMPORTRANGE(""https://docs.google.com/spreadsheets/d/1lFxr3ctmjFN90yc-xV6jrQ9Ty8BKYVBWnAZ15wcNIJc/edit?usp=sharing"",""อำนาจเจริญ!J679"")"),0)</f>
        <v>0</v>
      </c>
      <c r="BA49" s="152">
        <f ca="1">IFERROR(__xludf.DUMMYFUNCTION("IMPORTRANGE(""https://docs.google.com/spreadsheets/d/1lFxr3ctmjFN90yc-xV6jrQ9Ty8BKYVBWnAZ15wcNIJc/edit?usp=sharing"",""อำนาจเจริญ!J680"")"),0)</f>
        <v>0</v>
      </c>
      <c r="BB49" s="152">
        <f ca="1">IFERROR(__xludf.DUMMYFUNCTION("IMPORTRANGE(""https://docs.google.com/spreadsheets/d/1lFxr3ctmjFN90yc-xV6jrQ9Ty8BKYVBWnAZ15wcNIJc/edit?usp=sharing"",""อำนาจเจริญ!J681"")"),0)</f>
        <v>0</v>
      </c>
      <c r="BC49" s="152">
        <f ca="1">IFERROR(__xludf.DUMMYFUNCTION("IMPORTRANGE(""https://docs.google.com/spreadsheets/d/1lFxr3ctmjFN90yc-xV6jrQ9Ty8BKYVBWnAZ15wcNIJc/edit?usp=sharing"",""อำนาจเจริญ!I682"")"),0)</f>
        <v>0</v>
      </c>
      <c r="BD49" s="152">
        <f ca="1">IFERROR(__xludf.DUMMYFUNCTION("IMPORTRANGE(""https://docs.google.com/spreadsheets/d/1lFxr3ctmjFN90yc-xV6jrQ9Ty8BKYVBWnAZ15wcNIJc/edit?usp=sharing"",""อำนาจเจริญ!J682"")"),0)</f>
        <v>0</v>
      </c>
      <c r="BE49" s="216">
        <f t="shared" ca="1" si="46"/>
        <v>0</v>
      </c>
      <c r="BF49" s="152">
        <f ca="1">IFERROR(__xludf.DUMMYFUNCTION("IMPORTRANGE(""https://docs.google.com/spreadsheets/d/1lFxr3ctmjFN90yc-xV6jrQ9Ty8BKYVBWnAZ15wcNIJc/edit?usp=sharing"",""อำนาจเจริญ!J683"")"),0)</f>
        <v>0</v>
      </c>
      <c r="BG49" s="152">
        <f ca="1">IFERROR(__xludf.DUMMYFUNCTION("IMPORTRANGE(""https://docs.google.com/spreadsheets/d/1lFxr3ctmjFN90yc-xV6jrQ9Ty8BKYVBWnAZ15wcNIJc/edit?usp=sharing"",""อำนาจเจริญ!J684"")"),0)</f>
        <v>0</v>
      </c>
      <c r="BH49" s="152">
        <f ca="1">IFERROR(__xludf.DUMMYFUNCTION("IMPORTRANGE(""https://docs.google.com/spreadsheets/d/1lFxr3ctmjFN90yc-xV6jrQ9Ty8BKYVBWnAZ15wcNIJc/edit?usp=sharing"",""อำนาจเจริญ!J685"")"),0)</f>
        <v>0</v>
      </c>
      <c r="BI49" s="152">
        <f ca="1">IFERROR(__xludf.DUMMYFUNCTION("IMPORTRANGE(""https://docs.google.com/spreadsheets/d/1lFxr3ctmjFN90yc-xV6jrQ9Ty8BKYVBWnAZ15wcNIJc/edit?usp=sharing"",""อำนาจเจริญ!J686"")"),0)</f>
        <v>0</v>
      </c>
      <c r="BJ49" s="152">
        <f ca="1">IFERROR(__xludf.DUMMYFUNCTION("IMPORTRANGE(""https://docs.google.com/spreadsheets/d/1lFxr3ctmjFN90yc-xV6jrQ9Ty8BKYVBWnAZ15wcNIJc/edit?usp=sharing"",""อำนาจเจริญ!J687"")"),0)</f>
        <v>0</v>
      </c>
      <c r="BK49" s="152">
        <f ca="1">IFERROR(__xludf.DUMMYFUNCTION("IMPORTRANGE(""https://docs.google.com/spreadsheets/d/1lFxr3ctmjFN90yc-xV6jrQ9Ty8BKYVBWnAZ15wcNIJc/edit?usp=sharing"",""อำนาจเจริญ!J688"")"),0)</f>
        <v>0</v>
      </c>
    </row>
    <row r="50" spans="1:63" ht="19.5" x14ac:dyDescent="0.3">
      <c r="A50" s="70">
        <v>19</v>
      </c>
      <c r="B50" s="71" t="s">
        <v>78</v>
      </c>
      <c r="C50" s="68">
        <f ca="1">IFERROR(__xludf.DUMMYFUNCTION("IMPORTRANGE(""https://docs.google.com/spreadsheets/d/1gF7RJpRnL-1oyjyeWxs5SFWEH7y8ahOZsQlyp2A2e-A/edit?usp=sharing"",""อุดรธานี!Q642"")"),98620)</f>
        <v>98620</v>
      </c>
      <c r="D50" s="68">
        <f ca="1">IFERROR(__xludf.DUMMYFUNCTION("IMPORTRANGE(""https://docs.google.com/spreadsheets/d/1gF7RJpRnL-1oyjyeWxs5SFWEH7y8ahOZsQlyp2A2e-A/edit?usp=sharing"",""อุดรธานี!R642"")"),98620)</f>
        <v>98620</v>
      </c>
      <c r="E50" s="68">
        <f ca="1">IFERROR(__xludf.DUMMYFUNCTION("IMPORTRANGE(""https://docs.google.com/spreadsheets/d/1gF7RJpRnL-1oyjyeWxs5SFWEH7y8ahOZsQlyp2A2e-A/edit?usp=sharing"",""อุดรธานี!S642"")"),90210)</f>
        <v>90210</v>
      </c>
      <c r="F50" s="68">
        <f t="shared" ca="1" si="30"/>
        <v>91.472317988237677</v>
      </c>
      <c r="G50" s="68">
        <f t="shared" ca="1" si="31"/>
        <v>91.472317988237677</v>
      </c>
      <c r="H50" s="278">
        <f ca="1">IFERROR(__xludf.DUMMYFUNCTION("IMPORTRANGE(""https://docs.google.com/spreadsheets/d/1gF7RJpRnL-1oyjyeWxs5SFWEH7y8ahOZsQlyp2A2e-A/edit?usp=sharing"",""อุดรธานี!I652"")"),450)</f>
        <v>450</v>
      </c>
      <c r="I50" s="152">
        <f ca="1">IFERROR(__xludf.DUMMYFUNCTION("IMPORTRANGE(""https://docs.google.com/spreadsheets/d/1gF7RJpRnL-1oyjyeWxs5SFWEH7y8ahOZsQlyp2A2e-A/edit?usp=sharing"",""อุดรธานี!J652"")"),838.64)</f>
        <v>838.64</v>
      </c>
      <c r="J50" s="216">
        <f t="shared" ca="1" si="33"/>
        <v>186.36444444444444</v>
      </c>
      <c r="K50" s="152">
        <f ca="1">IFERROR(__xludf.DUMMYFUNCTION("IMPORTRANGE(""https://docs.google.com/spreadsheets/d/1gF7RJpRnL-1oyjyeWxs5SFWEH7y8ahOZsQlyp2A2e-A/edit?usp=sharing"",""อุดรธานี!I653"")"),40)</f>
        <v>40</v>
      </c>
      <c r="L50" s="152">
        <f ca="1">IFERROR(__xludf.DUMMYFUNCTION("IMPORTRANGE(""https://docs.google.com/spreadsheets/d/1gF7RJpRnL-1oyjyeWxs5SFWEH7y8ahOZsQlyp2A2e-A/edit?usp=sharing"",""อุดรธานี!J653"")"),16)</f>
        <v>16</v>
      </c>
      <c r="M50" s="216">
        <f t="shared" ca="1" si="35"/>
        <v>40</v>
      </c>
      <c r="N50" s="152">
        <f ca="1">IFERROR(__xludf.DUMMYFUNCTION("IMPORTRANGE(""https://docs.google.com/spreadsheets/d/1gF7RJpRnL-1oyjyeWxs5SFWEH7y8ahOZsQlyp2A2e-A/edit?usp=sharing"",""อุดรธานี!I654"")"),0)</f>
        <v>0</v>
      </c>
      <c r="O50" s="152">
        <f ca="1">IFERROR(__xludf.DUMMYFUNCTION("IMPORTRANGE(""https://docs.google.com/spreadsheets/d/1gF7RJpRnL-1oyjyeWxs5SFWEH7y8ahOZsQlyp2A2e-A/edit?usp=sharing"",""อุดรธานี!J654"")"),0)</f>
        <v>0</v>
      </c>
      <c r="P50" s="216">
        <f t="shared" ca="1" si="37"/>
        <v>0</v>
      </c>
      <c r="Q50" s="216">
        <f ca="1">IFERROR(__xludf.DUMMYFUNCTION("IMPORTRANGE(""https://docs.google.com/spreadsheets/d/1gF7RJpRnL-1oyjyeWxs5SFWEH7y8ahOZsQlyp2A2e-A/edit?usp=sharing"",""อุดรธานี!J655"")"),0)</f>
        <v>0</v>
      </c>
      <c r="R50" s="216">
        <f ca="1">IFERROR(__xludf.DUMMYFUNCTION("IMPORTRANGE(""https://docs.google.com/spreadsheets/d/1gF7RJpRnL-1oyjyeWxs5SFWEH7y8ahOZsQlyp2A2e-A/edit?usp=sharing"",""อุดรธานี!J656"")"),0)</f>
        <v>0</v>
      </c>
      <c r="S50" s="216">
        <f ca="1">IFERROR(__xludf.DUMMYFUNCTION("IMPORTRANGE(""https://docs.google.com/spreadsheets/d/1gF7RJpRnL-1oyjyeWxs5SFWEH7y8ahOZsQlyp2A2e-A/edit?usp=sharing"",""อุดรธานี!J657"")"),0)</f>
        <v>0</v>
      </c>
      <c r="T50" s="216">
        <f ca="1">IFERROR(__xludf.DUMMYFUNCTION("IMPORTRANGE(""https://docs.google.com/spreadsheets/d/1gF7RJpRnL-1oyjyeWxs5SFWEH7y8ahOZsQlyp2A2e-A/edit?usp=sharing"",""อุดรธานี!J658"")"),0)</f>
        <v>0</v>
      </c>
      <c r="U50" s="216">
        <f ca="1">IFERROR(__xludf.DUMMYFUNCTION("IMPORTRANGE(""https://docs.google.com/spreadsheets/d/1gF7RJpRnL-1oyjyeWxs5SFWEH7y8ahOZsQlyp2A2e-A/edit?usp=sharing"",""อุดรธานี!J659"")"),0)</f>
        <v>0</v>
      </c>
      <c r="V50" s="216">
        <f ca="1">IFERROR(__xludf.DUMMYFUNCTION("IMPORTRANGE(""https://docs.google.com/spreadsheets/d/1gF7RJpRnL-1oyjyeWxs5SFWEH7y8ahOZsQlyp2A2e-A/edit?usp=sharing"",""อุดรธานี!J660"")"),0)</f>
        <v>0</v>
      </c>
      <c r="W50" s="152">
        <f ca="1">IFERROR(__xludf.DUMMYFUNCTION("IMPORTRANGE(""https://docs.google.com/spreadsheets/d/1gF7RJpRnL-1oyjyeWxs5SFWEH7y8ahOZsQlyp2A2e-A/edit?usp=sharing"",""อุดรธานี!I661"")"),0)</f>
        <v>0</v>
      </c>
      <c r="X50" s="152">
        <f ca="1">IFERROR(__xludf.DUMMYFUNCTION("IMPORTRANGE(""https://docs.google.com/spreadsheets/d/1gF7RJpRnL-1oyjyeWxs5SFWEH7y8ahOZsQlyp2A2e-A/edit?usp=sharing"",""อุดรธานี!J661"")"),0)</f>
        <v>0</v>
      </c>
      <c r="Y50" s="216">
        <f t="shared" ca="1" si="39"/>
        <v>0</v>
      </c>
      <c r="Z50" s="152">
        <f ca="1">IFERROR(__xludf.DUMMYFUNCTION("IMPORTRANGE(""https://docs.google.com/spreadsheets/d/1gF7RJpRnL-1oyjyeWxs5SFWEH7y8ahOZsQlyp2A2e-A/edit?usp=sharing"",""อุดรธานี!J662"")"),0)</f>
        <v>0</v>
      </c>
      <c r="AA50" s="152">
        <f ca="1">IFERROR(__xludf.DUMMYFUNCTION("IMPORTRANGE(""https://docs.google.com/spreadsheets/d/1gF7RJpRnL-1oyjyeWxs5SFWEH7y8ahOZsQlyp2A2e-A/edit?usp=sharing"",""อุดรธานี!J663"")"),0)</f>
        <v>0</v>
      </c>
      <c r="AB50" s="152">
        <f ca="1">IFERROR(__xludf.DUMMYFUNCTION("IMPORTRANGE(""https://docs.google.com/spreadsheets/d/1gF7RJpRnL-1oyjyeWxs5SFWEH7y8ahOZsQlyp2A2e-A/edit?usp=sharing"",""อุดรธานี!J665"")"),0)</f>
        <v>0</v>
      </c>
      <c r="AC50" s="152">
        <f ca="1">IFERROR(__xludf.DUMMYFUNCTION("IMPORTRANGE(""https://docs.google.com/spreadsheets/d/1gF7RJpRnL-1oyjyeWxs5SFWEH7y8ahOZsQlyp2A2e-A/edit?usp=sharing"",""อุดรธานี!J666"")"),0)</f>
        <v>0</v>
      </c>
      <c r="AD50" s="152">
        <f ca="1">IFERROR(__xludf.DUMMYFUNCTION("IMPORTRANGE(""https://docs.google.com/spreadsheets/d/1gF7RJpRnL-1oyjyeWxs5SFWEH7y8ahOZsQlyp2A2e-A/edit?usp=sharing"",""อุดรธานี!J667"")"),0)</f>
        <v>0</v>
      </c>
      <c r="AE50" s="152">
        <f ca="1">IFERROR(__xludf.DUMMYFUNCTION("IMPORTRANGE(""https://docs.google.com/spreadsheets/d/1gF7RJpRnL-1oyjyeWxs5SFWEH7y8ahOZsQlyp2A2e-A/edit?usp=sharing"",""อุดรธานี!J668"")"),0)</f>
        <v>0</v>
      </c>
      <c r="AF50" s="152">
        <f ca="1">IFERROR(__xludf.DUMMYFUNCTION("IMPORTRANGE(""https://docs.google.com/spreadsheets/d/1gF7RJpRnL-1oyjyeWxs5SFWEH7y8ahOZsQlyp2A2e-A/edit?usp=sharing"",""อุดรธานี!J669"")"),0)</f>
        <v>0</v>
      </c>
      <c r="AG50" s="152">
        <f ca="1">IFERROR(__xludf.DUMMYFUNCTION("IMPORTRANGE(""https://docs.google.com/spreadsheets/d/1gF7RJpRnL-1oyjyeWxs5SFWEH7y8ahOZsQlyp2A2e-A/edit?usp=sharing"",""อุดรธานี!J670"")"),0)</f>
        <v>0</v>
      </c>
      <c r="AH50" s="152">
        <f ca="1">IFERROR(__xludf.DUMMYFUNCTION("IMPORTRANGE(""https://docs.google.com/spreadsheets/d/1gF7RJpRnL-1oyjyeWxs5SFWEH7y8ahOZsQlyp2A2e-A/edit?usp=sharing"",""อุดรธานี!I673"")"),47)</f>
        <v>47</v>
      </c>
      <c r="AI50" s="152">
        <f ca="1">IFERROR(__xludf.DUMMYFUNCTION("IMPORTRANGE(""https://docs.google.com/spreadsheets/d/1gF7RJpRnL-1oyjyeWxs5SFWEH7y8ahOZsQlyp2A2e-A/edit?usp=sharing"",""อุดรธานี!J671"")"),0)</f>
        <v>0</v>
      </c>
      <c r="AJ50" s="152">
        <f ca="1">IFERROR(__xludf.DUMMYFUNCTION("IMPORTRANGE(""https://docs.google.com/spreadsheets/d/1gF7RJpRnL-1oyjyeWxs5SFWEH7y8ahOZsQlyp2A2e-A/edit?usp=sharing"",""อุดรธานี!J672"")"),0)</f>
        <v>0</v>
      </c>
      <c r="AK50" s="152">
        <f ca="1">IFERROR(__xludf.DUMMYFUNCTION("IMPORTRANGE(""https://docs.google.com/spreadsheets/d/1gF7RJpRnL-1oyjyeWxs5SFWEH7y8ahOZsQlyp2A2e-A/edit?usp=sharing"",""อุดรธานี!J673"")"),0)</f>
        <v>0</v>
      </c>
      <c r="AL50" s="216">
        <f t="shared" ca="1" si="41"/>
        <v>0</v>
      </c>
      <c r="AM50" s="152">
        <f ca="1">IFERROR(__xludf.DUMMYFUNCTION("IMPORTRANGE(""https://docs.google.com/spreadsheets/d/1gF7RJpRnL-1oyjyeWxs5SFWEH7y8ahOZsQlyp2A2e-A/edit?usp=sharing"",""อุดรธานี!I674"")"),0)</f>
        <v>0</v>
      </c>
      <c r="AN50" s="152">
        <f ca="1">IFERROR(__xludf.DUMMYFUNCTION("IMPORTRANGE(""https://docs.google.com/spreadsheets/d/1gF7RJpRnL-1oyjyeWxs5SFWEH7y8ahOZsQlyp2A2e-A/edit?usp=sharing"",""อุดรธานี!I675"")"),0)</f>
        <v>0</v>
      </c>
      <c r="AO50" s="152">
        <f ca="1">IFERROR(__xludf.DUMMYFUNCTION("IMPORTRANGE(""https://docs.google.com/spreadsheets/d/1gF7RJpRnL-1oyjyeWxs5SFWEH7y8ahOZsQlyp2A2e-A/edit?usp=sharing"",""อุดรธานี!J674"")"),0)</f>
        <v>0</v>
      </c>
      <c r="AP50" s="216">
        <f t="shared" ca="1" si="43"/>
        <v>0</v>
      </c>
      <c r="AQ50" s="152">
        <f ca="1">IFERROR(__xludf.DUMMYFUNCTION("IMPORTRANGE(""https://docs.google.com/spreadsheets/d/1gF7RJpRnL-1oyjyeWxs5SFWEH7y8ahOZsQlyp2A2e-A/edit?usp=sharing"",""อุดรธานี!J675"")"),0)</f>
        <v>0</v>
      </c>
      <c r="AR50" s="216">
        <f t="shared" ca="1" si="44"/>
        <v>0</v>
      </c>
      <c r="AS50" s="152">
        <f ca="1">IFERROR(__xludf.DUMMYFUNCTION("IMPORTRANGE(""https://docs.google.com/spreadsheets/d/1gF7RJpRnL-1oyjyeWxs5SFWEH7y8ahOZsQlyp2A2e-A/edit?usp=sharing"",""อุดรธานี!I676"")"),0)</f>
        <v>0</v>
      </c>
      <c r="AT50" s="152">
        <f ca="1">IFERROR(__xludf.DUMMYFUNCTION("IMPORTRANGE(""https://docs.google.com/spreadsheets/d/1gF7RJpRnL-1oyjyeWxs5SFWEH7y8ahOZsQlyp2A2e-A/edit?usp=sharing"",""อุดรธานี!I678"")"),0)</f>
        <v>0</v>
      </c>
      <c r="AU50" s="152">
        <f ca="1">IFERROR(__xludf.DUMMYFUNCTION("IMPORTRANGE(""https://docs.google.com/spreadsheets/d/1gF7RJpRnL-1oyjyeWxs5SFWEH7y8ahOZsQlyp2A2e-A/edit?usp=sharing"",""อุดรธานี!J676"")"),0)</f>
        <v>0</v>
      </c>
      <c r="AV50" s="152">
        <f ca="1">IFERROR(__xludf.DUMMYFUNCTION("IMPORTRANGE(""https://docs.google.com/spreadsheets/d/1gF7RJpRnL-1oyjyeWxs5SFWEH7y8ahOZsQlyp2A2e-A/edit?usp=sharing"",""อุดรธานี!J677"")"),0)</f>
        <v>0</v>
      </c>
      <c r="AW50" s="152">
        <f ca="1">IFERROR(__xludf.DUMMYFUNCTION("IMPORTRANGE(""https://docs.google.com/spreadsheets/d/1gF7RJpRnL-1oyjyeWxs5SFWEH7y8ahOZsQlyp2A2e-A/edit?usp=sharing"",""อุดรธานี!J678"")"),0)</f>
        <v>0</v>
      </c>
      <c r="AX50" s="152">
        <f ca="1">IFERROR(__xludf.DUMMYFUNCTION("IMPORTRANGE(""https://docs.google.com/spreadsheets/d/1gF7RJpRnL-1oyjyeWxs5SFWEH7y8ahOZsQlyp2A2e-A/edit?usp=sharing"",""อุดรธานี!I679"")"),0)</f>
        <v>0</v>
      </c>
      <c r="AY50" s="152">
        <f ca="1">IFERROR(__xludf.DUMMYFUNCTION("IMPORTRANGE(""https://docs.google.com/spreadsheets/d/1gF7RJpRnL-1oyjyeWxs5SFWEH7y8ahOZsQlyp2A2e-A/edit?usp=sharing"",""อุดรธานี!I681"")"),0)</f>
        <v>0</v>
      </c>
      <c r="AZ50" s="152">
        <f ca="1">IFERROR(__xludf.DUMMYFUNCTION("IMPORTRANGE(""https://docs.google.com/spreadsheets/d/1gF7RJpRnL-1oyjyeWxs5SFWEH7y8ahOZsQlyp2A2e-A/edit?usp=sharing"",""อุดรธานี!J679"")"),0)</f>
        <v>0</v>
      </c>
      <c r="BA50" s="152">
        <f ca="1">IFERROR(__xludf.DUMMYFUNCTION("IMPORTRANGE(""https://docs.google.com/spreadsheets/d/1gF7RJpRnL-1oyjyeWxs5SFWEH7y8ahOZsQlyp2A2e-A/edit?usp=sharing"",""อุดรธานี!J680"")"),0)</f>
        <v>0</v>
      </c>
      <c r="BB50" s="152">
        <f ca="1">IFERROR(__xludf.DUMMYFUNCTION("IMPORTRANGE(""https://docs.google.com/spreadsheets/d/1gF7RJpRnL-1oyjyeWxs5SFWEH7y8ahOZsQlyp2A2e-A/edit?usp=sharing"",""อุดรธานี!J681"")"),0)</f>
        <v>0</v>
      </c>
      <c r="BC50" s="152">
        <f ca="1">IFERROR(__xludf.DUMMYFUNCTION("IMPORTRANGE(""https://docs.google.com/spreadsheets/d/1gF7RJpRnL-1oyjyeWxs5SFWEH7y8ahOZsQlyp2A2e-A/edit?usp=sharing"",""อุดรธานี!I682"")"),450)</f>
        <v>450</v>
      </c>
      <c r="BD50" s="152">
        <f ca="1">IFERROR(__xludf.DUMMYFUNCTION("IMPORTRANGE(""https://docs.google.com/spreadsheets/d/1gF7RJpRnL-1oyjyeWxs5SFWEH7y8ahOZsQlyp2A2e-A/edit?usp=sharing"",""อุดรธานี!J682"")"),136)</f>
        <v>136</v>
      </c>
      <c r="BE50" s="216">
        <f t="shared" ca="1" si="46"/>
        <v>30.222222222222221</v>
      </c>
      <c r="BF50" s="152">
        <f ca="1">IFERROR(__xludf.DUMMYFUNCTION("IMPORTRANGE(""https://docs.google.com/spreadsheets/d/1gF7RJpRnL-1oyjyeWxs5SFWEH7y8ahOZsQlyp2A2e-A/edit?usp=sharing"",""อุดรธานี!J683"")"),0)</f>
        <v>0</v>
      </c>
      <c r="BG50" s="152">
        <f ca="1">IFERROR(__xludf.DUMMYFUNCTION("IMPORTRANGE(""https://docs.google.com/spreadsheets/d/1gF7RJpRnL-1oyjyeWxs5SFWEH7y8ahOZsQlyp2A2e-A/edit?usp=sharing"",""อุดรธานี!J684"")"),0)</f>
        <v>0</v>
      </c>
      <c r="BH50" s="152">
        <f ca="1">IFERROR(__xludf.DUMMYFUNCTION("IMPORTRANGE(""https://docs.google.com/spreadsheets/d/1gF7RJpRnL-1oyjyeWxs5SFWEH7y8ahOZsQlyp2A2e-A/edit?usp=sharing"",""อุดรธานี!J685"")"),0)</f>
        <v>0</v>
      </c>
      <c r="BI50" s="152">
        <f ca="1">IFERROR(__xludf.DUMMYFUNCTION("IMPORTRANGE(""https://docs.google.com/spreadsheets/d/1gF7RJpRnL-1oyjyeWxs5SFWEH7y8ahOZsQlyp2A2e-A/edit?usp=sharing"",""อุดรธานี!J686"")"),13)</f>
        <v>13</v>
      </c>
      <c r="BJ50" s="152">
        <f ca="1">IFERROR(__xludf.DUMMYFUNCTION("IMPORTRANGE(""https://docs.google.com/spreadsheets/d/1gF7RJpRnL-1oyjyeWxs5SFWEH7y8ahOZsQlyp2A2e-A/edit?usp=sharing"",""อุดรธานี!J687"")"),13)</f>
        <v>13</v>
      </c>
      <c r="BK50" s="152">
        <f ca="1">IFERROR(__xludf.DUMMYFUNCTION("IMPORTRANGE(""https://docs.google.com/spreadsheets/d/1gF7RJpRnL-1oyjyeWxs5SFWEH7y8ahOZsQlyp2A2e-A/edit?usp=sharing"",""อุดรธานี!J688"")"),136)</f>
        <v>136</v>
      </c>
    </row>
    <row r="51" spans="1:63" ht="19.5" x14ac:dyDescent="0.3">
      <c r="A51" s="80">
        <v>20</v>
      </c>
      <c r="B51" s="81" t="s">
        <v>79</v>
      </c>
      <c r="C51" s="97">
        <f ca="1">IFERROR(__xludf.DUMMYFUNCTION("IMPORTRANGE(""https://docs.google.com/spreadsheets/d/1kfLP0j3INXRa8bTDpcEmoWewMBV61jlFlfzczfjWIgc/edit?usp=sharing"",""อุบลราชธานี!Q642"")"),2240)</f>
        <v>2240</v>
      </c>
      <c r="D51" s="97">
        <f ca="1">IFERROR(__xludf.DUMMYFUNCTION("IMPORTRANGE(""https://docs.google.com/spreadsheets/d/1kfLP0j3INXRa8bTDpcEmoWewMBV61jlFlfzczfjWIgc/edit?usp=sharing"",""อุบลราชธานี!R642"")"),2240)</f>
        <v>2240</v>
      </c>
      <c r="E51" s="97">
        <f ca="1">IFERROR(__xludf.DUMMYFUNCTION("IMPORTRANGE(""https://docs.google.com/spreadsheets/d/1kfLP0j3INXRa8bTDpcEmoWewMBV61jlFlfzczfjWIgc/edit?usp=sharing"",""อุบลราชธานี!S642"")"),0)</f>
        <v>0</v>
      </c>
      <c r="F51" s="97">
        <f t="shared" ca="1" si="30"/>
        <v>0</v>
      </c>
      <c r="G51" s="97">
        <f t="shared" ca="1" si="31"/>
        <v>0</v>
      </c>
      <c r="H51" s="280">
        <f ca="1">IFERROR(__xludf.DUMMYFUNCTION("IMPORTRANGE(""https://docs.google.com/spreadsheets/d/1kfLP0j3INXRa8bTDpcEmoWewMBV61jlFlfzczfjWIgc/edit?usp=sharing"",""อุบลราชธานี!I652"")"),10)</f>
        <v>10</v>
      </c>
      <c r="I51" s="191">
        <f ca="1">IFERROR(__xludf.DUMMYFUNCTION("IMPORTRANGE(""https://docs.google.com/spreadsheets/d/1kfLP0j3INXRa8bTDpcEmoWewMBV61jlFlfzczfjWIgc/edit?usp=sharing"",""อุบลราชธานี!J652"")"),0)</f>
        <v>0</v>
      </c>
      <c r="J51" s="218">
        <f t="shared" ca="1" si="33"/>
        <v>0</v>
      </c>
      <c r="K51" s="191">
        <f ca="1">IFERROR(__xludf.DUMMYFUNCTION("IMPORTRANGE(""https://docs.google.com/spreadsheets/d/1kfLP0j3INXRa8bTDpcEmoWewMBV61jlFlfzczfjWIgc/edit?usp=sharing"",""อุบลราชธานี!I653"")"),2)</f>
        <v>2</v>
      </c>
      <c r="L51" s="191">
        <f ca="1">IFERROR(__xludf.DUMMYFUNCTION("IMPORTRANGE(""https://docs.google.com/spreadsheets/d/1kfLP0j3INXRa8bTDpcEmoWewMBV61jlFlfzczfjWIgc/edit?usp=sharing"",""อุบลราชธานี!J653"")"),0)</f>
        <v>0</v>
      </c>
      <c r="M51" s="218">
        <f t="shared" ca="1" si="35"/>
        <v>0</v>
      </c>
      <c r="N51" s="191">
        <f ca="1">IFERROR(__xludf.DUMMYFUNCTION("IMPORTRANGE(""https://docs.google.com/spreadsheets/d/1kfLP0j3INXRa8bTDpcEmoWewMBV61jlFlfzczfjWIgc/edit?usp=sharing"",""อุบลราชธานี!I654"")"),0)</f>
        <v>0</v>
      </c>
      <c r="O51" s="191">
        <f ca="1">IFERROR(__xludf.DUMMYFUNCTION("IMPORTRANGE(""https://docs.google.com/spreadsheets/d/1kfLP0j3INXRa8bTDpcEmoWewMBV61jlFlfzczfjWIgc/edit?usp=sharing"",""อุบลราชธานี!J654"")"),0)</f>
        <v>0</v>
      </c>
      <c r="P51" s="218">
        <f t="shared" ca="1" si="37"/>
        <v>0</v>
      </c>
      <c r="Q51" s="218">
        <f ca="1">IFERROR(__xludf.DUMMYFUNCTION("IMPORTRANGE(""https://docs.google.com/spreadsheets/d/1kfLP0j3INXRa8bTDpcEmoWewMBV61jlFlfzczfjWIgc/edit?usp=sharing"",""อุบลราชธานี!J655"")"),0)</f>
        <v>0</v>
      </c>
      <c r="R51" s="218">
        <f ca="1">IFERROR(__xludf.DUMMYFUNCTION("IMPORTRANGE(""https://docs.google.com/spreadsheets/d/1kfLP0j3INXRa8bTDpcEmoWewMBV61jlFlfzczfjWIgc/edit?usp=sharing"",""อุบลราชธานี!J656"")"),0)</f>
        <v>0</v>
      </c>
      <c r="S51" s="218">
        <f ca="1">IFERROR(__xludf.DUMMYFUNCTION("IMPORTRANGE(""https://docs.google.com/spreadsheets/d/1kfLP0j3INXRa8bTDpcEmoWewMBV61jlFlfzczfjWIgc/edit?usp=sharing"",""อุบลราชธานี!J657"")"),0)</f>
        <v>0</v>
      </c>
      <c r="T51" s="218">
        <f ca="1">IFERROR(__xludf.DUMMYFUNCTION("IMPORTRANGE(""https://docs.google.com/spreadsheets/d/1kfLP0j3INXRa8bTDpcEmoWewMBV61jlFlfzczfjWIgc/edit?usp=sharing"",""อุบลราชธานี!J658"")"),0)</f>
        <v>0</v>
      </c>
      <c r="U51" s="218">
        <f ca="1">IFERROR(__xludf.DUMMYFUNCTION("IMPORTRANGE(""https://docs.google.com/spreadsheets/d/1kfLP0j3INXRa8bTDpcEmoWewMBV61jlFlfzczfjWIgc/edit?usp=sharing"",""อุบลราชธานี!J659"")"),0)</f>
        <v>0</v>
      </c>
      <c r="V51" s="218">
        <f ca="1">IFERROR(__xludf.DUMMYFUNCTION("IMPORTRANGE(""https://docs.google.com/spreadsheets/d/1kfLP0j3INXRa8bTDpcEmoWewMBV61jlFlfzczfjWIgc/edit?usp=sharing"",""อุบลราชธานี!J660"")"),0)</f>
        <v>0</v>
      </c>
      <c r="W51" s="191">
        <f ca="1">IFERROR(__xludf.DUMMYFUNCTION("IMPORTRANGE(""https://docs.google.com/spreadsheets/d/1kfLP0j3INXRa8bTDpcEmoWewMBV61jlFlfzczfjWIgc/edit?usp=sharing"",""อุบลราชธานี!I661"")"),0)</f>
        <v>0</v>
      </c>
      <c r="X51" s="191">
        <f ca="1">IFERROR(__xludf.DUMMYFUNCTION("IMPORTRANGE(""https://docs.google.com/spreadsheets/d/1kfLP0j3INXRa8bTDpcEmoWewMBV61jlFlfzczfjWIgc/edit?usp=sharing"",""อุบลราชธานี!J661"")"),0)</f>
        <v>0</v>
      </c>
      <c r="Y51" s="218">
        <f t="shared" ca="1" si="39"/>
        <v>0</v>
      </c>
      <c r="Z51" s="191">
        <f ca="1">IFERROR(__xludf.DUMMYFUNCTION("IMPORTRANGE(""https://docs.google.com/spreadsheets/d/1kfLP0j3INXRa8bTDpcEmoWewMBV61jlFlfzczfjWIgc/edit?usp=sharing"",""อุบลราชธานี!J662"")"),0)</f>
        <v>0</v>
      </c>
      <c r="AA51" s="191">
        <f ca="1">IFERROR(__xludf.DUMMYFUNCTION("IMPORTRANGE(""https://docs.google.com/spreadsheets/d/1kfLP0j3INXRa8bTDpcEmoWewMBV61jlFlfzczfjWIgc/edit?usp=sharing"",""อุบลราชธานี!J663"")"),0)</f>
        <v>0</v>
      </c>
      <c r="AB51" s="191">
        <f ca="1">IFERROR(__xludf.DUMMYFUNCTION("IMPORTRANGE(""https://docs.google.com/spreadsheets/d/1kfLP0j3INXRa8bTDpcEmoWewMBV61jlFlfzczfjWIgc/edit?usp=sharing"",""อุบลราชธานี!J665"")"),0)</f>
        <v>0</v>
      </c>
      <c r="AC51" s="191">
        <f ca="1">IFERROR(__xludf.DUMMYFUNCTION("IMPORTRANGE(""https://docs.google.com/spreadsheets/d/1kfLP0j3INXRa8bTDpcEmoWewMBV61jlFlfzczfjWIgc/edit?usp=sharing"",""อุบลราชธานี!J666"")"),0)</f>
        <v>0</v>
      </c>
      <c r="AD51" s="191">
        <f ca="1">IFERROR(__xludf.DUMMYFUNCTION("IMPORTRANGE(""https://docs.google.com/spreadsheets/d/1kfLP0j3INXRa8bTDpcEmoWewMBV61jlFlfzczfjWIgc/edit?usp=sharing"",""อุบลราชธานี!J667"")"),0)</f>
        <v>0</v>
      </c>
      <c r="AE51" s="191">
        <f ca="1">IFERROR(__xludf.DUMMYFUNCTION("IMPORTRANGE(""https://docs.google.com/spreadsheets/d/1kfLP0j3INXRa8bTDpcEmoWewMBV61jlFlfzczfjWIgc/edit?usp=sharing"",""อุบลราชธานี!J668"")"),0)</f>
        <v>0</v>
      </c>
      <c r="AF51" s="191">
        <f ca="1">IFERROR(__xludf.DUMMYFUNCTION("IMPORTRANGE(""https://docs.google.com/spreadsheets/d/1kfLP0j3INXRa8bTDpcEmoWewMBV61jlFlfzczfjWIgc/edit?usp=sharing"",""อุบลราชธานี!J669"")"),0)</f>
        <v>0</v>
      </c>
      <c r="AG51" s="191">
        <f ca="1">IFERROR(__xludf.DUMMYFUNCTION("IMPORTRANGE(""https://docs.google.com/spreadsheets/d/1kfLP0j3INXRa8bTDpcEmoWewMBV61jlFlfzczfjWIgc/edit?usp=sharing"",""อุบลราชธานี!J670"")"),0)</f>
        <v>0</v>
      </c>
      <c r="AH51" s="191">
        <f ca="1">IFERROR(__xludf.DUMMYFUNCTION("IMPORTRANGE(""https://docs.google.com/spreadsheets/d/1kfLP0j3INXRa8bTDpcEmoWewMBV61jlFlfzczfjWIgc/edit?usp=sharing"",""อุบลราชธานี!I673"")"),0)</f>
        <v>0</v>
      </c>
      <c r="AI51" s="191">
        <f ca="1">IFERROR(__xludf.DUMMYFUNCTION("IMPORTRANGE(""https://docs.google.com/spreadsheets/d/1kfLP0j3INXRa8bTDpcEmoWewMBV61jlFlfzczfjWIgc/edit?usp=sharing"",""อุบลราชธานี!J671"")"),0)</f>
        <v>0</v>
      </c>
      <c r="AJ51" s="191">
        <f ca="1">IFERROR(__xludf.DUMMYFUNCTION("IMPORTRANGE(""https://docs.google.com/spreadsheets/d/1kfLP0j3INXRa8bTDpcEmoWewMBV61jlFlfzczfjWIgc/edit?usp=sharing"",""อุบลราชธานี!J672"")"),0)</f>
        <v>0</v>
      </c>
      <c r="AK51" s="191">
        <f ca="1">IFERROR(__xludf.DUMMYFUNCTION("IMPORTRANGE(""https://docs.google.com/spreadsheets/d/1kfLP0j3INXRa8bTDpcEmoWewMBV61jlFlfzczfjWIgc/edit?usp=sharing"",""อุบลราชธานี!J673"")"),0)</f>
        <v>0</v>
      </c>
      <c r="AL51" s="218">
        <f t="shared" ca="1" si="41"/>
        <v>0</v>
      </c>
      <c r="AM51" s="191">
        <f ca="1">IFERROR(__xludf.DUMMYFUNCTION("IMPORTRANGE(""https://docs.google.com/spreadsheets/d/1kfLP0j3INXRa8bTDpcEmoWewMBV61jlFlfzczfjWIgc/edit?usp=sharing"",""อุบลราชธานี!I674"")"),0)</f>
        <v>0</v>
      </c>
      <c r="AN51" s="191">
        <f ca="1">IFERROR(__xludf.DUMMYFUNCTION("IMPORTRANGE(""https://docs.google.com/spreadsheets/d/1kfLP0j3INXRa8bTDpcEmoWewMBV61jlFlfzczfjWIgc/edit?usp=sharing"",""อุบลราชธานี!I675"")"),0)</f>
        <v>0</v>
      </c>
      <c r="AO51" s="191">
        <f ca="1">IFERROR(__xludf.DUMMYFUNCTION("IMPORTRANGE(""https://docs.google.com/spreadsheets/d/1kfLP0j3INXRa8bTDpcEmoWewMBV61jlFlfzczfjWIgc/edit?usp=sharing"",""อุบลราชธานี!J674"")"),0)</f>
        <v>0</v>
      </c>
      <c r="AP51" s="218">
        <f t="shared" ca="1" si="43"/>
        <v>0</v>
      </c>
      <c r="AQ51" s="191">
        <f ca="1">IFERROR(__xludf.DUMMYFUNCTION("IMPORTRANGE(""https://docs.google.com/spreadsheets/d/1kfLP0j3INXRa8bTDpcEmoWewMBV61jlFlfzczfjWIgc/edit?usp=sharing"",""อุบลราชธานี!J675"")"),0)</f>
        <v>0</v>
      </c>
      <c r="AR51" s="218">
        <f t="shared" ca="1" si="44"/>
        <v>0</v>
      </c>
      <c r="AS51" s="191">
        <f ca="1">IFERROR(__xludf.DUMMYFUNCTION("IMPORTRANGE(""https://docs.google.com/spreadsheets/d/1kfLP0j3INXRa8bTDpcEmoWewMBV61jlFlfzczfjWIgc/edit?usp=sharing"",""อุบลราชธานี!I676"")"),0)</f>
        <v>0</v>
      </c>
      <c r="AT51" s="191">
        <f ca="1">IFERROR(__xludf.DUMMYFUNCTION("IMPORTRANGE(""https://docs.google.com/spreadsheets/d/1kfLP0j3INXRa8bTDpcEmoWewMBV61jlFlfzczfjWIgc/edit?usp=sharing"",""อุบลราชธานี!I678"")"),0)</f>
        <v>0</v>
      </c>
      <c r="AU51" s="191">
        <f ca="1">IFERROR(__xludf.DUMMYFUNCTION("IMPORTRANGE(""https://docs.google.com/spreadsheets/d/1kfLP0j3INXRa8bTDpcEmoWewMBV61jlFlfzczfjWIgc/edit?usp=sharing"",""อุบลราชธานี!J676"")"),0)</f>
        <v>0</v>
      </c>
      <c r="AV51" s="191">
        <f ca="1">IFERROR(__xludf.DUMMYFUNCTION("IMPORTRANGE(""https://docs.google.com/spreadsheets/d/1kfLP0j3INXRa8bTDpcEmoWewMBV61jlFlfzczfjWIgc/edit?usp=sharing"",""อุบลราชธานี!J677"")"),0)</f>
        <v>0</v>
      </c>
      <c r="AW51" s="191">
        <f ca="1">IFERROR(__xludf.DUMMYFUNCTION("IMPORTRANGE(""https://docs.google.com/spreadsheets/d/1kfLP0j3INXRa8bTDpcEmoWewMBV61jlFlfzczfjWIgc/edit?usp=sharing"",""อุบลราชธานี!J678"")"),0)</f>
        <v>0</v>
      </c>
      <c r="AX51" s="191">
        <f ca="1">IFERROR(__xludf.DUMMYFUNCTION("IMPORTRANGE(""https://docs.google.com/spreadsheets/d/1kfLP0j3INXRa8bTDpcEmoWewMBV61jlFlfzczfjWIgc/edit?usp=sharing"",""อุบลราชธานี!I679"")"),0)</f>
        <v>0</v>
      </c>
      <c r="AY51" s="191">
        <f ca="1">IFERROR(__xludf.DUMMYFUNCTION("IMPORTRANGE(""https://docs.google.com/spreadsheets/d/1kfLP0j3INXRa8bTDpcEmoWewMBV61jlFlfzczfjWIgc/edit?usp=sharing"",""อุบลราชธานี!I681"")"),0)</f>
        <v>0</v>
      </c>
      <c r="AZ51" s="191">
        <f ca="1">IFERROR(__xludf.DUMMYFUNCTION("IMPORTRANGE(""https://docs.google.com/spreadsheets/d/1kfLP0j3INXRa8bTDpcEmoWewMBV61jlFlfzczfjWIgc/edit?usp=sharing"",""อุบลราชธานี!J679"")"),0)</f>
        <v>0</v>
      </c>
      <c r="BA51" s="191">
        <f ca="1">IFERROR(__xludf.DUMMYFUNCTION("IMPORTRANGE(""https://docs.google.com/spreadsheets/d/1kfLP0j3INXRa8bTDpcEmoWewMBV61jlFlfzczfjWIgc/edit?usp=sharing"",""อุบลราชธานี!J680"")"),0)</f>
        <v>0</v>
      </c>
      <c r="BB51" s="191">
        <f ca="1">IFERROR(__xludf.DUMMYFUNCTION("IMPORTRANGE(""https://docs.google.com/spreadsheets/d/1kfLP0j3INXRa8bTDpcEmoWewMBV61jlFlfzczfjWIgc/edit?usp=sharing"",""อุบลราชธานี!J681"")"),0)</f>
        <v>0</v>
      </c>
      <c r="BC51" s="191">
        <f ca="1">IFERROR(__xludf.DUMMYFUNCTION("IMPORTRANGE(""https://docs.google.com/spreadsheets/d/1kfLP0j3INXRa8bTDpcEmoWewMBV61jlFlfzczfjWIgc/edit?usp=sharing"",""อุบลราชธานี!I682"")"),0)</f>
        <v>0</v>
      </c>
      <c r="BD51" s="191">
        <f ca="1">IFERROR(__xludf.DUMMYFUNCTION("IMPORTRANGE(""https://docs.google.com/spreadsheets/d/1kfLP0j3INXRa8bTDpcEmoWewMBV61jlFlfzczfjWIgc/edit?usp=sharing"",""อุบลราชธานี!J682"")"),0)</f>
        <v>0</v>
      </c>
      <c r="BE51" s="218">
        <f t="shared" ca="1" si="46"/>
        <v>0</v>
      </c>
      <c r="BF51" s="191">
        <f ca="1">IFERROR(__xludf.DUMMYFUNCTION("IMPORTRANGE(""https://docs.google.com/spreadsheets/d/1kfLP0j3INXRa8bTDpcEmoWewMBV61jlFlfzczfjWIgc/edit?usp=sharing"",""อุบลราชธานี!J683"")"),0)</f>
        <v>0</v>
      </c>
      <c r="BG51" s="191">
        <f ca="1">IFERROR(__xludf.DUMMYFUNCTION("IMPORTRANGE(""https://docs.google.com/spreadsheets/d/1kfLP0j3INXRa8bTDpcEmoWewMBV61jlFlfzczfjWIgc/edit?usp=sharing"",""อุบลราชธานี!J684"")"),0)</f>
        <v>0</v>
      </c>
      <c r="BH51" s="191">
        <f ca="1">IFERROR(__xludf.DUMMYFUNCTION("IMPORTRANGE(""https://docs.google.com/spreadsheets/d/1kfLP0j3INXRa8bTDpcEmoWewMBV61jlFlfzczfjWIgc/edit?usp=sharing"",""อุบลราชธานี!J685"")"),0)</f>
        <v>0</v>
      </c>
      <c r="BI51" s="191">
        <f ca="1">IFERROR(__xludf.DUMMYFUNCTION("IMPORTRANGE(""https://docs.google.com/spreadsheets/d/1kfLP0j3INXRa8bTDpcEmoWewMBV61jlFlfzczfjWIgc/edit?usp=sharing"",""อุบลราชธานี!J686"")"),0)</f>
        <v>0</v>
      </c>
      <c r="BJ51" s="191">
        <f ca="1">IFERROR(__xludf.DUMMYFUNCTION("IMPORTRANGE(""https://docs.google.com/spreadsheets/d/1kfLP0j3INXRa8bTDpcEmoWewMBV61jlFlfzczfjWIgc/edit?usp=sharing"",""อุบลราชธานี!J687"")"),0)</f>
        <v>0</v>
      </c>
      <c r="BK51" s="191">
        <f ca="1">IFERROR(__xludf.DUMMYFUNCTION("IMPORTRANGE(""https://docs.google.com/spreadsheets/d/1kfLP0j3INXRa8bTDpcEmoWewMBV61jlFlfzczfjWIgc/edit?usp=sharing"",""อุบลราชธานี!J688"")"),0)</f>
        <v>0</v>
      </c>
    </row>
    <row r="52" spans="1:63" ht="19.5" x14ac:dyDescent="0.3">
      <c r="A52" s="712" t="s">
        <v>80</v>
      </c>
      <c r="B52" s="647"/>
      <c r="C52" s="57">
        <f t="shared" ref="C52:E52" ca="1" si="57">SUM(C53:C73)</f>
        <v>417660</v>
      </c>
      <c r="D52" s="57">
        <f t="shared" ca="1" si="57"/>
        <v>417660</v>
      </c>
      <c r="E52" s="57">
        <f t="shared" ca="1" si="57"/>
        <v>125571</v>
      </c>
      <c r="F52" s="57">
        <f t="shared" ca="1" si="30"/>
        <v>30.065364171814394</v>
      </c>
      <c r="G52" s="57">
        <f t="shared" ca="1" si="31"/>
        <v>30.065364171814394</v>
      </c>
      <c r="H52" s="281">
        <f t="shared" ref="H52:I52" ca="1" si="58">SUM(H53:H73)</f>
        <v>21</v>
      </c>
      <c r="I52" s="369">
        <f t="shared" ca="1" si="58"/>
        <v>73.3</v>
      </c>
      <c r="J52" s="94">
        <f t="shared" ca="1" si="33"/>
        <v>349.04761904761904</v>
      </c>
      <c r="K52" s="161">
        <f t="shared" ref="K52:L52" ca="1" si="59">SUM(K53:K73)</f>
        <v>122</v>
      </c>
      <c r="L52" s="369">
        <f t="shared" ca="1" si="59"/>
        <v>44</v>
      </c>
      <c r="M52" s="94">
        <f t="shared" ca="1" si="35"/>
        <v>36.065573770491802</v>
      </c>
      <c r="N52" s="161">
        <f t="shared" ref="N52:O52" ca="1" si="60">SUM(N53:N73)</f>
        <v>955</v>
      </c>
      <c r="O52" s="161">
        <f t="shared" ca="1" si="60"/>
        <v>1173.6300000000001</v>
      </c>
      <c r="P52" s="94">
        <f t="shared" ca="1" si="37"/>
        <v>122.8931937172775</v>
      </c>
      <c r="Q52" s="94">
        <f t="shared" ref="Q52:X52" ca="1" si="61">SUM(Q53:Q73)</f>
        <v>40</v>
      </c>
      <c r="R52" s="94">
        <f t="shared" ca="1" si="61"/>
        <v>42</v>
      </c>
      <c r="S52" s="94">
        <f t="shared" ca="1" si="61"/>
        <v>475.63</v>
      </c>
      <c r="T52" s="94">
        <f t="shared" ca="1" si="61"/>
        <v>51</v>
      </c>
      <c r="U52" s="94">
        <f t="shared" ca="1" si="61"/>
        <v>77</v>
      </c>
      <c r="V52" s="94">
        <f t="shared" ca="1" si="61"/>
        <v>698</v>
      </c>
      <c r="W52" s="161">
        <f t="shared" ca="1" si="61"/>
        <v>1250</v>
      </c>
      <c r="X52" s="161">
        <f t="shared" ca="1" si="61"/>
        <v>678.49699999999996</v>
      </c>
      <c r="Y52" s="94">
        <f t="shared" ca="1" si="39"/>
        <v>54.279759999999996</v>
      </c>
      <c r="Z52" s="161">
        <f t="shared" ref="Z52:AK52" ca="1" si="62">SUM(Z53:Z73)</f>
        <v>50</v>
      </c>
      <c r="AA52" s="161">
        <f t="shared" ca="1" si="62"/>
        <v>178.61699999999999</v>
      </c>
      <c r="AB52" s="161">
        <f t="shared" ca="1" si="62"/>
        <v>83</v>
      </c>
      <c r="AC52" s="161">
        <f t="shared" ca="1" si="62"/>
        <v>33</v>
      </c>
      <c r="AD52" s="161">
        <f t="shared" ca="1" si="62"/>
        <v>478.08749999999998</v>
      </c>
      <c r="AE52" s="161">
        <f t="shared" ca="1" si="62"/>
        <v>22</v>
      </c>
      <c r="AF52" s="161">
        <f t="shared" ca="1" si="62"/>
        <v>22</v>
      </c>
      <c r="AG52" s="161">
        <f t="shared" ca="1" si="62"/>
        <v>242.40949999999998</v>
      </c>
      <c r="AH52" s="161">
        <f t="shared" ca="1" si="62"/>
        <v>2046</v>
      </c>
      <c r="AI52" s="369">
        <f t="shared" ca="1" si="62"/>
        <v>113</v>
      </c>
      <c r="AJ52" s="369">
        <f t="shared" ca="1" si="62"/>
        <v>124</v>
      </c>
      <c r="AK52" s="369">
        <f t="shared" ca="1" si="62"/>
        <v>1463.58</v>
      </c>
      <c r="AL52" s="94">
        <f t="shared" ca="1" si="41"/>
        <v>71.533724340175951</v>
      </c>
      <c r="AM52" s="161">
        <f t="shared" ref="AM52:AO52" ca="1" si="63">SUM(AM53:AM73)</f>
        <v>268</v>
      </c>
      <c r="AN52" s="161">
        <f t="shared" ca="1" si="63"/>
        <v>2703</v>
      </c>
      <c r="AO52" s="369">
        <f t="shared" ca="1" si="63"/>
        <v>201</v>
      </c>
      <c r="AP52" s="94">
        <f t="shared" ca="1" si="43"/>
        <v>75</v>
      </c>
      <c r="AQ52" s="369">
        <f ca="1">SUM(AQ53:AQ73)</f>
        <v>1865.16</v>
      </c>
      <c r="AR52" s="94">
        <f t="shared" ca="1" si="44"/>
        <v>69.003329633740293</v>
      </c>
      <c r="AS52" s="161">
        <f t="shared" ref="AS52:BD52" ca="1" si="64">SUM(AS53:AS73)</f>
        <v>173</v>
      </c>
      <c r="AT52" s="161">
        <f t="shared" ca="1" si="64"/>
        <v>1751</v>
      </c>
      <c r="AU52" s="369">
        <f t="shared" ca="1" si="64"/>
        <v>108</v>
      </c>
      <c r="AV52" s="369">
        <f t="shared" ca="1" si="64"/>
        <v>123</v>
      </c>
      <c r="AW52" s="369">
        <f t="shared" ca="1" si="64"/>
        <v>1286.45</v>
      </c>
      <c r="AX52" s="161">
        <f t="shared" ca="1" si="64"/>
        <v>95</v>
      </c>
      <c r="AY52" s="161">
        <f t="shared" ca="1" si="64"/>
        <v>952</v>
      </c>
      <c r="AZ52" s="369">
        <f t="shared" ca="1" si="64"/>
        <v>93</v>
      </c>
      <c r="BA52" s="369">
        <f t="shared" ca="1" si="64"/>
        <v>112</v>
      </c>
      <c r="BB52" s="369">
        <f t="shared" ca="1" si="64"/>
        <v>578.71</v>
      </c>
      <c r="BC52" s="161">
        <f t="shared" ca="1" si="64"/>
        <v>657</v>
      </c>
      <c r="BD52" s="161">
        <f t="shared" ca="1" si="64"/>
        <v>608.1</v>
      </c>
      <c r="BE52" s="94">
        <f t="shared" ca="1" si="46"/>
        <v>92.55707762557077</v>
      </c>
      <c r="BF52" s="161">
        <f t="shared" ref="BF52:BK52" ca="1" si="65">SUM(BF53:BF73)</f>
        <v>14</v>
      </c>
      <c r="BG52" s="161">
        <f t="shared" ca="1" si="65"/>
        <v>10</v>
      </c>
      <c r="BH52" s="161">
        <f t="shared" ca="1" si="65"/>
        <v>103.95</v>
      </c>
      <c r="BI52" s="161">
        <f t="shared" ca="1" si="65"/>
        <v>85</v>
      </c>
      <c r="BJ52" s="161">
        <f t="shared" ca="1" si="65"/>
        <v>42</v>
      </c>
      <c r="BK52" s="161">
        <f t="shared" ca="1" si="65"/>
        <v>504.15</v>
      </c>
    </row>
    <row r="53" spans="1:63" ht="19.5" x14ac:dyDescent="0.3">
      <c r="A53" s="58">
        <v>1</v>
      </c>
      <c r="B53" s="59" t="s">
        <v>81</v>
      </c>
      <c r="C53" s="68">
        <f ca="1">IFERROR(__xludf.DUMMYFUNCTION("IMPORTRANGE(""https://docs.google.com/spreadsheets/d/13wPX838HrBrQMCywv1BsuMkt4PEKTChp52zj44s2izQ/edit?usp=sharing"",""กาญจนบุรี!Q642"")"),7720)</f>
        <v>7720</v>
      </c>
      <c r="D53" s="68">
        <f ca="1">IFERROR(__xludf.DUMMYFUNCTION("IMPORTRANGE(""https://docs.google.com/spreadsheets/d/13wPX838HrBrQMCywv1BsuMkt4PEKTChp52zj44s2izQ/edit?usp=sharing"",""กาญจนบุรี!R642"")"),7720)</f>
        <v>7720</v>
      </c>
      <c r="E53" s="68">
        <f ca="1">IFERROR(__xludf.DUMMYFUNCTION("IMPORTRANGE(""https://docs.google.com/spreadsheets/d/13wPX838HrBrQMCywv1BsuMkt4PEKTChp52zj44s2izQ/edit?usp=sharing"",""กาญจนบุรี!S642"")"),0)</f>
        <v>0</v>
      </c>
      <c r="F53" s="68">
        <f t="shared" ca="1" si="30"/>
        <v>0</v>
      </c>
      <c r="G53" s="68">
        <f t="shared" ca="1" si="31"/>
        <v>0</v>
      </c>
      <c r="H53" s="278">
        <f ca="1">IFERROR(__xludf.DUMMYFUNCTION("IMPORTRANGE(""https://docs.google.com/spreadsheets/d/13wPX838HrBrQMCywv1BsuMkt4PEKTChp52zj44s2izQ/edit?usp=sharing"",""กาญจนบุรี!I652"")"),0)</f>
        <v>0</v>
      </c>
      <c r="I53" s="152">
        <f ca="1">IFERROR(__xludf.DUMMYFUNCTION("IMPORTRANGE(""https://docs.google.com/spreadsheets/d/13wPX838HrBrQMCywv1BsuMkt4PEKTChp52zj44s2izQ/edit?usp=sharing"",""กาญจนบุรี!J652"")"),0)</f>
        <v>0</v>
      </c>
      <c r="J53" s="216">
        <f t="shared" ca="1" si="33"/>
        <v>0</v>
      </c>
      <c r="K53" s="152">
        <f ca="1">IFERROR(__xludf.DUMMYFUNCTION("IMPORTRANGE(""https://docs.google.com/spreadsheets/d/13wPX838HrBrQMCywv1BsuMkt4PEKTChp52zj44s2izQ/edit?usp=sharing"",""กาญจนบุรี!I653"")"),0)</f>
        <v>0</v>
      </c>
      <c r="L53" s="152">
        <f ca="1">IFERROR(__xludf.DUMMYFUNCTION("IMPORTRANGE(""https://docs.google.com/spreadsheets/d/13wPX838HrBrQMCywv1BsuMkt4PEKTChp52zj44s2izQ/edit?usp=sharing"",""กาญจนบุรี!J653"")"),0)</f>
        <v>0</v>
      </c>
      <c r="M53" s="216">
        <f t="shared" ca="1" si="35"/>
        <v>0</v>
      </c>
      <c r="N53" s="152">
        <f ca="1">IFERROR(__xludf.DUMMYFUNCTION("IMPORTRANGE(""https://docs.google.com/spreadsheets/d/13wPX838HrBrQMCywv1BsuMkt4PEKTChp52zj44s2izQ/edit?usp=sharing"",""กาญจนบุรี!I654"")"),0)</f>
        <v>0</v>
      </c>
      <c r="O53" s="152">
        <f ca="1">IFERROR(__xludf.DUMMYFUNCTION("IMPORTRANGE(""https://docs.google.com/spreadsheets/d/13wPX838HrBrQMCywv1BsuMkt4PEKTChp52zj44s2izQ/edit?usp=sharing"",""กาญจนบุรี!J654"")"),0)</f>
        <v>0</v>
      </c>
      <c r="P53" s="216">
        <f t="shared" ca="1" si="37"/>
        <v>0</v>
      </c>
      <c r="Q53" s="216">
        <f ca="1">IFERROR(__xludf.DUMMYFUNCTION("IMPORTRANGE(""https://docs.google.com/spreadsheets/d/13wPX838HrBrQMCywv1BsuMkt4PEKTChp52zj44s2izQ/edit?usp=sharing"",""กาญจนบุรี!J655"")"),0)</f>
        <v>0</v>
      </c>
      <c r="R53" s="216">
        <f ca="1">IFERROR(__xludf.DUMMYFUNCTION("IMPORTRANGE(""https://docs.google.com/spreadsheets/d/13wPX838HrBrQMCywv1BsuMkt4PEKTChp52zj44s2izQ/edit?usp=sharing"",""กาญจนบุรี!J656"")"),0)</f>
        <v>0</v>
      </c>
      <c r="S53" s="216">
        <f ca="1">IFERROR(__xludf.DUMMYFUNCTION("IMPORTRANGE(""https://docs.google.com/spreadsheets/d/13wPX838HrBrQMCywv1BsuMkt4PEKTChp52zj44s2izQ/edit?usp=sharing"",""กาญจนบุรี!J657"")"),0)</f>
        <v>0</v>
      </c>
      <c r="T53" s="216">
        <f ca="1">IFERROR(__xludf.DUMMYFUNCTION("IMPORTRANGE(""https://docs.google.com/spreadsheets/d/13wPX838HrBrQMCywv1BsuMkt4PEKTChp52zj44s2izQ/edit?usp=sharing"",""กาญจนบุรี!J658"")"),0)</f>
        <v>0</v>
      </c>
      <c r="U53" s="216">
        <f ca="1">IFERROR(__xludf.DUMMYFUNCTION("IMPORTRANGE(""https://docs.google.com/spreadsheets/d/13wPX838HrBrQMCywv1BsuMkt4PEKTChp52zj44s2izQ/edit?usp=sharing"",""กาญจนบุรี!J659"")"),0)</f>
        <v>0</v>
      </c>
      <c r="V53" s="216">
        <f ca="1">IFERROR(__xludf.DUMMYFUNCTION("IMPORTRANGE(""https://docs.google.com/spreadsheets/d/13wPX838HrBrQMCywv1BsuMkt4PEKTChp52zj44s2izQ/edit?usp=sharing"",""กาญจนบุรี!J660"")"),0)</f>
        <v>0</v>
      </c>
      <c r="W53" s="152">
        <f ca="1">IFERROR(__xludf.DUMMYFUNCTION("IMPORTRANGE(""https://docs.google.com/spreadsheets/d/13wPX838HrBrQMCywv1BsuMkt4PEKTChp52zj44s2izQ/edit?usp=sharing"",""กาญจนบุรี!I661"")"),0)</f>
        <v>0</v>
      </c>
      <c r="X53" s="152">
        <f ca="1">IFERROR(__xludf.DUMMYFUNCTION("IMPORTRANGE(""https://docs.google.com/spreadsheets/d/13wPX838HrBrQMCywv1BsuMkt4PEKTChp52zj44s2izQ/edit?usp=sharing"",""กาญจนบุรี!J661"")"),0)</f>
        <v>0</v>
      </c>
      <c r="Y53" s="216">
        <f t="shared" ca="1" si="39"/>
        <v>0</v>
      </c>
      <c r="Z53" s="152">
        <f ca="1">IFERROR(__xludf.DUMMYFUNCTION("IMPORTRANGE(""https://docs.google.com/spreadsheets/d/13wPX838HrBrQMCywv1BsuMkt4PEKTChp52zj44s2izQ/edit?usp=sharing"",""กาญจนบุรี!J662"")"),0)</f>
        <v>0</v>
      </c>
      <c r="AA53" s="152">
        <f ca="1">IFERROR(__xludf.DUMMYFUNCTION("IMPORTRANGE(""https://docs.google.com/spreadsheets/d/13wPX838HrBrQMCywv1BsuMkt4PEKTChp52zj44s2izQ/edit?usp=sharing"",""กาญจนบุรี!J663"")"),0)</f>
        <v>0</v>
      </c>
      <c r="AB53" s="152">
        <f ca="1">IFERROR(__xludf.DUMMYFUNCTION("IMPORTRANGE(""https://docs.google.com/spreadsheets/d/13wPX838HrBrQMCywv1BsuMkt4PEKTChp52zj44s2izQ/edit?usp=sharing"",""กาญจนบุรี!J665"")"),0)</f>
        <v>0</v>
      </c>
      <c r="AC53" s="152">
        <f ca="1">IFERROR(__xludf.DUMMYFUNCTION("IMPORTRANGE(""https://docs.google.com/spreadsheets/d/13wPX838HrBrQMCywv1BsuMkt4PEKTChp52zj44s2izQ/edit?usp=sharing"",""กาญจนบุรี!J666"")"),0)</f>
        <v>0</v>
      </c>
      <c r="AD53" s="152">
        <f ca="1">IFERROR(__xludf.DUMMYFUNCTION("IMPORTRANGE(""https://docs.google.com/spreadsheets/d/13wPX838HrBrQMCywv1BsuMkt4PEKTChp52zj44s2izQ/edit?usp=sharing"",""กาญจนบุรี!J667"")"),0)</f>
        <v>0</v>
      </c>
      <c r="AE53" s="152">
        <f ca="1">IFERROR(__xludf.DUMMYFUNCTION("IMPORTRANGE(""https://docs.google.com/spreadsheets/d/13wPX838HrBrQMCywv1BsuMkt4PEKTChp52zj44s2izQ/edit?usp=sharing"",""กาญจนบุรี!J668"")"),0)</f>
        <v>0</v>
      </c>
      <c r="AF53" s="152">
        <f ca="1">IFERROR(__xludf.DUMMYFUNCTION("IMPORTRANGE(""https://docs.google.com/spreadsheets/d/13wPX838HrBrQMCywv1BsuMkt4PEKTChp52zj44s2izQ/edit?usp=sharing"",""กาญจนบุรี!J669"")"),0)</f>
        <v>0</v>
      </c>
      <c r="AG53" s="152">
        <f ca="1">IFERROR(__xludf.DUMMYFUNCTION("IMPORTRANGE(""https://docs.google.com/spreadsheets/d/13wPX838HrBrQMCywv1BsuMkt4PEKTChp52zj44s2izQ/edit?usp=sharing"",""กาญจนบุรี!J670"")"),0)</f>
        <v>0</v>
      </c>
      <c r="AH53" s="152">
        <f ca="1">IFERROR(__xludf.DUMMYFUNCTION("IMPORTRANGE(""https://docs.google.com/spreadsheets/d/13wPX838HrBrQMCywv1BsuMkt4PEKTChp52zj44s2izQ/edit?usp=sharing"",""กาญจนบุรี!I673"")"),0)</f>
        <v>0</v>
      </c>
      <c r="AI53" s="152">
        <f ca="1">IFERROR(__xludf.DUMMYFUNCTION("IMPORTRANGE(""https://docs.google.com/spreadsheets/d/13wPX838HrBrQMCywv1BsuMkt4PEKTChp52zj44s2izQ/edit?usp=sharing"",""กาญจนบุรี!J671"")"),0)</f>
        <v>0</v>
      </c>
      <c r="AJ53" s="152">
        <f ca="1">IFERROR(__xludf.DUMMYFUNCTION("IMPORTRANGE(""https://docs.google.com/spreadsheets/d/13wPX838HrBrQMCywv1BsuMkt4PEKTChp52zj44s2izQ/edit?usp=sharing"",""กาญจนบุรี!J672"")"),0)</f>
        <v>0</v>
      </c>
      <c r="AK53" s="152">
        <f ca="1">IFERROR(__xludf.DUMMYFUNCTION("IMPORTRANGE(""https://docs.google.com/spreadsheets/d/13wPX838HrBrQMCywv1BsuMkt4PEKTChp52zj44s2izQ/edit?usp=sharing"",""กาญจนบุรี!J673"")"),0)</f>
        <v>0</v>
      </c>
      <c r="AL53" s="216">
        <f t="shared" ca="1" si="41"/>
        <v>0</v>
      </c>
      <c r="AM53" s="152">
        <f ca="1">IFERROR(__xludf.DUMMYFUNCTION("IMPORTRANGE(""https://docs.google.com/spreadsheets/d/13wPX838HrBrQMCywv1BsuMkt4PEKTChp52zj44s2izQ/edit?usp=sharing"",""กาญจนบุรี!I674"")"),6)</f>
        <v>6</v>
      </c>
      <c r="AN53" s="152">
        <f ca="1">IFERROR(__xludf.DUMMYFUNCTION("IMPORTRANGE(""https://docs.google.com/spreadsheets/d/13wPX838HrBrQMCywv1BsuMkt4PEKTChp52zj44s2izQ/edit?usp=sharing"",""กาญจนบุรี!I675"")"),60)</f>
        <v>60</v>
      </c>
      <c r="AO53" s="152">
        <f ca="1">IFERROR(__xludf.DUMMYFUNCTION("IMPORTRANGE(""https://docs.google.com/spreadsheets/d/13wPX838HrBrQMCywv1BsuMkt4PEKTChp52zj44s2izQ/edit?usp=sharing"",""กาญจนบุรี!J674"")"),1)</f>
        <v>1</v>
      </c>
      <c r="AP53" s="216">
        <f t="shared" ca="1" si="43"/>
        <v>16.666666666666668</v>
      </c>
      <c r="AQ53" s="152">
        <f ca="1">IFERROR(__xludf.DUMMYFUNCTION("IMPORTRANGE(""https://docs.google.com/spreadsheets/d/13wPX838HrBrQMCywv1BsuMkt4PEKTChp52zj44s2izQ/edit?usp=sharing"",""กาญจนบุรี!J675"")"),9.98)</f>
        <v>9.98</v>
      </c>
      <c r="AR53" s="216">
        <f t="shared" ca="1" si="44"/>
        <v>16.633333333333333</v>
      </c>
      <c r="AS53" s="152">
        <f ca="1">IFERROR(__xludf.DUMMYFUNCTION("IMPORTRANGE(""https://docs.google.com/spreadsheets/d/13wPX838HrBrQMCywv1BsuMkt4PEKTChp52zj44s2izQ/edit?usp=sharing"",""กาญจนบุรี!I676"")"),3)</f>
        <v>3</v>
      </c>
      <c r="AT53" s="152">
        <f ca="1">IFERROR(__xludf.DUMMYFUNCTION("IMPORTRANGE(""https://docs.google.com/spreadsheets/d/13wPX838HrBrQMCywv1BsuMkt4PEKTChp52zj44s2izQ/edit?usp=sharing"",""กาญจนบุรี!I678"")"),30)</f>
        <v>30</v>
      </c>
      <c r="AU53" s="152">
        <f ca="1">IFERROR(__xludf.DUMMYFUNCTION("IMPORTRANGE(""https://docs.google.com/spreadsheets/d/13wPX838HrBrQMCywv1BsuMkt4PEKTChp52zj44s2izQ/edit?usp=sharing"",""กาญจนบุรี!J676"")"),1)</f>
        <v>1</v>
      </c>
      <c r="AV53" s="152">
        <f ca="1">IFERROR(__xludf.DUMMYFUNCTION("IMPORTRANGE(""https://docs.google.com/spreadsheets/d/13wPX838HrBrQMCywv1BsuMkt4PEKTChp52zj44s2izQ/edit?usp=sharing"",""กาญจนบุรี!J677"")"),1)</f>
        <v>1</v>
      </c>
      <c r="AW53" s="152">
        <f ca="1">IFERROR(__xludf.DUMMYFUNCTION("IMPORTRANGE(""https://docs.google.com/spreadsheets/d/13wPX838HrBrQMCywv1BsuMkt4PEKTChp52zj44s2izQ/edit?usp=sharing"",""กาญจนบุรี!J678"")"),9.98)</f>
        <v>9.98</v>
      </c>
      <c r="AX53" s="152">
        <f ca="1">IFERROR(__xludf.DUMMYFUNCTION("IMPORTRANGE(""https://docs.google.com/spreadsheets/d/13wPX838HrBrQMCywv1BsuMkt4PEKTChp52zj44s2izQ/edit?usp=sharing"",""กาญจนบุรี!I679"")"),3)</f>
        <v>3</v>
      </c>
      <c r="AY53" s="152">
        <f ca="1">IFERROR(__xludf.DUMMYFUNCTION("IMPORTRANGE(""https://docs.google.com/spreadsheets/d/13wPX838HrBrQMCywv1BsuMkt4PEKTChp52zj44s2izQ/edit?usp=sharing"",""กาญจนบุรี!I681"")"),30)</f>
        <v>30</v>
      </c>
      <c r="AZ53" s="152">
        <f ca="1">IFERROR(__xludf.DUMMYFUNCTION("IMPORTRANGE(""https://docs.google.com/spreadsheets/d/13wPX838HrBrQMCywv1BsuMkt4PEKTChp52zj44s2izQ/edit?usp=sharing"",""กาญจนบุรี!J679"")"),0)</f>
        <v>0</v>
      </c>
      <c r="BA53" s="152">
        <f ca="1">IFERROR(__xludf.DUMMYFUNCTION("IMPORTRANGE(""https://docs.google.com/spreadsheets/d/13wPX838HrBrQMCywv1BsuMkt4PEKTChp52zj44s2izQ/edit?usp=sharing"",""กาญจนบุรี!J680"")"),0)</f>
        <v>0</v>
      </c>
      <c r="BB53" s="152">
        <f ca="1">IFERROR(__xludf.DUMMYFUNCTION("IMPORTRANGE(""https://docs.google.com/spreadsheets/d/13wPX838HrBrQMCywv1BsuMkt4PEKTChp52zj44s2izQ/edit?usp=sharing"",""กาญจนบุรี!J681"")"),0)</f>
        <v>0</v>
      </c>
      <c r="BC53" s="152">
        <f ca="1">IFERROR(__xludf.DUMMYFUNCTION("IMPORTRANGE(""https://docs.google.com/spreadsheets/d/13wPX838HrBrQMCywv1BsuMkt4PEKTChp52zj44s2izQ/edit?usp=sharing"",""กาญจนบุรี!I682"")"),30)</f>
        <v>30</v>
      </c>
      <c r="BD53" s="152">
        <f ca="1">IFERROR(__xludf.DUMMYFUNCTION("IMPORTRANGE(""https://docs.google.com/spreadsheets/d/13wPX838HrBrQMCywv1BsuMkt4PEKTChp52zj44s2izQ/edit?usp=sharing"",""กาญจนบุรี!J682"")"),0)</f>
        <v>0</v>
      </c>
      <c r="BE53" s="216">
        <f t="shared" ca="1" si="46"/>
        <v>0</v>
      </c>
      <c r="BF53" s="152">
        <f ca="1">IFERROR(__xludf.DUMMYFUNCTION("IMPORTRANGE(""https://docs.google.com/spreadsheets/d/13wPX838HrBrQMCywv1BsuMkt4PEKTChp52zj44s2izQ/edit?usp=sharing"",""กาญจนบุรี!J683"")"),0)</f>
        <v>0</v>
      </c>
      <c r="BG53" s="152">
        <f ca="1">IFERROR(__xludf.DUMMYFUNCTION("IMPORTRANGE(""https://docs.google.com/spreadsheets/d/13wPX838HrBrQMCywv1BsuMkt4PEKTChp52zj44s2izQ/edit?usp=sharing"",""กาญจนบุรี!J684"")"),0)</f>
        <v>0</v>
      </c>
      <c r="BH53" s="152">
        <f ca="1">IFERROR(__xludf.DUMMYFUNCTION("IMPORTRANGE(""https://docs.google.com/spreadsheets/d/13wPX838HrBrQMCywv1BsuMkt4PEKTChp52zj44s2izQ/edit?usp=sharing"",""กาญจนบุรี!J685"")"),0)</f>
        <v>0</v>
      </c>
      <c r="BI53" s="152">
        <f ca="1">IFERROR(__xludf.DUMMYFUNCTION("IMPORTRANGE(""https://docs.google.com/spreadsheets/d/13wPX838HrBrQMCywv1BsuMkt4PEKTChp52zj44s2izQ/edit?usp=sharing"",""กาญจนบุรี!J686"")"),0)</f>
        <v>0</v>
      </c>
      <c r="BJ53" s="152">
        <f ca="1">IFERROR(__xludf.DUMMYFUNCTION("IMPORTRANGE(""https://docs.google.com/spreadsheets/d/13wPX838HrBrQMCywv1BsuMkt4PEKTChp52zj44s2izQ/edit?usp=sharing"",""กาญจนบุรี!J687"")"),0)</f>
        <v>0</v>
      </c>
      <c r="BK53" s="152">
        <f ca="1">IFERROR(__xludf.DUMMYFUNCTION("IMPORTRANGE(""https://docs.google.com/spreadsheets/d/13wPX838HrBrQMCywv1BsuMkt4PEKTChp52zj44s2izQ/edit?usp=sharing"",""กาญจนบุรี!J688"")"),0)</f>
        <v>0</v>
      </c>
    </row>
    <row r="54" spans="1:63" ht="19.5" x14ac:dyDescent="0.3">
      <c r="A54" s="70">
        <v>2</v>
      </c>
      <c r="B54" s="71" t="s">
        <v>82</v>
      </c>
      <c r="C54" s="68">
        <f ca="1">IFERROR(__xludf.DUMMYFUNCTION("IMPORTRANGE(""https://docs.google.com/spreadsheets/d/1ddFKvqj1W1NEiWytbGlB1zMx_ykJDVtmfEQ-6-lIUBA/edit?usp=sharing"",""จันทบุรี!Q642"")"),8220)</f>
        <v>8220</v>
      </c>
      <c r="D54" s="68">
        <f ca="1">IFERROR(__xludf.DUMMYFUNCTION("IMPORTRANGE(""https://docs.google.com/spreadsheets/d/1ddFKvqj1W1NEiWytbGlB1zMx_ykJDVtmfEQ-6-lIUBA/edit?usp=sharing"",""จันทบุรี!R642"")"),8220)</f>
        <v>8220</v>
      </c>
      <c r="E54" s="68">
        <f ca="1">IFERROR(__xludf.DUMMYFUNCTION("IMPORTRANGE(""https://docs.google.com/spreadsheets/d/1ddFKvqj1W1NEiWytbGlB1zMx_ykJDVtmfEQ-6-lIUBA/edit?usp=sharing"",""จันทบุรี!S642"")"),4480)</f>
        <v>4480</v>
      </c>
      <c r="F54" s="68">
        <f t="shared" ca="1" si="30"/>
        <v>54.501216545012163</v>
      </c>
      <c r="G54" s="68">
        <f t="shared" ca="1" si="31"/>
        <v>54.501216545012163</v>
      </c>
      <c r="H54" s="278">
        <f ca="1">IFERROR(__xludf.DUMMYFUNCTION("IMPORTRANGE(""https://docs.google.com/spreadsheets/d/1ddFKvqj1W1NEiWytbGlB1zMx_ykJDVtmfEQ-6-lIUBA/edit?usp=sharing"",""จันทบุรี!I652"")"),10)</f>
        <v>10</v>
      </c>
      <c r="I54" s="152">
        <f ca="1">IFERROR(__xludf.DUMMYFUNCTION("IMPORTRANGE(""https://docs.google.com/spreadsheets/d/1ddFKvqj1W1NEiWytbGlB1zMx_ykJDVtmfEQ-6-lIUBA/edit?usp=sharing"",""จันทบุรี!J652"")"),0)</f>
        <v>0</v>
      </c>
      <c r="J54" s="216">
        <f t="shared" ca="1" si="33"/>
        <v>0</v>
      </c>
      <c r="K54" s="152">
        <f ca="1">IFERROR(__xludf.DUMMYFUNCTION("IMPORTRANGE(""https://docs.google.com/spreadsheets/d/1ddFKvqj1W1NEiWytbGlB1zMx_ykJDVtmfEQ-6-lIUBA/edit?usp=sharing"",""จันทบุรี!I653"")"),2)</f>
        <v>2</v>
      </c>
      <c r="L54" s="152">
        <f ca="1">IFERROR(__xludf.DUMMYFUNCTION("IMPORTRANGE(""https://docs.google.com/spreadsheets/d/1ddFKvqj1W1NEiWytbGlB1zMx_ykJDVtmfEQ-6-lIUBA/edit?usp=sharing"",""จันทบุรี!J653"")"),0)</f>
        <v>0</v>
      </c>
      <c r="M54" s="216">
        <f t="shared" ca="1" si="35"/>
        <v>0</v>
      </c>
      <c r="N54" s="152">
        <f ca="1">IFERROR(__xludf.DUMMYFUNCTION("IMPORTRANGE(""https://docs.google.com/spreadsheets/d/1ddFKvqj1W1NEiWytbGlB1zMx_ykJDVtmfEQ-6-lIUBA/edit?usp=sharing"",""จันทบุรี!I654"")"),0)</f>
        <v>0</v>
      </c>
      <c r="O54" s="152">
        <f ca="1">IFERROR(__xludf.DUMMYFUNCTION("IMPORTRANGE(""https://docs.google.com/spreadsheets/d/1ddFKvqj1W1NEiWytbGlB1zMx_ykJDVtmfEQ-6-lIUBA/edit?usp=sharing"",""จันทบุรี!J654"")"),0)</f>
        <v>0</v>
      </c>
      <c r="P54" s="216">
        <f t="shared" ca="1" si="37"/>
        <v>0</v>
      </c>
      <c r="Q54" s="216">
        <f ca="1">IFERROR(__xludf.DUMMYFUNCTION("IMPORTRANGE(""https://docs.google.com/spreadsheets/d/1ddFKvqj1W1NEiWytbGlB1zMx_ykJDVtmfEQ-6-lIUBA/edit?usp=sharing"",""จันทบุรี!J655"")"),0)</f>
        <v>0</v>
      </c>
      <c r="R54" s="216">
        <f ca="1">IFERROR(__xludf.DUMMYFUNCTION("IMPORTRANGE(""https://docs.google.com/spreadsheets/d/1ddFKvqj1W1NEiWytbGlB1zMx_ykJDVtmfEQ-6-lIUBA/edit?usp=sharing"",""จันทบุรี!J656"")"),0)</f>
        <v>0</v>
      </c>
      <c r="S54" s="216">
        <f ca="1">IFERROR(__xludf.DUMMYFUNCTION("IMPORTRANGE(""https://docs.google.com/spreadsheets/d/1ddFKvqj1W1NEiWytbGlB1zMx_ykJDVtmfEQ-6-lIUBA/edit?usp=sharing"",""จันทบุรี!J657"")"),0)</f>
        <v>0</v>
      </c>
      <c r="T54" s="216">
        <f ca="1">IFERROR(__xludf.DUMMYFUNCTION("IMPORTRANGE(""https://docs.google.com/spreadsheets/d/1ddFKvqj1W1NEiWytbGlB1zMx_ykJDVtmfEQ-6-lIUBA/edit?usp=sharing"",""จันทบุรี!J658"")"),0)</f>
        <v>0</v>
      </c>
      <c r="U54" s="216">
        <f ca="1">IFERROR(__xludf.DUMMYFUNCTION("IMPORTRANGE(""https://docs.google.com/spreadsheets/d/1ddFKvqj1W1NEiWytbGlB1zMx_ykJDVtmfEQ-6-lIUBA/edit?usp=sharing"",""จันทบุรี!J659"")"),0)</f>
        <v>0</v>
      </c>
      <c r="V54" s="216">
        <f ca="1">IFERROR(__xludf.DUMMYFUNCTION("IMPORTRANGE(""https://docs.google.com/spreadsheets/d/1ddFKvqj1W1NEiWytbGlB1zMx_ykJDVtmfEQ-6-lIUBA/edit?usp=sharing"",""จันทบุรี!J660"")"),0)</f>
        <v>0</v>
      </c>
      <c r="W54" s="152">
        <f ca="1">IFERROR(__xludf.DUMMYFUNCTION("IMPORTRANGE(""https://docs.google.com/spreadsheets/d/1ddFKvqj1W1NEiWytbGlB1zMx_ykJDVtmfEQ-6-lIUBA/edit?usp=sharing"",""จันทบุรี!I661"")"),64)</f>
        <v>64</v>
      </c>
      <c r="X54" s="152">
        <f ca="1">IFERROR(__xludf.DUMMYFUNCTION("IMPORTRANGE(""https://docs.google.com/spreadsheets/d/1ddFKvqj1W1NEiWytbGlB1zMx_ykJDVtmfEQ-6-lIUBA/edit?usp=sharing"",""จันทบุรี!J661"")"),0)</f>
        <v>0</v>
      </c>
      <c r="Y54" s="216">
        <f t="shared" ca="1" si="39"/>
        <v>0</v>
      </c>
      <c r="Z54" s="152">
        <f ca="1">IFERROR(__xludf.DUMMYFUNCTION("IMPORTRANGE(""https://docs.google.com/spreadsheets/d/1ddFKvqj1W1NEiWytbGlB1zMx_ykJDVtmfEQ-6-lIUBA/edit?usp=sharing"",""จันทบุรี!J662"")"),0)</f>
        <v>0</v>
      </c>
      <c r="AA54" s="152">
        <f ca="1">IFERROR(__xludf.DUMMYFUNCTION("IMPORTRANGE(""https://docs.google.com/spreadsheets/d/1ddFKvqj1W1NEiWytbGlB1zMx_ykJDVtmfEQ-6-lIUBA/edit?usp=sharing"",""จันทบุรี!J663"")"),0)</f>
        <v>0</v>
      </c>
      <c r="AB54" s="152">
        <f ca="1">IFERROR(__xludf.DUMMYFUNCTION("IMPORTRANGE(""https://docs.google.com/spreadsheets/d/1ddFKvqj1W1NEiWytbGlB1zMx_ykJDVtmfEQ-6-lIUBA/edit?usp=sharing"",""จันทบุรี!J665"")"),0)</f>
        <v>0</v>
      </c>
      <c r="AC54" s="152">
        <f ca="1">IFERROR(__xludf.DUMMYFUNCTION("IMPORTRANGE(""https://docs.google.com/spreadsheets/d/1ddFKvqj1W1NEiWytbGlB1zMx_ykJDVtmfEQ-6-lIUBA/edit?usp=sharing"",""จันทบุรี!J666"")"),0)</f>
        <v>0</v>
      </c>
      <c r="AD54" s="152">
        <f ca="1">IFERROR(__xludf.DUMMYFUNCTION("IMPORTRANGE(""https://docs.google.com/spreadsheets/d/1ddFKvqj1W1NEiWytbGlB1zMx_ykJDVtmfEQ-6-lIUBA/edit?usp=sharing"",""จันทบุรี!J667"")"),0)</f>
        <v>0</v>
      </c>
      <c r="AE54" s="152">
        <f ca="1">IFERROR(__xludf.DUMMYFUNCTION("IMPORTRANGE(""https://docs.google.com/spreadsheets/d/1ddFKvqj1W1NEiWytbGlB1zMx_ykJDVtmfEQ-6-lIUBA/edit?usp=sharing"",""จันทบุรี!J668"")"),0)</f>
        <v>0</v>
      </c>
      <c r="AF54" s="152">
        <f ca="1">IFERROR(__xludf.DUMMYFUNCTION("IMPORTRANGE(""https://docs.google.com/spreadsheets/d/1ddFKvqj1W1NEiWytbGlB1zMx_ykJDVtmfEQ-6-lIUBA/edit?usp=sharing"",""จันทบุรี!J669"")"),0)</f>
        <v>0</v>
      </c>
      <c r="AG54" s="152">
        <f ca="1">IFERROR(__xludf.DUMMYFUNCTION("IMPORTRANGE(""https://docs.google.com/spreadsheets/d/1ddFKvqj1W1NEiWytbGlB1zMx_ykJDVtmfEQ-6-lIUBA/edit?usp=sharing"",""จันทบุรี!J670"")"),0)</f>
        <v>0</v>
      </c>
      <c r="AH54" s="152">
        <f ca="1">IFERROR(__xludf.DUMMYFUNCTION("IMPORTRANGE(""https://docs.google.com/spreadsheets/d/1ddFKvqj1W1NEiWytbGlB1zMx_ykJDVtmfEQ-6-lIUBA/edit?usp=sharing"",""จันทบุรี!I673"")"),47)</f>
        <v>47</v>
      </c>
      <c r="AI54" s="152">
        <f ca="1">IFERROR(__xludf.DUMMYFUNCTION("IMPORTRANGE(""https://docs.google.com/spreadsheets/d/1ddFKvqj1W1NEiWytbGlB1zMx_ykJDVtmfEQ-6-lIUBA/edit?usp=sharing"",""จันทบุรี!J671"")"),0)</f>
        <v>0</v>
      </c>
      <c r="AJ54" s="152">
        <f ca="1">IFERROR(__xludf.DUMMYFUNCTION("IMPORTRANGE(""https://docs.google.com/spreadsheets/d/1ddFKvqj1W1NEiWytbGlB1zMx_ykJDVtmfEQ-6-lIUBA/edit?usp=sharing"",""จันทบุรี!J672"")"),0)</f>
        <v>0</v>
      </c>
      <c r="AK54" s="152">
        <f ca="1">IFERROR(__xludf.DUMMYFUNCTION("IMPORTRANGE(""https://docs.google.com/spreadsheets/d/1ddFKvqj1W1NEiWytbGlB1zMx_ykJDVtmfEQ-6-lIUBA/edit?usp=sharing"",""จันทบุรี!J673"")"),0)</f>
        <v>0</v>
      </c>
      <c r="AL54" s="216">
        <f t="shared" ca="1" si="41"/>
        <v>0</v>
      </c>
      <c r="AM54" s="152">
        <f ca="1">IFERROR(__xludf.DUMMYFUNCTION("IMPORTRANGE(""https://docs.google.com/spreadsheets/d/1ddFKvqj1W1NEiWytbGlB1zMx_ykJDVtmfEQ-6-lIUBA/edit?usp=sharing"",""จันทบุรี!I674"")"),5)</f>
        <v>5</v>
      </c>
      <c r="AN54" s="152">
        <f ca="1">IFERROR(__xludf.DUMMYFUNCTION("IMPORTRANGE(""https://docs.google.com/spreadsheets/d/1ddFKvqj1W1NEiWytbGlB1zMx_ykJDVtmfEQ-6-lIUBA/edit?usp=sharing"",""จันทบุรี!I675"")"),59)</f>
        <v>59</v>
      </c>
      <c r="AO54" s="152">
        <f ca="1">IFERROR(__xludf.DUMMYFUNCTION("IMPORTRANGE(""https://docs.google.com/spreadsheets/d/1ddFKvqj1W1NEiWytbGlB1zMx_ykJDVtmfEQ-6-lIUBA/edit?usp=sharing"",""จันทบุรี!J674"")"),3)</f>
        <v>3</v>
      </c>
      <c r="AP54" s="216">
        <f t="shared" ca="1" si="43"/>
        <v>60</v>
      </c>
      <c r="AQ54" s="152">
        <f ca="1">IFERROR(__xludf.DUMMYFUNCTION("IMPORTRANGE(""https://docs.google.com/spreadsheets/d/1ddFKvqj1W1NEiWytbGlB1zMx_ykJDVtmfEQ-6-lIUBA/edit?usp=sharing"",""จันทบุรี!J675"")"),37.16)</f>
        <v>37.159999999999997</v>
      </c>
      <c r="AR54" s="216">
        <f t="shared" ca="1" si="44"/>
        <v>62.983050847457619</v>
      </c>
      <c r="AS54" s="152">
        <f ca="1">IFERROR(__xludf.DUMMYFUNCTION("IMPORTRANGE(""https://docs.google.com/spreadsheets/d/1ddFKvqj1W1NEiWytbGlB1zMx_ykJDVtmfEQ-6-lIUBA/edit?usp=sharing"",""จันทบุรี!I676"")"),5)</f>
        <v>5</v>
      </c>
      <c r="AT54" s="152">
        <f ca="1">IFERROR(__xludf.DUMMYFUNCTION("IMPORTRANGE(""https://docs.google.com/spreadsheets/d/1ddFKvqj1W1NEiWytbGlB1zMx_ykJDVtmfEQ-6-lIUBA/edit?usp=sharing"",""จันทบุรี!I678"")"),59)</f>
        <v>59</v>
      </c>
      <c r="AU54" s="152">
        <f ca="1">IFERROR(__xludf.DUMMYFUNCTION("IMPORTRANGE(""https://docs.google.com/spreadsheets/d/1ddFKvqj1W1NEiWytbGlB1zMx_ykJDVtmfEQ-6-lIUBA/edit?usp=sharing"",""จันทบุรี!J676"")"),3)</f>
        <v>3</v>
      </c>
      <c r="AV54" s="152">
        <f ca="1">IFERROR(__xludf.DUMMYFUNCTION("IMPORTRANGE(""https://docs.google.com/spreadsheets/d/1ddFKvqj1W1NEiWytbGlB1zMx_ykJDVtmfEQ-6-lIUBA/edit?usp=sharing"",""จันทบุรี!J677"")"),3)</f>
        <v>3</v>
      </c>
      <c r="AW54" s="152">
        <f ca="1">IFERROR(__xludf.DUMMYFUNCTION("IMPORTRANGE(""https://docs.google.com/spreadsheets/d/1ddFKvqj1W1NEiWytbGlB1zMx_ykJDVtmfEQ-6-lIUBA/edit?usp=sharing"",""จันทบุรี!J678"")"),37.16)</f>
        <v>37.159999999999997</v>
      </c>
      <c r="AX54" s="152">
        <f ca="1">IFERROR(__xludf.DUMMYFUNCTION("IMPORTRANGE(""https://docs.google.com/spreadsheets/d/1ddFKvqj1W1NEiWytbGlB1zMx_ykJDVtmfEQ-6-lIUBA/edit?usp=sharing"",""จันทบุรี!I679"")"),0)</f>
        <v>0</v>
      </c>
      <c r="AY54" s="152">
        <f ca="1">IFERROR(__xludf.DUMMYFUNCTION("IMPORTRANGE(""https://docs.google.com/spreadsheets/d/1ddFKvqj1W1NEiWytbGlB1zMx_ykJDVtmfEQ-6-lIUBA/edit?usp=sharing"",""จันทบุรี!I681"")"),0)</f>
        <v>0</v>
      </c>
      <c r="AZ54" s="152">
        <f ca="1">IFERROR(__xludf.DUMMYFUNCTION("IMPORTRANGE(""https://docs.google.com/spreadsheets/d/1ddFKvqj1W1NEiWytbGlB1zMx_ykJDVtmfEQ-6-lIUBA/edit?usp=sharing"",""จันทบุรี!J679"")"),0)</f>
        <v>0</v>
      </c>
      <c r="BA54" s="152">
        <f ca="1">IFERROR(__xludf.DUMMYFUNCTION("IMPORTRANGE(""https://docs.google.com/spreadsheets/d/1ddFKvqj1W1NEiWytbGlB1zMx_ykJDVtmfEQ-6-lIUBA/edit?usp=sharing"",""จันทบุรี!J680"")"),0)</f>
        <v>0</v>
      </c>
      <c r="BB54" s="152">
        <f ca="1">IFERROR(__xludf.DUMMYFUNCTION("IMPORTRANGE(""https://docs.google.com/spreadsheets/d/1ddFKvqj1W1NEiWytbGlB1zMx_ykJDVtmfEQ-6-lIUBA/edit?usp=sharing"",""จันทบุรี!J681"")"),0)</f>
        <v>0</v>
      </c>
      <c r="BC54" s="152">
        <f ca="1">IFERROR(__xludf.DUMMYFUNCTION("IMPORTRANGE(""https://docs.google.com/spreadsheets/d/1ddFKvqj1W1NEiWytbGlB1zMx_ykJDVtmfEQ-6-lIUBA/edit?usp=sharing"",""จันทบุรี!I682"")"),0)</f>
        <v>0</v>
      </c>
      <c r="BD54" s="152">
        <f ca="1">IFERROR(__xludf.DUMMYFUNCTION("IMPORTRANGE(""https://docs.google.com/spreadsheets/d/1ddFKvqj1W1NEiWytbGlB1zMx_ykJDVtmfEQ-6-lIUBA/edit?usp=sharing"",""จันทบุรี!J682"")"),0)</f>
        <v>0</v>
      </c>
      <c r="BE54" s="216">
        <f t="shared" ca="1" si="46"/>
        <v>0</v>
      </c>
      <c r="BF54" s="152">
        <f ca="1">IFERROR(__xludf.DUMMYFUNCTION("IMPORTRANGE(""https://docs.google.com/spreadsheets/d/1ddFKvqj1W1NEiWytbGlB1zMx_ykJDVtmfEQ-6-lIUBA/edit?usp=sharing"",""จันทบุรี!J683"")"),0)</f>
        <v>0</v>
      </c>
      <c r="BG54" s="152">
        <f ca="1">IFERROR(__xludf.DUMMYFUNCTION("IMPORTRANGE(""https://docs.google.com/spreadsheets/d/1ddFKvqj1W1NEiWytbGlB1zMx_ykJDVtmfEQ-6-lIUBA/edit?usp=sharing"",""จันทบุรี!J684"")"),0)</f>
        <v>0</v>
      </c>
      <c r="BH54" s="152">
        <f ca="1">IFERROR(__xludf.DUMMYFUNCTION("IMPORTRANGE(""https://docs.google.com/spreadsheets/d/1ddFKvqj1W1NEiWytbGlB1zMx_ykJDVtmfEQ-6-lIUBA/edit?usp=sharing"",""จันทบุรี!J685"")"),0)</f>
        <v>0</v>
      </c>
      <c r="BI54" s="152">
        <f ca="1">IFERROR(__xludf.DUMMYFUNCTION("IMPORTRANGE(""https://docs.google.com/spreadsheets/d/1ddFKvqj1W1NEiWytbGlB1zMx_ykJDVtmfEQ-6-lIUBA/edit?usp=sharing"",""จันทบุรี!J686"")"),0)</f>
        <v>0</v>
      </c>
      <c r="BJ54" s="152">
        <f ca="1">IFERROR(__xludf.DUMMYFUNCTION("IMPORTRANGE(""https://docs.google.com/spreadsheets/d/1ddFKvqj1W1NEiWytbGlB1zMx_ykJDVtmfEQ-6-lIUBA/edit?usp=sharing"",""จันทบุรี!J687"")"),0)</f>
        <v>0</v>
      </c>
      <c r="BK54" s="152">
        <f ca="1">IFERROR(__xludf.DUMMYFUNCTION("IMPORTRANGE(""https://docs.google.com/spreadsheets/d/1ddFKvqj1W1NEiWytbGlB1zMx_ykJDVtmfEQ-6-lIUBA/edit?usp=sharing"",""จันทบุรี!J688"")"),0)</f>
        <v>0</v>
      </c>
    </row>
    <row r="55" spans="1:63" ht="19.5" x14ac:dyDescent="0.3">
      <c r="A55" s="70">
        <v>3</v>
      </c>
      <c r="B55" s="71" t="s">
        <v>83</v>
      </c>
      <c r="C55" s="68">
        <f ca="1">IFERROR(__xludf.DUMMYFUNCTION("IMPORTRANGE(""https://docs.google.com/spreadsheets/d/1T1PQvRODqOBZk8BRht_U031fIS1beLA0Ub2CEytj2q0/edit?usp=sharing"",""ฉะเชิงเทรา!Q642"")"),65360)</f>
        <v>65360</v>
      </c>
      <c r="D55" s="68">
        <f ca="1">IFERROR(__xludf.DUMMYFUNCTION("IMPORTRANGE(""https://docs.google.com/spreadsheets/d/1T1PQvRODqOBZk8BRht_U031fIS1beLA0Ub2CEytj2q0/edit?usp=sharing"",""ฉะเชิงเทรา!R642"")"),65360)</f>
        <v>65360</v>
      </c>
      <c r="E55" s="68">
        <f ca="1">IFERROR(__xludf.DUMMYFUNCTION("IMPORTRANGE(""https://docs.google.com/spreadsheets/d/1T1PQvRODqOBZk8BRht_U031fIS1beLA0Ub2CEytj2q0/edit?usp=sharing"",""ฉะเชิงเทรา!S642"")"),8170)</f>
        <v>8170</v>
      </c>
      <c r="F55" s="68">
        <f t="shared" ca="1" si="30"/>
        <v>12.5</v>
      </c>
      <c r="G55" s="68">
        <f t="shared" ca="1" si="31"/>
        <v>12.5</v>
      </c>
      <c r="H55" s="278">
        <f ca="1">IFERROR(__xludf.DUMMYFUNCTION("IMPORTRANGE(""https://docs.google.com/spreadsheets/d/1T1PQvRODqOBZk8BRht_U031fIS1beLA0Ub2CEytj2q0/edit?usp=sharing"",""ฉะเชิงเทรา!I652"")"),0)</f>
        <v>0</v>
      </c>
      <c r="I55" s="152">
        <f ca="1">IFERROR(__xludf.DUMMYFUNCTION("IMPORTRANGE(""https://docs.google.com/spreadsheets/d/1T1PQvRODqOBZk8BRht_U031fIS1beLA0Ub2CEytj2q0/edit?usp=sharing"",""ฉะเชิงเทรา!J652"")"),0)</f>
        <v>0</v>
      </c>
      <c r="J55" s="216">
        <f t="shared" ca="1" si="33"/>
        <v>0</v>
      </c>
      <c r="K55" s="152">
        <f ca="1">IFERROR(__xludf.DUMMYFUNCTION("IMPORTRANGE(""https://docs.google.com/spreadsheets/d/1T1PQvRODqOBZk8BRht_U031fIS1beLA0Ub2CEytj2q0/edit?usp=sharing"",""ฉะเชิงเทรา!I653"")"),10)</f>
        <v>10</v>
      </c>
      <c r="L55" s="152">
        <f ca="1">IFERROR(__xludf.DUMMYFUNCTION("IMPORTRANGE(""https://docs.google.com/spreadsheets/d/1T1PQvRODqOBZk8BRht_U031fIS1beLA0Ub2CEytj2q0/edit?usp=sharing"",""ฉะเชิงเทรา!J653"")"),5)</f>
        <v>5</v>
      </c>
      <c r="M55" s="216">
        <f t="shared" ca="1" si="35"/>
        <v>50</v>
      </c>
      <c r="N55" s="152">
        <f ca="1">IFERROR(__xludf.DUMMYFUNCTION("IMPORTRANGE(""https://docs.google.com/spreadsheets/d/1T1PQvRODqOBZk8BRht_U031fIS1beLA0Ub2CEytj2q0/edit?usp=sharing"",""ฉะเชิงเทรา!I654"")"),50)</f>
        <v>50</v>
      </c>
      <c r="O55" s="152">
        <f ca="1">IFERROR(__xludf.DUMMYFUNCTION("IMPORTRANGE(""https://docs.google.com/spreadsheets/d/1T1PQvRODqOBZk8BRht_U031fIS1beLA0Ub2CEytj2q0/edit?usp=sharing"",""ฉะเชิงเทรา!J654"")"),1.44)</f>
        <v>1.44</v>
      </c>
      <c r="P55" s="216">
        <f t="shared" ca="1" si="37"/>
        <v>2.88</v>
      </c>
      <c r="Q55" s="216">
        <f ca="1">IFERROR(__xludf.DUMMYFUNCTION("IMPORTRANGE(""https://docs.google.com/spreadsheets/d/1T1PQvRODqOBZk8BRht_U031fIS1beLA0Ub2CEytj2q0/edit?usp=sharing"",""ฉะเชิงเทรา!J655"")"),1)</f>
        <v>1</v>
      </c>
      <c r="R55" s="216">
        <f ca="1">IFERROR(__xludf.DUMMYFUNCTION("IMPORTRANGE(""https://docs.google.com/spreadsheets/d/1T1PQvRODqOBZk8BRht_U031fIS1beLA0Ub2CEytj2q0/edit?usp=sharing"",""ฉะเชิงเทรา!J656"")"),1)</f>
        <v>1</v>
      </c>
      <c r="S55" s="216">
        <f ca="1">IFERROR(__xludf.DUMMYFUNCTION("IMPORTRANGE(""https://docs.google.com/spreadsheets/d/1T1PQvRODqOBZk8BRht_U031fIS1beLA0Ub2CEytj2q0/edit?usp=sharing"",""ฉะเชิงเทรา!J657"")"),1.44)</f>
        <v>1.44</v>
      </c>
      <c r="T55" s="216">
        <f ca="1">IFERROR(__xludf.DUMMYFUNCTION("IMPORTRANGE(""https://docs.google.com/spreadsheets/d/1T1PQvRODqOBZk8BRht_U031fIS1beLA0Ub2CEytj2q0/edit?usp=sharing"",""ฉะเชิงเทรา!J658"")"),0)</f>
        <v>0</v>
      </c>
      <c r="U55" s="216">
        <f ca="1">IFERROR(__xludf.DUMMYFUNCTION("IMPORTRANGE(""https://docs.google.com/spreadsheets/d/1T1PQvRODqOBZk8BRht_U031fIS1beLA0Ub2CEytj2q0/edit?usp=sharing"",""ฉะเชิงเทรา!J659"")"),0)</f>
        <v>0</v>
      </c>
      <c r="V55" s="216">
        <f ca="1">IFERROR(__xludf.DUMMYFUNCTION("IMPORTRANGE(""https://docs.google.com/spreadsheets/d/1T1PQvRODqOBZk8BRht_U031fIS1beLA0Ub2CEytj2q0/edit?usp=sharing"",""ฉะเชิงเทรา!J660"")"),0)</f>
        <v>0</v>
      </c>
      <c r="W55" s="152">
        <f ca="1">IFERROR(__xludf.DUMMYFUNCTION("IMPORTRANGE(""https://docs.google.com/spreadsheets/d/1T1PQvRODqOBZk8BRht_U031fIS1beLA0Ub2CEytj2q0/edit?usp=sharing"",""ฉะเชิงเทรา!I661"")"),400)</f>
        <v>400</v>
      </c>
      <c r="X55" s="152">
        <f ca="1">IFERROR(__xludf.DUMMYFUNCTION("IMPORTRANGE(""https://docs.google.com/spreadsheets/d/1T1PQvRODqOBZk8BRht_U031fIS1beLA0Ub2CEytj2q0/edit?usp=sharing"",""ฉะเชิงเทรา!J661"")"),240)</f>
        <v>240</v>
      </c>
      <c r="Y55" s="216">
        <f t="shared" ca="1" si="39"/>
        <v>60</v>
      </c>
      <c r="Z55" s="152">
        <f ca="1">IFERROR(__xludf.DUMMYFUNCTION("IMPORTRANGE(""https://docs.google.com/spreadsheets/d/1T1PQvRODqOBZk8BRht_U031fIS1beLA0Ub2CEytj2q0/edit?usp=sharing"",""ฉะเชิงเทรา!J662"")"),0)</f>
        <v>0</v>
      </c>
      <c r="AA55" s="152">
        <f ca="1">IFERROR(__xludf.DUMMYFUNCTION("IMPORTRANGE(""https://docs.google.com/spreadsheets/d/1T1PQvRODqOBZk8BRht_U031fIS1beLA0Ub2CEytj2q0/edit?usp=sharing"",""ฉะเชิงเทรา!J663"")"),0)</f>
        <v>0</v>
      </c>
      <c r="AB55" s="152">
        <f ca="1">IFERROR(__xludf.DUMMYFUNCTION("IMPORTRANGE(""https://docs.google.com/spreadsheets/d/1T1PQvRODqOBZk8BRht_U031fIS1beLA0Ub2CEytj2q0/edit?usp=sharing"",""ฉะเชิงเทรา!J665"")"),10)</f>
        <v>10</v>
      </c>
      <c r="AC55" s="152">
        <f ca="1">IFERROR(__xludf.DUMMYFUNCTION("IMPORTRANGE(""https://docs.google.com/spreadsheets/d/1T1PQvRODqOBZk8BRht_U031fIS1beLA0Ub2CEytj2q0/edit?usp=sharing"",""ฉะเชิงเทรา!J666"")"),10)</f>
        <v>10</v>
      </c>
      <c r="AD55" s="152">
        <f ca="1">IFERROR(__xludf.DUMMYFUNCTION("IMPORTRANGE(""https://docs.google.com/spreadsheets/d/1T1PQvRODqOBZk8BRht_U031fIS1beLA0Ub2CEytj2q0/edit?usp=sharing"",""ฉะเชิงเทรา!J667"")"),198)</f>
        <v>198</v>
      </c>
      <c r="AE55" s="152">
        <f ca="1">IFERROR(__xludf.DUMMYFUNCTION("IMPORTRANGE(""https://docs.google.com/spreadsheets/d/1T1PQvRODqOBZk8BRht_U031fIS1beLA0Ub2CEytj2q0/edit?usp=sharing"",""ฉะเชิงเทรา!J668"")"),4)</f>
        <v>4</v>
      </c>
      <c r="AF55" s="152">
        <f ca="1">IFERROR(__xludf.DUMMYFUNCTION("IMPORTRANGE(""https://docs.google.com/spreadsheets/d/1T1PQvRODqOBZk8BRht_U031fIS1beLA0Ub2CEytj2q0/edit?usp=sharing"",""ฉะเชิงเทรา!J669"")"),4)</f>
        <v>4</v>
      </c>
      <c r="AG55" s="152">
        <f ca="1">IFERROR(__xludf.DUMMYFUNCTION("IMPORTRANGE(""https://docs.google.com/spreadsheets/d/1T1PQvRODqOBZk8BRht_U031fIS1beLA0Ub2CEytj2q0/edit?usp=sharing"",""ฉะเชิงเทรา!J670"")"),42)</f>
        <v>42</v>
      </c>
      <c r="AH55" s="152">
        <f ca="1">IFERROR(__xludf.DUMMYFUNCTION("IMPORTRANGE(""https://docs.google.com/spreadsheets/d/1T1PQvRODqOBZk8BRht_U031fIS1beLA0Ub2CEytj2q0/edit?usp=sharing"",""ฉะเชิงเทรา!I673"")"),30)</f>
        <v>30</v>
      </c>
      <c r="AI55" s="152">
        <f ca="1">IFERROR(__xludf.DUMMYFUNCTION("IMPORTRANGE(""https://docs.google.com/spreadsheets/d/1T1PQvRODqOBZk8BRht_U031fIS1beLA0Ub2CEytj2q0/edit?usp=sharing"",""ฉะเชิงเทรา!J671"")"),0)</f>
        <v>0</v>
      </c>
      <c r="AJ55" s="152">
        <f ca="1">IFERROR(__xludf.DUMMYFUNCTION("IMPORTRANGE(""https://docs.google.com/spreadsheets/d/1T1PQvRODqOBZk8BRht_U031fIS1beLA0Ub2CEytj2q0/edit?usp=sharing"",""ฉะเชิงเทรา!J672"")"),0)</f>
        <v>0</v>
      </c>
      <c r="AK55" s="152">
        <f ca="1">IFERROR(__xludf.DUMMYFUNCTION("IMPORTRANGE(""https://docs.google.com/spreadsheets/d/1T1PQvRODqOBZk8BRht_U031fIS1beLA0Ub2CEytj2q0/edit?usp=sharing"",""ฉะเชิงเทรา!J673"")"),0)</f>
        <v>0</v>
      </c>
      <c r="AL55" s="216">
        <f t="shared" ca="1" si="41"/>
        <v>0</v>
      </c>
      <c r="AM55" s="152">
        <f ca="1">IFERROR(__xludf.DUMMYFUNCTION("IMPORTRANGE(""https://docs.google.com/spreadsheets/d/1T1PQvRODqOBZk8BRht_U031fIS1beLA0Ub2CEytj2q0/edit?usp=sharing"",""ฉะเชิงเทรา!I674"")"),78)</f>
        <v>78</v>
      </c>
      <c r="AN55" s="152">
        <f ca="1">IFERROR(__xludf.DUMMYFUNCTION("IMPORTRANGE(""https://docs.google.com/spreadsheets/d/1T1PQvRODqOBZk8BRht_U031fIS1beLA0Ub2CEytj2q0/edit?usp=sharing"",""ฉะเชิงเทรา!I675"")"),550)</f>
        <v>550</v>
      </c>
      <c r="AO55" s="152">
        <f ca="1">IFERROR(__xludf.DUMMYFUNCTION("IMPORTRANGE(""https://docs.google.com/spreadsheets/d/1T1PQvRODqOBZk8BRht_U031fIS1beLA0Ub2CEytj2q0/edit?usp=sharing"",""ฉะเชิงเทรา!J674"")"),19)</f>
        <v>19</v>
      </c>
      <c r="AP55" s="216">
        <f t="shared" ca="1" si="43"/>
        <v>24.358974358974358</v>
      </c>
      <c r="AQ55" s="152">
        <f ca="1">IFERROR(__xludf.DUMMYFUNCTION("IMPORTRANGE(""https://docs.google.com/spreadsheets/d/1T1PQvRODqOBZk8BRht_U031fIS1beLA0Ub2CEytj2q0/edit?usp=sharing"",""ฉะเชิงเทรา!J675"")"),212.33)</f>
        <v>212.33</v>
      </c>
      <c r="AR55" s="216">
        <f t="shared" ca="1" si="44"/>
        <v>38.605454545454542</v>
      </c>
      <c r="AS55" s="152">
        <f ca="1">IFERROR(__xludf.DUMMYFUNCTION("IMPORTRANGE(""https://docs.google.com/spreadsheets/d/1T1PQvRODqOBZk8BRht_U031fIS1beLA0Ub2CEytj2q0/edit?usp=sharing"",""ฉะเชิงเทรา!I676"")"),40)</f>
        <v>40</v>
      </c>
      <c r="AT55" s="152">
        <f ca="1">IFERROR(__xludf.DUMMYFUNCTION("IMPORTRANGE(""https://docs.google.com/spreadsheets/d/1T1PQvRODqOBZk8BRht_U031fIS1beLA0Ub2CEytj2q0/edit?usp=sharing"",""ฉะเชิงเทรา!I678"")"),250)</f>
        <v>250</v>
      </c>
      <c r="AU55" s="152">
        <f ca="1">IFERROR(__xludf.DUMMYFUNCTION("IMPORTRANGE(""https://docs.google.com/spreadsheets/d/1T1PQvRODqOBZk8BRht_U031fIS1beLA0Ub2CEytj2q0/edit?usp=sharing"",""ฉะเชิงเทรา!J676"")"),19)</f>
        <v>19</v>
      </c>
      <c r="AV55" s="152">
        <f ca="1">IFERROR(__xludf.DUMMYFUNCTION("IMPORTRANGE(""https://docs.google.com/spreadsheets/d/1T1PQvRODqOBZk8BRht_U031fIS1beLA0Ub2CEytj2q0/edit?usp=sharing"",""ฉะเชิงเทรา!J677"")"),23)</f>
        <v>23</v>
      </c>
      <c r="AW55" s="152">
        <f ca="1">IFERROR(__xludf.DUMMYFUNCTION("IMPORTRANGE(""https://docs.google.com/spreadsheets/d/1T1PQvRODqOBZk8BRht_U031fIS1beLA0Ub2CEytj2q0/edit?usp=sharing"",""ฉะเชิงเทรา!J678"")"),212.33)</f>
        <v>212.33</v>
      </c>
      <c r="AX55" s="152">
        <f ca="1">IFERROR(__xludf.DUMMYFUNCTION("IMPORTRANGE(""https://docs.google.com/spreadsheets/d/1T1PQvRODqOBZk8BRht_U031fIS1beLA0Ub2CEytj2q0/edit?usp=sharing"",""ฉะเชิงเทรา!I679"")"),38)</f>
        <v>38</v>
      </c>
      <c r="AY55" s="152">
        <f ca="1">IFERROR(__xludf.DUMMYFUNCTION("IMPORTRANGE(""https://docs.google.com/spreadsheets/d/1T1PQvRODqOBZk8BRht_U031fIS1beLA0Ub2CEytj2q0/edit?usp=sharing"",""ฉะเชิงเทรา!I681"")"),300)</f>
        <v>300</v>
      </c>
      <c r="AZ55" s="152">
        <f ca="1">IFERROR(__xludf.DUMMYFUNCTION("IMPORTRANGE(""https://docs.google.com/spreadsheets/d/1T1PQvRODqOBZk8BRht_U031fIS1beLA0Ub2CEytj2q0/edit?usp=sharing"",""ฉะเชิงเทรา!J679"")"),0)</f>
        <v>0</v>
      </c>
      <c r="BA55" s="152">
        <f ca="1">IFERROR(__xludf.DUMMYFUNCTION("IMPORTRANGE(""https://docs.google.com/spreadsheets/d/1T1PQvRODqOBZk8BRht_U031fIS1beLA0Ub2CEytj2q0/edit?usp=sharing"",""ฉะเชิงเทรา!J680"")"),0)</f>
        <v>0</v>
      </c>
      <c r="BB55" s="152">
        <f ca="1">IFERROR(__xludf.DUMMYFUNCTION("IMPORTRANGE(""https://docs.google.com/spreadsheets/d/1T1PQvRODqOBZk8BRht_U031fIS1beLA0Ub2CEytj2q0/edit?usp=sharing"",""ฉะเชิงเทรา!J681"")"),0)</f>
        <v>0</v>
      </c>
      <c r="BC55" s="152">
        <f ca="1">IFERROR(__xludf.DUMMYFUNCTION("IMPORTRANGE(""https://docs.google.com/spreadsheets/d/1T1PQvRODqOBZk8BRht_U031fIS1beLA0Ub2CEytj2q0/edit?usp=sharing"",""ฉะเชิงเทรา!I682"")"),50)</f>
        <v>50</v>
      </c>
      <c r="BD55" s="152">
        <f ca="1">IFERROR(__xludf.DUMMYFUNCTION("IMPORTRANGE(""https://docs.google.com/spreadsheets/d/1T1PQvRODqOBZk8BRht_U031fIS1beLA0Ub2CEytj2q0/edit?usp=sharing"",""ฉะเชิงเทรา!J682"")"),81)</f>
        <v>81</v>
      </c>
      <c r="BE55" s="216">
        <f t="shared" ca="1" si="46"/>
        <v>162</v>
      </c>
      <c r="BF55" s="152">
        <f ca="1">IFERROR(__xludf.DUMMYFUNCTION("IMPORTRANGE(""https://docs.google.com/spreadsheets/d/1T1PQvRODqOBZk8BRht_U031fIS1beLA0Ub2CEytj2q0/edit?usp=sharing"",""ฉะเชิงเทรา!J683"")"),6)</f>
        <v>6</v>
      </c>
      <c r="BG55" s="152">
        <f ca="1">IFERROR(__xludf.DUMMYFUNCTION("IMPORTRANGE(""https://docs.google.com/spreadsheets/d/1T1PQvRODqOBZk8BRht_U031fIS1beLA0Ub2CEytj2q0/edit?usp=sharing"",""ฉะเชิงเทรา!J684"")"),2)</f>
        <v>2</v>
      </c>
      <c r="BH55" s="152">
        <f ca="1">IFERROR(__xludf.DUMMYFUNCTION("IMPORTRANGE(""https://docs.google.com/spreadsheets/d/1T1PQvRODqOBZk8BRht_U031fIS1beLA0Ub2CEytj2q0/edit?usp=sharing"",""ฉะเชิงเทรา!J685"")"),42)</f>
        <v>42</v>
      </c>
      <c r="BI55" s="152">
        <f ca="1">IFERROR(__xludf.DUMMYFUNCTION("IMPORTRANGE(""https://docs.google.com/spreadsheets/d/1T1PQvRODqOBZk8BRht_U031fIS1beLA0Ub2CEytj2q0/edit?usp=sharing"",""ฉะเชิงเทรา!J686"")"),15)</f>
        <v>15</v>
      </c>
      <c r="BJ55" s="152">
        <f ca="1">IFERROR(__xludf.DUMMYFUNCTION("IMPORTRANGE(""https://docs.google.com/spreadsheets/d/1T1PQvRODqOBZk8BRht_U031fIS1beLA0Ub2CEytj2q0/edit?usp=sharing"",""ฉะเชิงเทรา!J687"")"),3)</f>
        <v>3</v>
      </c>
      <c r="BK55" s="152">
        <f ca="1">IFERROR(__xludf.DUMMYFUNCTION("IMPORTRANGE(""https://docs.google.com/spreadsheets/d/1T1PQvRODqOBZk8BRht_U031fIS1beLA0Ub2CEytj2q0/edit?usp=sharing"",""ฉะเชิงเทรา!J688"")"),39)</f>
        <v>39</v>
      </c>
    </row>
    <row r="56" spans="1:63" ht="19.5" x14ac:dyDescent="0.3">
      <c r="A56" s="70">
        <v>4</v>
      </c>
      <c r="B56" s="71" t="s">
        <v>84</v>
      </c>
      <c r="C56" s="68">
        <f ca="1">IFERROR(__xludf.DUMMYFUNCTION("IMPORTRANGE(""https://docs.google.com/spreadsheets/d/11tr1B-Bhyr79v2bkwVh5h_fR-PStkgjlZtkrZpYurG0/edit?usp=sharing"",""ชลบุรี!Q642"")"),0)</f>
        <v>0</v>
      </c>
      <c r="D56" s="68">
        <f ca="1">IFERROR(__xludf.DUMMYFUNCTION("IMPORTRANGE(""https://docs.google.com/spreadsheets/d/11tr1B-Bhyr79v2bkwVh5h_fR-PStkgjlZtkrZpYurG0/edit?usp=sharing"",""ชลบุรี!R642"")"),0)</f>
        <v>0</v>
      </c>
      <c r="E56" s="68">
        <f ca="1">IFERROR(__xludf.DUMMYFUNCTION("IMPORTRANGE(""https://docs.google.com/spreadsheets/d/11tr1B-Bhyr79v2bkwVh5h_fR-PStkgjlZtkrZpYurG0/edit?usp=sharing"",""ชลบุรี!S642"")"),0)</f>
        <v>0</v>
      </c>
      <c r="F56" s="68">
        <f t="shared" ca="1" si="30"/>
        <v>0</v>
      </c>
      <c r="G56" s="68">
        <f t="shared" ca="1" si="31"/>
        <v>0</v>
      </c>
      <c r="H56" s="278">
        <f ca="1">IFERROR(__xludf.DUMMYFUNCTION("IMPORTRANGE(""https://docs.google.com/spreadsheets/d/11tr1B-Bhyr79v2bkwVh5h_fR-PStkgjlZtkrZpYurG0/edit?usp=sharing"",""ชลบุรี!I652"")"),0)</f>
        <v>0</v>
      </c>
      <c r="I56" s="397">
        <f ca="1">IFERROR(__xludf.DUMMYFUNCTION("IMPORTRANGE(""https://docs.google.com/spreadsheets/d/11tr1B-Bhyr79v2bkwVh5h_fR-PStkgjlZtkrZpYurG0/edit?usp=sharing"",""ชลบุรี!J652"")"),0)</f>
        <v>0</v>
      </c>
      <c r="J56" s="216">
        <f t="shared" ca="1" si="33"/>
        <v>0</v>
      </c>
      <c r="K56" s="152">
        <f ca="1">IFERROR(__xludf.DUMMYFUNCTION("IMPORTRANGE(""https://docs.google.com/spreadsheets/d/11tr1B-Bhyr79v2bkwVh5h_fR-PStkgjlZtkrZpYurG0/edit?usp=sharing"",""ชลบุรี!I653"")"),0)</f>
        <v>0</v>
      </c>
      <c r="L56" s="397">
        <f ca="1">IFERROR(__xludf.DUMMYFUNCTION("IMPORTRANGE(""https://docs.google.com/spreadsheets/d/11tr1B-Bhyr79v2bkwVh5h_fR-PStkgjlZtkrZpYurG0/edit?usp=sharing"",""ชลบุรี!J653"")"),0)</f>
        <v>0</v>
      </c>
      <c r="M56" s="216">
        <f t="shared" ca="1" si="35"/>
        <v>0</v>
      </c>
      <c r="N56" s="152">
        <f ca="1">IFERROR(__xludf.DUMMYFUNCTION("IMPORTRANGE(""https://docs.google.com/spreadsheets/d/11tr1B-Bhyr79v2bkwVh5h_fR-PStkgjlZtkrZpYurG0/edit?usp=sharing"",""ชลบุรี!I654"")"),0)</f>
        <v>0</v>
      </c>
      <c r="O56" s="152">
        <f ca="1">IFERROR(__xludf.DUMMYFUNCTION("IMPORTRANGE(""https://docs.google.com/spreadsheets/d/11tr1B-Bhyr79v2bkwVh5h_fR-PStkgjlZtkrZpYurG0/edit?usp=sharing"",""ชลบุรี!J654"")"),0)</f>
        <v>0</v>
      </c>
      <c r="P56" s="216">
        <f t="shared" ca="1" si="37"/>
        <v>0</v>
      </c>
      <c r="Q56" s="216">
        <f ca="1">IFERROR(__xludf.DUMMYFUNCTION("IMPORTRANGE(""https://docs.google.com/spreadsheets/d/11tr1B-Bhyr79v2bkwVh5h_fR-PStkgjlZtkrZpYurG0/edit?usp=sharing"",""ชลบุรี!J655"")"),0)</f>
        <v>0</v>
      </c>
      <c r="R56" s="216">
        <f ca="1">IFERROR(__xludf.DUMMYFUNCTION("IMPORTRANGE(""https://docs.google.com/spreadsheets/d/11tr1B-Bhyr79v2bkwVh5h_fR-PStkgjlZtkrZpYurG0/edit?usp=sharing"",""ชลบุรี!J656"")"),0)</f>
        <v>0</v>
      </c>
      <c r="S56" s="216">
        <f ca="1">IFERROR(__xludf.DUMMYFUNCTION("IMPORTRANGE(""https://docs.google.com/spreadsheets/d/11tr1B-Bhyr79v2bkwVh5h_fR-PStkgjlZtkrZpYurG0/edit?usp=sharing"",""ชลบุรี!J657"")"),0)</f>
        <v>0</v>
      </c>
      <c r="T56" s="216">
        <f ca="1">IFERROR(__xludf.DUMMYFUNCTION("IMPORTRANGE(""https://docs.google.com/spreadsheets/d/11tr1B-Bhyr79v2bkwVh5h_fR-PStkgjlZtkrZpYurG0/edit?usp=sharing"",""ชลบุรี!J658"")"),0)</f>
        <v>0</v>
      </c>
      <c r="U56" s="216">
        <f ca="1">IFERROR(__xludf.DUMMYFUNCTION("IMPORTRANGE(""https://docs.google.com/spreadsheets/d/11tr1B-Bhyr79v2bkwVh5h_fR-PStkgjlZtkrZpYurG0/edit?usp=sharing"",""ชลบุรี!J659"")"),0)</f>
        <v>0</v>
      </c>
      <c r="V56" s="216">
        <f ca="1">IFERROR(__xludf.DUMMYFUNCTION("IMPORTRANGE(""https://docs.google.com/spreadsheets/d/11tr1B-Bhyr79v2bkwVh5h_fR-PStkgjlZtkrZpYurG0/edit?usp=sharing"",""ชลบุรี!J660"")"),0)</f>
        <v>0</v>
      </c>
      <c r="W56" s="152">
        <f ca="1">IFERROR(__xludf.DUMMYFUNCTION("IMPORTRANGE(""https://docs.google.com/spreadsheets/d/11tr1B-Bhyr79v2bkwVh5h_fR-PStkgjlZtkrZpYurG0/edit?usp=sharing"",""ชลบุรี!I661"")"),0)</f>
        <v>0</v>
      </c>
      <c r="X56" s="152">
        <f ca="1">IFERROR(__xludf.DUMMYFUNCTION("IMPORTRANGE(""https://docs.google.com/spreadsheets/d/11tr1B-Bhyr79v2bkwVh5h_fR-PStkgjlZtkrZpYurG0/edit?usp=sharing"",""ชลบุรี!J661"")"),0)</f>
        <v>0</v>
      </c>
      <c r="Y56" s="216">
        <f t="shared" ca="1" si="39"/>
        <v>0</v>
      </c>
      <c r="Z56" s="152">
        <f ca="1">IFERROR(__xludf.DUMMYFUNCTION("IMPORTRANGE(""https://docs.google.com/spreadsheets/d/11tr1B-Bhyr79v2bkwVh5h_fR-PStkgjlZtkrZpYurG0/edit?usp=sharing"",""ชลบุรี!J662"")"),0)</f>
        <v>0</v>
      </c>
      <c r="AA56" s="152">
        <f ca="1">IFERROR(__xludf.DUMMYFUNCTION("IMPORTRANGE(""https://docs.google.com/spreadsheets/d/11tr1B-Bhyr79v2bkwVh5h_fR-PStkgjlZtkrZpYurG0/edit?usp=sharing"",""ชลบุรี!J663"")"),0)</f>
        <v>0</v>
      </c>
      <c r="AB56" s="152">
        <f ca="1">IFERROR(__xludf.DUMMYFUNCTION("IMPORTRANGE(""https://docs.google.com/spreadsheets/d/11tr1B-Bhyr79v2bkwVh5h_fR-PStkgjlZtkrZpYurG0/edit?usp=sharing"",""ชลบุรี!J665"")"),0)</f>
        <v>0</v>
      </c>
      <c r="AC56" s="152">
        <f ca="1">IFERROR(__xludf.DUMMYFUNCTION("IMPORTRANGE(""https://docs.google.com/spreadsheets/d/11tr1B-Bhyr79v2bkwVh5h_fR-PStkgjlZtkrZpYurG0/edit?usp=sharing"",""ชลบุรี!J666"")"),0)</f>
        <v>0</v>
      </c>
      <c r="AD56" s="152">
        <f ca="1">IFERROR(__xludf.DUMMYFUNCTION("IMPORTRANGE(""https://docs.google.com/spreadsheets/d/11tr1B-Bhyr79v2bkwVh5h_fR-PStkgjlZtkrZpYurG0/edit?usp=sharing"",""ชลบุรี!J667"")"),0)</f>
        <v>0</v>
      </c>
      <c r="AE56" s="152">
        <f ca="1">IFERROR(__xludf.DUMMYFUNCTION("IMPORTRANGE(""https://docs.google.com/spreadsheets/d/11tr1B-Bhyr79v2bkwVh5h_fR-PStkgjlZtkrZpYurG0/edit?usp=sharing"",""ชลบุรี!J668"")"),0)</f>
        <v>0</v>
      </c>
      <c r="AF56" s="152">
        <f ca="1">IFERROR(__xludf.DUMMYFUNCTION("IMPORTRANGE(""https://docs.google.com/spreadsheets/d/11tr1B-Bhyr79v2bkwVh5h_fR-PStkgjlZtkrZpYurG0/edit?usp=sharing"",""ชลบุรี!J669"")"),0)</f>
        <v>0</v>
      </c>
      <c r="AG56" s="152">
        <f ca="1">IFERROR(__xludf.DUMMYFUNCTION("IMPORTRANGE(""https://docs.google.com/spreadsheets/d/11tr1B-Bhyr79v2bkwVh5h_fR-PStkgjlZtkrZpYurG0/edit?usp=sharing"",""ชลบุรี!J670"")"),0)</f>
        <v>0</v>
      </c>
      <c r="AH56" s="152">
        <f ca="1">IFERROR(__xludf.DUMMYFUNCTION("IMPORTRANGE(""https://docs.google.com/spreadsheets/d/11tr1B-Bhyr79v2bkwVh5h_fR-PStkgjlZtkrZpYurG0/edit?usp=sharing"",""ชลบุรี!I673"")"),0)</f>
        <v>0</v>
      </c>
      <c r="AI56" s="397">
        <f ca="1">IFERROR(__xludf.DUMMYFUNCTION("IMPORTRANGE(""https://docs.google.com/spreadsheets/d/11tr1B-Bhyr79v2bkwVh5h_fR-PStkgjlZtkrZpYurG0/edit?usp=sharing"",""ชลบุรี!J671"")"),0)</f>
        <v>0</v>
      </c>
      <c r="AJ56" s="397">
        <f ca="1">IFERROR(__xludf.DUMMYFUNCTION("IMPORTRANGE(""https://docs.google.com/spreadsheets/d/11tr1B-Bhyr79v2bkwVh5h_fR-PStkgjlZtkrZpYurG0/edit?usp=sharing"",""ชลบุรี!J672"")"),0)</f>
        <v>0</v>
      </c>
      <c r="AK56" s="397">
        <f ca="1">IFERROR(__xludf.DUMMYFUNCTION("IMPORTRANGE(""https://docs.google.com/spreadsheets/d/11tr1B-Bhyr79v2bkwVh5h_fR-PStkgjlZtkrZpYurG0/edit?usp=sharing"",""ชลบุรี!J673"")"),0)</f>
        <v>0</v>
      </c>
      <c r="AL56" s="216">
        <f t="shared" ca="1" si="41"/>
        <v>0</v>
      </c>
      <c r="AM56" s="152">
        <f ca="1">IFERROR(__xludf.DUMMYFUNCTION("IMPORTRANGE(""https://docs.google.com/spreadsheets/d/11tr1B-Bhyr79v2bkwVh5h_fR-PStkgjlZtkrZpYurG0/edit?usp=sharing"",""ชลบุรี!I674"")"),0)</f>
        <v>0</v>
      </c>
      <c r="AN56" s="152">
        <f ca="1">IFERROR(__xludf.DUMMYFUNCTION("IMPORTRANGE(""https://docs.google.com/spreadsheets/d/11tr1B-Bhyr79v2bkwVh5h_fR-PStkgjlZtkrZpYurG0/edit?usp=sharing"",""ชลบุรี!I675"")"),0)</f>
        <v>0</v>
      </c>
      <c r="AO56" s="397">
        <f ca="1">IFERROR(__xludf.DUMMYFUNCTION("IMPORTRANGE(""https://docs.google.com/spreadsheets/d/11tr1B-Bhyr79v2bkwVh5h_fR-PStkgjlZtkrZpYurG0/edit?usp=sharing"",""ชลบุรี!J674"")"),0)</f>
        <v>0</v>
      </c>
      <c r="AP56" s="216">
        <f t="shared" ca="1" si="43"/>
        <v>0</v>
      </c>
      <c r="AQ56" s="397">
        <f ca="1">IFERROR(__xludf.DUMMYFUNCTION("IMPORTRANGE(""https://docs.google.com/spreadsheets/d/11tr1B-Bhyr79v2bkwVh5h_fR-PStkgjlZtkrZpYurG0/edit?usp=sharing"",""ชลบุรี!J675"")"),0)</f>
        <v>0</v>
      </c>
      <c r="AR56" s="216">
        <f t="shared" ca="1" si="44"/>
        <v>0</v>
      </c>
      <c r="AS56" s="152">
        <f ca="1">IFERROR(__xludf.DUMMYFUNCTION("IMPORTRANGE(""https://docs.google.com/spreadsheets/d/11tr1B-Bhyr79v2bkwVh5h_fR-PStkgjlZtkrZpYurG0/edit?usp=sharing"",""ชลบุรี!I676"")"),0)</f>
        <v>0</v>
      </c>
      <c r="AT56" s="152">
        <f ca="1">IFERROR(__xludf.DUMMYFUNCTION("IMPORTRANGE(""https://docs.google.com/spreadsheets/d/11tr1B-Bhyr79v2bkwVh5h_fR-PStkgjlZtkrZpYurG0/edit?usp=sharing"",""ชลบุรี!I678"")"),0)</f>
        <v>0</v>
      </c>
      <c r="AU56" s="397">
        <f ca="1">IFERROR(__xludf.DUMMYFUNCTION("IMPORTRANGE(""https://docs.google.com/spreadsheets/d/11tr1B-Bhyr79v2bkwVh5h_fR-PStkgjlZtkrZpYurG0/edit?usp=sharing"",""ชลบุรี!J676"")"),0)</f>
        <v>0</v>
      </c>
      <c r="AV56" s="397">
        <f ca="1">IFERROR(__xludf.DUMMYFUNCTION("IMPORTRANGE(""https://docs.google.com/spreadsheets/d/11tr1B-Bhyr79v2bkwVh5h_fR-PStkgjlZtkrZpYurG0/edit?usp=sharing"",""ชลบุรี!J677"")"),0)</f>
        <v>0</v>
      </c>
      <c r="AW56" s="397">
        <f ca="1">IFERROR(__xludf.DUMMYFUNCTION("IMPORTRANGE(""https://docs.google.com/spreadsheets/d/11tr1B-Bhyr79v2bkwVh5h_fR-PStkgjlZtkrZpYurG0/edit?usp=sharing"",""ชลบุรี!J678"")"),0)</f>
        <v>0</v>
      </c>
      <c r="AX56" s="152">
        <f ca="1">IFERROR(__xludf.DUMMYFUNCTION("IMPORTRANGE(""https://docs.google.com/spreadsheets/d/11tr1B-Bhyr79v2bkwVh5h_fR-PStkgjlZtkrZpYurG0/edit?usp=sharing"",""ชลบุรี!I679"")"),0)</f>
        <v>0</v>
      </c>
      <c r="AY56" s="152">
        <f ca="1">IFERROR(__xludf.DUMMYFUNCTION("IMPORTRANGE(""https://docs.google.com/spreadsheets/d/11tr1B-Bhyr79v2bkwVh5h_fR-PStkgjlZtkrZpYurG0/edit?usp=sharing"",""ชลบุรี!I681"")"),0)</f>
        <v>0</v>
      </c>
      <c r="AZ56" s="397">
        <f ca="1">IFERROR(__xludf.DUMMYFUNCTION("IMPORTRANGE(""https://docs.google.com/spreadsheets/d/11tr1B-Bhyr79v2bkwVh5h_fR-PStkgjlZtkrZpYurG0/edit?usp=sharing"",""ชลบุรี!J679"")"),0)</f>
        <v>0</v>
      </c>
      <c r="BA56" s="397">
        <f ca="1">IFERROR(__xludf.DUMMYFUNCTION("IMPORTRANGE(""https://docs.google.com/spreadsheets/d/11tr1B-Bhyr79v2bkwVh5h_fR-PStkgjlZtkrZpYurG0/edit?usp=sharing"",""ชลบุรี!J680"")"),0)</f>
        <v>0</v>
      </c>
      <c r="BB56" s="397">
        <f ca="1">IFERROR(__xludf.DUMMYFUNCTION("IMPORTRANGE(""https://docs.google.com/spreadsheets/d/11tr1B-Bhyr79v2bkwVh5h_fR-PStkgjlZtkrZpYurG0/edit?usp=sharing"",""ชลบุรี!J681"")"),0)</f>
        <v>0</v>
      </c>
      <c r="BC56" s="152">
        <f ca="1">IFERROR(__xludf.DUMMYFUNCTION("IMPORTRANGE(""https://docs.google.com/spreadsheets/d/11tr1B-Bhyr79v2bkwVh5h_fR-PStkgjlZtkrZpYurG0/edit?usp=sharing"",""ชลบุรี!I682"")"),0)</f>
        <v>0</v>
      </c>
      <c r="BD56" s="152">
        <f ca="1">IFERROR(__xludf.DUMMYFUNCTION("IMPORTRANGE(""https://docs.google.com/spreadsheets/d/11tr1B-Bhyr79v2bkwVh5h_fR-PStkgjlZtkrZpYurG0/edit?usp=sharing"",""ชลบุรี!J682"")"),0)</f>
        <v>0</v>
      </c>
      <c r="BE56" s="216">
        <f t="shared" ca="1" si="46"/>
        <v>0</v>
      </c>
      <c r="BF56" s="152">
        <f ca="1">IFERROR(__xludf.DUMMYFUNCTION("IMPORTRANGE(""https://docs.google.com/spreadsheets/d/11tr1B-Bhyr79v2bkwVh5h_fR-PStkgjlZtkrZpYurG0/edit?usp=sharing"",""ชลบุรี!J683"")"),0)</f>
        <v>0</v>
      </c>
      <c r="BG56" s="152">
        <f ca="1">IFERROR(__xludf.DUMMYFUNCTION("IMPORTRANGE(""https://docs.google.com/spreadsheets/d/11tr1B-Bhyr79v2bkwVh5h_fR-PStkgjlZtkrZpYurG0/edit?usp=sharing"",""ชลบุรี!J684"")"),0)</f>
        <v>0</v>
      </c>
      <c r="BH56" s="152">
        <f ca="1">IFERROR(__xludf.DUMMYFUNCTION("IMPORTRANGE(""https://docs.google.com/spreadsheets/d/11tr1B-Bhyr79v2bkwVh5h_fR-PStkgjlZtkrZpYurG0/edit?usp=sharing"",""ชลบุรี!J685"")"),0)</f>
        <v>0</v>
      </c>
      <c r="BI56" s="152">
        <f ca="1">IFERROR(__xludf.DUMMYFUNCTION("IMPORTRANGE(""https://docs.google.com/spreadsheets/d/11tr1B-Bhyr79v2bkwVh5h_fR-PStkgjlZtkrZpYurG0/edit?usp=sharing"",""ชลบุรี!J686"")"),0)</f>
        <v>0</v>
      </c>
      <c r="BJ56" s="152">
        <f ca="1">IFERROR(__xludf.DUMMYFUNCTION("IMPORTRANGE(""https://docs.google.com/spreadsheets/d/11tr1B-Bhyr79v2bkwVh5h_fR-PStkgjlZtkrZpYurG0/edit?usp=sharing"",""ชลบุรี!J687"")"),0)</f>
        <v>0</v>
      </c>
      <c r="BK56" s="152">
        <f ca="1">IFERROR(__xludf.DUMMYFUNCTION("IMPORTRANGE(""https://docs.google.com/spreadsheets/d/11tr1B-Bhyr79v2bkwVh5h_fR-PStkgjlZtkrZpYurG0/edit?usp=sharing"",""ชลบุรี!J688"")"),0)</f>
        <v>0</v>
      </c>
    </row>
    <row r="57" spans="1:63" ht="19.5" x14ac:dyDescent="0.3">
      <c r="A57" s="70">
        <v>5</v>
      </c>
      <c r="B57" s="71" t="s">
        <v>85</v>
      </c>
      <c r="C57" s="68">
        <f ca="1">IFERROR(__xludf.DUMMYFUNCTION("IMPORTRANGE(""https://docs.google.com/spreadsheets/d/1hh-FVnSX0vozXhGluamEcS54Dw9_zqW0N7qJUWgJ0Sw/edit?usp=sharing"",""ชัยนาท!Q642"")"),10480)</f>
        <v>10480</v>
      </c>
      <c r="D57" s="68">
        <f ca="1">IFERROR(__xludf.DUMMYFUNCTION("IMPORTRANGE(""https://docs.google.com/spreadsheets/d/1hh-FVnSX0vozXhGluamEcS54Dw9_zqW0N7qJUWgJ0Sw/edit?usp=sharing"",""ชัยนาท!R642"")"),10480)</f>
        <v>10480</v>
      </c>
      <c r="E57" s="68">
        <f ca="1">IFERROR(__xludf.DUMMYFUNCTION("IMPORTRANGE(""https://docs.google.com/spreadsheets/d/1hh-FVnSX0vozXhGluamEcS54Dw9_zqW0N7qJUWgJ0Sw/edit?usp=sharing"",""ชัยนาท!S642"")"),3870)</f>
        <v>3870</v>
      </c>
      <c r="F57" s="68">
        <f t="shared" ca="1" si="30"/>
        <v>36.927480916030532</v>
      </c>
      <c r="G57" s="68">
        <f t="shared" ca="1" si="31"/>
        <v>36.927480916030532</v>
      </c>
      <c r="H57" s="278">
        <f ca="1">IFERROR(__xludf.DUMMYFUNCTION("IMPORTRANGE(""https://docs.google.com/spreadsheets/d/1hh-FVnSX0vozXhGluamEcS54Dw9_zqW0N7qJUWgJ0Sw/edit?usp=sharing"",""ชัยนาท!I652"")"),0)</f>
        <v>0</v>
      </c>
      <c r="I57" s="152">
        <f ca="1">IFERROR(__xludf.DUMMYFUNCTION("IMPORTRANGE(""https://docs.google.com/spreadsheets/d/1hh-FVnSX0vozXhGluamEcS54Dw9_zqW0N7qJUWgJ0Sw/edit?usp=sharing"",""ชัยนาท!J652"")"),0)</f>
        <v>0</v>
      </c>
      <c r="J57" s="216">
        <f t="shared" ca="1" si="33"/>
        <v>0</v>
      </c>
      <c r="K57" s="152">
        <f ca="1">IFERROR(__xludf.DUMMYFUNCTION("IMPORTRANGE(""https://docs.google.com/spreadsheets/d/1hh-FVnSX0vozXhGluamEcS54Dw9_zqW0N7qJUWgJ0Sw/edit?usp=sharing"",""ชัยนาท!I653"")"),0)</f>
        <v>0</v>
      </c>
      <c r="L57" s="152">
        <f ca="1">IFERROR(__xludf.DUMMYFUNCTION("IMPORTRANGE(""https://docs.google.com/spreadsheets/d/1hh-FVnSX0vozXhGluamEcS54Dw9_zqW0N7qJUWgJ0Sw/edit?usp=sharing"",""ชัยนาท!J653"")"),0)</f>
        <v>0</v>
      </c>
      <c r="M57" s="216">
        <f t="shared" ca="1" si="35"/>
        <v>0</v>
      </c>
      <c r="N57" s="152">
        <f ca="1">IFERROR(__xludf.DUMMYFUNCTION("IMPORTRANGE(""https://docs.google.com/spreadsheets/d/1hh-FVnSX0vozXhGluamEcS54Dw9_zqW0N7qJUWgJ0Sw/edit?usp=sharing"",""ชัยนาท!I654"")"),120)</f>
        <v>120</v>
      </c>
      <c r="O57" s="152">
        <f ca="1">IFERROR(__xludf.DUMMYFUNCTION("IMPORTRANGE(""https://docs.google.com/spreadsheets/d/1hh-FVnSX0vozXhGluamEcS54Dw9_zqW0N7qJUWgJ0Sw/edit?usp=sharing"",""ชัยนาท!J654"")"),0)</f>
        <v>0</v>
      </c>
      <c r="P57" s="216">
        <f t="shared" ca="1" si="37"/>
        <v>0</v>
      </c>
      <c r="Q57" s="216">
        <f ca="1">IFERROR(__xludf.DUMMYFUNCTION("IMPORTRANGE(""https://docs.google.com/spreadsheets/d/1hh-FVnSX0vozXhGluamEcS54Dw9_zqW0N7qJUWgJ0Sw/edit?usp=sharing"",""ชัยนาท!J655"")"),0)</f>
        <v>0</v>
      </c>
      <c r="R57" s="216">
        <f ca="1">IFERROR(__xludf.DUMMYFUNCTION("IMPORTRANGE(""https://docs.google.com/spreadsheets/d/1hh-FVnSX0vozXhGluamEcS54Dw9_zqW0N7qJUWgJ0Sw/edit?usp=sharing"",""ชัยนาท!J656"")"),0)</f>
        <v>0</v>
      </c>
      <c r="S57" s="216">
        <f ca="1">IFERROR(__xludf.DUMMYFUNCTION("IMPORTRANGE(""https://docs.google.com/spreadsheets/d/1hh-FVnSX0vozXhGluamEcS54Dw9_zqW0N7qJUWgJ0Sw/edit?usp=sharing"",""ชัยนาท!J657"")"),0)</f>
        <v>0</v>
      </c>
      <c r="T57" s="216">
        <f ca="1">IFERROR(__xludf.DUMMYFUNCTION("IMPORTRANGE(""https://docs.google.com/spreadsheets/d/1hh-FVnSX0vozXhGluamEcS54Dw9_zqW0N7qJUWgJ0Sw/edit?usp=sharing"",""ชัยนาท!J658"")"),0)</f>
        <v>0</v>
      </c>
      <c r="U57" s="216">
        <f ca="1">IFERROR(__xludf.DUMMYFUNCTION("IMPORTRANGE(""https://docs.google.com/spreadsheets/d/1hh-FVnSX0vozXhGluamEcS54Dw9_zqW0N7qJUWgJ0Sw/edit?usp=sharing"",""ชัยนาท!J659"")"),0)</f>
        <v>0</v>
      </c>
      <c r="V57" s="216">
        <f ca="1">IFERROR(__xludf.DUMMYFUNCTION("IMPORTRANGE(""https://docs.google.com/spreadsheets/d/1hh-FVnSX0vozXhGluamEcS54Dw9_zqW0N7qJUWgJ0Sw/edit?usp=sharing"",""ชัยนาท!J660"")"),0)</f>
        <v>0</v>
      </c>
      <c r="W57" s="152">
        <f ca="1">IFERROR(__xludf.DUMMYFUNCTION("IMPORTRANGE(""https://docs.google.com/spreadsheets/d/1hh-FVnSX0vozXhGluamEcS54Dw9_zqW0N7qJUWgJ0Sw/edit?usp=sharing"",""ชัยนาท!I661"")"),0)</f>
        <v>0</v>
      </c>
      <c r="X57" s="152">
        <f ca="1">IFERROR(__xludf.DUMMYFUNCTION("IMPORTRANGE(""https://docs.google.com/spreadsheets/d/1hh-FVnSX0vozXhGluamEcS54Dw9_zqW0N7qJUWgJ0Sw/edit?usp=sharing"",""ชัยนาท!J661"")"),0)</f>
        <v>0</v>
      </c>
      <c r="Y57" s="216">
        <f t="shared" ca="1" si="39"/>
        <v>0</v>
      </c>
      <c r="Z57" s="152">
        <f ca="1">IFERROR(__xludf.DUMMYFUNCTION("IMPORTRANGE(""https://docs.google.com/spreadsheets/d/1hh-FVnSX0vozXhGluamEcS54Dw9_zqW0N7qJUWgJ0Sw/edit?usp=sharing"",""ชัยนาท!J662"")"),0)</f>
        <v>0</v>
      </c>
      <c r="AA57" s="152">
        <f ca="1">IFERROR(__xludf.DUMMYFUNCTION("IMPORTRANGE(""https://docs.google.com/spreadsheets/d/1hh-FVnSX0vozXhGluamEcS54Dw9_zqW0N7qJUWgJ0Sw/edit?usp=sharing"",""ชัยนาท!J663"")"),0)</f>
        <v>0</v>
      </c>
      <c r="AB57" s="152">
        <f ca="1">IFERROR(__xludf.DUMMYFUNCTION("IMPORTRANGE(""https://docs.google.com/spreadsheets/d/1hh-FVnSX0vozXhGluamEcS54Dw9_zqW0N7qJUWgJ0Sw/edit?usp=sharing"",""ชัยนาท!J665"")"),0)</f>
        <v>0</v>
      </c>
      <c r="AC57" s="152">
        <f ca="1">IFERROR(__xludf.DUMMYFUNCTION("IMPORTRANGE(""https://docs.google.com/spreadsheets/d/1hh-FVnSX0vozXhGluamEcS54Dw9_zqW0N7qJUWgJ0Sw/edit?usp=sharing"",""ชัยนาท!J666"")"),0)</f>
        <v>0</v>
      </c>
      <c r="AD57" s="152">
        <f ca="1">IFERROR(__xludf.DUMMYFUNCTION("IMPORTRANGE(""https://docs.google.com/spreadsheets/d/1hh-FVnSX0vozXhGluamEcS54Dw9_zqW0N7qJUWgJ0Sw/edit?usp=sharing"",""ชัยนาท!J667"")"),0)</f>
        <v>0</v>
      </c>
      <c r="AE57" s="152">
        <f ca="1">IFERROR(__xludf.DUMMYFUNCTION("IMPORTRANGE(""https://docs.google.com/spreadsheets/d/1hh-FVnSX0vozXhGluamEcS54Dw9_zqW0N7qJUWgJ0Sw/edit?usp=sharing"",""ชัยนาท!J668"")"),0)</f>
        <v>0</v>
      </c>
      <c r="AF57" s="152">
        <f ca="1">IFERROR(__xludf.DUMMYFUNCTION("IMPORTRANGE(""https://docs.google.com/spreadsheets/d/1hh-FVnSX0vozXhGluamEcS54Dw9_zqW0N7qJUWgJ0Sw/edit?usp=sharing"",""ชัยนาท!J669"")"),0)</f>
        <v>0</v>
      </c>
      <c r="AG57" s="152">
        <f ca="1">IFERROR(__xludf.DUMMYFUNCTION("IMPORTRANGE(""https://docs.google.com/spreadsheets/d/1hh-FVnSX0vozXhGluamEcS54Dw9_zqW0N7qJUWgJ0Sw/edit?usp=sharing"",""ชัยนาท!J670"")"),0)</f>
        <v>0</v>
      </c>
      <c r="AH57" s="152">
        <f ca="1">IFERROR(__xludf.DUMMYFUNCTION("IMPORTRANGE(""https://docs.google.com/spreadsheets/d/1hh-FVnSX0vozXhGluamEcS54Dw9_zqW0N7qJUWgJ0Sw/edit?usp=sharing"",""ชัยนาท!I673"")"),100)</f>
        <v>100</v>
      </c>
      <c r="AI57" s="152">
        <f ca="1">IFERROR(__xludf.DUMMYFUNCTION("IMPORTRANGE(""https://docs.google.com/spreadsheets/d/1hh-FVnSX0vozXhGluamEcS54Dw9_zqW0N7qJUWgJ0Sw/edit?usp=sharing"",""ชัยนาท!J671"")"),0)</f>
        <v>0</v>
      </c>
      <c r="AJ57" s="152">
        <f ca="1">IFERROR(__xludf.DUMMYFUNCTION("IMPORTRANGE(""https://docs.google.com/spreadsheets/d/1hh-FVnSX0vozXhGluamEcS54Dw9_zqW0N7qJUWgJ0Sw/edit?usp=sharing"",""ชัยนาท!J672"")"),0)</f>
        <v>0</v>
      </c>
      <c r="AK57" s="152">
        <f ca="1">IFERROR(__xludf.DUMMYFUNCTION("IMPORTRANGE(""https://docs.google.com/spreadsheets/d/1hh-FVnSX0vozXhGluamEcS54Dw9_zqW0N7qJUWgJ0Sw/edit?usp=sharing"",""ชัยนาท!J673"")"),0)</f>
        <v>0</v>
      </c>
      <c r="AL57" s="216">
        <f t="shared" ca="1" si="41"/>
        <v>0</v>
      </c>
      <c r="AM57" s="152">
        <f ca="1">IFERROR(__xludf.DUMMYFUNCTION("IMPORTRANGE(""https://docs.google.com/spreadsheets/d/1hh-FVnSX0vozXhGluamEcS54Dw9_zqW0N7qJUWgJ0Sw/edit?usp=sharing"",""ชัยนาท!I674"")"),9)</f>
        <v>9</v>
      </c>
      <c r="AN57" s="152">
        <f ca="1">IFERROR(__xludf.DUMMYFUNCTION("IMPORTRANGE(""https://docs.google.com/spreadsheets/d/1hh-FVnSX0vozXhGluamEcS54Dw9_zqW0N7qJUWgJ0Sw/edit?usp=sharing"",""ชัยนาท!I675"")"),140)</f>
        <v>140</v>
      </c>
      <c r="AO57" s="152">
        <f ca="1">IFERROR(__xludf.DUMMYFUNCTION("IMPORTRANGE(""https://docs.google.com/spreadsheets/d/1hh-FVnSX0vozXhGluamEcS54Dw9_zqW0N7qJUWgJ0Sw/edit?usp=sharing"",""ชัยนาท!J674"")"),0)</f>
        <v>0</v>
      </c>
      <c r="AP57" s="216">
        <f t="shared" ca="1" si="43"/>
        <v>0</v>
      </c>
      <c r="AQ57" s="152">
        <f ca="1">IFERROR(__xludf.DUMMYFUNCTION("IMPORTRANGE(""https://docs.google.com/spreadsheets/d/1hh-FVnSX0vozXhGluamEcS54Dw9_zqW0N7qJUWgJ0Sw/edit?usp=sharing"",""ชัยนาท!J675"")"),0)</f>
        <v>0</v>
      </c>
      <c r="AR57" s="216">
        <f t="shared" ca="1" si="44"/>
        <v>0</v>
      </c>
      <c r="AS57" s="152">
        <f ca="1">IFERROR(__xludf.DUMMYFUNCTION("IMPORTRANGE(""https://docs.google.com/spreadsheets/d/1hh-FVnSX0vozXhGluamEcS54Dw9_zqW0N7qJUWgJ0Sw/edit?usp=sharing"",""ชัยนาท!I676"")"),9)</f>
        <v>9</v>
      </c>
      <c r="AT57" s="152">
        <f ca="1">IFERROR(__xludf.DUMMYFUNCTION("IMPORTRANGE(""https://docs.google.com/spreadsheets/d/1hh-FVnSX0vozXhGluamEcS54Dw9_zqW0N7qJUWgJ0Sw/edit?usp=sharing"",""ชัยนาท!I678"")"),140)</f>
        <v>140</v>
      </c>
      <c r="AU57" s="152">
        <f ca="1">IFERROR(__xludf.DUMMYFUNCTION("IMPORTRANGE(""https://docs.google.com/spreadsheets/d/1hh-FVnSX0vozXhGluamEcS54Dw9_zqW0N7qJUWgJ0Sw/edit?usp=sharing"",""ชัยนาท!J676"")"),0)</f>
        <v>0</v>
      </c>
      <c r="AV57" s="152">
        <f ca="1">IFERROR(__xludf.DUMMYFUNCTION("IMPORTRANGE(""https://docs.google.com/spreadsheets/d/1hh-FVnSX0vozXhGluamEcS54Dw9_zqW0N7qJUWgJ0Sw/edit?usp=sharing"",""ชัยนาท!J677"")"),0)</f>
        <v>0</v>
      </c>
      <c r="AW57" s="152">
        <f ca="1">IFERROR(__xludf.DUMMYFUNCTION("IMPORTRANGE(""https://docs.google.com/spreadsheets/d/1hh-FVnSX0vozXhGluamEcS54Dw9_zqW0N7qJUWgJ0Sw/edit?usp=sharing"",""ชัยนาท!J678"")"),0)</f>
        <v>0</v>
      </c>
      <c r="AX57" s="152">
        <f ca="1">IFERROR(__xludf.DUMMYFUNCTION("IMPORTRANGE(""https://docs.google.com/spreadsheets/d/1hh-FVnSX0vozXhGluamEcS54Dw9_zqW0N7qJUWgJ0Sw/edit?usp=sharing"",""ชัยนาท!I679"")"),0)</f>
        <v>0</v>
      </c>
      <c r="AY57" s="152">
        <f ca="1">IFERROR(__xludf.DUMMYFUNCTION("IMPORTRANGE(""https://docs.google.com/spreadsheets/d/1hh-FVnSX0vozXhGluamEcS54Dw9_zqW0N7qJUWgJ0Sw/edit?usp=sharing"",""ชัยนาท!I681"")"),0)</f>
        <v>0</v>
      </c>
      <c r="AZ57" s="152">
        <f ca="1">IFERROR(__xludf.DUMMYFUNCTION("IMPORTRANGE(""https://docs.google.com/spreadsheets/d/1hh-FVnSX0vozXhGluamEcS54Dw9_zqW0N7qJUWgJ0Sw/edit?usp=sharing"",""ชัยนาท!J679"")"),0)</f>
        <v>0</v>
      </c>
      <c r="BA57" s="152">
        <f ca="1">IFERROR(__xludf.DUMMYFUNCTION("IMPORTRANGE(""https://docs.google.com/spreadsheets/d/1hh-FVnSX0vozXhGluamEcS54Dw9_zqW0N7qJUWgJ0Sw/edit?usp=sharing"",""ชัยนาท!J680"")"),0)</f>
        <v>0</v>
      </c>
      <c r="BB57" s="152">
        <f ca="1">IFERROR(__xludf.DUMMYFUNCTION("IMPORTRANGE(""https://docs.google.com/spreadsheets/d/1hh-FVnSX0vozXhGluamEcS54Dw9_zqW0N7qJUWgJ0Sw/edit?usp=sharing"",""ชัยนาท!J681"")"),0)</f>
        <v>0</v>
      </c>
      <c r="BC57" s="152">
        <f ca="1">IFERROR(__xludf.DUMMYFUNCTION("IMPORTRANGE(""https://docs.google.com/spreadsheets/d/1hh-FVnSX0vozXhGluamEcS54Dw9_zqW0N7qJUWgJ0Sw/edit?usp=sharing"",""ชัยนาท!I682"")"),0)</f>
        <v>0</v>
      </c>
      <c r="BD57" s="152">
        <f ca="1">IFERROR(__xludf.DUMMYFUNCTION("IMPORTRANGE(""https://docs.google.com/spreadsheets/d/1hh-FVnSX0vozXhGluamEcS54Dw9_zqW0N7qJUWgJ0Sw/edit?usp=sharing"",""ชัยนาท!J682"")"),0)</f>
        <v>0</v>
      </c>
      <c r="BE57" s="216">
        <f t="shared" ca="1" si="46"/>
        <v>0</v>
      </c>
      <c r="BF57" s="152">
        <f ca="1">IFERROR(__xludf.DUMMYFUNCTION("IMPORTRANGE(""https://docs.google.com/spreadsheets/d/1hh-FVnSX0vozXhGluamEcS54Dw9_zqW0N7qJUWgJ0Sw/edit?usp=sharing"",""ชัยนาท!J683"")"),0)</f>
        <v>0</v>
      </c>
      <c r="BG57" s="152">
        <f ca="1">IFERROR(__xludf.DUMMYFUNCTION("IMPORTRANGE(""https://docs.google.com/spreadsheets/d/1hh-FVnSX0vozXhGluamEcS54Dw9_zqW0N7qJUWgJ0Sw/edit?usp=sharing"",""ชัยนาท!J684"")"),0)</f>
        <v>0</v>
      </c>
      <c r="BH57" s="152">
        <f ca="1">IFERROR(__xludf.DUMMYFUNCTION("IMPORTRANGE(""https://docs.google.com/spreadsheets/d/1hh-FVnSX0vozXhGluamEcS54Dw9_zqW0N7qJUWgJ0Sw/edit?usp=sharing"",""ชัยนาท!J685"")"),0)</f>
        <v>0</v>
      </c>
      <c r="BI57" s="152">
        <f ca="1">IFERROR(__xludf.DUMMYFUNCTION("IMPORTRANGE(""https://docs.google.com/spreadsheets/d/1hh-FVnSX0vozXhGluamEcS54Dw9_zqW0N7qJUWgJ0Sw/edit?usp=sharing"",""ชัยนาท!J686"")"),0)</f>
        <v>0</v>
      </c>
      <c r="BJ57" s="152">
        <f ca="1">IFERROR(__xludf.DUMMYFUNCTION("IMPORTRANGE(""https://docs.google.com/spreadsheets/d/1hh-FVnSX0vozXhGluamEcS54Dw9_zqW0N7qJUWgJ0Sw/edit?usp=sharing"",""ชัยนาท!J687"")"),0)</f>
        <v>0</v>
      </c>
      <c r="BK57" s="152">
        <f ca="1">IFERROR(__xludf.DUMMYFUNCTION("IMPORTRANGE(""https://docs.google.com/spreadsheets/d/1hh-FVnSX0vozXhGluamEcS54Dw9_zqW0N7qJUWgJ0Sw/edit?usp=sharing"",""ชัยนาท!J688"")"),0)</f>
        <v>0</v>
      </c>
    </row>
    <row r="58" spans="1:63" ht="19.5" x14ac:dyDescent="0.3">
      <c r="A58" s="70">
        <v>6</v>
      </c>
      <c r="B58" s="71" t="s">
        <v>86</v>
      </c>
      <c r="C58" s="68">
        <f ca="1">IFERROR(__xludf.DUMMYFUNCTION("IMPORTRANGE(""https://docs.google.com/spreadsheets/d/1jkqa6GXxSacMcY1eN8AHjMNJ_7dDXMJVRLDlaFSOdPM/edit?usp=sharing"",""ตราด!Q642"")"),0)</f>
        <v>0</v>
      </c>
      <c r="D58" s="68">
        <f ca="1">IFERROR(__xludf.DUMMYFUNCTION("IMPORTRANGE(""https://docs.google.com/spreadsheets/d/1jkqa6GXxSacMcY1eN8AHjMNJ_7dDXMJVRLDlaFSOdPM/edit?usp=sharing"",""ตราด!R642"")"),0)</f>
        <v>0</v>
      </c>
      <c r="E58" s="68">
        <f ca="1">IFERROR(__xludf.DUMMYFUNCTION("IMPORTRANGE(""https://docs.google.com/spreadsheets/d/1jkqa6GXxSacMcY1eN8AHjMNJ_7dDXMJVRLDlaFSOdPM/edit?usp=sharing"",""ตราด!S642"")"),0)</f>
        <v>0</v>
      </c>
      <c r="F58" s="68">
        <f t="shared" ca="1" si="30"/>
        <v>0</v>
      </c>
      <c r="G58" s="68">
        <f t="shared" ca="1" si="31"/>
        <v>0</v>
      </c>
      <c r="H58" s="278">
        <f ca="1">IFERROR(__xludf.DUMMYFUNCTION("IMPORTRANGE(""https://docs.google.com/spreadsheets/d/1jkqa6GXxSacMcY1eN8AHjMNJ_7dDXMJVRLDlaFSOdPM/edit?usp=sharing"",""ตราด!I652"")"),0)</f>
        <v>0</v>
      </c>
      <c r="I58" s="152">
        <f ca="1">IFERROR(__xludf.DUMMYFUNCTION("IMPORTRANGE(""https://docs.google.com/spreadsheets/d/1jkqa6GXxSacMcY1eN8AHjMNJ_7dDXMJVRLDlaFSOdPM/edit?usp=sharing"",""ตราด!J652"")"),0)</f>
        <v>0</v>
      </c>
      <c r="J58" s="216">
        <f t="shared" ca="1" si="33"/>
        <v>0</v>
      </c>
      <c r="K58" s="152">
        <f ca="1">IFERROR(__xludf.DUMMYFUNCTION("IMPORTRANGE(""https://docs.google.com/spreadsheets/d/1jkqa6GXxSacMcY1eN8AHjMNJ_7dDXMJVRLDlaFSOdPM/edit?usp=sharing"",""ตราด!I653"")"),0)</f>
        <v>0</v>
      </c>
      <c r="L58" s="152">
        <f ca="1">IFERROR(__xludf.DUMMYFUNCTION("IMPORTRANGE(""https://docs.google.com/spreadsheets/d/1jkqa6GXxSacMcY1eN8AHjMNJ_7dDXMJVRLDlaFSOdPM/edit?usp=sharing"",""ตราด!J653"")"),0)</f>
        <v>0</v>
      </c>
      <c r="M58" s="216">
        <f t="shared" ca="1" si="35"/>
        <v>0</v>
      </c>
      <c r="N58" s="152">
        <f ca="1">IFERROR(__xludf.DUMMYFUNCTION("IMPORTRANGE(""https://docs.google.com/spreadsheets/d/1jkqa6GXxSacMcY1eN8AHjMNJ_7dDXMJVRLDlaFSOdPM/edit?usp=sharing"",""ตราด!I654"")"),0)</f>
        <v>0</v>
      </c>
      <c r="O58" s="152">
        <f ca="1">IFERROR(__xludf.DUMMYFUNCTION("IMPORTRANGE(""https://docs.google.com/spreadsheets/d/1jkqa6GXxSacMcY1eN8AHjMNJ_7dDXMJVRLDlaFSOdPM/edit?usp=sharing"",""ตราด!J654"")"),0)</f>
        <v>0</v>
      </c>
      <c r="P58" s="216">
        <f t="shared" ca="1" si="37"/>
        <v>0</v>
      </c>
      <c r="Q58" s="216">
        <f ca="1">IFERROR(__xludf.DUMMYFUNCTION("IMPORTRANGE(""https://docs.google.com/spreadsheets/d/1jkqa6GXxSacMcY1eN8AHjMNJ_7dDXMJVRLDlaFSOdPM/edit?usp=sharing"",""ตราด!J655"")"),0)</f>
        <v>0</v>
      </c>
      <c r="R58" s="216">
        <f ca="1">IFERROR(__xludf.DUMMYFUNCTION("IMPORTRANGE(""https://docs.google.com/spreadsheets/d/1jkqa6GXxSacMcY1eN8AHjMNJ_7dDXMJVRLDlaFSOdPM/edit?usp=sharing"",""ตราด!J656"")"),0)</f>
        <v>0</v>
      </c>
      <c r="S58" s="216">
        <f ca="1">IFERROR(__xludf.DUMMYFUNCTION("IMPORTRANGE(""https://docs.google.com/spreadsheets/d/1jkqa6GXxSacMcY1eN8AHjMNJ_7dDXMJVRLDlaFSOdPM/edit?usp=sharing"",""ตราด!J657"")"),0)</f>
        <v>0</v>
      </c>
      <c r="T58" s="216">
        <f ca="1">IFERROR(__xludf.DUMMYFUNCTION("IMPORTRANGE(""https://docs.google.com/spreadsheets/d/1jkqa6GXxSacMcY1eN8AHjMNJ_7dDXMJVRLDlaFSOdPM/edit?usp=sharing"",""ตราด!J658"")"),0)</f>
        <v>0</v>
      </c>
      <c r="U58" s="216">
        <f ca="1">IFERROR(__xludf.DUMMYFUNCTION("IMPORTRANGE(""https://docs.google.com/spreadsheets/d/1jkqa6GXxSacMcY1eN8AHjMNJ_7dDXMJVRLDlaFSOdPM/edit?usp=sharing"",""ตราด!J659"")"),0)</f>
        <v>0</v>
      </c>
      <c r="V58" s="216">
        <f ca="1">IFERROR(__xludf.DUMMYFUNCTION("IMPORTRANGE(""https://docs.google.com/spreadsheets/d/1jkqa6GXxSacMcY1eN8AHjMNJ_7dDXMJVRLDlaFSOdPM/edit?usp=sharing"",""ตราด!J660"")"),0)</f>
        <v>0</v>
      </c>
      <c r="W58" s="152">
        <f ca="1">IFERROR(__xludf.DUMMYFUNCTION("IMPORTRANGE(""https://docs.google.com/spreadsheets/d/1jkqa6GXxSacMcY1eN8AHjMNJ_7dDXMJVRLDlaFSOdPM/edit?usp=sharing"",""ตราด!I661"")"),0)</f>
        <v>0</v>
      </c>
      <c r="X58" s="152">
        <f ca="1">IFERROR(__xludf.DUMMYFUNCTION("IMPORTRANGE(""https://docs.google.com/spreadsheets/d/1jkqa6GXxSacMcY1eN8AHjMNJ_7dDXMJVRLDlaFSOdPM/edit?usp=sharing"",""ตราด!J661"")"),0)</f>
        <v>0</v>
      </c>
      <c r="Y58" s="216">
        <f t="shared" ca="1" si="39"/>
        <v>0</v>
      </c>
      <c r="Z58" s="152">
        <f ca="1">IFERROR(__xludf.DUMMYFUNCTION("IMPORTRANGE(""https://docs.google.com/spreadsheets/d/1jkqa6GXxSacMcY1eN8AHjMNJ_7dDXMJVRLDlaFSOdPM/edit?usp=sharing"",""ตราด!J662"")"),0)</f>
        <v>0</v>
      </c>
      <c r="AA58" s="152">
        <f ca="1">IFERROR(__xludf.DUMMYFUNCTION("IMPORTRANGE(""https://docs.google.com/spreadsheets/d/1jkqa6GXxSacMcY1eN8AHjMNJ_7dDXMJVRLDlaFSOdPM/edit?usp=sharing"",""ตราด!J663"")"),0)</f>
        <v>0</v>
      </c>
      <c r="AB58" s="152">
        <f ca="1">IFERROR(__xludf.DUMMYFUNCTION("IMPORTRANGE(""https://docs.google.com/spreadsheets/d/1jkqa6GXxSacMcY1eN8AHjMNJ_7dDXMJVRLDlaFSOdPM/edit?usp=sharing"",""ตราด!J665"")"),0)</f>
        <v>0</v>
      </c>
      <c r="AC58" s="152">
        <f ca="1">IFERROR(__xludf.DUMMYFUNCTION("IMPORTRANGE(""https://docs.google.com/spreadsheets/d/1jkqa6GXxSacMcY1eN8AHjMNJ_7dDXMJVRLDlaFSOdPM/edit?usp=sharing"",""ตราด!J666"")"),0)</f>
        <v>0</v>
      </c>
      <c r="AD58" s="152">
        <f ca="1">IFERROR(__xludf.DUMMYFUNCTION("IMPORTRANGE(""https://docs.google.com/spreadsheets/d/1jkqa6GXxSacMcY1eN8AHjMNJ_7dDXMJVRLDlaFSOdPM/edit?usp=sharing"",""ตราด!J667"")"),0)</f>
        <v>0</v>
      </c>
      <c r="AE58" s="152">
        <f ca="1">IFERROR(__xludf.DUMMYFUNCTION("IMPORTRANGE(""https://docs.google.com/spreadsheets/d/1jkqa6GXxSacMcY1eN8AHjMNJ_7dDXMJVRLDlaFSOdPM/edit?usp=sharing"",""ตราด!J668"")"),0)</f>
        <v>0</v>
      </c>
      <c r="AF58" s="152">
        <f ca="1">IFERROR(__xludf.DUMMYFUNCTION("IMPORTRANGE(""https://docs.google.com/spreadsheets/d/1jkqa6GXxSacMcY1eN8AHjMNJ_7dDXMJVRLDlaFSOdPM/edit?usp=sharing"",""ตราด!J669"")"),0)</f>
        <v>0</v>
      </c>
      <c r="AG58" s="152">
        <f ca="1">IFERROR(__xludf.DUMMYFUNCTION("IMPORTRANGE(""https://docs.google.com/spreadsheets/d/1jkqa6GXxSacMcY1eN8AHjMNJ_7dDXMJVRLDlaFSOdPM/edit?usp=sharing"",""ตราด!J670"")"),0)</f>
        <v>0</v>
      </c>
      <c r="AH58" s="152">
        <f ca="1">IFERROR(__xludf.DUMMYFUNCTION("IMPORTRANGE(""https://docs.google.com/spreadsheets/d/1jkqa6GXxSacMcY1eN8AHjMNJ_7dDXMJVRLDlaFSOdPM/edit?usp=sharing"",""ตราด!I673"")"),0)</f>
        <v>0</v>
      </c>
      <c r="AI58" s="152">
        <f ca="1">IFERROR(__xludf.DUMMYFUNCTION("IMPORTRANGE(""https://docs.google.com/spreadsheets/d/1jkqa6GXxSacMcY1eN8AHjMNJ_7dDXMJVRLDlaFSOdPM/edit?usp=sharing"",""ตราด!J671"")"),0)</f>
        <v>0</v>
      </c>
      <c r="AJ58" s="152">
        <f ca="1">IFERROR(__xludf.DUMMYFUNCTION("IMPORTRANGE(""https://docs.google.com/spreadsheets/d/1jkqa6GXxSacMcY1eN8AHjMNJ_7dDXMJVRLDlaFSOdPM/edit?usp=sharing"",""ตราด!J672"")"),0)</f>
        <v>0</v>
      </c>
      <c r="AK58" s="152">
        <f ca="1">IFERROR(__xludf.DUMMYFUNCTION("IMPORTRANGE(""https://docs.google.com/spreadsheets/d/1jkqa6GXxSacMcY1eN8AHjMNJ_7dDXMJVRLDlaFSOdPM/edit?usp=sharing"",""ตราด!J673"")"),0)</f>
        <v>0</v>
      </c>
      <c r="AL58" s="216">
        <f t="shared" ca="1" si="41"/>
        <v>0</v>
      </c>
      <c r="AM58" s="152">
        <f ca="1">IFERROR(__xludf.DUMMYFUNCTION("IMPORTRANGE(""https://docs.google.com/spreadsheets/d/1jkqa6GXxSacMcY1eN8AHjMNJ_7dDXMJVRLDlaFSOdPM/edit?usp=sharing"",""ตราด!I674"")"),0)</f>
        <v>0</v>
      </c>
      <c r="AN58" s="152">
        <f ca="1">IFERROR(__xludf.DUMMYFUNCTION("IMPORTRANGE(""https://docs.google.com/spreadsheets/d/1jkqa6GXxSacMcY1eN8AHjMNJ_7dDXMJVRLDlaFSOdPM/edit?usp=sharing"",""ตราด!I675"")"),0)</f>
        <v>0</v>
      </c>
      <c r="AO58" s="152">
        <f ca="1">IFERROR(__xludf.DUMMYFUNCTION("IMPORTRANGE(""https://docs.google.com/spreadsheets/d/1jkqa6GXxSacMcY1eN8AHjMNJ_7dDXMJVRLDlaFSOdPM/edit?usp=sharing"",""ตราด!J674"")"),0)</f>
        <v>0</v>
      </c>
      <c r="AP58" s="216">
        <f t="shared" ca="1" si="43"/>
        <v>0</v>
      </c>
      <c r="AQ58" s="152">
        <f ca="1">IFERROR(__xludf.DUMMYFUNCTION("IMPORTRANGE(""https://docs.google.com/spreadsheets/d/1jkqa6GXxSacMcY1eN8AHjMNJ_7dDXMJVRLDlaFSOdPM/edit?usp=sharing"",""ตราด!J675"")"),0)</f>
        <v>0</v>
      </c>
      <c r="AR58" s="216">
        <f t="shared" ca="1" si="44"/>
        <v>0</v>
      </c>
      <c r="AS58" s="152">
        <f ca="1">IFERROR(__xludf.DUMMYFUNCTION("IMPORTRANGE(""https://docs.google.com/spreadsheets/d/1jkqa6GXxSacMcY1eN8AHjMNJ_7dDXMJVRLDlaFSOdPM/edit?usp=sharing"",""ตราด!I676"")"),0)</f>
        <v>0</v>
      </c>
      <c r="AT58" s="152">
        <f ca="1">IFERROR(__xludf.DUMMYFUNCTION("IMPORTRANGE(""https://docs.google.com/spreadsheets/d/1jkqa6GXxSacMcY1eN8AHjMNJ_7dDXMJVRLDlaFSOdPM/edit?usp=sharing"",""ตราด!I678"")"),0)</f>
        <v>0</v>
      </c>
      <c r="AU58" s="152">
        <f ca="1">IFERROR(__xludf.DUMMYFUNCTION("IMPORTRANGE(""https://docs.google.com/spreadsheets/d/1jkqa6GXxSacMcY1eN8AHjMNJ_7dDXMJVRLDlaFSOdPM/edit?usp=sharing"",""ตราด!J676"")"),0)</f>
        <v>0</v>
      </c>
      <c r="AV58" s="152">
        <f ca="1">IFERROR(__xludf.DUMMYFUNCTION("IMPORTRANGE(""https://docs.google.com/spreadsheets/d/1jkqa6GXxSacMcY1eN8AHjMNJ_7dDXMJVRLDlaFSOdPM/edit?usp=sharing"",""ตราด!J677"")"),0)</f>
        <v>0</v>
      </c>
      <c r="AW58" s="152">
        <f ca="1">IFERROR(__xludf.DUMMYFUNCTION("IMPORTRANGE(""https://docs.google.com/spreadsheets/d/1jkqa6GXxSacMcY1eN8AHjMNJ_7dDXMJVRLDlaFSOdPM/edit?usp=sharing"",""ตราด!J678"")"),0)</f>
        <v>0</v>
      </c>
      <c r="AX58" s="152">
        <f ca="1">IFERROR(__xludf.DUMMYFUNCTION("IMPORTRANGE(""https://docs.google.com/spreadsheets/d/1jkqa6GXxSacMcY1eN8AHjMNJ_7dDXMJVRLDlaFSOdPM/edit?usp=sharing"",""ตราด!I679"")"),0)</f>
        <v>0</v>
      </c>
      <c r="AY58" s="152">
        <f ca="1">IFERROR(__xludf.DUMMYFUNCTION("IMPORTRANGE(""https://docs.google.com/spreadsheets/d/1jkqa6GXxSacMcY1eN8AHjMNJ_7dDXMJVRLDlaFSOdPM/edit?usp=sharing"",""ตราด!I681"")"),0)</f>
        <v>0</v>
      </c>
      <c r="AZ58" s="152">
        <f ca="1">IFERROR(__xludf.DUMMYFUNCTION("IMPORTRANGE(""https://docs.google.com/spreadsheets/d/1jkqa6GXxSacMcY1eN8AHjMNJ_7dDXMJVRLDlaFSOdPM/edit?usp=sharing"",""ตราด!J679"")"),0)</f>
        <v>0</v>
      </c>
      <c r="BA58" s="152">
        <f ca="1">IFERROR(__xludf.DUMMYFUNCTION("IMPORTRANGE(""https://docs.google.com/spreadsheets/d/1jkqa6GXxSacMcY1eN8AHjMNJ_7dDXMJVRLDlaFSOdPM/edit?usp=sharing"",""ตราด!J680"")"),0)</f>
        <v>0</v>
      </c>
      <c r="BB58" s="152">
        <f ca="1">IFERROR(__xludf.DUMMYFUNCTION("IMPORTRANGE(""https://docs.google.com/spreadsheets/d/1jkqa6GXxSacMcY1eN8AHjMNJ_7dDXMJVRLDlaFSOdPM/edit?usp=sharing"",""ตราด!J681"")"),0)</f>
        <v>0</v>
      </c>
      <c r="BC58" s="152">
        <f ca="1">IFERROR(__xludf.DUMMYFUNCTION("IMPORTRANGE(""https://docs.google.com/spreadsheets/d/1jkqa6GXxSacMcY1eN8AHjMNJ_7dDXMJVRLDlaFSOdPM/edit?usp=sharing"",""ตราด!I682"")"),0)</f>
        <v>0</v>
      </c>
      <c r="BD58" s="152">
        <f ca="1">IFERROR(__xludf.DUMMYFUNCTION("IMPORTRANGE(""https://docs.google.com/spreadsheets/d/1jkqa6GXxSacMcY1eN8AHjMNJ_7dDXMJVRLDlaFSOdPM/edit?usp=sharing"",""ตราด!J682"")"),0)</f>
        <v>0</v>
      </c>
      <c r="BE58" s="216">
        <f t="shared" ca="1" si="46"/>
        <v>0</v>
      </c>
      <c r="BF58" s="152">
        <f ca="1">IFERROR(__xludf.DUMMYFUNCTION("IMPORTRANGE(""https://docs.google.com/spreadsheets/d/1jkqa6GXxSacMcY1eN8AHjMNJ_7dDXMJVRLDlaFSOdPM/edit?usp=sharing"",""ตราด!J683"")"),0)</f>
        <v>0</v>
      </c>
      <c r="BG58" s="152">
        <f ca="1">IFERROR(__xludf.DUMMYFUNCTION("IMPORTRANGE(""https://docs.google.com/spreadsheets/d/1jkqa6GXxSacMcY1eN8AHjMNJ_7dDXMJVRLDlaFSOdPM/edit?usp=sharing"",""ตราด!J684"")"),0)</f>
        <v>0</v>
      </c>
      <c r="BH58" s="152">
        <f ca="1">IFERROR(__xludf.DUMMYFUNCTION("IMPORTRANGE(""https://docs.google.com/spreadsheets/d/1jkqa6GXxSacMcY1eN8AHjMNJ_7dDXMJVRLDlaFSOdPM/edit?usp=sharing"",""ตราด!J685"")"),0)</f>
        <v>0</v>
      </c>
      <c r="BI58" s="152">
        <f ca="1">IFERROR(__xludf.DUMMYFUNCTION("IMPORTRANGE(""https://docs.google.com/spreadsheets/d/1jkqa6GXxSacMcY1eN8AHjMNJ_7dDXMJVRLDlaFSOdPM/edit?usp=sharing"",""ตราด!J686"")"),0)</f>
        <v>0</v>
      </c>
      <c r="BJ58" s="152">
        <f ca="1">IFERROR(__xludf.DUMMYFUNCTION("IMPORTRANGE(""https://docs.google.com/spreadsheets/d/1jkqa6GXxSacMcY1eN8AHjMNJ_7dDXMJVRLDlaFSOdPM/edit?usp=sharing"",""ตราด!J687"")"),0)</f>
        <v>0</v>
      </c>
      <c r="BK58" s="152">
        <f ca="1">IFERROR(__xludf.DUMMYFUNCTION("IMPORTRANGE(""https://docs.google.com/spreadsheets/d/1jkqa6GXxSacMcY1eN8AHjMNJ_7dDXMJVRLDlaFSOdPM/edit?usp=sharing"",""ตราด!J688"")"),0)</f>
        <v>0</v>
      </c>
    </row>
    <row r="59" spans="1:63" ht="19.5" x14ac:dyDescent="0.3">
      <c r="A59" s="70">
        <v>7</v>
      </c>
      <c r="B59" s="71" t="s">
        <v>87</v>
      </c>
      <c r="C59" s="68">
        <f ca="1">IFERROR(__xludf.DUMMYFUNCTION("IMPORTRANGE(""https://docs.google.com/spreadsheets/d/18hSgUJ3VwClqi_qtULmmW3cLr0oe3OKaSYoKzdpTsYQ/edit?usp=sharing"",""นครนายก!Q642"")"),81800)</f>
        <v>81800</v>
      </c>
      <c r="D59" s="68">
        <f ca="1">IFERROR(__xludf.DUMMYFUNCTION("IMPORTRANGE(""https://docs.google.com/spreadsheets/d/18hSgUJ3VwClqi_qtULmmW3cLr0oe3OKaSYoKzdpTsYQ/edit?usp=sharing"",""นครนายก!R642"")"),81800)</f>
        <v>81800</v>
      </c>
      <c r="E59" s="68">
        <f ca="1">IFERROR(__xludf.DUMMYFUNCTION("IMPORTRANGE(""https://docs.google.com/spreadsheets/d/18hSgUJ3VwClqi_qtULmmW3cLr0oe3OKaSYoKzdpTsYQ/edit?usp=sharing"",""นครนายก!S642"")"),10140)</f>
        <v>10140</v>
      </c>
      <c r="F59" s="68">
        <f t="shared" ca="1" si="30"/>
        <v>12.396088019559903</v>
      </c>
      <c r="G59" s="68">
        <f t="shared" ca="1" si="31"/>
        <v>12.396088019559903</v>
      </c>
      <c r="H59" s="278">
        <f ca="1">IFERROR(__xludf.DUMMYFUNCTION("IMPORTRANGE(""https://docs.google.com/spreadsheets/d/18hSgUJ3VwClqi_qtULmmW3cLr0oe3OKaSYoKzdpTsYQ/edit?usp=sharing"",""นครนายก!I652"")"),0)</f>
        <v>0</v>
      </c>
      <c r="I59" s="152">
        <f ca="1">IFERROR(__xludf.DUMMYFUNCTION("IMPORTRANGE(""https://docs.google.com/spreadsheets/d/18hSgUJ3VwClqi_qtULmmW3cLr0oe3OKaSYoKzdpTsYQ/edit?usp=sharing"",""นครนายก!J652"")"),0)</f>
        <v>0</v>
      </c>
      <c r="J59" s="216">
        <f t="shared" ca="1" si="33"/>
        <v>0</v>
      </c>
      <c r="K59" s="152">
        <f ca="1">IFERROR(__xludf.DUMMYFUNCTION("IMPORTRANGE(""https://docs.google.com/spreadsheets/d/18hSgUJ3VwClqi_qtULmmW3cLr0oe3OKaSYoKzdpTsYQ/edit?usp=sharing"",""นครนายก!I653"")"),5)</f>
        <v>5</v>
      </c>
      <c r="L59" s="152">
        <f ca="1">IFERROR(__xludf.DUMMYFUNCTION("IMPORTRANGE(""https://docs.google.com/spreadsheets/d/18hSgUJ3VwClqi_qtULmmW3cLr0oe3OKaSYoKzdpTsYQ/edit?usp=sharing"",""นครนายก!J653"")"),0)</f>
        <v>0</v>
      </c>
      <c r="M59" s="216">
        <f t="shared" ca="1" si="35"/>
        <v>0</v>
      </c>
      <c r="N59" s="152">
        <f ca="1">IFERROR(__xludf.DUMMYFUNCTION("IMPORTRANGE(""https://docs.google.com/spreadsheets/d/18hSgUJ3VwClqi_qtULmmW3cLr0oe3OKaSYoKzdpTsYQ/edit?usp=sharing"",""นครนายก!I654"")"),225)</f>
        <v>225</v>
      </c>
      <c r="O59" s="152">
        <f ca="1">IFERROR(__xludf.DUMMYFUNCTION("IMPORTRANGE(""https://docs.google.com/spreadsheets/d/18hSgUJ3VwClqi_qtULmmW3cLr0oe3OKaSYoKzdpTsYQ/edit?usp=sharing"",""นครนายก!J654"")"),0)</f>
        <v>0</v>
      </c>
      <c r="P59" s="216">
        <f t="shared" ca="1" si="37"/>
        <v>0</v>
      </c>
      <c r="Q59" s="216">
        <f ca="1">IFERROR(__xludf.DUMMYFUNCTION("IMPORTRANGE(""https://docs.google.com/spreadsheets/d/18hSgUJ3VwClqi_qtULmmW3cLr0oe3OKaSYoKzdpTsYQ/edit?usp=sharing"",""นครนายก!J655"")"),0)</f>
        <v>0</v>
      </c>
      <c r="R59" s="216">
        <f ca="1">IFERROR(__xludf.DUMMYFUNCTION("IMPORTRANGE(""https://docs.google.com/spreadsheets/d/18hSgUJ3VwClqi_qtULmmW3cLr0oe3OKaSYoKzdpTsYQ/edit?usp=sharing"",""นครนายก!J656"")"),0)</f>
        <v>0</v>
      </c>
      <c r="S59" s="216">
        <f ca="1">IFERROR(__xludf.DUMMYFUNCTION("IMPORTRANGE(""https://docs.google.com/spreadsheets/d/18hSgUJ3VwClqi_qtULmmW3cLr0oe3OKaSYoKzdpTsYQ/edit?usp=sharing"",""นครนายก!J657"")"),0)</f>
        <v>0</v>
      </c>
      <c r="T59" s="216">
        <f ca="1">IFERROR(__xludf.DUMMYFUNCTION("IMPORTRANGE(""https://docs.google.com/spreadsheets/d/18hSgUJ3VwClqi_qtULmmW3cLr0oe3OKaSYoKzdpTsYQ/edit?usp=sharing"",""นครนายก!J658"")"),0)</f>
        <v>0</v>
      </c>
      <c r="U59" s="216">
        <f ca="1">IFERROR(__xludf.DUMMYFUNCTION("IMPORTRANGE(""https://docs.google.com/spreadsheets/d/18hSgUJ3VwClqi_qtULmmW3cLr0oe3OKaSYoKzdpTsYQ/edit?usp=sharing"",""นครนายก!J659"")"),0)</f>
        <v>0</v>
      </c>
      <c r="V59" s="216">
        <f ca="1">IFERROR(__xludf.DUMMYFUNCTION("IMPORTRANGE(""https://docs.google.com/spreadsheets/d/18hSgUJ3VwClqi_qtULmmW3cLr0oe3OKaSYoKzdpTsYQ/edit?usp=sharing"",""นครนายก!J660"")"),0)</f>
        <v>0</v>
      </c>
      <c r="W59" s="152">
        <f ca="1">IFERROR(__xludf.DUMMYFUNCTION("IMPORTRANGE(""https://docs.google.com/spreadsheets/d/18hSgUJ3VwClqi_qtULmmW3cLr0oe3OKaSYoKzdpTsYQ/edit?usp=sharing"",""นครนายก!I661"")"),100)</f>
        <v>100</v>
      </c>
      <c r="X59" s="152">
        <f ca="1">IFERROR(__xludf.DUMMYFUNCTION("IMPORTRANGE(""https://docs.google.com/spreadsheets/d/18hSgUJ3VwClqi_qtULmmW3cLr0oe3OKaSYoKzdpTsYQ/edit?usp=sharing"",""นครนายก!J661"")"),149.617)</f>
        <v>149.61699999999999</v>
      </c>
      <c r="Y59" s="216">
        <f t="shared" ca="1" si="39"/>
        <v>149.61699999999999</v>
      </c>
      <c r="Z59" s="152">
        <f ca="1">IFERROR(__xludf.DUMMYFUNCTION("IMPORTRANGE(""https://docs.google.com/spreadsheets/d/18hSgUJ3VwClqi_qtULmmW3cLr0oe3OKaSYoKzdpTsYQ/edit?usp=sharing"",""นครนายก!J662"")"),8)</f>
        <v>8</v>
      </c>
      <c r="AA59" s="152">
        <f ca="1">IFERROR(__xludf.DUMMYFUNCTION("IMPORTRANGE(""https://docs.google.com/spreadsheets/d/18hSgUJ3VwClqi_qtULmmW3cLr0oe3OKaSYoKzdpTsYQ/edit?usp=sharing"",""นครนายก!J663"")"),149.617)</f>
        <v>149.61699999999999</v>
      </c>
      <c r="AB59" s="152">
        <f ca="1">IFERROR(__xludf.DUMMYFUNCTION("IMPORTRANGE(""https://docs.google.com/spreadsheets/d/18hSgUJ3VwClqi_qtULmmW3cLr0oe3OKaSYoKzdpTsYQ/edit?usp=sharing"",""นครนายก!J665"")"),1)</f>
        <v>1</v>
      </c>
      <c r="AC59" s="152">
        <f ca="1">IFERROR(__xludf.DUMMYFUNCTION("IMPORTRANGE(""https://docs.google.com/spreadsheets/d/18hSgUJ3VwClqi_qtULmmW3cLr0oe3OKaSYoKzdpTsYQ/edit?usp=sharing"",""นครนายก!J666"")"),1)</f>
        <v>1</v>
      </c>
      <c r="AD59" s="152">
        <f ca="1">IFERROR(__xludf.DUMMYFUNCTION("IMPORTRANGE(""https://docs.google.com/spreadsheets/d/18hSgUJ3VwClqi_qtULmmW3cLr0oe3OKaSYoKzdpTsYQ/edit?usp=sharing"",""นครนายก!J667"")"),29.2075)</f>
        <v>29.2075</v>
      </c>
      <c r="AE59" s="152">
        <f ca="1">IFERROR(__xludf.DUMMYFUNCTION("IMPORTRANGE(""https://docs.google.com/spreadsheets/d/18hSgUJ3VwClqi_qtULmmW3cLr0oe3OKaSYoKzdpTsYQ/edit?usp=sharing"",""นครนายก!J668"")"),7)</f>
        <v>7</v>
      </c>
      <c r="AF59" s="152">
        <f ca="1">IFERROR(__xludf.DUMMYFUNCTION("IMPORTRANGE(""https://docs.google.com/spreadsheets/d/18hSgUJ3VwClqi_qtULmmW3cLr0oe3OKaSYoKzdpTsYQ/edit?usp=sharing"",""นครนายก!J669"")"),7)</f>
        <v>7</v>
      </c>
      <c r="AG59" s="152">
        <f ca="1">IFERROR(__xludf.DUMMYFUNCTION("IMPORTRANGE(""https://docs.google.com/spreadsheets/d/18hSgUJ3VwClqi_qtULmmW3cLr0oe3OKaSYoKzdpTsYQ/edit?usp=sharing"",""นครนายก!J670"")"),120.4095)</f>
        <v>120.40949999999999</v>
      </c>
      <c r="AH59" s="152">
        <f ca="1">IFERROR(__xludf.DUMMYFUNCTION("IMPORTRANGE(""https://docs.google.com/spreadsheets/d/18hSgUJ3VwClqi_qtULmmW3cLr0oe3OKaSYoKzdpTsYQ/edit?usp=sharing"",""นครนายก!I673"")"),230)</f>
        <v>230</v>
      </c>
      <c r="AI59" s="152">
        <f ca="1">IFERROR(__xludf.DUMMYFUNCTION("IMPORTRANGE(""https://docs.google.com/spreadsheets/d/18hSgUJ3VwClqi_qtULmmW3cLr0oe3OKaSYoKzdpTsYQ/edit?usp=sharing"",""นครนายก!J671"")"),0)</f>
        <v>0</v>
      </c>
      <c r="AJ59" s="152">
        <f ca="1">IFERROR(__xludf.DUMMYFUNCTION("IMPORTRANGE(""https://docs.google.com/spreadsheets/d/18hSgUJ3VwClqi_qtULmmW3cLr0oe3OKaSYoKzdpTsYQ/edit?usp=sharing"",""นครนายก!J672"")"),0)</f>
        <v>0</v>
      </c>
      <c r="AK59" s="152">
        <f ca="1">IFERROR(__xludf.DUMMYFUNCTION("IMPORTRANGE(""https://docs.google.com/spreadsheets/d/18hSgUJ3VwClqi_qtULmmW3cLr0oe3OKaSYoKzdpTsYQ/edit?usp=sharing"",""นครนายก!J673"")"),0)</f>
        <v>0</v>
      </c>
      <c r="AL59" s="216">
        <f t="shared" ca="1" si="41"/>
        <v>0</v>
      </c>
      <c r="AM59" s="152">
        <f ca="1">IFERROR(__xludf.DUMMYFUNCTION("IMPORTRANGE(""https://docs.google.com/spreadsheets/d/18hSgUJ3VwClqi_qtULmmW3cLr0oe3OKaSYoKzdpTsYQ/edit?usp=sharing"",""นครนายก!I674"")"),45)</f>
        <v>45</v>
      </c>
      <c r="AN59" s="152">
        <f ca="1">IFERROR(__xludf.DUMMYFUNCTION("IMPORTRANGE(""https://docs.google.com/spreadsheets/d/18hSgUJ3VwClqi_qtULmmW3cLr0oe3OKaSYoKzdpTsYQ/edit?usp=sharing"",""นครนายก!I675"")"),675)</f>
        <v>675</v>
      </c>
      <c r="AO59" s="152">
        <f ca="1">IFERROR(__xludf.DUMMYFUNCTION("IMPORTRANGE(""https://docs.google.com/spreadsheets/d/18hSgUJ3VwClqi_qtULmmW3cLr0oe3OKaSYoKzdpTsYQ/edit?usp=sharing"",""นครนายก!J674"")"),27)</f>
        <v>27</v>
      </c>
      <c r="AP59" s="216">
        <f t="shared" ca="1" si="43"/>
        <v>60</v>
      </c>
      <c r="AQ59" s="152">
        <f ca="1">IFERROR(__xludf.DUMMYFUNCTION("IMPORTRANGE(""https://docs.google.com/spreadsheets/d/18hSgUJ3VwClqi_qtULmmW3cLr0oe3OKaSYoKzdpTsYQ/edit?usp=sharing"",""นครนายก!J675"")"),482.07)</f>
        <v>482.07</v>
      </c>
      <c r="AR59" s="216">
        <f t="shared" ca="1" si="44"/>
        <v>71.417777777777772</v>
      </c>
      <c r="AS59" s="152">
        <f ca="1">IFERROR(__xludf.DUMMYFUNCTION("IMPORTRANGE(""https://docs.google.com/spreadsheets/d/18hSgUJ3VwClqi_qtULmmW3cLr0oe3OKaSYoKzdpTsYQ/edit?usp=sharing"",""นครนายก!I676"")"),20)</f>
        <v>20</v>
      </c>
      <c r="AT59" s="152">
        <f ca="1">IFERROR(__xludf.DUMMYFUNCTION("IMPORTRANGE(""https://docs.google.com/spreadsheets/d/18hSgUJ3VwClqi_qtULmmW3cLr0oe3OKaSYoKzdpTsYQ/edit?usp=sharing"",""นครนายก!I678"")"),300)</f>
        <v>300</v>
      </c>
      <c r="AU59" s="152">
        <f ca="1">IFERROR(__xludf.DUMMYFUNCTION("IMPORTRANGE(""https://docs.google.com/spreadsheets/d/18hSgUJ3VwClqi_qtULmmW3cLr0oe3OKaSYoKzdpTsYQ/edit?usp=sharing"",""นครนายก!J676"")"),27)</f>
        <v>27</v>
      </c>
      <c r="AV59" s="152">
        <f ca="1">IFERROR(__xludf.DUMMYFUNCTION("IMPORTRANGE(""https://docs.google.com/spreadsheets/d/18hSgUJ3VwClqi_qtULmmW3cLr0oe3OKaSYoKzdpTsYQ/edit?usp=sharing"",""นครนายก!J677"")"),36)</f>
        <v>36</v>
      </c>
      <c r="AW59" s="152">
        <f ca="1">IFERROR(__xludf.DUMMYFUNCTION("IMPORTRANGE(""https://docs.google.com/spreadsheets/d/18hSgUJ3VwClqi_qtULmmW3cLr0oe3OKaSYoKzdpTsYQ/edit?usp=sharing"",""นครนายก!J678"")"),482.07)</f>
        <v>482.07</v>
      </c>
      <c r="AX59" s="152">
        <f ca="1">IFERROR(__xludf.DUMMYFUNCTION("IMPORTRANGE(""https://docs.google.com/spreadsheets/d/18hSgUJ3VwClqi_qtULmmW3cLr0oe3OKaSYoKzdpTsYQ/edit?usp=sharing"",""นครนายก!I679"")"),25)</f>
        <v>25</v>
      </c>
      <c r="AY59" s="152">
        <f ca="1">IFERROR(__xludf.DUMMYFUNCTION("IMPORTRANGE(""https://docs.google.com/spreadsheets/d/18hSgUJ3VwClqi_qtULmmW3cLr0oe3OKaSYoKzdpTsYQ/edit?usp=sharing"",""นครนายก!I681"")"),375)</f>
        <v>375</v>
      </c>
      <c r="AZ59" s="152">
        <f ca="1">IFERROR(__xludf.DUMMYFUNCTION("IMPORTRANGE(""https://docs.google.com/spreadsheets/d/18hSgUJ3VwClqi_qtULmmW3cLr0oe3OKaSYoKzdpTsYQ/edit?usp=sharing"",""นครนายก!J679"")"),0)</f>
        <v>0</v>
      </c>
      <c r="BA59" s="152">
        <f ca="1">IFERROR(__xludf.DUMMYFUNCTION("IMPORTRANGE(""https://docs.google.com/spreadsheets/d/18hSgUJ3VwClqi_qtULmmW3cLr0oe3OKaSYoKzdpTsYQ/edit?usp=sharing"",""นครนายก!J680"")"),0)</f>
        <v>0</v>
      </c>
      <c r="BB59" s="152">
        <f ca="1">IFERROR(__xludf.DUMMYFUNCTION("IMPORTRANGE(""https://docs.google.com/spreadsheets/d/18hSgUJ3VwClqi_qtULmmW3cLr0oe3OKaSYoKzdpTsYQ/edit?usp=sharing"",""นครนายก!J681"")"),0)</f>
        <v>0</v>
      </c>
      <c r="BC59" s="152">
        <f ca="1">IFERROR(__xludf.DUMMYFUNCTION("IMPORTRANGE(""https://docs.google.com/spreadsheets/d/18hSgUJ3VwClqi_qtULmmW3cLr0oe3OKaSYoKzdpTsYQ/edit?usp=sharing"",""นครนายก!I682"")"),150)</f>
        <v>150</v>
      </c>
      <c r="BD59" s="152">
        <f ca="1">IFERROR(__xludf.DUMMYFUNCTION("IMPORTRANGE(""https://docs.google.com/spreadsheets/d/18hSgUJ3VwClqi_qtULmmW3cLr0oe3OKaSYoKzdpTsYQ/edit?usp=sharing"",""นครนายก!J682"")"),227)</f>
        <v>227</v>
      </c>
      <c r="BE59" s="216">
        <f t="shared" ca="1" si="46"/>
        <v>151.33333333333334</v>
      </c>
      <c r="BF59" s="152">
        <f ca="1">IFERROR(__xludf.DUMMYFUNCTION("IMPORTRANGE(""https://docs.google.com/spreadsheets/d/18hSgUJ3VwClqi_qtULmmW3cLr0oe3OKaSYoKzdpTsYQ/edit?usp=sharing"",""นครนายก!J683"")"),4)</f>
        <v>4</v>
      </c>
      <c r="BG59" s="152">
        <f ca="1">IFERROR(__xludf.DUMMYFUNCTION("IMPORTRANGE(""https://docs.google.com/spreadsheets/d/18hSgUJ3VwClqi_qtULmmW3cLr0oe3OKaSYoKzdpTsYQ/edit?usp=sharing"",""นครนายก!J684"")"),4)</f>
        <v>4</v>
      </c>
      <c r="BH59" s="152">
        <f ca="1">IFERROR(__xludf.DUMMYFUNCTION("IMPORTRANGE(""https://docs.google.com/spreadsheets/d/18hSgUJ3VwClqi_qtULmmW3cLr0oe3OKaSYoKzdpTsYQ/edit?usp=sharing"",""นครนายก!J685"")"),38)</f>
        <v>38</v>
      </c>
      <c r="BI59" s="152">
        <f ca="1">IFERROR(__xludf.DUMMYFUNCTION("IMPORTRANGE(""https://docs.google.com/spreadsheets/d/18hSgUJ3VwClqi_qtULmmW3cLr0oe3OKaSYoKzdpTsYQ/edit?usp=sharing"",""นครนายก!J686"")"),43)</f>
        <v>43</v>
      </c>
      <c r="BJ59" s="152">
        <f ca="1">IFERROR(__xludf.DUMMYFUNCTION("IMPORTRANGE(""https://docs.google.com/spreadsheets/d/18hSgUJ3VwClqi_qtULmmW3cLr0oe3OKaSYoKzdpTsYQ/edit?usp=sharing"",""นครนายก!J687"")"),12)</f>
        <v>12</v>
      </c>
      <c r="BK59" s="152">
        <f ca="1">IFERROR(__xludf.DUMMYFUNCTION("IMPORTRANGE(""https://docs.google.com/spreadsheets/d/18hSgUJ3VwClqi_qtULmmW3cLr0oe3OKaSYoKzdpTsYQ/edit?usp=sharing"",""นครนายก!J688"")"),189)</f>
        <v>189</v>
      </c>
    </row>
    <row r="60" spans="1:63" ht="19.5" x14ac:dyDescent="0.3">
      <c r="A60" s="70">
        <v>8</v>
      </c>
      <c r="B60" s="71" t="s">
        <v>88</v>
      </c>
      <c r="C60" s="68">
        <f ca="1">IFERROR(__xludf.DUMMYFUNCTION("IMPORTRANGE(""https://docs.google.com/spreadsheets/d/1YTZo6WM2dQ6Ix6FSdnL5P7uVnVKu40sxZu975tgG10E/edit?usp=sharing"",""นครปฐม!Q642"")"),9360)</f>
        <v>9360</v>
      </c>
      <c r="D60" s="68">
        <f ca="1">IFERROR(__xludf.DUMMYFUNCTION("IMPORTRANGE(""https://docs.google.com/spreadsheets/d/1YTZo6WM2dQ6Ix6FSdnL5P7uVnVKu40sxZu975tgG10E/edit?usp=sharing"",""นครปฐม!R642"")"),9360)</f>
        <v>9360</v>
      </c>
      <c r="E60" s="68">
        <f ca="1">IFERROR(__xludf.DUMMYFUNCTION("IMPORTRANGE(""https://docs.google.com/spreadsheets/d/1YTZo6WM2dQ6Ix6FSdnL5P7uVnVKu40sxZu975tgG10E/edit?usp=sharing"",""นครปฐม!S642"")"),9360)</f>
        <v>9360</v>
      </c>
      <c r="F60" s="68">
        <f t="shared" ca="1" si="30"/>
        <v>100</v>
      </c>
      <c r="G60" s="68">
        <f t="shared" ca="1" si="31"/>
        <v>100</v>
      </c>
      <c r="H60" s="278">
        <f ca="1">IFERROR(__xludf.DUMMYFUNCTION("IMPORTRANGE(""https://docs.google.com/spreadsheets/d/1YTZo6WM2dQ6Ix6FSdnL5P7uVnVKu40sxZu975tgG10E/edit?usp=sharing"",""นครปฐม!I652"")"),0)</f>
        <v>0</v>
      </c>
      <c r="I60" s="152">
        <f ca="1">IFERROR(__xludf.DUMMYFUNCTION("IMPORTRANGE(""https://docs.google.com/spreadsheets/d/1YTZo6WM2dQ6Ix6FSdnL5P7uVnVKu40sxZu975tgG10E/edit?usp=sharing"",""นครปฐม!J652"")"),0)</f>
        <v>0</v>
      </c>
      <c r="J60" s="216">
        <f t="shared" ca="1" si="33"/>
        <v>0</v>
      </c>
      <c r="K60" s="152">
        <f ca="1">IFERROR(__xludf.DUMMYFUNCTION("IMPORTRANGE(""https://docs.google.com/spreadsheets/d/1YTZo6WM2dQ6Ix6FSdnL5P7uVnVKu40sxZu975tgG10E/edit?usp=sharing"",""นครปฐม!I653"")"),0)</f>
        <v>0</v>
      </c>
      <c r="L60" s="152">
        <f ca="1">IFERROR(__xludf.DUMMYFUNCTION("IMPORTRANGE(""https://docs.google.com/spreadsheets/d/1YTZo6WM2dQ6Ix6FSdnL5P7uVnVKu40sxZu975tgG10E/edit?usp=sharing"",""นครปฐม!J653"")"),1)</f>
        <v>1</v>
      </c>
      <c r="M60" s="216">
        <f t="shared" ca="1" si="35"/>
        <v>0</v>
      </c>
      <c r="N60" s="152">
        <f ca="1">IFERROR(__xludf.DUMMYFUNCTION("IMPORTRANGE(""https://docs.google.com/spreadsheets/d/1YTZo6WM2dQ6Ix6FSdnL5P7uVnVKu40sxZu975tgG10E/edit?usp=sharing"",""นครปฐม!I654"")"),30)</f>
        <v>30</v>
      </c>
      <c r="O60" s="152">
        <f ca="1">IFERROR(__xludf.DUMMYFUNCTION("IMPORTRANGE(""https://docs.google.com/spreadsheets/d/1YTZo6WM2dQ6Ix6FSdnL5P7uVnVKu40sxZu975tgG10E/edit?usp=sharing"",""นครปฐม!J654"")"),59.17)</f>
        <v>59.17</v>
      </c>
      <c r="P60" s="216">
        <f t="shared" ca="1" si="37"/>
        <v>197.23333333333332</v>
      </c>
      <c r="Q60" s="216">
        <f ca="1">IFERROR(__xludf.DUMMYFUNCTION("IMPORTRANGE(""https://docs.google.com/spreadsheets/d/1YTZo6WM2dQ6Ix6FSdnL5P7uVnVKu40sxZu975tgG10E/edit?usp=sharing"",""นครปฐม!J655"")"),4)</f>
        <v>4</v>
      </c>
      <c r="R60" s="216">
        <f ca="1">IFERROR(__xludf.DUMMYFUNCTION("IMPORTRANGE(""https://docs.google.com/spreadsheets/d/1YTZo6WM2dQ6Ix6FSdnL5P7uVnVKu40sxZu975tgG10E/edit?usp=sharing"",""นครปฐม!J656"")"),4)</f>
        <v>4</v>
      </c>
      <c r="S60" s="216">
        <f ca="1">IFERROR(__xludf.DUMMYFUNCTION("IMPORTRANGE(""https://docs.google.com/spreadsheets/d/1YTZo6WM2dQ6Ix6FSdnL5P7uVnVKu40sxZu975tgG10E/edit?usp=sharing"",""นครปฐม!J657"")"),59.17)</f>
        <v>59.17</v>
      </c>
      <c r="T60" s="216">
        <f ca="1">IFERROR(__xludf.DUMMYFUNCTION("IMPORTRANGE(""https://docs.google.com/spreadsheets/d/1YTZo6WM2dQ6Ix6FSdnL5P7uVnVKu40sxZu975tgG10E/edit?usp=sharing"",""นครปฐม!J658"")"),0)</f>
        <v>0</v>
      </c>
      <c r="U60" s="216">
        <f ca="1">IFERROR(__xludf.DUMMYFUNCTION("IMPORTRANGE(""https://docs.google.com/spreadsheets/d/1YTZo6WM2dQ6Ix6FSdnL5P7uVnVKu40sxZu975tgG10E/edit?usp=sharing"",""นครปฐม!J659"")"),0)</f>
        <v>0</v>
      </c>
      <c r="V60" s="216">
        <f ca="1">IFERROR(__xludf.DUMMYFUNCTION("IMPORTRANGE(""https://docs.google.com/spreadsheets/d/1YTZo6WM2dQ6Ix6FSdnL5P7uVnVKu40sxZu975tgG10E/edit?usp=sharing"",""นครปฐม!J660"")"),0)</f>
        <v>0</v>
      </c>
      <c r="W60" s="152">
        <f ca="1">IFERROR(__xludf.DUMMYFUNCTION("IMPORTRANGE(""https://docs.google.com/spreadsheets/d/1YTZo6WM2dQ6Ix6FSdnL5P7uVnVKu40sxZu975tgG10E/edit?usp=sharing"",""นครปฐม!I661"")"),21)</f>
        <v>21</v>
      </c>
      <c r="X60" s="152">
        <f ca="1">IFERROR(__xludf.DUMMYFUNCTION("IMPORTRANGE(""https://docs.google.com/spreadsheets/d/1YTZo6WM2dQ6Ix6FSdnL5P7uVnVKu40sxZu975tgG10E/edit?usp=sharing"",""นครปฐม!J661"")"),0)</f>
        <v>0</v>
      </c>
      <c r="Y60" s="216">
        <f t="shared" ca="1" si="39"/>
        <v>0</v>
      </c>
      <c r="Z60" s="152">
        <f ca="1">IFERROR(__xludf.DUMMYFUNCTION("IMPORTRANGE(""https://docs.google.com/spreadsheets/d/1YTZo6WM2dQ6Ix6FSdnL5P7uVnVKu40sxZu975tgG10E/edit?usp=sharing"",""นครปฐม!J662"")"),0)</f>
        <v>0</v>
      </c>
      <c r="AA60" s="152">
        <f ca="1">IFERROR(__xludf.DUMMYFUNCTION("IMPORTRANGE(""https://docs.google.com/spreadsheets/d/1YTZo6WM2dQ6Ix6FSdnL5P7uVnVKu40sxZu975tgG10E/edit?usp=sharing"",""นครปฐม!J663"")"),0)</f>
        <v>0</v>
      </c>
      <c r="AB60" s="152">
        <f ca="1">IFERROR(__xludf.DUMMYFUNCTION("IMPORTRANGE(""https://docs.google.com/spreadsheets/d/1YTZo6WM2dQ6Ix6FSdnL5P7uVnVKu40sxZu975tgG10E/edit?usp=sharing"",""นครปฐม!J665"")"),0)</f>
        <v>0</v>
      </c>
      <c r="AC60" s="152">
        <f ca="1">IFERROR(__xludf.DUMMYFUNCTION("IMPORTRANGE(""https://docs.google.com/spreadsheets/d/1YTZo6WM2dQ6Ix6FSdnL5P7uVnVKu40sxZu975tgG10E/edit?usp=sharing"",""นครปฐม!J666"")"),0)</f>
        <v>0</v>
      </c>
      <c r="AD60" s="152">
        <f ca="1">IFERROR(__xludf.DUMMYFUNCTION("IMPORTRANGE(""https://docs.google.com/spreadsheets/d/1YTZo6WM2dQ6Ix6FSdnL5P7uVnVKu40sxZu975tgG10E/edit?usp=sharing"",""นครปฐม!J667"")"),0)</f>
        <v>0</v>
      </c>
      <c r="AE60" s="152">
        <f ca="1">IFERROR(__xludf.DUMMYFUNCTION("IMPORTRANGE(""https://docs.google.com/spreadsheets/d/1YTZo6WM2dQ6Ix6FSdnL5P7uVnVKu40sxZu975tgG10E/edit?usp=sharing"",""นครปฐม!J668"")"),0)</f>
        <v>0</v>
      </c>
      <c r="AF60" s="152">
        <f ca="1">IFERROR(__xludf.DUMMYFUNCTION("IMPORTRANGE(""https://docs.google.com/spreadsheets/d/1YTZo6WM2dQ6Ix6FSdnL5P7uVnVKu40sxZu975tgG10E/edit?usp=sharing"",""นครปฐม!J669"")"),0)</f>
        <v>0</v>
      </c>
      <c r="AG60" s="215">
        <f ca="1">IFERROR(__xludf.DUMMYFUNCTION("IMPORTRANGE(""https://docs.google.com/spreadsheets/d/1YTZo6WM2dQ6Ix6FSdnL5P7uVnVKu40sxZu975tgG10E/edit?usp=sharing"",""นครปฐม!J670"")"),0)</f>
        <v>0</v>
      </c>
      <c r="AH60" s="152">
        <f ca="1">IFERROR(__xludf.DUMMYFUNCTION("IMPORTRANGE(""https://docs.google.com/spreadsheets/d/1YTZo6WM2dQ6Ix6FSdnL5P7uVnVKu40sxZu975tgG10E/edit?usp=sharing"",""นครปฐม!I673"")"),20)</f>
        <v>20</v>
      </c>
      <c r="AI60" s="152">
        <f ca="1">IFERROR(__xludf.DUMMYFUNCTION("IMPORTRANGE(""https://docs.google.com/spreadsheets/d/1YTZo6WM2dQ6Ix6FSdnL5P7uVnVKu40sxZu975tgG10E/edit?usp=sharing"",""นครปฐม!J671"")"),2)</f>
        <v>2</v>
      </c>
      <c r="AJ60" s="152">
        <f ca="1">IFERROR(__xludf.DUMMYFUNCTION("IMPORTRANGE(""https://docs.google.com/spreadsheets/d/1YTZo6WM2dQ6Ix6FSdnL5P7uVnVKu40sxZu975tgG10E/edit?usp=sharing"",""นครปฐม!J672"")"),2)</f>
        <v>2</v>
      </c>
      <c r="AK60" s="152">
        <f ca="1">IFERROR(__xludf.DUMMYFUNCTION("IMPORTRANGE(""https://docs.google.com/spreadsheets/d/1YTZo6WM2dQ6Ix6FSdnL5P7uVnVKu40sxZu975tgG10E/edit?usp=sharing"",""นครปฐม!J673"")"),27.08)</f>
        <v>27.08</v>
      </c>
      <c r="AL60" s="216">
        <f t="shared" ca="1" si="41"/>
        <v>135.4</v>
      </c>
      <c r="AM60" s="152">
        <f ca="1">IFERROR(__xludf.DUMMYFUNCTION("IMPORTRANGE(""https://docs.google.com/spreadsheets/d/1YTZo6WM2dQ6Ix6FSdnL5P7uVnVKu40sxZu975tgG10E/edit?usp=sharing"",""นครปฐม!I674"")"),6)</f>
        <v>6</v>
      </c>
      <c r="AN60" s="152">
        <f ca="1">IFERROR(__xludf.DUMMYFUNCTION("IMPORTRANGE(""https://docs.google.com/spreadsheets/d/1YTZo6WM2dQ6Ix6FSdnL5P7uVnVKu40sxZu975tgG10E/edit?usp=sharing"",""นครปฐม!I675"")"),65)</f>
        <v>65</v>
      </c>
      <c r="AO60" s="152">
        <f ca="1">IFERROR(__xludf.DUMMYFUNCTION("IMPORTRANGE(""https://docs.google.com/spreadsheets/d/1YTZo6WM2dQ6Ix6FSdnL5P7uVnVKu40sxZu975tgG10E/edit?usp=sharing"",""นครปฐม!J674"")"),14)</f>
        <v>14</v>
      </c>
      <c r="AP60" s="216">
        <f t="shared" ca="1" si="43"/>
        <v>233.33333333333334</v>
      </c>
      <c r="AQ60" s="152">
        <f ca="1">IFERROR(__xludf.DUMMYFUNCTION("IMPORTRANGE(""https://docs.google.com/spreadsheets/d/1YTZo6WM2dQ6Ix6FSdnL5P7uVnVKu40sxZu975tgG10E/edit?usp=sharing"",""นครปฐม!J675"")"),119.22)</f>
        <v>119.22</v>
      </c>
      <c r="AR60" s="216">
        <f t="shared" ca="1" si="44"/>
        <v>183.41538461538462</v>
      </c>
      <c r="AS60" s="152">
        <f ca="1">IFERROR(__xludf.DUMMYFUNCTION("IMPORTRANGE(""https://docs.google.com/spreadsheets/d/1YTZo6WM2dQ6Ix6FSdnL5P7uVnVKu40sxZu975tgG10E/edit?usp=sharing"",""นครปฐม!I676"")"),2)</f>
        <v>2</v>
      </c>
      <c r="AT60" s="152">
        <f ca="1">IFERROR(__xludf.DUMMYFUNCTION("IMPORTRANGE(""https://docs.google.com/spreadsheets/d/1YTZo6WM2dQ6Ix6FSdnL5P7uVnVKu40sxZu975tgG10E/edit?usp=sharing"",""นครปฐม!I678"")"),15)</f>
        <v>15</v>
      </c>
      <c r="AU60" s="152">
        <f ca="1">IFERROR(__xludf.DUMMYFUNCTION("IMPORTRANGE(""https://docs.google.com/spreadsheets/d/1YTZo6WM2dQ6Ix6FSdnL5P7uVnVKu40sxZu975tgG10E/edit?usp=sharing"",""นครปฐม!J676"")"),12)</f>
        <v>12</v>
      </c>
      <c r="AV60" s="152">
        <f ca="1">IFERROR(__xludf.DUMMYFUNCTION("IMPORTRANGE(""https://docs.google.com/spreadsheets/d/1YTZo6WM2dQ6Ix6FSdnL5P7uVnVKu40sxZu975tgG10E/edit?usp=sharing"",""นครปฐม!J677"")"),12)</f>
        <v>12</v>
      </c>
      <c r="AW60" s="152">
        <f ca="1">IFERROR(__xludf.DUMMYFUNCTION("IMPORTRANGE(""https://docs.google.com/spreadsheets/d/1YTZo6WM2dQ6Ix6FSdnL5P7uVnVKu40sxZu975tgG10E/edit?usp=sharing"",""นครปฐม!J678"")"),113.73)</f>
        <v>113.73</v>
      </c>
      <c r="AX60" s="152">
        <f ca="1">IFERROR(__xludf.DUMMYFUNCTION("IMPORTRANGE(""https://docs.google.com/spreadsheets/d/1YTZo6WM2dQ6Ix6FSdnL5P7uVnVKu40sxZu975tgG10E/edit?usp=sharing"",""นครปฐม!I679"")"),4)</f>
        <v>4</v>
      </c>
      <c r="AY60" s="152">
        <f ca="1">IFERROR(__xludf.DUMMYFUNCTION("IMPORTRANGE(""https://docs.google.com/spreadsheets/d/1YTZo6WM2dQ6Ix6FSdnL5P7uVnVKu40sxZu975tgG10E/edit?usp=sharing"",""นครปฐม!I681"")"),50)</f>
        <v>50</v>
      </c>
      <c r="AZ60" s="152">
        <f ca="1">IFERROR(__xludf.DUMMYFUNCTION("IMPORTRANGE(""https://docs.google.com/spreadsheets/d/1YTZo6WM2dQ6Ix6FSdnL5P7uVnVKu40sxZu975tgG10E/edit?usp=sharing"",""นครปฐม!J679"")"),2)</f>
        <v>2</v>
      </c>
      <c r="BA60" s="152">
        <f ca="1">IFERROR(__xludf.DUMMYFUNCTION("IMPORTRANGE(""https://docs.google.com/spreadsheets/d/1YTZo6WM2dQ6Ix6FSdnL5P7uVnVKu40sxZu975tgG10E/edit?usp=sharing"",""นครปฐม!J680"")"),2)</f>
        <v>2</v>
      </c>
      <c r="BB60" s="152">
        <f ca="1">IFERROR(__xludf.DUMMYFUNCTION("IMPORTRANGE(""https://docs.google.com/spreadsheets/d/1YTZo6WM2dQ6Ix6FSdnL5P7uVnVKu40sxZu975tgG10E/edit?usp=sharing"",""นครปฐม!J681"")"),5.49)</f>
        <v>5.49</v>
      </c>
      <c r="BC60" s="152">
        <f ca="1">IFERROR(__xludf.DUMMYFUNCTION("IMPORTRANGE(""https://docs.google.com/spreadsheets/d/1YTZo6WM2dQ6Ix6FSdnL5P7uVnVKu40sxZu975tgG10E/edit?usp=sharing"",""นครปฐม!I682"")"),0)</f>
        <v>0</v>
      </c>
      <c r="BD60" s="152">
        <f ca="1">IFERROR(__xludf.DUMMYFUNCTION("IMPORTRANGE(""https://docs.google.com/spreadsheets/d/1YTZo6WM2dQ6Ix6FSdnL5P7uVnVKu40sxZu975tgG10E/edit?usp=sharing"",""นครปฐม!J682"")"),0)</f>
        <v>0</v>
      </c>
      <c r="BE60" s="216">
        <f t="shared" ca="1" si="46"/>
        <v>0</v>
      </c>
      <c r="BF60" s="252">
        <f ca="1">IFERROR(__xludf.DUMMYFUNCTION("IMPORTRANGE(""https://docs.google.com/spreadsheets/d/1YTZo6WM2dQ6Ix6FSdnL5P7uVnVKu40sxZu975tgG10E/edit?usp=sharing"",""นครปฐม!J683"")"),0)</f>
        <v>0</v>
      </c>
      <c r="BG60" s="152">
        <f ca="1">IFERROR(__xludf.DUMMYFUNCTION("IMPORTRANGE(""https://docs.google.com/spreadsheets/d/1YTZo6WM2dQ6Ix6FSdnL5P7uVnVKu40sxZu975tgG10E/edit?usp=sharing"",""นครปฐม!J684"")"),0)</f>
        <v>0</v>
      </c>
      <c r="BH60" s="152">
        <f ca="1">IFERROR(__xludf.DUMMYFUNCTION("IMPORTRANGE(""https://docs.google.com/spreadsheets/d/1YTZo6WM2dQ6Ix6FSdnL5P7uVnVKu40sxZu975tgG10E/edit?usp=sharing"",""นครปฐม!J685"")"),0)</f>
        <v>0</v>
      </c>
      <c r="BI60" s="152">
        <f ca="1">IFERROR(__xludf.DUMMYFUNCTION("IMPORTRANGE(""https://docs.google.com/spreadsheets/d/1YTZo6WM2dQ6Ix6FSdnL5P7uVnVKu40sxZu975tgG10E/edit?usp=sharing"",""นครปฐม!J686"")"),0)</f>
        <v>0</v>
      </c>
      <c r="BJ60" s="152">
        <f ca="1">IFERROR(__xludf.DUMMYFUNCTION("IMPORTRANGE(""https://docs.google.com/spreadsheets/d/1YTZo6WM2dQ6Ix6FSdnL5P7uVnVKu40sxZu975tgG10E/edit?usp=sharing"",""นครปฐม!J687"")"),0)</f>
        <v>0</v>
      </c>
      <c r="BK60" s="152">
        <f ca="1">IFERROR(__xludf.DUMMYFUNCTION("IMPORTRANGE(""https://docs.google.com/spreadsheets/d/1YTZo6WM2dQ6Ix6FSdnL5P7uVnVKu40sxZu975tgG10E/edit?usp=sharing"",""นครปฐม!J688"")"),0)</f>
        <v>0</v>
      </c>
    </row>
    <row r="61" spans="1:63" ht="19.5" x14ac:dyDescent="0.3">
      <c r="A61" s="70">
        <v>9</v>
      </c>
      <c r="B61" s="71" t="s">
        <v>89</v>
      </c>
      <c r="C61" s="68">
        <f ca="1">IFERROR(__xludf.DUMMYFUNCTION("IMPORTRANGE(""https://docs.google.com/spreadsheets/d/1OYoGg4WDg5RIzwGeB10padOxJF9E_Vljuvvct_M7RDo/edit?usp=sharing"",""ปทุมธานี!Q642"")"),52200)</f>
        <v>52200</v>
      </c>
      <c r="D61" s="68">
        <f ca="1">IFERROR(__xludf.DUMMYFUNCTION("IMPORTRANGE(""https://docs.google.com/spreadsheets/d/1OYoGg4WDg5RIzwGeB10padOxJF9E_Vljuvvct_M7RDo/edit?usp=sharing"",""ปทุมธานี!R642"")"),52200)</f>
        <v>52200</v>
      </c>
      <c r="E61" s="68">
        <f ca="1">IFERROR(__xludf.DUMMYFUNCTION("IMPORTRANGE(""https://docs.google.com/spreadsheets/d/1OYoGg4WDg5RIzwGeB10padOxJF9E_Vljuvvct_M7RDo/edit?usp=sharing"",""ปทุมธานี!S642"")"),24890)</f>
        <v>24890</v>
      </c>
      <c r="F61" s="68">
        <f t="shared" ca="1" si="30"/>
        <v>47.68199233716475</v>
      </c>
      <c r="G61" s="68">
        <f t="shared" ca="1" si="31"/>
        <v>47.68199233716475</v>
      </c>
      <c r="H61" s="278">
        <f ca="1">IFERROR(__xludf.DUMMYFUNCTION("IMPORTRANGE(""https://docs.google.com/spreadsheets/d/1OYoGg4WDg5RIzwGeB10padOxJF9E_Vljuvvct_M7RDo/edit?usp=sharing"",""ปทุมธานี!I652"")"),0)</f>
        <v>0</v>
      </c>
      <c r="I61" s="152">
        <f ca="1">IFERROR(__xludf.DUMMYFUNCTION("IMPORTRANGE(""https://docs.google.com/spreadsheets/d/1OYoGg4WDg5RIzwGeB10padOxJF9E_Vljuvvct_M7RDo/edit?usp=sharing"",""ปทุมธานี!J652"")"),0)</f>
        <v>0</v>
      </c>
      <c r="J61" s="216">
        <f t="shared" ca="1" si="33"/>
        <v>0</v>
      </c>
      <c r="K61" s="152">
        <f ca="1">IFERROR(__xludf.DUMMYFUNCTION("IMPORTRANGE(""https://docs.google.com/spreadsheets/d/1OYoGg4WDg5RIzwGeB10padOxJF9E_Vljuvvct_M7RDo/edit?usp=sharing"",""ปทุมธานี!I653"")"),0)</f>
        <v>0</v>
      </c>
      <c r="L61" s="152">
        <f ca="1">IFERROR(__xludf.DUMMYFUNCTION("IMPORTRANGE(""https://docs.google.com/spreadsheets/d/1OYoGg4WDg5RIzwGeB10padOxJF9E_Vljuvvct_M7RDo/edit?usp=sharing"",""ปทุมธานี!J653"")"),1)</f>
        <v>1</v>
      </c>
      <c r="M61" s="216">
        <f t="shared" ca="1" si="35"/>
        <v>0</v>
      </c>
      <c r="N61" s="152">
        <f ca="1">IFERROR(__xludf.DUMMYFUNCTION("IMPORTRANGE(""https://docs.google.com/spreadsheets/d/1OYoGg4WDg5RIzwGeB10padOxJF9E_Vljuvvct_M7RDo/edit?usp=sharing"",""ปทุมธานี!I654"")"),130)</f>
        <v>130</v>
      </c>
      <c r="O61" s="152">
        <f ca="1">IFERROR(__xludf.DUMMYFUNCTION("IMPORTRANGE(""https://docs.google.com/spreadsheets/d/1OYoGg4WDg5RIzwGeB10padOxJF9E_Vljuvvct_M7RDo/edit?usp=sharing"",""ปทุมธานี!J654"")"),139.02)</f>
        <v>139.02000000000001</v>
      </c>
      <c r="P61" s="216">
        <f t="shared" ca="1" si="37"/>
        <v>106.93846153846155</v>
      </c>
      <c r="Q61" s="216">
        <f ca="1">IFERROR(__xludf.DUMMYFUNCTION("IMPORTRANGE(""https://docs.google.com/spreadsheets/d/1OYoGg4WDg5RIzwGeB10padOxJF9E_Vljuvvct_M7RDo/edit?usp=sharing"",""ปทุมธานี!J655"")"),22)</f>
        <v>22</v>
      </c>
      <c r="R61" s="216">
        <f ca="1">IFERROR(__xludf.DUMMYFUNCTION("IMPORTRANGE(""https://docs.google.com/spreadsheets/d/1OYoGg4WDg5RIzwGeB10padOxJF9E_Vljuvvct_M7RDo/edit?usp=sharing"",""ปทุมธานี!J656"")"),23)</f>
        <v>23</v>
      </c>
      <c r="S61" s="216">
        <f ca="1">IFERROR(__xludf.DUMMYFUNCTION("IMPORTRANGE(""https://docs.google.com/spreadsheets/d/1OYoGg4WDg5RIzwGeB10padOxJF9E_Vljuvvct_M7RDo/edit?usp=sharing"",""ปทุมธานี!J657"")"),139.02)</f>
        <v>139.02000000000001</v>
      </c>
      <c r="T61" s="216">
        <f ca="1">IFERROR(__xludf.DUMMYFUNCTION("IMPORTRANGE(""https://docs.google.com/spreadsheets/d/1OYoGg4WDg5RIzwGeB10padOxJF9E_Vljuvvct_M7RDo/edit?usp=sharing"",""ปทุมธานี!J658"")"),0)</f>
        <v>0</v>
      </c>
      <c r="U61" s="216">
        <f ca="1">IFERROR(__xludf.DUMMYFUNCTION("IMPORTRANGE(""https://docs.google.com/spreadsheets/d/1OYoGg4WDg5RIzwGeB10padOxJF9E_Vljuvvct_M7RDo/edit?usp=sharing"",""ปทุมธานี!J659"")"),0)</f>
        <v>0</v>
      </c>
      <c r="V61" s="216">
        <f ca="1">IFERROR(__xludf.DUMMYFUNCTION("IMPORTRANGE(""https://docs.google.com/spreadsheets/d/1OYoGg4WDg5RIzwGeB10padOxJF9E_Vljuvvct_M7RDo/edit?usp=sharing"",""ปทุมธานี!J660"")"),0)</f>
        <v>0</v>
      </c>
      <c r="W61" s="152">
        <f ca="1">IFERROR(__xludf.DUMMYFUNCTION("IMPORTRANGE(""https://docs.google.com/spreadsheets/d/1OYoGg4WDg5RIzwGeB10padOxJF9E_Vljuvvct_M7RDo/edit?usp=sharing"",""ปทุมธานี!I661"")"),100)</f>
        <v>100</v>
      </c>
      <c r="X61" s="152">
        <f ca="1">IFERROR(__xludf.DUMMYFUNCTION("IMPORTRANGE(""https://docs.google.com/spreadsheets/d/1OYoGg4WDg5RIzwGeB10padOxJF9E_Vljuvvct_M7RDo/edit?usp=sharing"",""ปทุมธานี!J661"")"),74.88)</f>
        <v>74.88</v>
      </c>
      <c r="Y61" s="216">
        <f t="shared" ca="1" si="39"/>
        <v>74.88</v>
      </c>
      <c r="Z61" s="152">
        <f ca="1">IFERROR(__xludf.DUMMYFUNCTION("IMPORTRANGE(""https://docs.google.com/spreadsheets/d/1OYoGg4WDg5RIzwGeB10padOxJF9E_Vljuvvct_M7RDo/edit?usp=sharing"",""ปทุมธานี!J662"")"),0)</f>
        <v>0</v>
      </c>
      <c r="AA61" s="152">
        <f ca="1">IFERROR(__xludf.DUMMYFUNCTION("IMPORTRANGE(""https://docs.google.com/spreadsheets/d/1OYoGg4WDg5RIzwGeB10padOxJF9E_Vljuvvct_M7RDo/edit?usp=sharing"",""ปทุมธานี!J663"")"),0)</f>
        <v>0</v>
      </c>
      <c r="AB61" s="152">
        <f ca="1">IFERROR(__xludf.DUMMYFUNCTION("IMPORTRANGE(""https://docs.google.com/spreadsheets/d/1OYoGg4WDg5RIzwGeB10padOxJF9E_Vljuvvct_M7RDo/edit?usp=sharing"",""ปทุมธานี!J665"")"),11)</f>
        <v>11</v>
      </c>
      <c r="AC61" s="152">
        <f ca="1">IFERROR(__xludf.DUMMYFUNCTION("IMPORTRANGE(""https://docs.google.com/spreadsheets/d/1OYoGg4WDg5RIzwGeB10padOxJF9E_Vljuvvct_M7RDo/edit?usp=sharing"",""ปทุมธานี!J666"")"),12)</f>
        <v>12</v>
      </c>
      <c r="AD61" s="152">
        <f ca="1">IFERROR(__xludf.DUMMYFUNCTION("IMPORTRANGE(""https://docs.google.com/spreadsheets/d/1OYoGg4WDg5RIzwGeB10padOxJF9E_Vljuvvct_M7RDo/edit?usp=sharing"",""ปทุมธานี!J667"")"),74.88)</f>
        <v>74.88</v>
      </c>
      <c r="AE61" s="152">
        <f ca="1">IFERROR(__xludf.DUMMYFUNCTION("IMPORTRANGE(""https://docs.google.com/spreadsheets/d/1OYoGg4WDg5RIzwGeB10padOxJF9E_Vljuvvct_M7RDo/edit?usp=sharing"",""ปทุมธานี!J668"")"),0)</f>
        <v>0</v>
      </c>
      <c r="AF61" s="152">
        <f ca="1">IFERROR(__xludf.DUMMYFUNCTION("IMPORTRANGE(""https://docs.google.com/spreadsheets/d/1OYoGg4WDg5RIzwGeB10padOxJF9E_Vljuvvct_M7RDo/edit?usp=sharing"",""ปทุมธานี!J669"")"),0)</f>
        <v>0</v>
      </c>
      <c r="AG61" s="152">
        <f ca="1">IFERROR(__xludf.DUMMYFUNCTION("IMPORTRANGE(""https://docs.google.com/spreadsheets/d/1OYoGg4WDg5RIzwGeB10padOxJF9E_Vljuvvct_M7RDo/edit?usp=sharing"",""ปทุมธานี!J670"")"),0)</f>
        <v>0</v>
      </c>
      <c r="AH61" s="152">
        <f ca="1">IFERROR(__xludf.DUMMYFUNCTION("IMPORTRANGE(""https://docs.google.com/spreadsheets/d/1OYoGg4WDg5RIzwGeB10padOxJF9E_Vljuvvct_M7RDo/edit?usp=sharing"",""ปทุมธานี!I673"")"),400)</f>
        <v>400</v>
      </c>
      <c r="AI61" s="152">
        <f ca="1">IFERROR(__xludf.DUMMYFUNCTION("IMPORTRANGE(""https://docs.google.com/spreadsheets/d/1OYoGg4WDg5RIzwGeB10padOxJF9E_Vljuvvct_M7RDo/edit?usp=sharing"",""ปทุมธานี!J671"")"),4)</f>
        <v>4</v>
      </c>
      <c r="AJ61" s="152">
        <f ca="1">IFERROR(__xludf.DUMMYFUNCTION("IMPORTRANGE(""https://docs.google.com/spreadsheets/d/1OYoGg4WDg5RIzwGeB10padOxJF9E_Vljuvvct_M7RDo/edit?usp=sharing"",""ปทุมธานี!J672"")"),6)</f>
        <v>6</v>
      </c>
      <c r="AK61" s="152">
        <f ca="1">IFERROR(__xludf.DUMMYFUNCTION("IMPORTRANGE(""https://docs.google.com/spreadsheets/d/1OYoGg4WDg5RIzwGeB10padOxJF9E_Vljuvvct_M7RDo/edit?usp=sharing"",""ปทุมธานี!J673"")"),51.26)</f>
        <v>51.26</v>
      </c>
      <c r="AL61" s="216">
        <f t="shared" ca="1" si="41"/>
        <v>12.815</v>
      </c>
      <c r="AM61" s="152">
        <f ca="1">IFERROR(__xludf.DUMMYFUNCTION("IMPORTRANGE(""https://docs.google.com/spreadsheets/d/1OYoGg4WDg5RIzwGeB10padOxJF9E_Vljuvvct_M7RDo/edit?usp=sharing"",""ปทุมธานี!I674"")"),30)</f>
        <v>30</v>
      </c>
      <c r="AN61" s="152">
        <f ca="1">IFERROR(__xludf.DUMMYFUNCTION("IMPORTRANGE(""https://docs.google.com/spreadsheets/d/1OYoGg4WDg5RIzwGeB10padOxJF9E_Vljuvvct_M7RDo/edit?usp=sharing"",""ปทุมธานี!I675"")"),250)</f>
        <v>250</v>
      </c>
      <c r="AO61" s="152">
        <f ca="1">IFERROR(__xludf.DUMMYFUNCTION("IMPORTRANGE(""https://docs.google.com/spreadsheets/d/1OYoGg4WDg5RIzwGeB10padOxJF9E_Vljuvvct_M7RDo/edit?usp=sharing"",""ปทุมธานี!J674"")"),111)</f>
        <v>111</v>
      </c>
      <c r="AP61" s="216">
        <f t="shared" ca="1" si="43"/>
        <v>370</v>
      </c>
      <c r="AQ61" s="152">
        <f ca="1">IFERROR(__xludf.DUMMYFUNCTION("IMPORTRANGE(""https://docs.google.com/spreadsheets/d/1OYoGg4WDg5RIzwGeB10padOxJF9E_Vljuvvct_M7RDo/edit?usp=sharing"",""ปทุมธานี!J675"")"),729.76)</f>
        <v>729.76</v>
      </c>
      <c r="AR61" s="216">
        <f t="shared" ca="1" si="44"/>
        <v>291.904</v>
      </c>
      <c r="AS61" s="152">
        <f ca="1">IFERROR(__xludf.DUMMYFUNCTION("IMPORTRANGE(""https://docs.google.com/spreadsheets/d/1OYoGg4WDg5RIzwGeB10padOxJF9E_Vljuvvct_M7RDo/edit?usp=sharing"",""ปทุมธานี!I676"")"),15)</f>
        <v>15</v>
      </c>
      <c r="AT61" s="152">
        <f ca="1">IFERROR(__xludf.DUMMYFUNCTION("IMPORTRANGE(""https://docs.google.com/spreadsheets/d/1OYoGg4WDg5RIzwGeB10padOxJF9E_Vljuvvct_M7RDo/edit?usp=sharing"",""ปทุมธานี!I678"")"),150)</f>
        <v>150</v>
      </c>
      <c r="AU61" s="152">
        <f ca="1">IFERROR(__xludf.DUMMYFUNCTION("IMPORTRANGE(""https://docs.google.com/spreadsheets/d/1OYoGg4WDg5RIzwGeB10padOxJF9E_Vljuvvct_M7RDo/edit?usp=sharing"",""ปทุมธานี!J676"")"),22)</f>
        <v>22</v>
      </c>
      <c r="AV61" s="152">
        <f ca="1">IFERROR(__xludf.DUMMYFUNCTION("IMPORTRANGE(""https://docs.google.com/spreadsheets/d/1OYoGg4WDg5RIzwGeB10padOxJF9E_Vljuvvct_M7RDo/edit?usp=sharing"",""ปทุมธานี!J677"")"),23)</f>
        <v>23</v>
      </c>
      <c r="AW61" s="152">
        <f ca="1">IFERROR(__xludf.DUMMYFUNCTION("IMPORTRANGE(""https://docs.google.com/spreadsheets/d/1OYoGg4WDg5RIzwGeB10padOxJF9E_Vljuvvct_M7RDo/edit?usp=sharing"",""ปทุมธานี!J678"")"),176.54)</f>
        <v>176.54</v>
      </c>
      <c r="AX61" s="152">
        <f ca="1">IFERROR(__xludf.DUMMYFUNCTION("IMPORTRANGE(""https://docs.google.com/spreadsheets/d/1OYoGg4WDg5RIzwGeB10padOxJF9E_Vljuvvct_M7RDo/edit?usp=sharing"",""ปทุมธานี!I679"")"),15)</f>
        <v>15</v>
      </c>
      <c r="AY61" s="152">
        <f ca="1">IFERROR(__xludf.DUMMYFUNCTION("IMPORTRANGE(""https://docs.google.com/spreadsheets/d/1OYoGg4WDg5RIzwGeB10padOxJF9E_Vljuvvct_M7RDo/edit?usp=sharing"",""ปทุมธานี!I681"")"),100)</f>
        <v>100</v>
      </c>
      <c r="AZ61" s="152">
        <f ca="1">IFERROR(__xludf.DUMMYFUNCTION("IMPORTRANGE(""https://docs.google.com/spreadsheets/d/1OYoGg4WDg5RIzwGeB10padOxJF9E_Vljuvvct_M7RDo/edit?usp=sharing"",""ปทุมธานี!J679"")"),89)</f>
        <v>89</v>
      </c>
      <c r="BA61" s="152">
        <f ca="1">IFERROR(__xludf.DUMMYFUNCTION("IMPORTRANGE(""https://docs.google.com/spreadsheets/d/1OYoGg4WDg5RIzwGeB10padOxJF9E_Vljuvvct_M7RDo/edit?usp=sharing"",""ปทุมธานี!J680"")"),108)</f>
        <v>108</v>
      </c>
      <c r="BB61" s="152">
        <f ca="1">IFERROR(__xludf.DUMMYFUNCTION("IMPORTRANGE(""https://docs.google.com/spreadsheets/d/1OYoGg4WDg5RIzwGeB10padOxJF9E_Vljuvvct_M7RDo/edit?usp=sharing"",""ปทุมธานี!J681"")"),553.22)</f>
        <v>553.22</v>
      </c>
      <c r="BC61" s="152">
        <f ca="1">IFERROR(__xludf.DUMMYFUNCTION("IMPORTRANGE(""https://docs.google.com/spreadsheets/d/1OYoGg4WDg5RIzwGeB10padOxJF9E_Vljuvvct_M7RDo/edit?usp=sharing"",""ปทุมธานี!I682"")"),70)</f>
        <v>70</v>
      </c>
      <c r="BD61" s="152">
        <f ca="1">IFERROR(__xludf.DUMMYFUNCTION("IMPORTRANGE(""https://docs.google.com/spreadsheets/d/1OYoGg4WDg5RIzwGeB10padOxJF9E_Vljuvvct_M7RDo/edit?usp=sharing"",""ปทุมธานี!J682"")"),124.1)</f>
        <v>124.1</v>
      </c>
      <c r="BE61" s="216">
        <f t="shared" ca="1" si="46"/>
        <v>177.28571428571428</v>
      </c>
      <c r="BF61" s="152">
        <f ca="1">IFERROR(__xludf.DUMMYFUNCTION("IMPORTRANGE(""https://docs.google.com/spreadsheets/d/1OYoGg4WDg5RIzwGeB10padOxJF9E_Vljuvvct_M7RDo/edit?usp=sharing"",""ปทุมธานี!J683"")"),4)</f>
        <v>4</v>
      </c>
      <c r="BG61" s="152">
        <f ca="1">IFERROR(__xludf.DUMMYFUNCTION("IMPORTRANGE(""https://docs.google.com/spreadsheets/d/1OYoGg4WDg5RIzwGeB10padOxJF9E_Vljuvvct_M7RDo/edit?usp=sharing"",""ปทุมธานี!J684"")"),4)</f>
        <v>4</v>
      </c>
      <c r="BH61" s="152">
        <f ca="1">IFERROR(__xludf.DUMMYFUNCTION("IMPORTRANGE(""https://docs.google.com/spreadsheets/d/1OYoGg4WDg5RIzwGeB10padOxJF9E_Vljuvvct_M7RDo/edit?usp=sharing"",""ปทุมธานี!J685"")"),23.95)</f>
        <v>23.95</v>
      </c>
      <c r="BI61" s="152">
        <f ca="1">IFERROR(__xludf.DUMMYFUNCTION("IMPORTRANGE(""https://docs.google.com/spreadsheets/d/1OYoGg4WDg5RIzwGeB10padOxJF9E_Vljuvvct_M7RDo/edit?usp=sharing"",""ปทุมธานี!J686"")"),8)</f>
        <v>8</v>
      </c>
      <c r="BJ61" s="152">
        <f ca="1">IFERROR(__xludf.DUMMYFUNCTION("IMPORTRANGE(""https://docs.google.com/spreadsheets/d/1OYoGg4WDg5RIzwGeB10padOxJF9E_Vljuvvct_M7RDo/edit?usp=sharing"",""ปทุมธานี!J687"")"),8)</f>
        <v>8</v>
      </c>
      <c r="BK61" s="152">
        <f ca="1">IFERROR(__xludf.DUMMYFUNCTION("IMPORTRANGE(""https://docs.google.com/spreadsheets/d/1OYoGg4WDg5RIzwGeB10padOxJF9E_Vljuvvct_M7RDo/edit?usp=sharing"",""ปทุมธานี!J688"")"),100.15)</f>
        <v>100.15</v>
      </c>
    </row>
    <row r="62" spans="1:63" ht="19.5" x14ac:dyDescent="0.3">
      <c r="A62" s="70">
        <v>10</v>
      </c>
      <c r="B62" s="71" t="s">
        <v>90</v>
      </c>
      <c r="C62" s="68">
        <f ca="1">IFERROR(__xludf.DUMMYFUNCTION("IMPORTRANGE(""https://docs.google.com/spreadsheets/d/1GbCIE4D4wk9FUozzqk7SxfDMxDVBwVmI5zcaVUSzKAc/edit?usp=sharing"",""ประจวบคีรีขันธ์!Q642"")"),0)</f>
        <v>0</v>
      </c>
      <c r="D62" s="68">
        <f ca="1">IFERROR(__xludf.DUMMYFUNCTION("IMPORTRANGE(""https://docs.google.com/spreadsheets/d/1GbCIE4D4wk9FUozzqk7SxfDMxDVBwVmI5zcaVUSzKAc/edit?usp=sharing"",""ประจวบคีรีขันธ์!R642"")"),0)</f>
        <v>0</v>
      </c>
      <c r="E62" s="68">
        <f ca="1">IFERROR(__xludf.DUMMYFUNCTION("IMPORTRANGE(""https://docs.google.com/spreadsheets/d/1GbCIE4D4wk9FUozzqk7SxfDMxDVBwVmI5zcaVUSzKAc/edit?usp=sharing"",""ประจวบคีรีขันธ์!S642"")"),0)</f>
        <v>0</v>
      </c>
      <c r="F62" s="68">
        <f t="shared" ca="1" si="30"/>
        <v>0</v>
      </c>
      <c r="G62" s="68">
        <f t="shared" ca="1" si="31"/>
        <v>0</v>
      </c>
      <c r="H62" s="278">
        <f ca="1">IFERROR(__xludf.DUMMYFUNCTION("IMPORTRANGE(""https://docs.google.com/spreadsheets/d/1GbCIE4D4wk9FUozzqk7SxfDMxDVBwVmI5zcaVUSzKAc/edit?usp=sharing"",""ประจวบคีรีขันธ์!I652"")"),0)</f>
        <v>0</v>
      </c>
      <c r="I62" s="152">
        <f ca="1">IFERROR(__xludf.DUMMYFUNCTION("IMPORTRANGE(""https://docs.google.com/spreadsheets/d/1GbCIE4D4wk9FUozzqk7SxfDMxDVBwVmI5zcaVUSzKAc/edit?usp=sharing"",""ประจวบคีรีขันธ์!J652"")"),0)</f>
        <v>0</v>
      </c>
      <c r="J62" s="216">
        <f t="shared" ca="1" si="33"/>
        <v>0</v>
      </c>
      <c r="K62" s="152">
        <f ca="1">IFERROR(__xludf.DUMMYFUNCTION("IMPORTRANGE(""https://docs.google.com/spreadsheets/d/1GbCIE4D4wk9FUozzqk7SxfDMxDVBwVmI5zcaVUSzKAc/edit?usp=sharing"",""ประจวบคีรีขันธ์!I653"")"),0)</f>
        <v>0</v>
      </c>
      <c r="L62" s="152">
        <f ca="1">IFERROR(__xludf.DUMMYFUNCTION("IMPORTRANGE(""https://docs.google.com/spreadsheets/d/1GbCIE4D4wk9FUozzqk7SxfDMxDVBwVmI5zcaVUSzKAc/edit?usp=sharing"",""ประจวบคีรีขันธ์!J653"")"),0)</f>
        <v>0</v>
      </c>
      <c r="M62" s="216">
        <f t="shared" ca="1" si="35"/>
        <v>0</v>
      </c>
      <c r="N62" s="152">
        <f ca="1">IFERROR(__xludf.DUMMYFUNCTION("IMPORTRANGE(""https://docs.google.com/spreadsheets/d/1GbCIE4D4wk9FUozzqk7SxfDMxDVBwVmI5zcaVUSzKAc/edit?usp=sharing"",""ประจวบคีรีขันธ์!I654"")"),0)</f>
        <v>0</v>
      </c>
      <c r="O62" s="152">
        <f ca="1">IFERROR(__xludf.DUMMYFUNCTION("IMPORTRANGE(""https://docs.google.com/spreadsheets/d/1GbCIE4D4wk9FUozzqk7SxfDMxDVBwVmI5zcaVUSzKAc/edit?usp=sharing"",""ประจวบคีรีขันธ์!J654"")"),0)</f>
        <v>0</v>
      </c>
      <c r="P62" s="216">
        <f t="shared" ca="1" si="37"/>
        <v>0</v>
      </c>
      <c r="Q62" s="216">
        <f ca="1">IFERROR(__xludf.DUMMYFUNCTION("IMPORTRANGE(""https://docs.google.com/spreadsheets/d/1GbCIE4D4wk9FUozzqk7SxfDMxDVBwVmI5zcaVUSzKAc/edit?usp=sharing"",""ประจวบคีรีขันธ์!J655"")"),0)</f>
        <v>0</v>
      </c>
      <c r="R62" s="216">
        <f ca="1">IFERROR(__xludf.DUMMYFUNCTION("IMPORTRANGE(""https://docs.google.com/spreadsheets/d/1GbCIE4D4wk9FUozzqk7SxfDMxDVBwVmI5zcaVUSzKAc/edit?usp=sharing"",""ประจวบคีรีขันธ์!J656"")"),0)</f>
        <v>0</v>
      </c>
      <c r="S62" s="216">
        <f ca="1">IFERROR(__xludf.DUMMYFUNCTION("IMPORTRANGE(""https://docs.google.com/spreadsheets/d/1GbCIE4D4wk9FUozzqk7SxfDMxDVBwVmI5zcaVUSzKAc/edit?usp=sharing"",""ประจวบคีรีขันธ์!J657"")"),0)</f>
        <v>0</v>
      </c>
      <c r="T62" s="216">
        <f ca="1">IFERROR(__xludf.DUMMYFUNCTION("IMPORTRANGE(""https://docs.google.com/spreadsheets/d/1GbCIE4D4wk9FUozzqk7SxfDMxDVBwVmI5zcaVUSzKAc/edit?usp=sharing"",""ประจวบคีรีขันธ์!J658"")"),0)</f>
        <v>0</v>
      </c>
      <c r="U62" s="216">
        <f ca="1">IFERROR(__xludf.DUMMYFUNCTION("IMPORTRANGE(""https://docs.google.com/spreadsheets/d/1GbCIE4D4wk9FUozzqk7SxfDMxDVBwVmI5zcaVUSzKAc/edit?usp=sharing"",""ประจวบคีรีขันธ์!J659"")"),0)</f>
        <v>0</v>
      </c>
      <c r="V62" s="216">
        <f ca="1">IFERROR(__xludf.DUMMYFUNCTION("IMPORTRANGE(""https://docs.google.com/spreadsheets/d/1GbCIE4D4wk9FUozzqk7SxfDMxDVBwVmI5zcaVUSzKAc/edit?usp=sharing"",""ประจวบคีรีขันธ์!J660"")"),0)</f>
        <v>0</v>
      </c>
      <c r="W62" s="152">
        <f ca="1">IFERROR(__xludf.DUMMYFUNCTION("IMPORTRANGE(""https://docs.google.com/spreadsheets/d/1GbCIE4D4wk9FUozzqk7SxfDMxDVBwVmI5zcaVUSzKAc/edit?usp=sharing"",""ประจวบคีรีขันธ์!I661"")"),0)</f>
        <v>0</v>
      </c>
      <c r="X62" s="152">
        <f ca="1">IFERROR(__xludf.DUMMYFUNCTION("IMPORTRANGE(""https://docs.google.com/spreadsheets/d/1GbCIE4D4wk9FUozzqk7SxfDMxDVBwVmI5zcaVUSzKAc/edit?usp=sharing"",""ประจวบคีรีขันธ์!J661"")"),0)</f>
        <v>0</v>
      </c>
      <c r="Y62" s="216">
        <f t="shared" ca="1" si="39"/>
        <v>0</v>
      </c>
      <c r="Z62" s="152">
        <f ca="1">IFERROR(__xludf.DUMMYFUNCTION("IMPORTRANGE(""https://docs.google.com/spreadsheets/d/1GbCIE4D4wk9FUozzqk7SxfDMxDVBwVmI5zcaVUSzKAc/edit?usp=sharing"",""ประจวบคีรีขันธ์!J662"")"),0)</f>
        <v>0</v>
      </c>
      <c r="AA62" s="152">
        <f ca="1">IFERROR(__xludf.DUMMYFUNCTION("IMPORTRANGE(""https://docs.google.com/spreadsheets/d/1GbCIE4D4wk9FUozzqk7SxfDMxDVBwVmI5zcaVUSzKAc/edit?usp=sharing"",""ประจวบคีรีขันธ์!J663"")"),0)</f>
        <v>0</v>
      </c>
      <c r="AB62" s="152">
        <f ca="1">IFERROR(__xludf.DUMMYFUNCTION("IMPORTRANGE(""https://docs.google.com/spreadsheets/d/1GbCIE4D4wk9FUozzqk7SxfDMxDVBwVmI5zcaVUSzKAc/edit?usp=sharing"",""ประจวบคีรีขันธ์!J665"")"),0)</f>
        <v>0</v>
      </c>
      <c r="AC62" s="152">
        <f ca="1">IFERROR(__xludf.DUMMYFUNCTION("IMPORTRANGE(""https://docs.google.com/spreadsheets/d/1GbCIE4D4wk9FUozzqk7SxfDMxDVBwVmI5zcaVUSzKAc/edit?usp=sharing"",""ประจวบคีรีขันธ์!J666"")"),0)</f>
        <v>0</v>
      </c>
      <c r="AD62" s="152">
        <f ca="1">IFERROR(__xludf.DUMMYFUNCTION("IMPORTRANGE(""https://docs.google.com/spreadsheets/d/1GbCIE4D4wk9FUozzqk7SxfDMxDVBwVmI5zcaVUSzKAc/edit?usp=sharing"",""ประจวบคีรีขันธ์!J667"")"),0)</f>
        <v>0</v>
      </c>
      <c r="AE62" s="152">
        <f ca="1">IFERROR(__xludf.DUMMYFUNCTION("IMPORTRANGE(""https://docs.google.com/spreadsheets/d/1GbCIE4D4wk9FUozzqk7SxfDMxDVBwVmI5zcaVUSzKAc/edit?usp=sharing"",""ประจวบคีรีขันธ์!J668"")"),0)</f>
        <v>0</v>
      </c>
      <c r="AF62" s="152">
        <f ca="1">IFERROR(__xludf.DUMMYFUNCTION("IMPORTRANGE(""https://docs.google.com/spreadsheets/d/1GbCIE4D4wk9FUozzqk7SxfDMxDVBwVmI5zcaVUSzKAc/edit?usp=sharing"",""ประจวบคีรีขันธ์!J669"")"),0)</f>
        <v>0</v>
      </c>
      <c r="AG62" s="152">
        <f ca="1">IFERROR(__xludf.DUMMYFUNCTION("IMPORTRANGE(""https://docs.google.com/spreadsheets/d/1GbCIE4D4wk9FUozzqk7SxfDMxDVBwVmI5zcaVUSzKAc/edit?usp=sharing"",""ประจวบคีรีขันธ์!J670"")"),0)</f>
        <v>0</v>
      </c>
      <c r="AH62" s="152">
        <f ca="1">IFERROR(__xludf.DUMMYFUNCTION("IMPORTRANGE(""https://docs.google.com/spreadsheets/d/1GbCIE4D4wk9FUozzqk7SxfDMxDVBwVmI5zcaVUSzKAc/edit?usp=sharing"",""ประจวบคีรีขันธ์!I673"")"),0)</f>
        <v>0</v>
      </c>
      <c r="AI62" s="152">
        <f ca="1">IFERROR(__xludf.DUMMYFUNCTION("IMPORTRANGE(""https://docs.google.com/spreadsheets/d/1GbCIE4D4wk9FUozzqk7SxfDMxDVBwVmI5zcaVUSzKAc/edit?usp=sharing"",""ประจวบคีรีขันธ์!J671"")"),0)</f>
        <v>0</v>
      </c>
      <c r="AJ62" s="152">
        <f ca="1">IFERROR(__xludf.DUMMYFUNCTION("IMPORTRANGE(""https://docs.google.com/spreadsheets/d/1GbCIE4D4wk9FUozzqk7SxfDMxDVBwVmI5zcaVUSzKAc/edit?usp=sharing"",""ประจวบคีรีขันธ์!J672"")"),0)</f>
        <v>0</v>
      </c>
      <c r="AK62" s="152">
        <f ca="1">IFERROR(__xludf.DUMMYFUNCTION("IMPORTRANGE(""https://docs.google.com/spreadsheets/d/1GbCIE4D4wk9FUozzqk7SxfDMxDVBwVmI5zcaVUSzKAc/edit?usp=sharing"",""ประจวบคีรีขันธ์!J673"")"),0)</f>
        <v>0</v>
      </c>
      <c r="AL62" s="216">
        <f t="shared" ca="1" si="41"/>
        <v>0</v>
      </c>
      <c r="AM62" s="152">
        <f ca="1">IFERROR(__xludf.DUMMYFUNCTION("IMPORTRANGE(""https://docs.google.com/spreadsheets/d/1GbCIE4D4wk9FUozzqk7SxfDMxDVBwVmI5zcaVUSzKAc/edit?usp=sharing"",""ประจวบคีรีขันธ์!I674"")"),0)</f>
        <v>0</v>
      </c>
      <c r="AN62" s="152">
        <f ca="1">IFERROR(__xludf.DUMMYFUNCTION("IMPORTRANGE(""https://docs.google.com/spreadsheets/d/1GbCIE4D4wk9FUozzqk7SxfDMxDVBwVmI5zcaVUSzKAc/edit?usp=sharing"",""ประจวบคีรีขันธ์!I675"")"),0)</f>
        <v>0</v>
      </c>
      <c r="AO62" s="152">
        <f ca="1">IFERROR(__xludf.DUMMYFUNCTION("IMPORTRANGE(""https://docs.google.com/spreadsheets/d/1GbCIE4D4wk9FUozzqk7SxfDMxDVBwVmI5zcaVUSzKAc/edit?usp=sharing"",""ประจวบคีรีขันธ์!J674"")"),0)</f>
        <v>0</v>
      </c>
      <c r="AP62" s="216">
        <f t="shared" ca="1" si="43"/>
        <v>0</v>
      </c>
      <c r="AQ62" s="152">
        <f ca="1">IFERROR(__xludf.DUMMYFUNCTION("IMPORTRANGE(""https://docs.google.com/spreadsheets/d/1GbCIE4D4wk9FUozzqk7SxfDMxDVBwVmI5zcaVUSzKAc/edit?usp=sharing"",""ประจวบคีรีขันธ์!J675"")"),0)</f>
        <v>0</v>
      </c>
      <c r="AR62" s="216">
        <f t="shared" ca="1" si="44"/>
        <v>0</v>
      </c>
      <c r="AS62" s="152">
        <f ca="1">IFERROR(__xludf.DUMMYFUNCTION("IMPORTRANGE(""https://docs.google.com/spreadsheets/d/1GbCIE4D4wk9FUozzqk7SxfDMxDVBwVmI5zcaVUSzKAc/edit?usp=sharing"",""ประจวบคีรีขันธ์!I676"")"),0)</f>
        <v>0</v>
      </c>
      <c r="AT62" s="152">
        <f ca="1">IFERROR(__xludf.DUMMYFUNCTION("IMPORTRANGE(""https://docs.google.com/spreadsheets/d/1GbCIE4D4wk9FUozzqk7SxfDMxDVBwVmI5zcaVUSzKAc/edit?usp=sharing"",""ประจวบคีรีขันธ์!I678"")"),0)</f>
        <v>0</v>
      </c>
      <c r="AU62" s="152">
        <f ca="1">IFERROR(__xludf.DUMMYFUNCTION("IMPORTRANGE(""https://docs.google.com/spreadsheets/d/1GbCIE4D4wk9FUozzqk7SxfDMxDVBwVmI5zcaVUSzKAc/edit?usp=sharing"",""ประจวบคีรีขันธ์!J676"")"),0)</f>
        <v>0</v>
      </c>
      <c r="AV62" s="152">
        <f ca="1">IFERROR(__xludf.DUMMYFUNCTION("IMPORTRANGE(""https://docs.google.com/spreadsheets/d/1GbCIE4D4wk9FUozzqk7SxfDMxDVBwVmI5zcaVUSzKAc/edit?usp=sharing"",""ประจวบคีรีขันธ์!J677"")"),0)</f>
        <v>0</v>
      </c>
      <c r="AW62" s="152">
        <f ca="1">IFERROR(__xludf.DUMMYFUNCTION("IMPORTRANGE(""https://docs.google.com/spreadsheets/d/1GbCIE4D4wk9FUozzqk7SxfDMxDVBwVmI5zcaVUSzKAc/edit?usp=sharing"",""ประจวบคีรีขันธ์!J678"")"),0)</f>
        <v>0</v>
      </c>
      <c r="AX62" s="152">
        <f ca="1">IFERROR(__xludf.DUMMYFUNCTION("IMPORTRANGE(""https://docs.google.com/spreadsheets/d/1GbCIE4D4wk9FUozzqk7SxfDMxDVBwVmI5zcaVUSzKAc/edit?usp=sharing"",""ประจวบคีรีขันธ์!I679"")"),0)</f>
        <v>0</v>
      </c>
      <c r="AY62" s="152">
        <f ca="1">IFERROR(__xludf.DUMMYFUNCTION("IMPORTRANGE(""https://docs.google.com/spreadsheets/d/1GbCIE4D4wk9FUozzqk7SxfDMxDVBwVmI5zcaVUSzKAc/edit?usp=sharing"",""ประจวบคีรีขันธ์!I681"")"),0)</f>
        <v>0</v>
      </c>
      <c r="AZ62" s="152">
        <f ca="1">IFERROR(__xludf.DUMMYFUNCTION("IMPORTRANGE(""https://docs.google.com/spreadsheets/d/1GbCIE4D4wk9FUozzqk7SxfDMxDVBwVmI5zcaVUSzKAc/edit?usp=sharing"",""ประจวบคีรีขันธ์!J679"")"),0)</f>
        <v>0</v>
      </c>
      <c r="BA62" s="152">
        <f ca="1">IFERROR(__xludf.DUMMYFUNCTION("IMPORTRANGE(""https://docs.google.com/spreadsheets/d/1GbCIE4D4wk9FUozzqk7SxfDMxDVBwVmI5zcaVUSzKAc/edit?usp=sharing"",""ประจวบคีรีขันธ์!J680"")"),0)</f>
        <v>0</v>
      </c>
      <c r="BB62" s="152">
        <f ca="1">IFERROR(__xludf.DUMMYFUNCTION("IMPORTRANGE(""https://docs.google.com/spreadsheets/d/1GbCIE4D4wk9FUozzqk7SxfDMxDVBwVmI5zcaVUSzKAc/edit?usp=sharing"",""ประจวบคีรีขันธ์!J681"")"),0)</f>
        <v>0</v>
      </c>
      <c r="BC62" s="152">
        <f ca="1">IFERROR(__xludf.DUMMYFUNCTION("IMPORTRANGE(""https://docs.google.com/spreadsheets/d/1GbCIE4D4wk9FUozzqk7SxfDMxDVBwVmI5zcaVUSzKAc/edit?usp=sharing"",""ประจวบคีรีขันธ์!I682"")"),0)</f>
        <v>0</v>
      </c>
      <c r="BD62" s="152">
        <f ca="1">IFERROR(__xludf.DUMMYFUNCTION("IMPORTRANGE(""https://docs.google.com/spreadsheets/d/1GbCIE4D4wk9FUozzqk7SxfDMxDVBwVmI5zcaVUSzKAc/edit?usp=sharing"",""ประจวบคีรีขันธ์!J682"")"),0)</f>
        <v>0</v>
      </c>
      <c r="BE62" s="216">
        <f t="shared" ca="1" si="46"/>
        <v>0</v>
      </c>
      <c r="BF62" s="152">
        <f ca="1">IFERROR(__xludf.DUMMYFUNCTION("IMPORTRANGE(""https://docs.google.com/spreadsheets/d/1GbCIE4D4wk9FUozzqk7SxfDMxDVBwVmI5zcaVUSzKAc/edit?usp=sharing"",""ประจวบคีรีขันธ์!J683"")"),0)</f>
        <v>0</v>
      </c>
      <c r="BG62" s="152">
        <f ca="1">IFERROR(__xludf.DUMMYFUNCTION("IMPORTRANGE(""https://docs.google.com/spreadsheets/d/1GbCIE4D4wk9FUozzqk7SxfDMxDVBwVmI5zcaVUSzKAc/edit?usp=sharing"",""ประจวบคีรีขันธ์!J684"")"),0)</f>
        <v>0</v>
      </c>
      <c r="BH62" s="152">
        <f ca="1">IFERROR(__xludf.DUMMYFUNCTION("IMPORTRANGE(""https://docs.google.com/spreadsheets/d/1GbCIE4D4wk9FUozzqk7SxfDMxDVBwVmI5zcaVUSzKAc/edit?usp=sharing"",""ประจวบคีรีขันธ์!J685"")"),0)</f>
        <v>0</v>
      </c>
      <c r="BI62" s="152">
        <f ca="1">IFERROR(__xludf.DUMMYFUNCTION("IMPORTRANGE(""https://docs.google.com/spreadsheets/d/1GbCIE4D4wk9FUozzqk7SxfDMxDVBwVmI5zcaVUSzKAc/edit?usp=sharing"",""ประจวบคีรีขันธ์!J686"")"),0)</f>
        <v>0</v>
      </c>
      <c r="BJ62" s="152">
        <f ca="1">IFERROR(__xludf.DUMMYFUNCTION("IMPORTRANGE(""https://docs.google.com/spreadsheets/d/1GbCIE4D4wk9FUozzqk7SxfDMxDVBwVmI5zcaVUSzKAc/edit?usp=sharing"",""ประจวบคีรีขันธ์!J687"")"),0)</f>
        <v>0</v>
      </c>
      <c r="BK62" s="152">
        <f ca="1">IFERROR(__xludf.DUMMYFUNCTION("IMPORTRANGE(""https://docs.google.com/spreadsheets/d/1GbCIE4D4wk9FUozzqk7SxfDMxDVBwVmI5zcaVUSzKAc/edit?usp=sharing"",""ประจวบคีรีขันธ์!J688"")"),0)</f>
        <v>0</v>
      </c>
    </row>
    <row r="63" spans="1:63" ht="19.5" x14ac:dyDescent="0.3">
      <c r="A63" s="70">
        <v>11</v>
      </c>
      <c r="B63" s="71" t="s">
        <v>91</v>
      </c>
      <c r="C63" s="68">
        <f ca="1">IFERROR(__xludf.DUMMYFUNCTION("IMPORTRANGE(""https://docs.google.com/spreadsheets/d/1vVf6wykvW_lAyu7Yo9L4hUTqHqIeP_qcVuxCtosJEbg/edit?usp=sharing"",""ปราจีนบุรี!Q642"")"),15680)</f>
        <v>15680</v>
      </c>
      <c r="D63" s="68">
        <f ca="1">IFERROR(__xludf.DUMMYFUNCTION("IMPORTRANGE(""https://docs.google.com/spreadsheets/d/1vVf6wykvW_lAyu7Yo9L4hUTqHqIeP_qcVuxCtosJEbg/edit?usp=sharing"",""ปราจีนบุรี!R642"")"),15680)</f>
        <v>15680</v>
      </c>
      <c r="E63" s="68">
        <f ca="1">IFERROR(__xludf.DUMMYFUNCTION("IMPORTRANGE(""https://docs.google.com/spreadsheets/d/1vVf6wykvW_lAyu7Yo9L4hUTqHqIeP_qcVuxCtosJEbg/edit?usp=sharing"",""ปราจีนบุรี!S642"")"),0)</f>
        <v>0</v>
      </c>
      <c r="F63" s="68">
        <f t="shared" ca="1" si="30"/>
        <v>0</v>
      </c>
      <c r="G63" s="68">
        <f t="shared" ca="1" si="31"/>
        <v>0</v>
      </c>
      <c r="H63" s="278">
        <f ca="1">IFERROR(__xludf.DUMMYFUNCTION("IMPORTRANGE(""https://docs.google.com/spreadsheets/d/1vVf6wykvW_lAyu7Yo9L4hUTqHqIeP_qcVuxCtosJEbg/edit?usp=sharing"",""ปราจีนบุรี!I652"")"),0)</f>
        <v>0</v>
      </c>
      <c r="I63" s="152">
        <f ca="1">IFERROR(__xludf.DUMMYFUNCTION("IMPORTRANGE(""https://docs.google.com/spreadsheets/d/1vVf6wykvW_lAyu7Yo9L4hUTqHqIeP_qcVuxCtosJEbg/edit?usp=sharing"",""ปราจีนบุรี!J652"")"),0)</f>
        <v>0</v>
      </c>
      <c r="J63" s="216">
        <f t="shared" ca="1" si="33"/>
        <v>0</v>
      </c>
      <c r="K63" s="152">
        <f ca="1">IFERROR(__xludf.DUMMYFUNCTION("IMPORTRANGE(""https://docs.google.com/spreadsheets/d/1vVf6wykvW_lAyu7Yo9L4hUTqHqIeP_qcVuxCtosJEbg/edit?usp=sharing"",""ปราจีนบุรี!I653"")"),0)</f>
        <v>0</v>
      </c>
      <c r="L63" s="152">
        <f ca="1">IFERROR(__xludf.DUMMYFUNCTION("IMPORTRANGE(""https://docs.google.com/spreadsheets/d/1vVf6wykvW_lAyu7Yo9L4hUTqHqIeP_qcVuxCtosJEbg/edit?usp=sharing"",""ปราจีนบุรี!J653"")"),0)</f>
        <v>0</v>
      </c>
      <c r="M63" s="216">
        <f t="shared" ca="1" si="35"/>
        <v>0</v>
      </c>
      <c r="N63" s="152">
        <f ca="1">IFERROR(__xludf.DUMMYFUNCTION("IMPORTRANGE(""https://docs.google.com/spreadsheets/d/1vVf6wykvW_lAyu7Yo9L4hUTqHqIeP_qcVuxCtosJEbg/edit?usp=sharing"",""ปราจีนบุรี!I654"")"),0)</f>
        <v>0</v>
      </c>
      <c r="O63" s="152">
        <f ca="1">IFERROR(__xludf.DUMMYFUNCTION("IMPORTRANGE(""https://docs.google.com/spreadsheets/d/1vVf6wykvW_lAyu7Yo9L4hUTqHqIeP_qcVuxCtosJEbg/edit?usp=sharing"",""ปราจีนบุรี!J654"")"),0)</f>
        <v>0</v>
      </c>
      <c r="P63" s="216">
        <f t="shared" ca="1" si="37"/>
        <v>0</v>
      </c>
      <c r="Q63" s="216">
        <f ca="1">IFERROR(__xludf.DUMMYFUNCTION("IMPORTRANGE(""https://docs.google.com/spreadsheets/d/1vVf6wykvW_lAyu7Yo9L4hUTqHqIeP_qcVuxCtosJEbg/edit?usp=sharing"",""ปราจีนบุรี!J655"")"),0)</f>
        <v>0</v>
      </c>
      <c r="R63" s="216">
        <f ca="1">IFERROR(__xludf.DUMMYFUNCTION("IMPORTRANGE(""https://docs.google.com/spreadsheets/d/1vVf6wykvW_lAyu7Yo9L4hUTqHqIeP_qcVuxCtosJEbg/edit?usp=sharing"",""ปราจีนบุรี!J656"")"),0)</f>
        <v>0</v>
      </c>
      <c r="S63" s="216">
        <f ca="1">IFERROR(__xludf.DUMMYFUNCTION("IMPORTRANGE(""https://docs.google.com/spreadsheets/d/1vVf6wykvW_lAyu7Yo9L4hUTqHqIeP_qcVuxCtosJEbg/edit?usp=sharing"",""ปราจีนบุรี!J657"")"),0)</f>
        <v>0</v>
      </c>
      <c r="T63" s="216">
        <f ca="1">IFERROR(__xludf.DUMMYFUNCTION("IMPORTRANGE(""https://docs.google.com/spreadsheets/d/1vVf6wykvW_lAyu7Yo9L4hUTqHqIeP_qcVuxCtosJEbg/edit?usp=sharing"",""ปราจีนบุรี!J658"")"),0)</f>
        <v>0</v>
      </c>
      <c r="U63" s="216">
        <f ca="1">IFERROR(__xludf.DUMMYFUNCTION("IMPORTRANGE(""https://docs.google.com/spreadsheets/d/1vVf6wykvW_lAyu7Yo9L4hUTqHqIeP_qcVuxCtosJEbg/edit?usp=sharing"",""ปราจีนบุรี!J659"")"),0)</f>
        <v>0</v>
      </c>
      <c r="V63" s="216">
        <f ca="1">IFERROR(__xludf.DUMMYFUNCTION("IMPORTRANGE(""https://docs.google.com/spreadsheets/d/1vVf6wykvW_lAyu7Yo9L4hUTqHqIeP_qcVuxCtosJEbg/edit?usp=sharing"",""ปราจีนบุรี!J660"")"),0)</f>
        <v>0</v>
      </c>
      <c r="W63" s="152">
        <f ca="1">IFERROR(__xludf.DUMMYFUNCTION("IMPORTRANGE(""https://docs.google.com/spreadsheets/d/1vVf6wykvW_lAyu7Yo9L4hUTqHqIeP_qcVuxCtosJEbg/edit?usp=sharing"",""ปราจีนบุรี!I661"")"),137)</f>
        <v>137</v>
      </c>
      <c r="X63" s="152">
        <f ca="1">IFERROR(__xludf.DUMMYFUNCTION("IMPORTRANGE(""https://docs.google.com/spreadsheets/d/1vVf6wykvW_lAyu7Yo9L4hUTqHqIeP_qcVuxCtosJEbg/edit?usp=sharing"",""ปราจีนบุรี!J661"")"),0)</f>
        <v>0</v>
      </c>
      <c r="Y63" s="216">
        <f t="shared" ca="1" si="39"/>
        <v>0</v>
      </c>
      <c r="Z63" s="152">
        <f ca="1">IFERROR(__xludf.DUMMYFUNCTION("IMPORTRANGE(""https://docs.google.com/spreadsheets/d/1vVf6wykvW_lAyu7Yo9L4hUTqHqIeP_qcVuxCtosJEbg/edit?usp=sharing"",""ปราจีนบุรี!J662"")"),0)</f>
        <v>0</v>
      </c>
      <c r="AA63" s="152">
        <f ca="1">IFERROR(__xludf.DUMMYFUNCTION("IMPORTRANGE(""https://docs.google.com/spreadsheets/d/1vVf6wykvW_lAyu7Yo9L4hUTqHqIeP_qcVuxCtosJEbg/edit?usp=sharing"",""ปราจีนบุรี!J663"")"),0)</f>
        <v>0</v>
      </c>
      <c r="AB63" s="152">
        <f ca="1">IFERROR(__xludf.DUMMYFUNCTION("IMPORTRANGE(""https://docs.google.com/spreadsheets/d/1vVf6wykvW_lAyu7Yo9L4hUTqHqIeP_qcVuxCtosJEbg/edit?usp=sharing"",""ปราจีนบุรี!J665"")"),0)</f>
        <v>0</v>
      </c>
      <c r="AC63" s="152">
        <f ca="1">IFERROR(__xludf.DUMMYFUNCTION("IMPORTRANGE(""https://docs.google.com/spreadsheets/d/1vVf6wykvW_lAyu7Yo9L4hUTqHqIeP_qcVuxCtosJEbg/edit?usp=sharing"",""ปราจีนบุรี!J666"")"),0)</f>
        <v>0</v>
      </c>
      <c r="AD63" s="152">
        <f ca="1">IFERROR(__xludf.DUMMYFUNCTION("IMPORTRANGE(""https://docs.google.com/spreadsheets/d/1vVf6wykvW_lAyu7Yo9L4hUTqHqIeP_qcVuxCtosJEbg/edit?usp=sharing"",""ปราจีนบุรี!J667"")"),0)</f>
        <v>0</v>
      </c>
      <c r="AE63" s="152">
        <f ca="1">IFERROR(__xludf.DUMMYFUNCTION("IMPORTRANGE(""https://docs.google.com/spreadsheets/d/1vVf6wykvW_lAyu7Yo9L4hUTqHqIeP_qcVuxCtosJEbg/edit?usp=sharing"",""ปราจีนบุรี!J668"")"),0)</f>
        <v>0</v>
      </c>
      <c r="AF63" s="152">
        <f ca="1">IFERROR(__xludf.DUMMYFUNCTION("IMPORTRANGE(""https://docs.google.com/spreadsheets/d/1vVf6wykvW_lAyu7Yo9L4hUTqHqIeP_qcVuxCtosJEbg/edit?usp=sharing"",""ปราจีนบุรี!J669"")"),0)</f>
        <v>0</v>
      </c>
      <c r="AG63" s="152">
        <f ca="1">IFERROR(__xludf.DUMMYFUNCTION("IMPORTRANGE(""https://docs.google.com/spreadsheets/d/1vVf6wykvW_lAyu7Yo9L4hUTqHqIeP_qcVuxCtosJEbg/edit?usp=sharing"",""ปราจีนบุรี!J670"")"),0)</f>
        <v>0</v>
      </c>
      <c r="AH63" s="152">
        <f ca="1">IFERROR(__xludf.DUMMYFUNCTION("IMPORTRANGE(""https://docs.google.com/spreadsheets/d/1vVf6wykvW_lAyu7Yo9L4hUTqHqIeP_qcVuxCtosJEbg/edit?usp=sharing"",""ปราจีนบุรี!I673"")"),50)</f>
        <v>50</v>
      </c>
      <c r="AI63" s="152">
        <f ca="1">IFERROR(__xludf.DUMMYFUNCTION("IMPORTRANGE(""https://docs.google.com/spreadsheets/d/1vVf6wykvW_lAyu7Yo9L4hUTqHqIeP_qcVuxCtosJEbg/edit?usp=sharing"",""ปราจีนบุรี!J671"")"),0)</f>
        <v>0</v>
      </c>
      <c r="AJ63" s="152">
        <f ca="1">IFERROR(__xludf.DUMMYFUNCTION("IMPORTRANGE(""https://docs.google.com/spreadsheets/d/1vVf6wykvW_lAyu7Yo9L4hUTqHqIeP_qcVuxCtosJEbg/edit?usp=sharing"",""ปราจีนบุรี!J672"")"),0)</f>
        <v>0</v>
      </c>
      <c r="AK63" s="152">
        <f ca="1">IFERROR(__xludf.DUMMYFUNCTION("IMPORTRANGE(""https://docs.google.com/spreadsheets/d/1vVf6wykvW_lAyu7Yo9L4hUTqHqIeP_qcVuxCtosJEbg/edit?usp=sharing"",""ปราจีนบุรี!J673"")"),0)</f>
        <v>0</v>
      </c>
      <c r="AL63" s="216">
        <f t="shared" ca="1" si="41"/>
        <v>0</v>
      </c>
      <c r="AM63" s="152">
        <f ca="1">IFERROR(__xludf.DUMMYFUNCTION("IMPORTRANGE(""https://docs.google.com/spreadsheets/d/1vVf6wykvW_lAyu7Yo9L4hUTqHqIeP_qcVuxCtosJEbg/edit?usp=sharing"",""ปราจีนบุรี!I674"")"),10)</f>
        <v>10</v>
      </c>
      <c r="AN63" s="152">
        <f ca="1">IFERROR(__xludf.DUMMYFUNCTION("IMPORTRANGE(""https://docs.google.com/spreadsheets/d/1vVf6wykvW_lAyu7Yo9L4hUTqHqIeP_qcVuxCtosJEbg/edit?usp=sharing"",""ปราจีนบุรี!I675"")"),100)</f>
        <v>100</v>
      </c>
      <c r="AO63" s="152">
        <f ca="1">IFERROR(__xludf.DUMMYFUNCTION("IMPORTRANGE(""https://docs.google.com/spreadsheets/d/1vVf6wykvW_lAyu7Yo9L4hUTqHqIeP_qcVuxCtosJEbg/edit?usp=sharing"",""ปราจีนบุรี!J674"")"),0)</f>
        <v>0</v>
      </c>
      <c r="AP63" s="216">
        <f t="shared" ca="1" si="43"/>
        <v>0</v>
      </c>
      <c r="AQ63" s="152">
        <f ca="1">IFERROR(__xludf.DUMMYFUNCTION("IMPORTRANGE(""https://docs.google.com/spreadsheets/d/1vVf6wykvW_lAyu7Yo9L4hUTqHqIeP_qcVuxCtosJEbg/edit?usp=sharing"",""ปราจีนบุรี!J675"")"),0)</f>
        <v>0</v>
      </c>
      <c r="AR63" s="216">
        <f t="shared" ca="1" si="44"/>
        <v>0</v>
      </c>
      <c r="AS63" s="152">
        <f ca="1">IFERROR(__xludf.DUMMYFUNCTION("IMPORTRANGE(""https://docs.google.com/spreadsheets/d/1vVf6wykvW_lAyu7Yo9L4hUTqHqIeP_qcVuxCtosJEbg/edit?usp=sharing"",""ปราจีนบุรี!I676"")"),5)</f>
        <v>5</v>
      </c>
      <c r="AT63" s="152">
        <f ca="1">IFERROR(__xludf.DUMMYFUNCTION("IMPORTRANGE(""https://docs.google.com/spreadsheets/d/1vVf6wykvW_lAyu7Yo9L4hUTqHqIeP_qcVuxCtosJEbg/edit?usp=sharing"",""ปราจีนบุรี!I678"")"),50)</f>
        <v>50</v>
      </c>
      <c r="AU63" s="152">
        <f ca="1">IFERROR(__xludf.DUMMYFUNCTION("IMPORTRANGE(""https://docs.google.com/spreadsheets/d/1vVf6wykvW_lAyu7Yo9L4hUTqHqIeP_qcVuxCtosJEbg/edit?usp=sharing"",""ปราจีนบุรี!J676"")"),0)</f>
        <v>0</v>
      </c>
      <c r="AV63" s="152">
        <f ca="1">IFERROR(__xludf.DUMMYFUNCTION("IMPORTRANGE(""https://docs.google.com/spreadsheets/d/1vVf6wykvW_lAyu7Yo9L4hUTqHqIeP_qcVuxCtosJEbg/edit?usp=sharing"",""ปราจีนบุรี!J677"")"),0)</f>
        <v>0</v>
      </c>
      <c r="AW63" s="152">
        <f ca="1">IFERROR(__xludf.DUMMYFUNCTION("IMPORTRANGE(""https://docs.google.com/spreadsheets/d/1vVf6wykvW_lAyu7Yo9L4hUTqHqIeP_qcVuxCtosJEbg/edit?usp=sharing"",""ปราจีนบุรี!J678"")"),0)</f>
        <v>0</v>
      </c>
      <c r="AX63" s="152">
        <f ca="1">IFERROR(__xludf.DUMMYFUNCTION("IMPORTRANGE(""https://docs.google.com/spreadsheets/d/1vVf6wykvW_lAyu7Yo9L4hUTqHqIeP_qcVuxCtosJEbg/edit?usp=sharing"",""ปราจีนบุรี!I679"")"),5)</f>
        <v>5</v>
      </c>
      <c r="AY63" s="152">
        <f ca="1">IFERROR(__xludf.DUMMYFUNCTION("IMPORTRANGE(""https://docs.google.com/spreadsheets/d/1vVf6wykvW_lAyu7Yo9L4hUTqHqIeP_qcVuxCtosJEbg/edit?usp=sharing"",""ปราจีนบุรี!I681"")"),50)</f>
        <v>50</v>
      </c>
      <c r="AZ63" s="152">
        <f ca="1">IFERROR(__xludf.DUMMYFUNCTION("IMPORTRANGE(""https://docs.google.com/spreadsheets/d/1vVf6wykvW_lAyu7Yo9L4hUTqHqIeP_qcVuxCtosJEbg/edit?usp=sharing"",""ปราจีนบุรี!J679"")"),0)</f>
        <v>0</v>
      </c>
      <c r="BA63" s="152">
        <f ca="1">IFERROR(__xludf.DUMMYFUNCTION("IMPORTRANGE(""https://docs.google.com/spreadsheets/d/1vVf6wykvW_lAyu7Yo9L4hUTqHqIeP_qcVuxCtosJEbg/edit?usp=sharing"",""ปราจีนบุรี!J680"")"),0)</f>
        <v>0</v>
      </c>
      <c r="BB63" s="152">
        <f ca="1">IFERROR(__xludf.DUMMYFUNCTION("IMPORTRANGE(""https://docs.google.com/spreadsheets/d/1vVf6wykvW_lAyu7Yo9L4hUTqHqIeP_qcVuxCtosJEbg/edit?usp=sharing"",""ปราจีนบุรี!J681"")"),0)</f>
        <v>0</v>
      </c>
      <c r="BC63" s="152">
        <f ca="1">IFERROR(__xludf.DUMMYFUNCTION("IMPORTRANGE(""https://docs.google.com/spreadsheets/d/1vVf6wykvW_lAyu7Yo9L4hUTqHqIeP_qcVuxCtosJEbg/edit?usp=sharing"",""ปราจีนบุรี!I682"")"),0)</f>
        <v>0</v>
      </c>
      <c r="BD63" s="152">
        <f ca="1">IFERROR(__xludf.DUMMYFUNCTION("IMPORTRANGE(""https://docs.google.com/spreadsheets/d/1vVf6wykvW_lAyu7Yo9L4hUTqHqIeP_qcVuxCtosJEbg/edit?usp=sharing"",""ปราจีนบุรี!J682"")"),0)</f>
        <v>0</v>
      </c>
      <c r="BE63" s="216">
        <f t="shared" ca="1" si="46"/>
        <v>0</v>
      </c>
      <c r="BF63" s="152">
        <f ca="1">IFERROR(__xludf.DUMMYFUNCTION("IMPORTRANGE(""https://docs.google.com/spreadsheets/d/1vVf6wykvW_lAyu7Yo9L4hUTqHqIeP_qcVuxCtosJEbg/edit?usp=sharing"",""ปราจีนบุรี!J683"")"),0)</f>
        <v>0</v>
      </c>
      <c r="BG63" s="152">
        <f ca="1">IFERROR(__xludf.DUMMYFUNCTION("IMPORTRANGE(""https://docs.google.com/spreadsheets/d/1vVf6wykvW_lAyu7Yo9L4hUTqHqIeP_qcVuxCtosJEbg/edit?usp=sharing"",""ปราจีนบุรี!J684"")"),0)</f>
        <v>0</v>
      </c>
      <c r="BH63" s="152">
        <f ca="1">IFERROR(__xludf.DUMMYFUNCTION("IMPORTRANGE(""https://docs.google.com/spreadsheets/d/1vVf6wykvW_lAyu7Yo9L4hUTqHqIeP_qcVuxCtosJEbg/edit?usp=sharing"",""ปราจีนบุรี!J685"")"),0)</f>
        <v>0</v>
      </c>
      <c r="BI63" s="152">
        <f ca="1">IFERROR(__xludf.DUMMYFUNCTION("IMPORTRANGE(""https://docs.google.com/spreadsheets/d/1vVf6wykvW_lAyu7Yo9L4hUTqHqIeP_qcVuxCtosJEbg/edit?usp=sharing"",""ปราจีนบุรี!J686"")"),0)</f>
        <v>0</v>
      </c>
      <c r="BJ63" s="152">
        <f ca="1">IFERROR(__xludf.DUMMYFUNCTION("IMPORTRANGE(""https://docs.google.com/spreadsheets/d/1vVf6wykvW_lAyu7Yo9L4hUTqHqIeP_qcVuxCtosJEbg/edit?usp=sharing"",""ปราจีนบุรี!J687"")"),0)</f>
        <v>0</v>
      </c>
      <c r="BK63" s="152">
        <f ca="1">IFERROR(__xludf.DUMMYFUNCTION("IMPORTRANGE(""https://docs.google.com/spreadsheets/d/1vVf6wykvW_lAyu7Yo9L4hUTqHqIeP_qcVuxCtosJEbg/edit?usp=sharing"",""ปราจีนบุรี!J688"")"),0)</f>
        <v>0</v>
      </c>
    </row>
    <row r="64" spans="1:63" ht="19.5" x14ac:dyDescent="0.3">
      <c r="A64" s="70">
        <v>12</v>
      </c>
      <c r="B64" s="71" t="s">
        <v>92</v>
      </c>
      <c r="C64" s="68">
        <f ca="1">IFERROR(__xludf.DUMMYFUNCTION("IMPORTRANGE(""https://docs.google.com/spreadsheets/d/1BIDqLLg5jk3v59G8NlR8rk5xfQDKne0sAvZHSj7TI6I/edit?usp=sharing"",""พระนครศรีอยุธยา!Q642"")"),76220)</f>
        <v>76220</v>
      </c>
      <c r="D64" s="68">
        <f ca="1">IFERROR(__xludf.DUMMYFUNCTION("IMPORTRANGE(""https://docs.google.com/spreadsheets/d/1BIDqLLg5jk3v59G8NlR8rk5xfQDKne0sAvZHSj7TI6I/edit?usp=sharing"",""พระนครศรีอยุธยา!R642"")"),76220)</f>
        <v>76220</v>
      </c>
      <c r="E64" s="68">
        <f ca="1">IFERROR(__xludf.DUMMYFUNCTION("IMPORTRANGE(""https://docs.google.com/spreadsheets/d/1BIDqLLg5jk3v59G8NlR8rk5xfQDKne0sAvZHSj7TI6I/edit?usp=sharing"",""พระนครศรีอยุธยา!S642"")"),24940)</f>
        <v>24940</v>
      </c>
      <c r="F64" s="68">
        <f t="shared" ca="1" si="30"/>
        <v>32.721070585148254</v>
      </c>
      <c r="G64" s="68">
        <f t="shared" ca="1" si="31"/>
        <v>32.721070585148254</v>
      </c>
      <c r="H64" s="278">
        <f ca="1">IFERROR(__xludf.DUMMYFUNCTION("IMPORTRANGE(""https://docs.google.com/spreadsheets/d/1BIDqLLg5jk3v59G8NlR8rk5xfQDKne0sAvZHSj7TI6I/edit?usp=sharing"",""พระนครศรีอยุธยา!I652"")"),0)</f>
        <v>0</v>
      </c>
      <c r="I64" s="152">
        <f ca="1">IFERROR(__xludf.DUMMYFUNCTION("IMPORTRANGE(""https://docs.google.com/spreadsheets/d/1BIDqLLg5jk3v59G8NlR8rk5xfQDKne0sAvZHSj7TI6I/edit?usp=sharing"",""พระนครศรีอยุธยา!J652"")"),0)</f>
        <v>0</v>
      </c>
      <c r="J64" s="216">
        <f t="shared" ca="1" si="33"/>
        <v>0</v>
      </c>
      <c r="K64" s="152">
        <f ca="1">IFERROR(__xludf.DUMMYFUNCTION("IMPORTRANGE(""https://docs.google.com/spreadsheets/d/1BIDqLLg5jk3v59G8NlR8rk5xfQDKne0sAvZHSj7TI6I/edit?usp=sharing"",""พระนครศรีอยุธยา!I653"")"),63)</f>
        <v>63</v>
      </c>
      <c r="L64" s="152">
        <f ca="1">IFERROR(__xludf.DUMMYFUNCTION("IMPORTRANGE(""https://docs.google.com/spreadsheets/d/1BIDqLLg5jk3v59G8NlR8rk5xfQDKne0sAvZHSj7TI6I/edit?usp=sharing"",""พระนครศรีอยุธยา!J653"")"),35)</f>
        <v>35</v>
      </c>
      <c r="M64" s="216">
        <f t="shared" ca="1" si="35"/>
        <v>55.555555555555557</v>
      </c>
      <c r="N64" s="152">
        <f ca="1">IFERROR(__xludf.DUMMYFUNCTION("IMPORTRANGE(""https://docs.google.com/spreadsheets/d/1BIDqLLg5jk3v59G8NlR8rk5xfQDKne0sAvZHSj7TI6I/edit?usp=sharing"",""พระนครศรีอยุธยา!I654"")"),0)</f>
        <v>0</v>
      </c>
      <c r="O64" s="152">
        <f ca="1">IFERROR(__xludf.DUMMYFUNCTION("IMPORTRANGE(""https://docs.google.com/spreadsheets/d/1BIDqLLg5jk3v59G8NlR8rk5xfQDKne0sAvZHSj7TI6I/edit?usp=sharing"",""พระนครศรีอยุธยา!J654"")"),0)</f>
        <v>0</v>
      </c>
      <c r="P64" s="216">
        <f t="shared" ca="1" si="37"/>
        <v>0</v>
      </c>
      <c r="Q64" s="216">
        <f ca="1">IFERROR(__xludf.DUMMYFUNCTION("IMPORTRANGE(""https://docs.google.com/spreadsheets/d/1BIDqLLg5jk3v59G8NlR8rk5xfQDKne0sAvZHSj7TI6I/edit?usp=sharing"",""พระนครศรีอยุธยา!J655"")"),0)</f>
        <v>0</v>
      </c>
      <c r="R64" s="216">
        <f ca="1">IFERROR(__xludf.DUMMYFUNCTION("IMPORTRANGE(""https://docs.google.com/spreadsheets/d/1BIDqLLg5jk3v59G8NlR8rk5xfQDKne0sAvZHSj7TI6I/edit?usp=sharing"",""พระนครศรีอยุธยา!J656"")"),0)</f>
        <v>0</v>
      </c>
      <c r="S64" s="216">
        <f ca="1">IFERROR(__xludf.DUMMYFUNCTION("IMPORTRANGE(""https://docs.google.com/spreadsheets/d/1BIDqLLg5jk3v59G8NlR8rk5xfQDKne0sAvZHSj7TI6I/edit?usp=sharing"",""พระนครศรีอยุธยา!J657"")"),0)</f>
        <v>0</v>
      </c>
      <c r="T64" s="216">
        <f ca="1">IFERROR(__xludf.DUMMYFUNCTION("IMPORTRANGE(""https://docs.google.com/spreadsheets/d/1BIDqLLg5jk3v59G8NlR8rk5xfQDKne0sAvZHSj7TI6I/edit?usp=sharing"",""พระนครศรีอยุธยา!J658"")"),0)</f>
        <v>0</v>
      </c>
      <c r="U64" s="216">
        <f ca="1">IFERROR(__xludf.DUMMYFUNCTION("IMPORTRANGE(""https://docs.google.com/spreadsheets/d/1BIDqLLg5jk3v59G8NlR8rk5xfQDKne0sAvZHSj7TI6I/edit?usp=sharing"",""พระนครศรีอยุธยา!J659"")"),0)</f>
        <v>0</v>
      </c>
      <c r="V64" s="216">
        <f ca="1">IFERROR(__xludf.DUMMYFUNCTION("IMPORTRANGE(""https://docs.google.com/spreadsheets/d/1BIDqLLg5jk3v59G8NlR8rk5xfQDKne0sAvZHSj7TI6I/edit?usp=sharing"",""พระนครศรีอยุธยา!J660"")"),0)</f>
        <v>0</v>
      </c>
      <c r="W64" s="152">
        <f ca="1">IFERROR(__xludf.DUMMYFUNCTION("IMPORTRANGE(""https://docs.google.com/spreadsheets/d/1BIDqLLg5jk3v59G8NlR8rk5xfQDKne0sAvZHSj7TI6I/edit?usp=sharing"",""พระนครศรีอยุธยา!I661"")"),20)</f>
        <v>20</v>
      </c>
      <c r="X64" s="152">
        <f ca="1">IFERROR(__xludf.DUMMYFUNCTION("IMPORTRANGE(""https://docs.google.com/spreadsheets/d/1BIDqLLg5jk3v59G8NlR8rk5xfQDKne0sAvZHSj7TI6I/edit?usp=sharing"",""พระนครศรีอยุธยา!J661"")"),32)</f>
        <v>32</v>
      </c>
      <c r="Y64" s="216">
        <f t="shared" ca="1" si="39"/>
        <v>160</v>
      </c>
      <c r="Z64" s="152">
        <f ca="1">IFERROR(__xludf.DUMMYFUNCTION("IMPORTRANGE(""https://docs.google.com/spreadsheets/d/1BIDqLLg5jk3v59G8NlR8rk5xfQDKne0sAvZHSj7TI6I/edit?usp=sharing"",""พระนครศรีอยุธยา!J662"")"),1)</f>
        <v>1</v>
      </c>
      <c r="AA64" s="152">
        <f ca="1">IFERROR(__xludf.DUMMYFUNCTION("IMPORTRANGE(""https://docs.google.com/spreadsheets/d/1BIDqLLg5jk3v59G8NlR8rk5xfQDKne0sAvZHSj7TI6I/edit?usp=sharing"",""พระนครศรีอยุธยา!J663"")"),29)</f>
        <v>29</v>
      </c>
      <c r="AB64" s="152">
        <f ca="1">IFERROR(__xludf.DUMMYFUNCTION("IMPORTRANGE(""https://docs.google.com/spreadsheets/d/1BIDqLLg5jk3v59G8NlR8rk5xfQDKne0sAvZHSj7TI6I/edit?usp=sharing"",""พระนครศรีอยุธยา!J665"")"),3)</f>
        <v>3</v>
      </c>
      <c r="AC64" s="152">
        <f ca="1">IFERROR(__xludf.DUMMYFUNCTION("IMPORTRANGE(""https://docs.google.com/spreadsheets/d/1BIDqLLg5jk3v59G8NlR8rk5xfQDKne0sAvZHSj7TI6I/edit?usp=sharing"",""พระนครศรีอยุธยา!J666"")"),3)</f>
        <v>3</v>
      </c>
      <c r="AD64" s="152">
        <f ca="1">IFERROR(__xludf.DUMMYFUNCTION("IMPORTRANGE(""https://docs.google.com/spreadsheets/d/1BIDqLLg5jk3v59G8NlR8rk5xfQDKne0sAvZHSj7TI6I/edit?usp=sharing"",""พระนครศรีอยุธยา!J667"")"),45)</f>
        <v>45</v>
      </c>
      <c r="AE64" s="152">
        <f ca="1">IFERROR(__xludf.DUMMYFUNCTION("IMPORTRANGE(""https://docs.google.com/spreadsheets/d/1BIDqLLg5jk3v59G8NlR8rk5xfQDKne0sAvZHSj7TI6I/edit?usp=sharing"",""พระนครศรีอยุธยา!J668"")"),4)</f>
        <v>4</v>
      </c>
      <c r="AF64" s="152">
        <f ca="1">IFERROR(__xludf.DUMMYFUNCTION("IMPORTRANGE(""https://docs.google.com/spreadsheets/d/1BIDqLLg5jk3v59G8NlR8rk5xfQDKne0sAvZHSj7TI6I/edit?usp=sharing"",""พระนครศรีอยุธยา!J669"")"),4)</f>
        <v>4</v>
      </c>
      <c r="AG64" s="152">
        <f ca="1">IFERROR(__xludf.DUMMYFUNCTION("IMPORTRANGE(""https://docs.google.com/spreadsheets/d/1BIDqLLg5jk3v59G8NlR8rk5xfQDKne0sAvZHSj7TI6I/edit?usp=sharing"",""พระนครศรีอยุธยา!J670"")"),29)</f>
        <v>29</v>
      </c>
      <c r="AH64" s="152">
        <f ca="1">IFERROR(__xludf.DUMMYFUNCTION("IMPORTRANGE(""https://docs.google.com/spreadsheets/d/1BIDqLLg5jk3v59G8NlR8rk5xfQDKne0sAvZHSj7TI6I/edit?usp=sharing"",""พระนครศรีอยุธยา!I673"")"),450)</f>
        <v>450</v>
      </c>
      <c r="AI64" s="152">
        <f ca="1">IFERROR(__xludf.DUMMYFUNCTION("IMPORTRANGE(""https://docs.google.com/spreadsheets/d/1BIDqLLg5jk3v59G8NlR8rk5xfQDKne0sAvZHSj7TI6I/edit?usp=sharing"",""พระนครศรีอยุธยา!J671"")"),58)</f>
        <v>58</v>
      </c>
      <c r="AJ64" s="152">
        <f ca="1">IFERROR(__xludf.DUMMYFUNCTION("IMPORTRANGE(""https://docs.google.com/spreadsheets/d/1BIDqLLg5jk3v59G8NlR8rk5xfQDKne0sAvZHSj7TI6I/edit?usp=sharing"",""พระนครศรีอยุธยา!J672"")"),62)</f>
        <v>62</v>
      </c>
      <c r="AK64" s="152">
        <f ca="1">IFERROR(__xludf.DUMMYFUNCTION("IMPORTRANGE(""https://docs.google.com/spreadsheets/d/1BIDqLLg5jk3v59G8NlR8rk5xfQDKne0sAvZHSj7TI6I/edit?usp=sharing"",""พระนครศรีอยุธยา!J673"")"),530.41)</f>
        <v>530.41</v>
      </c>
      <c r="AL64" s="216">
        <f t="shared" ca="1" si="41"/>
        <v>117.86888888888889</v>
      </c>
      <c r="AM64" s="152">
        <f ca="1">IFERROR(__xludf.DUMMYFUNCTION("IMPORTRANGE(""https://docs.google.com/spreadsheets/d/1BIDqLLg5jk3v59G8NlR8rk5xfQDKne0sAvZHSj7TI6I/edit?usp=sharing"",""พระนครศรีอยุธยา!I674"")"),43)</f>
        <v>43</v>
      </c>
      <c r="AN64" s="152">
        <f ca="1">IFERROR(__xludf.DUMMYFUNCTION("IMPORTRANGE(""https://docs.google.com/spreadsheets/d/1BIDqLLg5jk3v59G8NlR8rk5xfQDKne0sAvZHSj7TI6I/edit?usp=sharing"",""พระนครศรีอยุธยา!I675"")"),330)</f>
        <v>330</v>
      </c>
      <c r="AO64" s="152">
        <f ca="1">IFERROR(__xludf.DUMMYFUNCTION("IMPORTRANGE(""https://docs.google.com/spreadsheets/d/1BIDqLLg5jk3v59G8NlR8rk5xfQDKne0sAvZHSj7TI6I/edit?usp=sharing"",""พระนครศรีอยุธยา!J674"")"),1)</f>
        <v>1</v>
      </c>
      <c r="AP64" s="216">
        <f t="shared" ca="1" si="43"/>
        <v>2.3255813953488373</v>
      </c>
      <c r="AQ64" s="152">
        <f ca="1">IFERROR(__xludf.DUMMYFUNCTION("IMPORTRANGE(""https://docs.google.com/spreadsheets/d/1BIDqLLg5jk3v59G8NlR8rk5xfQDKne0sAvZHSj7TI6I/edit?usp=sharing"",""พระนครศรีอยุธยา!J675"")"),11.89)</f>
        <v>11.89</v>
      </c>
      <c r="AR64" s="216">
        <f t="shared" ca="1" si="44"/>
        <v>3.603030303030303</v>
      </c>
      <c r="AS64" s="152">
        <f ca="1">IFERROR(__xludf.DUMMYFUNCTION("IMPORTRANGE(""https://docs.google.com/spreadsheets/d/1BIDqLLg5jk3v59G8NlR8rk5xfQDKne0sAvZHSj7TI6I/edit?usp=sharing"",""พระนครศรีอยุธยา!I676"")"),40)</f>
        <v>40</v>
      </c>
      <c r="AT64" s="152">
        <f ca="1">IFERROR(__xludf.DUMMYFUNCTION("IMPORTRANGE(""https://docs.google.com/spreadsheets/d/1BIDqLLg5jk3v59G8NlR8rk5xfQDKne0sAvZHSj7TI6I/edit?usp=sharing"",""พระนครศรีอยุธยา!I678"")"),300)</f>
        <v>300</v>
      </c>
      <c r="AU64" s="152">
        <f ca="1">IFERROR(__xludf.DUMMYFUNCTION("IMPORTRANGE(""https://docs.google.com/spreadsheets/d/1BIDqLLg5jk3v59G8NlR8rk5xfQDKne0sAvZHSj7TI6I/edit?usp=sharing"",""พระนครศรีอยุธยา!J676"")"),1)</f>
        <v>1</v>
      </c>
      <c r="AV64" s="152">
        <f ca="1">IFERROR(__xludf.DUMMYFUNCTION("IMPORTRANGE(""https://docs.google.com/spreadsheets/d/1BIDqLLg5jk3v59G8NlR8rk5xfQDKne0sAvZHSj7TI6I/edit?usp=sharing"",""พระนครศรีอยุธยา!J677"")"),1)</f>
        <v>1</v>
      </c>
      <c r="AW64" s="152">
        <f ca="1">IFERROR(__xludf.DUMMYFUNCTION("IMPORTRANGE(""https://docs.google.com/spreadsheets/d/1BIDqLLg5jk3v59G8NlR8rk5xfQDKne0sAvZHSj7TI6I/edit?usp=sharing"",""พระนครศรีอยุธยา!J678"")"),11.89)</f>
        <v>11.89</v>
      </c>
      <c r="AX64" s="152">
        <f ca="1">IFERROR(__xludf.DUMMYFUNCTION("IMPORTRANGE(""https://docs.google.com/spreadsheets/d/1BIDqLLg5jk3v59G8NlR8rk5xfQDKne0sAvZHSj7TI6I/edit?usp=sharing"",""พระนครศรีอยุธยา!I679"")"),3)</f>
        <v>3</v>
      </c>
      <c r="AY64" s="152">
        <f ca="1">IFERROR(__xludf.DUMMYFUNCTION("IMPORTRANGE(""https://docs.google.com/spreadsheets/d/1BIDqLLg5jk3v59G8NlR8rk5xfQDKne0sAvZHSj7TI6I/edit?usp=sharing"",""พระนครศรีอยุธยา!I681"")"),30)</f>
        <v>30</v>
      </c>
      <c r="AZ64" s="152">
        <f ca="1">IFERROR(__xludf.DUMMYFUNCTION("IMPORTRANGE(""https://docs.google.com/spreadsheets/d/1BIDqLLg5jk3v59G8NlR8rk5xfQDKne0sAvZHSj7TI6I/edit?usp=sharing"",""พระนครศรีอยุธยา!J679"")"),0)</f>
        <v>0</v>
      </c>
      <c r="BA64" s="152">
        <f ca="1">IFERROR(__xludf.DUMMYFUNCTION("IMPORTRANGE(""https://docs.google.com/spreadsheets/d/1BIDqLLg5jk3v59G8NlR8rk5xfQDKne0sAvZHSj7TI6I/edit?usp=sharing"",""พระนครศรีอยุธยา!J680"")"),0)</f>
        <v>0</v>
      </c>
      <c r="BB64" s="152">
        <f ca="1">IFERROR(__xludf.DUMMYFUNCTION("IMPORTRANGE(""https://docs.google.com/spreadsheets/d/1BIDqLLg5jk3v59G8NlR8rk5xfQDKne0sAvZHSj7TI6I/edit?usp=sharing"",""พระนครศรีอยุธยา!J681"")"),0)</f>
        <v>0</v>
      </c>
      <c r="BC64" s="152">
        <f ca="1">IFERROR(__xludf.DUMMYFUNCTION("IMPORTRANGE(""https://docs.google.com/spreadsheets/d/1BIDqLLg5jk3v59G8NlR8rk5xfQDKne0sAvZHSj7TI6I/edit?usp=sharing"",""พระนครศรีอยุธยา!I682"")"),317)</f>
        <v>317</v>
      </c>
      <c r="BD64" s="152">
        <f ca="1">IFERROR(__xludf.DUMMYFUNCTION("IMPORTRANGE(""https://docs.google.com/spreadsheets/d/1BIDqLLg5jk3v59G8NlR8rk5xfQDKne0sAvZHSj7TI6I/edit?usp=sharing"",""พระนครศรีอยุธยา!J682"")"),128)</f>
        <v>128</v>
      </c>
      <c r="BE64" s="216">
        <f t="shared" ca="1" si="46"/>
        <v>40.378548895899051</v>
      </c>
      <c r="BF64" s="152">
        <f ca="1">IFERROR(__xludf.DUMMYFUNCTION("IMPORTRANGE(""https://docs.google.com/spreadsheets/d/1BIDqLLg5jk3v59G8NlR8rk5xfQDKne0sAvZHSj7TI6I/edit?usp=sharing"",""พระนครศรีอยุธยา!J683"")"),0)</f>
        <v>0</v>
      </c>
      <c r="BG64" s="152">
        <f ca="1">IFERROR(__xludf.DUMMYFUNCTION("IMPORTRANGE(""https://docs.google.com/spreadsheets/d/1BIDqLLg5jk3v59G8NlR8rk5xfQDKne0sAvZHSj7TI6I/edit?usp=sharing"",""พระนครศรีอยุธยา!J684"")"),0)</f>
        <v>0</v>
      </c>
      <c r="BH64" s="152">
        <f ca="1">IFERROR(__xludf.DUMMYFUNCTION("IMPORTRANGE(""https://docs.google.com/spreadsheets/d/1BIDqLLg5jk3v59G8NlR8rk5xfQDKne0sAvZHSj7TI6I/edit?usp=sharing"",""พระนครศรีอยุธยา!J685"")"),0)</f>
        <v>0</v>
      </c>
      <c r="BI64" s="152">
        <f ca="1">IFERROR(__xludf.DUMMYFUNCTION("IMPORTRANGE(""https://docs.google.com/spreadsheets/d/1BIDqLLg5jk3v59G8NlR8rk5xfQDKne0sAvZHSj7TI6I/edit?usp=sharing"",""พระนครศรีอยุธยา!J686"")"),16)</f>
        <v>16</v>
      </c>
      <c r="BJ64" s="152">
        <f ca="1">IFERROR(__xludf.DUMMYFUNCTION("IMPORTRANGE(""https://docs.google.com/spreadsheets/d/1BIDqLLg5jk3v59G8NlR8rk5xfQDKne0sAvZHSj7TI6I/edit?usp=sharing"",""พระนครศรีอยุธยา!J687"")"),16)</f>
        <v>16</v>
      </c>
      <c r="BK64" s="152">
        <f ca="1">IFERROR(__xludf.DUMMYFUNCTION("IMPORTRANGE(""https://docs.google.com/spreadsheets/d/1BIDqLLg5jk3v59G8NlR8rk5xfQDKne0sAvZHSj7TI6I/edit?usp=sharing"",""พระนครศรีอยุธยา!J688"")"),128)</f>
        <v>128</v>
      </c>
    </row>
    <row r="65" spans="1:63" ht="19.5" x14ac:dyDescent="0.3">
      <c r="A65" s="70">
        <v>13</v>
      </c>
      <c r="B65" s="71" t="s">
        <v>93</v>
      </c>
      <c r="C65" s="68">
        <f ca="1">IFERROR(__xludf.DUMMYFUNCTION("IMPORTRANGE(""https://docs.google.com/spreadsheets/d/1YXvxf8Yu6_rV4hTBrwMqAcAnv6DfhUxh5emyM3CJp_w/edit?usp=sharing"",""เพชรบุรี!Q642"")"),8600)</f>
        <v>8600</v>
      </c>
      <c r="D65" s="68">
        <f ca="1">IFERROR(__xludf.DUMMYFUNCTION("IMPORTRANGE(""https://docs.google.com/spreadsheets/d/1YXvxf8Yu6_rV4hTBrwMqAcAnv6DfhUxh5emyM3CJp_w/edit?usp=sharing"",""เพชรบุรี!R642"")"),8600)</f>
        <v>8600</v>
      </c>
      <c r="E65" s="68">
        <f ca="1">IFERROR(__xludf.DUMMYFUNCTION("IMPORTRANGE(""https://docs.google.com/spreadsheets/d/1YXvxf8Yu6_rV4hTBrwMqAcAnv6DfhUxh5emyM3CJp_w/edit?usp=sharing"",""เพชรบุรี!S642"")"),8596)</f>
        <v>8596</v>
      </c>
      <c r="F65" s="68">
        <f t="shared" ca="1" si="30"/>
        <v>99.95348837209302</v>
      </c>
      <c r="G65" s="68">
        <f t="shared" ca="1" si="31"/>
        <v>99.95348837209302</v>
      </c>
      <c r="H65" s="278">
        <f ca="1">IFERROR(__xludf.DUMMYFUNCTION("IMPORTRANGE(""https://docs.google.com/spreadsheets/d/1YXvxf8Yu6_rV4hTBrwMqAcAnv6DfhUxh5emyM3CJp_w/edit?usp=sharing"",""เพชรบุรี!I652"")"),0)</f>
        <v>0</v>
      </c>
      <c r="I65" s="152">
        <f ca="1">IFERROR(__xludf.DUMMYFUNCTION("IMPORTRANGE(""https://docs.google.com/spreadsheets/d/1YXvxf8Yu6_rV4hTBrwMqAcAnv6DfhUxh5emyM3CJp_w/edit?usp=sharing"",""เพชรบุรี!J652"")"),0)</f>
        <v>0</v>
      </c>
      <c r="J65" s="216">
        <f t="shared" ca="1" si="33"/>
        <v>0</v>
      </c>
      <c r="K65" s="152">
        <f ca="1">IFERROR(__xludf.DUMMYFUNCTION("IMPORTRANGE(""https://docs.google.com/spreadsheets/d/1YXvxf8Yu6_rV4hTBrwMqAcAnv6DfhUxh5emyM3CJp_w/edit?usp=sharing"",""เพชรบุรี!I653"")"),0)</f>
        <v>0</v>
      </c>
      <c r="L65" s="152">
        <f ca="1">IFERROR(__xludf.DUMMYFUNCTION("IMPORTRANGE(""https://docs.google.com/spreadsheets/d/1YXvxf8Yu6_rV4hTBrwMqAcAnv6DfhUxh5emyM3CJp_w/edit?usp=sharing"",""เพชรบุรี!J653"")"),2)</f>
        <v>2</v>
      </c>
      <c r="M65" s="216">
        <f t="shared" ca="1" si="35"/>
        <v>0</v>
      </c>
      <c r="N65" s="152">
        <f ca="1">IFERROR(__xludf.DUMMYFUNCTION("IMPORTRANGE(""https://docs.google.com/spreadsheets/d/1YXvxf8Yu6_rV4hTBrwMqAcAnv6DfhUxh5emyM3CJp_w/edit?usp=sharing"",""เพชรบุรี!I654"")"),350)</f>
        <v>350</v>
      </c>
      <c r="O65" s="152">
        <f ca="1">IFERROR(__xludf.DUMMYFUNCTION("IMPORTRANGE(""https://docs.google.com/spreadsheets/d/1YXvxf8Yu6_rV4hTBrwMqAcAnv6DfhUxh5emyM3CJp_w/edit?usp=sharing"",""เพชรบุรี!J654"")"),698)</f>
        <v>698</v>
      </c>
      <c r="P65" s="216">
        <f t="shared" ca="1" si="37"/>
        <v>199.42857142857142</v>
      </c>
      <c r="Q65" s="216">
        <f ca="1">IFERROR(__xludf.DUMMYFUNCTION("IMPORTRANGE(""https://docs.google.com/spreadsheets/d/1YXvxf8Yu6_rV4hTBrwMqAcAnv6DfhUxh5emyM3CJp_w/edit?usp=sharing"",""เพชรบุรี!J655"")"),0)</f>
        <v>0</v>
      </c>
      <c r="R65" s="216">
        <f ca="1">IFERROR(__xludf.DUMMYFUNCTION("IMPORTRANGE(""https://docs.google.com/spreadsheets/d/1YXvxf8Yu6_rV4hTBrwMqAcAnv6DfhUxh5emyM3CJp_w/edit?usp=sharing"",""เพชรบุรี!J656"")"),0)</f>
        <v>0</v>
      </c>
      <c r="S65" s="216">
        <f ca="1">IFERROR(__xludf.DUMMYFUNCTION("IMPORTRANGE(""https://docs.google.com/spreadsheets/d/1YXvxf8Yu6_rV4hTBrwMqAcAnv6DfhUxh5emyM3CJp_w/edit?usp=sharing"",""เพชรบุรี!J657"")"),0)</f>
        <v>0</v>
      </c>
      <c r="T65" s="216">
        <f ca="1">IFERROR(__xludf.DUMMYFUNCTION("IMPORTRANGE(""https://docs.google.com/spreadsheets/d/1YXvxf8Yu6_rV4hTBrwMqAcAnv6DfhUxh5emyM3CJp_w/edit?usp=sharing"",""เพชรบุรี!J658"")"),51)</f>
        <v>51</v>
      </c>
      <c r="U65" s="216">
        <f ca="1">IFERROR(__xludf.DUMMYFUNCTION("IMPORTRANGE(""https://docs.google.com/spreadsheets/d/1YXvxf8Yu6_rV4hTBrwMqAcAnv6DfhUxh5emyM3CJp_w/edit?usp=sharing"",""เพชรบุรี!J659"")"),77)</f>
        <v>77</v>
      </c>
      <c r="V65" s="216">
        <f ca="1">IFERROR(__xludf.DUMMYFUNCTION("IMPORTRANGE(""https://docs.google.com/spreadsheets/d/1YXvxf8Yu6_rV4hTBrwMqAcAnv6DfhUxh5emyM3CJp_w/edit?usp=sharing"",""เพชรบุรี!J660"")"),698)</f>
        <v>698</v>
      </c>
      <c r="W65" s="152">
        <f ca="1">IFERROR(__xludf.DUMMYFUNCTION("IMPORTRANGE(""https://docs.google.com/spreadsheets/d/1YXvxf8Yu6_rV4hTBrwMqAcAnv6DfhUxh5emyM3CJp_w/edit?usp=sharing"",""เพชรบุรี!I661"")"),0)</f>
        <v>0</v>
      </c>
      <c r="X65" s="152">
        <f ca="1">IFERROR(__xludf.DUMMYFUNCTION("IMPORTRANGE(""https://docs.google.com/spreadsheets/d/1YXvxf8Yu6_rV4hTBrwMqAcAnv6DfhUxh5emyM3CJp_w/edit?usp=sharing"",""เพชรบุรี!J661"")"),0)</f>
        <v>0</v>
      </c>
      <c r="Y65" s="216">
        <f t="shared" ca="1" si="39"/>
        <v>0</v>
      </c>
      <c r="Z65" s="152">
        <f ca="1">IFERROR(__xludf.DUMMYFUNCTION("IMPORTRANGE(""https://docs.google.com/spreadsheets/d/1YXvxf8Yu6_rV4hTBrwMqAcAnv6DfhUxh5emyM3CJp_w/edit?usp=sharing"",""เพชรบุรี!J662"")"),0)</f>
        <v>0</v>
      </c>
      <c r="AA65" s="152">
        <f ca="1">IFERROR(__xludf.DUMMYFUNCTION("IMPORTRANGE(""https://docs.google.com/spreadsheets/d/1YXvxf8Yu6_rV4hTBrwMqAcAnv6DfhUxh5emyM3CJp_w/edit?usp=sharing"",""เพชรบุรี!J663"")"),0)</f>
        <v>0</v>
      </c>
      <c r="AB65" s="152">
        <f ca="1">IFERROR(__xludf.DUMMYFUNCTION("IMPORTRANGE(""https://docs.google.com/spreadsheets/d/1YXvxf8Yu6_rV4hTBrwMqAcAnv6DfhUxh5emyM3CJp_w/edit?usp=sharing"",""เพชรบุรี!J665"")"),0)</f>
        <v>0</v>
      </c>
      <c r="AC65" s="152">
        <f ca="1">IFERROR(__xludf.DUMMYFUNCTION("IMPORTRANGE(""https://docs.google.com/spreadsheets/d/1YXvxf8Yu6_rV4hTBrwMqAcAnv6DfhUxh5emyM3CJp_w/edit?usp=sharing"",""เพชรบุรี!J666"")"),0)</f>
        <v>0</v>
      </c>
      <c r="AD65" s="152">
        <f ca="1">IFERROR(__xludf.DUMMYFUNCTION("IMPORTRANGE(""https://docs.google.com/spreadsheets/d/1YXvxf8Yu6_rV4hTBrwMqAcAnv6DfhUxh5emyM3CJp_w/edit?usp=sharing"",""เพชรบุรี!J667"")"),0)</f>
        <v>0</v>
      </c>
      <c r="AE65" s="152">
        <f ca="1">IFERROR(__xludf.DUMMYFUNCTION("IMPORTRANGE(""https://docs.google.com/spreadsheets/d/1YXvxf8Yu6_rV4hTBrwMqAcAnv6DfhUxh5emyM3CJp_w/edit?usp=sharing"",""เพชรบุรี!J668"")"),0)</f>
        <v>0</v>
      </c>
      <c r="AF65" s="152">
        <f ca="1">IFERROR(__xludf.DUMMYFUNCTION("IMPORTRANGE(""https://docs.google.com/spreadsheets/d/1YXvxf8Yu6_rV4hTBrwMqAcAnv6DfhUxh5emyM3CJp_w/edit?usp=sharing"",""เพชรบุรี!J669"")"),0)</f>
        <v>0</v>
      </c>
      <c r="AG65" s="152">
        <f ca="1">IFERROR(__xludf.DUMMYFUNCTION("IMPORTRANGE(""https://docs.google.com/spreadsheets/d/1YXvxf8Yu6_rV4hTBrwMqAcAnv6DfhUxh5emyM3CJp_w/edit?usp=sharing"",""เพชรบุรี!J670"")"),0)</f>
        <v>0</v>
      </c>
      <c r="AH65" s="152">
        <f ca="1">IFERROR(__xludf.DUMMYFUNCTION("IMPORTRANGE(""https://docs.google.com/spreadsheets/d/1YXvxf8Yu6_rV4hTBrwMqAcAnv6DfhUxh5emyM3CJp_w/edit?usp=sharing"",""เพชรบุรี!I673"")"),0)</f>
        <v>0</v>
      </c>
      <c r="AI65" s="152">
        <f ca="1">IFERROR(__xludf.DUMMYFUNCTION("IMPORTRANGE(""https://docs.google.com/spreadsheets/d/1YXvxf8Yu6_rV4hTBrwMqAcAnv6DfhUxh5emyM3CJp_w/edit?usp=sharing"",""เพชรบุรี!J671"")"),0)</f>
        <v>0</v>
      </c>
      <c r="AJ65" s="152">
        <f ca="1">IFERROR(__xludf.DUMMYFUNCTION("IMPORTRANGE(""https://docs.google.com/spreadsheets/d/1YXvxf8Yu6_rV4hTBrwMqAcAnv6DfhUxh5emyM3CJp_w/edit?usp=sharing"",""เพชรบุรี!J672"")"),0)</f>
        <v>0</v>
      </c>
      <c r="AK65" s="152">
        <f ca="1">IFERROR(__xludf.DUMMYFUNCTION("IMPORTRANGE(""https://docs.google.com/spreadsheets/d/1YXvxf8Yu6_rV4hTBrwMqAcAnv6DfhUxh5emyM3CJp_w/edit?usp=sharing"",""เพชรบุรี!J673"")"),0)</f>
        <v>0</v>
      </c>
      <c r="AL65" s="216">
        <f t="shared" ca="1" si="41"/>
        <v>0</v>
      </c>
      <c r="AM65" s="152">
        <f ca="1">IFERROR(__xludf.DUMMYFUNCTION("IMPORTRANGE(""https://docs.google.com/spreadsheets/d/1YXvxf8Yu6_rV4hTBrwMqAcAnv6DfhUxh5emyM3CJp_w/edit?usp=sharing"",""เพชรบุรี!I674"")"),5)</f>
        <v>5</v>
      </c>
      <c r="AN65" s="152">
        <f ca="1">IFERROR(__xludf.DUMMYFUNCTION("IMPORTRANGE(""https://docs.google.com/spreadsheets/d/1YXvxf8Yu6_rV4hTBrwMqAcAnv6DfhUxh5emyM3CJp_w/edit?usp=sharing"",""เพชรบุรี!I675"")"),140)</f>
        <v>140</v>
      </c>
      <c r="AO65" s="152">
        <f ca="1">IFERROR(__xludf.DUMMYFUNCTION("IMPORTRANGE(""https://docs.google.com/spreadsheets/d/1YXvxf8Yu6_rV4hTBrwMqAcAnv6DfhUxh5emyM3CJp_w/edit?usp=sharing"",""เพชรบุรี!J674"")"),0)</f>
        <v>0</v>
      </c>
      <c r="AP65" s="216">
        <f t="shared" ca="1" si="43"/>
        <v>0</v>
      </c>
      <c r="AQ65" s="152">
        <f ca="1">IFERROR(__xludf.DUMMYFUNCTION("IMPORTRANGE(""https://docs.google.com/spreadsheets/d/1YXvxf8Yu6_rV4hTBrwMqAcAnv6DfhUxh5emyM3CJp_w/edit?usp=sharing"",""เพชรบุรี!J675"")"),0)</f>
        <v>0</v>
      </c>
      <c r="AR65" s="216">
        <f t="shared" ca="1" si="44"/>
        <v>0</v>
      </c>
      <c r="AS65" s="152">
        <f ca="1">IFERROR(__xludf.DUMMYFUNCTION("IMPORTRANGE(""https://docs.google.com/spreadsheets/d/1YXvxf8Yu6_rV4hTBrwMqAcAnv6DfhUxh5emyM3CJp_w/edit?usp=sharing"",""เพชรบุรี!I676"")"),5)</f>
        <v>5</v>
      </c>
      <c r="AT65" s="152">
        <f ca="1">IFERROR(__xludf.DUMMYFUNCTION("IMPORTRANGE(""https://docs.google.com/spreadsheets/d/1YXvxf8Yu6_rV4hTBrwMqAcAnv6DfhUxh5emyM3CJp_w/edit?usp=sharing"",""เพชรบุรี!I678"")"),140)</f>
        <v>140</v>
      </c>
      <c r="AU65" s="152">
        <f ca="1">IFERROR(__xludf.DUMMYFUNCTION("IMPORTRANGE(""https://docs.google.com/spreadsheets/d/1YXvxf8Yu6_rV4hTBrwMqAcAnv6DfhUxh5emyM3CJp_w/edit?usp=sharing"",""เพชรบุรี!J676"")"),0)</f>
        <v>0</v>
      </c>
      <c r="AV65" s="152">
        <f ca="1">IFERROR(__xludf.DUMMYFUNCTION("IMPORTRANGE(""https://docs.google.com/spreadsheets/d/1YXvxf8Yu6_rV4hTBrwMqAcAnv6DfhUxh5emyM3CJp_w/edit?usp=sharing"",""เพชรบุรี!J677"")"),0)</f>
        <v>0</v>
      </c>
      <c r="AW65" s="152">
        <f ca="1">IFERROR(__xludf.DUMMYFUNCTION("IMPORTRANGE(""https://docs.google.com/spreadsheets/d/1YXvxf8Yu6_rV4hTBrwMqAcAnv6DfhUxh5emyM3CJp_w/edit?usp=sharing"",""เพชรบุรี!J678"")"),0)</f>
        <v>0</v>
      </c>
      <c r="AX65" s="152">
        <f ca="1">IFERROR(__xludf.DUMMYFUNCTION("IMPORTRANGE(""https://docs.google.com/spreadsheets/d/1YXvxf8Yu6_rV4hTBrwMqAcAnv6DfhUxh5emyM3CJp_w/edit?usp=sharing"",""เพชรบุรี!I679"")"),0)</f>
        <v>0</v>
      </c>
      <c r="AY65" s="152">
        <f ca="1">IFERROR(__xludf.DUMMYFUNCTION("IMPORTRANGE(""https://docs.google.com/spreadsheets/d/1YXvxf8Yu6_rV4hTBrwMqAcAnv6DfhUxh5emyM3CJp_w/edit?usp=sharing"",""เพชรบุรี!I681"")"),0)</f>
        <v>0</v>
      </c>
      <c r="AZ65" s="152">
        <f ca="1">IFERROR(__xludf.DUMMYFUNCTION("IMPORTRANGE(""https://docs.google.com/spreadsheets/d/1YXvxf8Yu6_rV4hTBrwMqAcAnv6DfhUxh5emyM3CJp_w/edit?usp=sharing"",""เพชรบุรี!J679"")"),0)</f>
        <v>0</v>
      </c>
      <c r="BA65" s="152">
        <f ca="1">IFERROR(__xludf.DUMMYFUNCTION("IMPORTRANGE(""https://docs.google.com/spreadsheets/d/1YXvxf8Yu6_rV4hTBrwMqAcAnv6DfhUxh5emyM3CJp_w/edit?usp=sharing"",""เพชรบุรี!J680"")"),0)</f>
        <v>0</v>
      </c>
      <c r="BB65" s="152">
        <f ca="1">IFERROR(__xludf.DUMMYFUNCTION("IMPORTRANGE(""https://docs.google.com/spreadsheets/d/1YXvxf8Yu6_rV4hTBrwMqAcAnv6DfhUxh5emyM3CJp_w/edit?usp=sharing"",""เพชรบุรี!J681"")"),0)</f>
        <v>0</v>
      </c>
      <c r="BC65" s="152">
        <f ca="1">IFERROR(__xludf.DUMMYFUNCTION("IMPORTRANGE(""https://docs.google.com/spreadsheets/d/1YXvxf8Yu6_rV4hTBrwMqAcAnv6DfhUxh5emyM3CJp_w/edit?usp=sharing"",""เพชรบุรี!I682"")"),0)</f>
        <v>0</v>
      </c>
      <c r="BD65" s="152">
        <f ca="1">IFERROR(__xludf.DUMMYFUNCTION("IMPORTRANGE(""https://docs.google.com/spreadsheets/d/1YXvxf8Yu6_rV4hTBrwMqAcAnv6DfhUxh5emyM3CJp_w/edit?usp=sharing"",""เพชรบุรี!J682"")"),0)</f>
        <v>0</v>
      </c>
      <c r="BE65" s="216">
        <f t="shared" ca="1" si="46"/>
        <v>0</v>
      </c>
      <c r="BF65" s="152">
        <f ca="1">IFERROR(__xludf.DUMMYFUNCTION("IMPORTRANGE(""https://docs.google.com/spreadsheets/d/1YXvxf8Yu6_rV4hTBrwMqAcAnv6DfhUxh5emyM3CJp_w/edit?usp=sharing"",""เพชรบุรี!J683"")"),0)</f>
        <v>0</v>
      </c>
      <c r="BG65" s="152">
        <f ca="1">IFERROR(__xludf.DUMMYFUNCTION("IMPORTRANGE(""https://docs.google.com/spreadsheets/d/1YXvxf8Yu6_rV4hTBrwMqAcAnv6DfhUxh5emyM3CJp_w/edit?usp=sharing"",""เพชรบุรี!J684"")"),0)</f>
        <v>0</v>
      </c>
      <c r="BH65" s="152">
        <f ca="1">IFERROR(__xludf.DUMMYFUNCTION("IMPORTRANGE(""https://docs.google.com/spreadsheets/d/1YXvxf8Yu6_rV4hTBrwMqAcAnv6DfhUxh5emyM3CJp_w/edit?usp=sharing"",""เพชรบุรี!J685"")"),0)</f>
        <v>0</v>
      </c>
      <c r="BI65" s="152">
        <f ca="1">IFERROR(__xludf.DUMMYFUNCTION("IMPORTRANGE(""https://docs.google.com/spreadsheets/d/1YXvxf8Yu6_rV4hTBrwMqAcAnv6DfhUxh5emyM3CJp_w/edit?usp=sharing"",""เพชรบุรี!J686"")"),0)</f>
        <v>0</v>
      </c>
      <c r="BJ65" s="152">
        <f ca="1">IFERROR(__xludf.DUMMYFUNCTION("IMPORTRANGE(""https://docs.google.com/spreadsheets/d/1YXvxf8Yu6_rV4hTBrwMqAcAnv6DfhUxh5emyM3CJp_w/edit?usp=sharing"",""เพชรบุรี!J687"")"),0)</f>
        <v>0</v>
      </c>
      <c r="BK65" s="152">
        <f ca="1">IFERROR(__xludf.DUMMYFUNCTION("IMPORTRANGE(""https://docs.google.com/spreadsheets/d/1YXvxf8Yu6_rV4hTBrwMqAcAnv6DfhUxh5emyM3CJp_w/edit?usp=sharing"",""เพชรบุรี!J688"")"),0)</f>
        <v>0</v>
      </c>
    </row>
    <row r="66" spans="1:63" ht="19.5" x14ac:dyDescent="0.3">
      <c r="A66" s="70">
        <v>14</v>
      </c>
      <c r="B66" s="71" t="s">
        <v>94</v>
      </c>
      <c r="C66" s="68">
        <f ca="1">IFERROR(__xludf.DUMMYFUNCTION("IMPORTRANGE(""https://docs.google.com/spreadsheets/d/19KBlQQs7uwvsao6t2n-KvW3Ax8J8uRRfZPq1zPbXgKc/edit?usp=sharing"",""ระยอง!Q642"")"),0)</f>
        <v>0</v>
      </c>
      <c r="D66" s="68">
        <f ca="1">IFERROR(__xludf.DUMMYFUNCTION("IMPORTRANGE(""https://docs.google.com/spreadsheets/d/19KBlQQs7uwvsao6t2n-KvW3Ax8J8uRRfZPq1zPbXgKc/edit?usp=sharing"",""ระยอง!R642"")"),0)</f>
        <v>0</v>
      </c>
      <c r="E66" s="68">
        <f ca="1">IFERROR(__xludf.DUMMYFUNCTION("IMPORTRANGE(""https://docs.google.com/spreadsheets/d/19KBlQQs7uwvsao6t2n-KvW3Ax8J8uRRfZPq1zPbXgKc/edit?usp=sharing"",""ระยอง!S642"")"),0)</f>
        <v>0</v>
      </c>
      <c r="F66" s="68">
        <f t="shared" ca="1" si="30"/>
        <v>0</v>
      </c>
      <c r="G66" s="68">
        <f t="shared" ca="1" si="31"/>
        <v>0</v>
      </c>
      <c r="H66" s="278">
        <f ca="1">IFERROR(__xludf.DUMMYFUNCTION("IMPORTRANGE(""https://docs.google.com/spreadsheets/d/19KBlQQs7uwvsao6t2n-KvW3Ax8J8uRRfZPq1zPbXgKc/edit?usp=sharing"",""ระยอง!I652"")"),0)</f>
        <v>0</v>
      </c>
      <c r="I66" s="152">
        <f ca="1">IFERROR(__xludf.DUMMYFUNCTION("IMPORTRANGE(""https://docs.google.com/spreadsheets/d/19KBlQQs7uwvsao6t2n-KvW3Ax8J8uRRfZPq1zPbXgKc/edit?usp=sharing"",""ระยอง!J652"")"),0)</f>
        <v>0</v>
      </c>
      <c r="J66" s="216">
        <f t="shared" ca="1" si="33"/>
        <v>0</v>
      </c>
      <c r="K66" s="152">
        <f ca="1">IFERROR(__xludf.DUMMYFUNCTION("IMPORTRANGE(""https://docs.google.com/spreadsheets/d/19KBlQQs7uwvsao6t2n-KvW3Ax8J8uRRfZPq1zPbXgKc/edit?usp=sharing"",""ระยอง!I653"")"),0)</f>
        <v>0</v>
      </c>
      <c r="L66" s="152">
        <f ca="1">IFERROR(__xludf.DUMMYFUNCTION("IMPORTRANGE(""https://docs.google.com/spreadsheets/d/19KBlQQs7uwvsao6t2n-KvW3Ax8J8uRRfZPq1zPbXgKc/edit?usp=sharing"",""ระยอง!J653"")"),0)</f>
        <v>0</v>
      </c>
      <c r="M66" s="216">
        <f t="shared" ca="1" si="35"/>
        <v>0</v>
      </c>
      <c r="N66" s="152">
        <f ca="1">IFERROR(__xludf.DUMMYFUNCTION("IMPORTRANGE(""https://docs.google.com/spreadsheets/d/19KBlQQs7uwvsao6t2n-KvW3Ax8J8uRRfZPq1zPbXgKc/edit?usp=sharing"",""ระยอง!I654"")"),0)</f>
        <v>0</v>
      </c>
      <c r="O66" s="152">
        <f ca="1">IFERROR(__xludf.DUMMYFUNCTION("IMPORTRANGE(""https://docs.google.com/spreadsheets/d/19KBlQQs7uwvsao6t2n-KvW3Ax8J8uRRfZPq1zPbXgKc/edit?usp=sharing"",""ระยอง!J654"")"),0)</f>
        <v>0</v>
      </c>
      <c r="P66" s="216">
        <f t="shared" ca="1" si="37"/>
        <v>0</v>
      </c>
      <c r="Q66" s="216">
        <f ca="1">IFERROR(__xludf.DUMMYFUNCTION("IMPORTRANGE(""https://docs.google.com/spreadsheets/d/19KBlQQs7uwvsao6t2n-KvW3Ax8J8uRRfZPq1zPbXgKc/edit?usp=sharing"",""ระยอง!J655"")"),0)</f>
        <v>0</v>
      </c>
      <c r="R66" s="216">
        <f ca="1">IFERROR(__xludf.DUMMYFUNCTION("IMPORTRANGE(""https://docs.google.com/spreadsheets/d/19KBlQQs7uwvsao6t2n-KvW3Ax8J8uRRfZPq1zPbXgKc/edit?usp=sharing"",""ระยอง!J656"")"),0)</f>
        <v>0</v>
      </c>
      <c r="S66" s="216">
        <f ca="1">IFERROR(__xludf.DUMMYFUNCTION("IMPORTRANGE(""https://docs.google.com/spreadsheets/d/19KBlQQs7uwvsao6t2n-KvW3Ax8J8uRRfZPq1zPbXgKc/edit?usp=sharing"",""ระยอง!J657"")"),0)</f>
        <v>0</v>
      </c>
      <c r="T66" s="216">
        <f ca="1">IFERROR(__xludf.DUMMYFUNCTION("IMPORTRANGE(""https://docs.google.com/spreadsheets/d/19KBlQQs7uwvsao6t2n-KvW3Ax8J8uRRfZPq1zPbXgKc/edit?usp=sharing"",""ระยอง!J658"")"),0)</f>
        <v>0</v>
      </c>
      <c r="U66" s="216">
        <f ca="1">IFERROR(__xludf.DUMMYFUNCTION("IMPORTRANGE(""https://docs.google.com/spreadsheets/d/19KBlQQs7uwvsao6t2n-KvW3Ax8J8uRRfZPq1zPbXgKc/edit?usp=sharing"",""ระยอง!J659"")"),0)</f>
        <v>0</v>
      </c>
      <c r="V66" s="216">
        <f ca="1">IFERROR(__xludf.DUMMYFUNCTION("IMPORTRANGE(""https://docs.google.com/spreadsheets/d/19KBlQQs7uwvsao6t2n-KvW3Ax8J8uRRfZPq1zPbXgKc/edit?usp=sharing"",""ระยอง!J660"")"),0)</f>
        <v>0</v>
      </c>
      <c r="W66" s="152">
        <f ca="1">IFERROR(__xludf.DUMMYFUNCTION("IMPORTRANGE(""https://docs.google.com/spreadsheets/d/19KBlQQs7uwvsao6t2n-KvW3Ax8J8uRRfZPq1zPbXgKc/edit?usp=sharing"",""ระยอง!I661"")"),0)</f>
        <v>0</v>
      </c>
      <c r="X66" s="152">
        <f ca="1">IFERROR(__xludf.DUMMYFUNCTION("IMPORTRANGE(""https://docs.google.com/spreadsheets/d/19KBlQQs7uwvsao6t2n-KvW3Ax8J8uRRfZPq1zPbXgKc/edit?usp=sharing"",""ระยอง!J661"")"),0)</f>
        <v>0</v>
      </c>
      <c r="Y66" s="216">
        <f t="shared" ca="1" si="39"/>
        <v>0</v>
      </c>
      <c r="Z66" s="152">
        <f ca="1">IFERROR(__xludf.DUMMYFUNCTION("IMPORTRANGE(""https://docs.google.com/spreadsheets/d/19KBlQQs7uwvsao6t2n-KvW3Ax8J8uRRfZPq1zPbXgKc/edit?usp=sharing"",""ระยอง!J662"")"),0)</f>
        <v>0</v>
      </c>
      <c r="AA66" s="152">
        <f ca="1">IFERROR(__xludf.DUMMYFUNCTION("IMPORTRANGE(""https://docs.google.com/spreadsheets/d/19KBlQQs7uwvsao6t2n-KvW3Ax8J8uRRfZPq1zPbXgKc/edit?usp=sharing"",""ระยอง!J663"")"),0)</f>
        <v>0</v>
      </c>
      <c r="AB66" s="152">
        <f ca="1">IFERROR(__xludf.DUMMYFUNCTION("IMPORTRANGE(""https://docs.google.com/spreadsheets/d/19KBlQQs7uwvsao6t2n-KvW3Ax8J8uRRfZPq1zPbXgKc/edit?usp=sharing"",""ระยอง!J665"")"),0)</f>
        <v>0</v>
      </c>
      <c r="AC66" s="152">
        <f ca="1">IFERROR(__xludf.DUMMYFUNCTION("IMPORTRANGE(""https://docs.google.com/spreadsheets/d/19KBlQQs7uwvsao6t2n-KvW3Ax8J8uRRfZPq1zPbXgKc/edit?usp=sharing"",""ระยอง!J666"")"),0)</f>
        <v>0</v>
      </c>
      <c r="AD66" s="152">
        <f ca="1">IFERROR(__xludf.DUMMYFUNCTION("IMPORTRANGE(""https://docs.google.com/spreadsheets/d/19KBlQQs7uwvsao6t2n-KvW3Ax8J8uRRfZPq1zPbXgKc/edit?usp=sharing"",""ระยอง!J667"")"),0)</f>
        <v>0</v>
      </c>
      <c r="AE66" s="152">
        <f ca="1">IFERROR(__xludf.DUMMYFUNCTION("IMPORTRANGE(""https://docs.google.com/spreadsheets/d/19KBlQQs7uwvsao6t2n-KvW3Ax8J8uRRfZPq1zPbXgKc/edit?usp=sharing"",""ระยอง!J668"")"),0)</f>
        <v>0</v>
      </c>
      <c r="AF66" s="152">
        <f ca="1">IFERROR(__xludf.DUMMYFUNCTION("IMPORTRANGE(""https://docs.google.com/spreadsheets/d/19KBlQQs7uwvsao6t2n-KvW3Ax8J8uRRfZPq1zPbXgKc/edit?usp=sharing"",""ระยอง!J669"")"),0)</f>
        <v>0</v>
      </c>
      <c r="AG66" s="152">
        <f ca="1">IFERROR(__xludf.DUMMYFUNCTION("IMPORTRANGE(""https://docs.google.com/spreadsheets/d/19KBlQQs7uwvsao6t2n-KvW3Ax8J8uRRfZPq1zPbXgKc/edit?usp=sharing"",""ระยอง!J670"")"),0)</f>
        <v>0</v>
      </c>
      <c r="AH66" s="152">
        <f ca="1">IFERROR(__xludf.DUMMYFUNCTION("IMPORTRANGE(""https://docs.google.com/spreadsheets/d/19KBlQQs7uwvsao6t2n-KvW3Ax8J8uRRfZPq1zPbXgKc/edit?usp=sharing"",""ระยอง!I673"")"),0)</f>
        <v>0</v>
      </c>
      <c r="AI66" s="152">
        <f ca="1">IFERROR(__xludf.DUMMYFUNCTION("IMPORTRANGE(""https://docs.google.com/spreadsheets/d/19KBlQQs7uwvsao6t2n-KvW3Ax8J8uRRfZPq1zPbXgKc/edit?usp=sharing"",""ระยอง!J671"")"),0)</f>
        <v>0</v>
      </c>
      <c r="AJ66" s="152">
        <f ca="1">IFERROR(__xludf.DUMMYFUNCTION("IMPORTRANGE(""https://docs.google.com/spreadsheets/d/19KBlQQs7uwvsao6t2n-KvW3Ax8J8uRRfZPq1zPbXgKc/edit?usp=sharing"",""ระยอง!J672"")"),0)</f>
        <v>0</v>
      </c>
      <c r="AK66" s="152">
        <f ca="1">IFERROR(__xludf.DUMMYFUNCTION("IMPORTRANGE(""https://docs.google.com/spreadsheets/d/19KBlQQs7uwvsao6t2n-KvW3Ax8J8uRRfZPq1zPbXgKc/edit?usp=sharing"",""ระยอง!J673"")"),0)</f>
        <v>0</v>
      </c>
      <c r="AL66" s="216">
        <f t="shared" ca="1" si="41"/>
        <v>0</v>
      </c>
      <c r="AM66" s="152">
        <f ca="1">IFERROR(__xludf.DUMMYFUNCTION("IMPORTRANGE(""https://docs.google.com/spreadsheets/d/19KBlQQs7uwvsao6t2n-KvW3Ax8J8uRRfZPq1zPbXgKc/edit?usp=sharing"",""ระยอง!I674"")"),0)</f>
        <v>0</v>
      </c>
      <c r="AN66" s="152">
        <f ca="1">IFERROR(__xludf.DUMMYFUNCTION("IMPORTRANGE(""https://docs.google.com/spreadsheets/d/19KBlQQs7uwvsao6t2n-KvW3Ax8J8uRRfZPq1zPbXgKc/edit?usp=sharing"",""ระยอง!I675"")"),0)</f>
        <v>0</v>
      </c>
      <c r="AO66" s="152">
        <f ca="1">IFERROR(__xludf.DUMMYFUNCTION("IMPORTRANGE(""https://docs.google.com/spreadsheets/d/19KBlQQs7uwvsao6t2n-KvW3Ax8J8uRRfZPq1zPbXgKc/edit?usp=sharing"",""ระยอง!J674"")"),0)</f>
        <v>0</v>
      </c>
      <c r="AP66" s="216">
        <f t="shared" ca="1" si="43"/>
        <v>0</v>
      </c>
      <c r="AQ66" s="152">
        <f ca="1">IFERROR(__xludf.DUMMYFUNCTION("IMPORTRANGE(""https://docs.google.com/spreadsheets/d/19KBlQQs7uwvsao6t2n-KvW3Ax8J8uRRfZPq1zPbXgKc/edit?usp=sharing"",""ระยอง!J675"")"),0)</f>
        <v>0</v>
      </c>
      <c r="AR66" s="216">
        <f t="shared" ca="1" si="44"/>
        <v>0</v>
      </c>
      <c r="AS66" s="152">
        <f ca="1">IFERROR(__xludf.DUMMYFUNCTION("IMPORTRANGE(""https://docs.google.com/spreadsheets/d/19KBlQQs7uwvsao6t2n-KvW3Ax8J8uRRfZPq1zPbXgKc/edit?usp=sharing"",""ระยอง!I676"")"),0)</f>
        <v>0</v>
      </c>
      <c r="AT66" s="152">
        <f ca="1">IFERROR(__xludf.DUMMYFUNCTION("IMPORTRANGE(""https://docs.google.com/spreadsheets/d/19KBlQQs7uwvsao6t2n-KvW3Ax8J8uRRfZPq1zPbXgKc/edit?usp=sharing"",""ระยอง!I678"")"),0)</f>
        <v>0</v>
      </c>
      <c r="AU66" s="152">
        <f ca="1">IFERROR(__xludf.DUMMYFUNCTION("IMPORTRANGE(""https://docs.google.com/spreadsheets/d/19KBlQQs7uwvsao6t2n-KvW3Ax8J8uRRfZPq1zPbXgKc/edit?usp=sharing"",""ระยอง!J676"")"),0)</f>
        <v>0</v>
      </c>
      <c r="AV66" s="152">
        <f ca="1">IFERROR(__xludf.DUMMYFUNCTION("IMPORTRANGE(""https://docs.google.com/spreadsheets/d/19KBlQQs7uwvsao6t2n-KvW3Ax8J8uRRfZPq1zPbXgKc/edit?usp=sharing"",""ระยอง!J677"")"),0)</f>
        <v>0</v>
      </c>
      <c r="AW66" s="152">
        <f ca="1">IFERROR(__xludf.DUMMYFUNCTION("IMPORTRANGE(""https://docs.google.com/spreadsheets/d/19KBlQQs7uwvsao6t2n-KvW3Ax8J8uRRfZPq1zPbXgKc/edit?usp=sharing"",""ระยอง!J678"")"),0)</f>
        <v>0</v>
      </c>
      <c r="AX66" s="152">
        <f ca="1">IFERROR(__xludf.DUMMYFUNCTION("IMPORTRANGE(""https://docs.google.com/spreadsheets/d/19KBlQQs7uwvsao6t2n-KvW3Ax8J8uRRfZPq1zPbXgKc/edit?usp=sharing"",""ระยอง!I679"")"),0)</f>
        <v>0</v>
      </c>
      <c r="AY66" s="152">
        <f ca="1">IFERROR(__xludf.DUMMYFUNCTION("IMPORTRANGE(""https://docs.google.com/spreadsheets/d/19KBlQQs7uwvsao6t2n-KvW3Ax8J8uRRfZPq1zPbXgKc/edit?usp=sharing"",""ระยอง!I681"")"),0)</f>
        <v>0</v>
      </c>
      <c r="AZ66" s="152">
        <f ca="1">IFERROR(__xludf.DUMMYFUNCTION("IMPORTRANGE(""https://docs.google.com/spreadsheets/d/19KBlQQs7uwvsao6t2n-KvW3Ax8J8uRRfZPq1zPbXgKc/edit?usp=sharing"",""ระยอง!J679"")"),0)</f>
        <v>0</v>
      </c>
      <c r="BA66" s="152">
        <f ca="1">IFERROR(__xludf.DUMMYFUNCTION("IMPORTRANGE(""https://docs.google.com/spreadsheets/d/19KBlQQs7uwvsao6t2n-KvW3Ax8J8uRRfZPq1zPbXgKc/edit?usp=sharing"",""ระยอง!J680"")"),0)</f>
        <v>0</v>
      </c>
      <c r="BB66" s="152">
        <f ca="1">IFERROR(__xludf.DUMMYFUNCTION("IMPORTRANGE(""https://docs.google.com/spreadsheets/d/19KBlQQs7uwvsao6t2n-KvW3Ax8J8uRRfZPq1zPbXgKc/edit?usp=sharing"",""ระยอง!J681"")"),0)</f>
        <v>0</v>
      </c>
      <c r="BC66" s="152">
        <f ca="1">IFERROR(__xludf.DUMMYFUNCTION("IMPORTRANGE(""https://docs.google.com/spreadsheets/d/19KBlQQs7uwvsao6t2n-KvW3Ax8J8uRRfZPq1zPbXgKc/edit?usp=sharing"",""ระยอง!I682"")"),0)</f>
        <v>0</v>
      </c>
      <c r="BD66" s="152">
        <f ca="1">IFERROR(__xludf.DUMMYFUNCTION("IMPORTRANGE(""https://docs.google.com/spreadsheets/d/19KBlQQs7uwvsao6t2n-KvW3Ax8J8uRRfZPq1zPbXgKc/edit?usp=sharing"",""ระยอง!J682"")"),0)</f>
        <v>0</v>
      </c>
      <c r="BE66" s="216">
        <f t="shared" ca="1" si="46"/>
        <v>0</v>
      </c>
      <c r="BF66" s="152">
        <f ca="1">IFERROR(__xludf.DUMMYFUNCTION("IMPORTRANGE(""https://docs.google.com/spreadsheets/d/19KBlQQs7uwvsao6t2n-KvW3Ax8J8uRRfZPq1zPbXgKc/edit?usp=sharing"",""ระยอง!J683"")"),0)</f>
        <v>0</v>
      </c>
      <c r="BG66" s="152">
        <f ca="1">IFERROR(__xludf.DUMMYFUNCTION("IMPORTRANGE(""https://docs.google.com/spreadsheets/d/19KBlQQs7uwvsao6t2n-KvW3Ax8J8uRRfZPq1zPbXgKc/edit?usp=sharing"",""ระยอง!J684"")"),0)</f>
        <v>0</v>
      </c>
      <c r="BH66" s="152">
        <f ca="1">IFERROR(__xludf.DUMMYFUNCTION("IMPORTRANGE(""https://docs.google.com/spreadsheets/d/19KBlQQs7uwvsao6t2n-KvW3Ax8J8uRRfZPq1zPbXgKc/edit?usp=sharing"",""ระยอง!J685"")"),0)</f>
        <v>0</v>
      </c>
      <c r="BI66" s="152">
        <f ca="1">IFERROR(__xludf.DUMMYFUNCTION("IMPORTRANGE(""https://docs.google.com/spreadsheets/d/19KBlQQs7uwvsao6t2n-KvW3Ax8J8uRRfZPq1zPbXgKc/edit?usp=sharing"",""ระยอง!J686"")"),0)</f>
        <v>0</v>
      </c>
      <c r="BJ66" s="152">
        <f ca="1">IFERROR(__xludf.DUMMYFUNCTION("IMPORTRANGE(""https://docs.google.com/spreadsheets/d/19KBlQQs7uwvsao6t2n-KvW3Ax8J8uRRfZPq1zPbXgKc/edit?usp=sharing"",""ระยอง!J687"")"),0)</f>
        <v>0</v>
      </c>
      <c r="BK66" s="152">
        <f ca="1">IFERROR(__xludf.DUMMYFUNCTION("IMPORTRANGE(""https://docs.google.com/spreadsheets/d/19KBlQQs7uwvsao6t2n-KvW3Ax8J8uRRfZPq1zPbXgKc/edit?usp=sharing"",""ระยอง!J688"")"),0)</f>
        <v>0</v>
      </c>
    </row>
    <row r="67" spans="1:63" ht="19.5" x14ac:dyDescent="0.3">
      <c r="A67" s="70">
        <v>15</v>
      </c>
      <c r="B67" s="71" t="s">
        <v>95</v>
      </c>
      <c r="C67" s="68">
        <f ca="1">IFERROR(__xludf.DUMMYFUNCTION("IMPORTRANGE(""https://docs.google.com/spreadsheets/d/1jQ6P4QcrGM89YfqcC_PxOHGCMq5ezhucwJd8ci-NHng/edit?usp=sharing"",""ราชบุรี!Q642"")"),6900)</f>
        <v>6900</v>
      </c>
      <c r="D67" s="68">
        <f ca="1">IFERROR(__xludf.DUMMYFUNCTION("IMPORTRANGE(""https://docs.google.com/spreadsheets/d/1jQ6P4QcrGM89YfqcC_PxOHGCMq5ezhucwJd8ci-NHng/edit?usp=sharing"",""ราชบุรี!R642"")"),6900)</f>
        <v>6900</v>
      </c>
      <c r="E67" s="68">
        <f ca="1">IFERROR(__xludf.DUMMYFUNCTION("IMPORTRANGE(""https://docs.google.com/spreadsheets/d/1jQ6P4QcrGM89YfqcC_PxOHGCMq5ezhucwJd8ci-NHng/edit?usp=sharing"",""ราชบุรี!S642"")"),0)</f>
        <v>0</v>
      </c>
      <c r="F67" s="68">
        <f t="shared" ca="1" si="30"/>
        <v>0</v>
      </c>
      <c r="G67" s="68">
        <f t="shared" ca="1" si="31"/>
        <v>0</v>
      </c>
      <c r="H67" s="278">
        <f ca="1">IFERROR(__xludf.DUMMYFUNCTION("IMPORTRANGE(""https://docs.google.com/spreadsheets/d/1jQ6P4QcrGM89YfqcC_PxOHGCMq5ezhucwJd8ci-NHng/edit?usp=sharing"",""ราชบุรี!I652"")"),11)</f>
        <v>11</v>
      </c>
      <c r="I67" s="152">
        <f ca="1">IFERROR(__xludf.DUMMYFUNCTION("IMPORTRANGE(""https://docs.google.com/spreadsheets/d/1jQ6P4QcrGM89YfqcC_PxOHGCMq5ezhucwJd8ci-NHng/edit?usp=sharing"",""ราชบุรี!J652"")"),0)</f>
        <v>0</v>
      </c>
      <c r="J67" s="216">
        <f t="shared" ca="1" si="33"/>
        <v>0</v>
      </c>
      <c r="K67" s="152">
        <f ca="1">IFERROR(__xludf.DUMMYFUNCTION("IMPORTRANGE(""https://docs.google.com/spreadsheets/d/1jQ6P4QcrGM89YfqcC_PxOHGCMq5ezhucwJd8ci-NHng/edit?usp=sharing"",""ราชบุรี!I653"")"),0)</f>
        <v>0</v>
      </c>
      <c r="L67" s="152">
        <f ca="1">IFERROR(__xludf.DUMMYFUNCTION("IMPORTRANGE(""https://docs.google.com/spreadsheets/d/1jQ6P4QcrGM89YfqcC_PxOHGCMq5ezhucwJd8ci-NHng/edit?usp=sharing"",""ราชบุรี!J653"")"),0)</f>
        <v>0</v>
      </c>
      <c r="M67" s="216">
        <f t="shared" ca="1" si="35"/>
        <v>0</v>
      </c>
      <c r="N67" s="152">
        <f ca="1">IFERROR(__xludf.DUMMYFUNCTION("IMPORTRANGE(""https://docs.google.com/spreadsheets/d/1jQ6P4QcrGM89YfqcC_PxOHGCMq5ezhucwJd8ci-NHng/edit?usp=sharing"",""ราชบุรี!I654"")"),0)</f>
        <v>0</v>
      </c>
      <c r="O67" s="152">
        <f ca="1">IFERROR(__xludf.DUMMYFUNCTION("IMPORTRANGE(""https://docs.google.com/spreadsheets/d/1jQ6P4QcrGM89YfqcC_PxOHGCMq5ezhucwJd8ci-NHng/edit?usp=sharing"",""ราชบุรี!J654"")"),0)</f>
        <v>0</v>
      </c>
      <c r="P67" s="216">
        <f t="shared" ca="1" si="37"/>
        <v>0</v>
      </c>
      <c r="Q67" s="216">
        <f ca="1">IFERROR(__xludf.DUMMYFUNCTION("IMPORTRANGE(""https://docs.google.com/spreadsheets/d/1jQ6P4QcrGM89YfqcC_PxOHGCMq5ezhucwJd8ci-NHng/edit?usp=sharing"",""ราชบุรี!J655"")"),0)</f>
        <v>0</v>
      </c>
      <c r="R67" s="216">
        <f ca="1">IFERROR(__xludf.DUMMYFUNCTION("IMPORTRANGE(""https://docs.google.com/spreadsheets/d/1jQ6P4QcrGM89YfqcC_PxOHGCMq5ezhucwJd8ci-NHng/edit?usp=sharing"",""ราชบุรี!J656"")"),0)</f>
        <v>0</v>
      </c>
      <c r="S67" s="216">
        <f ca="1">IFERROR(__xludf.DUMMYFUNCTION("IMPORTRANGE(""https://docs.google.com/spreadsheets/d/1jQ6P4QcrGM89YfqcC_PxOHGCMq5ezhucwJd8ci-NHng/edit?usp=sharing"",""ราชบุรี!J657"")"),0)</f>
        <v>0</v>
      </c>
      <c r="T67" s="216">
        <f ca="1">IFERROR(__xludf.DUMMYFUNCTION("IMPORTRANGE(""https://docs.google.com/spreadsheets/d/1jQ6P4QcrGM89YfqcC_PxOHGCMq5ezhucwJd8ci-NHng/edit?usp=sharing"",""ราชบุรี!J658"")"),0)</f>
        <v>0</v>
      </c>
      <c r="U67" s="216">
        <f ca="1">IFERROR(__xludf.DUMMYFUNCTION("IMPORTRANGE(""https://docs.google.com/spreadsheets/d/1jQ6P4QcrGM89YfqcC_PxOHGCMq5ezhucwJd8ci-NHng/edit?usp=sharing"",""ราชบุรี!J659"")"),0)</f>
        <v>0</v>
      </c>
      <c r="V67" s="216">
        <f ca="1">IFERROR(__xludf.DUMMYFUNCTION("IMPORTRANGE(""https://docs.google.com/spreadsheets/d/1jQ6P4QcrGM89YfqcC_PxOHGCMq5ezhucwJd8ci-NHng/edit?usp=sharing"",""ราชบุรี!J660"")"),0)</f>
        <v>0</v>
      </c>
      <c r="W67" s="152">
        <f ca="1">IFERROR(__xludf.DUMMYFUNCTION("IMPORTRANGE(""https://docs.google.com/spreadsheets/d/1jQ6P4QcrGM89YfqcC_PxOHGCMq5ezhucwJd8ci-NHng/edit?usp=sharing"",""ราชบุรี!I661"")"),0)</f>
        <v>0</v>
      </c>
      <c r="X67" s="152">
        <f ca="1">IFERROR(__xludf.DUMMYFUNCTION("IMPORTRANGE(""https://docs.google.com/spreadsheets/d/1jQ6P4QcrGM89YfqcC_PxOHGCMq5ezhucwJd8ci-NHng/edit?usp=sharing"",""ราชบุรี!J661"")"),0)</f>
        <v>0</v>
      </c>
      <c r="Y67" s="216">
        <f t="shared" ca="1" si="39"/>
        <v>0</v>
      </c>
      <c r="Z67" s="152">
        <f ca="1">IFERROR(__xludf.DUMMYFUNCTION("IMPORTRANGE(""https://docs.google.com/spreadsheets/d/1jQ6P4QcrGM89YfqcC_PxOHGCMq5ezhucwJd8ci-NHng/edit?usp=sharing"",""ราชบุรี!J662"")"),0)</f>
        <v>0</v>
      </c>
      <c r="AA67" s="152">
        <f ca="1">IFERROR(__xludf.DUMMYFUNCTION("IMPORTRANGE(""https://docs.google.com/spreadsheets/d/1jQ6P4QcrGM89YfqcC_PxOHGCMq5ezhucwJd8ci-NHng/edit?usp=sharing"",""ราชบุรี!J663"")"),0)</f>
        <v>0</v>
      </c>
      <c r="AB67" s="152">
        <f ca="1">IFERROR(__xludf.DUMMYFUNCTION("IMPORTRANGE(""https://docs.google.com/spreadsheets/d/1jQ6P4QcrGM89YfqcC_PxOHGCMq5ezhucwJd8ci-NHng/edit?usp=sharing"",""ราชบุรี!J665"")"),0)</f>
        <v>0</v>
      </c>
      <c r="AC67" s="152">
        <f ca="1">IFERROR(__xludf.DUMMYFUNCTION("IMPORTRANGE(""https://docs.google.com/spreadsheets/d/1jQ6P4QcrGM89YfqcC_PxOHGCMq5ezhucwJd8ci-NHng/edit?usp=sharing"",""ราชบุรี!J666"")"),0)</f>
        <v>0</v>
      </c>
      <c r="AD67" s="152">
        <f ca="1">IFERROR(__xludf.DUMMYFUNCTION("IMPORTRANGE(""https://docs.google.com/spreadsheets/d/1jQ6P4QcrGM89YfqcC_PxOHGCMq5ezhucwJd8ci-NHng/edit?usp=sharing"",""ราชบุรี!J667"")"),0)</f>
        <v>0</v>
      </c>
      <c r="AE67" s="152">
        <f ca="1">IFERROR(__xludf.DUMMYFUNCTION("IMPORTRANGE(""https://docs.google.com/spreadsheets/d/1jQ6P4QcrGM89YfqcC_PxOHGCMq5ezhucwJd8ci-NHng/edit?usp=sharing"",""ราชบุรี!J668"")"),0)</f>
        <v>0</v>
      </c>
      <c r="AF67" s="152">
        <f ca="1">IFERROR(__xludf.DUMMYFUNCTION("IMPORTRANGE(""https://docs.google.com/spreadsheets/d/1jQ6P4QcrGM89YfqcC_PxOHGCMq5ezhucwJd8ci-NHng/edit?usp=sharing"",""ราชบุรี!J669"")"),0)</f>
        <v>0</v>
      </c>
      <c r="AG67" s="152">
        <f ca="1">IFERROR(__xludf.DUMMYFUNCTION("IMPORTRANGE(""https://docs.google.com/spreadsheets/d/1jQ6P4QcrGM89YfqcC_PxOHGCMq5ezhucwJd8ci-NHng/edit?usp=sharing"",""ราชบุรี!J670"")"),0)</f>
        <v>0</v>
      </c>
      <c r="AH67" s="152">
        <f ca="1">IFERROR(__xludf.DUMMYFUNCTION("IMPORTRANGE(""https://docs.google.com/spreadsheets/d/1jQ6P4QcrGM89YfqcC_PxOHGCMq5ezhucwJd8ci-NHng/edit?usp=sharing"",""ราชบุรี!I673"")"),80)</f>
        <v>80</v>
      </c>
      <c r="AI67" s="152">
        <f ca="1">IFERROR(__xludf.DUMMYFUNCTION("IMPORTRANGE(""https://docs.google.com/spreadsheets/d/1jQ6P4QcrGM89YfqcC_PxOHGCMq5ezhucwJd8ci-NHng/edit?usp=sharing"",""ราชบุรี!J671"")"),0)</f>
        <v>0</v>
      </c>
      <c r="AJ67" s="152">
        <f ca="1">IFERROR(__xludf.DUMMYFUNCTION("IMPORTRANGE(""https://docs.google.com/spreadsheets/d/1jQ6P4QcrGM89YfqcC_PxOHGCMq5ezhucwJd8ci-NHng/edit?usp=sharing"",""ราชบุรี!J672"")"),0)</f>
        <v>0</v>
      </c>
      <c r="AK67" s="152">
        <f ca="1">IFERROR(__xludf.DUMMYFUNCTION("IMPORTRANGE(""https://docs.google.com/spreadsheets/d/1jQ6P4QcrGM89YfqcC_PxOHGCMq5ezhucwJd8ci-NHng/edit?usp=sharing"",""ราชบุรี!J673"")"),0)</f>
        <v>0</v>
      </c>
      <c r="AL67" s="216">
        <f t="shared" ca="1" si="41"/>
        <v>0</v>
      </c>
      <c r="AM67" s="152">
        <f ca="1">IFERROR(__xludf.DUMMYFUNCTION("IMPORTRANGE(""https://docs.google.com/spreadsheets/d/1jQ6P4QcrGM89YfqcC_PxOHGCMq5ezhucwJd8ci-NHng/edit?usp=sharing"",""ราชบุรี!I674"")"),0)</f>
        <v>0</v>
      </c>
      <c r="AN67" s="152">
        <f ca="1">IFERROR(__xludf.DUMMYFUNCTION("IMPORTRANGE(""https://docs.google.com/spreadsheets/d/1jQ6P4QcrGM89YfqcC_PxOHGCMq5ezhucwJd8ci-NHng/edit?usp=sharing"",""ราชบุรี!I675"")"),0)</f>
        <v>0</v>
      </c>
      <c r="AO67" s="152">
        <f ca="1">IFERROR(__xludf.DUMMYFUNCTION("IMPORTRANGE(""https://docs.google.com/spreadsheets/d/1jQ6P4QcrGM89YfqcC_PxOHGCMq5ezhucwJd8ci-NHng/edit?usp=sharing"",""ราชบุรี!J674"")"),0)</f>
        <v>0</v>
      </c>
      <c r="AP67" s="216">
        <f t="shared" ca="1" si="43"/>
        <v>0</v>
      </c>
      <c r="AQ67" s="152">
        <f ca="1">IFERROR(__xludf.DUMMYFUNCTION("IMPORTRANGE(""https://docs.google.com/spreadsheets/d/1jQ6P4QcrGM89YfqcC_PxOHGCMq5ezhucwJd8ci-NHng/edit?usp=sharing"",""ราชบุรี!J675"")"),0)</f>
        <v>0</v>
      </c>
      <c r="AR67" s="216">
        <f t="shared" ca="1" si="44"/>
        <v>0</v>
      </c>
      <c r="AS67" s="152">
        <f ca="1">IFERROR(__xludf.DUMMYFUNCTION("IMPORTRANGE(""https://docs.google.com/spreadsheets/d/1jQ6P4QcrGM89YfqcC_PxOHGCMq5ezhucwJd8ci-NHng/edit?usp=sharing"",""ราชบุรี!I676"")"),0)</f>
        <v>0</v>
      </c>
      <c r="AT67" s="152">
        <f ca="1">IFERROR(__xludf.DUMMYFUNCTION("IMPORTRANGE(""https://docs.google.com/spreadsheets/d/1jQ6P4QcrGM89YfqcC_PxOHGCMq5ezhucwJd8ci-NHng/edit?usp=sharing"",""ราชบุรี!I678"")"),0)</f>
        <v>0</v>
      </c>
      <c r="AU67" s="152">
        <f ca="1">IFERROR(__xludf.DUMMYFUNCTION("IMPORTRANGE(""https://docs.google.com/spreadsheets/d/1jQ6P4QcrGM89YfqcC_PxOHGCMq5ezhucwJd8ci-NHng/edit?usp=sharing"",""ราชบุรี!J676"")"),0)</f>
        <v>0</v>
      </c>
      <c r="AV67" s="152">
        <f ca="1">IFERROR(__xludf.DUMMYFUNCTION("IMPORTRANGE(""https://docs.google.com/spreadsheets/d/1jQ6P4QcrGM89YfqcC_PxOHGCMq5ezhucwJd8ci-NHng/edit?usp=sharing"",""ราชบุรี!J677"")"),0)</f>
        <v>0</v>
      </c>
      <c r="AW67" s="152">
        <f ca="1">IFERROR(__xludf.DUMMYFUNCTION("IMPORTRANGE(""https://docs.google.com/spreadsheets/d/1jQ6P4QcrGM89YfqcC_PxOHGCMq5ezhucwJd8ci-NHng/edit?usp=sharing"",""ราชบุรี!J678"")"),0)</f>
        <v>0</v>
      </c>
      <c r="AX67" s="152">
        <f ca="1">IFERROR(__xludf.DUMMYFUNCTION("IMPORTRANGE(""https://docs.google.com/spreadsheets/d/1jQ6P4QcrGM89YfqcC_PxOHGCMq5ezhucwJd8ci-NHng/edit?usp=sharing"",""ราชบุรี!I679"")"),0)</f>
        <v>0</v>
      </c>
      <c r="AY67" s="152">
        <f ca="1">IFERROR(__xludf.DUMMYFUNCTION("IMPORTRANGE(""https://docs.google.com/spreadsheets/d/1jQ6P4QcrGM89YfqcC_PxOHGCMq5ezhucwJd8ci-NHng/edit?usp=sharing"",""ราชบุรี!I681"")"),0)</f>
        <v>0</v>
      </c>
      <c r="AZ67" s="152">
        <f ca="1">IFERROR(__xludf.DUMMYFUNCTION("IMPORTRANGE(""https://docs.google.com/spreadsheets/d/1jQ6P4QcrGM89YfqcC_PxOHGCMq5ezhucwJd8ci-NHng/edit?usp=sharing"",""ราชบุรี!J679"")"),0)</f>
        <v>0</v>
      </c>
      <c r="BA67" s="152">
        <f ca="1">IFERROR(__xludf.DUMMYFUNCTION("IMPORTRANGE(""https://docs.google.com/spreadsheets/d/1jQ6P4QcrGM89YfqcC_PxOHGCMq5ezhucwJd8ci-NHng/edit?usp=sharing"",""ราชบุรี!J680"")"),0)</f>
        <v>0</v>
      </c>
      <c r="BB67" s="152">
        <f ca="1">IFERROR(__xludf.DUMMYFUNCTION("IMPORTRANGE(""https://docs.google.com/spreadsheets/d/1jQ6P4QcrGM89YfqcC_PxOHGCMq5ezhucwJd8ci-NHng/edit?usp=sharing"",""ราชบุรี!J681"")"),0)</f>
        <v>0</v>
      </c>
      <c r="BC67" s="152">
        <f ca="1">IFERROR(__xludf.DUMMYFUNCTION("IMPORTRANGE(""https://docs.google.com/spreadsheets/d/1jQ6P4QcrGM89YfqcC_PxOHGCMq5ezhucwJd8ci-NHng/edit?usp=sharing"",""ราชบุรี!I682"")"),0)</f>
        <v>0</v>
      </c>
      <c r="BD67" s="152">
        <f ca="1">IFERROR(__xludf.DUMMYFUNCTION("IMPORTRANGE(""https://docs.google.com/spreadsheets/d/1jQ6P4QcrGM89YfqcC_PxOHGCMq5ezhucwJd8ci-NHng/edit?usp=sharing"",""ราชบุรี!J682"")"),0)</f>
        <v>0</v>
      </c>
      <c r="BE67" s="216">
        <f t="shared" ca="1" si="46"/>
        <v>0</v>
      </c>
      <c r="BF67" s="152">
        <f ca="1">IFERROR(__xludf.DUMMYFUNCTION("IMPORTRANGE(""https://docs.google.com/spreadsheets/d/1jQ6P4QcrGM89YfqcC_PxOHGCMq5ezhucwJd8ci-NHng/edit?usp=sharing"",""ราชบุรี!J683"")"),0)</f>
        <v>0</v>
      </c>
      <c r="BG67" s="152">
        <f ca="1">IFERROR(__xludf.DUMMYFUNCTION("IMPORTRANGE(""https://docs.google.com/spreadsheets/d/1jQ6P4QcrGM89YfqcC_PxOHGCMq5ezhucwJd8ci-NHng/edit?usp=sharing"",""ราชบุรี!J684"")"),0)</f>
        <v>0</v>
      </c>
      <c r="BH67" s="152">
        <f ca="1">IFERROR(__xludf.DUMMYFUNCTION("IMPORTRANGE(""https://docs.google.com/spreadsheets/d/1jQ6P4QcrGM89YfqcC_PxOHGCMq5ezhucwJd8ci-NHng/edit?usp=sharing"",""ราชบุรี!J685"")"),0)</f>
        <v>0</v>
      </c>
      <c r="BI67" s="152">
        <f ca="1">IFERROR(__xludf.DUMMYFUNCTION("IMPORTRANGE(""https://docs.google.com/spreadsheets/d/1jQ6P4QcrGM89YfqcC_PxOHGCMq5ezhucwJd8ci-NHng/edit?usp=sharing"",""ราชบุรี!J686"")"),0)</f>
        <v>0</v>
      </c>
      <c r="BJ67" s="152">
        <f ca="1">IFERROR(__xludf.DUMMYFUNCTION("IMPORTRANGE(""https://docs.google.com/spreadsheets/d/1jQ6P4QcrGM89YfqcC_PxOHGCMq5ezhucwJd8ci-NHng/edit?usp=sharing"",""ราชบุรี!J687"")"),0)</f>
        <v>0</v>
      </c>
      <c r="BK67" s="152">
        <f ca="1">IFERROR(__xludf.DUMMYFUNCTION("IMPORTRANGE(""https://docs.google.com/spreadsheets/d/1jQ6P4QcrGM89YfqcC_PxOHGCMq5ezhucwJd8ci-NHng/edit?usp=sharing"",""ราชบุรี!J688"")"),0)</f>
        <v>0</v>
      </c>
    </row>
    <row r="68" spans="1:63" ht="19.5" x14ac:dyDescent="0.3">
      <c r="A68" s="70">
        <v>16</v>
      </c>
      <c r="B68" s="71" t="s">
        <v>96</v>
      </c>
      <c r="C68" s="68">
        <f ca="1">IFERROR(__xludf.DUMMYFUNCTION("IMPORTRANGE(""https://docs.google.com/spreadsheets/d/1lufeA2cfFqM-elVq2hznhDzC6Pr7wkJ9ZG_sYNGCMCU/edit?usp=sharing"",""ลพบุรี!Q642"")"),36200)</f>
        <v>36200</v>
      </c>
      <c r="D68" s="68">
        <f ca="1">IFERROR(__xludf.DUMMYFUNCTION("IMPORTRANGE(""https://docs.google.com/spreadsheets/d/1lufeA2cfFqM-elVq2hznhDzC6Pr7wkJ9ZG_sYNGCMCU/edit?usp=sharing"",""ลพบุรี!R642"")"),36200)</f>
        <v>36200</v>
      </c>
      <c r="E68" s="68">
        <f ca="1">IFERROR(__xludf.DUMMYFUNCTION("IMPORTRANGE(""https://docs.google.com/spreadsheets/d/1lufeA2cfFqM-elVq2hznhDzC6Pr7wkJ9ZG_sYNGCMCU/edit?usp=sharing"",""ลพบุรี!S642"")"),24785)</f>
        <v>24785</v>
      </c>
      <c r="F68" s="68">
        <f t="shared" ca="1" si="30"/>
        <v>68.466850828729278</v>
      </c>
      <c r="G68" s="68">
        <f t="shared" ca="1" si="31"/>
        <v>68.466850828729278</v>
      </c>
      <c r="H68" s="278">
        <f ca="1">IFERROR(__xludf.DUMMYFUNCTION("IMPORTRANGE(""https://docs.google.com/spreadsheets/d/1lufeA2cfFqM-elVq2hznhDzC6Pr7wkJ9ZG_sYNGCMCU/edit?usp=sharing"",""ลพบุรี!I652"")"),0)</f>
        <v>0</v>
      </c>
      <c r="I68" s="397">
        <f ca="1">IFERROR(__xludf.DUMMYFUNCTION("IMPORTRANGE(""https://docs.google.com/spreadsheets/d/1lufeA2cfFqM-elVq2hznhDzC6Pr7wkJ9ZG_sYNGCMCU/edit?usp=sharing"",""ลพบุรี!J652"")"),0)</f>
        <v>0</v>
      </c>
      <c r="J68" s="216">
        <f t="shared" ca="1" si="33"/>
        <v>0</v>
      </c>
      <c r="K68" s="152">
        <f ca="1">IFERROR(__xludf.DUMMYFUNCTION("IMPORTRANGE(""https://docs.google.com/spreadsheets/d/1lufeA2cfFqM-elVq2hznhDzC6Pr7wkJ9ZG_sYNGCMCU/edit?usp=sharing"",""ลพบุรี!I653"")"),0)</f>
        <v>0</v>
      </c>
      <c r="L68" s="397">
        <f ca="1">IFERROR(__xludf.DUMMYFUNCTION("IMPORTRANGE(""https://docs.google.com/spreadsheets/d/1lufeA2cfFqM-elVq2hznhDzC6Pr7wkJ9ZG_sYNGCMCU/edit?usp=sharing"",""ลพบุรี!J653"")"),0)</f>
        <v>0</v>
      </c>
      <c r="M68" s="216">
        <f t="shared" ca="1" si="35"/>
        <v>0</v>
      </c>
      <c r="N68" s="152">
        <f ca="1">IFERROR(__xludf.DUMMYFUNCTION("IMPORTRANGE(""https://docs.google.com/spreadsheets/d/1lufeA2cfFqM-elVq2hznhDzC6Pr7wkJ9ZG_sYNGCMCU/edit?usp=sharing"",""ลพบุรี!I654"")"),50)</f>
        <v>50</v>
      </c>
      <c r="O68" s="152">
        <f ca="1">IFERROR(__xludf.DUMMYFUNCTION("IMPORTRANGE(""https://docs.google.com/spreadsheets/d/1lufeA2cfFqM-elVq2hznhDzC6Pr7wkJ9ZG_sYNGCMCU/edit?usp=sharing"",""ลพบุรี!J654"")"),276)</f>
        <v>276</v>
      </c>
      <c r="P68" s="216">
        <f t="shared" ca="1" si="37"/>
        <v>552</v>
      </c>
      <c r="Q68" s="216">
        <f ca="1">IFERROR(__xludf.DUMMYFUNCTION("IMPORTRANGE(""https://docs.google.com/spreadsheets/d/1lufeA2cfFqM-elVq2hznhDzC6Pr7wkJ9ZG_sYNGCMCU/edit?usp=sharing"",""ลพบุรี!J655"")"),13)</f>
        <v>13</v>
      </c>
      <c r="R68" s="216">
        <f ca="1">IFERROR(__xludf.DUMMYFUNCTION("IMPORTRANGE(""https://docs.google.com/spreadsheets/d/1lufeA2cfFqM-elVq2hznhDzC6Pr7wkJ9ZG_sYNGCMCU/edit?usp=sharing"",""ลพบุรี!J656"")"),14)</f>
        <v>14</v>
      </c>
      <c r="S68" s="216">
        <f ca="1">IFERROR(__xludf.DUMMYFUNCTION("IMPORTRANGE(""https://docs.google.com/spreadsheets/d/1lufeA2cfFqM-elVq2hznhDzC6Pr7wkJ9ZG_sYNGCMCU/edit?usp=sharing"",""ลพบุรี!J657"")"),276)</f>
        <v>276</v>
      </c>
      <c r="T68" s="216">
        <f ca="1">IFERROR(__xludf.DUMMYFUNCTION("IMPORTRANGE(""https://docs.google.com/spreadsheets/d/1lufeA2cfFqM-elVq2hznhDzC6Pr7wkJ9ZG_sYNGCMCU/edit?usp=sharing"",""ลพบุรี!J658"")"),0)</f>
        <v>0</v>
      </c>
      <c r="U68" s="216">
        <f ca="1">IFERROR(__xludf.DUMMYFUNCTION("IMPORTRANGE(""https://docs.google.com/spreadsheets/d/1lufeA2cfFqM-elVq2hznhDzC6Pr7wkJ9ZG_sYNGCMCU/edit?usp=sharing"",""ลพบุรี!J659"")"),0)</f>
        <v>0</v>
      </c>
      <c r="V68" s="216">
        <f ca="1">IFERROR(__xludf.DUMMYFUNCTION("IMPORTRANGE(""https://docs.google.com/spreadsheets/d/1lufeA2cfFqM-elVq2hznhDzC6Pr7wkJ9ZG_sYNGCMCU/edit?usp=sharing"",""ลพบุรี!J660"")"),0)</f>
        <v>0</v>
      </c>
      <c r="W68" s="152">
        <f ca="1">IFERROR(__xludf.DUMMYFUNCTION("IMPORTRANGE(""https://docs.google.com/spreadsheets/d/1lufeA2cfFqM-elVq2hznhDzC6Pr7wkJ9ZG_sYNGCMCU/edit?usp=sharing"",""ลพบุรี!I661"")"),100)</f>
        <v>100</v>
      </c>
      <c r="X68" s="152">
        <f ca="1">IFERROR(__xludf.DUMMYFUNCTION("IMPORTRANGE(""https://docs.google.com/spreadsheets/d/1lufeA2cfFqM-elVq2hznhDzC6Pr7wkJ9ZG_sYNGCMCU/edit?usp=sharing"",""ลพบุรี!J661"")"),103)</f>
        <v>103</v>
      </c>
      <c r="Y68" s="216">
        <f t="shared" ca="1" si="39"/>
        <v>103</v>
      </c>
      <c r="Z68" s="152">
        <f ca="1">IFERROR(__xludf.DUMMYFUNCTION("IMPORTRANGE(""https://docs.google.com/spreadsheets/d/1lufeA2cfFqM-elVq2hznhDzC6Pr7wkJ9ZG_sYNGCMCU/edit?usp=sharing"",""ลพบุรี!J662"")"),0)</f>
        <v>0</v>
      </c>
      <c r="AA68" s="152">
        <f ca="1">IFERROR(__xludf.DUMMYFUNCTION("IMPORTRANGE(""https://docs.google.com/spreadsheets/d/1lufeA2cfFqM-elVq2hznhDzC6Pr7wkJ9ZG_sYNGCMCU/edit?usp=sharing"",""ลพบุรี!J663"")"),0)</f>
        <v>0</v>
      </c>
      <c r="AB68" s="152">
        <f ca="1">IFERROR(__xludf.DUMMYFUNCTION("IMPORTRANGE(""https://docs.google.com/spreadsheets/d/1lufeA2cfFqM-elVq2hznhDzC6Pr7wkJ9ZG_sYNGCMCU/edit?usp=sharing"",""ลพบุรี!J665"")"),2)</f>
        <v>2</v>
      </c>
      <c r="AC68" s="152">
        <f ca="1">IFERROR(__xludf.DUMMYFUNCTION("IMPORTRANGE(""https://docs.google.com/spreadsheets/d/1lufeA2cfFqM-elVq2hznhDzC6Pr7wkJ9ZG_sYNGCMCU/edit?usp=sharing"",""ลพบุรี!J666"")"),2)</f>
        <v>2</v>
      </c>
      <c r="AD68" s="152">
        <f ca="1">IFERROR(__xludf.DUMMYFUNCTION("IMPORTRANGE(""https://docs.google.com/spreadsheets/d/1lufeA2cfFqM-elVq2hznhDzC6Pr7wkJ9ZG_sYNGCMCU/edit?usp=sharing"",""ลพบุรี!J667"")"),52)</f>
        <v>52</v>
      </c>
      <c r="AE68" s="152">
        <f ca="1">IFERROR(__xludf.DUMMYFUNCTION("IMPORTRANGE(""https://docs.google.com/spreadsheets/d/1lufeA2cfFqM-elVq2hznhDzC6Pr7wkJ9ZG_sYNGCMCU/edit?usp=sharing"",""ลพบุรี!J668"")"),7)</f>
        <v>7</v>
      </c>
      <c r="AF68" s="152">
        <f ca="1">IFERROR(__xludf.DUMMYFUNCTION("IMPORTRANGE(""https://docs.google.com/spreadsheets/d/1lufeA2cfFqM-elVq2hznhDzC6Pr7wkJ9ZG_sYNGCMCU/edit?usp=sharing"",""ลพบุรี!J669"")"),7)</f>
        <v>7</v>
      </c>
      <c r="AG68" s="152">
        <f ca="1">IFERROR(__xludf.DUMMYFUNCTION("IMPORTRANGE(""https://docs.google.com/spreadsheets/d/1lufeA2cfFqM-elVq2hznhDzC6Pr7wkJ9ZG_sYNGCMCU/edit?usp=sharing"",""ลพบุรี!J670"")"),51)</f>
        <v>51</v>
      </c>
      <c r="AH68" s="152">
        <f ca="1">IFERROR(__xludf.DUMMYFUNCTION("IMPORTRANGE(""https://docs.google.com/spreadsheets/d/1lufeA2cfFqM-elVq2hznhDzC6Pr7wkJ9ZG_sYNGCMCU/edit?usp=sharing"",""ลพบุรี!I673"")"),450)</f>
        <v>450</v>
      </c>
      <c r="AI68" s="397">
        <f ca="1">IFERROR(__xludf.DUMMYFUNCTION("IMPORTRANGE(""https://docs.google.com/spreadsheets/d/1lufeA2cfFqM-elVq2hznhDzC6Pr7wkJ9ZG_sYNGCMCU/edit?usp=sharing"",""ลพบุรี!J671"")"),38)</f>
        <v>38</v>
      </c>
      <c r="AJ68" s="397">
        <f ca="1">IFERROR(__xludf.DUMMYFUNCTION("IMPORTRANGE(""https://docs.google.com/spreadsheets/d/1lufeA2cfFqM-elVq2hznhDzC6Pr7wkJ9ZG_sYNGCMCU/edit?usp=sharing"",""ลพบุรี!J672"")"),43)</f>
        <v>43</v>
      </c>
      <c r="AK68" s="397">
        <f ca="1">IFERROR(__xludf.DUMMYFUNCTION("IMPORTRANGE(""https://docs.google.com/spreadsheets/d/1lufeA2cfFqM-elVq2hznhDzC6Pr7wkJ9ZG_sYNGCMCU/edit?usp=sharing"",""ลพบุรี!J673"")"),702.02)</f>
        <v>702.02</v>
      </c>
      <c r="AL68" s="216">
        <f t="shared" ca="1" si="41"/>
        <v>156.00444444444443</v>
      </c>
      <c r="AM68" s="152">
        <f ca="1">IFERROR(__xludf.DUMMYFUNCTION("IMPORTRANGE(""https://docs.google.com/spreadsheets/d/1lufeA2cfFqM-elVq2hznhDzC6Pr7wkJ9ZG_sYNGCMCU/edit?usp=sharing"",""ลพบุรี!I674"")"),10)</f>
        <v>10</v>
      </c>
      <c r="AN68" s="152">
        <f ca="1">IFERROR(__xludf.DUMMYFUNCTION("IMPORTRANGE(""https://docs.google.com/spreadsheets/d/1lufeA2cfFqM-elVq2hznhDzC6Pr7wkJ9ZG_sYNGCMCU/edit?usp=sharing"",""ลพบุรี!I675"")"),150)</f>
        <v>150</v>
      </c>
      <c r="AO68" s="397">
        <f ca="1">IFERROR(__xludf.DUMMYFUNCTION("IMPORTRANGE(""https://docs.google.com/spreadsheets/d/1lufeA2cfFqM-elVq2hznhDzC6Pr7wkJ9ZG_sYNGCMCU/edit?usp=sharing"",""ลพบุรี!J674"")"),17)</f>
        <v>17</v>
      </c>
      <c r="AP68" s="216">
        <f t="shared" ca="1" si="43"/>
        <v>170</v>
      </c>
      <c r="AQ68" s="397">
        <f ca="1">IFERROR(__xludf.DUMMYFUNCTION("IMPORTRANGE(""https://docs.google.com/spreadsheets/d/1lufeA2cfFqM-elVq2hznhDzC6Pr7wkJ9ZG_sYNGCMCU/edit?usp=sharing"",""ลพบุรี!J675"")"),195.07)</f>
        <v>195.07</v>
      </c>
      <c r="AR68" s="216">
        <f t="shared" ca="1" si="44"/>
        <v>130.04666666666665</v>
      </c>
      <c r="AS68" s="152">
        <f ca="1">IFERROR(__xludf.DUMMYFUNCTION("IMPORTRANGE(""https://docs.google.com/spreadsheets/d/1lufeA2cfFqM-elVq2hznhDzC6Pr7wkJ9ZG_sYNGCMCU/edit?usp=sharing"",""ลพบุรี!I676"")"),10)</f>
        <v>10</v>
      </c>
      <c r="AT68" s="152">
        <f ca="1">IFERROR(__xludf.DUMMYFUNCTION("IMPORTRANGE(""https://docs.google.com/spreadsheets/d/1lufeA2cfFqM-elVq2hznhDzC6Pr7wkJ9ZG_sYNGCMCU/edit?usp=sharing"",""ลพบุรี!I678"")"),150)</f>
        <v>150</v>
      </c>
      <c r="AU68" s="397">
        <f ca="1">IFERROR(__xludf.DUMMYFUNCTION("IMPORTRANGE(""https://docs.google.com/spreadsheets/d/1lufeA2cfFqM-elVq2hznhDzC6Pr7wkJ9ZG_sYNGCMCU/edit?usp=sharing"",""ลพบุรี!J676"")"),17)</f>
        <v>17</v>
      </c>
      <c r="AV68" s="397">
        <f ca="1">IFERROR(__xludf.DUMMYFUNCTION("IMPORTRANGE(""https://docs.google.com/spreadsheets/d/1lufeA2cfFqM-elVq2hznhDzC6Pr7wkJ9ZG_sYNGCMCU/edit?usp=sharing"",""ลพบุรี!J677"")"),17)</f>
        <v>17</v>
      </c>
      <c r="AW68" s="397">
        <f ca="1">IFERROR(__xludf.DUMMYFUNCTION("IMPORTRANGE(""https://docs.google.com/spreadsheets/d/1lufeA2cfFqM-elVq2hznhDzC6Pr7wkJ9ZG_sYNGCMCU/edit?usp=sharing"",""ลพบุรี!J678"")"),195.07)</f>
        <v>195.07</v>
      </c>
      <c r="AX68" s="152">
        <f ca="1">IFERROR(__xludf.DUMMYFUNCTION("IMPORTRANGE(""https://docs.google.com/spreadsheets/d/1lufeA2cfFqM-elVq2hznhDzC6Pr7wkJ9ZG_sYNGCMCU/edit?usp=sharing"",""ลพบุรี!I679"")"),0)</f>
        <v>0</v>
      </c>
      <c r="AY68" s="152">
        <f ca="1">IFERROR(__xludf.DUMMYFUNCTION("IMPORTRANGE(""https://docs.google.com/spreadsheets/d/1lufeA2cfFqM-elVq2hznhDzC6Pr7wkJ9ZG_sYNGCMCU/edit?usp=sharing"",""ลพบุรี!I681"")"),0)</f>
        <v>0</v>
      </c>
      <c r="AZ68" s="397">
        <f ca="1">IFERROR(__xludf.DUMMYFUNCTION("IMPORTRANGE(""https://docs.google.com/spreadsheets/d/1lufeA2cfFqM-elVq2hznhDzC6Pr7wkJ9ZG_sYNGCMCU/edit?usp=sharing"",""ลพบุรี!J679"")"),0)</f>
        <v>0</v>
      </c>
      <c r="BA68" s="397">
        <f ca="1">IFERROR(__xludf.DUMMYFUNCTION("IMPORTRANGE(""https://docs.google.com/spreadsheets/d/1lufeA2cfFqM-elVq2hznhDzC6Pr7wkJ9ZG_sYNGCMCU/edit?usp=sharing"",""ลพบุรี!J680"")"),0)</f>
        <v>0</v>
      </c>
      <c r="BB68" s="397">
        <f ca="1">IFERROR(__xludf.DUMMYFUNCTION("IMPORTRANGE(""https://docs.google.com/spreadsheets/d/1lufeA2cfFqM-elVq2hznhDzC6Pr7wkJ9ZG_sYNGCMCU/edit?usp=sharing"",""ลพบุรี!J681"")"),0)</f>
        <v>0</v>
      </c>
      <c r="BC68" s="152">
        <f ca="1">IFERROR(__xludf.DUMMYFUNCTION("IMPORTRANGE(""https://docs.google.com/spreadsheets/d/1lufeA2cfFqM-elVq2hznhDzC6Pr7wkJ9ZG_sYNGCMCU/edit?usp=sharing"",""ลพบุรี!I682"")"),20)</f>
        <v>20</v>
      </c>
      <c r="BD68" s="152">
        <f ca="1">IFERROR(__xludf.DUMMYFUNCTION("IMPORTRANGE(""https://docs.google.com/spreadsheets/d/1lufeA2cfFqM-elVq2hznhDzC6Pr7wkJ9ZG_sYNGCMCU/edit?usp=sharing"",""ลพบุรี!J682"")"),28)</f>
        <v>28</v>
      </c>
      <c r="BE68" s="216">
        <f t="shared" ca="1" si="46"/>
        <v>140</v>
      </c>
      <c r="BF68" s="152">
        <f ca="1">IFERROR(__xludf.DUMMYFUNCTION("IMPORTRANGE(""https://docs.google.com/spreadsheets/d/1lufeA2cfFqM-elVq2hznhDzC6Pr7wkJ9ZG_sYNGCMCU/edit?usp=sharing"",""ลพบุรี!J683"")"),0)</f>
        <v>0</v>
      </c>
      <c r="BG68" s="152">
        <f ca="1">IFERROR(__xludf.DUMMYFUNCTION("IMPORTRANGE(""https://docs.google.com/spreadsheets/d/1lufeA2cfFqM-elVq2hznhDzC6Pr7wkJ9ZG_sYNGCMCU/edit?usp=sharing"",""ลพบุรี!J684"")"),0)</f>
        <v>0</v>
      </c>
      <c r="BH68" s="152">
        <f ca="1">IFERROR(__xludf.DUMMYFUNCTION("IMPORTRANGE(""https://docs.google.com/spreadsheets/d/1lufeA2cfFqM-elVq2hznhDzC6Pr7wkJ9ZG_sYNGCMCU/edit?usp=sharing"",""ลพบุรี!J685"")"),0)</f>
        <v>0</v>
      </c>
      <c r="BI68" s="152">
        <f ca="1">IFERROR(__xludf.DUMMYFUNCTION("IMPORTRANGE(""https://docs.google.com/spreadsheets/d/1lufeA2cfFqM-elVq2hznhDzC6Pr7wkJ9ZG_sYNGCMCU/edit?usp=sharing"",""ลพบุรี!J686"")"),2)</f>
        <v>2</v>
      </c>
      <c r="BJ68" s="152">
        <f ca="1">IFERROR(__xludf.DUMMYFUNCTION("IMPORTRANGE(""https://docs.google.com/spreadsheets/d/1lufeA2cfFqM-elVq2hznhDzC6Pr7wkJ9ZG_sYNGCMCU/edit?usp=sharing"",""ลพบุรี!J687"")"),2)</f>
        <v>2</v>
      </c>
      <c r="BK68" s="152">
        <f ca="1">IFERROR(__xludf.DUMMYFUNCTION("IMPORTRANGE(""https://docs.google.com/spreadsheets/d/1lufeA2cfFqM-elVq2hznhDzC6Pr7wkJ9ZG_sYNGCMCU/edit?usp=sharing"",""ลพบุรี!J688"")"),28)</f>
        <v>28</v>
      </c>
    </row>
    <row r="69" spans="1:63" ht="19.5" x14ac:dyDescent="0.3">
      <c r="A69" s="70">
        <v>17</v>
      </c>
      <c r="B69" s="71" t="s">
        <v>97</v>
      </c>
      <c r="C69" s="68">
        <f ca="1">IFERROR(__xludf.DUMMYFUNCTION("IMPORTRANGE(""https://docs.google.com/spreadsheets/d/10oOiF7loTyfsTkbd4MpaIm0HQ9SwB7IYHdIUvt-U1Uc/edit?usp=sharing"",""สระแก้ว!Q642"")"),0)</f>
        <v>0</v>
      </c>
      <c r="D69" s="68">
        <f ca="1">IFERROR(__xludf.DUMMYFUNCTION("IMPORTRANGE(""https://docs.google.com/spreadsheets/d/10oOiF7loTyfsTkbd4MpaIm0HQ9SwB7IYHdIUvt-U1Uc/edit?usp=sharing"",""สระแก้ว!R642"")"),0)</f>
        <v>0</v>
      </c>
      <c r="E69" s="68">
        <f ca="1">IFERROR(__xludf.DUMMYFUNCTION("IMPORTRANGE(""https://docs.google.com/spreadsheets/d/10oOiF7loTyfsTkbd4MpaIm0HQ9SwB7IYHdIUvt-U1Uc/edit?usp=sharing"",""สระแก้ว!S642"")"),0)</f>
        <v>0</v>
      </c>
      <c r="F69" s="68">
        <f t="shared" ca="1" si="30"/>
        <v>0</v>
      </c>
      <c r="G69" s="68">
        <f t="shared" ca="1" si="31"/>
        <v>0</v>
      </c>
      <c r="H69" s="278">
        <f ca="1">IFERROR(__xludf.DUMMYFUNCTION("IMPORTRANGE(""https://docs.google.com/spreadsheets/d/10oOiF7loTyfsTkbd4MpaIm0HQ9SwB7IYHdIUvt-U1Uc/edit?usp=sharing"",""สระแก้ว!I652"")"),0)</f>
        <v>0</v>
      </c>
      <c r="I69" s="397">
        <f ca="1">IFERROR(__xludf.DUMMYFUNCTION("IMPORTRANGE(""https://docs.google.com/spreadsheets/d/10oOiF7loTyfsTkbd4MpaIm0HQ9SwB7IYHdIUvt-U1Uc/edit?usp=sharing"",""สระแก้ว!J652"")"),0)</f>
        <v>0</v>
      </c>
      <c r="J69" s="216">
        <f t="shared" ca="1" si="33"/>
        <v>0</v>
      </c>
      <c r="K69" s="152">
        <f ca="1">IFERROR(__xludf.DUMMYFUNCTION("IMPORTRANGE(""https://docs.google.com/spreadsheets/d/10oOiF7loTyfsTkbd4MpaIm0HQ9SwB7IYHdIUvt-U1Uc/edit?usp=sharing"",""สระแก้ว!I653"")"),0)</f>
        <v>0</v>
      </c>
      <c r="L69" s="397">
        <f ca="1">IFERROR(__xludf.DUMMYFUNCTION("IMPORTRANGE(""https://docs.google.com/spreadsheets/d/10oOiF7loTyfsTkbd4MpaIm0HQ9SwB7IYHdIUvt-U1Uc/edit?usp=sharing"",""สระแก้ว!J653"")"),0)</f>
        <v>0</v>
      </c>
      <c r="M69" s="216">
        <f t="shared" ca="1" si="35"/>
        <v>0</v>
      </c>
      <c r="N69" s="152">
        <f ca="1">IFERROR(__xludf.DUMMYFUNCTION("IMPORTRANGE(""https://docs.google.com/spreadsheets/d/10oOiF7loTyfsTkbd4MpaIm0HQ9SwB7IYHdIUvt-U1Uc/edit?usp=sharing"",""สระแก้ว!I654"")"),0)</f>
        <v>0</v>
      </c>
      <c r="O69" s="152">
        <f ca="1">IFERROR(__xludf.DUMMYFUNCTION("IMPORTRANGE(""https://docs.google.com/spreadsheets/d/10oOiF7loTyfsTkbd4MpaIm0HQ9SwB7IYHdIUvt-U1Uc/edit?usp=sharing"",""สระแก้ว!J654"")"),0)</f>
        <v>0</v>
      </c>
      <c r="P69" s="216">
        <f t="shared" ca="1" si="37"/>
        <v>0</v>
      </c>
      <c r="Q69" s="216">
        <f ca="1">IFERROR(__xludf.DUMMYFUNCTION("IMPORTRANGE(""https://docs.google.com/spreadsheets/d/10oOiF7loTyfsTkbd4MpaIm0HQ9SwB7IYHdIUvt-U1Uc/edit?usp=sharing"",""สระแก้ว!J655"")"),0)</f>
        <v>0</v>
      </c>
      <c r="R69" s="216">
        <f ca="1">IFERROR(__xludf.DUMMYFUNCTION("IMPORTRANGE(""https://docs.google.com/spreadsheets/d/10oOiF7loTyfsTkbd4MpaIm0HQ9SwB7IYHdIUvt-U1Uc/edit?usp=sharing"",""สระแก้ว!J656"")"),0)</f>
        <v>0</v>
      </c>
      <c r="S69" s="216">
        <f ca="1">IFERROR(__xludf.DUMMYFUNCTION("IMPORTRANGE(""https://docs.google.com/spreadsheets/d/10oOiF7loTyfsTkbd4MpaIm0HQ9SwB7IYHdIUvt-U1Uc/edit?usp=sharing"",""สระแก้ว!J657"")"),0)</f>
        <v>0</v>
      </c>
      <c r="T69" s="216">
        <f ca="1">IFERROR(__xludf.DUMMYFUNCTION("IMPORTRANGE(""https://docs.google.com/spreadsheets/d/10oOiF7loTyfsTkbd4MpaIm0HQ9SwB7IYHdIUvt-U1Uc/edit?usp=sharing"",""สระแก้ว!J658"")"),0)</f>
        <v>0</v>
      </c>
      <c r="U69" s="216">
        <f ca="1">IFERROR(__xludf.DUMMYFUNCTION("IMPORTRANGE(""https://docs.google.com/spreadsheets/d/10oOiF7loTyfsTkbd4MpaIm0HQ9SwB7IYHdIUvt-U1Uc/edit?usp=sharing"",""สระแก้ว!J659"")"),0)</f>
        <v>0</v>
      </c>
      <c r="V69" s="216">
        <f ca="1">IFERROR(__xludf.DUMMYFUNCTION("IMPORTRANGE(""https://docs.google.com/spreadsheets/d/10oOiF7loTyfsTkbd4MpaIm0HQ9SwB7IYHdIUvt-U1Uc/edit?usp=sharing"",""สระแก้ว!J660"")"),0)</f>
        <v>0</v>
      </c>
      <c r="W69" s="152">
        <f ca="1">IFERROR(__xludf.DUMMYFUNCTION("IMPORTRANGE(""https://docs.google.com/spreadsheets/d/10oOiF7loTyfsTkbd4MpaIm0HQ9SwB7IYHdIUvt-U1Uc/edit?usp=sharing"",""สระแก้ว!I661"")"),0)</f>
        <v>0</v>
      </c>
      <c r="X69" s="152">
        <f ca="1">IFERROR(__xludf.DUMMYFUNCTION("IMPORTRANGE(""https://docs.google.com/spreadsheets/d/10oOiF7loTyfsTkbd4MpaIm0HQ9SwB7IYHdIUvt-U1Uc/edit?usp=sharing"",""สระแก้ว!J661"")"),0)</f>
        <v>0</v>
      </c>
      <c r="Y69" s="216">
        <f t="shared" ca="1" si="39"/>
        <v>0</v>
      </c>
      <c r="Z69" s="152">
        <f ca="1">IFERROR(__xludf.DUMMYFUNCTION("IMPORTRANGE(""https://docs.google.com/spreadsheets/d/10oOiF7loTyfsTkbd4MpaIm0HQ9SwB7IYHdIUvt-U1Uc/edit?usp=sharing"",""สระแก้ว!J662"")"),0)</f>
        <v>0</v>
      </c>
      <c r="AA69" s="152">
        <f ca="1">IFERROR(__xludf.DUMMYFUNCTION("IMPORTRANGE(""https://docs.google.com/spreadsheets/d/10oOiF7loTyfsTkbd4MpaIm0HQ9SwB7IYHdIUvt-U1Uc/edit?usp=sharing"",""สระแก้ว!J663"")"),0)</f>
        <v>0</v>
      </c>
      <c r="AB69" s="152">
        <f ca="1">IFERROR(__xludf.DUMMYFUNCTION("IMPORTRANGE(""https://docs.google.com/spreadsheets/d/10oOiF7loTyfsTkbd4MpaIm0HQ9SwB7IYHdIUvt-U1Uc/edit?usp=sharing"",""สระแก้ว!J665"")"),0)</f>
        <v>0</v>
      </c>
      <c r="AC69" s="152">
        <f ca="1">IFERROR(__xludf.DUMMYFUNCTION("IMPORTRANGE(""https://docs.google.com/spreadsheets/d/10oOiF7loTyfsTkbd4MpaIm0HQ9SwB7IYHdIUvt-U1Uc/edit?usp=sharing"",""สระแก้ว!J666"")"),0)</f>
        <v>0</v>
      </c>
      <c r="AD69" s="152">
        <f ca="1">IFERROR(__xludf.DUMMYFUNCTION("IMPORTRANGE(""https://docs.google.com/spreadsheets/d/10oOiF7loTyfsTkbd4MpaIm0HQ9SwB7IYHdIUvt-U1Uc/edit?usp=sharing"",""สระแก้ว!J667"")"),0)</f>
        <v>0</v>
      </c>
      <c r="AE69" s="152">
        <f ca="1">IFERROR(__xludf.DUMMYFUNCTION("IMPORTRANGE(""https://docs.google.com/spreadsheets/d/10oOiF7loTyfsTkbd4MpaIm0HQ9SwB7IYHdIUvt-U1Uc/edit?usp=sharing"",""สระแก้ว!J668"")"),0)</f>
        <v>0</v>
      </c>
      <c r="AF69" s="152">
        <f ca="1">IFERROR(__xludf.DUMMYFUNCTION("IMPORTRANGE(""https://docs.google.com/spreadsheets/d/10oOiF7loTyfsTkbd4MpaIm0HQ9SwB7IYHdIUvt-U1Uc/edit?usp=sharing"",""สระแก้ว!J669"")"),0)</f>
        <v>0</v>
      </c>
      <c r="AG69" s="152">
        <f ca="1">IFERROR(__xludf.DUMMYFUNCTION("IMPORTRANGE(""https://docs.google.com/spreadsheets/d/10oOiF7loTyfsTkbd4MpaIm0HQ9SwB7IYHdIUvt-U1Uc/edit?usp=sharing"",""สระแก้ว!J670"")"),0)</f>
        <v>0</v>
      </c>
      <c r="AH69" s="152">
        <f ca="1">IFERROR(__xludf.DUMMYFUNCTION("IMPORTRANGE(""https://docs.google.com/spreadsheets/d/10oOiF7loTyfsTkbd4MpaIm0HQ9SwB7IYHdIUvt-U1Uc/edit?usp=sharing"",""สระแก้ว!I673"")"),0)</f>
        <v>0</v>
      </c>
      <c r="AI69" s="397">
        <f ca="1">IFERROR(__xludf.DUMMYFUNCTION("IMPORTRANGE(""https://docs.google.com/spreadsheets/d/10oOiF7loTyfsTkbd4MpaIm0HQ9SwB7IYHdIUvt-U1Uc/edit?usp=sharing"",""สระแก้ว!J671"")"),0)</f>
        <v>0</v>
      </c>
      <c r="AJ69" s="397">
        <f ca="1">IFERROR(__xludf.DUMMYFUNCTION("IMPORTRANGE(""https://docs.google.com/spreadsheets/d/10oOiF7loTyfsTkbd4MpaIm0HQ9SwB7IYHdIUvt-U1Uc/edit?usp=sharing"",""สระแก้ว!J672"")"),0)</f>
        <v>0</v>
      </c>
      <c r="AK69" s="397">
        <f ca="1">IFERROR(__xludf.DUMMYFUNCTION("IMPORTRANGE(""https://docs.google.com/spreadsheets/d/10oOiF7loTyfsTkbd4MpaIm0HQ9SwB7IYHdIUvt-U1Uc/edit?usp=sharing"",""สระแก้ว!J673"")"),0)</f>
        <v>0</v>
      </c>
      <c r="AL69" s="216">
        <f t="shared" ca="1" si="41"/>
        <v>0</v>
      </c>
      <c r="AM69" s="152">
        <f ca="1">IFERROR(__xludf.DUMMYFUNCTION("IMPORTRANGE(""https://docs.google.com/spreadsheets/d/10oOiF7loTyfsTkbd4MpaIm0HQ9SwB7IYHdIUvt-U1Uc/edit?usp=sharing"",""สระแก้ว!I674"")"),0)</f>
        <v>0</v>
      </c>
      <c r="AN69" s="152">
        <f ca="1">IFERROR(__xludf.DUMMYFUNCTION("IMPORTRANGE(""https://docs.google.com/spreadsheets/d/10oOiF7loTyfsTkbd4MpaIm0HQ9SwB7IYHdIUvt-U1Uc/edit?usp=sharing"",""สระแก้ว!I675"")"),0)</f>
        <v>0</v>
      </c>
      <c r="AO69" s="397">
        <f ca="1">IFERROR(__xludf.DUMMYFUNCTION("IMPORTRANGE(""https://docs.google.com/spreadsheets/d/10oOiF7loTyfsTkbd4MpaIm0HQ9SwB7IYHdIUvt-U1Uc/edit?usp=sharing"",""สระแก้ว!J674"")"),0)</f>
        <v>0</v>
      </c>
      <c r="AP69" s="216">
        <f t="shared" ca="1" si="43"/>
        <v>0</v>
      </c>
      <c r="AQ69" s="397">
        <f ca="1">IFERROR(__xludf.DUMMYFUNCTION("IMPORTRANGE(""https://docs.google.com/spreadsheets/d/10oOiF7loTyfsTkbd4MpaIm0HQ9SwB7IYHdIUvt-U1Uc/edit?usp=sharing"",""สระแก้ว!J675"")"),0)</f>
        <v>0</v>
      </c>
      <c r="AR69" s="216">
        <f t="shared" ca="1" si="44"/>
        <v>0</v>
      </c>
      <c r="AS69" s="152">
        <f ca="1">IFERROR(__xludf.DUMMYFUNCTION("IMPORTRANGE(""https://docs.google.com/spreadsheets/d/10oOiF7loTyfsTkbd4MpaIm0HQ9SwB7IYHdIUvt-U1Uc/edit?usp=sharing"",""สระแก้ว!I676"")"),0)</f>
        <v>0</v>
      </c>
      <c r="AT69" s="152">
        <f ca="1">IFERROR(__xludf.DUMMYFUNCTION("IMPORTRANGE(""https://docs.google.com/spreadsheets/d/10oOiF7loTyfsTkbd4MpaIm0HQ9SwB7IYHdIUvt-U1Uc/edit?usp=sharing"",""สระแก้ว!I678"")"),0)</f>
        <v>0</v>
      </c>
      <c r="AU69" s="397">
        <f ca="1">IFERROR(__xludf.DUMMYFUNCTION("IMPORTRANGE(""https://docs.google.com/spreadsheets/d/10oOiF7loTyfsTkbd4MpaIm0HQ9SwB7IYHdIUvt-U1Uc/edit?usp=sharing"",""สระแก้ว!J676"")"),0)</f>
        <v>0</v>
      </c>
      <c r="AV69" s="397">
        <f ca="1">IFERROR(__xludf.DUMMYFUNCTION("IMPORTRANGE(""https://docs.google.com/spreadsheets/d/10oOiF7loTyfsTkbd4MpaIm0HQ9SwB7IYHdIUvt-U1Uc/edit?usp=sharing"",""สระแก้ว!J677"")"),0)</f>
        <v>0</v>
      </c>
      <c r="AW69" s="397">
        <f ca="1">IFERROR(__xludf.DUMMYFUNCTION("IMPORTRANGE(""https://docs.google.com/spreadsheets/d/10oOiF7loTyfsTkbd4MpaIm0HQ9SwB7IYHdIUvt-U1Uc/edit?usp=sharing"",""สระแก้ว!J678"")"),0)</f>
        <v>0</v>
      </c>
      <c r="AX69" s="152">
        <f ca="1">IFERROR(__xludf.DUMMYFUNCTION("IMPORTRANGE(""https://docs.google.com/spreadsheets/d/10oOiF7loTyfsTkbd4MpaIm0HQ9SwB7IYHdIUvt-U1Uc/edit?usp=sharing"",""สระแก้ว!I679"")"),0)</f>
        <v>0</v>
      </c>
      <c r="AY69" s="152">
        <f ca="1">IFERROR(__xludf.DUMMYFUNCTION("IMPORTRANGE(""https://docs.google.com/spreadsheets/d/10oOiF7loTyfsTkbd4MpaIm0HQ9SwB7IYHdIUvt-U1Uc/edit?usp=sharing"",""สระแก้ว!I681"")"),0)</f>
        <v>0</v>
      </c>
      <c r="AZ69" s="397">
        <f ca="1">IFERROR(__xludf.DUMMYFUNCTION("IMPORTRANGE(""https://docs.google.com/spreadsheets/d/10oOiF7loTyfsTkbd4MpaIm0HQ9SwB7IYHdIUvt-U1Uc/edit?usp=sharing"",""สระแก้ว!J679"")"),0)</f>
        <v>0</v>
      </c>
      <c r="BA69" s="397">
        <f ca="1">IFERROR(__xludf.DUMMYFUNCTION("IMPORTRANGE(""https://docs.google.com/spreadsheets/d/10oOiF7loTyfsTkbd4MpaIm0HQ9SwB7IYHdIUvt-U1Uc/edit?usp=sharing"",""สระแก้ว!J680"")"),0)</f>
        <v>0</v>
      </c>
      <c r="BB69" s="397">
        <f ca="1">IFERROR(__xludf.DUMMYFUNCTION("IMPORTRANGE(""https://docs.google.com/spreadsheets/d/10oOiF7loTyfsTkbd4MpaIm0HQ9SwB7IYHdIUvt-U1Uc/edit?usp=sharing"",""สระแก้ว!J681"")"),0)</f>
        <v>0</v>
      </c>
      <c r="BC69" s="152">
        <f ca="1">IFERROR(__xludf.DUMMYFUNCTION("IMPORTRANGE(""https://docs.google.com/spreadsheets/d/10oOiF7loTyfsTkbd4MpaIm0HQ9SwB7IYHdIUvt-U1Uc/edit?usp=sharing"",""สระแก้ว!I682"")"),0)</f>
        <v>0</v>
      </c>
      <c r="BD69" s="152">
        <f ca="1">IFERROR(__xludf.DUMMYFUNCTION("IMPORTRANGE(""https://docs.google.com/spreadsheets/d/10oOiF7loTyfsTkbd4MpaIm0HQ9SwB7IYHdIUvt-U1Uc/edit?usp=sharing"",""สระแก้ว!J682"")"),0)</f>
        <v>0</v>
      </c>
      <c r="BE69" s="216">
        <f t="shared" ca="1" si="46"/>
        <v>0</v>
      </c>
      <c r="BF69" s="152">
        <f ca="1">IFERROR(__xludf.DUMMYFUNCTION("IMPORTRANGE(""https://docs.google.com/spreadsheets/d/10oOiF7loTyfsTkbd4MpaIm0HQ9SwB7IYHdIUvt-U1Uc/edit?usp=sharing"",""สระแก้ว!J683"")"),0)</f>
        <v>0</v>
      </c>
      <c r="BG69" s="152">
        <f ca="1">IFERROR(__xludf.DUMMYFUNCTION("IMPORTRANGE(""https://docs.google.com/spreadsheets/d/10oOiF7loTyfsTkbd4MpaIm0HQ9SwB7IYHdIUvt-U1Uc/edit?usp=sharing"",""สระแก้ว!J684"")"),0)</f>
        <v>0</v>
      </c>
      <c r="BH69" s="152">
        <f ca="1">IFERROR(__xludf.DUMMYFUNCTION("IMPORTRANGE(""https://docs.google.com/spreadsheets/d/10oOiF7loTyfsTkbd4MpaIm0HQ9SwB7IYHdIUvt-U1Uc/edit?usp=sharing"",""สระแก้ว!J685"")"),0)</f>
        <v>0</v>
      </c>
      <c r="BI69" s="152">
        <f ca="1">IFERROR(__xludf.DUMMYFUNCTION("IMPORTRANGE(""https://docs.google.com/spreadsheets/d/10oOiF7loTyfsTkbd4MpaIm0HQ9SwB7IYHdIUvt-U1Uc/edit?usp=sharing"",""สระแก้ว!J686"")"),0)</f>
        <v>0</v>
      </c>
      <c r="BJ69" s="152">
        <f ca="1">IFERROR(__xludf.DUMMYFUNCTION("IMPORTRANGE(""https://docs.google.com/spreadsheets/d/10oOiF7loTyfsTkbd4MpaIm0HQ9SwB7IYHdIUvt-U1Uc/edit?usp=sharing"",""สระแก้ว!J687"")"),0)</f>
        <v>0</v>
      </c>
      <c r="BK69" s="152">
        <f ca="1">IFERROR(__xludf.DUMMYFUNCTION("IMPORTRANGE(""https://docs.google.com/spreadsheets/d/10oOiF7loTyfsTkbd4MpaIm0HQ9SwB7IYHdIUvt-U1Uc/edit?usp=sharing"",""สระแก้ว!J688"")"),0)</f>
        <v>0</v>
      </c>
    </row>
    <row r="70" spans="1:63" ht="19.5" x14ac:dyDescent="0.3">
      <c r="A70" s="70">
        <v>18</v>
      </c>
      <c r="B70" s="71" t="s">
        <v>98</v>
      </c>
      <c r="C70" s="68">
        <f ca="1">IFERROR(__xludf.DUMMYFUNCTION("IMPORTRANGE(""https://docs.google.com/spreadsheets/d/1xmPlrr1QbdSIKvl1dWUl9K4PjAfSL9oeMr_37QVzcxc/edit?usp=sharing"",""สระบุรี!Q642"")"),1600)</f>
        <v>1600</v>
      </c>
      <c r="D70" s="68">
        <f ca="1">IFERROR(__xludf.DUMMYFUNCTION("IMPORTRANGE(""https://docs.google.com/spreadsheets/d/1xmPlrr1QbdSIKvl1dWUl9K4PjAfSL9oeMr_37QVzcxc/edit?usp=sharing"",""สระบุรี!R642"")"),1600)</f>
        <v>1600</v>
      </c>
      <c r="E70" s="68">
        <f ca="1">IFERROR(__xludf.DUMMYFUNCTION("IMPORTRANGE(""https://docs.google.com/spreadsheets/d/1xmPlrr1QbdSIKvl1dWUl9K4PjAfSL9oeMr_37QVzcxc/edit?usp=sharing"",""สระบุรี!S642"")"),0)</f>
        <v>0</v>
      </c>
      <c r="F70" s="68">
        <f t="shared" ca="1" si="30"/>
        <v>0</v>
      </c>
      <c r="G70" s="68">
        <f t="shared" ca="1" si="31"/>
        <v>0</v>
      </c>
      <c r="H70" s="278">
        <f ca="1">IFERROR(__xludf.DUMMYFUNCTION("IMPORTRANGE(""https://docs.google.com/spreadsheets/d/1xmPlrr1QbdSIKvl1dWUl9K4PjAfSL9oeMr_37QVzcxc/edit?usp=sharing"",""สระบุรี!I652"")"),0)</f>
        <v>0</v>
      </c>
      <c r="I70" s="152">
        <f ca="1">IFERROR(__xludf.DUMMYFUNCTION("IMPORTRANGE(""https://docs.google.com/spreadsheets/d/1xmPlrr1QbdSIKvl1dWUl9K4PjAfSL9oeMr_37QVzcxc/edit?usp=sharing"",""สระบุรี!J652"")"),0)</f>
        <v>0</v>
      </c>
      <c r="J70" s="216">
        <f t="shared" ca="1" si="33"/>
        <v>0</v>
      </c>
      <c r="K70" s="152">
        <f ca="1">IFERROR(__xludf.DUMMYFUNCTION("IMPORTRANGE(""https://docs.google.com/spreadsheets/d/1xmPlrr1QbdSIKvl1dWUl9K4PjAfSL9oeMr_37QVzcxc/edit?usp=sharing"",""สระบุรี!I653"")"),0)</f>
        <v>0</v>
      </c>
      <c r="L70" s="152">
        <f ca="1">IFERROR(__xludf.DUMMYFUNCTION("IMPORTRANGE(""https://docs.google.com/spreadsheets/d/1xmPlrr1QbdSIKvl1dWUl9K4PjAfSL9oeMr_37QVzcxc/edit?usp=sharing"",""สระบุรี!J653"")"),0)</f>
        <v>0</v>
      </c>
      <c r="M70" s="216">
        <f t="shared" ca="1" si="35"/>
        <v>0</v>
      </c>
      <c r="N70" s="152">
        <f ca="1">IFERROR(__xludf.DUMMYFUNCTION("IMPORTRANGE(""https://docs.google.com/spreadsheets/d/1xmPlrr1QbdSIKvl1dWUl9K4PjAfSL9oeMr_37QVzcxc/edit?usp=sharing"",""สระบุรี!I654"")"),0)</f>
        <v>0</v>
      </c>
      <c r="O70" s="152">
        <f ca="1">IFERROR(__xludf.DUMMYFUNCTION("IMPORTRANGE(""https://docs.google.com/spreadsheets/d/1xmPlrr1QbdSIKvl1dWUl9K4PjAfSL9oeMr_37QVzcxc/edit?usp=sharing"",""สระบุรี!J654"")"),0)</f>
        <v>0</v>
      </c>
      <c r="P70" s="216">
        <f t="shared" ca="1" si="37"/>
        <v>0</v>
      </c>
      <c r="Q70" s="216">
        <f ca="1">IFERROR(__xludf.DUMMYFUNCTION("IMPORTRANGE(""https://docs.google.com/spreadsheets/d/1xmPlrr1QbdSIKvl1dWUl9K4PjAfSL9oeMr_37QVzcxc/edit?usp=sharing"",""สระบุรี!J655"")"),0)</f>
        <v>0</v>
      </c>
      <c r="R70" s="216">
        <f ca="1">IFERROR(__xludf.DUMMYFUNCTION("IMPORTRANGE(""https://docs.google.com/spreadsheets/d/1xmPlrr1QbdSIKvl1dWUl9K4PjAfSL9oeMr_37QVzcxc/edit?usp=sharing"",""สระบุรี!J656"")"),0)</f>
        <v>0</v>
      </c>
      <c r="S70" s="216">
        <f ca="1">IFERROR(__xludf.DUMMYFUNCTION("IMPORTRANGE(""https://docs.google.com/spreadsheets/d/1xmPlrr1QbdSIKvl1dWUl9K4PjAfSL9oeMr_37QVzcxc/edit?usp=sharing"",""สระบุรี!J657"")"),0)</f>
        <v>0</v>
      </c>
      <c r="T70" s="216">
        <f ca="1">IFERROR(__xludf.DUMMYFUNCTION("IMPORTRANGE(""https://docs.google.com/spreadsheets/d/1xmPlrr1QbdSIKvl1dWUl9K4PjAfSL9oeMr_37QVzcxc/edit?usp=sharing"",""สระบุรี!J658"")"),0)</f>
        <v>0</v>
      </c>
      <c r="U70" s="216">
        <f ca="1">IFERROR(__xludf.DUMMYFUNCTION("IMPORTRANGE(""https://docs.google.com/spreadsheets/d/1xmPlrr1QbdSIKvl1dWUl9K4PjAfSL9oeMr_37QVzcxc/edit?usp=sharing"",""สระบุรี!J659"")"),0)</f>
        <v>0</v>
      </c>
      <c r="V70" s="216">
        <f ca="1">IFERROR(__xludf.DUMMYFUNCTION("IMPORTRANGE(""https://docs.google.com/spreadsheets/d/1xmPlrr1QbdSIKvl1dWUl9K4PjAfSL9oeMr_37QVzcxc/edit?usp=sharing"",""สระบุรี!J660"")"),0)</f>
        <v>0</v>
      </c>
      <c r="W70" s="152">
        <f ca="1">IFERROR(__xludf.DUMMYFUNCTION("IMPORTRANGE(""https://docs.google.com/spreadsheets/d/1xmPlrr1QbdSIKvl1dWUl9K4PjAfSL9oeMr_37QVzcxc/edit?usp=sharing"",""สระบุรี!I661"")"),0)</f>
        <v>0</v>
      </c>
      <c r="X70" s="152">
        <f ca="1">IFERROR(__xludf.DUMMYFUNCTION("IMPORTRANGE(""https://docs.google.com/spreadsheets/d/1xmPlrr1QbdSIKvl1dWUl9K4PjAfSL9oeMr_37QVzcxc/edit?usp=sharing"",""สระบุรี!J661"")"),0)</f>
        <v>0</v>
      </c>
      <c r="Y70" s="216">
        <f t="shared" ca="1" si="39"/>
        <v>0</v>
      </c>
      <c r="Z70" s="152">
        <f ca="1">IFERROR(__xludf.DUMMYFUNCTION("IMPORTRANGE(""https://docs.google.com/spreadsheets/d/1xmPlrr1QbdSIKvl1dWUl9K4PjAfSL9oeMr_37QVzcxc/edit?usp=sharing"",""สระบุรี!J662"")"),0)</f>
        <v>0</v>
      </c>
      <c r="AA70" s="152">
        <f ca="1">IFERROR(__xludf.DUMMYFUNCTION("IMPORTRANGE(""https://docs.google.com/spreadsheets/d/1xmPlrr1QbdSIKvl1dWUl9K4PjAfSL9oeMr_37QVzcxc/edit?usp=sharing"",""สระบุรี!J663"")"),0)</f>
        <v>0</v>
      </c>
      <c r="AB70" s="152">
        <f ca="1">IFERROR(__xludf.DUMMYFUNCTION("IMPORTRANGE(""https://docs.google.com/spreadsheets/d/1xmPlrr1QbdSIKvl1dWUl9K4PjAfSL9oeMr_37QVzcxc/edit?usp=sharing"",""สระบุรี!J665"")"),0)</f>
        <v>0</v>
      </c>
      <c r="AC70" s="152">
        <f ca="1">IFERROR(__xludf.DUMMYFUNCTION("IMPORTRANGE(""https://docs.google.com/spreadsheets/d/1xmPlrr1QbdSIKvl1dWUl9K4PjAfSL9oeMr_37QVzcxc/edit?usp=sharing"",""สระบุรี!J666"")"),0)</f>
        <v>0</v>
      </c>
      <c r="AD70" s="152">
        <f ca="1">IFERROR(__xludf.DUMMYFUNCTION("IMPORTRANGE(""https://docs.google.com/spreadsheets/d/1xmPlrr1QbdSIKvl1dWUl9K4PjAfSL9oeMr_37QVzcxc/edit?usp=sharing"",""สระบุรี!J667"")"),0)</f>
        <v>0</v>
      </c>
      <c r="AE70" s="152">
        <f ca="1">IFERROR(__xludf.DUMMYFUNCTION("IMPORTRANGE(""https://docs.google.com/spreadsheets/d/1xmPlrr1QbdSIKvl1dWUl9K4PjAfSL9oeMr_37QVzcxc/edit?usp=sharing"",""สระบุรี!J668"")"),0)</f>
        <v>0</v>
      </c>
      <c r="AF70" s="152">
        <f ca="1">IFERROR(__xludf.DUMMYFUNCTION("IMPORTRANGE(""https://docs.google.com/spreadsheets/d/1xmPlrr1QbdSIKvl1dWUl9K4PjAfSL9oeMr_37QVzcxc/edit?usp=sharing"",""สระบุรี!J669"")"),0)</f>
        <v>0</v>
      </c>
      <c r="AG70" s="152">
        <f ca="1">IFERROR(__xludf.DUMMYFUNCTION("IMPORTRANGE(""https://docs.google.com/spreadsheets/d/1xmPlrr1QbdSIKvl1dWUl9K4PjAfSL9oeMr_37QVzcxc/edit?usp=sharing"",""สระบุรี!J670"")"),0)</f>
        <v>0</v>
      </c>
      <c r="AH70" s="152">
        <f ca="1">IFERROR(__xludf.DUMMYFUNCTION("IMPORTRANGE(""https://docs.google.com/spreadsheets/d/1xmPlrr1QbdSIKvl1dWUl9K4PjAfSL9oeMr_37QVzcxc/edit?usp=sharing"",""สระบุรี!I673"")"),0)</f>
        <v>0</v>
      </c>
      <c r="AI70" s="152">
        <f ca="1">IFERROR(__xludf.DUMMYFUNCTION("IMPORTRANGE(""https://docs.google.com/spreadsheets/d/1xmPlrr1QbdSIKvl1dWUl9K4PjAfSL9oeMr_37QVzcxc/edit?usp=sharing"",""สระบุรี!J671"")"),0)</f>
        <v>0</v>
      </c>
      <c r="AJ70" s="152">
        <f ca="1">IFERROR(__xludf.DUMMYFUNCTION("IMPORTRANGE(""https://docs.google.com/spreadsheets/d/1xmPlrr1QbdSIKvl1dWUl9K4PjAfSL9oeMr_37QVzcxc/edit?usp=sharing"",""สระบุรี!J672"")"),0)</f>
        <v>0</v>
      </c>
      <c r="AK70" s="152">
        <f ca="1">IFERROR(__xludf.DUMMYFUNCTION("IMPORTRANGE(""https://docs.google.com/spreadsheets/d/1xmPlrr1QbdSIKvl1dWUl9K4PjAfSL9oeMr_37QVzcxc/edit?usp=sharing"",""สระบุรี!J673"")"),0)</f>
        <v>0</v>
      </c>
      <c r="AL70" s="216">
        <f t="shared" ca="1" si="41"/>
        <v>0</v>
      </c>
      <c r="AM70" s="152">
        <f ca="1">IFERROR(__xludf.DUMMYFUNCTION("IMPORTRANGE(""https://docs.google.com/spreadsheets/d/1xmPlrr1QbdSIKvl1dWUl9K4PjAfSL9oeMr_37QVzcxc/edit?usp=sharing"",""สระบุรี!I674"")"),5)</f>
        <v>5</v>
      </c>
      <c r="AN70" s="152">
        <f ca="1">IFERROR(__xludf.DUMMYFUNCTION("IMPORTRANGE(""https://docs.google.com/spreadsheets/d/1xmPlrr1QbdSIKvl1dWUl9K4PjAfSL9oeMr_37QVzcxc/edit?usp=sharing"",""สระบุรี!I675"")"),30)</f>
        <v>30</v>
      </c>
      <c r="AO70" s="152">
        <f ca="1">IFERROR(__xludf.DUMMYFUNCTION("IMPORTRANGE(""https://docs.google.com/spreadsheets/d/1xmPlrr1QbdSIKvl1dWUl9K4PjAfSL9oeMr_37QVzcxc/edit?usp=sharing"",""สระบุรี!J674"")"),0)</f>
        <v>0</v>
      </c>
      <c r="AP70" s="216">
        <f t="shared" ca="1" si="43"/>
        <v>0</v>
      </c>
      <c r="AQ70" s="152">
        <f ca="1">IFERROR(__xludf.DUMMYFUNCTION("IMPORTRANGE(""https://docs.google.com/spreadsheets/d/1xmPlrr1QbdSIKvl1dWUl9K4PjAfSL9oeMr_37QVzcxc/edit?usp=sharing"",""สระบุรี!J675"")"),0)</f>
        <v>0</v>
      </c>
      <c r="AR70" s="216">
        <f t="shared" ca="1" si="44"/>
        <v>0</v>
      </c>
      <c r="AS70" s="152">
        <f ca="1">IFERROR(__xludf.DUMMYFUNCTION("IMPORTRANGE(""https://docs.google.com/spreadsheets/d/1xmPlrr1QbdSIKvl1dWUl9K4PjAfSL9oeMr_37QVzcxc/edit?usp=sharing"",""สระบุรี!I676"")"),5)</f>
        <v>5</v>
      </c>
      <c r="AT70" s="152">
        <f ca="1">IFERROR(__xludf.DUMMYFUNCTION("IMPORTRANGE(""https://docs.google.com/spreadsheets/d/1xmPlrr1QbdSIKvl1dWUl9K4PjAfSL9oeMr_37QVzcxc/edit?usp=sharing"",""สระบุรี!I678"")"),30)</f>
        <v>30</v>
      </c>
      <c r="AU70" s="152">
        <f ca="1">IFERROR(__xludf.DUMMYFUNCTION("IMPORTRANGE(""https://docs.google.com/spreadsheets/d/1xmPlrr1QbdSIKvl1dWUl9K4PjAfSL9oeMr_37QVzcxc/edit?usp=sharing"",""สระบุรี!J676"")"),0)</f>
        <v>0</v>
      </c>
      <c r="AV70" s="152">
        <f ca="1">IFERROR(__xludf.DUMMYFUNCTION("IMPORTRANGE(""https://docs.google.com/spreadsheets/d/1xmPlrr1QbdSIKvl1dWUl9K4PjAfSL9oeMr_37QVzcxc/edit?usp=sharing"",""สระบุรี!J677"")"),0)</f>
        <v>0</v>
      </c>
      <c r="AW70" s="152">
        <f ca="1">IFERROR(__xludf.DUMMYFUNCTION("IMPORTRANGE(""https://docs.google.com/spreadsheets/d/1xmPlrr1QbdSIKvl1dWUl9K4PjAfSL9oeMr_37QVzcxc/edit?usp=sharing"",""สระบุรี!J678"")"),0)</f>
        <v>0</v>
      </c>
      <c r="AX70" s="152">
        <f ca="1">IFERROR(__xludf.DUMMYFUNCTION("IMPORTRANGE(""https://docs.google.com/spreadsheets/d/1xmPlrr1QbdSIKvl1dWUl9K4PjAfSL9oeMr_37QVzcxc/edit?usp=sharing"",""สระบุรี!I679"")"),0)</f>
        <v>0</v>
      </c>
      <c r="AY70" s="152">
        <f ca="1">IFERROR(__xludf.DUMMYFUNCTION("IMPORTRANGE(""https://docs.google.com/spreadsheets/d/1xmPlrr1QbdSIKvl1dWUl9K4PjAfSL9oeMr_37QVzcxc/edit?usp=sharing"",""สระบุรี!I681"")"),0)</f>
        <v>0</v>
      </c>
      <c r="AZ70" s="152">
        <f ca="1">IFERROR(__xludf.DUMMYFUNCTION("IMPORTRANGE(""https://docs.google.com/spreadsheets/d/1xmPlrr1QbdSIKvl1dWUl9K4PjAfSL9oeMr_37QVzcxc/edit?usp=sharing"",""สระบุรี!J679"")"),0)</f>
        <v>0</v>
      </c>
      <c r="BA70" s="152">
        <f ca="1">IFERROR(__xludf.DUMMYFUNCTION("IMPORTRANGE(""https://docs.google.com/spreadsheets/d/1xmPlrr1QbdSIKvl1dWUl9K4PjAfSL9oeMr_37QVzcxc/edit?usp=sharing"",""สระบุรี!J680"")"),0)</f>
        <v>0</v>
      </c>
      <c r="BB70" s="152">
        <f ca="1">IFERROR(__xludf.DUMMYFUNCTION("IMPORTRANGE(""https://docs.google.com/spreadsheets/d/1xmPlrr1QbdSIKvl1dWUl9K4PjAfSL9oeMr_37QVzcxc/edit?usp=sharing"",""สระบุรี!J681"")"),0)</f>
        <v>0</v>
      </c>
      <c r="BC70" s="152">
        <f ca="1">IFERROR(__xludf.DUMMYFUNCTION("IMPORTRANGE(""https://docs.google.com/spreadsheets/d/1xmPlrr1QbdSIKvl1dWUl9K4PjAfSL9oeMr_37QVzcxc/edit?usp=sharing"",""สระบุรี!I682"")"),0)</f>
        <v>0</v>
      </c>
      <c r="BD70" s="152">
        <f ca="1">IFERROR(__xludf.DUMMYFUNCTION("IMPORTRANGE(""https://docs.google.com/spreadsheets/d/1xmPlrr1QbdSIKvl1dWUl9K4PjAfSL9oeMr_37QVzcxc/edit?usp=sharing"",""สระบุรี!J682"")"),0)</f>
        <v>0</v>
      </c>
      <c r="BE70" s="216">
        <f t="shared" ca="1" si="46"/>
        <v>0</v>
      </c>
      <c r="BF70" s="152">
        <f ca="1">IFERROR(__xludf.DUMMYFUNCTION("IMPORTRANGE(""https://docs.google.com/spreadsheets/d/1xmPlrr1QbdSIKvl1dWUl9K4PjAfSL9oeMr_37QVzcxc/edit?usp=sharing"",""สระบุรี!J683"")"),0)</f>
        <v>0</v>
      </c>
      <c r="BG70" s="152">
        <f ca="1">IFERROR(__xludf.DUMMYFUNCTION("IMPORTRANGE(""https://docs.google.com/spreadsheets/d/1xmPlrr1QbdSIKvl1dWUl9K4PjAfSL9oeMr_37QVzcxc/edit?usp=sharing"",""สระบุรี!J684"")"),0)</f>
        <v>0</v>
      </c>
      <c r="BH70" s="152">
        <f ca="1">IFERROR(__xludf.DUMMYFUNCTION("IMPORTRANGE(""https://docs.google.com/spreadsheets/d/1xmPlrr1QbdSIKvl1dWUl9K4PjAfSL9oeMr_37QVzcxc/edit?usp=sharing"",""สระบุรี!J685"")"),0)</f>
        <v>0</v>
      </c>
      <c r="BI70" s="152">
        <f ca="1">IFERROR(__xludf.DUMMYFUNCTION("IMPORTRANGE(""https://docs.google.com/spreadsheets/d/1xmPlrr1QbdSIKvl1dWUl9K4PjAfSL9oeMr_37QVzcxc/edit?usp=sharing"",""สระบุรี!J686"")"),0)</f>
        <v>0</v>
      </c>
      <c r="BJ70" s="152">
        <f ca="1">IFERROR(__xludf.DUMMYFUNCTION("IMPORTRANGE(""https://docs.google.com/spreadsheets/d/1xmPlrr1QbdSIKvl1dWUl9K4PjAfSL9oeMr_37QVzcxc/edit?usp=sharing"",""สระบุรี!J687"")"),0)</f>
        <v>0</v>
      </c>
      <c r="BK70" s="152">
        <f ca="1">IFERROR(__xludf.DUMMYFUNCTION("IMPORTRANGE(""https://docs.google.com/spreadsheets/d/1xmPlrr1QbdSIKvl1dWUl9K4PjAfSL9oeMr_37QVzcxc/edit?usp=sharing"",""สระบุรี!J688"")"),0)</f>
        <v>0</v>
      </c>
    </row>
    <row r="71" spans="1:63" ht="19.5" x14ac:dyDescent="0.3">
      <c r="A71" s="70">
        <v>19</v>
      </c>
      <c r="B71" s="71" t="s">
        <v>99</v>
      </c>
      <c r="C71" s="68">
        <f ca="1">IFERROR(__xludf.DUMMYFUNCTION("IMPORTRANGE(""https://docs.google.com/spreadsheets/d/1j51vR6CYVGhABJpv6tkstgok82RLpXieLzW1yOY5rHw/edit?usp=sharing"",""สิงห์บุรี!Q642"")"),7560)</f>
        <v>7560</v>
      </c>
      <c r="D71" s="68">
        <f ca="1">IFERROR(__xludf.DUMMYFUNCTION("IMPORTRANGE(""https://docs.google.com/spreadsheets/d/1j51vR6CYVGhABJpv6tkstgok82RLpXieLzW1yOY5rHw/edit?usp=sharing"",""สิงห์บุรี!R642"")"),7560)</f>
        <v>7560</v>
      </c>
      <c r="E71" s="68">
        <f ca="1">IFERROR(__xludf.DUMMYFUNCTION("IMPORTRANGE(""https://docs.google.com/spreadsheets/d/1j51vR6CYVGhABJpv6tkstgok82RLpXieLzW1yOY5rHw/edit?usp=sharing"",""สิงห์บุรี!S642"")"),3000)</f>
        <v>3000</v>
      </c>
      <c r="F71" s="68">
        <f t="shared" ca="1" si="30"/>
        <v>39.682539682539684</v>
      </c>
      <c r="G71" s="68">
        <f t="shared" ca="1" si="31"/>
        <v>39.682539682539684</v>
      </c>
      <c r="H71" s="278">
        <f ca="1">IFERROR(__xludf.DUMMYFUNCTION("IMPORTRANGE(""https://docs.google.com/spreadsheets/d/1j51vR6CYVGhABJpv6tkstgok82RLpXieLzW1yOY5rHw/edit?usp=sharing"",""สิงห์บุรี!I652"")"),0)</f>
        <v>0</v>
      </c>
      <c r="I71" s="152">
        <f ca="1">IFERROR(__xludf.DUMMYFUNCTION("IMPORTRANGE(""https://docs.google.com/spreadsheets/d/1j51vR6CYVGhABJpv6tkstgok82RLpXieLzW1yOY5rHw/edit?usp=sharing"",""สิงห์บุรี!J652"")"),0)</f>
        <v>0</v>
      </c>
      <c r="J71" s="216">
        <f t="shared" ca="1" si="33"/>
        <v>0</v>
      </c>
      <c r="K71" s="152">
        <f ca="1">IFERROR(__xludf.DUMMYFUNCTION("IMPORTRANGE(""https://docs.google.com/spreadsheets/d/1j51vR6CYVGhABJpv6tkstgok82RLpXieLzW1yOY5rHw/edit?usp=sharing"",""สิงห์บุรี!I653"")"),1)</f>
        <v>1</v>
      </c>
      <c r="L71" s="152">
        <f ca="1">IFERROR(__xludf.DUMMYFUNCTION("IMPORTRANGE(""https://docs.google.com/spreadsheets/d/1j51vR6CYVGhABJpv6tkstgok82RLpXieLzW1yOY5rHw/edit?usp=sharing"",""สิงห์บุรี!J653"")"),0)</f>
        <v>0</v>
      </c>
      <c r="M71" s="216">
        <f t="shared" ca="1" si="35"/>
        <v>0</v>
      </c>
      <c r="N71" s="152">
        <f ca="1">IFERROR(__xludf.DUMMYFUNCTION("IMPORTRANGE(""https://docs.google.com/spreadsheets/d/1j51vR6CYVGhABJpv6tkstgok82RLpXieLzW1yOY5rHw/edit?usp=sharing"",""สิงห์บุรี!I654"")"),0)</f>
        <v>0</v>
      </c>
      <c r="O71" s="152">
        <f ca="1">IFERROR(__xludf.DUMMYFUNCTION("IMPORTRANGE(""https://docs.google.com/spreadsheets/d/1j51vR6CYVGhABJpv6tkstgok82RLpXieLzW1yOY5rHw/edit?usp=sharing"",""สิงห์บุรี!J654"")"),0)</f>
        <v>0</v>
      </c>
      <c r="P71" s="216">
        <f t="shared" ca="1" si="37"/>
        <v>0</v>
      </c>
      <c r="Q71" s="216">
        <f ca="1">IFERROR(__xludf.DUMMYFUNCTION("IMPORTRANGE(""https://docs.google.com/spreadsheets/d/1j51vR6CYVGhABJpv6tkstgok82RLpXieLzW1yOY5rHw/edit?usp=sharing"",""สิงห์บุรี!J655"")"),0)</f>
        <v>0</v>
      </c>
      <c r="R71" s="216">
        <f ca="1">IFERROR(__xludf.DUMMYFUNCTION("IMPORTRANGE(""https://docs.google.com/spreadsheets/d/1j51vR6CYVGhABJpv6tkstgok82RLpXieLzW1yOY5rHw/edit?usp=sharing"",""สิงห์บุรี!J656"")"),0)</f>
        <v>0</v>
      </c>
      <c r="S71" s="216">
        <f ca="1">IFERROR(__xludf.DUMMYFUNCTION("IMPORTRANGE(""https://docs.google.com/spreadsheets/d/1j51vR6CYVGhABJpv6tkstgok82RLpXieLzW1yOY5rHw/edit?usp=sharing"",""สิงห์บุรี!J657"")"),0)</f>
        <v>0</v>
      </c>
      <c r="T71" s="216">
        <f ca="1">IFERROR(__xludf.DUMMYFUNCTION("IMPORTRANGE(""https://docs.google.com/spreadsheets/d/1j51vR6CYVGhABJpv6tkstgok82RLpXieLzW1yOY5rHw/edit?usp=sharing"",""สิงห์บุรี!J658"")"),0)</f>
        <v>0</v>
      </c>
      <c r="U71" s="216">
        <f ca="1">IFERROR(__xludf.DUMMYFUNCTION("IMPORTRANGE(""https://docs.google.com/spreadsheets/d/1j51vR6CYVGhABJpv6tkstgok82RLpXieLzW1yOY5rHw/edit?usp=sharing"",""สิงห์บุรี!J659"")"),0)</f>
        <v>0</v>
      </c>
      <c r="V71" s="216">
        <f ca="1">IFERROR(__xludf.DUMMYFUNCTION("IMPORTRANGE(""https://docs.google.com/spreadsheets/d/1j51vR6CYVGhABJpv6tkstgok82RLpXieLzW1yOY5rHw/edit?usp=sharing"",""สิงห์บุรี!J660"")"),0)</f>
        <v>0</v>
      </c>
      <c r="W71" s="152">
        <f ca="1">IFERROR(__xludf.DUMMYFUNCTION("IMPORTRANGE(""https://docs.google.com/spreadsheets/d/1j51vR6CYVGhABJpv6tkstgok82RLpXieLzW1yOY5rHw/edit?usp=sharing"",""สิงห์บุรี!I661"")"),0)</f>
        <v>0</v>
      </c>
      <c r="X71" s="152">
        <f ca="1">IFERROR(__xludf.DUMMYFUNCTION("IMPORTRANGE(""https://docs.google.com/spreadsheets/d/1j51vR6CYVGhABJpv6tkstgok82RLpXieLzW1yOY5rHw/edit?usp=sharing"",""สิงห์บุรี!J661"")"),0)</f>
        <v>0</v>
      </c>
      <c r="Y71" s="216">
        <f t="shared" ca="1" si="39"/>
        <v>0</v>
      </c>
      <c r="Z71" s="152">
        <f ca="1">IFERROR(__xludf.DUMMYFUNCTION("IMPORTRANGE(""https://docs.google.com/spreadsheets/d/1j51vR6CYVGhABJpv6tkstgok82RLpXieLzW1yOY5rHw/edit?usp=sharing"",""สิงห์บุรี!J662"")"),0)</f>
        <v>0</v>
      </c>
      <c r="AA71" s="152">
        <f ca="1">IFERROR(__xludf.DUMMYFUNCTION("IMPORTRANGE(""https://docs.google.com/spreadsheets/d/1j51vR6CYVGhABJpv6tkstgok82RLpXieLzW1yOY5rHw/edit?usp=sharing"",""สิงห์บุรี!J663"")"),0)</f>
        <v>0</v>
      </c>
      <c r="AB71" s="152">
        <f ca="1">IFERROR(__xludf.DUMMYFUNCTION("IMPORTRANGE(""https://docs.google.com/spreadsheets/d/1j51vR6CYVGhABJpv6tkstgok82RLpXieLzW1yOY5rHw/edit?usp=sharing"",""สิงห์บุรี!J665"")"),0)</f>
        <v>0</v>
      </c>
      <c r="AC71" s="152">
        <f ca="1">IFERROR(__xludf.DUMMYFUNCTION("IMPORTRANGE(""https://docs.google.com/spreadsheets/d/1j51vR6CYVGhABJpv6tkstgok82RLpXieLzW1yOY5rHw/edit?usp=sharing"",""สิงห์บุรี!J666"")"),0)</f>
        <v>0</v>
      </c>
      <c r="AD71" s="152">
        <f ca="1">IFERROR(__xludf.DUMMYFUNCTION("IMPORTRANGE(""https://docs.google.com/spreadsheets/d/1j51vR6CYVGhABJpv6tkstgok82RLpXieLzW1yOY5rHw/edit?usp=sharing"",""สิงห์บุรี!J667"")"),0)</f>
        <v>0</v>
      </c>
      <c r="AE71" s="152">
        <f ca="1">IFERROR(__xludf.DUMMYFUNCTION("IMPORTRANGE(""https://docs.google.com/spreadsheets/d/1j51vR6CYVGhABJpv6tkstgok82RLpXieLzW1yOY5rHw/edit?usp=sharing"",""สิงห์บุรี!J668"")"),0)</f>
        <v>0</v>
      </c>
      <c r="AF71" s="152">
        <f ca="1">IFERROR(__xludf.DUMMYFUNCTION("IMPORTRANGE(""https://docs.google.com/spreadsheets/d/1j51vR6CYVGhABJpv6tkstgok82RLpXieLzW1yOY5rHw/edit?usp=sharing"",""สิงห์บุรี!J669"")"),0)</f>
        <v>0</v>
      </c>
      <c r="AG71" s="152">
        <f ca="1">IFERROR(__xludf.DUMMYFUNCTION("IMPORTRANGE(""https://docs.google.com/spreadsheets/d/1j51vR6CYVGhABJpv6tkstgok82RLpXieLzW1yOY5rHw/edit?usp=sharing"",""สิงห์บุรี!J670"")"),0)</f>
        <v>0</v>
      </c>
      <c r="AH71" s="152">
        <f ca="1">IFERROR(__xludf.DUMMYFUNCTION("IMPORTRANGE(""https://docs.google.com/spreadsheets/d/1j51vR6CYVGhABJpv6tkstgok82RLpXieLzW1yOY5rHw/edit?usp=sharing"",""สิงห์บุรี!I673"")"),69)</f>
        <v>69</v>
      </c>
      <c r="AI71" s="152">
        <f ca="1">IFERROR(__xludf.DUMMYFUNCTION("IMPORTRANGE(""https://docs.google.com/spreadsheets/d/1j51vR6CYVGhABJpv6tkstgok82RLpXieLzW1yOY5rHw/edit?usp=sharing"",""สิงห์บุรี!J671"")"),7)</f>
        <v>7</v>
      </c>
      <c r="AJ71" s="152">
        <f ca="1">IFERROR(__xludf.DUMMYFUNCTION("IMPORTRANGE(""https://docs.google.com/spreadsheets/d/1j51vR6CYVGhABJpv6tkstgok82RLpXieLzW1yOY5rHw/edit?usp=sharing"",""สิงห์บุรี!J672"")"),7)</f>
        <v>7</v>
      </c>
      <c r="AK71" s="152">
        <f ca="1">IFERROR(__xludf.DUMMYFUNCTION("IMPORTRANGE(""https://docs.google.com/spreadsheets/d/1j51vR6CYVGhABJpv6tkstgok82RLpXieLzW1yOY5rHw/edit?usp=sharing"",""สิงห์บุรี!J673"")"),68.96)</f>
        <v>68.959999999999994</v>
      </c>
      <c r="AL71" s="216">
        <f t="shared" ca="1" si="41"/>
        <v>99.942028985507235</v>
      </c>
      <c r="AM71" s="152">
        <f ca="1">IFERROR(__xludf.DUMMYFUNCTION("IMPORTRANGE(""https://docs.google.com/spreadsheets/d/1j51vR6CYVGhABJpv6tkstgok82RLpXieLzW1yOY5rHw/edit?usp=sharing"",""สิงห์บุรี!I674"")"),5)</f>
        <v>5</v>
      </c>
      <c r="AN71" s="152">
        <f ca="1">IFERROR(__xludf.DUMMYFUNCTION("IMPORTRANGE(""https://docs.google.com/spreadsheets/d/1j51vR6CYVGhABJpv6tkstgok82RLpXieLzW1yOY5rHw/edit?usp=sharing"",""สิงห์บุรี!I675"")"),48)</f>
        <v>48</v>
      </c>
      <c r="AO71" s="152">
        <f ca="1">IFERROR(__xludf.DUMMYFUNCTION("IMPORTRANGE(""https://docs.google.com/spreadsheets/d/1j51vR6CYVGhABJpv6tkstgok82RLpXieLzW1yOY5rHw/edit?usp=sharing"",""สิงห์บุรี!J674"")"),4)</f>
        <v>4</v>
      </c>
      <c r="AP71" s="216">
        <f t="shared" ca="1" si="43"/>
        <v>80</v>
      </c>
      <c r="AQ71" s="152">
        <f ca="1">IFERROR(__xludf.DUMMYFUNCTION("IMPORTRANGE(""https://docs.google.com/spreadsheets/d/1j51vR6CYVGhABJpv6tkstgok82RLpXieLzW1yOY5rHw/edit?usp=sharing"",""สิงห์บุรี!J675"")"),36.66)</f>
        <v>36.659999999999997</v>
      </c>
      <c r="AR71" s="216">
        <f t="shared" ca="1" si="44"/>
        <v>76.374999999999986</v>
      </c>
      <c r="AS71" s="152">
        <f ca="1">IFERROR(__xludf.DUMMYFUNCTION("IMPORTRANGE(""https://docs.google.com/spreadsheets/d/1j51vR6CYVGhABJpv6tkstgok82RLpXieLzW1yOY5rHw/edit?usp=sharing"",""สิงห์บุรี!I676"")"),3)</f>
        <v>3</v>
      </c>
      <c r="AT71" s="152">
        <f ca="1">IFERROR(__xludf.DUMMYFUNCTION("IMPORTRANGE(""https://docs.google.com/spreadsheets/d/1j51vR6CYVGhABJpv6tkstgok82RLpXieLzW1yOY5rHw/edit?usp=sharing"",""สิงห์บุรี!I678"")"),31)</f>
        <v>31</v>
      </c>
      <c r="AU71" s="152">
        <f ca="1">IFERROR(__xludf.DUMMYFUNCTION("IMPORTRANGE(""https://docs.google.com/spreadsheets/d/1j51vR6CYVGhABJpv6tkstgok82RLpXieLzW1yOY5rHw/edit?usp=sharing"",""สิงห์บุรี!J676"")"),2)</f>
        <v>2</v>
      </c>
      <c r="AV71" s="152">
        <f ca="1">IFERROR(__xludf.DUMMYFUNCTION("IMPORTRANGE(""https://docs.google.com/spreadsheets/d/1j51vR6CYVGhABJpv6tkstgok82RLpXieLzW1yOY5rHw/edit?usp=sharing"",""สิงห์บุรี!J677"")"),2)</f>
        <v>2</v>
      </c>
      <c r="AW71" s="152">
        <f ca="1">IFERROR(__xludf.DUMMYFUNCTION("IMPORTRANGE(""https://docs.google.com/spreadsheets/d/1j51vR6CYVGhABJpv6tkstgok82RLpXieLzW1yOY5rHw/edit?usp=sharing"",""สิงห์บุรี!J678"")"),16.66)</f>
        <v>16.66</v>
      </c>
      <c r="AX71" s="152">
        <f ca="1">IFERROR(__xludf.DUMMYFUNCTION("IMPORTRANGE(""https://docs.google.com/spreadsheets/d/1j51vR6CYVGhABJpv6tkstgok82RLpXieLzW1yOY5rHw/edit?usp=sharing"",""สิงห์บุรี!I679"")"),2)</f>
        <v>2</v>
      </c>
      <c r="AY71" s="152">
        <f ca="1">IFERROR(__xludf.DUMMYFUNCTION("IMPORTRANGE(""https://docs.google.com/spreadsheets/d/1j51vR6CYVGhABJpv6tkstgok82RLpXieLzW1yOY5rHw/edit?usp=sharing"",""สิงห์บุรี!I681"")"),17)</f>
        <v>17</v>
      </c>
      <c r="AZ71" s="152">
        <f ca="1">IFERROR(__xludf.DUMMYFUNCTION("IMPORTRANGE(""https://docs.google.com/spreadsheets/d/1j51vR6CYVGhABJpv6tkstgok82RLpXieLzW1yOY5rHw/edit?usp=sharing"",""สิงห์บุรี!J679"")"),2)</f>
        <v>2</v>
      </c>
      <c r="BA71" s="152">
        <f ca="1">IFERROR(__xludf.DUMMYFUNCTION("IMPORTRANGE(""https://docs.google.com/spreadsheets/d/1j51vR6CYVGhABJpv6tkstgok82RLpXieLzW1yOY5rHw/edit?usp=sharing"",""สิงห์บุรี!J680"")"),2)</f>
        <v>2</v>
      </c>
      <c r="BB71" s="152">
        <f ca="1">IFERROR(__xludf.DUMMYFUNCTION("IMPORTRANGE(""https://docs.google.com/spreadsheets/d/1j51vR6CYVGhABJpv6tkstgok82RLpXieLzW1yOY5rHw/edit?usp=sharing"",""สิงห์บุรี!J681"")"),20)</f>
        <v>20</v>
      </c>
      <c r="BC71" s="152">
        <f ca="1">IFERROR(__xludf.DUMMYFUNCTION("IMPORTRANGE(""https://docs.google.com/spreadsheets/d/1j51vR6CYVGhABJpv6tkstgok82RLpXieLzW1yOY5rHw/edit?usp=sharing"",""สิงห์บุรี!I682"")"),0)</f>
        <v>0</v>
      </c>
      <c r="BD71" s="152">
        <f ca="1">IFERROR(__xludf.DUMMYFUNCTION("IMPORTRANGE(""https://docs.google.com/spreadsheets/d/1j51vR6CYVGhABJpv6tkstgok82RLpXieLzW1yOY5rHw/edit?usp=sharing"",""สิงห์บุรี!J682"")"),0)</f>
        <v>0</v>
      </c>
      <c r="BE71" s="216">
        <f t="shared" ca="1" si="46"/>
        <v>0</v>
      </c>
      <c r="BF71" s="152">
        <f ca="1">IFERROR(__xludf.DUMMYFUNCTION("IMPORTRANGE(""https://docs.google.com/spreadsheets/d/1j51vR6CYVGhABJpv6tkstgok82RLpXieLzW1yOY5rHw/edit?usp=sharing"",""สิงห์บุรี!J683"")"),0)</f>
        <v>0</v>
      </c>
      <c r="BG71" s="152">
        <f ca="1">IFERROR(__xludf.DUMMYFUNCTION("IMPORTRANGE(""https://docs.google.com/spreadsheets/d/1j51vR6CYVGhABJpv6tkstgok82RLpXieLzW1yOY5rHw/edit?usp=sharing"",""สิงห์บุรี!J684"")"),0)</f>
        <v>0</v>
      </c>
      <c r="BH71" s="152">
        <f ca="1">IFERROR(__xludf.DUMMYFUNCTION("IMPORTRANGE(""https://docs.google.com/spreadsheets/d/1j51vR6CYVGhABJpv6tkstgok82RLpXieLzW1yOY5rHw/edit?usp=sharing"",""สิงห์บุรี!J685"")"),0)</f>
        <v>0</v>
      </c>
      <c r="BI71" s="152">
        <f ca="1">IFERROR(__xludf.DUMMYFUNCTION("IMPORTRANGE(""https://docs.google.com/spreadsheets/d/1j51vR6CYVGhABJpv6tkstgok82RLpXieLzW1yOY5rHw/edit?usp=sharing"",""สิงห์บุรี!J686"")"),0)</f>
        <v>0</v>
      </c>
      <c r="BJ71" s="152">
        <f ca="1">IFERROR(__xludf.DUMMYFUNCTION("IMPORTRANGE(""https://docs.google.com/spreadsheets/d/1j51vR6CYVGhABJpv6tkstgok82RLpXieLzW1yOY5rHw/edit?usp=sharing"",""สิงห์บุรี!J687"")"),0)</f>
        <v>0</v>
      </c>
      <c r="BK71" s="152">
        <f ca="1">IFERROR(__xludf.DUMMYFUNCTION("IMPORTRANGE(""https://docs.google.com/spreadsheets/d/1j51vR6CYVGhABJpv6tkstgok82RLpXieLzW1yOY5rHw/edit?usp=sharing"",""สิงห์บุรี!J688"")"),0)</f>
        <v>0</v>
      </c>
    </row>
    <row r="72" spans="1:63" ht="19.5" x14ac:dyDescent="0.3">
      <c r="A72" s="70">
        <v>20</v>
      </c>
      <c r="B72" s="71" t="s">
        <v>100</v>
      </c>
      <c r="C72" s="68">
        <f ca="1">IFERROR(__xludf.DUMMYFUNCTION("IMPORTRANGE(""https://docs.google.com/spreadsheets/d/1H1EalTWKUSzO4Z1-1CwzoDUaVffgrThEBe2sl74kKG0/edit?usp=sharing"",""สุพรรณบุรี!Q642"")"),14600)</f>
        <v>14600</v>
      </c>
      <c r="D72" s="68">
        <f ca="1">IFERROR(__xludf.DUMMYFUNCTION("IMPORTRANGE(""https://docs.google.com/spreadsheets/d/1H1EalTWKUSzO4Z1-1CwzoDUaVffgrThEBe2sl74kKG0/edit?usp=sharing"",""สุพรรณบุรี!R642"")"),14600)</f>
        <v>14600</v>
      </c>
      <c r="E72" s="68">
        <f ca="1">IFERROR(__xludf.DUMMYFUNCTION("IMPORTRANGE(""https://docs.google.com/spreadsheets/d/1H1EalTWKUSzO4Z1-1CwzoDUaVffgrThEBe2sl74kKG0/edit?usp=sharing"",""สุพรรณบุรี!S642"")"),0)</f>
        <v>0</v>
      </c>
      <c r="F72" s="68">
        <f t="shared" ca="1" si="30"/>
        <v>0</v>
      </c>
      <c r="G72" s="68">
        <f t="shared" ca="1" si="31"/>
        <v>0</v>
      </c>
      <c r="H72" s="278">
        <f ca="1">IFERROR(__xludf.DUMMYFUNCTION("IMPORTRANGE(""https://docs.google.com/spreadsheets/d/1H1EalTWKUSzO4Z1-1CwzoDUaVffgrThEBe2sl74kKG0/edit?usp=sharing"",""สุพรรณบุรี!I652"")"),0)</f>
        <v>0</v>
      </c>
      <c r="I72" s="152">
        <f ca="1">IFERROR(__xludf.DUMMYFUNCTION("IMPORTRANGE(""https://docs.google.com/spreadsheets/d/1H1EalTWKUSzO4Z1-1CwzoDUaVffgrThEBe2sl74kKG0/edit?usp=sharing"",""สุพรรณบุรี!J652"")"),73.3)</f>
        <v>73.3</v>
      </c>
      <c r="J72" s="216">
        <f t="shared" ca="1" si="33"/>
        <v>0</v>
      </c>
      <c r="K72" s="152">
        <f ca="1">IFERROR(__xludf.DUMMYFUNCTION("IMPORTRANGE(""https://docs.google.com/spreadsheets/d/1H1EalTWKUSzO4Z1-1CwzoDUaVffgrThEBe2sl74kKG0/edit?usp=sharing"",""สุพรรณบุรี!I653"")"),0)</f>
        <v>0</v>
      </c>
      <c r="L72" s="152">
        <f ca="1">IFERROR(__xludf.DUMMYFUNCTION("IMPORTRANGE(""https://docs.google.com/spreadsheets/d/1H1EalTWKUSzO4Z1-1CwzoDUaVffgrThEBe2sl74kKG0/edit?usp=sharing"",""สุพรรณบุรี!J653"")"),0)</f>
        <v>0</v>
      </c>
      <c r="M72" s="216">
        <f t="shared" ca="1" si="35"/>
        <v>0</v>
      </c>
      <c r="N72" s="152">
        <f ca="1">IFERROR(__xludf.DUMMYFUNCTION("IMPORTRANGE(""https://docs.google.com/spreadsheets/d/1H1EalTWKUSzO4Z1-1CwzoDUaVffgrThEBe2sl74kKG0/edit?usp=sharing"",""สุพรรณบุรี!I654"")"),0)</f>
        <v>0</v>
      </c>
      <c r="O72" s="152">
        <f ca="1">IFERROR(__xludf.DUMMYFUNCTION("IMPORTRANGE(""https://docs.google.com/spreadsheets/d/1H1EalTWKUSzO4Z1-1CwzoDUaVffgrThEBe2sl74kKG0/edit?usp=sharing"",""สุพรรณบุรี!J654"")"),0)</f>
        <v>0</v>
      </c>
      <c r="P72" s="216">
        <f t="shared" ca="1" si="37"/>
        <v>0</v>
      </c>
      <c r="Q72" s="216">
        <f ca="1">IFERROR(__xludf.DUMMYFUNCTION("IMPORTRANGE(""https://docs.google.com/spreadsheets/d/1H1EalTWKUSzO4Z1-1CwzoDUaVffgrThEBe2sl74kKG0/edit?usp=sharing"",""สุพรรณบุรี!J655"")"),0)</f>
        <v>0</v>
      </c>
      <c r="R72" s="216">
        <f ca="1">IFERROR(__xludf.DUMMYFUNCTION("IMPORTRANGE(""https://docs.google.com/spreadsheets/d/1H1EalTWKUSzO4Z1-1CwzoDUaVffgrThEBe2sl74kKG0/edit?usp=sharing"",""สุพรรณบุรี!J656"")"),0)</f>
        <v>0</v>
      </c>
      <c r="S72" s="216">
        <f ca="1">IFERROR(__xludf.DUMMYFUNCTION("IMPORTRANGE(""https://docs.google.com/spreadsheets/d/1H1EalTWKUSzO4Z1-1CwzoDUaVffgrThEBe2sl74kKG0/edit?usp=sharing"",""สุพรรณบุรี!J657"")"),0)</f>
        <v>0</v>
      </c>
      <c r="T72" s="216">
        <f ca="1">IFERROR(__xludf.DUMMYFUNCTION("IMPORTRANGE(""https://docs.google.com/spreadsheets/d/1H1EalTWKUSzO4Z1-1CwzoDUaVffgrThEBe2sl74kKG0/edit?usp=sharing"",""สุพรรณบุรี!J658"")"),0)</f>
        <v>0</v>
      </c>
      <c r="U72" s="216">
        <f ca="1">IFERROR(__xludf.DUMMYFUNCTION("IMPORTRANGE(""https://docs.google.com/spreadsheets/d/1H1EalTWKUSzO4Z1-1CwzoDUaVffgrThEBe2sl74kKG0/edit?usp=sharing"",""สุพรรณบุรี!J659"")"),0)</f>
        <v>0</v>
      </c>
      <c r="V72" s="216">
        <f ca="1">IFERROR(__xludf.DUMMYFUNCTION("IMPORTRANGE(""https://docs.google.com/spreadsheets/d/1H1EalTWKUSzO4Z1-1CwzoDUaVffgrThEBe2sl74kKG0/edit?usp=sharing"",""สุพรรณบุรี!J660"")"),0)</f>
        <v>0</v>
      </c>
      <c r="W72" s="152">
        <f ca="1">IFERROR(__xludf.DUMMYFUNCTION("IMPORTRANGE(""https://docs.google.com/spreadsheets/d/1H1EalTWKUSzO4Z1-1CwzoDUaVffgrThEBe2sl74kKG0/edit?usp=sharing"",""สุพรรณบุรี!I661"")"),80)</f>
        <v>80</v>
      </c>
      <c r="X72" s="152">
        <f ca="1">IFERROR(__xludf.DUMMYFUNCTION("IMPORTRANGE(""https://docs.google.com/spreadsheets/d/1H1EalTWKUSzO4Z1-1CwzoDUaVffgrThEBe2sl74kKG0/edit?usp=sharing"",""สุพรรณบุรี!J661"")"),79)</f>
        <v>79</v>
      </c>
      <c r="Y72" s="216">
        <f t="shared" ca="1" si="39"/>
        <v>98.75</v>
      </c>
      <c r="Z72" s="152">
        <f ca="1">IFERROR(__xludf.DUMMYFUNCTION("IMPORTRANGE(""https://docs.google.com/spreadsheets/d/1H1EalTWKUSzO4Z1-1CwzoDUaVffgrThEBe2sl74kKG0/edit?usp=sharing"",""สุพรรณบุรี!J662"")"),0)</f>
        <v>0</v>
      </c>
      <c r="AA72" s="152">
        <f ca="1">IFERROR(__xludf.DUMMYFUNCTION("IMPORTRANGE(""https://docs.google.com/spreadsheets/d/1H1EalTWKUSzO4Z1-1CwzoDUaVffgrThEBe2sl74kKG0/edit?usp=sharing"",""สุพรรณบุรี!J663"")"),0)</f>
        <v>0</v>
      </c>
      <c r="AB72" s="152">
        <f ca="1">IFERROR(__xludf.DUMMYFUNCTION("IMPORTRANGE(""https://docs.google.com/spreadsheets/d/1H1EalTWKUSzO4Z1-1CwzoDUaVffgrThEBe2sl74kKG0/edit?usp=sharing"",""สุพรรณบุรี!J665"")"),0)</f>
        <v>0</v>
      </c>
      <c r="AC72" s="152">
        <f ca="1">IFERROR(__xludf.DUMMYFUNCTION("IMPORTRANGE(""https://docs.google.com/spreadsheets/d/1H1EalTWKUSzO4Z1-1CwzoDUaVffgrThEBe2sl74kKG0/edit?usp=sharing"",""สุพรรณบุรี!J666"")"),5)</f>
        <v>5</v>
      </c>
      <c r="AD72" s="152">
        <f ca="1">IFERROR(__xludf.DUMMYFUNCTION("IMPORTRANGE(""https://docs.google.com/spreadsheets/d/1H1EalTWKUSzO4Z1-1CwzoDUaVffgrThEBe2sl74kKG0/edit?usp=sharing"",""สุพรรณบุรี!J667"")"),79)</f>
        <v>79</v>
      </c>
      <c r="AE72" s="215">
        <f ca="1">IFERROR(__xludf.DUMMYFUNCTION("IMPORTRANGE(""https://docs.google.com/spreadsheets/d/1H1EalTWKUSzO4Z1-1CwzoDUaVffgrThEBe2sl74kKG0/edit?usp=sharing"",""สุพรรณบุรี!J668"")"),0)</f>
        <v>0</v>
      </c>
      <c r="AF72" s="152">
        <f ca="1">IFERROR(__xludf.DUMMYFUNCTION("IMPORTRANGE(""https://docs.google.com/spreadsheets/d/1H1EalTWKUSzO4Z1-1CwzoDUaVffgrThEBe2sl74kKG0/edit?usp=sharing"",""สุพรรณบุรี!J669"")"),0)</f>
        <v>0</v>
      </c>
      <c r="AG72" s="152">
        <f ca="1">IFERROR(__xludf.DUMMYFUNCTION("IMPORTRANGE(""https://docs.google.com/spreadsheets/d/1H1EalTWKUSzO4Z1-1CwzoDUaVffgrThEBe2sl74kKG0/edit?usp=sharing"",""สุพรรณบุรี!J670"")"),0)</f>
        <v>0</v>
      </c>
      <c r="AH72" s="152">
        <f ca="1">IFERROR(__xludf.DUMMYFUNCTION("IMPORTRANGE(""https://docs.google.com/spreadsheets/d/1H1EalTWKUSzO4Z1-1CwzoDUaVffgrThEBe2sl74kKG0/edit?usp=sharing"",""สุพรรณบุรี!I673"")"),120)</f>
        <v>120</v>
      </c>
      <c r="AI72" s="152">
        <f ca="1">IFERROR(__xludf.DUMMYFUNCTION("IMPORTRANGE(""https://docs.google.com/spreadsheets/d/1H1EalTWKUSzO4Z1-1CwzoDUaVffgrThEBe2sl74kKG0/edit?usp=sharing"",""สุพรรณบุรี!J671"")"),4)</f>
        <v>4</v>
      </c>
      <c r="AJ72" s="152">
        <f ca="1">IFERROR(__xludf.DUMMYFUNCTION("IMPORTRANGE(""https://docs.google.com/spreadsheets/d/1H1EalTWKUSzO4Z1-1CwzoDUaVffgrThEBe2sl74kKG0/edit?usp=sharing"",""สุพรรณบุรี!J672"")"),4)</f>
        <v>4</v>
      </c>
      <c r="AK72" s="152">
        <f ca="1">IFERROR(__xludf.DUMMYFUNCTION("IMPORTRANGE(""https://docs.google.com/spreadsheets/d/1H1EalTWKUSzO4Z1-1CwzoDUaVffgrThEBe2sl74kKG0/edit?usp=sharing"",""สุพรรณบุรี!J673"")"),83.85)</f>
        <v>83.85</v>
      </c>
      <c r="AL72" s="216">
        <f t="shared" ca="1" si="41"/>
        <v>69.875</v>
      </c>
      <c r="AM72" s="152">
        <f ca="1">IFERROR(__xludf.DUMMYFUNCTION("IMPORTRANGE(""https://docs.google.com/spreadsheets/d/1H1EalTWKUSzO4Z1-1CwzoDUaVffgrThEBe2sl74kKG0/edit?usp=sharing"",""สุพรรณบุรี!I674"")"),10)</f>
        <v>10</v>
      </c>
      <c r="AN72" s="152">
        <f ca="1">IFERROR(__xludf.DUMMYFUNCTION("IMPORTRANGE(""https://docs.google.com/spreadsheets/d/1H1EalTWKUSzO4Z1-1CwzoDUaVffgrThEBe2sl74kKG0/edit?usp=sharing"",""สุพรรณบุรี!I675"")"),100)</f>
        <v>100</v>
      </c>
      <c r="AO72" s="152">
        <f ca="1">IFERROR(__xludf.DUMMYFUNCTION("IMPORTRANGE(""https://docs.google.com/spreadsheets/d/1H1EalTWKUSzO4Z1-1CwzoDUaVffgrThEBe2sl74kKG0/edit?usp=sharing"",""สุพรรณบุรี!J674"")"),4)</f>
        <v>4</v>
      </c>
      <c r="AP72" s="216">
        <f t="shared" ca="1" si="43"/>
        <v>40</v>
      </c>
      <c r="AQ72" s="152">
        <f ca="1">IFERROR(__xludf.DUMMYFUNCTION("IMPORTRANGE(""https://docs.google.com/spreadsheets/d/1H1EalTWKUSzO4Z1-1CwzoDUaVffgrThEBe2sl74kKG0/edit?usp=sharing"",""สุพรรณบุรี!J675"")"),31.02)</f>
        <v>31.02</v>
      </c>
      <c r="AR72" s="216">
        <f t="shared" ca="1" si="44"/>
        <v>31.02</v>
      </c>
      <c r="AS72" s="152">
        <f ca="1">IFERROR(__xludf.DUMMYFUNCTION("IMPORTRANGE(""https://docs.google.com/spreadsheets/d/1H1EalTWKUSzO4Z1-1CwzoDUaVffgrThEBe2sl74kKG0/edit?usp=sharing"",""สุพรรณบุรี!I676"")"),10)</f>
        <v>10</v>
      </c>
      <c r="AT72" s="152">
        <f ca="1">IFERROR(__xludf.DUMMYFUNCTION("IMPORTRANGE(""https://docs.google.com/spreadsheets/d/1H1EalTWKUSzO4Z1-1CwzoDUaVffgrThEBe2sl74kKG0/edit?usp=sharing"",""สุพรรณบุรี!I678"")"),100)</f>
        <v>100</v>
      </c>
      <c r="AU72" s="152">
        <f ca="1">IFERROR(__xludf.DUMMYFUNCTION("IMPORTRANGE(""https://docs.google.com/spreadsheets/d/1H1EalTWKUSzO4Z1-1CwzoDUaVffgrThEBe2sl74kKG0/edit?usp=sharing"",""สุพรรณบุรี!J676"")"),4)</f>
        <v>4</v>
      </c>
      <c r="AV72" s="152">
        <f ca="1">IFERROR(__xludf.DUMMYFUNCTION("IMPORTRANGE(""https://docs.google.com/spreadsheets/d/1H1EalTWKUSzO4Z1-1CwzoDUaVffgrThEBe2sl74kKG0/edit?usp=sharing"",""สุพรรณบุรี!J677"")"),5)</f>
        <v>5</v>
      </c>
      <c r="AW72" s="152">
        <f ca="1">IFERROR(__xludf.DUMMYFUNCTION("IMPORTRANGE(""https://docs.google.com/spreadsheets/d/1H1EalTWKUSzO4Z1-1CwzoDUaVffgrThEBe2sl74kKG0/edit?usp=sharing"",""สุพรรณบุรี!J678"")"),31.02)</f>
        <v>31.02</v>
      </c>
      <c r="AX72" s="152">
        <f ca="1">IFERROR(__xludf.DUMMYFUNCTION("IMPORTRANGE(""https://docs.google.com/spreadsheets/d/1H1EalTWKUSzO4Z1-1CwzoDUaVffgrThEBe2sl74kKG0/edit?usp=sharing"",""สุพรรณบุรี!I679"")"),0)</f>
        <v>0</v>
      </c>
      <c r="AY72" s="152">
        <f ca="1">IFERROR(__xludf.DUMMYFUNCTION("IMPORTRANGE(""https://docs.google.com/spreadsheets/d/1H1EalTWKUSzO4Z1-1CwzoDUaVffgrThEBe2sl74kKG0/edit?usp=sharing"",""สุพรรณบุรี!I681"")"),0)</f>
        <v>0</v>
      </c>
      <c r="AZ72" s="152">
        <f ca="1">IFERROR(__xludf.DUMMYFUNCTION("IMPORTRANGE(""https://docs.google.com/spreadsheets/d/1H1EalTWKUSzO4Z1-1CwzoDUaVffgrThEBe2sl74kKG0/edit?usp=sharing"",""สุพรรณบุรี!J679"")"),0)</f>
        <v>0</v>
      </c>
      <c r="BA72" s="152">
        <f ca="1">IFERROR(__xludf.DUMMYFUNCTION("IMPORTRANGE(""https://docs.google.com/spreadsheets/d/1H1EalTWKUSzO4Z1-1CwzoDUaVffgrThEBe2sl74kKG0/edit?usp=sharing"",""สุพรรณบุรี!J680"")"),0)</f>
        <v>0</v>
      </c>
      <c r="BB72" s="152">
        <f ca="1">IFERROR(__xludf.DUMMYFUNCTION("IMPORTRANGE(""https://docs.google.com/spreadsheets/d/1H1EalTWKUSzO4Z1-1CwzoDUaVffgrThEBe2sl74kKG0/edit?usp=sharing"",""สุพรรณบุรี!J681"")"),0)</f>
        <v>0</v>
      </c>
      <c r="BC72" s="152">
        <f ca="1">IFERROR(__xludf.DUMMYFUNCTION("IMPORTRANGE(""https://docs.google.com/spreadsheets/d/1H1EalTWKUSzO4Z1-1CwzoDUaVffgrThEBe2sl74kKG0/edit?usp=sharing"",""สุพรรณบุรี!I682"")"),20)</f>
        <v>20</v>
      </c>
      <c r="BD72" s="152">
        <f ca="1">IFERROR(__xludf.DUMMYFUNCTION("IMPORTRANGE(""https://docs.google.com/spreadsheets/d/1H1EalTWKUSzO4Z1-1CwzoDUaVffgrThEBe2sl74kKG0/edit?usp=sharing"",""สุพรรณบุรี!J682"")"),20)</f>
        <v>20</v>
      </c>
      <c r="BE72" s="216">
        <f t="shared" ca="1" si="46"/>
        <v>100</v>
      </c>
      <c r="BF72" s="152">
        <f ca="1">IFERROR(__xludf.DUMMYFUNCTION("IMPORTRANGE(""https://docs.google.com/spreadsheets/d/1H1EalTWKUSzO4Z1-1CwzoDUaVffgrThEBe2sl74kKG0/edit?usp=sharing"",""สุพรรณบุรี!J683"")"),0)</f>
        <v>0</v>
      </c>
      <c r="BG72" s="152">
        <f ca="1">IFERROR(__xludf.DUMMYFUNCTION("IMPORTRANGE(""https://docs.google.com/spreadsheets/d/1H1EalTWKUSzO4Z1-1CwzoDUaVffgrThEBe2sl74kKG0/edit?usp=sharing"",""สุพรรณบุรี!J684"")"),0)</f>
        <v>0</v>
      </c>
      <c r="BH72" s="152">
        <f ca="1">IFERROR(__xludf.DUMMYFUNCTION("IMPORTRANGE(""https://docs.google.com/spreadsheets/d/1H1EalTWKUSzO4Z1-1CwzoDUaVffgrThEBe2sl74kKG0/edit?usp=sharing"",""สุพรรณบุรี!J685"")"),0)</f>
        <v>0</v>
      </c>
      <c r="BI72" s="152">
        <f ca="1">IFERROR(__xludf.DUMMYFUNCTION("IMPORTRANGE(""https://docs.google.com/spreadsheets/d/1H1EalTWKUSzO4Z1-1CwzoDUaVffgrThEBe2sl74kKG0/edit?usp=sharing"",""สุพรรณบุรี!J686"")"),1)</f>
        <v>1</v>
      </c>
      <c r="BJ72" s="152">
        <f ca="1">IFERROR(__xludf.DUMMYFUNCTION("IMPORTRANGE(""https://docs.google.com/spreadsheets/d/1H1EalTWKUSzO4Z1-1CwzoDUaVffgrThEBe2sl74kKG0/edit?usp=sharing"",""สุพรรณบุรี!J687"")"),1)</f>
        <v>1</v>
      </c>
      <c r="BK72" s="152">
        <f ca="1">IFERROR(__xludf.DUMMYFUNCTION("IMPORTRANGE(""https://docs.google.com/spreadsheets/d/1H1EalTWKUSzO4Z1-1CwzoDUaVffgrThEBe2sl74kKG0/edit?usp=sharing"",""สุพรรณบุรี!J688"")"),20)</f>
        <v>20</v>
      </c>
    </row>
    <row r="73" spans="1:63" ht="19.5" x14ac:dyDescent="0.3">
      <c r="A73" s="80">
        <v>21</v>
      </c>
      <c r="B73" s="81" t="s">
        <v>101</v>
      </c>
      <c r="C73" s="89">
        <f ca="1">IFERROR(__xludf.DUMMYFUNCTION("IMPORTRANGE(""https://docs.google.com/spreadsheets/d/1BmIruG_sIrJLYao_Pdr7zVArWsfoBt2692TMi6x_854/edit?usp=sharing"",""อ่างทอง!Q642"")"),15160)</f>
        <v>15160</v>
      </c>
      <c r="D73" s="89">
        <f ca="1">IFERROR(__xludf.DUMMYFUNCTION("IMPORTRANGE(""https://docs.google.com/spreadsheets/d/1BmIruG_sIrJLYao_Pdr7zVArWsfoBt2692TMi6x_854/edit?usp=sharing"",""อ่างทอง!R642"")"),15160)</f>
        <v>15160</v>
      </c>
      <c r="E73" s="89">
        <f ca="1">IFERROR(__xludf.DUMMYFUNCTION("IMPORTRANGE(""https://docs.google.com/spreadsheets/d/1BmIruG_sIrJLYao_Pdr7zVArWsfoBt2692TMi6x_854/edit?usp=sharing"",""อ่างทอง!S642"")"),3340)</f>
        <v>3340</v>
      </c>
      <c r="F73" s="89">
        <f t="shared" ca="1" si="30"/>
        <v>22.031662269129288</v>
      </c>
      <c r="G73" s="89">
        <f t="shared" ca="1" si="31"/>
        <v>22.031662269129288</v>
      </c>
      <c r="H73" s="280">
        <f ca="1">IFERROR(__xludf.DUMMYFUNCTION("IMPORTRANGE(""https://docs.google.com/spreadsheets/d/1BmIruG_sIrJLYao_Pdr7zVArWsfoBt2692TMi6x_854/edit?usp=sharing"",""อ่างทอง!I652"")"),0)</f>
        <v>0</v>
      </c>
      <c r="I73" s="191">
        <f ca="1">IFERROR(__xludf.DUMMYFUNCTION("IMPORTRANGE(""https://docs.google.com/spreadsheets/d/1BmIruG_sIrJLYao_Pdr7zVArWsfoBt2692TMi6x_854/edit?usp=sharing"",""อ่างทอง!J652"")"),0)</f>
        <v>0</v>
      </c>
      <c r="J73" s="218">
        <f t="shared" ca="1" si="33"/>
        <v>0</v>
      </c>
      <c r="K73" s="191">
        <f ca="1">IFERROR(__xludf.DUMMYFUNCTION("IMPORTRANGE(""https://docs.google.com/spreadsheets/d/1BmIruG_sIrJLYao_Pdr7zVArWsfoBt2692TMi6x_854/edit?usp=sharing"",""อ่างทอง!I653"")"),41)</f>
        <v>41</v>
      </c>
      <c r="L73" s="191">
        <f ca="1">IFERROR(__xludf.DUMMYFUNCTION("IMPORTRANGE(""https://docs.google.com/spreadsheets/d/1BmIruG_sIrJLYao_Pdr7zVArWsfoBt2692TMi6x_854/edit?usp=sharing"",""อ่างทอง!J653"")"),0)</f>
        <v>0</v>
      </c>
      <c r="M73" s="218">
        <f t="shared" ca="1" si="35"/>
        <v>0</v>
      </c>
      <c r="N73" s="191">
        <f ca="1">IFERROR(__xludf.DUMMYFUNCTION("IMPORTRANGE(""https://docs.google.com/spreadsheets/d/1BmIruG_sIrJLYao_Pdr7zVArWsfoBt2692TMi6x_854/edit?usp=sharing"",""อ่างทอง!I654"")"),0)</f>
        <v>0</v>
      </c>
      <c r="O73" s="191">
        <f ca="1">IFERROR(__xludf.DUMMYFUNCTION("IMPORTRANGE(""https://docs.google.com/spreadsheets/d/1BmIruG_sIrJLYao_Pdr7zVArWsfoBt2692TMi6x_854/edit?usp=sharing"",""อ่างทอง!J654"")"),0)</f>
        <v>0</v>
      </c>
      <c r="P73" s="218">
        <f t="shared" ca="1" si="37"/>
        <v>0</v>
      </c>
      <c r="Q73" s="218">
        <f ca="1">IFERROR(__xludf.DUMMYFUNCTION("IMPORTRANGE(""https://docs.google.com/spreadsheets/d/1BmIruG_sIrJLYao_Pdr7zVArWsfoBt2692TMi6x_854/edit?usp=sharing"",""อ่างทอง!J655"")"),0)</f>
        <v>0</v>
      </c>
      <c r="R73" s="218">
        <f ca="1">IFERROR(__xludf.DUMMYFUNCTION("IMPORTRANGE(""https://docs.google.com/spreadsheets/d/1BmIruG_sIrJLYao_Pdr7zVArWsfoBt2692TMi6x_854/edit?usp=sharing"",""อ่างทอง!J656"")"),0)</f>
        <v>0</v>
      </c>
      <c r="S73" s="218">
        <f ca="1">IFERROR(__xludf.DUMMYFUNCTION("IMPORTRANGE(""https://docs.google.com/spreadsheets/d/1BmIruG_sIrJLYao_Pdr7zVArWsfoBt2692TMi6x_854/edit?usp=sharing"",""อ่างทอง!J657"")"),0)</f>
        <v>0</v>
      </c>
      <c r="T73" s="218">
        <f ca="1">IFERROR(__xludf.DUMMYFUNCTION("IMPORTRANGE(""https://docs.google.com/spreadsheets/d/1BmIruG_sIrJLYao_Pdr7zVArWsfoBt2692TMi6x_854/edit?usp=sharing"",""อ่างทอง!J658"")"),0)</f>
        <v>0</v>
      </c>
      <c r="U73" s="218">
        <f ca="1">IFERROR(__xludf.DUMMYFUNCTION("IMPORTRANGE(""https://docs.google.com/spreadsheets/d/1BmIruG_sIrJLYao_Pdr7zVArWsfoBt2692TMi6x_854/edit?usp=sharing"",""อ่างทอง!J659"")"),0)</f>
        <v>0</v>
      </c>
      <c r="V73" s="218">
        <f ca="1">IFERROR(__xludf.DUMMYFUNCTION("IMPORTRANGE(""https://docs.google.com/spreadsheets/d/1BmIruG_sIrJLYao_Pdr7zVArWsfoBt2692TMi6x_854/edit?usp=sharing"",""อ่างทอง!J660"")"),0)</f>
        <v>0</v>
      </c>
      <c r="W73" s="191">
        <f ca="1">IFERROR(__xludf.DUMMYFUNCTION("IMPORTRANGE(""https://docs.google.com/spreadsheets/d/1BmIruG_sIrJLYao_Pdr7zVArWsfoBt2692TMi6x_854/edit?usp=sharing"",""อ่างทอง!I661"")"),228)</f>
        <v>228</v>
      </c>
      <c r="X73" s="191">
        <f ca="1">IFERROR(__xludf.DUMMYFUNCTION("IMPORTRANGE(""https://docs.google.com/spreadsheets/d/1BmIruG_sIrJLYao_Pdr7zVArWsfoBt2692TMi6x_854/edit?usp=sharing"",""อ่างทอง!J661"")"),0)</f>
        <v>0</v>
      </c>
      <c r="Y73" s="218">
        <f t="shared" ca="1" si="39"/>
        <v>0</v>
      </c>
      <c r="Z73" s="191">
        <f ca="1">IFERROR(__xludf.DUMMYFUNCTION("IMPORTRANGE(""https://docs.google.com/spreadsheets/d/1BmIruG_sIrJLYao_Pdr7zVArWsfoBt2692TMi6x_854/edit?usp=sharing"",""อ่างทอง!J662"")"),41)</f>
        <v>41</v>
      </c>
      <c r="AA73" s="191">
        <f ca="1">IFERROR(__xludf.DUMMYFUNCTION("IMPORTRANGE(""https://docs.google.com/spreadsheets/d/1BmIruG_sIrJLYao_Pdr7zVArWsfoBt2692TMi6x_854/edit?usp=sharing"",""อ่างทอง!J663"")"),0)</f>
        <v>0</v>
      </c>
      <c r="AB73" s="191">
        <f ca="1">IFERROR(__xludf.DUMMYFUNCTION("IMPORTRANGE(""https://docs.google.com/spreadsheets/d/1BmIruG_sIrJLYao_Pdr7zVArWsfoBt2692TMi6x_854/edit?usp=sharing"",""อ่างทอง!J665"")"),56)</f>
        <v>56</v>
      </c>
      <c r="AC73" s="191">
        <f ca="1">IFERROR(__xludf.DUMMYFUNCTION("IMPORTRANGE(""https://docs.google.com/spreadsheets/d/1BmIruG_sIrJLYao_Pdr7zVArWsfoBt2692TMi6x_854/edit?usp=sharing"",""อ่างทอง!J666"")"),0)</f>
        <v>0</v>
      </c>
      <c r="AD73" s="191">
        <f ca="1">IFERROR(__xludf.DUMMYFUNCTION("IMPORTRANGE(""https://docs.google.com/spreadsheets/d/1BmIruG_sIrJLYao_Pdr7zVArWsfoBt2692TMi6x_854/edit?usp=sharing"",""อ่างทอง!J667"")"),0)</f>
        <v>0</v>
      </c>
      <c r="AE73" s="191">
        <f ca="1">IFERROR(__xludf.DUMMYFUNCTION("IMPORTRANGE(""https://docs.google.com/spreadsheets/d/1BmIruG_sIrJLYao_Pdr7zVArWsfoBt2692TMi6x_854/edit?usp=sharing"",""อ่างทอง!J668"")"),0)</f>
        <v>0</v>
      </c>
      <c r="AF73" s="191">
        <f ca="1">IFERROR(__xludf.DUMMYFUNCTION("IMPORTRANGE(""https://docs.google.com/spreadsheets/d/1BmIruG_sIrJLYao_Pdr7zVArWsfoBt2692TMi6x_854/edit?usp=sharing"",""อ่างทอง!J669"")"),0)</f>
        <v>0</v>
      </c>
      <c r="AG73" s="191">
        <f ca="1">IFERROR(__xludf.DUMMYFUNCTION("IMPORTRANGE(""https://docs.google.com/spreadsheets/d/1BmIruG_sIrJLYao_Pdr7zVArWsfoBt2692TMi6x_854/edit?usp=sharing"",""อ่างทอง!J670"")"),0)</f>
        <v>0</v>
      </c>
      <c r="AH73" s="191">
        <f ca="1">IFERROR(__xludf.DUMMYFUNCTION("IMPORTRANGE(""https://docs.google.com/spreadsheets/d/1BmIruG_sIrJLYao_Pdr7zVArWsfoBt2692TMi6x_854/edit?usp=sharing"",""อ่างทอง!I673"")"),0)</f>
        <v>0</v>
      </c>
      <c r="AI73" s="191">
        <f ca="1">IFERROR(__xludf.DUMMYFUNCTION("IMPORTRANGE(""https://docs.google.com/spreadsheets/d/1BmIruG_sIrJLYao_Pdr7zVArWsfoBt2692TMi6x_854/edit?usp=sharing"",""อ่างทอง!J671"")"),0)</f>
        <v>0</v>
      </c>
      <c r="AJ73" s="191">
        <f ca="1">IFERROR(__xludf.DUMMYFUNCTION("IMPORTRANGE(""https://docs.google.com/spreadsheets/d/1BmIruG_sIrJLYao_Pdr7zVArWsfoBt2692TMi6x_854/edit?usp=sharing"",""อ่างทอง!J672"")"),0)</f>
        <v>0</v>
      </c>
      <c r="AK73" s="191">
        <f ca="1">IFERROR(__xludf.DUMMYFUNCTION("IMPORTRANGE(""https://docs.google.com/spreadsheets/d/1BmIruG_sIrJLYao_Pdr7zVArWsfoBt2692TMi6x_854/edit?usp=sharing"",""อ่างทอง!J673"")"),0)</f>
        <v>0</v>
      </c>
      <c r="AL73" s="218">
        <f t="shared" ca="1" si="41"/>
        <v>0</v>
      </c>
      <c r="AM73" s="191">
        <f ca="1">IFERROR(__xludf.DUMMYFUNCTION("IMPORTRANGE(""https://docs.google.com/spreadsheets/d/1BmIruG_sIrJLYao_Pdr7zVArWsfoBt2692TMi6x_854/edit?usp=sharing"",""อ่างทอง!I674"")"),1)</f>
        <v>1</v>
      </c>
      <c r="AN73" s="191">
        <f ca="1">IFERROR(__xludf.DUMMYFUNCTION("IMPORTRANGE(""https://docs.google.com/spreadsheets/d/1BmIruG_sIrJLYao_Pdr7zVArWsfoBt2692TMi6x_854/edit?usp=sharing"",""อ่างทอง!I675"")"),6)</f>
        <v>6</v>
      </c>
      <c r="AO73" s="191">
        <f ca="1">IFERROR(__xludf.DUMMYFUNCTION("IMPORTRANGE(""https://docs.google.com/spreadsheets/d/1BmIruG_sIrJLYao_Pdr7zVArWsfoBt2692TMi6x_854/edit?usp=sharing"",""อ่างทอง!J674"")"),0)</f>
        <v>0</v>
      </c>
      <c r="AP73" s="218">
        <f t="shared" ca="1" si="43"/>
        <v>0</v>
      </c>
      <c r="AQ73" s="191">
        <f ca="1">IFERROR(__xludf.DUMMYFUNCTION("IMPORTRANGE(""https://docs.google.com/spreadsheets/d/1BmIruG_sIrJLYao_Pdr7zVArWsfoBt2692TMi6x_854/edit?usp=sharing"",""อ่างทอง!J675"")"),0)</f>
        <v>0</v>
      </c>
      <c r="AR73" s="218">
        <f t="shared" ca="1" si="44"/>
        <v>0</v>
      </c>
      <c r="AS73" s="191">
        <f ca="1">IFERROR(__xludf.DUMMYFUNCTION("IMPORTRANGE(""https://docs.google.com/spreadsheets/d/1BmIruG_sIrJLYao_Pdr7zVArWsfoBt2692TMi6x_854/edit?usp=sharing"",""อ่างทอง!I676"")"),1)</f>
        <v>1</v>
      </c>
      <c r="AT73" s="191">
        <f ca="1">IFERROR(__xludf.DUMMYFUNCTION("IMPORTRANGE(""https://docs.google.com/spreadsheets/d/1BmIruG_sIrJLYao_Pdr7zVArWsfoBt2692TMi6x_854/edit?usp=sharing"",""อ่างทอง!I678"")"),6)</f>
        <v>6</v>
      </c>
      <c r="AU73" s="191">
        <f ca="1">IFERROR(__xludf.DUMMYFUNCTION("IMPORTRANGE(""https://docs.google.com/spreadsheets/d/1BmIruG_sIrJLYao_Pdr7zVArWsfoBt2692TMi6x_854/edit?usp=sharing"",""อ่างทอง!J676"")"),0)</f>
        <v>0</v>
      </c>
      <c r="AV73" s="191">
        <f ca="1">IFERROR(__xludf.DUMMYFUNCTION("IMPORTRANGE(""https://docs.google.com/spreadsheets/d/1BmIruG_sIrJLYao_Pdr7zVArWsfoBt2692TMi6x_854/edit?usp=sharing"",""อ่างทอง!J677"")"),0)</f>
        <v>0</v>
      </c>
      <c r="AW73" s="191">
        <f ca="1">IFERROR(__xludf.DUMMYFUNCTION("IMPORTRANGE(""https://docs.google.com/spreadsheets/d/1BmIruG_sIrJLYao_Pdr7zVArWsfoBt2692TMi6x_854/edit?usp=sharing"",""อ่างทอง!J678"")"),0)</f>
        <v>0</v>
      </c>
      <c r="AX73" s="191">
        <f ca="1">IFERROR(__xludf.DUMMYFUNCTION("IMPORTRANGE(""https://docs.google.com/spreadsheets/d/1BmIruG_sIrJLYao_Pdr7zVArWsfoBt2692TMi6x_854/edit?usp=sharing"",""อ่างทอง!I679"")"),0)</f>
        <v>0</v>
      </c>
      <c r="AY73" s="191">
        <f ca="1">IFERROR(__xludf.DUMMYFUNCTION("IMPORTRANGE(""https://docs.google.com/spreadsheets/d/1BmIruG_sIrJLYao_Pdr7zVArWsfoBt2692TMi6x_854/edit?usp=sharing"",""อ่างทอง!I681"")"),0)</f>
        <v>0</v>
      </c>
      <c r="AZ73" s="191">
        <f ca="1">IFERROR(__xludf.DUMMYFUNCTION("IMPORTRANGE(""https://docs.google.com/spreadsheets/d/1BmIruG_sIrJLYao_Pdr7zVArWsfoBt2692TMi6x_854/edit?usp=sharing"",""อ่างทอง!J679"")"),0)</f>
        <v>0</v>
      </c>
      <c r="BA73" s="191">
        <f ca="1">IFERROR(__xludf.DUMMYFUNCTION("IMPORTRANGE(""https://docs.google.com/spreadsheets/d/1BmIruG_sIrJLYao_Pdr7zVArWsfoBt2692TMi6x_854/edit?usp=sharing"",""อ่างทอง!J680"")"),0)</f>
        <v>0</v>
      </c>
      <c r="BB73" s="191">
        <f ca="1">IFERROR(__xludf.DUMMYFUNCTION("IMPORTRANGE(""https://docs.google.com/spreadsheets/d/1BmIruG_sIrJLYao_Pdr7zVArWsfoBt2692TMi6x_854/edit?usp=sharing"",""อ่างทอง!J681"")"),0)</f>
        <v>0</v>
      </c>
      <c r="BC73" s="191">
        <f ca="1">IFERROR(__xludf.DUMMYFUNCTION("IMPORTRANGE(""https://docs.google.com/spreadsheets/d/1BmIruG_sIrJLYao_Pdr7zVArWsfoBt2692TMi6x_854/edit?usp=sharing"",""อ่างทอง!I682"")"),0)</f>
        <v>0</v>
      </c>
      <c r="BD73" s="191">
        <f ca="1">IFERROR(__xludf.DUMMYFUNCTION("IMPORTRANGE(""https://docs.google.com/spreadsheets/d/1BmIruG_sIrJLYao_Pdr7zVArWsfoBt2692TMi6x_854/edit?usp=sharing"",""อ่างทอง!J682"")"),0)</f>
        <v>0</v>
      </c>
      <c r="BE73" s="218">
        <f t="shared" ca="1" si="46"/>
        <v>0</v>
      </c>
      <c r="BF73" s="191">
        <f ca="1">IFERROR(__xludf.DUMMYFUNCTION("IMPORTRANGE(""https://docs.google.com/spreadsheets/d/1BmIruG_sIrJLYao_Pdr7zVArWsfoBt2692TMi6x_854/edit?usp=sharing"",""อ่างทอง!J683"")"),0)</f>
        <v>0</v>
      </c>
      <c r="BG73" s="191">
        <f ca="1">IFERROR(__xludf.DUMMYFUNCTION("IMPORTRANGE(""https://docs.google.com/spreadsheets/d/1BmIruG_sIrJLYao_Pdr7zVArWsfoBt2692TMi6x_854/edit?usp=sharing"",""อ่างทอง!J684"")"),0)</f>
        <v>0</v>
      </c>
      <c r="BH73" s="191">
        <f ca="1">IFERROR(__xludf.DUMMYFUNCTION("IMPORTRANGE(""https://docs.google.com/spreadsheets/d/1BmIruG_sIrJLYao_Pdr7zVArWsfoBt2692TMi6x_854/edit?usp=sharing"",""อ่างทอง!J685"")"),0)</f>
        <v>0</v>
      </c>
      <c r="BI73" s="191">
        <f ca="1">IFERROR(__xludf.DUMMYFUNCTION("IMPORTRANGE(""https://docs.google.com/spreadsheets/d/1BmIruG_sIrJLYao_Pdr7zVArWsfoBt2692TMi6x_854/edit?usp=sharing"",""อ่างทอง!J686"")"),0)</f>
        <v>0</v>
      </c>
      <c r="BJ73" s="191">
        <f ca="1">IFERROR(__xludf.DUMMYFUNCTION("IMPORTRANGE(""https://docs.google.com/spreadsheets/d/1BmIruG_sIrJLYao_Pdr7zVArWsfoBt2692TMi6x_854/edit?usp=sharing"",""อ่างทอง!J687"")"),0)</f>
        <v>0</v>
      </c>
      <c r="BK73" s="191">
        <f ca="1">IFERROR(__xludf.DUMMYFUNCTION("IMPORTRANGE(""https://docs.google.com/spreadsheets/d/1BmIruG_sIrJLYao_Pdr7zVArWsfoBt2692TMi6x_854/edit?usp=sharing"",""อ่างทอง!J688"")"),0)</f>
        <v>0</v>
      </c>
    </row>
    <row r="74" spans="1:63" ht="19.5" x14ac:dyDescent="0.3">
      <c r="A74" s="664" t="s">
        <v>102</v>
      </c>
      <c r="B74" s="647"/>
      <c r="C74" s="94">
        <f t="shared" ref="C74:E74" ca="1" si="66">SUM(C75:C88)</f>
        <v>8200</v>
      </c>
      <c r="D74" s="94">
        <f t="shared" ca="1" si="66"/>
        <v>8200</v>
      </c>
      <c r="E74" s="94">
        <f t="shared" ca="1" si="66"/>
        <v>0</v>
      </c>
      <c r="F74" s="94">
        <f t="shared" ca="1" si="30"/>
        <v>0</v>
      </c>
      <c r="G74" s="94">
        <f t="shared" ca="1" si="31"/>
        <v>0</v>
      </c>
      <c r="H74" s="281">
        <f t="shared" ref="H74:I74" ca="1" si="67">SUM(H75:H88)</f>
        <v>0</v>
      </c>
      <c r="I74" s="369">
        <f t="shared" ca="1" si="67"/>
        <v>0</v>
      </c>
      <c r="J74" s="94">
        <f t="shared" ca="1" si="33"/>
        <v>0</v>
      </c>
      <c r="K74" s="161">
        <f t="shared" ref="K74:L74" ca="1" si="68">SUM(K75:K88)</f>
        <v>60</v>
      </c>
      <c r="L74" s="369">
        <f t="shared" ca="1" si="68"/>
        <v>0</v>
      </c>
      <c r="M74" s="94">
        <f t="shared" ca="1" si="35"/>
        <v>0</v>
      </c>
      <c r="N74" s="161">
        <f t="shared" ref="N74:O74" ca="1" si="69">SUM(N75:N88)</f>
        <v>0</v>
      </c>
      <c r="O74" s="161">
        <f t="shared" ca="1" si="69"/>
        <v>0</v>
      </c>
      <c r="P74" s="94">
        <f t="shared" ca="1" si="37"/>
        <v>0</v>
      </c>
      <c r="Q74" s="94">
        <f t="shared" ref="Q74:X74" ca="1" si="70">SUM(Q75:Q88)</f>
        <v>0</v>
      </c>
      <c r="R74" s="94">
        <f t="shared" ca="1" si="70"/>
        <v>0</v>
      </c>
      <c r="S74" s="94">
        <f t="shared" ca="1" si="70"/>
        <v>0</v>
      </c>
      <c r="T74" s="94">
        <f t="shared" ca="1" si="70"/>
        <v>0</v>
      </c>
      <c r="U74" s="94">
        <f t="shared" ca="1" si="70"/>
        <v>0</v>
      </c>
      <c r="V74" s="94">
        <f t="shared" ca="1" si="70"/>
        <v>0</v>
      </c>
      <c r="W74" s="161">
        <f t="shared" ca="1" si="70"/>
        <v>0</v>
      </c>
      <c r="X74" s="161">
        <f t="shared" ca="1" si="70"/>
        <v>0</v>
      </c>
      <c r="Y74" s="94">
        <f t="shared" ca="1" si="39"/>
        <v>0</v>
      </c>
      <c r="Z74" s="161">
        <f t="shared" ref="Z74:AK74" ca="1" si="71">SUM(Z75:Z88)</f>
        <v>0</v>
      </c>
      <c r="AA74" s="161">
        <f t="shared" ca="1" si="71"/>
        <v>0</v>
      </c>
      <c r="AB74" s="161">
        <f t="shared" ca="1" si="71"/>
        <v>0</v>
      </c>
      <c r="AC74" s="161">
        <f t="shared" ca="1" si="71"/>
        <v>0</v>
      </c>
      <c r="AD74" s="161">
        <f t="shared" ca="1" si="71"/>
        <v>0</v>
      </c>
      <c r="AE74" s="161">
        <f t="shared" ca="1" si="71"/>
        <v>0</v>
      </c>
      <c r="AF74" s="161">
        <f t="shared" ca="1" si="71"/>
        <v>0</v>
      </c>
      <c r="AG74" s="161">
        <f t="shared" ca="1" si="71"/>
        <v>0</v>
      </c>
      <c r="AH74" s="161">
        <f t="shared" ca="1" si="71"/>
        <v>0</v>
      </c>
      <c r="AI74" s="369">
        <f t="shared" ca="1" si="71"/>
        <v>0</v>
      </c>
      <c r="AJ74" s="369">
        <f t="shared" ca="1" si="71"/>
        <v>0</v>
      </c>
      <c r="AK74" s="369">
        <f t="shared" ca="1" si="71"/>
        <v>0</v>
      </c>
      <c r="AL74" s="94">
        <f t="shared" ca="1" si="41"/>
        <v>0</v>
      </c>
      <c r="AM74" s="161">
        <f t="shared" ref="AM74:AO74" ca="1" si="72">SUM(AM75:AM88)</f>
        <v>0</v>
      </c>
      <c r="AN74" s="161">
        <f t="shared" ca="1" si="72"/>
        <v>0</v>
      </c>
      <c r="AO74" s="369">
        <f t="shared" ca="1" si="72"/>
        <v>0</v>
      </c>
      <c r="AP74" s="94">
        <f t="shared" ca="1" si="43"/>
        <v>0</v>
      </c>
      <c r="AQ74" s="369">
        <f ca="1">SUM(AQ75:AQ88)</f>
        <v>0</v>
      </c>
      <c r="AR74" s="94">
        <f t="shared" ca="1" si="44"/>
        <v>0</v>
      </c>
      <c r="AS74" s="161">
        <f t="shared" ref="AS74:BD74" ca="1" si="73">SUM(AS75:AS88)</f>
        <v>0</v>
      </c>
      <c r="AT74" s="161">
        <f t="shared" ca="1" si="73"/>
        <v>0</v>
      </c>
      <c r="AU74" s="369">
        <f t="shared" ca="1" si="73"/>
        <v>0</v>
      </c>
      <c r="AV74" s="369">
        <f t="shared" ca="1" si="73"/>
        <v>0</v>
      </c>
      <c r="AW74" s="369">
        <f t="shared" ca="1" si="73"/>
        <v>0</v>
      </c>
      <c r="AX74" s="161">
        <f t="shared" ca="1" si="73"/>
        <v>0</v>
      </c>
      <c r="AY74" s="161">
        <f t="shared" ca="1" si="73"/>
        <v>0</v>
      </c>
      <c r="AZ74" s="369">
        <f t="shared" ca="1" si="73"/>
        <v>0</v>
      </c>
      <c r="BA74" s="369">
        <f t="shared" ca="1" si="73"/>
        <v>0</v>
      </c>
      <c r="BB74" s="369">
        <f t="shared" ca="1" si="73"/>
        <v>0</v>
      </c>
      <c r="BC74" s="161">
        <f t="shared" ca="1" si="73"/>
        <v>0</v>
      </c>
      <c r="BD74" s="161">
        <f t="shared" ca="1" si="73"/>
        <v>0</v>
      </c>
      <c r="BE74" s="94">
        <f t="shared" ca="1" si="46"/>
        <v>0</v>
      </c>
      <c r="BF74" s="161">
        <f t="shared" ref="BF74:BK74" ca="1" si="74">SUM(BF75:BF88)</f>
        <v>0</v>
      </c>
      <c r="BG74" s="161">
        <f t="shared" ca="1" si="74"/>
        <v>0</v>
      </c>
      <c r="BH74" s="161">
        <f t="shared" ca="1" si="74"/>
        <v>0</v>
      </c>
      <c r="BI74" s="161">
        <f t="shared" ca="1" si="74"/>
        <v>0</v>
      </c>
      <c r="BJ74" s="161">
        <f t="shared" ca="1" si="74"/>
        <v>0</v>
      </c>
      <c r="BK74" s="161">
        <f t="shared" ca="1" si="74"/>
        <v>0</v>
      </c>
    </row>
    <row r="75" spans="1:63" ht="19.5" x14ac:dyDescent="0.3">
      <c r="A75" s="58">
        <v>1</v>
      </c>
      <c r="B75" s="59" t="s">
        <v>103</v>
      </c>
      <c r="C75" s="68">
        <f ca="1">IFERROR(__xludf.DUMMYFUNCTION("IMPORTRANGE(""https://docs.google.com/spreadsheets/d/1kKUcYdkIfrgTSj8iHHHB2MD2FAtwyyocFgqGQn6ADyI/edit?usp=sharing"",""กระบี่!Q642"")"),0)</f>
        <v>0</v>
      </c>
      <c r="D75" s="68">
        <f ca="1">IFERROR(__xludf.DUMMYFUNCTION("IMPORTRANGE(""https://docs.google.com/spreadsheets/d/1kKUcYdkIfrgTSj8iHHHB2MD2FAtwyyocFgqGQn6ADyI/edit?usp=sharing"",""กระบี่!R642"")"),0)</f>
        <v>0</v>
      </c>
      <c r="E75" s="68">
        <f ca="1">IFERROR(__xludf.DUMMYFUNCTION("IMPORTRANGE(""https://docs.google.com/spreadsheets/d/1kKUcYdkIfrgTSj8iHHHB2MD2FAtwyyocFgqGQn6ADyI/edit?usp=sharing"",""กระบี่!S642"")"),0)</f>
        <v>0</v>
      </c>
      <c r="F75" s="68">
        <f t="shared" ca="1" si="30"/>
        <v>0</v>
      </c>
      <c r="G75" s="68">
        <f t="shared" ca="1" si="31"/>
        <v>0</v>
      </c>
      <c r="H75" s="278">
        <f ca="1">IFERROR(__xludf.DUMMYFUNCTION("IMPORTRANGE(""https://docs.google.com/spreadsheets/d/1kKUcYdkIfrgTSj8iHHHB2MD2FAtwyyocFgqGQn6ADyI/edit?usp=sharing"",""กระบี่!I652"")"),0)</f>
        <v>0</v>
      </c>
      <c r="I75" s="152">
        <f ca="1">IFERROR(__xludf.DUMMYFUNCTION("IMPORTRANGE(""https://docs.google.com/spreadsheets/d/1kKUcYdkIfrgTSj8iHHHB2MD2FAtwyyocFgqGQn6ADyI/edit?usp=sharing"",""กระบี่!J652"")"),0)</f>
        <v>0</v>
      </c>
      <c r="J75" s="216">
        <f t="shared" ca="1" si="33"/>
        <v>0</v>
      </c>
      <c r="K75" s="152">
        <f ca="1">IFERROR(__xludf.DUMMYFUNCTION("IMPORTRANGE(""https://docs.google.com/spreadsheets/d/1kKUcYdkIfrgTSj8iHHHB2MD2FAtwyyocFgqGQn6ADyI/edit?usp=sharing"",""กระบี่!I653"")"),0)</f>
        <v>0</v>
      </c>
      <c r="L75" s="152">
        <f ca="1">IFERROR(__xludf.DUMMYFUNCTION("IMPORTRANGE(""https://docs.google.com/spreadsheets/d/1kKUcYdkIfrgTSj8iHHHB2MD2FAtwyyocFgqGQn6ADyI/edit?usp=sharing"",""กระบี่!J653"")"),0)</f>
        <v>0</v>
      </c>
      <c r="M75" s="216">
        <f t="shared" ca="1" si="35"/>
        <v>0</v>
      </c>
      <c r="N75" s="152">
        <f ca="1">IFERROR(__xludf.DUMMYFUNCTION("IMPORTRANGE(""https://docs.google.com/spreadsheets/d/1kKUcYdkIfrgTSj8iHHHB2MD2FAtwyyocFgqGQn6ADyI/edit?usp=sharing"",""กระบี่!I654"")"),0)</f>
        <v>0</v>
      </c>
      <c r="O75" s="152">
        <f ca="1">IFERROR(__xludf.DUMMYFUNCTION("IMPORTRANGE(""https://docs.google.com/spreadsheets/d/1kKUcYdkIfrgTSj8iHHHB2MD2FAtwyyocFgqGQn6ADyI/edit?usp=sharing"",""กระบี่!J654"")"),0)</f>
        <v>0</v>
      </c>
      <c r="P75" s="216">
        <f t="shared" ca="1" si="37"/>
        <v>0</v>
      </c>
      <c r="Q75" s="216">
        <f ca="1">IFERROR(__xludf.DUMMYFUNCTION("IMPORTRANGE(""https://docs.google.com/spreadsheets/d/1kKUcYdkIfrgTSj8iHHHB2MD2FAtwyyocFgqGQn6ADyI/edit?usp=sharing"",""กระบี่!J655"")"),0)</f>
        <v>0</v>
      </c>
      <c r="R75" s="216">
        <f ca="1">IFERROR(__xludf.DUMMYFUNCTION("IMPORTRANGE(""https://docs.google.com/spreadsheets/d/1kKUcYdkIfrgTSj8iHHHB2MD2FAtwyyocFgqGQn6ADyI/edit?usp=sharing"",""กระบี่!J656"")"),0)</f>
        <v>0</v>
      </c>
      <c r="S75" s="216">
        <f ca="1">IFERROR(__xludf.DUMMYFUNCTION("IMPORTRANGE(""https://docs.google.com/spreadsheets/d/1kKUcYdkIfrgTSj8iHHHB2MD2FAtwyyocFgqGQn6ADyI/edit?usp=sharing"",""กระบี่!J657"")"),0)</f>
        <v>0</v>
      </c>
      <c r="T75" s="216">
        <f ca="1">IFERROR(__xludf.DUMMYFUNCTION("IMPORTRANGE(""https://docs.google.com/spreadsheets/d/1kKUcYdkIfrgTSj8iHHHB2MD2FAtwyyocFgqGQn6ADyI/edit?usp=sharing"",""กระบี่!J658"")"),0)</f>
        <v>0</v>
      </c>
      <c r="U75" s="216">
        <f ca="1">IFERROR(__xludf.DUMMYFUNCTION("IMPORTRANGE(""https://docs.google.com/spreadsheets/d/1kKUcYdkIfrgTSj8iHHHB2MD2FAtwyyocFgqGQn6ADyI/edit?usp=sharing"",""กระบี่!J659"")"),0)</f>
        <v>0</v>
      </c>
      <c r="V75" s="216">
        <f ca="1">IFERROR(__xludf.DUMMYFUNCTION("IMPORTRANGE(""https://docs.google.com/spreadsheets/d/1kKUcYdkIfrgTSj8iHHHB2MD2FAtwyyocFgqGQn6ADyI/edit?usp=sharing"",""กระบี่!J660"")"),0)</f>
        <v>0</v>
      </c>
      <c r="W75" s="152">
        <f ca="1">IFERROR(__xludf.DUMMYFUNCTION("IMPORTRANGE(""https://docs.google.com/spreadsheets/d/1kKUcYdkIfrgTSj8iHHHB2MD2FAtwyyocFgqGQn6ADyI/edit?usp=sharing"",""กระบี่!I661"")"),0)</f>
        <v>0</v>
      </c>
      <c r="X75" s="152">
        <f ca="1">IFERROR(__xludf.DUMMYFUNCTION("IMPORTRANGE(""https://docs.google.com/spreadsheets/d/1kKUcYdkIfrgTSj8iHHHB2MD2FAtwyyocFgqGQn6ADyI/edit?usp=sharing"",""กระบี่!J661"")"),0)</f>
        <v>0</v>
      </c>
      <c r="Y75" s="216">
        <f t="shared" ca="1" si="39"/>
        <v>0</v>
      </c>
      <c r="Z75" s="152">
        <f ca="1">IFERROR(__xludf.DUMMYFUNCTION("IMPORTRANGE(""https://docs.google.com/spreadsheets/d/1kKUcYdkIfrgTSj8iHHHB2MD2FAtwyyocFgqGQn6ADyI/edit?usp=sharing"",""กระบี่!J662"")"),0)</f>
        <v>0</v>
      </c>
      <c r="AA75" s="152">
        <f ca="1">IFERROR(__xludf.DUMMYFUNCTION("IMPORTRANGE(""https://docs.google.com/spreadsheets/d/1kKUcYdkIfrgTSj8iHHHB2MD2FAtwyyocFgqGQn6ADyI/edit?usp=sharing"",""กระบี่!J663"")"),0)</f>
        <v>0</v>
      </c>
      <c r="AB75" s="152">
        <f ca="1">IFERROR(__xludf.DUMMYFUNCTION("IMPORTRANGE(""https://docs.google.com/spreadsheets/d/1kKUcYdkIfrgTSj8iHHHB2MD2FAtwyyocFgqGQn6ADyI/edit?usp=sharing"",""กระบี่!J665"")"),0)</f>
        <v>0</v>
      </c>
      <c r="AC75" s="152">
        <f ca="1">IFERROR(__xludf.DUMMYFUNCTION("IMPORTRANGE(""https://docs.google.com/spreadsheets/d/1kKUcYdkIfrgTSj8iHHHB2MD2FAtwyyocFgqGQn6ADyI/edit?usp=sharing"",""กระบี่!J666"")"),0)</f>
        <v>0</v>
      </c>
      <c r="AD75" s="152">
        <f ca="1">IFERROR(__xludf.DUMMYFUNCTION("IMPORTRANGE(""https://docs.google.com/spreadsheets/d/1kKUcYdkIfrgTSj8iHHHB2MD2FAtwyyocFgqGQn6ADyI/edit?usp=sharing"",""กระบี่!J667"")"),0)</f>
        <v>0</v>
      </c>
      <c r="AE75" s="152">
        <f ca="1">IFERROR(__xludf.DUMMYFUNCTION("IMPORTRANGE(""https://docs.google.com/spreadsheets/d/1kKUcYdkIfrgTSj8iHHHB2MD2FAtwyyocFgqGQn6ADyI/edit?usp=sharing"",""กระบี่!J668"")"),0)</f>
        <v>0</v>
      </c>
      <c r="AF75" s="152">
        <f ca="1">IFERROR(__xludf.DUMMYFUNCTION("IMPORTRANGE(""https://docs.google.com/spreadsheets/d/1kKUcYdkIfrgTSj8iHHHB2MD2FAtwyyocFgqGQn6ADyI/edit?usp=sharing"",""กระบี่!J669"")"),0)</f>
        <v>0</v>
      </c>
      <c r="AG75" s="152">
        <f ca="1">IFERROR(__xludf.DUMMYFUNCTION("IMPORTRANGE(""https://docs.google.com/spreadsheets/d/1kKUcYdkIfrgTSj8iHHHB2MD2FAtwyyocFgqGQn6ADyI/edit?usp=sharing"",""กระบี่!J670"")"),0)</f>
        <v>0</v>
      </c>
      <c r="AH75" s="152">
        <f ca="1">IFERROR(__xludf.DUMMYFUNCTION("IMPORTRANGE(""https://docs.google.com/spreadsheets/d/1kKUcYdkIfrgTSj8iHHHB2MD2FAtwyyocFgqGQn6ADyI/edit?usp=sharing"",""กระบี่!I673"")"),0)</f>
        <v>0</v>
      </c>
      <c r="AI75" s="152">
        <f ca="1">IFERROR(__xludf.DUMMYFUNCTION("IMPORTRANGE(""https://docs.google.com/spreadsheets/d/1kKUcYdkIfrgTSj8iHHHB2MD2FAtwyyocFgqGQn6ADyI/edit?usp=sharing"",""กระบี่!J671"")"),0)</f>
        <v>0</v>
      </c>
      <c r="AJ75" s="152">
        <f ca="1">IFERROR(__xludf.DUMMYFUNCTION("IMPORTRANGE(""https://docs.google.com/spreadsheets/d/1kKUcYdkIfrgTSj8iHHHB2MD2FAtwyyocFgqGQn6ADyI/edit?usp=sharing"",""กระบี่!J672"")"),0)</f>
        <v>0</v>
      </c>
      <c r="AK75" s="152">
        <f ca="1">IFERROR(__xludf.DUMMYFUNCTION("IMPORTRANGE(""https://docs.google.com/spreadsheets/d/1kKUcYdkIfrgTSj8iHHHB2MD2FAtwyyocFgqGQn6ADyI/edit?usp=sharing"",""กระบี่!J673"")"),0)</f>
        <v>0</v>
      </c>
      <c r="AL75" s="216">
        <f t="shared" ca="1" si="41"/>
        <v>0</v>
      </c>
      <c r="AM75" s="152">
        <f ca="1">IFERROR(__xludf.DUMMYFUNCTION("IMPORTRANGE(""https://docs.google.com/spreadsheets/d/1kKUcYdkIfrgTSj8iHHHB2MD2FAtwyyocFgqGQn6ADyI/edit?usp=sharing"",""กระบี่!I674"")"),0)</f>
        <v>0</v>
      </c>
      <c r="AN75" s="152">
        <f ca="1">IFERROR(__xludf.DUMMYFUNCTION("IMPORTRANGE(""https://docs.google.com/spreadsheets/d/1kKUcYdkIfrgTSj8iHHHB2MD2FAtwyyocFgqGQn6ADyI/edit?usp=sharing"",""กระบี่!I675"")"),0)</f>
        <v>0</v>
      </c>
      <c r="AO75" s="152">
        <f ca="1">IFERROR(__xludf.DUMMYFUNCTION("IMPORTRANGE(""https://docs.google.com/spreadsheets/d/1kKUcYdkIfrgTSj8iHHHB2MD2FAtwyyocFgqGQn6ADyI/edit?usp=sharing"",""กระบี่!J674"")"),0)</f>
        <v>0</v>
      </c>
      <c r="AP75" s="216">
        <f t="shared" ca="1" si="43"/>
        <v>0</v>
      </c>
      <c r="AQ75" s="152">
        <f ca="1">IFERROR(__xludf.DUMMYFUNCTION("IMPORTRANGE(""https://docs.google.com/spreadsheets/d/1kKUcYdkIfrgTSj8iHHHB2MD2FAtwyyocFgqGQn6ADyI/edit?usp=sharing"",""กระบี่!J675"")"),0)</f>
        <v>0</v>
      </c>
      <c r="AR75" s="216">
        <f t="shared" ca="1" si="44"/>
        <v>0</v>
      </c>
      <c r="AS75" s="152">
        <f ca="1">IFERROR(__xludf.DUMMYFUNCTION("IMPORTRANGE(""https://docs.google.com/spreadsheets/d/1kKUcYdkIfrgTSj8iHHHB2MD2FAtwyyocFgqGQn6ADyI/edit?usp=sharing"",""กระบี่!I676"")"),0)</f>
        <v>0</v>
      </c>
      <c r="AT75" s="152">
        <f ca="1">IFERROR(__xludf.DUMMYFUNCTION("IMPORTRANGE(""https://docs.google.com/spreadsheets/d/1kKUcYdkIfrgTSj8iHHHB2MD2FAtwyyocFgqGQn6ADyI/edit?usp=sharing"",""กระบี่!I678"")"),0)</f>
        <v>0</v>
      </c>
      <c r="AU75" s="152">
        <f ca="1">IFERROR(__xludf.DUMMYFUNCTION("IMPORTRANGE(""https://docs.google.com/spreadsheets/d/1kKUcYdkIfrgTSj8iHHHB2MD2FAtwyyocFgqGQn6ADyI/edit?usp=sharing"",""กระบี่!J676"")"),0)</f>
        <v>0</v>
      </c>
      <c r="AV75" s="152">
        <f ca="1">IFERROR(__xludf.DUMMYFUNCTION("IMPORTRANGE(""https://docs.google.com/spreadsheets/d/1kKUcYdkIfrgTSj8iHHHB2MD2FAtwyyocFgqGQn6ADyI/edit?usp=sharing"",""กระบี่!J677"")"),0)</f>
        <v>0</v>
      </c>
      <c r="AW75" s="152">
        <f ca="1">IFERROR(__xludf.DUMMYFUNCTION("IMPORTRANGE(""https://docs.google.com/spreadsheets/d/1kKUcYdkIfrgTSj8iHHHB2MD2FAtwyyocFgqGQn6ADyI/edit?usp=sharing"",""กระบี่!J678"")"),0)</f>
        <v>0</v>
      </c>
      <c r="AX75" s="152">
        <f ca="1">IFERROR(__xludf.DUMMYFUNCTION("IMPORTRANGE(""https://docs.google.com/spreadsheets/d/1kKUcYdkIfrgTSj8iHHHB2MD2FAtwyyocFgqGQn6ADyI/edit?usp=sharing"",""กระบี่!I679"")"),0)</f>
        <v>0</v>
      </c>
      <c r="AY75" s="152">
        <f ca="1">IFERROR(__xludf.DUMMYFUNCTION("IMPORTRANGE(""https://docs.google.com/spreadsheets/d/1kKUcYdkIfrgTSj8iHHHB2MD2FAtwyyocFgqGQn6ADyI/edit?usp=sharing"",""กระบี่!I681"")"),0)</f>
        <v>0</v>
      </c>
      <c r="AZ75" s="152">
        <f ca="1">IFERROR(__xludf.DUMMYFUNCTION("IMPORTRANGE(""https://docs.google.com/spreadsheets/d/1kKUcYdkIfrgTSj8iHHHB2MD2FAtwyyocFgqGQn6ADyI/edit?usp=sharing"",""กระบี่!J679"")"),0)</f>
        <v>0</v>
      </c>
      <c r="BA75" s="152">
        <f ca="1">IFERROR(__xludf.DUMMYFUNCTION("IMPORTRANGE(""https://docs.google.com/spreadsheets/d/1kKUcYdkIfrgTSj8iHHHB2MD2FAtwyyocFgqGQn6ADyI/edit?usp=sharing"",""กระบี่!J680"")"),0)</f>
        <v>0</v>
      </c>
      <c r="BB75" s="152">
        <f ca="1">IFERROR(__xludf.DUMMYFUNCTION("IMPORTRANGE(""https://docs.google.com/spreadsheets/d/1kKUcYdkIfrgTSj8iHHHB2MD2FAtwyyocFgqGQn6ADyI/edit?usp=sharing"",""กระบี่!J681"")"),0)</f>
        <v>0</v>
      </c>
      <c r="BC75" s="152">
        <f ca="1">IFERROR(__xludf.DUMMYFUNCTION("IMPORTRANGE(""https://docs.google.com/spreadsheets/d/1kKUcYdkIfrgTSj8iHHHB2MD2FAtwyyocFgqGQn6ADyI/edit?usp=sharing"",""กระบี่!I682"")"),0)</f>
        <v>0</v>
      </c>
      <c r="BD75" s="152">
        <f ca="1">IFERROR(__xludf.DUMMYFUNCTION("IMPORTRANGE(""https://docs.google.com/spreadsheets/d/1kKUcYdkIfrgTSj8iHHHB2MD2FAtwyyocFgqGQn6ADyI/edit?usp=sharing"",""กระบี่!J682"")"),0)</f>
        <v>0</v>
      </c>
      <c r="BE75" s="216">
        <f t="shared" ca="1" si="46"/>
        <v>0</v>
      </c>
      <c r="BF75" s="152">
        <f ca="1">IFERROR(__xludf.DUMMYFUNCTION("IMPORTRANGE(""https://docs.google.com/spreadsheets/d/1kKUcYdkIfrgTSj8iHHHB2MD2FAtwyyocFgqGQn6ADyI/edit?usp=sharing"",""กระบี่!J683"")"),0)</f>
        <v>0</v>
      </c>
      <c r="BG75" s="152">
        <f ca="1">IFERROR(__xludf.DUMMYFUNCTION("IMPORTRANGE(""https://docs.google.com/spreadsheets/d/1kKUcYdkIfrgTSj8iHHHB2MD2FAtwyyocFgqGQn6ADyI/edit?usp=sharing"",""กระบี่!J684"")"),0)</f>
        <v>0</v>
      </c>
      <c r="BH75" s="152">
        <f ca="1">IFERROR(__xludf.DUMMYFUNCTION("IMPORTRANGE(""https://docs.google.com/spreadsheets/d/1kKUcYdkIfrgTSj8iHHHB2MD2FAtwyyocFgqGQn6ADyI/edit?usp=sharing"",""กระบี่!J685"")"),0)</f>
        <v>0</v>
      </c>
      <c r="BI75" s="152">
        <f ca="1">IFERROR(__xludf.DUMMYFUNCTION("IMPORTRANGE(""https://docs.google.com/spreadsheets/d/1kKUcYdkIfrgTSj8iHHHB2MD2FAtwyyocFgqGQn6ADyI/edit?usp=sharing"",""กระบี่!J686"")"),0)</f>
        <v>0</v>
      </c>
      <c r="BJ75" s="152">
        <f ca="1">IFERROR(__xludf.DUMMYFUNCTION("IMPORTRANGE(""https://docs.google.com/spreadsheets/d/1kKUcYdkIfrgTSj8iHHHB2MD2FAtwyyocFgqGQn6ADyI/edit?usp=sharing"",""กระบี่!J687"")"),0)</f>
        <v>0</v>
      </c>
      <c r="BK75" s="152">
        <f ca="1">IFERROR(__xludf.DUMMYFUNCTION("IMPORTRANGE(""https://docs.google.com/spreadsheets/d/1kKUcYdkIfrgTSj8iHHHB2MD2FAtwyyocFgqGQn6ADyI/edit?usp=sharing"",""กระบี่!J688"")"),0)</f>
        <v>0</v>
      </c>
    </row>
    <row r="76" spans="1:63" ht="19.5" x14ac:dyDescent="0.3">
      <c r="A76" s="70">
        <v>2</v>
      </c>
      <c r="B76" s="71" t="s">
        <v>104</v>
      </c>
      <c r="C76" s="68">
        <f ca="1">IFERROR(__xludf.DUMMYFUNCTION("IMPORTRANGE(""https://docs.google.com/spreadsheets/d/1GwtLaSlNZkLk7iDqcyZz22giiy40b_usZZBXYciEN1U/edit?usp=sharing"",""ชุมพร!Q642"")"),0)</f>
        <v>0</v>
      </c>
      <c r="D76" s="68">
        <f ca="1">IFERROR(__xludf.DUMMYFUNCTION("IMPORTRANGE(""https://docs.google.com/spreadsheets/d/1GwtLaSlNZkLk7iDqcyZz22giiy40b_usZZBXYciEN1U/edit?usp=sharing"",""ชุมพร!R642"")"),0)</f>
        <v>0</v>
      </c>
      <c r="E76" s="68">
        <f ca="1">IFERROR(__xludf.DUMMYFUNCTION("IMPORTRANGE(""https://docs.google.com/spreadsheets/d/1GwtLaSlNZkLk7iDqcyZz22giiy40b_usZZBXYciEN1U/edit?usp=sharing"",""ชุมพร!S642"")"),0)</f>
        <v>0</v>
      </c>
      <c r="F76" s="68">
        <f t="shared" ca="1" si="30"/>
        <v>0</v>
      </c>
      <c r="G76" s="68">
        <f t="shared" ca="1" si="31"/>
        <v>0</v>
      </c>
      <c r="H76" s="278">
        <f ca="1">IFERROR(__xludf.DUMMYFUNCTION("IMPORTRANGE(""https://docs.google.com/spreadsheets/d/1GwtLaSlNZkLk7iDqcyZz22giiy40b_usZZBXYciEN1U/edit?usp=sharing"",""ชุมพร!I652"")"),0)</f>
        <v>0</v>
      </c>
      <c r="I76" s="397">
        <f ca="1">IFERROR(__xludf.DUMMYFUNCTION("IMPORTRANGE(""https://docs.google.com/spreadsheets/d/1GwtLaSlNZkLk7iDqcyZz22giiy40b_usZZBXYciEN1U/edit?usp=sharing"",""ชุมพร!J652"")"),0)</f>
        <v>0</v>
      </c>
      <c r="J76" s="216">
        <f t="shared" ca="1" si="33"/>
        <v>0</v>
      </c>
      <c r="K76" s="152">
        <f ca="1">IFERROR(__xludf.DUMMYFUNCTION("IMPORTRANGE(""https://docs.google.com/spreadsheets/d/1GwtLaSlNZkLk7iDqcyZz22giiy40b_usZZBXYciEN1U/edit?usp=sharing"",""ชุมพร!I653"")"),0)</f>
        <v>0</v>
      </c>
      <c r="L76" s="397">
        <f ca="1">IFERROR(__xludf.DUMMYFUNCTION("IMPORTRANGE(""https://docs.google.com/spreadsheets/d/1GwtLaSlNZkLk7iDqcyZz22giiy40b_usZZBXYciEN1U/edit?usp=sharing"",""ชุมพร!J653"")"),0)</f>
        <v>0</v>
      </c>
      <c r="M76" s="216">
        <f t="shared" ca="1" si="35"/>
        <v>0</v>
      </c>
      <c r="N76" s="152">
        <f ca="1">IFERROR(__xludf.DUMMYFUNCTION("IMPORTRANGE(""https://docs.google.com/spreadsheets/d/1GwtLaSlNZkLk7iDqcyZz22giiy40b_usZZBXYciEN1U/edit?usp=sharing"",""ชุมพร!I654"")"),0)</f>
        <v>0</v>
      </c>
      <c r="O76" s="152">
        <f ca="1">IFERROR(__xludf.DUMMYFUNCTION("IMPORTRANGE(""https://docs.google.com/spreadsheets/d/1GwtLaSlNZkLk7iDqcyZz22giiy40b_usZZBXYciEN1U/edit?usp=sharing"",""ชุมพร!J654"")"),0)</f>
        <v>0</v>
      </c>
      <c r="P76" s="216">
        <f t="shared" ca="1" si="37"/>
        <v>0</v>
      </c>
      <c r="Q76" s="216">
        <f ca="1">IFERROR(__xludf.DUMMYFUNCTION("IMPORTRANGE(""https://docs.google.com/spreadsheets/d/1GwtLaSlNZkLk7iDqcyZz22giiy40b_usZZBXYciEN1U/edit?usp=sharing"",""ชุมพร!J655"")"),0)</f>
        <v>0</v>
      </c>
      <c r="R76" s="216">
        <f ca="1">IFERROR(__xludf.DUMMYFUNCTION("IMPORTRANGE(""https://docs.google.com/spreadsheets/d/1GwtLaSlNZkLk7iDqcyZz22giiy40b_usZZBXYciEN1U/edit?usp=sharing"",""ชุมพร!J656"")"),0)</f>
        <v>0</v>
      </c>
      <c r="S76" s="216">
        <f ca="1">IFERROR(__xludf.DUMMYFUNCTION("IMPORTRANGE(""https://docs.google.com/spreadsheets/d/1GwtLaSlNZkLk7iDqcyZz22giiy40b_usZZBXYciEN1U/edit?usp=sharing"",""ชุมพร!J657"")"),0)</f>
        <v>0</v>
      </c>
      <c r="T76" s="216">
        <f ca="1">IFERROR(__xludf.DUMMYFUNCTION("IMPORTRANGE(""https://docs.google.com/spreadsheets/d/1GwtLaSlNZkLk7iDqcyZz22giiy40b_usZZBXYciEN1U/edit?usp=sharing"",""ชุมพร!J658"")"),0)</f>
        <v>0</v>
      </c>
      <c r="U76" s="216">
        <f ca="1">IFERROR(__xludf.DUMMYFUNCTION("IMPORTRANGE(""https://docs.google.com/spreadsheets/d/1GwtLaSlNZkLk7iDqcyZz22giiy40b_usZZBXYciEN1U/edit?usp=sharing"",""ชุมพร!J659"")"),0)</f>
        <v>0</v>
      </c>
      <c r="V76" s="216">
        <f ca="1">IFERROR(__xludf.DUMMYFUNCTION("IMPORTRANGE(""https://docs.google.com/spreadsheets/d/1GwtLaSlNZkLk7iDqcyZz22giiy40b_usZZBXYciEN1U/edit?usp=sharing"",""ชุมพร!J660"")"),0)</f>
        <v>0</v>
      </c>
      <c r="W76" s="152">
        <f ca="1">IFERROR(__xludf.DUMMYFUNCTION("IMPORTRANGE(""https://docs.google.com/spreadsheets/d/1GwtLaSlNZkLk7iDqcyZz22giiy40b_usZZBXYciEN1U/edit?usp=sharing"",""ชุมพร!I661"")"),0)</f>
        <v>0</v>
      </c>
      <c r="X76" s="152">
        <f ca="1">IFERROR(__xludf.DUMMYFUNCTION("IMPORTRANGE(""https://docs.google.com/spreadsheets/d/1GwtLaSlNZkLk7iDqcyZz22giiy40b_usZZBXYciEN1U/edit?usp=sharing"",""ชุมพร!J661"")"),0)</f>
        <v>0</v>
      </c>
      <c r="Y76" s="216">
        <f t="shared" ca="1" si="39"/>
        <v>0</v>
      </c>
      <c r="Z76" s="152">
        <f ca="1">IFERROR(__xludf.DUMMYFUNCTION("IMPORTRANGE(""https://docs.google.com/spreadsheets/d/1GwtLaSlNZkLk7iDqcyZz22giiy40b_usZZBXYciEN1U/edit?usp=sharing"",""ชุมพร!J662"")"),0)</f>
        <v>0</v>
      </c>
      <c r="AA76" s="152">
        <f ca="1">IFERROR(__xludf.DUMMYFUNCTION("IMPORTRANGE(""https://docs.google.com/spreadsheets/d/1GwtLaSlNZkLk7iDqcyZz22giiy40b_usZZBXYciEN1U/edit?usp=sharing"",""ชุมพร!J663"")"),0)</f>
        <v>0</v>
      </c>
      <c r="AB76" s="152">
        <f ca="1">IFERROR(__xludf.DUMMYFUNCTION("IMPORTRANGE(""https://docs.google.com/spreadsheets/d/1GwtLaSlNZkLk7iDqcyZz22giiy40b_usZZBXYciEN1U/edit?usp=sharing"",""ชุมพร!J665"")"),0)</f>
        <v>0</v>
      </c>
      <c r="AC76" s="152">
        <f ca="1">IFERROR(__xludf.DUMMYFUNCTION("IMPORTRANGE(""https://docs.google.com/spreadsheets/d/1GwtLaSlNZkLk7iDqcyZz22giiy40b_usZZBXYciEN1U/edit?usp=sharing"",""ชุมพร!J666"")"),0)</f>
        <v>0</v>
      </c>
      <c r="AD76" s="152">
        <f ca="1">IFERROR(__xludf.DUMMYFUNCTION("IMPORTRANGE(""https://docs.google.com/spreadsheets/d/1GwtLaSlNZkLk7iDqcyZz22giiy40b_usZZBXYciEN1U/edit?usp=sharing"",""ชุมพร!J667"")"),0)</f>
        <v>0</v>
      </c>
      <c r="AE76" s="152">
        <f ca="1">IFERROR(__xludf.DUMMYFUNCTION("IMPORTRANGE(""https://docs.google.com/spreadsheets/d/1GwtLaSlNZkLk7iDqcyZz22giiy40b_usZZBXYciEN1U/edit?usp=sharing"",""ชุมพร!J668"")"),0)</f>
        <v>0</v>
      </c>
      <c r="AF76" s="152">
        <f ca="1">IFERROR(__xludf.DUMMYFUNCTION("IMPORTRANGE(""https://docs.google.com/spreadsheets/d/1GwtLaSlNZkLk7iDqcyZz22giiy40b_usZZBXYciEN1U/edit?usp=sharing"",""ชุมพร!J669"")"),0)</f>
        <v>0</v>
      </c>
      <c r="AG76" s="152">
        <f ca="1">IFERROR(__xludf.DUMMYFUNCTION("IMPORTRANGE(""https://docs.google.com/spreadsheets/d/1GwtLaSlNZkLk7iDqcyZz22giiy40b_usZZBXYciEN1U/edit?usp=sharing"",""ชุมพร!J670"")"),0)</f>
        <v>0</v>
      </c>
      <c r="AH76" s="152">
        <f ca="1">IFERROR(__xludf.DUMMYFUNCTION("IMPORTRANGE(""https://docs.google.com/spreadsheets/d/1GwtLaSlNZkLk7iDqcyZz22giiy40b_usZZBXYciEN1U/edit?usp=sharing"",""ชุมพร!I673"")"),0)</f>
        <v>0</v>
      </c>
      <c r="AI76" s="397">
        <f ca="1">IFERROR(__xludf.DUMMYFUNCTION("IMPORTRANGE(""https://docs.google.com/spreadsheets/d/1GwtLaSlNZkLk7iDqcyZz22giiy40b_usZZBXYciEN1U/edit?usp=sharing"",""ชุมพร!J671"")"),0)</f>
        <v>0</v>
      </c>
      <c r="AJ76" s="397">
        <f ca="1">IFERROR(__xludf.DUMMYFUNCTION("IMPORTRANGE(""https://docs.google.com/spreadsheets/d/1GwtLaSlNZkLk7iDqcyZz22giiy40b_usZZBXYciEN1U/edit?usp=sharing"",""ชุมพร!J672"")"),0)</f>
        <v>0</v>
      </c>
      <c r="AK76" s="397">
        <f ca="1">IFERROR(__xludf.DUMMYFUNCTION("IMPORTRANGE(""https://docs.google.com/spreadsheets/d/1GwtLaSlNZkLk7iDqcyZz22giiy40b_usZZBXYciEN1U/edit?usp=sharing"",""ชุมพร!J673"")"),0)</f>
        <v>0</v>
      </c>
      <c r="AL76" s="216">
        <f t="shared" ca="1" si="41"/>
        <v>0</v>
      </c>
      <c r="AM76" s="152">
        <f ca="1">IFERROR(__xludf.DUMMYFUNCTION("IMPORTRANGE(""https://docs.google.com/spreadsheets/d/1GwtLaSlNZkLk7iDqcyZz22giiy40b_usZZBXYciEN1U/edit?usp=sharing"",""ชุมพร!I674"")"),0)</f>
        <v>0</v>
      </c>
      <c r="AN76" s="152">
        <f ca="1">IFERROR(__xludf.DUMMYFUNCTION("IMPORTRANGE(""https://docs.google.com/spreadsheets/d/1GwtLaSlNZkLk7iDqcyZz22giiy40b_usZZBXYciEN1U/edit?usp=sharing"",""ชุมพร!I675"")"),0)</f>
        <v>0</v>
      </c>
      <c r="AO76" s="397">
        <f ca="1">IFERROR(__xludf.DUMMYFUNCTION("IMPORTRANGE(""https://docs.google.com/spreadsheets/d/1GwtLaSlNZkLk7iDqcyZz22giiy40b_usZZBXYciEN1U/edit?usp=sharing"",""ชุมพร!J674"")"),0)</f>
        <v>0</v>
      </c>
      <c r="AP76" s="216">
        <f t="shared" ca="1" si="43"/>
        <v>0</v>
      </c>
      <c r="AQ76" s="397">
        <f ca="1">IFERROR(__xludf.DUMMYFUNCTION("IMPORTRANGE(""https://docs.google.com/spreadsheets/d/1GwtLaSlNZkLk7iDqcyZz22giiy40b_usZZBXYciEN1U/edit?usp=sharing"",""ชุมพร!J675"")"),0)</f>
        <v>0</v>
      </c>
      <c r="AR76" s="216">
        <f t="shared" ca="1" si="44"/>
        <v>0</v>
      </c>
      <c r="AS76" s="152">
        <f ca="1">IFERROR(__xludf.DUMMYFUNCTION("IMPORTRANGE(""https://docs.google.com/spreadsheets/d/1GwtLaSlNZkLk7iDqcyZz22giiy40b_usZZBXYciEN1U/edit?usp=sharing"",""ชุมพร!I676"")"),0)</f>
        <v>0</v>
      </c>
      <c r="AT76" s="152">
        <f ca="1">IFERROR(__xludf.DUMMYFUNCTION("IMPORTRANGE(""https://docs.google.com/spreadsheets/d/1GwtLaSlNZkLk7iDqcyZz22giiy40b_usZZBXYciEN1U/edit?usp=sharing"",""ชุมพร!I678"")"),0)</f>
        <v>0</v>
      </c>
      <c r="AU76" s="397">
        <f ca="1">IFERROR(__xludf.DUMMYFUNCTION("IMPORTRANGE(""https://docs.google.com/spreadsheets/d/1GwtLaSlNZkLk7iDqcyZz22giiy40b_usZZBXYciEN1U/edit?usp=sharing"",""ชุมพร!J676"")"),0)</f>
        <v>0</v>
      </c>
      <c r="AV76" s="397">
        <f ca="1">IFERROR(__xludf.DUMMYFUNCTION("IMPORTRANGE(""https://docs.google.com/spreadsheets/d/1GwtLaSlNZkLk7iDqcyZz22giiy40b_usZZBXYciEN1U/edit?usp=sharing"",""ชุมพร!J677"")"),0)</f>
        <v>0</v>
      </c>
      <c r="AW76" s="397">
        <f ca="1">IFERROR(__xludf.DUMMYFUNCTION("IMPORTRANGE(""https://docs.google.com/spreadsheets/d/1GwtLaSlNZkLk7iDqcyZz22giiy40b_usZZBXYciEN1U/edit?usp=sharing"",""ชุมพร!J678"")"),0)</f>
        <v>0</v>
      </c>
      <c r="AX76" s="152">
        <f ca="1">IFERROR(__xludf.DUMMYFUNCTION("IMPORTRANGE(""https://docs.google.com/spreadsheets/d/1GwtLaSlNZkLk7iDqcyZz22giiy40b_usZZBXYciEN1U/edit?usp=sharing"",""ชุมพร!I679"")"),0)</f>
        <v>0</v>
      </c>
      <c r="AY76" s="152">
        <f ca="1">IFERROR(__xludf.DUMMYFUNCTION("IMPORTRANGE(""https://docs.google.com/spreadsheets/d/1GwtLaSlNZkLk7iDqcyZz22giiy40b_usZZBXYciEN1U/edit?usp=sharing"",""ชุมพร!I681"")"),0)</f>
        <v>0</v>
      </c>
      <c r="AZ76" s="397">
        <f ca="1">IFERROR(__xludf.DUMMYFUNCTION("IMPORTRANGE(""https://docs.google.com/spreadsheets/d/1GwtLaSlNZkLk7iDqcyZz22giiy40b_usZZBXYciEN1U/edit?usp=sharing"",""ชุมพร!J679"")"),0)</f>
        <v>0</v>
      </c>
      <c r="BA76" s="397">
        <f ca="1">IFERROR(__xludf.DUMMYFUNCTION("IMPORTRANGE(""https://docs.google.com/spreadsheets/d/1GwtLaSlNZkLk7iDqcyZz22giiy40b_usZZBXYciEN1U/edit?usp=sharing"",""ชุมพร!J680"")"),0)</f>
        <v>0</v>
      </c>
      <c r="BB76" s="397">
        <f ca="1">IFERROR(__xludf.DUMMYFUNCTION("IMPORTRANGE(""https://docs.google.com/spreadsheets/d/1GwtLaSlNZkLk7iDqcyZz22giiy40b_usZZBXYciEN1U/edit?usp=sharing"",""ชุมพร!J681"")"),0)</f>
        <v>0</v>
      </c>
      <c r="BC76" s="152">
        <f ca="1">IFERROR(__xludf.DUMMYFUNCTION("IMPORTRANGE(""https://docs.google.com/spreadsheets/d/1GwtLaSlNZkLk7iDqcyZz22giiy40b_usZZBXYciEN1U/edit?usp=sharing"",""ชุมพร!I682"")"),0)</f>
        <v>0</v>
      </c>
      <c r="BD76" s="152">
        <f ca="1">IFERROR(__xludf.DUMMYFUNCTION("IMPORTRANGE(""https://docs.google.com/spreadsheets/d/1GwtLaSlNZkLk7iDqcyZz22giiy40b_usZZBXYciEN1U/edit?usp=sharing"",""ชุมพร!J682"")"),0)</f>
        <v>0</v>
      </c>
      <c r="BE76" s="216">
        <f t="shared" ca="1" si="46"/>
        <v>0</v>
      </c>
      <c r="BF76" s="152">
        <f ca="1">IFERROR(__xludf.DUMMYFUNCTION("IMPORTRANGE(""https://docs.google.com/spreadsheets/d/1GwtLaSlNZkLk7iDqcyZz22giiy40b_usZZBXYciEN1U/edit?usp=sharing"",""ชุมพร!J683"")"),0)</f>
        <v>0</v>
      </c>
      <c r="BG76" s="152">
        <f ca="1">IFERROR(__xludf.DUMMYFUNCTION("IMPORTRANGE(""https://docs.google.com/spreadsheets/d/1GwtLaSlNZkLk7iDqcyZz22giiy40b_usZZBXYciEN1U/edit?usp=sharing"",""ชุมพร!J684"")"),0)</f>
        <v>0</v>
      </c>
      <c r="BH76" s="152">
        <f ca="1">IFERROR(__xludf.DUMMYFUNCTION("IMPORTRANGE(""https://docs.google.com/spreadsheets/d/1GwtLaSlNZkLk7iDqcyZz22giiy40b_usZZBXYciEN1U/edit?usp=sharing"",""ชุมพร!J685"")"),0)</f>
        <v>0</v>
      </c>
      <c r="BI76" s="152">
        <f ca="1">IFERROR(__xludf.DUMMYFUNCTION("IMPORTRANGE(""https://docs.google.com/spreadsheets/d/1GwtLaSlNZkLk7iDqcyZz22giiy40b_usZZBXYciEN1U/edit?usp=sharing"",""ชุมพร!J686"")"),0)</f>
        <v>0</v>
      </c>
      <c r="BJ76" s="152">
        <f ca="1">IFERROR(__xludf.DUMMYFUNCTION("IMPORTRANGE(""https://docs.google.com/spreadsheets/d/1GwtLaSlNZkLk7iDqcyZz22giiy40b_usZZBXYciEN1U/edit?usp=sharing"",""ชุมพร!J687"")"),0)</f>
        <v>0</v>
      </c>
      <c r="BK76" s="152">
        <f ca="1">IFERROR(__xludf.DUMMYFUNCTION("IMPORTRANGE(""https://docs.google.com/spreadsheets/d/1GwtLaSlNZkLk7iDqcyZz22giiy40b_usZZBXYciEN1U/edit?usp=sharing"",""ชุมพร!J688"")"),0)</f>
        <v>0</v>
      </c>
    </row>
    <row r="77" spans="1:63" ht="19.5" x14ac:dyDescent="0.3">
      <c r="A77" s="70">
        <v>3</v>
      </c>
      <c r="B77" s="71" t="s">
        <v>105</v>
      </c>
      <c r="C77" s="68">
        <f ca="1">IFERROR(__xludf.DUMMYFUNCTION("IMPORTRANGE(""https://docs.google.com/spreadsheets/d/16pAz3pOhQEZBhvFNMa5KGgZS6iKWpsKX0pg6tQmwFpo/edit?usp=sharing"",""ตรัง!Q642"")"),0)</f>
        <v>0</v>
      </c>
      <c r="D77" s="68">
        <f ca="1">IFERROR(__xludf.DUMMYFUNCTION("IMPORTRANGE(""https://docs.google.com/spreadsheets/d/16pAz3pOhQEZBhvFNMa5KGgZS6iKWpsKX0pg6tQmwFpo/edit?usp=sharing"",""ตรัง!R642"")"),0)</f>
        <v>0</v>
      </c>
      <c r="E77" s="68">
        <f ca="1">IFERROR(__xludf.DUMMYFUNCTION("IMPORTRANGE(""https://docs.google.com/spreadsheets/d/16pAz3pOhQEZBhvFNMa5KGgZS6iKWpsKX0pg6tQmwFpo/edit?usp=sharing"",""ตรัง!S642"")"),0)</f>
        <v>0</v>
      </c>
      <c r="F77" s="68">
        <f t="shared" ca="1" si="30"/>
        <v>0</v>
      </c>
      <c r="G77" s="68">
        <f t="shared" ca="1" si="31"/>
        <v>0</v>
      </c>
      <c r="H77" s="278">
        <f ca="1">IFERROR(__xludf.DUMMYFUNCTION("IMPORTRANGE(""https://docs.google.com/spreadsheets/d/16pAz3pOhQEZBhvFNMa5KGgZS6iKWpsKX0pg6tQmwFpo/edit?usp=sharing"",""ตรัง!I652"")"),0)</f>
        <v>0</v>
      </c>
      <c r="I77" s="152">
        <f ca="1">IFERROR(__xludf.DUMMYFUNCTION("IMPORTRANGE(""https://docs.google.com/spreadsheets/d/16pAz3pOhQEZBhvFNMa5KGgZS6iKWpsKX0pg6tQmwFpo/edit?usp=sharing"",""ตรัง!J652"")"),0)</f>
        <v>0</v>
      </c>
      <c r="J77" s="216">
        <f t="shared" ca="1" si="33"/>
        <v>0</v>
      </c>
      <c r="K77" s="152">
        <f ca="1">IFERROR(__xludf.DUMMYFUNCTION("IMPORTRANGE(""https://docs.google.com/spreadsheets/d/16pAz3pOhQEZBhvFNMa5KGgZS6iKWpsKX0pg6tQmwFpo/edit?usp=sharing"",""ตรัง!I653"")"),0)</f>
        <v>0</v>
      </c>
      <c r="L77" s="152">
        <f ca="1">IFERROR(__xludf.DUMMYFUNCTION("IMPORTRANGE(""https://docs.google.com/spreadsheets/d/16pAz3pOhQEZBhvFNMa5KGgZS6iKWpsKX0pg6tQmwFpo/edit?usp=sharing"",""ตรัง!J653"")"),0)</f>
        <v>0</v>
      </c>
      <c r="M77" s="216">
        <f t="shared" ca="1" si="35"/>
        <v>0</v>
      </c>
      <c r="N77" s="152">
        <f ca="1">IFERROR(__xludf.DUMMYFUNCTION("IMPORTRANGE(""https://docs.google.com/spreadsheets/d/16pAz3pOhQEZBhvFNMa5KGgZS6iKWpsKX0pg6tQmwFpo/edit?usp=sharing"",""ตรัง!I654"")"),0)</f>
        <v>0</v>
      </c>
      <c r="O77" s="152">
        <f ca="1">IFERROR(__xludf.DUMMYFUNCTION("IMPORTRANGE(""https://docs.google.com/spreadsheets/d/16pAz3pOhQEZBhvFNMa5KGgZS6iKWpsKX0pg6tQmwFpo/edit?usp=sharing"",""ตรัง!J654"")"),0)</f>
        <v>0</v>
      </c>
      <c r="P77" s="216">
        <f t="shared" ca="1" si="37"/>
        <v>0</v>
      </c>
      <c r="Q77" s="216">
        <f ca="1">IFERROR(__xludf.DUMMYFUNCTION("IMPORTRANGE(""https://docs.google.com/spreadsheets/d/16pAz3pOhQEZBhvFNMa5KGgZS6iKWpsKX0pg6tQmwFpo/edit?usp=sharing"",""ตรัง!J655"")"),0)</f>
        <v>0</v>
      </c>
      <c r="R77" s="216">
        <f ca="1">IFERROR(__xludf.DUMMYFUNCTION("IMPORTRANGE(""https://docs.google.com/spreadsheets/d/16pAz3pOhQEZBhvFNMa5KGgZS6iKWpsKX0pg6tQmwFpo/edit?usp=sharing"",""ตรัง!J656"")"),0)</f>
        <v>0</v>
      </c>
      <c r="S77" s="216">
        <f ca="1">IFERROR(__xludf.DUMMYFUNCTION("IMPORTRANGE(""https://docs.google.com/spreadsheets/d/16pAz3pOhQEZBhvFNMa5KGgZS6iKWpsKX0pg6tQmwFpo/edit?usp=sharing"",""ตรัง!J657"")"),0)</f>
        <v>0</v>
      </c>
      <c r="T77" s="216">
        <f ca="1">IFERROR(__xludf.DUMMYFUNCTION("IMPORTRANGE(""https://docs.google.com/spreadsheets/d/16pAz3pOhQEZBhvFNMa5KGgZS6iKWpsKX0pg6tQmwFpo/edit?usp=sharing"",""ตรัง!J658"")"),0)</f>
        <v>0</v>
      </c>
      <c r="U77" s="216">
        <f ca="1">IFERROR(__xludf.DUMMYFUNCTION("IMPORTRANGE(""https://docs.google.com/spreadsheets/d/16pAz3pOhQEZBhvFNMa5KGgZS6iKWpsKX0pg6tQmwFpo/edit?usp=sharing"",""ตรัง!J659"")"),0)</f>
        <v>0</v>
      </c>
      <c r="V77" s="216">
        <f ca="1">IFERROR(__xludf.DUMMYFUNCTION("IMPORTRANGE(""https://docs.google.com/spreadsheets/d/16pAz3pOhQEZBhvFNMa5KGgZS6iKWpsKX0pg6tQmwFpo/edit?usp=sharing"",""ตรัง!J660"")"),0)</f>
        <v>0</v>
      </c>
      <c r="W77" s="152">
        <f ca="1">IFERROR(__xludf.DUMMYFUNCTION("IMPORTRANGE(""https://docs.google.com/spreadsheets/d/16pAz3pOhQEZBhvFNMa5KGgZS6iKWpsKX0pg6tQmwFpo/edit?usp=sharing"",""ตรัง!I661"")"),0)</f>
        <v>0</v>
      </c>
      <c r="X77" s="152">
        <f ca="1">IFERROR(__xludf.DUMMYFUNCTION("IMPORTRANGE(""https://docs.google.com/spreadsheets/d/16pAz3pOhQEZBhvFNMa5KGgZS6iKWpsKX0pg6tQmwFpo/edit?usp=sharing"",""ตรัง!J661"")"),0)</f>
        <v>0</v>
      </c>
      <c r="Y77" s="216">
        <f t="shared" ca="1" si="39"/>
        <v>0</v>
      </c>
      <c r="Z77" s="152">
        <f ca="1">IFERROR(__xludf.DUMMYFUNCTION("IMPORTRANGE(""https://docs.google.com/spreadsheets/d/16pAz3pOhQEZBhvFNMa5KGgZS6iKWpsKX0pg6tQmwFpo/edit?usp=sharing"",""ตรัง!J662"")"),0)</f>
        <v>0</v>
      </c>
      <c r="AA77" s="152">
        <f ca="1">IFERROR(__xludf.DUMMYFUNCTION("IMPORTRANGE(""https://docs.google.com/spreadsheets/d/16pAz3pOhQEZBhvFNMa5KGgZS6iKWpsKX0pg6tQmwFpo/edit?usp=sharing"",""ตรัง!J663"")"),0)</f>
        <v>0</v>
      </c>
      <c r="AB77" s="152">
        <f ca="1">IFERROR(__xludf.DUMMYFUNCTION("IMPORTRANGE(""https://docs.google.com/spreadsheets/d/16pAz3pOhQEZBhvFNMa5KGgZS6iKWpsKX0pg6tQmwFpo/edit?usp=sharing"",""ตรัง!J665"")"),0)</f>
        <v>0</v>
      </c>
      <c r="AC77" s="152">
        <f ca="1">IFERROR(__xludf.DUMMYFUNCTION("IMPORTRANGE(""https://docs.google.com/spreadsheets/d/16pAz3pOhQEZBhvFNMa5KGgZS6iKWpsKX0pg6tQmwFpo/edit?usp=sharing"",""ตรัง!J666"")"),0)</f>
        <v>0</v>
      </c>
      <c r="AD77" s="152">
        <f ca="1">IFERROR(__xludf.DUMMYFUNCTION("IMPORTRANGE(""https://docs.google.com/spreadsheets/d/16pAz3pOhQEZBhvFNMa5KGgZS6iKWpsKX0pg6tQmwFpo/edit?usp=sharing"",""ตรัง!J667"")"),0)</f>
        <v>0</v>
      </c>
      <c r="AE77" s="152">
        <f ca="1">IFERROR(__xludf.DUMMYFUNCTION("IMPORTRANGE(""https://docs.google.com/spreadsheets/d/16pAz3pOhQEZBhvFNMa5KGgZS6iKWpsKX0pg6tQmwFpo/edit?usp=sharing"",""ตรัง!J668"")"),0)</f>
        <v>0</v>
      </c>
      <c r="AF77" s="152">
        <f ca="1">IFERROR(__xludf.DUMMYFUNCTION("IMPORTRANGE(""https://docs.google.com/spreadsheets/d/16pAz3pOhQEZBhvFNMa5KGgZS6iKWpsKX0pg6tQmwFpo/edit?usp=sharing"",""ตรัง!J669"")"),0)</f>
        <v>0</v>
      </c>
      <c r="AG77" s="152">
        <f ca="1">IFERROR(__xludf.DUMMYFUNCTION("IMPORTRANGE(""https://docs.google.com/spreadsheets/d/16pAz3pOhQEZBhvFNMa5KGgZS6iKWpsKX0pg6tQmwFpo/edit?usp=sharing"",""ตรัง!J670"")"),0)</f>
        <v>0</v>
      </c>
      <c r="AH77" s="152">
        <f ca="1">IFERROR(__xludf.DUMMYFUNCTION("IMPORTRANGE(""https://docs.google.com/spreadsheets/d/16pAz3pOhQEZBhvFNMa5KGgZS6iKWpsKX0pg6tQmwFpo/edit?usp=sharing"",""ตรัง!I673"")"),0)</f>
        <v>0</v>
      </c>
      <c r="AI77" s="152">
        <f ca="1">IFERROR(__xludf.DUMMYFUNCTION("IMPORTRANGE(""https://docs.google.com/spreadsheets/d/16pAz3pOhQEZBhvFNMa5KGgZS6iKWpsKX0pg6tQmwFpo/edit?usp=sharing"",""ตรัง!J671"")"),0)</f>
        <v>0</v>
      </c>
      <c r="AJ77" s="152">
        <f ca="1">IFERROR(__xludf.DUMMYFUNCTION("IMPORTRANGE(""https://docs.google.com/spreadsheets/d/16pAz3pOhQEZBhvFNMa5KGgZS6iKWpsKX0pg6tQmwFpo/edit?usp=sharing"",""ตรัง!J672"")"),0)</f>
        <v>0</v>
      </c>
      <c r="AK77" s="152">
        <f ca="1">IFERROR(__xludf.DUMMYFUNCTION("IMPORTRANGE(""https://docs.google.com/spreadsheets/d/16pAz3pOhQEZBhvFNMa5KGgZS6iKWpsKX0pg6tQmwFpo/edit?usp=sharing"",""ตรัง!J673"")"),0)</f>
        <v>0</v>
      </c>
      <c r="AL77" s="216">
        <f t="shared" ca="1" si="41"/>
        <v>0</v>
      </c>
      <c r="AM77" s="152">
        <f ca="1">IFERROR(__xludf.DUMMYFUNCTION("IMPORTRANGE(""https://docs.google.com/spreadsheets/d/16pAz3pOhQEZBhvFNMa5KGgZS6iKWpsKX0pg6tQmwFpo/edit?usp=sharing"",""ตรัง!I674"")"),0)</f>
        <v>0</v>
      </c>
      <c r="AN77" s="152">
        <f ca="1">IFERROR(__xludf.DUMMYFUNCTION("IMPORTRANGE(""https://docs.google.com/spreadsheets/d/16pAz3pOhQEZBhvFNMa5KGgZS6iKWpsKX0pg6tQmwFpo/edit?usp=sharing"",""ตรัง!I675"")"),0)</f>
        <v>0</v>
      </c>
      <c r="AO77" s="152">
        <f ca="1">IFERROR(__xludf.DUMMYFUNCTION("IMPORTRANGE(""https://docs.google.com/spreadsheets/d/16pAz3pOhQEZBhvFNMa5KGgZS6iKWpsKX0pg6tQmwFpo/edit?usp=sharing"",""ตรัง!J674"")"),0)</f>
        <v>0</v>
      </c>
      <c r="AP77" s="216">
        <f t="shared" ca="1" si="43"/>
        <v>0</v>
      </c>
      <c r="AQ77" s="152">
        <f ca="1">IFERROR(__xludf.DUMMYFUNCTION("IMPORTRANGE(""https://docs.google.com/spreadsheets/d/16pAz3pOhQEZBhvFNMa5KGgZS6iKWpsKX0pg6tQmwFpo/edit?usp=sharing"",""ตรัง!J675"")"),0)</f>
        <v>0</v>
      </c>
      <c r="AR77" s="216">
        <f t="shared" ca="1" si="44"/>
        <v>0</v>
      </c>
      <c r="AS77" s="152">
        <f ca="1">IFERROR(__xludf.DUMMYFUNCTION("IMPORTRANGE(""https://docs.google.com/spreadsheets/d/16pAz3pOhQEZBhvFNMa5KGgZS6iKWpsKX0pg6tQmwFpo/edit?usp=sharing"",""ตรัง!I676"")"),0)</f>
        <v>0</v>
      </c>
      <c r="AT77" s="152">
        <f ca="1">IFERROR(__xludf.DUMMYFUNCTION("IMPORTRANGE(""https://docs.google.com/spreadsheets/d/16pAz3pOhQEZBhvFNMa5KGgZS6iKWpsKX0pg6tQmwFpo/edit?usp=sharing"",""ตรัง!I678"")"),0)</f>
        <v>0</v>
      </c>
      <c r="AU77" s="152">
        <f ca="1">IFERROR(__xludf.DUMMYFUNCTION("IMPORTRANGE(""https://docs.google.com/spreadsheets/d/16pAz3pOhQEZBhvFNMa5KGgZS6iKWpsKX0pg6tQmwFpo/edit?usp=sharing"",""ตรัง!J676"")"),0)</f>
        <v>0</v>
      </c>
      <c r="AV77" s="152">
        <f ca="1">IFERROR(__xludf.DUMMYFUNCTION("IMPORTRANGE(""https://docs.google.com/spreadsheets/d/16pAz3pOhQEZBhvFNMa5KGgZS6iKWpsKX0pg6tQmwFpo/edit?usp=sharing"",""ตรัง!J677"")"),0)</f>
        <v>0</v>
      </c>
      <c r="AW77" s="152">
        <f ca="1">IFERROR(__xludf.DUMMYFUNCTION("IMPORTRANGE(""https://docs.google.com/spreadsheets/d/16pAz3pOhQEZBhvFNMa5KGgZS6iKWpsKX0pg6tQmwFpo/edit?usp=sharing"",""ตรัง!J678"")"),0)</f>
        <v>0</v>
      </c>
      <c r="AX77" s="152">
        <f ca="1">IFERROR(__xludf.DUMMYFUNCTION("IMPORTRANGE(""https://docs.google.com/spreadsheets/d/16pAz3pOhQEZBhvFNMa5KGgZS6iKWpsKX0pg6tQmwFpo/edit?usp=sharing"",""ตรัง!I679"")"),0)</f>
        <v>0</v>
      </c>
      <c r="AY77" s="152">
        <f ca="1">IFERROR(__xludf.DUMMYFUNCTION("IMPORTRANGE(""https://docs.google.com/spreadsheets/d/16pAz3pOhQEZBhvFNMa5KGgZS6iKWpsKX0pg6tQmwFpo/edit?usp=sharing"",""ตรัง!I681"")"),0)</f>
        <v>0</v>
      </c>
      <c r="AZ77" s="152">
        <f ca="1">IFERROR(__xludf.DUMMYFUNCTION("IMPORTRANGE(""https://docs.google.com/spreadsheets/d/16pAz3pOhQEZBhvFNMa5KGgZS6iKWpsKX0pg6tQmwFpo/edit?usp=sharing"",""ตรัง!J679"")"),0)</f>
        <v>0</v>
      </c>
      <c r="BA77" s="152">
        <f ca="1">IFERROR(__xludf.DUMMYFUNCTION("IMPORTRANGE(""https://docs.google.com/spreadsheets/d/16pAz3pOhQEZBhvFNMa5KGgZS6iKWpsKX0pg6tQmwFpo/edit?usp=sharing"",""ตรัง!J680"")"),0)</f>
        <v>0</v>
      </c>
      <c r="BB77" s="152">
        <f ca="1">IFERROR(__xludf.DUMMYFUNCTION("IMPORTRANGE(""https://docs.google.com/spreadsheets/d/16pAz3pOhQEZBhvFNMa5KGgZS6iKWpsKX0pg6tQmwFpo/edit?usp=sharing"",""ตรัง!J681"")"),0)</f>
        <v>0</v>
      </c>
      <c r="BC77" s="152">
        <f ca="1">IFERROR(__xludf.DUMMYFUNCTION("IMPORTRANGE(""https://docs.google.com/spreadsheets/d/16pAz3pOhQEZBhvFNMa5KGgZS6iKWpsKX0pg6tQmwFpo/edit?usp=sharing"",""ตรัง!I682"")"),0)</f>
        <v>0</v>
      </c>
      <c r="BD77" s="152">
        <f ca="1">IFERROR(__xludf.DUMMYFUNCTION("IMPORTRANGE(""https://docs.google.com/spreadsheets/d/16pAz3pOhQEZBhvFNMa5KGgZS6iKWpsKX0pg6tQmwFpo/edit?usp=sharing"",""ตรัง!J682"")"),0)</f>
        <v>0</v>
      </c>
      <c r="BE77" s="216">
        <f t="shared" ca="1" si="46"/>
        <v>0</v>
      </c>
      <c r="BF77" s="152">
        <f ca="1">IFERROR(__xludf.DUMMYFUNCTION("IMPORTRANGE(""https://docs.google.com/spreadsheets/d/16pAz3pOhQEZBhvFNMa5KGgZS6iKWpsKX0pg6tQmwFpo/edit?usp=sharing"",""ตรัง!J683"")"),0)</f>
        <v>0</v>
      </c>
      <c r="BG77" s="152">
        <f ca="1">IFERROR(__xludf.DUMMYFUNCTION("IMPORTRANGE(""https://docs.google.com/spreadsheets/d/16pAz3pOhQEZBhvFNMa5KGgZS6iKWpsKX0pg6tQmwFpo/edit?usp=sharing"",""ตรัง!J684"")"),0)</f>
        <v>0</v>
      </c>
      <c r="BH77" s="152">
        <f ca="1">IFERROR(__xludf.DUMMYFUNCTION("IMPORTRANGE(""https://docs.google.com/spreadsheets/d/16pAz3pOhQEZBhvFNMa5KGgZS6iKWpsKX0pg6tQmwFpo/edit?usp=sharing"",""ตรัง!J685"")"),0)</f>
        <v>0</v>
      </c>
      <c r="BI77" s="152">
        <f ca="1">IFERROR(__xludf.DUMMYFUNCTION("IMPORTRANGE(""https://docs.google.com/spreadsheets/d/16pAz3pOhQEZBhvFNMa5KGgZS6iKWpsKX0pg6tQmwFpo/edit?usp=sharing"",""ตรัง!J686"")"),0)</f>
        <v>0</v>
      </c>
      <c r="BJ77" s="152">
        <f ca="1">IFERROR(__xludf.DUMMYFUNCTION("IMPORTRANGE(""https://docs.google.com/spreadsheets/d/16pAz3pOhQEZBhvFNMa5KGgZS6iKWpsKX0pg6tQmwFpo/edit?usp=sharing"",""ตรัง!J687"")"),0)</f>
        <v>0</v>
      </c>
      <c r="BK77" s="152">
        <f ca="1">IFERROR(__xludf.DUMMYFUNCTION("IMPORTRANGE(""https://docs.google.com/spreadsheets/d/16pAz3pOhQEZBhvFNMa5KGgZS6iKWpsKX0pg6tQmwFpo/edit?usp=sharing"",""ตรัง!J688"")"),0)</f>
        <v>0</v>
      </c>
    </row>
    <row r="78" spans="1:63" ht="19.5" x14ac:dyDescent="0.3">
      <c r="A78" s="70">
        <v>4</v>
      </c>
      <c r="B78" s="71" t="s">
        <v>106</v>
      </c>
      <c r="C78" s="68">
        <f ca="1">IFERROR(__xludf.DUMMYFUNCTION("IMPORTRANGE(""https://docs.google.com/spreadsheets/d/1Dj4jcHCTV9JXKCaMoheSXS52JE63kDKyG7bPXnFogHk/edit?usp=sharing"",""นครศรีธรรมราช!Q642"")"),0)</f>
        <v>0</v>
      </c>
      <c r="D78" s="68">
        <f ca="1">IFERROR(__xludf.DUMMYFUNCTION("IMPORTRANGE(""https://docs.google.com/spreadsheets/d/1Dj4jcHCTV9JXKCaMoheSXS52JE63kDKyG7bPXnFogHk/edit?usp=sharing"",""นครศรีธรรมราช!R642"")"),0)</f>
        <v>0</v>
      </c>
      <c r="E78" s="68">
        <f ca="1">IFERROR(__xludf.DUMMYFUNCTION("IMPORTRANGE(""https://docs.google.com/spreadsheets/d/1Dj4jcHCTV9JXKCaMoheSXS52JE63kDKyG7bPXnFogHk/edit?usp=sharing"",""นครศรีธรรมราช!S642"")"),0)</f>
        <v>0</v>
      </c>
      <c r="F78" s="68">
        <f t="shared" ca="1" si="30"/>
        <v>0</v>
      </c>
      <c r="G78" s="68">
        <f t="shared" ca="1" si="31"/>
        <v>0</v>
      </c>
      <c r="H78" s="278">
        <f ca="1">IFERROR(__xludf.DUMMYFUNCTION("IMPORTRANGE(""https://docs.google.com/spreadsheets/d/1Dj4jcHCTV9JXKCaMoheSXS52JE63kDKyG7bPXnFogHk/edit?usp=sharing"",""นครศรีธรรมราช!I652"")"),0)</f>
        <v>0</v>
      </c>
      <c r="I78" s="152">
        <f ca="1">IFERROR(__xludf.DUMMYFUNCTION("IMPORTRANGE(""https://docs.google.com/spreadsheets/d/1Dj4jcHCTV9JXKCaMoheSXS52JE63kDKyG7bPXnFogHk/edit?usp=sharing"",""นครศรีธรรมราช!J652"")"),0)</f>
        <v>0</v>
      </c>
      <c r="J78" s="216">
        <f t="shared" ca="1" si="33"/>
        <v>0</v>
      </c>
      <c r="K78" s="152">
        <f ca="1">IFERROR(__xludf.DUMMYFUNCTION("IMPORTRANGE(""https://docs.google.com/spreadsheets/d/1Dj4jcHCTV9JXKCaMoheSXS52JE63kDKyG7bPXnFogHk/edit?usp=sharing"",""นครศรีธรรมราช!I653"")"),0)</f>
        <v>0</v>
      </c>
      <c r="L78" s="152">
        <f ca="1">IFERROR(__xludf.DUMMYFUNCTION("IMPORTRANGE(""https://docs.google.com/spreadsheets/d/1Dj4jcHCTV9JXKCaMoheSXS52JE63kDKyG7bPXnFogHk/edit?usp=sharing"",""นครศรีธรรมราช!J653"")"),0)</f>
        <v>0</v>
      </c>
      <c r="M78" s="216">
        <f t="shared" ca="1" si="35"/>
        <v>0</v>
      </c>
      <c r="N78" s="152">
        <f ca="1">IFERROR(__xludf.DUMMYFUNCTION("IMPORTRANGE(""https://docs.google.com/spreadsheets/d/1Dj4jcHCTV9JXKCaMoheSXS52JE63kDKyG7bPXnFogHk/edit?usp=sharing"",""นครศรีธรรมราช!I654"")"),0)</f>
        <v>0</v>
      </c>
      <c r="O78" s="152">
        <f ca="1">IFERROR(__xludf.DUMMYFUNCTION("IMPORTRANGE(""https://docs.google.com/spreadsheets/d/1Dj4jcHCTV9JXKCaMoheSXS52JE63kDKyG7bPXnFogHk/edit?usp=sharing"",""นครศรีธรรมราช!J654"")"),0)</f>
        <v>0</v>
      </c>
      <c r="P78" s="216">
        <f t="shared" ca="1" si="37"/>
        <v>0</v>
      </c>
      <c r="Q78" s="216">
        <f ca="1">IFERROR(__xludf.DUMMYFUNCTION("IMPORTRANGE(""https://docs.google.com/spreadsheets/d/1Dj4jcHCTV9JXKCaMoheSXS52JE63kDKyG7bPXnFogHk/edit?usp=sharing"",""นครศรีธรรมราช!J655"")"),0)</f>
        <v>0</v>
      </c>
      <c r="R78" s="216">
        <f ca="1">IFERROR(__xludf.DUMMYFUNCTION("IMPORTRANGE(""https://docs.google.com/spreadsheets/d/1Dj4jcHCTV9JXKCaMoheSXS52JE63kDKyG7bPXnFogHk/edit?usp=sharing"",""นครศรีธรรมราช!J656"")"),0)</f>
        <v>0</v>
      </c>
      <c r="S78" s="216">
        <f ca="1">IFERROR(__xludf.DUMMYFUNCTION("IMPORTRANGE(""https://docs.google.com/spreadsheets/d/1Dj4jcHCTV9JXKCaMoheSXS52JE63kDKyG7bPXnFogHk/edit?usp=sharing"",""นครศรีธรรมราช!J657"")"),0)</f>
        <v>0</v>
      </c>
      <c r="T78" s="216">
        <f ca="1">IFERROR(__xludf.DUMMYFUNCTION("IMPORTRANGE(""https://docs.google.com/spreadsheets/d/1Dj4jcHCTV9JXKCaMoheSXS52JE63kDKyG7bPXnFogHk/edit?usp=sharing"",""นครศรีธรรมราช!J658"")"),0)</f>
        <v>0</v>
      </c>
      <c r="U78" s="216">
        <f ca="1">IFERROR(__xludf.DUMMYFUNCTION("IMPORTRANGE(""https://docs.google.com/spreadsheets/d/1Dj4jcHCTV9JXKCaMoheSXS52JE63kDKyG7bPXnFogHk/edit?usp=sharing"",""นครศรีธรรมราช!J659"")"),0)</f>
        <v>0</v>
      </c>
      <c r="V78" s="216">
        <f ca="1">IFERROR(__xludf.DUMMYFUNCTION("IMPORTRANGE(""https://docs.google.com/spreadsheets/d/1Dj4jcHCTV9JXKCaMoheSXS52JE63kDKyG7bPXnFogHk/edit?usp=sharing"",""นครศรีธรรมราช!J660"")"),0)</f>
        <v>0</v>
      </c>
      <c r="W78" s="152">
        <f ca="1">IFERROR(__xludf.DUMMYFUNCTION("IMPORTRANGE(""https://docs.google.com/spreadsheets/d/1Dj4jcHCTV9JXKCaMoheSXS52JE63kDKyG7bPXnFogHk/edit?usp=sharing"",""นครศรีธรรมราช!I661"")"),0)</f>
        <v>0</v>
      </c>
      <c r="X78" s="152">
        <f ca="1">IFERROR(__xludf.DUMMYFUNCTION("IMPORTRANGE(""https://docs.google.com/spreadsheets/d/1Dj4jcHCTV9JXKCaMoheSXS52JE63kDKyG7bPXnFogHk/edit?usp=sharing"",""นครศรีธรรมราช!J661"")"),0)</f>
        <v>0</v>
      </c>
      <c r="Y78" s="216">
        <f t="shared" ca="1" si="39"/>
        <v>0</v>
      </c>
      <c r="Z78" s="152">
        <f ca="1">IFERROR(__xludf.DUMMYFUNCTION("IMPORTRANGE(""https://docs.google.com/spreadsheets/d/1Dj4jcHCTV9JXKCaMoheSXS52JE63kDKyG7bPXnFogHk/edit?usp=sharing"",""นครศรีธรรมราช!J662"")"),0)</f>
        <v>0</v>
      </c>
      <c r="AA78" s="152">
        <f ca="1">IFERROR(__xludf.DUMMYFUNCTION("IMPORTRANGE(""https://docs.google.com/spreadsheets/d/1Dj4jcHCTV9JXKCaMoheSXS52JE63kDKyG7bPXnFogHk/edit?usp=sharing"",""นครศรีธรรมราช!J663"")"),0)</f>
        <v>0</v>
      </c>
      <c r="AB78" s="152">
        <f ca="1">IFERROR(__xludf.DUMMYFUNCTION("IMPORTRANGE(""https://docs.google.com/spreadsheets/d/1Dj4jcHCTV9JXKCaMoheSXS52JE63kDKyG7bPXnFogHk/edit?usp=sharing"",""นครศรีธรรมราช!J665"")"),0)</f>
        <v>0</v>
      </c>
      <c r="AC78" s="152">
        <f ca="1">IFERROR(__xludf.DUMMYFUNCTION("IMPORTRANGE(""https://docs.google.com/spreadsheets/d/1Dj4jcHCTV9JXKCaMoheSXS52JE63kDKyG7bPXnFogHk/edit?usp=sharing"",""นครศรีธรรมราช!J666"")"),0)</f>
        <v>0</v>
      </c>
      <c r="AD78" s="152">
        <f ca="1">IFERROR(__xludf.DUMMYFUNCTION("IMPORTRANGE(""https://docs.google.com/spreadsheets/d/1Dj4jcHCTV9JXKCaMoheSXS52JE63kDKyG7bPXnFogHk/edit?usp=sharing"",""นครศรีธรรมราช!J667"")"),0)</f>
        <v>0</v>
      </c>
      <c r="AE78" s="152">
        <f ca="1">IFERROR(__xludf.DUMMYFUNCTION("IMPORTRANGE(""https://docs.google.com/spreadsheets/d/1Dj4jcHCTV9JXKCaMoheSXS52JE63kDKyG7bPXnFogHk/edit?usp=sharing"",""นครศรีธรรมราช!J668"")"),0)</f>
        <v>0</v>
      </c>
      <c r="AF78" s="152">
        <f ca="1">IFERROR(__xludf.DUMMYFUNCTION("IMPORTRANGE(""https://docs.google.com/spreadsheets/d/1Dj4jcHCTV9JXKCaMoheSXS52JE63kDKyG7bPXnFogHk/edit?usp=sharing"",""นครศรีธรรมราช!J669"")"),0)</f>
        <v>0</v>
      </c>
      <c r="AG78" s="152">
        <f ca="1">IFERROR(__xludf.DUMMYFUNCTION("IMPORTRANGE(""https://docs.google.com/spreadsheets/d/1Dj4jcHCTV9JXKCaMoheSXS52JE63kDKyG7bPXnFogHk/edit?usp=sharing"",""นครศรีธรรมราช!J670"")"),0)</f>
        <v>0</v>
      </c>
      <c r="AH78" s="152">
        <f ca="1">IFERROR(__xludf.DUMMYFUNCTION("IMPORTRANGE(""https://docs.google.com/spreadsheets/d/1Dj4jcHCTV9JXKCaMoheSXS52JE63kDKyG7bPXnFogHk/edit?usp=sharing"",""นครศรีธรรมราช!I673"")"),0)</f>
        <v>0</v>
      </c>
      <c r="AI78" s="152">
        <f ca="1">IFERROR(__xludf.DUMMYFUNCTION("IMPORTRANGE(""https://docs.google.com/spreadsheets/d/1Dj4jcHCTV9JXKCaMoheSXS52JE63kDKyG7bPXnFogHk/edit?usp=sharing"",""นครศรีธรรมราช!J671"")"),0)</f>
        <v>0</v>
      </c>
      <c r="AJ78" s="152">
        <f ca="1">IFERROR(__xludf.DUMMYFUNCTION("IMPORTRANGE(""https://docs.google.com/spreadsheets/d/1Dj4jcHCTV9JXKCaMoheSXS52JE63kDKyG7bPXnFogHk/edit?usp=sharing"",""นครศรีธรรมราช!J672"")"),0)</f>
        <v>0</v>
      </c>
      <c r="AK78" s="152">
        <f ca="1">IFERROR(__xludf.DUMMYFUNCTION("IMPORTRANGE(""https://docs.google.com/spreadsheets/d/1Dj4jcHCTV9JXKCaMoheSXS52JE63kDKyG7bPXnFogHk/edit?usp=sharing"",""นครศรีธรรมราช!J673"")"),0)</f>
        <v>0</v>
      </c>
      <c r="AL78" s="216">
        <f t="shared" ca="1" si="41"/>
        <v>0</v>
      </c>
      <c r="AM78" s="152">
        <f ca="1">IFERROR(__xludf.DUMMYFUNCTION("IMPORTRANGE(""https://docs.google.com/spreadsheets/d/1Dj4jcHCTV9JXKCaMoheSXS52JE63kDKyG7bPXnFogHk/edit?usp=sharing"",""นครศรีธรรมราช!I674"")"),0)</f>
        <v>0</v>
      </c>
      <c r="AN78" s="152">
        <f ca="1">IFERROR(__xludf.DUMMYFUNCTION("IMPORTRANGE(""https://docs.google.com/spreadsheets/d/1Dj4jcHCTV9JXKCaMoheSXS52JE63kDKyG7bPXnFogHk/edit?usp=sharing"",""นครศรีธรรมราช!I675"")"),0)</f>
        <v>0</v>
      </c>
      <c r="AO78" s="152">
        <f ca="1">IFERROR(__xludf.DUMMYFUNCTION("IMPORTRANGE(""https://docs.google.com/spreadsheets/d/1Dj4jcHCTV9JXKCaMoheSXS52JE63kDKyG7bPXnFogHk/edit?usp=sharing"",""นครศรีธรรมราช!J674"")"),0)</f>
        <v>0</v>
      </c>
      <c r="AP78" s="216">
        <f t="shared" ca="1" si="43"/>
        <v>0</v>
      </c>
      <c r="AQ78" s="152">
        <f ca="1">IFERROR(__xludf.DUMMYFUNCTION("IMPORTRANGE(""https://docs.google.com/spreadsheets/d/1Dj4jcHCTV9JXKCaMoheSXS52JE63kDKyG7bPXnFogHk/edit?usp=sharing"",""นครศรีธรรมราช!J675"")"),0)</f>
        <v>0</v>
      </c>
      <c r="AR78" s="216">
        <f t="shared" ca="1" si="44"/>
        <v>0</v>
      </c>
      <c r="AS78" s="152">
        <f ca="1">IFERROR(__xludf.DUMMYFUNCTION("IMPORTRANGE(""https://docs.google.com/spreadsheets/d/1Dj4jcHCTV9JXKCaMoheSXS52JE63kDKyG7bPXnFogHk/edit?usp=sharing"",""นครศรีธรรมราช!I676"")"),0)</f>
        <v>0</v>
      </c>
      <c r="AT78" s="152">
        <f ca="1">IFERROR(__xludf.DUMMYFUNCTION("IMPORTRANGE(""https://docs.google.com/spreadsheets/d/1Dj4jcHCTV9JXKCaMoheSXS52JE63kDKyG7bPXnFogHk/edit?usp=sharing"",""นครศรีธรรมราช!I678"")"),0)</f>
        <v>0</v>
      </c>
      <c r="AU78" s="152">
        <f ca="1">IFERROR(__xludf.DUMMYFUNCTION("IMPORTRANGE(""https://docs.google.com/spreadsheets/d/1Dj4jcHCTV9JXKCaMoheSXS52JE63kDKyG7bPXnFogHk/edit?usp=sharing"",""นครศรีธรรมราช!J676"")"),0)</f>
        <v>0</v>
      </c>
      <c r="AV78" s="152">
        <f ca="1">IFERROR(__xludf.DUMMYFUNCTION("IMPORTRANGE(""https://docs.google.com/spreadsheets/d/1Dj4jcHCTV9JXKCaMoheSXS52JE63kDKyG7bPXnFogHk/edit?usp=sharing"",""นครศรีธรรมราช!J677"")"),0)</f>
        <v>0</v>
      </c>
      <c r="AW78" s="152">
        <f ca="1">IFERROR(__xludf.DUMMYFUNCTION("IMPORTRANGE(""https://docs.google.com/spreadsheets/d/1Dj4jcHCTV9JXKCaMoheSXS52JE63kDKyG7bPXnFogHk/edit?usp=sharing"",""นครศรีธรรมราช!J678"")"),0)</f>
        <v>0</v>
      </c>
      <c r="AX78" s="152">
        <f ca="1">IFERROR(__xludf.DUMMYFUNCTION("IMPORTRANGE(""https://docs.google.com/spreadsheets/d/1Dj4jcHCTV9JXKCaMoheSXS52JE63kDKyG7bPXnFogHk/edit?usp=sharing"",""นครศรีธรรมราช!I679"")"),0)</f>
        <v>0</v>
      </c>
      <c r="AY78" s="152">
        <f ca="1">IFERROR(__xludf.DUMMYFUNCTION("IMPORTRANGE(""https://docs.google.com/spreadsheets/d/1Dj4jcHCTV9JXKCaMoheSXS52JE63kDKyG7bPXnFogHk/edit?usp=sharing"",""นครศรีธรรมราช!I681"")"),0)</f>
        <v>0</v>
      </c>
      <c r="AZ78" s="152">
        <f ca="1">IFERROR(__xludf.DUMMYFUNCTION("IMPORTRANGE(""https://docs.google.com/spreadsheets/d/1Dj4jcHCTV9JXKCaMoheSXS52JE63kDKyG7bPXnFogHk/edit?usp=sharing"",""นครศรีธรรมราช!J679"")"),0)</f>
        <v>0</v>
      </c>
      <c r="BA78" s="152">
        <f ca="1">IFERROR(__xludf.DUMMYFUNCTION("IMPORTRANGE(""https://docs.google.com/spreadsheets/d/1Dj4jcHCTV9JXKCaMoheSXS52JE63kDKyG7bPXnFogHk/edit?usp=sharing"",""นครศรีธรรมราช!J680"")"),0)</f>
        <v>0</v>
      </c>
      <c r="BB78" s="152">
        <f ca="1">IFERROR(__xludf.DUMMYFUNCTION("IMPORTRANGE(""https://docs.google.com/spreadsheets/d/1Dj4jcHCTV9JXKCaMoheSXS52JE63kDKyG7bPXnFogHk/edit?usp=sharing"",""นครศรีธรรมราช!J681"")"),0)</f>
        <v>0</v>
      </c>
      <c r="BC78" s="152">
        <f ca="1">IFERROR(__xludf.DUMMYFUNCTION("IMPORTRANGE(""https://docs.google.com/spreadsheets/d/1Dj4jcHCTV9JXKCaMoheSXS52JE63kDKyG7bPXnFogHk/edit?usp=sharing"",""นครศรีธรรมราช!I682"")"),0)</f>
        <v>0</v>
      </c>
      <c r="BD78" s="152">
        <f ca="1">IFERROR(__xludf.DUMMYFUNCTION("IMPORTRANGE(""https://docs.google.com/spreadsheets/d/1Dj4jcHCTV9JXKCaMoheSXS52JE63kDKyG7bPXnFogHk/edit?usp=sharing"",""นครศรีธรรมราช!J682"")"),0)</f>
        <v>0</v>
      </c>
      <c r="BE78" s="216">
        <f t="shared" ca="1" si="46"/>
        <v>0</v>
      </c>
      <c r="BF78" s="152">
        <f ca="1">IFERROR(__xludf.DUMMYFUNCTION("IMPORTRANGE(""https://docs.google.com/spreadsheets/d/1Dj4jcHCTV9JXKCaMoheSXS52JE63kDKyG7bPXnFogHk/edit?usp=sharing"",""นครศรีธรรมราช!J683"")"),0)</f>
        <v>0</v>
      </c>
      <c r="BG78" s="152">
        <f ca="1">IFERROR(__xludf.DUMMYFUNCTION("IMPORTRANGE(""https://docs.google.com/spreadsheets/d/1Dj4jcHCTV9JXKCaMoheSXS52JE63kDKyG7bPXnFogHk/edit?usp=sharing"",""นครศรีธรรมราช!J684"")"),0)</f>
        <v>0</v>
      </c>
      <c r="BH78" s="152">
        <f ca="1">IFERROR(__xludf.DUMMYFUNCTION("IMPORTRANGE(""https://docs.google.com/spreadsheets/d/1Dj4jcHCTV9JXKCaMoheSXS52JE63kDKyG7bPXnFogHk/edit?usp=sharing"",""นครศรีธรรมราช!J685"")"),0)</f>
        <v>0</v>
      </c>
      <c r="BI78" s="152">
        <f ca="1">IFERROR(__xludf.DUMMYFUNCTION("IMPORTRANGE(""https://docs.google.com/spreadsheets/d/1Dj4jcHCTV9JXKCaMoheSXS52JE63kDKyG7bPXnFogHk/edit?usp=sharing"",""นครศรีธรรมราช!J686"")"),0)</f>
        <v>0</v>
      </c>
      <c r="BJ78" s="152">
        <f ca="1">IFERROR(__xludf.DUMMYFUNCTION("IMPORTRANGE(""https://docs.google.com/spreadsheets/d/1Dj4jcHCTV9JXKCaMoheSXS52JE63kDKyG7bPXnFogHk/edit?usp=sharing"",""นครศรีธรรมราช!J687"")"),0)</f>
        <v>0</v>
      </c>
      <c r="BK78" s="152">
        <f ca="1">IFERROR(__xludf.DUMMYFUNCTION("IMPORTRANGE(""https://docs.google.com/spreadsheets/d/1Dj4jcHCTV9JXKCaMoheSXS52JE63kDKyG7bPXnFogHk/edit?usp=sharing"",""นครศรีธรรมราช!J688"")"),0)</f>
        <v>0</v>
      </c>
    </row>
    <row r="79" spans="1:63" ht="19.5" x14ac:dyDescent="0.3">
      <c r="A79" s="70">
        <v>5</v>
      </c>
      <c r="B79" s="71" t="s">
        <v>107</v>
      </c>
      <c r="C79" s="68">
        <f ca="1">IFERROR(__xludf.DUMMYFUNCTION("IMPORTRANGE(""https://docs.google.com/spreadsheets/d/1iodCdmuK2GR3jzUwk8tpccY2JHQQA-87DLOtJP-ooyU/edit?usp=sharing"",""นราธิวาส!Q642"")"),0)</f>
        <v>0</v>
      </c>
      <c r="D79" s="68">
        <f ca="1">IFERROR(__xludf.DUMMYFUNCTION("IMPORTRANGE(""https://docs.google.com/spreadsheets/d/1iodCdmuK2GR3jzUwk8tpccY2JHQQA-87DLOtJP-ooyU/edit?usp=sharing"",""นราธิวาส!R642"")"),0)</f>
        <v>0</v>
      </c>
      <c r="E79" s="68">
        <f ca="1">IFERROR(__xludf.DUMMYFUNCTION("IMPORTRANGE(""https://docs.google.com/spreadsheets/d/1iodCdmuK2GR3jzUwk8tpccY2JHQQA-87DLOtJP-ooyU/edit?usp=sharing"",""นราธิวาส!S642"")"),0)</f>
        <v>0</v>
      </c>
      <c r="F79" s="68">
        <f t="shared" ca="1" si="30"/>
        <v>0</v>
      </c>
      <c r="G79" s="68">
        <f t="shared" ca="1" si="31"/>
        <v>0</v>
      </c>
      <c r="H79" s="278">
        <f ca="1">IFERROR(__xludf.DUMMYFUNCTION("IMPORTRANGE(""https://docs.google.com/spreadsheets/d/1iodCdmuK2GR3jzUwk8tpccY2JHQQA-87DLOtJP-ooyU/edit?usp=sharing"",""นราธิวาส!I652"")"),0)</f>
        <v>0</v>
      </c>
      <c r="I79" s="152">
        <f ca="1">IFERROR(__xludf.DUMMYFUNCTION("IMPORTRANGE(""https://docs.google.com/spreadsheets/d/1iodCdmuK2GR3jzUwk8tpccY2JHQQA-87DLOtJP-ooyU/edit?usp=sharing"",""นราธิวาส!J652"")"),0)</f>
        <v>0</v>
      </c>
      <c r="J79" s="216">
        <f t="shared" ca="1" si="33"/>
        <v>0</v>
      </c>
      <c r="K79" s="152">
        <f ca="1">IFERROR(__xludf.DUMMYFUNCTION("IMPORTRANGE(""https://docs.google.com/spreadsheets/d/1iodCdmuK2GR3jzUwk8tpccY2JHQQA-87DLOtJP-ooyU/edit?usp=sharing"",""นราธิวาส!I653"")"),0)</f>
        <v>0</v>
      </c>
      <c r="L79" s="152">
        <f ca="1">IFERROR(__xludf.DUMMYFUNCTION("IMPORTRANGE(""https://docs.google.com/spreadsheets/d/1iodCdmuK2GR3jzUwk8tpccY2JHQQA-87DLOtJP-ooyU/edit?usp=sharing"",""นราธิวาส!J653"")"),0)</f>
        <v>0</v>
      </c>
      <c r="M79" s="216">
        <f t="shared" ca="1" si="35"/>
        <v>0</v>
      </c>
      <c r="N79" s="152">
        <f ca="1">IFERROR(__xludf.DUMMYFUNCTION("IMPORTRANGE(""https://docs.google.com/spreadsheets/d/1iodCdmuK2GR3jzUwk8tpccY2JHQQA-87DLOtJP-ooyU/edit?usp=sharing"",""นราธิวาส!I654"")"),0)</f>
        <v>0</v>
      </c>
      <c r="O79" s="152">
        <f ca="1">IFERROR(__xludf.DUMMYFUNCTION("IMPORTRANGE(""https://docs.google.com/spreadsheets/d/1iodCdmuK2GR3jzUwk8tpccY2JHQQA-87DLOtJP-ooyU/edit?usp=sharing"",""นราธิวาส!J654"")"),0)</f>
        <v>0</v>
      </c>
      <c r="P79" s="216">
        <f t="shared" ca="1" si="37"/>
        <v>0</v>
      </c>
      <c r="Q79" s="216">
        <f ca="1">IFERROR(__xludf.DUMMYFUNCTION("IMPORTRANGE(""https://docs.google.com/spreadsheets/d/1iodCdmuK2GR3jzUwk8tpccY2JHQQA-87DLOtJP-ooyU/edit?usp=sharing"",""นราธิวาส!J655"")"),0)</f>
        <v>0</v>
      </c>
      <c r="R79" s="216">
        <f ca="1">IFERROR(__xludf.DUMMYFUNCTION("IMPORTRANGE(""https://docs.google.com/spreadsheets/d/1iodCdmuK2GR3jzUwk8tpccY2JHQQA-87DLOtJP-ooyU/edit?usp=sharing"",""นราธิวาส!J656"")"),0)</f>
        <v>0</v>
      </c>
      <c r="S79" s="216">
        <f ca="1">IFERROR(__xludf.DUMMYFUNCTION("IMPORTRANGE(""https://docs.google.com/spreadsheets/d/1iodCdmuK2GR3jzUwk8tpccY2JHQQA-87DLOtJP-ooyU/edit?usp=sharing"",""นราธิวาส!J657"")"),0)</f>
        <v>0</v>
      </c>
      <c r="T79" s="216">
        <f ca="1">IFERROR(__xludf.DUMMYFUNCTION("IMPORTRANGE(""https://docs.google.com/spreadsheets/d/1iodCdmuK2GR3jzUwk8tpccY2JHQQA-87DLOtJP-ooyU/edit?usp=sharing"",""นราธิวาส!J658"")"),0)</f>
        <v>0</v>
      </c>
      <c r="U79" s="216">
        <f ca="1">IFERROR(__xludf.DUMMYFUNCTION("IMPORTRANGE(""https://docs.google.com/spreadsheets/d/1iodCdmuK2GR3jzUwk8tpccY2JHQQA-87DLOtJP-ooyU/edit?usp=sharing"",""นราธิวาส!J659"")"),0)</f>
        <v>0</v>
      </c>
      <c r="V79" s="216">
        <f ca="1">IFERROR(__xludf.DUMMYFUNCTION("IMPORTRANGE(""https://docs.google.com/spreadsheets/d/1iodCdmuK2GR3jzUwk8tpccY2JHQQA-87DLOtJP-ooyU/edit?usp=sharing"",""นราธิวาส!J660"")"),0)</f>
        <v>0</v>
      </c>
      <c r="W79" s="152">
        <f ca="1">IFERROR(__xludf.DUMMYFUNCTION("IMPORTRANGE(""https://docs.google.com/spreadsheets/d/1iodCdmuK2GR3jzUwk8tpccY2JHQQA-87DLOtJP-ooyU/edit?usp=sharing"",""นราธิวาส!I661"")"),0)</f>
        <v>0</v>
      </c>
      <c r="X79" s="152">
        <f ca="1">IFERROR(__xludf.DUMMYFUNCTION("IMPORTRANGE(""https://docs.google.com/spreadsheets/d/1iodCdmuK2GR3jzUwk8tpccY2JHQQA-87DLOtJP-ooyU/edit?usp=sharing"",""นราธิวาส!J661"")"),0)</f>
        <v>0</v>
      </c>
      <c r="Y79" s="216">
        <f t="shared" ca="1" si="39"/>
        <v>0</v>
      </c>
      <c r="Z79" s="152">
        <f ca="1">IFERROR(__xludf.DUMMYFUNCTION("IMPORTRANGE(""https://docs.google.com/spreadsheets/d/1iodCdmuK2GR3jzUwk8tpccY2JHQQA-87DLOtJP-ooyU/edit?usp=sharing"",""นราธิวาส!J662"")"),0)</f>
        <v>0</v>
      </c>
      <c r="AA79" s="152">
        <f ca="1">IFERROR(__xludf.DUMMYFUNCTION("IMPORTRANGE(""https://docs.google.com/spreadsheets/d/1iodCdmuK2GR3jzUwk8tpccY2JHQQA-87DLOtJP-ooyU/edit?usp=sharing"",""นราธิวาส!J663"")"),0)</f>
        <v>0</v>
      </c>
      <c r="AB79" s="152">
        <f ca="1">IFERROR(__xludf.DUMMYFUNCTION("IMPORTRANGE(""https://docs.google.com/spreadsheets/d/1iodCdmuK2GR3jzUwk8tpccY2JHQQA-87DLOtJP-ooyU/edit?usp=sharing"",""นราธิวาส!J665"")"),0)</f>
        <v>0</v>
      </c>
      <c r="AC79" s="152">
        <f ca="1">IFERROR(__xludf.DUMMYFUNCTION("IMPORTRANGE(""https://docs.google.com/spreadsheets/d/1iodCdmuK2GR3jzUwk8tpccY2JHQQA-87DLOtJP-ooyU/edit?usp=sharing"",""นราธิวาส!J666"")"),0)</f>
        <v>0</v>
      </c>
      <c r="AD79" s="152">
        <f ca="1">IFERROR(__xludf.DUMMYFUNCTION("IMPORTRANGE(""https://docs.google.com/spreadsheets/d/1iodCdmuK2GR3jzUwk8tpccY2JHQQA-87DLOtJP-ooyU/edit?usp=sharing"",""นราธิวาส!J667"")"),0)</f>
        <v>0</v>
      </c>
      <c r="AE79" s="152">
        <f ca="1">IFERROR(__xludf.DUMMYFUNCTION("IMPORTRANGE(""https://docs.google.com/spreadsheets/d/1iodCdmuK2GR3jzUwk8tpccY2JHQQA-87DLOtJP-ooyU/edit?usp=sharing"",""นราธิวาส!J668"")"),0)</f>
        <v>0</v>
      </c>
      <c r="AF79" s="152">
        <f ca="1">IFERROR(__xludf.DUMMYFUNCTION("IMPORTRANGE(""https://docs.google.com/spreadsheets/d/1iodCdmuK2GR3jzUwk8tpccY2JHQQA-87DLOtJP-ooyU/edit?usp=sharing"",""นราธิวาส!J669"")"),0)</f>
        <v>0</v>
      </c>
      <c r="AG79" s="152">
        <f ca="1">IFERROR(__xludf.DUMMYFUNCTION("IMPORTRANGE(""https://docs.google.com/spreadsheets/d/1iodCdmuK2GR3jzUwk8tpccY2JHQQA-87DLOtJP-ooyU/edit?usp=sharing"",""นราธิวาส!J670"")"),0)</f>
        <v>0</v>
      </c>
      <c r="AH79" s="152">
        <f ca="1">IFERROR(__xludf.DUMMYFUNCTION("IMPORTRANGE(""https://docs.google.com/spreadsheets/d/1iodCdmuK2GR3jzUwk8tpccY2JHQQA-87DLOtJP-ooyU/edit?usp=sharing"",""นราธิวาส!I673"")"),0)</f>
        <v>0</v>
      </c>
      <c r="AI79" s="152">
        <f ca="1">IFERROR(__xludf.DUMMYFUNCTION("IMPORTRANGE(""https://docs.google.com/spreadsheets/d/1iodCdmuK2GR3jzUwk8tpccY2JHQQA-87DLOtJP-ooyU/edit?usp=sharing"",""นราธิวาส!J671"")"),0)</f>
        <v>0</v>
      </c>
      <c r="AJ79" s="152">
        <f ca="1">IFERROR(__xludf.DUMMYFUNCTION("IMPORTRANGE(""https://docs.google.com/spreadsheets/d/1iodCdmuK2GR3jzUwk8tpccY2JHQQA-87DLOtJP-ooyU/edit?usp=sharing"",""นราธิวาส!J672"")"),0)</f>
        <v>0</v>
      </c>
      <c r="AK79" s="152">
        <f ca="1">IFERROR(__xludf.DUMMYFUNCTION("IMPORTRANGE(""https://docs.google.com/spreadsheets/d/1iodCdmuK2GR3jzUwk8tpccY2JHQQA-87DLOtJP-ooyU/edit?usp=sharing"",""นราธิวาส!J673"")"),0)</f>
        <v>0</v>
      </c>
      <c r="AL79" s="216">
        <f t="shared" ca="1" si="41"/>
        <v>0</v>
      </c>
      <c r="AM79" s="152">
        <f ca="1">IFERROR(__xludf.DUMMYFUNCTION("IMPORTRANGE(""https://docs.google.com/spreadsheets/d/1iodCdmuK2GR3jzUwk8tpccY2JHQQA-87DLOtJP-ooyU/edit?usp=sharing"",""นราธิวาส!I674"")"),0)</f>
        <v>0</v>
      </c>
      <c r="AN79" s="152">
        <f ca="1">IFERROR(__xludf.DUMMYFUNCTION("IMPORTRANGE(""https://docs.google.com/spreadsheets/d/1iodCdmuK2GR3jzUwk8tpccY2JHQQA-87DLOtJP-ooyU/edit?usp=sharing"",""นราธิวาส!I675"")"),0)</f>
        <v>0</v>
      </c>
      <c r="AO79" s="152">
        <f ca="1">IFERROR(__xludf.DUMMYFUNCTION("IMPORTRANGE(""https://docs.google.com/spreadsheets/d/1iodCdmuK2GR3jzUwk8tpccY2JHQQA-87DLOtJP-ooyU/edit?usp=sharing"",""นราธิวาส!J674"")"),0)</f>
        <v>0</v>
      </c>
      <c r="AP79" s="216">
        <f t="shared" ca="1" si="43"/>
        <v>0</v>
      </c>
      <c r="AQ79" s="152">
        <f ca="1">IFERROR(__xludf.DUMMYFUNCTION("IMPORTRANGE(""https://docs.google.com/spreadsheets/d/1iodCdmuK2GR3jzUwk8tpccY2JHQQA-87DLOtJP-ooyU/edit?usp=sharing"",""นราธิวาส!J675"")"),0)</f>
        <v>0</v>
      </c>
      <c r="AR79" s="216">
        <f t="shared" ca="1" si="44"/>
        <v>0</v>
      </c>
      <c r="AS79" s="152">
        <f ca="1">IFERROR(__xludf.DUMMYFUNCTION("IMPORTRANGE(""https://docs.google.com/spreadsheets/d/1iodCdmuK2GR3jzUwk8tpccY2JHQQA-87DLOtJP-ooyU/edit?usp=sharing"",""นราธิวาส!I676"")"),0)</f>
        <v>0</v>
      </c>
      <c r="AT79" s="152">
        <f ca="1">IFERROR(__xludf.DUMMYFUNCTION("IMPORTRANGE(""https://docs.google.com/spreadsheets/d/1iodCdmuK2GR3jzUwk8tpccY2JHQQA-87DLOtJP-ooyU/edit?usp=sharing"",""นราธิวาส!I678"")"),0)</f>
        <v>0</v>
      </c>
      <c r="AU79" s="152">
        <f ca="1">IFERROR(__xludf.DUMMYFUNCTION("IMPORTRANGE(""https://docs.google.com/spreadsheets/d/1iodCdmuK2GR3jzUwk8tpccY2JHQQA-87DLOtJP-ooyU/edit?usp=sharing"",""นราธิวาส!J676"")"),0)</f>
        <v>0</v>
      </c>
      <c r="AV79" s="152">
        <f ca="1">IFERROR(__xludf.DUMMYFUNCTION("IMPORTRANGE(""https://docs.google.com/spreadsheets/d/1iodCdmuK2GR3jzUwk8tpccY2JHQQA-87DLOtJP-ooyU/edit?usp=sharing"",""นราธิวาส!J677"")"),0)</f>
        <v>0</v>
      </c>
      <c r="AW79" s="152">
        <f ca="1">IFERROR(__xludf.DUMMYFUNCTION("IMPORTRANGE(""https://docs.google.com/spreadsheets/d/1iodCdmuK2GR3jzUwk8tpccY2JHQQA-87DLOtJP-ooyU/edit?usp=sharing"",""นราธิวาส!J678"")"),0)</f>
        <v>0</v>
      </c>
      <c r="AX79" s="152">
        <f ca="1">IFERROR(__xludf.DUMMYFUNCTION("IMPORTRANGE(""https://docs.google.com/spreadsheets/d/1iodCdmuK2GR3jzUwk8tpccY2JHQQA-87DLOtJP-ooyU/edit?usp=sharing"",""นราธิวาส!I679"")"),0)</f>
        <v>0</v>
      </c>
      <c r="AY79" s="152">
        <f ca="1">IFERROR(__xludf.DUMMYFUNCTION("IMPORTRANGE(""https://docs.google.com/spreadsheets/d/1iodCdmuK2GR3jzUwk8tpccY2JHQQA-87DLOtJP-ooyU/edit?usp=sharing"",""นราธิวาส!I681"")"),0)</f>
        <v>0</v>
      </c>
      <c r="AZ79" s="152">
        <f ca="1">IFERROR(__xludf.DUMMYFUNCTION("IMPORTRANGE(""https://docs.google.com/spreadsheets/d/1iodCdmuK2GR3jzUwk8tpccY2JHQQA-87DLOtJP-ooyU/edit?usp=sharing"",""นราธิวาส!J679"")"),0)</f>
        <v>0</v>
      </c>
      <c r="BA79" s="152">
        <f ca="1">IFERROR(__xludf.DUMMYFUNCTION("IMPORTRANGE(""https://docs.google.com/spreadsheets/d/1iodCdmuK2GR3jzUwk8tpccY2JHQQA-87DLOtJP-ooyU/edit?usp=sharing"",""นราธิวาส!J680"")"),0)</f>
        <v>0</v>
      </c>
      <c r="BB79" s="152">
        <f ca="1">IFERROR(__xludf.DUMMYFUNCTION("IMPORTRANGE(""https://docs.google.com/spreadsheets/d/1iodCdmuK2GR3jzUwk8tpccY2JHQQA-87DLOtJP-ooyU/edit?usp=sharing"",""นราธิวาส!J681"")"),0)</f>
        <v>0</v>
      </c>
      <c r="BC79" s="152">
        <f ca="1">IFERROR(__xludf.DUMMYFUNCTION("IMPORTRANGE(""https://docs.google.com/spreadsheets/d/1iodCdmuK2GR3jzUwk8tpccY2JHQQA-87DLOtJP-ooyU/edit?usp=sharing"",""นราธิวาส!I682"")"),0)</f>
        <v>0</v>
      </c>
      <c r="BD79" s="152">
        <f ca="1">IFERROR(__xludf.DUMMYFUNCTION("IMPORTRANGE(""https://docs.google.com/spreadsheets/d/1iodCdmuK2GR3jzUwk8tpccY2JHQQA-87DLOtJP-ooyU/edit?usp=sharing"",""นราธิวาส!J682"")"),0)</f>
        <v>0</v>
      </c>
      <c r="BE79" s="216">
        <f t="shared" ca="1" si="46"/>
        <v>0</v>
      </c>
      <c r="BF79" s="152">
        <f ca="1">IFERROR(__xludf.DUMMYFUNCTION("IMPORTRANGE(""https://docs.google.com/spreadsheets/d/1iodCdmuK2GR3jzUwk8tpccY2JHQQA-87DLOtJP-ooyU/edit?usp=sharing"",""นราธิวาส!J683"")"),0)</f>
        <v>0</v>
      </c>
      <c r="BG79" s="152">
        <f ca="1">IFERROR(__xludf.DUMMYFUNCTION("IMPORTRANGE(""https://docs.google.com/spreadsheets/d/1iodCdmuK2GR3jzUwk8tpccY2JHQQA-87DLOtJP-ooyU/edit?usp=sharing"",""นราธิวาส!J684"")"),0)</f>
        <v>0</v>
      </c>
      <c r="BH79" s="152">
        <f ca="1">IFERROR(__xludf.DUMMYFUNCTION("IMPORTRANGE(""https://docs.google.com/spreadsheets/d/1iodCdmuK2GR3jzUwk8tpccY2JHQQA-87DLOtJP-ooyU/edit?usp=sharing"",""นราธิวาส!J685"")"),0)</f>
        <v>0</v>
      </c>
      <c r="BI79" s="152">
        <f ca="1">IFERROR(__xludf.DUMMYFUNCTION("IMPORTRANGE(""https://docs.google.com/spreadsheets/d/1iodCdmuK2GR3jzUwk8tpccY2JHQQA-87DLOtJP-ooyU/edit?usp=sharing"",""นราธิวาส!J686"")"),0)</f>
        <v>0</v>
      </c>
      <c r="BJ79" s="152">
        <f ca="1">IFERROR(__xludf.DUMMYFUNCTION("IMPORTRANGE(""https://docs.google.com/spreadsheets/d/1iodCdmuK2GR3jzUwk8tpccY2JHQQA-87DLOtJP-ooyU/edit?usp=sharing"",""นราธิวาส!J687"")"),0)</f>
        <v>0</v>
      </c>
      <c r="BK79" s="152">
        <f ca="1">IFERROR(__xludf.DUMMYFUNCTION("IMPORTRANGE(""https://docs.google.com/spreadsheets/d/1iodCdmuK2GR3jzUwk8tpccY2JHQQA-87DLOtJP-ooyU/edit?usp=sharing"",""นราธิวาส!J688"")"),0)</f>
        <v>0</v>
      </c>
    </row>
    <row r="80" spans="1:63" ht="19.5" x14ac:dyDescent="0.3">
      <c r="A80" s="70">
        <v>6</v>
      </c>
      <c r="B80" s="71" t="s">
        <v>108</v>
      </c>
      <c r="C80" s="68">
        <f ca="1">IFERROR(__xludf.DUMMYFUNCTION("IMPORTRANGE(""https://docs.google.com/spreadsheets/d/1SDNX3JhDdYRuIOsj0Wh2M-Qa_eaXl0NbWmhAOTbfQAs/edit?usp=sharing"",""ปัตตานี!Q642"")"),8200)</f>
        <v>8200</v>
      </c>
      <c r="D80" s="68">
        <f ca="1">IFERROR(__xludf.DUMMYFUNCTION("IMPORTRANGE(""https://docs.google.com/spreadsheets/d/1SDNX3JhDdYRuIOsj0Wh2M-Qa_eaXl0NbWmhAOTbfQAs/edit?usp=sharing"",""ปัตตานี!R642"")"),8200)</f>
        <v>8200</v>
      </c>
      <c r="E80" s="68">
        <f ca="1">IFERROR(__xludf.DUMMYFUNCTION("IMPORTRANGE(""https://docs.google.com/spreadsheets/d/1SDNX3JhDdYRuIOsj0Wh2M-Qa_eaXl0NbWmhAOTbfQAs/edit?usp=sharing"",""ปัตตานี!S642"")"),0)</f>
        <v>0</v>
      </c>
      <c r="F80" s="68">
        <f t="shared" ca="1" si="30"/>
        <v>0</v>
      </c>
      <c r="G80" s="68">
        <f t="shared" ca="1" si="31"/>
        <v>0</v>
      </c>
      <c r="H80" s="278">
        <f ca="1">IFERROR(__xludf.DUMMYFUNCTION("IMPORTRANGE(""https://docs.google.com/spreadsheets/d/1SDNX3JhDdYRuIOsj0Wh2M-Qa_eaXl0NbWmhAOTbfQAs/edit?usp=sharing"",""ปัตตานี!I652"")"),0)</f>
        <v>0</v>
      </c>
      <c r="I80" s="152">
        <f ca="1">IFERROR(__xludf.DUMMYFUNCTION("IMPORTRANGE(""https://docs.google.com/spreadsheets/d/1SDNX3JhDdYRuIOsj0Wh2M-Qa_eaXl0NbWmhAOTbfQAs/edit?usp=sharing"",""ปัตตานี!J652"")"),0)</f>
        <v>0</v>
      </c>
      <c r="J80" s="216">
        <f t="shared" ca="1" si="33"/>
        <v>0</v>
      </c>
      <c r="K80" s="152">
        <f ca="1">IFERROR(__xludf.DUMMYFUNCTION("IMPORTRANGE(""https://docs.google.com/spreadsheets/d/1SDNX3JhDdYRuIOsj0Wh2M-Qa_eaXl0NbWmhAOTbfQAs/edit?usp=sharing"",""ปัตตานี!I653"")"),60)</f>
        <v>60</v>
      </c>
      <c r="L80" s="152">
        <f ca="1">IFERROR(__xludf.DUMMYFUNCTION("IMPORTRANGE(""https://docs.google.com/spreadsheets/d/1SDNX3JhDdYRuIOsj0Wh2M-Qa_eaXl0NbWmhAOTbfQAs/edit?usp=sharing"",""ปัตตานี!J653"")"),0)</f>
        <v>0</v>
      </c>
      <c r="M80" s="216">
        <f t="shared" ca="1" si="35"/>
        <v>0</v>
      </c>
      <c r="N80" s="152">
        <f ca="1">IFERROR(__xludf.DUMMYFUNCTION("IMPORTRANGE(""https://docs.google.com/spreadsheets/d/1SDNX3JhDdYRuIOsj0Wh2M-Qa_eaXl0NbWmhAOTbfQAs/edit?usp=sharing"",""ปัตตานี!I654"")"),0)</f>
        <v>0</v>
      </c>
      <c r="O80" s="152">
        <f ca="1">IFERROR(__xludf.DUMMYFUNCTION("IMPORTRANGE(""https://docs.google.com/spreadsheets/d/1SDNX3JhDdYRuIOsj0Wh2M-Qa_eaXl0NbWmhAOTbfQAs/edit?usp=sharing"",""ปัตตานี!J654"")"),0)</f>
        <v>0</v>
      </c>
      <c r="P80" s="216">
        <f t="shared" ca="1" si="37"/>
        <v>0</v>
      </c>
      <c r="Q80" s="216">
        <f ca="1">IFERROR(__xludf.DUMMYFUNCTION("IMPORTRANGE(""https://docs.google.com/spreadsheets/d/1SDNX3JhDdYRuIOsj0Wh2M-Qa_eaXl0NbWmhAOTbfQAs/edit?usp=sharing"",""ปัตตานี!J655"")"),0)</f>
        <v>0</v>
      </c>
      <c r="R80" s="216">
        <f ca="1">IFERROR(__xludf.DUMMYFUNCTION("IMPORTRANGE(""https://docs.google.com/spreadsheets/d/1SDNX3JhDdYRuIOsj0Wh2M-Qa_eaXl0NbWmhAOTbfQAs/edit?usp=sharing"",""ปัตตานี!J656"")"),0)</f>
        <v>0</v>
      </c>
      <c r="S80" s="216">
        <f ca="1">IFERROR(__xludf.DUMMYFUNCTION("IMPORTRANGE(""https://docs.google.com/spreadsheets/d/1SDNX3JhDdYRuIOsj0Wh2M-Qa_eaXl0NbWmhAOTbfQAs/edit?usp=sharing"",""ปัตตานี!J657"")"),0)</f>
        <v>0</v>
      </c>
      <c r="T80" s="216">
        <f ca="1">IFERROR(__xludf.DUMMYFUNCTION("IMPORTRANGE(""https://docs.google.com/spreadsheets/d/1SDNX3JhDdYRuIOsj0Wh2M-Qa_eaXl0NbWmhAOTbfQAs/edit?usp=sharing"",""ปัตตานี!J658"")"),0)</f>
        <v>0</v>
      </c>
      <c r="U80" s="216">
        <f ca="1">IFERROR(__xludf.DUMMYFUNCTION("IMPORTRANGE(""https://docs.google.com/spreadsheets/d/1SDNX3JhDdYRuIOsj0Wh2M-Qa_eaXl0NbWmhAOTbfQAs/edit?usp=sharing"",""ปัตตานี!J659"")"),0)</f>
        <v>0</v>
      </c>
      <c r="V80" s="216">
        <f ca="1">IFERROR(__xludf.DUMMYFUNCTION("IMPORTRANGE(""https://docs.google.com/spreadsheets/d/1SDNX3JhDdYRuIOsj0Wh2M-Qa_eaXl0NbWmhAOTbfQAs/edit?usp=sharing"",""ปัตตานี!J660"")"),0)</f>
        <v>0</v>
      </c>
      <c r="W80" s="152">
        <f ca="1">IFERROR(__xludf.DUMMYFUNCTION("IMPORTRANGE(""https://docs.google.com/spreadsheets/d/1SDNX3JhDdYRuIOsj0Wh2M-Qa_eaXl0NbWmhAOTbfQAs/edit?usp=sharing"",""ปัตตานี!I661"")"),0)</f>
        <v>0</v>
      </c>
      <c r="X80" s="152">
        <f ca="1">IFERROR(__xludf.DUMMYFUNCTION("IMPORTRANGE(""https://docs.google.com/spreadsheets/d/1SDNX3JhDdYRuIOsj0Wh2M-Qa_eaXl0NbWmhAOTbfQAs/edit?usp=sharing"",""ปัตตานี!J661"")"),0)</f>
        <v>0</v>
      </c>
      <c r="Y80" s="216">
        <f t="shared" ca="1" si="39"/>
        <v>0</v>
      </c>
      <c r="Z80" s="152">
        <f ca="1">IFERROR(__xludf.DUMMYFUNCTION("IMPORTRANGE(""https://docs.google.com/spreadsheets/d/1SDNX3JhDdYRuIOsj0Wh2M-Qa_eaXl0NbWmhAOTbfQAs/edit?usp=sharing"",""ปัตตานี!J662"")"),0)</f>
        <v>0</v>
      </c>
      <c r="AA80" s="152">
        <f ca="1">IFERROR(__xludf.DUMMYFUNCTION("IMPORTRANGE(""https://docs.google.com/spreadsheets/d/1SDNX3JhDdYRuIOsj0Wh2M-Qa_eaXl0NbWmhAOTbfQAs/edit?usp=sharing"",""ปัตตานี!J663"")"),0)</f>
        <v>0</v>
      </c>
      <c r="AB80" s="152">
        <f ca="1">IFERROR(__xludf.DUMMYFUNCTION("IMPORTRANGE(""https://docs.google.com/spreadsheets/d/1SDNX3JhDdYRuIOsj0Wh2M-Qa_eaXl0NbWmhAOTbfQAs/edit?usp=sharing"",""ปัตตานี!J665"")"),0)</f>
        <v>0</v>
      </c>
      <c r="AC80" s="152">
        <f ca="1">IFERROR(__xludf.DUMMYFUNCTION("IMPORTRANGE(""https://docs.google.com/spreadsheets/d/1SDNX3JhDdYRuIOsj0Wh2M-Qa_eaXl0NbWmhAOTbfQAs/edit?usp=sharing"",""ปัตตานี!J666"")"),0)</f>
        <v>0</v>
      </c>
      <c r="AD80" s="152">
        <f ca="1">IFERROR(__xludf.DUMMYFUNCTION("IMPORTRANGE(""https://docs.google.com/spreadsheets/d/1SDNX3JhDdYRuIOsj0Wh2M-Qa_eaXl0NbWmhAOTbfQAs/edit?usp=sharing"",""ปัตตานี!J667"")"),0)</f>
        <v>0</v>
      </c>
      <c r="AE80" s="152">
        <f ca="1">IFERROR(__xludf.DUMMYFUNCTION("IMPORTRANGE(""https://docs.google.com/spreadsheets/d/1SDNX3JhDdYRuIOsj0Wh2M-Qa_eaXl0NbWmhAOTbfQAs/edit?usp=sharing"",""ปัตตานี!J668"")"),0)</f>
        <v>0</v>
      </c>
      <c r="AF80" s="152">
        <f ca="1">IFERROR(__xludf.DUMMYFUNCTION("IMPORTRANGE(""https://docs.google.com/spreadsheets/d/1SDNX3JhDdYRuIOsj0Wh2M-Qa_eaXl0NbWmhAOTbfQAs/edit?usp=sharing"",""ปัตตานี!J669"")"),0)</f>
        <v>0</v>
      </c>
      <c r="AG80" s="152">
        <f ca="1">IFERROR(__xludf.DUMMYFUNCTION("IMPORTRANGE(""https://docs.google.com/spreadsheets/d/1SDNX3JhDdYRuIOsj0Wh2M-Qa_eaXl0NbWmhAOTbfQAs/edit?usp=sharing"",""ปัตตานี!J670"")"),0)</f>
        <v>0</v>
      </c>
      <c r="AH80" s="152">
        <f ca="1">IFERROR(__xludf.DUMMYFUNCTION("IMPORTRANGE(""https://docs.google.com/spreadsheets/d/1SDNX3JhDdYRuIOsj0Wh2M-Qa_eaXl0NbWmhAOTbfQAs/edit?usp=sharing"",""ปัตตานี!I673"")"),0)</f>
        <v>0</v>
      </c>
      <c r="AI80" s="152">
        <f ca="1">IFERROR(__xludf.DUMMYFUNCTION("IMPORTRANGE(""https://docs.google.com/spreadsheets/d/1SDNX3JhDdYRuIOsj0Wh2M-Qa_eaXl0NbWmhAOTbfQAs/edit?usp=sharing"",""ปัตตานี!J671"")"),0)</f>
        <v>0</v>
      </c>
      <c r="AJ80" s="152">
        <f ca="1">IFERROR(__xludf.DUMMYFUNCTION("IMPORTRANGE(""https://docs.google.com/spreadsheets/d/1SDNX3JhDdYRuIOsj0Wh2M-Qa_eaXl0NbWmhAOTbfQAs/edit?usp=sharing"",""ปัตตานี!J672"")"),0)</f>
        <v>0</v>
      </c>
      <c r="AK80" s="152">
        <f ca="1">IFERROR(__xludf.DUMMYFUNCTION("IMPORTRANGE(""https://docs.google.com/spreadsheets/d/1SDNX3JhDdYRuIOsj0Wh2M-Qa_eaXl0NbWmhAOTbfQAs/edit?usp=sharing"",""ปัตตานี!J673"")"),0)</f>
        <v>0</v>
      </c>
      <c r="AL80" s="216">
        <f t="shared" ca="1" si="41"/>
        <v>0</v>
      </c>
      <c r="AM80" s="152">
        <f ca="1">IFERROR(__xludf.DUMMYFUNCTION("IMPORTRANGE(""https://docs.google.com/spreadsheets/d/1SDNX3JhDdYRuIOsj0Wh2M-Qa_eaXl0NbWmhAOTbfQAs/edit?usp=sharing"",""ปัตตานี!I674"")"),0)</f>
        <v>0</v>
      </c>
      <c r="AN80" s="152">
        <f ca="1">IFERROR(__xludf.DUMMYFUNCTION("IMPORTRANGE(""https://docs.google.com/spreadsheets/d/1SDNX3JhDdYRuIOsj0Wh2M-Qa_eaXl0NbWmhAOTbfQAs/edit?usp=sharing"",""ปัตตานี!I675"")"),0)</f>
        <v>0</v>
      </c>
      <c r="AO80" s="152">
        <f ca="1">IFERROR(__xludf.DUMMYFUNCTION("IMPORTRANGE(""https://docs.google.com/spreadsheets/d/1SDNX3JhDdYRuIOsj0Wh2M-Qa_eaXl0NbWmhAOTbfQAs/edit?usp=sharing"",""ปัตตานี!J674"")"),0)</f>
        <v>0</v>
      </c>
      <c r="AP80" s="216">
        <f t="shared" ca="1" si="43"/>
        <v>0</v>
      </c>
      <c r="AQ80" s="152">
        <f ca="1">IFERROR(__xludf.DUMMYFUNCTION("IMPORTRANGE(""https://docs.google.com/spreadsheets/d/1SDNX3JhDdYRuIOsj0Wh2M-Qa_eaXl0NbWmhAOTbfQAs/edit?usp=sharing"",""ปัตตานี!J675"")"),0)</f>
        <v>0</v>
      </c>
      <c r="AR80" s="216">
        <f t="shared" ca="1" si="44"/>
        <v>0</v>
      </c>
      <c r="AS80" s="152">
        <f ca="1">IFERROR(__xludf.DUMMYFUNCTION("IMPORTRANGE(""https://docs.google.com/spreadsheets/d/1SDNX3JhDdYRuIOsj0Wh2M-Qa_eaXl0NbWmhAOTbfQAs/edit?usp=sharing"",""ปัตตานี!I676"")"),0)</f>
        <v>0</v>
      </c>
      <c r="AT80" s="152">
        <f ca="1">IFERROR(__xludf.DUMMYFUNCTION("IMPORTRANGE(""https://docs.google.com/spreadsheets/d/1SDNX3JhDdYRuIOsj0Wh2M-Qa_eaXl0NbWmhAOTbfQAs/edit?usp=sharing"",""ปัตตานี!I678"")"),0)</f>
        <v>0</v>
      </c>
      <c r="AU80" s="152">
        <f ca="1">IFERROR(__xludf.DUMMYFUNCTION("IMPORTRANGE(""https://docs.google.com/spreadsheets/d/1SDNX3JhDdYRuIOsj0Wh2M-Qa_eaXl0NbWmhAOTbfQAs/edit?usp=sharing"",""ปัตตานี!J676"")"),0)</f>
        <v>0</v>
      </c>
      <c r="AV80" s="152">
        <f ca="1">IFERROR(__xludf.DUMMYFUNCTION("IMPORTRANGE(""https://docs.google.com/spreadsheets/d/1SDNX3JhDdYRuIOsj0Wh2M-Qa_eaXl0NbWmhAOTbfQAs/edit?usp=sharing"",""ปัตตานี!J677"")"),0)</f>
        <v>0</v>
      </c>
      <c r="AW80" s="152">
        <f ca="1">IFERROR(__xludf.DUMMYFUNCTION("IMPORTRANGE(""https://docs.google.com/spreadsheets/d/1SDNX3JhDdYRuIOsj0Wh2M-Qa_eaXl0NbWmhAOTbfQAs/edit?usp=sharing"",""ปัตตานี!J678"")"),0)</f>
        <v>0</v>
      </c>
      <c r="AX80" s="152">
        <f ca="1">IFERROR(__xludf.DUMMYFUNCTION("IMPORTRANGE(""https://docs.google.com/spreadsheets/d/1SDNX3JhDdYRuIOsj0Wh2M-Qa_eaXl0NbWmhAOTbfQAs/edit?usp=sharing"",""ปัตตานี!I679"")"),0)</f>
        <v>0</v>
      </c>
      <c r="AY80" s="152">
        <f ca="1">IFERROR(__xludf.DUMMYFUNCTION("IMPORTRANGE(""https://docs.google.com/spreadsheets/d/1SDNX3JhDdYRuIOsj0Wh2M-Qa_eaXl0NbWmhAOTbfQAs/edit?usp=sharing"",""ปัตตานี!I681"")"),0)</f>
        <v>0</v>
      </c>
      <c r="AZ80" s="152">
        <f ca="1">IFERROR(__xludf.DUMMYFUNCTION("IMPORTRANGE(""https://docs.google.com/spreadsheets/d/1SDNX3JhDdYRuIOsj0Wh2M-Qa_eaXl0NbWmhAOTbfQAs/edit?usp=sharing"",""ปัตตานี!J679"")"),0)</f>
        <v>0</v>
      </c>
      <c r="BA80" s="152">
        <f ca="1">IFERROR(__xludf.DUMMYFUNCTION("IMPORTRANGE(""https://docs.google.com/spreadsheets/d/1SDNX3JhDdYRuIOsj0Wh2M-Qa_eaXl0NbWmhAOTbfQAs/edit?usp=sharing"",""ปัตตานี!J680"")"),0)</f>
        <v>0</v>
      </c>
      <c r="BB80" s="152">
        <f ca="1">IFERROR(__xludf.DUMMYFUNCTION("IMPORTRANGE(""https://docs.google.com/spreadsheets/d/1SDNX3JhDdYRuIOsj0Wh2M-Qa_eaXl0NbWmhAOTbfQAs/edit?usp=sharing"",""ปัตตานี!J681"")"),0)</f>
        <v>0</v>
      </c>
      <c r="BC80" s="152">
        <f ca="1">IFERROR(__xludf.DUMMYFUNCTION("IMPORTRANGE(""https://docs.google.com/spreadsheets/d/1SDNX3JhDdYRuIOsj0Wh2M-Qa_eaXl0NbWmhAOTbfQAs/edit?usp=sharing"",""ปัตตานี!I682"")"),0)</f>
        <v>0</v>
      </c>
      <c r="BD80" s="152">
        <f ca="1">IFERROR(__xludf.DUMMYFUNCTION("IMPORTRANGE(""https://docs.google.com/spreadsheets/d/1SDNX3JhDdYRuIOsj0Wh2M-Qa_eaXl0NbWmhAOTbfQAs/edit?usp=sharing"",""ปัตตานี!J682"")"),0)</f>
        <v>0</v>
      </c>
      <c r="BE80" s="216">
        <f t="shared" ca="1" si="46"/>
        <v>0</v>
      </c>
      <c r="BF80" s="152">
        <f ca="1">IFERROR(__xludf.DUMMYFUNCTION("IMPORTRANGE(""https://docs.google.com/spreadsheets/d/1SDNX3JhDdYRuIOsj0Wh2M-Qa_eaXl0NbWmhAOTbfQAs/edit?usp=sharing"",""ปัตตานี!J683"")"),0)</f>
        <v>0</v>
      </c>
      <c r="BG80" s="152">
        <f ca="1">IFERROR(__xludf.DUMMYFUNCTION("IMPORTRANGE(""https://docs.google.com/spreadsheets/d/1SDNX3JhDdYRuIOsj0Wh2M-Qa_eaXl0NbWmhAOTbfQAs/edit?usp=sharing"",""ปัตตานี!J684"")"),0)</f>
        <v>0</v>
      </c>
      <c r="BH80" s="152">
        <f ca="1">IFERROR(__xludf.DUMMYFUNCTION("IMPORTRANGE(""https://docs.google.com/spreadsheets/d/1SDNX3JhDdYRuIOsj0Wh2M-Qa_eaXl0NbWmhAOTbfQAs/edit?usp=sharing"",""ปัตตานี!J685"")"),0)</f>
        <v>0</v>
      </c>
      <c r="BI80" s="152">
        <f ca="1">IFERROR(__xludf.DUMMYFUNCTION("IMPORTRANGE(""https://docs.google.com/spreadsheets/d/1SDNX3JhDdYRuIOsj0Wh2M-Qa_eaXl0NbWmhAOTbfQAs/edit?usp=sharing"",""ปัตตานี!J686"")"),0)</f>
        <v>0</v>
      </c>
      <c r="BJ80" s="152">
        <f ca="1">IFERROR(__xludf.DUMMYFUNCTION("IMPORTRANGE(""https://docs.google.com/spreadsheets/d/1SDNX3JhDdYRuIOsj0Wh2M-Qa_eaXl0NbWmhAOTbfQAs/edit?usp=sharing"",""ปัตตานี!J687"")"),0)</f>
        <v>0</v>
      </c>
      <c r="BK80" s="152">
        <f ca="1">IFERROR(__xludf.DUMMYFUNCTION("IMPORTRANGE(""https://docs.google.com/spreadsheets/d/1SDNX3JhDdYRuIOsj0Wh2M-Qa_eaXl0NbWmhAOTbfQAs/edit?usp=sharing"",""ปัตตานี!J688"")"),0)</f>
        <v>0</v>
      </c>
    </row>
    <row r="81" spans="1:63" ht="19.5" x14ac:dyDescent="0.3">
      <c r="A81" s="70">
        <v>7</v>
      </c>
      <c r="B81" s="71" t="s">
        <v>109</v>
      </c>
      <c r="C81" s="68">
        <f ca="1">IFERROR(__xludf.DUMMYFUNCTION("IMPORTRANGE(""https://docs.google.com/spreadsheets/d/16JDLGguT8s5DsGCND1KcwHP_AWR_zDMTqLHPLJUKhaU/edit?usp=sharing"",""พังงา!Q642"")"),0)</f>
        <v>0</v>
      </c>
      <c r="D81" s="68">
        <f ca="1">IFERROR(__xludf.DUMMYFUNCTION("IMPORTRANGE(""https://docs.google.com/spreadsheets/d/16JDLGguT8s5DsGCND1KcwHP_AWR_zDMTqLHPLJUKhaU/edit?usp=sharing"",""พังงา!R642"")"),0)</f>
        <v>0</v>
      </c>
      <c r="E81" s="68">
        <f ca="1">IFERROR(__xludf.DUMMYFUNCTION("IMPORTRANGE(""https://docs.google.com/spreadsheets/d/16JDLGguT8s5DsGCND1KcwHP_AWR_zDMTqLHPLJUKhaU/edit?usp=sharing"",""พังงา!S642"")"),0)</f>
        <v>0</v>
      </c>
      <c r="F81" s="68">
        <f t="shared" ca="1" si="30"/>
        <v>0</v>
      </c>
      <c r="G81" s="68">
        <f t="shared" ca="1" si="31"/>
        <v>0</v>
      </c>
      <c r="H81" s="278">
        <f ca="1">IFERROR(__xludf.DUMMYFUNCTION("IMPORTRANGE(""https://docs.google.com/spreadsheets/d/16JDLGguT8s5DsGCND1KcwHP_AWR_zDMTqLHPLJUKhaU/edit?usp=sharing"",""พังงา!I652"")"),0)</f>
        <v>0</v>
      </c>
      <c r="I81" s="152">
        <f ca="1">IFERROR(__xludf.DUMMYFUNCTION("IMPORTRANGE(""https://docs.google.com/spreadsheets/d/16JDLGguT8s5DsGCND1KcwHP_AWR_zDMTqLHPLJUKhaU/edit?usp=sharing"",""พังงา!J652"")"),0)</f>
        <v>0</v>
      </c>
      <c r="J81" s="216">
        <f t="shared" ca="1" si="33"/>
        <v>0</v>
      </c>
      <c r="K81" s="152">
        <f ca="1">IFERROR(__xludf.DUMMYFUNCTION("IMPORTRANGE(""https://docs.google.com/spreadsheets/d/16JDLGguT8s5DsGCND1KcwHP_AWR_zDMTqLHPLJUKhaU/edit?usp=sharing"",""พังงา!I653"")"),0)</f>
        <v>0</v>
      </c>
      <c r="L81" s="152">
        <f ca="1">IFERROR(__xludf.DUMMYFUNCTION("IMPORTRANGE(""https://docs.google.com/spreadsheets/d/16JDLGguT8s5DsGCND1KcwHP_AWR_zDMTqLHPLJUKhaU/edit?usp=sharing"",""พังงา!J653"")"),0)</f>
        <v>0</v>
      </c>
      <c r="M81" s="216">
        <f t="shared" ca="1" si="35"/>
        <v>0</v>
      </c>
      <c r="N81" s="152">
        <f ca="1">IFERROR(__xludf.DUMMYFUNCTION("IMPORTRANGE(""https://docs.google.com/spreadsheets/d/16JDLGguT8s5DsGCND1KcwHP_AWR_zDMTqLHPLJUKhaU/edit?usp=sharing"",""พังงา!I654"")"),0)</f>
        <v>0</v>
      </c>
      <c r="O81" s="152">
        <f ca="1">IFERROR(__xludf.DUMMYFUNCTION("IMPORTRANGE(""https://docs.google.com/spreadsheets/d/16JDLGguT8s5DsGCND1KcwHP_AWR_zDMTqLHPLJUKhaU/edit?usp=sharing"",""พังงา!J654"")"),0)</f>
        <v>0</v>
      </c>
      <c r="P81" s="216">
        <f t="shared" ca="1" si="37"/>
        <v>0</v>
      </c>
      <c r="Q81" s="216">
        <f ca="1">IFERROR(__xludf.DUMMYFUNCTION("IMPORTRANGE(""https://docs.google.com/spreadsheets/d/16JDLGguT8s5DsGCND1KcwHP_AWR_zDMTqLHPLJUKhaU/edit?usp=sharing"",""พังงา!J655"")"),0)</f>
        <v>0</v>
      </c>
      <c r="R81" s="216">
        <f ca="1">IFERROR(__xludf.DUMMYFUNCTION("IMPORTRANGE(""https://docs.google.com/spreadsheets/d/16JDLGguT8s5DsGCND1KcwHP_AWR_zDMTqLHPLJUKhaU/edit?usp=sharing"",""พังงา!J656"")"),0)</f>
        <v>0</v>
      </c>
      <c r="S81" s="216">
        <f ca="1">IFERROR(__xludf.DUMMYFUNCTION("IMPORTRANGE(""https://docs.google.com/spreadsheets/d/16JDLGguT8s5DsGCND1KcwHP_AWR_zDMTqLHPLJUKhaU/edit?usp=sharing"",""พังงา!J657"")"),0)</f>
        <v>0</v>
      </c>
      <c r="T81" s="216">
        <f ca="1">IFERROR(__xludf.DUMMYFUNCTION("IMPORTRANGE(""https://docs.google.com/spreadsheets/d/16JDLGguT8s5DsGCND1KcwHP_AWR_zDMTqLHPLJUKhaU/edit?usp=sharing"",""พังงา!J658"")"),0)</f>
        <v>0</v>
      </c>
      <c r="U81" s="216">
        <f ca="1">IFERROR(__xludf.DUMMYFUNCTION("IMPORTRANGE(""https://docs.google.com/spreadsheets/d/16JDLGguT8s5DsGCND1KcwHP_AWR_zDMTqLHPLJUKhaU/edit?usp=sharing"",""พังงา!J659"")"),0)</f>
        <v>0</v>
      </c>
      <c r="V81" s="216">
        <f ca="1">IFERROR(__xludf.DUMMYFUNCTION("IMPORTRANGE(""https://docs.google.com/spreadsheets/d/16JDLGguT8s5DsGCND1KcwHP_AWR_zDMTqLHPLJUKhaU/edit?usp=sharing"",""พังงา!J660"")"),0)</f>
        <v>0</v>
      </c>
      <c r="W81" s="152">
        <f ca="1">IFERROR(__xludf.DUMMYFUNCTION("IMPORTRANGE(""https://docs.google.com/spreadsheets/d/16JDLGguT8s5DsGCND1KcwHP_AWR_zDMTqLHPLJUKhaU/edit?usp=sharing"",""พังงา!I661"")"),0)</f>
        <v>0</v>
      </c>
      <c r="X81" s="152">
        <f ca="1">IFERROR(__xludf.DUMMYFUNCTION("IMPORTRANGE(""https://docs.google.com/spreadsheets/d/16JDLGguT8s5DsGCND1KcwHP_AWR_zDMTqLHPLJUKhaU/edit?usp=sharing"",""พังงา!J661"")"),0)</f>
        <v>0</v>
      </c>
      <c r="Y81" s="216">
        <f t="shared" ca="1" si="39"/>
        <v>0</v>
      </c>
      <c r="Z81" s="152">
        <f ca="1">IFERROR(__xludf.DUMMYFUNCTION("IMPORTRANGE(""https://docs.google.com/spreadsheets/d/16JDLGguT8s5DsGCND1KcwHP_AWR_zDMTqLHPLJUKhaU/edit?usp=sharing"",""พังงา!J662"")"),0)</f>
        <v>0</v>
      </c>
      <c r="AA81" s="152">
        <f ca="1">IFERROR(__xludf.DUMMYFUNCTION("IMPORTRANGE(""https://docs.google.com/spreadsheets/d/16JDLGguT8s5DsGCND1KcwHP_AWR_zDMTqLHPLJUKhaU/edit?usp=sharing"",""พังงา!J663"")"),0)</f>
        <v>0</v>
      </c>
      <c r="AB81" s="152">
        <f ca="1">IFERROR(__xludf.DUMMYFUNCTION("IMPORTRANGE(""https://docs.google.com/spreadsheets/d/16JDLGguT8s5DsGCND1KcwHP_AWR_zDMTqLHPLJUKhaU/edit?usp=sharing"",""พังงา!J665"")"),0)</f>
        <v>0</v>
      </c>
      <c r="AC81" s="152">
        <f ca="1">IFERROR(__xludf.DUMMYFUNCTION("IMPORTRANGE(""https://docs.google.com/spreadsheets/d/16JDLGguT8s5DsGCND1KcwHP_AWR_zDMTqLHPLJUKhaU/edit?usp=sharing"",""พังงา!J666"")"),0)</f>
        <v>0</v>
      </c>
      <c r="AD81" s="152">
        <f ca="1">IFERROR(__xludf.DUMMYFUNCTION("IMPORTRANGE(""https://docs.google.com/spreadsheets/d/16JDLGguT8s5DsGCND1KcwHP_AWR_zDMTqLHPLJUKhaU/edit?usp=sharing"",""พังงา!J667"")"),0)</f>
        <v>0</v>
      </c>
      <c r="AE81" s="152">
        <f ca="1">IFERROR(__xludf.DUMMYFUNCTION("IMPORTRANGE(""https://docs.google.com/spreadsheets/d/16JDLGguT8s5DsGCND1KcwHP_AWR_zDMTqLHPLJUKhaU/edit?usp=sharing"",""พังงา!J668"")"),0)</f>
        <v>0</v>
      </c>
      <c r="AF81" s="152">
        <f ca="1">IFERROR(__xludf.DUMMYFUNCTION("IMPORTRANGE(""https://docs.google.com/spreadsheets/d/16JDLGguT8s5DsGCND1KcwHP_AWR_zDMTqLHPLJUKhaU/edit?usp=sharing"",""พังงา!J669"")"),0)</f>
        <v>0</v>
      </c>
      <c r="AG81" s="152">
        <f ca="1">IFERROR(__xludf.DUMMYFUNCTION("IMPORTRANGE(""https://docs.google.com/spreadsheets/d/16JDLGguT8s5DsGCND1KcwHP_AWR_zDMTqLHPLJUKhaU/edit?usp=sharing"",""พังงา!J670"")"),0)</f>
        <v>0</v>
      </c>
      <c r="AH81" s="152">
        <f ca="1">IFERROR(__xludf.DUMMYFUNCTION("IMPORTRANGE(""https://docs.google.com/spreadsheets/d/16JDLGguT8s5DsGCND1KcwHP_AWR_zDMTqLHPLJUKhaU/edit?usp=sharing"",""พังงา!I673"")"),0)</f>
        <v>0</v>
      </c>
      <c r="AI81" s="152">
        <f ca="1">IFERROR(__xludf.DUMMYFUNCTION("IMPORTRANGE(""https://docs.google.com/spreadsheets/d/16JDLGguT8s5DsGCND1KcwHP_AWR_zDMTqLHPLJUKhaU/edit?usp=sharing"",""พังงา!J671"")"),0)</f>
        <v>0</v>
      </c>
      <c r="AJ81" s="152">
        <f ca="1">IFERROR(__xludf.DUMMYFUNCTION("IMPORTRANGE(""https://docs.google.com/spreadsheets/d/16JDLGguT8s5DsGCND1KcwHP_AWR_zDMTqLHPLJUKhaU/edit?usp=sharing"",""พังงา!J672"")"),0)</f>
        <v>0</v>
      </c>
      <c r="AK81" s="152">
        <f ca="1">IFERROR(__xludf.DUMMYFUNCTION("IMPORTRANGE(""https://docs.google.com/spreadsheets/d/16JDLGguT8s5DsGCND1KcwHP_AWR_zDMTqLHPLJUKhaU/edit?usp=sharing"",""พังงา!J673"")"),0)</f>
        <v>0</v>
      </c>
      <c r="AL81" s="216">
        <f t="shared" ca="1" si="41"/>
        <v>0</v>
      </c>
      <c r="AM81" s="152">
        <f ca="1">IFERROR(__xludf.DUMMYFUNCTION("IMPORTRANGE(""https://docs.google.com/spreadsheets/d/16JDLGguT8s5DsGCND1KcwHP_AWR_zDMTqLHPLJUKhaU/edit?usp=sharing"",""พังงา!I674"")"),0)</f>
        <v>0</v>
      </c>
      <c r="AN81" s="152">
        <f ca="1">IFERROR(__xludf.DUMMYFUNCTION("IMPORTRANGE(""https://docs.google.com/spreadsheets/d/16JDLGguT8s5DsGCND1KcwHP_AWR_zDMTqLHPLJUKhaU/edit?usp=sharing"",""พังงา!I675"")"),0)</f>
        <v>0</v>
      </c>
      <c r="AO81" s="152">
        <f ca="1">IFERROR(__xludf.DUMMYFUNCTION("IMPORTRANGE(""https://docs.google.com/spreadsheets/d/16JDLGguT8s5DsGCND1KcwHP_AWR_zDMTqLHPLJUKhaU/edit?usp=sharing"",""พังงา!J674"")"),0)</f>
        <v>0</v>
      </c>
      <c r="AP81" s="216">
        <f t="shared" ca="1" si="43"/>
        <v>0</v>
      </c>
      <c r="AQ81" s="152">
        <f ca="1">IFERROR(__xludf.DUMMYFUNCTION("IMPORTRANGE(""https://docs.google.com/spreadsheets/d/16JDLGguT8s5DsGCND1KcwHP_AWR_zDMTqLHPLJUKhaU/edit?usp=sharing"",""พังงา!J675"")"),0)</f>
        <v>0</v>
      </c>
      <c r="AR81" s="216">
        <f t="shared" ca="1" si="44"/>
        <v>0</v>
      </c>
      <c r="AS81" s="152">
        <f ca="1">IFERROR(__xludf.DUMMYFUNCTION("IMPORTRANGE(""https://docs.google.com/spreadsheets/d/16JDLGguT8s5DsGCND1KcwHP_AWR_zDMTqLHPLJUKhaU/edit?usp=sharing"",""พังงา!I676"")"),0)</f>
        <v>0</v>
      </c>
      <c r="AT81" s="152">
        <f ca="1">IFERROR(__xludf.DUMMYFUNCTION("IMPORTRANGE(""https://docs.google.com/spreadsheets/d/16JDLGguT8s5DsGCND1KcwHP_AWR_zDMTqLHPLJUKhaU/edit?usp=sharing"",""พังงา!I678"")"),0)</f>
        <v>0</v>
      </c>
      <c r="AU81" s="152">
        <f ca="1">IFERROR(__xludf.DUMMYFUNCTION("IMPORTRANGE(""https://docs.google.com/spreadsheets/d/16JDLGguT8s5DsGCND1KcwHP_AWR_zDMTqLHPLJUKhaU/edit?usp=sharing"",""พังงา!J676"")"),0)</f>
        <v>0</v>
      </c>
      <c r="AV81" s="152">
        <f ca="1">IFERROR(__xludf.DUMMYFUNCTION("IMPORTRANGE(""https://docs.google.com/spreadsheets/d/16JDLGguT8s5DsGCND1KcwHP_AWR_zDMTqLHPLJUKhaU/edit?usp=sharing"",""พังงา!J677"")"),0)</f>
        <v>0</v>
      </c>
      <c r="AW81" s="152">
        <f ca="1">IFERROR(__xludf.DUMMYFUNCTION("IMPORTRANGE(""https://docs.google.com/spreadsheets/d/16JDLGguT8s5DsGCND1KcwHP_AWR_zDMTqLHPLJUKhaU/edit?usp=sharing"",""พังงา!J678"")"),0)</f>
        <v>0</v>
      </c>
      <c r="AX81" s="152">
        <f ca="1">IFERROR(__xludf.DUMMYFUNCTION("IMPORTRANGE(""https://docs.google.com/spreadsheets/d/16JDLGguT8s5DsGCND1KcwHP_AWR_zDMTqLHPLJUKhaU/edit?usp=sharing"",""พังงา!I679"")"),0)</f>
        <v>0</v>
      </c>
      <c r="AY81" s="152">
        <f ca="1">IFERROR(__xludf.DUMMYFUNCTION("IMPORTRANGE(""https://docs.google.com/spreadsheets/d/16JDLGguT8s5DsGCND1KcwHP_AWR_zDMTqLHPLJUKhaU/edit?usp=sharing"",""พังงา!I681"")"),0)</f>
        <v>0</v>
      </c>
      <c r="AZ81" s="152">
        <f ca="1">IFERROR(__xludf.DUMMYFUNCTION("IMPORTRANGE(""https://docs.google.com/spreadsheets/d/16JDLGguT8s5DsGCND1KcwHP_AWR_zDMTqLHPLJUKhaU/edit?usp=sharing"",""พังงา!J679"")"),0)</f>
        <v>0</v>
      </c>
      <c r="BA81" s="152">
        <f ca="1">IFERROR(__xludf.DUMMYFUNCTION("IMPORTRANGE(""https://docs.google.com/spreadsheets/d/16JDLGguT8s5DsGCND1KcwHP_AWR_zDMTqLHPLJUKhaU/edit?usp=sharing"",""พังงา!J680"")"),0)</f>
        <v>0</v>
      </c>
      <c r="BB81" s="152">
        <f ca="1">IFERROR(__xludf.DUMMYFUNCTION("IMPORTRANGE(""https://docs.google.com/spreadsheets/d/16JDLGguT8s5DsGCND1KcwHP_AWR_zDMTqLHPLJUKhaU/edit?usp=sharing"",""พังงา!J681"")"),0)</f>
        <v>0</v>
      </c>
      <c r="BC81" s="152">
        <f ca="1">IFERROR(__xludf.DUMMYFUNCTION("IMPORTRANGE(""https://docs.google.com/spreadsheets/d/16JDLGguT8s5DsGCND1KcwHP_AWR_zDMTqLHPLJUKhaU/edit?usp=sharing"",""พังงา!I682"")"),0)</f>
        <v>0</v>
      </c>
      <c r="BD81" s="152">
        <f ca="1">IFERROR(__xludf.DUMMYFUNCTION("IMPORTRANGE(""https://docs.google.com/spreadsheets/d/16JDLGguT8s5DsGCND1KcwHP_AWR_zDMTqLHPLJUKhaU/edit?usp=sharing"",""พังงา!J682"")"),0)</f>
        <v>0</v>
      </c>
      <c r="BE81" s="216">
        <f t="shared" ca="1" si="46"/>
        <v>0</v>
      </c>
      <c r="BF81" s="152">
        <f ca="1">IFERROR(__xludf.DUMMYFUNCTION("IMPORTRANGE(""https://docs.google.com/spreadsheets/d/16JDLGguT8s5DsGCND1KcwHP_AWR_zDMTqLHPLJUKhaU/edit?usp=sharing"",""พังงา!J683"")"),0)</f>
        <v>0</v>
      </c>
      <c r="BG81" s="152">
        <f ca="1">IFERROR(__xludf.DUMMYFUNCTION("IMPORTRANGE(""https://docs.google.com/spreadsheets/d/16JDLGguT8s5DsGCND1KcwHP_AWR_zDMTqLHPLJUKhaU/edit?usp=sharing"",""พังงา!J684"")"),0)</f>
        <v>0</v>
      </c>
      <c r="BH81" s="152">
        <f ca="1">IFERROR(__xludf.DUMMYFUNCTION("IMPORTRANGE(""https://docs.google.com/spreadsheets/d/16JDLGguT8s5DsGCND1KcwHP_AWR_zDMTqLHPLJUKhaU/edit?usp=sharing"",""พังงา!J685"")"),0)</f>
        <v>0</v>
      </c>
      <c r="BI81" s="152">
        <f ca="1">IFERROR(__xludf.DUMMYFUNCTION("IMPORTRANGE(""https://docs.google.com/spreadsheets/d/16JDLGguT8s5DsGCND1KcwHP_AWR_zDMTqLHPLJUKhaU/edit?usp=sharing"",""พังงา!J686"")"),0)</f>
        <v>0</v>
      </c>
      <c r="BJ81" s="152">
        <f ca="1">IFERROR(__xludf.DUMMYFUNCTION("IMPORTRANGE(""https://docs.google.com/spreadsheets/d/16JDLGguT8s5DsGCND1KcwHP_AWR_zDMTqLHPLJUKhaU/edit?usp=sharing"",""พังงา!J687"")"),0)</f>
        <v>0</v>
      </c>
      <c r="BK81" s="152">
        <f ca="1">IFERROR(__xludf.DUMMYFUNCTION("IMPORTRANGE(""https://docs.google.com/spreadsheets/d/16JDLGguT8s5DsGCND1KcwHP_AWR_zDMTqLHPLJUKhaU/edit?usp=sharing"",""พังงา!J688"")"),0)</f>
        <v>0</v>
      </c>
    </row>
    <row r="82" spans="1:63" ht="19.5" x14ac:dyDescent="0.3">
      <c r="A82" s="70">
        <v>8</v>
      </c>
      <c r="B82" s="71" t="s">
        <v>110</v>
      </c>
      <c r="C82" s="68">
        <f ca="1">IFERROR(__xludf.DUMMYFUNCTION("IMPORTRANGE(""https://docs.google.com/spreadsheets/d/17ht0gPKzzT3PObBL1XJkeRmntBXI7wGjpLV7QorqlTk/edit?usp=sharing"",""พัทลุง!Q642"")"),0)</f>
        <v>0</v>
      </c>
      <c r="D82" s="68">
        <f ca="1">IFERROR(__xludf.DUMMYFUNCTION("IMPORTRANGE(""https://docs.google.com/spreadsheets/d/17ht0gPKzzT3PObBL1XJkeRmntBXI7wGjpLV7QorqlTk/edit?usp=sharing"",""พัทลุง!R642"")"),0)</f>
        <v>0</v>
      </c>
      <c r="E82" s="68">
        <f ca="1">IFERROR(__xludf.DUMMYFUNCTION("IMPORTRANGE(""https://docs.google.com/spreadsheets/d/17ht0gPKzzT3PObBL1XJkeRmntBXI7wGjpLV7QorqlTk/edit?usp=sharing"",""พัทลุง!S642"")"),0)</f>
        <v>0</v>
      </c>
      <c r="F82" s="68">
        <f t="shared" ca="1" si="30"/>
        <v>0</v>
      </c>
      <c r="G82" s="68">
        <f t="shared" ca="1" si="31"/>
        <v>0</v>
      </c>
      <c r="H82" s="278">
        <f ca="1">IFERROR(__xludf.DUMMYFUNCTION("IMPORTRANGE(""https://docs.google.com/spreadsheets/d/17ht0gPKzzT3PObBL1XJkeRmntBXI7wGjpLV7QorqlTk/edit?usp=sharing"",""พัทลุง!I652"")"),0)</f>
        <v>0</v>
      </c>
      <c r="I82" s="397">
        <f ca="1">IFERROR(__xludf.DUMMYFUNCTION("IMPORTRANGE(""https://docs.google.com/spreadsheets/d/17ht0gPKzzT3PObBL1XJkeRmntBXI7wGjpLV7QorqlTk/edit?usp=sharing"",""พัทลุง!J652"")"),0)</f>
        <v>0</v>
      </c>
      <c r="J82" s="216">
        <f t="shared" ca="1" si="33"/>
        <v>0</v>
      </c>
      <c r="K82" s="152">
        <f ca="1">IFERROR(__xludf.DUMMYFUNCTION("IMPORTRANGE(""https://docs.google.com/spreadsheets/d/17ht0gPKzzT3PObBL1XJkeRmntBXI7wGjpLV7QorqlTk/edit?usp=sharing"",""พัทลุง!I653"")"),0)</f>
        <v>0</v>
      </c>
      <c r="L82" s="397">
        <f ca="1">IFERROR(__xludf.DUMMYFUNCTION("IMPORTRANGE(""https://docs.google.com/spreadsheets/d/17ht0gPKzzT3PObBL1XJkeRmntBXI7wGjpLV7QorqlTk/edit?usp=sharing"",""พัทลุง!J653"")"),0)</f>
        <v>0</v>
      </c>
      <c r="M82" s="216">
        <f t="shared" ca="1" si="35"/>
        <v>0</v>
      </c>
      <c r="N82" s="152">
        <f ca="1">IFERROR(__xludf.DUMMYFUNCTION("IMPORTRANGE(""https://docs.google.com/spreadsheets/d/17ht0gPKzzT3PObBL1XJkeRmntBXI7wGjpLV7QorqlTk/edit?usp=sharing"",""พัทลุง!I654"")"),0)</f>
        <v>0</v>
      </c>
      <c r="O82" s="152">
        <f ca="1">IFERROR(__xludf.DUMMYFUNCTION("IMPORTRANGE(""https://docs.google.com/spreadsheets/d/17ht0gPKzzT3PObBL1XJkeRmntBXI7wGjpLV7QorqlTk/edit?usp=sharing"",""พัทลุง!J654"")"),0)</f>
        <v>0</v>
      </c>
      <c r="P82" s="216">
        <f t="shared" ca="1" si="37"/>
        <v>0</v>
      </c>
      <c r="Q82" s="216">
        <f ca="1">IFERROR(__xludf.DUMMYFUNCTION("IMPORTRANGE(""https://docs.google.com/spreadsheets/d/17ht0gPKzzT3PObBL1XJkeRmntBXI7wGjpLV7QorqlTk/edit?usp=sharing"",""พัทลุง!J655"")"),0)</f>
        <v>0</v>
      </c>
      <c r="R82" s="216">
        <f ca="1">IFERROR(__xludf.DUMMYFUNCTION("IMPORTRANGE(""https://docs.google.com/spreadsheets/d/17ht0gPKzzT3PObBL1XJkeRmntBXI7wGjpLV7QorqlTk/edit?usp=sharing"",""พัทลุง!J656"")"),0)</f>
        <v>0</v>
      </c>
      <c r="S82" s="216">
        <f ca="1">IFERROR(__xludf.DUMMYFUNCTION("IMPORTRANGE(""https://docs.google.com/spreadsheets/d/17ht0gPKzzT3PObBL1XJkeRmntBXI7wGjpLV7QorqlTk/edit?usp=sharing"",""พัทลุง!J657"")"),0)</f>
        <v>0</v>
      </c>
      <c r="T82" s="216">
        <f ca="1">IFERROR(__xludf.DUMMYFUNCTION("IMPORTRANGE(""https://docs.google.com/spreadsheets/d/17ht0gPKzzT3PObBL1XJkeRmntBXI7wGjpLV7QorqlTk/edit?usp=sharing"",""พัทลุง!J658"")"),0)</f>
        <v>0</v>
      </c>
      <c r="U82" s="216">
        <f ca="1">IFERROR(__xludf.DUMMYFUNCTION("IMPORTRANGE(""https://docs.google.com/spreadsheets/d/17ht0gPKzzT3PObBL1XJkeRmntBXI7wGjpLV7QorqlTk/edit?usp=sharing"",""พัทลุง!J659"")"),0)</f>
        <v>0</v>
      </c>
      <c r="V82" s="216">
        <f ca="1">IFERROR(__xludf.DUMMYFUNCTION("IMPORTRANGE(""https://docs.google.com/spreadsheets/d/17ht0gPKzzT3PObBL1XJkeRmntBXI7wGjpLV7QorqlTk/edit?usp=sharing"",""พัทลุง!J660"")"),0)</f>
        <v>0</v>
      </c>
      <c r="W82" s="152">
        <f ca="1">IFERROR(__xludf.DUMMYFUNCTION("IMPORTRANGE(""https://docs.google.com/spreadsheets/d/17ht0gPKzzT3PObBL1XJkeRmntBXI7wGjpLV7QorqlTk/edit?usp=sharing"",""พัทลุง!I661"")"),0)</f>
        <v>0</v>
      </c>
      <c r="X82" s="152">
        <f ca="1">IFERROR(__xludf.DUMMYFUNCTION("IMPORTRANGE(""https://docs.google.com/spreadsheets/d/17ht0gPKzzT3PObBL1XJkeRmntBXI7wGjpLV7QorqlTk/edit?usp=sharing"",""พัทลุง!J661"")"),0)</f>
        <v>0</v>
      </c>
      <c r="Y82" s="216">
        <f t="shared" ca="1" si="39"/>
        <v>0</v>
      </c>
      <c r="Z82" s="152">
        <f ca="1">IFERROR(__xludf.DUMMYFUNCTION("IMPORTRANGE(""https://docs.google.com/spreadsheets/d/17ht0gPKzzT3PObBL1XJkeRmntBXI7wGjpLV7QorqlTk/edit?usp=sharing"",""พัทลุง!J662"")"),0)</f>
        <v>0</v>
      </c>
      <c r="AA82" s="152">
        <f ca="1">IFERROR(__xludf.DUMMYFUNCTION("IMPORTRANGE(""https://docs.google.com/spreadsheets/d/17ht0gPKzzT3PObBL1XJkeRmntBXI7wGjpLV7QorqlTk/edit?usp=sharing"",""พัทลุง!J663"")"),0)</f>
        <v>0</v>
      </c>
      <c r="AB82" s="152">
        <f ca="1">IFERROR(__xludf.DUMMYFUNCTION("IMPORTRANGE(""https://docs.google.com/spreadsheets/d/17ht0gPKzzT3PObBL1XJkeRmntBXI7wGjpLV7QorqlTk/edit?usp=sharing"",""พัทลุง!J665"")"),0)</f>
        <v>0</v>
      </c>
      <c r="AC82" s="152">
        <f ca="1">IFERROR(__xludf.DUMMYFUNCTION("IMPORTRANGE(""https://docs.google.com/spreadsheets/d/17ht0gPKzzT3PObBL1XJkeRmntBXI7wGjpLV7QorqlTk/edit?usp=sharing"",""พัทลุง!J666"")"),0)</f>
        <v>0</v>
      </c>
      <c r="AD82" s="152">
        <f ca="1">IFERROR(__xludf.DUMMYFUNCTION("IMPORTRANGE(""https://docs.google.com/spreadsheets/d/17ht0gPKzzT3PObBL1XJkeRmntBXI7wGjpLV7QorqlTk/edit?usp=sharing"",""พัทลุง!J667"")"),0)</f>
        <v>0</v>
      </c>
      <c r="AE82" s="152">
        <f ca="1">IFERROR(__xludf.DUMMYFUNCTION("IMPORTRANGE(""https://docs.google.com/spreadsheets/d/17ht0gPKzzT3PObBL1XJkeRmntBXI7wGjpLV7QorqlTk/edit?usp=sharing"",""พัทลุง!J668"")"),0)</f>
        <v>0</v>
      </c>
      <c r="AF82" s="152">
        <f ca="1">IFERROR(__xludf.DUMMYFUNCTION("IMPORTRANGE(""https://docs.google.com/spreadsheets/d/17ht0gPKzzT3PObBL1XJkeRmntBXI7wGjpLV7QorqlTk/edit?usp=sharing"",""พัทลุง!J669"")"),0)</f>
        <v>0</v>
      </c>
      <c r="AG82" s="152">
        <f ca="1">IFERROR(__xludf.DUMMYFUNCTION("IMPORTRANGE(""https://docs.google.com/spreadsheets/d/17ht0gPKzzT3PObBL1XJkeRmntBXI7wGjpLV7QorqlTk/edit?usp=sharing"",""พัทลุง!J670"")"),0)</f>
        <v>0</v>
      </c>
      <c r="AH82" s="152">
        <f ca="1">IFERROR(__xludf.DUMMYFUNCTION("IMPORTRANGE(""https://docs.google.com/spreadsheets/d/17ht0gPKzzT3PObBL1XJkeRmntBXI7wGjpLV7QorqlTk/edit?usp=sharing"",""พัทลุง!I673"")"),0)</f>
        <v>0</v>
      </c>
      <c r="AI82" s="397">
        <f ca="1">IFERROR(__xludf.DUMMYFUNCTION("IMPORTRANGE(""https://docs.google.com/spreadsheets/d/17ht0gPKzzT3PObBL1XJkeRmntBXI7wGjpLV7QorqlTk/edit?usp=sharing"",""พัทลุง!J671"")"),0)</f>
        <v>0</v>
      </c>
      <c r="AJ82" s="397">
        <f ca="1">IFERROR(__xludf.DUMMYFUNCTION("IMPORTRANGE(""https://docs.google.com/spreadsheets/d/17ht0gPKzzT3PObBL1XJkeRmntBXI7wGjpLV7QorqlTk/edit?usp=sharing"",""พัทลุง!J672"")"),0)</f>
        <v>0</v>
      </c>
      <c r="AK82" s="397">
        <f ca="1">IFERROR(__xludf.DUMMYFUNCTION("IMPORTRANGE(""https://docs.google.com/spreadsheets/d/17ht0gPKzzT3PObBL1XJkeRmntBXI7wGjpLV7QorqlTk/edit?usp=sharing"",""พัทลุง!J673"")"),0)</f>
        <v>0</v>
      </c>
      <c r="AL82" s="216">
        <f t="shared" ca="1" si="41"/>
        <v>0</v>
      </c>
      <c r="AM82" s="152">
        <f ca="1">IFERROR(__xludf.DUMMYFUNCTION("IMPORTRANGE(""https://docs.google.com/spreadsheets/d/17ht0gPKzzT3PObBL1XJkeRmntBXI7wGjpLV7QorqlTk/edit?usp=sharing"",""พัทลุง!I674"")"),0)</f>
        <v>0</v>
      </c>
      <c r="AN82" s="152">
        <f ca="1">IFERROR(__xludf.DUMMYFUNCTION("IMPORTRANGE(""https://docs.google.com/spreadsheets/d/17ht0gPKzzT3PObBL1XJkeRmntBXI7wGjpLV7QorqlTk/edit?usp=sharing"",""พัทลุง!I675"")"),0)</f>
        <v>0</v>
      </c>
      <c r="AO82" s="397">
        <f ca="1">IFERROR(__xludf.DUMMYFUNCTION("IMPORTRANGE(""https://docs.google.com/spreadsheets/d/17ht0gPKzzT3PObBL1XJkeRmntBXI7wGjpLV7QorqlTk/edit?usp=sharing"",""พัทลุง!J674"")"),0)</f>
        <v>0</v>
      </c>
      <c r="AP82" s="216">
        <f t="shared" ca="1" si="43"/>
        <v>0</v>
      </c>
      <c r="AQ82" s="397">
        <f ca="1">IFERROR(__xludf.DUMMYFUNCTION("IMPORTRANGE(""https://docs.google.com/spreadsheets/d/17ht0gPKzzT3PObBL1XJkeRmntBXI7wGjpLV7QorqlTk/edit?usp=sharing"",""พัทลุง!J675"")"),0)</f>
        <v>0</v>
      </c>
      <c r="AR82" s="216">
        <f t="shared" ca="1" si="44"/>
        <v>0</v>
      </c>
      <c r="AS82" s="152">
        <f ca="1">IFERROR(__xludf.DUMMYFUNCTION("IMPORTRANGE(""https://docs.google.com/spreadsheets/d/17ht0gPKzzT3PObBL1XJkeRmntBXI7wGjpLV7QorqlTk/edit?usp=sharing"",""พัทลุง!I676"")"),0)</f>
        <v>0</v>
      </c>
      <c r="AT82" s="152">
        <f ca="1">IFERROR(__xludf.DUMMYFUNCTION("IMPORTRANGE(""https://docs.google.com/spreadsheets/d/17ht0gPKzzT3PObBL1XJkeRmntBXI7wGjpLV7QorqlTk/edit?usp=sharing"",""พัทลุง!I678"")"),0)</f>
        <v>0</v>
      </c>
      <c r="AU82" s="397">
        <f ca="1">IFERROR(__xludf.DUMMYFUNCTION("IMPORTRANGE(""https://docs.google.com/spreadsheets/d/17ht0gPKzzT3PObBL1XJkeRmntBXI7wGjpLV7QorqlTk/edit?usp=sharing"",""พัทลุง!J676"")"),0)</f>
        <v>0</v>
      </c>
      <c r="AV82" s="397">
        <f ca="1">IFERROR(__xludf.DUMMYFUNCTION("IMPORTRANGE(""https://docs.google.com/spreadsheets/d/17ht0gPKzzT3PObBL1XJkeRmntBXI7wGjpLV7QorqlTk/edit?usp=sharing"",""พัทลุง!J677"")"),0)</f>
        <v>0</v>
      </c>
      <c r="AW82" s="397">
        <f ca="1">IFERROR(__xludf.DUMMYFUNCTION("IMPORTRANGE(""https://docs.google.com/spreadsheets/d/17ht0gPKzzT3PObBL1XJkeRmntBXI7wGjpLV7QorqlTk/edit?usp=sharing"",""พัทลุง!J678"")"),0)</f>
        <v>0</v>
      </c>
      <c r="AX82" s="152">
        <f ca="1">IFERROR(__xludf.DUMMYFUNCTION("IMPORTRANGE(""https://docs.google.com/spreadsheets/d/17ht0gPKzzT3PObBL1XJkeRmntBXI7wGjpLV7QorqlTk/edit?usp=sharing"",""พัทลุง!I679"")"),0)</f>
        <v>0</v>
      </c>
      <c r="AY82" s="152">
        <f ca="1">IFERROR(__xludf.DUMMYFUNCTION("IMPORTRANGE(""https://docs.google.com/spreadsheets/d/17ht0gPKzzT3PObBL1XJkeRmntBXI7wGjpLV7QorqlTk/edit?usp=sharing"",""พัทลุง!I681"")"),0)</f>
        <v>0</v>
      </c>
      <c r="AZ82" s="397">
        <f ca="1">IFERROR(__xludf.DUMMYFUNCTION("IMPORTRANGE(""https://docs.google.com/spreadsheets/d/17ht0gPKzzT3PObBL1XJkeRmntBXI7wGjpLV7QorqlTk/edit?usp=sharing"",""พัทลุง!J679"")"),0)</f>
        <v>0</v>
      </c>
      <c r="BA82" s="397">
        <f ca="1">IFERROR(__xludf.DUMMYFUNCTION("IMPORTRANGE(""https://docs.google.com/spreadsheets/d/17ht0gPKzzT3PObBL1XJkeRmntBXI7wGjpLV7QorqlTk/edit?usp=sharing"",""พัทลุง!J680"")"),0)</f>
        <v>0</v>
      </c>
      <c r="BB82" s="397">
        <f ca="1">IFERROR(__xludf.DUMMYFUNCTION("IMPORTRANGE(""https://docs.google.com/spreadsheets/d/17ht0gPKzzT3PObBL1XJkeRmntBXI7wGjpLV7QorqlTk/edit?usp=sharing"",""พัทลุง!J681"")"),0)</f>
        <v>0</v>
      </c>
      <c r="BC82" s="152">
        <f ca="1">IFERROR(__xludf.DUMMYFUNCTION("IMPORTRANGE(""https://docs.google.com/spreadsheets/d/17ht0gPKzzT3PObBL1XJkeRmntBXI7wGjpLV7QorqlTk/edit?usp=sharing"",""พัทลุง!I682"")"),0)</f>
        <v>0</v>
      </c>
      <c r="BD82" s="152">
        <f ca="1">IFERROR(__xludf.DUMMYFUNCTION("IMPORTRANGE(""https://docs.google.com/spreadsheets/d/17ht0gPKzzT3PObBL1XJkeRmntBXI7wGjpLV7QorqlTk/edit?usp=sharing"",""พัทลุง!J682"")"),0)</f>
        <v>0</v>
      </c>
      <c r="BE82" s="216">
        <f t="shared" ca="1" si="46"/>
        <v>0</v>
      </c>
      <c r="BF82" s="152">
        <f ca="1">IFERROR(__xludf.DUMMYFUNCTION("IMPORTRANGE(""https://docs.google.com/spreadsheets/d/17ht0gPKzzT3PObBL1XJkeRmntBXI7wGjpLV7QorqlTk/edit?usp=sharing"",""พัทลุง!J683"")"),0)</f>
        <v>0</v>
      </c>
      <c r="BG82" s="152">
        <f ca="1">IFERROR(__xludf.DUMMYFUNCTION("IMPORTRANGE(""https://docs.google.com/spreadsheets/d/17ht0gPKzzT3PObBL1XJkeRmntBXI7wGjpLV7QorqlTk/edit?usp=sharing"",""พัทลุง!J684"")"),0)</f>
        <v>0</v>
      </c>
      <c r="BH82" s="152">
        <f ca="1">IFERROR(__xludf.DUMMYFUNCTION("IMPORTRANGE(""https://docs.google.com/spreadsheets/d/17ht0gPKzzT3PObBL1XJkeRmntBXI7wGjpLV7QorqlTk/edit?usp=sharing"",""พัทลุง!J685"")"),0)</f>
        <v>0</v>
      </c>
      <c r="BI82" s="152">
        <f ca="1">IFERROR(__xludf.DUMMYFUNCTION("IMPORTRANGE(""https://docs.google.com/spreadsheets/d/17ht0gPKzzT3PObBL1XJkeRmntBXI7wGjpLV7QorqlTk/edit?usp=sharing"",""พัทลุง!J686"")"),0)</f>
        <v>0</v>
      </c>
      <c r="BJ82" s="152">
        <f ca="1">IFERROR(__xludf.DUMMYFUNCTION("IMPORTRANGE(""https://docs.google.com/spreadsheets/d/17ht0gPKzzT3PObBL1XJkeRmntBXI7wGjpLV7QorqlTk/edit?usp=sharing"",""พัทลุง!J687"")"),0)</f>
        <v>0</v>
      </c>
      <c r="BK82" s="152">
        <f ca="1">IFERROR(__xludf.DUMMYFUNCTION("IMPORTRANGE(""https://docs.google.com/spreadsheets/d/17ht0gPKzzT3PObBL1XJkeRmntBXI7wGjpLV7QorqlTk/edit?usp=sharing"",""พัทลุง!J688"")"),0)</f>
        <v>0</v>
      </c>
    </row>
    <row r="83" spans="1:63" ht="19.5" x14ac:dyDescent="0.3">
      <c r="A83" s="70">
        <v>9</v>
      </c>
      <c r="B83" s="71" t="s">
        <v>111</v>
      </c>
      <c r="C83" s="68">
        <f ca="1">IFERROR(__xludf.DUMMYFUNCTION("IMPORTRANGE(""https://docs.google.com/spreadsheets/d/1rd4qoM1q_hsgaolqNGfrim9gbsoLxQsda4-vOz5x_BM/edit?usp=sharing"",""ภูเก็ต!Q642"")"),0)</f>
        <v>0</v>
      </c>
      <c r="D83" s="68">
        <f ca="1">IFERROR(__xludf.DUMMYFUNCTION("IMPORTRANGE(""https://docs.google.com/spreadsheets/d/1rd4qoM1q_hsgaolqNGfrim9gbsoLxQsda4-vOz5x_BM/edit?usp=sharing"",""ภูเก็ต!R642"")"),0)</f>
        <v>0</v>
      </c>
      <c r="E83" s="68">
        <f ca="1">IFERROR(__xludf.DUMMYFUNCTION("IMPORTRANGE(""https://docs.google.com/spreadsheets/d/1rd4qoM1q_hsgaolqNGfrim9gbsoLxQsda4-vOz5x_BM/edit?usp=sharing"",""ภูเก็ต!S642"")"),0)</f>
        <v>0</v>
      </c>
      <c r="F83" s="68">
        <f t="shared" ca="1" si="30"/>
        <v>0</v>
      </c>
      <c r="G83" s="68">
        <f t="shared" ca="1" si="31"/>
        <v>0</v>
      </c>
      <c r="H83" s="278">
        <f ca="1">IFERROR(__xludf.DUMMYFUNCTION("IMPORTRANGE(""https://docs.google.com/spreadsheets/d/1rd4qoM1q_hsgaolqNGfrim9gbsoLxQsda4-vOz5x_BM/edit?usp=sharing"",""ภูเก็ต!I652"")"),0)</f>
        <v>0</v>
      </c>
      <c r="I83" s="152">
        <f ca="1">IFERROR(__xludf.DUMMYFUNCTION("IMPORTRANGE(""https://docs.google.com/spreadsheets/d/1rd4qoM1q_hsgaolqNGfrim9gbsoLxQsda4-vOz5x_BM/edit?usp=sharing"",""ภูเก็ต!J652"")"),0)</f>
        <v>0</v>
      </c>
      <c r="J83" s="216">
        <f t="shared" ca="1" si="33"/>
        <v>0</v>
      </c>
      <c r="K83" s="152">
        <f ca="1">IFERROR(__xludf.DUMMYFUNCTION("IMPORTRANGE(""https://docs.google.com/spreadsheets/d/1rd4qoM1q_hsgaolqNGfrim9gbsoLxQsda4-vOz5x_BM/edit?usp=sharing"",""ภูเก็ต!I653"")"),0)</f>
        <v>0</v>
      </c>
      <c r="L83" s="152">
        <f ca="1">IFERROR(__xludf.DUMMYFUNCTION("IMPORTRANGE(""https://docs.google.com/spreadsheets/d/1rd4qoM1q_hsgaolqNGfrim9gbsoLxQsda4-vOz5x_BM/edit?usp=sharing"",""ภูเก็ต!J653"")"),0)</f>
        <v>0</v>
      </c>
      <c r="M83" s="216">
        <f t="shared" ca="1" si="35"/>
        <v>0</v>
      </c>
      <c r="N83" s="152">
        <f ca="1">IFERROR(__xludf.DUMMYFUNCTION("IMPORTRANGE(""https://docs.google.com/spreadsheets/d/1rd4qoM1q_hsgaolqNGfrim9gbsoLxQsda4-vOz5x_BM/edit?usp=sharing"",""ภูเก็ต!I654"")"),0)</f>
        <v>0</v>
      </c>
      <c r="O83" s="152">
        <f ca="1">IFERROR(__xludf.DUMMYFUNCTION("IMPORTRANGE(""https://docs.google.com/spreadsheets/d/1rd4qoM1q_hsgaolqNGfrim9gbsoLxQsda4-vOz5x_BM/edit?usp=sharing"",""ภูเก็ต!J654"")"),0)</f>
        <v>0</v>
      </c>
      <c r="P83" s="216">
        <f t="shared" ca="1" si="37"/>
        <v>0</v>
      </c>
      <c r="Q83" s="216">
        <f ca="1">IFERROR(__xludf.DUMMYFUNCTION("IMPORTRANGE(""https://docs.google.com/spreadsheets/d/1rd4qoM1q_hsgaolqNGfrim9gbsoLxQsda4-vOz5x_BM/edit?usp=sharing"",""ภูเก็ต!J655"")"),0)</f>
        <v>0</v>
      </c>
      <c r="R83" s="216">
        <f ca="1">IFERROR(__xludf.DUMMYFUNCTION("IMPORTRANGE(""https://docs.google.com/spreadsheets/d/1rd4qoM1q_hsgaolqNGfrim9gbsoLxQsda4-vOz5x_BM/edit?usp=sharing"",""ภูเก็ต!J656"")"),0)</f>
        <v>0</v>
      </c>
      <c r="S83" s="216">
        <f ca="1">IFERROR(__xludf.DUMMYFUNCTION("IMPORTRANGE(""https://docs.google.com/spreadsheets/d/1rd4qoM1q_hsgaolqNGfrim9gbsoLxQsda4-vOz5x_BM/edit?usp=sharing"",""ภูเก็ต!J657"")"),0)</f>
        <v>0</v>
      </c>
      <c r="T83" s="216">
        <f ca="1">IFERROR(__xludf.DUMMYFUNCTION("IMPORTRANGE(""https://docs.google.com/spreadsheets/d/1rd4qoM1q_hsgaolqNGfrim9gbsoLxQsda4-vOz5x_BM/edit?usp=sharing"",""ภูเก็ต!J658"")"),0)</f>
        <v>0</v>
      </c>
      <c r="U83" s="216">
        <f ca="1">IFERROR(__xludf.DUMMYFUNCTION("IMPORTRANGE(""https://docs.google.com/spreadsheets/d/1rd4qoM1q_hsgaolqNGfrim9gbsoLxQsda4-vOz5x_BM/edit?usp=sharing"",""ภูเก็ต!J659"")"),0)</f>
        <v>0</v>
      </c>
      <c r="V83" s="216">
        <f ca="1">IFERROR(__xludf.DUMMYFUNCTION("IMPORTRANGE(""https://docs.google.com/spreadsheets/d/1rd4qoM1q_hsgaolqNGfrim9gbsoLxQsda4-vOz5x_BM/edit?usp=sharing"",""ภูเก็ต!J660"")"),0)</f>
        <v>0</v>
      </c>
      <c r="W83" s="152">
        <f ca="1">IFERROR(__xludf.DUMMYFUNCTION("IMPORTRANGE(""https://docs.google.com/spreadsheets/d/1rd4qoM1q_hsgaolqNGfrim9gbsoLxQsda4-vOz5x_BM/edit?usp=sharing"",""ภูเก็ต!I661"")"),0)</f>
        <v>0</v>
      </c>
      <c r="X83" s="152">
        <f ca="1">IFERROR(__xludf.DUMMYFUNCTION("IMPORTRANGE(""https://docs.google.com/spreadsheets/d/1rd4qoM1q_hsgaolqNGfrim9gbsoLxQsda4-vOz5x_BM/edit?usp=sharing"",""ภูเก็ต!J661"")"),0)</f>
        <v>0</v>
      </c>
      <c r="Y83" s="216">
        <f t="shared" ca="1" si="39"/>
        <v>0</v>
      </c>
      <c r="Z83" s="152">
        <f ca="1">IFERROR(__xludf.DUMMYFUNCTION("IMPORTRANGE(""https://docs.google.com/spreadsheets/d/1rd4qoM1q_hsgaolqNGfrim9gbsoLxQsda4-vOz5x_BM/edit?usp=sharing"",""ภูเก็ต!J662"")"),0)</f>
        <v>0</v>
      </c>
      <c r="AA83" s="152">
        <f ca="1">IFERROR(__xludf.DUMMYFUNCTION("IMPORTRANGE(""https://docs.google.com/spreadsheets/d/1rd4qoM1q_hsgaolqNGfrim9gbsoLxQsda4-vOz5x_BM/edit?usp=sharing"",""ภูเก็ต!J663"")"),0)</f>
        <v>0</v>
      </c>
      <c r="AB83" s="152">
        <f ca="1">IFERROR(__xludf.DUMMYFUNCTION("IMPORTRANGE(""https://docs.google.com/spreadsheets/d/1rd4qoM1q_hsgaolqNGfrim9gbsoLxQsda4-vOz5x_BM/edit?usp=sharing"",""ภูเก็ต!J665"")"),0)</f>
        <v>0</v>
      </c>
      <c r="AC83" s="152">
        <f ca="1">IFERROR(__xludf.DUMMYFUNCTION("IMPORTRANGE(""https://docs.google.com/spreadsheets/d/1rd4qoM1q_hsgaolqNGfrim9gbsoLxQsda4-vOz5x_BM/edit?usp=sharing"",""ภูเก็ต!J666"")"),0)</f>
        <v>0</v>
      </c>
      <c r="AD83" s="152">
        <f ca="1">IFERROR(__xludf.DUMMYFUNCTION("IMPORTRANGE(""https://docs.google.com/spreadsheets/d/1rd4qoM1q_hsgaolqNGfrim9gbsoLxQsda4-vOz5x_BM/edit?usp=sharing"",""ภูเก็ต!J667"")"),0)</f>
        <v>0</v>
      </c>
      <c r="AE83" s="152">
        <f ca="1">IFERROR(__xludf.DUMMYFUNCTION("IMPORTRANGE(""https://docs.google.com/spreadsheets/d/1rd4qoM1q_hsgaolqNGfrim9gbsoLxQsda4-vOz5x_BM/edit?usp=sharing"",""ภูเก็ต!J668"")"),0)</f>
        <v>0</v>
      </c>
      <c r="AF83" s="152">
        <f ca="1">IFERROR(__xludf.DUMMYFUNCTION("IMPORTRANGE(""https://docs.google.com/spreadsheets/d/1rd4qoM1q_hsgaolqNGfrim9gbsoLxQsda4-vOz5x_BM/edit?usp=sharing"",""ภูเก็ต!J669"")"),0)</f>
        <v>0</v>
      </c>
      <c r="AG83" s="152">
        <f ca="1">IFERROR(__xludf.DUMMYFUNCTION("IMPORTRANGE(""https://docs.google.com/spreadsheets/d/1rd4qoM1q_hsgaolqNGfrim9gbsoLxQsda4-vOz5x_BM/edit?usp=sharing"",""ภูเก็ต!J670"")"),0)</f>
        <v>0</v>
      </c>
      <c r="AH83" s="152">
        <f ca="1">IFERROR(__xludf.DUMMYFUNCTION("IMPORTRANGE(""https://docs.google.com/spreadsheets/d/1rd4qoM1q_hsgaolqNGfrim9gbsoLxQsda4-vOz5x_BM/edit?usp=sharing"",""ภูเก็ต!I673"")"),0)</f>
        <v>0</v>
      </c>
      <c r="AI83" s="152">
        <f ca="1">IFERROR(__xludf.DUMMYFUNCTION("IMPORTRANGE(""https://docs.google.com/spreadsheets/d/1rd4qoM1q_hsgaolqNGfrim9gbsoLxQsda4-vOz5x_BM/edit?usp=sharing"",""ภูเก็ต!J671"")"),0)</f>
        <v>0</v>
      </c>
      <c r="AJ83" s="152">
        <f ca="1">IFERROR(__xludf.DUMMYFUNCTION("IMPORTRANGE(""https://docs.google.com/spreadsheets/d/1rd4qoM1q_hsgaolqNGfrim9gbsoLxQsda4-vOz5x_BM/edit?usp=sharing"",""ภูเก็ต!J672"")"),0)</f>
        <v>0</v>
      </c>
      <c r="AK83" s="152">
        <f ca="1">IFERROR(__xludf.DUMMYFUNCTION("IMPORTRANGE(""https://docs.google.com/spreadsheets/d/1rd4qoM1q_hsgaolqNGfrim9gbsoLxQsda4-vOz5x_BM/edit?usp=sharing"",""ภูเก็ต!J673"")"),0)</f>
        <v>0</v>
      </c>
      <c r="AL83" s="216">
        <f t="shared" ca="1" si="41"/>
        <v>0</v>
      </c>
      <c r="AM83" s="152">
        <f ca="1">IFERROR(__xludf.DUMMYFUNCTION("IMPORTRANGE(""https://docs.google.com/spreadsheets/d/1rd4qoM1q_hsgaolqNGfrim9gbsoLxQsda4-vOz5x_BM/edit?usp=sharing"",""ภูเก็ต!I674"")"),0)</f>
        <v>0</v>
      </c>
      <c r="AN83" s="152">
        <f ca="1">IFERROR(__xludf.DUMMYFUNCTION("IMPORTRANGE(""https://docs.google.com/spreadsheets/d/1rd4qoM1q_hsgaolqNGfrim9gbsoLxQsda4-vOz5x_BM/edit?usp=sharing"",""ภูเก็ต!I675"")"),0)</f>
        <v>0</v>
      </c>
      <c r="AO83" s="152">
        <f ca="1">IFERROR(__xludf.DUMMYFUNCTION("IMPORTRANGE(""https://docs.google.com/spreadsheets/d/1rd4qoM1q_hsgaolqNGfrim9gbsoLxQsda4-vOz5x_BM/edit?usp=sharing"",""ภูเก็ต!J674"")"),0)</f>
        <v>0</v>
      </c>
      <c r="AP83" s="216">
        <f t="shared" ca="1" si="43"/>
        <v>0</v>
      </c>
      <c r="AQ83" s="152">
        <f ca="1">IFERROR(__xludf.DUMMYFUNCTION("IMPORTRANGE(""https://docs.google.com/spreadsheets/d/1rd4qoM1q_hsgaolqNGfrim9gbsoLxQsda4-vOz5x_BM/edit?usp=sharing"",""ภูเก็ต!J675"")"),0)</f>
        <v>0</v>
      </c>
      <c r="AR83" s="216">
        <f t="shared" ca="1" si="44"/>
        <v>0</v>
      </c>
      <c r="AS83" s="152">
        <f ca="1">IFERROR(__xludf.DUMMYFUNCTION("IMPORTRANGE(""https://docs.google.com/spreadsheets/d/1rd4qoM1q_hsgaolqNGfrim9gbsoLxQsda4-vOz5x_BM/edit?usp=sharing"",""ภูเก็ต!I676"")"),0)</f>
        <v>0</v>
      </c>
      <c r="AT83" s="152">
        <f ca="1">IFERROR(__xludf.DUMMYFUNCTION("IMPORTRANGE(""https://docs.google.com/spreadsheets/d/1rd4qoM1q_hsgaolqNGfrim9gbsoLxQsda4-vOz5x_BM/edit?usp=sharing"",""ภูเก็ต!I678"")"),0)</f>
        <v>0</v>
      </c>
      <c r="AU83" s="152">
        <f ca="1">IFERROR(__xludf.DUMMYFUNCTION("IMPORTRANGE(""https://docs.google.com/spreadsheets/d/1rd4qoM1q_hsgaolqNGfrim9gbsoLxQsda4-vOz5x_BM/edit?usp=sharing"",""ภูเก็ต!J676"")"),0)</f>
        <v>0</v>
      </c>
      <c r="AV83" s="152">
        <f ca="1">IFERROR(__xludf.DUMMYFUNCTION("IMPORTRANGE(""https://docs.google.com/spreadsheets/d/1rd4qoM1q_hsgaolqNGfrim9gbsoLxQsda4-vOz5x_BM/edit?usp=sharing"",""ภูเก็ต!J677"")"),0)</f>
        <v>0</v>
      </c>
      <c r="AW83" s="152">
        <f ca="1">IFERROR(__xludf.DUMMYFUNCTION("IMPORTRANGE(""https://docs.google.com/spreadsheets/d/1rd4qoM1q_hsgaolqNGfrim9gbsoLxQsda4-vOz5x_BM/edit?usp=sharing"",""ภูเก็ต!J678"")"),0)</f>
        <v>0</v>
      </c>
      <c r="AX83" s="152">
        <f ca="1">IFERROR(__xludf.DUMMYFUNCTION("IMPORTRANGE(""https://docs.google.com/spreadsheets/d/1rd4qoM1q_hsgaolqNGfrim9gbsoLxQsda4-vOz5x_BM/edit?usp=sharing"",""ภูเก็ต!I679"")"),0)</f>
        <v>0</v>
      </c>
      <c r="AY83" s="152">
        <f ca="1">IFERROR(__xludf.DUMMYFUNCTION("IMPORTRANGE(""https://docs.google.com/spreadsheets/d/1rd4qoM1q_hsgaolqNGfrim9gbsoLxQsda4-vOz5x_BM/edit?usp=sharing"",""ภูเก็ต!I681"")"),0)</f>
        <v>0</v>
      </c>
      <c r="AZ83" s="152">
        <f ca="1">IFERROR(__xludf.DUMMYFUNCTION("IMPORTRANGE(""https://docs.google.com/spreadsheets/d/1rd4qoM1q_hsgaolqNGfrim9gbsoLxQsda4-vOz5x_BM/edit?usp=sharing"",""ภูเก็ต!J679"")"),0)</f>
        <v>0</v>
      </c>
      <c r="BA83" s="152">
        <f ca="1">IFERROR(__xludf.DUMMYFUNCTION("IMPORTRANGE(""https://docs.google.com/spreadsheets/d/1rd4qoM1q_hsgaolqNGfrim9gbsoLxQsda4-vOz5x_BM/edit?usp=sharing"",""ภูเก็ต!J680"")"),0)</f>
        <v>0</v>
      </c>
      <c r="BB83" s="152">
        <f ca="1">IFERROR(__xludf.DUMMYFUNCTION("IMPORTRANGE(""https://docs.google.com/spreadsheets/d/1rd4qoM1q_hsgaolqNGfrim9gbsoLxQsda4-vOz5x_BM/edit?usp=sharing"",""ภูเก็ต!J681"")"),0)</f>
        <v>0</v>
      </c>
      <c r="BC83" s="152">
        <f ca="1">IFERROR(__xludf.DUMMYFUNCTION("IMPORTRANGE(""https://docs.google.com/spreadsheets/d/1rd4qoM1q_hsgaolqNGfrim9gbsoLxQsda4-vOz5x_BM/edit?usp=sharing"",""ภูเก็ต!I682"")"),0)</f>
        <v>0</v>
      </c>
      <c r="BD83" s="152">
        <f ca="1">IFERROR(__xludf.DUMMYFUNCTION("IMPORTRANGE(""https://docs.google.com/spreadsheets/d/1rd4qoM1q_hsgaolqNGfrim9gbsoLxQsda4-vOz5x_BM/edit?usp=sharing"",""ภูเก็ต!J682"")"),0)</f>
        <v>0</v>
      </c>
      <c r="BE83" s="216">
        <f t="shared" ca="1" si="46"/>
        <v>0</v>
      </c>
      <c r="BF83" s="152">
        <f ca="1">IFERROR(__xludf.DUMMYFUNCTION("IMPORTRANGE(""https://docs.google.com/spreadsheets/d/1rd4qoM1q_hsgaolqNGfrim9gbsoLxQsda4-vOz5x_BM/edit?usp=sharing"",""ภูเก็ต!J683"")"),0)</f>
        <v>0</v>
      </c>
      <c r="BG83" s="152">
        <f ca="1">IFERROR(__xludf.DUMMYFUNCTION("IMPORTRANGE(""https://docs.google.com/spreadsheets/d/1rd4qoM1q_hsgaolqNGfrim9gbsoLxQsda4-vOz5x_BM/edit?usp=sharing"",""ภูเก็ต!J684"")"),0)</f>
        <v>0</v>
      </c>
      <c r="BH83" s="152">
        <f ca="1">IFERROR(__xludf.DUMMYFUNCTION("IMPORTRANGE(""https://docs.google.com/spreadsheets/d/1rd4qoM1q_hsgaolqNGfrim9gbsoLxQsda4-vOz5x_BM/edit?usp=sharing"",""ภูเก็ต!J685"")"),0)</f>
        <v>0</v>
      </c>
      <c r="BI83" s="152">
        <f ca="1">IFERROR(__xludf.DUMMYFUNCTION("IMPORTRANGE(""https://docs.google.com/spreadsheets/d/1rd4qoM1q_hsgaolqNGfrim9gbsoLxQsda4-vOz5x_BM/edit?usp=sharing"",""ภูเก็ต!J686"")"),0)</f>
        <v>0</v>
      </c>
      <c r="BJ83" s="152">
        <f ca="1">IFERROR(__xludf.DUMMYFUNCTION("IMPORTRANGE(""https://docs.google.com/spreadsheets/d/1rd4qoM1q_hsgaolqNGfrim9gbsoLxQsda4-vOz5x_BM/edit?usp=sharing"",""ภูเก็ต!J687"")"),0)</f>
        <v>0</v>
      </c>
      <c r="BK83" s="152">
        <f ca="1">IFERROR(__xludf.DUMMYFUNCTION("IMPORTRANGE(""https://docs.google.com/spreadsheets/d/1rd4qoM1q_hsgaolqNGfrim9gbsoLxQsda4-vOz5x_BM/edit?usp=sharing"",""ภูเก็ต!J688"")"),0)</f>
        <v>0</v>
      </c>
    </row>
    <row r="84" spans="1:63" ht="19.5" x14ac:dyDescent="0.3">
      <c r="A84" s="70">
        <v>10</v>
      </c>
      <c r="B84" s="71" t="s">
        <v>112</v>
      </c>
      <c r="C84" s="68">
        <f ca="1">IFERROR(__xludf.DUMMYFUNCTION("IMPORTRANGE(""https://docs.google.com/spreadsheets/d/1woKwKjgoLssDvPcPeVyezB5izizAn4X1JDrys69n6xI/edit?usp=sharing"",""ยะลา!Q642"")"),0)</f>
        <v>0</v>
      </c>
      <c r="D84" s="68">
        <f ca="1">IFERROR(__xludf.DUMMYFUNCTION("IMPORTRANGE(""https://docs.google.com/spreadsheets/d/1woKwKjgoLssDvPcPeVyezB5izizAn4X1JDrys69n6xI/edit?usp=sharing"",""ยะลา!R642"")"),0)</f>
        <v>0</v>
      </c>
      <c r="E84" s="68">
        <f ca="1">IFERROR(__xludf.DUMMYFUNCTION("IMPORTRANGE(""https://docs.google.com/spreadsheets/d/1woKwKjgoLssDvPcPeVyezB5izizAn4X1JDrys69n6xI/edit?usp=sharing"",""ยะลา!S642"")"),0)</f>
        <v>0</v>
      </c>
      <c r="F84" s="68">
        <f t="shared" ca="1" si="30"/>
        <v>0</v>
      </c>
      <c r="G84" s="68">
        <f t="shared" ca="1" si="31"/>
        <v>0</v>
      </c>
      <c r="H84" s="278">
        <f ca="1">IFERROR(__xludf.DUMMYFUNCTION("IMPORTRANGE(""https://docs.google.com/spreadsheets/d/1woKwKjgoLssDvPcPeVyezB5izizAn4X1JDrys69n6xI/edit?usp=sharing"",""ยะลา!I652"")"),0)</f>
        <v>0</v>
      </c>
      <c r="I84" s="152">
        <f ca="1">IFERROR(__xludf.DUMMYFUNCTION("IMPORTRANGE(""https://docs.google.com/spreadsheets/d/1woKwKjgoLssDvPcPeVyezB5izizAn4X1JDrys69n6xI/edit?usp=sharing"",""ยะลา!J652"")"),0)</f>
        <v>0</v>
      </c>
      <c r="J84" s="216">
        <f t="shared" ca="1" si="33"/>
        <v>0</v>
      </c>
      <c r="K84" s="152">
        <f ca="1">IFERROR(__xludf.DUMMYFUNCTION("IMPORTRANGE(""https://docs.google.com/spreadsheets/d/1woKwKjgoLssDvPcPeVyezB5izizAn4X1JDrys69n6xI/edit?usp=sharing"",""ยะลา!I653"")"),0)</f>
        <v>0</v>
      </c>
      <c r="L84" s="152">
        <f ca="1">IFERROR(__xludf.DUMMYFUNCTION("IMPORTRANGE(""https://docs.google.com/spreadsheets/d/1woKwKjgoLssDvPcPeVyezB5izizAn4X1JDrys69n6xI/edit?usp=sharing"",""ยะลา!J653"")"),0)</f>
        <v>0</v>
      </c>
      <c r="M84" s="216">
        <f t="shared" ca="1" si="35"/>
        <v>0</v>
      </c>
      <c r="N84" s="152">
        <f ca="1">IFERROR(__xludf.DUMMYFUNCTION("IMPORTRANGE(""https://docs.google.com/spreadsheets/d/1woKwKjgoLssDvPcPeVyezB5izizAn4X1JDrys69n6xI/edit?usp=sharing"",""ยะลา!I654"")"),0)</f>
        <v>0</v>
      </c>
      <c r="O84" s="152">
        <f ca="1">IFERROR(__xludf.DUMMYFUNCTION("IMPORTRANGE(""https://docs.google.com/spreadsheets/d/1woKwKjgoLssDvPcPeVyezB5izizAn4X1JDrys69n6xI/edit?usp=sharing"",""ยะลา!J654"")"),0)</f>
        <v>0</v>
      </c>
      <c r="P84" s="216">
        <f t="shared" ca="1" si="37"/>
        <v>0</v>
      </c>
      <c r="Q84" s="216">
        <f ca="1">IFERROR(__xludf.DUMMYFUNCTION("IMPORTRANGE(""https://docs.google.com/spreadsheets/d/1woKwKjgoLssDvPcPeVyezB5izizAn4X1JDrys69n6xI/edit?usp=sharing"",""ยะลา!J655"")"),0)</f>
        <v>0</v>
      </c>
      <c r="R84" s="216">
        <f ca="1">IFERROR(__xludf.DUMMYFUNCTION("IMPORTRANGE(""https://docs.google.com/spreadsheets/d/1woKwKjgoLssDvPcPeVyezB5izizAn4X1JDrys69n6xI/edit?usp=sharing"",""ยะลา!J656"")"),0)</f>
        <v>0</v>
      </c>
      <c r="S84" s="216">
        <f ca="1">IFERROR(__xludf.DUMMYFUNCTION("IMPORTRANGE(""https://docs.google.com/spreadsheets/d/1woKwKjgoLssDvPcPeVyezB5izizAn4X1JDrys69n6xI/edit?usp=sharing"",""ยะลา!J657"")"),0)</f>
        <v>0</v>
      </c>
      <c r="T84" s="216">
        <f ca="1">IFERROR(__xludf.DUMMYFUNCTION("IMPORTRANGE(""https://docs.google.com/spreadsheets/d/1woKwKjgoLssDvPcPeVyezB5izizAn4X1JDrys69n6xI/edit?usp=sharing"",""ยะลา!J658"")"),0)</f>
        <v>0</v>
      </c>
      <c r="U84" s="216">
        <f ca="1">IFERROR(__xludf.DUMMYFUNCTION("IMPORTRANGE(""https://docs.google.com/spreadsheets/d/1woKwKjgoLssDvPcPeVyezB5izizAn4X1JDrys69n6xI/edit?usp=sharing"",""ยะลา!J659"")"),0)</f>
        <v>0</v>
      </c>
      <c r="V84" s="216">
        <f ca="1">IFERROR(__xludf.DUMMYFUNCTION("IMPORTRANGE(""https://docs.google.com/spreadsheets/d/1woKwKjgoLssDvPcPeVyezB5izizAn4X1JDrys69n6xI/edit?usp=sharing"",""ยะลา!J660"")"),0)</f>
        <v>0</v>
      </c>
      <c r="W84" s="152">
        <f ca="1">IFERROR(__xludf.DUMMYFUNCTION("IMPORTRANGE(""https://docs.google.com/spreadsheets/d/1woKwKjgoLssDvPcPeVyezB5izizAn4X1JDrys69n6xI/edit?usp=sharing"",""ยะลา!I661"")"),0)</f>
        <v>0</v>
      </c>
      <c r="X84" s="152">
        <f ca="1">IFERROR(__xludf.DUMMYFUNCTION("IMPORTRANGE(""https://docs.google.com/spreadsheets/d/1woKwKjgoLssDvPcPeVyezB5izizAn4X1JDrys69n6xI/edit?usp=sharing"",""ยะลา!J661"")"),0)</f>
        <v>0</v>
      </c>
      <c r="Y84" s="216">
        <f t="shared" ca="1" si="39"/>
        <v>0</v>
      </c>
      <c r="Z84" s="152">
        <f ca="1">IFERROR(__xludf.DUMMYFUNCTION("IMPORTRANGE(""https://docs.google.com/spreadsheets/d/1woKwKjgoLssDvPcPeVyezB5izizAn4X1JDrys69n6xI/edit?usp=sharing"",""ยะลา!J662"")"),0)</f>
        <v>0</v>
      </c>
      <c r="AA84" s="152">
        <f ca="1">IFERROR(__xludf.DUMMYFUNCTION("IMPORTRANGE(""https://docs.google.com/spreadsheets/d/1woKwKjgoLssDvPcPeVyezB5izizAn4X1JDrys69n6xI/edit?usp=sharing"",""ยะลา!J663"")"),0)</f>
        <v>0</v>
      </c>
      <c r="AB84" s="152">
        <f ca="1">IFERROR(__xludf.DUMMYFUNCTION("IMPORTRANGE(""https://docs.google.com/spreadsheets/d/1woKwKjgoLssDvPcPeVyezB5izizAn4X1JDrys69n6xI/edit?usp=sharing"",""ยะลา!J665"")"),0)</f>
        <v>0</v>
      </c>
      <c r="AC84" s="152">
        <f ca="1">IFERROR(__xludf.DUMMYFUNCTION("IMPORTRANGE(""https://docs.google.com/spreadsheets/d/1woKwKjgoLssDvPcPeVyezB5izizAn4X1JDrys69n6xI/edit?usp=sharing"",""ยะลา!J666"")"),0)</f>
        <v>0</v>
      </c>
      <c r="AD84" s="152">
        <f ca="1">IFERROR(__xludf.DUMMYFUNCTION("IMPORTRANGE(""https://docs.google.com/spreadsheets/d/1woKwKjgoLssDvPcPeVyezB5izizAn4X1JDrys69n6xI/edit?usp=sharing"",""ยะลา!J667"")"),0)</f>
        <v>0</v>
      </c>
      <c r="AE84" s="152">
        <f ca="1">IFERROR(__xludf.DUMMYFUNCTION("IMPORTRANGE(""https://docs.google.com/spreadsheets/d/1woKwKjgoLssDvPcPeVyezB5izizAn4X1JDrys69n6xI/edit?usp=sharing"",""ยะลา!J668"")"),0)</f>
        <v>0</v>
      </c>
      <c r="AF84" s="152">
        <f ca="1">IFERROR(__xludf.DUMMYFUNCTION("IMPORTRANGE(""https://docs.google.com/spreadsheets/d/1woKwKjgoLssDvPcPeVyezB5izizAn4X1JDrys69n6xI/edit?usp=sharing"",""ยะลา!J669"")"),0)</f>
        <v>0</v>
      </c>
      <c r="AG84" s="152">
        <f ca="1">IFERROR(__xludf.DUMMYFUNCTION("IMPORTRANGE(""https://docs.google.com/spreadsheets/d/1woKwKjgoLssDvPcPeVyezB5izizAn4X1JDrys69n6xI/edit?usp=sharing"",""ยะลา!J670"")"),0)</f>
        <v>0</v>
      </c>
      <c r="AH84" s="152">
        <f ca="1">IFERROR(__xludf.DUMMYFUNCTION("IMPORTRANGE(""https://docs.google.com/spreadsheets/d/1woKwKjgoLssDvPcPeVyezB5izizAn4X1JDrys69n6xI/edit?usp=sharing"",""ยะลา!I673"")"),0)</f>
        <v>0</v>
      </c>
      <c r="AI84" s="152">
        <f ca="1">IFERROR(__xludf.DUMMYFUNCTION("IMPORTRANGE(""https://docs.google.com/spreadsheets/d/1woKwKjgoLssDvPcPeVyezB5izizAn4X1JDrys69n6xI/edit?usp=sharing"",""ยะลา!J671"")"),0)</f>
        <v>0</v>
      </c>
      <c r="AJ84" s="152">
        <f ca="1">IFERROR(__xludf.DUMMYFUNCTION("IMPORTRANGE(""https://docs.google.com/spreadsheets/d/1woKwKjgoLssDvPcPeVyezB5izizAn4X1JDrys69n6xI/edit?usp=sharing"",""ยะลา!J672"")"),0)</f>
        <v>0</v>
      </c>
      <c r="AK84" s="152">
        <f ca="1">IFERROR(__xludf.DUMMYFUNCTION("IMPORTRANGE(""https://docs.google.com/spreadsheets/d/1woKwKjgoLssDvPcPeVyezB5izizAn4X1JDrys69n6xI/edit?usp=sharing"",""ยะลา!J673"")"),0)</f>
        <v>0</v>
      </c>
      <c r="AL84" s="216">
        <f t="shared" ca="1" si="41"/>
        <v>0</v>
      </c>
      <c r="AM84" s="152">
        <f ca="1">IFERROR(__xludf.DUMMYFUNCTION("IMPORTRANGE(""https://docs.google.com/spreadsheets/d/1woKwKjgoLssDvPcPeVyezB5izizAn4X1JDrys69n6xI/edit?usp=sharing"",""ยะลา!I674"")"),0)</f>
        <v>0</v>
      </c>
      <c r="AN84" s="152">
        <f ca="1">IFERROR(__xludf.DUMMYFUNCTION("IMPORTRANGE(""https://docs.google.com/spreadsheets/d/1woKwKjgoLssDvPcPeVyezB5izizAn4X1JDrys69n6xI/edit?usp=sharing"",""ยะลา!I675"")"),0)</f>
        <v>0</v>
      </c>
      <c r="AO84" s="152">
        <f ca="1">IFERROR(__xludf.DUMMYFUNCTION("IMPORTRANGE(""https://docs.google.com/spreadsheets/d/1woKwKjgoLssDvPcPeVyezB5izizAn4X1JDrys69n6xI/edit?usp=sharing"",""ยะลา!J674"")"),0)</f>
        <v>0</v>
      </c>
      <c r="AP84" s="216">
        <f t="shared" ca="1" si="43"/>
        <v>0</v>
      </c>
      <c r="AQ84" s="152">
        <f ca="1">IFERROR(__xludf.DUMMYFUNCTION("IMPORTRANGE(""https://docs.google.com/spreadsheets/d/1woKwKjgoLssDvPcPeVyezB5izizAn4X1JDrys69n6xI/edit?usp=sharing"",""ยะลา!J675"")"),0)</f>
        <v>0</v>
      </c>
      <c r="AR84" s="216">
        <f t="shared" ca="1" si="44"/>
        <v>0</v>
      </c>
      <c r="AS84" s="152">
        <f ca="1">IFERROR(__xludf.DUMMYFUNCTION("IMPORTRANGE(""https://docs.google.com/spreadsheets/d/1woKwKjgoLssDvPcPeVyezB5izizAn4X1JDrys69n6xI/edit?usp=sharing"",""ยะลา!I676"")"),0)</f>
        <v>0</v>
      </c>
      <c r="AT84" s="152">
        <f ca="1">IFERROR(__xludf.DUMMYFUNCTION("IMPORTRANGE(""https://docs.google.com/spreadsheets/d/1woKwKjgoLssDvPcPeVyezB5izizAn4X1JDrys69n6xI/edit?usp=sharing"",""ยะลา!I678"")"),0)</f>
        <v>0</v>
      </c>
      <c r="AU84" s="152">
        <f ca="1">IFERROR(__xludf.DUMMYFUNCTION("IMPORTRANGE(""https://docs.google.com/spreadsheets/d/1woKwKjgoLssDvPcPeVyezB5izizAn4X1JDrys69n6xI/edit?usp=sharing"",""ยะลา!J676"")"),0)</f>
        <v>0</v>
      </c>
      <c r="AV84" s="152">
        <f ca="1">IFERROR(__xludf.DUMMYFUNCTION("IMPORTRANGE(""https://docs.google.com/spreadsheets/d/1woKwKjgoLssDvPcPeVyezB5izizAn4X1JDrys69n6xI/edit?usp=sharing"",""ยะลา!J677"")"),0)</f>
        <v>0</v>
      </c>
      <c r="AW84" s="152">
        <f ca="1">IFERROR(__xludf.DUMMYFUNCTION("IMPORTRANGE(""https://docs.google.com/spreadsheets/d/1woKwKjgoLssDvPcPeVyezB5izizAn4X1JDrys69n6xI/edit?usp=sharing"",""ยะลา!J678"")"),0)</f>
        <v>0</v>
      </c>
      <c r="AX84" s="152">
        <f ca="1">IFERROR(__xludf.DUMMYFUNCTION("IMPORTRANGE(""https://docs.google.com/spreadsheets/d/1woKwKjgoLssDvPcPeVyezB5izizAn4X1JDrys69n6xI/edit?usp=sharing"",""ยะลา!I679"")"),0)</f>
        <v>0</v>
      </c>
      <c r="AY84" s="152">
        <f ca="1">IFERROR(__xludf.DUMMYFUNCTION("IMPORTRANGE(""https://docs.google.com/spreadsheets/d/1woKwKjgoLssDvPcPeVyezB5izizAn4X1JDrys69n6xI/edit?usp=sharing"",""ยะลา!I681"")"),0)</f>
        <v>0</v>
      </c>
      <c r="AZ84" s="152">
        <f ca="1">IFERROR(__xludf.DUMMYFUNCTION("IMPORTRANGE(""https://docs.google.com/spreadsheets/d/1woKwKjgoLssDvPcPeVyezB5izizAn4X1JDrys69n6xI/edit?usp=sharing"",""ยะลา!J679"")"),0)</f>
        <v>0</v>
      </c>
      <c r="BA84" s="152">
        <f ca="1">IFERROR(__xludf.DUMMYFUNCTION("IMPORTRANGE(""https://docs.google.com/spreadsheets/d/1woKwKjgoLssDvPcPeVyezB5izizAn4X1JDrys69n6xI/edit?usp=sharing"",""ยะลา!J680"")"),0)</f>
        <v>0</v>
      </c>
      <c r="BB84" s="152">
        <f ca="1">IFERROR(__xludf.DUMMYFUNCTION("IMPORTRANGE(""https://docs.google.com/spreadsheets/d/1woKwKjgoLssDvPcPeVyezB5izizAn4X1JDrys69n6xI/edit?usp=sharing"",""ยะลา!J681"")"),0)</f>
        <v>0</v>
      </c>
      <c r="BC84" s="152">
        <f ca="1">IFERROR(__xludf.DUMMYFUNCTION("IMPORTRANGE(""https://docs.google.com/spreadsheets/d/1woKwKjgoLssDvPcPeVyezB5izizAn4X1JDrys69n6xI/edit?usp=sharing"",""ยะลา!I682"")"),0)</f>
        <v>0</v>
      </c>
      <c r="BD84" s="152">
        <f ca="1">IFERROR(__xludf.DUMMYFUNCTION("IMPORTRANGE(""https://docs.google.com/spreadsheets/d/1woKwKjgoLssDvPcPeVyezB5izizAn4X1JDrys69n6xI/edit?usp=sharing"",""ยะลา!J682"")"),0)</f>
        <v>0</v>
      </c>
      <c r="BE84" s="216">
        <f t="shared" ca="1" si="46"/>
        <v>0</v>
      </c>
      <c r="BF84" s="152">
        <f ca="1">IFERROR(__xludf.DUMMYFUNCTION("IMPORTRANGE(""https://docs.google.com/spreadsheets/d/1woKwKjgoLssDvPcPeVyezB5izizAn4X1JDrys69n6xI/edit?usp=sharing"",""ยะลา!J683"")"),0)</f>
        <v>0</v>
      </c>
      <c r="BG84" s="152">
        <f ca="1">IFERROR(__xludf.DUMMYFUNCTION("IMPORTRANGE(""https://docs.google.com/spreadsheets/d/1woKwKjgoLssDvPcPeVyezB5izizAn4X1JDrys69n6xI/edit?usp=sharing"",""ยะลา!J684"")"),0)</f>
        <v>0</v>
      </c>
      <c r="BH84" s="152">
        <f ca="1">IFERROR(__xludf.DUMMYFUNCTION("IMPORTRANGE(""https://docs.google.com/spreadsheets/d/1woKwKjgoLssDvPcPeVyezB5izizAn4X1JDrys69n6xI/edit?usp=sharing"",""ยะลา!J685"")"),0)</f>
        <v>0</v>
      </c>
      <c r="BI84" s="152">
        <f ca="1">IFERROR(__xludf.DUMMYFUNCTION("IMPORTRANGE(""https://docs.google.com/spreadsheets/d/1woKwKjgoLssDvPcPeVyezB5izizAn4X1JDrys69n6xI/edit?usp=sharing"",""ยะลา!J686"")"),0)</f>
        <v>0</v>
      </c>
      <c r="BJ84" s="152">
        <f ca="1">IFERROR(__xludf.DUMMYFUNCTION("IMPORTRANGE(""https://docs.google.com/spreadsheets/d/1woKwKjgoLssDvPcPeVyezB5izizAn4X1JDrys69n6xI/edit?usp=sharing"",""ยะลา!J687"")"),0)</f>
        <v>0</v>
      </c>
      <c r="BK84" s="152">
        <f ca="1">IFERROR(__xludf.DUMMYFUNCTION("IMPORTRANGE(""https://docs.google.com/spreadsheets/d/1woKwKjgoLssDvPcPeVyezB5izizAn4X1JDrys69n6xI/edit?usp=sharing"",""ยะลา!J688"")"),0)</f>
        <v>0</v>
      </c>
    </row>
    <row r="85" spans="1:63" ht="19.5" x14ac:dyDescent="0.3">
      <c r="A85" s="70">
        <v>11</v>
      </c>
      <c r="B85" s="71" t="s">
        <v>113</v>
      </c>
      <c r="C85" s="68">
        <f ca="1">IFERROR(__xludf.DUMMYFUNCTION("IMPORTRANGE(""https://docs.google.com/spreadsheets/d/1qfrKjzMhm2HJfxQ-qVlJlJQ25Hne1d0khsySbZyGtPA/edit?usp=sharing"",""ระนอง!Q642"")"),0)</f>
        <v>0</v>
      </c>
      <c r="D85" s="68">
        <f ca="1">IFERROR(__xludf.DUMMYFUNCTION("IMPORTRANGE(""https://docs.google.com/spreadsheets/d/1qfrKjzMhm2HJfxQ-qVlJlJQ25Hne1d0khsySbZyGtPA/edit?usp=sharing"",""ระนอง!R642"")"),0)</f>
        <v>0</v>
      </c>
      <c r="E85" s="68">
        <f ca="1">IFERROR(__xludf.DUMMYFUNCTION("IMPORTRANGE(""https://docs.google.com/spreadsheets/d/1qfrKjzMhm2HJfxQ-qVlJlJQ25Hne1d0khsySbZyGtPA/edit?usp=sharing"",""ระนอง!S642"")"),0)</f>
        <v>0</v>
      </c>
      <c r="F85" s="68">
        <f t="shared" ca="1" si="30"/>
        <v>0</v>
      </c>
      <c r="G85" s="68">
        <f t="shared" ca="1" si="31"/>
        <v>0</v>
      </c>
      <c r="H85" s="278">
        <f ca="1">IFERROR(__xludf.DUMMYFUNCTION("IMPORTRANGE(""https://docs.google.com/spreadsheets/d/1qfrKjzMhm2HJfxQ-qVlJlJQ25Hne1d0khsySbZyGtPA/edit?usp=sharing"",""ระนอง!I652"")"),0)</f>
        <v>0</v>
      </c>
      <c r="I85" s="152">
        <f ca="1">IFERROR(__xludf.DUMMYFUNCTION("IMPORTRANGE(""https://docs.google.com/spreadsheets/d/1qfrKjzMhm2HJfxQ-qVlJlJQ25Hne1d0khsySbZyGtPA/edit?usp=sharing"",""ระนอง!J652"")"),0)</f>
        <v>0</v>
      </c>
      <c r="J85" s="216">
        <f t="shared" ca="1" si="33"/>
        <v>0</v>
      </c>
      <c r="K85" s="152">
        <f ca="1">IFERROR(__xludf.DUMMYFUNCTION("IMPORTRANGE(""https://docs.google.com/spreadsheets/d/1qfrKjzMhm2HJfxQ-qVlJlJQ25Hne1d0khsySbZyGtPA/edit?usp=sharing"",""ระนอง!I653"")"),0)</f>
        <v>0</v>
      </c>
      <c r="L85" s="152">
        <f ca="1">IFERROR(__xludf.DUMMYFUNCTION("IMPORTRANGE(""https://docs.google.com/spreadsheets/d/1qfrKjzMhm2HJfxQ-qVlJlJQ25Hne1d0khsySbZyGtPA/edit?usp=sharing"",""ระนอง!J653"")"),0)</f>
        <v>0</v>
      </c>
      <c r="M85" s="216">
        <f t="shared" ca="1" si="35"/>
        <v>0</v>
      </c>
      <c r="N85" s="152">
        <f ca="1">IFERROR(__xludf.DUMMYFUNCTION("IMPORTRANGE(""https://docs.google.com/spreadsheets/d/1qfrKjzMhm2HJfxQ-qVlJlJQ25Hne1d0khsySbZyGtPA/edit?usp=sharing"",""ระนอง!I654"")"),0)</f>
        <v>0</v>
      </c>
      <c r="O85" s="152">
        <f ca="1">IFERROR(__xludf.DUMMYFUNCTION("IMPORTRANGE(""https://docs.google.com/spreadsheets/d/1qfrKjzMhm2HJfxQ-qVlJlJQ25Hne1d0khsySbZyGtPA/edit?usp=sharing"",""ระนอง!J654"")"),0)</f>
        <v>0</v>
      </c>
      <c r="P85" s="216">
        <f t="shared" ca="1" si="37"/>
        <v>0</v>
      </c>
      <c r="Q85" s="216">
        <f ca="1">IFERROR(__xludf.DUMMYFUNCTION("IMPORTRANGE(""https://docs.google.com/spreadsheets/d/1qfrKjzMhm2HJfxQ-qVlJlJQ25Hne1d0khsySbZyGtPA/edit?usp=sharing"",""ระนอง!J655"")"),0)</f>
        <v>0</v>
      </c>
      <c r="R85" s="216">
        <f ca="1">IFERROR(__xludf.DUMMYFUNCTION("IMPORTRANGE(""https://docs.google.com/spreadsheets/d/1qfrKjzMhm2HJfxQ-qVlJlJQ25Hne1d0khsySbZyGtPA/edit?usp=sharing"",""ระนอง!J656"")"),0)</f>
        <v>0</v>
      </c>
      <c r="S85" s="216">
        <f ca="1">IFERROR(__xludf.DUMMYFUNCTION("IMPORTRANGE(""https://docs.google.com/spreadsheets/d/1qfrKjzMhm2HJfxQ-qVlJlJQ25Hne1d0khsySbZyGtPA/edit?usp=sharing"",""ระนอง!J657"")"),0)</f>
        <v>0</v>
      </c>
      <c r="T85" s="216">
        <f ca="1">IFERROR(__xludf.DUMMYFUNCTION("IMPORTRANGE(""https://docs.google.com/spreadsheets/d/1qfrKjzMhm2HJfxQ-qVlJlJQ25Hne1d0khsySbZyGtPA/edit?usp=sharing"",""ระนอง!J658"")"),0)</f>
        <v>0</v>
      </c>
      <c r="U85" s="216">
        <f ca="1">IFERROR(__xludf.DUMMYFUNCTION("IMPORTRANGE(""https://docs.google.com/spreadsheets/d/1qfrKjzMhm2HJfxQ-qVlJlJQ25Hne1d0khsySbZyGtPA/edit?usp=sharing"",""ระนอง!J659"")"),0)</f>
        <v>0</v>
      </c>
      <c r="V85" s="216">
        <f ca="1">IFERROR(__xludf.DUMMYFUNCTION("IMPORTRANGE(""https://docs.google.com/spreadsheets/d/1qfrKjzMhm2HJfxQ-qVlJlJQ25Hne1d0khsySbZyGtPA/edit?usp=sharing"",""ระนอง!J660"")"),0)</f>
        <v>0</v>
      </c>
      <c r="W85" s="152">
        <f ca="1">IFERROR(__xludf.DUMMYFUNCTION("IMPORTRANGE(""https://docs.google.com/spreadsheets/d/1qfrKjzMhm2HJfxQ-qVlJlJQ25Hne1d0khsySbZyGtPA/edit?usp=sharing"",""ระนอง!I661"")"),0)</f>
        <v>0</v>
      </c>
      <c r="X85" s="152">
        <f ca="1">IFERROR(__xludf.DUMMYFUNCTION("IMPORTRANGE(""https://docs.google.com/spreadsheets/d/1qfrKjzMhm2HJfxQ-qVlJlJQ25Hne1d0khsySbZyGtPA/edit?usp=sharing"",""ระนอง!J661"")"),0)</f>
        <v>0</v>
      </c>
      <c r="Y85" s="216">
        <f t="shared" ca="1" si="39"/>
        <v>0</v>
      </c>
      <c r="Z85" s="152">
        <f ca="1">IFERROR(__xludf.DUMMYFUNCTION("IMPORTRANGE(""https://docs.google.com/spreadsheets/d/1qfrKjzMhm2HJfxQ-qVlJlJQ25Hne1d0khsySbZyGtPA/edit?usp=sharing"",""ระนอง!J662"")"),0)</f>
        <v>0</v>
      </c>
      <c r="AA85" s="152">
        <f ca="1">IFERROR(__xludf.DUMMYFUNCTION("IMPORTRANGE(""https://docs.google.com/spreadsheets/d/1qfrKjzMhm2HJfxQ-qVlJlJQ25Hne1d0khsySbZyGtPA/edit?usp=sharing"",""ระนอง!J663"")"),0)</f>
        <v>0</v>
      </c>
      <c r="AB85" s="152">
        <f ca="1">IFERROR(__xludf.DUMMYFUNCTION("IMPORTRANGE(""https://docs.google.com/spreadsheets/d/1qfrKjzMhm2HJfxQ-qVlJlJQ25Hne1d0khsySbZyGtPA/edit?usp=sharing"",""ระนอง!J665"")"),0)</f>
        <v>0</v>
      </c>
      <c r="AC85" s="152">
        <f ca="1">IFERROR(__xludf.DUMMYFUNCTION("IMPORTRANGE(""https://docs.google.com/spreadsheets/d/1qfrKjzMhm2HJfxQ-qVlJlJQ25Hne1d0khsySbZyGtPA/edit?usp=sharing"",""ระนอง!J666"")"),0)</f>
        <v>0</v>
      </c>
      <c r="AD85" s="152">
        <f ca="1">IFERROR(__xludf.DUMMYFUNCTION("IMPORTRANGE(""https://docs.google.com/spreadsheets/d/1qfrKjzMhm2HJfxQ-qVlJlJQ25Hne1d0khsySbZyGtPA/edit?usp=sharing"",""ระนอง!J667"")"),0)</f>
        <v>0</v>
      </c>
      <c r="AE85" s="152">
        <f ca="1">IFERROR(__xludf.DUMMYFUNCTION("IMPORTRANGE(""https://docs.google.com/spreadsheets/d/1qfrKjzMhm2HJfxQ-qVlJlJQ25Hne1d0khsySbZyGtPA/edit?usp=sharing"",""ระนอง!J668"")"),0)</f>
        <v>0</v>
      </c>
      <c r="AF85" s="152">
        <f ca="1">IFERROR(__xludf.DUMMYFUNCTION("IMPORTRANGE(""https://docs.google.com/spreadsheets/d/1qfrKjzMhm2HJfxQ-qVlJlJQ25Hne1d0khsySbZyGtPA/edit?usp=sharing"",""ระนอง!J669"")"),0)</f>
        <v>0</v>
      </c>
      <c r="AG85" s="152">
        <f ca="1">IFERROR(__xludf.DUMMYFUNCTION("IMPORTRANGE(""https://docs.google.com/spreadsheets/d/1qfrKjzMhm2HJfxQ-qVlJlJQ25Hne1d0khsySbZyGtPA/edit?usp=sharing"",""ระนอง!J670"")"),0)</f>
        <v>0</v>
      </c>
      <c r="AH85" s="152">
        <f ca="1">IFERROR(__xludf.DUMMYFUNCTION("IMPORTRANGE(""https://docs.google.com/spreadsheets/d/1qfrKjzMhm2HJfxQ-qVlJlJQ25Hne1d0khsySbZyGtPA/edit?usp=sharing"",""ระนอง!I673"")"),0)</f>
        <v>0</v>
      </c>
      <c r="AI85" s="152">
        <f ca="1">IFERROR(__xludf.DUMMYFUNCTION("IMPORTRANGE(""https://docs.google.com/spreadsheets/d/1qfrKjzMhm2HJfxQ-qVlJlJQ25Hne1d0khsySbZyGtPA/edit?usp=sharing"",""ระนอง!J671"")"),0)</f>
        <v>0</v>
      </c>
      <c r="AJ85" s="152">
        <f ca="1">IFERROR(__xludf.DUMMYFUNCTION("IMPORTRANGE(""https://docs.google.com/spreadsheets/d/1qfrKjzMhm2HJfxQ-qVlJlJQ25Hne1d0khsySbZyGtPA/edit?usp=sharing"",""ระนอง!J672"")"),0)</f>
        <v>0</v>
      </c>
      <c r="AK85" s="152">
        <f ca="1">IFERROR(__xludf.DUMMYFUNCTION("IMPORTRANGE(""https://docs.google.com/spreadsheets/d/1qfrKjzMhm2HJfxQ-qVlJlJQ25Hne1d0khsySbZyGtPA/edit?usp=sharing"",""ระนอง!J673"")"),0)</f>
        <v>0</v>
      </c>
      <c r="AL85" s="216">
        <f t="shared" ca="1" si="41"/>
        <v>0</v>
      </c>
      <c r="AM85" s="152">
        <f ca="1">IFERROR(__xludf.DUMMYFUNCTION("IMPORTRANGE(""https://docs.google.com/spreadsheets/d/1qfrKjzMhm2HJfxQ-qVlJlJQ25Hne1d0khsySbZyGtPA/edit?usp=sharing"",""ระนอง!I674"")"),0)</f>
        <v>0</v>
      </c>
      <c r="AN85" s="152">
        <f ca="1">IFERROR(__xludf.DUMMYFUNCTION("IMPORTRANGE(""https://docs.google.com/spreadsheets/d/1qfrKjzMhm2HJfxQ-qVlJlJQ25Hne1d0khsySbZyGtPA/edit?usp=sharing"",""ระนอง!I675"")"),0)</f>
        <v>0</v>
      </c>
      <c r="AO85" s="152">
        <f ca="1">IFERROR(__xludf.DUMMYFUNCTION("IMPORTRANGE(""https://docs.google.com/spreadsheets/d/1qfrKjzMhm2HJfxQ-qVlJlJQ25Hne1d0khsySbZyGtPA/edit?usp=sharing"",""ระนอง!J674"")"),0)</f>
        <v>0</v>
      </c>
      <c r="AP85" s="216">
        <f t="shared" ca="1" si="43"/>
        <v>0</v>
      </c>
      <c r="AQ85" s="152">
        <f ca="1">IFERROR(__xludf.DUMMYFUNCTION("IMPORTRANGE(""https://docs.google.com/spreadsheets/d/1qfrKjzMhm2HJfxQ-qVlJlJQ25Hne1d0khsySbZyGtPA/edit?usp=sharing"",""ระนอง!J675"")"),0)</f>
        <v>0</v>
      </c>
      <c r="AR85" s="216">
        <f t="shared" ca="1" si="44"/>
        <v>0</v>
      </c>
      <c r="AS85" s="152">
        <f ca="1">IFERROR(__xludf.DUMMYFUNCTION("IMPORTRANGE(""https://docs.google.com/spreadsheets/d/1qfrKjzMhm2HJfxQ-qVlJlJQ25Hne1d0khsySbZyGtPA/edit?usp=sharing"",""ระนอง!I676"")"),0)</f>
        <v>0</v>
      </c>
      <c r="AT85" s="152">
        <f ca="1">IFERROR(__xludf.DUMMYFUNCTION("IMPORTRANGE(""https://docs.google.com/spreadsheets/d/1qfrKjzMhm2HJfxQ-qVlJlJQ25Hne1d0khsySbZyGtPA/edit?usp=sharing"",""ระนอง!I678"")"),0)</f>
        <v>0</v>
      </c>
      <c r="AU85" s="152">
        <f ca="1">IFERROR(__xludf.DUMMYFUNCTION("IMPORTRANGE(""https://docs.google.com/spreadsheets/d/1qfrKjzMhm2HJfxQ-qVlJlJQ25Hne1d0khsySbZyGtPA/edit?usp=sharing"",""ระนอง!J676"")"),0)</f>
        <v>0</v>
      </c>
      <c r="AV85" s="152">
        <f ca="1">IFERROR(__xludf.DUMMYFUNCTION("IMPORTRANGE(""https://docs.google.com/spreadsheets/d/1qfrKjzMhm2HJfxQ-qVlJlJQ25Hne1d0khsySbZyGtPA/edit?usp=sharing"",""ระนอง!J677"")"),0)</f>
        <v>0</v>
      </c>
      <c r="AW85" s="152">
        <f ca="1">IFERROR(__xludf.DUMMYFUNCTION("IMPORTRANGE(""https://docs.google.com/spreadsheets/d/1qfrKjzMhm2HJfxQ-qVlJlJQ25Hne1d0khsySbZyGtPA/edit?usp=sharing"",""ระนอง!J678"")"),0)</f>
        <v>0</v>
      </c>
      <c r="AX85" s="152">
        <f ca="1">IFERROR(__xludf.DUMMYFUNCTION("IMPORTRANGE(""https://docs.google.com/spreadsheets/d/1qfrKjzMhm2HJfxQ-qVlJlJQ25Hne1d0khsySbZyGtPA/edit?usp=sharing"",""ระนอง!I679"")"),0)</f>
        <v>0</v>
      </c>
      <c r="AY85" s="152">
        <f ca="1">IFERROR(__xludf.DUMMYFUNCTION("IMPORTRANGE(""https://docs.google.com/spreadsheets/d/1qfrKjzMhm2HJfxQ-qVlJlJQ25Hne1d0khsySbZyGtPA/edit?usp=sharing"",""ระนอง!I681"")"),0)</f>
        <v>0</v>
      </c>
      <c r="AZ85" s="152">
        <f ca="1">IFERROR(__xludf.DUMMYFUNCTION("IMPORTRANGE(""https://docs.google.com/spreadsheets/d/1qfrKjzMhm2HJfxQ-qVlJlJQ25Hne1d0khsySbZyGtPA/edit?usp=sharing"",""ระนอง!J679"")"),0)</f>
        <v>0</v>
      </c>
      <c r="BA85" s="152">
        <f ca="1">IFERROR(__xludf.DUMMYFUNCTION("IMPORTRANGE(""https://docs.google.com/spreadsheets/d/1qfrKjzMhm2HJfxQ-qVlJlJQ25Hne1d0khsySbZyGtPA/edit?usp=sharing"",""ระนอง!J680"")"),0)</f>
        <v>0</v>
      </c>
      <c r="BB85" s="152">
        <f ca="1">IFERROR(__xludf.DUMMYFUNCTION("IMPORTRANGE(""https://docs.google.com/spreadsheets/d/1qfrKjzMhm2HJfxQ-qVlJlJQ25Hne1d0khsySbZyGtPA/edit?usp=sharing"",""ระนอง!J681"")"),0)</f>
        <v>0</v>
      </c>
      <c r="BC85" s="152">
        <f ca="1">IFERROR(__xludf.DUMMYFUNCTION("IMPORTRANGE(""https://docs.google.com/spreadsheets/d/1qfrKjzMhm2HJfxQ-qVlJlJQ25Hne1d0khsySbZyGtPA/edit?usp=sharing"",""ระนอง!I682"")"),0)</f>
        <v>0</v>
      </c>
      <c r="BD85" s="152">
        <f ca="1">IFERROR(__xludf.DUMMYFUNCTION("IMPORTRANGE(""https://docs.google.com/spreadsheets/d/1qfrKjzMhm2HJfxQ-qVlJlJQ25Hne1d0khsySbZyGtPA/edit?usp=sharing"",""ระนอง!J682"")"),0)</f>
        <v>0</v>
      </c>
      <c r="BE85" s="216">
        <f t="shared" ca="1" si="46"/>
        <v>0</v>
      </c>
      <c r="BF85" s="152">
        <f ca="1">IFERROR(__xludf.DUMMYFUNCTION("IMPORTRANGE(""https://docs.google.com/spreadsheets/d/1qfrKjzMhm2HJfxQ-qVlJlJQ25Hne1d0khsySbZyGtPA/edit?usp=sharing"",""ระนอง!J683"")"),0)</f>
        <v>0</v>
      </c>
      <c r="BG85" s="152">
        <f ca="1">IFERROR(__xludf.DUMMYFUNCTION("IMPORTRANGE(""https://docs.google.com/spreadsheets/d/1qfrKjzMhm2HJfxQ-qVlJlJQ25Hne1d0khsySbZyGtPA/edit?usp=sharing"",""ระนอง!J684"")"),0)</f>
        <v>0</v>
      </c>
      <c r="BH85" s="152">
        <f ca="1">IFERROR(__xludf.DUMMYFUNCTION("IMPORTRANGE(""https://docs.google.com/spreadsheets/d/1qfrKjzMhm2HJfxQ-qVlJlJQ25Hne1d0khsySbZyGtPA/edit?usp=sharing"",""ระนอง!J685"")"),0)</f>
        <v>0</v>
      </c>
      <c r="BI85" s="152">
        <f ca="1">IFERROR(__xludf.DUMMYFUNCTION("IMPORTRANGE(""https://docs.google.com/spreadsheets/d/1qfrKjzMhm2HJfxQ-qVlJlJQ25Hne1d0khsySbZyGtPA/edit?usp=sharing"",""ระนอง!J686"")"),0)</f>
        <v>0</v>
      </c>
      <c r="BJ85" s="152">
        <f ca="1">IFERROR(__xludf.DUMMYFUNCTION("IMPORTRANGE(""https://docs.google.com/spreadsheets/d/1qfrKjzMhm2HJfxQ-qVlJlJQ25Hne1d0khsySbZyGtPA/edit?usp=sharing"",""ระนอง!J687"")"),0)</f>
        <v>0</v>
      </c>
      <c r="BK85" s="152">
        <f ca="1">IFERROR(__xludf.DUMMYFUNCTION("IMPORTRANGE(""https://docs.google.com/spreadsheets/d/1qfrKjzMhm2HJfxQ-qVlJlJQ25Hne1d0khsySbZyGtPA/edit?usp=sharing"",""ระนอง!J688"")"),0)</f>
        <v>0</v>
      </c>
    </row>
    <row r="86" spans="1:63" ht="19.5" x14ac:dyDescent="0.3">
      <c r="A86" s="70">
        <v>12</v>
      </c>
      <c r="B86" s="71" t="s">
        <v>114</v>
      </c>
      <c r="C86" s="68">
        <f ca="1">IFERROR(__xludf.DUMMYFUNCTION("IMPORTRANGE(""https://docs.google.com/spreadsheets/d/1IbSCnFOKpZsnFogBHJnL_isstZVaOMnFiIN0fGTPZZw/edit?usp=sharing"",""สงขลา!Q642"")"),0)</f>
        <v>0</v>
      </c>
      <c r="D86" s="68">
        <f ca="1">IFERROR(__xludf.DUMMYFUNCTION("IMPORTRANGE(""https://docs.google.com/spreadsheets/d/1IbSCnFOKpZsnFogBHJnL_isstZVaOMnFiIN0fGTPZZw/edit?usp=sharing"",""สงขลา!R642"")"),0)</f>
        <v>0</v>
      </c>
      <c r="E86" s="68">
        <f ca="1">IFERROR(__xludf.DUMMYFUNCTION("IMPORTRANGE(""https://docs.google.com/spreadsheets/d/1IbSCnFOKpZsnFogBHJnL_isstZVaOMnFiIN0fGTPZZw/edit?usp=sharing"",""สงขลา!S642"")"),0)</f>
        <v>0</v>
      </c>
      <c r="F86" s="68">
        <f t="shared" ca="1" si="30"/>
        <v>0</v>
      </c>
      <c r="G86" s="68">
        <f t="shared" ca="1" si="31"/>
        <v>0</v>
      </c>
      <c r="H86" s="278">
        <f ca="1">IFERROR(__xludf.DUMMYFUNCTION("IMPORTRANGE(""https://docs.google.com/spreadsheets/d/1IbSCnFOKpZsnFogBHJnL_isstZVaOMnFiIN0fGTPZZw/edit?usp=sharing"",""สงขลา!I652"")"),0)</f>
        <v>0</v>
      </c>
      <c r="I86" s="152">
        <f ca="1">IFERROR(__xludf.DUMMYFUNCTION("IMPORTRANGE(""https://docs.google.com/spreadsheets/d/1IbSCnFOKpZsnFogBHJnL_isstZVaOMnFiIN0fGTPZZw/edit?usp=sharing"",""สงขลา!J652"")"),0)</f>
        <v>0</v>
      </c>
      <c r="J86" s="216">
        <f t="shared" ca="1" si="33"/>
        <v>0</v>
      </c>
      <c r="K86" s="152">
        <f ca="1">IFERROR(__xludf.DUMMYFUNCTION("IMPORTRANGE(""https://docs.google.com/spreadsheets/d/1IbSCnFOKpZsnFogBHJnL_isstZVaOMnFiIN0fGTPZZw/edit?usp=sharing"",""สงขลา!I653"")"),0)</f>
        <v>0</v>
      </c>
      <c r="L86" s="152">
        <f ca="1">IFERROR(__xludf.DUMMYFUNCTION("IMPORTRANGE(""https://docs.google.com/spreadsheets/d/1IbSCnFOKpZsnFogBHJnL_isstZVaOMnFiIN0fGTPZZw/edit?usp=sharing"",""สงขลา!J653"")"),0)</f>
        <v>0</v>
      </c>
      <c r="M86" s="216">
        <f t="shared" ca="1" si="35"/>
        <v>0</v>
      </c>
      <c r="N86" s="152">
        <f ca="1">IFERROR(__xludf.DUMMYFUNCTION("IMPORTRANGE(""https://docs.google.com/spreadsheets/d/1IbSCnFOKpZsnFogBHJnL_isstZVaOMnFiIN0fGTPZZw/edit?usp=sharing"",""สงขลา!I654"")"),0)</f>
        <v>0</v>
      </c>
      <c r="O86" s="152">
        <f ca="1">IFERROR(__xludf.DUMMYFUNCTION("IMPORTRANGE(""https://docs.google.com/spreadsheets/d/1IbSCnFOKpZsnFogBHJnL_isstZVaOMnFiIN0fGTPZZw/edit?usp=sharing"",""สงขลา!J654"")"),0)</f>
        <v>0</v>
      </c>
      <c r="P86" s="216">
        <f t="shared" ca="1" si="37"/>
        <v>0</v>
      </c>
      <c r="Q86" s="216">
        <f ca="1">IFERROR(__xludf.DUMMYFUNCTION("IMPORTRANGE(""https://docs.google.com/spreadsheets/d/1IbSCnFOKpZsnFogBHJnL_isstZVaOMnFiIN0fGTPZZw/edit?usp=sharing"",""สงขลา!J655"")"),0)</f>
        <v>0</v>
      </c>
      <c r="R86" s="216">
        <f ca="1">IFERROR(__xludf.DUMMYFUNCTION("IMPORTRANGE(""https://docs.google.com/spreadsheets/d/1IbSCnFOKpZsnFogBHJnL_isstZVaOMnFiIN0fGTPZZw/edit?usp=sharing"",""สงขลา!J656"")"),0)</f>
        <v>0</v>
      </c>
      <c r="S86" s="216">
        <f ca="1">IFERROR(__xludf.DUMMYFUNCTION("IMPORTRANGE(""https://docs.google.com/spreadsheets/d/1IbSCnFOKpZsnFogBHJnL_isstZVaOMnFiIN0fGTPZZw/edit?usp=sharing"",""สงขลา!J657"")"),0)</f>
        <v>0</v>
      </c>
      <c r="T86" s="216">
        <f ca="1">IFERROR(__xludf.DUMMYFUNCTION("IMPORTRANGE(""https://docs.google.com/spreadsheets/d/1IbSCnFOKpZsnFogBHJnL_isstZVaOMnFiIN0fGTPZZw/edit?usp=sharing"",""สงขลา!J658"")"),0)</f>
        <v>0</v>
      </c>
      <c r="U86" s="216">
        <f ca="1">IFERROR(__xludf.DUMMYFUNCTION("IMPORTRANGE(""https://docs.google.com/spreadsheets/d/1IbSCnFOKpZsnFogBHJnL_isstZVaOMnFiIN0fGTPZZw/edit?usp=sharing"",""สงขลา!J659"")"),0)</f>
        <v>0</v>
      </c>
      <c r="V86" s="216">
        <f ca="1">IFERROR(__xludf.DUMMYFUNCTION("IMPORTRANGE(""https://docs.google.com/spreadsheets/d/1IbSCnFOKpZsnFogBHJnL_isstZVaOMnFiIN0fGTPZZw/edit?usp=sharing"",""สงขลา!J660"")"),0)</f>
        <v>0</v>
      </c>
      <c r="W86" s="152">
        <f ca="1">IFERROR(__xludf.DUMMYFUNCTION("IMPORTRANGE(""https://docs.google.com/spreadsheets/d/1IbSCnFOKpZsnFogBHJnL_isstZVaOMnFiIN0fGTPZZw/edit?usp=sharing"",""สงขลา!I661"")"),0)</f>
        <v>0</v>
      </c>
      <c r="X86" s="152">
        <f ca="1">IFERROR(__xludf.DUMMYFUNCTION("IMPORTRANGE(""https://docs.google.com/spreadsheets/d/1IbSCnFOKpZsnFogBHJnL_isstZVaOMnFiIN0fGTPZZw/edit?usp=sharing"",""สงขลา!J661"")"),0)</f>
        <v>0</v>
      </c>
      <c r="Y86" s="216">
        <f t="shared" ca="1" si="39"/>
        <v>0</v>
      </c>
      <c r="Z86" s="152">
        <f ca="1">IFERROR(__xludf.DUMMYFUNCTION("IMPORTRANGE(""https://docs.google.com/spreadsheets/d/1IbSCnFOKpZsnFogBHJnL_isstZVaOMnFiIN0fGTPZZw/edit?usp=sharing"",""สงขลา!J662"")"),0)</f>
        <v>0</v>
      </c>
      <c r="AA86" s="152">
        <f ca="1">IFERROR(__xludf.DUMMYFUNCTION("IMPORTRANGE(""https://docs.google.com/spreadsheets/d/1IbSCnFOKpZsnFogBHJnL_isstZVaOMnFiIN0fGTPZZw/edit?usp=sharing"",""สงขลา!J663"")"),0)</f>
        <v>0</v>
      </c>
      <c r="AB86" s="152">
        <f ca="1">IFERROR(__xludf.DUMMYFUNCTION("IMPORTRANGE(""https://docs.google.com/spreadsheets/d/1IbSCnFOKpZsnFogBHJnL_isstZVaOMnFiIN0fGTPZZw/edit?usp=sharing"",""สงขลา!J665"")"),0)</f>
        <v>0</v>
      </c>
      <c r="AC86" s="152">
        <f ca="1">IFERROR(__xludf.DUMMYFUNCTION("IMPORTRANGE(""https://docs.google.com/spreadsheets/d/1IbSCnFOKpZsnFogBHJnL_isstZVaOMnFiIN0fGTPZZw/edit?usp=sharing"",""สงขลา!J666"")"),0)</f>
        <v>0</v>
      </c>
      <c r="AD86" s="152">
        <f ca="1">IFERROR(__xludf.DUMMYFUNCTION("IMPORTRANGE(""https://docs.google.com/spreadsheets/d/1IbSCnFOKpZsnFogBHJnL_isstZVaOMnFiIN0fGTPZZw/edit?usp=sharing"",""สงขลา!J667"")"),0)</f>
        <v>0</v>
      </c>
      <c r="AE86" s="152">
        <f ca="1">IFERROR(__xludf.DUMMYFUNCTION("IMPORTRANGE(""https://docs.google.com/spreadsheets/d/1IbSCnFOKpZsnFogBHJnL_isstZVaOMnFiIN0fGTPZZw/edit?usp=sharing"",""สงขลา!J668"")"),0)</f>
        <v>0</v>
      </c>
      <c r="AF86" s="152">
        <f ca="1">IFERROR(__xludf.DUMMYFUNCTION("IMPORTRANGE(""https://docs.google.com/spreadsheets/d/1IbSCnFOKpZsnFogBHJnL_isstZVaOMnFiIN0fGTPZZw/edit?usp=sharing"",""สงขลา!J669"")"),0)</f>
        <v>0</v>
      </c>
      <c r="AG86" s="152">
        <f ca="1">IFERROR(__xludf.DUMMYFUNCTION("IMPORTRANGE(""https://docs.google.com/spreadsheets/d/1IbSCnFOKpZsnFogBHJnL_isstZVaOMnFiIN0fGTPZZw/edit?usp=sharing"",""สงขลา!J670"")"),0)</f>
        <v>0</v>
      </c>
      <c r="AH86" s="152">
        <f ca="1">IFERROR(__xludf.DUMMYFUNCTION("IMPORTRANGE(""https://docs.google.com/spreadsheets/d/1IbSCnFOKpZsnFogBHJnL_isstZVaOMnFiIN0fGTPZZw/edit?usp=sharing"",""สงขลา!I673"")"),0)</f>
        <v>0</v>
      </c>
      <c r="AI86" s="152">
        <f ca="1">IFERROR(__xludf.DUMMYFUNCTION("IMPORTRANGE(""https://docs.google.com/spreadsheets/d/1IbSCnFOKpZsnFogBHJnL_isstZVaOMnFiIN0fGTPZZw/edit?usp=sharing"",""สงขลา!J671"")"),0)</f>
        <v>0</v>
      </c>
      <c r="AJ86" s="152">
        <f ca="1">IFERROR(__xludf.DUMMYFUNCTION("IMPORTRANGE(""https://docs.google.com/spreadsheets/d/1IbSCnFOKpZsnFogBHJnL_isstZVaOMnFiIN0fGTPZZw/edit?usp=sharing"",""สงขลา!J672"")"),0)</f>
        <v>0</v>
      </c>
      <c r="AK86" s="152">
        <f ca="1">IFERROR(__xludf.DUMMYFUNCTION("IMPORTRANGE(""https://docs.google.com/spreadsheets/d/1IbSCnFOKpZsnFogBHJnL_isstZVaOMnFiIN0fGTPZZw/edit?usp=sharing"",""สงขลา!J673"")"),0)</f>
        <v>0</v>
      </c>
      <c r="AL86" s="216">
        <f t="shared" ca="1" si="41"/>
        <v>0</v>
      </c>
      <c r="AM86" s="152">
        <f ca="1">IFERROR(__xludf.DUMMYFUNCTION("IMPORTRANGE(""https://docs.google.com/spreadsheets/d/1IbSCnFOKpZsnFogBHJnL_isstZVaOMnFiIN0fGTPZZw/edit?usp=sharing"",""สงขลา!I674"")"),0)</f>
        <v>0</v>
      </c>
      <c r="AN86" s="152">
        <f ca="1">IFERROR(__xludf.DUMMYFUNCTION("IMPORTRANGE(""https://docs.google.com/spreadsheets/d/1IbSCnFOKpZsnFogBHJnL_isstZVaOMnFiIN0fGTPZZw/edit?usp=sharing"",""สงขลา!I675"")"),0)</f>
        <v>0</v>
      </c>
      <c r="AO86" s="152">
        <f ca="1">IFERROR(__xludf.DUMMYFUNCTION("IMPORTRANGE(""https://docs.google.com/spreadsheets/d/1IbSCnFOKpZsnFogBHJnL_isstZVaOMnFiIN0fGTPZZw/edit?usp=sharing"",""สงขลา!J674"")"),0)</f>
        <v>0</v>
      </c>
      <c r="AP86" s="216">
        <f t="shared" ca="1" si="43"/>
        <v>0</v>
      </c>
      <c r="AQ86" s="152">
        <f ca="1">IFERROR(__xludf.DUMMYFUNCTION("IMPORTRANGE(""https://docs.google.com/spreadsheets/d/1IbSCnFOKpZsnFogBHJnL_isstZVaOMnFiIN0fGTPZZw/edit?usp=sharing"",""สงขลา!J675"")"),0)</f>
        <v>0</v>
      </c>
      <c r="AR86" s="216">
        <f t="shared" ca="1" si="44"/>
        <v>0</v>
      </c>
      <c r="AS86" s="152">
        <f ca="1">IFERROR(__xludf.DUMMYFUNCTION("IMPORTRANGE(""https://docs.google.com/spreadsheets/d/1IbSCnFOKpZsnFogBHJnL_isstZVaOMnFiIN0fGTPZZw/edit?usp=sharing"",""สงขลา!I676"")"),0)</f>
        <v>0</v>
      </c>
      <c r="AT86" s="152">
        <f ca="1">IFERROR(__xludf.DUMMYFUNCTION("IMPORTRANGE(""https://docs.google.com/spreadsheets/d/1IbSCnFOKpZsnFogBHJnL_isstZVaOMnFiIN0fGTPZZw/edit?usp=sharing"",""สงขลา!I678"")"),0)</f>
        <v>0</v>
      </c>
      <c r="AU86" s="152">
        <f ca="1">IFERROR(__xludf.DUMMYFUNCTION("IMPORTRANGE(""https://docs.google.com/spreadsheets/d/1IbSCnFOKpZsnFogBHJnL_isstZVaOMnFiIN0fGTPZZw/edit?usp=sharing"",""สงขลา!J676"")"),0)</f>
        <v>0</v>
      </c>
      <c r="AV86" s="152">
        <f ca="1">IFERROR(__xludf.DUMMYFUNCTION("IMPORTRANGE(""https://docs.google.com/spreadsheets/d/1IbSCnFOKpZsnFogBHJnL_isstZVaOMnFiIN0fGTPZZw/edit?usp=sharing"",""สงขลา!J677"")"),0)</f>
        <v>0</v>
      </c>
      <c r="AW86" s="152">
        <f ca="1">IFERROR(__xludf.DUMMYFUNCTION("IMPORTRANGE(""https://docs.google.com/spreadsheets/d/1IbSCnFOKpZsnFogBHJnL_isstZVaOMnFiIN0fGTPZZw/edit?usp=sharing"",""สงขลา!J678"")"),0)</f>
        <v>0</v>
      </c>
      <c r="AX86" s="152">
        <f ca="1">IFERROR(__xludf.DUMMYFUNCTION("IMPORTRANGE(""https://docs.google.com/spreadsheets/d/1IbSCnFOKpZsnFogBHJnL_isstZVaOMnFiIN0fGTPZZw/edit?usp=sharing"",""สงขลา!I679"")"),0)</f>
        <v>0</v>
      </c>
      <c r="AY86" s="152">
        <f ca="1">IFERROR(__xludf.DUMMYFUNCTION("IMPORTRANGE(""https://docs.google.com/spreadsheets/d/1IbSCnFOKpZsnFogBHJnL_isstZVaOMnFiIN0fGTPZZw/edit?usp=sharing"",""สงขลา!I681"")"),0)</f>
        <v>0</v>
      </c>
      <c r="AZ86" s="152">
        <f ca="1">IFERROR(__xludf.DUMMYFUNCTION("IMPORTRANGE(""https://docs.google.com/spreadsheets/d/1IbSCnFOKpZsnFogBHJnL_isstZVaOMnFiIN0fGTPZZw/edit?usp=sharing"",""สงขลา!J679"")"),0)</f>
        <v>0</v>
      </c>
      <c r="BA86" s="152">
        <f ca="1">IFERROR(__xludf.DUMMYFUNCTION("IMPORTRANGE(""https://docs.google.com/spreadsheets/d/1IbSCnFOKpZsnFogBHJnL_isstZVaOMnFiIN0fGTPZZw/edit?usp=sharing"",""สงขลา!J680"")"),0)</f>
        <v>0</v>
      </c>
      <c r="BB86" s="152">
        <f ca="1">IFERROR(__xludf.DUMMYFUNCTION("IMPORTRANGE(""https://docs.google.com/spreadsheets/d/1IbSCnFOKpZsnFogBHJnL_isstZVaOMnFiIN0fGTPZZw/edit?usp=sharing"",""สงขลา!J681"")"),0)</f>
        <v>0</v>
      </c>
      <c r="BC86" s="152">
        <f ca="1">IFERROR(__xludf.DUMMYFUNCTION("IMPORTRANGE(""https://docs.google.com/spreadsheets/d/1IbSCnFOKpZsnFogBHJnL_isstZVaOMnFiIN0fGTPZZw/edit?usp=sharing"",""สงขลา!I682"")"),0)</f>
        <v>0</v>
      </c>
      <c r="BD86" s="152">
        <f ca="1">IFERROR(__xludf.DUMMYFUNCTION("IMPORTRANGE(""https://docs.google.com/spreadsheets/d/1IbSCnFOKpZsnFogBHJnL_isstZVaOMnFiIN0fGTPZZw/edit?usp=sharing"",""สงขลา!J682"")"),0)</f>
        <v>0</v>
      </c>
      <c r="BE86" s="216">
        <f t="shared" ca="1" si="46"/>
        <v>0</v>
      </c>
      <c r="BF86" s="152">
        <f ca="1">IFERROR(__xludf.DUMMYFUNCTION("IMPORTRANGE(""https://docs.google.com/spreadsheets/d/1IbSCnFOKpZsnFogBHJnL_isstZVaOMnFiIN0fGTPZZw/edit?usp=sharing"",""สงขลา!J683"")"),0)</f>
        <v>0</v>
      </c>
      <c r="BG86" s="152">
        <f ca="1">IFERROR(__xludf.DUMMYFUNCTION("IMPORTRANGE(""https://docs.google.com/spreadsheets/d/1IbSCnFOKpZsnFogBHJnL_isstZVaOMnFiIN0fGTPZZw/edit?usp=sharing"",""สงขลา!J684"")"),0)</f>
        <v>0</v>
      </c>
      <c r="BH86" s="152">
        <f ca="1">IFERROR(__xludf.DUMMYFUNCTION("IMPORTRANGE(""https://docs.google.com/spreadsheets/d/1IbSCnFOKpZsnFogBHJnL_isstZVaOMnFiIN0fGTPZZw/edit?usp=sharing"",""สงขลา!J685"")"),0)</f>
        <v>0</v>
      </c>
      <c r="BI86" s="152">
        <f ca="1">IFERROR(__xludf.DUMMYFUNCTION("IMPORTRANGE(""https://docs.google.com/spreadsheets/d/1IbSCnFOKpZsnFogBHJnL_isstZVaOMnFiIN0fGTPZZw/edit?usp=sharing"",""สงขลา!J686"")"),0)</f>
        <v>0</v>
      </c>
      <c r="BJ86" s="152">
        <f ca="1">IFERROR(__xludf.DUMMYFUNCTION("IMPORTRANGE(""https://docs.google.com/spreadsheets/d/1IbSCnFOKpZsnFogBHJnL_isstZVaOMnFiIN0fGTPZZw/edit?usp=sharing"",""สงขลา!J687"")"),0)</f>
        <v>0</v>
      </c>
      <c r="BK86" s="152">
        <f ca="1">IFERROR(__xludf.DUMMYFUNCTION("IMPORTRANGE(""https://docs.google.com/spreadsheets/d/1IbSCnFOKpZsnFogBHJnL_isstZVaOMnFiIN0fGTPZZw/edit?usp=sharing"",""สงขลา!J688"")"),0)</f>
        <v>0</v>
      </c>
    </row>
    <row r="87" spans="1:63" ht="19.5" x14ac:dyDescent="0.3">
      <c r="A87" s="70">
        <v>13</v>
      </c>
      <c r="B87" s="71" t="s">
        <v>115</v>
      </c>
      <c r="C87" s="68">
        <f ca="1">IFERROR(__xludf.DUMMYFUNCTION("IMPORTRANGE(""https://docs.google.com/spreadsheets/d/1q9nWasZJ-K8bFGvbE9n0qSRuKGA4Toe3Y89cKCiVtCU/edit?usp=sharing"",""สตูล!Q642"")"),0)</f>
        <v>0</v>
      </c>
      <c r="D87" s="68">
        <f ca="1">IFERROR(__xludf.DUMMYFUNCTION("IMPORTRANGE(""https://docs.google.com/spreadsheets/d/1q9nWasZJ-K8bFGvbE9n0qSRuKGA4Toe3Y89cKCiVtCU/edit?usp=sharing"",""สตูล!R642"")"),0)</f>
        <v>0</v>
      </c>
      <c r="E87" s="68">
        <f ca="1">IFERROR(__xludf.DUMMYFUNCTION("IMPORTRANGE(""https://docs.google.com/spreadsheets/d/1q9nWasZJ-K8bFGvbE9n0qSRuKGA4Toe3Y89cKCiVtCU/edit?usp=sharing"",""สตูล!S642"")"),0)</f>
        <v>0</v>
      </c>
      <c r="F87" s="68">
        <f t="shared" ca="1" si="30"/>
        <v>0</v>
      </c>
      <c r="G87" s="68">
        <f t="shared" ca="1" si="31"/>
        <v>0</v>
      </c>
      <c r="H87" s="278">
        <f ca="1">IFERROR(__xludf.DUMMYFUNCTION("IMPORTRANGE(""https://docs.google.com/spreadsheets/d/1q9nWasZJ-K8bFGvbE9n0qSRuKGA4Toe3Y89cKCiVtCU/edit?usp=sharing"",""สตูล!I652"")"),0)</f>
        <v>0</v>
      </c>
      <c r="I87" s="152">
        <f ca="1">IFERROR(__xludf.DUMMYFUNCTION("IMPORTRANGE(""https://docs.google.com/spreadsheets/d/1q9nWasZJ-K8bFGvbE9n0qSRuKGA4Toe3Y89cKCiVtCU/edit?usp=sharing"",""สตูล!J652"")"),0)</f>
        <v>0</v>
      </c>
      <c r="J87" s="216">
        <f t="shared" ca="1" si="33"/>
        <v>0</v>
      </c>
      <c r="K87" s="152">
        <f ca="1">IFERROR(__xludf.DUMMYFUNCTION("IMPORTRANGE(""https://docs.google.com/spreadsheets/d/1q9nWasZJ-K8bFGvbE9n0qSRuKGA4Toe3Y89cKCiVtCU/edit?usp=sharing"",""สตูล!I653"")"),0)</f>
        <v>0</v>
      </c>
      <c r="L87" s="152">
        <f ca="1">IFERROR(__xludf.DUMMYFUNCTION("IMPORTRANGE(""https://docs.google.com/spreadsheets/d/1q9nWasZJ-K8bFGvbE9n0qSRuKGA4Toe3Y89cKCiVtCU/edit?usp=sharing"",""สตูล!J653"")"),0)</f>
        <v>0</v>
      </c>
      <c r="M87" s="216">
        <f t="shared" ca="1" si="35"/>
        <v>0</v>
      </c>
      <c r="N87" s="152">
        <f ca="1">IFERROR(__xludf.DUMMYFUNCTION("IMPORTRANGE(""https://docs.google.com/spreadsheets/d/1q9nWasZJ-K8bFGvbE9n0qSRuKGA4Toe3Y89cKCiVtCU/edit?usp=sharing"",""สตูล!I654"")"),0)</f>
        <v>0</v>
      </c>
      <c r="O87" s="152">
        <f ca="1">IFERROR(__xludf.DUMMYFUNCTION("IMPORTRANGE(""https://docs.google.com/spreadsheets/d/1q9nWasZJ-K8bFGvbE9n0qSRuKGA4Toe3Y89cKCiVtCU/edit?usp=sharing"",""สตูล!J654"")"),0)</f>
        <v>0</v>
      </c>
      <c r="P87" s="216">
        <f t="shared" ca="1" si="37"/>
        <v>0</v>
      </c>
      <c r="Q87" s="216">
        <f ca="1">IFERROR(__xludf.DUMMYFUNCTION("IMPORTRANGE(""https://docs.google.com/spreadsheets/d/1q9nWasZJ-K8bFGvbE9n0qSRuKGA4Toe3Y89cKCiVtCU/edit?usp=sharing"",""สตูล!J655"")"),0)</f>
        <v>0</v>
      </c>
      <c r="R87" s="216">
        <f ca="1">IFERROR(__xludf.DUMMYFUNCTION("IMPORTRANGE(""https://docs.google.com/spreadsheets/d/1q9nWasZJ-K8bFGvbE9n0qSRuKGA4Toe3Y89cKCiVtCU/edit?usp=sharing"",""สตูล!J656"")"),0)</f>
        <v>0</v>
      </c>
      <c r="S87" s="216">
        <f ca="1">IFERROR(__xludf.DUMMYFUNCTION("IMPORTRANGE(""https://docs.google.com/spreadsheets/d/1q9nWasZJ-K8bFGvbE9n0qSRuKGA4Toe3Y89cKCiVtCU/edit?usp=sharing"",""สตูล!J657"")"),0)</f>
        <v>0</v>
      </c>
      <c r="T87" s="216">
        <f ca="1">IFERROR(__xludf.DUMMYFUNCTION("IMPORTRANGE(""https://docs.google.com/spreadsheets/d/1q9nWasZJ-K8bFGvbE9n0qSRuKGA4Toe3Y89cKCiVtCU/edit?usp=sharing"",""สตูล!J658"")"),0)</f>
        <v>0</v>
      </c>
      <c r="U87" s="216">
        <f ca="1">IFERROR(__xludf.DUMMYFUNCTION("IMPORTRANGE(""https://docs.google.com/spreadsheets/d/1q9nWasZJ-K8bFGvbE9n0qSRuKGA4Toe3Y89cKCiVtCU/edit?usp=sharing"",""สตูล!J659"")"),0)</f>
        <v>0</v>
      </c>
      <c r="V87" s="216">
        <f ca="1">IFERROR(__xludf.DUMMYFUNCTION("IMPORTRANGE(""https://docs.google.com/spreadsheets/d/1q9nWasZJ-K8bFGvbE9n0qSRuKGA4Toe3Y89cKCiVtCU/edit?usp=sharing"",""สตูล!J660"")"),0)</f>
        <v>0</v>
      </c>
      <c r="W87" s="152">
        <f ca="1">IFERROR(__xludf.DUMMYFUNCTION("IMPORTRANGE(""https://docs.google.com/spreadsheets/d/1q9nWasZJ-K8bFGvbE9n0qSRuKGA4Toe3Y89cKCiVtCU/edit?usp=sharing"",""สตูล!I661"")"),0)</f>
        <v>0</v>
      </c>
      <c r="X87" s="152">
        <f ca="1">IFERROR(__xludf.DUMMYFUNCTION("IMPORTRANGE(""https://docs.google.com/spreadsheets/d/1q9nWasZJ-K8bFGvbE9n0qSRuKGA4Toe3Y89cKCiVtCU/edit?usp=sharing"",""สตูล!J661"")"),0)</f>
        <v>0</v>
      </c>
      <c r="Y87" s="216">
        <f t="shared" ca="1" si="39"/>
        <v>0</v>
      </c>
      <c r="Z87" s="152">
        <f ca="1">IFERROR(__xludf.DUMMYFUNCTION("IMPORTRANGE(""https://docs.google.com/spreadsheets/d/1q9nWasZJ-K8bFGvbE9n0qSRuKGA4Toe3Y89cKCiVtCU/edit?usp=sharing"",""สตูล!J662"")"),0)</f>
        <v>0</v>
      </c>
      <c r="AA87" s="152">
        <f ca="1">IFERROR(__xludf.DUMMYFUNCTION("IMPORTRANGE(""https://docs.google.com/spreadsheets/d/1q9nWasZJ-K8bFGvbE9n0qSRuKGA4Toe3Y89cKCiVtCU/edit?usp=sharing"",""สตูล!J663"")"),0)</f>
        <v>0</v>
      </c>
      <c r="AB87" s="152">
        <f ca="1">IFERROR(__xludf.DUMMYFUNCTION("IMPORTRANGE(""https://docs.google.com/spreadsheets/d/1q9nWasZJ-K8bFGvbE9n0qSRuKGA4Toe3Y89cKCiVtCU/edit?usp=sharing"",""สตูล!J665"")"),0)</f>
        <v>0</v>
      </c>
      <c r="AC87" s="152">
        <f ca="1">IFERROR(__xludf.DUMMYFUNCTION("IMPORTRANGE(""https://docs.google.com/spreadsheets/d/1q9nWasZJ-K8bFGvbE9n0qSRuKGA4Toe3Y89cKCiVtCU/edit?usp=sharing"",""สตูล!J666"")"),0)</f>
        <v>0</v>
      </c>
      <c r="AD87" s="152">
        <f ca="1">IFERROR(__xludf.DUMMYFUNCTION("IMPORTRANGE(""https://docs.google.com/spreadsheets/d/1q9nWasZJ-K8bFGvbE9n0qSRuKGA4Toe3Y89cKCiVtCU/edit?usp=sharing"",""สตูล!J667"")"),0)</f>
        <v>0</v>
      </c>
      <c r="AE87" s="152">
        <f ca="1">IFERROR(__xludf.DUMMYFUNCTION("IMPORTRANGE(""https://docs.google.com/spreadsheets/d/1q9nWasZJ-K8bFGvbE9n0qSRuKGA4Toe3Y89cKCiVtCU/edit?usp=sharing"",""สตูล!J668"")"),0)</f>
        <v>0</v>
      </c>
      <c r="AF87" s="152">
        <f ca="1">IFERROR(__xludf.DUMMYFUNCTION("IMPORTRANGE(""https://docs.google.com/spreadsheets/d/1q9nWasZJ-K8bFGvbE9n0qSRuKGA4Toe3Y89cKCiVtCU/edit?usp=sharing"",""สตูล!J669"")"),0)</f>
        <v>0</v>
      </c>
      <c r="AG87" s="152">
        <f ca="1">IFERROR(__xludf.DUMMYFUNCTION("IMPORTRANGE(""https://docs.google.com/spreadsheets/d/1q9nWasZJ-K8bFGvbE9n0qSRuKGA4Toe3Y89cKCiVtCU/edit?usp=sharing"",""สตูล!J670"")"),0)</f>
        <v>0</v>
      </c>
      <c r="AH87" s="152">
        <f ca="1">IFERROR(__xludf.DUMMYFUNCTION("IMPORTRANGE(""https://docs.google.com/spreadsheets/d/1q9nWasZJ-K8bFGvbE9n0qSRuKGA4Toe3Y89cKCiVtCU/edit?usp=sharing"",""สตูล!I673"")"),0)</f>
        <v>0</v>
      </c>
      <c r="AI87" s="152">
        <f ca="1">IFERROR(__xludf.DUMMYFUNCTION("IMPORTRANGE(""https://docs.google.com/spreadsheets/d/1q9nWasZJ-K8bFGvbE9n0qSRuKGA4Toe3Y89cKCiVtCU/edit?usp=sharing"",""สตูล!J671"")"),0)</f>
        <v>0</v>
      </c>
      <c r="AJ87" s="152">
        <f ca="1">IFERROR(__xludf.DUMMYFUNCTION("IMPORTRANGE(""https://docs.google.com/spreadsheets/d/1q9nWasZJ-K8bFGvbE9n0qSRuKGA4Toe3Y89cKCiVtCU/edit?usp=sharing"",""สตูล!J672"")"),0)</f>
        <v>0</v>
      </c>
      <c r="AK87" s="152">
        <f ca="1">IFERROR(__xludf.DUMMYFUNCTION("IMPORTRANGE(""https://docs.google.com/spreadsheets/d/1q9nWasZJ-K8bFGvbE9n0qSRuKGA4Toe3Y89cKCiVtCU/edit?usp=sharing"",""สตูล!J673"")"),0)</f>
        <v>0</v>
      </c>
      <c r="AL87" s="216">
        <f t="shared" ca="1" si="41"/>
        <v>0</v>
      </c>
      <c r="AM87" s="152">
        <f ca="1">IFERROR(__xludf.DUMMYFUNCTION("IMPORTRANGE(""https://docs.google.com/spreadsheets/d/1q9nWasZJ-K8bFGvbE9n0qSRuKGA4Toe3Y89cKCiVtCU/edit?usp=sharing"",""สตูล!I674"")"),0)</f>
        <v>0</v>
      </c>
      <c r="AN87" s="152">
        <f ca="1">IFERROR(__xludf.DUMMYFUNCTION("IMPORTRANGE(""https://docs.google.com/spreadsheets/d/1q9nWasZJ-K8bFGvbE9n0qSRuKGA4Toe3Y89cKCiVtCU/edit?usp=sharing"",""สตูล!I675"")"),0)</f>
        <v>0</v>
      </c>
      <c r="AO87" s="152">
        <f ca="1">IFERROR(__xludf.DUMMYFUNCTION("IMPORTRANGE(""https://docs.google.com/spreadsheets/d/1q9nWasZJ-K8bFGvbE9n0qSRuKGA4Toe3Y89cKCiVtCU/edit?usp=sharing"",""สตูล!J674"")"),0)</f>
        <v>0</v>
      </c>
      <c r="AP87" s="216">
        <f t="shared" ca="1" si="43"/>
        <v>0</v>
      </c>
      <c r="AQ87" s="152">
        <f ca="1">IFERROR(__xludf.DUMMYFUNCTION("IMPORTRANGE(""https://docs.google.com/spreadsheets/d/1q9nWasZJ-K8bFGvbE9n0qSRuKGA4Toe3Y89cKCiVtCU/edit?usp=sharing"",""สตูล!J675"")"),0)</f>
        <v>0</v>
      </c>
      <c r="AR87" s="216">
        <f t="shared" ca="1" si="44"/>
        <v>0</v>
      </c>
      <c r="AS87" s="152">
        <f ca="1">IFERROR(__xludf.DUMMYFUNCTION("IMPORTRANGE(""https://docs.google.com/spreadsheets/d/1q9nWasZJ-K8bFGvbE9n0qSRuKGA4Toe3Y89cKCiVtCU/edit?usp=sharing"",""สตูล!I676"")"),0)</f>
        <v>0</v>
      </c>
      <c r="AT87" s="152">
        <f ca="1">IFERROR(__xludf.DUMMYFUNCTION("IMPORTRANGE(""https://docs.google.com/spreadsheets/d/1q9nWasZJ-K8bFGvbE9n0qSRuKGA4Toe3Y89cKCiVtCU/edit?usp=sharing"",""สตูล!I678"")"),0)</f>
        <v>0</v>
      </c>
      <c r="AU87" s="152">
        <f ca="1">IFERROR(__xludf.DUMMYFUNCTION("IMPORTRANGE(""https://docs.google.com/spreadsheets/d/1q9nWasZJ-K8bFGvbE9n0qSRuKGA4Toe3Y89cKCiVtCU/edit?usp=sharing"",""สตูล!J676"")"),0)</f>
        <v>0</v>
      </c>
      <c r="AV87" s="152">
        <f ca="1">IFERROR(__xludf.DUMMYFUNCTION("IMPORTRANGE(""https://docs.google.com/spreadsheets/d/1q9nWasZJ-K8bFGvbE9n0qSRuKGA4Toe3Y89cKCiVtCU/edit?usp=sharing"",""สตูล!J677"")"),0)</f>
        <v>0</v>
      </c>
      <c r="AW87" s="152">
        <f ca="1">IFERROR(__xludf.DUMMYFUNCTION("IMPORTRANGE(""https://docs.google.com/spreadsheets/d/1q9nWasZJ-K8bFGvbE9n0qSRuKGA4Toe3Y89cKCiVtCU/edit?usp=sharing"",""สตูล!J678"")"),0)</f>
        <v>0</v>
      </c>
      <c r="AX87" s="152">
        <f ca="1">IFERROR(__xludf.DUMMYFUNCTION("IMPORTRANGE(""https://docs.google.com/spreadsheets/d/1q9nWasZJ-K8bFGvbE9n0qSRuKGA4Toe3Y89cKCiVtCU/edit?usp=sharing"",""สตูล!I679"")"),0)</f>
        <v>0</v>
      </c>
      <c r="AY87" s="152">
        <f ca="1">IFERROR(__xludf.DUMMYFUNCTION("IMPORTRANGE(""https://docs.google.com/spreadsheets/d/1q9nWasZJ-K8bFGvbE9n0qSRuKGA4Toe3Y89cKCiVtCU/edit?usp=sharing"",""สตูล!I681"")"),0)</f>
        <v>0</v>
      </c>
      <c r="AZ87" s="152">
        <f ca="1">IFERROR(__xludf.DUMMYFUNCTION("IMPORTRANGE(""https://docs.google.com/spreadsheets/d/1q9nWasZJ-K8bFGvbE9n0qSRuKGA4Toe3Y89cKCiVtCU/edit?usp=sharing"",""สตูล!J679"")"),0)</f>
        <v>0</v>
      </c>
      <c r="BA87" s="152">
        <f ca="1">IFERROR(__xludf.DUMMYFUNCTION("IMPORTRANGE(""https://docs.google.com/spreadsheets/d/1q9nWasZJ-K8bFGvbE9n0qSRuKGA4Toe3Y89cKCiVtCU/edit?usp=sharing"",""สตูล!J680"")"),0)</f>
        <v>0</v>
      </c>
      <c r="BB87" s="152">
        <f ca="1">IFERROR(__xludf.DUMMYFUNCTION("IMPORTRANGE(""https://docs.google.com/spreadsheets/d/1q9nWasZJ-K8bFGvbE9n0qSRuKGA4Toe3Y89cKCiVtCU/edit?usp=sharing"",""สตูล!J681"")"),0)</f>
        <v>0</v>
      </c>
      <c r="BC87" s="152">
        <f ca="1">IFERROR(__xludf.DUMMYFUNCTION("IMPORTRANGE(""https://docs.google.com/spreadsheets/d/1q9nWasZJ-K8bFGvbE9n0qSRuKGA4Toe3Y89cKCiVtCU/edit?usp=sharing"",""สตูล!I682"")"),0)</f>
        <v>0</v>
      </c>
      <c r="BD87" s="152">
        <f ca="1">IFERROR(__xludf.DUMMYFUNCTION("IMPORTRANGE(""https://docs.google.com/spreadsheets/d/1q9nWasZJ-K8bFGvbE9n0qSRuKGA4Toe3Y89cKCiVtCU/edit?usp=sharing"",""สตูล!J682"")"),0)</f>
        <v>0</v>
      </c>
      <c r="BE87" s="216">
        <f t="shared" ca="1" si="46"/>
        <v>0</v>
      </c>
      <c r="BF87" s="152">
        <f ca="1">IFERROR(__xludf.DUMMYFUNCTION("IMPORTRANGE(""https://docs.google.com/spreadsheets/d/1q9nWasZJ-K8bFGvbE9n0qSRuKGA4Toe3Y89cKCiVtCU/edit?usp=sharing"",""สตูล!J683"")"),0)</f>
        <v>0</v>
      </c>
      <c r="BG87" s="152">
        <f ca="1">IFERROR(__xludf.DUMMYFUNCTION("IMPORTRANGE(""https://docs.google.com/spreadsheets/d/1q9nWasZJ-K8bFGvbE9n0qSRuKGA4Toe3Y89cKCiVtCU/edit?usp=sharing"",""สตูล!J684"")"),0)</f>
        <v>0</v>
      </c>
      <c r="BH87" s="152">
        <f ca="1">IFERROR(__xludf.DUMMYFUNCTION("IMPORTRANGE(""https://docs.google.com/spreadsheets/d/1q9nWasZJ-K8bFGvbE9n0qSRuKGA4Toe3Y89cKCiVtCU/edit?usp=sharing"",""สตูล!J685"")"),0)</f>
        <v>0</v>
      </c>
      <c r="BI87" s="152">
        <f ca="1">IFERROR(__xludf.DUMMYFUNCTION("IMPORTRANGE(""https://docs.google.com/spreadsheets/d/1q9nWasZJ-K8bFGvbE9n0qSRuKGA4Toe3Y89cKCiVtCU/edit?usp=sharing"",""สตูล!J686"")"),0)</f>
        <v>0</v>
      </c>
      <c r="BJ87" s="152">
        <f ca="1">IFERROR(__xludf.DUMMYFUNCTION("IMPORTRANGE(""https://docs.google.com/spreadsheets/d/1q9nWasZJ-K8bFGvbE9n0qSRuKGA4Toe3Y89cKCiVtCU/edit?usp=sharing"",""สตูล!J687"")"),0)</f>
        <v>0</v>
      </c>
      <c r="BK87" s="152">
        <f ca="1">IFERROR(__xludf.DUMMYFUNCTION("IMPORTRANGE(""https://docs.google.com/spreadsheets/d/1q9nWasZJ-K8bFGvbE9n0qSRuKGA4Toe3Y89cKCiVtCU/edit?usp=sharing"",""สตูล!J688"")"),0)</f>
        <v>0</v>
      </c>
    </row>
    <row r="88" spans="1:63" ht="19.5" x14ac:dyDescent="0.3">
      <c r="A88" s="80">
        <v>14</v>
      </c>
      <c r="B88" s="81" t="s">
        <v>116</v>
      </c>
      <c r="C88" s="89">
        <f ca="1">IFERROR(__xludf.DUMMYFUNCTION("IMPORTRANGE(""https://docs.google.com/spreadsheets/d/18T20gbkS_WBjdscyTOV05cvq_JqvqQ17C81mpxf7Ncs/edit?usp=sharing"",""สุราษฎร์ธานี!Q642"")"),0)</f>
        <v>0</v>
      </c>
      <c r="D88" s="89">
        <f ca="1">IFERROR(__xludf.DUMMYFUNCTION("IMPORTRANGE(""https://docs.google.com/spreadsheets/d/18T20gbkS_WBjdscyTOV05cvq_JqvqQ17C81mpxf7Ncs/edit?usp=sharing"",""สุราษฎร์ธานี!R642"")"),0)</f>
        <v>0</v>
      </c>
      <c r="E88" s="89">
        <f ca="1">IFERROR(__xludf.DUMMYFUNCTION("IMPORTRANGE(""https://docs.google.com/spreadsheets/d/18T20gbkS_WBjdscyTOV05cvq_JqvqQ17C81mpxf7Ncs/edit?usp=sharing"",""สุราษฎร์ธานี!S642"")"),0)</f>
        <v>0</v>
      </c>
      <c r="F88" s="89">
        <f t="shared" ca="1" si="30"/>
        <v>0</v>
      </c>
      <c r="G88" s="89">
        <f t="shared" ca="1" si="31"/>
        <v>0</v>
      </c>
      <c r="H88" s="280">
        <f ca="1">IFERROR(__xludf.DUMMYFUNCTION("IMPORTRANGE(""https://docs.google.com/spreadsheets/d/18T20gbkS_WBjdscyTOV05cvq_JqvqQ17C81mpxf7Ncs/edit?usp=sharing"",""สุราษฎร์ธานี!I652"")"),0)</f>
        <v>0</v>
      </c>
      <c r="I88" s="191">
        <f ca="1">IFERROR(__xludf.DUMMYFUNCTION("IMPORTRANGE(""https://docs.google.com/spreadsheets/d/18T20gbkS_WBjdscyTOV05cvq_JqvqQ17C81mpxf7Ncs/edit?usp=sharing"",""สุราษฎร์ธานี!J652"")"),0)</f>
        <v>0</v>
      </c>
      <c r="J88" s="218">
        <f t="shared" ca="1" si="33"/>
        <v>0</v>
      </c>
      <c r="K88" s="191">
        <f ca="1">IFERROR(__xludf.DUMMYFUNCTION("IMPORTRANGE(""https://docs.google.com/spreadsheets/d/18T20gbkS_WBjdscyTOV05cvq_JqvqQ17C81mpxf7Ncs/edit?usp=sharing"",""สุราษฎร์ธานี!I653"")"),0)</f>
        <v>0</v>
      </c>
      <c r="L88" s="191">
        <f ca="1">IFERROR(__xludf.DUMMYFUNCTION("IMPORTRANGE(""https://docs.google.com/spreadsheets/d/18T20gbkS_WBjdscyTOV05cvq_JqvqQ17C81mpxf7Ncs/edit?usp=sharing"",""สุราษฎร์ธานี!J653"")"),0)</f>
        <v>0</v>
      </c>
      <c r="M88" s="218">
        <f t="shared" ca="1" si="35"/>
        <v>0</v>
      </c>
      <c r="N88" s="191">
        <f ca="1">IFERROR(__xludf.DUMMYFUNCTION("IMPORTRANGE(""https://docs.google.com/spreadsheets/d/18T20gbkS_WBjdscyTOV05cvq_JqvqQ17C81mpxf7Ncs/edit?usp=sharing"",""สุราษฎร์ธานี!I654"")"),0)</f>
        <v>0</v>
      </c>
      <c r="O88" s="191">
        <f ca="1">IFERROR(__xludf.DUMMYFUNCTION("IMPORTRANGE(""https://docs.google.com/spreadsheets/d/18T20gbkS_WBjdscyTOV05cvq_JqvqQ17C81mpxf7Ncs/edit?usp=sharing"",""สุราษฎร์ธานี!J654"")"),0)</f>
        <v>0</v>
      </c>
      <c r="P88" s="218">
        <f t="shared" ca="1" si="37"/>
        <v>0</v>
      </c>
      <c r="Q88" s="218">
        <f ca="1">IFERROR(__xludf.DUMMYFUNCTION("IMPORTRANGE(""https://docs.google.com/spreadsheets/d/18T20gbkS_WBjdscyTOV05cvq_JqvqQ17C81mpxf7Ncs/edit?usp=sharing"",""สุราษฎร์ธานี!J655"")"),0)</f>
        <v>0</v>
      </c>
      <c r="R88" s="218">
        <f ca="1">IFERROR(__xludf.DUMMYFUNCTION("IMPORTRANGE(""https://docs.google.com/spreadsheets/d/18T20gbkS_WBjdscyTOV05cvq_JqvqQ17C81mpxf7Ncs/edit?usp=sharing"",""สุราษฎร์ธานี!J656"")"),0)</f>
        <v>0</v>
      </c>
      <c r="S88" s="218">
        <f ca="1">IFERROR(__xludf.DUMMYFUNCTION("IMPORTRANGE(""https://docs.google.com/spreadsheets/d/18T20gbkS_WBjdscyTOV05cvq_JqvqQ17C81mpxf7Ncs/edit?usp=sharing"",""สุราษฎร์ธานี!J657"")"),0)</f>
        <v>0</v>
      </c>
      <c r="T88" s="218">
        <f ca="1">IFERROR(__xludf.DUMMYFUNCTION("IMPORTRANGE(""https://docs.google.com/spreadsheets/d/18T20gbkS_WBjdscyTOV05cvq_JqvqQ17C81mpxf7Ncs/edit?usp=sharing"",""สุราษฎร์ธานี!J658"")"),0)</f>
        <v>0</v>
      </c>
      <c r="U88" s="218">
        <f ca="1">IFERROR(__xludf.DUMMYFUNCTION("IMPORTRANGE(""https://docs.google.com/spreadsheets/d/18T20gbkS_WBjdscyTOV05cvq_JqvqQ17C81mpxf7Ncs/edit?usp=sharing"",""สุราษฎร์ธานี!J659"")"),0)</f>
        <v>0</v>
      </c>
      <c r="V88" s="218">
        <f ca="1">IFERROR(__xludf.DUMMYFUNCTION("IMPORTRANGE(""https://docs.google.com/spreadsheets/d/18T20gbkS_WBjdscyTOV05cvq_JqvqQ17C81mpxf7Ncs/edit?usp=sharing"",""สุราษฎร์ธานี!J660"")"),0)</f>
        <v>0</v>
      </c>
      <c r="W88" s="191">
        <f ca="1">IFERROR(__xludf.DUMMYFUNCTION("IMPORTRANGE(""https://docs.google.com/spreadsheets/d/18T20gbkS_WBjdscyTOV05cvq_JqvqQ17C81mpxf7Ncs/edit?usp=sharing"",""สุราษฎร์ธานี!I661"")"),0)</f>
        <v>0</v>
      </c>
      <c r="X88" s="191">
        <f ca="1">IFERROR(__xludf.DUMMYFUNCTION("IMPORTRANGE(""https://docs.google.com/spreadsheets/d/18T20gbkS_WBjdscyTOV05cvq_JqvqQ17C81mpxf7Ncs/edit?usp=sharing"",""สุราษฎร์ธานี!J661"")"),0)</f>
        <v>0</v>
      </c>
      <c r="Y88" s="218">
        <f t="shared" ca="1" si="39"/>
        <v>0</v>
      </c>
      <c r="Z88" s="191">
        <f ca="1">IFERROR(__xludf.DUMMYFUNCTION("IMPORTRANGE(""https://docs.google.com/spreadsheets/d/18T20gbkS_WBjdscyTOV05cvq_JqvqQ17C81mpxf7Ncs/edit?usp=sharing"",""สุราษฎร์ธานี!J662"")"),0)</f>
        <v>0</v>
      </c>
      <c r="AA88" s="191">
        <f ca="1">IFERROR(__xludf.DUMMYFUNCTION("IMPORTRANGE(""https://docs.google.com/spreadsheets/d/18T20gbkS_WBjdscyTOV05cvq_JqvqQ17C81mpxf7Ncs/edit?usp=sharing"",""สุราษฎร์ธานี!J663"")"),0)</f>
        <v>0</v>
      </c>
      <c r="AB88" s="191">
        <f ca="1">IFERROR(__xludf.DUMMYFUNCTION("IMPORTRANGE(""https://docs.google.com/spreadsheets/d/18T20gbkS_WBjdscyTOV05cvq_JqvqQ17C81mpxf7Ncs/edit?usp=sharing"",""สุราษฎร์ธานี!J665"")"),0)</f>
        <v>0</v>
      </c>
      <c r="AC88" s="191">
        <f ca="1">IFERROR(__xludf.DUMMYFUNCTION("IMPORTRANGE(""https://docs.google.com/spreadsheets/d/18T20gbkS_WBjdscyTOV05cvq_JqvqQ17C81mpxf7Ncs/edit?usp=sharing"",""สุราษฎร์ธานี!J666"")"),0)</f>
        <v>0</v>
      </c>
      <c r="AD88" s="191">
        <f ca="1">IFERROR(__xludf.DUMMYFUNCTION("IMPORTRANGE(""https://docs.google.com/spreadsheets/d/18T20gbkS_WBjdscyTOV05cvq_JqvqQ17C81mpxf7Ncs/edit?usp=sharing"",""สุราษฎร์ธานี!J667"")"),0)</f>
        <v>0</v>
      </c>
      <c r="AE88" s="191">
        <f ca="1">IFERROR(__xludf.DUMMYFUNCTION("IMPORTRANGE(""https://docs.google.com/spreadsheets/d/18T20gbkS_WBjdscyTOV05cvq_JqvqQ17C81mpxf7Ncs/edit?usp=sharing"",""สุราษฎร์ธานี!J668"")"),0)</f>
        <v>0</v>
      </c>
      <c r="AF88" s="191">
        <f ca="1">IFERROR(__xludf.DUMMYFUNCTION("IMPORTRANGE(""https://docs.google.com/spreadsheets/d/18T20gbkS_WBjdscyTOV05cvq_JqvqQ17C81mpxf7Ncs/edit?usp=sharing"",""สุราษฎร์ธานี!J669"")"),0)</f>
        <v>0</v>
      </c>
      <c r="AG88" s="191">
        <f ca="1">IFERROR(__xludf.DUMMYFUNCTION("IMPORTRANGE(""https://docs.google.com/spreadsheets/d/18T20gbkS_WBjdscyTOV05cvq_JqvqQ17C81mpxf7Ncs/edit?usp=sharing"",""สุราษฎร์ธานี!J670"")"),0)</f>
        <v>0</v>
      </c>
      <c r="AH88" s="191">
        <f ca="1">IFERROR(__xludf.DUMMYFUNCTION("IMPORTRANGE(""https://docs.google.com/spreadsheets/d/18T20gbkS_WBjdscyTOV05cvq_JqvqQ17C81mpxf7Ncs/edit?usp=sharing"",""สุราษฎร์ธานี!I673"")"),0)</f>
        <v>0</v>
      </c>
      <c r="AI88" s="191">
        <f ca="1">IFERROR(__xludf.DUMMYFUNCTION("IMPORTRANGE(""https://docs.google.com/spreadsheets/d/18T20gbkS_WBjdscyTOV05cvq_JqvqQ17C81mpxf7Ncs/edit?usp=sharing"",""สุราษฎร์ธานี!J671"")"),0)</f>
        <v>0</v>
      </c>
      <c r="AJ88" s="191">
        <f ca="1">IFERROR(__xludf.DUMMYFUNCTION("IMPORTRANGE(""https://docs.google.com/spreadsheets/d/18T20gbkS_WBjdscyTOV05cvq_JqvqQ17C81mpxf7Ncs/edit?usp=sharing"",""สุราษฎร์ธานี!J672"")"),0)</f>
        <v>0</v>
      </c>
      <c r="AK88" s="191">
        <f ca="1">IFERROR(__xludf.DUMMYFUNCTION("IMPORTRANGE(""https://docs.google.com/spreadsheets/d/18T20gbkS_WBjdscyTOV05cvq_JqvqQ17C81mpxf7Ncs/edit?usp=sharing"",""สุราษฎร์ธานี!J673"")"),0)</f>
        <v>0</v>
      </c>
      <c r="AL88" s="218">
        <f t="shared" ca="1" si="41"/>
        <v>0</v>
      </c>
      <c r="AM88" s="191">
        <f ca="1">IFERROR(__xludf.DUMMYFUNCTION("IMPORTRANGE(""https://docs.google.com/spreadsheets/d/18T20gbkS_WBjdscyTOV05cvq_JqvqQ17C81mpxf7Ncs/edit?usp=sharing"",""สุราษฎร์ธานี!I674"")"),0)</f>
        <v>0</v>
      </c>
      <c r="AN88" s="191">
        <f ca="1">IFERROR(__xludf.DUMMYFUNCTION("IMPORTRANGE(""https://docs.google.com/spreadsheets/d/18T20gbkS_WBjdscyTOV05cvq_JqvqQ17C81mpxf7Ncs/edit?usp=sharing"",""สุราษฎร์ธานี!I675"")"),0)</f>
        <v>0</v>
      </c>
      <c r="AO88" s="191">
        <f ca="1">IFERROR(__xludf.DUMMYFUNCTION("IMPORTRANGE(""https://docs.google.com/spreadsheets/d/18T20gbkS_WBjdscyTOV05cvq_JqvqQ17C81mpxf7Ncs/edit?usp=sharing"",""สุราษฎร์ธานี!J674"")"),0)</f>
        <v>0</v>
      </c>
      <c r="AP88" s="218">
        <f t="shared" ca="1" si="43"/>
        <v>0</v>
      </c>
      <c r="AQ88" s="191">
        <f ca="1">IFERROR(__xludf.DUMMYFUNCTION("IMPORTRANGE(""https://docs.google.com/spreadsheets/d/18T20gbkS_WBjdscyTOV05cvq_JqvqQ17C81mpxf7Ncs/edit?usp=sharing"",""สุราษฎร์ธานี!J675"")"),0)</f>
        <v>0</v>
      </c>
      <c r="AR88" s="218">
        <f t="shared" ca="1" si="44"/>
        <v>0</v>
      </c>
      <c r="AS88" s="191">
        <f ca="1">IFERROR(__xludf.DUMMYFUNCTION("IMPORTRANGE(""https://docs.google.com/spreadsheets/d/18T20gbkS_WBjdscyTOV05cvq_JqvqQ17C81mpxf7Ncs/edit?usp=sharing"",""สุราษฎร์ธานี!I676"")"),0)</f>
        <v>0</v>
      </c>
      <c r="AT88" s="191">
        <f ca="1">IFERROR(__xludf.DUMMYFUNCTION("IMPORTRANGE(""https://docs.google.com/spreadsheets/d/18T20gbkS_WBjdscyTOV05cvq_JqvqQ17C81mpxf7Ncs/edit?usp=sharing"",""สุราษฎร์ธานี!I678"")"),0)</f>
        <v>0</v>
      </c>
      <c r="AU88" s="191">
        <f ca="1">IFERROR(__xludf.DUMMYFUNCTION("IMPORTRANGE(""https://docs.google.com/spreadsheets/d/18T20gbkS_WBjdscyTOV05cvq_JqvqQ17C81mpxf7Ncs/edit?usp=sharing"",""สุราษฎร์ธานี!J676"")"),0)</f>
        <v>0</v>
      </c>
      <c r="AV88" s="191">
        <f ca="1">IFERROR(__xludf.DUMMYFUNCTION("IMPORTRANGE(""https://docs.google.com/spreadsheets/d/18T20gbkS_WBjdscyTOV05cvq_JqvqQ17C81mpxf7Ncs/edit?usp=sharing"",""สุราษฎร์ธานี!J677"")"),0)</f>
        <v>0</v>
      </c>
      <c r="AW88" s="191">
        <f ca="1">IFERROR(__xludf.DUMMYFUNCTION("IMPORTRANGE(""https://docs.google.com/spreadsheets/d/18T20gbkS_WBjdscyTOV05cvq_JqvqQ17C81mpxf7Ncs/edit?usp=sharing"",""สุราษฎร์ธานี!J678"")"),0)</f>
        <v>0</v>
      </c>
      <c r="AX88" s="191">
        <f ca="1">IFERROR(__xludf.DUMMYFUNCTION("IMPORTRANGE(""https://docs.google.com/spreadsheets/d/18T20gbkS_WBjdscyTOV05cvq_JqvqQ17C81mpxf7Ncs/edit?usp=sharing"",""สุราษฎร์ธานี!I679"")"),0)</f>
        <v>0</v>
      </c>
      <c r="AY88" s="191">
        <f ca="1">IFERROR(__xludf.DUMMYFUNCTION("IMPORTRANGE(""https://docs.google.com/spreadsheets/d/18T20gbkS_WBjdscyTOV05cvq_JqvqQ17C81mpxf7Ncs/edit?usp=sharing"",""สุราษฎร์ธานี!I681"")"),0)</f>
        <v>0</v>
      </c>
      <c r="AZ88" s="191">
        <f ca="1">IFERROR(__xludf.DUMMYFUNCTION("IMPORTRANGE(""https://docs.google.com/spreadsheets/d/18T20gbkS_WBjdscyTOV05cvq_JqvqQ17C81mpxf7Ncs/edit?usp=sharing"",""สุราษฎร์ธานี!J679"")"),0)</f>
        <v>0</v>
      </c>
      <c r="BA88" s="191">
        <f ca="1">IFERROR(__xludf.DUMMYFUNCTION("IMPORTRANGE(""https://docs.google.com/spreadsheets/d/18T20gbkS_WBjdscyTOV05cvq_JqvqQ17C81mpxf7Ncs/edit?usp=sharing"",""สุราษฎร์ธานี!J680"")"),0)</f>
        <v>0</v>
      </c>
      <c r="BB88" s="191">
        <f ca="1">IFERROR(__xludf.DUMMYFUNCTION("IMPORTRANGE(""https://docs.google.com/spreadsheets/d/18T20gbkS_WBjdscyTOV05cvq_JqvqQ17C81mpxf7Ncs/edit?usp=sharing"",""สุราษฎร์ธานี!J681"")"),0)</f>
        <v>0</v>
      </c>
      <c r="BC88" s="191">
        <f ca="1">IFERROR(__xludf.DUMMYFUNCTION("IMPORTRANGE(""https://docs.google.com/spreadsheets/d/18T20gbkS_WBjdscyTOV05cvq_JqvqQ17C81mpxf7Ncs/edit?usp=sharing"",""สุราษฎร์ธานี!I682"")"),0)</f>
        <v>0</v>
      </c>
      <c r="BD88" s="191">
        <f ca="1">IFERROR(__xludf.DUMMYFUNCTION("IMPORTRANGE(""https://docs.google.com/spreadsheets/d/18T20gbkS_WBjdscyTOV05cvq_JqvqQ17C81mpxf7Ncs/edit?usp=sharing"",""สุราษฎร์ธานี!J682"")"),0)</f>
        <v>0</v>
      </c>
      <c r="BE88" s="218">
        <f t="shared" ca="1" si="46"/>
        <v>0</v>
      </c>
      <c r="BF88" s="191">
        <f ca="1">IFERROR(__xludf.DUMMYFUNCTION("IMPORTRANGE(""https://docs.google.com/spreadsheets/d/18T20gbkS_WBjdscyTOV05cvq_JqvqQ17C81mpxf7Ncs/edit?usp=sharing"",""สุราษฎร์ธานี!J683"")"),0)</f>
        <v>0</v>
      </c>
      <c r="BG88" s="191">
        <f ca="1">IFERROR(__xludf.DUMMYFUNCTION("IMPORTRANGE(""https://docs.google.com/spreadsheets/d/18T20gbkS_WBjdscyTOV05cvq_JqvqQ17C81mpxf7Ncs/edit?usp=sharing"",""สุราษฎร์ธานี!J684"")"),0)</f>
        <v>0</v>
      </c>
      <c r="BH88" s="191">
        <f ca="1">IFERROR(__xludf.DUMMYFUNCTION("IMPORTRANGE(""https://docs.google.com/spreadsheets/d/18T20gbkS_WBjdscyTOV05cvq_JqvqQ17C81mpxf7Ncs/edit?usp=sharing"",""สุราษฎร์ธานี!J685"")"),0)</f>
        <v>0</v>
      </c>
      <c r="BI88" s="191">
        <f ca="1">IFERROR(__xludf.DUMMYFUNCTION("IMPORTRANGE(""https://docs.google.com/spreadsheets/d/18T20gbkS_WBjdscyTOV05cvq_JqvqQ17C81mpxf7Ncs/edit?usp=sharing"",""สุราษฎร์ธานี!J686"")"),0)</f>
        <v>0</v>
      </c>
      <c r="BJ88" s="191">
        <f ca="1">IFERROR(__xludf.DUMMYFUNCTION("IMPORTRANGE(""https://docs.google.com/spreadsheets/d/18T20gbkS_WBjdscyTOV05cvq_JqvqQ17C81mpxf7Ncs/edit?usp=sharing"",""สุราษฎร์ธานี!J687"")"),0)</f>
        <v>0</v>
      </c>
      <c r="BK88" s="191">
        <f ca="1">IFERROR(__xludf.DUMMYFUNCTION("IMPORTRANGE(""https://docs.google.com/spreadsheets/d/18T20gbkS_WBjdscyTOV05cvq_JqvqQ17C81mpxf7Ncs/edit?usp=sharing"",""สุราษฎร์ธานี!J688"")"),0)</f>
        <v>0</v>
      </c>
    </row>
    <row r="89" spans="1:63" ht="19.5" x14ac:dyDescent="0.3">
      <c r="A89" s="698" t="s">
        <v>117</v>
      </c>
      <c r="B89" s="662"/>
      <c r="C89" s="39">
        <f t="shared" ref="C89:E89" ca="1" si="75">SUM(C90:C106)</f>
        <v>96770</v>
      </c>
      <c r="D89" s="39">
        <f t="shared" ca="1" si="75"/>
        <v>96770</v>
      </c>
      <c r="E89" s="39">
        <f t="shared" ca="1" si="75"/>
        <v>30500</v>
      </c>
      <c r="F89" s="39">
        <f t="shared" ca="1" si="30"/>
        <v>31.518032448072749</v>
      </c>
      <c r="G89" s="39">
        <f t="shared" ca="1" si="31"/>
        <v>31.518032448072749</v>
      </c>
      <c r="H89" s="39"/>
      <c r="I89" s="39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</row>
    <row r="90" spans="1:63" ht="19.5" x14ac:dyDescent="0.25">
      <c r="A90" s="102"/>
      <c r="B90" s="103" t="s">
        <v>118</v>
      </c>
      <c r="C90" s="66">
        <v>0</v>
      </c>
      <c r="D90" s="66">
        <v>0</v>
      </c>
      <c r="E90" s="66">
        <v>0</v>
      </c>
      <c r="F90" s="65">
        <f t="shared" si="30"/>
        <v>0</v>
      </c>
      <c r="G90" s="65">
        <f t="shared" si="31"/>
        <v>0</v>
      </c>
      <c r="H90" s="62"/>
      <c r="I90" s="62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</row>
    <row r="91" spans="1:63" ht="19.5" x14ac:dyDescent="0.25">
      <c r="A91" s="105"/>
      <c r="B91" s="106" t="s">
        <v>119</v>
      </c>
      <c r="C91" s="77">
        <v>0</v>
      </c>
      <c r="D91" s="77">
        <v>0</v>
      </c>
      <c r="E91" s="77">
        <v>0</v>
      </c>
      <c r="F91" s="76">
        <f t="shared" si="30"/>
        <v>0</v>
      </c>
      <c r="G91" s="76">
        <f t="shared" si="31"/>
        <v>0</v>
      </c>
      <c r="H91" s="74"/>
      <c r="I91" s="74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</row>
    <row r="92" spans="1:63" ht="19.5" x14ac:dyDescent="0.25">
      <c r="A92" s="105"/>
      <c r="B92" s="106" t="s">
        <v>120</v>
      </c>
      <c r="C92" s="77">
        <v>0</v>
      </c>
      <c r="D92" s="77">
        <v>0</v>
      </c>
      <c r="E92" s="77">
        <v>0</v>
      </c>
      <c r="F92" s="76">
        <f t="shared" si="30"/>
        <v>0</v>
      </c>
      <c r="G92" s="76">
        <f t="shared" si="31"/>
        <v>0</v>
      </c>
      <c r="H92" s="74"/>
      <c r="I92" s="74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</row>
    <row r="93" spans="1:63" ht="19.5" x14ac:dyDescent="0.25">
      <c r="A93" s="105"/>
      <c r="B93" s="106" t="s">
        <v>121</v>
      </c>
      <c r="C93" s="77">
        <v>0</v>
      </c>
      <c r="D93" s="77">
        <v>0</v>
      </c>
      <c r="E93" s="77">
        <v>0</v>
      </c>
      <c r="F93" s="76">
        <f t="shared" si="30"/>
        <v>0</v>
      </c>
      <c r="G93" s="76">
        <f t="shared" si="31"/>
        <v>0</v>
      </c>
      <c r="H93" s="74"/>
      <c r="I93" s="74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</row>
    <row r="94" spans="1:63" ht="19.5" x14ac:dyDescent="0.25">
      <c r="A94" s="105"/>
      <c r="B94" s="106" t="s">
        <v>122</v>
      </c>
      <c r="C94" s="77">
        <v>0</v>
      </c>
      <c r="D94" s="77">
        <v>0</v>
      </c>
      <c r="E94" s="77">
        <v>0</v>
      </c>
      <c r="F94" s="76">
        <f t="shared" si="30"/>
        <v>0</v>
      </c>
      <c r="G94" s="76">
        <f t="shared" si="31"/>
        <v>0</v>
      </c>
      <c r="H94" s="74"/>
      <c r="I94" s="74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</row>
    <row r="95" spans="1:63" ht="19.5" x14ac:dyDescent="0.25">
      <c r="A95" s="105"/>
      <c r="B95" s="106" t="s">
        <v>123</v>
      </c>
      <c r="C95" s="77">
        <v>0</v>
      </c>
      <c r="D95" s="77">
        <v>0</v>
      </c>
      <c r="E95" s="77">
        <v>0</v>
      </c>
      <c r="F95" s="76">
        <f t="shared" si="30"/>
        <v>0</v>
      </c>
      <c r="G95" s="76">
        <f t="shared" si="31"/>
        <v>0</v>
      </c>
      <c r="H95" s="74"/>
      <c r="I95" s="74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</row>
    <row r="96" spans="1:63" ht="19.5" x14ac:dyDescent="0.25">
      <c r="A96" s="105"/>
      <c r="B96" s="106" t="s">
        <v>124</v>
      </c>
      <c r="C96" s="77">
        <f ca="1">IFERROR(__xludf.DUMMYFUNCTION("IMPORTRANGE(""https://docs.google.com/spreadsheets/d/1ItG2mGa2ceCfYo0BwxsXqNm01IGEUdYcSSLTEv9YCik/edit?usp=sharing"",""เบิกจ่ายกองทุน!I91"")"),96770)</f>
        <v>96770</v>
      </c>
      <c r="D96" s="77">
        <f ca="1">IFERROR(__xludf.DUMMYFUNCTION("IMPORTRANGE(""https://docs.google.com/spreadsheets/d/1ItG2mGa2ceCfYo0BwxsXqNm01IGEUdYcSSLTEv9YCik/edit?usp=sharing"",""เบิกจ่ายกองทุน!J91"")"),96770)</f>
        <v>96770</v>
      </c>
      <c r="E96" s="77">
        <f ca="1">IFERROR(__xludf.DUMMYFUNCTION("IMPORTRANGE(""https://docs.google.com/spreadsheets/d/1ItG2mGa2ceCfYo0BwxsXqNm01IGEUdYcSSLTEv9YCik/edit?usp=sharing"",""เบิกจ่ายกองทุน!K91"")"),30500)</f>
        <v>30500</v>
      </c>
      <c r="F96" s="76">
        <f t="shared" ca="1" si="30"/>
        <v>31.518032448072749</v>
      </c>
      <c r="G96" s="76">
        <f t="shared" ca="1" si="31"/>
        <v>31.518032448072749</v>
      </c>
      <c r="H96" s="74"/>
      <c r="I96" s="74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</row>
    <row r="97" spans="1:63" ht="19.5" x14ac:dyDescent="0.25">
      <c r="A97" s="105"/>
      <c r="B97" s="106" t="s">
        <v>125</v>
      </c>
      <c r="C97" s="77">
        <v>0</v>
      </c>
      <c r="D97" s="77">
        <v>0</v>
      </c>
      <c r="E97" s="77">
        <v>0</v>
      </c>
      <c r="F97" s="76">
        <f t="shared" si="30"/>
        <v>0</v>
      </c>
      <c r="G97" s="76">
        <f t="shared" si="31"/>
        <v>0</v>
      </c>
      <c r="H97" s="74"/>
      <c r="I97" s="74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</row>
    <row r="98" spans="1:63" ht="19.5" x14ac:dyDescent="0.25">
      <c r="A98" s="105"/>
      <c r="B98" s="106" t="s">
        <v>126</v>
      </c>
      <c r="C98" s="77">
        <v>0</v>
      </c>
      <c r="D98" s="77">
        <v>0</v>
      </c>
      <c r="E98" s="77">
        <v>0</v>
      </c>
      <c r="F98" s="76">
        <f t="shared" si="30"/>
        <v>0</v>
      </c>
      <c r="G98" s="76">
        <f t="shared" si="31"/>
        <v>0</v>
      </c>
      <c r="H98" s="74"/>
      <c r="I98" s="74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</row>
    <row r="99" spans="1:63" ht="19.5" x14ac:dyDescent="0.25">
      <c r="A99" s="105"/>
      <c r="B99" s="106" t="s">
        <v>127</v>
      </c>
      <c r="C99" s="77">
        <v>0</v>
      </c>
      <c r="D99" s="77">
        <v>0</v>
      </c>
      <c r="E99" s="77">
        <v>0</v>
      </c>
      <c r="F99" s="76">
        <f t="shared" si="30"/>
        <v>0</v>
      </c>
      <c r="G99" s="76">
        <f t="shared" si="31"/>
        <v>0</v>
      </c>
      <c r="H99" s="74"/>
      <c r="I99" s="74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</row>
    <row r="100" spans="1:63" ht="19.5" x14ac:dyDescent="0.25">
      <c r="A100" s="105"/>
      <c r="B100" s="106" t="s">
        <v>128</v>
      </c>
      <c r="C100" s="77">
        <v>0</v>
      </c>
      <c r="D100" s="77">
        <v>0</v>
      </c>
      <c r="E100" s="77">
        <v>0</v>
      </c>
      <c r="F100" s="76">
        <f t="shared" si="30"/>
        <v>0</v>
      </c>
      <c r="G100" s="76">
        <f t="shared" si="31"/>
        <v>0</v>
      </c>
      <c r="H100" s="74"/>
      <c r="I100" s="74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</row>
    <row r="101" spans="1:63" ht="19.5" x14ac:dyDescent="0.25">
      <c r="A101" s="105"/>
      <c r="B101" s="106" t="s">
        <v>129</v>
      </c>
      <c r="C101" s="77">
        <v>0</v>
      </c>
      <c r="D101" s="77">
        <v>0</v>
      </c>
      <c r="E101" s="77">
        <v>0</v>
      </c>
      <c r="F101" s="76">
        <f t="shared" si="30"/>
        <v>0</v>
      </c>
      <c r="G101" s="76">
        <f t="shared" si="31"/>
        <v>0</v>
      </c>
      <c r="H101" s="74"/>
      <c r="I101" s="74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</row>
    <row r="102" spans="1:63" ht="19.5" x14ac:dyDescent="0.25">
      <c r="A102" s="105"/>
      <c r="B102" s="106" t="s">
        <v>130</v>
      </c>
      <c r="C102" s="77">
        <v>0</v>
      </c>
      <c r="D102" s="77">
        <v>0</v>
      </c>
      <c r="E102" s="77">
        <v>0</v>
      </c>
      <c r="F102" s="76">
        <f t="shared" si="30"/>
        <v>0</v>
      </c>
      <c r="G102" s="76">
        <f t="shared" si="31"/>
        <v>0</v>
      </c>
      <c r="H102" s="74"/>
      <c r="I102" s="74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</row>
    <row r="103" spans="1:63" ht="19.5" x14ac:dyDescent="0.25">
      <c r="A103" s="105"/>
      <c r="B103" s="106" t="s">
        <v>131</v>
      </c>
      <c r="C103" s="107">
        <v>0</v>
      </c>
      <c r="D103" s="107">
        <v>0</v>
      </c>
      <c r="E103" s="107">
        <v>0</v>
      </c>
      <c r="F103" s="108">
        <f t="shared" si="30"/>
        <v>0</v>
      </c>
      <c r="G103" s="108">
        <f t="shared" si="31"/>
        <v>0</v>
      </c>
      <c r="H103" s="203"/>
      <c r="I103" s="203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</row>
    <row r="104" spans="1:63" ht="19.5" x14ac:dyDescent="0.25">
      <c r="A104" s="105"/>
      <c r="B104" s="106" t="s">
        <v>132</v>
      </c>
      <c r="C104" s="77">
        <v>0</v>
      </c>
      <c r="D104" s="77">
        <v>0</v>
      </c>
      <c r="E104" s="77">
        <v>0</v>
      </c>
      <c r="F104" s="76">
        <f t="shared" si="30"/>
        <v>0</v>
      </c>
      <c r="G104" s="76">
        <f t="shared" si="31"/>
        <v>0</v>
      </c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</row>
    <row r="105" spans="1:63" ht="19.5" x14ac:dyDescent="0.25">
      <c r="A105" s="105"/>
      <c r="B105" s="109" t="s">
        <v>133</v>
      </c>
      <c r="C105" s="110">
        <v>0</v>
      </c>
      <c r="D105" s="110">
        <v>0</v>
      </c>
      <c r="E105" s="110">
        <v>0</v>
      </c>
      <c r="F105" s="111">
        <f t="shared" si="30"/>
        <v>0</v>
      </c>
      <c r="G105" s="111">
        <f t="shared" si="31"/>
        <v>0</v>
      </c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</row>
    <row r="106" spans="1:63" ht="19.5" x14ac:dyDescent="0.25">
      <c r="A106" s="105"/>
      <c r="B106" s="109" t="s">
        <v>134</v>
      </c>
      <c r="C106" s="77">
        <v>0</v>
      </c>
      <c r="D106" s="77">
        <v>0</v>
      </c>
      <c r="E106" s="77">
        <v>0</v>
      </c>
      <c r="F106" s="76">
        <f t="shared" si="30"/>
        <v>0</v>
      </c>
      <c r="G106" s="76">
        <f t="shared" si="31"/>
        <v>0</v>
      </c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</row>
    <row r="107" spans="1:63" ht="19.5" x14ac:dyDescent="0.25">
      <c r="A107" s="105"/>
      <c r="B107" s="109" t="s">
        <v>26</v>
      </c>
      <c r="C107" s="77"/>
      <c r="D107" s="77"/>
      <c r="E107" s="77"/>
      <c r="F107" s="76"/>
      <c r="G107" s="76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  <c r="BG107" s="74"/>
      <c r="BH107" s="74"/>
      <c r="BI107" s="74"/>
      <c r="BJ107" s="74"/>
      <c r="BK107" s="74"/>
    </row>
    <row r="108" spans="1:63" ht="19.5" x14ac:dyDescent="0.25">
      <c r="A108" s="112"/>
      <c r="B108" s="113" t="s">
        <v>135</v>
      </c>
      <c r="C108" s="87"/>
      <c r="D108" s="87"/>
      <c r="E108" s="87"/>
      <c r="F108" s="86"/>
      <c r="G108" s="86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84"/>
      <c r="BD108" s="84"/>
      <c r="BE108" s="84"/>
      <c r="BF108" s="84"/>
      <c r="BG108" s="84"/>
      <c r="BH108" s="84"/>
      <c r="BI108" s="84"/>
      <c r="BJ108" s="84"/>
      <c r="BK108" s="84"/>
    </row>
  </sheetData>
  <mergeCells count="54">
    <mergeCell ref="AO5:AR5"/>
    <mergeCell ref="Z5:AA5"/>
    <mergeCell ref="AB5:AD5"/>
    <mergeCell ref="AE5:AG5"/>
    <mergeCell ref="AI5:AL5"/>
    <mergeCell ref="AM5:AN5"/>
    <mergeCell ref="A89:B89"/>
    <mergeCell ref="A2:B6"/>
    <mergeCell ref="C2:J2"/>
    <mergeCell ref="K2:BK2"/>
    <mergeCell ref="C3:G3"/>
    <mergeCell ref="H3:J4"/>
    <mergeCell ref="N3:V3"/>
    <mergeCell ref="G4:G6"/>
    <mergeCell ref="BF4:BH4"/>
    <mergeCell ref="BI4:BK4"/>
    <mergeCell ref="I5:J5"/>
    <mergeCell ref="L5:M5"/>
    <mergeCell ref="O5:P5"/>
    <mergeCell ref="Q5:S5"/>
    <mergeCell ref="T5:V5"/>
    <mergeCell ref="X5:Y5"/>
    <mergeCell ref="A7:B7"/>
    <mergeCell ref="A13:B13"/>
    <mergeCell ref="A31:B31"/>
    <mergeCell ref="A52:B52"/>
    <mergeCell ref="A74:B74"/>
    <mergeCell ref="W3:AG3"/>
    <mergeCell ref="AH3:AL4"/>
    <mergeCell ref="W4:Y4"/>
    <mergeCell ref="Z4:AA4"/>
    <mergeCell ref="AB4:AD4"/>
    <mergeCell ref="AE4:AG4"/>
    <mergeCell ref="AS5:AT5"/>
    <mergeCell ref="AU5:AW5"/>
    <mergeCell ref="AX5:AY5"/>
    <mergeCell ref="AZ5:BB5"/>
    <mergeCell ref="BD5:BE5"/>
    <mergeCell ref="AM3:BB3"/>
    <mergeCell ref="BC3:BK3"/>
    <mergeCell ref="C4:C6"/>
    <mergeCell ref="D4:D6"/>
    <mergeCell ref="E4:E6"/>
    <mergeCell ref="F4:F6"/>
    <mergeCell ref="K3:M4"/>
    <mergeCell ref="N4:P4"/>
    <mergeCell ref="Q4:S4"/>
    <mergeCell ref="T4:V4"/>
    <mergeCell ref="AX4:BB4"/>
    <mergeCell ref="BC4:BE4"/>
    <mergeCell ref="BF5:BH5"/>
    <mergeCell ref="BI5:BK5"/>
    <mergeCell ref="AM4:AR4"/>
    <mergeCell ref="AS4:AW4"/>
  </mergeCells>
  <conditionalFormatting sqref="F14:F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J14:J30 M14:M30 P14:P30 Y14:Y30 AL14:AL30 AP14:AP30 BE14:BE30 J32:J51 M32:M51 P32:P51 Y32:Y51 AL32:AL51 AP32:AP51 BE32:BE51 J53:J73 M53:M73 P53:P73 Y53:Y73 AL53:AL73 AP53:AP73 BE53:BE73 J75:J88 M75:M88 P75:P88 Y75:Y88 AL75:AL88 AP75:AP88 BE75:BE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AD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19.140625" customWidth="1"/>
    <col min="13" max="14" width="14.85546875" customWidth="1"/>
    <col min="17" max="22" width="14.85546875" customWidth="1"/>
    <col min="25" max="30" width="14.85546875" customWidth="1"/>
  </cols>
  <sheetData>
    <row r="1" spans="1:30" ht="19.5" x14ac:dyDescent="0.3">
      <c r="A1" s="1" t="s">
        <v>0</v>
      </c>
      <c r="B1" s="2"/>
      <c r="C1" s="5"/>
      <c r="D1" s="5"/>
      <c r="E1" s="5"/>
      <c r="F1" s="5"/>
      <c r="G1" s="5"/>
      <c r="H1" s="2"/>
      <c r="I1" s="2"/>
      <c r="J1" s="4"/>
      <c r="K1" s="2"/>
      <c r="L1" s="2"/>
      <c r="M1" s="4"/>
      <c r="N1" s="4"/>
      <c r="O1" s="2"/>
      <c r="P1" s="2"/>
      <c r="Q1" s="4"/>
      <c r="R1" s="4"/>
      <c r="S1" s="339"/>
      <c r="T1" s="339"/>
      <c r="U1" s="339"/>
      <c r="V1" s="339"/>
      <c r="W1" s="2"/>
      <c r="X1" s="2"/>
      <c r="Y1" s="4"/>
      <c r="Z1" s="4"/>
      <c r="AA1" s="339"/>
      <c r="AB1" s="339"/>
      <c r="AC1" s="339"/>
      <c r="AD1" s="339"/>
    </row>
    <row r="2" spans="1:30" ht="30" customHeight="1" x14ac:dyDescent="0.2">
      <c r="A2" s="657" t="s">
        <v>1</v>
      </c>
      <c r="B2" s="658"/>
      <c r="C2" s="669" t="s">
        <v>347</v>
      </c>
      <c r="D2" s="646"/>
      <c r="E2" s="646"/>
      <c r="F2" s="646"/>
      <c r="G2" s="647"/>
      <c r="H2" s="669" t="s">
        <v>348</v>
      </c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7"/>
    </row>
    <row r="3" spans="1:30" ht="30" customHeight="1" x14ac:dyDescent="0.2">
      <c r="A3" s="659"/>
      <c r="B3" s="660"/>
      <c r="C3" s="645" t="s">
        <v>5</v>
      </c>
      <c r="D3" s="646"/>
      <c r="E3" s="646"/>
      <c r="F3" s="646"/>
      <c r="G3" s="647"/>
      <c r="H3" s="832" t="s">
        <v>349</v>
      </c>
      <c r="I3" s="674"/>
      <c r="J3" s="658"/>
      <c r="K3" s="838" t="s">
        <v>350</v>
      </c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7"/>
      <c r="W3" s="840" t="s">
        <v>351</v>
      </c>
      <c r="X3" s="674"/>
      <c r="Y3" s="674"/>
      <c r="Z3" s="658"/>
      <c r="AA3" s="840" t="s">
        <v>352</v>
      </c>
      <c r="AB3" s="674"/>
      <c r="AC3" s="674"/>
      <c r="AD3" s="658"/>
    </row>
    <row r="4" spans="1:30" ht="30" customHeight="1" x14ac:dyDescent="0.2">
      <c r="A4" s="659"/>
      <c r="B4" s="660"/>
      <c r="C4" s="648" t="s">
        <v>11</v>
      </c>
      <c r="D4" s="651" t="s">
        <v>12</v>
      </c>
      <c r="E4" s="652" t="s">
        <v>13</v>
      </c>
      <c r="F4" s="652" t="s">
        <v>14</v>
      </c>
      <c r="G4" s="652" t="s">
        <v>15</v>
      </c>
      <c r="H4" s="661"/>
      <c r="I4" s="675"/>
      <c r="J4" s="662"/>
      <c r="K4" s="838" t="s">
        <v>190</v>
      </c>
      <c r="L4" s="646"/>
      <c r="M4" s="646"/>
      <c r="N4" s="647"/>
      <c r="O4" s="804" t="s">
        <v>353</v>
      </c>
      <c r="P4" s="646"/>
      <c r="Q4" s="646"/>
      <c r="R4" s="647"/>
      <c r="S4" s="804" t="s">
        <v>354</v>
      </c>
      <c r="T4" s="646"/>
      <c r="U4" s="646"/>
      <c r="V4" s="647"/>
      <c r="W4" s="661"/>
      <c r="X4" s="675"/>
      <c r="Y4" s="675"/>
      <c r="Z4" s="662"/>
      <c r="AA4" s="661"/>
      <c r="AB4" s="675"/>
      <c r="AC4" s="675"/>
      <c r="AD4" s="662"/>
    </row>
    <row r="5" spans="1:30" ht="30" customHeight="1" x14ac:dyDescent="0.2">
      <c r="A5" s="659"/>
      <c r="B5" s="660"/>
      <c r="C5" s="649"/>
      <c r="D5" s="649"/>
      <c r="E5" s="649"/>
      <c r="F5" s="649"/>
      <c r="G5" s="649"/>
      <c r="H5" s="342" t="s">
        <v>28</v>
      </c>
      <c r="I5" s="713" t="s">
        <v>29</v>
      </c>
      <c r="J5" s="647"/>
      <c r="K5" s="618" t="s">
        <v>28</v>
      </c>
      <c r="L5" s="718" t="s">
        <v>29</v>
      </c>
      <c r="M5" s="646"/>
      <c r="N5" s="647"/>
      <c r="O5" s="517" t="s">
        <v>28</v>
      </c>
      <c r="P5" s="718" t="s">
        <v>29</v>
      </c>
      <c r="Q5" s="646"/>
      <c r="R5" s="647"/>
      <c r="S5" s="517" t="s">
        <v>28</v>
      </c>
      <c r="T5" s="718" t="s">
        <v>29</v>
      </c>
      <c r="U5" s="646"/>
      <c r="V5" s="647"/>
      <c r="W5" s="619" t="s">
        <v>28</v>
      </c>
      <c r="X5" s="839" t="s">
        <v>29</v>
      </c>
      <c r="Y5" s="646"/>
      <c r="Z5" s="647"/>
      <c r="AA5" s="619" t="s">
        <v>28</v>
      </c>
      <c r="AB5" s="839" t="s">
        <v>29</v>
      </c>
      <c r="AC5" s="646"/>
      <c r="AD5" s="647"/>
    </row>
    <row r="6" spans="1:30" ht="30" customHeight="1" x14ac:dyDescent="0.2">
      <c r="A6" s="661"/>
      <c r="B6" s="662"/>
      <c r="C6" s="650"/>
      <c r="D6" s="650"/>
      <c r="E6" s="650"/>
      <c r="F6" s="650"/>
      <c r="G6" s="650"/>
      <c r="H6" s="342" t="s">
        <v>355</v>
      </c>
      <c r="I6" s="342" t="s">
        <v>355</v>
      </c>
      <c r="J6" s="210" t="s">
        <v>31</v>
      </c>
      <c r="K6" s="618" t="s">
        <v>35</v>
      </c>
      <c r="L6" s="237" t="s">
        <v>35</v>
      </c>
      <c r="M6" s="237" t="s">
        <v>140</v>
      </c>
      <c r="N6" s="238" t="s">
        <v>356</v>
      </c>
      <c r="O6" s="517" t="s">
        <v>35</v>
      </c>
      <c r="P6" s="237" t="s">
        <v>35</v>
      </c>
      <c r="Q6" s="237" t="s">
        <v>140</v>
      </c>
      <c r="R6" s="238" t="s">
        <v>356</v>
      </c>
      <c r="S6" s="517" t="s">
        <v>35</v>
      </c>
      <c r="T6" s="237" t="s">
        <v>35</v>
      </c>
      <c r="U6" s="237" t="s">
        <v>140</v>
      </c>
      <c r="V6" s="238" t="s">
        <v>356</v>
      </c>
      <c r="W6" s="619" t="s">
        <v>35</v>
      </c>
      <c r="X6" s="620" t="s">
        <v>35</v>
      </c>
      <c r="Y6" s="620" t="s">
        <v>140</v>
      </c>
      <c r="Z6" s="621" t="s">
        <v>356</v>
      </c>
      <c r="AA6" s="619" t="s">
        <v>35</v>
      </c>
      <c r="AB6" s="620" t="s">
        <v>35</v>
      </c>
      <c r="AC6" s="620" t="s">
        <v>140</v>
      </c>
      <c r="AD6" s="621" t="s">
        <v>356</v>
      </c>
    </row>
    <row r="7" spans="1:30" ht="19.5" x14ac:dyDescent="0.3">
      <c r="A7" s="663" t="s">
        <v>38</v>
      </c>
      <c r="B7" s="647"/>
      <c r="C7" s="27">
        <f t="shared" ref="C7:E7" ca="1" si="0">C8+C9</f>
        <v>15416500</v>
      </c>
      <c r="D7" s="27">
        <f t="shared" ca="1" si="0"/>
        <v>15204374.83</v>
      </c>
      <c r="E7" s="27">
        <f t="shared" ca="1" si="0"/>
        <v>8678494.620000001</v>
      </c>
      <c r="F7" s="27">
        <f t="shared" ref="F7:F9" ca="1" si="1">IF(C7&gt;0,E7*100/C7,0)</f>
        <v>56.293546654558433</v>
      </c>
      <c r="G7" s="27">
        <f t="shared" ref="G7:G9" ca="1" si="2">IF(D7&gt;0,E7*100/D7,0)</f>
        <v>57.078931011857996</v>
      </c>
      <c r="H7" s="353">
        <f t="shared" ref="H7:I7" ca="1" si="3">H8</f>
        <v>21</v>
      </c>
      <c r="I7" s="212">
        <f t="shared" ca="1" si="3"/>
        <v>5</v>
      </c>
      <c r="J7" s="213">
        <f t="shared" ref="J7:J8" ca="1" si="4">IF(H7&gt;0,I7*100/H7,0)</f>
        <v>23.80952380952381</v>
      </c>
      <c r="K7" s="622">
        <f t="shared" ref="K7:M7" ca="1" si="5">K8</f>
        <v>7226</v>
      </c>
      <c r="L7" s="243">
        <f t="shared" ca="1" si="5"/>
        <v>4168</v>
      </c>
      <c r="M7" s="243">
        <f t="shared" ca="1" si="5"/>
        <v>2499.2199999999998</v>
      </c>
      <c r="N7" s="244">
        <f t="shared" ref="N7:N8" ca="1" si="6">IF(K7&gt;0,L7*100/K7,0)</f>
        <v>57.680597841129256</v>
      </c>
      <c r="O7" s="536">
        <f t="shared" ref="O7:Q7" ca="1" si="7">O8</f>
        <v>6976</v>
      </c>
      <c r="P7" s="243">
        <f t="shared" ca="1" si="7"/>
        <v>4168</v>
      </c>
      <c r="Q7" s="243">
        <f t="shared" ca="1" si="7"/>
        <v>2519.1599999999994</v>
      </c>
      <c r="R7" s="244">
        <f t="shared" ref="R7:R8" ca="1" si="8">IF(O7&gt;0,P7*100/O7,0)</f>
        <v>59.747706422018346</v>
      </c>
      <c r="S7" s="623">
        <f t="shared" ref="S7:U7" ca="1" si="9">S8</f>
        <v>250</v>
      </c>
      <c r="T7" s="624">
        <f t="shared" ca="1" si="9"/>
        <v>41.06</v>
      </c>
      <c r="U7" s="624">
        <f t="shared" ca="1" si="9"/>
        <v>61</v>
      </c>
      <c r="V7" s="625">
        <f t="shared" ref="V7:V8" ca="1" si="10">IF(S7&gt;0,T7*100/S7,0)</f>
        <v>16.423999999999999</v>
      </c>
      <c r="W7" s="626">
        <f t="shared" ref="W7:Y7" ca="1" si="11">W8</f>
        <v>6976</v>
      </c>
      <c r="X7" s="627">
        <f t="shared" ca="1" si="11"/>
        <v>1054</v>
      </c>
      <c r="Y7" s="627">
        <f t="shared" ca="1" si="11"/>
        <v>677.21</v>
      </c>
      <c r="Z7" s="628">
        <f t="shared" ref="Z7:Z8" ca="1" si="12">IF(W7&gt;0,X7*100/W7,0)</f>
        <v>15.10894495412844</v>
      </c>
      <c r="AA7" s="629">
        <f t="shared" ref="AA7:AC7" ca="1" si="13">AA8</f>
        <v>250</v>
      </c>
      <c r="AB7" s="630">
        <f t="shared" ca="1" si="13"/>
        <v>256</v>
      </c>
      <c r="AC7" s="630">
        <f t="shared" ca="1" si="13"/>
        <v>0</v>
      </c>
      <c r="AD7" s="631">
        <f t="shared" ref="AD7:AD8" ca="1" si="14">IF(AA7&gt;0,AB7*100/AA7,0)</f>
        <v>102.4</v>
      </c>
    </row>
    <row r="8" spans="1:30" ht="19.5" x14ac:dyDescent="0.3">
      <c r="A8" s="31" t="s">
        <v>39</v>
      </c>
      <c r="B8" s="31"/>
      <c r="C8" s="37">
        <f t="shared" ref="C8:E8" ca="1" si="15">+C13+C31+C52+C74</f>
        <v>13846390</v>
      </c>
      <c r="D8" s="37">
        <f t="shared" ca="1" si="15"/>
        <v>13664264.83</v>
      </c>
      <c r="E8" s="37">
        <f t="shared" ca="1" si="15"/>
        <v>7967471.0600000005</v>
      </c>
      <c r="F8" s="37">
        <f t="shared" ca="1" si="1"/>
        <v>57.541865135966844</v>
      </c>
      <c r="G8" s="37">
        <f t="shared" ca="1" si="2"/>
        <v>58.308816164828386</v>
      </c>
      <c r="H8" s="136">
        <f t="shared" ref="H8:I8" ca="1" si="16">+H13+H31+H52+H74</f>
        <v>21</v>
      </c>
      <c r="I8" s="276">
        <f t="shared" ca="1" si="16"/>
        <v>5</v>
      </c>
      <c r="J8" s="37">
        <f t="shared" ca="1" si="4"/>
        <v>23.80952380952381</v>
      </c>
      <c r="K8" s="136">
        <f t="shared" ref="K8:M8" ca="1" si="17">+K13+K31+K52+K74</f>
        <v>7226</v>
      </c>
      <c r="L8" s="276">
        <f t="shared" ca="1" si="17"/>
        <v>4168</v>
      </c>
      <c r="M8" s="276">
        <f t="shared" ca="1" si="17"/>
        <v>2499.2199999999998</v>
      </c>
      <c r="N8" s="37">
        <f t="shared" ca="1" si="6"/>
        <v>57.680597841129256</v>
      </c>
      <c r="O8" s="136">
        <f t="shared" ref="O8:Q8" ca="1" si="18">+O13+O31+O52+O74</f>
        <v>6976</v>
      </c>
      <c r="P8" s="276">
        <f t="shared" ca="1" si="18"/>
        <v>4168</v>
      </c>
      <c r="Q8" s="276">
        <f t="shared" ca="1" si="18"/>
        <v>2519.1599999999994</v>
      </c>
      <c r="R8" s="37">
        <f t="shared" ca="1" si="8"/>
        <v>59.747706422018346</v>
      </c>
      <c r="S8" s="464">
        <f t="shared" ref="S8:U8" ca="1" si="19">+S13+S31+S52+S74</f>
        <v>250</v>
      </c>
      <c r="T8" s="464">
        <f t="shared" ca="1" si="19"/>
        <v>41.06</v>
      </c>
      <c r="U8" s="464">
        <f t="shared" ca="1" si="19"/>
        <v>61</v>
      </c>
      <c r="V8" s="466">
        <f t="shared" ca="1" si="10"/>
        <v>16.423999999999999</v>
      </c>
      <c r="W8" s="136">
        <f t="shared" ref="W8:Y8" ca="1" si="20">+W13+W31+W52+W74</f>
        <v>6976</v>
      </c>
      <c r="X8" s="276">
        <f t="shared" ca="1" si="20"/>
        <v>1054</v>
      </c>
      <c r="Y8" s="276">
        <f t="shared" ca="1" si="20"/>
        <v>677.21</v>
      </c>
      <c r="Z8" s="37">
        <f t="shared" ca="1" si="12"/>
        <v>15.10894495412844</v>
      </c>
      <c r="AA8" s="464">
        <f t="shared" ref="AA8:AC8" ca="1" si="21">+AA13+AA31+AA52+AA74</f>
        <v>250</v>
      </c>
      <c r="AB8" s="464">
        <f t="shared" ca="1" si="21"/>
        <v>256</v>
      </c>
      <c r="AC8" s="464">
        <f t="shared" ca="1" si="21"/>
        <v>0</v>
      </c>
      <c r="AD8" s="466">
        <f t="shared" ca="1" si="14"/>
        <v>102.4</v>
      </c>
    </row>
    <row r="9" spans="1:30" ht="19.5" x14ac:dyDescent="0.3">
      <c r="A9" s="38" t="s">
        <v>40</v>
      </c>
      <c r="B9" s="38"/>
      <c r="C9" s="44">
        <f t="shared" ref="C9:E9" ca="1" si="22">C89</f>
        <v>1570110</v>
      </c>
      <c r="D9" s="44">
        <f t="shared" ca="1" si="22"/>
        <v>1540110</v>
      </c>
      <c r="E9" s="44">
        <f t="shared" ca="1" si="22"/>
        <v>711023.55999999994</v>
      </c>
      <c r="F9" s="44">
        <f t="shared" ca="1" si="1"/>
        <v>45.284952009731803</v>
      </c>
      <c r="G9" s="44">
        <f t="shared" ca="1" si="2"/>
        <v>46.16706339157593</v>
      </c>
      <c r="H9" s="246"/>
      <c r="I9" s="246"/>
      <c r="J9" s="247"/>
      <c r="K9" s="246"/>
      <c r="L9" s="246"/>
      <c r="M9" s="246"/>
      <c r="N9" s="247"/>
      <c r="O9" s="246"/>
      <c r="P9" s="246"/>
      <c r="Q9" s="246"/>
      <c r="R9" s="247"/>
      <c r="S9" s="246"/>
      <c r="T9" s="246"/>
      <c r="U9" s="246"/>
      <c r="V9" s="247"/>
      <c r="W9" s="246"/>
      <c r="X9" s="246"/>
      <c r="Y9" s="246"/>
      <c r="Z9" s="247"/>
      <c r="AA9" s="246"/>
      <c r="AB9" s="246"/>
      <c r="AC9" s="246"/>
      <c r="AD9" s="247"/>
    </row>
    <row r="10" spans="1:30" ht="19.5" hidden="1" x14ac:dyDescent="0.3">
      <c r="A10" s="45"/>
      <c r="B10" s="45"/>
      <c r="C10" s="51"/>
      <c r="D10" s="51"/>
      <c r="E10" s="51"/>
      <c r="F10" s="51"/>
      <c r="G10" s="51"/>
      <c r="H10" s="214"/>
      <c r="I10" s="214"/>
      <c r="J10" s="196"/>
      <c r="K10" s="214"/>
      <c r="L10" s="214"/>
      <c r="M10" s="214"/>
      <c r="N10" s="196"/>
      <c r="O10" s="214"/>
      <c r="P10" s="214"/>
      <c r="Q10" s="214"/>
      <c r="R10" s="196"/>
      <c r="S10" s="214"/>
      <c r="T10" s="214"/>
      <c r="U10" s="214"/>
      <c r="V10" s="196"/>
      <c r="W10" s="214"/>
      <c r="X10" s="214"/>
      <c r="Y10" s="214"/>
      <c r="Z10" s="196"/>
      <c r="AA10" s="214"/>
      <c r="AB10" s="214"/>
      <c r="AC10" s="214"/>
      <c r="AD10" s="196"/>
    </row>
    <row r="11" spans="1:30" ht="19.5" hidden="1" x14ac:dyDescent="0.3">
      <c r="A11" s="45"/>
      <c r="B11" s="45"/>
      <c r="C11" s="51"/>
      <c r="D11" s="51"/>
      <c r="E11" s="51"/>
      <c r="F11" s="51"/>
      <c r="G11" s="51"/>
      <c r="H11" s="214"/>
      <c r="I11" s="214"/>
      <c r="J11" s="196"/>
      <c r="K11" s="214"/>
      <c r="L11" s="214"/>
      <c r="M11" s="214"/>
      <c r="N11" s="196"/>
      <c r="O11" s="214"/>
      <c r="P11" s="214"/>
      <c r="Q11" s="214"/>
      <c r="R11" s="196"/>
      <c r="S11" s="214"/>
      <c r="T11" s="214"/>
      <c r="U11" s="214"/>
      <c r="V11" s="196"/>
      <c r="W11" s="214"/>
      <c r="X11" s="214"/>
      <c r="Y11" s="214"/>
      <c r="Z11" s="196"/>
      <c r="AA11" s="214"/>
      <c r="AB11" s="214"/>
      <c r="AC11" s="214"/>
      <c r="AD11" s="196"/>
    </row>
    <row r="12" spans="1:30" ht="19.5" hidden="1" x14ac:dyDescent="0.3">
      <c r="A12" s="45"/>
      <c r="B12" s="45"/>
      <c r="C12" s="51"/>
      <c r="D12" s="51"/>
      <c r="E12" s="51"/>
      <c r="F12" s="51"/>
      <c r="G12" s="51"/>
      <c r="H12" s="143"/>
      <c r="I12" s="143"/>
      <c r="J12" s="51"/>
      <c r="K12" s="143"/>
      <c r="L12" s="143"/>
      <c r="M12" s="143"/>
      <c r="N12" s="51"/>
      <c r="O12" s="143"/>
      <c r="P12" s="143"/>
      <c r="Q12" s="143"/>
      <c r="R12" s="51"/>
      <c r="S12" s="214"/>
      <c r="T12" s="214"/>
      <c r="U12" s="214"/>
      <c r="V12" s="196"/>
      <c r="W12" s="143"/>
      <c r="X12" s="143"/>
      <c r="Y12" s="143"/>
      <c r="Z12" s="51"/>
      <c r="AA12" s="214"/>
      <c r="AB12" s="214"/>
      <c r="AC12" s="214"/>
      <c r="AD12" s="196"/>
    </row>
    <row r="13" spans="1:30" ht="19.5" x14ac:dyDescent="0.3">
      <c r="A13" s="664" t="s">
        <v>41</v>
      </c>
      <c r="B13" s="647"/>
      <c r="C13" s="57">
        <f t="shared" ref="C13:E13" ca="1" si="23">SUM(C14:C30)</f>
        <v>3406990</v>
      </c>
      <c r="D13" s="57">
        <f t="shared" ca="1" si="23"/>
        <v>3406990</v>
      </c>
      <c r="E13" s="57">
        <f t="shared" ca="1" si="23"/>
        <v>1915177.81</v>
      </c>
      <c r="F13" s="57">
        <f t="shared" ref="F13:F108" ca="1" si="24">IF(C13&gt;0,E13*100/C13,0)</f>
        <v>56.213191409425917</v>
      </c>
      <c r="G13" s="57">
        <f t="shared" ref="G13:G108" ca="1" si="25">IF(D13&gt;0,E13*100/D13,0)</f>
        <v>56.213191409425917</v>
      </c>
      <c r="H13" s="145">
        <f t="shared" ref="H13:I13" ca="1" si="26">SUM(H14:H30)</f>
        <v>13</v>
      </c>
      <c r="I13" s="277">
        <f t="shared" ca="1" si="26"/>
        <v>3</v>
      </c>
      <c r="J13" s="57">
        <f t="shared" ref="J13:J88" ca="1" si="27">IF(H13&gt;0,I13*100/H13,0)</f>
        <v>23.076923076923077</v>
      </c>
      <c r="K13" s="145">
        <f t="shared" ref="K13:M13" ca="1" si="28">SUM(K14:K30)</f>
        <v>1517</v>
      </c>
      <c r="L13" s="277">
        <f t="shared" ca="1" si="28"/>
        <v>1349</v>
      </c>
      <c r="M13" s="277">
        <f t="shared" ca="1" si="28"/>
        <v>847.33999999999992</v>
      </c>
      <c r="N13" s="57">
        <f t="shared" ref="N13:N88" ca="1" si="29">IF(K13&gt;0,L13*100/K13,0)</f>
        <v>88.925510876730385</v>
      </c>
      <c r="O13" s="145">
        <f t="shared" ref="O13:Q13" ca="1" si="30">SUM(O14:O30)</f>
        <v>1455</v>
      </c>
      <c r="P13" s="277">
        <f t="shared" ca="1" si="30"/>
        <v>1349</v>
      </c>
      <c r="Q13" s="277">
        <f t="shared" ca="1" si="30"/>
        <v>847.33999999999992</v>
      </c>
      <c r="R13" s="57">
        <f t="shared" ref="R13:R88" ca="1" si="31">IF(O13&gt;0,P13*100/O13,0)</f>
        <v>92.714776632302403</v>
      </c>
      <c r="S13" s="596">
        <f t="shared" ref="S13:U13" ca="1" si="32">SUM(S14:S30)</f>
        <v>62</v>
      </c>
      <c r="T13" s="596">
        <f t="shared" ca="1" si="32"/>
        <v>0</v>
      </c>
      <c r="U13" s="596">
        <f t="shared" ca="1" si="32"/>
        <v>0</v>
      </c>
      <c r="V13" s="598">
        <f t="shared" ref="V13:V88" ca="1" si="33">IF(S13&gt;0,T13*100/S13,0)</f>
        <v>0</v>
      </c>
      <c r="W13" s="145">
        <f t="shared" ref="W13:Y13" ca="1" si="34">SUM(W14:W30)</f>
        <v>1455</v>
      </c>
      <c r="X13" s="277">
        <f t="shared" ca="1" si="34"/>
        <v>592</v>
      </c>
      <c r="Y13" s="277">
        <f t="shared" ca="1" si="34"/>
        <v>435</v>
      </c>
      <c r="Z13" s="57">
        <f t="shared" ref="Z13:Z88" ca="1" si="35">IF(W13&gt;0,X13*100/W13,0)</f>
        <v>40.687285223367695</v>
      </c>
      <c r="AA13" s="596">
        <f t="shared" ref="AA13:AC13" ca="1" si="36">SUM(AA14:AA30)</f>
        <v>62</v>
      </c>
      <c r="AB13" s="596">
        <f t="shared" ca="1" si="36"/>
        <v>71</v>
      </c>
      <c r="AC13" s="596">
        <f t="shared" ca="1" si="36"/>
        <v>0</v>
      </c>
      <c r="AD13" s="598">
        <f t="shared" ref="AD13:AD88" ca="1" si="37">IF(AA13&gt;0,AB13*100/AA13,0)</f>
        <v>114.51612903225806</v>
      </c>
    </row>
    <row r="14" spans="1:30" ht="19.5" x14ac:dyDescent="0.3">
      <c r="A14" s="58">
        <v>1</v>
      </c>
      <c r="B14" s="59" t="s">
        <v>42</v>
      </c>
      <c r="C14" s="68">
        <f ca="1">IFERROR(__xludf.DUMMYFUNCTION("IMPORTRANGE(""https://docs.google.com/spreadsheets/d/1jTcq05yEiRwXcBMLjiodW9e4biSGYWAHcDj22rKWQ3s/edit?usp=sharing"",""กำแพงเพชร!Q690"")"),224500)</f>
        <v>224500</v>
      </c>
      <c r="D14" s="68">
        <f ca="1">IFERROR(__xludf.DUMMYFUNCTION("IMPORTRANGE(""https://docs.google.com/spreadsheets/d/1jTcq05yEiRwXcBMLjiodW9e4biSGYWAHcDj22rKWQ3s/edit?usp=sharing"",""กำแพงเพชร!R690"")"),224500)</f>
        <v>224500</v>
      </c>
      <c r="E14" s="68">
        <f ca="1">IFERROR(__xludf.DUMMYFUNCTION("IMPORTRANGE(""https://docs.google.com/spreadsheets/d/1jTcq05yEiRwXcBMLjiodW9e4biSGYWAHcDj22rKWQ3s/edit?usp=sharing"",""กำแพงเพชร!S690"")"),169340)</f>
        <v>169340</v>
      </c>
      <c r="F14" s="68">
        <f t="shared" ca="1" si="24"/>
        <v>75.429844097995542</v>
      </c>
      <c r="G14" s="68">
        <f t="shared" ca="1" si="25"/>
        <v>75.429844097995542</v>
      </c>
      <c r="H14" s="278">
        <f ca="1">IFERROR(__xludf.DUMMYFUNCTION("IMPORTRANGE(""https://docs.google.com/spreadsheets/d/1jTcq05yEiRwXcBMLjiodW9e4biSGYWAHcDj22rKWQ3s/edit?usp=sharing"",""กำแพงเพชร!I700"")"),0)</f>
        <v>0</v>
      </c>
      <c r="I14" s="152">
        <f ca="1">IFERROR(__xludf.DUMMYFUNCTION("IMPORTRANGE(""https://docs.google.com/spreadsheets/d/1jTcq05yEiRwXcBMLjiodW9e4biSGYWAHcDj22rKWQ3s/edit?usp=sharing"",""กำแพงเพชร!J700"")"),0)</f>
        <v>0</v>
      </c>
      <c r="J14" s="216">
        <f t="shared" ca="1" si="27"/>
        <v>0</v>
      </c>
      <c r="K14" s="278">
        <f ca="1">IFERROR(__xludf.DUMMYFUNCTION("IMPORTRANGE(""https://docs.google.com/spreadsheets/d/1jTcq05yEiRwXcBMLjiodW9e4biSGYWAHcDj22rKWQ3s/edit?usp=sharing"",""กำแพงเพชร!I701"")"),105)</f>
        <v>105</v>
      </c>
      <c r="L14" s="152">
        <f ca="1">IFERROR(__xludf.DUMMYFUNCTION("IMPORTRANGE(""https://docs.google.com/spreadsheets/d/1jTcq05yEiRwXcBMLjiodW9e4biSGYWAHcDj22rKWQ3s/edit?usp=sharing"",""กำแพงเพชร!J701"")"),167)</f>
        <v>167</v>
      </c>
      <c r="M14" s="152">
        <f ca="1">IFERROR(__xludf.DUMMYFUNCTION("IMPORTRANGE(""https://docs.google.com/spreadsheets/d/1jTcq05yEiRwXcBMLjiodW9e4biSGYWAHcDj22rKWQ3s/edit?usp=sharing"",""กำแพงเพชร!J702"")"),102.39)</f>
        <v>102.39</v>
      </c>
      <c r="N14" s="216">
        <f t="shared" ca="1" si="29"/>
        <v>159.04761904761904</v>
      </c>
      <c r="O14" s="278">
        <f ca="1">IFERROR(__xludf.DUMMYFUNCTION("IMPORTRANGE(""https://docs.google.com/spreadsheets/d/1jTcq05yEiRwXcBMLjiodW9e4biSGYWAHcDj22rKWQ3s/edit?usp=sharing"",""กำแพงเพชร!I703"")"),100)</f>
        <v>100</v>
      </c>
      <c r="P14" s="152">
        <f ca="1">IFERROR(__xludf.DUMMYFUNCTION("IMPORTRANGE(""https://docs.google.com/spreadsheets/d/1jTcq05yEiRwXcBMLjiodW9e4biSGYWAHcDj22rKWQ3s/edit?usp=sharing"",""กำแพงเพชร!J703"")"),167)</f>
        <v>167</v>
      </c>
      <c r="Q14" s="152">
        <f ca="1">IFERROR(__xludf.DUMMYFUNCTION("IMPORTRANGE(""https://docs.google.com/spreadsheets/d/1jTcq05yEiRwXcBMLjiodW9e4biSGYWAHcDj22rKWQ3s/edit?usp=sharing"",""กำแพงเพชร!J704"")"),102.39)</f>
        <v>102.39</v>
      </c>
      <c r="R14" s="216">
        <f t="shared" ca="1" si="31"/>
        <v>167</v>
      </c>
      <c r="S14" s="632">
        <f ca="1">IFERROR(__xludf.DUMMYFUNCTION("IMPORTRANGE(""https://docs.google.com/spreadsheets/d/1jTcq05yEiRwXcBMLjiodW9e4biSGYWAHcDj22rKWQ3s/edit?usp=sharing"",""กำแพงเพชร!I705"")"),5)</f>
        <v>5</v>
      </c>
      <c r="T14" s="251">
        <f ca="1">IFERROR(__xludf.DUMMYFUNCTION("IMPORTRANGE(""https://docs.google.com/spreadsheets/d/1jTcq05yEiRwXcBMLjiodW9e4biSGYWAHcDj22rKWQ3s/edit?usp=sharing"",""กำแพงเพชร!J705"")"),0)</f>
        <v>0</v>
      </c>
      <c r="U14" s="251">
        <f ca="1">IFERROR(__xludf.DUMMYFUNCTION("IMPORTRANGE(""https://docs.google.com/spreadsheets/d/1jTcq05yEiRwXcBMLjiodW9e4biSGYWAHcDj22rKWQ3s/edit?usp=sharing"",""กำแพงเพชร!J706"")"),0)</f>
        <v>0</v>
      </c>
      <c r="V14" s="605">
        <f t="shared" ca="1" si="33"/>
        <v>0</v>
      </c>
      <c r="W14" s="278">
        <f ca="1">IFERROR(__xludf.DUMMYFUNCTION("IMPORTRANGE(""https://docs.google.com/spreadsheets/d/1jTcq05yEiRwXcBMLjiodW9e4biSGYWAHcDj22rKWQ3s/edit?usp=sharing"",""กำแพงเพชร!I707"")"),100)</f>
        <v>100</v>
      </c>
      <c r="X14" s="152">
        <f ca="1">IFERROR(__xludf.DUMMYFUNCTION("IMPORTRANGE(""https://docs.google.com/spreadsheets/d/1jTcq05yEiRwXcBMLjiodW9e4biSGYWAHcDj22rKWQ3s/edit?usp=sharing"",""กำแพงเพชร!J707"")"),166)</f>
        <v>166</v>
      </c>
      <c r="Y14" s="152">
        <f ca="1">IFERROR(__xludf.DUMMYFUNCTION("IMPORTRANGE(""https://docs.google.com/spreadsheets/d/1jTcq05yEiRwXcBMLjiodW9e4biSGYWAHcDj22rKWQ3s/edit?usp=sharing"",""กำแพงเพชร!J708"")"),102)</f>
        <v>102</v>
      </c>
      <c r="Z14" s="216">
        <f t="shared" ca="1" si="35"/>
        <v>166</v>
      </c>
      <c r="AA14" s="632">
        <f ca="1">IFERROR(__xludf.DUMMYFUNCTION("IMPORTRANGE(""https://docs.google.com/spreadsheets/d/1jTcq05yEiRwXcBMLjiodW9e4biSGYWAHcDj22rKWQ3s/edit?usp=sharing"",""กำแพงเพชร!I709"")"),5)</f>
        <v>5</v>
      </c>
      <c r="AB14" s="251">
        <f ca="1">IFERROR(__xludf.DUMMYFUNCTION("IMPORTRANGE(""https://docs.google.com/spreadsheets/d/1jTcq05yEiRwXcBMLjiodW9e4biSGYWAHcDj22rKWQ3s/edit?usp=sharing"",""กำแพงเพชร!J709"")"),5)</f>
        <v>5</v>
      </c>
      <c r="AC14" s="251">
        <f ca="1">IFERROR(__xludf.DUMMYFUNCTION("IMPORTRANGE(""https://docs.google.com/spreadsheets/d/1jTcq05yEiRwXcBMLjiodW9e4biSGYWAHcDj22rKWQ3s/edit?usp=sharing"",""กำแพงเพชร!J710"")"),0)</f>
        <v>0</v>
      </c>
      <c r="AD14" s="605">
        <f t="shared" ca="1" si="37"/>
        <v>100</v>
      </c>
    </row>
    <row r="15" spans="1:30" ht="19.5" x14ac:dyDescent="0.3">
      <c r="A15" s="70">
        <v>2</v>
      </c>
      <c r="B15" s="71" t="s">
        <v>43</v>
      </c>
      <c r="C15" s="68">
        <f ca="1">IFERROR(__xludf.DUMMYFUNCTION("IMPORTRANGE(""https://docs.google.com/spreadsheets/d/1KS0zmDSZPk8KnTAbGN-Xk6MtX1YRZD0ldgdt20K4CRk/edit?usp=sharing"",""เชียงราย!Q690"")"),169140)</f>
        <v>169140</v>
      </c>
      <c r="D15" s="68">
        <f ca="1">IFERROR(__xludf.DUMMYFUNCTION("IMPORTRANGE(""https://docs.google.com/spreadsheets/d/1KS0zmDSZPk8KnTAbGN-Xk6MtX1YRZD0ldgdt20K4CRk/edit?usp=sharing"",""เชียงราย!R690"")"),169140)</f>
        <v>169140</v>
      </c>
      <c r="E15" s="68">
        <f ca="1">IFERROR(__xludf.DUMMYFUNCTION("IMPORTRANGE(""https://docs.google.com/spreadsheets/d/1KS0zmDSZPk8KnTAbGN-Xk6MtX1YRZD0ldgdt20K4CRk/edit?usp=sharing"",""เชียงราย!S690"")"),65025)</f>
        <v>65025</v>
      </c>
      <c r="F15" s="68">
        <f t="shared" ca="1" si="24"/>
        <v>38.444483859524652</v>
      </c>
      <c r="G15" s="68">
        <f t="shared" ca="1" si="25"/>
        <v>38.444483859524652</v>
      </c>
      <c r="H15" s="278">
        <f ca="1">IFERROR(__xludf.DUMMYFUNCTION("IMPORTRANGE(""https://docs.google.com/spreadsheets/d/1KS0zmDSZPk8KnTAbGN-Xk6MtX1YRZD0ldgdt20K4CRk/edit?usp=sharing"",""เชียงราย!I700"")"),0)</f>
        <v>0</v>
      </c>
      <c r="I15" s="152">
        <f ca="1">IFERROR(__xludf.DUMMYFUNCTION("IMPORTRANGE(""https://docs.google.com/spreadsheets/d/1KS0zmDSZPk8KnTAbGN-Xk6MtX1YRZD0ldgdt20K4CRk/edit?usp=sharing"",""เชียงราย!J700"")"),0)</f>
        <v>0</v>
      </c>
      <c r="J15" s="216">
        <f t="shared" ca="1" si="27"/>
        <v>0</v>
      </c>
      <c r="K15" s="278">
        <f ca="1">IFERROR(__xludf.DUMMYFUNCTION("IMPORTRANGE(""https://docs.google.com/spreadsheets/d/1KS0zmDSZPk8KnTAbGN-Xk6MtX1YRZD0ldgdt20K4CRk/edit?usp=sharing"",""เชียงราย!I701"")"),100)</f>
        <v>100</v>
      </c>
      <c r="L15" s="152">
        <f ca="1">IFERROR(__xludf.DUMMYFUNCTION("IMPORTRANGE(""https://docs.google.com/spreadsheets/d/1KS0zmDSZPk8KnTAbGN-Xk6MtX1YRZD0ldgdt20K4CRk/edit?usp=sharing"",""เชียงราย!J701"")"),90)</f>
        <v>90</v>
      </c>
      <c r="M15" s="152">
        <f ca="1">IFERROR(__xludf.DUMMYFUNCTION("IMPORTRANGE(""https://docs.google.com/spreadsheets/d/1KS0zmDSZPk8KnTAbGN-Xk6MtX1YRZD0ldgdt20K4CRk/edit?usp=sharing"",""เชียงราย!J702"")"),61.83)</f>
        <v>61.83</v>
      </c>
      <c r="N15" s="216">
        <f t="shared" ca="1" si="29"/>
        <v>90</v>
      </c>
      <c r="O15" s="278">
        <f ca="1">IFERROR(__xludf.DUMMYFUNCTION("IMPORTRANGE(""https://docs.google.com/spreadsheets/d/1KS0zmDSZPk8KnTAbGN-Xk6MtX1YRZD0ldgdt20K4CRk/edit?usp=sharing"",""เชียงราย!I703"")"),100)</f>
        <v>100</v>
      </c>
      <c r="P15" s="152">
        <f ca="1">IFERROR(__xludf.DUMMYFUNCTION("IMPORTRANGE(""https://docs.google.com/spreadsheets/d/1KS0zmDSZPk8KnTAbGN-Xk6MtX1YRZD0ldgdt20K4CRk/edit?usp=sharing"",""เชียงราย!J703"")"),90)</f>
        <v>90</v>
      </c>
      <c r="Q15" s="152">
        <f ca="1">IFERROR(__xludf.DUMMYFUNCTION("IMPORTRANGE(""https://docs.google.com/spreadsheets/d/1KS0zmDSZPk8KnTAbGN-Xk6MtX1YRZD0ldgdt20K4CRk/edit?usp=sharing"",""เชียงราย!J704"")"),61.83)</f>
        <v>61.83</v>
      </c>
      <c r="R15" s="216">
        <f t="shared" ca="1" si="31"/>
        <v>90</v>
      </c>
      <c r="S15" s="632">
        <f ca="1">IFERROR(__xludf.DUMMYFUNCTION("IMPORTRANGE(""https://docs.google.com/spreadsheets/d/1KS0zmDSZPk8KnTAbGN-Xk6MtX1YRZD0ldgdt20K4CRk/edit?usp=sharing"",""เชียงราย!I705"")"),0)</f>
        <v>0</v>
      </c>
      <c r="T15" s="251">
        <f ca="1">IFERROR(__xludf.DUMMYFUNCTION("IMPORTRANGE(""https://docs.google.com/spreadsheets/d/1KS0zmDSZPk8KnTAbGN-Xk6MtX1YRZD0ldgdt20K4CRk/edit?usp=sharing"",""เชียงราย!J705"")"),0)</f>
        <v>0</v>
      </c>
      <c r="U15" s="251">
        <f ca="1">IFERROR(__xludf.DUMMYFUNCTION("IMPORTRANGE(""https://docs.google.com/spreadsheets/d/1KS0zmDSZPk8KnTAbGN-Xk6MtX1YRZD0ldgdt20K4CRk/edit?usp=sharing"",""เชียงราย!J706"")"),0)</f>
        <v>0</v>
      </c>
      <c r="V15" s="605">
        <f t="shared" ca="1" si="33"/>
        <v>0</v>
      </c>
      <c r="W15" s="278">
        <f ca="1">IFERROR(__xludf.DUMMYFUNCTION("IMPORTRANGE(""https://docs.google.com/spreadsheets/d/1KS0zmDSZPk8KnTAbGN-Xk6MtX1YRZD0ldgdt20K4CRk/edit?usp=sharing"",""เชียงราย!I707"")"),100)</f>
        <v>100</v>
      </c>
      <c r="X15" s="152">
        <f ca="1">IFERROR(__xludf.DUMMYFUNCTION("IMPORTRANGE(""https://docs.google.com/spreadsheets/d/1KS0zmDSZPk8KnTAbGN-Xk6MtX1YRZD0ldgdt20K4CRk/edit?usp=sharing"",""เชียงราย!J707"")"),55)</f>
        <v>55</v>
      </c>
      <c r="Y15" s="152">
        <f ca="1">IFERROR(__xludf.DUMMYFUNCTION("IMPORTRANGE(""https://docs.google.com/spreadsheets/d/1KS0zmDSZPk8KnTAbGN-Xk6MtX1YRZD0ldgdt20K4CRk/edit?usp=sharing"",""เชียงราย!J708"")"),39)</f>
        <v>39</v>
      </c>
      <c r="Z15" s="216">
        <f t="shared" ca="1" si="35"/>
        <v>55</v>
      </c>
      <c r="AA15" s="632">
        <f ca="1">IFERROR(__xludf.DUMMYFUNCTION("IMPORTRANGE(""https://docs.google.com/spreadsheets/d/1KS0zmDSZPk8KnTAbGN-Xk6MtX1YRZD0ldgdt20K4CRk/edit?usp=sharing"",""เชียงราย!I709"")"),0)</f>
        <v>0</v>
      </c>
      <c r="AB15" s="251">
        <f ca="1">IFERROR(__xludf.DUMMYFUNCTION("IMPORTRANGE(""https://docs.google.com/spreadsheets/d/1KS0zmDSZPk8KnTAbGN-Xk6MtX1YRZD0ldgdt20K4CRk/edit?usp=sharing"",""เชียงราย!J709"")"),0)</f>
        <v>0</v>
      </c>
      <c r="AC15" s="251">
        <f ca="1">IFERROR(__xludf.DUMMYFUNCTION("IMPORTRANGE(""https://docs.google.com/spreadsheets/d/1KS0zmDSZPk8KnTAbGN-Xk6MtX1YRZD0ldgdt20K4CRk/edit?usp=sharing"",""เชียงราย!J710"")"),0)</f>
        <v>0</v>
      </c>
      <c r="AD15" s="605">
        <f t="shared" ca="1" si="37"/>
        <v>0</v>
      </c>
    </row>
    <row r="16" spans="1:30" ht="19.5" x14ac:dyDescent="0.3">
      <c r="A16" s="70">
        <v>3</v>
      </c>
      <c r="B16" s="71" t="s">
        <v>44</v>
      </c>
      <c r="C16" s="68">
        <f ca="1">IFERROR(__xludf.DUMMYFUNCTION("IMPORTRANGE(""https://docs.google.com/spreadsheets/d/1rEDxBtusbi64tE0zunoIbsTVV16HeL0oJ6trHQeQ7K8/edit?usp=sharing"",""เชียงใหม่!Q690"")"),194110)</f>
        <v>194110</v>
      </c>
      <c r="D16" s="68">
        <f ca="1">IFERROR(__xludf.DUMMYFUNCTION("IMPORTRANGE(""https://docs.google.com/spreadsheets/d/1rEDxBtusbi64tE0zunoIbsTVV16HeL0oJ6trHQeQ7K8/edit?usp=sharing"",""เชียงใหม่!R690"")"),194110)</f>
        <v>194110</v>
      </c>
      <c r="E16" s="68">
        <f ca="1">IFERROR(__xludf.DUMMYFUNCTION("IMPORTRANGE(""https://docs.google.com/spreadsheets/d/1rEDxBtusbi64tE0zunoIbsTVV16HeL0oJ6trHQeQ7K8/edit?usp=sharing"",""เชียงใหม่!S690"")"),58921.06)</f>
        <v>58921.06</v>
      </c>
      <c r="F16" s="68">
        <f t="shared" ca="1" si="24"/>
        <v>30.354469115450001</v>
      </c>
      <c r="G16" s="68">
        <f t="shared" ca="1" si="25"/>
        <v>30.354469115450001</v>
      </c>
      <c r="H16" s="278">
        <f ca="1">IFERROR(__xludf.DUMMYFUNCTION("IMPORTRANGE(""https://docs.google.com/spreadsheets/d/1rEDxBtusbi64tE0zunoIbsTVV16HeL0oJ6trHQeQ7K8/edit?usp=sharing"",""เชียงใหม่!I700"")"),1)</f>
        <v>1</v>
      </c>
      <c r="I16" s="152">
        <f ca="1">IFERROR(__xludf.DUMMYFUNCTION("IMPORTRANGE(""https://docs.google.com/spreadsheets/d/1rEDxBtusbi64tE0zunoIbsTVV16HeL0oJ6trHQeQ7K8/edit?usp=sharing"",""เชียงใหม่!J700"")"),0)</f>
        <v>0</v>
      </c>
      <c r="J16" s="216">
        <f t="shared" ca="1" si="27"/>
        <v>0</v>
      </c>
      <c r="K16" s="278">
        <f ca="1">IFERROR(__xludf.DUMMYFUNCTION("IMPORTRANGE(""https://docs.google.com/spreadsheets/d/1rEDxBtusbi64tE0zunoIbsTVV16HeL0oJ6trHQeQ7K8/edit?usp=sharing"",""เชียงใหม่!I701"")"),44)</f>
        <v>44</v>
      </c>
      <c r="L16" s="152">
        <f ca="1">IFERROR(__xludf.DUMMYFUNCTION("IMPORTRANGE(""https://docs.google.com/spreadsheets/d/1rEDxBtusbi64tE0zunoIbsTVV16HeL0oJ6trHQeQ7K8/edit?usp=sharing"",""เชียงใหม่!J701"")"),0)</f>
        <v>0</v>
      </c>
      <c r="M16" s="152">
        <f ca="1">IFERROR(__xludf.DUMMYFUNCTION("IMPORTRANGE(""https://docs.google.com/spreadsheets/d/1rEDxBtusbi64tE0zunoIbsTVV16HeL0oJ6trHQeQ7K8/edit?usp=sharing"",""เชียงใหม่!J702"")"),0)</f>
        <v>0</v>
      </c>
      <c r="N16" s="216">
        <f t="shared" ca="1" si="29"/>
        <v>0</v>
      </c>
      <c r="O16" s="278">
        <f ca="1">IFERROR(__xludf.DUMMYFUNCTION("IMPORTRANGE(""https://docs.google.com/spreadsheets/d/1rEDxBtusbi64tE0zunoIbsTVV16HeL0oJ6trHQeQ7K8/edit?usp=sharing"",""เชียงใหม่!I703"")"),40)</f>
        <v>40</v>
      </c>
      <c r="P16" s="152">
        <f ca="1">IFERROR(__xludf.DUMMYFUNCTION("IMPORTRANGE(""https://docs.google.com/spreadsheets/d/1rEDxBtusbi64tE0zunoIbsTVV16HeL0oJ6trHQeQ7K8/edit?usp=sharing"",""เชียงใหม่!J703"")"),0)</f>
        <v>0</v>
      </c>
      <c r="Q16" s="152">
        <f ca="1">IFERROR(__xludf.DUMMYFUNCTION("IMPORTRANGE(""https://docs.google.com/spreadsheets/d/1rEDxBtusbi64tE0zunoIbsTVV16HeL0oJ6trHQeQ7K8/edit?usp=sharing"",""เชียงใหม่!J704"")"),0)</f>
        <v>0</v>
      </c>
      <c r="R16" s="216">
        <f t="shared" ca="1" si="31"/>
        <v>0</v>
      </c>
      <c r="S16" s="632">
        <f ca="1">IFERROR(__xludf.DUMMYFUNCTION("IMPORTRANGE(""https://docs.google.com/spreadsheets/d/1rEDxBtusbi64tE0zunoIbsTVV16HeL0oJ6trHQeQ7K8/edit?usp=sharing"",""เชียงใหม่!I705"")"),4)</f>
        <v>4</v>
      </c>
      <c r="T16" s="251">
        <f ca="1">IFERROR(__xludf.DUMMYFUNCTION("IMPORTRANGE(""https://docs.google.com/spreadsheets/d/1rEDxBtusbi64tE0zunoIbsTVV16HeL0oJ6trHQeQ7K8/edit?usp=sharing"",""เชียงใหม่!J705"")"),0)</f>
        <v>0</v>
      </c>
      <c r="U16" s="251">
        <f ca="1">IFERROR(__xludf.DUMMYFUNCTION("IMPORTRANGE(""https://docs.google.com/spreadsheets/d/1rEDxBtusbi64tE0zunoIbsTVV16HeL0oJ6trHQeQ7K8/edit?usp=sharing"",""เชียงใหม่!J706"")"),0)</f>
        <v>0</v>
      </c>
      <c r="V16" s="605">
        <f t="shared" ca="1" si="33"/>
        <v>0</v>
      </c>
      <c r="W16" s="278">
        <f ca="1">IFERROR(__xludf.DUMMYFUNCTION("IMPORTRANGE(""https://docs.google.com/spreadsheets/d/1rEDxBtusbi64tE0zunoIbsTVV16HeL0oJ6trHQeQ7K8/edit?usp=sharing"",""เชียงใหม่!I707"")"),40)</f>
        <v>40</v>
      </c>
      <c r="X16" s="152">
        <f ca="1">IFERROR(__xludf.DUMMYFUNCTION("IMPORTRANGE(""https://docs.google.com/spreadsheets/d/1rEDxBtusbi64tE0zunoIbsTVV16HeL0oJ6trHQeQ7K8/edit?usp=sharing"",""เชียงใหม่!J707"")"),0)</f>
        <v>0</v>
      </c>
      <c r="Y16" s="152">
        <f ca="1">IFERROR(__xludf.DUMMYFUNCTION("IMPORTRANGE(""https://docs.google.com/spreadsheets/d/1rEDxBtusbi64tE0zunoIbsTVV16HeL0oJ6trHQeQ7K8/edit?usp=sharing"",""เชียงใหม่!J708"")"),0)</f>
        <v>0</v>
      </c>
      <c r="Z16" s="216">
        <f t="shared" ca="1" si="35"/>
        <v>0</v>
      </c>
      <c r="AA16" s="632">
        <f ca="1">IFERROR(__xludf.DUMMYFUNCTION("IMPORTRANGE(""https://docs.google.com/spreadsheets/d/1rEDxBtusbi64tE0zunoIbsTVV16HeL0oJ6trHQeQ7K8/edit?usp=sharing"",""เชียงใหม่!I709"")"),4)</f>
        <v>4</v>
      </c>
      <c r="AB16" s="251">
        <f ca="1">IFERROR(__xludf.DUMMYFUNCTION("IMPORTRANGE(""https://docs.google.com/spreadsheets/d/1rEDxBtusbi64tE0zunoIbsTVV16HeL0oJ6trHQeQ7K8/edit?usp=sharing"",""เชียงใหม่!J709"")"),1)</f>
        <v>1</v>
      </c>
      <c r="AC16" s="251">
        <f ca="1">IFERROR(__xludf.DUMMYFUNCTION("IMPORTRANGE(""https://docs.google.com/spreadsheets/d/1rEDxBtusbi64tE0zunoIbsTVV16HeL0oJ6trHQeQ7K8/edit?usp=sharing"",""เชียงใหม่!J710"")"),0)</f>
        <v>0</v>
      </c>
      <c r="AD16" s="605">
        <f t="shared" ca="1" si="37"/>
        <v>25</v>
      </c>
    </row>
    <row r="17" spans="1:30" ht="19.5" x14ac:dyDescent="0.3">
      <c r="A17" s="70">
        <v>4</v>
      </c>
      <c r="B17" s="71" t="s">
        <v>45</v>
      </c>
      <c r="C17" s="68">
        <f ca="1">IFERROR(__xludf.DUMMYFUNCTION("IMPORTRANGE(""https://docs.google.com/spreadsheets/d/1W6MnUbDkMi6xHnHko_XkFDO9kkuL6Wqyc-6OCDFjW9I/edit?usp=sharing"",""ตาก!Q690"")"),82240)</f>
        <v>82240</v>
      </c>
      <c r="D17" s="68">
        <f ca="1">IFERROR(__xludf.DUMMYFUNCTION("IMPORTRANGE(""https://docs.google.com/spreadsheets/d/1W6MnUbDkMi6xHnHko_XkFDO9kkuL6Wqyc-6OCDFjW9I/edit?usp=sharing"",""ตาก!R690"")"),82240)</f>
        <v>82240</v>
      </c>
      <c r="E17" s="68">
        <f ca="1">IFERROR(__xludf.DUMMYFUNCTION("IMPORTRANGE(""https://docs.google.com/spreadsheets/d/1W6MnUbDkMi6xHnHko_XkFDO9kkuL6Wqyc-6OCDFjW9I/edit?usp=sharing"",""ตาก!S690"")"),74115)</f>
        <v>74115</v>
      </c>
      <c r="F17" s="68">
        <f t="shared" ca="1" si="24"/>
        <v>90.120379377431902</v>
      </c>
      <c r="G17" s="68">
        <f t="shared" ca="1" si="25"/>
        <v>90.120379377431902</v>
      </c>
      <c r="H17" s="278">
        <f ca="1">IFERROR(__xludf.DUMMYFUNCTION("IMPORTRANGE(""https://docs.google.com/spreadsheets/d/1W6MnUbDkMi6xHnHko_XkFDO9kkuL6Wqyc-6OCDFjW9I/edit?usp=sharing"",""ตาก!I700"")"),0)</f>
        <v>0</v>
      </c>
      <c r="I17" s="152">
        <f ca="1">IFERROR(__xludf.DUMMYFUNCTION("IMPORTRANGE(""https://docs.google.com/spreadsheets/d/1W6MnUbDkMi6xHnHko_XkFDO9kkuL6Wqyc-6OCDFjW9I/edit?usp=sharing"",""ตาก!J700"")"),0)</f>
        <v>0</v>
      </c>
      <c r="J17" s="216">
        <f t="shared" ca="1" si="27"/>
        <v>0</v>
      </c>
      <c r="K17" s="278">
        <f ca="1">IFERROR(__xludf.DUMMYFUNCTION("IMPORTRANGE(""https://docs.google.com/spreadsheets/d/1W6MnUbDkMi6xHnHko_XkFDO9kkuL6Wqyc-6OCDFjW9I/edit?usp=sharing"",""ตาก!I701"")"),20)</f>
        <v>20</v>
      </c>
      <c r="L17" s="152">
        <f ca="1">IFERROR(__xludf.DUMMYFUNCTION("IMPORTRANGE(""https://docs.google.com/spreadsheets/d/1W6MnUbDkMi6xHnHko_XkFDO9kkuL6Wqyc-6OCDFjW9I/edit?usp=sharing"",""ตาก!J701"")"),17)</f>
        <v>17</v>
      </c>
      <c r="M17" s="152">
        <f ca="1">IFERROR(__xludf.DUMMYFUNCTION("IMPORTRANGE(""https://docs.google.com/spreadsheets/d/1W6MnUbDkMi6xHnHko_XkFDO9kkuL6Wqyc-6OCDFjW9I/edit?usp=sharing"",""ตาก!J702"")"),9.8)</f>
        <v>9.8000000000000007</v>
      </c>
      <c r="N17" s="216">
        <f t="shared" ca="1" si="29"/>
        <v>85</v>
      </c>
      <c r="O17" s="278">
        <f ca="1">IFERROR(__xludf.DUMMYFUNCTION("IMPORTRANGE(""https://docs.google.com/spreadsheets/d/1W6MnUbDkMi6xHnHko_XkFDO9kkuL6Wqyc-6OCDFjW9I/edit?usp=sharing"",""ตาก!I703"")"),15)</f>
        <v>15</v>
      </c>
      <c r="P17" s="152">
        <f ca="1">IFERROR(__xludf.DUMMYFUNCTION("IMPORTRANGE(""https://docs.google.com/spreadsheets/d/1W6MnUbDkMi6xHnHko_XkFDO9kkuL6Wqyc-6OCDFjW9I/edit?usp=sharing"",""ตาก!J703"")"),17)</f>
        <v>17</v>
      </c>
      <c r="Q17" s="152">
        <f ca="1">IFERROR(__xludf.DUMMYFUNCTION("IMPORTRANGE(""https://docs.google.com/spreadsheets/d/1W6MnUbDkMi6xHnHko_XkFDO9kkuL6Wqyc-6OCDFjW9I/edit?usp=sharing"",""ตาก!J704"")"),9.8)</f>
        <v>9.8000000000000007</v>
      </c>
      <c r="R17" s="216">
        <f t="shared" ca="1" si="31"/>
        <v>113.33333333333333</v>
      </c>
      <c r="S17" s="632">
        <f ca="1">IFERROR(__xludf.DUMMYFUNCTION("IMPORTRANGE(""https://docs.google.com/spreadsheets/d/1W6MnUbDkMi6xHnHko_XkFDO9kkuL6Wqyc-6OCDFjW9I/edit?usp=sharing"",""ตาก!I705"")"),5)</f>
        <v>5</v>
      </c>
      <c r="T17" s="251">
        <f ca="1">IFERROR(__xludf.DUMMYFUNCTION("IMPORTRANGE(""https://docs.google.com/spreadsheets/d/1W6MnUbDkMi6xHnHko_XkFDO9kkuL6Wqyc-6OCDFjW9I/edit?usp=sharing"",""ตาก!J705"")"),0)</f>
        <v>0</v>
      </c>
      <c r="U17" s="251">
        <f ca="1">IFERROR(__xludf.DUMMYFUNCTION("IMPORTRANGE(""https://docs.google.com/spreadsheets/d/1W6MnUbDkMi6xHnHko_XkFDO9kkuL6Wqyc-6OCDFjW9I/edit?usp=sharing"",""ตาก!J706"")"),0)</f>
        <v>0</v>
      </c>
      <c r="V17" s="605">
        <f t="shared" ca="1" si="33"/>
        <v>0</v>
      </c>
      <c r="W17" s="278">
        <f ca="1">IFERROR(__xludf.DUMMYFUNCTION("IMPORTRANGE(""https://docs.google.com/spreadsheets/d/1W6MnUbDkMi6xHnHko_XkFDO9kkuL6Wqyc-6OCDFjW9I/edit?usp=sharing"",""ตาก!I707"")"),15)</f>
        <v>15</v>
      </c>
      <c r="X17" s="152">
        <f ca="1">IFERROR(__xludf.DUMMYFUNCTION("IMPORTRANGE(""https://docs.google.com/spreadsheets/d/1W6MnUbDkMi6xHnHko_XkFDO9kkuL6Wqyc-6OCDFjW9I/edit?usp=sharing"",""ตาก!J707"")"),17)</f>
        <v>17</v>
      </c>
      <c r="Y17" s="152">
        <f ca="1">IFERROR(__xludf.DUMMYFUNCTION("IMPORTRANGE(""https://docs.google.com/spreadsheets/d/1W6MnUbDkMi6xHnHko_XkFDO9kkuL6Wqyc-6OCDFjW9I/edit?usp=sharing"",""ตาก!J708"")"),10)</f>
        <v>10</v>
      </c>
      <c r="Z17" s="216">
        <f t="shared" ca="1" si="35"/>
        <v>113.33333333333333</v>
      </c>
      <c r="AA17" s="632">
        <f ca="1">IFERROR(__xludf.DUMMYFUNCTION("IMPORTRANGE(""https://docs.google.com/spreadsheets/d/1W6MnUbDkMi6xHnHko_XkFDO9kkuL6Wqyc-6OCDFjW9I/edit?usp=sharing"",""ตาก!I709"")"),5)</f>
        <v>5</v>
      </c>
      <c r="AB17" s="251">
        <f ca="1">IFERROR(__xludf.DUMMYFUNCTION("IMPORTRANGE(""https://docs.google.com/spreadsheets/d/1W6MnUbDkMi6xHnHko_XkFDO9kkuL6Wqyc-6OCDFjW9I/edit?usp=sharing"",""ตาก!J709"")"),2)</f>
        <v>2</v>
      </c>
      <c r="AC17" s="251">
        <f ca="1">IFERROR(__xludf.DUMMYFUNCTION("IMPORTRANGE(""https://docs.google.com/spreadsheets/d/1W6MnUbDkMi6xHnHko_XkFDO9kkuL6Wqyc-6OCDFjW9I/edit?usp=sharing"",""ตาก!J710"")"),0)</f>
        <v>0</v>
      </c>
      <c r="AD17" s="605">
        <f t="shared" ca="1" si="37"/>
        <v>40</v>
      </c>
    </row>
    <row r="18" spans="1:30" ht="19.5" x14ac:dyDescent="0.3">
      <c r="A18" s="70">
        <v>5</v>
      </c>
      <c r="B18" s="71" t="s">
        <v>46</v>
      </c>
      <c r="C18" s="68">
        <f ca="1">IFERROR(__xludf.DUMMYFUNCTION("IMPORTRANGE(""https://docs.google.com/spreadsheets/d/1IQAWArduLkta9LpYo4a_ULsyqdta6-6aDDiwpUnQT6c/edit?usp=sharing"",""นครสวรรค์!Q690"")"),463010)</f>
        <v>463010</v>
      </c>
      <c r="D18" s="68">
        <f ca="1">IFERROR(__xludf.DUMMYFUNCTION("IMPORTRANGE(""https://docs.google.com/spreadsheets/d/1IQAWArduLkta9LpYo4a_ULsyqdta6-6aDDiwpUnQT6c/edit?usp=sharing"",""นครสวรรค์!R690"")"),463010)</f>
        <v>463010</v>
      </c>
      <c r="E18" s="68">
        <f ca="1">IFERROR(__xludf.DUMMYFUNCTION("IMPORTRANGE(""https://docs.google.com/spreadsheets/d/1IQAWArduLkta9LpYo4a_ULsyqdta6-6aDDiwpUnQT6c/edit?usp=sharing"",""นครสวรรค์!S690"")"),306433.95)</f>
        <v>306433.95</v>
      </c>
      <c r="F18" s="68">
        <f t="shared" ca="1" si="24"/>
        <v>66.183009006284962</v>
      </c>
      <c r="G18" s="68">
        <f t="shared" ca="1" si="25"/>
        <v>66.183009006284962</v>
      </c>
      <c r="H18" s="278">
        <f ca="1">IFERROR(__xludf.DUMMYFUNCTION("IMPORTRANGE(""https://docs.google.com/spreadsheets/d/1IQAWArduLkta9LpYo4a_ULsyqdta6-6aDDiwpUnQT6c/edit?usp=sharing"",""นครสวรรค์!I700"")"),3)</f>
        <v>3</v>
      </c>
      <c r="I18" s="152">
        <f ca="1">IFERROR(__xludf.DUMMYFUNCTION("IMPORTRANGE(""https://docs.google.com/spreadsheets/d/1IQAWArduLkta9LpYo4a_ULsyqdta6-6aDDiwpUnQT6c/edit?usp=sharing"",""นครสวรรค์!J700"")"),3)</f>
        <v>3</v>
      </c>
      <c r="J18" s="216">
        <f t="shared" ca="1" si="27"/>
        <v>100</v>
      </c>
      <c r="K18" s="278">
        <f ca="1">IFERROR(__xludf.DUMMYFUNCTION("IMPORTRANGE(""https://docs.google.com/spreadsheets/d/1IQAWArduLkta9LpYo4a_ULsyqdta6-6aDDiwpUnQT6c/edit?usp=sharing"",""นครสวรรค์!I701"")"),305)</f>
        <v>305</v>
      </c>
      <c r="L18" s="152">
        <f ca="1">IFERROR(__xludf.DUMMYFUNCTION("IMPORTRANGE(""https://docs.google.com/spreadsheets/d/1IQAWArduLkta9LpYo4a_ULsyqdta6-6aDDiwpUnQT6c/edit?usp=sharing"",""นครสวรรค์!J701"")"),223)</f>
        <v>223</v>
      </c>
      <c r="M18" s="152">
        <f ca="1">IFERROR(__xludf.DUMMYFUNCTION("IMPORTRANGE(""https://docs.google.com/spreadsheets/d/1IQAWArduLkta9LpYo4a_ULsyqdta6-6aDDiwpUnQT6c/edit?usp=sharing"",""นครสวรรค์!J702"")"),123.67)</f>
        <v>123.67</v>
      </c>
      <c r="N18" s="216">
        <f t="shared" ca="1" si="29"/>
        <v>73.114754098360649</v>
      </c>
      <c r="O18" s="278">
        <f ca="1">IFERROR(__xludf.DUMMYFUNCTION("IMPORTRANGE(""https://docs.google.com/spreadsheets/d/1IQAWArduLkta9LpYo4a_ULsyqdta6-6aDDiwpUnQT6c/edit?usp=sharing"",""นครสวรรค์!I703"")"),300)</f>
        <v>300</v>
      </c>
      <c r="P18" s="152">
        <f ca="1">IFERROR(__xludf.DUMMYFUNCTION("IMPORTRANGE(""https://docs.google.com/spreadsheets/d/1IQAWArduLkta9LpYo4a_ULsyqdta6-6aDDiwpUnQT6c/edit?usp=sharing"",""นครสวรรค์!J703"")"),223)</f>
        <v>223</v>
      </c>
      <c r="Q18" s="152">
        <f ca="1">IFERROR(__xludf.DUMMYFUNCTION("IMPORTRANGE(""https://docs.google.com/spreadsheets/d/1IQAWArduLkta9LpYo4a_ULsyqdta6-6aDDiwpUnQT6c/edit?usp=sharing"",""นครสวรรค์!J704"")"),123.67)</f>
        <v>123.67</v>
      </c>
      <c r="R18" s="216">
        <f t="shared" ca="1" si="31"/>
        <v>74.333333333333329</v>
      </c>
      <c r="S18" s="632">
        <f ca="1">IFERROR(__xludf.DUMMYFUNCTION("IMPORTRANGE(""https://docs.google.com/spreadsheets/d/1IQAWArduLkta9LpYo4a_ULsyqdta6-6aDDiwpUnQT6c/edit?usp=sharing"",""นครสวรรค์!I705"")"),5)</f>
        <v>5</v>
      </c>
      <c r="T18" s="251">
        <f ca="1">IFERROR(__xludf.DUMMYFUNCTION("IMPORTRANGE(""https://docs.google.com/spreadsheets/d/1IQAWArduLkta9LpYo4a_ULsyqdta6-6aDDiwpUnQT6c/edit?usp=sharing"",""นครสวรรค์!J705"")"),0)</f>
        <v>0</v>
      </c>
      <c r="U18" s="251">
        <f ca="1">IFERROR(__xludf.DUMMYFUNCTION("IMPORTRANGE(""https://docs.google.com/spreadsheets/d/1IQAWArduLkta9LpYo4a_ULsyqdta6-6aDDiwpUnQT6c/edit?usp=sharing"",""นครสวรรค์!J706"")"),0)</f>
        <v>0</v>
      </c>
      <c r="V18" s="605">
        <f t="shared" ca="1" si="33"/>
        <v>0</v>
      </c>
      <c r="W18" s="278">
        <f ca="1">IFERROR(__xludf.DUMMYFUNCTION("IMPORTRANGE(""https://docs.google.com/spreadsheets/d/1IQAWArduLkta9LpYo4a_ULsyqdta6-6aDDiwpUnQT6c/edit?usp=sharing"",""นครสวรรค์!I707"")"),300)</f>
        <v>300</v>
      </c>
      <c r="X18" s="152">
        <f ca="1">IFERROR(__xludf.DUMMYFUNCTION("IMPORTRANGE(""https://docs.google.com/spreadsheets/d/1IQAWArduLkta9LpYo4a_ULsyqdta6-6aDDiwpUnQT6c/edit?usp=sharing"",""นครสวรรค์!J707"")"),0)</f>
        <v>0</v>
      </c>
      <c r="Y18" s="152">
        <f ca="1">IFERROR(__xludf.DUMMYFUNCTION("IMPORTRANGE(""https://docs.google.com/spreadsheets/d/1IQAWArduLkta9LpYo4a_ULsyqdta6-6aDDiwpUnQT6c/edit?usp=sharing"",""นครสวรรค์!J708"")"),0)</f>
        <v>0</v>
      </c>
      <c r="Z18" s="216">
        <f t="shared" ca="1" si="35"/>
        <v>0</v>
      </c>
      <c r="AA18" s="632">
        <f ca="1">IFERROR(__xludf.DUMMYFUNCTION("IMPORTRANGE(""https://docs.google.com/spreadsheets/d/1IQAWArduLkta9LpYo4a_ULsyqdta6-6aDDiwpUnQT6c/edit?usp=sharing"",""นครสวรรค์!I709"")"),5)</f>
        <v>5</v>
      </c>
      <c r="AB18" s="251">
        <f ca="1">IFERROR(__xludf.DUMMYFUNCTION("IMPORTRANGE(""https://docs.google.com/spreadsheets/d/1IQAWArduLkta9LpYo4a_ULsyqdta6-6aDDiwpUnQT6c/edit?usp=sharing"",""นครสวรรค์!J709"")"),0)</f>
        <v>0</v>
      </c>
      <c r="AC18" s="251">
        <f ca="1">IFERROR(__xludf.DUMMYFUNCTION("IMPORTRANGE(""https://docs.google.com/spreadsheets/d/1IQAWArduLkta9LpYo4a_ULsyqdta6-6aDDiwpUnQT6c/edit?usp=sharing"",""นครสวรรค์!J710"")"),0)</f>
        <v>0</v>
      </c>
      <c r="AD18" s="605">
        <f t="shared" ca="1" si="37"/>
        <v>0</v>
      </c>
    </row>
    <row r="19" spans="1:30" ht="19.5" x14ac:dyDescent="0.3">
      <c r="A19" s="70">
        <v>6</v>
      </c>
      <c r="B19" s="71" t="s">
        <v>47</v>
      </c>
      <c r="C19" s="68">
        <f ca="1">IFERROR(__xludf.DUMMYFUNCTION("IMPORTRANGE(""https://docs.google.com/spreadsheets/d/10s13Sk5xrltsiR-Zkbmk5DwIaDIKO8XlbJAfqyT7Gvg/edit?usp=sharing"",""น่าน!Q690"")"),205820)</f>
        <v>205820</v>
      </c>
      <c r="D19" s="68">
        <f ca="1">IFERROR(__xludf.DUMMYFUNCTION("IMPORTRANGE(""https://docs.google.com/spreadsheets/d/10s13Sk5xrltsiR-Zkbmk5DwIaDIKO8XlbJAfqyT7Gvg/edit?usp=sharing"",""น่าน!R690"")"),205820)</f>
        <v>205820</v>
      </c>
      <c r="E19" s="68">
        <f ca="1">IFERROR(__xludf.DUMMYFUNCTION("IMPORTRANGE(""https://docs.google.com/spreadsheets/d/10s13Sk5xrltsiR-Zkbmk5DwIaDIKO8XlbJAfqyT7Gvg/edit?usp=sharing"",""น่าน!S690"")"),112822)</f>
        <v>112822</v>
      </c>
      <c r="F19" s="68">
        <f t="shared" ca="1" si="24"/>
        <v>54.815858517150907</v>
      </c>
      <c r="G19" s="68">
        <f t="shared" ca="1" si="25"/>
        <v>54.815858517150907</v>
      </c>
      <c r="H19" s="278">
        <f ca="1">IFERROR(__xludf.DUMMYFUNCTION("IMPORTRANGE(""https://docs.google.com/spreadsheets/d/10s13Sk5xrltsiR-Zkbmk5DwIaDIKO8XlbJAfqyT7Gvg/edit?usp=sharing"",""น่าน!I700"")"),1)</f>
        <v>1</v>
      </c>
      <c r="I19" s="152">
        <f ca="1">IFERROR(__xludf.DUMMYFUNCTION("IMPORTRANGE(""https://docs.google.com/spreadsheets/d/10s13Sk5xrltsiR-Zkbmk5DwIaDIKO8XlbJAfqyT7Gvg/edit?usp=sharing"",""น่าน!J700"")"),0)</f>
        <v>0</v>
      </c>
      <c r="J19" s="216">
        <f t="shared" ca="1" si="27"/>
        <v>0</v>
      </c>
      <c r="K19" s="278">
        <f ca="1">IFERROR(__xludf.DUMMYFUNCTION("IMPORTRANGE(""https://docs.google.com/spreadsheets/d/10s13Sk5xrltsiR-Zkbmk5DwIaDIKO8XlbJAfqyT7Gvg/edit?usp=sharing"",""น่าน!I701"")"),74)</f>
        <v>74</v>
      </c>
      <c r="L19" s="152">
        <f ca="1">IFERROR(__xludf.DUMMYFUNCTION("IMPORTRANGE(""https://docs.google.com/spreadsheets/d/10s13Sk5xrltsiR-Zkbmk5DwIaDIKO8XlbJAfqyT7Gvg/edit?usp=sharing"",""น่าน!J701"")"),116)</f>
        <v>116</v>
      </c>
      <c r="M19" s="152">
        <f ca="1">IFERROR(__xludf.DUMMYFUNCTION("IMPORTRANGE(""https://docs.google.com/spreadsheets/d/10s13Sk5xrltsiR-Zkbmk5DwIaDIKO8XlbJAfqyT7Gvg/edit?usp=sharing"",""น่าน!J702"")"),55.94)</f>
        <v>55.94</v>
      </c>
      <c r="N19" s="216">
        <f t="shared" ca="1" si="29"/>
        <v>156.75675675675674</v>
      </c>
      <c r="O19" s="278">
        <f ca="1">IFERROR(__xludf.DUMMYFUNCTION("IMPORTRANGE(""https://docs.google.com/spreadsheets/d/10s13Sk5xrltsiR-Zkbmk5DwIaDIKO8XlbJAfqyT7Gvg/edit?usp=sharing"",""น่าน!I703"")"),70)</f>
        <v>70</v>
      </c>
      <c r="P19" s="152">
        <f ca="1">IFERROR(__xludf.DUMMYFUNCTION("IMPORTRANGE(""https://docs.google.com/spreadsheets/d/10s13Sk5xrltsiR-Zkbmk5DwIaDIKO8XlbJAfqyT7Gvg/edit?usp=sharing"",""น่าน!J703"")"),116)</f>
        <v>116</v>
      </c>
      <c r="Q19" s="152">
        <f ca="1">IFERROR(__xludf.DUMMYFUNCTION("IMPORTRANGE(""https://docs.google.com/spreadsheets/d/10s13Sk5xrltsiR-Zkbmk5DwIaDIKO8XlbJAfqyT7Gvg/edit?usp=sharing"",""น่าน!J704"")"),55.94)</f>
        <v>55.94</v>
      </c>
      <c r="R19" s="216">
        <f t="shared" ca="1" si="31"/>
        <v>165.71428571428572</v>
      </c>
      <c r="S19" s="632">
        <f ca="1">IFERROR(__xludf.DUMMYFUNCTION("IMPORTRANGE(""https://docs.google.com/spreadsheets/d/10s13Sk5xrltsiR-Zkbmk5DwIaDIKO8XlbJAfqyT7Gvg/edit?usp=sharing"",""น่าน!I705"")"),4)</f>
        <v>4</v>
      </c>
      <c r="T19" s="251">
        <f ca="1">IFERROR(__xludf.DUMMYFUNCTION("IMPORTRANGE(""https://docs.google.com/spreadsheets/d/10s13Sk5xrltsiR-Zkbmk5DwIaDIKO8XlbJAfqyT7Gvg/edit?usp=sharing"",""น่าน!J705"")"),0)</f>
        <v>0</v>
      </c>
      <c r="U19" s="251">
        <f ca="1">IFERROR(__xludf.DUMMYFUNCTION("IMPORTRANGE(""https://docs.google.com/spreadsheets/d/10s13Sk5xrltsiR-Zkbmk5DwIaDIKO8XlbJAfqyT7Gvg/edit?usp=sharing"",""น่าน!J706"")"),0)</f>
        <v>0</v>
      </c>
      <c r="V19" s="605">
        <f t="shared" ca="1" si="33"/>
        <v>0</v>
      </c>
      <c r="W19" s="278">
        <f ca="1">IFERROR(__xludf.DUMMYFUNCTION("IMPORTRANGE(""https://docs.google.com/spreadsheets/d/10s13Sk5xrltsiR-Zkbmk5DwIaDIKO8XlbJAfqyT7Gvg/edit?usp=sharing"",""น่าน!I707"")"),70)</f>
        <v>70</v>
      </c>
      <c r="X19" s="152">
        <f ca="1">IFERROR(__xludf.DUMMYFUNCTION("IMPORTRANGE(""https://docs.google.com/spreadsheets/d/10s13Sk5xrltsiR-Zkbmk5DwIaDIKO8XlbJAfqyT7Gvg/edit?usp=sharing"",""น่าน!J707"")"),22)</f>
        <v>22</v>
      </c>
      <c r="Y19" s="152">
        <f ca="1">IFERROR(__xludf.DUMMYFUNCTION("IMPORTRANGE(""https://docs.google.com/spreadsheets/d/10s13Sk5xrltsiR-Zkbmk5DwIaDIKO8XlbJAfqyT7Gvg/edit?usp=sharing"",""น่าน!J708"")"),7)</f>
        <v>7</v>
      </c>
      <c r="Z19" s="216">
        <f t="shared" ca="1" si="35"/>
        <v>31.428571428571427</v>
      </c>
      <c r="AA19" s="632">
        <f ca="1">IFERROR(__xludf.DUMMYFUNCTION("IMPORTRANGE(""https://docs.google.com/spreadsheets/d/10s13Sk5xrltsiR-Zkbmk5DwIaDIKO8XlbJAfqyT7Gvg/edit?usp=sharing"",""น่าน!I709"")"),4)</f>
        <v>4</v>
      </c>
      <c r="AB19" s="251">
        <f ca="1">IFERROR(__xludf.DUMMYFUNCTION("IMPORTRANGE(""https://docs.google.com/spreadsheets/d/10s13Sk5xrltsiR-Zkbmk5DwIaDIKO8XlbJAfqyT7Gvg/edit?usp=sharing"",""น่าน!J709"")"),13)</f>
        <v>13</v>
      </c>
      <c r="AC19" s="251">
        <f ca="1">IFERROR(__xludf.DUMMYFUNCTION("IMPORTRANGE(""https://docs.google.com/spreadsheets/d/10s13Sk5xrltsiR-Zkbmk5DwIaDIKO8XlbJAfqyT7Gvg/edit?usp=sharing"",""น่าน!J710"")"),0)</f>
        <v>0</v>
      </c>
      <c r="AD19" s="605">
        <f t="shared" ca="1" si="37"/>
        <v>325</v>
      </c>
    </row>
    <row r="20" spans="1:30" ht="19.5" x14ac:dyDescent="0.3">
      <c r="A20" s="70">
        <v>7</v>
      </c>
      <c r="B20" s="71" t="s">
        <v>48</v>
      </c>
      <c r="C20" s="68">
        <f ca="1">IFERROR(__xludf.DUMMYFUNCTION("IMPORTRANGE(""https://docs.google.com/spreadsheets/d/1uu4nAn4Dbi1XREnLKKotUANlKXa7yCgRcgq8HEzQYW8/edit?usp=sharing"",""พะเยา!Q690"")"),237780)</f>
        <v>237780</v>
      </c>
      <c r="D20" s="68">
        <f ca="1">IFERROR(__xludf.DUMMYFUNCTION("IMPORTRANGE(""https://docs.google.com/spreadsheets/d/1uu4nAn4Dbi1XREnLKKotUANlKXa7yCgRcgq8HEzQYW8/edit?usp=sharing"",""พะเยา!R690"")"),237780)</f>
        <v>237780</v>
      </c>
      <c r="E20" s="68">
        <f ca="1">IFERROR(__xludf.DUMMYFUNCTION("IMPORTRANGE(""https://docs.google.com/spreadsheets/d/1uu4nAn4Dbi1XREnLKKotUANlKXa7yCgRcgq8HEzQYW8/edit?usp=sharing"",""พะเยา!S690"")"),114610.31)</f>
        <v>114610.31</v>
      </c>
      <c r="F20" s="68">
        <f t="shared" ca="1" si="24"/>
        <v>48.200147194886029</v>
      </c>
      <c r="G20" s="68">
        <f t="shared" ca="1" si="25"/>
        <v>48.200147194886029</v>
      </c>
      <c r="H20" s="278">
        <f ca="1">IFERROR(__xludf.DUMMYFUNCTION("IMPORTRANGE(""https://docs.google.com/spreadsheets/d/1uu4nAn4Dbi1XREnLKKotUANlKXa7yCgRcgq8HEzQYW8/edit?usp=sharing"",""พะเยา!I700"")"),3)</f>
        <v>3</v>
      </c>
      <c r="I20" s="152">
        <f ca="1">IFERROR(__xludf.DUMMYFUNCTION("IMPORTRANGE(""https://docs.google.com/spreadsheets/d/1uu4nAn4Dbi1XREnLKKotUANlKXa7yCgRcgq8HEzQYW8/edit?usp=sharing"",""พะเยา!J700"")"),0)</f>
        <v>0</v>
      </c>
      <c r="J20" s="216">
        <f t="shared" ca="1" si="27"/>
        <v>0</v>
      </c>
      <c r="K20" s="278">
        <f ca="1">IFERROR(__xludf.DUMMYFUNCTION("IMPORTRANGE(""https://docs.google.com/spreadsheets/d/1uu4nAn4Dbi1XREnLKKotUANlKXa7yCgRcgq8HEzQYW8/edit?usp=sharing"",""พะเยา!I701"")"),74)</f>
        <v>74</v>
      </c>
      <c r="L20" s="152">
        <f ca="1">IFERROR(__xludf.DUMMYFUNCTION("IMPORTRANGE(""https://docs.google.com/spreadsheets/d/1uu4nAn4Dbi1XREnLKKotUANlKXa7yCgRcgq8HEzQYW8/edit?usp=sharing"",""พะเยา!J701"")"),99)</f>
        <v>99</v>
      </c>
      <c r="M20" s="152">
        <f ca="1">IFERROR(__xludf.DUMMYFUNCTION("IMPORTRANGE(""https://docs.google.com/spreadsheets/d/1uu4nAn4Dbi1XREnLKKotUANlKXa7yCgRcgq8HEzQYW8/edit?usp=sharing"",""พะเยา!J702"")"),115.89)</f>
        <v>115.89</v>
      </c>
      <c r="N20" s="216">
        <f t="shared" ca="1" si="29"/>
        <v>133.78378378378378</v>
      </c>
      <c r="O20" s="278">
        <f ca="1">IFERROR(__xludf.DUMMYFUNCTION("IMPORTRANGE(""https://docs.google.com/spreadsheets/d/1uu4nAn4Dbi1XREnLKKotUANlKXa7yCgRcgq8HEzQYW8/edit?usp=sharing"",""พะเยา!I703"")"),70)</f>
        <v>70</v>
      </c>
      <c r="P20" s="152">
        <f ca="1">IFERROR(__xludf.DUMMYFUNCTION("IMPORTRANGE(""https://docs.google.com/spreadsheets/d/1uu4nAn4Dbi1XREnLKKotUANlKXa7yCgRcgq8HEzQYW8/edit?usp=sharing"",""พะเยา!J703"")"),99)</f>
        <v>99</v>
      </c>
      <c r="Q20" s="152">
        <f ca="1">IFERROR(__xludf.DUMMYFUNCTION("IMPORTRANGE(""https://docs.google.com/spreadsheets/d/1uu4nAn4Dbi1XREnLKKotUANlKXa7yCgRcgq8HEzQYW8/edit?usp=sharing"",""พะเยา!J704"")"),115.89)</f>
        <v>115.89</v>
      </c>
      <c r="R20" s="216">
        <f t="shared" ca="1" si="31"/>
        <v>141.42857142857142</v>
      </c>
      <c r="S20" s="632">
        <f ca="1">IFERROR(__xludf.DUMMYFUNCTION("IMPORTRANGE(""https://docs.google.com/spreadsheets/d/1uu4nAn4Dbi1XREnLKKotUANlKXa7yCgRcgq8HEzQYW8/edit?usp=sharing"",""พะเยา!I705"")"),4)</f>
        <v>4</v>
      </c>
      <c r="T20" s="251">
        <f ca="1">IFERROR(__xludf.DUMMYFUNCTION("IMPORTRANGE(""https://docs.google.com/spreadsheets/d/1uu4nAn4Dbi1XREnLKKotUANlKXa7yCgRcgq8HEzQYW8/edit?usp=sharing"",""พะเยา!J705"")"),0)</f>
        <v>0</v>
      </c>
      <c r="U20" s="251">
        <f ca="1">IFERROR(__xludf.DUMMYFUNCTION("IMPORTRANGE(""https://docs.google.com/spreadsheets/d/1uu4nAn4Dbi1XREnLKKotUANlKXa7yCgRcgq8HEzQYW8/edit?usp=sharing"",""พะเยา!J706"")"),0)</f>
        <v>0</v>
      </c>
      <c r="V20" s="605">
        <f t="shared" ca="1" si="33"/>
        <v>0</v>
      </c>
      <c r="W20" s="278">
        <f ca="1">IFERROR(__xludf.DUMMYFUNCTION("IMPORTRANGE(""https://docs.google.com/spreadsheets/d/1uu4nAn4Dbi1XREnLKKotUANlKXa7yCgRcgq8HEzQYW8/edit?usp=sharing"",""พะเยา!I707"")"),70)</f>
        <v>70</v>
      </c>
      <c r="X20" s="152">
        <f ca="1">IFERROR(__xludf.DUMMYFUNCTION("IMPORTRANGE(""https://docs.google.com/spreadsheets/d/1uu4nAn4Dbi1XREnLKKotUANlKXa7yCgRcgq8HEzQYW8/edit?usp=sharing"",""พะเยา!J707"")"),99)</f>
        <v>99</v>
      </c>
      <c r="Y20" s="152">
        <f ca="1">IFERROR(__xludf.DUMMYFUNCTION("IMPORTRANGE(""https://docs.google.com/spreadsheets/d/1uu4nAn4Dbi1XREnLKKotUANlKXa7yCgRcgq8HEzQYW8/edit?usp=sharing"",""พะเยา!J708"")"),86)</f>
        <v>86</v>
      </c>
      <c r="Z20" s="216">
        <f t="shared" ca="1" si="35"/>
        <v>141.42857142857142</v>
      </c>
      <c r="AA20" s="632">
        <f ca="1">IFERROR(__xludf.DUMMYFUNCTION("IMPORTRANGE(""https://docs.google.com/spreadsheets/d/1uu4nAn4Dbi1XREnLKKotUANlKXa7yCgRcgq8HEzQYW8/edit?usp=sharing"",""พะเยา!I709"")"),4)</f>
        <v>4</v>
      </c>
      <c r="AB20" s="251">
        <f ca="1">IFERROR(__xludf.DUMMYFUNCTION("IMPORTRANGE(""https://docs.google.com/spreadsheets/d/1uu4nAn4Dbi1XREnLKKotUANlKXa7yCgRcgq8HEzQYW8/edit?usp=sharing"",""พะเยา!J709"")"),2)</f>
        <v>2</v>
      </c>
      <c r="AC20" s="251">
        <f ca="1">IFERROR(__xludf.DUMMYFUNCTION("IMPORTRANGE(""https://docs.google.com/spreadsheets/d/1uu4nAn4Dbi1XREnLKKotUANlKXa7yCgRcgq8HEzQYW8/edit?usp=sharing"",""พะเยา!J710"")"),0)</f>
        <v>0</v>
      </c>
      <c r="AD20" s="605">
        <f t="shared" ca="1" si="37"/>
        <v>50</v>
      </c>
    </row>
    <row r="21" spans="1:30" ht="19.5" x14ac:dyDescent="0.3">
      <c r="A21" s="70">
        <v>8</v>
      </c>
      <c r="B21" s="71" t="s">
        <v>49</v>
      </c>
      <c r="C21" s="68">
        <f ca="1">IFERROR(__xludf.DUMMYFUNCTION("IMPORTRANGE(""https://docs.google.com/spreadsheets/d/1xfJKIQxVOaPDIICqsflNlLu3JacTDk1FP9RH4phX7mI/edit?usp=sharing"",""พิจิตร!Q690"")"),198670)</f>
        <v>198670</v>
      </c>
      <c r="D21" s="68">
        <f ca="1">IFERROR(__xludf.DUMMYFUNCTION("IMPORTRANGE(""https://docs.google.com/spreadsheets/d/1xfJKIQxVOaPDIICqsflNlLu3JacTDk1FP9RH4phX7mI/edit?usp=sharing"",""พิจิตร!R690"")"),198670)</f>
        <v>198670</v>
      </c>
      <c r="E21" s="68">
        <f ca="1">IFERROR(__xludf.DUMMYFUNCTION("IMPORTRANGE(""https://docs.google.com/spreadsheets/d/1xfJKIQxVOaPDIICqsflNlLu3JacTDk1FP9RH4phX7mI/edit?usp=sharing"",""พิจิตร!S690"")"),149281)</f>
        <v>149281</v>
      </c>
      <c r="F21" s="68">
        <f t="shared" ca="1" si="24"/>
        <v>75.140182211707852</v>
      </c>
      <c r="G21" s="68">
        <f t="shared" ca="1" si="25"/>
        <v>75.140182211707852</v>
      </c>
      <c r="H21" s="278">
        <f ca="1">IFERROR(__xludf.DUMMYFUNCTION("IMPORTRANGE(""https://docs.google.com/spreadsheets/d/1xfJKIQxVOaPDIICqsflNlLu3JacTDk1FP9RH4phX7mI/edit?usp=sharing"",""พิจิตร!I700"")"),0)</f>
        <v>0</v>
      </c>
      <c r="I21" s="152">
        <f ca="1">IFERROR(__xludf.DUMMYFUNCTION("IMPORTRANGE(""https://docs.google.com/spreadsheets/d/1xfJKIQxVOaPDIICqsflNlLu3JacTDk1FP9RH4phX7mI/edit?usp=sharing"",""พิจิตร!J700"")"),0)</f>
        <v>0</v>
      </c>
      <c r="J21" s="216">
        <f t="shared" ca="1" si="27"/>
        <v>0</v>
      </c>
      <c r="K21" s="278">
        <f ca="1">IFERROR(__xludf.DUMMYFUNCTION("IMPORTRANGE(""https://docs.google.com/spreadsheets/d/1xfJKIQxVOaPDIICqsflNlLu3JacTDk1FP9RH4phX7mI/edit?usp=sharing"",""พิจิตร!I701"")"),94)</f>
        <v>94</v>
      </c>
      <c r="L21" s="152">
        <f ca="1">IFERROR(__xludf.DUMMYFUNCTION("IMPORTRANGE(""https://docs.google.com/spreadsheets/d/1xfJKIQxVOaPDIICqsflNlLu3JacTDk1FP9RH4phX7mI/edit?usp=sharing"",""พิจิตร!J701"")"),134)</f>
        <v>134</v>
      </c>
      <c r="M21" s="152">
        <f ca="1">IFERROR(__xludf.DUMMYFUNCTION("IMPORTRANGE(""https://docs.google.com/spreadsheets/d/1xfJKIQxVOaPDIICqsflNlLu3JacTDk1FP9RH4phX7mI/edit?usp=sharing"",""พิจิตร!J702"")"),82.66)</f>
        <v>82.66</v>
      </c>
      <c r="N21" s="216">
        <f t="shared" ca="1" si="29"/>
        <v>142.55319148936169</v>
      </c>
      <c r="O21" s="278">
        <f ca="1">IFERROR(__xludf.DUMMYFUNCTION("IMPORTRANGE(""https://docs.google.com/spreadsheets/d/1xfJKIQxVOaPDIICqsflNlLu3JacTDk1FP9RH4phX7mI/edit?usp=sharing"",""พิจิตร!I703"")"),90)</f>
        <v>90</v>
      </c>
      <c r="P21" s="152">
        <f ca="1">IFERROR(__xludf.DUMMYFUNCTION("IMPORTRANGE(""https://docs.google.com/spreadsheets/d/1xfJKIQxVOaPDIICqsflNlLu3JacTDk1FP9RH4phX7mI/edit?usp=sharing"",""พิจิตร!J703"")"),134)</f>
        <v>134</v>
      </c>
      <c r="Q21" s="152">
        <f ca="1">IFERROR(__xludf.DUMMYFUNCTION("IMPORTRANGE(""https://docs.google.com/spreadsheets/d/1xfJKIQxVOaPDIICqsflNlLu3JacTDk1FP9RH4phX7mI/edit?usp=sharing"",""พิจิตร!J704"")"),82.66)</f>
        <v>82.66</v>
      </c>
      <c r="R21" s="216">
        <f t="shared" ca="1" si="31"/>
        <v>148.88888888888889</v>
      </c>
      <c r="S21" s="632">
        <f ca="1">IFERROR(__xludf.DUMMYFUNCTION("IMPORTRANGE(""https://docs.google.com/spreadsheets/d/1xfJKIQxVOaPDIICqsflNlLu3JacTDk1FP9RH4phX7mI/edit?usp=sharing"",""พิจิตร!I705"")"),4)</f>
        <v>4</v>
      </c>
      <c r="T21" s="251">
        <f ca="1">IFERROR(__xludf.DUMMYFUNCTION("IMPORTRANGE(""https://docs.google.com/spreadsheets/d/1xfJKIQxVOaPDIICqsflNlLu3JacTDk1FP9RH4phX7mI/edit?usp=sharing"",""พิจิตร!J705"")"),0)</f>
        <v>0</v>
      </c>
      <c r="U21" s="251">
        <f ca="1">IFERROR(__xludf.DUMMYFUNCTION("IMPORTRANGE(""https://docs.google.com/spreadsheets/d/1xfJKIQxVOaPDIICqsflNlLu3JacTDk1FP9RH4phX7mI/edit?usp=sharing"",""พิจิตร!J706"")"),0)</f>
        <v>0</v>
      </c>
      <c r="V21" s="605">
        <f t="shared" ca="1" si="33"/>
        <v>0</v>
      </c>
      <c r="W21" s="278">
        <f ca="1">IFERROR(__xludf.DUMMYFUNCTION("IMPORTRANGE(""https://docs.google.com/spreadsheets/d/1xfJKIQxVOaPDIICqsflNlLu3JacTDk1FP9RH4phX7mI/edit?usp=sharing"",""พิจิตร!I707"")"),90)</f>
        <v>90</v>
      </c>
      <c r="X21" s="152">
        <f ca="1">IFERROR(__xludf.DUMMYFUNCTION("IMPORTRANGE(""https://docs.google.com/spreadsheets/d/1xfJKIQxVOaPDIICqsflNlLu3JacTDk1FP9RH4phX7mI/edit?usp=sharing"",""พิจิตร!J707"")"),49)</f>
        <v>49</v>
      </c>
      <c r="Y21" s="152">
        <f ca="1">IFERROR(__xludf.DUMMYFUNCTION("IMPORTRANGE(""https://docs.google.com/spreadsheets/d/1xfJKIQxVOaPDIICqsflNlLu3JacTDk1FP9RH4phX7mI/edit?usp=sharing"",""พิจิตร!J708"")"),35)</f>
        <v>35</v>
      </c>
      <c r="Z21" s="216">
        <f t="shared" ca="1" si="35"/>
        <v>54.444444444444443</v>
      </c>
      <c r="AA21" s="632">
        <f ca="1">IFERROR(__xludf.DUMMYFUNCTION("IMPORTRANGE(""https://docs.google.com/spreadsheets/d/1xfJKIQxVOaPDIICqsflNlLu3JacTDk1FP9RH4phX7mI/edit?usp=sharing"",""พิจิตร!I709"")"),4)</f>
        <v>4</v>
      </c>
      <c r="AB21" s="251">
        <f ca="1">IFERROR(__xludf.DUMMYFUNCTION("IMPORTRANGE(""https://docs.google.com/spreadsheets/d/1xfJKIQxVOaPDIICqsflNlLu3JacTDk1FP9RH4phX7mI/edit?usp=sharing"",""พิจิตร!J709"")"),3)</f>
        <v>3</v>
      </c>
      <c r="AC21" s="251">
        <f ca="1">IFERROR(__xludf.DUMMYFUNCTION("IMPORTRANGE(""https://docs.google.com/spreadsheets/d/1xfJKIQxVOaPDIICqsflNlLu3JacTDk1FP9RH4phX7mI/edit?usp=sharing"",""พิจิตร!J710"")"),0)</f>
        <v>0</v>
      </c>
      <c r="AD21" s="605">
        <f t="shared" ca="1" si="37"/>
        <v>75</v>
      </c>
    </row>
    <row r="22" spans="1:30" ht="19.5" x14ac:dyDescent="0.3">
      <c r="A22" s="70">
        <v>9</v>
      </c>
      <c r="B22" s="71" t="s">
        <v>50</v>
      </c>
      <c r="C22" s="68">
        <f ca="1">IFERROR(__xludf.DUMMYFUNCTION("IMPORTRANGE(""https://docs.google.com/spreadsheets/d/1JtRfZkJMHtEhI5RdRHxYUG4FIZHqKDpNyIuN7A1Q0_k/edit?usp=sharing"",""พิษณุโลก!Q690"")"),206850)</f>
        <v>206850</v>
      </c>
      <c r="D22" s="68">
        <f ca="1">IFERROR(__xludf.DUMMYFUNCTION("IMPORTRANGE(""https://docs.google.com/spreadsheets/d/1JtRfZkJMHtEhI5RdRHxYUG4FIZHqKDpNyIuN7A1Q0_k/edit?usp=sharing"",""พิษณุโลก!R690"")"),206850)</f>
        <v>206850</v>
      </c>
      <c r="E22" s="68">
        <f ca="1">IFERROR(__xludf.DUMMYFUNCTION("IMPORTRANGE(""https://docs.google.com/spreadsheets/d/1JtRfZkJMHtEhI5RdRHxYUG4FIZHqKDpNyIuN7A1Q0_k/edit?usp=sharing"",""พิษณุโลก!S690"")"),67891)</f>
        <v>67891</v>
      </c>
      <c r="F22" s="68">
        <f t="shared" ca="1" si="24"/>
        <v>32.821368141165095</v>
      </c>
      <c r="G22" s="68">
        <f t="shared" ca="1" si="25"/>
        <v>32.821368141165095</v>
      </c>
      <c r="H22" s="278">
        <f ca="1">IFERROR(__xludf.DUMMYFUNCTION("IMPORTRANGE(""https://docs.google.com/spreadsheets/d/1JtRfZkJMHtEhI5RdRHxYUG4FIZHqKDpNyIuN7A1Q0_k/edit?usp=sharing"",""พิษณุโลก!I700"")"),0)</f>
        <v>0</v>
      </c>
      <c r="I22" s="152">
        <f ca="1">IFERROR(__xludf.DUMMYFUNCTION("IMPORTRANGE(""https://docs.google.com/spreadsheets/d/1JtRfZkJMHtEhI5RdRHxYUG4FIZHqKDpNyIuN7A1Q0_k/edit?usp=sharing"",""พิษณุโลก!J700"")"),0)</f>
        <v>0</v>
      </c>
      <c r="J22" s="216">
        <f t="shared" ca="1" si="27"/>
        <v>0</v>
      </c>
      <c r="K22" s="278">
        <f ca="1">IFERROR(__xludf.DUMMYFUNCTION("IMPORTRANGE(""https://docs.google.com/spreadsheets/d/1JtRfZkJMHtEhI5RdRHxYUG4FIZHqKDpNyIuN7A1Q0_k/edit?usp=sharing"",""พิษณุโลก!I701"")"),98)</f>
        <v>98</v>
      </c>
      <c r="L22" s="152">
        <f ca="1">IFERROR(__xludf.DUMMYFUNCTION("IMPORTRANGE(""https://docs.google.com/spreadsheets/d/1JtRfZkJMHtEhI5RdRHxYUG4FIZHqKDpNyIuN7A1Q0_k/edit?usp=sharing"",""พิษณุโลก!J701"")"),0)</f>
        <v>0</v>
      </c>
      <c r="M22" s="152">
        <f ca="1">IFERROR(__xludf.DUMMYFUNCTION("IMPORTRANGE(""https://docs.google.com/spreadsheets/d/1JtRfZkJMHtEhI5RdRHxYUG4FIZHqKDpNyIuN7A1Q0_k/edit?usp=sharing"",""พิษณุโลก!J702"")"),0)</f>
        <v>0</v>
      </c>
      <c r="N22" s="216">
        <f t="shared" ca="1" si="29"/>
        <v>0</v>
      </c>
      <c r="O22" s="278">
        <f ca="1">IFERROR(__xludf.DUMMYFUNCTION("IMPORTRANGE(""https://docs.google.com/spreadsheets/d/1JtRfZkJMHtEhI5RdRHxYUG4FIZHqKDpNyIuN7A1Q0_k/edit?usp=sharing"",""พิษณุโลก!I703"")"),93)</f>
        <v>93</v>
      </c>
      <c r="P22" s="152">
        <f ca="1">IFERROR(__xludf.DUMMYFUNCTION("IMPORTRANGE(""https://docs.google.com/spreadsheets/d/1JtRfZkJMHtEhI5RdRHxYUG4FIZHqKDpNyIuN7A1Q0_k/edit?usp=sharing"",""พิษณุโลก!J703"")"),0)</f>
        <v>0</v>
      </c>
      <c r="Q22" s="152">
        <f ca="1">IFERROR(__xludf.DUMMYFUNCTION("IMPORTRANGE(""https://docs.google.com/spreadsheets/d/1JtRfZkJMHtEhI5RdRHxYUG4FIZHqKDpNyIuN7A1Q0_k/edit?usp=sharing"",""พิษณุโลก!J704"")"),0)</f>
        <v>0</v>
      </c>
      <c r="R22" s="216">
        <f t="shared" ca="1" si="31"/>
        <v>0</v>
      </c>
      <c r="S22" s="632">
        <f ca="1">IFERROR(__xludf.DUMMYFUNCTION("IMPORTRANGE(""https://docs.google.com/spreadsheets/d/1JtRfZkJMHtEhI5RdRHxYUG4FIZHqKDpNyIuN7A1Q0_k/edit?usp=sharing"",""พิษณุโลก!I705"")"),5)</f>
        <v>5</v>
      </c>
      <c r="T22" s="251">
        <f ca="1">IFERROR(__xludf.DUMMYFUNCTION("IMPORTRANGE(""https://docs.google.com/spreadsheets/d/1JtRfZkJMHtEhI5RdRHxYUG4FIZHqKDpNyIuN7A1Q0_k/edit?usp=sharing"",""พิษณุโลก!J705"")"),0)</f>
        <v>0</v>
      </c>
      <c r="U22" s="251">
        <f ca="1">IFERROR(__xludf.DUMMYFUNCTION("IMPORTRANGE(""https://docs.google.com/spreadsheets/d/1JtRfZkJMHtEhI5RdRHxYUG4FIZHqKDpNyIuN7A1Q0_k/edit?usp=sharing"",""พิษณุโลก!J706"")"),0)</f>
        <v>0</v>
      </c>
      <c r="V22" s="605">
        <f t="shared" ca="1" si="33"/>
        <v>0</v>
      </c>
      <c r="W22" s="278">
        <f ca="1">IFERROR(__xludf.DUMMYFUNCTION("IMPORTRANGE(""https://docs.google.com/spreadsheets/d/1JtRfZkJMHtEhI5RdRHxYUG4FIZHqKDpNyIuN7A1Q0_k/edit?usp=sharing"",""พิษณุโลก!I707"")"),93)</f>
        <v>93</v>
      </c>
      <c r="X22" s="152">
        <f ca="1">IFERROR(__xludf.DUMMYFUNCTION("IMPORTRANGE(""https://docs.google.com/spreadsheets/d/1JtRfZkJMHtEhI5RdRHxYUG4FIZHqKDpNyIuN7A1Q0_k/edit?usp=sharing"",""พิษณุโลก!J707"")"),0)</f>
        <v>0</v>
      </c>
      <c r="Y22" s="152">
        <f ca="1">IFERROR(__xludf.DUMMYFUNCTION("IMPORTRANGE(""https://docs.google.com/spreadsheets/d/1JtRfZkJMHtEhI5RdRHxYUG4FIZHqKDpNyIuN7A1Q0_k/edit?usp=sharing"",""พิษณุโลก!J708"")"),0)</f>
        <v>0</v>
      </c>
      <c r="Z22" s="216">
        <f t="shared" ca="1" si="35"/>
        <v>0</v>
      </c>
      <c r="AA22" s="632">
        <f ca="1">IFERROR(__xludf.DUMMYFUNCTION("IMPORTRANGE(""https://docs.google.com/spreadsheets/d/1JtRfZkJMHtEhI5RdRHxYUG4FIZHqKDpNyIuN7A1Q0_k/edit?usp=sharing"",""พิษณุโลก!I709"")"),5)</f>
        <v>5</v>
      </c>
      <c r="AB22" s="251">
        <f ca="1">IFERROR(__xludf.DUMMYFUNCTION("IMPORTRANGE(""https://docs.google.com/spreadsheets/d/1JtRfZkJMHtEhI5RdRHxYUG4FIZHqKDpNyIuN7A1Q0_k/edit?usp=sharing"",""พิษณุโลก!J709"")"),6)</f>
        <v>6</v>
      </c>
      <c r="AC22" s="251">
        <f ca="1">IFERROR(__xludf.DUMMYFUNCTION("IMPORTRANGE(""https://docs.google.com/spreadsheets/d/1JtRfZkJMHtEhI5RdRHxYUG4FIZHqKDpNyIuN7A1Q0_k/edit?usp=sharing"",""พิษณุโลก!J710"")"),0)</f>
        <v>0</v>
      </c>
      <c r="AD22" s="605">
        <f t="shared" ca="1" si="37"/>
        <v>120</v>
      </c>
    </row>
    <row r="23" spans="1:30" ht="19.5" x14ac:dyDescent="0.3">
      <c r="A23" s="70">
        <v>10</v>
      </c>
      <c r="B23" s="71" t="s">
        <v>51</v>
      </c>
      <c r="C23" s="68">
        <f ca="1">IFERROR(__xludf.DUMMYFUNCTION("IMPORTRANGE(""https://docs.google.com/spreadsheets/d/1xlcVZWUNn6SuWm0c307h32SiGkd9BaeQWlAktfD3KO8/edit?usp=sharing"",""เพชรบูรณ์!Q690"")"),324340)</f>
        <v>324340</v>
      </c>
      <c r="D23" s="68">
        <f ca="1">IFERROR(__xludf.DUMMYFUNCTION("IMPORTRANGE(""https://docs.google.com/spreadsheets/d/1xlcVZWUNn6SuWm0c307h32SiGkd9BaeQWlAktfD3KO8/edit?usp=sharing"",""เพชรบูรณ์!R690"")"),324340)</f>
        <v>324340</v>
      </c>
      <c r="E23" s="68">
        <f ca="1">IFERROR(__xludf.DUMMYFUNCTION("IMPORTRANGE(""https://docs.google.com/spreadsheets/d/1xlcVZWUNn6SuWm0c307h32SiGkd9BaeQWlAktfD3KO8/edit?usp=sharing"",""เพชรบูรณ์!S690"")"),201941.5)</f>
        <v>201941.5</v>
      </c>
      <c r="F23" s="68">
        <f t="shared" ca="1" si="24"/>
        <v>62.262286489486343</v>
      </c>
      <c r="G23" s="68">
        <f t="shared" ca="1" si="25"/>
        <v>62.262286489486343</v>
      </c>
      <c r="H23" s="278">
        <f ca="1">IFERROR(__xludf.DUMMYFUNCTION("IMPORTRANGE(""https://docs.google.com/spreadsheets/d/1xlcVZWUNn6SuWm0c307h32SiGkd9BaeQWlAktfD3KO8/edit?usp=sharing"",""เพชรบูรณ์!I700"")"),0)</f>
        <v>0</v>
      </c>
      <c r="I23" s="397">
        <f ca="1">IFERROR(__xludf.DUMMYFUNCTION("IMPORTRANGE(""https://docs.google.com/spreadsheets/d/1xlcVZWUNn6SuWm0c307h32SiGkd9BaeQWlAktfD3KO8/edit?usp=sharing"",""เพชรบูรณ์!J700"")"),0)</f>
        <v>0</v>
      </c>
      <c r="J23" s="216">
        <f t="shared" ca="1" si="27"/>
        <v>0</v>
      </c>
      <c r="K23" s="278">
        <f ca="1">IFERROR(__xludf.DUMMYFUNCTION("IMPORTRANGE(""https://docs.google.com/spreadsheets/d/1xlcVZWUNn6SuWm0c307h32SiGkd9BaeQWlAktfD3KO8/edit?usp=sharing"",""เพชรบูรณ์!I701"")"),204)</f>
        <v>204</v>
      </c>
      <c r="L23" s="397">
        <f ca="1">IFERROR(__xludf.DUMMYFUNCTION("IMPORTRANGE(""https://docs.google.com/spreadsheets/d/1xlcVZWUNn6SuWm0c307h32SiGkd9BaeQWlAktfD3KO8/edit?usp=sharing"",""เพชรบูรณ์!J701"")"),215)</f>
        <v>215</v>
      </c>
      <c r="M23" s="397">
        <f ca="1">IFERROR(__xludf.DUMMYFUNCTION("IMPORTRANGE(""https://docs.google.com/spreadsheets/d/1xlcVZWUNn6SuWm0c307h32SiGkd9BaeQWlAktfD3KO8/edit?usp=sharing"",""เพชรบูรณ์!J702"")"),78.56)</f>
        <v>78.56</v>
      </c>
      <c r="N23" s="216">
        <f t="shared" ca="1" si="29"/>
        <v>105.3921568627451</v>
      </c>
      <c r="O23" s="278">
        <f ca="1">IFERROR(__xludf.DUMMYFUNCTION("IMPORTRANGE(""https://docs.google.com/spreadsheets/d/1xlcVZWUNn6SuWm0c307h32SiGkd9BaeQWlAktfD3KO8/edit?usp=sharing"",""เพชรบูรณ์!I703"")"),200)</f>
        <v>200</v>
      </c>
      <c r="P23" s="397">
        <f ca="1">IFERROR(__xludf.DUMMYFUNCTION("IMPORTRANGE(""https://docs.google.com/spreadsheets/d/1xlcVZWUNn6SuWm0c307h32SiGkd9BaeQWlAktfD3KO8/edit?usp=sharing"",""เพชรบูรณ์!J703"")"),215)</f>
        <v>215</v>
      </c>
      <c r="Q23" s="397">
        <f ca="1">IFERROR(__xludf.DUMMYFUNCTION("IMPORTRANGE(""https://docs.google.com/spreadsheets/d/1xlcVZWUNn6SuWm0c307h32SiGkd9BaeQWlAktfD3KO8/edit?usp=sharing"",""เพชรบูรณ์!J704"")"),78.56)</f>
        <v>78.56</v>
      </c>
      <c r="R23" s="216">
        <f t="shared" ca="1" si="31"/>
        <v>107.5</v>
      </c>
      <c r="S23" s="632">
        <f ca="1">IFERROR(__xludf.DUMMYFUNCTION("IMPORTRANGE(""https://docs.google.com/spreadsheets/d/1xlcVZWUNn6SuWm0c307h32SiGkd9BaeQWlAktfD3KO8/edit?usp=sharing"",""เพชรบูรณ์!I705"")"),4)</f>
        <v>4</v>
      </c>
      <c r="T23" s="251">
        <f ca="1">IFERROR(__xludf.DUMMYFUNCTION("IMPORTRANGE(""https://docs.google.com/spreadsheets/d/1xlcVZWUNn6SuWm0c307h32SiGkd9BaeQWlAktfD3KO8/edit?usp=sharing"",""เพชรบูรณ์!J705"")"),0)</f>
        <v>0</v>
      </c>
      <c r="U23" s="251">
        <f ca="1">IFERROR(__xludf.DUMMYFUNCTION("IMPORTRANGE(""https://docs.google.com/spreadsheets/d/1xlcVZWUNn6SuWm0c307h32SiGkd9BaeQWlAktfD3KO8/edit?usp=sharing"",""เพชรบูรณ์!J706"")"),0)</f>
        <v>0</v>
      </c>
      <c r="V23" s="605">
        <f t="shared" ca="1" si="33"/>
        <v>0</v>
      </c>
      <c r="W23" s="278">
        <f ca="1">IFERROR(__xludf.DUMMYFUNCTION("IMPORTRANGE(""https://docs.google.com/spreadsheets/d/1xlcVZWUNn6SuWm0c307h32SiGkd9BaeQWlAktfD3KO8/edit?usp=sharing"",""เพชรบูรณ์!I707"")"),200)</f>
        <v>200</v>
      </c>
      <c r="X23" s="397">
        <f ca="1">IFERROR(__xludf.DUMMYFUNCTION("IMPORTRANGE(""https://docs.google.com/spreadsheets/d/1xlcVZWUNn6SuWm0c307h32SiGkd9BaeQWlAktfD3KO8/edit?usp=sharing"",""เพชรบูรณ์!J707"")"),0)</f>
        <v>0</v>
      </c>
      <c r="Y23" s="397">
        <f ca="1">IFERROR(__xludf.DUMMYFUNCTION("IMPORTRANGE(""https://docs.google.com/spreadsheets/d/1xlcVZWUNn6SuWm0c307h32SiGkd9BaeQWlAktfD3KO8/edit?usp=sharing"",""เพชรบูรณ์!J708"")"),0)</f>
        <v>0</v>
      </c>
      <c r="Z23" s="216">
        <f t="shared" ca="1" si="35"/>
        <v>0</v>
      </c>
      <c r="AA23" s="632">
        <f ca="1">IFERROR(__xludf.DUMMYFUNCTION("IMPORTRANGE(""https://docs.google.com/spreadsheets/d/1xlcVZWUNn6SuWm0c307h32SiGkd9BaeQWlAktfD3KO8/edit?usp=sharing"",""เพชรบูรณ์!I709"")"),4)</f>
        <v>4</v>
      </c>
      <c r="AB23" s="251">
        <f ca="1">IFERROR(__xludf.DUMMYFUNCTION("IMPORTRANGE(""https://docs.google.com/spreadsheets/d/1xlcVZWUNn6SuWm0c307h32SiGkd9BaeQWlAktfD3KO8/edit?usp=sharing"",""เพชรบูรณ์!J709"")"),9)</f>
        <v>9</v>
      </c>
      <c r="AC23" s="251">
        <f ca="1">IFERROR(__xludf.DUMMYFUNCTION("IMPORTRANGE(""https://docs.google.com/spreadsheets/d/1xlcVZWUNn6SuWm0c307h32SiGkd9BaeQWlAktfD3KO8/edit?usp=sharing"",""เพชรบูรณ์!J710"")"),0)</f>
        <v>0</v>
      </c>
      <c r="AD23" s="605">
        <f t="shared" ca="1" si="37"/>
        <v>225</v>
      </c>
    </row>
    <row r="24" spans="1:30" ht="19.5" x14ac:dyDescent="0.3">
      <c r="A24" s="70">
        <v>11</v>
      </c>
      <c r="B24" s="71" t="s">
        <v>52</v>
      </c>
      <c r="C24" s="68">
        <f ca="1">IFERROR(__xludf.DUMMYFUNCTION("IMPORTRANGE(""https://docs.google.com/spreadsheets/d/1lOVebEIsI9qjGXl6EX66luk7wiuP2tBaryw-wKvv4e0/edit?usp=sharing"",""แพร่!Q690"")"),144340)</f>
        <v>144340</v>
      </c>
      <c r="D24" s="68">
        <f ca="1">IFERROR(__xludf.DUMMYFUNCTION("IMPORTRANGE(""https://docs.google.com/spreadsheets/d/1lOVebEIsI9qjGXl6EX66luk7wiuP2tBaryw-wKvv4e0/edit?usp=sharing"",""แพร่!R690"")"),144340)</f>
        <v>144340</v>
      </c>
      <c r="E24" s="68">
        <f ca="1">IFERROR(__xludf.DUMMYFUNCTION("IMPORTRANGE(""https://docs.google.com/spreadsheets/d/1lOVebEIsI9qjGXl6EX66luk7wiuP2tBaryw-wKvv4e0/edit?usp=sharing"",""แพร่!S690"")"),41780)</f>
        <v>41780</v>
      </c>
      <c r="F24" s="68">
        <f t="shared" ca="1" si="24"/>
        <v>28.945545240404599</v>
      </c>
      <c r="G24" s="68">
        <f t="shared" ca="1" si="25"/>
        <v>28.945545240404599</v>
      </c>
      <c r="H24" s="278">
        <f ca="1">IFERROR(__xludf.DUMMYFUNCTION("IMPORTRANGE(""https://docs.google.com/spreadsheets/d/1lOVebEIsI9qjGXl6EX66luk7wiuP2tBaryw-wKvv4e0/edit?usp=sharing"",""แพร่!I700"")"),0)</f>
        <v>0</v>
      </c>
      <c r="I24" s="152">
        <f ca="1">IFERROR(__xludf.DUMMYFUNCTION("IMPORTRANGE(""https://docs.google.com/spreadsheets/d/1lOVebEIsI9qjGXl6EX66luk7wiuP2tBaryw-wKvv4e0/edit?usp=sharing"",""แพร่!J700"")"),0)</f>
        <v>0</v>
      </c>
      <c r="J24" s="216">
        <f t="shared" ca="1" si="27"/>
        <v>0</v>
      </c>
      <c r="K24" s="278">
        <f ca="1">IFERROR(__xludf.DUMMYFUNCTION("IMPORTRANGE(""https://docs.google.com/spreadsheets/d/1lOVebEIsI9qjGXl6EX66luk7wiuP2tBaryw-wKvv4e0/edit?usp=sharing"",""แพร่!I701"")"),55)</f>
        <v>55</v>
      </c>
      <c r="L24" s="152">
        <f ca="1">IFERROR(__xludf.DUMMYFUNCTION("IMPORTRANGE(""https://docs.google.com/spreadsheets/d/1lOVebEIsI9qjGXl6EX66luk7wiuP2tBaryw-wKvv4e0/edit?usp=sharing"",""แพร่!J701"")"),20)</f>
        <v>20</v>
      </c>
      <c r="M24" s="152">
        <f ca="1">IFERROR(__xludf.DUMMYFUNCTION("IMPORTRANGE(""https://docs.google.com/spreadsheets/d/1lOVebEIsI9qjGXl6EX66luk7wiuP2tBaryw-wKvv4e0/edit?usp=sharing"",""แพร่!J702"")"),10.06)</f>
        <v>10.06</v>
      </c>
      <c r="N24" s="216">
        <f t="shared" ca="1" si="29"/>
        <v>36.363636363636367</v>
      </c>
      <c r="O24" s="278">
        <f ca="1">IFERROR(__xludf.DUMMYFUNCTION("IMPORTRANGE(""https://docs.google.com/spreadsheets/d/1lOVebEIsI9qjGXl6EX66luk7wiuP2tBaryw-wKvv4e0/edit?usp=sharing"",""แพร่!I703"")"),52)</f>
        <v>52</v>
      </c>
      <c r="P24" s="152">
        <f ca="1">IFERROR(__xludf.DUMMYFUNCTION("IMPORTRANGE(""https://docs.google.com/spreadsheets/d/1lOVebEIsI9qjGXl6EX66luk7wiuP2tBaryw-wKvv4e0/edit?usp=sharing"",""แพร่!J703"")"),20)</f>
        <v>20</v>
      </c>
      <c r="Q24" s="152">
        <f ca="1">IFERROR(__xludf.DUMMYFUNCTION("IMPORTRANGE(""https://docs.google.com/spreadsheets/d/1lOVebEIsI9qjGXl6EX66luk7wiuP2tBaryw-wKvv4e0/edit?usp=sharing"",""แพร่!J704"")"),10.06)</f>
        <v>10.06</v>
      </c>
      <c r="R24" s="216">
        <f t="shared" ca="1" si="31"/>
        <v>38.46153846153846</v>
      </c>
      <c r="S24" s="632">
        <f ca="1">IFERROR(__xludf.DUMMYFUNCTION("IMPORTRANGE(""https://docs.google.com/spreadsheets/d/1lOVebEIsI9qjGXl6EX66luk7wiuP2tBaryw-wKvv4e0/edit?usp=sharing"",""แพร่!I705"")"),3)</f>
        <v>3</v>
      </c>
      <c r="T24" s="251">
        <f ca="1">IFERROR(__xludf.DUMMYFUNCTION("IMPORTRANGE(""https://docs.google.com/spreadsheets/d/1lOVebEIsI9qjGXl6EX66luk7wiuP2tBaryw-wKvv4e0/edit?usp=sharing"",""แพร่!J705"")"),0)</f>
        <v>0</v>
      </c>
      <c r="U24" s="251">
        <f ca="1">IFERROR(__xludf.DUMMYFUNCTION("IMPORTRANGE(""https://docs.google.com/spreadsheets/d/1lOVebEIsI9qjGXl6EX66luk7wiuP2tBaryw-wKvv4e0/edit?usp=sharing"",""แพร่!J706"")"),0)</f>
        <v>0</v>
      </c>
      <c r="V24" s="605">
        <f t="shared" ca="1" si="33"/>
        <v>0</v>
      </c>
      <c r="W24" s="278">
        <f ca="1">IFERROR(__xludf.DUMMYFUNCTION("IMPORTRANGE(""https://docs.google.com/spreadsheets/d/1lOVebEIsI9qjGXl6EX66luk7wiuP2tBaryw-wKvv4e0/edit?usp=sharing"",""แพร่!I707"")"),52)</f>
        <v>52</v>
      </c>
      <c r="X24" s="152">
        <f ca="1">IFERROR(__xludf.DUMMYFUNCTION("IMPORTRANGE(""https://docs.google.com/spreadsheets/d/1lOVebEIsI9qjGXl6EX66luk7wiuP2tBaryw-wKvv4e0/edit?usp=sharing"",""แพร่!J707"")"),20)</f>
        <v>20</v>
      </c>
      <c r="Y24" s="152">
        <f ca="1">IFERROR(__xludf.DUMMYFUNCTION("IMPORTRANGE(""https://docs.google.com/spreadsheets/d/1lOVebEIsI9qjGXl6EX66luk7wiuP2tBaryw-wKvv4e0/edit?usp=sharing"",""แพร่!J708"")"),10)</f>
        <v>10</v>
      </c>
      <c r="Z24" s="216">
        <f t="shared" ca="1" si="35"/>
        <v>38.46153846153846</v>
      </c>
      <c r="AA24" s="632">
        <f ca="1">IFERROR(__xludf.DUMMYFUNCTION("IMPORTRANGE(""https://docs.google.com/spreadsheets/d/1lOVebEIsI9qjGXl6EX66luk7wiuP2tBaryw-wKvv4e0/edit?usp=sharing"",""แพร่!I709"")"),3)</f>
        <v>3</v>
      </c>
      <c r="AB24" s="251">
        <f ca="1">IFERROR(__xludf.DUMMYFUNCTION("IMPORTRANGE(""https://docs.google.com/spreadsheets/d/1lOVebEIsI9qjGXl6EX66luk7wiuP2tBaryw-wKvv4e0/edit?usp=sharing"",""แพร่!J709"")"),0)</f>
        <v>0</v>
      </c>
      <c r="AC24" s="251">
        <f ca="1">IFERROR(__xludf.DUMMYFUNCTION("IMPORTRANGE(""https://docs.google.com/spreadsheets/d/1lOVebEIsI9qjGXl6EX66luk7wiuP2tBaryw-wKvv4e0/edit?usp=sharing"",""แพร่!J710"")"),0)</f>
        <v>0</v>
      </c>
      <c r="AD24" s="605">
        <f t="shared" ca="1" si="37"/>
        <v>0</v>
      </c>
    </row>
    <row r="25" spans="1:30" ht="19.5" x14ac:dyDescent="0.3">
      <c r="A25" s="70">
        <v>12</v>
      </c>
      <c r="B25" s="71" t="s">
        <v>53</v>
      </c>
      <c r="C25" s="68">
        <f ca="1">IFERROR(__xludf.DUMMYFUNCTION("IMPORTRANGE(""https://docs.google.com/spreadsheets/d/1dQrvX0vEcN7Gu0fnZ0B5S90AeR19zth4XlExFBeExMY/edit?usp=sharing"",""แม่ฮ่องสอน!Q690"")"),97970)</f>
        <v>97970</v>
      </c>
      <c r="D25" s="68">
        <f ca="1">IFERROR(__xludf.DUMMYFUNCTION("IMPORTRANGE(""https://docs.google.com/spreadsheets/d/1dQrvX0vEcN7Gu0fnZ0B5S90AeR19zth4XlExFBeExMY/edit?usp=sharing"",""แม่ฮ่องสอน!R690"")"),97970)</f>
        <v>97970</v>
      </c>
      <c r="E25" s="68">
        <f ca="1">IFERROR(__xludf.DUMMYFUNCTION("IMPORTRANGE(""https://docs.google.com/spreadsheets/d/1dQrvX0vEcN7Gu0fnZ0B5S90AeR19zth4XlExFBeExMY/edit?usp=sharing"",""แม่ฮ่องสอน!S690"")"),0)</f>
        <v>0</v>
      </c>
      <c r="F25" s="68">
        <f t="shared" ca="1" si="24"/>
        <v>0</v>
      </c>
      <c r="G25" s="68">
        <f t="shared" ca="1" si="25"/>
        <v>0</v>
      </c>
      <c r="H25" s="278">
        <f ca="1">IFERROR(__xludf.DUMMYFUNCTION("IMPORTRANGE(""https://docs.google.com/spreadsheets/d/1dQrvX0vEcN7Gu0fnZ0B5S90AeR19zth4XlExFBeExMY/edit?usp=sharing"",""แม่ฮ่องสอน!I700"")"),1)</f>
        <v>1</v>
      </c>
      <c r="I25" s="152">
        <f ca="1">IFERROR(__xludf.DUMMYFUNCTION("IMPORTRANGE(""https://docs.google.com/spreadsheets/d/1dQrvX0vEcN7Gu0fnZ0B5S90AeR19zth4XlExFBeExMY/edit?usp=sharing"",""แม่ฮ่องสอน!J700"")"),0)</f>
        <v>0</v>
      </c>
      <c r="J25" s="216">
        <f t="shared" ca="1" si="27"/>
        <v>0</v>
      </c>
      <c r="K25" s="278">
        <f ca="1">IFERROR(__xludf.DUMMYFUNCTION("IMPORTRANGE(""https://docs.google.com/spreadsheets/d/1dQrvX0vEcN7Gu0fnZ0B5S90AeR19zth4XlExFBeExMY/edit?usp=sharing"",""แม่ฮ่องสอน!I701"")"),2)</f>
        <v>2</v>
      </c>
      <c r="L25" s="152">
        <f ca="1">IFERROR(__xludf.DUMMYFUNCTION("IMPORTRANGE(""https://docs.google.com/spreadsheets/d/1dQrvX0vEcN7Gu0fnZ0B5S90AeR19zth4XlExFBeExMY/edit?usp=sharing"",""แม่ฮ่องสอน!J701"")"),0)</f>
        <v>0</v>
      </c>
      <c r="M25" s="152">
        <f ca="1">IFERROR(__xludf.DUMMYFUNCTION("IMPORTRANGE(""https://docs.google.com/spreadsheets/d/1dQrvX0vEcN7Gu0fnZ0B5S90AeR19zth4XlExFBeExMY/edit?usp=sharing"",""แม่ฮ่องสอน!J702"")"),0)</f>
        <v>0</v>
      </c>
      <c r="N25" s="216">
        <f t="shared" ca="1" si="29"/>
        <v>0</v>
      </c>
      <c r="O25" s="278">
        <f ca="1">IFERROR(__xludf.DUMMYFUNCTION("IMPORTRANGE(""https://docs.google.com/spreadsheets/d/1dQrvX0vEcN7Gu0fnZ0B5S90AeR19zth4XlExFBeExMY/edit?usp=sharing"",""แม่ฮ่องสอน!I703"")"),0)</f>
        <v>0</v>
      </c>
      <c r="P25" s="152">
        <f ca="1">IFERROR(__xludf.DUMMYFUNCTION("IMPORTRANGE(""https://docs.google.com/spreadsheets/d/1dQrvX0vEcN7Gu0fnZ0B5S90AeR19zth4XlExFBeExMY/edit?usp=sharing"",""แม่ฮ่องสอน!J703"")"),0)</f>
        <v>0</v>
      </c>
      <c r="Q25" s="152">
        <f ca="1">IFERROR(__xludf.DUMMYFUNCTION("IMPORTRANGE(""https://docs.google.com/spreadsheets/d/1dQrvX0vEcN7Gu0fnZ0B5S90AeR19zth4XlExFBeExMY/edit?usp=sharing"",""แม่ฮ่องสอน!J704"")"),0)</f>
        <v>0</v>
      </c>
      <c r="R25" s="216">
        <f t="shared" ca="1" si="31"/>
        <v>0</v>
      </c>
      <c r="S25" s="632">
        <f ca="1">IFERROR(__xludf.DUMMYFUNCTION("IMPORTRANGE(""https://docs.google.com/spreadsheets/d/1dQrvX0vEcN7Gu0fnZ0B5S90AeR19zth4XlExFBeExMY/edit?usp=sharing"",""แม่ฮ่องสอน!I705"")"),2)</f>
        <v>2</v>
      </c>
      <c r="T25" s="251">
        <f ca="1">IFERROR(__xludf.DUMMYFUNCTION("IMPORTRANGE(""https://docs.google.com/spreadsheets/d/1dQrvX0vEcN7Gu0fnZ0B5S90AeR19zth4XlExFBeExMY/edit?usp=sharing"",""แม่ฮ่องสอน!J705"")"),0)</f>
        <v>0</v>
      </c>
      <c r="U25" s="251">
        <f ca="1">IFERROR(__xludf.DUMMYFUNCTION("IMPORTRANGE(""https://docs.google.com/spreadsheets/d/1dQrvX0vEcN7Gu0fnZ0B5S90AeR19zth4XlExFBeExMY/edit?usp=sharing"",""แม่ฮ่องสอน!J706"")"),0)</f>
        <v>0</v>
      </c>
      <c r="V25" s="605">
        <f t="shared" ca="1" si="33"/>
        <v>0</v>
      </c>
      <c r="W25" s="278">
        <f ca="1">IFERROR(__xludf.DUMMYFUNCTION("IMPORTRANGE(""https://docs.google.com/spreadsheets/d/1dQrvX0vEcN7Gu0fnZ0B5S90AeR19zth4XlExFBeExMY/edit?usp=sharing"",""แม่ฮ่องสอน!I707"")"),0)</f>
        <v>0</v>
      </c>
      <c r="X25" s="152">
        <f ca="1">IFERROR(__xludf.DUMMYFUNCTION("IMPORTRANGE(""https://docs.google.com/spreadsheets/d/1dQrvX0vEcN7Gu0fnZ0B5S90AeR19zth4XlExFBeExMY/edit?usp=sharing"",""แม่ฮ่องสอน!J707"")"),0)</f>
        <v>0</v>
      </c>
      <c r="Y25" s="152">
        <f ca="1">IFERROR(__xludf.DUMMYFUNCTION("IMPORTRANGE(""https://docs.google.com/spreadsheets/d/1dQrvX0vEcN7Gu0fnZ0B5S90AeR19zth4XlExFBeExMY/edit?usp=sharing"",""แม่ฮ่องสอน!J708"")"),0)</f>
        <v>0</v>
      </c>
      <c r="Z25" s="216">
        <f t="shared" ca="1" si="35"/>
        <v>0</v>
      </c>
      <c r="AA25" s="632">
        <f ca="1">IFERROR(__xludf.DUMMYFUNCTION("IMPORTRANGE(""https://docs.google.com/spreadsheets/d/1dQrvX0vEcN7Gu0fnZ0B5S90AeR19zth4XlExFBeExMY/edit?usp=sharing"",""แม่ฮ่องสอน!I709"")"),2)</f>
        <v>2</v>
      </c>
      <c r="AB25" s="251">
        <f ca="1">IFERROR(__xludf.DUMMYFUNCTION("IMPORTRANGE(""https://docs.google.com/spreadsheets/d/1dQrvX0vEcN7Gu0fnZ0B5S90AeR19zth4XlExFBeExMY/edit?usp=sharing"",""แม่ฮ่องสอน!J709"")"),0)</f>
        <v>0</v>
      </c>
      <c r="AC25" s="251">
        <f ca="1">IFERROR(__xludf.DUMMYFUNCTION("IMPORTRANGE(""https://docs.google.com/spreadsheets/d/1dQrvX0vEcN7Gu0fnZ0B5S90AeR19zth4XlExFBeExMY/edit?usp=sharing"",""แม่ฮ่องสอน!J710"")"),0)</f>
        <v>0</v>
      </c>
      <c r="AD25" s="605">
        <f t="shared" ca="1" si="37"/>
        <v>0</v>
      </c>
    </row>
    <row r="26" spans="1:30" ht="19.5" x14ac:dyDescent="0.3">
      <c r="A26" s="70">
        <v>13</v>
      </c>
      <c r="B26" s="71" t="s">
        <v>54</v>
      </c>
      <c r="C26" s="68">
        <f ca="1">IFERROR(__xludf.DUMMYFUNCTION("IMPORTRANGE(""https://docs.google.com/spreadsheets/d/1DY4XTNNwjluuxqdfdn6qvOSlMRrZqUtmYcZR0ttFiG4/edit?usp=sharing"",""ลำปาง!Q690"")"),298240)</f>
        <v>298240</v>
      </c>
      <c r="D26" s="68">
        <f ca="1">IFERROR(__xludf.DUMMYFUNCTION("IMPORTRANGE(""https://docs.google.com/spreadsheets/d/1DY4XTNNwjluuxqdfdn6qvOSlMRrZqUtmYcZR0ttFiG4/edit?usp=sharing"",""ลำปาง!R690"")"),298240)</f>
        <v>298240</v>
      </c>
      <c r="E26" s="68">
        <f ca="1">IFERROR(__xludf.DUMMYFUNCTION("IMPORTRANGE(""https://docs.google.com/spreadsheets/d/1DY4XTNNwjluuxqdfdn6qvOSlMRrZqUtmYcZR0ttFiG4/edit?usp=sharing"",""ลำปาง!S690"")"),201595)</f>
        <v>201595</v>
      </c>
      <c r="F26" s="68">
        <f t="shared" ca="1" si="24"/>
        <v>67.594890021459221</v>
      </c>
      <c r="G26" s="68">
        <f t="shared" ca="1" si="25"/>
        <v>67.594890021459221</v>
      </c>
      <c r="H26" s="278">
        <f ca="1">IFERROR(__xludf.DUMMYFUNCTION("IMPORTRANGE(""https://docs.google.com/spreadsheets/d/1DY4XTNNwjluuxqdfdn6qvOSlMRrZqUtmYcZR0ttFiG4/edit?usp=sharing"",""ลำปาง!I700"")"),4)</f>
        <v>4</v>
      </c>
      <c r="I26" s="152">
        <f ca="1">IFERROR(__xludf.DUMMYFUNCTION("IMPORTRANGE(""https://docs.google.com/spreadsheets/d/1DY4XTNNwjluuxqdfdn6qvOSlMRrZqUtmYcZR0ttFiG4/edit?usp=sharing"",""ลำปาง!J700"")"),0)</f>
        <v>0</v>
      </c>
      <c r="J26" s="216">
        <f t="shared" ca="1" si="27"/>
        <v>0</v>
      </c>
      <c r="K26" s="278">
        <f ca="1">IFERROR(__xludf.DUMMYFUNCTION("IMPORTRANGE(""https://docs.google.com/spreadsheets/d/1DY4XTNNwjluuxqdfdn6qvOSlMRrZqUtmYcZR0ttFiG4/edit?usp=sharing"",""ลำปาง!I701"")"),113)</f>
        <v>113</v>
      </c>
      <c r="L26" s="152">
        <f ca="1">IFERROR(__xludf.DUMMYFUNCTION("IMPORTRANGE(""https://docs.google.com/spreadsheets/d/1DY4XTNNwjluuxqdfdn6qvOSlMRrZqUtmYcZR0ttFiG4/edit?usp=sharing"",""ลำปาง!J701"")"),96)</f>
        <v>96</v>
      </c>
      <c r="M26" s="152">
        <f ca="1">IFERROR(__xludf.DUMMYFUNCTION("IMPORTRANGE(""https://docs.google.com/spreadsheets/d/1DY4XTNNwjluuxqdfdn6qvOSlMRrZqUtmYcZR0ttFiG4/edit?usp=sharing"",""ลำปาง!J702"")"),48.41)</f>
        <v>48.41</v>
      </c>
      <c r="N26" s="216">
        <f t="shared" ca="1" si="29"/>
        <v>84.955752212389385</v>
      </c>
      <c r="O26" s="278">
        <f ca="1">IFERROR(__xludf.DUMMYFUNCTION("IMPORTRANGE(""https://docs.google.com/spreadsheets/d/1DY4XTNNwjluuxqdfdn6qvOSlMRrZqUtmYcZR0ttFiG4/edit?usp=sharing"",""ลำปาง!I703"")"),110)</f>
        <v>110</v>
      </c>
      <c r="P26" s="152">
        <f ca="1">IFERROR(__xludf.DUMMYFUNCTION("IMPORTRANGE(""https://docs.google.com/spreadsheets/d/1DY4XTNNwjluuxqdfdn6qvOSlMRrZqUtmYcZR0ttFiG4/edit?usp=sharing"",""ลำปาง!J703"")"),96)</f>
        <v>96</v>
      </c>
      <c r="Q26" s="152">
        <f ca="1">IFERROR(__xludf.DUMMYFUNCTION("IMPORTRANGE(""https://docs.google.com/spreadsheets/d/1DY4XTNNwjluuxqdfdn6qvOSlMRrZqUtmYcZR0ttFiG4/edit?usp=sharing"",""ลำปาง!J704"")"),48.41)</f>
        <v>48.41</v>
      </c>
      <c r="R26" s="216">
        <f t="shared" ca="1" si="31"/>
        <v>87.272727272727266</v>
      </c>
      <c r="S26" s="632">
        <f ca="1">IFERROR(__xludf.DUMMYFUNCTION("IMPORTRANGE(""https://docs.google.com/spreadsheets/d/1DY4XTNNwjluuxqdfdn6qvOSlMRrZqUtmYcZR0ttFiG4/edit?usp=sharing"",""ลำปาง!I705"")"),3)</f>
        <v>3</v>
      </c>
      <c r="T26" s="251">
        <f ca="1">IFERROR(__xludf.DUMMYFUNCTION("IMPORTRANGE(""https://docs.google.com/spreadsheets/d/1DY4XTNNwjluuxqdfdn6qvOSlMRrZqUtmYcZR0ttFiG4/edit?usp=sharing"",""ลำปาง!J705"")"),0)</f>
        <v>0</v>
      </c>
      <c r="U26" s="251">
        <f ca="1">IFERROR(__xludf.DUMMYFUNCTION("IMPORTRANGE(""https://docs.google.com/spreadsheets/d/1DY4XTNNwjluuxqdfdn6qvOSlMRrZqUtmYcZR0ttFiG4/edit?usp=sharing"",""ลำปาง!J706"")"),0)</f>
        <v>0</v>
      </c>
      <c r="V26" s="605">
        <f t="shared" ca="1" si="33"/>
        <v>0</v>
      </c>
      <c r="W26" s="278">
        <f ca="1">IFERROR(__xludf.DUMMYFUNCTION("IMPORTRANGE(""https://docs.google.com/spreadsheets/d/1DY4XTNNwjluuxqdfdn6qvOSlMRrZqUtmYcZR0ttFiG4/edit?usp=sharing"",""ลำปาง!I707"")"),110)</f>
        <v>110</v>
      </c>
      <c r="X26" s="152">
        <f ca="1">IFERROR(__xludf.DUMMYFUNCTION("IMPORTRANGE(""https://docs.google.com/spreadsheets/d/1DY4XTNNwjluuxqdfdn6qvOSlMRrZqUtmYcZR0ttFiG4/edit?usp=sharing"",""ลำปาง!J707"")"),20)</f>
        <v>20</v>
      </c>
      <c r="Y26" s="152">
        <f ca="1">IFERROR(__xludf.DUMMYFUNCTION("IMPORTRANGE(""https://docs.google.com/spreadsheets/d/1DY4XTNNwjluuxqdfdn6qvOSlMRrZqUtmYcZR0ttFiG4/edit?usp=sharing"",""ลำปาง!J708"")"),17)</f>
        <v>17</v>
      </c>
      <c r="Z26" s="216">
        <f t="shared" ca="1" si="35"/>
        <v>18.181818181818183</v>
      </c>
      <c r="AA26" s="632">
        <f ca="1">IFERROR(__xludf.DUMMYFUNCTION("IMPORTRANGE(""https://docs.google.com/spreadsheets/d/1DY4XTNNwjluuxqdfdn6qvOSlMRrZqUtmYcZR0ttFiG4/edit?usp=sharing"",""ลำปาง!I709"")"),3)</f>
        <v>3</v>
      </c>
      <c r="AB26" s="251">
        <f ca="1">IFERROR(__xludf.DUMMYFUNCTION("IMPORTRANGE(""https://docs.google.com/spreadsheets/d/1DY4XTNNwjluuxqdfdn6qvOSlMRrZqUtmYcZR0ttFiG4/edit?usp=sharing"",""ลำปาง!J709"")"),2)</f>
        <v>2</v>
      </c>
      <c r="AC26" s="251">
        <f ca="1">IFERROR(__xludf.DUMMYFUNCTION("IMPORTRANGE(""https://docs.google.com/spreadsheets/d/1DY4XTNNwjluuxqdfdn6qvOSlMRrZqUtmYcZR0ttFiG4/edit?usp=sharing"",""ลำปาง!J710"")"),0)</f>
        <v>0</v>
      </c>
      <c r="AD26" s="605">
        <f t="shared" ca="1" si="37"/>
        <v>66.666666666666671</v>
      </c>
    </row>
    <row r="27" spans="1:30" ht="19.5" x14ac:dyDescent="0.3">
      <c r="A27" s="70">
        <v>14</v>
      </c>
      <c r="B27" s="71" t="s">
        <v>55</v>
      </c>
      <c r="C27" s="68">
        <f ca="1">IFERROR(__xludf.DUMMYFUNCTION("IMPORTRANGE(""https://docs.google.com/spreadsheets/d/1ICwG78r0OFT8biBlxnBF8r7she7gNSzOvJ958PWT09c/edit?usp=sharing"",""ลำพูน!Q690"")"),66060)</f>
        <v>66060</v>
      </c>
      <c r="D27" s="68">
        <f ca="1">IFERROR(__xludf.DUMMYFUNCTION("IMPORTRANGE(""https://docs.google.com/spreadsheets/d/1ICwG78r0OFT8biBlxnBF8r7she7gNSzOvJ958PWT09c/edit?usp=sharing"",""ลำพูน!R690"")"),66060)</f>
        <v>66060</v>
      </c>
      <c r="E27" s="68">
        <f ca="1">IFERROR(__xludf.DUMMYFUNCTION("IMPORTRANGE(""https://docs.google.com/spreadsheets/d/1ICwG78r0OFT8biBlxnBF8r7she7gNSzOvJ958PWT09c/edit?usp=sharing"",""ลำพูน!S690"")"),0)</f>
        <v>0</v>
      </c>
      <c r="F27" s="68">
        <f t="shared" ca="1" si="24"/>
        <v>0</v>
      </c>
      <c r="G27" s="68">
        <f t="shared" ca="1" si="25"/>
        <v>0</v>
      </c>
      <c r="H27" s="278">
        <f ca="1">IFERROR(__xludf.DUMMYFUNCTION("IMPORTRANGE(""https://docs.google.com/spreadsheets/d/1ICwG78r0OFT8biBlxnBF8r7she7gNSzOvJ958PWT09c/edit?usp=sharing"",""ลำพูน!I700"")"),0)</f>
        <v>0</v>
      </c>
      <c r="I27" s="152">
        <f ca="1">IFERROR(__xludf.DUMMYFUNCTION("IMPORTRANGE(""https://docs.google.com/spreadsheets/d/1ICwG78r0OFT8biBlxnBF8r7she7gNSzOvJ958PWT09c/edit?usp=sharing"",""ลำพูน!J700"")"),0)</f>
        <v>0</v>
      </c>
      <c r="J27" s="216">
        <f t="shared" ca="1" si="27"/>
        <v>0</v>
      </c>
      <c r="K27" s="278">
        <f ca="1">IFERROR(__xludf.DUMMYFUNCTION("IMPORTRANGE(""https://docs.google.com/spreadsheets/d/1ICwG78r0OFT8biBlxnBF8r7she7gNSzOvJ958PWT09c/edit?usp=sharing"",""ลำพูน!I701"")"),4)</f>
        <v>4</v>
      </c>
      <c r="L27" s="152">
        <f ca="1">IFERROR(__xludf.DUMMYFUNCTION("IMPORTRANGE(""https://docs.google.com/spreadsheets/d/1ICwG78r0OFT8biBlxnBF8r7she7gNSzOvJ958PWT09c/edit?usp=sharing"",""ลำพูน!J701"")"),0)</f>
        <v>0</v>
      </c>
      <c r="M27" s="152">
        <f ca="1">IFERROR(__xludf.DUMMYFUNCTION("IMPORTRANGE(""https://docs.google.com/spreadsheets/d/1ICwG78r0OFT8biBlxnBF8r7she7gNSzOvJ958PWT09c/edit?usp=sharing"",""ลำพูน!J702"")"),0)</f>
        <v>0</v>
      </c>
      <c r="N27" s="216">
        <f t="shared" ca="1" si="29"/>
        <v>0</v>
      </c>
      <c r="O27" s="278">
        <f ca="1">IFERROR(__xludf.DUMMYFUNCTION("IMPORTRANGE(""https://docs.google.com/spreadsheets/d/1ICwG78r0OFT8biBlxnBF8r7she7gNSzOvJ958PWT09c/edit?usp=sharing"",""ลำพูน!I703"")"),0)</f>
        <v>0</v>
      </c>
      <c r="P27" s="152">
        <f ca="1">IFERROR(__xludf.DUMMYFUNCTION("IMPORTRANGE(""https://docs.google.com/spreadsheets/d/1ICwG78r0OFT8biBlxnBF8r7she7gNSzOvJ958PWT09c/edit?usp=sharing"",""ลำพูน!J703"")"),0)</f>
        <v>0</v>
      </c>
      <c r="Q27" s="152">
        <f ca="1">IFERROR(__xludf.DUMMYFUNCTION("IMPORTRANGE(""https://docs.google.com/spreadsheets/d/1ICwG78r0OFT8biBlxnBF8r7she7gNSzOvJ958PWT09c/edit?usp=sharing"",""ลำพูน!J704"")"),0)</f>
        <v>0</v>
      </c>
      <c r="R27" s="216">
        <f t="shared" ca="1" si="31"/>
        <v>0</v>
      </c>
      <c r="S27" s="632">
        <f ca="1">IFERROR(__xludf.DUMMYFUNCTION("IMPORTRANGE(""https://docs.google.com/spreadsheets/d/1ICwG78r0OFT8biBlxnBF8r7she7gNSzOvJ958PWT09c/edit?usp=sharing"",""ลำพูน!I705"")"),4)</f>
        <v>4</v>
      </c>
      <c r="T27" s="251">
        <f ca="1">IFERROR(__xludf.DUMMYFUNCTION("IMPORTRANGE(""https://docs.google.com/spreadsheets/d/1ICwG78r0OFT8biBlxnBF8r7she7gNSzOvJ958PWT09c/edit?usp=sharing"",""ลำพูน!J705"")"),0)</f>
        <v>0</v>
      </c>
      <c r="U27" s="251">
        <f ca="1">IFERROR(__xludf.DUMMYFUNCTION("IMPORTRANGE(""https://docs.google.com/spreadsheets/d/1ICwG78r0OFT8biBlxnBF8r7she7gNSzOvJ958PWT09c/edit?usp=sharing"",""ลำพูน!J706"")"),0)</f>
        <v>0</v>
      </c>
      <c r="V27" s="605">
        <f t="shared" ca="1" si="33"/>
        <v>0</v>
      </c>
      <c r="W27" s="278">
        <f ca="1">IFERROR(__xludf.DUMMYFUNCTION("IMPORTRANGE(""https://docs.google.com/spreadsheets/d/1ICwG78r0OFT8biBlxnBF8r7she7gNSzOvJ958PWT09c/edit?usp=sharing"",""ลำพูน!I707"")"),0)</f>
        <v>0</v>
      </c>
      <c r="X27" s="152">
        <f ca="1">IFERROR(__xludf.DUMMYFUNCTION("IMPORTRANGE(""https://docs.google.com/spreadsheets/d/1ICwG78r0OFT8biBlxnBF8r7she7gNSzOvJ958PWT09c/edit?usp=sharing"",""ลำพูน!J707"")"),0)</f>
        <v>0</v>
      </c>
      <c r="Y27" s="152">
        <f ca="1">IFERROR(__xludf.DUMMYFUNCTION("IMPORTRANGE(""https://docs.google.com/spreadsheets/d/1ICwG78r0OFT8biBlxnBF8r7she7gNSzOvJ958PWT09c/edit?usp=sharing"",""ลำพูน!J708"")"),0)</f>
        <v>0</v>
      </c>
      <c r="Z27" s="216">
        <f t="shared" ca="1" si="35"/>
        <v>0</v>
      </c>
      <c r="AA27" s="632">
        <f ca="1">IFERROR(__xludf.DUMMYFUNCTION("IMPORTRANGE(""https://docs.google.com/spreadsheets/d/1ICwG78r0OFT8biBlxnBF8r7she7gNSzOvJ958PWT09c/edit?usp=sharing"",""ลำพูน!I709"")"),4)</f>
        <v>4</v>
      </c>
      <c r="AB27" s="251">
        <f ca="1">IFERROR(__xludf.DUMMYFUNCTION("IMPORTRANGE(""https://docs.google.com/spreadsheets/d/1ICwG78r0OFT8biBlxnBF8r7she7gNSzOvJ958PWT09c/edit?usp=sharing"",""ลำพูน!J709"")"),5)</f>
        <v>5</v>
      </c>
      <c r="AC27" s="251">
        <f ca="1">IFERROR(__xludf.DUMMYFUNCTION("IMPORTRANGE(""https://docs.google.com/spreadsheets/d/1ICwG78r0OFT8biBlxnBF8r7she7gNSzOvJ958PWT09c/edit?usp=sharing"",""ลำพูน!J710"")"),0)</f>
        <v>0</v>
      </c>
      <c r="AD27" s="605">
        <f t="shared" ca="1" si="37"/>
        <v>125</v>
      </c>
    </row>
    <row r="28" spans="1:30" ht="19.5" x14ac:dyDescent="0.3">
      <c r="A28" s="70">
        <v>15</v>
      </c>
      <c r="B28" s="71" t="s">
        <v>56</v>
      </c>
      <c r="C28" s="68">
        <f ca="1">IFERROR(__xludf.DUMMYFUNCTION("IMPORTRANGE(""https://docs.google.com/spreadsheets/d/1B0f2xJpZUC6Z0xXnqKlZtEPzsf6L84eP1r1Q15seqRM/edit?usp=sharing"",""สุโขทัย!Q690"")"),268050)</f>
        <v>268050</v>
      </c>
      <c r="D28" s="68">
        <f ca="1">IFERROR(__xludf.DUMMYFUNCTION("IMPORTRANGE(""https://docs.google.com/spreadsheets/d/1B0f2xJpZUC6Z0xXnqKlZtEPzsf6L84eP1r1Q15seqRM/edit?usp=sharing"",""สุโขทัย!R690"")"),268050)</f>
        <v>268050</v>
      </c>
      <c r="E28" s="68">
        <f ca="1">IFERROR(__xludf.DUMMYFUNCTION("IMPORTRANGE(""https://docs.google.com/spreadsheets/d/1B0f2xJpZUC6Z0xXnqKlZtEPzsf6L84eP1r1Q15seqRM/edit?usp=sharing"",""สุโขทัย!S690"")"),189456.29)</f>
        <v>189456.29</v>
      </c>
      <c r="F28" s="68">
        <f t="shared" ca="1" si="24"/>
        <v>70.679459056146243</v>
      </c>
      <c r="G28" s="68">
        <f t="shared" ca="1" si="25"/>
        <v>70.679459056146243</v>
      </c>
      <c r="H28" s="278">
        <f ca="1">IFERROR(__xludf.DUMMYFUNCTION("IMPORTRANGE(""https://docs.google.com/spreadsheets/d/1B0f2xJpZUC6Z0xXnqKlZtEPzsf6L84eP1r1Q15seqRM/edit?usp=sharing"",""สุโขทัย!I700"")"),0)</f>
        <v>0</v>
      </c>
      <c r="I28" s="152">
        <f ca="1">IFERROR(__xludf.DUMMYFUNCTION("IMPORTRANGE(""https://docs.google.com/spreadsheets/d/1B0f2xJpZUC6Z0xXnqKlZtEPzsf6L84eP1r1Q15seqRM/edit?usp=sharing"",""สุโขทัย!J700"")"),0)</f>
        <v>0</v>
      </c>
      <c r="J28" s="216">
        <f t="shared" ca="1" si="27"/>
        <v>0</v>
      </c>
      <c r="K28" s="278">
        <f ca="1">IFERROR(__xludf.DUMMYFUNCTION("IMPORTRANGE(""https://docs.google.com/spreadsheets/d/1B0f2xJpZUC6Z0xXnqKlZtEPzsf6L84eP1r1Q15seqRM/edit?usp=sharing"",""สุโขทัย!I701"")"),163)</f>
        <v>163</v>
      </c>
      <c r="L28" s="152">
        <f ca="1">IFERROR(__xludf.DUMMYFUNCTION("IMPORTRANGE(""https://docs.google.com/spreadsheets/d/1B0f2xJpZUC6Z0xXnqKlZtEPzsf6L84eP1r1Q15seqRM/edit?usp=sharing"",""สุโขทัย!J701"")"),114)</f>
        <v>114</v>
      </c>
      <c r="M28" s="152">
        <f ca="1">IFERROR(__xludf.DUMMYFUNCTION("IMPORTRANGE(""https://docs.google.com/spreadsheets/d/1B0f2xJpZUC6Z0xXnqKlZtEPzsf6L84eP1r1Q15seqRM/edit?usp=sharing"",""สุโขทัย!J702"")"),105.28)</f>
        <v>105.28</v>
      </c>
      <c r="N28" s="216">
        <f t="shared" ca="1" si="29"/>
        <v>69.938650306748471</v>
      </c>
      <c r="O28" s="278">
        <f ca="1">IFERROR(__xludf.DUMMYFUNCTION("IMPORTRANGE(""https://docs.google.com/spreadsheets/d/1B0f2xJpZUC6Z0xXnqKlZtEPzsf6L84eP1r1Q15seqRM/edit?usp=sharing"",""สุโขทัย!I703"")"),160)</f>
        <v>160</v>
      </c>
      <c r="P28" s="152">
        <f ca="1">IFERROR(__xludf.DUMMYFUNCTION("IMPORTRANGE(""https://docs.google.com/spreadsheets/d/1B0f2xJpZUC6Z0xXnqKlZtEPzsf6L84eP1r1Q15seqRM/edit?usp=sharing"",""สุโขทัย!J703"")"),114)</f>
        <v>114</v>
      </c>
      <c r="Q28" s="152">
        <f ca="1">IFERROR(__xludf.DUMMYFUNCTION("IMPORTRANGE(""https://docs.google.com/spreadsheets/d/1B0f2xJpZUC6Z0xXnqKlZtEPzsf6L84eP1r1Q15seqRM/edit?usp=sharing"",""สุโขทัย!J704"")"),105.28)</f>
        <v>105.28</v>
      </c>
      <c r="R28" s="216">
        <f t="shared" ca="1" si="31"/>
        <v>71.25</v>
      </c>
      <c r="S28" s="632">
        <f ca="1">IFERROR(__xludf.DUMMYFUNCTION("IMPORTRANGE(""https://docs.google.com/spreadsheets/d/1B0f2xJpZUC6Z0xXnqKlZtEPzsf6L84eP1r1Q15seqRM/edit?usp=sharing"",""สุโขทัย!I705"")"),3)</f>
        <v>3</v>
      </c>
      <c r="T28" s="251">
        <f ca="1">IFERROR(__xludf.DUMMYFUNCTION("IMPORTRANGE(""https://docs.google.com/spreadsheets/d/1B0f2xJpZUC6Z0xXnqKlZtEPzsf6L84eP1r1Q15seqRM/edit?usp=sharing"",""สุโขทัย!J705"")"),0)</f>
        <v>0</v>
      </c>
      <c r="U28" s="251">
        <f ca="1">IFERROR(__xludf.DUMMYFUNCTION("IMPORTRANGE(""https://docs.google.com/spreadsheets/d/1B0f2xJpZUC6Z0xXnqKlZtEPzsf6L84eP1r1Q15seqRM/edit?usp=sharing"",""สุโขทัย!J706"")"),0)</f>
        <v>0</v>
      </c>
      <c r="V28" s="605">
        <f t="shared" ca="1" si="33"/>
        <v>0</v>
      </c>
      <c r="W28" s="278">
        <f ca="1">IFERROR(__xludf.DUMMYFUNCTION("IMPORTRANGE(""https://docs.google.com/spreadsheets/d/1B0f2xJpZUC6Z0xXnqKlZtEPzsf6L84eP1r1Q15seqRM/edit?usp=sharing"",""สุโขทัย!I707"")"),160)</f>
        <v>160</v>
      </c>
      <c r="X28" s="152">
        <f ca="1">IFERROR(__xludf.DUMMYFUNCTION("IMPORTRANGE(""https://docs.google.com/spreadsheets/d/1B0f2xJpZUC6Z0xXnqKlZtEPzsf6L84eP1r1Q15seqRM/edit?usp=sharing"",""สุโขทัย!J707"")"),114)</f>
        <v>114</v>
      </c>
      <c r="Y28" s="152">
        <f ca="1">IFERROR(__xludf.DUMMYFUNCTION("IMPORTRANGE(""https://docs.google.com/spreadsheets/d/1B0f2xJpZUC6Z0xXnqKlZtEPzsf6L84eP1r1Q15seqRM/edit?usp=sharing"",""สุโขทัย!J708"")"),105)</f>
        <v>105</v>
      </c>
      <c r="Z28" s="216">
        <f t="shared" ca="1" si="35"/>
        <v>71.25</v>
      </c>
      <c r="AA28" s="632">
        <f ca="1">IFERROR(__xludf.DUMMYFUNCTION("IMPORTRANGE(""https://docs.google.com/spreadsheets/d/1B0f2xJpZUC6Z0xXnqKlZtEPzsf6L84eP1r1Q15seqRM/edit?usp=sharing"",""สุโขทัย!I709"")"),3)</f>
        <v>3</v>
      </c>
      <c r="AB28" s="251">
        <f ca="1">IFERROR(__xludf.DUMMYFUNCTION("IMPORTRANGE(""https://docs.google.com/spreadsheets/d/1B0f2xJpZUC6Z0xXnqKlZtEPzsf6L84eP1r1Q15seqRM/edit?usp=sharing"",""สุโขทัย!J709"")"),13)</f>
        <v>13</v>
      </c>
      <c r="AC28" s="251">
        <f ca="1">IFERROR(__xludf.DUMMYFUNCTION("IMPORTRANGE(""https://docs.google.com/spreadsheets/d/1B0f2xJpZUC6Z0xXnqKlZtEPzsf6L84eP1r1Q15seqRM/edit?usp=sharing"",""สุโขทัย!J710"")"),0)</f>
        <v>0</v>
      </c>
      <c r="AD28" s="605">
        <f t="shared" ca="1" si="37"/>
        <v>433.33333333333331</v>
      </c>
    </row>
    <row r="29" spans="1:30" ht="19.5" x14ac:dyDescent="0.3">
      <c r="A29" s="70">
        <v>16</v>
      </c>
      <c r="B29" s="71" t="s">
        <v>57</v>
      </c>
      <c r="C29" s="68">
        <f ca="1">IFERROR(__xludf.DUMMYFUNCTION("IMPORTRANGE(""https://docs.google.com/spreadsheets/d/1v0b9pFQCsKUVExMei7AgY2yQkdeNQvtOssygGsXbiKo/edit?usp=sharing"",""อุตรดิตถ์!Q690"")"),66220)</f>
        <v>66220</v>
      </c>
      <c r="D29" s="68">
        <f ca="1">IFERROR(__xludf.DUMMYFUNCTION("IMPORTRANGE(""https://docs.google.com/spreadsheets/d/1v0b9pFQCsKUVExMei7AgY2yQkdeNQvtOssygGsXbiKo/edit?usp=sharing"",""อุตรดิตถ์!R690"")"),66220)</f>
        <v>66220</v>
      </c>
      <c r="E29" s="68">
        <f ca="1">IFERROR(__xludf.DUMMYFUNCTION("IMPORTRANGE(""https://docs.google.com/spreadsheets/d/1v0b9pFQCsKUVExMei7AgY2yQkdeNQvtOssygGsXbiKo/edit?usp=sharing"",""อุตรดิตถ์!S690"")"),16284.5)</f>
        <v>16284.5</v>
      </c>
      <c r="F29" s="68">
        <f t="shared" ca="1" si="24"/>
        <v>24.591513138024766</v>
      </c>
      <c r="G29" s="68">
        <f t="shared" ca="1" si="25"/>
        <v>24.591513138024766</v>
      </c>
      <c r="H29" s="278">
        <f ca="1">IFERROR(__xludf.DUMMYFUNCTION("IMPORTRANGE(""https://docs.google.com/spreadsheets/d/1v0b9pFQCsKUVExMei7AgY2yQkdeNQvtOssygGsXbiKo/edit?usp=sharing"",""อุตรดิตถ์!I700"")"),0)</f>
        <v>0</v>
      </c>
      <c r="I29" s="152">
        <f ca="1">IFERROR(__xludf.DUMMYFUNCTION("IMPORTRANGE(""https://docs.google.com/spreadsheets/d/1v0b9pFQCsKUVExMei7AgY2yQkdeNQvtOssygGsXbiKo/edit?usp=sharing"",""อุตรดิตถ์!J700"")"),0)</f>
        <v>0</v>
      </c>
      <c r="J29" s="216">
        <f t="shared" ca="1" si="27"/>
        <v>0</v>
      </c>
      <c r="K29" s="278">
        <f ca="1">IFERROR(__xludf.DUMMYFUNCTION("IMPORTRANGE(""https://docs.google.com/spreadsheets/d/1v0b9pFQCsKUVExMei7AgY2yQkdeNQvtOssygGsXbiKo/edit?usp=sharing"",""อุตรดิตถ์!I701"")"),3)</f>
        <v>3</v>
      </c>
      <c r="L29" s="152">
        <f ca="1">IFERROR(__xludf.DUMMYFUNCTION("IMPORTRANGE(""https://docs.google.com/spreadsheets/d/1v0b9pFQCsKUVExMei7AgY2yQkdeNQvtOssygGsXbiKo/edit?usp=sharing"",""อุตรดิตถ์!J701"")"),0)</f>
        <v>0</v>
      </c>
      <c r="M29" s="152">
        <f ca="1">IFERROR(__xludf.DUMMYFUNCTION("IMPORTRANGE(""https://docs.google.com/spreadsheets/d/1v0b9pFQCsKUVExMei7AgY2yQkdeNQvtOssygGsXbiKo/edit?usp=sharing"",""อุตรดิตถ์!J702"")"),0)</f>
        <v>0</v>
      </c>
      <c r="N29" s="216">
        <f t="shared" ca="1" si="29"/>
        <v>0</v>
      </c>
      <c r="O29" s="278">
        <f ca="1">IFERROR(__xludf.DUMMYFUNCTION("IMPORTRANGE(""https://docs.google.com/spreadsheets/d/1v0b9pFQCsKUVExMei7AgY2yQkdeNQvtOssygGsXbiKo/edit?usp=sharing"",""อุตรดิตถ์!I703"")"),0)</f>
        <v>0</v>
      </c>
      <c r="P29" s="152">
        <f ca="1">IFERROR(__xludf.DUMMYFUNCTION("IMPORTRANGE(""https://docs.google.com/spreadsheets/d/1v0b9pFQCsKUVExMei7AgY2yQkdeNQvtOssygGsXbiKo/edit?usp=sharing"",""อุตรดิตถ์!J703"")"),0)</f>
        <v>0</v>
      </c>
      <c r="Q29" s="152">
        <f ca="1">IFERROR(__xludf.DUMMYFUNCTION("IMPORTRANGE(""https://docs.google.com/spreadsheets/d/1v0b9pFQCsKUVExMei7AgY2yQkdeNQvtOssygGsXbiKo/edit?usp=sharing"",""อุตรดิตถ์!J704"")"),0)</f>
        <v>0</v>
      </c>
      <c r="R29" s="216">
        <f t="shared" ca="1" si="31"/>
        <v>0</v>
      </c>
      <c r="S29" s="632">
        <f ca="1">IFERROR(__xludf.DUMMYFUNCTION("IMPORTRANGE(""https://docs.google.com/spreadsheets/d/1v0b9pFQCsKUVExMei7AgY2yQkdeNQvtOssygGsXbiKo/edit?usp=sharing"",""อุตรดิตถ์!I705"")"),3)</f>
        <v>3</v>
      </c>
      <c r="T29" s="251">
        <f ca="1">IFERROR(__xludf.DUMMYFUNCTION("IMPORTRANGE(""https://docs.google.com/spreadsheets/d/1v0b9pFQCsKUVExMei7AgY2yQkdeNQvtOssygGsXbiKo/edit?usp=sharing"",""อุตรดิตถ์!J705"")"),0)</f>
        <v>0</v>
      </c>
      <c r="U29" s="251">
        <f ca="1">IFERROR(__xludf.DUMMYFUNCTION("IMPORTRANGE(""https://docs.google.com/spreadsheets/d/1v0b9pFQCsKUVExMei7AgY2yQkdeNQvtOssygGsXbiKo/edit?usp=sharing"",""อุตรดิตถ์!J706"")"),0)</f>
        <v>0</v>
      </c>
      <c r="V29" s="605">
        <f t="shared" ca="1" si="33"/>
        <v>0</v>
      </c>
      <c r="W29" s="278">
        <f ca="1">IFERROR(__xludf.DUMMYFUNCTION("IMPORTRANGE(""https://docs.google.com/spreadsheets/d/1v0b9pFQCsKUVExMei7AgY2yQkdeNQvtOssygGsXbiKo/edit?usp=sharing"",""อุตรดิตถ์!I707"")"),0)</f>
        <v>0</v>
      </c>
      <c r="X29" s="152">
        <f ca="1">IFERROR(__xludf.DUMMYFUNCTION("IMPORTRANGE(""https://docs.google.com/spreadsheets/d/1v0b9pFQCsKUVExMei7AgY2yQkdeNQvtOssygGsXbiKo/edit?usp=sharing"",""อุตรดิตถ์!J707"")"),0)</f>
        <v>0</v>
      </c>
      <c r="Y29" s="152">
        <f ca="1">IFERROR(__xludf.DUMMYFUNCTION("IMPORTRANGE(""https://docs.google.com/spreadsheets/d/1v0b9pFQCsKUVExMei7AgY2yQkdeNQvtOssygGsXbiKo/edit?usp=sharing"",""อุตรดิตถ์!J708"")"),0)</f>
        <v>0</v>
      </c>
      <c r="Z29" s="216">
        <f t="shared" ca="1" si="35"/>
        <v>0</v>
      </c>
      <c r="AA29" s="632">
        <f ca="1">IFERROR(__xludf.DUMMYFUNCTION("IMPORTRANGE(""https://docs.google.com/spreadsheets/d/1v0b9pFQCsKUVExMei7AgY2yQkdeNQvtOssygGsXbiKo/edit?usp=sharing"",""อุตรดิตถ์!I709"")"),3)</f>
        <v>3</v>
      </c>
      <c r="AB29" s="251">
        <f ca="1">IFERROR(__xludf.DUMMYFUNCTION("IMPORTRANGE(""https://docs.google.com/spreadsheets/d/1v0b9pFQCsKUVExMei7AgY2yQkdeNQvtOssygGsXbiKo/edit?usp=sharing"",""อุตรดิตถ์!J709"")"),3)</f>
        <v>3</v>
      </c>
      <c r="AC29" s="251">
        <f ca="1">IFERROR(__xludf.DUMMYFUNCTION("IMPORTRANGE(""https://docs.google.com/spreadsheets/d/1v0b9pFQCsKUVExMei7AgY2yQkdeNQvtOssygGsXbiKo/edit?usp=sharing"",""อุตรดิตถ์!J710"")"),0)</f>
        <v>0</v>
      </c>
      <c r="AD29" s="605">
        <f t="shared" ca="1" si="37"/>
        <v>100</v>
      </c>
    </row>
    <row r="30" spans="1:30" ht="19.5" x14ac:dyDescent="0.3">
      <c r="A30" s="80">
        <v>17</v>
      </c>
      <c r="B30" s="81" t="s">
        <v>58</v>
      </c>
      <c r="C30" s="89">
        <f ca="1">IFERROR(__xludf.DUMMYFUNCTION("IMPORTRANGE(""https://docs.google.com/spreadsheets/d/1UsNK1e-WWiCo2PvGqdNfdme4m17_Ezd3J69EeeiQPD0/edit?usp=sharing"",""อุทัยธานี!Q690"")"),159650)</f>
        <v>159650</v>
      </c>
      <c r="D30" s="89">
        <f ca="1">IFERROR(__xludf.DUMMYFUNCTION("IMPORTRANGE(""https://docs.google.com/spreadsheets/d/1UsNK1e-WWiCo2PvGqdNfdme4m17_Ezd3J69EeeiQPD0/edit?usp=sharing"",""อุทัยธานี!R690"")"),159650)</f>
        <v>159650</v>
      </c>
      <c r="E30" s="89">
        <f ca="1">IFERROR(__xludf.DUMMYFUNCTION("IMPORTRANGE(""https://docs.google.com/spreadsheets/d/1UsNK1e-WWiCo2PvGqdNfdme4m17_Ezd3J69EeeiQPD0/edit?usp=sharing"",""อุทัยธานี!S690"")"),145681.2)</f>
        <v>145681.20000000001</v>
      </c>
      <c r="F30" s="89">
        <f t="shared" ca="1" si="24"/>
        <v>91.250360162856254</v>
      </c>
      <c r="G30" s="89">
        <f t="shared" ca="1" si="25"/>
        <v>91.250360162856254</v>
      </c>
      <c r="H30" s="280">
        <f ca="1">IFERROR(__xludf.DUMMYFUNCTION("IMPORTRANGE(""https://docs.google.com/spreadsheets/d/1UsNK1e-WWiCo2PvGqdNfdme4m17_Ezd3J69EeeiQPD0/edit?usp=sharing"",""อุทัยธานี!I700"")"),0)</f>
        <v>0</v>
      </c>
      <c r="I30" s="191">
        <f ca="1">IFERROR(__xludf.DUMMYFUNCTION("IMPORTRANGE(""https://docs.google.com/spreadsheets/d/1UsNK1e-WWiCo2PvGqdNfdme4m17_Ezd3J69EeeiQPD0/edit?usp=sharing"",""อุทัยธานี!J700"")"),0)</f>
        <v>0</v>
      </c>
      <c r="J30" s="218">
        <f t="shared" ca="1" si="27"/>
        <v>0</v>
      </c>
      <c r="K30" s="280">
        <f ca="1">IFERROR(__xludf.DUMMYFUNCTION("IMPORTRANGE(""https://docs.google.com/spreadsheets/d/1UsNK1e-WWiCo2PvGqdNfdme4m17_Ezd3J69EeeiQPD0/edit?usp=sharing"",""อุทัยธานี!I701"")"),59)</f>
        <v>59</v>
      </c>
      <c r="L30" s="191">
        <f ca="1">IFERROR(__xludf.DUMMYFUNCTION("IMPORTRANGE(""https://docs.google.com/spreadsheets/d/1UsNK1e-WWiCo2PvGqdNfdme4m17_Ezd3J69EeeiQPD0/edit?usp=sharing"",""อุทัยธานี!J701"")"),58)</f>
        <v>58</v>
      </c>
      <c r="M30" s="191">
        <f ca="1">IFERROR(__xludf.DUMMYFUNCTION("IMPORTRANGE(""https://docs.google.com/spreadsheets/d/1UsNK1e-WWiCo2PvGqdNfdme4m17_Ezd3J69EeeiQPD0/edit?usp=sharing"",""อุทัยธานี!J702"")"),52.85)</f>
        <v>52.85</v>
      </c>
      <c r="N30" s="218">
        <f t="shared" ca="1" si="29"/>
        <v>98.305084745762713</v>
      </c>
      <c r="O30" s="280">
        <f ca="1">IFERROR(__xludf.DUMMYFUNCTION("IMPORTRANGE(""https://docs.google.com/spreadsheets/d/1UsNK1e-WWiCo2PvGqdNfdme4m17_Ezd3J69EeeiQPD0/edit?usp=sharing"",""อุทัยธานี!I703"")"),55)</f>
        <v>55</v>
      </c>
      <c r="P30" s="191">
        <f ca="1">IFERROR(__xludf.DUMMYFUNCTION("IMPORTRANGE(""https://docs.google.com/spreadsheets/d/1UsNK1e-WWiCo2PvGqdNfdme4m17_Ezd3J69EeeiQPD0/edit?usp=sharing"",""อุทัยธานี!J703"")"),58)</f>
        <v>58</v>
      </c>
      <c r="Q30" s="191">
        <f ca="1">IFERROR(__xludf.DUMMYFUNCTION("IMPORTRANGE(""https://docs.google.com/spreadsheets/d/1UsNK1e-WWiCo2PvGqdNfdme4m17_Ezd3J69EeeiQPD0/edit?usp=sharing"",""อุทัยธานี!J704"")"),52.85)</f>
        <v>52.85</v>
      </c>
      <c r="R30" s="218">
        <f t="shared" ca="1" si="31"/>
        <v>105.45454545454545</v>
      </c>
      <c r="S30" s="633">
        <f ca="1">IFERROR(__xludf.DUMMYFUNCTION("IMPORTRANGE(""https://docs.google.com/spreadsheets/d/1UsNK1e-WWiCo2PvGqdNfdme4m17_Ezd3J69EeeiQPD0/edit?usp=sharing"",""อุทัยธานี!I705"")"),4)</f>
        <v>4</v>
      </c>
      <c r="T30" s="253">
        <f ca="1">IFERROR(__xludf.DUMMYFUNCTION("IMPORTRANGE(""https://docs.google.com/spreadsheets/d/1UsNK1e-WWiCo2PvGqdNfdme4m17_Ezd3J69EeeiQPD0/edit?usp=sharing"",""อุทัยธานี!J705"")"),0)</f>
        <v>0</v>
      </c>
      <c r="U30" s="253">
        <f ca="1">IFERROR(__xludf.DUMMYFUNCTION("IMPORTRANGE(""https://docs.google.com/spreadsheets/d/1UsNK1e-WWiCo2PvGqdNfdme4m17_Ezd3J69EeeiQPD0/edit?usp=sharing"",""อุทัยธานี!J706"")"),0)</f>
        <v>0</v>
      </c>
      <c r="V30" s="634">
        <f t="shared" ca="1" si="33"/>
        <v>0</v>
      </c>
      <c r="W30" s="280">
        <f ca="1">IFERROR(__xludf.DUMMYFUNCTION("IMPORTRANGE(""https://docs.google.com/spreadsheets/d/1UsNK1e-WWiCo2PvGqdNfdme4m17_Ezd3J69EeeiQPD0/edit?usp=sharing"",""อุทัยธานี!I707"")"),55)</f>
        <v>55</v>
      </c>
      <c r="X30" s="191">
        <f ca="1">IFERROR(__xludf.DUMMYFUNCTION("IMPORTRANGE(""https://docs.google.com/spreadsheets/d/1UsNK1e-WWiCo2PvGqdNfdme4m17_Ezd3J69EeeiQPD0/edit?usp=sharing"",""อุทัยธานี!J707"")"),30)</f>
        <v>30</v>
      </c>
      <c r="Y30" s="191">
        <f ca="1">IFERROR(__xludf.DUMMYFUNCTION("IMPORTRANGE(""https://docs.google.com/spreadsheets/d/1UsNK1e-WWiCo2PvGqdNfdme4m17_Ezd3J69EeeiQPD0/edit?usp=sharing"",""อุทัยธานี!J708"")"),24)</f>
        <v>24</v>
      </c>
      <c r="Z30" s="218">
        <f t="shared" ca="1" si="35"/>
        <v>54.545454545454547</v>
      </c>
      <c r="AA30" s="633">
        <f ca="1">IFERROR(__xludf.DUMMYFUNCTION("IMPORTRANGE(""https://docs.google.com/spreadsheets/d/1UsNK1e-WWiCo2PvGqdNfdme4m17_Ezd3J69EeeiQPD0/edit?usp=sharing"",""อุทัยธานี!I709"")"),4)</f>
        <v>4</v>
      </c>
      <c r="AB30" s="253">
        <f ca="1">IFERROR(__xludf.DUMMYFUNCTION("IMPORTRANGE(""https://docs.google.com/spreadsheets/d/1UsNK1e-WWiCo2PvGqdNfdme4m17_Ezd3J69EeeiQPD0/edit?usp=sharing"",""อุทัยธานี!J709"")"),7)</f>
        <v>7</v>
      </c>
      <c r="AC30" s="253">
        <f ca="1">IFERROR(__xludf.DUMMYFUNCTION("IMPORTRANGE(""https://docs.google.com/spreadsheets/d/1UsNK1e-WWiCo2PvGqdNfdme4m17_Ezd3J69EeeiQPD0/edit?usp=sharing"",""อุทัยธานี!J710"")"),0)</f>
        <v>0</v>
      </c>
      <c r="AD30" s="634">
        <f t="shared" ca="1" si="37"/>
        <v>175</v>
      </c>
    </row>
    <row r="31" spans="1:30" ht="19.5" x14ac:dyDescent="0.3">
      <c r="A31" s="665" t="s">
        <v>59</v>
      </c>
      <c r="B31" s="666"/>
      <c r="C31" s="94">
        <f t="shared" ref="C31:E31" ca="1" si="38">SUM(C32:C51)</f>
        <v>7251790</v>
      </c>
      <c r="D31" s="94">
        <f t="shared" ca="1" si="38"/>
        <v>7125106</v>
      </c>
      <c r="E31" s="94">
        <f t="shared" ca="1" si="38"/>
        <v>4684932.84</v>
      </c>
      <c r="F31" s="94">
        <f t="shared" ca="1" si="24"/>
        <v>64.603812851723504</v>
      </c>
      <c r="G31" s="94">
        <f t="shared" ca="1" si="25"/>
        <v>65.752465156307849</v>
      </c>
      <c r="H31" s="281">
        <f t="shared" ref="H31:I31" ca="1" si="39">SUM(H32:H51)</f>
        <v>4</v>
      </c>
      <c r="I31" s="369">
        <f t="shared" ca="1" si="39"/>
        <v>2</v>
      </c>
      <c r="J31" s="94">
        <f t="shared" ca="1" si="27"/>
        <v>50</v>
      </c>
      <c r="K31" s="281">
        <f t="shared" ref="K31:M31" ca="1" si="40">SUM(K32:K51)</f>
        <v>4879</v>
      </c>
      <c r="L31" s="369">
        <f t="shared" ca="1" si="40"/>
        <v>2676</v>
      </c>
      <c r="M31" s="369">
        <f t="shared" ca="1" si="40"/>
        <v>1571.1399999999999</v>
      </c>
      <c r="N31" s="94">
        <f t="shared" ca="1" si="29"/>
        <v>54.847304775568766</v>
      </c>
      <c r="O31" s="281">
        <f t="shared" ref="O31:Q31" ca="1" si="41">SUM(O32:O51)</f>
        <v>4777</v>
      </c>
      <c r="P31" s="369">
        <f t="shared" ca="1" si="41"/>
        <v>2676</v>
      </c>
      <c r="Q31" s="369">
        <f t="shared" ca="1" si="41"/>
        <v>1571.1399999999999</v>
      </c>
      <c r="R31" s="94">
        <f t="shared" ca="1" si="31"/>
        <v>56.018421603516849</v>
      </c>
      <c r="S31" s="635">
        <f t="shared" ref="S31:U31" ca="1" si="42">SUM(S32:S51)</f>
        <v>102</v>
      </c>
      <c r="T31" s="601">
        <f t="shared" ca="1" si="42"/>
        <v>0</v>
      </c>
      <c r="U31" s="601">
        <f t="shared" ca="1" si="42"/>
        <v>0</v>
      </c>
      <c r="V31" s="603">
        <f t="shared" ca="1" si="33"/>
        <v>0</v>
      </c>
      <c r="W31" s="281">
        <f t="shared" ref="W31:Y31" ca="1" si="43">SUM(W32:W51)</f>
        <v>4777</v>
      </c>
      <c r="X31" s="369">
        <f t="shared" ca="1" si="43"/>
        <v>405</v>
      </c>
      <c r="Y31" s="369">
        <f t="shared" ca="1" si="43"/>
        <v>226</v>
      </c>
      <c r="Z31" s="94">
        <f t="shared" ca="1" si="35"/>
        <v>8.4781243458237388</v>
      </c>
      <c r="AA31" s="635">
        <f t="shared" ref="AA31:AC31" ca="1" si="44">SUM(AA32:AA51)</f>
        <v>102</v>
      </c>
      <c r="AB31" s="601">
        <f t="shared" ca="1" si="44"/>
        <v>100</v>
      </c>
      <c r="AC31" s="601">
        <f t="shared" ca="1" si="44"/>
        <v>0</v>
      </c>
      <c r="AD31" s="603">
        <f t="shared" ca="1" si="37"/>
        <v>98.039215686274517</v>
      </c>
    </row>
    <row r="32" spans="1:30" ht="19.5" x14ac:dyDescent="0.3">
      <c r="A32" s="58">
        <v>1</v>
      </c>
      <c r="B32" s="59" t="s">
        <v>60</v>
      </c>
      <c r="C32" s="68">
        <f ca="1">IFERROR(__xludf.DUMMYFUNCTION("IMPORTRANGE(""https://docs.google.com/spreadsheets/d/1yhBcrRPreicbMKl9Bu_Snb2-OcQAF62RKfhTLhJ2eAA/edit?usp=sharing"",""กาฬสินธุ์!Q690"")"),151660)</f>
        <v>151660</v>
      </c>
      <c r="D32" s="68">
        <f ca="1">IFERROR(__xludf.DUMMYFUNCTION("IMPORTRANGE(""https://docs.google.com/spreadsheets/d/1yhBcrRPreicbMKl9Bu_Snb2-OcQAF62RKfhTLhJ2eAA/edit?usp=sharing"",""กาฬสินธุ์!R690"")"),151660)</f>
        <v>151660</v>
      </c>
      <c r="E32" s="68">
        <f ca="1">IFERROR(__xludf.DUMMYFUNCTION("IMPORTRANGE(""https://docs.google.com/spreadsheets/d/1yhBcrRPreicbMKl9Bu_Snb2-OcQAF62RKfhTLhJ2eAA/edit?usp=sharing"",""กาฬสินธุ์!S690"")"),62660)</f>
        <v>62660</v>
      </c>
      <c r="F32" s="68">
        <f t="shared" ca="1" si="24"/>
        <v>41.316101806672819</v>
      </c>
      <c r="G32" s="68">
        <f t="shared" ca="1" si="25"/>
        <v>41.316101806672819</v>
      </c>
      <c r="H32" s="278">
        <f ca="1">IFERROR(__xludf.DUMMYFUNCTION("IMPORTRANGE(""https://docs.google.com/spreadsheets/d/1yhBcrRPreicbMKl9Bu_Snb2-OcQAF62RKfhTLhJ2eAA/edit?usp=sharing"",""กาฬสินธุ์!I700"")"),0)</f>
        <v>0</v>
      </c>
      <c r="I32" s="152">
        <f ca="1">IFERROR(__xludf.DUMMYFUNCTION("IMPORTRANGE(""https://docs.google.com/spreadsheets/d/1yhBcrRPreicbMKl9Bu_Snb2-OcQAF62RKfhTLhJ2eAA/edit?usp=sharing"",""กาฬสินธุ์!J700"")"),0)</f>
        <v>0</v>
      </c>
      <c r="J32" s="216">
        <f t="shared" ca="1" si="27"/>
        <v>0</v>
      </c>
      <c r="K32" s="278">
        <f ca="1">IFERROR(__xludf.DUMMYFUNCTION("IMPORTRANGE(""https://docs.google.com/spreadsheets/d/1yhBcrRPreicbMKl9Bu_Snb2-OcQAF62RKfhTLhJ2eAA/edit?usp=sharing"",""กาฬสินธุ์!I701"")"),44)</f>
        <v>44</v>
      </c>
      <c r="L32" s="152">
        <f ca="1">IFERROR(__xludf.DUMMYFUNCTION("IMPORTRANGE(""https://docs.google.com/spreadsheets/d/1yhBcrRPreicbMKl9Bu_Snb2-OcQAF62RKfhTLhJ2eAA/edit?usp=sharing"",""กาฬสินธุ์!J701"")"),7)</f>
        <v>7</v>
      </c>
      <c r="M32" s="152">
        <f ca="1">IFERROR(__xludf.DUMMYFUNCTION("IMPORTRANGE(""https://docs.google.com/spreadsheets/d/1yhBcrRPreicbMKl9Bu_Snb2-OcQAF62RKfhTLhJ2eAA/edit?usp=sharing"",""กาฬสินธุ์!J702"")"),4.6)</f>
        <v>4.5999999999999996</v>
      </c>
      <c r="N32" s="216">
        <f t="shared" ca="1" si="29"/>
        <v>15.909090909090908</v>
      </c>
      <c r="O32" s="278">
        <f ca="1">IFERROR(__xludf.DUMMYFUNCTION("IMPORTRANGE(""https://docs.google.com/spreadsheets/d/1yhBcrRPreicbMKl9Bu_Snb2-OcQAF62RKfhTLhJ2eAA/edit?usp=sharing"",""กาฬสินธุ์!I703"")"),40)</f>
        <v>40</v>
      </c>
      <c r="P32" s="152">
        <f ca="1">IFERROR(__xludf.DUMMYFUNCTION("IMPORTRANGE(""https://docs.google.com/spreadsheets/d/1yhBcrRPreicbMKl9Bu_Snb2-OcQAF62RKfhTLhJ2eAA/edit?usp=sharing"",""กาฬสินธุ์!J703"")"),7)</f>
        <v>7</v>
      </c>
      <c r="Q32" s="152">
        <f ca="1">IFERROR(__xludf.DUMMYFUNCTION("IMPORTRANGE(""https://docs.google.com/spreadsheets/d/1yhBcrRPreicbMKl9Bu_Snb2-OcQAF62RKfhTLhJ2eAA/edit?usp=sharing"",""กาฬสินธุ์!J704"")"),4.6)</f>
        <v>4.5999999999999996</v>
      </c>
      <c r="R32" s="216">
        <f t="shared" ca="1" si="31"/>
        <v>17.5</v>
      </c>
      <c r="S32" s="632">
        <f ca="1">IFERROR(__xludf.DUMMYFUNCTION("IMPORTRANGE(""https://docs.google.com/spreadsheets/d/1yhBcrRPreicbMKl9Bu_Snb2-OcQAF62RKfhTLhJ2eAA/edit?usp=sharing"",""กาฬสินธุ์!I705"")"),4)</f>
        <v>4</v>
      </c>
      <c r="T32" s="251">
        <f ca="1">IFERROR(__xludf.DUMMYFUNCTION("IMPORTRANGE(""https://docs.google.com/spreadsheets/d/1yhBcrRPreicbMKl9Bu_Snb2-OcQAF62RKfhTLhJ2eAA/edit?usp=sharing"",""กาฬสินธุ์!J705"")"),0)</f>
        <v>0</v>
      </c>
      <c r="U32" s="251">
        <f ca="1">IFERROR(__xludf.DUMMYFUNCTION("IMPORTRANGE(""https://docs.google.com/spreadsheets/d/1yhBcrRPreicbMKl9Bu_Snb2-OcQAF62RKfhTLhJ2eAA/edit?usp=sharing"",""กาฬสินธุ์!J706"")"),0)</f>
        <v>0</v>
      </c>
      <c r="V32" s="605">
        <f t="shared" ca="1" si="33"/>
        <v>0</v>
      </c>
      <c r="W32" s="278">
        <f ca="1">IFERROR(__xludf.DUMMYFUNCTION("IMPORTRANGE(""https://docs.google.com/spreadsheets/d/1yhBcrRPreicbMKl9Bu_Snb2-OcQAF62RKfhTLhJ2eAA/edit?usp=sharing"",""กาฬสินธุ์!I707"")"),40)</f>
        <v>40</v>
      </c>
      <c r="X32" s="152">
        <f ca="1">IFERROR(__xludf.DUMMYFUNCTION("IMPORTRANGE(""https://docs.google.com/spreadsheets/d/1yhBcrRPreicbMKl9Bu_Snb2-OcQAF62RKfhTLhJ2eAA/edit?usp=sharing"",""กาฬสินธุ์!J707"")"),0)</f>
        <v>0</v>
      </c>
      <c r="Y32" s="152">
        <f ca="1">IFERROR(__xludf.DUMMYFUNCTION("IMPORTRANGE(""https://docs.google.com/spreadsheets/d/1yhBcrRPreicbMKl9Bu_Snb2-OcQAF62RKfhTLhJ2eAA/edit?usp=sharing"",""กาฬสินธุ์!J708"")"),0)</f>
        <v>0</v>
      </c>
      <c r="Z32" s="216">
        <f t="shared" ca="1" si="35"/>
        <v>0</v>
      </c>
      <c r="AA32" s="632">
        <f ca="1">IFERROR(__xludf.DUMMYFUNCTION("IMPORTRANGE(""https://docs.google.com/spreadsheets/d/1yhBcrRPreicbMKl9Bu_Snb2-OcQAF62RKfhTLhJ2eAA/edit?usp=sharing"",""กาฬสินธุ์!I709"")"),4)</f>
        <v>4</v>
      </c>
      <c r="AB32" s="251">
        <f ca="1">IFERROR(__xludf.DUMMYFUNCTION("IMPORTRANGE(""https://docs.google.com/spreadsheets/d/1yhBcrRPreicbMKl9Bu_Snb2-OcQAF62RKfhTLhJ2eAA/edit?usp=sharing"",""กาฬสินธุ์!J709"")"),2)</f>
        <v>2</v>
      </c>
      <c r="AC32" s="251">
        <f ca="1">IFERROR(__xludf.DUMMYFUNCTION("IMPORTRANGE(""https://docs.google.com/spreadsheets/d/1yhBcrRPreicbMKl9Bu_Snb2-OcQAF62RKfhTLhJ2eAA/edit?usp=sharing"",""กาฬสินธุ์!J710"")"),0)</f>
        <v>0</v>
      </c>
      <c r="AD32" s="605">
        <f t="shared" ca="1" si="37"/>
        <v>50</v>
      </c>
    </row>
    <row r="33" spans="1:30" ht="19.5" x14ac:dyDescent="0.3">
      <c r="A33" s="70">
        <v>2</v>
      </c>
      <c r="B33" s="71" t="s">
        <v>61</v>
      </c>
      <c r="C33" s="68">
        <f ca="1">IFERROR(__xludf.DUMMYFUNCTION("IMPORTRANGE(""https://docs.google.com/spreadsheets/d/1aHkj4IaQMThhwWwevcOymEh837vdxeC_PycurhTbGFA/edit?usp=sharing"",""ขอนแก่น!Q690"")"),201730)</f>
        <v>201730</v>
      </c>
      <c r="D33" s="68">
        <f ca="1">IFERROR(__xludf.DUMMYFUNCTION("IMPORTRANGE(""https://docs.google.com/spreadsheets/d/1aHkj4IaQMThhwWwevcOymEh837vdxeC_PycurhTbGFA/edit?usp=sharing"",""ขอนแก่น!R690"")"),201730)</f>
        <v>201730</v>
      </c>
      <c r="E33" s="68">
        <f ca="1">IFERROR(__xludf.DUMMYFUNCTION("IMPORTRANGE(""https://docs.google.com/spreadsheets/d/1aHkj4IaQMThhwWwevcOymEh837vdxeC_PycurhTbGFA/edit?usp=sharing"",""ขอนแก่น!S690"")"),69088)</f>
        <v>69088</v>
      </c>
      <c r="F33" s="68">
        <f t="shared" ca="1" si="24"/>
        <v>34.247756902790861</v>
      </c>
      <c r="G33" s="68">
        <f t="shared" ca="1" si="25"/>
        <v>34.247756902790861</v>
      </c>
      <c r="H33" s="278">
        <f ca="1">IFERROR(__xludf.DUMMYFUNCTION("IMPORTRANGE(""https://docs.google.com/spreadsheets/d/1aHkj4IaQMThhwWwevcOymEh837vdxeC_PycurhTbGFA/edit?usp=sharing"",""ขอนแก่น!I700"")"),0)</f>
        <v>0</v>
      </c>
      <c r="I33" s="152">
        <f ca="1">IFERROR(__xludf.DUMMYFUNCTION("IMPORTRANGE(""https://docs.google.com/spreadsheets/d/1aHkj4IaQMThhwWwevcOymEh837vdxeC_PycurhTbGFA/edit?usp=sharing"",""ขอนแก่น!J700"")"),0)</f>
        <v>0</v>
      </c>
      <c r="J33" s="216">
        <f t="shared" ca="1" si="27"/>
        <v>0</v>
      </c>
      <c r="K33" s="278">
        <f ca="1">IFERROR(__xludf.DUMMYFUNCTION("IMPORTRANGE(""https://docs.google.com/spreadsheets/d/1aHkj4IaQMThhwWwevcOymEh837vdxeC_PycurhTbGFA/edit?usp=sharing"",""ขอนแก่น!I701"")"),55)</f>
        <v>55</v>
      </c>
      <c r="L33" s="152">
        <f ca="1">IFERROR(__xludf.DUMMYFUNCTION("IMPORTRANGE(""https://docs.google.com/spreadsheets/d/1aHkj4IaQMThhwWwevcOymEh837vdxeC_PycurhTbGFA/edit?usp=sharing"",""ขอนแก่น!J701"")"),0)</f>
        <v>0</v>
      </c>
      <c r="M33" s="152">
        <f ca="1">IFERROR(__xludf.DUMMYFUNCTION("IMPORTRANGE(""https://docs.google.com/spreadsheets/d/1aHkj4IaQMThhwWwevcOymEh837vdxeC_PycurhTbGFA/edit?usp=sharing"",""ขอนแก่น!J702"")"),0)</f>
        <v>0</v>
      </c>
      <c r="N33" s="216">
        <f t="shared" ca="1" si="29"/>
        <v>0</v>
      </c>
      <c r="O33" s="278">
        <f ca="1">IFERROR(__xludf.DUMMYFUNCTION("IMPORTRANGE(""https://docs.google.com/spreadsheets/d/1aHkj4IaQMThhwWwevcOymEh837vdxeC_PycurhTbGFA/edit?usp=sharing"",""ขอนแก่น!I703"")"),50)</f>
        <v>50</v>
      </c>
      <c r="P33" s="152">
        <f ca="1">IFERROR(__xludf.DUMMYFUNCTION("IMPORTRANGE(""https://docs.google.com/spreadsheets/d/1aHkj4IaQMThhwWwevcOymEh837vdxeC_PycurhTbGFA/edit?usp=sharing"",""ขอนแก่น!J703"")"),0)</f>
        <v>0</v>
      </c>
      <c r="Q33" s="152">
        <f ca="1">IFERROR(__xludf.DUMMYFUNCTION("IMPORTRANGE(""https://docs.google.com/spreadsheets/d/1aHkj4IaQMThhwWwevcOymEh837vdxeC_PycurhTbGFA/edit?usp=sharing"",""ขอนแก่น!J704"")"),0)</f>
        <v>0</v>
      </c>
      <c r="R33" s="216">
        <f t="shared" ca="1" si="31"/>
        <v>0</v>
      </c>
      <c r="S33" s="632">
        <f ca="1">IFERROR(__xludf.DUMMYFUNCTION("IMPORTRANGE(""https://docs.google.com/spreadsheets/d/1aHkj4IaQMThhwWwevcOymEh837vdxeC_PycurhTbGFA/edit?usp=sharing"",""ขอนแก่น!I705"")"),5)</f>
        <v>5</v>
      </c>
      <c r="T33" s="251">
        <f ca="1">IFERROR(__xludf.DUMMYFUNCTION("IMPORTRANGE(""https://docs.google.com/spreadsheets/d/1aHkj4IaQMThhwWwevcOymEh837vdxeC_PycurhTbGFA/edit?usp=sharing"",""ขอนแก่น!J705"")"),0)</f>
        <v>0</v>
      </c>
      <c r="U33" s="251">
        <f ca="1">IFERROR(__xludf.DUMMYFUNCTION("IMPORTRANGE(""https://docs.google.com/spreadsheets/d/1aHkj4IaQMThhwWwevcOymEh837vdxeC_PycurhTbGFA/edit?usp=sharing"",""ขอนแก่น!J706"")"),0)</f>
        <v>0</v>
      </c>
      <c r="V33" s="605">
        <f t="shared" ca="1" si="33"/>
        <v>0</v>
      </c>
      <c r="W33" s="278">
        <f ca="1">IFERROR(__xludf.DUMMYFUNCTION("IMPORTRANGE(""https://docs.google.com/spreadsheets/d/1aHkj4IaQMThhwWwevcOymEh837vdxeC_PycurhTbGFA/edit?usp=sharing"",""ขอนแก่น!I707"")"),50)</f>
        <v>50</v>
      </c>
      <c r="X33" s="152">
        <f ca="1">IFERROR(__xludf.DUMMYFUNCTION("IMPORTRANGE(""https://docs.google.com/spreadsheets/d/1aHkj4IaQMThhwWwevcOymEh837vdxeC_PycurhTbGFA/edit?usp=sharing"",""ขอนแก่น!J707"")"),0)</f>
        <v>0</v>
      </c>
      <c r="Y33" s="152">
        <f ca="1">IFERROR(__xludf.DUMMYFUNCTION("IMPORTRANGE(""https://docs.google.com/spreadsheets/d/1aHkj4IaQMThhwWwevcOymEh837vdxeC_PycurhTbGFA/edit?usp=sharing"",""ขอนแก่น!J708"")"),0)</f>
        <v>0</v>
      </c>
      <c r="Z33" s="216">
        <f t="shared" ca="1" si="35"/>
        <v>0</v>
      </c>
      <c r="AA33" s="632">
        <f ca="1">IFERROR(__xludf.DUMMYFUNCTION("IMPORTRANGE(""https://docs.google.com/spreadsheets/d/1aHkj4IaQMThhwWwevcOymEh837vdxeC_PycurhTbGFA/edit?usp=sharing"",""ขอนแก่น!I709"")"),5)</f>
        <v>5</v>
      </c>
      <c r="AB33" s="251">
        <f ca="1">IFERROR(__xludf.DUMMYFUNCTION("IMPORTRANGE(""https://docs.google.com/spreadsheets/d/1aHkj4IaQMThhwWwevcOymEh837vdxeC_PycurhTbGFA/edit?usp=sharing"",""ขอนแก่น!J709"")"),11)</f>
        <v>11</v>
      </c>
      <c r="AC33" s="251">
        <f ca="1">IFERROR(__xludf.DUMMYFUNCTION("IMPORTRANGE(""https://docs.google.com/spreadsheets/d/1aHkj4IaQMThhwWwevcOymEh837vdxeC_PycurhTbGFA/edit?usp=sharing"",""ขอนแก่น!J710"")"),0)</f>
        <v>0</v>
      </c>
      <c r="AD33" s="605">
        <f t="shared" ca="1" si="37"/>
        <v>220</v>
      </c>
    </row>
    <row r="34" spans="1:30" ht="19.5" x14ac:dyDescent="0.3">
      <c r="A34" s="70">
        <v>3</v>
      </c>
      <c r="B34" s="71" t="s">
        <v>62</v>
      </c>
      <c r="C34" s="68">
        <f ca="1">IFERROR(__xludf.DUMMYFUNCTION("IMPORTRANGE(""https://docs.google.com/spreadsheets/d/1FvTu2DsIWUjP6WCWra38Bkj_oOl_sOMf14r5Fg5srxU/edit?usp=sharing"",""ชัยภูมิ!Q690"")"),369200)</f>
        <v>369200</v>
      </c>
      <c r="D34" s="68">
        <f ca="1">IFERROR(__xludf.DUMMYFUNCTION("IMPORTRANGE(""https://docs.google.com/spreadsheets/d/1FvTu2DsIWUjP6WCWra38Bkj_oOl_sOMf14r5Fg5srxU/edit?usp=sharing"",""ชัยภูมิ!R690"")"),369200)</f>
        <v>369200</v>
      </c>
      <c r="E34" s="68">
        <f ca="1">IFERROR(__xludf.DUMMYFUNCTION("IMPORTRANGE(""https://docs.google.com/spreadsheets/d/1FvTu2DsIWUjP6WCWra38Bkj_oOl_sOMf14r5Fg5srxU/edit?usp=sharing"",""ชัยภูมิ!S690"")"),164391)</f>
        <v>164391</v>
      </c>
      <c r="F34" s="68">
        <f t="shared" ca="1" si="24"/>
        <v>44.526273022751894</v>
      </c>
      <c r="G34" s="68">
        <f t="shared" ca="1" si="25"/>
        <v>44.526273022751894</v>
      </c>
      <c r="H34" s="278">
        <f ca="1">IFERROR(__xludf.DUMMYFUNCTION("IMPORTRANGE(""https://docs.google.com/spreadsheets/d/1FvTu2DsIWUjP6WCWra38Bkj_oOl_sOMf14r5Fg5srxU/edit?usp=sharing"",""ชัยภูมิ!I700"")"),0)</f>
        <v>0</v>
      </c>
      <c r="I34" s="152">
        <f ca="1">IFERROR(__xludf.DUMMYFUNCTION("IMPORTRANGE(""https://docs.google.com/spreadsheets/d/1FvTu2DsIWUjP6WCWra38Bkj_oOl_sOMf14r5Fg5srxU/edit?usp=sharing"",""ชัยภูมิ!J700"")"),0)</f>
        <v>0</v>
      </c>
      <c r="J34" s="216">
        <f t="shared" ca="1" si="27"/>
        <v>0</v>
      </c>
      <c r="K34" s="278">
        <f ca="1">IFERROR(__xludf.DUMMYFUNCTION("IMPORTRANGE(""https://docs.google.com/spreadsheets/d/1FvTu2DsIWUjP6WCWra38Bkj_oOl_sOMf14r5Fg5srxU/edit?usp=sharing"",""ชัยภูมิ!I701"")"),254)</f>
        <v>254</v>
      </c>
      <c r="L34" s="152">
        <f ca="1">IFERROR(__xludf.DUMMYFUNCTION("IMPORTRANGE(""https://docs.google.com/spreadsheets/d/1FvTu2DsIWUjP6WCWra38Bkj_oOl_sOMf14r5Fg5srxU/edit?usp=sharing"",""ชัยภูมิ!J701"")"),18)</f>
        <v>18</v>
      </c>
      <c r="M34" s="152">
        <f ca="1">IFERROR(__xludf.DUMMYFUNCTION("IMPORTRANGE(""https://docs.google.com/spreadsheets/d/1FvTu2DsIWUjP6WCWra38Bkj_oOl_sOMf14r5Fg5srxU/edit?usp=sharing"",""ชัยภูมิ!J702"")"),24.15)</f>
        <v>24.15</v>
      </c>
      <c r="N34" s="216">
        <f t="shared" ca="1" si="29"/>
        <v>7.0866141732283463</v>
      </c>
      <c r="O34" s="278">
        <f ca="1">IFERROR(__xludf.DUMMYFUNCTION("IMPORTRANGE(""https://docs.google.com/spreadsheets/d/1FvTu2DsIWUjP6WCWra38Bkj_oOl_sOMf14r5Fg5srxU/edit?usp=sharing"",""ชัยภูมิ!I703"")"),250)</f>
        <v>250</v>
      </c>
      <c r="P34" s="152">
        <f ca="1">IFERROR(__xludf.DUMMYFUNCTION("IMPORTRANGE(""https://docs.google.com/spreadsheets/d/1FvTu2DsIWUjP6WCWra38Bkj_oOl_sOMf14r5Fg5srxU/edit?usp=sharing"",""ชัยภูมิ!J703"")"),18)</f>
        <v>18</v>
      </c>
      <c r="Q34" s="152">
        <f ca="1">IFERROR(__xludf.DUMMYFUNCTION("IMPORTRANGE(""https://docs.google.com/spreadsheets/d/1FvTu2DsIWUjP6WCWra38Bkj_oOl_sOMf14r5Fg5srxU/edit?usp=sharing"",""ชัยภูมิ!J704"")"),24.15)</f>
        <v>24.15</v>
      </c>
      <c r="R34" s="216">
        <f t="shared" ca="1" si="31"/>
        <v>7.2</v>
      </c>
      <c r="S34" s="632">
        <f ca="1">IFERROR(__xludf.DUMMYFUNCTION("IMPORTRANGE(""https://docs.google.com/spreadsheets/d/1FvTu2DsIWUjP6WCWra38Bkj_oOl_sOMf14r5Fg5srxU/edit?usp=sharing"",""ชัยภูมิ!I705"")"),4)</f>
        <v>4</v>
      </c>
      <c r="T34" s="251">
        <f ca="1">IFERROR(__xludf.DUMMYFUNCTION("IMPORTRANGE(""https://docs.google.com/spreadsheets/d/1FvTu2DsIWUjP6WCWra38Bkj_oOl_sOMf14r5Fg5srxU/edit?usp=sharing"",""ชัยภูมิ!J705"")"),0)</f>
        <v>0</v>
      </c>
      <c r="U34" s="251">
        <f ca="1">IFERROR(__xludf.DUMMYFUNCTION("IMPORTRANGE(""https://docs.google.com/spreadsheets/d/1FvTu2DsIWUjP6WCWra38Bkj_oOl_sOMf14r5Fg5srxU/edit?usp=sharing"",""ชัยภูมิ!J706"")"),0)</f>
        <v>0</v>
      </c>
      <c r="V34" s="605">
        <f t="shared" ca="1" si="33"/>
        <v>0</v>
      </c>
      <c r="W34" s="278">
        <f ca="1">IFERROR(__xludf.DUMMYFUNCTION("IMPORTRANGE(""https://docs.google.com/spreadsheets/d/1FvTu2DsIWUjP6WCWra38Bkj_oOl_sOMf14r5Fg5srxU/edit?usp=sharing"",""ชัยภูมิ!I707"")"),250)</f>
        <v>250</v>
      </c>
      <c r="X34" s="152">
        <f ca="1">IFERROR(__xludf.DUMMYFUNCTION("IMPORTRANGE(""https://docs.google.com/spreadsheets/d/1FvTu2DsIWUjP6WCWra38Bkj_oOl_sOMf14r5Fg5srxU/edit?usp=sharing"",""ชัยภูมิ!J707"")"),0)</f>
        <v>0</v>
      </c>
      <c r="Y34" s="152">
        <f ca="1">IFERROR(__xludf.DUMMYFUNCTION("IMPORTRANGE(""https://docs.google.com/spreadsheets/d/1FvTu2DsIWUjP6WCWra38Bkj_oOl_sOMf14r5Fg5srxU/edit?usp=sharing"",""ชัยภูมิ!J708"")"),0)</f>
        <v>0</v>
      </c>
      <c r="Z34" s="216">
        <f t="shared" ca="1" si="35"/>
        <v>0</v>
      </c>
      <c r="AA34" s="632">
        <f ca="1">IFERROR(__xludf.DUMMYFUNCTION("IMPORTRANGE(""https://docs.google.com/spreadsheets/d/1FvTu2DsIWUjP6WCWra38Bkj_oOl_sOMf14r5Fg5srxU/edit?usp=sharing"",""ชัยภูมิ!I709"")"),4)</f>
        <v>4</v>
      </c>
      <c r="AB34" s="251">
        <f ca="1">IFERROR(__xludf.DUMMYFUNCTION("IMPORTRANGE(""https://docs.google.com/spreadsheets/d/1FvTu2DsIWUjP6WCWra38Bkj_oOl_sOMf14r5Fg5srxU/edit?usp=sharing"",""ชัยภูมิ!J709"")"),4)</f>
        <v>4</v>
      </c>
      <c r="AC34" s="251">
        <f ca="1">IFERROR(__xludf.DUMMYFUNCTION("IMPORTRANGE(""https://docs.google.com/spreadsheets/d/1FvTu2DsIWUjP6WCWra38Bkj_oOl_sOMf14r5Fg5srxU/edit?usp=sharing"",""ชัยภูมิ!J710"")"),0)</f>
        <v>0</v>
      </c>
      <c r="AD34" s="605">
        <f t="shared" ca="1" si="37"/>
        <v>100</v>
      </c>
    </row>
    <row r="35" spans="1:30" ht="19.5" x14ac:dyDescent="0.3">
      <c r="A35" s="70">
        <v>4</v>
      </c>
      <c r="B35" s="71" t="s">
        <v>63</v>
      </c>
      <c r="C35" s="68">
        <f ca="1">IFERROR(__xludf.DUMMYFUNCTION("IMPORTRANGE(""https://docs.google.com/spreadsheets/d/1XVB7oCJ3pr-vBUdflwPQ8Z2LlzhnCvZaaYjAfP-647E/edit?usp=sharing"",""นครพนม!Q690"")"),67330)</f>
        <v>67330</v>
      </c>
      <c r="D35" s="68">
        <f ca="1">IFERROR(__xludf.DUMMYFUNCTION("IMPORTRANGE(""https://docs.google.com/spreadsheets/d/1XVB7oCJ3pr-vBUdflwPQ8Z2LlzhnCvZaaYjAfP-647E/edit?usp=sharing"",""นครพนม!R690"")"),67330)</f>
        <v>67330</v>
      </c>
      <c r="E35" s="68">
        <f ca="1">IFERROR(__xludf.DUMMYFUNCTION("IMPORTRANGE(""https://docs.google.com/spreadsheets/d/1XVB7oCJ3pr-vBUdflwPQ8Z2LlzhnCvZaaYjAfP-647E/edit?usp=sharing"",""นครพนม!S690"")"),500)</f>
        <v>500</v>
      </c>
      <c r="F35" s="68">
        <f t="shared" ca="1" si="24"/>
        <v>0.74261102034754201</v>
      </c>
      <c r="G35" s="68">
        <f t="shared" ca="1" si="25"/>
        <v>0.74261102034754201</v>
      </c>
      <c r="H35" s="278">
        <f ca="1">IFERROR(__xludf.DUMMYFUNCTION("IMPORTRANGE(""https://docs.google.com/spreadsheets/d/1XVB7oCJ3pr-vBUdflwPQ8Z2LlzhnCvZaaYjAfP-647E/edit?usp=sharing"",""นครพนม!I700"")"),0)</f>
        <v>0</v>
      </c>
      <c r="I35" s="152">
        <f ca="1">IFERROR(__xludf.DUMMYFUNCTION("IMPORTRANGE(""https://docs.google.com/spreadsheets/d/1XVB7oCJ3pr-vBUdflwPQ8Z2LlzhnCvZaaYjAfP-647E/edit?usp=sharing"",""นครพนม!J700"")"),0)</f>
        <v>0</v>
      </c>
      <c r="J35" s="216">
        <f t="shared" ca="1" si="27"/>
        <v>0</v>
      </c>
      <c r="K35" s="278">
        <f ca="1">IFERROR(__xludf.DUMMYFUNCTION("IMPORTRANGE(""https://docs.google.com/spreadsheets/d/1XVB7oCJ3pr-vBUdflwPQ8Z2LlzhnCvZaaYjAfP-647E/edit?usp=sharing"",""นครพนม!I701"")"),3)</f>
        <v>3</v>
      </c>
      <c r="L35" s="152">
        <f ca="1">IFERROR(__xludf.DUMMYFUNCTION("IMPORTRANGE(""https://docs.google.com/spreadsheets/d/1XVB7oCJ3pr-vBUdflwPQ8Z2LlzhnCvZaaYjAfP-647E/edit?usp=sharing"",""นครพนม!J701"")"),0)</f>
        <v>0</v>
      </c>
      <c r="M35" s="152">
        <f ca="1">IFERROR(__xludf.DUMMYFUNCTION("IMPORTRANGE(""https://docs.google.com/spreadsheets/d/1XVB7oCJ3pr-vBUdflwPQ8Z2LlzhnCvZaaYjAfP-647E/edit?usp=sharing"",""นครพนม!J702"")"),0)</f>
        <v>0</v>
      </c>
      <c r="N35" s="216">
        <f t="shared" ca="1" si="29"/>
        <v>0</v>
      </c>
      <c r="O35" s="278">
        <f ca="1">IFERROR(__xludf.DUMMYFUNCTION("IMPORTRANGE(""https://docs.google.com/spreadsheets/d/1XVB7oCJ3pr-vBUdflwPQ8Z2LlzhnCvZaaYjAfP-647E/edit?usp=sharing"",""นครพนม!I703"")"),0)</f>
        <v>0</v>
      </c>
      <c r="P35" s="152">
        <f ca="1">IFERROR(__xludf.DUMMYFUNCTION("IMPORTRANGE(""https://docs.google.com/spreadsheets/d/1XVB7oCJ3pr-vBUdflwPQ8Z2LlzhnCvZaaYjAfP-647E/edit?usp=sharing"",""นครพนม!J703"")"),0)</f>
        <v>0</v>
      </c>
      <c r="Q35" s="152">
        <f ca="1">IFERROR(__xludf.DUMMYFUNCTION("IMPORTRANGE(""https://docs.google.com/spreadsheets/d/1XVB7oCJ3pr-vBUdflwPQ8Z2LlzhnCvZaaYjAfP-647E/edit?usp=sharing"",""นครพนม!J704"")"),0)</f>
        <v>0</v>
      </c>
      <c r="R35" s="216">
        <f t="shared" ca="1" si="31"/>
        <v>0</v>
      </c>
      <c r="S35" s="632">
        <f ca="1">IFERROR(__xludf.DUMMYFUNCTION("IMPORTRANGE(""https://docs.google.com/spreadsheets/d/1XVB7oCJ3pr-vBUdflwPQ8Z2LlzhnCvZaaYjAfP-647E/edit?usp=sharing"",""นครพนม!I705"")"),3)</f>
        <v>3</v>
      </c>
      <c r="T35" s="251">
        <f ca="1">IFERROR(__xludf.DUMMYFUNCTION("IMPORTRANGE(""https://docs.google.com/spreadsheets/d/1XVB7oCJ3pr-vBUdflwPQ8Z2LlzhnCvZaaYjAfP-647E/edit?usp=sharing"",""นครพนม!J705"")"),0)</f>
        <v>0</v>
      </c>
      <c r="U35" s="251">
        <f ca="1">IFERROR(__xludf.DUMMYFUNCTION("IMPORTRANGE(""https://docs.google.com/spreadsheets/d/1XVB7oCJ3pr-vBUdflwPQ8Z2LlzhnCvZaaYjAfP-647E/edit?usp=sharing"",""นครพนม!J706"")"),0)</f>
        <v>0</v>
      </c>
      <c r="V35" s="605">
        <f t="shared" ca="1" si="33"/>
        <v>0</v>
      </c>
      <c r="W35" s="278">
        <f ca="1">IFERROR(__xludf.DUMMYFUNCTION("IMPORTRANGE(""https://docs.google.com/spreadsheets/d/1XVB7oCJ3pr-vBUdflwPQ8Z2LlzhnCvZaaYjAfP-647E/edit?usp=sharing"",""นครพนม!I707"")"),0)</f>
        <v>0</v>
      </c>
      <c r="X35" s="152">
        <f ca="1">IFERROR(__xludf.DUMMYFUNCTION("IMPORTRANGE(""https://docs.google.com/spreadsheets/d/1XVB7oCJ3pr-vBUdflwPQ8Z2LlzhnCvZaaYjAfP-647E/edit?usp=sharing"",""นครพนม!J707"")"),0)</f>
        <v>0</v>
      </c>
      <c r="Y35" s="152">
        <f ca="1">IFERROR(__xludf.DUMMYFUNCTION("IMPORTRANGE(""https://docs.google.com/spreadsheets/d/1XVB7oCJ3pr-vBUdflwPQ8Z2LlzhnCvZaaYjAfP-647E/edit?usp=sharing"",""นครพนม!J708"")"),0)</f>
        <v>0</v>
      </c>
      <c r="Z35" s="216">
        <f t="shared" ca="1" si="35"/>
        <v>0</v>
      </c>
      <c r="AA35" s="632">
        <f ca="1">IFERROR(__xludf.DUMMYFUNCTION("IMPORTRANGE(""https://docs.google.com/spreadsheets/d/1XVB7oCJ3pr-vBUdflwPQ8Z2LlzhnCvZaaYjAfP-647E/edit?usp=sharing"",""นครพนม!I709"")"),3)</f>
        <v>3</v>
      </c>
      <c r="AB35" s="251">
        <f ca="1">IFERROR(__xludf.DUMMYFUNCTION("IMPORTRANGE(""https://docs.google.com/spreadsheets/d/1XVB7oCJ3pr-vBUdflwPQ8Z2LlzhnCvZaaYjAfP-647E/edit?usp=sharing"",""นครพนม!J709"")"),8)</f>
        <v>8</v>
      </c>
      <c r="AC35" s="251">
        <f ca="1">IFERROR(__xludf.DUMMYFUNCTION("IMPORTRANGE(""https://docs.google.com/spreadsheets/d/1XVB7oCJ3pr-vBUdflwPQ8Z2LlzhnCvZaaYjAfP-647E/edit?usp=sharing"",""นครพนม!J710"")"),0)</f>
        <v>0</v>
      </c>
      <c r="AD35" s="605">
        <f t="shared" ca="1" si="37"/>
        <v>266.66666666666669</v>
      </c>
    </row>
    <row r="36" spans="1:30" ht="19.5" x14ac:dyDescent="0.3">
      <c r="A36" s="70">
        <v>5</v>
      </c>
      <c r="B36" s="71" t="s">
        <v>64</v>
      </c>
      <c r="C36" s="68">
        <f ca="1">IFERROR(__xludf.DUMMYFUNCTION("IMPORTRANGE(""https://docs.google.com/spreadsheets/d/1Mnpb-8PYAgn85W6KOTD40hc_Xc55CaLfHoGAbrZ8tls/edit?usp=sharing"",""นครราชสีมา!Q690"")"),1142900)</f>
        <v>1142900</v>
      </c>
      <c r="D36" s="68">
        <f ca="1">IFERROR(__xludf.DUMMYFUNCTION("IMPORTRANGE(""https://docs.google.com/spreadsheets/d/1Mnpb-8PYAgn85W6KOTD40hc_Xc55CaLfHoGAbrZ8tls/edit?usp=sharing"",""นครราชสีมา!R690"")"),1142900)</f>
        <v>1142900</v>
      </c>
      <c r="E36" s="68">
        <f ca="1">IFERROR(__xludf.DUMMYFUNCTION("IMPORTRANGE(""https://docs.google.com/spreadsheets/d/1Mnpb-8PYAgn85W6KOTD40hc_Xc55CaLfHoGAbrZ8tls/edit?usp=sharing"",""นครราชสีมา!S690"")"),755270.94)</f>
        <v>755270.94</v>
      </c>
      <c r="F36" s="68">
        <f t="shared" ca="1" si="24"/>
        <v>66.083729110158373</v>
      </c>
      <c r="G36" s="68">
        <f t="shared" ca="1" si="25"/>
        <v>66.083729110158373</v>
      </c>
      <c r="H36" s="278">
        <f ca="1">IFERROR(__xludf.DUMMYFUNCTION("IMPORTRANGE(""https://docs.google.com/spreadsheets/d/1Mnpb-8PYAgn85W6KOTD40hc_Xc55CaLfHoGAbrZ8tls/edit?usp=sharing"",""นครราชสีมา!I700"")"),0)</f>
        <v>0</v>
      </c>
      <c r="I36" s="152">
        <f ca="1">IFERROR(__xludf.DUMMYFUNCTION("IMPORTRANGE(""https://docs.google.com/spreadsheets/d/1Mnpb-8PYAgn85W6KOTD40hc_Xc55CaLfHoGAbrZ8tls/edit?usp=sharing"",""นครราชสีมา!J700"")"),0)</f>
        <v>0</v>
      </c>
      <c r="J36" s="216">
        <f t="shared" ca="1" si="27"/>
        <v>0</v>
      </c>
      <c r="K36" s="278">
        <f ca="1">IFERROR(__xludf.DUMMYFUNCTION("IMPORTRANGE(""https://docs.google.com/spreadsheets/d/1Mnpb-8PYAgn85W6KOTD40hc_Xc55CaLfHoGAbrZ8tls/edit?usp=sharing"",""นครราชสีมา!I701"")"),1004)</f>
        <v>1004</v>
      </c>
      <c r="L36" s="152">
        <f ca="1">IFERROR(__xludf.DUMMYFUNCTION("IMPORTRANGE(""https://docs.google.com/spreadsheets/d/1Mnpb-8PYAgn85W6KOTD40hc_Xc55CaLfHoGAbrZ8tls/edit?usp=sharing"",""นครราชสีมา!J701"")"),747)</f>
        <v>747</v>
      </c>
      <c r="M36" s="152">
        <f ca="1">IFERROR(__xludf.DUMMYFUNCTION("IMPORTRANGE(""https://docs.google.com/spreadsheets/d/1Mnpb-8PYAgn85W6KOTD40hc_Xc55CaLfHoGAbrZ8tls/edit?usp=sharing"",""นครราชสีมา!J702"")"),530.66)</f>
        <v>530.66</v>
      </c>
      <c r="N36" s="216">
        <f t="shared" ca="1" si="29"/>
        <v>74.402390438247011</v>
      </c>
      <c r="O36" s="278">
        <f ca="1">IFERROR(__xludf.DUMMYFUNCTION("IMPORTRANGE(""https://docs.google.com/spreadsheets/d/1Mnpb-8PYAgn85W6KOTD40hc_Xc55CaLfHoGAbrZ8tls/edit?usp=sharing"",""นครราชสีมา!I703"")"),1000)</f>
        <v>1000</v>
      </c>
      <c r="P36" s="152">
        <f ca="1">IFERROR(__xludf.DUMMYFUNCTION("IMPORTRANGE(""https://docs.google.com/spreadsheets/d/1Mnpb-8PYAgn85W6KOTD40hc_Xc55CaLfHoGAbrZ8tls/edit?usp=sharing"",""นครราชสีมา!J703"")"),747)</f>
        <v>747</v>
      </c>
      <c r="Q36" s="152">
        <f ca="1">IFERROR(__xludf.DUMMYFUNCTION("IMPORTRANGE(""https://docs.google.com/spreadsheets/d/1Mnpb-8PYAgn85W6KOTD40hc_Xc55CaLfHoGAbrZ8tls/edit?usp=sharing"",""นครราชสีมา!J704"")"),530.66)</f>
        <v>530.66</v>
      </c>
      <c r="R36" s="216">
        <f t="shared" ca="1" si="31"/>
        <v>74.7</v>
      </c>
      <c r="S36" s="632">
        <f ca="1">IFERROR(__xludf.DUMMYFUNCTION("IMPORTRANGE(""https://docs.google.com/spreadsheets/d/1Mnpb-8PYAgn85W6KOTD40hc_Xc55CaLfHoGAbrZ8tls/edit?usp=sharing"",""นครราชสีมา!I705"")"),4)</f>
        <v>4</v>
      </c>
      <c r="T36" s="251">
        <f ca="1">IFERROR(__xludf.DUMMYFUNCTION("IMPORTRANGE(""https://docs.google.com/spreadsheets/d/1Mnpb-8PYAgn85W6KOTD40hc_Xc55CaLfHoGAbrZ8tls/edit?usp=sharing"",""นครราชสีมา!J705"")"),0)</f>
        <v>0</v>
      </c>
      <c r="U36" s="251">
        <f ca="1">IFERROR(__xludf.DUMMYFUNCTION("IMPORTRANGE(""https://docs.google.com/spreadsheets/d/1Mnpb-8PYAgn85W6KOTD40hc_Xc55CaLfHoGAbrZ8tls/edit?usp=sharing"",""นครราชสีมา!J706"")"),0)</f>
        <v>0</v>
      </c>
      <c r="V36" s="605">
        <f t="shared" ca="1" si="33"/>
        <v>0</v>
      </c>
      <c r="W36" s="278">
        <f ca="1">IFERROR(__xludf.DUMMYFUNCTION("IMPORTRANGE(""https://docs.google.com/spreadsheets/d/1Mnpb-8PYAgn85W6KOTD40hc_Xc55CaLfHoGAbrZ8tls/edit?usp=sharing"",""นครราชสีมา!I707"")"),1000)</f>
        <v>1000</v>
      </c>
      <c r="X36" s="152">
        <f ca="1">IFERROR(__xludf.DUMMYFUNCTION("IMPORTRANGE(""https://docs.google.com/spreadsheets/d/1Mnpb-8PYAgn85W6KOTD40hc_Xc55CaLfHoGAbrZ8tls/edit?usp=sharing"",""นครราชสีมา!J707"")"),0)</f>
        <v>0</v>
      </c>
      <c r="Y36" s="152">
        <f ca="1">IFERROR(__xludf.DUMMYFUNCTION("IMPORTRANGE(""https://docs.google.com/spreadsheets/d/1Mnpb-8PYAgn85W6KOTD40hc_Xc55CaLfHoGAbrZ8tls/edit?usp=sharing"",""นครราชสีมา!J708"")"),0)</f>
        <v>0</v>
      </c>
      <c r="Z36" s="216">
        <f t="shared" ca="1" si="35"/>
        <v>0</v>
      </c>
      <c r="AA36" s="632">
        <f ca="1">IFERROR(__xludf.DUMMYFUNCTION("IMPORTRANGE(""https://docs.google.com/spreadsheets/d/1Mnpb-8PYAgn85W6KOTD40hc_Xc55CaLfHoGAbrZ8tls/edit?usp=sharing"",""นครราชสีมา!I709"")"),4)</f>
        <v>4</v>
      </c>
      <c r="AB36" s="251">
        <f ca="1">IFERROR(__xludf.DUMMYFUNCTION("IMPORTRANGE(""https://docs.google.com/spreadsheets/d/1Mnpb-8PYAgn85W6KOTD40hc_Xc55CaLfHoGAbrZ8tls/edit?usp=sharing"",""นครราชสีมา!J709"")"),2)</f>
        <v>2</v>
      </c>
      <c r="AC36" s="251">
        <f ca="1">IFERROR(__xludf.DUMMYFUNCTION("IMPORTRANGE(""https://docs.google.com/spreadsheets/d/1Mnpb-8PYAgn85W6KOTD40hc_Xc55CaLfHoGAbrZ8tls/edit?usp=sharing"",""นครราชสีมา!J710"")"),0)</f>
        <v>0</v>
      </c>
      <c r="AD36" s="605">
        <f t="shared" ca="1" si="37"/>
        <v>50</v>
      </c>
    </row>
    <row r="37" spans="1:30" ht="19.5" x14ac:dyDescent="0.3">
      <c r="A37" s="70">
        <v>6</v>
      </c>
      <c r="B37" s="71" t="s">
        <v>65</v>
      </c>
      <c r="C37" s="68">
        <f ca="1">IFERROR(__xludf.DUMMYFUNCTION("IMPORTRANGE(""https://docs.google.com/spreadsheets/d/1xoDLGBv9CYbyosIhki0kTq6IpYNj-gpjxfobnaDiut0/edit?usp=sharing"",""บึงกาฬ!Q690"")"),248600)</f>
        <v>248600</v>
      </c>
      <c r="D37" s="68">
        <f ca="1">IFERROR(__xludf.DUMMYFUNCTION("IMPORTRANGE(""https://docs.google.com/spreadsheets/d/1xoDLGBv9CYbyosIhki0kTq6IpYNj-gpjxfobnaDiut0/edit?usp=sharing"",""บึงกาฬ!R690"")"),248600)</f>
        <v>248600</v>
      </c>
      <c r="E37" s="68">
        <f ca="1">IFERROR(__xludf.DUMMYFUNCTION("IMPORTRANGE(""https://docs.google.com/spreadsheets/d/1xoDLGBv9CYbyosIhki0kTq6IpYNj-gpjxfobnaDiut0/edit?usp=sharing"",""บึงกาฬ!S690"")"),100025)</f>
        <v>100025</v>
      </c>
      <c r="F37" s="68">
        <f t="shared" ca="1" si="24"/>
        <v>40.23531777956557</v>
      </c>
      <c r="G37" s="68">
        <f t="shared" ca="1" si="25"/>
        <v>40.23531777956557</v>
      </c>
      <c r="H37" s="278">
        <f ca="1">IFERROR(__xludf.DUMMYFUNCTION("IMPORTRANGE(""https://docs.google.com/spreadsheets/d/1xoDLGBv9CYbyosIhki0kTq6IpYNj-gpjxfobnaDiut0/edit?usp=sharing"",""บึงกาฬ!I700"")"),2)</f>
        <v>2</v>
      </c>
      <c r="I37" s="152">
        <f ca="1">IFERROR(__xludf.DUMMYFUNCTION("IMPORTRANGE(""https://docs.google.com/spreadsheets/d/1xoDLGBv9CYbyosIhki0kTq6IpYNj-gpjxfobnaDiut0/edit?usp=sharing"",""บึงกาฬ!J700"")"),0)</f>
        <v>0</v>
      </c>
      <c r="J37" s="216">
        <f t="shared" ca="1" si="27"/>
        <v>0</v>
      </c>
      <c r="K37" s="278">
        <f ca="1">IFERROR(__xludf.DUMMYFUNCTION("IMPORTRANGE(""https://docs.google.com/spreadsheets/d/1xoDLGBv9CYbyosIhki0kTq6IpYNj-gpjxfobnaDiut0/edit?usp=sharing"",""บึงกาฬ!I701"")"),106)</f>
        <v>106</v>
      </c>
      <c r="L37" s="152">
        <f ca="1">IFERROR(__xludf.DUMMYFUNCTION("IMPORTRANGE(""https://docs.google.com/spreadsheets/d/1xoDLGBv9CYbyosIhki0kTq6IpYNj-gpjxfobnaDiut0/edit?usp=sharing"",""บึงกาฬ!J701"")"),10)</f>
        <v>10</v>
      </c>
      <c r="M37" s="152">
        <f ca="1">IFERROR(__xludf.DUMMYFUNCTION("IMPORTRANGE(""https://docs.google.com/spreadsheets/d/1xoDLGBv9CYbyosIhki0kTq6IpYNj-gpjxfobnaDiut0/edit?usp=sharing"",""บึงกาฬ!J702"")"),58.41)</f>
        <v>58.41</v>
      </c>
      <c r="N37" s="216">
        <f t="shared" ca="1" si="29"/>
        <v>9.433962264150944</v>
      </c>
      <c r="O37" s="278">
        <f ca="1">IFERROR(__xludf.DUMMYFUNCTION("IMPORTRANGE(""https://docs.google.com/spreadsheets/d/1xoDLGBv9CYbyosIhki0kTq6IpYNj-gpjxfobnaDiut0/edit?usp=sharing"",""บึงกาฬ!I703"")"),100)</f>
        <v>100</v>
      </c>
      <c r="P37" s="152">
        <f ca="1">IFERROR(__xludf.DUMMYFUNCTION("IMPORTRANGE(""https://docs.google.com/spreadsheets/d/1xoDLGBv9CYbyosIhki0kTq6IpYNj-gpjxfobnaDiut0/edit?usp=sharing"",""บึงกาฬ!J703"")"),10)</f>
        <v>10</v>
      </c>
      <c r="Q37" s="152">
        <f ca="1">IFERROR(__xludf.DUMMYFUNCTION("IMPORTRANGE(""https://docs.google.com/spreadsheets/d/1xoDLGBv9CYbyosIhki0kTq6IpYNj-gpjxfobnaDiut0/edit?usp=sharing"",""บึงกาฬ!J704"")"),58.41)</f>
        <v>58.41</v>
      </c>
      <c r="R37" s="216">
        <f t="shared" ca="1" si="31"/>
        <v>10</v>
      </c>
      <c r="S37" s="632">
        <f ca="1">IFERROR(__xludf.DUMMYFUNCTION("IMPORTRANGE(""https://docs.google.com/spreadsheets/d/1xoDLGBv9CYbyosIhki0kTq6IpYNj-gpjxfobnaDiut0/edit?usp=sharing"",""บึงกาฬ!I705"")"),6)</f>
        <v>6</v>
      </c>
      <c r="T37" s="251">
        <f ca="1">IFERROR(__xludf.DUMMYFUNCTION("IMPORTRANGE(""https://docs.google.com/spreadsheets/d/1xoDLGBv9CYbyosIhki0kTq6IpYNj-gpjxfobnaDiut0/edit?usp=sharing"",""บึงกาฬ!J705"")"),0)</f>
        <v>0</v>
      </c>
      <c r="U37" s="251">
        <f ca="1">IFERROR(__xludf.DUMMYFUNCTION("IMPORTRANGE(""https://docs.google.com/spreadsheets/d/1xoDLGBv9CYbyosIhki0kTq6IpYNj-gpjxfobnaDiut0/edit?usp=sharing"",""บึงกาฬ!J706"")"),0)</f>
        <v>0</v>
      </c>
      <c r="V37" s="605">
        <f t="shared" ca="1" si="33"/>
        <v>0</v>
      </c>
      <c r="W37" s="278">
        <f ca="1">IFERROR(__xludf.DUMMYFUNCTION("IMPORTRANGE(""https://docs.google.com/spreadsheets/d/1xoDLGBv9CYbyosIhki0kTq6IpYNj-gpjxfobnaDiut0/edit?usp=sharing"",""บึงกาฬ!I707"")"),100)</f>
        <v>100</v>
      </c>
      <c r="X37" s="152">
        <f ca="1">IFERROR(__xludf.DUMMYFUNCTION("IMPORTRANGE(""https://docs.google.com/spreadsheets/d/1xoDLGBv9CYbyosIhki0kTq6IpYNj-gpjxfobnaDiut0/edit?usp=sharing"",""บึงกาฬ!J707"")"),3)</f>
        <v>3</v>
      </c>
      <c r="Y37" s="152">
        <f ca="1">IFERROR(__xludf.DUMMYFUNCTION("IMPORTRANGE(""https://docs.google.com/spreadsheets/d/1xoDLGBv9CYbyosIhki0kTq6IpYNj-gpjxfobnaDiut0/edit?usp=sharing"",""บึงกาฬ!J708"")"),5)</f>
        <v>5</v>
      </c>
      <c r="Z37" s="216">
        <f t="shared" ca="1" si="35"/>
        <v>3</v>
      </c>
      <c r="AA37" s="632">
        <f ca="1">IFERROR(__xludf.DUMMYFUNCTION("IMPORTRANGE(""https://docs.google.com/spreadsheets/d/1xoDLGBv9CYbyosIhki0kTq6IpYNj-gpjxfobnaDiut0/edit?usp=sharing"",""บึงกาฬ!I709"")"),6)</f>
        <v>6</v>
      </c>
      <c r="AB37" s="251">
        <f ca="1">IFERROR(__xludf.DUMMYFUNCTION("IMPORTRANGE(""https://docs.google.com/spreadsheets/d/1xoDLGBv9CYbyosIhki0kTq6IpYNj-gpjxfobnaDiut0/edit?usp=sharing"",""บึงกาฬ!J709"")"),5)</f>
        <v>5</v>
      </c>
      <c r="AC37" s="251">
        <f ca="1">IFERROR(__xludf.DUMMYFUNCTION("IMPORTRANGE(""https://docs.google.com/spreadsheets/d/1xoDLGBv9CYbyosIhki0kTq6IpYNj-gpjxfobnaDiut0/edit?usp=sharing"",""บึงกาฬ!J710"")"),0)</f>
        <v>0</v>
      </c>
      <c r="AD37" s="605">
        <f t="shared" ca="1" si="37"/>
        <v>83.333333333333329</v>
      </c>
    </row>
    <row r="38" spans="1:30" ht="19.5" x14ac:dyDescent="0.3">
      <c r="A38" s="70">
        <v>7</v>
      </c>
      <c r="B38" s="71" t="s">
        <v>66</v>
      </c>
      <c r="C38" s="68">
        <f ca="1">IFERROR(__xludf.DUMMYFUNCTION("IMPORTRANGE(""https://docs.google.com/spreadsheets/d/1MMPq-JyI6DSgQETxuSiXkesP-P7JHuemnE6QJIa-Nlw/edit?usp=sharing"",""บุรีรัมย์!Q690"")"),358020)</f>
        <v>358020</v>
      </c>
      <c r="D38" s="68">
        <f ca="1">IFERROR(__xludf.DUMMYFUNCTION("IMPORTRANGE(""https://docs.google.com/spreadsheets/d/1MMPq-JyI6DSgQETxuSiXkesP-P7JHuemnE6QJIa-Nlw/edit?usp=sharing"",""บุรีรัมย์!R690"")"),358020)</f>
        <v>358020</v>
      </c>
      <c r="E38" s="68">
        <f ca="1">IFERROR(__xludf.DUMMYFUNCTION("IMPORTRANGE(""https://docs.google.com/spreadsheets/d/1MMPq-JyI6DSgQETxuSiXkesP-P7JHuemnE6QJIa-Nlw/edit?usp=sharing"",""บุรีรัมย์!S690"")"),271625)</f>
        <v>271625</v>
      </c>
      <c r="F38" s="68">
        <f t="shared" ca="1" si="24"/>
        <v>75.868666554941058</v>
      </c>
      <c r="G38" s="68">
        <f t="shared" ca="1" si="25"/>
        <v>75.868666554941058</v>
      </c>
      <c r="H38" s="278">
        <f ca="1">IFERROR(__xludf.DUMMYFUNCTION("IMPORTRANGE(""https://docs.google.com/spreadsheets/d/1MMPq-JyI6DSgQETxuSiXkesP-P7JHuemnE6QJIa-Nlw/edit?usp=sharing"",""บุรีรัมย์!I700"")"),1)</f>
        <v>1</v>
      </c>
      <c r="I38" s="152">
        <f ca="1">IFERROR(__xludf.DUMMYFUNCTION("IMPORTRANGE(""https://docs.google.com/spreadsheets/d/1MMPq-JyI6DSgQETxuSiXkesP-P7JHuemnE6QJIa-Nlw/edit?usp=sharing"",""บุรีรัมย์!J700"")"),1)</f>
        <v>1</v>
      </c>
      <c r="J38" s="216">
        <f t="shared" ca="1" si="27"/>
        <v>100</v>
      </c>
      <c r="K38" s="278">
        <f ca="1">IFERROR(__xludf.DUMMYFUNCTION("IMPORTRANGE(""https://docs.google.com/spreadsheets/d/1MMPq-JyI6DSgQETxuSiXkesP-P7JHuemnE6QJIa-Nlw/edit?usp=sharing"",""บุรีรัมย์!I701"")"),204)</f>
        <v>204</v>
      </c>
      <c r="L38" s="152">
        <f ca="1">IFERROR(__xludf.DUMMYFUNCTION("IMPORTRANGE(""https://docs.google.com/spreadsheets/d/1MMPq-JyI6DSgQETxuSiXkesP-P7JHuemnE6QJIa-Nlw/edit?usp=sharing"",""บุรีรัมย์!J701"")"),74)</f>
        <v>74</v>
      </c>
      <c r="M38" s="152">
        <f ca="1">IFERROR(__xludf.DUMMYFUNCTION("IMPORTRANGE(""https://docs.google.com/spreadsheets/d/1MMPq-JyI6DSgQETxuSiXkesP-P7JHuemnE6QJIa-Nlw/edit?usp=sharing"",""บุรีรัมย์!J702"")"),33.95)</f>
        <v>33.950000000000003</v>
      </c>
      <c r="N38" s="216">
        <f t="shared" ca="1" si="29"/>
        <v>36.274509803921568</v>
      </c>
      <c r="O38" s="278">
        <f ca="1">IFERROR(__xludf.DUMMYFUNCTION("IMPORTRANGE(""https://docs.google.com/spreadsheets/d/1MMPq-JyI6DSgQETxuSiXkesP-P7JHuemnE6QJIa-Nlw/edit?usp=sharing"",""บุรีรัมย์!I703"")"),200)</f>
        <v>200</v>
      </c>
      <c r="P38" s="152">
        <f ca="1">IFERROR(__xludf.DUMMYFUNCTION("IMPORTRANGE(""https://docs.google.com/spreadsheets/d/1MMPq-JyI6DSgQETxuSiXkesP-P7JHuemnE6QJIa-Nlw/edit?usp=sharing"",""บุรีรัมย์!J703"")"),74)</f>
        <v>74</v>
      </c>
      <c r="Q38" s="152">
        <f ca="1">IFERROR(__xludf.DUMMYFUNCTION("IMPORTRANGE(""https://docs.google.com/spreadsheets/d/1MMPq-JyI6DSgQETxuSiXkesP-P7JHuemnE6QJIa-Nlw/edit?usp=sharing"",""บุรีรัมย์!J704"")"),33.95)</f>
        <v>33.950000000000003</v>
      </c>
      <c r="R38" s="216">
        <f t="shared" ca="1" si="31"/>
        <v>37</v>
      </c>
      <c r="S38" s="632">
        <f ca="1">IFERROR(__xludf.DUMMYFUNCTION("IMPORTRANGE(""https://docs.google.com/spreadsheets/d/1MMPq-JyI6DSgQETxuSiXkesP-P7JHuemnE6QJIa-Nlw/edit?usp=sharing"",""บุรีรัมย์!I705"")"),4)</f>
        <v>4</v>
      </c>
      <c r="T38" s="251">
        <f ca="1">IFERROR(__xludf.DUMMYFUNCTION("IMPORTRANGE(""https://docs.google.com/spreadsheets/d/1MMPq-JyI6DSgQETxuSiXkesP-P7JHuemnE6QJIa-Nlw/edit?usp=sharing"",""บุรีรัมย์!J705"")"),0)</f>
        <v>0</v>
      </c>
      <c r="U38" s="251">
        <f ca="1">IFERROR(__xludf.DUMMYFUNCTION("IMPORTRANGE(""https://docs.google.com/spreadsheets/d/1MMPq-JyI6DSgQETxuSiXkesP-P7JHuemnE6QJIa-Nlw/edit?usp=sharing"",""บุรีรัมย์!J706"")"),0)</f>
        <v>0</v>
      </c>
      <c r="V38" s="605">
        <f t="shared" ca="1" si="33"/>
        <v>0</v>
      </c>
      <c r="W38" s="278">
        <f ca="1">IFERROR(__xludf.DUMMYFUNCTION("IMPORTRANGE(""https://docs.google.com/spreadsheets/d/1MMPq-JyI6DSgQETxuSiXkesP-P7JHuemnE6QJIa-Nlw/edit?usp=sharing"",""บุรีรัมย์!I707"")"),200)</f>
        <v>200</v>
      </c>
      <c r="X38" s="152">
        <f ca="1">IFERROR(__xludf.DUMMYFUNCTION("IMPORTRANGE(""https://docs.google.com/spreadsheets/d/1MMPq-JyI6DSgQETxuSiXkesP-P7JHuemnE6QJIa-Nlw/edit?usp=sharing"",""บุรีรัมย์!J707"")"),0)</f>
        <v>0</v>
      </c>
      <c r="Y38" s="152">
        <f ca="1">IFERROR(__xludf.DUMMYFUNCTION("IMPORTRANGE(""https://docs.google.com/spreadsheets/d/1MMPq-JyI6DSgQETxuSiXkesP-P7JHuemnE6QJIa-Nlw/edit?usp=sharing"",""บุรีรัมย์!J708"")"),0)</f>
        <v>0</v>
      </c>
      <c r="Z38" s="216">
        <f t="shared" ca="1" si="35"/>
        <v>0</v>
      </c>
      <c r="AA38" s="632">
        <f ca="1">IFERROR(__xludf.DUMMYFUNCTION("IMPORTRANGE(""https://docs.google.com/spreadsheets/d/1MMPq-JyI6DSgQETxuSiXkesP-P7JHuemnE6QJIa-Nlw/edit?usp=sharing"",""บุรีรัมย์!I709"")"),4)</f>
        <v>4</v>
      </c>
      <c r="AB38" s="251">
        <f ca="1">IFERROR(__xludf.DUMMYFUNCTION("IMPORTRANGE(""https://docs.google.com/spreadsheets/d/1MMPq-JyI6DSgQETxuSiXkesP-P7JHuemnE6QJIa-Nlw/edit?usp=sharing"",""บุรีรัมย์!J709"")"),3)</f>
        <v>3</v>
      </c>
      <c r="AC38" s="251">
        <f ca="1">IFERROR(__xludf.DUMMYFUNCTION("IMPORTRANGE(""https://docs.google.com/spreadsheets/d/1MMPq-JyI6DSgQETxuSiXkesP-P7JHuemnE6QJIa-Nlw/edit?usp=sharing"",""บุรีรัมย์!J710"")"),0)</f>
        <v>0</v>
      </c>
      <c r="AD38" s="605">
        <f t="shared" ca="1" si="37"/>
        <v>75</v>
      </c>
    </row>
    <row r="39" spans="1:30" ht="19.5" x14ac:dyDescent="0.3">
      <c r="A39" s="70">
        <v>8</v>
      </c>
      <c r="B39" s="71" t="s">
        <v>67</v>
      </c>
      <c r="C39" s="68">
        <f ca="1">IFERROR(__xludf.DUMMYFUNCTION("IMPORTRANGE(""https://docs.google.com/spreadsheets/d/1l6IZ8xUPgMrESzcTYwhA1k_tPjeQjJPTqlm8Gd9eU5g/edit?usp=sharing"",""มหาสารคาม!Q690"")"),0)</f>
        <v>0</v>
      </c>
      <c r="D39" s="68">
        <f ca="1">IFERROR(__xludf.DUMMYFUNCTION("IMPORTRANGE(""https://docs.google.com/spreadsheets/d/1l6IZ8xUPgMrESzcTYwhA1k_tPjeQjJPTqlm8Gd9eU5g/edit?usp=sharing"",""มหาสารคาม!R690"")"),0)</f>
        <v>0</v>
      </c>
      <c r="E39" s="68">
        <f ca="1">IFERROR(__xludf.DUMMYFUNCTION("IMPORTRANGE(""https://docs.google.com/spreadsheets/d/1l6IZ8xUPgMrESzcTYwhA1k_tPjeQjJPTqlm8Gd9eU5g/edit?usp=sharing"",""มหาสารคาม!S690"")"),0)</f>
        <v>0</v>
      </c>
      <c r="F39" s="68">
        <f t="shared" ca="1" si="24"/>
        <v>0</v>
      </c>
      <c r="G39" s="68">
        <f t="shared" ca="1" si="25"/>
        <v>0</v>
      </c>
      <c r="H39" s="278">
        <f ca="1">IFERROR(__xludf.DUMMYFUNCTION("IMPORTRANGE(""https://docs.google.com/spreadsheets/d/1l6IZ8xUPgMrESzcTYwhA1k_tPjeQjJPTqlm8Gd9eU5g/edit?usp=sharing"",""มหาสารคาม!I700"")"),0)</f>
        <v>0</v>
      </c>
      <c r="I39" s="397">
        <f ca="1">IFERROR(__xludf.DUMMYFUNCTION("IMPORTRANGE(""https://docs.google.com/spreadsheets/d/1l6IZ8xUPgMrESzcTYwhA1k_tPjeQjJPTqlm8Gd9eU5g/edit?usp=sharing"",""มหาสารคาม!J700"")"),0)</f>
        <v>0</v>
      </c>
      <c r="J39" s="216">
        <f t="shared" ca="1" si="27"/>
        <v>0</v>
      </c>
      <c r="K39" s="278">
        <f ca="1">IFERROR(__xludf.DUMMYFUNCTION("IMPORTRANGE(""https://docs.google.com/spreadsheets/d/1l6IZ8xUPgMrESzcTYwhA1k_tPjeQjJPTqlm8Gd9eU5g/edit?usp=sharing"",""มหาสารคาม!I701"")"),0)</f>
        <v>0</v>
      </c>
      <c r="L39" s="397">
        <f ca="1">IFERROR(__xludf.DUMMYFUNCTION("IMPORTRANGE(""https://docs.google.com/spreadsheets/d/1l6IZ8xUPgMrESzcTYwhA1k_tPjeQjJPTqlm8Gd9eU5g/edit?usp=sharing"",""มหาสารคาม!J701"")"),0)</f>
        <v>0</v>
      </c>
      <c r="M39" s="397">
        <f ca="1">IFERROR(__xludf.DUMMYFUNCTION("IMPORTRANGE(""https://docs.google.com/spreadsheets/d/1l6IZ8xUPgMrESzcTYwhA1k_tPjeQjJPTqlm8Gd9eU5g/edit?usp=sharing"",""มหาสารคาม!J702"")"),0)</f>
        <v>0</v>
      </c>
      <c r="N39" s="216">
        <f t="shared" ca="1" si="29"/>
        <v>0</v>
      </c>
      <c r="O39" s="278">
        <f ca="1">IFERROR(__xludf.DUMMYFUNCTION("IMPORTRANGE(""https://docs.google.com/spreadsheets/d/1l6IZ8xUPgMrESzcTYwhA1k_tPjeQjJPTqlm8Gd9eU5g/edit?usp=sharing"",""มหาสารคาม!I703"")"),0)</f>
        <v>0</v>
      </c>
      <c r="P39" s="397">
        <f ca="1">IFERROR(__xludf.DUMMYFUNCTION("IMPORTRANGE(""https://docs.google.com/spreadsheets/d/1l6IZ8xUPgMrESzcTYwhA1k_tPjeQjJPTqlm8Gd9eU5g/edit?usp=sharing"",""มหาสารคาม!J703"")"),0)</f>
        <v>0</v>
      </c>
      <c r="Q39" s="397">
        <f ca="1">IFERROR(__xludf.DUMMYFUNCTION("IMPORTRANGE(""https://docs.google.com/spreadsheets/d/1l6IZ8xUPgMrESzcTYwhA1k_tPjeQjJPTqlm8Gd9eU5g/edit?usp=sharing"",""มหาสารคาม!J704"")"),0)</f>
        <v>0</v>
      </c>
      <c r="R39" s="216">
        <f t="shared" ca="1" si="31"/>
        <v>0</v>
      </c>
      <c r="S39" s="632">
        <f ca="1">IFERROR(__xludf.DUMMYFUNCTION("IMPORTRANGE(""https://docs.google.com/spreadsheets/d/1l6IZ8xUPgMrESzcTYwhA1k_tPjeQjJPTqlm8Gd9eU5g/edit?usp=sharing"",""มหาสารคาม!I705"")"),0)</f>
        <v>0</v>
      </c>
      <c r="T39" s="251">
        <f ca="1">IFERROR(__xludf.DUMMYFUNCTION("IMPORTRANGE(""https://docs.google.com/spreadsheets/d/1l6IZ8xUPgMrESzcTYwhA1k_tPjeQjJPTqlm8Gd9eU5g/edit?usp=sharing"",""มหาสารคาม!J705"")"),0)</f>
        <v>0</v>
      </c>
      <c r="U39" s="251">
        <f ca="1">IFERROR(__xludf.DUMMYFUNCTION("IMPORTRANGE(""https://docs.google.com/spreadsheets/d/1l6IZ8xUPgMrESzcTYwhA1k_tPjeQjJPTqlm8Gd9eU5g/edit?usp=sharing"",""มหาสารคาม!J706"")"),0)</f>
        <v>0</v>
      </c>
      <c r="V39" s="605">
        <f t="shared" ca="1" si="33"/>
        <v>0</v>
      </c>
      <c r="W39" s="278">
        <f ca="1">IFERROR(__xludf.DUMMYFUNCTION("IMPORTRANGE(""https://docs.google.com/spreadsheets/d/1l6IZ8xUPgMrESzcTYwhA1k_tPjeQjJPTqlm8Gd9eU5g/edit?usp=sharing"",""มหาสารคาม!I707"")"),0)</f>
        <v>0</v>
      </c>
      <c r="X39" s="397">
        <f ca="1">IFERROR(__xludf.DUMMYFUNCTION("IMPORTRANGE(""https://docs.google.com/spreadsheets/d/1l6IZ8xUPgMrESzcTYwhA1k_tPjeQjJPTqlm8Gd9eU5g/edit?usp=sharing"",""มหาสารคาม!J707"")"),0)</f>
        <v>0</v>
      </c>
      <c r="Y39" s="397">
        <f ca="1">IFERROR(__xludf.DUMMYFUNCTION("IMPORTRANGE(""https://docs.google.com/spreadsheets/d/1l6IZ8xUPgMrESzcTYwhA1k_tPjeQjJPTqlm8Gd9eU5g/edit?usp=sharing"",""มหาสารคาม!J708"")"),0)</f>
        <v>0</v>
      </c>
      <c r="Z39" s="216">
        <f t="shared" ca="1" si="35"/>
        <v>0</v>
      </c>
      <c r="AA39" s="632">
        <f ca="1">IFERROR(__xludf.DUMMYFUNCTION("IMPORTRANGE(""https://docs.google.com/spreadsheets/d/1l6IZ8xUPgMrESzcTYwhA1k_tPjeQjJPTqlm8Gd9eU5g/edit?usp=sharing"",""มหาสารคาม!I709"")"),0)</f>
        <v>0</v>
      </c>
      <c r="AB39" s="251">
        <f ca="1">IFERROR(__xludf.DUMMYFUNCTION("IMPORTRANGE(""https://docs.google.com/spreadsheets/d/1l6IZ8xUPgMrESzcTYwhA1k_tPjeQjJPTqlm8Gd9eU5g/edit?usp=sharing"",""มหาสารคาม!J709"")"),0)</f>
        <v>0</v>
      </c>
      <c r="AC39" s="251">
        <f ca="1">IFERROR(__xludf.DUMMYFUNCTION("IMPORTRANGE(""https://docs.google.com/spreadsheets/d/1l6IZ8xUPgMrESzcTYwhA1k_tPjeQjJPTqlm8Gd9eU5g/edit?usp=sharing"",""มหาสารคาม!J710"")"),0)</f>
        <v>0</v>
      </c>
      <c r="AD39" s="605">
        <f t="shared" ca="1" si="37"/>
        <v>0</v>
      </c>
    </row>
    <row r="40" spans="1:30" ht="19.5" x14ac:dyDescent="0.3">
      <c r="A40" s="70">
        <v>9</v>
      </c>
      <c r="B40" s="71" t="s">
        <v>68</v>
      </c>
      <c r="C40" s="68">
        <f ca="1">IFERROR(__xludf.DUMMYFUNCTION("IMPORTRANGE(""https://docs.google.com/spreadsheets/d/1uB74YLqNjWX6FObjekfB2NtSYigTQyR2rq9u4Ub2Sq4/edit?usp=sharing"",""มุกดาหาร!Q690"")"),212180)</f>
        <v>212180</v>
      </c>
      <c r="D40" s="68">
        <f ca="1">IFERROR(__xludf.DUMMYFUNCTION("IMPORTRANGE(""https://docs.google.com/spreadsheets/d/1uB74YLqNjWX6FObjekfB2NtSYigTQyR2rq9u4Ub2Sq4/edit?usp=sharing"",""มุกดาหาร!R690"")"),212180)</f>
        <v>212180</v>
      </c>
      <c r="E40" s="68">
        <f ca="1">IFERROR(__xludf.DUMMYFUNCTION("IMPORTRANGE(""https://docs.google.com/spreadsheets/d/1uB74YLqNjWX6FObjekfB2NtSYigTQyR2rq9u4Ub2Sq4/edit?usp=sharing"",""มุกดาหาร!S690"")"),65620)</f>
        <v>65620</v>
      </c>
      <c r="F40" s="68">
        <f t="shared" ca="1" si="24"/>
        <v>30.926571778678479</v>
      </c>
      <c r="G40" s="68">
        <f t="shared" ca="1" si="25"/>
        <v>30.926571778678479</v>
      </c>
      <c r="H40" s="278">
        <f ca="1">IFERROR(__xludf.DUMMYFUNCTION("IMPORTRANGE(""https://docs.google.com/spreadsheets/d/1uB74YLqNjWX6FObjekfB2NtSYigTQyR2rq9u4Ub2Sq4/edit?usp=sharing"",""มุกดาหาร!I700"")"),0)</f>
        <v>0</v>
      </c>
      <c r="I40" s="152">
        <f ca="1">IFERROR(__xludf.DUMMYFUNCTION("IMPORTRANGE(""https://docs.google.com/spreadsheets/d/1uB74YLqNjWX6FObjekfB2NtSYigTQyR2rq9u4Ub2Sq4/edit?usp=sharing"",""มุกดาหาร!J700"")"),0)</f>
        <v>0</v>
      </c>
      <c r="J40" s="216">
        <f t="shared" ca="1" si="27"/>
        <v>0</v>
      </c>
      <c r="K40" s="278">
        <f ca="1">IFERROR(__xludf.DUMMYFUNCTION("IMPORTRANGE(""https://docs.google.com/spreadsheets/d/1uB74YLqNjWX6FObjekfB2NtSYigTQyR2rq9u4Ub2Sq4/edit?usp=sharing"",""มุกดาหาร!I701"")"),106)</f>
        <v>106</v>
      </c>
      <c r="L40" s="152">
        <f ca="1">IFERROR(__xludf.DUMMYFUNCTION("IMPORTRANGE(""https://docs.google.com/spreadsheets/d/1uB74YLqNjWX6FObjekfB2NtSYigTQyR2rq9u4Ub2Sq4/edit?usp=sharing"",""มุกดาหาร!J701"")"),59)</f>
        <v>59</v>
      </c>
      <c r="M40" s="152">
        <f ca="1">IFERROR(__xludf.DUMMYFUNCTION("IMPORTRANGE(""https://docs.google.com/spreadsheets/d/1uB74YLqNjWX6FObjekfB2NtSYigTQyR2rq9u4Ub2Sq4/edit?usp=sharing"",""มุกดาหาร!J702"")"),37.76)</f>
        <v>37.76</v>
      </c>
      <c r="N40" s="216">
        <f t="shared" ca="1" si="29"/>
        <v>55.660377358490564</v>
      </c>
      <c r="O40" s="278">
        <f ca="1">IFERROR(__xludf.DUMMYFUNCTION("IMPORTRANGE(""https://docs.google.com/spreadsheets/d/1uB74YLqNjWX6FObjekfB2NtSYigTQyR2rq9u4Ub2Sq4/edit?usp=sharing"",""มุกดาหาร!I703"")"),102)</f>
        <v>102</v>
      </c>
      <c r="P40" s="152">
        <f ca="1">IFERROR(__xludf.DUMMYFUNCTION("IMPORTRANGE(""https://docs.google.com/spreadsheets/d/1uB74YLqNjWX6FObjekfB2NtSYigTQyR2rq9u4Ub2Sq4/edit?usp=sharing"",""มุกดาหาร!J703"")"),59)</f>
        <v>59</v>
      </c>
      <c r="Q40" s="152">
        <f ca="1">IFERROR(__xludf.DUMMYFUNCTION("IMPORTRANGE(""https://docs.google.com/spreadsheets/d/1uB74YLqNjWX6FObjekfB2NtSYigTQyR2rq9u4Ub2Sq4/edit?usp=sharing"",""มุกดาหาร!J704"")"),37.76)</f>
        <v>37.76</v>
      </c>
      <c r="R40" s="216">
        <f t="shared" ca="1" si="31"/>
        <v>57.843137254901961</v>
      </c>
      <c r="S40" s="632">
        <f ca="1">IFERROR(__xludf.DUMMYFUNCTION("IMPORTRANGE(""https://docs.google.com/spreadsheets/d/1uB74YLqNjWX6FObjekfB2NtSYigTQyR2rq9u4Ub2Sq4/edit?usp=sharing"",""มุกดาหาร!I705"")"),4)</f>
        <v>4</v>
      </c>
      <c r="T40" s="251">
        <f ca="1">IFERROR(__xludf.DUMMYFUNCTION("IMPORTRANGE(""https://docs.google.com/spreadsheets/d/1uB74YLqNjWX6FObjekfB2NtSYigTQyR2rq9u4Ub2Sq4/edit?usp=sharing"",""มุกดาหาร!J705"")"),0)</f>
        <v>0</v>
      </c>
      <c r="U40" s="251">
        <f ca="1">IFERROR(__xludf.DUMMYFUNCTION("IMPORTRANGE(""https://docs.google.com/spreadsheets/d/1uB74YLqNjWX6FObjekfB2NtSYigTQyR2rq9u4Ub2Sq4/edit?usp=sharing"",""มุกดาหาร!J706"")"),0)</f>
        <v>0</v>
      </c>
      <c r="V40" s="605">
        <f t="shared" ca="1" si="33"/>
        <v>0</v>
      </c>
      <c r="W40" s="278">
        <f ca="1">IFERROR(__xludf.DUMMYFUNCTION("IMPORTRANGE(""https://docs.google.com/spreadsheets/d/1uB74YLqNjWX6FObjekfB2NtSYigTQyR2rq9u4Ub2Sq4/edit?usp=sharing"",""มุกดาหาร!I707"")"),102)</f>
        <v>102</v>
      </c>
      <c r="X40" s="152">
        <f ca="1">IFERROR(__xludf.DUMMYFUNCTION("IMPORTRANGE(""https://docs.google.com/spreadsheets/d/1uB74YLqNjWX6FObjekfB2NtSYigTQyR2rq9u4Ub2Sq4/edit?usp=sharing"",""มุกดาหาร!J707"")"),58)</f>
        <v>58</v>
      </c>
      <c r="Y40" s="152">
        <f ca="1">IFERROR(__xludf.DUMMYFUNCTION("IMPORTRANGE(""https://docs.google.com/spreadsheets/d/1uB74YLqNjWX6FObjekfB2NtSYigTQyR2rq9u4Ub2Sq4/edit?usp=sharing"",""มุกดาหาร!J708"")"),37)</f>
        <v>37</v>
      </c>
      <c r="Z40" s="216">
        <f t="shared" ca="1" si="35"/>
        <v>56.862745098039213</v>
      </c>
      <c r="AA40" s="632">
        <f ca="1">IFERROR(__xludf.DUMMYFUNCTION("IMPORTRANGE(""https://docs.google.com/spreadsheets/d/1uB74YLqNjWX6FObjekfB2NtSYigTQyR2rq9u4Ub2Sq4/edit?usp=sharing"",""มุกดาหาร!I709"")"),4)</f>
        <v>4</v>
      </c>
      <c r="AB40" s="251">
        <f ca="1">IFERROR(__xludf.DUMMYFUNCTION("IMPORTRANGE(""https://docs.google.com/spreadsheets/d/1uB74YLqNjWX6FObjekfB2NtSYigTQyR2rq9u4Ub2Sq4/edit?usp=sharing"",""มุกดาหาร!J709"")"),3)</f>
        <v>3</v>
      </c>
      <c r="AC40" s="251">
        <f ca="1">IFERROR(__xludf.DUMMYFUNCTION("IMPORTRANGE(""https://docs.google.com/spreadsheets/d/1uB74YLqNjWX6FObjekfB2NtSYigTQyR2rq9u4Ub2Sq4/edit?usp=sharing"",""มุกดาหาร!J710"")"),0)</f>
        <v>0</v>
      </c>
      <c r="AD40" s="605">
        <f t="shared" ca="1" si="37"/>
        <v>75</v>
      </c>
    </row>
    <row r="41" spans="1:30" ht="19.5" x14ac:dyDescent="0.3">
      <c r="A41" s="70">
        <v>10</v>
      </c>
      <c r="B41" s="71" t="s">
        <v>69</v>
      </c>
      <c r="C41" s="68">
        <f ca="1">IFERROR(__xludf.DUMMYFUNCTION("IMPORTRANGE(""https://docs.google.com/spreadsheets/d/1NexK3geCPxCTO1fzNF8dPec7yZyUx3OaWkFBC9HsQOo/edit?usp=sharing"",""ยโสธร!Q690"")"),224460)</f>
        <v>224460</v>
      </c>
      <c r="D41" s="68">
        <f ca="1">IFERROR(__xludf.DUMMYFUNCTION("IMPORTRANGE(""https://docs.google.com/spreadsheets/d/1NexK3geCPxCTO1fzNF8dPec7yZyUx3OaWkFBC9HsQOo/edit?usp=sharing"",""ยโสธร!R690"")"),224460)</f>
        <v>224460</v>
      </c>
      <c r="E41" s="68">
        <f ca="1">IFERROR(__xludf.DUMMYFUNCTION("IMPORTRANGE(""https://docs.google.com/spreadsheets/d/1NexK3geCPxCTO1fzNF8dPec7yZyUx3OaWkFBC9HsQOo/edit?usp=sharing"",""ยโสธร!S690"")"),156435)</f>
        <v>156435</v>
      </c>
      <c r="F41" s="68">
        <f t="shared" ca="1" si="24"/>
        <v>69.693932103715582</v>
      </c>
      <c r="G41" s="68">
        <f t="shared" ca="1" si="25"/>
        <v>69.693932103715582</v>
      </c>
      <c r="H41" s="278">
        <f ca="1">IFERROR(__xludf.DUMMYFUNCTION("IMPORTRANGE(""https://docs.google.com/spreadsheets/d/1NexK3geCPxCTO1fzNF8dPec7yZyUx3OaWkFBC9HsQOo/edit?usp=sharing"",""ยโสธร!I700"")"),0)</f>
        <v>0</v>
      </c>
      <c r="I41" s="152">
        <f ca="1">IFERROR(__xludf.DUMMYFUNCTION("IMPORTRANGE(""https://docs.google.com/spreadsheets/d/1NexK3geCPxCTO1fzNF8dPec7yZyUx3OaWkFBC9HsQOo/edit?usp=sharing"",""ยโสธร!J700"")"),0)</f>
        <v>0</v>
      </c>
      <c r="J41" s="216">
        <f t="shared" ca="1" si="27"/>
        <v>0</v>
      </c>
      <c r="K41" s="278">
        <f ca="1">IFERROR(__xludf.DUMMYFUNCTION("IMPORTRANGE(""https://docs.google.com/spreadsheets/d/1NexK3geCPxCTO1fzNF8dPec7yZyUx3OaWkFBC9HsQOo/edit?usp=sharing"",""ยโสธร!I701"")"),112)</f>
        <v>112</v>
      </c>
      <c r="L41" s="152">
        <f ca="1">IFERROR(__xludf.DUMMYFUNCTION("IMPORTRANGE(""https://docs.google.com/spreadsheets/d/1NexK3geCPxCTO1fzNF8dPec7yZyUx3OaWkFBC9HsQOo/edit?usp=sharing"",""ยโสธร!J701"")"),90)</f>
        <v>90</v>
      </c>
      <c r="M41" s="152">
        <f ca="1">IFERROR(__xludf.DUMMYFUNCTION("IMPORTRANGE(""https://docs.google.com/spreadsheets/d/1NexK3geCPxCTO1fzNF8dPec7yZyUx3OaWkFBC9HsQOo/edit?usp=sharing"",""ยโสธร!J702"")"),45.46)</f>
        <v>45.46</v>
      </c>
      <c r="N41" s="216">
        <f t="shared" ca="1" si="29"/>
        <v>80.357142857142861</v>
      </c>
      <c r="O41" s="278">
        <f ca="1">IFERROR(__xludf.DUMMYFUNCTION("IMPORTRANGE(""https://docs.google.com/spreadsheets/d/1NexK3geCPxCTO1fzNF8dPec7yZyUx3OaWkFBC9HsQOo/edit?usp=sharing"",""ยโสธร!I703"")"),105)</f>
        <v>105</v>
      </c>
      <c r="P41" s="152">
        <f ca="1">IFERROR(__xludf.DUMMYFUNCTION("IMPORTRANGE(""https://docs.google.com/spreadsheets/d/1NexK3geCPxCTO1fzNF8dPec7yZyUx3OaWkFBC9HsQOo/edit?usp=sharing"",""ยโสธร!J703"")"),90)</f>
        <v>90</v>
      </c>
      <c r="Q41" s="152">
        <f ca="1">IFERROR(__xludf.DUMMYFUNCTION("IMPORTRANGE(""https://docs.google.com/spreadsheets/d/1NexK3geCPxCTO1fzNF8dPec7yZyUx3OaWkFBC9HsQOo/edit?usp=sharing"",""ยโสธร!J704"")"),45.46)</f>
        <v>45.46</v>
      </c>
      <c r="R41" s="216">
        <f t="shared" ca="1" si="31"/>
        <v>85.714285714285708</v>
      </c>
      <c r="S41" s="632">
        <f ca="1">IFERROR(__xludf.DUMMYFUNCTION("IMPORTRANGE(""https://docs.google.com/spreadsheets/d/1NexK3geCPxCTO1fzNF8dPec7yZyUx3OaWkFBC9HsQOo/edit?usp=sharing"",""ยโสธร!I705"")"),7)</f>
        <v>7</v>
      </c>
      <c r="T41" s="251">
        <f ca="1">IFERROR(__xludf.DUMMYFUNCTION("IMPORTRANGE(""https://docs.google.com/spreadsheets/d/1NexK3geCPxCTO1fzNF8dPec7yZyUx3OaWkFBC9HsQOo/edit?usp=sharing"",""ยโสธร!J705"")"),0)</f>
        <v>0</v>
      </c>
      <c r="U41" s="251">
        <f ca="1">IFERROR(__xludf.DUMMYFUNCTION("IMPORTRANGE(""https://docs.google.com/spreadsheets/d/1NexK3geCPxCTO1fzNF8dPec7yZyUx3OaWkFBC9HsQOo/edit?usp=sharing"",""ยโสธร!J706"")"),0)</f>
        <v>0</v>
      </c>
      <c r="V41" s="605">
        <f t="shared" ca="1" si="33"/>
        <v>0</v>
      </c>
      <c r="W41" s="278">
        <f ca="1">IFERROR(__xludf.DUMMYFUNCTION("IMPORTRANGE(""https://docs.google.com/spreadsheets/d/1NexK3geCPxCTO1fzNF8dPec7yZyUx3OaWkFBC9HsQOo/edit?usp=sharing"",""ยโสธร!I707"")"),105)</f>
        <v>105</v>
      </c>
      <c r="X41" s="152">
        <f ca="1">IFERROR(__xludf.DUMMYFUNCTION("IMPORTRANGE(""https://docs.google.com/spreadsheets/d/1NexK3geCPxCTO1fzNF8dPec7yZyUx3OaWkFBC9HsQOo/edit?usp=sharing"",""ยโสธร!J707"")"),90)</f>
        <v>90</v>
      </c>
      <c r="Y41" s="152">
        <f ca="1">IFERROR(__xludf.DUMMYFUNCTION("IMPORTRANGE(""https://docs.google.com/spreadsheets/d/1NexK3geCPxCTO1fzNF8dPec7yZyUx3OaWkFBC9HsQOo/edit?usp=sharing"",""ยโสธร!J708"")"),45)</f>
        <v>45</v>
      </c>
      <c r="Z41" s="216">
        <f t="shared" ca="1" si="35"/>
        <v>85.714285714285708</v>
      </c>
      <c r="AA41" s="632">
        <f ca="1">IFERROR(__xludf.DUMMYFUNCTION("IMPORTRANGE(""https://docs.google.com/spreadsheets/d/1NexK3geCPxCTO1fzNF8dPec7yZyUx3OaWkFBC9HsQOo/edit?usp=sharing"",""ยโสธร!I709"")"),7)</f>
        <v>7</v>
      </c>
      <c r="AB41" s="251">
        <f ca="1">IFERROR(__xludf.DUMMYFUNCTION("IMPORTRANGE(""https://docs.google.com/spreadsheets/d/1NexK3geCPxCTO1fzNF8dPec7yZyUx3OaWkFBC9HsQOo/edit?usp=sharing"",""ยโสธร!J709"")"),6)</f>
        <v>6</v>
      </c>
      <c r="AC41" s="251">
        <f ca="1">IFERROR(__xludf.DUMMYFUNCTION("IMPORTRANGE(""https://docs.google.com/spreadsheets/d/1NexK3geCPxCTO1fzNF8dPec7yZyUx3OaWkFBC9HsQOo/edit?usp=sharing"",""ยโสธร!J710"")"),0)</f>
        <v>0</v>
      </c>
      <c r="AD41" s="605">
        <f t="shared" ca="1" si="37"/>
        <v>85.714285714285708</v>
      </c>
    </row>
    <row r="42" spans="1:30" ht="19.5" x14ac:dyDescent="0.3">
      <c r="A42" s="70">
        <v>11</v>
      </c>
      <c r="B42" s="71" t="s">
        <v>70</v>
      </c>
      <c r="C42" s="68">
        <f ca="1">IFERROR(__xludf.DUMMYFUNCTION("IMPORTRANGE(""https://docs.google.com/spreadsheets/d/1v_cJrbBlyqmnHPReHk44g9NrMRdENNlSy_E_c5M9fIg/edit?usp=sharing"",""ร้อยเอ็ด!Q690"")"),332810)</f>
        <v>332810</v>
      </c>
      <c r="D42" s="68">
        <f ca="1">IFERROR(__xludf.DUMMYFUNCTION("IMPORTRANGE(""https://docs.google.com/spreadsheets/d/1v_cJrbBlyqmnHPReHk44g9NrMRdENNlSy_E_c5M9fIg/edit?usp=sharing"",""ร้อยเอ็ด!R690"")"),332810)</f>
        <v>332810</v>
      </c>
      <c r="E42" s="68">
        <f ca="1">IFERROR(__xludf.DUMMYFUNCTION("IMPORTRANGE(""https://docs.google.com/spreadsheets/d/1v_cJrbBlyqmnHPReHk44g9NrMRdENNlSy_E_c5M9fIg/edit?usp=sharing"",""ร้อยเอ็ด!S690"")"),243388.67)</f>
        <v>243388.67</v>
      </c>
      <c r="F42" s="68">
        <f t="shared" ca="1" si="24"/>
        <v>73.131417325200559</v>
      </c>
      <c r="G42" s="68">
        <f t="shared" ca="1" si="25"/>
        <v>73.131417325200559</v>
      </c>
      <c r="H42" s="278">
        <f ca="1">IFERROR(__xludf.DUMMYFUNCTION("IMPORTRANGE(""https://docs.google.com/spreadsheets/d/1v_cJrbBlyqmnHPReHk44g9NrMRdENNlSy_E_c5M9fIg/edit?usp=sharing"",""ร้อยเอ็ด!I700"")"),0)</f>
        <v>0</v>
      </c>
      <c r="I42" s="152">
        <f ca="1">IFERROR(__xludf.DUMMYFUNCTION("IMPORTRANGE(""https://docs.google.com/spreadsheets/d/1v_cJrbBlyqmnHPReHk44g9NrMRdENNlSy_E_c5M9fIg/edit?usp=sharing"",""ร้อยเอ็ด!J700"")"),0)</f>
        <v>0</v>
      </c>
      <c r="J42" s="216">
        <f t="shared" ca="1" si="27"/>
        <v>0</v>
      </c>
      <c r="K42" s="278">
        <f ca="1">IFERROR(__xludf.DUMMYFUNCTION("IMPORTRANGE(""https://docs.google.com/spreadsheets/d/1v_cJrbBlyqmnHPReHk44g9NrMRdENNlSy_E_c5M9fIg/edit?usp=sharing"",""ร้อยเอ็ด!I701"")"),213)</f>
        <v>213</v>
      </c>
      <c r="L42" s="152">
        <f ca="1">IFERROR(__xludf.DUMMYFUNCTION("IMPORTRANGE(""https://docs.google.com/spreadsheets/d/1v_cJrbBlyqmnHPReHk44g9NrMRdENNlSy_E_c5M9fIg/edit?usp=sharing"",""ร้อยเอ็ด!J701"")"),54)</f>
        <v>54</v>
      </c>
      <c r="M42" s="152">
        <f ca="1">IFERROR(__xludf.DUMMYFUNCTION("IMPORTRANGE(""https://docs.google.com/spreadsheets/d/1v_cJrbBlyqmnHPReHk44g9NrMRdENNlSy_E_c5M9fIg/edit?usp=sharing"",""ร้อยเอ็ด!J702"")"),34.05)</f>
        <v>34.049999999999997</v>
      </c>
      <c r="N42" s="216">
        <f t="shared" ca="1" si="29"/>
        <v>25.35211267605634</v>
      </c>
      <c r="O42" s="278">
        <f ca="1">IFERROR(__xludf.DUMMYFUNCTION("IMPORTRANGE(""https://docs.google.com/spreadsheets/d/1v_cJrbBlyqmnHPReHk44g9NrMRdENNlSy_E_c5M9fIg/edit?usp=sharing"",""ร้อยเอ็ด!I703"")"),207)</f>
        <v>207</v>
      </c>
      <c r="P42" s="152">
        <f ca="1">IFERROR(__xludf.DUMMYFUNCTION("IMPORTRANGE(""https://docs.google.com/spreadsheets/d/1v_cJrbBlyqmnHPReHk44g9NrMRdENNlSy_E_c5M9fIg/edit?usp=sharing"",""ร้อยเอ็ด!J703"")"),54)</f>
        <v>54</v>
      </c>
      <c r="Q42" s="152">
        <f ca="1">IFERROR(__xludf.DUMMYFUNCTION("IMPORTRANGE(""https://docs.google.com/spreadsheets/d/1v_cJrbBlyqmnHPReHk44g9NrMRdENNlSy_E_c5M9fIg/edit?usp=sharing"",""ร้อยเอ็ด!J704"")"),34.05)</f>
        <v>34.049999999999997</v>
      </c>
      <c r="R42" s="216">
        <f t="shared" ca="1" si="31"/>
        <v>26.086956521739129</v>
      </c>
      <c r="S42" s="632">
        <f ca="1">IFERROR(__xludf.DUMMYFUNCTION("IMPORTRANGE(""https://docs.google.com/spreadsheets/d/1v_cJrbBlyqmnHPReHk44g9NrMRdENNlSy_E_c5M9fIg/edit?usp=sharing"",""ร้อยเอ็ด!I705"")"),6)</f>
        <v>6</v>
      </c>
      <c r="T42" s="251">
        <f ca="1">IFERROR(__xludf.DUMMYFUNCTION("IMPORTRANGE(""https://docs.google.com/spreadsheets/d/1v_cJrbBlyqmnHPReHk44g9NrMRdENNlSy_E_c5M9fIg/edit?usp=sharing"",""ร้อยเอ็ด!J705"")"),0)</f>
        <v>0</v>
      </c>
      <c r="U42" s="251">
        <f ca="1">IFERROR(__xludf.DUMMYFUNCTION("IMPORTRANGE(""https://docs.google.com/spreadsheets/d/1v_cJrbBlyqmnHPReHk44g9NrMRdENNlSy_E_c5M9fIg/edit?usp=sharing"",""ร้อยเอ็ด!J706"")"),0)</f>
        <v>0</v>
      </c>
      <c r="V42" s="605">
        <f t="shared" ca="1" si="33"/>
        <v>0</v>
      </c>
      <c r="W42" s="278">
        <f ca="1">IFERROR(__xludf.DUMMYFUNCTION("IMPORTRANGE(""https://docs.google.com/spreadsheets/d/1v_cJrbBlyqmnHPReHk44g9NrMRdENNlSy_E_c5M9fIg/edit?usp=sharing"",""ร้อยเอ็ด!I707"")"),207)</f>
        <v>207</v>
      </c>
      <c r="X42" s="152">
        <f ca="1">IFERROR(__xludf.DUMMYFUNCTION("IMPORTRANGE(""https://docs.google.com/spreadsheets/d/1v_cJrbBlyqmnHPReHk44g9NrMRdENNlSy_E_c5M9fIg/edit?usp=sharing"",""ร้อยเอ็ด!J707"")"),32)</f>
        <v>32</v>
      </c>
      <c r="Y42" s="152">
        <f ca="1">IFERROR(__xludf.DUMMYFUNCTION("IMPORTRANGE(""https://docs.google.com/spreadsheets/d/1v_cJrbBlyqmnHPReHk44g9NrMRdENNlSy_E_c5M9fIg/edit?usp=sharing"",""ร้อยเอ็ด!J708"")"),23)</f>
        <v>23</v>
      </c>
      <c r="Z42" s="216">
        <f t="shared" ca="1" si="35"/>
        <v>15.458937198067632</v>
      </c>
      <c r="AA42" s="632">
        <f ca="1">IFERROR(__xludf.DUMMYFUNCTION("IMPORTRANGE(""https://docs.google.com/spreadsheets/d/1v_cJrbBlyqmnHPReHk44g9NrMRdENNlSy_E_c5M9fIg/edit?usp=sharing"",""ร้อยเอ็ด!I709"")"),6)</f>
        <v>6</v>
      </c>
      <c r="AB42" s="251">
        <f ca="1">IFERROR(__xludf.DUMMYFUNCTION("IMPORTRANGE(""https://docs.google.com/spreadsheets/d/1v_cJrbBlyqmnHPReHk44g9NrMRdENNlSy_E_c5M9fIg/edit?usp=sharing"",""ร้อยเอ็ด!J709"")"),1)</f>
        <v>1</v>
      </c>
      <c r="AC42" s="251">
        <f ca="1">IFERROR(__xludf.DUMMYFUNCTION("IMPORTRANGE(""https://docs.google.com/spreadsheets/d/1v_cJrbBlyqmnHPReHk44g9NrMRdENNlSy_E_c5M9fIg/edit?usp=sharing"",""ร้อยเอ็ด!J710"")"),0)</f>
        <v>0</v>
      </c>
      <c r="AD42" s="605">
        <f t="shared" ca="1" si="37"/>
        <v>16.666666666666668</v>
      </c>
    </row>
    <row r="43" spans="1:30" ht="19.5" x14ac:dyDescent="0.3">
      <c r="A43" s="70">
        <v>12</v>
      </c>
      <c r="B43" s="71" t="s">
        <v>71</v>
      </c>
      <c r="C43" s="68">
        <f ca="1">IFERROR(__xludf.DUMMYFUNCTION("IMPORTRANGE(""https://docs.google.com/spreadsheets/d/1Ul4RCpCX66NxYADU1QpwAPjOmBzW64SsT11s1wzXw_c/edit?usp=sharing"",""เลย!Q690"")"),367610)</f>
        <v>367610</v>
      </c>
      <c r="D43" s="68">
        <f ca="1">IFERROR(__xludf.DUMMYFUNCTION("IMPORTRANGE(""https://docs.google.com/spreadsheets/d/1Ul4RCpCX66NxYADU1QpwAPjOmBzW64SsT11s1wzXw_c/edit?usp=sharing"",""เลย!R690"")"),367610)</f>
        <v>367610</v>
      </c>
      <c r="E43" s="68">
        <f ca="1">IFERROR(__xludf.DUMMYFUNCTION("IMPORTRANGE(""https://docs.google.com/spreadsheets/d/1Ul4RCpCX66NxYADU1QpwAPjOmBzW64SsT11s1wzXw_c/edit?usp=sharing"",""เลย!S690"")"),257030.75)</f>
        <v>257030.75</v>
      </c>
      <c r="F43" s="68">
        <f t="shared" ca="1" si="24"/>
        <v>69.919411876717177</v>
      </c>
      <c r="G43" s="68">
        <f t="shared" ca="1" si="25"/>
        <v>69.919411876717177</v>
      </c>
      <c r="H43" s="278">
        <f ca="1">IFERROR(__xludf.DUMMYFUNCTION("IMPORTRANGE(""https://docs.google.com/spreadsheets/d/1Ul4RCpCX66NxYADU1QpwAPjOmBzW64SsT11s1wzXw_c/edit?usp=sharing"",""เลย!I700"")"),0)</f>
        <v>0</v>
      </c>
      <c r="I43" s="152">
        <f ca="1">IFERROR(__xludf.DUMMYFUNCTION("IMPORTRANGE(""https://docs.google.com/spreadsheets/d/1Ul4RCpCX66NxYADU1QpwAPjOmBzW64SsT11s1wzXw_c/edit?usp=sharing"",""เลย!J700"")"),0)</f>
        <v>0</v>
      </c>
      <c r="J43" s="216">
        <f t="shared" ca="1" si="27"/>
        <v>0</v>
      </c>
      <c r="K43" s="278">
        <f ca="1">IFERROR(__xludf.DUMMYFUNCTION("IMPORTRANGE(""https://docs.google.com/spreadsheets/d/1Ul4RCpCX66NxYADU1QpwAPjOmBzW64SsT11s1wzXw_c/edit?usp=sharing"",""เลย!I701"")"),257)</f>
        <v>257</v>
      </c>
      <c r="L43" s="152">
        <f ca="1">IFERROR(__xludf.DUMMYFUNCTION("IMPORTRANGE(""https://docs.google.com/spreadsheets/d/1Ul4RCpCX66NxYADU1QpwAPjOmBzW64SsT11s1wzXw_c/edit?usp=sharing"",""เลย!J701"")"),161)</f>
        <v>161</v>
      </c>
      <c r="M43" s="152">
        <f ca="1">IFERROR(__xludf.DUMMYFUNCTION("IMPORTRANGE(""https://docs.google.com/spreadsheets/d/1Ul4RCpCX66NxYADU1QpwAPjOmBzW64SsT11s1wzXw_c/edit?usp=sharing"",""เลย!J702"")"),83.96)</f>
        <v>83.96</v>
      </c>
      <c r="N43" s="216">
        <f t="shared" ca="1" si="29"/>
        <v>62.645914396887157</v>
      </c>
      <c r="O43" s="278">
        <f ca="1">IFERROR(__xludf.DUMMYFUNCTION("IMPORTRANGE(""https://docs.google.com/spreadsheets/d/1Ul4RCpCX66NxYADU1QpwAPjOmBzW64SsT11s1wzXw_c/edit?usp=sharing"",""เลย!I703"")"),250)</f>
        <v>250</v>
      </c>
      <c r="P43" s="152">
        <f ca="1">IFERROR(__xludf.DUMMYFUNCTION("IMPORTRANGE(""https://docs.google.com/spreadsheets/d/1Ul4RCpCX66NxYADU1QpwAPjOmBzW64SsT11s1wzXw_c/edit?usp=sharing"",""เลย!J703"")"),161)</f>
        <v>161</v>
      </c>
      <c r="Q43" s="152">
        <f ca="1">IFERROR(__xludf.DUMMYFUNCTION("IMPORTRANGE(""https://docs.google.com/spreadsheets/d/1Ul4RCpCX66NxYADU1QpwAPjOmBzW64SsT11s1wzXw_c/edit?usp=sharing"",""เลย!J704"")"),83.96)</f>
        <v>83.96</v>
      </c>
      <c r="R43" s="216">
        <f t="shared" ca="1" si="31"/>
        <v>64.400000000000006</v>
      </c>
      <c r="S43" s="632">
        <f ca="1">IFERROR(__xludf.DUMMYFUNCTION("IMPORTRANGE(""https://docs.google.com/spreadsheets/d/1Ul4RCpCX66NxYADU1QpwAPjOmBzW64SsT11s1wzXw_c/edit?usp=sharing"",""เลย!I705"")"),7)</f>
        <v>7</v>
      </c>
      <c r="T43" s="251">
        <f ca="1">IFERROR(__xludf.DUMMYFUNCTION("IMPORTRANGE(""https://docs.google.com/spreadsheets/d/1Ul4RCpCX66NxYADU1QpwAPjOmBzW64SsT11s1wzXw_c/edit?usp=sharing"",""เลย!J705"")"),0)</f>
        <v>0</v>
      </c>
      <c r="U43" s="251">
        <f ca="1">IFERROR(__xludf.DUMMYFUNCTION("IMPORTRANGE(""https://docs.google.com/spreadsheets/d/1Ul4RCpCX66NxYADU1QpwAPjOmBzW64SsT11s1wzXw_c/edit?usp=sharing"",""เลย!J706"")"),0)</f>
        <v>0</v>
      </c>
      <c r="V43" s="605">
        <f t="shared" ca="1" si="33"/>
        <v>0</v>
      </c>
      <c r="W43" s="278">
        <f ca="1">IFERROR(__xludf.DUMMYFUNCTION("IMPORTRANGE(""https://docs.google.com/spreadsheets/d/1Ul4RCpCX66NxYADU1QpwAPjOmBzW64SsT11s1wzXw_c/edit?usp=sharing"",""เลย!I707"")"),250)</f>
        <v>250</v>
      </c>
      <c r="X43" s="152">
        <f ca="1">IFERROR(__xludf.DUMMYFUNCTION("IMPORTRANGE(""https://docs.google.com/spreadsheets/d/1Ul4RCpCX66NxYADU1QpwAPjOmBzW64SsT11s1wzXw_c/edit?usp=sharing"",""เลย!J707"")"),82)</f>
        <v>82</v>
      </c>
      <c r="Y43" s="152">
        <f ca="1">IFERROR(__xludf.DUMMYFUNCTION("IMPORTRANGE(""https://docs.google.com/spreadsheets/d/1Ul4RCpCX66NxYADU1QpwAPjOmBzW64SsT11s1wzXw_c/edit?usp=sharing"",""เลย!J708"")"),46)</f>
        <v>46</v>
      </c>
      <c r="Z43" s="216">
        <f t="shared" ca="1" si="35"/>
        <v>32.799999999999997</v>
      </c>
      <c r="AA43" s="632">
        <f ca="1">IFERROR(__xludf.DUMMYFUNCTION("IMPORTRANGE(""https://docs.google.com/spreadsheets/d/1Ul4RCpCX66NxYADU1QpwAPjOmBzW64SsT11s1wzXw_c/edit?usp=sharing"",""เลย!I709"")"),7)</f>
        <v>7</v>
      </c>
      <c r="AB43" s="251">
        <f ca="1">IFERROR(__xludf.DUMMYFUNCTION("IMPORTRANGE(""https://docs.google.com/spreadsheets/d/1Ul4RCpCX66NxYADU1QpwAPjOmBzW64SsT11s1wzXw_c/edit?usp=sharing"",""เลย!J709"")"),1)</f>
        <v>1</v>
      </c>
      <c r="AC43" s="251">
        <f ca="1">IFERROR(__xludf.DUMMYFUNCTION("IMPORTRANGE(""https://docs.google.com/spreadsheets/d/1Ul4RCpCX66NxYADU1QpwAPjOmBzW64SsT11s1wzXw_c/edit?usp=sharing"",""เลย!J710"")"),0)</f>
        <v>0</v>
      </c>
      <c r="AD43" s="605">
        <f t="shared" ca="1" si="37"/>
        <v>14.285714285714286</v>
      </c>
    </row>
    <row r="44" spans="1:30" ht="19.5" x14ac:dyDescent="0.3">
      <c r="A44" s="70">
        <v>13</v>
      </c>
      <c r="B44" s="71" t="s">
        <v>72</v>
      </c>
      <c r="C44" s="68">
        <f ca="1">IFERROR(__xludf.DUMMYFUNCTION("IMPORTRANGE(""https://docs.google.com/spreadsheets/d/1bRrNKwbHDVktQG10isr5vbWRtt5spIZPpkOSWgbT5ug/edit?usp=sharing"",""ศรีสะเกษ!Q690"")"),390610)</f>
        <v>390610</v>
      </c>
      <c r="D44" s="68">
        <f ca="1">IFERROR(__xludf.DUMMYFUNCTION("IMPORTRANGE(""https://docs.google.com/spreadsheets/d/1bRrNKwbHDVktQG10isr5vbWRtt5spIZPpkOSWgbT5ug/edit?usp=sharing"",""ศรีสะเกษ!R690"")"),390610)</f>
        <v>390610</v>
      </c>
      <c r="E44" s="68">
        <f ca="1">IFERROR(__xludf.DUMMYFUNCTION("IMPORTRANGE(""https://docs.google.com/spreadsheets/d/1bRrNKwbHDVktQG10isr5vbWRtt5spIZPpkOSWgbT5ug/edit?usp=sharing"",""ศรีสะเกษ!S690"")"),226430)</f>
        <v>226430</v>
      </c>
      <c r="F44" s="68">
        <f t="shared" ca="1" si="24"/>
        <v>57.968305982949744</v>
      </c>
      <c r="G44" s="68">
        <f t="shared" ca="1" si="25"/>
        <v>57.968305982949744</v>
      </c>
      <c r="H44" s="278">
        <f ca="1">IFERROR(__xludf.DUMMYFUNCTION("IMPORTRANGE(""https://docs.google.com/spreadsheets/d/1bRrNKwbHDVktQG10isr5vbWRtt5spIZPpkOSWgbT5ug/edit?usp=sharing"",""ศรีสะเกษ!I700"")"),0)</f>
        <v>0</v>
      </c>
      <c r="I44" s="397">
        <f ca="1">IFERROR(__xludf.DUMMYFUNCTION("IMPORTRANGE(""https://docs.google.com/spreadsheets/d/1bRrNKwbHDVktQG10isr5vbWRtt5spIZPpkOSWgbT5ug/edit?usp=sharing"",""ศรีสะเกษ!J700"")"),0)</f>
        <v>0</v>
      </c>
      <c r="J44" s="216">
        <f t="shared" ca="1" si="27"/>
        <v>0</v>
      </c>
      <c r="K44" s="278">
        <f ca="1">IFERROR(__xludf.DUMMYFUNCTION("IMPORTRANGE(""https://docs.google.com/spreadsheets/d/1bRrNKwbHDVktQG10isr5vbWRtt5spIZPpkOSWgbT5ug/edit?usp=sharing"",""ศรีสะเกษ!I701"")"),265)</f>
        <v>265</v>
      </c>
      <c r="L44" s="397">
        <f ca="1">IFERROR(__xludf.DUMMYFUNCTION("IMPORTRANGE(""https://docs.google.com/spreadsheets/d/1bRrNKwbHDVktQG10isr5vbWRtt5spIZPpkOSWgbT5ug/edit?usp=sharing"",""ศรีสะเกษ!J701"")"),0)</f>
        <v>0</v>
      </c>
      <c r="M44" s="397">
        <f ca="1">IFERROR(__xludf.DUMMYFUNCTION("IMPORTRANGE(""https://docs.google.com/spreadsheets/d/1bRrNKwbHDVktQG10isr5vbWRtt5spIZPpkOSWgbT5ug/edit?usp=sharing"",""ศรีสะเกษ!J702"")"),0)</f>
        <v>0</v>
      </c>
      <c r="N44" s="216">
        <f t="shared" ca="1" si="29"/>
        <v>0</v>
      </c>
      <c r="O44" s="278">
        <f ca="1">IFERROR(__xludf.DUMMYFUNCTION("IMPORTRANGE(""https://docs.google.com/spreadsheets/d/1bRrNKwbHDVktQG10isr5vbWRtt5spIZPpkOSWgbT5ug/edit?usp=sharing"",""ศรีสะเกษ!I703"")"),260)</f>
        <v>260</v>
      </c>
      <c r="P44" s="397">
        <f ca="1">IFERROR(__xludf.DUMMYFUNCTION("IMPORTRANGE(""https://docs.google.com/spreadsheets/d/1bRrNKwbHDVktQG10isr5vbWRtt5spIZPpkOSWgbT5ug/edit?usp=sharing"",""ศรีสะเกษ!J703"")"),0)</f>
        <v>0</v>
      </c>
      <c r="Q44" s="397">
        <f ca="1">IFERROR(__xludf.DUMMYFUNCTION("IMPORTRANGE(""https://docs.google.com/spreadsheets/d/1bRrNKwbHDVktQG10isr5vbWRtt5spIZPpkOSWgbT5ug/edit?usp=sharing"",""ศรีสะเกษ!J704"")"),0)</f>
        <v>0</v>
      </c>
      <c r="R44" s="216">
        <f t="shared" ca="1" si="31"/>
        <v>0</v>
      </c>
      <c r="S44" s="632">
        <f ca="1">IFERROR(__xludf.DUMMYFUNCTION("IMPORTRANGE(""https://docs.google.com/spreadsheets/d/1bRrNKwbHDVktQG10isr5vbWRtt5spIZPpkOSWgbT5ug/edit?usp=sharing"",""ศรีสะเกษ!I705"")"),5)</f>
        <v>5</v>
      </c>
      <c r="T44" s="251">
        <f ca="1">IFERROR(__xludf.DUMMYFUNCTION("IMPORTRANGE(""https://docs.google.com/spreadsheets/d/1bRrNKwbHDVktQG10isr5vbWRtt5spIZPpkOSWgbT5ug/edit?usp=sharing"",""ศรีสะเกษ!J705"")"),0)</f>
        <v>0</v>
      </c>
      <c r="U44" s="251">
        <f ca="1">IFERROR(__xludf.DUMMYFUNCTION("IMPORTRANGE(""https://docs.google.com/spreadsheets/d/1bRrNKwbHDVktQG10isr5vbWRtt5spIZPpkOSWgbT5ug/edit?usp=sharing"",""ศรีสะเกษ!J706"")"),0)</f>
        <v>0</v>
      </c>
      <c r="V44" s="605">
        <f t="shared" ca="1" si="33"/>
        <v>0</v>
      </c>
      <c r="W44" s="278">
        <f ca="1">IFERROR(__xludf.DUMMYFUNCTION("IMPORTRANGE(""https://docs.google.com/spreadsheets/d/1bRrNKwbHDVktQG10isr5vbWRtt5spIZPpkOSWgbT5ug/edit?usp=sharing"",""ศรีสะเกษ!I707"")"),260)</f>
        <v>260</v>
      </c>
      <c r="X44" s="397">
        <f ca="1">IFERROR(__xludf.DUMMYFUNCTION("IMPORTRANGE(""https://docs.google.com/spreadsheets/d/1bRrNKwbHDVktQG10isr5vbWRtt5spIZPpkOSWgbT5ug/edit?usp=sharing"",""ศรีสะเกษ!J707"")"),0)</f>
        <v>0</v>
      </c>
      <c r="Y44" s="397">
        <f ca="1">IFERROR(__xludf.DUMMYFUNCTION("IMPORTRANGE(""https://docs.google.com/spreadsheets/d/1bRrNKwbHDVktQG10isr5vbWRtt5spIZPpkOSWgbT5ug/edit?usp=sharing"",""ศรีสะเกษ!J708"")"),0)</f>
        <v>0</v>
      </c>
      <c r="Z44" s="216">
        <f t="shared" ca="1" si="35"/>
        <v>0</v>
      </c>
      <c r="AA44" s="632">
        <f ca="1">IFERROR(__xludf.DUMMYFUNCTION("IMPORTRANGE(""https://docs.google.com/spreadsheets/d/1bRrNKwbHDVktQG10isr5vbWRtt5spIZPpkOSWgbT5ug/edit?usp=sharing"",""ศรีสะเกษ!I709"")"),5)</f>
        <v>5</v>
      </c>
      <c r="AB44" s="251">
        <f ca="1">IFERROR(__xludf.DUMMYFUNCTION("IMPORTRANGE(""https://docs.google.com/spreadsheets/d/1bRrNKwbHDVktQG10isr5vbWRtt5spIZPpkOSWgbT5ug/edit?usp=sharing"",""ศรีสะเกษ!J709"")"),1)</f>
        <v>1</v>
      </c>
      <c r="AC44" s="251">
        <f ca="1">IFERROR(__xludf.DUMMYFUNCTION("IMPORTRANGE(""https://docs.google.com/spreadsheets/d/1bRrNKwbHDVktQG10isr5vbWRtt5spIZPpkOSWgbT5ug/edit?usp=sharing"",""ศรีสะเกษ!J710"")"),0)</f>
        <v>0</v>
      </c>
      <c r="AD44" s="605">
        <f t="shared" ca="1" si="37"/>
        <v>20</v>
      </c>
    </row>
    <row r="45" spans="1:30" ht="19.5" x14ac:dyDescent="0.3">
      <c r="A45" s="70">
        <v>14</v>
      </c>
      <c r="B45" s="71" t="s">
        <v>73</v>
      </c>
      <c r="C45" s="68">
        <f ca="1">IFERROR(__xludf.DUMMYFUNCTION("IMPORTRANGE(""https://docs.google.com/spreadsheets/d/17P34_Ow5kFBfdQD0qspb2UuPX5zpi6WMrQzslghyvrI/edit?usp=sharing"",""สกลนคร!Q690"")"),1359910)</f>
        <v>1359910</v>
      </c>
      <c r="D45" s="68">
        <f ca="1">IFERROR(__xludf.DUMMYFUNCTION("IMPORTRANGE(""https://docs.google.com/spreadsheets/d/17P34_Ow5kFBfdQD0qspb2UuPX5zpi6WMrQzslghyvrI/edit?usp=sharing"",""สกลนคร!R690"")"),1359910)</f>
        <v>1359910</v>
      </c>
      <c r="E45" s="68">
        <f ca="1">IFERROR(__xludf.DUMMYFUNCTION("IMPORTRANGE(""https://docs.google.com/spreadsheets/d/17P34_Ow5kFBfdQD0qspb2UuPX5zpi6WMrQzslghyvrI/edit?usp=sharing"",""สกลนคร!S690"")"),1109224.82)</f>
        <v>1109224.82</v>
      </c>
      <c r="F45" s="68">
        <f t="shared" ca="1" si="24"/>
        <v>81.566046282474574</v>
      </c>
      <c r="G45" s="68">
        <f t="shared" ca="1" si="25"/>
        <v>81.566046282474574</v>
      </c>
      <c r="H45" s="278">
        <f ca="1">IFERROR(__xludf.DUMMYFUNCTION("IMPORTRANGE(""https://docs.google.com/spreadsheets/d/17P34_Ow5kFBfdQD0qspb2UuPX5zpi6WMrQzslghyvrI/edit?usp=sharing"",""สกลนคร!I700"")"),0)</f>
        <v>0</v>
      </c>
      <c r="I45" s="152">
        <f ca="1">IFERROR(__xludf.DUMMYFUNCTION("IMPORTRANGE(""https://docs.google.com/spreadsheets/d/17P34_Ow5kFBfdQD0qspb2UuPX5zpi6WMrQzslghyvrI/edit?usp=sharing"",""สกลนคร!J700"")"),0)</f>
        <v>0</v>
      </c>
      <c r="J45" s="216">
        <f t="shared" ca="1" si="27"/>
        <v>0</v>
      </c>
      <c r="K45" s="278">
        <f ca="1">IFERROR(__xludf.DUMMYFUNCTION("IMPORTRANGE(""https://docs.google.com/spreadsheets/d/17P34_Ow5kFBfdQD0qspb2UuPX5zpi6WMrQzslghyvrI/edit?usp=sharing"",""สกลนคร!I701"")"),1265)</f>
        <v>1265</v>
      </c>
      <c r="L45" s="152">
        <f ca="1">IFERROR(__xludf.DUMMYFUNCTION("IMPORTRANGE(""https://docs.google.com/spreadsheets/d/17P34_Ow5kFBfdQD0qspb2UuPX5zpi6WMrQzslghyvrI/edit?usp=sharing"",""สกลนคร!J701"")"),546)</f>
        <v>546</v>
      </c>
      <c r="M45" s="152">
        <f ca="1">IFERROR(__xludf.DUMMYFUNCTION("IMPORTRANGE(""https://docs.google.com/spreadsheets/d/17P34_Ow5kFBfdQD0qspb2UuPX5zpi6WMrQzslghyvrI/edit?usp=sharing"",""สกลนคร!J702"")"),261.14)</f>
        <v>261.14</v>
      </c>
      <c r="N45" s="216">
        <f t="shared" ca="1" si="29"/>
        <v>43.162055335968383</v>
      </c>
      <c r="O45" s="278">
        <f ca="1">IFERROR(__xludf.DUMMYFUNCTION("IMPORTRANGE(""https://docs.google.com/spreadsheets/d/17P34_Ow5kFBfdQD0qspb2UuPX5zpi6WMrQzslghyvrI/edit?usp=sharing"",""สกลนคร!I703"")"),1246)</f>
        <v>1246</v>
      </c>
      <c r="P45" s="152">
        <f ca="1">IFERROR(__xludf.DUMMYFUNCTION("IMPORTRANGE(""https://docs.google.com/spreadsheets/d/17P34_Ow5kFBfdQD0qspb2UuPX5zpi6WMrQzslghyvrI/edit?usp=sharing"",""สกลนคร!J703"")"),546)</f>
        <v>546</v>
      </c>
      <c r="Q45" s="152">
        <f ca="1">IFERROR(__xludf.DUMMYFUNCTION("IMPORTRANGE(""https://docs.google.com/spreadsheets/d/17P34_Ow5kFBfdQD0qspb2UuPX5zpi6WMrQzslghyvrI/edit?usp=sharing"",""สกลนคร!J704"")"),261.14)</f>
        <v>261.14</v>
      </c>
      <c r="R45" s="216">
        <f t="shared" ca="1" si="31"/>
        <v>43.820224719101127</v>
      </c>
      <c r="S45" s="632">
        <f ca="1">IFERROR(__xludf.DUMMYFUNCTION("IMPORTRANGE(""https://docs.google.com/spreadsheets/d/17P34_Ow5kFBfdQD0qspb2UuPX5zpi6WMrQzslghyvrI/edit?usp=sharing"",""สกลนคร!I705"")"),19)</f>
        <v>19</v>
      </c>
      <c r="T45" s="251">
        <f ca="1">IFERROR(__xludf.DUMMYFUNCTION("IMPORTRANGE(""https://docs.google.com/spreadsheets/d/17P34_Ow5kFBfdQD0qspb2UuPX5zpi6WMrQzslghyvrI/edit?usp=sharing"",""สกลนคร!J705"")"),0)</f>
        <v>0</v>
      </c>
      <c r="U45" s="251">
        <f ca="1">IFERROR(__xludf.DUMMYFUNCTION("IMPORTRANGE(""https://docs.google.com/spreadsheets/d/17P34_Ow5kFBfdQD0qspb2UuPX5zpi6WMrQzslghyvrI/edit?usp=sharing"",""สกลนคร!J706"")"),0)</f>
        <v>0</v>
      </c>
      <c r="V45" s="605">
        <f t="shared" ca="1" si="33"/>
        <v>0</v>
      </c>
      <c r="W45" s="278">
        <f ca="1">IFERROR(__xludf.DUMMYFUNCTION("IMPORTRANGE(""https://docs.google.com/spreadsheets/d/17P34_Ow5kFBfdQD0qspb2UuPX5zpi6WMrQzslghyvrI/edit?usp=sharing"",""สกลนคร!I707"")"),1246)</f>
        <v>1246</v>
      </c>
      <c r="X45" s="152">
        <f ca="1">IFERROR(__xludf.DUMMYFUNCTION("IMPORTRANGE(""https://docs.google.com/spreadsheets/d/17P34_Ow5kFBfdQD0qspb2UuPX5zpi6WMrQzslghyvrI/edit?usp=sharing"",""สกลนคร!J707"")"),0)</f>
        <v>0</v>
      </c>
      <c r="Y45" s="152">
        <f ca="1">IFERROR(__xludf.DUMMYFUNCTION("IMPORTRANGE(""https://docs.google.com/spreadsheets/d/17P34_Ow5kFBfdQD0qspb2UuPX5zpi6WMrQzslghyvrI/edit?usp=sharing"",""สกลนคร!J708"")"),0)</f>
        <v>0</v>
      </c>
      <c r="Z45" s="216">
        <f t="shared" ca="1" si="35"/>
        <v>0</v>
      </c>
      <c r="AA45" s="632">
        <f ca="1">IFERROR(__xludf.DUMMYFUNCTION("IMPORTRANGE(""https://docs.google.com/spreadsheets/d/17P34_Ow5kFBfdQD0qspb2UuPX5zpi6WMrQzslghyvrI/edit?usp=sharing"",""สกลนคร!I709"")"),19)</f>
        <v>19</v>
      </c>
      <c r="AB45" s="251">
        <f ca="1">IFERROR(__xludf.DUMMYFUNCTION("IMPORTRANGE(""https://docs.google.com/spreadsheets/d/17P34_Ow5kFBfdQD0qspb2UuPX5zpi6WMrQzslghyvrI/edit?usp=sharing"",""สกลนคร!J709"")"),36)</f>
        <v>36</v>
      </c>
      <c r="AC45" s="251">
        <f ca="1">IFERROR(__xludf.DUMMYFUNCTION("IMPORTRANGE(""https://docs.google.com/spreadsheets/d/17P34_Ow5kFBfdQD0qspb2UuPX5zpi6WMrQzslghyvrI/edit?usp=sharing"",""สกลนคร!J710"")"),0)</f>
        <v>0</v>
      </c>
      <c r="AD45" s="605">
        <f t="shared" ca="1" si="37"/>
        <v>189.47368421052633</v>
      </c>
    </row>
    <row r="46" spans="1:30" ht="19.5" x14ac:dyDescent="0.3">
      <c r="A46" s="70">
        <v>15</v>
      </c>
      <c r="B46" s="71" t="s">
        <v>74</v>
      </c>
      <c r="C46" s="68">
        <f ca="1">IFERROR(__xludf.DUMMYFUNCTION("IMPORTRANGE(""https://docs.google.com/spreadsheets/d/1yswqbM3-AEpThF3ZSUa1AcmHnmRTF1vlJ1CZGcJ8YuU/edit?usp=sharing"",""สุรินทร์!Q690"")"),322780)</f>
        <v>322780</v>
      </c>
      <c r="D46" s="68">
        <f ca="1">IFERROR(__xludf.DUMMYFUNCTION("IMPORTRANGE(""https://docs.google.com/spreadsheets/d/1yswqbM3-AEpThF3ZSUa1AcmHnmRTF1vlJ1CZGcJ8YuU/edit?usp=sharing"",""สุรินทร์!R690"")"),322780)</f>
        <v>322780</v>
      </c>
      <c r="E46" s="68">
        <f ca="1">IFERROR(__xludf.DUMMYFUNCTION("IMPORTRANGE(""https://docs.google.com/spreadsheets/d/1yswqbM3-AEpThF3ZSUa1AcmHnmRTF1vlJ1CZGcJ8YuU/edit?usp=sharing"",""สุรินทร์!S690"")"),143515.36)</f>
        <v>143515.35999999999</v>
      </c>
      <c r="F46" s="68">
        <f t="shared" ca="1" si="24"/>
        <v>44.462283908544514</v>
      </c>
      <c r="G46" s="68">
        <f t="shared" ca="1" si="25"/>
        <v>44.462283908544514</v>
      </c>
      <c r="H46" s="278">
        <f ca="1">IFERROR(__xludf.DUMMYFUNCTION("IMPORTRANGE(""https://docs.google.com/spreadsheets/d/1yswqbM3-AEpThF3ZSUa1AcmHnmRTF1vlJ1CZGcJ8YuU/edit?usp=sharing"",""สุรินทร์!I700"")"),0)</f>
        <v>0</v>
      </c>
      <c r="I46" s="152">
        <f ca="1">IFERROR(__xludf.DUMMYFUNCTION("IMPORTRANGE(""https://docs.google.com/spreadsheets/d/1yswqbM3-AEpThF3ZSUa1AcmHnmRTF1vlJ1CZGcJ8YuU/edit?usp=sharing"",""สุรินทร์!J700"")"),0)</f>
        <v>0</v>
      </c>
      <c r="J46" s="216">
        <f t="shared" ca="1" si="27"/>
        <v>0</v>
      </c>
      <c r="K46" s="278">
        <f ca="1">IFERROR(__xludf.DUMMYFUNCTION("IMPORTRANGE(""https://docs.google.com/spreadsheets/d/1yswqbM3-AEpThF3ZSUa1AcmHnmRTF1vlJ1CZGcJ8YuU/edit?usp=sharing"",""สุรินทร์!I701"")"),200)</f>
        <v>200</v>
      </c>
      <c r="L46" s="152">
        <f ca="1">IFERROR(__xludf.DUMMYFUNCTION("IMPORTRANGE(""https://docs.google.com/spreadsheets/d/1yswqbM3-AEpThF3ZSUa1AcmHnmRTF1vlJ1CZGcJ8YuU/edit?usp=sharing"",""สุรินทร์!J701"")"),1)</f>
        <v>1</v>
      </c>
      <c r="M46" s="152">
        <f ca="1">IFERROR(__xludf.DUMMYFUNCTION("IMPORTRANGE(""https://docs.google.com/spreadsheets/d/1yswqbM3-AEpThF3ZSUa1AcmHnmRTF1vlJ1CZGcJ8YuU/edit?usp=sharing"",""สุรินทร์!J702"")"),0.34)</f>
        <v>0.34</v>
      </c>
      <c r="N46" s="216">
        <f t="shared" ca="1" si="29"/>
        <v>0.5</v>
      </c>
      <c r="O46" s="278">
        <f ca="1">IFERROR(__xludf.DUMMYFUNCTION("IMPORTRANGE(""https://docs.google.com/spreadsheets/d/1yswqbM3-AEpThF3ZSUa1AcmHnmRTF1vlJ1CZGcJ8YuU/edit?usp=sharing"",""สุรินทร์!I703"")"),200)</f>
        <v>200</v>
      </c>
      <c r="P46" s="152">
        <f ca="1">IFERROR(__xludf.DUMMYFUNCTION("IMPORTRANGE(""https://docs.google.com/spreadsheets/d/1yswqbM3-AEpThF3ZSUa1AcmHnmRTF1vlJ1CZGcJ8YuU/edit?usp=sharing"",""สุรินทร์!J703"")"),1)</f>
        <v>1</v>
      </c>
      <c r="Q46" s="152">
        <f ca="1">IFERROR(__xludf.DUMMYFUNCTION("IMPORTRANGE(""https://docs.google.com/spreadsheets/d/1yswqbM3-AEpThF3ZSUa1AcmHnmRTF1vlJ1CZGcJ8YuU/edit?usp=sharing"",""สุรินทร์!J704"")"),0.34)</f>
        <v>0.34</v>
      </c>
      <c r="R46" s="216">
        <f t="shared" ca="1" si="31"/>
        <v>0.5</v>
      </c>
      <c r="S46" s="632">
        <f ca="1">IFERROR(__xludf.DUMMYFUNCTION("IMPORTRANGE(""https://docs.google.com/spreadsheets/d/1yswqbM3-AEpThF3ZSUa1AcmHnmRTF1vlJ1CZGcJ8YuU/edit?usp=sharing"",""สุรินทร์!I705"")"),0)</f>
        <v>0</v>
      </c>
      <c r="T46" s="251">
        <f ca="1">IFERROR(__xludf.DUMMYFUNCTION("IMPORTRANGE(""https://docs.google.com/spreadsheets/d/1yswqbM3-AEpThF3ZSUa1AcmHnmRTF1vlJ1CZGcJ8YuU/edit?usp=sharing"",""สุรินทร์!J705"")"),0)</f>
        <v>0</v>
      </c>
      <c r="U46" s="251">
        <f ca="1">IFERROR(__xludf.DUMMYFUNCTION("IMPORTRANGE(""https://docs.google.com/spreadsheets/d/1yswqbM3-AEpThF3ZSUa1AcmHnmRTF1vlJ1CZGcJ8YuU/edit?usp=sharing"",""สุรินทร์!J706"")"),0)</f>
        <v>0</v>
      </c>
      <c r="V46" s="605">
        <f t="shared" ca="1" si="33"/>
        <v>0</v>
      </c>
      <c r="W46" s="278">
        <f ca="1">IFERROR(__xludf.DUMMYFUNCTION("IMPORTRANGE(""https://docs.google.com/spreadsheets/d/1yswqbM3-AEpThF3ZSUa1AcmHnmRTF1vlJ1CZGcJ8YuU/edit?usp=sharing"",""สุรินทร์!I707"")"),200)</f>
        <v>200</v>
      </c>
      <c r="X46" s="152">
        <f ca="1">IFERROR(__xludf.DUMMYFUNCTION("IMPORTRANGE(""https://docs.google.com/spreadsheets/d/1yswqbM3-AEpThF3ZSUa1AcmHnmRTF1vlJ1CZGcJ8YuU/edit?usp=sharing"",""สุรินทร์!J707"")"),0)</f>
        <v>0</v>
      </c>
      <c r="Y46" s="152">
        <f ca="1">IFERROR(__xludf.DUMMYFUNCTION("IMPORTRANGE(""https://docs.google.com/spreadsheets/d/1yswqbM3-AEpThF3ZSUa1AcmHnmRTF1vlJ1CZGcJ8YuU/edit?usp=sharing"",""สุรินทร์!J708"")"),0)</f>
        <v>0</v>
      </c>
      <c r="Z46" s="216">
        <f t="shared" ca="1" si="35"/>
        <v>0</v>
      </c>
      <c r="AA46" s="632">
        <f ca="1">IFERROR(__xludf.DUMMYFUNCTION("IMPORTRANGE(""https://docs.google.com/spreadsheets/d/1yswqbM3-AEpThF3ZSUa1AcmHnmRTF1vlJ1CZGcJ8YuU/edit?usp=sharing"",""สุรินทร์!I709"")"),0)</f>
        <v>0</v>
      </c>
      <c r="AB46" s="251">
        <f ca="1">IFERROR(__xludf.DUMMYFUNCTION("IMPORTRANGE(""https://docs.google.com/spreadsheets/d/1yswqbM3-AEpThF3ZSUa1AcmHnmRTF1vlJ1CZGcJ8YuU/edit?usp=sharing"",""สุรินทร์!J709"")"),0)</f>
        <v>0</v>
      </c>
      <c r="AC46" s="251">
        <f ca="1">IFERROR(__xludf.DUMMYFUNCTION("IMPORTRANGE(""https://docs.google.com/spreadsheets/d/1yswqbM3-AEpThF3ZSUa1AcmHnmRTF1vlJ1CZGcJ8YuU/edit?usp=sharing"",""สุรินทร์!J710"")"),0)</f>
        <v>0</v>
      </c>
      <c r="AD46" s="605">
        <f t="shared" ca="1" si="37"/>
        <v>0</v>
      </c>
    </row>
    <row r="47" spans="1:30" ht="19.5" x14ac:dyDescent="0.3">
      <c r="A47" s="70">
        <v>16</v>
      </c>
      <c r="B47" s="71" t="s">
        <v>75</v>
      </c>
      <c r="C47" s="68">
        <f ca="1">IFERROR(__xludf.DUMMYFUNCTION("IMPORTRANGE(""https://docs.google.com/spreadsheets/d/13JHU_EFbsQOUQ0JSQ3dWy1VTRosIWcDq6Nc99z2qzdc/edit?usp=sharing"",""หนองคาย!Q690"")"),231010)</f>
        <v>231010</v>
      </c>
      <c r="D47" s="68">
        <f ca="1">IFERROR(__xludf.DUMMYFUNCTION("IMPORTRANGE(""https://docs.google.com/spreadsheets/d/13JHU_EFbsQOUQ0JSQ3dWy1VTRosIWcDq6Nc99z2qzdc/edit?usp=sharing"",""หนองคาย!R690"")"),231010)</f>
        <v>231010</v>
      </c>
      <c r="E47" s="68">
        <f ca="1">IFERROR(__xludf.DUMMYFUNCTION("IMPORTRANGE(""https://docs.google.com/spreadsheets/d/13JHU_EFbsQOUQ0JSQ3dWy1VTRosIWcDq6Nc99z2qzdc/edit?usp=sharing"",""หนองคาย!S690"")"),185499)</f>
        <v>185499</v>
      </c>
      <c r="F47" s="68">
        <f t="shared" ca="1" si="24"/>
        <v>80.299121250162329</v>
      </c>
      <c r="G47" s="68">
        <f t="shared" ca="1" si="25"/>
        <v>80.299121250162329</v>
      </c>
      <c r="H47" s="278">
        <f ca="1">IFERROR(__xludf.DUMMYFUNCTION("IMPORTRANGE(""https://docs.google.com/spreadsheets/d/13JHU_EFbsQOUQ0JSQ3dWy1VTRosIWcDq6Nc99z2qzdc/edit?usp=sharing"",""หนองคาย!I700"")"),0)</f>
        <v>0</v>
      </c>
      <c r="I47" s="152">
        <f ca="1">IFERROR(__xludf.DUMMYFUNCTION("IMPORTRANGE(""https://docs.google.com/spreadsheets/d/13JHU_EFbsQOUQ0JSQ3dWy1VTRosIWcDq6Nc99z2qzdc/edit?usp=sharing"",""หนองคาย!J700"")"),0)</f>
        <v>0</v>
      </c>
      <c r="J47" s="216">
        <f t="shared" ca="1" si="27"/>
        <v>0</v>
      </c>
      <c r="K47" s="278">
        <f ca="1">IFERROR(__xludf.DUMMYFUNCTION("IMPORTRANGE(""https://docs.google.com/spreadsheets/d/13JHU_EFbsQOUQ0JSQ3dWy1VTRosIWcDq6Nc99z2qzdc/edit?usp=sharing"",""หนองคาย!I701"")"),126)</f>
        <v>126</v>
      </c>
      <c r="L47" s="152">
        <f ca="1">IFERROR(__xludf.DUMMYFUNCTION("IMPORTRANGE(""https://docs.google.com/spreadsheets/d/13JHU_EFbsQOUQ0JSQ3dWy1VTRosIWcDq6Nc99z2qzdc/edit?usp=sharing"",""หนองคาย!J701"")"),139)</f>
        <v>139</v>
      </c>
      <c r="M47" s="152">
        <f ca="1">IFERROR(__xludf.DUMMYFUNCTION("IMPORTRANGE(""https://docs.google.com/spreadsheets/d/13JHU_EFbsQOUQ0JSQ3dWy1VTRosIWcDq6Nc99z2qzdc/edit?usp=sharing"",""หนองคาย!J702"")"),53.48)</f>
        <v>53.48</v>
      </c>
      <c r="N47" s="216">
        <f t="shared" ca="1" si="29"/>
        <v>110.31746031746032</v>
      </c>
      <c r="O47" s="278">
        <f ca="1">IFERROR(__xludf.DUMMYFUNCTION("IMPORTRANGE(""https://docs.google.com/spreadsheets/d/13JHU_EFbsQOUQ0JSQ3dWy1VTRosIWcDq6Nc99z2qzdc/edit?usp=sharing"",""หนองคาย!I703"")"),120)</f>
        <v>120</v>
      </c>
      <c r="P47" s="152">
        <f ca="1">IFERROR(__xludf.DUMMYFUNCTION("IMPORTRANGE(""https://docs.google.com/spreadsheets/d/13JHU_EFbsQOUQ0JSQ3dWy1VTRosIWcDq6Nc99z2qzdc/edit?usp=sharing"",""หนองคาย!J703"")"),139)</f>
        <v>139</v>
      </c>
      <c r="Q47" s="152">
        <f ca="1">IFERROR(__xludf.DUMMYFUNCTION("IMPORTRANGE(""https://docs.google.com/spreadsheets/d/13JHU_EFbsQOUQ0JSQ3dWy1VTRosIWcDq6Nc99z2qzdc/edit?usp=sharing"",""หนองคาย!J704"")"),53.48)</f>
        <v>53.48</v>
      </c>
      <c r="R47" s="216">
        <f t="shared" ca="1" si="31"/>
        <v>115.83333333333333</v>
      </c>
      <c r="S47" s="632">
        <f ca="1">IFERROR(__xludf.DUMMYFUNCTION("IMPORTRANGE(""https://docs.google.com/spreadsheets/d/13JHU_EFbsQOUQ0JSQ3dWy1VTRosIWcDq6Nc99z2qzdc/edit?usp=sharing"",""หนองคาย!I705"")"),6)</f>
        <v>6</v>
      </c>
      <c r="T47" s="251">
        <f ca="1">IFERROR(__xludf.DUMMYFUNCTION("IMPORTRANGE(""https://docs.google.com/spreadsheets/d/13JHU_EFbsQOUQ0JSQ3dWy1VTRosIWcDq6Nc99z2qzdc/edit?usp=sharing"",""หนองคาย!J705"")"),0)</f>
        <v>0</v>
      </c>
      <c r="U47" s="251">
        <f ca="1">IFERROR(__xludf.DUMMYFUNCTION("IMPORTRANGE(""https://docs.google.com/spreadsheets/d/13JHU_EFbsQOUQ0JSQ3dWy1VTRosIWcDq6Nc99z2qzdc/edit?usp=sharing"",""หนองคาย!J706"")"),0)</f>
        <v>0</v>
      </c>
      <c r="V47" s="605">
        <f t="shared" ca="1" si="33"/>
        <v>0</v>
      </c>
      <c r="W47" s="278">
        <f ca="1">IFERROR(__xludf.DUMMYFUNCTION("IMPORTRANGE(""https://docs.google.com/spreadsheets/d/13JHU_EFbsQOUQ0JSQ3dWy1VTRosIWcDq6Nc99z2qzdc/edit?usp=sharing"",""หนองคาย!I707"")"),120)</f>
        <v>120</v>
      </c>
      <c r="X47" s="152">
        <f ca="1">IFERROR(__xludf.DUMMYFUNCTION("IMPORTRANGE(""https://docs.google.com/spreadsheets/d/13JHU_EFbsQOUQ0JSQ3dWy1VTRosIWcDq6Nc99z2qzdc/edit?usp=sharing"",""หนองคาย!J707"")"),54)</f>
        <v>54</v>
      </c>
      <c r="Y47" s="152">
        <f ca="1">IFERROR(__xludf.DUMMYFUNCTION("IMPORTRANGE(""https://docs.google.com/spreadsheets/d/13JHU_EFbsQOUQ0JSQ3dWy1VTRosIWcDq6Nc99z2qzdc/edit?usp=sharing"",""หนองคาย!J708"")"),17)</f>
        <v>17</v>
      </c>
      <c r="Z47" s="216">
        <f t="shared" ca="1" si="35"/>
        <v>45</v>
      </c>
      <c r="AA47" s="632">
        <f ca="1">IFERROR(__xludf.DUMMYFUNCTION("IMPORTRANGE(""https://docs.google.com/spreadsheets/d/13JHU_EFbsQOUQ0JSQ3dWy1VTRosIWcDq6Nc99z2qzdc/edit?usp=sharing"",""หนองคาย!I709"")"),6)</f>
        <v>6</v>
      </c>
      <c r="AB47" s="251">
        <f ca="1">IFERROR(__xludf.DUMMYFUNCTION("IMPORTRANGE(""https://docs.google.com/spreadsheets/d/13JHU_EFbsQOUQ0JSQ3dWy1VTRosIWcDq6Nc99z2qzdc/edit?usp=sharing"",""หนองคาย!J709"")"),4)</f>
        <v>4</v>
      </c>
      <c r="AC47" s="251">
        <f ca="1">IFERROR(__xludf.DUMMYFUNCTION("IMPORTRANGE(""https://docs.google.com/spreadsheets/d/13JHU_EFbsQOUQ0JSQ3dWy1VTRosIWcDq6Nc99z2qzdc/edit?usp=sharing"",""หนองคาย!J710"")"),0)</f>
        <v>0</v>
      </c>
      <c r="AD47" s="605">
        <f t="shared" ca="1" si="37"/>
        <v>66.666666666666671</v>
      </c>
    </row>
    <row r="48" spans="1:30" ht="19.5" x14ac:dyDescent="0.3">
      <c r="A48" s="70">
        <v>17</v>
      </c>
      <c r="B48" s="71" t="s">
        <v>76</v>
      </c>
      <c r="C48" s="68">
        <f ca="1">IFERROR(__xludf.DUMMYFUNCTION("IMPORTRANGE(""https://docs.google.com/spreadsheets/d/1Hx73zIEgVdDZZaYSTc46Dqv64atFhpr3GelxLbaIN8A/edit?usp=sharing"",""หนองบัวลำภู!Q690"")"),188640)</f>
        <v>188640</v>
      </c>
      <c r="D48" s="68">
        <f ca="1">IFERROR(__xludf.DUMMYFUNCTION("IMPORTRANGE(""https://docs.google.com/spreadsheets/d/1Hx73zIEgVdDZZaYSTc46Dqv64atFhpr3GelxLbaIN8A/edit?usp=sharing"",""หนองบัวลำภู!R690"")"),188640)</f>
        <v>188640</v>
      </c>
      <c r="E48" s="68">
        <f ca="1">IFERROR(__xludf.DUMMYFUNCTION("IMPORTRANGE(""https://docs.google.com/spreadsheets/d/1Hx73zIEgVdDZZaYSTc46Dqv64atFhpr3GelxLbaIN8A/edit?usp=sharing"",""หนองบัวลำภู!S690"")"),107938)</f>
        <v>107938</v>
      </c>
      <c r="F48" s="68">
        <f t="shared" ca="1" si="24"/>
        <v>57.219041560644612</v>
      </c>
      <c r="G48" s="68">
        <f t="shared" ca="1" si="25"/>
        <v>57.219041560644612</v>
      </c>
      <c r="H48" s="278">
        <f ca="1">IFERROR(__xludf.DUMMYFUNCTION("IMPORTRANGE(""https://docs.google.com/spreadsheets/d/1Hx73zIEgVdDZZaYSTc46Dqv64atFhpr3GelxLbaIN8A/edit?usp=sharing"",""หนองบัวลำภู!I700"")"),0)</f>
        <v>0</v>
      </c>
      <c r="I48" s="152">
        <f ca="1">IFERROR(__xludf.DUMMYFUNCTION("IMPORTRANGE(""https://docs.google.com/spreadsheets/d/1Hx73zIEgVdDZZaYSTc46Dqv64atFhpr3GelxLbaIN8A/edit?usp=sharing"",""หนองบัวลำภู!J700"")"),0)</f>
        <v>0</v>
      </c>
      <c r="J48" s="216">
        <f t="shared" ca="1" si="27"/>
        <v>0</v>
      </c>
      <c r="K48" s="278">
        <f ca="1">IFERROR(__xludf.DUMMYFUNCTION("IMPORTRANGE(""https://docs.google.com/spreadsheets/d/1Hx73zIEgVdDZZaYSTc46Dqv64atFhpr3GelxLbaIN8A/edit?usp=sharing"",""หนองบัวลำภู!I701"")"),81)</f>
        <v>81</v>
      </c>
      <c r="L48" s="152">
        <f ca="1">IFERROR(__xludf.DUMMYFUNCTION("IMPORTRANGE(""https://docs.google.com/spreadsheets/d/1Hx73zIEgVdDZZaYSTc46Dqv64atFhpr3GelxLbaIN8A/edit?usp=sharing"",""หนองบัวลำภู!J701"")"),53)</f>
        <v>53</v>
      </c>
      <c r="M48" s="152">
        <f ca="1">IFERROR(__xludf.DUMMYFUNCTION("IMPORTRANGE(""https://docs.google.com/spreadsheets/d/1Hx73zIEgVdDZZaYSTc46Dqv64atFhpr3GelxLbaIN8A/edit?usp=sharing"",""หนองบัวลำภู!J702"")"),40.58)</f>
        <v>40.58</v>
      </c>
      <c r="N48" s="216">
        <f t="shared" ca="1" si="29"/>
        <v>65.432098765432102</v>
      </c>
      <c r="O48" s="278">
        <f ca="1">IFERROR(__xludf.DUMMYFUNCTION("IMPORTRANGE(""https://docs.google.com/spreadsheets/d/1Hx73zIEgVdDZZaYSTc46Dqv64atFhpr3GelxLbaIN8A/edit?usp=sharing"",""หนองบัวลำภู!I703"")"),76)</f>
        <v>76</v>
      </c>
      <c r="P48" s="152">
        <f ca="1">IFERROR(__xludf.DUMMYFUNCTION("IMPORTRANGE(""https://docs.google.com/spreadsheets/d/1Hx73zIEgVdDZZaYSTc46Dqv64atFhpr3GelxLbaIN8A/edit?usp=sharing"",""หนองบัวลำภู!J703"")"),53)</f>
        <v>53</v>
      </c>
      <c r="Q48" s="152">
        <f ca="1">IFERROR(__xludf.DUMMYFUNCTION("IMPORTRANGE(""https://docs.google.com/spreadsheets/d/1Hx73zIEgVdDZZaYSTc46Dqv64atFhpr3GelxLbaIN8A/edit?usp=sharing"",""หนองบัวลำภู!J704"")"),40.58)</f>
        <v>40.58</v>
      </c>
      <c r="R48" s="216">
        <f t="shared" ca="1" si="31"/>
        <v>69.736842105263165</v>
      </c>
      <c r="S48" s="632">
        <f ca="1">IFERROR(__xludf.DUMMYFUNCTION("IMPORTRANGE(""https://docs.google.com/spreadsheets/d/1Hx73zIEgVdDZZaYSTc46Dqv64atFhpr3GelxLbaIN8A/edit?usp=sharing"",""หนองบัวลำภู!I705"")"),5)</f>
        <v>5</v>
      </c>
      <c r="T48" s="251">
        <f ca="1">IFERROR(__xludf.DUMMYFUNCTION("IMPORTRANGE(""https://docs.google.com/spreadsheets/d/1Hx73zIEgVdDZZaYSTc46Dqv64atFhpr3GelxLbaIN8A/edit?usp=sharing"",""หนองบัวลำภู!J705"")"),0)</f>
        <v>0</v>
      </c>
      <c r="U48" s="251">
        <f ca="1">IFERROR(__xludf.DUMMYFUNCTION("IMPORTRANGE(""https://docs.google.com/spreadsheets/d/1Hx73zIEgVdDZZaYSTc46Dqv64atFhpr3GelxLbaIN8A/edit?usp=sharing"",""หนองบัวลำภู!J706"")"),0)</f>
        <v>0</v>
      </c>
      <c r="V48" s="605">
        <f t="shared" ca="1" si="33"/>
        <v>0</v>
      </c>
      <c r="W48" s="278">
        <f ca="1">IFERROR(__xludf.DUMMYFUNCTION("IMPORTRANGE(""https://docs.google.com/spreadsheets/d/1Hx73zIEgVdDZZaYSTc46Dqv64atFhpr3GelxLbaIN8A/edit?usp=sharing"",""หนองบัวลำภู!I707"")"),76)</f>
        <v>76</v>
      </c>
      <c r="X48" s="152">
        <f ca="1">IFERROR(__xludf.DUMMYFUNCTION("IMPORTRANGE(""https://docs.google.com/spreadsheets/d/1Hx73zIEgVdDZZaYSTc46Dqv64atFhpr3GelxLbaIN8A/edit?usp=sharing"",""หนองบัวลำภู!J707"")"),53)</f>
        <v>53</v>
      </c>
      <c r="Y48" s="152">
        <f ca="1">IFERROR(__xludf.DUMMYFUNCTION("IMPORTRANGE(""https://docs.google.com/spreadsheets/d/1Hx73zIEgVdDZZaYSTc46Dqv64atFhpr3GelxLbaIN8A/edit?usp=sharing"",""หนองบัวลำภู!J708"")"),41)</f>
        <v>41</v>
      </c>
      <c r="Z48" s="216">
        <f t="shared" ca="1" si="35"/>
        <v>69.736842105263165</v>
      </c>
      <c r="AA48" s="632">
        <f ca="1">IFERROR(__xludf.DUMMYFUNCTION("IMPORTRANGE(""https://docs.google.com/spreadsheets/d/1Hx73zIEgVdDZZaYSTc46Dqv64atFhpr3GelxLbaIN8A/edit?usp=sharing"",""หนองบัวลำภู!I709"")"),5)</f>
        <v>5</v>
      </c>
      <c r="AB48" s="251">
        <f ca="1">IFERROR(__xludf.DUMMYFUNCTION("IMPORTRANGE(""https://docs.google.com/spreadsheets/d/1Hx73zIEgVdDZZaYSTc46Dqv64atFhpr3GelxLbaIN8A/edit?usp=sharing"",""หนองบัวลำภู!J709"")"),2)</f>
        <v>2</v>
      </c>
      <c r="AC48" s="251">
        <f ca="1">IFERROR(__xludf.DUMMYFUNCTION("IMPORTRANGE(""https://docs.google.com/spreadsheets/d/1Hx73zIEgVdDZZaYSTc46Dqv64atFhpr3GelxLbaIN8A/edit?usp=sharing"",""หนองบัวลำภู!J710"")"),0)</f>
        <v>0</v>
      </c>
      <c r="AD48" s="605">
        <f t="shared" ca="1" si="37"/>
        <v>40</v>
      </c>
    </row>
    <row r="49" spans="1:30" ht="19.5" x14ac:dyDescent="0.3">
      <c r="A49" s="70">
        <v>18</v>
      </c>
      <c r="B49" s="71" t="s">
        <v>77</v>
      </c>
      <c r="C49" s="68">
        <f ca="1">IFERROR(__xludf.DUMMYFUNCTION("IMPORTRANGE(""https://docs.google.com/spreadsheets/d/1lFxr3ctmjFN90yc-xV6jrQ9Ty8BKYVBWnAZ15wcNIJc/edit?usp=sharing"",""อำนาจเจริญ!Q690"")"),272770)</f>
        <v>272770</v>
      </c>
      <c r="D49" s="68">
        <f ca="1">IFERROR(__xludf.DUMMYFUNCTION("IMPORTRANGE(""https://docs.google.com/spreadsheets/d/1lFxr3ctmjFN90yc-xV6jrQ9Ty8BKYVBWnAZ15wcNIJc/edit?usp=sharing"",""อำนาจเจริญ!R690"")"),272770)</f>
        <v>272770</v>
      </c>
      <c r="E49" s="68">
        <f ca="1">IFERROR(__xludf.DUMMYFUNCTION("IMPORTRANGE(""https://docs.google.com/spreadsheets/d/1lFxr3ctmjFN90yc-xV6jrQ9Ty8BKYVBWnAZ15wcNIJc/edit?usp=sharing"",""อำนาจเจริญ!S690"")"),207140)</f>
        <v>207140</v>
      </c>
      <c r="F49" s="68">
        <f t="shared" ca="1" si="24"/>
        <v>75.939436155002383</v>
      </c>
      <c r="G49" s="68">
        <f t="shared" ca="1" si="25"/>
        <v>75.939436155002383</v>
      </c>
      <c r="H49" s="278">
        <f ca="1">IFERROR(__xludf.DUMMYFUNCTION("IMPORTRANGE(""https://docs.google.com/spreadsheets/d/1lFxr3ctmjFN90yc-xV6jrQ9Ty8BKYVBWnAZ15wcNIJc/edit?usp=sharing"",""อำนาจเจริญ!I700"")"),0)</f>
        <v>0</v>
      </c>
      <c r="I49" s="152">
        <f ca="1">IFERROR(__xludf.DUMMYFUNCTION("IMPORTRANGE(""https://docs.google.com/spreadsheets/d/1lFxr3ctmjFN90yc-xV6jrQ9Ty8BKYVBWnAZ15wcNIJc/edit?usp=sharing"",""อำนาจเจริญ!J700"")"),0)</f>
        <v>0</v>
      </c>
      <c r="J49" s="216">
        <f t="shared" ca="1" si="27"/>
        <v>0</v>
      </c>
      <c r="K49" s="278">
        <f ca="1">IFERROR(__xludf.DUMMYFUNCTION("IMPORTRANGE(""https://docs.google.com/spreadsheets/d/1lFxr3ctmjFN90yc-xV6jrQ9Ty8BKYVBWnAZ15wcNIJc/edit?usp=sharing"",""อำนาจเจริญ!I701"")"),168)</f>
        <v>168</v>
      </c>
      <c r="L49" s="152">
        <f ca="1">IFERROR(__xludf.DUMMYFUNCTION("IMPORTRANGE(""https://docs.google.com/spreadsheets/d/1lFxr3ctmjFN90yc-xV6jrQ9Ty8BKYVBWnAZ15wcNIJc/edit?usp=sharing"",""อำนาจเจริญ!J701"")"),35)</f>
        <v>35</v>
      </c>
      <c r="M49" s="152">
        <f ca="1">IFERROR(__xludf.DUMMYFUNCTION("IMPORTRANGE(""https://docs.google.com/spreadsheets/d/1lFxr3ctmjFN90yc-xV6jrQ9Ty8BKYVBWnAZ15wcNIJc/edit?usp=sharing"",""อำนาจเจริญ!J702"")"),12.26)</f>
        <v>12.26</v>
      </c>
      <c r="N49" s="216">
        <f t="shared" ca="1" si="29"/>
        <v>20.833333333333332</v>
      </c>
      <c r="O49" s="278">
        <f ca="1">IFERROR(__xludf.DUMMYFUNCTION("IMPORTRANGE(""https://docs.google.com/spreadsheets/d/1lFxr3ctmjFN90yc-xV6jrQ9Ty8BKYVBWnAZ15wcNIJc/edit?usp=sharing"",""อำนาจเจริญ!I703"")"),165)</f>
        <v>165</v>
      </c>
      <c r="P49" s="152">
        <f ca="1">IFERROR(__xludf.DUMMYFUNCTION("IMPORTRANGE(""https://docs.google.com/spreadsheets/d/1lFxr3ctmjFN90yc-xV6jrQ9Ty8BKYVBWnAZ15wcNIJc/edit?usp=sharing"",""อำนาจเจริญ!J703"")"),35)</f>
        <v>35</v>
      </c>
      <c r="Q49" s="152">
        <f ca="1">IFERROR(__xludf.DUMMYFUNCTION("IMPORTRANGE(""https://docs.google.com/spreadsheets/d/1lFxr3ctmjFN90yc-xV6jrQ9Ty8BKYVBWnAZ15wcNIJc/edit?usp=sharing"",""อำนาจเจริญ!J704"")"),12.26)</f>
        <v>12.26</v>
      </c>
      <c r="R49" s="216">
        <f t="shared" ca="1" si="31"/>
        <v>21.212121212121211</v>
      </c>
      <c r="S49" s="632">
        <f ca="1">IFERROR(__xludf.DUMMYFUNCTION("IMPORTRANGE(""https://docs.google.com/spreadsheets/d/1lFxr3ctmjFN90yc-xV6jrQ9Ty8BKYVBWnAZ15wcNIJc/edit?usp=sharing"",""อำนาจเจริญ!I705"")"),3)</f>
        <v>3</v>
      </c>
      <c r="T49" s="251">
        <f ca="1">IFERROR(__xludf.DUMMYFUNCTION("IMPORTRANGE(""https://docs.google.com/spreadsheets/d/1lFxr3ctmjFN90yc-xV6jrQ9Ty8BKYVBWnAZ15wcNIJc/edit?usp=sharing"",""อำนาจเจริญ!J705"")"),0)</f>
        <v>0</v>
      </c>
      <c r="U49" s="251">
        <f ca="1">IFERROR(__xludf.DUMMYFUNCTION("IMPORTRANGE(""https://docs.google.com/spreadsheets/d/1lFxr3ctmjFN90yc-xV6jrQ9Ty8BKYVBWnAZ15wcNIJc/edit?usp=sharing"",""อำนาจเจริญ!J706"")"),0)</f>
        <v>0</v>
      </c>
      <c r="V49" s="605">
        <f t="shared" ca="1" si="33"/>
        <v>0</v>
      </c>
      <c r="W49" s="278">
        <f ca="1">IFERROR(__xludf.DUMMYFUNCTION("IMPORTRANGE(""https://docs.google.com/spreadsheets/d/1lFxr3ctmjFN90yc-xV6jrQ9Ty8BKYVBWnAZ15wcNIJc/edit?usp=sharing"",""อำนาจเจริญ!I707"")"),165)</f>
        <v>165</v>
      </c>
      <c r="X49" s="152">
        <f ca="1">IFERROR(__xludf.DUMMYFUNCTION("IMPORTRANGE(""https://docs.google.com/spreadsheets/d/1lFxr3ctmjFN90yc-xV6jrQ9Ty8BKYVBWnAZ15wcNIJc/edit?usp=sharing"",""อำนาจเจริญ!J707"")"),33)</f>
        <v>33</v>
      </c>
      <c r="Y49" s="152">
        <f ca="1">IFERROR(__xludf.DUMMYFUNCTION("IMPORTRANGE(""https://docs.google.com/spreadsheets/d/1lFxr3ctmjFN90yc-xV6jrQ9Ty8BKYVBWnAZ15wcNIJc/edit?usp=sharing"",""อำนาจเจริญ!J708"")"),12)</f>
        <v>12</v>
      </c>
      <c r="Z49" s="216">
        <f t="shared" ca="1" si="35"/>
        <v>20</v>
      </c>
      <c r="AA49" s="632">
        <f ca="1">IFERROR(__xludf.DUMMYFUNCTION("IMPORTRANGE(""https://docs.google.com/spreadsheets/d/1lFxr3ctmjFN90yc-xV6jrQ9Ty8BKYVBWnAZ15wcNIJc/edit?usp=sharing"",""อำนาจเจริญ!I709"")"),3)</f>
        <v>3</v>
      </c>
      <c r="AB49" s="251">
        <f ca="1">IFERROR(__xludf.DUMMYFUNCTION("IMPORTRANGE(""https://docs.google.com/spreadsheets/d/1lFxr3ctmjFN90yc-xV6jrQ9Ty8BKYVBWnAZ15wcNIJc/edit?usp=sharing"",""อำนาจเจริญ!J709"")"),3)</f>
        <v>3</v>
      </c>
      <c r="AC49" s="251">
        <f ca="1">IFERROR(__xludf.DUMMYFUNCTION("IMPORTRANGE(""https://docs.google.com/spreadsheets/d/1lFxr3ctmjFN90yc-xV6jrQ9Ty8BKYVBWnAZ15wcNIJc/edit?usp=sharing"",""อำนาจเจริญ!J710"")"),0)</f>
        <v>0</v>
      </c>
      <c r="AD49" s="605">
        <f t="shared" ca="1" si="37"/>
        <v>100</v>
      </c>
    </row>
    <row r="50" spans="1:30" ht="19.5" x14ac:dyDescent="0.3">
      <c r="A50" s="70">
        <v>19</v>
      </c>
      <c r="B50" s="71" t="s">
        <v>78</v>
      </c>
      <c r="C50" s="68">
        <f ca="1">IFERROR(__xludf.DUMMYFUNCTION("IMPORTRANGE(""https://docs.google.com/spreadsheets/d/1gF7RJpRnL-1oyjyeWxs5SFWEH7y8ahOZsQlyp2A2e-A/edit?usp=sharing"",""อุดรธานี!Q690"")"),523350)</f>
        <v>523350</v>
      </c>
      <c r="D50" s="68">
        <f ca="1">IFERROR(__xludf.DUMMYFUNCTION("IMPORTRANGE(""https://docs.google.com/spreadsheets/d/1gF7RJpRnL-1oyjyeWxs5SFWEH7y8ahOZsQlyp2A2e-A/edit?usp=sharing"",""อุดรธานี!R690"")"),396666)</f>
        <v>396666</v>
      </c>
      <c r="E50" s="68">
        <f ca="1">IFERROR(__xludf.DUMMYFUNCTION("IMPORTRANGE(""https://docs.google.com/spreadsheets/d/1gF7RJpRnL-1oyjyeWxs5SFWEH7y8ahOZsQlyp2A2e-A/edit?usp=sharing"",""อุดรธานี!S690"")"),353270.8)</f>
        <v>353270.8</v>
      </c>
      <c r="F50" s="68">
        <f t="shared" ca="1" si="24"/>
        <v>67.501824782650232</v>
      </c>
      <c r="G50" s="68">
        <f t="shared" ca="1" si="25"/>
        <v>89.060015226916349</v>
      </c>
      <c r="H50" s="278">
        <f ca="1">IFERROR(__xludf.DUMMYFUNCTION("IMPORTRANGE(""https://docs.google.com/spreadsheets/d/1gF7RJpRnL-1oyjyeWxs5SFWEH7y8ahOZsQlyp2A2e-A/edit?usp=sharing"",""อุดรธานี!I700"")"),0)</f>
        <v>0</v>
      </c>
      <c r="I50" s="152">
        <f ca="1">IFERROR(__xludf.DUMMYFUNCTION("IMPORTRANGE(""https://docs.google.com/spreadsheets/d/1gF7RJpRnL-1oyjyeWxs5SFWEH7y8ahOZsQlyp2A2e-A/edit?usp=sharing"",""อุดรธานี!J700"")"),0)</f>
        <v>0</v>
      </c>
      <c r="J50" s="216">
        <f t="shared" ca="1" si="27"/>
        <v>0</v>
      </c>
      <c r="K50" s="278">
        <f ca="1">IFERROR(__xludf.DUMMYFUNCTION("IMPORTRANGE(""https://docs.google.com/spreadsheets/d/1gF7RJpRnL-1oyjyeWxs5SFWEH7y8ahOZsQlyp2A2e-A/edit?usp=sharing"",""อุดรธานี!I701"")"),300)</f>
        <v>300</v>
      </c>
      <c r="L50" s="152">
        <f ca="1">IFERROR(__xludf.DUMMYFUNCTION("IMPORTRANGE(""https://docs.google.com/spreadsheets/d/1gF7RJpRnL-1oyjyeWxs5SFWEH7y8ahOZsQlyp2A2e-A/edit?usp=sharing"",""อุดรธานี!J701"")"),559)</f>
        <v>559</v>
      </c>
      <c r="M50" s="152">
        <f ca="1">IFERROR(__xludf.DUMMYFUNCTION("IMPORTRANGE(""https://docs.google.com/spreadsheets/d/1gF7RJpRnL-1oyjyeWxs5SFWEH7y8ahOZsQlyp2A2e-A/edit?usp=sharing"",""อุดรธานี!J702"")"),277.46)</f>
        <v>277.45999999999998</v>
      </c>
      <c r="N50" s="216">
        <f t="shared" ca="1" si="29"/>
        <v>186.33333333333334</v>
      </c>
      <c r="O50" s="278">
        <f ca="1">IFERROR(__xludf.DUMMYFUNCTION("IMPORTRANGE(""https://docs.google.com/spreadsheets/d/1gF7RJpRnL-1oyjyeWxs5SFWEH7y8ahOZsQlyp2A2e-A/edit?usp=sharing"",""อุดรธานี!I703"")"),296)</f>
        <v>296</v>
      </c>
      <c r="P50" s="152">
        <f ca="1">IFERROR(__xludf.DUMMYFUNCTION("IMPORTRANGE(""https://docs.google.com/spreadsheets/d/1gF7RJpRnL-1oyjyeWxs5SFWEH7y8ahOZsQlyp2A2e-A/edit?usp=sharing"",""อุดรธานี!J703"")"),559)</f>
        <v>559</v>
      </c>
      <c r="Q50" s="152">
        <f ca="1">IFERROR(__xludf.DUMMYFUNCTION("IMPORTRANGE(""https://docs.google.com/spreadsheets/d/1gF7RJpRnL-1oyjyeWxs5SFWEH7y8ahOZsQlyp2A2e-A/edit?usp=sharing"",""อุดรธานี!J704"")"),277.46)</f>
        <v>277.45999999999998</v>
      </c>
      <c r="R50" s="216">
        <f t="shared" ca="1" si="31"/>
        <v>188.85135135135135</v>
      </c>
      <c r="S50" s="632">
        <f ca="1">IFERROR(__xludf.DUMMYFUNCTION("IMPORTRANGE(""https://docs.google.com/spreadsheets/d/1gF7RJpRnL-1oyjyeWxs5SFWEH7y8ahOZsQlyp2A2e-A/edit?usp=sharing"",""อุดรธานี!I705"")"),4)</f>
        <v>4</v>
      </c>
      <c r="T50" s="251">
        <f ca="1">IFERROR(__xludf.DUMMYFUNCTION("IMPORTRANGE(""https://docs.google.com/spreadsheets/d/1gF7RJpRnL-1oyjyeWxs5SFWEH7y8ahOZsQlyp2A2e-A/edit?usp=sharing"",""อุดรธานี!J705"")"),0)</f>
        <v>0</v>
      </c>
      <c r="U50" s="251">
        <f ca="1">IFERROR(__xludf.DUMMYFUNCTION("IMPORTRANGE(""https://docs.google.com/spreadsheets/d/1gF7RJpRnL-1oyjyeWxs5SFWEH7y8ahOZsQlyp2A2e-A/edit?usp=sharing"",""อุดรธานี!J706"")"),0)</f>
        <v>0</v>
      </c>
      <c r="V50" s="605">
        <f t="shared" ca="1" si="33"/>
        <v>0</v>
      </c>
      <c r="W50" s="278">
        <f ca="1">IFERROR(__xludf.DUMMYFUNCTION("IMPORTRANGE(""https://docs.google.com/spreadsheets/d/1gF7RJpRnL-1oyjyeWxs5SFWEH7y8ahOZsQlyp2A2e-A/edit?usp=sharing"",""อุดรธานี!I707"")"),296)</f>
        <v>296</v>
      </c>
      <c r="X50" s="152">
        <f ca="1">IFERROR(__xludf.DUMMYFUNCTION("IMPORTRANGE(""https://docs.google.com/spreadsheets/d/1gF7RJpRnL-1oyjyeWxs5SFWEH7y8ahOZsQlyp2A2e-A/edit?usp=sharing"",""อุดรธานี!J707"")"),0)</f>
        <v>0</v>
      </c>
      <c r="Y50" s="152">
        <f ca="1">IFERROR(__xludf.DUMMYFUNCTION("IMPORTRANGE(""https://docs.google.com/spreadsheets/d/1gF7RJpRnL-1oyjyeWxs5SFWEH7y8ahOZsQlyp2A2e-A/edit?usp=sharing"",""อุดรธานี!J708"")"),0)</f>
        <v>0</v>
      </c>
      <c r="Z50" s="216">
        <f t="shared" ca="1" si="35"/>
        <v>0</v>
      </c>
      <c r="AA50" s="632">
        <f ca="1">IFERROR(__xludf.DUMMYFUNCTION("IMPORTRANGE(""https://docs.google.com/spreadsheets/d/1gF7RJpRnL-1oyjyeWxs5SFWEH7y8ahOZsQlyp2A2e-A/edit?usp=sharing"",""อุดรธานี!I709"")"),4)</f>
        <v>4</v>
      </c>
      <c r="AB50" s="251">
        <f ca="1">IFERROR(__xludf.DUMMYFUNCTION("IMPORTRANGE(""https://docs.google.com/spreadsheets/d/1gF7RJpRnL-1oyjyeWxs5SFWEH7y8ahOZsQlyp2A2e-A/edit?usp=sharing"",""อุดรธานี!J709"")"),8)</f>
        <v>8</v>
      </c>
      <c r="AC50" s="251">
        <f ca="1">IFERROR(__xludf.DUMMYFUNCTION("IMPORTRANGE(""https://docs.google.com/spreadsheets/d/1gF7RJpRnL-1oyjyeWxs5SFWEH7y8ahOZsQlyp2A2e-A/edit?usp=sharing"",""อุดรธานี!J710"")"),0)</f>
        <v>0</v>
      </c>
      <c r="AD50" s="605">
        <f t="shared" ca="1" si="37"/>
        <v>200</v>
      </c>
    </row>
    <row r="51" spans="1:30" ht="19.5" x14ac:dyDescent="0.3">
      <c r="A51" s="80">
        <v>20</v>
      </c>
      <c r="B51" s="81" t="s">
        <v>79</v>
      </c>
      <c r="C51" s="97">
        <f ca="1">IFERROR(__xludf.DUMMYFUNCTION("IMPORTRANGE(""https://docs.google.com/spreadsheets/d/1kfLP0j3INXRa8bTDpcEmoWewMBV61jlFlfzczfjWIgc/edit?usp=sharing"",""อุบลราชธานี!Q690"")"),286220)</f>
        <v>286220</v>
      </c>
      <c r="D51" s="97">
        <f ca="1">IFERROR(__xludf.DUMMYFUNCTION("IMPORTRANGE(""https://docs.google.com/spreadsheets/d/1kfLP0j3INXRa8bTDpcEmoWewMBV61jlFlfzczfjWIgc/edit?usp=sharing"",""อุบลราชธานี!R690"")"),286220)</f>
        <v>286220</v>
      </c>
      <c r="E51" s="97">
        <f ca="1">IFERROR(__xludf.DUMMYFUNCTION("IMPORTRANGE(""https://docs.google.com/spreadsheets/d/1kfLP0j3INXRa8bTDpcEmoWewMBV61jlFlfzczfjWIgc/edit?usp=sharing"",""อุบลราชธานี!S690"")"),205880.5)</f>
        <v>205880.5</v>
      </c>
      <c r="F51" s="97">
        <f t="shared" ca="1" si="24"/>
        <v>71.930857382433089</v>
      </c>
      <c r="G51" s="97">
        <f t="shared" ca="1" si="25"/>
        <v>71.930857382433089</v>
      </c>
      <c r="H51" s="280">
        <f ca="1">IFERROR(__xludf.DUMMYFUNCTION("IMPORTRANGE(""https://docs.google.com/spreadsheets/d/1kfLP0j3INXRa8bTDpcEmoWewMBV61jlFlfzczfjWIgc/edit?usp=sharing"",""อุบลราชธานี!I700"")"),1)</f>
        <v>1</v>
      </c>
      <c r="I51" s="191">
        <f ca="1">IFERROR(__xludf.DUMMYFUNCTION("IMPORTRANGE(""https://docs.google.com/spreadsheets/d/1kfLP0j3INXRa8bTDpcEmoWewMBV61jlFlfzczfjWIgc/edit?usp=sharing"",""อุบลราชธานี!J700"")"),1)</f>
        <v>1</v>
      </c>
      <c r="J51" s="218">
        <f t="shared" ca="1" si="27"/>
        <v>100</v>
      </c>
      <c r="K51" s="280">
        <f ca="1">IFERROR(__xludf.DUMMYFUNCTION("IMPORTRANGE(""https://docs.google.com/spreadsheets/d/1kfLP0j3INXRa8bTDpcEmoWewMBV61jlFlfzczfjWIgc/edit?usp=sharing"",""อุบลราชธานี!I701"")"),116)</f>
        <v>116</v>
      </c>
      <c r="L51" s="191">
        <f ca="1">IFERROR(__xludf.DUMMYFUNCTION("IMPORTRANGE(""https://docs.google.com/spreadsheets/d/1kfLP0j3INXRa8bTDpcEmoWewMBV61jlFlfzczfjWIgc/edit?usp=sharing"",""อุบลราชธานี!J701"")"),123)</f>
        <v>123</v>
      </c>
      <c r="M51" s="191">
        <f ca="1">IFERROR(__xludf.DUMMYFUNCTION("IMPORTRANGE(""https://docs.google.com/spreadsheets/d/1kfLP0j3INXRa8bTDpcEmoWewMBV61jlFlfzczfjWIgc/edit?usp=sharing"",""อุบลราชธานี!J702"")"),72.88)</f>
        <v>72.88</v>
      </c>
      <c r="N51" s="218">
        <f t="shared" ca="1" si="29"/>
        <v>106.03448275862068</v>
      </c>
      <c r="O51" s="280">
        <f ca="1">IFERROR(__xludf.DUMMYFUNCTION("IMPORTRANGE(""https://docs.google.com/spreadsheets/d/1kfLP0j3INXRa8bTDpcEmoWewMBV61jlFlfzczfjWIgc/edit?usp=sharing"",""อุบลราชธานี!I703"")"),110)</f>
        <v>110</v>
      </c>
      <c r="P51" s="191">
        <f ca="1">IFERROR(__xludf.DUMMYFUNCTION("IMPORTRANGE(""https://docs.google.com/spreadsheets/d/1kfLP0j3INXRa8bTDpcEmoWewMBV61jlFlfzczfjWIgc/edit?usp=sharing"",""อุบลราชธานี!J703"")"),123)</f>
        <v>123</v>
      </c>
      <c r="Q51" s="191">
        <f ca="1">IFERROR(__xludf.DUMMYFUNCTION("IMPORTRANGE(""https://docs.google.com/spreadsheets/d/1kfLP0j3INXRa8bTDpcEmoWewMBV61jlFlfzczfjWIgc/edit?usp=sharing"",""อุบลราชธานี!J704"")"),72.88)</f>
        <v>72.88</v>
      </c>
      <c r="R51" s="218">
        <f t="shared" ca="1" si="31"/>
        <v>111.81818181818181</v>
      </c>
      <c r="S51" s="633">
        <f ca="1">IFERROR(__xludf.DUMMYFUNCTION("IMPORTRANGE(""https://docs.google.com/spreadsheets/d/1kfLP0j3INXRa8bTDpcEmoWewMBV61jlFlfzczfjWIgc/edit?usp=sharing"",""อุบลราชธานี!I705"")"),6)</f>
        <v>6</v>
      </c>
      <c r="T51" s="253">
        <f ca="1">IFERROR(__xludf.DUMMYFUNCTION("IMPORTRANGE(""https://docs.google.com/spreadsheets/d/1kfLP0j3INXRa8bTDpcEmoWewMBV61jlFlfzczfjWIgc/edit?usp=sharing"",""อุบลราชธานี!J705"")"),0)</f>
        <v>0</v>
      </c>
      <c r="U51" s="253">
        <f ca="1">IFERROR(__xludf.DUMMYFUNCTION("IMPORTRANGE(""https://docs.google.com/spreadsheets/d/1kfLP0j3INXRa8bTDpcEmoWewMBV61jlFlfzczfjWIgc/edit?usp=sharing"",""อุบลราชธานี!J706"")"),0)</f>
        <v>0</v>
      </c>
      <c r="V51" s="634">
        <f t="shared" ca="1" si="33"/>
        <v>0</v>
      </c>
      <c r="W51" s="280">
        <f ca="1">IFERROR(__xludf.DUMMYFUNCTION("IMPORTRANGE(""https://docs.google.com/spreadsheets/d/1kfLP0j3INXRa8bTDpcEmoWewMBV61jlFlfzczfjWIgc/edit?usp=sharing"",""อุบลราชธานี!I707"")"),110)</f>
        <v>110</v>
      </c>
      <c r="X51" s="191">
        <f ca="1">IFERROR(__xludf.DUMMYFUNCTION("IMPORTRANGE(""https://docs.google.com/spreadsheets/d/1kfLP0j3INXRa8bTDpcEmoWewMBV61jlFlfzczfjWIgc/edit?usp=sharing"",""อุบลราชธานี!J707"")"),0)</f>
        <v>0</v>
      </c>
      <c r="Y51" s="191">
        <f ca="1">IFERROR(__xludf.DUMMYFUNCTION("IMPORTRANGE(""https://docs.google.com/spreadsheets/d/1kfLP0j3INXRa8bTDpcEmoWewMBV61jlFlfzczfjWIgc/edit?usp=sharing"",""อุบลราชธานี!J708"")"),0)</f>
        <v>0</v>
      </c>
      <c r="Z51" s="218">
        <f t="shared" ca="1" si="35"/>
        <v>0</v>
      </c>
      <c r="AA51" s="633">
        <f ca="1">IFERROR(__xludf.DUMMYFUNCTION("IMPORTRANGE(""https://docs.google.com/spreadsheets/d/1kfLP0j3INXRa8bTDpcEmoWewMBV61jlFlfzczfjWIgc/edit?usp=sharing"",""อุบลราชธานี!I709"")"),6)</f>
        <v>6</v>
      </c>
      <c r="AB51" s="253">
        <f ca="1">IFERROR(__xludf.DUMMYFUNCTION("IMPORTRANGE(""https://docs.google.com/spreadsheets/d/1kfLP0j3INXRa8bTDpcEmoWewMBV61jlFlfzczfjWIgc/edit?usp=sharing"",""อุบลราชธานี!J709"")"),0)</f>
        <v>0</v>
      </c>
      <c r="AC51" s="253">
        <f ca="1">IFERROR(__xludf.DUMMYFUNCTION("IMPORTRANGE(""https://docs.google.com/spreadsheets/d/1kfLP0j3INXRa8bTDpcEmoWewMBV61jlFlfzczfjWIgc/edit?usp=sharing"",""อุบลราชธานี!J710"")"),0)</f>
        <v>0</v>
      </c>
      <c r="AD51" s="634">
        <f t="shared" ca="1" si="37"/>
        <v>0</v>
      </c>
    </row>
    <row r="52" spans="1:30" ht="19.5" x14ac:dyDescent="0.3">
      <c r="A52" s="712" t="s">
        <v>80</v>
      </c>
      <c r="B52" s="647"/>
      <c r="C52" s="57">
        <f t="shared" ref="C52:E52" ca="1" si="45">SUM(C53:C73)</f>
        <v>2322060</v>
      </c>
      <c r="D52" s="57">
        <f t="shared" ca="1" si="45"/>
        <v>2289570</v>
      </c>
      <c r="E52" s="57">
        <f t="shared" ca="1" si="45"/>
        <v>1082634.93</v>
      </c>
      <c r="F52" s="57">
        <f t="shared" ca="1" si="24"/>
        <v>46.623899899227411</v>
      </c>
      <c r="G52" s="57">
        <f t="shared" ca="1" si="25"/>
        <v>47.285513437020924</v>
      </c>
      <c r="H52" s="281">
        <f t="shared" ref="H52:I52" ca="1" si="46">SUM(H53:H73)</f>
        <v>4</v>
      </c>
      <c r="I52" s="369">
        <f t="shared" ca="1" si="46"/>
        <v>0</v>
      </c>
      <c r="J52" s="94">
        <f t="shared" ca="1" si="27"/>
        <v>0</v>
      </c>
      <c r="K52" s="281">
        <f t="shared" ref="K52:M52" ca="1" si="47">SUM(K53:K73)</f>
        <v>717</v>
      </c>
      <c r="L52" s="369">
        <f t="shared" ca="1" si="47"/>
        <v>141</v>
      </c>
      <c r="M52" s="369">
        <f t="shared" ca="1" si="47"/>
        <v>80.529999999999987</v>
      </c>
      <c r="N52" s="94">
        <f t="shared" ca="1" si="29"/>
        <v>19.665271966527197</v>
      </c>
      <c r="O52" s="281">
        <f t="shared" ref="O52:Q52" ca="1" si="48">SUM(O53:O73)</f>
        <v>668</v>
      </c>
      <c r="P52" s="369">
        <f t="shared" ca="1" si="48"/>
        <v>141</v>
      </c>
      <c r="Q52" s="369">
        <f t="shared" ca="1" si="48"/>
        <v>100.47</v>
      </c>
      <c r="R52" s="94">
        <f t="shared" ca="1" si="31"/>
        <v>21.107784431137723</v>
      </c>
      <c r="S52" s="635">
        <f t="shared" ref="S52:U52" ca="1" si="49">SUM(S53:S73)</f>
        <v>49</v>
      </c>
      <c r="T52" s="601">
        <f t="shared" ca="1" si="49"/>
        <v>41.06</v>
      </c>
      <c r="U52" s="601">
        <f t="shared" ca="1" si="49"/>
        <v>61</v>
      </c>
      <c r="V52" s="603">
        <f t="shared" ca="1" si="33"/>
        <v>83.795918367346943</v>
      </c>
      <c r="W52" s="281">
        <f t="shared" ref="W52:Y52" ca="1" si="50">SUM(W53:W73)</f>
        <v>668</v>
      </c>
      <c r="X52" s="369">
        <f t="shared" ca="1" si="50"/>
        <v>55</v>
      </c>
      <c r="Y52" s="369">
        <f t="shared" ca="1" si="50"/>
        <v>16</v>
      </c>
      <c r="Z52" s="94">
        <f t="shared" ca="1" si="35"/>
        <v>8.2335329341317358</v>
      </c>
      <c r="AA52" s="635">
        <f t="shared" ref="AA52:AC52" ca="1" si="51">SUM(AA53:AA73)</f>
        <v>49</v>
      </c>
      <c r="AB52" s="601">
        <f t="shared" ca="1" si="51"/>
        <v>23</v>
      </c>
      <c r="AC52" s="601">
        <f t="shared" ca="1" si="51"/>
        <v>0</v>
      </c>
      <c r="AD52" s="603">
        <f t="shared" ca="1" si="37"/>
        <v>46.938775510204081</v>
      </c>
    </row>
    <row r="53" spans="1:30" ht="19.5" x14ac:dyDescent="0.3">
      <c r="A53" s="58">
        <v>1</v>
      </c>
      <c r="B53" s="59" t="s">
        <v>81</v>
      </c>
      <c r="C53" s="68">
        <f ca="1">IFERROR(__xludf.DUMMYFUNCTION("IMPORTRANGE(""https://docs.google.com/spreadsheets/d/13wPX838HrBrQMCywv1BsuMkt4PEKTChp52zj44s2izQ/edit?usp=sharing"",""กาญจนบุรี!Q690"")"),173940)</f>
        <v>173940</v>
      </c>
      <c r="D53" s="68">
        <f ca="1">IFERROR(__xludf.DUMMYFUNCTION("IMPORTRANGE(""https://docs.google.com/spreadsheets/d/13wPX838HrBrQMCywv1BsuMkt4PEKTChp52zj44s2izQ/edit?usp=sharing"",""กาญจนบุรี!R690"")"),173940)</f>
        <v>173940</v>
      </c>
      <c r="E53" s="68">
        <f ca="1">IFERROR(__xludf.DUMMYFUNCTION("IMPORTRANGE(""https://docs.google.com/spreadsheets/d/13wPX838HrBrQMCywv1BsuMkt4PEKTChp52zj44s2izQ/edit?usp=sharing"",""กาญจนบุรี!S690"")"),91910)</f>
        <v>91910</v>
      </c>
      <c r="F53" s="68">
        <f t="shared" ca="1" si="24"/>
        <v>52.84005979073244</v>
      </c>
      <c r="G53" s="68">
        <f t="shared" ca="1" si="25"/>
        <v>52.84005979073244</v>
      </c>
      <c r="H53" s="278">
        <f ca="1">IFERROR(__xludf.DUMMYFUNCTION("IMPORTRANGE(""https://docs.google.com/spreadsheets/d/13wPX838HrBrQMCywv1BsuMkt4PEKTChp52zj44s2izQ/edit?usp=sharing"",""กาญจนบุรี!I700"")"),0)</f>
        <v>0</v>
      </c>
      <c r="I53" s="152">
        <f ca="1">IFERROR(__xludf.DUMMYFUNCTION("IMPORTRANGE(""https://docs.google.com/spreadsheets/d/13wPX838HrBrQMCywv1BsuMkt4PEKTChp52zj44s2izQ/edit?usp=sharing"",""กาญจนบุรี!J700"")"),0)</f>
        <v>0</v>
      </c>
      <c r="J53" s="216">
        <f t="shared" ca="1" si="27"/>
        <v>0</v>
      </c>
      <c r="K53" s="278">
        <f ca="1">IFERROR(__xludf.DUMMYFUNCTION("IMPORTRANGE(""https://docs.google.com/spreadsheets/d/13wPX838HrBrQMCywv1BsuMkt4PEKTChp52zj44s2izQ/edit?usp=sharing"",""กาญจนบุรี!I701"")"),56)</f>
        <v>56</v>
      </c>
      <c r="L53" s="152">
        <f ca="1">IFERROR(__xludf.DUMMYFUNCTION("IMPORTRANGE(""https://docs.google.com/spreadsheets/d/13wPX838HrBrQMCywv1BsuMkt4PEKTChp52zj44s2izQ/edit?usp=sharing"",""กาญจนบุรี!J701"")"),22)</f>
        <v>22</v>
      </c>
      <c r="M53" s="152">
        <f ca="1">IFERROR(__xludf.DUMMYFUNCTION("IMPORTRANGE(""https://docs.google.com/spreadsheets/d/13wPX838HrBrQMCywv1BsuMkt4PEKTChp52zj44s2izQ/edit?usp=sharing"",""กาญจนบุรี!J702"")"),19.56)</f>
        <v>19.559999999999999</v>
      </c>
      <c r="N53" s="216">
        <f t="shared" ca="1" si="29"/>
        <v>39.285714285714285</v>
      </c>
      <c r="O53" s="278">
        <f ca="1">IFERROR(__xludf.DUMMYFUNCTION("IMPORTRANGE(""https://docs.google.com/spreadsheets/d/13wPX838HrBrQMCywv1BsuMkt4PEKTChp52zj44s2izQ/edit?usp=sharing"",""กาญจนบุรี!I703"")"),50)</f>
        <v>50</v>
      </c>
      <c r="P53" s="152">
        <f ca="1">IFERROR(__xludf.DUMMYFUNCTION("IMPORTRANGE(""https://docs.google.com/spreadsheets/d/13wPX838HrBrQMCywv1BsuMkt4PEKTChp52zj44s2izQ/edit?usp=sharing"",""กาญจนบุรี!J703"")"),22)</f>
        <v>22</v>
      </c>
      <c r="Q53" s="152">
        <f ca="1">IFERROR(__xludf.DUMMYFUNCTION("IMPORTRANGE(""https://docs.google.com/spreadsheets/d/13wPX838HrBrQMCywv1BsuMkt4PEKTChp52zj44s2izQ/edit?usp=sharing"",""กาญจนบุรี!J704"")"),19.56)</f>
        <v>19.559999999999999</v>
      </c>
      <c r="R53" s="216">
        <f t="shared" ca="1" si="31"/>
        <v>44</v>
      </c>
      <c r="S53" s="632">
        <f ca="1">IFERROR(__xludf.DUMMYFUNCTION("IMPORTRANGE(""https://docs.google.com/spreadsheets/d/13wPX838HrBrQMCywv1BsuMkt4PEKTChp52zj44s2izQ/edit?usp=sharing"",""กาญจนบุรี!I705"")"),6)</f>
        <v>6</v>
      </c>
      <c r="T53" s="251">
        <f ca="1">IFERROR(__xludf.DUMMYFUNCTION("IMPORTRANGE(""https://docs.google.com/spreadsheets/d/13wPX838HrBrQMCywv1BsuMkt4PEKTChp52zj44s2izQ/edit?usp=sharing"",""กาญจนบุรี!J705"")"),0)</f>
        <v>0</v>
      </c>
      <c r="U53" s="251">
        <f ca="1">IFERROR(__xludf.DUMMYFUNCTION("IMPORTRANGE(""https://docs.google.com/spreadsheets/d/13wPX838HrBrQMCywv1BsuMkt4PEKTChp52zj44s2izQ/edit?usp=sharing"",""กาญจนบุรี!J706"")"),0)</f>
        <v>0</v>
      </c>
      <c r="V53" s="605">
        <f t="shared" ca="1" si="33"/>
        <v>0</v>
      </c>
      <c r="W53" s="278">
        <f ca="1">IFERROR(__xludf.DUMMYFUNCTION("IMPORTRANGE(""https://docs.google.com/spreadsheets/d/13wPX838HrBrQMCywv1BsuMkt4PEKTChp52zj44s2izQ/edit?usp=sharing"",""กาญจนบุรี!I707"")"),50)</f>
        <v>50</v>
      </c>
      <c r="X53" s="152">
        <f ca="1">IFERROR(__xludf.DUMMYFUNCTION("IMPORTRANGE(""https://docs.google.com/spreadsheets/d/13wPX838HrBrQMCywv1BsuMkt4PEKTChp52zj44s2izQ/edit?usp=sharing"",""กาญจนบุรี!J707"")"),0)</f>
        <v>0</v>
      </c>
      <c r="Y53" s="152">
        <f ca="1">IFERROR(__xludf.DUMMYFUNCTION("IMPORTRANGE(""https://docs.google.com/spreadsheets/d/13wPX838HrBrQMCywv1BsuMkt4PEKTChp52zj44s2izQ/edit?usp=sharing"",""กาญจนบุรี!J708"")"),0)</f>
        <v>0</v>
      </c>
      <c r="Z53" s="216">
        <f t="shared" ca="1" si="35"/>
        <v>0</v>
      </c>
      <c r="AA53" s="632">
        <f ca="1">IFERROR(__xludf.DUMMYFUNCTION("IMPORTRANGE(""https://docs.google.com/spreadsheets/d/13wPX838HrBrQMCywv1BsuMkt4PEKTChp52zj44s2izQ/edit?usp=sharing"",""กาญจนบุรี!I709"")"),6)</f>
        <v>6</v>
      </c>
      <c r="AB53" s="251">
        <f ca="1">IFERROR(__xludf.DUMMYFUNCTION("IMPORTRANGE(""https://docs.google.com/spreadsheets/d/13wPX838HrBrQMCywv1BsuMkt4PEKTChp52zj44s2izQ/edit?usp=sharing"",""กาญจนบุรี!J709"")"),2)</f>
        <v>2</v>
      </c>
      <c r="AC53" s="251">
        <f ca="1">IFERROR(__xludf.DUMMYFUNCTION("IMPORTRANGE(""https://docs.google.com/spreadsheets/d/13wPX838HrBrQMCywv1BsuMkt4PEKTChp52zj44s2izQ/edit?usp=sharing"",""กาญจนบุรี!J710"")"),0)</f>
        <v>0</v>
      </c>
      <c r="AD53" s="605">
        <f t="shared" ca="1" si="37"/>
        <v>33.333333333333336</v>
      </c>
    </row>
    <row r="54" spans="1:30" ht="19.5" x14ac:dyDescent="0.3">
      <c r="A54" s="70">
        <v>2</v>
      </c>
      <c r="B54" s="71" t="s">
        <v>82</v>
      </c>
      <c r="C54" s="68">
        <f ca="1">IFERROR(__xludf.DUMMYFUNCTION("IMPORTRANGE(""https://docs.google.com/spreadsheets/d/1ddFKvqj1W1NEiWytbGlB1zMx_ykJDVtmfEQ-6-lIUBA/edit?usp=sharing"",""จันทบุรี!Q690"")"),70120)</f>
        <v>70120</v>
      </c>
      <c r="D54" s="68">
        <f ca="1">IFERROR(__xludf.DUMMYFUNCTION("IMPORTRANGE(""https://docs.google.com/spreadsheets/d/1ddFKvqj1W1NEiWytbGlB1zMx_ykJDVtmfEQ-6-lIUBA/edit?usp=sharing"",""จันทบุรี!R690"")"),70120)</f>
        <v>70120</v>
      </c>
      <c r="E54" s="68">
        <f ca="1">IFERROR(__xludf.DUMMYFUNCTION("IMPORTRANGE(""https://docs.google.com/spreadsheets/d/1ddFKvqj1W1NEiWytbGlB1zMx_ykJDVtmfEQ-6-lIUBA/edit?usp=sharing"",""จันทบุรี!S690"")"),37988.76)</f>
        <v>37988.76</v>
      </c>
      <c r="F54" s="68">
        <f t="shared" ca="1" si="24"/>
        <v>54.176782658300056</v>
      </c>
      <c r="G54" s="68">
        <f t="shared" ca="1" si="25"/>
        <v>54.176782658300056</v>
      </c>
      <c r="H54" s="278">
        <f ca="1">IFERROR(__xludf.DUMMYFUNCTION("IMPORTRANGE(""https://docs.google.com/spreadsheets/d/1ddFKvqj1W1NEiWytbGlB1zMx_ykJDVtmfEQ-6-lIUBA/edit?usp=sharing"",""จันทบุรี!I700"")"),0)</f>
        <v>0</v>
      </c>
      <c r="I54" s="152">
        <f ca="1">IFERROR(__xludf.DUMMYFUNCTION("IMPORTRANGE(""https://docs.google.com/spreadsheets/d/1ddFKvqj1W1NEiWytbGlB1zMx_ykJDVtmfEQ-6-lIUBA/edit?usp=sharing"",""จันทบุรี!J700"")"),0)</f>
        <v>0</v>
      </c>
      <c r="J54" s="216">
        <f t="shared" ca="1" si="27"/>
        <v>0</v>
      </c>
      <c r="K54" s="278">
        <f ca="1">IFERROR(__xludf.DUMMYFUNCTION("IMPORTRANGE(""https://docs.google.com/spreadsheets/d/1ddFKvqj1W1NEiWytbGlB1zMx_ykJDVtmfEQ-6-lIUBA/edit?usp=sharing"",""จันทบุรี!I701"")"),13)</f>
        <v>13</v>
      </c>
      <c r="L54" s="152">
        <f ca="1">IFERROR(__xludf.DUMMYFUNCTION("IMPORTRANGE(""https://docs.google.com/spreadsheets/d/1ddFKvqj1W1NEiWytbGlB1zMx_ykJDVtmfEQ-6-lIUBA/edit?usp=sharing"",""จันทบุรี!J701"")"),0)</f>
        <v>0</v>
      </c>
      <c r="M54" s="152">
        <f ca="1">IFERROR(__xludf.DUMMYFUNCTION("IMPORTRANGE(""https://docs.google.com/spreadsheets/d/1ddFKvqj1W1NEiWytbGlB1zMx_ykJDVtmfEQ-6-lIUBA/edit?usp=sharing"",""จันทบุรี!J702"")"),0)</f>
        <v>0</v>
      </c>
      <c r="N54" s="216">
        <f t="shared" ca="1" si="29"/>
        <v>0</v>
      </c>
      <c r="O54" s="278">
        <f ca="1">IFERROR(__xludf.DUMMYFUNCTION("IMPORTRANGE(""https://docs.google.com/spreadsheets/d/1ddFKvqj1W1NEiWytbGlB1zMx_ykJDVtmfEQ-6-lIUBA/edit?usp=sharing"",""จันทบุรี!I703"")"),10)</f>
        <v>10</v>
      </c>
      <c r="P54" s="152">
        <f ca="1">IFERROR(__xludf.DUMMYFUNCTION("IMPORTRANGE(""https://docs.google.com/spreadsheets/d/1ddFKvqj1W1NEiWytbGlB1zMx_ykJDVtmfEQ-6-lIUBA/edit?usp=sharing"",""จันทบุรี!J703"")"),0)</f>
        <v>0</v>
      </c>
      <c r="Q54" s="152">
        <f ca="1">IFERROR(__xludf.DUMMYFUNCTION("IMPORTRANGE(""https://docs.google.com/spreadsheets/d/1ddFKvqj1W1NEiWytbGlB1zMx_ykJDVtmfEQ-6-lIUBA/edit?usp=sharing"",""จันทบุรี!J704"")"),0)</f>
        <v>0</v>
      </c>
      <c r="R54" s="216">
        <f t="shared" ca="1" si="31"/>
        <v>0</v>
      </c>
      <c r="S54" s="632">
        <f ca="1">IFERROR(__xludf.DUMMYFUNCTION("IMPORTRANGE(""https://docs.google.com/spreadsheets/d/1ddFKvqj1W1NEiWytbGlB1zMx_ykJDVtmfEQ-6-lIUBA/edit?usp=sharing"",""จันทบุรี!I705"")"),3)</f>
        <v>3</v>
      </c>
      <c r="T54" s="251">
        <f ca="1">IFERROR(__xludf.DUMMYFUNCTION("IMPORTRANGE(""https://docs.google.com/spreadsheets/d/1ddFKvqj1W1NEiWytbGlB1zMx_ykJDVtmfEQ-6-lIUBA/edit?usp=sharing"",""จันทบุรี!J705"")"),0)</f>
        <v>0</v>
      </c>
      <c r="U54" s="251">
        <f ca="1">IFERROR(__xludf.DUMMYFUNCTION("IMPORTRANGE(""https://docs.google.com/spreadsheets/d/1ddFKvqj1W1NEiWytbGlB1zMx_ykJDVtmfEQ-6-lIUBA/edit?usp=sharing"",""จันทบุรี!J706"")"),0)</f>
        <v>0</v>
      </c>
      <c r="V54" s="605">
        <f t="shared" ca="1" si="33"/>
        <v>0</v>
      </c>
      <c r="W54" s="278">
        <f ca="1">IFERROR(__xludf.DUMMYFUNCTION("IMPORTRANGE(""https://docs.google.com/spreadsheets/d/1ddFKvqj1W1NEiWytbGlB1zMx_ykJDVtmfEQ-6-lIUBA/edit?usp=sharing"",""จันทบุรี!I707"")"),10)</f>
        <v>10</v>
      </c>
      <c r="X54" s="152">
        <f ca="1">IFERROR(__xludf.DUMMYFUNCTION("IMPORTRANGE(""https://docs.google.com/spreadsheets/d/1ddFKvqj1W1NEiWytbGlB1zMx_ykJDVtmfEQ-6-lIUBA/edit?usp=sharing"",""จันทบุรี!J707"")"),0)</f>
        <v>0</v>
      </c>
      <c r="Y54" s="152">
        <f ca="1">IFERROR(__xludf.DUMMYFUNCTION("IMPORTRANGE(""https://docs.google.com/spreadsheets/d/1ddFKvqj1W1NEiWytbGlB1zMx_ykJDVtmfEQ-6-lIUBA/edit?usp=sharing"",""จันทบุรี!J708"")"),0)</f>
        <v>0</v>
      </c>
      <c r="Z54" s="216">
        <f t="shared" ca="1" si="35"/>
        <v>0</v>
      </c>
      <c r="AA54" s="632">
        <f ca="1">IFERROR(__xludf.DUMMYFUNCTION("IMPORTRANGE(""https://docs.google.com/spreadsheets/d/1ddFKvqj1W1NEiWytbGlB1zMx_ykJDVtmfEQ-6-lIUBA/edit?usp=sharing"",""จันทบุรี!I709"")"),3)</f>
        <v>3</v>
      </c>
      <c r="AB54" s="251">
        <f ca="1">IFERROR(__xludf.DUMMYFUNCTION("IMPORTRANGE(""https://docs.google.com/spreadsheets/d/1ddFKvqj1W1NEiWytbGlB1zMx_ykJDVtmfEQ-6-lIUBA/edit?usp=sharing"",""จันทบุรี!J709"")"),1)</f>
        <v>1</v>
      </c>
      <c r="AC54" s="251">
        <f ca="1">IFERROR(__xludf.DUMMYFUNCTION("IMPORTRANGE(""https://docs.google.com/spreadsheets/d/1ddFKvqj1W1NEiWytbGlB1zMx_ykJDVtmfEQ-6-lIUBA/edit?usp=sharing"",""จันทบุรี!J710"")"),0)</f>
        <v>0</v>
      </c>
      <c r="AD54" s="605">
        <f t="shared" ca="1" si="37"/>
        <v>33.333333333333336</v>
      </c>
    </row>
    <row r="55" spans="1:30" ht="19.5" x14ac:dyDescent="0.3">
      <c r="A55" s="70">
        <v>3</v>
      </c>
      <c r="B55" s="71" t="s">
        <v>83</v>
      </c>
      <c r="C55" s="68">
        <f ca="1">IFERROR(__xludf.DUMMYFUNCTION("IMPORTRANGE(""https://docs.google.com/spreadsheets/d/1T1PQvRODqOBZk8BRht_U031fIS1beLA0Ub2CEytj2q0/edit?usp=sharing"",""ฉะเชิงเทรา!Q690"")"),296950)</f>
        <v>296950</v>
      </c>
      <c r="D55" s="68">
        <f ca="1">IFERROR(__xludf.DUMMYFUNCTION("IMPORTRANGE(""https://docs.google.com/spreadsheets/d/1T1PQvRODqOBZk8BRht_U031fIS1beLA0Ub2CEytj2q0/edit?usp=sharing"",""ฉะเชิงเทรา!R690"")"),296950)</f>
        <v>296950</v>
      </c>
      <c r="E55" s="68">
        <f ca="1">IFERROR(__xludf.DUMMYFUNCTION("IMPORTRANGE(""https://docs.google.com/spreadsheets/d/1T1PQvRODqOBZk8BRht_U031fIS1beLA0Ub2CEytj2q0/edit?usp=sharing"",""ฉะเชิงเทรา!S690"")"),137589)</f>
        <v>137589</v>
      </c>
      <c r="F55" s="68">
        <f t="shared" ca="1" si="24"/>
        <v>46.334062973564571</v>
      </c>
      <c r="G55" s="68">
        <f t="shared" ca="1" si="25"/>
        <v>46.334062973564571</v>
      </c>
      <c r="H55" s="278">
        <f ca="1">IFERROR(__xludf.DUMMYFUNCTION("IMPORTRANGE(""https://docs.google.com/spreadsheets/d/1T1PQvRODqOBZk8BRht_U031fIS1beLA0Ub2CEytj2q0/edit?usp=sharing"",""ฉะเชิงเทรา!I700"")"),2)</f>
        <v>2</v>
      </c>
      <c r="I55" s="152">
        <f ca="1">IFERROR(__xludf.DUMMYFUNCTION("IMPORTRANGE(""https://docs.google.com/spreadsheets/d/1T1PQvRODqOBZk8BRht_U031fIS1beLA0Ub2CEytj2q0/edit?usp=sharing"",""ฉะเชิงเทรา!J700"")"),0)</f>
        <v>0</v>
      </c>
      <c r="J55" s="216">
        <f t="shared" ca="1" si="27"/>
        <v>0</v>
      </c>
      <c r="K55" s="278">
        <f ca="1">IFERROR(__xludf.DUMMYFUNCTION("IMPORTRANGE(""https://docs.google.com/spreadsheets/d/1T1PQvRODqOBZk8BRht_U031fIS1beLA0Ub2CEytj2q0/edit?usp=sharing"",""ฉะเชิงเทรา!I701"")"),155)</f>
        <v>155</v>
      </c>
      <c r="L55" s="152">
        <f ca="1">IFERROR(__xludf.DUMMYFUNCTION("IMPORTRANGE(""https://docs.google.com/spreadsheets/d/1T1PQvRODqOBZk8BRht_U031fIS1beLA0Ub2CEytj2q0/edit?usp=sharing"",""ฉะเชิงเทรา!J701"")"),50)</f>
        <v>50</v>
      </c>
      <c r="M55" s="152">
        <f ca="1">IFERROR(__xludf.DUMMYFUNCTION("IMPORTRANGE(""https://docs.google.com/spreadsheets/d/1T1PQvRODqOBZk8BRht_U031fIS1beLA0Ub2CEytj2q0/edit?usp=sharing"",""ฉะเชิงเทรา!J702"")"),29.52)</f>
        <v>29.52</v>
      </c>
      <c r="N55" s="216">
        <f t="shared" ca="1" si="29"/>
        <v>32.258064516129032</v>
      </c>
      <c r="O55" s="278">
        <f ca="1">IFERROR(__xludf.DUMMYFUNCTION("IMPORTRANGE(""https://docs.google.com/spreadsheets/d/1T1PQvRODqOBZk8BRht_U031fIS1beLA0Ub2CEytj2q0/edit?usp=sharing"",""ฉะเชิงเทรา!I703"")"),150)</f>
        <v>150</v>
      </c>
      <c r="P55" s="152">
        <f ca="1">IFERROR(__xludf.DUMMYFUNCTION("IMPORTRANGE(""https://docs.google.com/spreadsheets/d/1T1PQvRODqOBZk8BRht_U031fIS1beLA0Ub2CEytj2q0/edit?usp=sharing"",""ฉะเชิงเทรา!J703"")"),50)</f>
        <v>50</v>
      </c>
      <c r="Q55" s="152">
        <f ca="1">IFERROR(__xludf.DUMMYFUNCTION("IMPORTRANGE(""https://docs.google.com/spreadsheets/d/1T1PQvRODqOBZk8BRht_U031fIS1beLA0Ub2CEytj2q0/edit?usp=sharing"",""ฉะเชิงเทรา!J704"")"),50)</f>
        <v>50</v>
      </c>
      <c r="R55" s="216">
        <f t="shared" ca="1" si="31"/>
        <v>33.333333333333336</v>
      </c>
      <c r="S55" s="632">
        <f ca="1">IFERROR(__xludf.DUMMYFUNCTION("IMPORTRANGE(""https://docs.google.com/spreadsheets/d/1T1PQvRODqOBZk8BRht_U031fIS1beLA0Ub2CEytj2q0/edit?usp=sharing"",""ฉะเชิงเทรา!I705"")"),5)</f>
        <v>5</v>
      </c>
      <c r="T55" s="251">
        <f ca="1">IFERROR(__xludf.DUMMYFUNCTION("IMPORTRANGE(""https://docs.google.com/spreadsheets/d/1T1PQvRODqOBZk8BRht_U031fIS1beLA0Ub2CEytj2q0/edit?usp=sharing"",""ฉะเชิงเทรา!J705"")"),29.52)</f>
        <v>29.52</v>
      </c>
      <c r="U55" s="251">
        <f ca="1">IFERROR(__xludf.DUMMYFUNCTION("IMPORTRANGE(""https://docs.google.com/spreadsheets/d/1T1PQvRODqOBZk8BRht_U031fIS1beLA0Ub2CEytj2q0/edit?usp=sharing"",""ฉะเชิงเทรา!J706"")"),50)</f>
        <v>50</v>
      </c>
      <c r="V55" s="605">
        <f t="shared" ca="1" si="33"/>
        <v>590.4</v>
      </c>
      <c r="W55" s="278">
        <f ca="1">IFERROR(__xludf.DUMMYFUNCTION("IMPORTRANGE(""https://docs.google.com/spreadsheets/d/1T1PQvRODqOBZk8BRht_U031fIS1beLA0Ub2CEytj2q0/edit?usp=sharing"",""ฉะเชิงเทรา!I707"")"),150)</f>
        <v>150</v>
      </c>
      <c r="X55" s="152">
        <f ca="1">IFERROR(__xludf.DUMMYFUNCTION("IMPORTRANGE(""https://docs.google.com/spreadsheets/d/1T1PQvRODqOBZk8BRht_U031fIS1beLA0Ub2CEytj2q0/edit?usp=sharing"",""ฉะเชิงเทรา!J707"")"),0)</f>
        <v>0</v>
      </c>
      <c r="Y55" s="152">
        <f ca="1">IFERROR(__xludf.DUMMYFUNCTION("IMPORTRANGE(""https://docs.google.com/spreadsheets/d/1T1PQvRODqOBZk8BRht_U031fIS1beLA0Ub2CEytj2q0/edit?usp=sharing"",""ฉะเชิงเทรา!J708"")"),0)</f>
        <v>0</v>
      </c>
      <c r="Z55" s="216">
        <f t="shared" ca="1" si="35"/>
        <v>0</v>
      </c>
      <c r="AA55" s="632">
        <f ca="1">IFERROR(__xludf.DUMMYFUNCTION("IMPORTRANGE(""https://docs.google.com/spreadsheets/d/1T1PQvRODqOBZk8BRht_U031fIS1beLA0Ub2CEytj2q0/edit?usp=sharing"",""ฉะเชิงเทรา!I709"")"),5)</f>
        <v>5</v>
      </c>
      <c r="AB55" s="251">
        <f ca="1">IFERROR(__xludf.DUMMYFUNCTION("IMPORTRANGE(""https://docs.google.com/spreadsheets/d/1T1PQvRODqOBZk8BRht_U031fIS1beLA0Ub2CEytj2q0/edit?usp=sharing"",""ฉะเชิงเทรา!J709"")"),0)</f>
        <v>0</v>
      </c>
      <c r="AC55" s="251">
        <f ca="1">IFERROR(__xludf.DUMMYFUNCTION("IMPORTRANGE(""https://docs.google.com/spreadsheets/d/1T1PQvRODqOBZk8BRht_U031fIS1beLA0Ub2CEytj2q0/edit?usp=sharing"",""ฉะเชิงเทรา!J710"")"),0)</f>
        <v>0</v>
      </c>
      <c r="AD55" s="605">
        <f t="shared" ca="1" si="37"/>
        <v>0</v>
      </c>
    </row>
    <row r="56" spans="1:30" ht="19.5" x14ac:dyDescent="0.3">
      <c r="A56" s="70">
        <v>4</v>
      </c>
      <c r="B56" s="71" t="s">
        <v>84</v>
      </c>
      <c r="C56" s="68">
        <f ca="1">IFERROR(__xludf.DUMMYFUNCTION("IMPORTRANGE(""https://docs.google.com/spreadsheets/d/11tr1B-Bhyr79v2bkwVh5h_fR-PStkgjlZtkrZpYurG0/edit?usp=sharing"",""ชลบุรี!Q690"")"),169770)</f>
        <v>169770</v>
      </c>
      <c r="D56" s="68">
        <f ca="1">IFERROR(__xludf.DUMMYFUNCTION("IMPORTRANGE(""https://docs.google.com/spreadsheets/d/11tr1B-Bhyr79v2bkwVh5h_fR-PStkgjlZtkrZpYurG0/edit?usp=sharing"",""ชลบุรี!R690"")"),169770)</f>
        <v>169770</v>
      </c>
      <c r="E56" s="68">
        <f ca="1">IFERROR(__xludf.DUMMYFUNCTION("IMPORTRANGE(""https://docs.google.com/spreadsheets/d/11tr1B-Bhyr79v2bkwVh5h_fR-PStkgjlZtkrZpYurG0/edit?usp=sharing"",""ชลบุรี!S690"")"),55985)</f>
        <v>55985</v>
      </c>
      <c r="F56" s="68">
        <f t="shared" ca="1" si="24"/>
        <v>32.976968840195561</v>
      </c>
      <c r="G56" s="68">
        <f t="shared" ca="1" si="25"/>
        <v>32.976968840195561</v>
      </c>
      <c r="H56" s="278">
        <f ca="1">IFERROR(__xludf.DUMMYFUNCTION("IMPORTRANGE(""https://docs.google.com/spreadsheets/d/11tr1B-Bhyr79v2bkwVh5h_fR-PStkgjlZtkrZpYurG0/edit?usp=sharing"",""ชลบุรี!I700"")"),0)</f>
        <v>0</v>
      </c>
      <c r="I56" s="397">
        <f ca="1">IFERROR(__xludf.DUMMYFUNCTION("IMPORTRANGE(""https://docs.google.com/spreadsheets/d/11tr1B-Bhyr79v2bkwVh5h_fR-PStkgjlZtkrZpYurG0/edit?usp=sharing"",""ชลบุรี!J700"")"),0)</f>
        <v>0</v>
      </c>
      <c r="J56" s="216">
        <f t="shared" ca="1" si="27"/>
        <v>0</v>
      </c>
      <c r="K56" s="278">
        <f ca="1">IFERROR(__xludf.DUMMYFUNCTION("IMPORTRANGE(""https://docs.google.com/spreadsheets/d/11tr1B-Bhyr79v2bkwVh5h_fR-PStkgjlZtkrZpYurG0/edit?usp=sharing"",""ชลบุรี!I701"")"),68)</f>
        <v>68</v>
      </c>
      <c r="L56" s="397">
        <f ca="1">IFERROR(__xludf.DUMMYFUNCTION("IMPORTRANGE(""https://docs.google.com/spreadsheets/d/11tr1B-Bhyr79v2bkwVh5h_fR-PStkgjlZtkrZpYurG0/edit?usp=sharing"",""ชลบุรี!J701"")"),11)</f>
        <v>11</v>
      </c>
      <c r="M56" s="397">
        <f ca="1">IFERROR(__xludf.DUMMYFUNCTION("IMPORTRANGE(""https://docs.google.com/spreadsheets/d/11tr1B-Bhyr79v2bkwVh5h_fR-PStkgjlZtkrZpYurG0/edit?usp=sharing"",""ชลบุรี!J702"")"),11.54)</f>
        <v>11.54</v>
      </c>
      <c r="N56" s="216">
        <f t="shared" ca="1" si="29"/>
        <v>16.176470588235293</v>
      </c>
      <c r="O56" s="278">
        <f ca="1">IFERROR(__xludf.DUMMYFUNCTION("IMPORTRANGE(""https://docs.google.com/spreadsheets/d/11tr1B-Bhyr79v2bkwVh5h_fR-PStkgjlZtkrZpYurG0/edit?usp=sharing"",""ชลบุรี!I703"")"),65)</f>
        <v>65</v>
      </c>
      <c r="P56" s="397">
        <f ca="1">IFERROR(__xludf.DUMMYFUNCTION("IMPORTRANGE(""https://docs.google.com/spreadsheets/d/11tr1B-Bhyr79v2bkwVh5h_fR-PStkgjlZtkrZpYurG0/edit?usp=sharing"",""ชลบุรี!J703"")"),11)</f>
        <v>11</v>
      </c>
      <c r="Q56" s="397">
        <f ca="1">IFERROR(__xludf.DUMMYFUNCTION("IMPORTRANGE(""https://docs.google.com/spreadsheets/d/11tr1B-Bhyr79v2bkwVh5h_fR-PStkgjlZtkrZpYurG0/edit?usp=sharing"",""ชลบุรี!J704"")"),11)</f>
        <v>11</v>
      </c>
      <c r="R56" s="216">
        <f t="shared" ca="1" si="31"/>
        <v>16.923076923076923</v>
      </c>
      <c r="S56" s="632">
        <f ca="1">IFERROR(__xludf.DUMMYFUNCTION("IMPORTRANGE(""https://docs.google.com/spreadsheets/d/11tr1B-Bhyr79v2bkwVh5h_fR-PStkgjlZtkrZpYurG0/edit?usp=sharing"",""ชลบุรี!I705"")"),3)</f>
        <v>3</v>
      </c>
      <c r="T56" s="251">
        <f ca="1">IFERROR(__xludf.DUMMYFUNCTION("IMPORTRANGE(""https://docs.google.com/spreadsheets/d/11tr1B-Bhyr79v2bkwVh5h_fR-PStkgjlZtkrZpYurG0/edit?usp=sharing"",""ชลบุรี!J705"")"),11.54)</f>
        <v>11.54</v>
      </c>
      <c r="U56" s="251">
        <f ca="1">IFERROR(__xludf.DUMMYFUNCTION("IMPORTRANGE(""https://docs.google.com/spreadsheets/d/11tr1B-Bhyr79v2bkwVh5h_fR-PStkgjlZtkrZpYurG0/edit?usp=sharing"",""ชลบุรี!J706"")"),11)</f>
        <v>11</v>
      </c>
      <c r="V56" s="605">
        <f t="shared" ca="1" si="33"/>
        <v>384.66666666666669</v>
      </c>
      <c r="W56" s="278">
        <f ca="1">IFERROR(__xludf.DUMMYFUNCTION("IMPORTRANGE(""https://docs.google.com/spreadsheets/d/11tr1B-Bhyr79v2bkwVh5h_fR-PStkgjlZtkrZpYurG0/edit?usp=sharing"",""ชลบุรี!I707"")"),65)</f>
        <v>65</v>
      </c>
      <c r="X56" s="397">
        <f ca="1">IFERROR(__xludf.DUMMYFUNCTION("IMPORTRANGE(""https://docs.google.com/spreadsheets/d/11tr1B-Bhyr79v2bkwVh5h_fR-PStkgjlZtkrZpYurG0/edit?usp=sharing"",""ชลบุรี!J707"")"),0)</f>
        <v>0</v>
      </c>
      <c r="Y56" s="397">
        <f ca="1">IFERROR(__xludf.DUMMYFUNCTION("IMPORTRANGE(""https://docs.google.com/spreadsheets/d/11tr1B-Bhyr79v2bkwVh5h_fR-PStkgjlZtkrZpYurG0/edit?usp=sharing"",""ชลบุรี!J708"")"),0)</f>
        <v>0</v>
      </c>
      <c r="Z56" s="216">
        <f t="shared" ca="1" si="35"/>
        <v>0</v>
      </c>
      <c r="AA56" s="632">
        <f ca="1">IFERROR(__xludf.DUMMYFUNCTION("IMPORTRANGE(""https://docs.google.com/spreadsheets/d/11tr1B-Bhyr79v2bkwVh5h_fR-PStkgjlZtkrZpYurG0/edit?usp=sharing"",""ชลบุรี!I709"")"),3)</f>
        <v>3</v>
      </c>
      <c r="AB56" s="251">
        <f ca="1">IFERROR(__xludf.DUMMYFUNCTION("IMPORTRANGE(""https://docs.google.com/spreadsheets/d/11tr1B-Bhyr79v2bkwVh5h_fR-PStkgjlZtkrZpYurG0/edit?usp=sharing"",""ชลบุรี!J709"")"),0)</f>
        <v>0</v>
      </c>
      <c r="AC56" s="251">
        <f ca="1">IFERROR(__xludf.DUMMYFUNCTION("IMPORTRANGE(""https://docs.google.com/spreadsheets/d/11tr1B-Bhyr79v2bkwVh5h_fR-PStkgjlZtkrZpYurG0/edit?usp=sharing"",""ชลบุรี!J710"")"),0)</f>
        <v>0</v>
      </c>
      <c r="AD56" s="605">
        <f t="shared" ca="1" si="37"/>
        <v>0</v>
      </c>
    </row>
    <row r="57" spans="1:30" ht="19.5" x14ac:dyDescent="0.3">
      <c r="A57" s="70">
        <v>5</v>
      </c>
      <c r="B57" s="71" t="s">
        <v>85</v>
      </c>
      <c r="C57" s="68">
        <f ca="1">IFERROR(__xludf.DUMMYFUNCTION("IMPORTRANGE(""https://docs.google.com/spreadsheets/d/1hh-FVnSX0vozXhGluamEcS54Dw9_zqW0N7qJUWgJ0Sw/edit?usp=sharing"",""ชัยนาท!Q690"")"),126470)</f>
        <v>126470</v>
      </c>
      <c r="D57" s="68">
        <f ca="1">IFERROR(__xludf.DUMMYFUNCTION("IMPORTRANGE(""https://docs.google.com/spreadsheets/d/1hh-FVnSX0vozXhGluamEcS54Dw9_zqW0N7qJUWgJ0Sw/edit?usp=sharing"",""ชัยนาท!R690"")"),126470)</f>
        <v>126470</v>
      </c>
      <c r="E57" s="68">
        <f ca="1">IFERROR(__xludf.DUMMYFUNCTION("IMPORTRANGE(""https://docs.google.com/spreadsheets/d/1hh-FVnSX0vozXhGluamEcS54Dw9_zqW0N7qJUWgJ0Sw/edit?usp=sharing"",""ชัยนาท!S690"")"),77980)</f>
        <v>77980</v>
      </c>
      <c r="F57" s="68">
        <f t="shared" ca="1" si="24"/>
        <v>61.658891436704359</v>
      </c>
      <c r="G57" s="68">
        <f t="shared" ca="1" si="25"/>
        <v>61.658891436704359</v>
      </c>
      <c r="H57" s="278">
        <f ca="1">IFERROR(__xludf.DUMMYFUNCTION("IMPORTRANGE(""https://docs.google.com/spreadsheets/d/1hh-FVnSX0vozXhGluamEcS54Dw9_zqW0N7qJUWgJ0Sw/edit?usp=sharing"",""ชัยนาท!I700"")"),0)</f>
        <v>0</v>
      </c>
      <c r="I57" s="152">
        <f ca="1">IFERROR(__xludf.DUMMYFUNCTION("IMPORTRANGE(""https://docs.google.com/spreadsheets/d/1hh-FVnSX0vozXhGluamEcS54Dw9_zqW0N7qJUWgJ0Sw/edit?usp=sharing"",""ชัยนาท!J700"")"),0)</f>
        <v>0</v>
      </c>
      <c r="J57" s="216">
        <f t="shared" ca="1" si="27"/>
        <v>0</v>
      </c>
      <c r="K57" s="278">
        <f ca="1">IFERROR(__xludf.DUMMYFUNCTION("IMPORTRANGE(""https://docs.google.com/spreadsheets/d/1hh-FVnSX0vozXhGluamEcS54Dw9_zqW0N7qJUWgJ0Sw/edit?usp=sharing"",""ชัยนาท!I701"")"),22)</f>
        <v>22</v>
      </c>
      <c r="L57" s="152">
        <f ca="1">IFERROR(__xludf.DUMMYFUNCTION("IMPORTRANGE(""https://docs.google.com/spreadsheets/d/1hh-FVnSX0vozXhGluamEcS54Dw9_zqW0N7qJUWgJ0Sw/edit?usp=sharing"",""ชัยนาท!J701"")"),1)</f>
        <v>1</v>
      </c>
      <c r="M57" s="152">
        <f ca="1">IFERROR(__xludf.DUMMYFUNCTION("IMPORTRANGE(""https://docs.google.com/spreadsheets/d/1hh-FVnSX0vozXhGluamEcS54Dw9_zqW0N7qJUWgJ0Sw/edit?usp=sharing"",""ชัยนาท!J702"")"),1.83)</f>
        <v>1.83</v>
      </c>
      <c r="N57" s="216">
        <f t="shared" ca="1" si="29"/>
        <v>4.5454545454545459</v>
      </c>
      <c r="O57" s="278">
        <f ca="1">IFERROR(__xludf.DUMMYFUNCTION("IMPORTRANGE(""https://docs.google.com/spreadsheets/d/1hh-FVnSX0vozXhGluamEcS54Dw9_zqW0N7qJUWgJ0Sw/edit?usp=sharing"",""ชัยนาท!I703"")"),21)</f>
        <v>21</v>
      </c>
      <c r="P57" s="152">
        <f ca="1">IFERROR(__xludf.DUMMYFUNCTION("IMPORTRANGE(""https://docs.google.com/spreadsheets/d/1hh-FVnSX0vozXhGluamEcS54Dw9_zqW0N7qJUWgJ0Sw/edit?usp=sharing"",""ชัยนาท!J703"")"),1)</f>
        <v>1</v>
      </c>
      <c r="Q57" s="152">
        <f ca="1">IFERROR(__xludf.DUMMYFUNCTION("IMPORTRANGE(""https://docs.google.com/spreadsheets/d/1hh-FVnSX0vozXhGluamEcS54Dw9_zqW0N7qJUWgJ0Sw/edit?usp=sharing"",""ชัยนาท!J704"")"),1.83)</f>
        <v>1.83</v>
      </c>
      <c r="R57" s="216">
        <f t="shared" ca="1" si="31"/>
        <v>4.7619047619047619</v>
      </c>
      <c r="S57" s="632">
        <f ca="1">IFERROR(__xludf.DUMMYFUNCTION("IMPORTRANGE(""https://docs.google.com/spreadsheets/d/1hh-FVnSX0vozXhGluamEcS54Dw9_zqW0N7qJUWgJ0Sw/edit?usp=sharing"",""ชัยนาท!I705"")"),1)</f>
        <v>1</v>
      </c>
      <c r="T57" s="251">
        <f ca="1">IFERROR(__xludf.DUMMYFUNCTION("IMPORTRANGE(""https://docs.google.com/spreadsheets/d/1hh-FVnSX0vozXhGluamEcS54Dw9_zqW0N7qJUWgJ0Sw/edit?usp=sharing"",""ชัยนาท!J705"")"),0)</f>
        <v>0</v>
      </c>
      <c r="U57" s="251">
        <f ca="1">IFERROR(__xludf.DUMMYFUNCTION("IMPORTRANGE(""https://docs.google.com/spreadsheets/d/1hh-FVnSX0vozXhGluamEcS54Dw9_zqW0N7qJUWgJ0Sw/edit?usp=sharing"",""ชัยนาท!J706"")"),0)</f>
        <v>0</v>
      </c>
      <c r="V57" s="605">
        <f t="shared" ca="1" si="33"/>
        <v>0</v>
      </c>
      <c r="W57" s="278">
        <f ca="1">IFERROR(__xludf.DUMMYFUNCTION("IMPORTRANGE(""https://docs.google.com/spreadsheets/d/1hh-FVnSX0vozXhGluamEcS54Dw9_zqW0N7qJUWgJ0Sw/edit?usp=sharing"",""ชัยนาท!I707"")"),21)</f>
        <v>21</v>
      </c>
      <c r="X57" s="152">
        <f ca="1">IFERROR(__xludf.DUMMYFUNCTION("IMPORTRANGE(""https://docs.google.com/spreadsheets/d/1hh-FVnSX0vozXhGluamEcS54Dw9_zqW0N7qJUWgJ0Sw/edit?usp=sharing"",""ชัยนาท!J707"")"),0)</f>
        <v>0</v>
      </c>
      <c r="Y57" s="152">
        <f ca="1">IFERROR(__xludf.DUMMYFUNCTION("IMPORTRANGE(""https://docs.google.com/spreadsheets/d/1hh-FVnSX0vozXhGluamEcS54Dw9_zqW0N7qJUWgJ0Sw/edit?usp=sharing"",""ชัยนาท!J708"")"),0)</f>
        <v>0</v>
      </c>
      <c r="Z57" s="216">
        <f t="shared" ca="1" si="35"/>
        <v>0</v>
      </c>
      <c r="AA57" s="632">
        <f ca="1">IFERROR(__xludf.DUMMYFUNCTION("IMPORTRANGE(""https://docs.google.com/spreadsheets/d/1hh-FVnSX0vozXhGluamEcS54Dw9_zqW0N7qJUWgJ0Sw/edit?usp=sharing"",""ชัยนาท!I709"")"),1)</f>
        <v>1</v>
      </c>
      <c r="AB57" s="251">
        <f ca="1">IFERROR(__xludf.DUMMYFUNCTION("IMPORTRANGE(""https://docs.google.com/spreadsheets/d/1hh-FVnSX0vozXhGluamEcS54Dw9_zqW0N7qJUWgJ0Sw/edit?usp=sharing"",""ชัยนาท!J709"")"),1)</f>
        <v>1</v>
      </c>
      <c r="AC57" s="251">
        <f ca="1">IFERROR(__xludf.DUMMYFUNCTION("IMPORTRANGE(""https://docs.google.com/spreadsheets/d/1hh-FVnSX0vozXhGluamEcS54Dw9_zqW0N7qJUWgJ0Sw/edit?usp=sharing"",""ชัยนาท!J710"")"),0)</f>
        <v>0</v>
      </c>
      <c r="AD57" s="605">
        <f t="shared" ca="1" si="37"/>
        <v>100</v>
      </c>
    </row>
    <row r="58" spans="1:30" ht="19.5" x14ac:dyDescent="0.3">
      <c r="A58" s="70">
        <v>6</v>
      </c>
      <c r="B58" s="71" t="s">
        <v>86</v>
      </c>
      <c r="C58" s="68">
        <f ca="1">IFERROR(__xludf.DUMMYFUNCTION("IMPORTRANGE(""https://docs.google.com/spreadsheets/d/1jkqa6GXxSacMcY1eN8AHjMNJ_7dDXMJVRLDlaFSOdPM/edit?usp=sharing"",""ตราด!Q690"")"),60530)</f>
        <v>60530</v>
      </c>
      <c r="D58" s="68">
        <f ca="1">IFERROR(__xludf.DUMMYFUNCTION("IMPORTRANGE(""https://docs.google.com/spreadsheets/d/1jkqa6GXxSacMcY1eN8AHjMNJ_7dDXMJVRLDlaFSOdPM/edit?usp=sharing"",""ตราด!R690"")"),60530)</f>
        <v>60530</v>
      </c>
      <c r="E58" s="68">
        <f ca="1">IFERROR(__xludf.DUMMYFUNCTION("IMPORTRANGE(""https://docs.google.com/spreadsheets/d/1jkqa6GXxSacMcY1eN8AHjMNJ_7dDXMJVRLDlaFSOdPM/edit?usp=sharing"",""ตราด!S690"")"),0)</f>
        <v>0</v>
      </c>
      <c r="F58" s="68">
        <f t="shared" ca="1" si="24"/>
        <v>0</v>
      </c>
      <c r="G58" s="68">
        <f t="shared" ca="1" si="25"/>
        <v>0</v>
      </c>
      <c r="H58" s="278">
        <f ca="1">IFERROR(__xludf.DUMMYFUNCTION("IMPORTRANGE(""https://docs.google.com/spreadsheets/d/1jkqa6GXxSacMcY1eN8AHjMNJ_7dDXMJVRLDlaFSOdPM/edit?usp=sharing"",""ตราด!I700"")"),0)</f>
        <v>0</v>
      </c>
      <c r="I58" s="152">
        <f ca="1">IFERROR(__xludf.DUMMYFUNCTION("IMPORTRANGE(""https://docs.google.com/spreadsheets/d/1jkqa6GXxSacMcY1eN8AHjMNJ_7dDXMJVRLDlaFSOdPM/edit?usp=sharing"",""ตราด!J700"")"),0)</f>
        <v>0</v>
      </c>
      <c r="J58" s="216">
        <f t="shared" ca="1" si="27"/>
        <v>0</v>
      </c>
      <c r="K58" s="278">
        <f ca="1">IFERROR(__xludf.DUMMYFUNCTION("IMPORTRANGE(""https://docs.google.com/spreadsheets/d/1jkqa6GXxSacMcY1eN8AHjMNJ_7dDXMJVRLDlaFSOdPM/edit?usp=sharing"",""ตราด!I701"")"),4)</f>
        <v>4</v>
      </c>
      <c r="L58" s="152">
        <f ca="1">IFERROR(__xludf.DUMMYFUNCTION("IMPORTRANGE(""https://docs.google.com/spreadsheets/d/1jkqa6GXxSacMcY1eN8AHjMNJ_7dDXMJVRLDlaFSOdPM/edit?usp=sharing"",""ตราด!J701"")"),0)</f>
        <v>0</v>
      </c>
      <c r="M58" s="152">
        <f ca="1">IFERROR(__xludf.DUMMYFUNCTION("IMPORTRANGE(""https://docs.google.com/spreadsheets/d/1jkqa6GXxSacMcY1eN8AHjMNJ_7dDXMJVRLDlaFSOdPM/edit?usp=sharing"",""ตราด!J702"")"),0)</f>
        <v>0</v>
      </c>
      <c r="N58" s="216">
        <f t="shared" ca="1" si="29"/>
        <v>0</v>
      </c>
      <c r="O58" s="278">
        <f ca="1">IFERROR(__xludf.DUMMYFUNCTION("IMPORTRANGE(""https://docs.google.com/spreadsheets/d/1jkqa6GXxSacMcY1eN8AHjMNJ_7dDXMJVRLDlaFSOdPM/edit?usp=sharing"",""ตราด!I703"")"),0)</f>
        <v>0</v>
      </c>
      <c r="P58" s="152">
        <f ca="1">IFERROR(__xludf.DUMMYFUNCTION("IMPORTRANGE(""https://docs.google.com/spreadsheets/d/1jkqa6GXxSacMcY1eN8AHjMNJ_7dDXMJVRLDlaFSOdPM/edit?usp=sharing"",""ตราด!J703"")"),0)</f>
        <v>0</v>
      </c>
      <c r="Q58" s="152">
        <f ca="1">IFERROR(__xludf.DUMMYFUNCTION("IMPORTRANGE(""https://docs.google.com/spreadsheets/d/1jkqa6GXxSacMcY1eN8AHjMNJ_7dDXMJVRLDlaFSOdPM/edit?usp=sharing"",""ตราด!J704"")"),0)</f>
        <v>0</v>
      </c>
      <c r="R58" s="216">
        <f t="shared" ca="1" si="31"/>
        <v>0</v>
      </c>
      <c r="S58" s="632">
        <f ca="1">IFERROR(__xludf.DUMMYFUNCTION("IMPORTRANGE(""https://docs.google.com/spreadsheets/d/1jkqa6GXxSacMcY1eN8AHjMNJ_7dDXMJVRLDlaFSOdPM/edit?usp=sharing"",""ตราด!I705"")"),4)</f>
        <v>4</v>
      </c>
      <c r="T58" s="251">
        <f ca="1">IFERROR(__xludf.DUMMYFUNCTION("IMPORTRANGE(""https://docs.google.com/spreadsheets/d/1jkqa6GXxSacMcY1eN8AHjMNJ_7dDXMJVRLDlaFSOdPM/edit?usp=sharing"",""ตราด!J705"")"),0)</f>
        <v>0</v>
      </c>
      <c r="U58" s="251">
        <f ca="1">IFERROR(__xludf.DUMMYFUNCTION("IMPORTRANGE(""https://docs.google.com/spreadsheets/d/1jkqa6GXxSacMcY1eN8AHjMNJ_7dDXMJVRLDlaFSOdPM/edit?usp=sharing"",""ตราด!J706"")"),0)</f>
        <v>0</v>
      </c>
      <c r="V58" s="605">
        <f t="shared" ca="1" si="33"/>
        <v>0</v>
      </c>
      <c r="W58" s="278">
        <f ca="1">IFERROR(__xludf.DUMMYFUNCTION("IMPORTRANGE(""https://docs.google.com/spreadsheets/d/1jkqa6GXxSacMcY1eN8AHjMNJ_7dDXMJVRLDlaFSOdPM/edit?usp=sharing"",""ตราด!I707"")"),0)</f>
        <v>0</v>
      </c>
      <c r="X58" s="152">
        <f ca="1">IFERROR(__xludf.DUMMYFUNCTION("IMPORTRANGE(""https://docs.google.com/spreadsheets/d/1jkqa6GXxSacMcY1eN8AHjMNJ_7dDXMJVRLDlaFSOdPM/edit?usp=sharing"",""ตราด!J707"")"),0)</f>
        <v>0</v>
      </c>
      <c r="Y58" s="152">
        <f ca="1">IFERROR(__xludf.DUMMYFUNCTION("IMPORTRANGE(""https://docs.google.com/spreadsheets/d/1jkqa6GXxSacMcY1eN8AHjMNJ_7dDXMJVRLDlaFSOdPM/edit?usp=sharing"",""ตราด!J708"")"),0)</f>
        <v>0</v>
      </c>
      <c r="Z58" s="216">
        <f t="shared" ca="1" si="35"/>
        <v>0</v>
      </c>
      <c r="AA58" s="632">
        <f ca="1">IFERROR(__xludf.DUMMYFUNCTION("IMPORTRANGE(""https://docs.google.com/spreadsheets/d/1jkqa6GXxSacMcY1eN8AHjMNJ_7dDXMJVRLDlaFSOdPM/edit?usp=sharing"",""ตราด!I709"")"),4)</f>
        <v>4</v>
      </c>
      <c r="AB58" s="251">
        <f ca="1">IFERROR(__xludf.DUMMYFUNCTION("IMPORTRANGE(""https://docs.google.com/spreadsheets/d/1jkqa6GXxSacMcY1eN8AHjMNJ_7dDXMJVRLDlaFSOdPM/edit?usp=sharing"",""ตราด!J709"")"),0)</f>
        <v>0</v>
      </c>
      <c r="AC58" s="251">
        <f ca="1">IFERROR(__xludf.DUMMYFUNCTION("IMPORTRANGE(""https://docs.google.com/spreadsheets/d/1jkqa6GXxSacMcY1eN8AHjMNJ_7dDXMJVRLDlaFSOdPM/edit?usp=sharing"",""ตราด!J710"")"),0)</f>
        <v>0</v>
      </c>
      <c r="AD58" s="605">
        <f t="shared" ca="1" si="37"/>
        <v>0</v>
      </c>
    </row>
    <row r="59" spans="1:30" ht="19.5" x14ac:dyDescent="0.3">
      <c r="A59" s="70">
        <v>7</v>
      </c>
      <c r="B59" s="71" t="s">
        <v>87</v>
      </c>
      <c r="C59" s="68">
        <f ca="1">IFERROR(__xludf.DUMMYFUNCTION("IMPORTRANGE(""https://docs.google.com/spreadsheets/d/18hSgUJ3VwClqi_qtULmmW3cLr0oe3OKaSYoKzdpTsYQ/edit?usp=sharing"",""นครนายก!Q690"")"),58650)</f>
        <v>58650</v>
      </c>
      <c r="D59" s="68">
        <f ca="1">IFERROR(__xludf.DUMMYFUNCTION("IMPORTRANGE(""https://docs.google.com/spreadsheets/d/18hSgUJ3VwClqi_qtULmmW3cLr0oe3OKaSYoKzdpTsYQ/edit?usp=sharing"",""นครนายก!R690"")"),58650)</f>
        <v>58650</v>
      </c>
      <c r="E59" s="68">
        <f ca="1">IFERROR(__xludf.DUMMYFUNCTION("IMPORTRANGE(""https://docs.google.com/spreadsheets/d/18hSgUJ3VwClqi_qtULmmW3cLr0oe3OKaSYoKzdpTsYQ/edit?usp=sharing"",""นครนายก!S690"")"),41375)</f>
        <v>41375</v>
      </c>
      <c r="F59" s="68">
        <f t="shared" ca="1" si="24"/>
        <v>70.545609548167093</v>
      </c>
      <c r="G59" s="68">
        <f t="shared" ca="1" si="25"/>
        <v>70.545609548167093</v>
      </c>
      <c r="H59" s="278">
        <f ca="1">IFERROR(__xludf.DUMMYFUNCTION("IMPORTRANGE(""https://docs.google.com/spreadsheets/d/18hSgUJ3VwClqi_qtULmmW3cLr0oe3OKaSYoKzdpTsYQ/edit?usp=sharing"",""นครนายก!I700"")"),0)</f>
        <v>0</v>
      </c>
      <c r="I59" s="152">
        <f ca="1">IFERROR(__xludf.DUMMYFUNCTION("IMPORTRANGE(""https://docs.google.com/spreadsheets/d/18hSgUJ3VwClqi_qtULmmW3cLr0oe3OKaSYoKzdpTsYQ/edit?usp=sharing"",""นครนายก!J700"")"),0)</f>
        <v>0</v>
      </c>
      <c r="J59" s="216">
        <f t="shared" ca="1" si="27"/>
        <v>0</v>
      </c>
      <c r="K59" s="278">
        <f ca="1">IFERROR(__xludf.DUMMYFUNCTION("IMPORTRANGE(""https://docs.google.com/spreadsheets/d/18hSgUJ3VwClqi_qtULmmW3cLr0oe3OKaSYoKzdpTsYQ/edit?usp=sharing"",""นครนายก!I701"")"),2)</f>
        <v>2</v>
      </c>
      <c r="L59" s="152">
        <f ca="1">IFERROR(__xludf.DUMMYFUNCTION("IMPORTRANGE(""https://docs.google.com/spreadsheets/d/18hSgUJ3VwClqi_qtULmmW3cLr0oe3OKaSYoKzdpTsYQ/edit?usp=sharing"",""นครนายก!J701"")"),0)</f>
        <v>0</v>
      </c>
      <c r="M59" s="152">
        <f ca="1">IFERROR(__xludf.DUMMYFUNCTION("IMPORTRANGE(""https://docs.google.com/spreadsheets/d/18hSgUJ3VwClqi_qtULmmW3cLr0oe3OKaSYoKzdpTsYQ/edit?usp=sharing"",""นครนายก!J702"")"),0)</f>
        <v>0</v>
      </c>
      <c r="N59" s="216">
        <f t="shared" ca="1" si="29"/>
        <v>0</v>
      </c>
      <c r="O59" s="278">
        <f ca="1">IFERROR(__xludf.DUMMYFUNCTION("IMPORTRANGE(""https://docs.google.com/spreadsheets/d/18hSgUJ3VwClqi_qtULmmW3cLr0oe3OKaSYoKzdpTsYQ/edit?usp=sharing"",""นครนายก!I703"")"),0)</f>
        <v>0</v>
      </c>
      <c r="P59" s="152">
        <f ca="1">IFERROR(__xludf.DUMMYFUNCTION("IMPORTRANGE(""https://docs.google.com/spreadsheets/d/18hSgUJ3VwClqi_qtULmmW3cLr0oe3OKaSYoKzdpTsYQ/edit?usp=sharing"",""นครนายก!J703"")"),0)</f>
        <v>0</v>
      </c>
      <c r="Q59" s="152">
        <f ca="1">IFERROR(__xludf.DUMMYFUNCTION("IMPORTRANGE(""https://docs.google.com/spreadsheets/d/18hSgUJ3VwClqi_qtULmmW3cLr0oe3OKaSYoKzdpTsYQ/edit?usp=sharing"",""นครนายก!J704"")"),0)</f>
        <v>0</v>
      </c>
      <c r="R59" s="216">
        <f t="shared" ca="1" si="31"/>
        <v>0</v>
      </c>
      <c r="S59" s="632">
        <f ca="1">IFERROR(__xludf.DUMMYFUNCTION("IMPORTRANGE(""https://docs.google.com/spreadsheets/d/18hSgUJ3VwClqi_qtULmmW3cLr0oe3OKaSYoKzdpTsYQ/edit?usp=sharing"",""นครนายก!I705"")"),2)</f>
        <v>2</v>
      </c>
      <c r="T59" s="251">
        <f ca="1">IFERROR(__xludf.DUMMYFUNCTION("IMPORTRANGE(""https://docs.google.com/spreadsheets/d/18hSgUJ3VwClqi_qtULmmW3cLr0oe3OKaSYoKzdpTsYQ/edit?usp=sharing"",""นครนายก!J705"")"),0)</f>
        <v>0</v>
      </c>
      <c r="U59" s="251">
        <f ca="1">IFERROR(__xludf.DUMMYFUNCTION("IMPORTRANGE(""https://docs.google.com/spreadsheets/d/18hSgUJ3VwClqi_qtULmmW3cLr0oe3OKaSYoKzdpTsYQ/edit?usp=sharing"",""นครนายก!J706"")"),0)</f>
        <v>0</v>
      </c>
      <c r="V59" s="605">
        <f t="shared" ca="1" si="33"/>
        <v>0</v>
      </c>
      <c r="W59" s="278">
        <f ca="1">IFERROR(__xludf.DUMMYFUNCTION("IMPORTRANGE(""https://docs.google.com/spreadsheets/d/18hSgUJ3VwClqi_qtULmmW3cLr0oe3OKaSYoKzdpTsYQ/edit?usp=sharing"",""นครนายก!I707"")"),0)</f>
        <v>0</v>
      </c>
      <c r="X59" s="152">
        <f ca="1">IFERROR(__xludf.DUMMYFUNCTION("IMPORTRANGE(""https://docs.google.com/spreadsheets/d/18hSgUJ3VwClqi_qtULmmW3cLr0oe3OKaSYoKzdpTsYQ/edit?usp=sharing"",""นครนายก!J707"")"),0)</f>
        <v>0</v>
      </c>
      <c r="Y59" s="152">
        <f ca="1">IFERROR(__xludf.DUMMYFUNCTION("IMPORTRANGE(""https://docs.google.com/spreadsheets/d/18hSgUJ3VwClqi_qtULmmW3cLr0oe3OKaSYoKzdpTsYQ/edit?usp=sharing"",""นครนายก!J708"")"),0)</f>
        <v>0</v>
      </c>
      <c r="Z59" s="216">
        <f t="shared" ca="1" si="35"/>
        <v>0</v>
      </c>
      <c r="AA59" s="632">
        <f ca="1">IFERROR(__xludf.DUMMYFUNCTION("IMPORTRANGE(""https://docs.google.com/spreadsheets/d/18hSgUJ3VwClqi_qtULmmW3cLr0oe3OKaSYoKzdpTsYQ/edit?usp=sharing"",""นครนายก!I709"")"),2)</f>
        <v>2</v>
      </c>
      <c r="AB59" s="251">
        <f ca="1">IFERROR(__xludf.DUMMYFUNCTION("IMPORTRANGE(""https://docs.google.com/spreadsheets/d/18hSgUJ3VwClqi_qtULmmW3cLr0oe3OKaSYoKzdpTsYQ/edit?usp=sharing"",""นครนายก!J709"")"),0)</f>
        <v>0</v>
      </c>
      <c r="AC59" s="251">
        <f ca="1">IFERROR(__xludf.DUMMYFUNCTION("IMPORTRANGE(""https://docs.google.com/spreadsheets/d/18hSgUJ3VwClqi_qtULmmW3cLr0oe3OKaSYoKzdpTsYQ/edit?usp=sharing"",""นครนายก!J710"")"),0)</f>
        <v>0</v>
      </c>
      <c r="AD59" s="605">
        <f t="shared" ca="1" si="37"/>
        <v>0</v>
      </c>
    </row>
    <row r="60" spans="1:30" ht="19.5" x14ac:dyDescent="0.3">
      <c r="A60" s="70">
        <v>8</v>
      </c>
      <c r="B60" s="71" t="s">
        <v>88</v>
      </c>
      <c r="C60" s="68">
        <f ca="1">IFERROR(__xludf.DUMMYFUNCTION("IMPORTRANGE(""https://docs.google.com/spreadsheets/d/1YTZo6WM2dQ6Ix6FSdnL5P7uVnVKu40sxZu975tgG10E/edit?usp=sharing"",""นครปฐม!Q690"")"),0)</f>
        <v>0</v>
      </c>
      <c r="D60" s="68">
        <f ca="1">IFERROR(__xludf.DUMMYFUNCTION("IMPORTRANGE(""https://docs.google.com/spreadsheets/d/1YTZo6WM2dQ6Ix6FSdnL5P7uVnVKu40sxZu975tgG10E/edit?usp=sharing"",""นครปฐม!R690"")"),0)</f>
        <v>0</v>
      </c>
      <c r="E60" s="68">
        <f ca="1">IFERROR(__xludf.DUMMYFUNCTION("IMPORTRANGE(""https://docs.google.com/spreadsheets/d/1YTZo6WM2dQ6Ix6FSdnL5P7uVnVKu40sxZu975tgG10E/edit?usp=sharing"",""นครปฐม!S690"")"),0)</f>
        <v>0</v>
      </c>
      <c r="F60" s="68">
        <f t="shared" ca="1" si="24"/>
        <v>0</v>
      </c>
      <c r="G60" s="68">
        <f t="shared" ca="1" si="25"/>
        <v>0</v>
      </c>
      <c r="H60" s="278">
        <f ca="1">IFERROR(__xludf.DUMMYFUNCTION("IMPORTRANGE(""https://docs.google.com/spreadsheets/d/1YTZo6WM2dQ6Ix6FSdnL5P7uVnVKu40sxZu975tgG10E/edit?usp=sharing"",""นครปฐม!I700"")"),0)</f>
        <v>0</v>
      </c>
      <c r="I60" s="152">
        <f ca="1">IFERROR(__xludf.DUMMYFUNCTION("IMPORTRANGE(""https://docs.google.com/spreadsheets/d/1YTZo6WM2dQ6Ix6FSdnL5P7uVnVKu40sxZu975tgG10E/edit?usp=sharing"",""นครปฐม!J700"")"),0)</f>
        <v>0</v>
      </c>
      <c r="J60" s="216">
        <f t="shared" ca="1" si="27"/>
        <v>0</v>
      </c>
      <c r="K60" s="278">
        <f ca="1">IFERROR(__xludf.DUMMYFUNCTION("IMPORTRANGE(""https://docs.google.com/spreadsheets/d/1YTZo6WM2dQ6Ix6FSdnL5P7uVnVKu40sxZu975tgG10E/edit?usp=sharing"",""นครปฐม!I701"")"),0)</f>
        <v>0</v>
      </c>
      <c r="L60" s="152">
        <f ca="1">IFERROR(__xludf.DUMMYFUNCTION("IMPORTRANGE(""https://docs.google.com/spreadsheets/d/1YTZo6WM2dQ6Ix6FSdnL5P7uVnVKu40sxZu975tgG10E/edit?usp=sharing"",""นครปฐม!J701"")"),0)</f>
        <v>0</v>
      </c>
      <c r="M60" s="152">
        <f ca="1">IFERROR(__xludf.DUMMYFUNCTION("IMPORTRANGE(""https://docs.google.com/spreadsheets/d/1YTZo6WM2dQ6Ix6FSdnL5P7uVnVKu40sxZu975tgG10E/edit?usp=sharing"",""นครปฐม!J702"")"),0)</f>
        <v>0</v>
      </c>
      <c r="N60" s="216">
        <f t="shared" ca="1" si="29"/>
        <v>0</v>
      </c>
      <c r="O60" s="278">
        <f ca="1">IFERROR(__xludf.DUMMYFUNCTION("IMPORTRANGE(""https://docs.google.com/spreadsheets/d/1YTZo6WM2dQ6Ix6FSdnL5P7uVnVKu40sxZu975tgG10E/edit?usp=sharing"",""นครปฐม!I703"")"),0)</f>
        <v>0</v>
      </c>
      <c r="P60" s="152">
        <f ca="1">IFERROR(__xludf.DUMMYFUNCTION("IMPORTRANGE(""https://docs.google.com/spreadsheets/d/1YTZo6WM2dQ6Ix6FSdnL5P7uVnVKu40sxZu975tgG10E/edit?usp=sharing"",""นครปฐม!J703"")"),0)</f>
        <v>0</v>
      </c>
      <c r="Q60" s="152">
        <f ca="1">IFERROR(__xludf.DUMMYFUNCTION("IMPORTRANGE(""https://docs.google.com/spreadsheets/d/1YTZo6WM2dQ6Ix6FSdnL5P7uVnVKu40sxZu975tgG10E/edit?usp=sharing"",""นครปฐม!J704"")"),0)</f>
        <v>0</v>
      </c>
      <c r="R60" s="216">
        <f t="shared" ca="1" si="31"/>
        <v>0</v>
      </c>
      <c r="S60" s="632">
        <f ca="1">IFERROR(__xludf.DUMMYFUNCTION("IMPORTRANGE(""https://docs.google.com/spreadsheets/d/1YTZo6WM2dQ6Ix6FSdnL5P7uVnVKu40sxZu975tgG10E/edit?usp=sharing"",""นครปฐม!I705"")"),0)</f>
        <v>0</v>
      </c>
      <c r="T60" s="251">
        <f ca="1">IFERROR(__xludf.DUMMYFUNCTION("IMPORTRANGE(""https://docs.google.com/spreadsheets/d/1YTZo6WM2dQ6Ix6FSdnL5P7uVnVKu40sxZu975tgG10E/edit?usp=sharing"",""นครปฐม!J705"")"),0)</f>
        <v>0</v>
      </c>
      <c r="U60" s="251">
        <f ca="1">IFERROR(__xludf.DUMMYFUNCTION("IMPORTRANGE(""https://docs.google.com/spreadsheets/d/1YTZo6WM2dQ6Ix6FSdnL5P7uVnVKu40sxZu975tgG10E/edit?usp=sharing"",""นครปฐม!J706"")"),0)</f>
        <v>0</v>
      </c>
      <c r="V60" s="605">
        <f t="shared" ca="1" si="33"/>
        <v>0</v>
      </c>
      <c r="W60" s="278">
        <f ca="1">IFERROR(__xludf.DUMMYFUNCTION("IMPORTRANGE(""https://docs.google.com/spreadsheets/d/1YTZo6WM2dQ6Ix6FSdnL5P7uVnVKu40sxZu975tgG10E/edit?usp=sharing"",""นครปฐม!I707"")"),0)</f>
        <v>0</v>
      </c>
      <c r="X60" s="152">
        <f ca="1">IFERROR(__xludf.DUMMYFUNCTION("IMPORTRANGE(""https://docs.google.com/spreadsheets/d/1YTZo6WM2dQ6Ix6FSdnL5P7uVnVKu40sxZu975tgG10E/edit?usp=sharing"",""นครปฐม!J707"")"),0)</f>
        <v>0</v>
      </c>
      <c r="Y60" s="152">
        <f ca="1">IFERROR(__xludf.DUMMYFUNCTION("IMPORTRANGE(""https://docs.google.com/spreadsheets/d/1YTZo6WM2dQ6Ix6FSdnL5P7uVnVKu40sxZu975tgG10E/edit?usp=sharing"",""นครปฐม!J708"")"),0)</f>
        <v>0</v>
      </c>
      <c r="Z60" s="216">
        <f t="shared" ca="1" si="35"/>
        <v>0</v>
      </c>
      <c r="AA60" s="632">
        <f ca="1">IFERROR(__xludf.DUMMYFUNCTION("IMPORTRANGE(""https://docs.google.com/spreadsheets/d/1YTZo6WM2dQ6Ix6FSdnL5P7uVnVKu40sxZu975tgG10E/edit?usp=sharing"",""นครปฐม!I709"")"),0)</f>
        <v>0</v>
      </c>
      <c r="AB60" s="251">
        <f ca="1">IFERROR(__xludf.DUMMYFUNCTION("IMPORTRANGE(""https://docs.google.com/spreadsheets/d/1YTZo6WM2dQ6Ix6FSdnL5P7uVnVKu40sxZu975tgG10E/edit?usp=sharing"",""นครปฐม!J709"")"),0)</f>
        <v>0</v>
      </c>
      <c r="AC60" s="251">
        <f ca="1">IFERROR(__xludf.DUMMYFUNCTION("IMPORTRANGE(""https://docs.google.com/spreadsheets/d/1YTZo6WM2dQ6Ix6FSdnL5P7uVnVKu40sxZu975tgG10E/edit?usp=sharing"",""นครปฐม!J710"")"),0)</f>
        <v>0</v>
      </c>
      <c r="AD60" s="605">
        <f t="shared" ca="1" si="37"/>
        <v>0</v>
      </c>
    </row>
    <row r="61" spans="1:30" ht="19.5" x14ac:dyDescent="0.3">
      <c r="A61" s="70">
        <v>9</v>
      </c>
      <c r="B61" s="71" t="s">
        <v>89</v>
      </c>
      <c r="C61" s="68">
        <f ca="1">IFERROR(__xludf.DUMMYFUNCTION("IMPORTRANGE(""https://docs.google.com/spreadsheets/d/1OYoGg4WDg5RIzwGeB10padOxJF9E_Vljuvvct_M7RDo/edit?usp=sharing"",""ปทุมธานี!Q690"")"),59590)</f>
        <v>59590</v>
      </c>
      <c r="D61" s="68">
        <f ca="1">IFERROR(__xludf.DUMMYFUNCTION("IMPORTRANGE(""https://docs.google.com/spreadsheets/d/1OYoGg4WDg5RIzwGeB10padOxJF9E_Vljuvvct_M7RDo/edit?usp=sharing"",""ปทุมธานี!R690"")"),59590)</f>
        <v>59590</v>
      </c>
      <c r="E61" s="68">
        <f ca="1">IFERROR(__xludf.DUMMYFUNCTION("IMPORTRANGE(""https://docs.google.com/spreadsheets/d/1OYoGg4WDg5RIzwGeB10padOxJF9E_Vljuvvct_M7RDo/edit?usp=sharing"",""ปทุมธานี!S690"")"),1260)</f>
        <v>1260</v>
      </c>
      <c r="F61" s="68">
        <f t="shared" ca="1" si="24"/>
        <v>2.1144487330088939</v>
      </c>
      <c r="G61" s="68">
        <f t="shared" ca="1" si="25"/>
        <v>2.1144487330088939</v>
      </c>
      <c r="H61" s="278">
        <f ca="1">IFERROR(__xludf.DUMMYFUNCTION("IMPORTRANGE(""https://docs.google.com/spreadsheets/d/1OYoGg4WDg5RIzwGeB10padOxJF9E_Vljuvvct_M7RDo/edit?usp=sharing"",""ปทุมธานี!I700"")"),0)</f>
        <v>0</v>
      </c>
      <c r="I61" s="152">
        <f ca="1">IFERROR(__xludf.DUMMYFUNCTION("IMPORTRANGE(""https://docs.google.com/spreadsheets/d/1OYoGg4WDg5RIzwGeB10padOxJF9E_Vljuvvct_M7RDo/edit?usp=sharing"",""ปทุมธานี!J700"")"),0)</f>
        <v>0</v>
      </c>
      <c r="J61" s="216">
        <f t="shared" ca="1" si="27"/>
        <v>0</v>
      </c>
      <c r="K61" s="278">
        <f ca="1">IFERROR(__xludf.DUMMYFUNCTION("IMPORTRANGE(""https://docs.google.com/spreadsheets/d/1OYoGg4WDg5RIzwGeB10padOxJF9E_Vljuvvct_M7RDo/edit?usp=sharing"",""ปทุมธานี!I701"")"),3)</f>
        <v>3</v>
      </c>
      <c r="L61" s="152">
        <f ca="1">IFERROR(__xludf.DUMMYFUNCTION("IMPORTRANGE(""https://docs.google.com/spreadsheets/d/1OYoGg4WDg5RIzwGeB10padOxJF9E_Vljuvvct_M7RDo/edit?usp=sharing"",""ปทุมธานี!J701"")"),0)</f>
        <v>0</v>
      </c>
      <c r="M61" s="152">
        <f ca="1">IFERROR(__xludf.DUMMYFUNCTION("IMPORTRANGE(""https://docs.google.com/spreadsheets/d/1OYoGg4WDg5RIzwGeB10padOxJF9E_Vljuvvct_M7RDo/edit?usp=sharing"",""ปทุมธานี!J702"")"),0)</f>
        <v>0</v>
      </c>
      <c r="N61" s="216">
        <f t="shared" ca="1" si="29"/>
        <v>0</v>
      </c>
      <c r="O61" s="278">
        <f ca="1">IFERROR(__xludf.DUMMYFUNCTION("IMPORTRANGE(""https://docs.google.com/spreadsheets/d/1OYoGg4WDg5RIzwGeB10padOxJF9E_Vljuvvct_M7RDo/edit?usp=sharing"",""ปทุมธานี!I703"")"),0)</f>
        <v>0</v>
      </c>
      <c r="P61" s="152">
        <f ca="1">IFERROR(__xludf.DUMMYFUNCTION("IMPORTRANGE(""https://docs.google.com/spreadsheets/d/1OYoGg4WDg5RIzwGeB10padOxJF9E_Vljuvvct_M7RDo/edit?usp=sharing"",""ปทุมธานี!J703"")"),0)</f>
        <v>0</v>
      </c>
      <c r="Q61" s="152">
        <f ca="1">IFERROR(__xludf.DUMMYFUNCTION("IMPORTRANGE(""https://docs.google.com/spreadsheets/d/1OYoGg4WDg5RIzwGeB10padOxJF9E_Vljuvvct_M7RDo/edit?usp=sharing"",""ปทุมธานี!J704"")"),0)</f>
        <v>0</v>
      </c>
      <c r="R61" s="216">
        <f t="shared" ca="1" si="31"/>
        <v>0</v>
      </c>
      <c r="S61" s="632">
        <f ca="1">IFERROR(__xludf.DUMMYFUNCTION("IMPORTRANGE(""https://docs.google.com/spreadsheets/d/1OYoGg4WDg5RIzwGeB10padOxJF9E_Vljuvvct_M7RDo/edit?usp=sharing"",""ปทุมธานี!I705"")"),3)</f>
        <v>3</v>
      </c>
      <c r="T61" s="251">
        <f ca="1">IFERROR(__xludf.DUMMYFUNCTION("IMPORTRANGE(""https://docs.google.com/spreadsheets/d/1OYoGg4WDg5RIzwGeB10padOxJF9E_Vljuvvct_M7RDo/edit?usp=sharing"",""ปทุมธานี!J705"")"),0)</f>
        <v>0</v>
      </c>
      <c r="U61" s="251">
        <f ca="1">IFERROR(__xludf.DUMMYFUNCTION("IMPORTRANGE(""https://docs.google.com/spreadsheets/d/1OYoGg4WDg5RIzwGeB10padOxJF9E_Vljuvvct_M7RDo/edit?usp=sharing"",""ปทุมธานี!J706"")"),0)</f>
        <v>0</v>
      </c>
      <c r="V61" s="605">
        <f t="shared" ca="1" si="33"/>
        <v>0</v>
      </c>
      <c r="W61" s="278">
        <f ca="1">IFERROR(__xludf.DUMMYFUNCTION("IMPORTRANGE(""https://docs.google.com/spreadsheets/d/1OYoGg4WDg5RIzwGeB10padOxJF9E_Vljuvvct_M7RDo/edit?usp=sharing"",""ปทุมธานี!I707"")"),0)</f>
        <v>0</v>
      </c>
      <c r="X61" s="152">
        <f ca="1">IFERROR(__xludf.DUMMYFUNCTION("IMPORTRANGE(""https://docs.google.com/spreadsheets/d/1OYoGg4WDg5RIzwGeB10padOxJF9E_Vljuvvct_M7RDo/edit?usp=sharing"",""ปทุมธานี!J707"")"),0)</f>
        <v>0</v>
      </c>
      <c r="Y61" s="152">
        <f ca="1">IFERROR(__xludf.DUMMYFUNCTION("IMPORTRANGE(""https://docs.google.com/spreadsheets/d/1OYoGg4WDg5RIzwGeB10padOxJF9E_Vljuvvct_M7RDo/edit?usp=sharing"",""ปทุมธานี!J708"")"),0)</f>
        <v>0</v>
      </c>
      <c r="Z61" s="216">
        <f t="shared" ca="1" si="35"/>
        <v>0</v>
      </c>
      <c r="AA61" s="632">
        <f ca="1">IFERROR(__xludf.DUMMYFUNCTION("IMPORTRANGE(""https://docs.google.com/spreadsheets/d/1OYoGg4WDg5RIzwGeB10padOxJF9E_Vljuvvct_M7RDo/edit?usp=sharing"",""ปทุมธานี!I709"")"),3)</f>
        <v>3</v>
      </c>
      <c r="AB61" s="251">
        <f ca="1">IFERROR(__xludf.DUMMYFUNCTION("IMPORTRANGE(""https://docs.google.com/spreadsheets/d/1OYoGg4WDg5RIzwGeB10padOxJF9E_Vljuvvct_M7RDo/edit?usp=sharing"",""ปทุมธานี!J709"")"),4)</f>
        <v>4</v>
      </c>
      <c r="AC61" s="251">
        <f ca="1">IFERROR(__xludf.DUMMYFUNCTION("IMPORTRANGE(""https://docs.google.com/spreadsheets/d/1OYoGg4WDg5RIzwGeB10padOxJF9E_Vljuvvct_M7RDo/edit?usp=sharing"",""ปทุมธานี!J710"")"),0)</f>
        <v>0</v>
      </c>
      <c r="AD61" s="605">
        <f t="shared" ca="1" si="37"/>
        <v>133.33333333333334</v>
      </c>
    </row>
    <row r="62" spans="1:30" ht="19.5" x14ac:dyDescent="0.3">
      <c r="A62" s="70">
        <v>10</v>
      </c>
      <c r="B62" s="71" t="s">
        <v>90</v>
      </c>
      <c r="C62" s="68">
        <f ca="1">IFERROR(__xludf.DUMMYFUNCTION("IMPORTRANGE(""https://docs.google.com/spreadsheets/d/1GbCIE4D4wk9FUozzqk7SxfDMxDVBwVmI5zcaVUSzKAc/edit?usp=sharing"",""ประจวบคีรีขันธ์!Q690"")"),132160)</f>
        <v>132160</v>
      </c>
      <c r="D62" s="68">
        <f ca="1">IFERROR(__xludf.DUMMYFUNCTION("IMPORTRANGE(""https://docs.google.com/spreadsheets/d/1GbCIE4D4wk9FUozzqk7SxfDMxDVBwVmI5zcaVUSzKAc/edit?usp=sharing"",""ประจวบคีรีขันธ์!R690"")"),132160)</f>
        <v>132160</v>
      </c>
      <c r="E62" s="68">
        <f ca="1">IFERROR(__xludf.DUMMYFUNCTION("IMPORTRANGE(""https://docs.google.com/spreadsheets/d/1GbCIE4D4wk9FUozzqk7SxfDMxDVBwVmI5zcaVUSzKAc/edit?usp=sharing"",""ประจวบคีรีขันธ์!S690"")"),0)</f>
        <v>0</v>
      </c>
      <c r="F62" s="68">
        <f t="shared" ca="1" si="24"/>
        <v>0</v>
      </c>
      <c r="G62" s="68">
        <f t="shared" ca="1" si="25"/>
        <v>0</v>
      </c>
      <c r="H62" s="278">
        <f ca="1">IFERROR(__xludf.DUMMYFUNCTION("IMPORTRANGE(""https://docs.google.com/spreadsheets/d/1GbCIE4D4wk9FUozzqk7SxfDMxDVBwVmI5zcaVUSzKAc/edit?usp=sharing"",""ประจวบคีรีขันธ์!I700"")"),0)</f>
        <v>0</v>
      </c>
      <c r="I62" s="152">
        <f ca="1">IFERROR(__xludf.DUMMYFUNCTION("IMPORTRANGE(""https://docs.google.com/spreadsheets/d/1GbCIE4D4wk9FUozzqk7SxfDMxDVBwVmI5zcaVUSzKAc/edit?usp=sharing"",""ประจวบคีรีขันธ์!J700"")"),0)</f>
        <v>0</v>
      </c>
      <c r="J62" s="216">
        <f t="shared" ca="1" si="27"/>
        <v>0</v>
      </c>
      <c r="K62" s="278">
        <f ca="1">IFERROR(__xludf.DUMMYFUNCTION("IMPORTRANGE(""https://docs.google.com/spreadsheets/d/1GbCIE4D4wk9FUozzqk7SxfDMxDVBwVmI5zcaVUSzKAc/edit?usp=sharing"",""ประจวบคีรีขันธ์!I701"")"),21)</f>
        <v>21</v>
      </c>
      <c r="L62" s="152">
        <f ca="1">IFERROR(__xludf.DUMMYFUNCTION("IMPORTRANGE(""https://docs.google.com/spreadsheets/d/1GbCIE4D4wk9FUozzqk7SxfDMxDVBwVmI5zcaVUSzKAc/edit?usp=sharing"",""ประจวบคีรีขันธ์!J701"")"),0)</f>
        <v>0</v>
      </c>
      <c r="M62" s="152">
        <f ca="1">IFERROR(__xludf.DUMMYFUNCTION("IMPORTRANGE(""https://docs.google.com/spreadsheets/d/1GbCIE4D4wk9FUozzqk7SxfDMxDVBwVmI5zcaVUSzKAc/edit?usp=sharing"",""ประจวบคีรีขันธ์!J702"")"),0)</f>
        <v>0</v>
      </c>
      <c r="N62" s="216">
        <f t="shared" ca="1" si="29"/>
        <v>0</v>
      </c>
      <c r="O62" s="278">
        <f ca="1">IFERROR(__xludf.DUMMYFUNCTION("IMPORTRANGE(""https://docs.google.com/spreadsheets/d/1GbCIE4D4wk9FUozzqk7SxfDMxDVBwVmI5zcaVUSzKAc/edit?usp=sharing"",""ประจวบคีรีขันธ์!I703"")"),20)</f>
        <v>20</v>
      </c>
      <c r="P62" s="152">
        <f ca="1">IFERROR(__xludf.DUMMYFUNCTION("IMPORTRANGE(""https://docs.google.com/spreadsheets/d/1GbCIE4D4wk9FUozzqk7SxfDMxDVBwVmI5zcaVUSzKAc/edit?usp=sharing"",""ประจวบคีรีขันธ์!J703"")"),0)</f>
        <v>0</v>
      </c>
      <c r="Q62" s="152">
        <f ca="1">IFERROR(__xludf.DUMMYFUNCTION("IMPORTRANGE(""https://docs.google.com/spreadsheets/d/1GbCIE4D4wk9FUozzqk7SxfDMxDVBwVmI5zcaVUSzKAc/edit?usp=sharing"",""ประจวบคีรีขันธ์!J704"")"),0)</f>
        <v>0</v>
      </c>
      <c r="R62" s="216">
        <f t="shared" ca="1" si="31"/>
        <v>0</v>
      </c>
      <c r="S62" s="632">
        <f ca="1">IFERROR(__xludf.DUMMYFUNCTION("IMPORTRANGE(""https://docs.google.com/spreadsheets/d/1GbCIE4D4wk9FUozzqk7SxfDMxDVBwVmI5zcaVUSzKAc/edit?usp=sharing"",""ประจวบคีรีขันธ์!I705"")"),1)</f>
        <v>1</v>
      </c>
      <c r="T62" s="251">
        <f ca="1">IFERROR(__xludf.DUMMYFUNCTION("IMPORTRANGE(""https://docs.google.com/spreadsheets/d/1GbCIE4D4wk9FUozzqk7SxfDMxDVBwVmI5zcaVUSzKAc/edit?usp=sharing"",""ประจวบคีรีขันธ์!J705"")"),0)</f>
        <v>0</v>
      </c>
      <c r="U62" s="251">
        <f ca="1">IFERROR(__xludf.DUMMYFUNCTION("IMPORTRANGE(""https://docs.google.com/spreadsheets/d/1GbCIE4D4wk9FUozzqk7SxfDMxDVBwVmI5zcaVUSzKAc/edit?usp=sharing"",""ประจวบคีรีขันธ์!J706"")"),0)</f>
        <v>0</v>
      </c>
      <c r="V62" s="605">
        <f t="shared" ca="1" si="33"/>
        <v>0</v>
      </c>
      <c r="W62" s="278">
        <f ca="1">IFERROR(__xludf.DUMMYFUNCTION("IMPORTRANGE(""https://docs.google.com/spreadsheets/d/1GbCIE4D4wk9FUozzqk7SxfDMxDVBwVmI5zcaVUSzKAc/edit?usp=sharing"",""ประจวบคีรีขันธ์!I707"")"),20)</f>
        <v>20</v>
      </c>
      <c r="X62" s="152">
        <f ca="1">IFERROR(__xludf.DUMMYFUNCTION("IMPORTRANGE(""https://docs.google.com/spreadsheets/d/1GbCIE4D4wk9FUozzqk7SxfDMxDVBwVmI5zcaVUSzKAc/edit?usp=sharing"",""ประจวบคีรีขันธ์!J707"")"),0)</f>
        <v>0</v>
      </c>
      <c r="Y62" s="152">
        <f ca="1">IFERROR(__xludf.DUMMYFUNCTION("IMPORTRANGE(""https://docs.google.com/spreadsheets/d/1GbCIE4D4wk9FUozzqk7SxfDMxDVBwVmI5zcaVUSzKAc/edit?usp=sharing"",""ประจวบคีรีขันธ์!J708"")"),0)</f>
        <v>0</v>
      </c>
      <c r="Z62" s="216">
        <f t="shared" ca="1" si="35"/>
        <v>0</v>
      </c>
      <c r="AA62" s="632">
        <f ca="1">IFERROR(__xludf.DUMMYFUNCTION("IMPORTRANGE(""https://docs.google.com/spreadsheets/d/1GbCIE4D4wk9FUozzqk7SxfDMxDVBwVmI5zcaVUSzKAc/edit?usp=sharing"",""ประจวบคีรีขันธ์!I709"")"),1)</f>
        <v>1</v>
      </c>
      <c r="AB62" s="251">
        <f ca="1">IFERROR(__xludf.DUMMYFUNCTION("IMPORTRANGE(""https://docs.google.com/spreadsheets/d/1GbCIE4D4wk9FUozzqk7SxfDMxDVBwVmI5zcaVUSzKAc/edit?usp=sharing"",""ประจวบคีรีขันธ์!J709"")"),1)</f>
        <v>1</v>
      </c>
      <c r="AC62" s="251">
        <f ca="1">IFERROR(__xludf.DUMMYFUNCTION("IMPORTRANGE(""https://docs.google.com/spreadsheets/d/1GbCIE4D4wk9FUozzqk7SxfDMxDVBwVmI5zcaVUSzKAc/edit?usp=sharing"",""ประจวบคีรีขันธ์!J710"")"),0)</f>
        <v>0</v>
      </c>
      <c r="AD62" s="605">
        <f t="shared" ca="1" si="37"/>
        <v>100</v>
      </c>
    </row>
    <row r="63" spans="1:30" ht="19.5" x14ac:dyDescent="0.3">
      <c r="A63" s="70">
        <v>11</v>
      </c>
      <c r="B63" s="71" t="s">
        <v>91</v>
      </c>
      <c r="C63" s="68">
        <f ca="1">IFERROR(__xludf.DUMMYFUNCTION("IMPORTRANGE(""https://docs.google.com/spreadsheets/d/1vVf6wykvW_lAyu7Yo9L4hUTqHqIeP_qcVuxCtosJEbg/edit?usp=sharing"",""ปราจีนบุรี!Q690"")"),61640)</f>
        <v>61640</v>
      </c>
      <c r="D63" s="68">
        <f ca="1">IFERROR(__xludf.DUMMYFUNCTION("IMPORTRANGE(""https://docs.google.com/spreadsheets/d/1vVf6wykvW_lAyu7Yo9L4hUTqHqIeP_qcVuxCtosJEbg/edit?usp=sharing"",""ปราจีนบุรี!R690"")"),61640)</f>
        <v>61640</v>
      </c>
      <c r="E63" s="68">
        <f ca="1">IFERROR(__xludf.DUMMYFUNCTION("IMPORTRANGE(""https://docs.google.com/spreadsheets/d/1vVf6wykvW_lAyu7Yo9L4hUTqHqIeP_qcVuxCtosJEbg/edit?usp=sharing"",""ปราจีนบุรี!S690"")"),0)</f>
        <v>0</v>
      </c>
      <c r="F63" s="68">
        <f t="shared" ca="1" si="24"/>
        <v>0</v>
      </c>
      <c r="G63" s="68">
        <f t="shared" ca="1" si="25"/>
        <v>0</v>
      </c>
      <c r="H63" s="278">
        <f ca="1">IFERROR(__xludf.DUMMYFUNCTION("IMPORTRANGE(""https://docs.google.com/spreadsheets/d/1vVf6wykvW_lAyu7Yo9L4hUTqHqIeP_qcVuxCtosJEbg/edit?usp=sharing"",""ปราจีนบุรี!I700"")"),0)</f>
        <v>0</v>
      </c>
      <c r="I63" s="152">
        <f ca="1">IFERROR(__xludf.DUMMYFUNCTION("IMPORTRANGE(""https://docs.google.com/spreadsheets/d/1vVf6wykvW_lAyu7Yo9L4hUTqHqIeP_qcVuxCtosJEbg/edit?usp=sharing"",""ปราจีนบุรี!J700"")"),0)</f>
        <v>0</v>
      </c>
      <c r="J63" s="216">
        <f t="shared" ca="1" si="27"/>
        <v>0</v>
      </c>
      <c r="K63" s="278">
        <f ca="1">IFERROR(__xludf.DUMMYFUNCTION("IMPORTRANGE(""https://docs.google.com/spreadsheets/d/1vVf6wykvW_lAyu7Yo9L4hUTqHqIeP_qcVuxCtosJEbg/edit?usp=sharing"",""ปราจีนบุรี!I701"")"),4)</f>
        <v>4</v>
      </c>
      <c r="L63" s="152">
        <f ca="1">IFERROR(__xludf.DUMMYFUNCTION("IMPORTRANGE(""https://docs.google.com/spreadsheets/d/1vVf6wykvW_lAyu7Yo9L4hUTqHqIeP_qcVuxCtosJEbg/edit?usp=sharing"",""ปราจีนบุรี!J701"")"),0)</f>
        <v>0</v>
      </c>
      <c r="M63" s="152">
        <f ca="1">IFERROR(__xludf.DUMMYFUNCTION("IMPORTRANGE(""https://docs.google.com/spreadsheets/d/1vVf6wykvW_lAyu7Yo9L4hUTqHqIeP_qcVuxCtosJEbg/edit?usp=sharing"",""ปราจีนบุรี!J702"")"),0)</f>
        <v>0</v>
      </c>
      <c r="N63" s="216">
        <f t="shared" ca="1" si="29"/>
        <v>0</v>
      </c>
      <c r="O63" s="278">
        <f ca="1">IFERROR(__xludf.DUMMYFUNCTION("IMPORTRANGE(""https://docs.google.com/spreadsheets/d/1vVf6wykvW_lAyu7Yo9L4hUTqHqIeP_qcVuxCtosJEbg/edit?usp=sharing"",""ปราจีนบุรี!I703"")"),2)</f>
        <v>2</v>
      </c>
      <c r="P63" s="152">
        <f ca="1">IFERROR(__xludf.DUMMYFUNCTION("IMPORTRANGE(""https://docs.google.com/spreadsheets/d/1vVf6wykvW_lAyu7Yo9L4hUTqHqIeP_qcVuxCtosJEbg/edit?usp=sharing"",""ปราจีนบุรี!J703"")"),0)</f>
        <v>0</v>
      </c>
      <c r="Q63" s="152">
        <f ca="1">IFERROR(__xludf.DUMMYFUNCTION("IMPORTRANGE(""https://docs.google.com/spreadsheets/d/1vVf6wykvW_lAyu7Yo9L4hUTqHqIeP_qcVuxCtosJEbg/edit?usp=sharing"",""ปราจีนบุรี!J704"")"),0)</f>
        <v>0</v>
      </c>
      <c r="R63" s="216">
        <f t="shared" ca="1" si="31"/>
        <v>0</v>
      </c>
      <c r="S63" s="632">
        <f ca="1">IFERROR(__xludf.DUMMYFUNCTION("IMPORTRANGE(""https://docs.google.com/spreadsheets/d/1vVf6wykvW_lAyu7Yo9L4hUTqHqIeP_qcVuxCtosJEbg/edit?usp=sharing"",""ปราจีนบุรี!I705"")"),2)</f>
        <v>2</v>
      </c>
      <c r="T63" s="251">
        <f ca="1">IFERROR(__xludf.DUMMYFUNCTION("IMPORTRANGE(""https://docs.google.com/spreadsheets/d/1vVf6wykvW_lAyu7Yo9L4hUTqHqIeP_qcVuxCtosJEbg/edit?usp=sharing"",""ปราจีนบุรี!J705"")"),0)</f>
        <v>0</v>
      </c>
      <c r="U63" s="251">
        <f ca="1">IFERROR(__xludf.DUMMYFUNCTION("IMPORTRANGE(""https://docs.google.com/spreadsheets/d/1vVf6wykvW_lAyu7Yo9L4hUTqHqIeP_qcVuxCtosJEbg/edit?usp=sharing"",""ปราจีนบุรี!J706"")"),0)</f>
        <v>0</v>
      </c>
      <c r="V63" s="605">
        <f t="shared" ca="1" si="33"/>
        <v>0</v>
      </c>
      <c r="W63" s="278">
        <f ca="1">IFERROR(__xludf.DUMMYFUNCTION("IMPORTRANGE(""https://docs.google.com/spreadsheets/d/1vVf6wykvW_lAyu7Yo9L4hUTqHqIeP_qcVuxCtosJEbg/edit?usp=sharing"",""ปราจีนบุรี!I707"")"),2)</f>
        <v>2</v>
      </c>
      <c r="X63" s="152">
        <f ca="1">IFERROR(__xludf.DUMMYFUNCTION("IMPORTRANGE(""https://docs.google.com/spreadsheets/d/1vVf6wykvW_lAyu7Yo9L4hUTqHqIeP_qcVuxCtosJEbg/edit?usp=sharing"",""ปราจีนบุรี!J707"")"),0)</f>
        <v>0</v>
      </c>
      <c r="Y63" s="152">
        <f ca="1">IFERROR(__xludf.DUMMYFUNCTION("IMPORTRANGE(""https://docs.google.com/spreadsheets/d/1vVf6wykvW_lAyu7Yo9L4hUTqHqIeP_qcVuxCtosJEbg/edit?usp=sharing"",""ปราจีนบุรี!J708"")"),0)</f>
        <v>0</v>
      </c>
      <c r="Z63" s="216">
        <f t="shared" ca="1" si="35"/>
        <v>0</v>
      </c>
      <c r="AA63" s="632">
        <f ca="1">IFERROR(__xludf.DUMMYFUNCTION("IMPORTRANGE(""https://docs.google.com/spreadsheets/d/1vVf6wykvW_lAyu7Yo9L4hUTqHqIeP_qcVuxCtosJEbg/edit?usp=sharing"",""ปราจีนบุรี!I709"")"),2)</f>
        <v>2</v>
      </c>
      <c r="AB63" s="251">
        <f ca="1">IFERROR(__xludf.DUMMYFUNCTION("IMPORTRANGE(""https://docs.google.com/spreadsheets/d/1vVf6wykvW_lAyu7Yo9L4hUTqHqIeP_qcVuxCtosJEbg/edit?usp=sharing"",""ปราจีนบุรี!J709"")"),0)</f>
        <v>0</v>
      </c>
      <c r="AC63" s="251">
        <f ca="1">IFERROR(__xludf.DUMMYFUNCTION("IMPORTRANGE(""https://docs.google.com/spreadsheets/d/1vVf6wykvW_lAyu7Yo9L4hUTqHqIeP_qcVuxCtosJEbg/edit?usp=sharing"",""ปราจีนบุรี!J710"")"),0)</f>
        <v>0</v>
      </c>
      <c r="AD63" s="605">
        <f t="shared" ca="1" si="37"/>
        <v>0</v>
      </c>
    </row>
    <row r="64" spans="1:30" ht="19.5" x14ac:dyDescent="0.3">
      <c r="A64" s="70">
        <v>12</v>
      </c>
      <c r="B64" s="71" t="s">
        <v>92</v>
      </c>
      <c r="C64" s="68">
        <f ca="1">IFERROR(__xludf.DUMMYFUNCTION("IMPORTRANGE(""https://docs.google.com/spreadsheets/d/1BIDqLLg5jk3v59G8NlR8rk5xfQDKne0sAvZHSj7TI6I/edit?usp=sharing"",""พระนครศรีอยุธยา!Q690"")"),59430)</f>
        <v>59430</v>
      </c>
      <c r="D64" s="68">
        <f ca="1">IFERROR(__xludf.DUMMYFUNCTION("IMPORTRANGE(""https://docs.google.com/spreadsheets/d/1BIDqLLg5jk3v59G8NlR8rk5xfQDKne0sAvZHSj7TI6I/edit?usp=sharing"",""พระนครศรีอยุธยา!R690"")"),59430)</f>
        <v>59430</v>
      </c>
      <c r="E64" s="68">
        <f ca="1">IFERROR(__xludf.DUMMYFUNCTION("IMPORTRANGE(""https://docs.google.com/spreadsheets/d/1BIDqLLg5jk3v59G8NlR8rk5xfQDKne0sAvZHSj7TI6I/edit?usp=sharing"",""พระนครศรีอยุธยา!S690"")"),1819)</f>
        <v>1819</v>
      </c>
      <c r="F64" s="68">
        <f t="shared" ca="1" si="24"/>
        <v>3.060743732121824</v>
      </c>
      <c r="G64" s="68">
        <f t="shared" ca="1" si="25"/>
        <v>3.060743732121824</v>
      </c>
      <c r="H64" s="278">
        <f ca="1">IFERROR(__xludf.DUMMYFUNCTION("IMPORTRANGE(""https://docs.google.com/spreadsheets/d/1BIDqLLg5jk3v59G8NlR8rk5xfQDKne0sAvZHSj7TI6I/edit?usp=sharing"",""พระนครศรีอยุธยา!I700"")"),0)</f>
        <v>0</v>
      </c>
      <c r="I64" s="152">
        <f ca="1">IFERROR(__xludf.DUMMYFUNCTION("IMPORTRANGE(""https://docs.google.com/spreadsheets/d/1BIDqLLg5jk3v59G8NlR8rk5xfQDKne0sAvZHSj7TI6I/edit?usp=sharing"",""พระนครศรีอยุธยา!J700"")"),0)</f>
        <v>0</v>
      </c>
      <c r="J64" s="216">
        <f t="shared" ca="1" si="27"/>
        <v>0</v>
      </c>
      <c r="K64" s="278">
        <f ca="1">IFERROR(__xludf.DUMMYFUNCTION("IMPORTRANGE(""https://docs.google.com/spreadsheets/d/1BIDqLLg5jk3v59G8NlR8rk5xfQDKne0sAvZHSj7TI6I/edit?usp=sharing"",""พระนครศรีอยุธยา!I701"")"),4)</f>
        <v>4</v>
      </c>
      <c r="L64" s="152">
        <f ca="1">IFERROR(__xludf.DUMMYFUNCTION("IMPORTRANGE(""https://docs.google.com/spreadsheets/d/1BIDqLLg5jk3v59G8NlR8rk5xfQDKne0sAvZHSj7TI6I/edit?usp=sharing"",""พระนครศรีอยุธยา!J701"")"),0)</f>
        <v>0</v>
      </c>
      <c r="M64" s="152">
        <f ca="1">IFERROR(__xludf.DUMMYFUNCTION("IMPORTRANGE(""https://docs.google.com/spreadsheets/d/1BIDqLLg5jk3v59G8NlR8rk5xfQDKne0sAvZHSj7TI6I/edit?usp=sharing"",""พระนครศรีอยุธยา!J702"")"),0)</f>
        <v>0</v>
      </c>
      <c r="N64" s="216">
        <f t="shared" ca="1" si="29"/>
        <v>0</v>
      </c>
      <c r="O64" s="278">
        <f ca="1">IFERROR(__xludf.DUMMYFUNCTION("IMPORTRANGE(""https://docs.google.com/spreadsheets/d/1BIDqLLg5jk3v59G8NlR8rk5xfQDKne0sAvZHSj7TI6I/edit?usp=sharing"",""พระนครศรีอยุธยา!I703"")"),0)</f>
        <v>0</v>
      </c>
      <c r="P64" s="152">
        <f ca="1">IFERROR(__xludf.DUMMYFUNCTION("IMPORTRANGE(""https://docs.google.com/spreadsheets/d/1BIDqLLg5jk3v59G8NlR8rk5xfQDKne0sAvZHSj7TI6I/edit?usp=sharing"",""พระนครศรีอยุธยา!J703"")"),0)</f>
        <v>0</v>
      </c>
      <c r="Q64" s="152">
        <f ca="1">IFERROR(__xludf.DUMMYFUNCTION("IMPORTRANGE(""https://docs.google.com/spreadsheets/d/1BIDqLLg5jk3v59G8NlR8rk5xfQDKne0sAvZHSj7TI6I/edit?usp=sharing"",""พระนครศรีอยุธยา!J704"")"),0)</f>
        <v>0</v>
      </c>
      <c r="R64" s="216">
        <f t="shared" ca="1" si="31"/>
        <v>0</v>
      </c>
      <c r="S64" s="632">
        <f ca="1">IFERROR(__xludf.DUMMYFUNCTION("IMPORTRANGE(""https://docs.google.com/spreadsheets/d/1BIDqLLg5jk3v59G8NlR8rk5xfQDKne0sAvZHSj7TI6I/edit?usp=sharing"",""พระนครศรีอยุธยา!I705"")"),4)</f>
        <v>4</v>
      </c>
      <c r="T64" s="251">
        <f ca="1">IFERROR(__xludf.DUMMYFUNCTION("IMPORTRANGE(""https://docs.google.com/spreadsheets/d/1BIDqLLg5jk3v59G8NlR8rk5xfQDKne0sAvZHSj7TI6I/edit?usp=sharing"",""พระนครศรีอยุธยา!J705"")"),0)</f>
        <v>0</v>
      </c>
      <c r="U64" s="251">
        <f ca="1">IFERROR(__xludf.DUMMYFUNCTION("IMPORTRANGE(""https://docs.google.com/spreadsheets/d/1BIDqLLg5jk3v59G8NlR8rk5xfQDKne0sAvZHSj7TI6I/edit?usp=sharing"",""พระนครศรีอยุธยา!J706"")"),0)</f>
        <v>0</v>
      </c>
      <c r="V64" s="605">
        <f t="shared" ca="1" si="33"/>
        <v>0</v>
      </c>
      <c r="W64" s="278">
        <f ca="1">IFERROR(__xludf.DUMMYFUNCTION("IMPORTRANGE(""https://docs.google.com/spreadsheets/d/1BIDqLLg5jk3v59G8NlR8rk5xfQDKne0sAvZHSj7TI6I/edit?usp=sharing"",""พระนครศรีอยุธยา!I707"")"),0)</f>
        <v>0</v>
      </c>
      <c r="X64" s="152">
        <f ca="1">IFERROR(__xludf.DUMMYFUNCTION("IMPORTRANGE(""https://docs.google.com/spreadsheets/d/1BIDqLLg5jk3v59G8NlR8rk5xfQDKne0sAvZHSj7TI6I/edit?usp=sharing"",""พระนครศรีอยุธยา!J707"")"),0)</f>
        <v>0</v>
      </c>
      <c r="Y64" s="152">
        <f ca="1">IFERROR(__xludf.DUMMYFUNCTION("IMPORTRANGE(""https://docs.google.com/spreadsheets/d/1BIDqLLg5jk3v59G8NlR8rk5xfQDKne0sAvZHSj7TI6I/edit?usp=sharing"",""พระนครศรีอยุธยา!J708"")"),0)</f>
        <v>0</v>
      </c>
      <c r="Z64" s="216">
        <f t="shared" ca="1" si="35"/>
        <v>0</v>
      </c>
      <c r="AA64" s="632">
        <f ca="1">IFERROR(__xludf.DUMMYFUNCTION("IMPORTRANGE(""https://docs.google.com/spreadsheets/d/1BIDqLLg5jk3v59G8NlR8rk5xfQDKne0sAvZHSj7TI6I/edit?usp=sharing"",""พระนครศรีอยุธยา!I709"")"),4)</f>
        <v>4</v>
      </c>
      <c r="AB64" s="251">
        <f ca="1">IFERROR(__xludf.DUMMYFUNCTION("IMPORTRANGE(""https://docs.google.com/spreadsheets/d/1BIDqLLg5jk3v59G8NlR8rk5xfQDKne0sAvZHSj7TI6I/edit?usp=sharing"",""พระนครศรีอยุธยา!J709"")"),4)</f>
        <v>4</v>
      </c>
      <c r="AC64" s="251">
        <f ca="1">IFERROR(__xludf.DUMMYFUNCTION("IMPORTRANGE(""https://docs.google.com/spreadsheets/d/1BIDqLLg5jk3v59G8NlR8rk5xfQDKne0sAvZHSj7TI6I/edit?usp=sharing"",""พระนครศรีอยุธยา!J710"")"),0)</f>
        <v>0</v>
      </c>
      <c r="AD64" s="605">
        <f t="shared" ca="1" si="37"/>
        <v>100</v>
      </c>
    </row>
    <row r="65" spans="1:30" ht="19.5" x14ac:dyDescent="0.3">
      <c r="A65" s="70">
        <v>13</v>
      </c>
      <c r="B65" s="71" t="s">
        <v>93</v>
      </c>
      <c r="C65" s="68">
        <f ca="1">IFERROR(__xludf.DUMMYFUNCTION("IMPORTRANGE(""https://docs.google.com/spreadsheets/d/1YXvxf8Yu6_rV4hTBrwMqAcAnv6DfhUxh5emyM3CJp_w/edit?usp=sharing"",""เพชรบุรี!Q690"")"),57710)</f>
        <v>57710</v>
      </c>
      <c r="D65" s="68">
        <f ca="1">IFERROR(__xludf.DUMMYFUNCTION("IMPORTRANGE(""https://docs.google.com/spreadsheets/d/1YXvxf8Yu6_rV4hTBrwMqAcAnv6DfhUxh5emyM3CJp_w/edit?usp=sharing"",""เพชรบุรี!R690"")"),57710)</f>
        <v>57710</v>
      </c>
      <c r="E65" s="68">
        <f ca="1">IFERROR(__xludf.DUMMYFUNCTION("IMPORTRANGE(""https://docs.google.com/spreadsheets/d/1YXvxf8Yu6_rV4hTBrwMqAcAnv6DfhUxh5emyM3CJp_w/edit?usp=sharing"",""เพชรบุรี!S690"")"),52336.5)</f>
        <v>52336.5</v>
      </c>
      <c r="F65" s="68">
        <f t="shared" ca="1" si="24"/>
        <v>90.688788771443427</v>
      </c>
      <c r="G65" s="68">
        <f t="shared" ca="1" si="25"/>
        <v>90.688788771443427</v>
      </c>
      <c r="H65" s="278">
        <f ca="1">IFERROR(__xludf.DUMMYFUNCTION("IMPORTRANGE(""https://docs.google.com/spreadsheets/d/1YXvxf8Yu6_rV4hTBrwMqAcAnv6DfhUxh5emyM3CJp_w/edit?usp=sharing"",""เพชรบุรี!I700"")"),0)</f>
        <v>0</v>
      </c>
      <c r="I65" s="152">
        <f ca="1">IFERROR(__xludf.DUMMYFUNCTION("IMPORTRANGE(""https://docs.google.com/spreadsheets/d/1YXvxf8Yu6_rV4hTBrwMqAcAnv6DfhUxh5emyM3CJp_w/edit?usp=sharing"",""เพชรบุรี!J700"")"),0)</f>
        <v>0</v>
      </c>
      <c r="J65" s="216">
        <f t="shared" ca="1" si="27"/>
        <v>0</v>
      </c>
      <c r="K65" s="278">
        <f ca="1">IFERROR(__xludf.DUMMYFUNCTION("IMPORTRANGE(""https://docs.google.com/spreadsheets/d/1YXvxf8Yu6_rV4hTBrwMqAcAnv6DfhUxh5emyM3CJp_w/edit?usp=sharing"",""เพชรบุรี!I701"")"),1)</f>
        <v>1</v>
      </c>
      <c r="L65" s="152">
        <f ca="1">IFERROR(__xludf.DUMMYFUNCTION("IMPORTRANGE(""https://docs.google.com/spreadsheets/d/1YXvxf8Yu6_rV4hTBrwMqAcAnv6DfhUxh5emyM3CJp_w/edit?usp=sharing"",""เพชรบุรี!J701"")"),0)</f>
        <v>0</v>
      </c>
      <c r="M65" s="152">
        <f ca="1">IFERROR(__xludf.DUMMYFUNCTION("IMPORTRANGE(""https://docs.google.com/spreadsheets/d/1YXvxf8Yu6_rV4hTBrwMqAcAnv6DfhUxh5emyM3CJp_w/edit?usp=sharing"",""เพชรบุรี!J702"")"),0)</f>
        <v>0</v>
      </c>
      <c r="N65" s="216">
        <f t="shared" ca="1" si="29"/>
        <v>0</v>
      </c>
      <c r="O65" s="278">
        <f ca="1">IFERROR(__xludf.DUMMYFUNCTION("IMPORTRANGE(""https://docs.google.com/spreadsheets/d/1YXvxf8Yu6_rV4hTBrwMqAcAnv6DfhUxh5emyM3CJp_w/edit?usp=sharing"",""เพชรบุรี!I703"")"),0)</f>
        <v>0</v>
      </c>
      <c r="P65" s="152">
        <f ca="1">IFERROR(__xludf.DUMMYFUNCTION("IMPORTRANGE(""https://docs.google.com/spreadsheets/d/1YXvxf8Yu6_rV4hTBrwMqAcAnv6DfhUxh5emyM3CJp_w/edit?usp=sharing"",""เพชรบุรี!J703"")"),0)</f>
        <v>0</v>
      </c>
      <c r="Q65" s="152">
        <f ca="1">IFERROR(__xludf.DUMMYFUNCTION("IMPORTRANGE(""https://docs.google.com/spreadsheets/d/1YXvxf8Yu6_rV4hTBrwMqAcAnv6DfhUxh5emyM3CJp_w/edit?usp=sharing"",""เพชรบุรี!J704"")"),0)</f>
        <v>0</v>
      </c>
      <c r="R65" s="216">
        <f t="shared" ca="1" si="31"/>
        <v>0</v>
      </c>
      <c r="S65" s="632">
        <f ca="1">IFERROR(__xludf.DUMMYFUNCTION("IMPORTRANGE(""https://docs.google.com/spreadsheets/d/1YXvxf8Yu6_rV4hTBrwMqAcAnv6DfhUxh5emyM3CJp_w/edit?usp=sharing"",""เพชรบุรี!I705"")"),1)</f>
        <v>1</v>
      </c>
      <c r="T65" s="251">
        <f ca="1">IFERROR(__xludf.DUMMYFUNCTION("IMPORTRANGE(""https://docs.google.com/spreadsheets/d/1YXvxf8Yu6_rV4hTBrwMqAcAnv6DfhUxh5emyM3CJp_w/edit?usp=sharing"",""เพชรบุรี!J705"")"),0)</f>
        <v>0</v>
      </c>
      <c r="U65" s="251">
        <f ca="1">IFERROR(__xludf.DUMMYFUNCTION("IMPORTRANGE(""https://docs.google.com/spreadsheets/d/1YXvxf8Yu6_rV4hTBrwMqAcAnv6DfhUxh5emyM3CJp_w/edit?usp=sharing"",""เพชรบุรี!J706"")"),0)</f>
        <v>0</v>
      </c>
      <c r="V65" s="605">
        <f t="shared" ca="1" si="33"/>
        <v>0</v>
      </c>
      <c r="W65" s="278">
        <f ca="1">IFERROR(__xludf.DUMMYFUNCTION("IMPORTRANGE(""https://docs.google.com/spreadsheets/d/1YXvxf8Yu6_rV4hTBrwMqAcAnv6DfhUxh5emyM3CJp_w/edit?usp=sharing"",""เพชรบุรี!I707"")"),0)</f>
        <v>0</v>
      </c>
      <c r="X65" s="152">
        <f ca="1">IFERROR(__xludf.DUMMYFUNCTION("IMPORTRANGE(""https://docs.google.com/spreadsheets/d/1YXvxf8Yu6_rV4hTBrwMqAcAnv6DfhUxh5emyM3CJp_w/edit?usp=sharing"",""เพชรบุรี!J707"")"),0)</f>
        <v>0</v>
      </c>
      <c r="Y65" s="152">
        <f ca="1">IFERROR(__xludf.DUMMYFUNCTION("IMPORTRANGE(""https://docs.google.com/spreadsheets/d/1YXvxf8Yu6_rV4hTBrwMqAcAnv6DfhUxh5emyM3CJp_w/edit?usp=sharing"",""เพชรบุรี!J708"")"),0)</f>
        <v>0</v>
      </c>
      <c r="Z65" s="216">
        <f t="shared" ca="1" si="35"/>
        <v>0</v>
      </c>
      <c r="AA65" s="632">
        <f ca="1">IFERROR(__xludf.DUMMYFUNCTION("IMPORTRANGE(""https://docs.google.com/spreadsheets/d/1YXvxf8Yu6_rV4hTBrwMqAcAnv6DfhUxh5emyM3CJp_w/edit?usp=sharing"",""เพชรบุรี!I709"")"),1)</f>
        <v>1</v>
      </c>
      <c r="AB65" s="251">
        <f ca="1">IFERROR(__xludf.DUMMYFUNCTION("IMPORTRANGE(""https://docs.google.com/spreadsheets/d/1YXvxf8Yu6_rV4hTBrwMqAcAnv6DfhUxh5emyM3CJp_w/edit?usp=sharing"",""เพชรบุรี!J709"")"),1)</f>
        <v>1</v>
      </c>
      <c r="AC65" s="251">
        <f ca="1">IFERROR(__xludf.DUMMYFUNCTION("IMPORTRANGE(""https://docs.google.com/spreadsheets/d/1YXvxf8Yu6_rV4hTBrwMqAcAnv6DfhUxh5emyM3CJp_w/edit?usp=sharing"",""เพชรบุรี!J710"")"),0)</f>
        <v>0</v>
      </c>
      <c r="AD65" s="605">
        <f t="shared" ca="1" si="37"/>
        <v>100</v>
      </c>
    </row>
    <row r="66" spans="1:30" ht="19.5" x14ac:dyDescent="0.3">
      <c r="A66" s="70">
        <v>14</v>
      </c>
      <c r="B66" s="71" t="s">
        <v>94</v>
      </c>
      <c r="C66" s="68">
        <f ca="1">IFERROR(__xludf.DUMMYFUNCTION("IMPORTRANGE(""https://docs.google.com/spreadsheets/d/19KBlQQs7uwvsao6t2n-KvW3Ax8J8uRRfZPq1zPbXgKc/edit?usp=sharing"",""ระยอง!Q690"")"),72160)</f>
        <v>72160</v>
      </c>
      <c r="D66" s="68">
        <f ca="1">IFERROR(__xludf.DUMMYFUNCTION("IMPORTRANGE(""https://docs.google.com/spreadsheets/d/19KBlQQs7uwvsao6t2n-KvW3Ax8J8uRRfZPq1zPbXgKc/edit?usp=sharing"",""ระยอง!R690"")"),72160)</f>
        <v>72160</v>
      </c>
      <c r="E66" s="68">
        <f ca="1">IFERROR(__xludf.DUMMYFUNCTION("IMPORTRANGE(""https://docs.google.com/spreadsheets/d/19KBlQQs7uwvsao6t2n-KvW3Ax8J8uRRfZPq1zPbXgKc/edit?usp=sharing"",""ระยอง!S690"")"),0)</f>
        <v>0</v>
      </c>
      <c r="F66" s="68">
        <f t="shared" ca="1" si="24"/>
        <v>0</v>
      </c>
      <c r="G66" s="68">
        <f t="shared" ca="1" si="25"/>
        <v>0</v>
      </c>
      <c r="H66" s="278">
        <f ca="1">IFERROR(__xludf.DUMMYFUNCTION("IMPORTRANGE(""https://docs.google.com/spreadsheets/d/19KBlQQs7uwvsao6t2n-KvW3Ax8J8uRRfZPq1zPbXgKc/edit?usp=sharing"",""ระยอง!I700"")"),0)</f>
        <v>0</v>
      </c>
      <c r="I66" s="152">
        <f ca="1">IFERROR(__xludf.DUMMYFUNCTION("IMPORTRANGE(""https://docs.google.com/spreadsheets/d/19KBlQQs7uwvsao6t2n-KvW3Ax8J8uRRfZPq1zPbXgKc/edit?usp=sharing"",""ระยอง!J700"")"),0)</f>
        <v>0</v>
      </c>
      <c r="J66" s="216">
        <f t="shared" ca="1" si="27"/>
        <v>0</v>
      </c>
      <c r="K66" s="278">
        <f ca="1">IFERROR(__xludf.DUMMYFUNCTION("IMPORTRANGE(""https://docs.google.com/spreadsheets/d/19KBlQQs7uwvsao6t2n-KvW3Ax8J8uRRfZPq1zPbXgKc/edit?usp=sharing"",""ระยอง!I701"")"),14)</f>
        <v>14</v>
      </c>
      <c r="L66" s="152">
        <f ca="1">IFERROR(__xludf.DUMMYFUNCTION("IMPORTRANGE(""https://docs.google.com/spreadsheets/d/19KBlQQs7uwvsao6t2n-KvW3Ax8J8uRRfZPq1zPbXgKc/edit?usp=sharing"",""ระยอง!J701"")"),0)</f>
        <v>0</v>
      </c>
      <c r="M66" s="152">
        <f ca="1">IFERROR(__xludf.DUMMYFUNCTION("IMPORTRANGE(""https://docs.google.com/spreadsheets/d/19KBlQQs7uwvsao6t2n-KvW3Ax8J8uRRfZPq1zPbXgKc/edit?usp=sharing"",""ระยอง!J702"")"),0)</f>
        <v>0</v>
      </c>
      <c r="N66" s="216">
        <f t="shared" ca="1" si="29"/>
        <v>0</v>
      </c>
      <c r="O66" s="278">
        <f ca="1">IFERROR(__xludf.DUMMYFUNCTION("IMPORTRANGE(""https://docs.google.com/spreadsheets/d/19KBlQQs7uwvsao6t2n-KvW3Ax8J8uRRfZPq1zPbXgKc/edit?usp=sharing"",""ระยอง!I703"")"),10)</f>
        <v>10</v>
      </c>
      <c r="P66" s="152">
        <f ca="1">IFERROR(__xludf.DUMMYFUNCTION("IMPORTRANGE(""https://docs.google.com/spreadsheets/d/19KBlQQs7uwvsao6t2n-KvW3Ax8J8uRRfZPq1zPbXgKc/edit?usp=sharing"",""ระยอง!J703"")"),0)</f>
        <v>0</v>
      </c>
      <c r="Q66" s="152">
        <f ca="1">IFERROR(__xludf.DUMMYFUNCTION("IMPORTRANGE(""https://docs.google.com/spreadsheets/d/19KBlQQs7uwvsao6t2n-KvW3Ax8J8uRRfZPq1zPbXgKc/edit?usp=sharing"",""ระยอง!J704"")"),0)</f>
        <v>0</v>
      </c>
      <c r="R66" s="216">
        <f t="shared" ca="1" si="31"/>
        <v>0</v>
      </c>
      <c r="S66" s="632">
        <f ca="1">IFERROR(__xludf.DUMMYFUNCTION("IMPORTRANGE(""https://docs.google.com/spreadsheets/d/19KBlQQs7uwvsao6t2n-KvW3Ax8J8uRRfZPq1zPbXgKc/edit?usp=sharing"",""ระยอง!I705"")"),4)</f>
        <v>4</v>
      </c>
      <c r="T66" s="251">
        <f ca="1">IFERROR(__xludf.DUMMYFUNCTION("IMPORTRANGE(""https://docs.google.com/spreadsheets/d/19KBlQQs7uwvsao6t2n-KvW3Ax8J8uRRfZPq1zPbXgKc/edit?usp=sharing"",""ระยอง!J705"")"),0)</f>
        <v>0</v>
      </c>
      <c r="U66" s="251">
        <f ca="1">IFERROR(__xludf.DUMMYFUNCTION("IMPORTRANGE(""https://docs.google.com/spreadsheets/d/19KBlQQs7uwvsao6t2n-KvW3Ax8J8uRRfZPq1zPbXgKc/edit?usp=sharing"",""ระยอง!J706"")"),0)</f>
        <v>0</v>
      </c>
      <c r="V66" s="605">
        <f t="shared" ca="1" si="33"/>
        <v>0</v>
      </c>
      <c r="W66" s="278">
        <f ca="1">IFERROR(__xludf.DUMMYFUNCTION("IMPORTRANGE(""https://docs.google.com/spreadsheets/d/19KBlQQs7uwvsao6t2n-KvW3Ax8J8uRRfZPq1zPbXgKc/edit?usp=sharing"",""ระยอง!I707"")"),10)</f>
        <v>10</v>
      </c>
      <c r="X66" s="152">
        <f ca="1">IFERROR(__xludf.DUMMYFUNCTION("IMPORTRANGE(""https://docs.google.com/spreadsheets/d/19KBlQQs7uwvsao6t2n-KvW3Ax8J8uRRfZPq1zPbXgKc/edit?usp=sharing"",""ระยอง!J707"")"),0)</f>
        <v>0</v>
      </c>
      <c r="Y66" s="152">
        <f ca="1">IFERROR(__xludf.DUMMYFUNCTION("IMPORTRANGE(""https://docs.google.com/spreadsheets/d/19KBlQQs7uwvsao6t2n-KvW3Ax8J8uRRfZPq1zPbXgKc/edit?usp=sharing"",""ระยอง!J708"")"),0)</f>
        <v>0</v>
      </c>
      <c r="Z66" s="216">
        <f t="shared" ca="1" si="35"/>
        <v>0</v>
      </c>
      <c r="AA66" s="632">
        <f ca="1">IFERROR(__xludf.DUMMYFUNCTION("IMPORTRANGE(""https://docs.google.com/spreadsheets/d/19KBlQQs7uwvsao6t2n-KvW3Ax8J8uRRfZPq1zPbXgKc/edit?usp=sharing"",""ระยอง!I709"")"),4)</f>
        <v>4</v>
      </c>
      <c r="AB66" s="251">
        <f ca="1">IFERROR(__xludf.DUMMYFUNCTION("IMPORTRANGE(""https://docs.google.com/spreadsheets/d/19KBlQQs7uwvsao6t2n-KvW3Ax8J8uRRfZPq1zPbXgKc/edit?usp=sharing"",""ระยอง!J709"")"),6)</f>
        <v>6</v>
      </c>
      <c r="AC66" s="251">
        <f ca="1">IFERROR(__xludf.DUMMYFUNCTION("IMPORTRANGE(""https://docs.google.com/spreadsheets/d/19KBlQQs7uwvsao6t2n-KvW3Ax8J8uRRfZPq1zPbXgKc/edit?usp=sharing"",""ระยอง!J710"")"),0)</f>
        <v>0</v>
      </c>
      <c r="AD66" s="605">
        <f t="shared" ca="1" si="37"/>
        <v>150</v>
      </c>
    </row>
    <row r="67" spans="1:30" ht="19.5" x14ac:dyDescent="0.3">
      <c r="A67" s="70">
        <v>15</v>
      </c>
      <c r="B67" s="71" t="s">
        <v>95</v>
      </c>
      <c r="C67" s="68">
        <f ca="1">IFERROR(__xludf.DUMMYFUNCTION("IMPORTRANGE(""https://docs.google.com/spreadsheets/d/1jQ6P4QcrGM89YfqcC_PxOHGCMq5ezhucwJd8ci-NHng/edit?usp=sharing"",""ราชบุรี!Q690"")"),235670)</f>
        <v>235670</v>
      </c>
      <c r="D67" s="68">
        <f ca="1">IFERROR(__xludf.DUMMYFUNCTION("IMPORTRANGE(""https://docs.google.com/spreadsheets/d/1jQ6P4QcrGM89YfqcC_PxOHGCMq5ezhucwJd8ci-NHng/edit?usp=sharing"",""ราชบุรี!R690"")"),235670)</f>
        <v>235670</v>
      </c>
      <c r="E67" s="68">
        <f ca="1">IFERROR(__xludf.DUMMYFUNCTION("IMPORTRANGE(""https://docs.google.com/spreadsheets/d/1jQ6P4QcrGM89YfqcC_PxOHGCMq5ezhucwJd8ci-NHng/edit?usp=sharing"",""ราชบุรี!S690"")"),189006.01)</f>
        <v>189006.01</v>
      </c>
      <c r="F67" s="68">
        <f t="shared" ca="1" si="24"/>
        <v>80.199435651546651</v>
      </c>
      <c r="G67" s="68">
        <f t="shared" ca="1" si="25"/>
        <v>80.199435651546651</v>
      </c>
      <c r="H67" s="278">
        <f ca="1">IFERROR(__xludf.DUMMYFUNCTION("IMPORTRANGE(""https://docs.google.com/spreadsheets/d/1jQ6P4QcrGM89YfqcC_PxOHGCMq5ezhucwJd8ci-NHng/edit?usp=sharing"",""ราชบุรี!I700"")"),2)</f>
        <v>2</v>
      </c>
      <c r="I67" s="152">
        <f ca="1">IFERROR(__xludf.DUMMYFUNCTION("IMPORTRANGE(""https://docs.google.com/spreadsheets/d/1jQ6P4QcrGM89YfqcC_PxOHGCMq5ezhucwJd8ci-NHng/edit?usp=sharing"",""ราชบุรี!J700"")"),0)</f>
        <v>0</v>
      </c>
      <c r="J67" s="216">
        <f t="shared" ca="1" si="27"/>
        <v>0</v>
      </c>
      <c r="K67" s="278">
        <f ca="1">IFERROR(__xludf.DUMMYFUNCTION("IMPORTRANGE(""https://docs.google.com/spreadsheets/d/1jQ6P4QcrGM89YfqcC_PxOHGCMq5ezhucwJd8ci-NHng/edit?usp=sharing"",""ราชบุรี!I701"")"),104)</f>
        <v>104</v>
      </c>
      <c r="L67" s="152">
        <f ca="1">IFERROR(__xludf.DUMMYFUNCTION("IMPORTRANGE(""https://docs.google.com/spreadsheets/d/1jQ6P4QcrGM89YfqcC_PxOHGCMq5ezhucwJd8ci-NHng/edit?usp=sharing"",""ราชบุรี!J701"")"),2)</f>
        <v>2</v>
      </c>
      <c r="M67" s="152">
        <f ca="1">IFERROR(__xludf.DUMMYFUNCTION("IMPORTRANGE(""https://docs.google.com/spreadsheets/d/1jQ6P4QcrGM89YfqcC_PxOHGCMq5ezhucwJd8ci-NHng/edit?usp=sharing"",""ราชบุรี!J702"")"),2.31)</f>
        <v>2.31</v>
      </c>
      <c r="N67" s="216">
        <f t="shared" ca="1" si="29"/>
        <v>1.9230769230769231</v>
      </c>
      <c r="O67" s="278">
        <f ca="1">IFERROR(__xludf.DUMMYFUNCTION("IMPORTRANGE(""https://docs.google.com/spreadsheets/d/1jQ6P4QcrGM89YfqcC_PxOHGCMq5ezhucwJd8ci-NHng/edit?usp=sharing"",""ราชบุรี!I703"")"),100)</f>
        <v>100</v>
      </c>
      <c r="P67" s="152">
        <f ca="1">IFERROR(__xludf.DUMMYFUNCTION("IMPORTRANGE(""https://docs.google.com/spreadsheets/d/1jQ6P4QcrGM89YfqcC_PxOHGCMq5ezhucwJd8ci-NHng/edit?usp=sharing"",""ราชบุรี!J703"")"),2)</f>
        <v>2</v>
      </c>
      <c r="Q67" s="152">
        <f ca="1">IFERROR(__xludf.DUMMYFUNCTION("IMPORTRANGE(""https://docs.google.com/spreadsheets/d/1jQ6P4QcrGM89YfqcC_PxOHGCMq5ezhucwJd8ci-NHng/edit?usp=sharing"",""ราชบุรี!J704"")"),2.31)</f>
        <v>2.31</v>
      </c>
      <c r="R67" s="216">
        <f t="shared" ca="1" si="31"/>
        <v>2</v>
      </c>
      <c r="S67" s="632">
        <f ca="1">IFERROR(__xludf.DUMMYFUNCTION("IMPORTRANGE(""https://docs.google.com/spreadsheets/d/1jQ6P4QcrGM89YfqcC_PxOHGCMq5ezhucwJd8ci-NHng/edit?usp=sharing"",""ราชบุรี!I705"")"),4)</f>
        <v>4</v>
      </c>
      <c r="T67" s="251">
        <f ca="1">IFERROR(__xludf.DUMMYFUNCTION("IMPORTRANGE(""https://docs.google.com/spreadsheets/d/1jQ6P4QcrGM89YfqcC_PxOHGCMq5ezhucwJd8ci-NHng/edit?usp=sharing"",""ราชบุรี!J705"")"),0)</f>
        <v>0</v>
      </c>
      <c r="U67" s="251">
        <f ca="1">IFERROR(__xludf.DUMMYFUNCTION("IMPORTRANGE(""https://docs.google.com/spreadsheets/d/1jQ6P4QcrGM89YfqcC_PxOHGCMq5ezhucwJd8ci-NHng/edit?usp=sharing"",""ราชบุรี!J706"")"),0)</f>
        <v>0</v>
      </c>
      <c r="V67" s="605">
        <f t="shared" ca="1" si="33"/>
        <v>0</v>
      </c>
      <c r="W67" s="278">
        <f ca="1">IFERROR(__xludf.DUMMYFUNCTION("IMPORTRANGE(""https://docs.google.com/spreadsheets/d/1jQ6P4QcrGM89YfqcC_PxOHGCMq5ezhucwJd8ci-NHng/edit?usp=sharing"",""ราชบุรี!I707"")"),100)</f>
        <v>100</v>
      </c>
      <c r="X67" s="152">
        <f ca="1">IFERROR(__xludf.DUMMYFUNCTION("IMPORTRANGE(""https://docs.google.com/spreadsheets/d/1jQ6P4QcrGM89YfqcC_PxOHGCMq5ezhucwJd8ci-NHng/edit?usp=sharing"",""ราชบุรี!J707"")"),0)</f>
        <v>0</v>
      </c>
      <c r="Y67" s="152">
        <f ca="1">IFERROR(__xludf.DUMMYFUNCTION("IMPORTRANGE(""https://docs.google.com/spreadsheets/d/1jQ6P4QcrGM89YfqcC_PxOHGCMq5ezhucwJd8ci-NHng/edit?usp=sharing"",""ราชบุรี!J708"")"),0)</f>
        <v>0</v>
      </c>
      <c r="Z67" s="216">
        <f t="shared" ca="1" si="35"/>
        <v>0</v>
      </c>
      <c r="AA67" s="632">
        <f ca="1">IFERROR(__xludf.DUMMYFUNCTION("IMPORTRANGE(""https://docs.google.com/spreadsheets/d/1jQ6P4QcrGM89YfqcC_PxOHGCMq5ezhucwJd8ci-NHng/edit?usp=sharing"",""ราชบุรี!I709"")"),4)</f>
        <v>4</v>
      </c>
      <c r="AB67" s="251">
        <f ca="1">IFERROR(__xludf.DUMMYFUNCTION("IMPORTRANGE(""https://docs.google.com/spreadsheets/d/1jQ6P4QcrGM89YfqcC_PxOHGCMq5ezhucwJd8ci-NHng/edit?usp=sharing"",""ราชบุรี!J709"")"),1)</f>
        <v>1</v>
      </c>
      <c r="AC67" s="251">
        <f ca="1">IFERROR(__xludf.DUMMYFUNCTION("IMPORTRANGE(""https://docs.google.com/spreadsheets/d/1jQ6P4QcrGM89YfqcC_PxOHGCMq5ezhucwJd8ci-NHng/edit?usp=sharing"",""ราชบุรี!J710"")"),0)</f>
        <v>0</v>
      </c>
      <c r="AD67" s="605">
        <f t="shared" ca="1" si="37"/>
        <v>25</v>
      </c>
    </row>
    <row r="68" spans="1:30" ht="19.5" x14ac:dyDescent="0.3">
      <c r="A68" s="70">
        <v>16</v>
      </c>
      <c r="B68" s="71" t="s">
        <v>96</v>
      </c>
      <c r="C68" s="68">
        <f ca="1">IFERROR(__xludf.DUMMYFUNCTION("IMPORTRANGE(""https://docs.google.com/spreadsheets/d/1lufeA2cfFqM-elVq2hznhDzC6Pr7wkJ9ZG_sYNGCMCU/edit?usp=sharing"",""ลพบุรี!Q690"")"),188210)</f>
        <v>188210</v>
      </c>
      <c r="D68" s="68">
        <f ca="1">IFERROR(__xludf.DUMMYFUNCTION("IMPORTRANGE(""https://docs.google.com/spreadsheets/d/1lufeA2cfFqM-elVq2hznhDzC6Pr7wkJ9ZG_sYNGCMCU/edit?usp=sharing"",""ลพบุรี!R690"")"),188210)</f>
        <v>188210</v>
      </c>
      <c r="E68" s="68">
        <f ca="1">IFERROR(__xludf.DUMMYFUNCTION("IMPORTRANGE(""https://docs.google.com/spreadsheets/d/1lufeA2cfFqM-elVq2hznhDzC6Pr7wkJ9ZG_sYNGCMCU/edit?usp=sharing"",""ลพบุรี!S690"")"),173538.46)</f>
        <v>173538.46</v>
      </c>
      <c r="F68" s="68">
        <f t="shared" ca="1" si="24"/>
        <v>92.204696881143406</v>
      </c>
      <c r="G68" s="68">
        <f t="shared" ca="1" si="25"/>
        <v>92.204696881143406</v>
      </c>
      <c r="H68" s="278">
        <f ca="1">IFERROR(__xludf.DUMMYFUNCTION("IMPORTRANGE(""https://docs.google.com/spreadsheets/d/1lufeA2cfFqM-elVq2hznhDzC6Pr7wkJ9ZG_sYNGCMCU/edit?usp=sharing"",""ลพบุรี!I700"")"),0)</f>
        <v>0</v>
      </c>
      <c r="I68" s="397">
        <f ca="1">IFERROR(__xludf.DUMMYFUNCTION("IMPORTRANGE(""https://docs.google.com/spreadsheets/d/1lufeA2cfFqM-elVq2hznhDzC6Pr7wkJ9ZG_sYNGCMCU/edit?usp=sharing"",""ลพบุรี!J700"")"),0)</f>
        <v>0</v>
      </c>
      <c r="J68" s="216">
        <f t="shared" ca="1" si="27"/>
        <v>0</v>
      </c>
      <c r="K68" s="278">
        <f ca="1">IFERROR(__xludf.DUMMYFUNCTION("IMPORTRANGE(""https://docs.google.com/spreadsheets/d/1lufeA2cfFqM-elVq2hznhDzC6Pr7wkJ9ZG_sYNGCMCU/edit?usp=sharing"",""ลพบุรี!I701"")"),70)</f>
        <v>70</v>
      </c>
      <c r="L68" s="397">
        <f ca="1">IFERROR(__xludf.DUMMYFUNCTION("IMPORTRANGE(""https://docs.google.com/spreadsheets/d/1lufeA2cfFqM-elVq2hznhDzC6Pr7wkJ9ZG_sYNGCMCU/edit?usp=sharing"",""ลพบุรี!J701"")"),0)</f>
        <v>0</v>
      </c>
      <c r="M68" s="397">
        <f ca="1">IFERROR(__xludf.DUMMYFUNCTION("IMPORTRANGE(""https://docs.google.com/spreadsheets/d/1lufeA2cfFqM-elVq2hznhDzC6Pr7wkJ9ZG_sYNGCMCU/edit?usp=sharing"",""ลพบุรี!J702"")"),0)</f>
        <v>0</v>
      </c>
      <c r="N68" s="216">
        <f t="shared" ca="1" si="29"/>
        <v>0</v>
      </c>
      <c r="O68" s="278">
        <f ca="1">IFERROR(__xludf.DUMMYFUNCTION("IMPORTRANGE(""https://docs.google.com/spreadsheets/d/1lufeA2cfFqM-elVq2hznhDzC6Pr7wkJ9ZG_sYNGCMCU/edit?usp=sharing"",""ลพบุรี!I703"")"),70)</f>
        <v>70</v>
      </c>
      <c r="P68" s="397">
        <f ca="1">IFERROR(__xludf.DUMMYFUNCTION("IMPORTRANGE(""https://docs.google.com/spreadsheets/d/1lufeA2cfFqM-elVq2hznhDzC6Pr7wkJ9ZG_sYNGCMCU/edit?usp=sharing"",""ลพบุรี!J703"")"),0)</f>
        <v>0</v>
      </c>
      <c r="Q68" s="397">
        <f ca="1">IFERROR(__xludf.DUMMYFUNCTION("IMPORTRANGE(""https://docs.google.com/spreadsheets/d/1lufeA2cfFqM-elVq2hznhDzC6Pr7wkJ9ZG_sYNGCMCU/edit?usp=sharing"",""ลพบุรี!J704"")"),0)</f>
        <v>0</v>
      </c>
      <c r="R68" s="216">
        <f t="shared" ca="1" si="31"/>
        <v>0</v>
      </c>
      <c r="S68" s="632">
        <f ca="1">IFERROR(__xludf.DUMMYFUNCTION("IMPORTRANGE(""https://docs.google.com/spreadsheets/d/1lufeA2cfFqM-elVq2hznhDzC6Pr7wkJ9ZG_sYNGCMCU/edit?usp=sharing"",""ลพบุรี!I705"")"),0)</f>
        <v>0</v>
      </c>
      <c r="T68" s="251">
        <f ca="1">IFERROR(__xludf.DUMMYFUNCTION("IMPORTRANGE(""https://docs.google.com/spreadsheets/d/1lufeA2cfFqM-elVq2hznhDzC6Pr7wkJ9ZG_sYNGCMCU/edit?usp=sharing"",""ลพบุรี!J705"")"),0)</f>
        <v>0</v>
      </c>
      <c r="U68" s="251">
        <f ca="1">IFERROR(__xludf.DUMMYFUNCTION("IMPORTRANGE(""https://docs.google.com/spreadsheets/d/1lufeA2cfFqM-elVq2hznhDzC6Pr7wkJ9ZG_sYNGCMCU/edit?usp=sharing"",""ลพบุรี!J706"")"),0)</f>
        <v>0</v>
      </c>
      <c r="V68" s="605">
        <f t="shared" ca="1" si="33"/>
        <v>0</v>
      </c>
      <c r="W68" s="278">
        <f ca="1">IFERROR(__xludf.DUMMYFUNCTION("IMPORTRANGE(""https://docs.google.com/spreadsheets/d/1lufeA2cfFqM-elVq2hznhDzC6Pr7wkJ9ZG_sYNGCMCU/edit?usp=sharing"",""ลพบุรี!I707"")"),70)</f>
        <v>70</v>
      </c>
      <c r="X68" s="397">
        <f ca="1">IFERROR(__xludf.DUMMYFUNCTION("IMPORTRANGE(""https://docs.google.com/spreadsheets/d/1lufeA2cfFqM-elVq2hznhDzC6Pr7wkJ9ZG_sYNGCMCU/edit?usp=sharing"",""ลพบุรี!J707"")"),0)</f>
        <v>0</v>
      </c>
      <c r="Y68" s="397">
        <f ca="1">IFERROR(__xludf.DUMMYFUNCTION("IMPORTRANGE(""https://docs.google.com/spreadsheets/d/1lufeA2cfFqM-elVq2hznhDzC6Pr7wkJ9ZG_sYNGCMCU/edit?usp=sharing"",""ลพบุรี!J708"")"),0)</f>
        <v>0</v>
      </c>
      <c r="Z68" s="216">
        <f t="shared" ca="1" si="35"/>
        <v>0</v>
      </c>
      <c r="AA68" s="632">
        <f ca="1">IFERROR(__xludf.DUMMYFUNCTION("IMPORTRANGE(""https://docs.google.com/spreadsheets/d/1lufeA2cfFqM-elVq2hznhDzC6Pr7wkJ9ZG_sYNGCMCU/edit?usp=sharing"",""ลพบุรี!I709"")"),0)</f>
        <v>0</v>
      </c>
      <c r="AB68" s="251">
        <f ca="1">IFERROR(__xludf.DUMMYFUNCTION("IMPORTRANGE(""https://docs.google.com/spreadsheets/d/1lufeA2cfFqM-elVq2hznhDzC6Pr7wkJ9ZG_sYNGCMCU/edit?usp=sharing"",""ลพบุรี!J709"")"),0)</f>
        <v>0</v>
      </c>
      <c r="AC68" s="251">
        <f ca="1">IFERROR(__xludf.DUMMYFUNCTION("IMPORTRANGE(""https://docs.google.com/spreadsheets/d/1lufeA2cfFqM-elVq2hznhDzC6Pr7wkJ9ZG_sYNGCMCU/edit?usp=sharing"",""ลพบุรี!J710"")"),0)</f>
        <v>0</v>
      </c>
      <c r="AD68" s="605">
        <f t="shared" ca="1" si="37"/>
        <v>0</v>
      </c>
    </row>
    <row r="69" spans="1:30" ht="19.5" x14ac:dyDescent="0.3">
      <c r="A69" s="70">
        <v>17</v>
      </c>
      <c r="B69" s="71" t="s">
        <v>97</v>
      </c>
      <c r="C69" s="68">
        <f ca="1">IFERROR(__xludf.DUMMYFUNCTION("IMPORTRANGE(""https://docs.google.com/spreadsheets/d/10oOiF7loTyfsTkbd4MpaIm0HQ9SwB7IYHdIUvt-U1Uc/edit?usp=sharing"",""สระแก้ว!Q690"")"),181480)</f>
        <v>181480</v>
      </c>
      <c r="D69" s="68">
        <f ca="1">IFERROR(__xludf.DUMMYFUNCTION("IMPORTRANGE(""https://docs.google.com/spreadsheets/d/10oOiF7loTyfsTkbd4MpaIm0HQ9SwB7IYHdIUvt-U1Uc/edit?usp=sharing"",""สระแก้ว!R690"")"),181480)</f>
        <v>181480</v>
      </c>
      <c r="E69" s="68">
        <f ca="1">IFERROR(__xludf.DUMMYFUNCTION("IMPORTRANGE(""https://docs.google.com/spreadsheets/d/10oOiF7loTyfsTkbd4MpaIm0HQ9SwB7IYHdIUvt-U1Uc/edit?usp=sharing"",""สระแก้ว!S690"")"),21280)</f>
        <v>21280</v>
      </c>
      <c r="F69" s="68">
        <f t="shared" ca="1" si="24"/>
        <v>11.725810006612299</v>
      </c>
      <c r="G69" s="68">
        <f t="shared" ca="1" si="25"/>
        <v>11.725810006612299</v>
      </c>
      <c r="H69" s="278">
        <f ca="1">IFERROR(__xludf.DUMMYFUNCTION("IMPORTRANGE(""https://docs.google.com/spreadsheets/d/10oOiF7loTyfsTkbd4MpaIm0HQ9SwB7IYHdIUvt-U1Uc/edit?usp=sharing"",""สระแก้ว!I700"")"),0)</f>
        <v>0</v>
      </c>
      <c r="I69" s="397">
        <f ca="1">IFERROR(__xludf.DUMMYFUNCTION("IMPORTRANGE(""https://docs.google.com/spreadsheets/d/10oOiF7loTyfsTkbd4MpaIm0HQ9SwB7IYHdIUvt-U1Uc/edit?usp=sharing"",""สระแก้ว!J700"")"),0)</f>
        <v>0</v>
      </c>
      <c r="J69" s="216">
        <f t="shared" ca="1" si="27"/>
        <v>0</v>
      </c>
      <c r="K69" s="278">
        <f ca="1">IFERROR(__xludf.DUMMYFUNCTION("IMPORTRANGE(""https://docs.google.com/spreadsheets/d/10oOiF7loTyfsTkbd4MpaIm0HQ9SwB7IYHdIUvt-U1Uc/edit?usp=sharing"",""สระแก้ว!I701"")"),64)</f>
        <v>64</v>
      </c>
      <c r="L69" s="397">
        <f ca="1">IFERROR(__xludf.DUMMYFUNCTION("IMPORTRANGE(""https://docs.google.com/spreadsheets/d/10oOiF7loTyfsTkbd4MpaIm0HQ9SwB7IYHdIUvt-U1Uc/edit?usp=sharing"",""สระแก้ว!J701"")"),0)</f>
        <v>0</v>
      </c>
      <c r="M69" s="397">
        <f ca="1">IFERROR(__xludf.DUMMYFUNCTION("IMPORTRANGE(""https://docs.google.com/spreadsheets/d/10oOiF7loTyfsTkbd4MpaIm0HQ9SwB7IYHdIUvt-U1Uc/edit?usp=sharing"",""สระแก้ว!J702"")"),0)</f>
        <v>0</v>
      </c>
      <c r="N69" s="216">
        <f t="shared" ca="1" si="29"/>
        <v>0</v>
      </c>
      <c r="O69" s="278">
        <f ca="1">IFERROR(__xludf.DUMMYFUNCTION("IMPORTRANGE(""https://docs.google.com/spreadsheets/d/10oOiF7loTyfsTkbd4MpaIm0HQ9SwB7IYHdIUvt-U1Uc/edit?usp=sharing"",""สระแก้ว!I703"")"),60)</f>
        <v>60</v>
      </c>
      <c r="P69" s="397">
        <f ca="1">IFERROR(__xludf.DUMMYFUNCTION("IMPORTRANGE(""https://docs.google.com/spreadsheets/d/10oOiF7loTyfsTkbd4MpaIm0HQ9SwB7IYHdIUvt-U1Uc/edit?usp=sharing"",""สระแก้ว!J703"")"),0)</f>
        <v>0</v>
      </c>
      <c r="Q69" s="397">
        <f ca="1">IFERROR(__xludf.DUMMYFUNCTION("IMPORTRANGE(""https://docs.google.com/spreadsheets/d/10oOiF7loTyfsTkbd4MpaIm0HQ9SwB7IYHdIUvt-U1Uc/edit?usp=sharing"",""สระแก้ว!J704"")"),0)</f>
        <v>0</v>
      </c>
      <c r="R69" s="216">
        <f t="shared" ca="1" si="31"/>
        <v>0</v>
      </c>
      <c r="S69" s="632">
        <f ca="1">IFERROR(__xludf.DUMMYFUNCTION("IMPORTRANGE(""https://docs.google.com/spreadsheets/d/10oOiF7loTyfsTkbd4MpaIm0HQ9SwB7IYHdIUvt-U1Uc/edit?usp=sharing"",""สระแก้ว!I705"")"),4)</f>
        <v>4</v>
      </c>
      <c r="T69" s="251">
        <f ca="1">IFERROR(__xludf.DUMMYFUNCTION("IMPORTRANGE(""https://docs.google.com/spreadsheets/d/10oOiF7loTyfsTkbd4MpaIm0HQ9SwB7IYHdIUvt-U1Uc/edit?usp=sharing"",""สระแก้ว!J705"")"),0)</f>
        <v>0</v>
      </c>
      <c r="U69" s="251">
        <f ca="1">IFERROR(__xludf.DUMMYFUNCTION("IMPORTRANGE(""https://docs.google.com/spreadsheets/d/10oOiF7loTyfsTkbd4MpaIm0HQ9SwB7IYHdIUvt-U1Uc/edit?usp=sharing"",""สระแก้ว!J706"")"),0)</f>
        <v>0</v>
      </c>
      <c r="V69" s="605">
        <f t="shared" ca="1" si="33"/>
        <v>0</v>
      </c>
      <c r="W69" s="278">
        <f ca="1">IFERROR(__xludf.DUMMYFUNCTION("IMPORTRANGE(""https://docs.google.com/spreadsheets/d/10oOiF7loTyfsTkbd4MpaIm0HQ9SwB7IYHdIUvt-U1Uc/edit?usp=sharing"",""สระแก้ว!I707"")"),60)</f>
        <v>60</v>
      </c>
      <c r="X69" s="397">
        <f ca="1">IFERROR(__xludf.DUMMYFUNCTION("IMPORTRANGE(""https://docs.google.com/spreadsheets/d/10oOiF7loTyfsTkbd4MpaIm0HQ9SwB7IYHdIUvt-U1Uc/edit?usp=sharing"",""สระแก้ว!J707"")"),0)</f>
        <v>0</v>
      </c>
      <c r="Y69" s="397">
        <f ca="1">IFERROR(__xludf.DUMMYFUNCTION("IMPORTRANGE(""https://docs.google.com/spreadsheets/d/10oOiF7loTyfsTkbd4MpaIm0HQ9SwB7IYHdIUvt-U1Uc/edit?usp=sharing"",""สระแก้ว!J708"")"),0)</f>
        <v>0</v>
      </c>
      <c r="Z69" s="216">
        <f t="shared" ca="1" si="35"/>
        <v>0</v>
      </c>
      <c r="AA69" s="632">
        <f ca="1">IFERROR(__xludf.DUMMYFUNCTION("IMPORTRANGE(""https://docs.google.com/spreadsheets/d/10oOiF7loTyfsTkbd4MpaIm0HQ9SwB7IYHdIUvt-U1Uc/edit?usp=sharing"",""สระแก้ว!I709"")"),4)</f>
        <v>4</v>
      </c>
      <c r="AB69" s="251">
        <f ca="1">IFERROR(__xludf.DUMMYFUNCTION("IMPORTRANGE(""https://docs.google.com/spreadsheets/d/10oOiF7loTyfsTkbd4MpaIm0HQ9SwB7IYHdIUvt-U1Uc/edit?usp=sharing"",""สระแก้ว!J709"")"),2)</f>
        <v>2</v>
      </c>
      <c r="AC69" s="251">
        <f ca="1">IFERROR(__xludf.DUMMYFUNCTION("IMPORTRANGE(""https://docs.google.com/spreadsheets/d/10oOiF7loTyfsTkbd4MpaIm0HQ9SwB7IYHdIUvt-U1Uc/edit?usp=sharing"",""สระแก้ว!J710"")"),0)</f>
        <v>0</v>
      </c>
      <c r="AD69" s="605">
        <f t="shared" ca="1" si="37"/>
        <v>50</v>
      </c>
    </row>
    <row r="70" spans="1:30" ht="19.5" x14ac:dyDescent="0.3">
      <c r="A70" s="70">
        <v>18</v>
      </c>
      <c r="B70" s="71" t="s">
        <v>98</v>
      </c>
      <c r="C70" s="68">
        <f ca="1">IFERROR(__xludf.DUMMYFUNCTION("IMPORTRANGE(""https://docs.google.com/spreadsheets/d/1xmPlrr1QbdSIKvl1dWUl9K4PjAfSL9oeMr_37QVzcxc/edit?usp=sharing"",""สระบุรี!Q690"")"),121560)</f>
        <v>121560</v>
      </c>
      <c r="D70" s="68">
        <f ca="1">IFERROR(__xludf.DUMMYFUNCTION("IMPORTRANGE(""https://docs.google.com/spreadsheets/d/1xmPlrr1QbdSIKvl1dWUl9K4PjAfSL9oeMr_37QVzcxc/edit?usp=sharing"",""สระบุรี!R690"")"),121560)</f>
        <v>121560</v>
      </c>
      <c r="E70" s="68">
        <f ca="1">IFERROR(__xludf.DUMMYFUNCTION("IMPORTRANGE(""https://docs.google.com/spreadsheets/d/1xmPlrr1QbdSIKvl1dWUl9K4PjAfSL9oeMr_37QVzcxc/edit?usp=sharing"",""สระบุรี!S690"")"),41082.2)</f>
        <v>41082.199999999997</v>
      </c>
      <c r="F70" s="68">
        <f t="shared" ca="1" si="24"/>
        <v>33.795820993747938</v>
      </c>
      <c r="G70" s="68">
        <f t="shared" ca="1" si="25"/>
        <v>33.795820993747938</v>
      </c>
      <c r="H70" s="278">
        <f ca="1">IFERROR(__xludf.DUMMYFUNCTION("IMPORTRANGE(""https://docs.google.com/spreadsheets/d/1xmPlrr1QbdSIKvl1dWUl9K4PjAfSL9oeMr_37QVzcxc/edit?usp=sharing"",""สระบุรี!I700"")"),0)</f>
        <v>0</v>
      </c>
      <c r="I70" s="152">
        <f ca="1">IFERROR(__xludf.DUMMYFUNCTION("IMPORTRANGE(""https://docs.google.com/spreadsheets/d/1xmPlrr1QbdSIKvl1dWUl9K4PjAfSL9oeMr_37QVzcxc/edit?usp=sharing"",""สระบุรี!J700"")"),0)</f>
        <v>0</v>
      </c>
      <c r="J70" s="216">
        <f t="shared" ca="1" si="27"/>
        <v>0</v>
      </c>
      <c r="K70" s="278">
        <f ca="1">IFERROR(__xludf.DUMMYFUNCTION("IMPORTRANGE(""https://docs.google.com/spreadsheets/d/1xmPlrr1QbdSIKvl1dWUl9K4PjAfSL9oeMr_37QVzcxc/edit?usp=sharing"",""สระบุรี!I701"")"),32)</f>
        <v>32</v>
      </c>
      <c r="L70" s="152">
        <f ca="1">IFERROR(__xludf.DUMMYFUNCTION("IMPORTRANGE(""https://docs.google.com/spreadsheets/d/1xmPlrr1QbdSIKvl1dWUl9K4PjAfSL9oeMr_37QVzcxc/edit?usp=sharing"",""สระบุรี!J701"")"),0)</f>
        <v>0</v>
      </c>
      <c r="M70" s="152">
        <f ca="1">IFERROR(__xludf.DUMMYFUNCTION("IMPORTRANGE(""https://docs.google.com/spreadsheets/d/1xmPlrr1QbdSIKvl1dWUl9K4PjAfSL9oeMr_37QVzcxc/edit?usp=sharing"",""สระบุรี!J702"")"),0)</f>
        <v>0</v>
      </c>
      <c r="N70" s="216">
        <f t="shared" ca="1" si="29"/>
        <v>0</v>
      </c>
      <c r="O70" s="278">
        <f ca="1">IFERROR(__xludf.DUMMYFUNCTION("IMPORTRANGE(""https://docs.google.com/spreadsheets/d/1xmPlrr1QbdSIKvl1dWUl9K4PjAfSL9oeMr_37QVzcxc/edit?usp=sharing"",""สระบุรี!I703"")"),30)</f>
        <v>30</v>
      </c>
      <c r="P70" s="152">
        <f ca="1">IFERROR(__xludf.DUMMYFUNCTION("IMPORTRANGE(""https://docs.google.com/spreadsheets/d/1xmPlrr1QbdSIKvl1dWUl9K4PjAfSL9oeMr_37QVzcxc/edit?usp=sharing"",""สระบุรี!J703"")"),0)</f>
        <v>0</v>
      </c>
      <c r="Q70" s="152">
        <f ca="1">IFERROR(__xludf.DUMMYFUNCTION("IMPORTRANGE(""https://docs.google.com/spreadsheets/d/1xmPlrr1QbdSIKvl1dWUl9K4PjAfSL9oeMr_37QVzcxc/edit?usp=sharing"",""สระบุรี!J704"")"),0)</f>
        <v>0</v>
      </c>
      <c r="R70" s="216">
        <f t="shared" ca="1" si="31"/>
        <v>0</v>
      </c>
      <c r="S70" s="632">
        <f ca="1">IFERROR(__xludf.DUMMYFUNCTION("IMPORTRANGE(""https://docs.google.com/spreadsheets/d/1xmPlrr1QbdSIKvl1dWUl9K4PjAfSL9oeMr_37QVzcxc/edit?usp=sharing"",""สระบุรี!I705"")"),2)</f>
        <v>2</v>
      </c>
      <c r="T70" s="251">
        <f ca="1">IFERROR(__xludf.DUMMYFUNCTION("IMPORTRANGE(""https://docs.google.com/spreadsheets/d/1xmPlrr1QbdSIKvl1dWUl9K4PjAfSL9oeMr_37QVzcxc/edit?usp=sharing"",""สระบุรี!J705"")"),0)</f>
        <v>0</v>
      </c>
      <c r="U70" s="251">
        <f ca="1">IFERROR(__xludf.DUMMYFUNCTION("IMPORTRANGE(""https://docs.google.com/spreadsheets/d/1xmPlrr1QbdSIKvl1dWUl9K4PjAfSL9oeMr_37QVzcxc/edit?usp=sharing"",""สระบุรี!J706"")"),0)</f>
        <v>0</v>
      </c>
      <c r="V70" s="605">
        <f t="shared" ca="1" si="33"/>
        <v>0</v>
      </c>
      <c r="W70" s="278">
        <f ca="1">IFERROR(__xludf.DUMMYFUNCTION("IMPORTRANGE(""https://docs.google.com/spreadsheets/d/1xmPlrr1QbdSIKvl1dWUl9K4PjAfSL9oeMr_37QVzcxc/edit?usp=sharing"",""สระบุรี!I707"")"),30)</f>
        <v>30</v>
      </c>
      <c r="X70" s="152">
        <f ca="1">IFERROR(__xludf.DUMMYFUNCTION("IMPORTRANGE(""https://docs.google.com/spreadsheets/d/1xmPlrr1QbdSIKvl1dWUl9K4PjAfSL9oeMr_37QVzcxc/edit?usp=sharing"",""สระบุรี!J707"")"),0)</f>
        <v>0</v>
      </c>
      <c r="Y70" s="152">
        <f ca="1">IFERROR(__xludf.DUMMYFUNCTION("IMPORTRANGE(""https://docs.google.com/spreadsheets/d/1xmPlrr1QbdSIKvl1dWUl9K4PjAfSL9oeMr_37QVzcxc/edit?usp=sharing"",""สระบุรี!J708"")"),0)</f>
        <v>0</v>
      </c>
      <c r="Z70" s="216">
        <f t="shared" ca="1" si="35"/>
        <v>0</v>
      </c>
      <c r="AA70" s="632">
        <f ca="1">IFERROR(__xludf.DUMMYFUNCTION("IMPORTRANGE(""https://docs.google.com/spreadsheets/d/1xmPlrr1QbdSIKvl1dWUl9K4PjAfSL9oeMr_37QVzcxc/edit?usp=sharing"",""สระบุรี!I709"")"),2)</f>
        <v>2</v>
      </c>
      <c r="AB70" s="251">
        <f ca="1">IFERROR(__xludf.DUMMYFUNCTION("IMPORTRANGE(""https://docs.google.com/spreadsheets/d/1xmPlrr1QbdSIKvl1dWUl9K4PjAfSL9oeMr_37QVzcxc/edit?usp=sharing"",""สระบุรี!J709"")"),0)</f>
        <v>0</v>
      </c>
      <c r="AC70" s="251">
        <f ca="1">IFERROR(__xludf.DUMMYFUNCTION("IMPORTRANGE(""https://docs.google.com/spreadsheets/d/1xmPlrr1QbdSIKvl1dWUl9K4PjAfSL9oeMr_37QVzcxc/edit?usp=sharing"",""สระบุรี!J710"")"),0)</f>
        <v>0</v>
      </c>
      <c r="AD70" s="605">
        <f t="shared" ca="1" si="37"/>
        <v>0</v>
      </c>
    </row>
    <row r="71" spans="1:30" ht="19.5" x14ac:dyDescent="0.3">
      <c r="A71" s="70">
        <v>19</v>
      </c>
      <c r="B71" s="71" t="s">
        <v>99</v>
      </c>
      <c r="C71" s="68">
        <f ca="1">IFERROR(__xludf.DUMMYFUNCTION("IMPORTRANGE(""https://docs.google.com/spreadsheets/d/1j51vR6CYVGhABJpv6tkstgok82RLpXieLzW1yOY5rHw/edit?usp=sharing"",""สิงห์บุรี!Q690"")"),0)</f>
        <v>0</v>
      </c>
      <c r="D71" s="68">
        <f ca="1">IFERROR(__xludf.DUMMYFUNCTION("IMPORTRANGE(""https://docs.google.com/spreadsheets/d/1j51vR6CYVGhABJpv6tkstgok82RLpXieLzW1yOY5rHw/edit?usp=sharing"",""สิงห์บุรี!R690"")"),0)</f>
        <v>0</v>
      </c>
      <c r="E71" s="68">
        <f ca="1">IFERROR(__xludf.DUMMYFUNCTION("IMPORTRANGE(""https://docs.google.com/spreadsheets/d/1j51vR6CYVGhABJpv6tkstgok82RLpXieLzW1yOY5rHw/edit?usp=sharing"",""สิงห์บุรี!S690"")"),0)</f>
        <v>0</v>
      </c>
      <c r="F71" s="68">
        <f t="shared" ca="1" si="24"/>
        <v>0</v>
      </c>
      <c r="G71" s="68">
        <f t="shared" ca="1" si="25"/>
        <v>0</v>
      </c>
      <c r="H71" s="278">
        <f ca="1">IFERROR(__xludf.DUMMYFUNCTION("IMPORTRANGE(""https://docs.google.com/spreadsheets/d/1j51vR6CYVGhABJpv6tkstgok82RLpXieLzW1yOY5rHw/edit?usp=sharing"",""สิงห์บุรี!I700"")"),0)</f>
        <v>0</v>
      </c>
      <c r="I71" s="152">
        <f ca="1">IFERROR(__xludf.DUMMYFUNCTION("IMPORTRANGE(""https://docs.google.com/spreadsheets/d/1j51vR6CYVGhABJpv6tkstgok82RLpXieLzW1yOY5rHw/edit?usp=sharing"",""สิงห์บุรี!J700"")"),0)</f>
        <v>0</v>
      </c>
      <c r="J71" s="216">
        <f t="shared" ca="1" si="27"/>
        <v>0</v>
      </c>
      <c r="K71" s="278">
        <f ca="1">IFERROR(__xludf.DUMMYFUNCTION("IMPORTRANGE(""https://docs.google.com/spreadsheets/d/1j51vR6CYVGhABJpv6tkstgok82RLpXieLzW1yOY5rHw/edit?usp=sharing"",""สิงห์บุรี!I701"")"),0)</f>
        <v>0</v>
      </c>
      <c r="L71" s="152">
        <f ca="1">IFERROR(__xludf.DUMMYFUNCTION("IMPORTRANGE(""https://docs.google.com/spreadsheets/d/1j51vR6CYVGhABJpv6tkstgok82RLpXieLzW1yOY5rHw/edit?usp=sharing"",""สิงห์บุรี!J701"")"),0)</f>
        <v>0</v>
      </c>
      <c r="M71" s="152">
        <f ca="1">IFERROR(__xludf.DUMMYFUNCTION("IMPORTRANGE(""https://docs.google.com/spreadsheets/d/1j51vR6CYVGhABJpv6tkstgok82RLpXieLzW1yOY5rHw/edit?usp=sharing"",""สิงห์บุรี!J702"")"),0)</f>
        <v>0</v>
      </c>
      <c r="N71" s="216">
        <f t="shared" ca="1" si="29"/>
        <v>0</v>
      </c>
      <c r="O71" s="278">
        <f ca="1">IFERROR(__xludf.DUMMYFUNCTION("IMPORTRANGE(""https://docs.google.com/spreadsheets/d/1j51vR6CYVGhABJpv6tkstgok82RLpXieLzW1yOY5rHw/edit?usp=sharing"",""สิงห์บุรี!I703"")"),0)</f>
        <v>0</v>
      </c>
      <c r="P71" s="152">
        <f ca="1">IFERROR(__xludf.DUMMYFUNCTION("IMPORTRANGE(""https://docs.google.com/spreadsheets/d/1j51vR6CYVGhABJpv6tkstgok82RLpXieLzW1yOY5rHw/edit?usp=sharing"",""สิงห์บุรี!J703"")"),0)</f>
        <v>0</v>
      </c>
      <c r="Q71" s="152">
        <f ca="1">IFERROR(__xludf.DUMMYFUNCTION("IMPORTRANGE(""https://docs.google.com/spreadsheets/d/1j51vR6CYVGhABJpv6tkstgok82RLpXieLzW1yOY5rHw/edit?usp=sharing"",""สิงห์บุรี!J704"")"),0)</f>
        <v>0</v>
      </c>
      <c r="R71" s="216">
        <f t="shared" ca="1" si="31"/>
        <v>0</v>
      </c>
      <c r="S71" s="632">
        <f ca="1">IFERROR(__xludf.DUMMYFUNCTION("IMPORTRANGE(""https://docs.google.com/spreadsheets/d/1j51vR6CYVGhABJpv6tkstgok82RLpXieLzW1yOY5rHw/edit?usp=sharing"",""สิงห์บุรี!I705"")"),0)</f>
        <v>0</v>
      </c>
      <c r="T71" s="251">
        <f ca="1">IFERROR(__xludf.DUMMYFUNCTION("IMPORTRANGE(""https://docs.google.com/spreadsheets/d/1j51vR6CYVGhABJpv6tkstgok82RLpXieLzW1yOY5rHw/edit?usp=sharing"",""สิงห์บุรี!J705"")"),0)</f>
        <v>0</v>
      </c>
      <c r="U71" s="251">
        <f ca="1">IFERROR(__xludf.DUMMYFUNCTION("IMPORTRANGE(""https://docs.google.com/spreadsheets/d/1j51vR6CYVGhABJpv6tkstgok82RLpXieLzW1yOY5rHw/edit?usp=sharing"",""สิงห์บุรี!J706"")"),0)</f>
        <v>0</v>
      </c>
      <c r="V71" s="605">
        <f t="shared" ca="1" si="33"/>
        <v>0</v>
      </c>
      <c r="W71" s="278">
        <f ca="1">IFERROR(__xludf.DUMMYFUNCTION("IMPORTRANGE(""https://docs.google.com/spreadsheets/d/1j51vR6CYVGhABJpv6tkstgok82RLpXieLzW1yOY5rHw/edit?usp=sharing"",""สิงห์บุรี!I707"")"),0)</f>
        <v>0</v>
      </c>
      <c r="X71" s="152">
        <f ca="1">IFERROR(__xludf.DUMMYFUNCTION("IMPORTRANGE(""https://docs.google.com/spreadsheets/d/1j51vR6CYVGhABJpv6tkstgok82RLpXieLzW1yOY5rHw/edit?usp=sharing"",""สิงห์บุรี!J707"")"),0)</f>
        <v>0</v>
      </c>
      <c r="Y71" s="152">
        <f ca="1">IFERROR(__xludf.DUMMYFUNCTION("IMPORTRANGE(""https://docs.google.com/spreadsheets/d/1j51vR6CYVGhABJpv6tkstgok82RLpXieLzW1yOY5rHw/edit?usp=sharing"",""สิงห์บุรี!J708"")"),0)</f>
        <v>0</v>
      </c>
      <c r="Z71" s="216">
        <f t="shared" ca="1" si="35"/>
        <v>0</v>
      </c>
      <c r="AA71" s="632">
        <f ca="1">IFERROR(__xludf.DUMMYFUNCTION("IMPORTRANGE(""https://docs.google.com/spreadsheets/d/1j51vR6CYVGhABJpv6tkstgok82RLpXieLzW1yOY5rHw/edit?usp=sharing"",""สิงห์บุรี!I709"")"),0)</f>
        <v>0</v>
      </c>
      <c r="AB71" s="251">
        <f ca="1">IFERROR(__xludf.DUMMYFUNCTION("IMPORTRANGE(""https://docs.google.com/spreadsheets/d/1j51vR6CYVGhABJpv6tkstgok82RLpXieLzW1yOY5rHw/edit?usp=sharing"",""สิงห์บุรี!J709"")"),0)</f>
        <v>0</v>
      </c>
      <c r="AC71" s="251">
        <f ca="1">IFERROR(__xludf.DUMMYFUNCTION("IMPORTRANGE(""https://docs.google.com/spreadsheets/d/1j51vR6CYVGhABJpv6tkstgok82RLpXieLzW1yOY5rHw/edit?usp=sharing"",""สิงห์บุรี!J710"")"),0)</f>
        <v>0</v>
      </c>
      <c r="AD71" s="605">
        <f t="shared" ca="1" si="37"/>
        <v>0</v>
      </c>
    </row>
    <row r="72" spans="1:30" ht="19.5" x14ac:dyDescent="0.3">
      <c r="A72" s="70">
        <v>20</v>
      </c>
      <c r="B72" s="71" t="s">
        <v>100</v>
      </c>
      <c r="C72" s="68">
        <f ca="1">IFERROR(__xludf.DUMMYFUNCTION("IMPORTRANGE(""https://docs.google.com/spreadsheets/d/1H1EalTWKUSzO4Z1-1CwzoDUaVffgrThEBe2sl74kKG0/edit?usp=sharing"",""สุพรรณบุรี!Q690"")"),196020)</f>
        <v>196020</v>
      </c>
      <c r="D72" s="68">
        <f ca="1">IFERROR(__xludf.DUMMYFUNCTION("IMPORTRANGE(""https://docs.google.com/spreadsheets/d/1H1EalTWKUSzO4Z1-1CwzoDUaVffgrThEBe2sl74kKG0/edit?usp=sharing"",""สุพรรณบุรี!R690"")"),163530)</f>
        <v>163530</v>
      </c>
      <c r="E72" s="68">
        <f ca="1">IFERROR(__xludf.DUMMYFUNCTION("IMPORTRANGE(""https://docs.google.com/spreadsheets/d/1H1EalTWKUSzO4Z1-1CwzoDUaVffgrThEBe2sl74kKG0/edit?usp=sharing"",""สุพรรณบุรี!S690"")"),159485)</f>
        <v>159485</v>
      </c>
      <c r="F72" s="68">
        <f t="shared" ca="1" si="24"/>
        <v>81.361595755535149</v>
      </c>
      <c r="G72" s="68">
        <f t="shared" ca="1" si="25"/>
        <v>97.526447746590833</v>
      </c>
      <c r="H72" s="278">
        <f ca="1">IFERROR(__xludf.DUMMYFUNCTION("IMPORTRANGE(""https://docs.google.com/spreadsheets/d/1H1EalTWKUSzO4Z1-1CwzoDUaVffgrThEBe2sl74kKG0/edit?usp=sharing"",""สุพรรณบุรี!I700"")"),0)</f>
        <v>0</v>
      </c>
      <c r="I72" s="152">
        <f ca="1">IFERROR(__xludf.DUMMYFUNCTION("IMPORTRANGE(""https://docs.google.com/spreadsheets/d/1H1EalTWKUSzO4Z1-1CwzoDUaVffgrThEBe2sl74kKG0/edit?usp=sharing"",""สุพรรณบุรี!J700"")"),0)</f>
        <v>0</v>
      </c>
      <c r="J72" s="216">
        <f t="shared" ca="1" si="27"/>
        <v>0</v>
      </c>
      <c r="K72" s="278">
        <f ca="1">IFERROR(__xludf.DUMMYFUNCTION("IMPORTRANGE(""https://docs.google.com/spreadsheets/d/1H1EalTWKUSzO4Z1-1CwzoDUaVffgrThEBe2sl74kKG0/edit?usp=sharing"",""สุพรรณบุรี!I701"")"),80)</f>
        <v>80</v>
      </c>
      <c r="L72" s="152">
        <f ca="1">IFERROR(__xludf.DUMMYFUNCTION("IMPORTRANGE(""https://docs.google.com/spreadsheets/d/1H1EalTWKUSzO4Z1-1CwzoDUaVffgrThEBe2sl74kKG0/edit?usp=sharing"",""สุพรรณบุรี!J701"")"),55)</f>
        <v>55</v>
      </c>
      <c r="M72" s="152">
        <f ca="1">IFERROR(__xludf.DUMMYFUNCTION("IMPORTRANGE(""https://docs.google.com/spreadsheets/d/1H1EalTWKUSzO4Z1-1CwzoDUaVffgrThEBe2sl74kKG0/edit?usp=sharing"",""สุพรรณบุรี!J702"")"),15.77)</f>
        <v>15.77</v>
      </c>
      <c r="N72" s="216">
        <f t="shared" ca="1" si="29"/>
        <v>68.75</v>
      </c>
      <c r="O72" s="278">
        <f ca="1">IFERROR(__xludf.DUMMYFUNCTION("IMPORTRANGE(""https://docs.google.com/spreadsheets/d/1H1EalTWKUSzO4Z1-1CwzoDUaVffgrThEBe2sl74kKG0/edit?usp=sharing"",""สุพรรณบุรี!I703"")"),80)</f>
        <v>80</v>
      </c>
      <c r="P72" s="152">
        <f ca="1">IFERROR(__xludf.DUMMYFUNCTION("IMPORTRANGE(""https://docs.google.com/spreadsheets/d/1H1EalTWKUSzO4Z1-1CwzoDUaVffgrThEBe2sl74kKG0/edit?usp=sharing"",""สุพรรณบุรี!J703"")"),55)</f>
        <v>55</v>
      </c>
      <c r="Q72" s="152">
        <f ca="1">IFERROR(__xludf.DUMMYFUNCTION("IMPORTRANGE(""https://docs.google.com/spreadsheets/d/1H1EalTWKUSzO4Z1-1CwzoDUaVffgrThEBe2sl74kKG0/edit?usp=sharing"",""สุพรรณบุรี!J704"")"),15.77)</f>
        <v>15.77</v>
      </c>
      <c r="R72" s="216">
        <f t="shared" ca="1" si="31"/>
        <v>68.75</v>
      </c>
      <c r="S72" s="632">
        <f ca="1">IFERROR(__xludf.DUMMYFUNCTION("IMPORTRANGE(""https://docs.google.com/spreadsheets/d/1H1EalTWKUSzO4Z1-1CwzoDUaVffgrThEBe2sl74kKG0/edit?usp=sharing"",""สุพรรณบุรี!I705"")"),0)</f>
        <v>0</v>
      </c>
      <c r="T72" s="251">
        <f ca="1">IFERROR(__xludf.DUMMYFUNCTION("IMPORTRANGE(""https://docs.google.com/spreadsheets/d/1H1EalTWKUSzO4Z1-1CwzoDUaVffgrThEBe2sl74kKG0/edit?usp=sharing"",""สุพรรณบุรี!J705"")"),0)</f>
        <v>0</v>
      </c>
      <c r="U72" s="251">
        <f ca="1">IFERROR(__xludf.DUMMYFUNCTION("IMPORTRANGE(""https://docs.google.com/spreadsheets/d/1H1EalTWKUSzO4Z1-1CwzoDUaVffgrThEBe2sl74kKG0/edit?usp=sharing"",""สุพรรณบุรี!J706"")"),0)</f>
        <v>0</v>
      </c>
      <c r="V72" s="605">
        <f t="shared" ca="1" si="33"/>
        <v>0</v>
      </c>
      <c r="W72" s="278">
        <f ca="1">IFERROR(__xludf.DUMMYFUNCTION("IMPORTRANGE(""https://docs.google.com/spreadsheets/d/1H1EalTWKUSzO4Z1-1CwzoDUaVffgrThEBe2sl74kKG0/edit?usp=sharing"",""สุพรรณบุรี!I707"")"),80)</f>
        <v>80</v>
      </c>
      <c r="X72" s="152">
        <f ca="1">IFERROR(__xludf.DUMMYFUNCTION("IMPORTRANGE(""https://docs.google.com/spreadsheets/d/1H1EalTWKUSzO4Z1-1CwzoDUaVffgrThEBe2sl74kKG0/edit?usp=sharing"",""สุพรรณบุรี!J707"")"),55)</f>
        <v>55</v>
      </c>
      <c r="Y72" s="152">
        <f ca="1">IFERROR(__xludf.DUMMYFUNCTION("IMPORTRANGE(""https://docs.google.com/spreadsheets/d/1H1EalTWKUSzO4Z1-1CwzoDUaVffgrThEBe2sl74kKG0/edit?usp=sharing"",""สุพรรณบุรี!J708"")"),16)</f>
        <v>16</v>
      </c>
      <c r="Z72" s="216">
        <f t="shared" ca="1" si="35"/>
        <v>68.75</v>
      </c>
      <c r="AA72" s="632">
        <f ca="1">IFERROR(__xludf.DUMMYFUNCTION("IMPORTRANGE(""https://docs.google.com/spreadsheets/d/1H1EalTWKUSzO4Z1-1CwzoDUaVffgrThEBe2sl74kKG0/edit?usp=sharing"",""สุพรรณบุรี!I709"")"),0)</f>
        <v>0</v>
      </c>
      <c r="AB72" s="251">
        <f ca="1">IFERROR(__xludf.DUMMYFUNCTION("IMPORTRANGE(""https://docs.google.com/spreadsheets/d/1H1EalTWKUSzO4Z1-1CwzoDUaVffgrThEBe2sl74kKG0/edit?usp=sharing"",""สุพรรณบุรี!J709"")"),0)</f>
        <v>0</v>
      </c>
      <c r="AC72" s="251">
        <f ca="1">IFERROR(__xludf.DUMMYFUNCTION("IMPORTRANGE(""https://docs.google.com/spreadsheets/d/1H1EalTWKUSzO4Z1-1CwzoDUaVffgrThEBe2sl74kKG0/edit?usp=sharing"",""สุพรรณบุรี!J710"")"),0)</f>
        <v>0</v>
      </c>
      <c r="AD72" s="605">
        <f t="shared" ca="1" si="37"/>
        <v>0</v>
      </c>
    </row>
    <row r="73" spans="1:30" ht="19.5" x14ac:dyDescent="0.3">
      <c r="A73" s="80">
        <v>21</v>
      </c>
      <c r="B73" s="81" t="s">
        <v>101</v>
      </c>
      <c r="C73" s="89">
        <f ca="1">IFERROR(__xludf.DUMMYFUNCTION("IMPORTRANGE(""https://docs.google.com/spreadsheets/d/1BmIruG_sIrJLYao_Pdr7zVArWsfoBt2692TMi6x_854/edit?usp=sharing"",""อ่างทอง!Q690"")"),0)</f>
        <v>0</v>
      </c>
      <c r="D73" s="89">
        <f ca="1">IFERROR(__xludf.DUMMYFUNCTION("IMPORTRANGE(""https://docs.google.com/spreadsheets/d/1BmIruG_sIrJLYao_Pdr7zVArWsfoBt2692TMi6x_854/edit?usp=sharing"",""อ่างทอง!R690"")"),0)</f>
        <v>0</v>
      </c>
      <c r="E73" s="89">
        <f ca="1">IFERROR(__xludf.DUMMYFUNCTION("IMPORTRANGE(""https://docs.google.com/spreadsheets/d/1BmIruG_sIrJLYao_Pdr7zVArWsfoBt2692TMi6x_854/edit?usp=sharing"",""อ่างทอง!S690"")"),0)</f>
        <v>0</v>
      </c>
      <c r="F73" s="89">
        <f t="shared" ca="1" si="24"/>
        <v>0</v>
      </c>
      <c r="G73" s="89">
        <f t="shared" ca="1" si="25"/>
        <v>0</v>
      </c>
      <c r="H73" s="280">
        <f ca="1">IFERROR(__xludf.DUMMYFUNCTION("IMPORTRANGE(""https://docs.google.com/spreadsheets/d/1BmIruG_sIrJLYao_Pdr7zVArWsfoBt2692TMi6x_854/edit?usp=sharing"",""อ่างทอง!I700"")"),0)</f>
        <v>0</v>
      </c>
      <c r="I73" s="191">
        <f ca="1">IFERROR(__xludf.DUMMYFUNCTION("IMPORTRANGE(""https://docs.google.com/spreadsheets/d/1BmIruG_sIrJLYao_Pdr7zVArWsfoBt2692TMi6x_854/edit?usp=sharing"",""อ่างทอง!J700"")"),0)</f>
        <v>0</v>
      </c>
      <c r="J73" s="218">
        <f t="shared" ca="1" si="27"/>
        <v>0</v>
      </c>
      <c r="K73" s="280">
        <f ca="1">IFERROR(__xludf.DUMMYFUNCTION("IMPORTRANGE(""https://docs.google.com/spreadsheets/d/1BmIruG_sIrJLYao_Pdr7zVArWsfoBt2692TMi6x_854/edit?usp=sharing"",""อ่างทอง!I701"")"),0)</f>
        <v>0</v>
      </c>
      <c r="L73" s="191">
        <f ca="1">IFERROR(__xludf.DUMMYFUNCTION("IMPORTRANGE(""https://docs.google.com/spreadsheets/d/1BmIruG_sIrJLYao_Pdr7zVArWsfoBt2692TMi6x_854/edit?usp=sharing"",""อ่างทอง!J701"")"),0)</f>
        <v>0</v>
      </c>
      <c r="M73" s="191">
        <f ca="1">IFERROR(__xludf.DUMMYFUNCTION("IMPORTRANGE(""https://docs.google.com/spreadsheets/d/1BmIruG_sIrJLYao_Pdr7zVArWsfoBt2692TMi6x_854/edit?usp=sharing"",""อ่างทอง!J702"")"),0)</f>
        <v>0</v>
      </c>
      <c r="N73" s="218">
        <f t="shared" ca="1" si="29"/>
        <v>0</v>
      </c>
      <c r="O73" s="280">
        <f ca="1">IFERROR(__xludf.DUMMYFUNCTION("IMPORTRANGE(""https://docs.google.com/spreadsheets/d/1BmIruG_sIrJLYao_Pdr7zVArWsfoBt2692TMi6x_854/edit?usp=sharing"",""อ่างทอง!I703"")"),0)</f>
        <v>0</v>
      </c>
      <c r="P73" s="191">
        <f ca="1">IFERROR(__xludf.DUMMYFUNCTION("IMPORTRANGE(""https://docs.google.com/spreadsheets/d/1BmIruG_sIrJLYao_Pdr7zVArWsfoBt2692TMi6x_854/edit?usp=sharing"",""อ่างทอง!J703"")"),0)</f>
        <v>0</v>
      </c>
      <c r="Q73" s="191">
        <f ca="1">IFERROR(__xludf.DUMMYFUNCTION("IMPORTRANGE(""https://docs.google.com/spreadsheets/d/1BmIruG_sIrJLYao_Pdr7zVArWsfoBt2692TMi6x_854/edit?usp=sharing"",""อ่างทอง!J704"")"),0)</f>
        <v>0</v>
      </c>
      <c r="R73" s="218">
        <f t="shared" ca="1" si="31"/>
        <v>0</v>
      </c>
      <c r="S73" s="633">
        <f ca="1">IFERROR(__xludf.DUMMYFUNCTION("IMPORTRANGE(""https://docs.google.com/spreadsheets/d/1BmIruG_sIrJLYao_Pdr7zVArWsfoBt2692TMi6x_854/edit?usp=sharing"",""อ่างทอง!I705"")"),0)</f>
        <v>0</v>
      </c>
      <c r="T73" s="253">
        <f ca="1">IFERROR(__xludf.DUMMYFUNCTION("IMPORTRANGE(""https://docs.google.com/spreadsheets/d/1BmIruG_sIrJLYao_Pdr7zVArWsfoBt2692TMi6x_854/edit?usp=sharing"",""อ่างทอง!J705"")"),0)</f>
        <v>0</v>
      </c>
      <c r="U73" s="253">
        <f ca="1">IFERROR(__xludf.DUMMYFUNCTION("IMPORTRANGE(""https://docs.google.com/spreadsheets/d/1BmIruG_sIrJLYao_Pdr7zVArWsfoBt2692TMi6x_854/edit?usp=sharing"",""อ่างทอง!J706"")"),0)</f>
        <v>0</v>
      </c>
      <c r="V73" s="634">
        <f t="shared" ca="1" si="33"/>
        <v>0</v>
      </c>
      <c r="W73" s="280">
        <f ca="1">IFERROR(__xludf.DUMMYFUNCTION("IMPORTRANGE(""https://docs.google.com/spreadsheets/d/1BmIruG_sIrJLYao_Pdr7zVArWsfoBt2692TMi6x_854/edit?usp=sharing"",""อ่างทอง!I707"")"),0)</f>
        <v>0</v>
      </c>
      <c r="X73" s="191">
        <f ca="1">IFERROR(__xludf.DUMMYFUNCTION("IMPORTRANGE(""https://docs.google.com/spreadsheets/d/1BmIruG_sIrJLYao_Pdr7zVArWsfoBt2692TMi6x_854/edit?usp=sharing"",""อ่างทอง!J707"")"),0)</f>
        <v>0</v>
      </c>
      <c r="Y73" s="191">
        <f ca="1">IFERROR(__xludf.DUMMYFUNCTION("IMPORTRANGE(""https://docs.google.com/spreadsheets/d/1BmIruG_sIrJLYao_Pdr7zVArWsfoBt2692TMi6x_854/edit?usp=sharing"",""อ่างทอง!J708"")"),0)</f>
        <v>0</v>
      </c>
      <c r="Z73" s="218">
        <f t="shared" ca="1" si="35"/>
        <v>0</v>
      </c>
      <c r="AA73" s="633">
        <f ca="1">IFERROR(__xludf.DUMMYFUNCTION("IMPORTRANGE(""https://docs.google.com/spreadsheets/d/1BmIruG_sIrJLYao_Pdr7zVArWsfoBt2692TMi6x_854/edit?usp=sharing"",""อ่างทอง!I709"")"),0)</f>
        <v>0</v>
      </c>
      <c r="AB73" s="253">
        <f ca="1">IFERROR(__xludf.DUMMYFUNCTION("IMPORTRANGE(""https://docs.google.com/spreadsheets/d/1BmIruG_sIrJLYao_Pdr7zVArWsfoBt2692TMi6x_854/edit?usp=sharing"",""อ่างทอง!J709"")"),0)</f>
        <v>0</v>
      </c>
      <c r="AC73" s="253">
        <f ca="1">IFERROR(__xludf.DUMMYFUNCTION("IMPORTRANGE(""https://docs.google.com/spreadsheets/d/1BmIruG_sIrJLYao_Pdr7zVArWsfoBt2692TMi6x_854/edit?usp=sharing"",""อ่างทอง!J710"")"),0)</f>
        <v>0</v>
      </c>
      <c r="AD73" s="634">
        <f t="shared" ca="1" si="37"/>
        <v>0</v>
      </c>
    </row>
    <row r="74" spans="1:30" ht="19.5" x14ac:dyDescent="0.3">
      <c r="A74" s="664" t="s">
        <v>102</v>
      </c>
      <c r="B74" s="647"/>
      <c r="C74" s="94">
        <f t="shared" ref="C74:E74" ca="1" si="52">SUM(C75:C88)</f>
        <v>865550</v>
      </c>
      <c r="D74" s="94">
        <f t="shared" ca="1" si="52"/>
        <v>842598.83000000007</v>
      </c>
      <c r="E74" s="94">
        <f t="shared" ca="1" si="52"/>
        <v>284725.48</v>
      </c>
      <c r="F74" s="94">
        <f t="shared" ca="1" si="24"/>
        <v>32.895324360233374</v>
      </c>
      <c r="G74" s="94">
        <f t="shared" ca="1" si="25"/>
        <v>33.791345283496298</v>
      </c>
      <c r="H74" s="281">
        <f t="shared" ref="H74:I74" ca="1" si="53">SUM(H75:H88)</f>
        <v>0</v>
      </c>
      <c r="I74" s="369">
        <f t="shared" ca="1" si="53"/>
        <v>0</v>
      </c>
      <c r="J74" s="94">
        <f t="shared" ca="1" si="27"/>
        <v>0</v>
      </c>
      <c r="K74" s="281">
        <f t="shared" ref="K74:M74" ca="1" si="54">SUM(K75:K88)</f>
        <v>113</v>
      </c>
      <c r="L74" s="369">
        <f t="shared" ca="1" si="54"/>
        <v>2</v>
      </c>
      <c r="M74" s="369">
        <f t="shared" ca="1" si="54"/>
        <v>0.21</v>
      </c>
      <c r="N74" s="94">
        <f t="shared" ca="1" si="29"/>
        <v>1.7699115044247788</v>
      </c>
      <c r="O74" s="281">
        <f t="shared" ref="O74:Q74" ca="1" si="55">SUM(O75:O88)</f>
        <v>76</v>
      </c>
      <c r="P74" s="369">
        <f t="shared" ca="1" si="55"/>
        <v>2</v>
      </c>
      <c r="Q74" s="369">
        <f t="shared" ca="1" si="55"/>
        <v>0.21</v>
      </c>
      <c r="R74" s="94">
        <f t="shared" ca="1" si="31"/>
        <v>2.6315789473684212</v>
      </c>
      <c r="S74" s="635">
        <f t="shared" ref="S74:U74" ca="1" si="56">SUM(S75:S88)</f>
        <v>37</v>
      </c>
      <c r="T74" s="601">
        <f t="shared" ca="1" si="56"/>
        <v>0</v>
      </c>
      <c r="U74" s="601">
        <f t="shared" ca="1" si="56"/>
        <v>0</v>
      </c>
      <c r="V74" s="603">
        <f t="shared" ca="1" si="33"/>
        <v>0</v>
      </c>
      <c r="W74" s="281">
        <f t="shared" ref="W74:Y74" ca="1" si="57">SUM(W75:W88)</f>
        <v>76</v>
      </c>
      <c r="X74" s="369">
        <f t="shared" ca="1" si="57"/>
        <v>2</v>
      </c>
      <c r="Y74" s="369">
        <f t="shared" ca="1" si="57"/>
        <v>0.21</v>
      </c>
      <c r="Z74" s="94">
        <f t="shared" ca="1" si="35"/>
        <v>2.6315789473684212</v>
      </c>
      <c r="AA74" s="635">
        <f t="shared" ref="AA74:AC74" ca="1" si="58">SUM(AA75:AA88)</f>
        <v>37</v>
      </c>
      <c r="AB74" s="601">
        <f t="shared" ca="1" si="58"/>
        <v>62</v>
      </c>
      <c r="AC74" s="601">
        <f t="shared" ca="1" si="58"/>
        <v>0</v>
      </c>
      <c r="AD74" s="603">
        <f t="shared" ca="1" si="37"/>
        <v>167.56756756756758</v>
      </c>
    </row>
    <row r="75" spans="1:30" ht="19.5" x14ac:dyDescent="0.3">
      <c r="A75" s="58">
        <v>1</v>
      </c>
      <c r="B75" s="59" t="s">
        <v>103</v>
      </c>
      <c r="C75" s="68">
        <f ca="1">IFERROR(__xludf.DUMMYFUNCTION("IMPORTRANGE(""https://docs.google.com/spreadsheets/d/1kKUcYdkIfrgTSj8iHHHB2MD2FAtwyyocFgqGQn6ADyI/edit?usp=sharing"",""กระบี่!Q690"")"),79150)</f>
        <v>79150</v>
      </c>
      <c r="D75" s="68">
        <f ca="1">IFERROR(__xludf.DUMMYFUNCTION("IMPORTRANGE(""https://docs.google.com/spreadsheets/d/1kKUcYdkIfrgTSj8iHHHB2MD2FAtwyyocFgqGQn6ADyI/edit?usp=sharing"",""กระบี่!R690"")"),79150)</f>
        <v>79150</v>
      </c>
      <c r="E75" s="68">
        <f ca="1">IFERROR(__xludf.DUMMYFUNCTION("IMPORTRANGE(""https://docs.google.com/spreadsheets/d/1kKUcYdkIfrgTSj8iHHHB2MD2FAtwyyocFgqGQn6ADyI/edit?usp=sharing"",""กระบี่!S690"")"),0)</f>
        <v>0</v>
      </c>
      <c r="F75" s="68">
        <f t="shared" ca="1" si="24"/>
        <v>0</v>
      </c>
      <c r="G75" s="68">
        <f t="shared" ca="1" si="25"/>
        <v>0</v>
      </c>
      <c r="H75" s="278">
        <f ca="1">IFERROR(__xludf.DUMMYFUNCTION("IMPORTRANGE(""https://docs.google.com/spreadsheets/d/1kKUcYdkIfrgTSj8iHHHB2MD2FAtwyyocFgqGQn6ADyI/edit?usp=sharing"",""กระบี่!I700"")"),0)</f>
        <v>0</v>
      </c>
      <c r="I75" s="152">
        <f ca="1">IFERROR(__xludf.DUMMYFUNCTION("IMPORTRANGE(""https://docs.google.com/spreadsheets/d/1kKUcYdkIfrgTSj8iHHHB2MD2FAtwyyocFgqGQn6ADyI/edit?usp=sharing"",""กระบี่!J700"")"),0)</f>
        <v>0</v>
      </c>
      <c r="J75" s="216">
        <f t="shared" ca="1" si="27"/>
        <v>0</v>
      </c>
      <c r="K75" s="278">
        <f ca="1">IFERROR(__xludf.DUMMYFUNCTION("IMPORTRANGE(""https://docs.google.com/spreadsheets/d/1kKUcYdkIfrgTSj8iHHHB2MD2FAtwyyocFgqGQn6ADyI/edit?usp=sharing"",""กระบี่!I701"")"),5)</f>
        <v>5</v>
      </c>
      <c r="L75" s="152">
        <f ca="1">IFERROR(__xludf.DUMMYFUNCTION("IMPORTRANGE(""https://docs.google.com/spreadsheets/d/1kKUcYdkIfrgTSj8iHHHB2MD2FAtwyyocFgqGQn6ADyI/edit?usp=sharing"",""กระบี่!J701"")"),0)</f>
        <v>0</v>
      </c>
      <c r="M75" s="152">
        <f ca="1">IFERROR(__xludf.DUMMYFUNCTION("IMPORTRANGE(""https://docs.google.com/spreadsheets/d/1kKUcYdkIfrgTSj8iHHHB2MD2FAtwyyocFgqGQn6ADyI/edit?usp=sharing"",""กระบี่!J702"")"),0)</f>
        <v>0</v>
      </c>
      <c r="N75" s="216">
        <f t="shared" ca="1" si="29"/>
        <v>0</v>
      </c>
      <c r="O75" s="278">
        <f ca="1">IFERROR(__xludf.DUMMYFUNCTION("IMPORTRANGE(""https://docs.google.com/spreadsheets/d/1kKUcYdkIfrgTSj8iHHHB2MD2FAtwyyocFgqGQn6ADyI/edit?usp=sharing"",""กระบี่!I703"")"),0)</f>
        <v>0</v>
      </c>
      <c r="P75" s="152">
        <f ca="1">IFERROR(__xludf.DUMMYFUNCTION("IMPORTRANGE(""https://docs.google.com/spreadsheets/d/1kKUcYdkIfrgTSj8iHHHB2MD2FAtwyyocFgqGQn6ADyI/edit?usp=sharing"",""กระบี่!J703"")"),0)</f>
        <v>0</v>
      </c>
      <c r="Q75" s="152">
        <f ca="1">IFERROR(__xludf.DUMMYFUNCTION("IMPORTRANGE(""https://docs.google.com/spreadsheets/d/1kKUcYdkIfrgTSj8iHHHB2MD2FAtwyyocFgqGQn6ADyI/edit?usp=sharing"",""กระบี่!J704"")"),0)</f>
        <v>0</v>
      </c>
      <c r="R75" s="216">
        <f t="shared" ca="1" si="31"/>
        <v>0</v>
      </c>
      <c r="S75" s="632">
        <f ca="1">IFERROR(__xludf.DUMMYFUNCTION("IMPORTRANGE(""https://docs.google.com/spreadsheets/d/1kKUcYdkIfrgTSj8iHHHB2MD2FAtwyyocFgqGQn6ADyI/edit?usp=sharing"",""กระบี่!I705"")"),5)</f>
        <v>5</v>
      </c>
      <c r="T75" s="251">
        <f ca="1">IFERROR(__xludf.DUMMYFUNCTION("IMPORTRANGE(""https://docs.google.com/spreadsheets/d/1kKUcYdkIfrgTSj8iHHHB2MD2FAtwyyocFgqGQn6ADyI/edit?usp=sharing"",""กระบี่!J705"")"),0)</f>
        <v>0</v>
      </c>
      <c r="U75" s="251">
        <f ca="1">IFERROR(__xludf.DUMMYFUNCTION("IMPORTRANGE(""https://docs.google.com/spreadsheets/d/1kKUcYdkIfrgTSj8iHHHB2MD2FAtwyyocFgqGQn6ADyI/edit?usp=sharing"",""กระบี่!J706"")"),0)</f>
        <v>0</v>
      </c>
      <c r="V75" s="605">
        <f t="shared" ca="1" si="33"/>
        <v>0</v>
      </c>
      <c r="W75" s="278">
        <f ca="1">IFERROR(__xludf.DUMMYFUNCTION("IMPORTRANGE(""https://docs.google.com/spreadsheets/d/1kKUcYdkIfrgTSj8iHHHB2MD2FAtwyyocFgqGQn6ADyI/edit?usp=sharing"",""กระบี่!I707"")"),0)</f>
        <v>0</v>
      </c>
      <c r="X75" s="152">
        <f ca="1">IFERROR(__xludf.DUMMYFUNCTION("IMPORTRANGE(""https://docs.google.com/spreadsheets/d/1kKUcYdkIfrgTSj8iHHHB2MD2FAtwyyocFgqGQn6ADyI/edit?usp=sharing"",""กระบี่!J707"")"),0)</f>
        <v>0</v>
      </c>
      <c r="Y75" s="152">
        <f ca="1">IFERROR(__xludf.DUMMYFUNCTION("IMPORTRANGE(""https://docs.google.com/spreadsheets/d/1kKUcYdkIfrgTSj8iHHHB2MD2FAtwyyocFgqGQn6ADyI/edit?usp=sharing"",""กระบี่!J708"")"),0)</f>
        <v>0</v>
      </c>
      <c r="Z75" s="216">
        <f t="shared" ca="1" si="35"/>
        <v>0</v>
      </c>
      <c r="AA75" s="632">
        <f ca="1">IFERROR(__xludf.DUMMYFUNCTION("IMPORTRANGE(""https://docs.google.com/spreadsheets/d/1kKUcYdkIfrgTSj8iHHHB2MD2FAtwyyocFgqGQn6ADyI/edit?usp=sharing"",""กระบี่!I709"")"),5)</f>
        <v>5</v>
      </c>
      <c r="AB75" s="251">
        <f ca="1">IFERROR(__xludf.DUMMYFUNCTION("IMPORTRANGE(""https://docs.google.com/spreadsheets/d/1kKUcYdkIfrgTSj8iHHHB2MD2FAtwyyocFgqGQn6ADyI/edit?usp=sharing"",""กระบี่!J709"")"),11)</f>
        <v>11</v>
      </c>
      <c r="AC75" s="251">
        <f ca="1">IFERROR(__xludf.DUMMYFUNCTION("IMPORTRANGE(""https://docs.google.com/spreadsheets/d/1kKUcYdkIfrgTSj8iHHHB2MD2FAtwyyocFgqGQn6ADyI/edit?usp=sharing"",""กระบี่!J710"")"),0)</f>
        <v>0</v>
      </c>
      <c r="AD75" s="605">
        <f t="shared" ca="1" si="37"/>
        <v>220</v>
      </c>
    </row>
    <row r="76" spans="1:30" ht="19.5" x14ac:dyDescent="0.3">
      <c r="A76" s="70">
        <v>2</v>
      </c>
      <c r="B76" s="71" t="s">
        <v>104</v>
      </c>
      <c r="C76" s="68">
        <f ca="1">IFERROR(__xludf.DUMMYFUNCTION("IMPORTRANGE(""https://docs.google.com/spreadsheets/d/1GwtLaSlNZkLk7iDqcyZz22giiy40b_usZZBXYciEN1U/edit?usp=sharing"",""ชุมพร!Q690"")"),65890)</f>
        <v>65890</v>
      </c>
      <c r="D76" s="68">
        <f ca="1">IFERROR(__xludf.DUMMYFUNCTION("IMPORTRANGE(""https://docs.google.com/spreadsheets/d/1GwtLaSlNZkLk7iDqcyZz22giiy40b_usZZBXYciEN1U/edit?usp=sharing"",""ชุมพร!R690"")"),65890)</f>
        <v>65890</v>
      </c>
      <c r="E76" s="68">
        <f ca="1">IFERROR(__xludf.DUMMYFUNCTION("IMPORTRANGE(""https://docs.google.com/spreadsheets/d/1GwtLaSlNZkLk7iDqcyZz22giiy40b_usZZBXYciEN1U/edit?usp=sharing"",""ชุมพร!S690"")"),5718.09)</f>
        <v>5718.09</v>
      </c>
      <c r="F76" s="68">
        <f t="shared" ca="1" si="24"/>
        <v>8.6782364546972222</v>
      </c>
      <c r="G76" s="68">
        <f t="shared" ca="1" si="25"/>
        <v>8.6782364546972222</v>
      </c>
      <c r="H76" s="278">
        <f ca="1">IFERROR(__xludf.DUMMYFUNCTION("IMPORTRANGE(""https://docs.google.com/spreadsheets/d/1GwtLaSlNZkLk7iDqcyZz22giiy40b_usZZBXYciEN1U/edit?usp=sharing"",""ชุมพร!I700"")"),0)</f>
        <v>0</v>
      </c>
      <c r="I76" s="397">
        <f ca="1">IFERROR(__xludf.DUMMYFUNCTION("IMPORTRANGE(""https://docs.google.com/spreadsheets/d/1GwtLaSlNZkLk7iDqcyZz22giiy40b_usZZBXYciEN1U/edit?usp=sharing"",""ชุมพร!J700"")"),0)</f>
        <v>0</v>
      </c>
      <c r="J76" s="216">
        <f t="shared" ca="1" si="27"/>
        <v>0</v>
      </c>
      <c r="K76" s="278">
        <f ca="1">IFERROR(__xludf.DUMMYFUNCTION("IMPORTRANGE(""https://docs.google.com/spreadsheets/d/1GwtLaSlNZkLk7iDqcyZz22giiy40b_usZZBXYciEN1U/edit?usp=sharing"",""ชุมพร!I701"")"),5)</f>
        <v>5</v>
      </c>
      <c r="L76" s="397">
        <f ca="1">IFERROR(__xludf.DUMMYFUNCTION("IMPORTRANGE(""https://docs.google.com/spreadsheets/d/1GwtLaSlNZkLk7iDqcyZz22giiy40b_usZZBXYciEN1U/edit?usp=sharing"",""ชุมพร!J701"")"),0)</f>
        <v>0</v>
      </c>
      <c r="M76" s="397">
        <f ca="1">IFERROR(__xludf.DUMMYFUNCTION("IMPORTRANGE(""https://docs.google.com/spreadsheets/d/1GwtLaSlNZkLk7iDqcyZz22giiy40b_usZZBXYciEN1U/edit?usp=sharing"",""ชุมพร!J702"")"),0)</f>
        <v>0</v>
      </c>
      <c r="N76" s="216">
        <f t="shared" ca="1" si="29"/>
        <v>0</v>
      </c>
      <c r="O76" s="278">
        <f ca="1">IFERROR(__xludf.DUMMYFUNCTION("IMPORTRANGE(""https://docs.google.com/spreadsheets/d/1GwtLaSlNZkLk7iDqcyZz22giiy40b_usZZBXYciEN1U/edit?usp=sharing"",""ชุมพร!I703"")"),0)</f>
        <v>0</v>
      </c>
      <c r="P76" s="397">
        <f ca="1">IFERROR(__xludf.DUMMYFUNCTION("IMPORTRANGE(""https://docs.google.com/spreadsheets/d/1GwtLaSlNZkLk7iDqcyZz22giiy40b_usZZBXYciEN1U/edit?usp=sharing"",""ชุมพร!J703"")"),0)</f>
        <v>0</v>
      </c>
      <c r="Q76" s="397">
        <f ca="1">IFERROR(__xludf.DUMMYFUNCTION("IMPORTRANGE(""https://docs.google.com/spreadsheets/d/1GwtLaSlNZkLk7iDqcyZz22giiy40b_usZZBXYciEN1U/edit?usp=sharing"",""ชุมพร!J704"")"),0)</f>
        <v>0</v>
      </c>
      <c r="R76" s="216">
        <f t="shared" ca="1" si="31"/>
        <v>0</v>
      </c>
      <c r="S76" s="632">
        <f ca="1">IFERROR(__xludf.DUMMYFUNCTION("IMPORTRANGE(""https://docs.google.com/spreadsheets/d/1GwtLaSlNZkLk7iDqcyZz22giiy40b_usZZBXYciEN1U/edit?usp=sharing"",""ชุมพร!I705"")"),5)</f>
        <v>5</v>
      </c>
      <c r="T76" s="251">
        <f ca="1">IFERROR(__xludf.DUMMYFUNCTION("IMPORTRANGE(""https://docs.google.com/spreadsheets/d/1GwtLaSlNZkLk7iDqcyZz22giiy40b_usZZBXYciEN1U/edit?usp=sharing"",""ชุมพร!J705"")"),0)</f>
        <v>0</v>
      </c>
      <c r="U76" s="251">
        <f ca="1">IFERROR(__xludf.DUMMYFUNCTION("IMPORTRANGE(""https://docs.google.com/spreadsheets/d/1GwtLaSlNZkLk7iDqcyZz22giiy40b_usZZBXYciEN1U/edit?usp=sharing"",""ชุมพร!J706"")"),0)</f>
        <v>0</v>
      </c>
      <c r="V76" s="605">
        <f t="shared" ca="1" si="33"/>
        <v>0</v>
      </c>
      <c r="W76" s="278">
        <f ca="1">IFERROR(__xludf.DUMMYFUNCTION("IMPORTRANGE(""https://docs.google.com/spreadsheets/d/1GwtLaSlNZkLk7iDqcyZz22giiy40b_usZZBXYciEN1U/edit?usp=sharing"",""ชุมพร!I707"")"),0)</f>
        <v>0</v>
      </c>
      <c r="X76" s="397">
        <f ca="1">IFERROR(__xludf.DUMMYFUNCTION("IMPORTRANGE(""https://docs.google.com/spreadsheets/d/1GwtLaSlNZkLk7iDqcyZz22giiy40b_usZZBXYciEN1U/edit?usp=sharing"",""ชุมพร!J707"")"),0)</f>
        <v>0</v>
      </c>
      <c r="Y76" s="397">
        <f ca="1">IFERROR(__xludf.DUMMYFUNCTION("IMPORTRANGE(""https://docs.google.com/spreadsheets/d/1GwtLaSlNZkLk7iDqcyZz22giiy40b_usZZBXYciEN1U/edit?usp=sharing"",""ชุมพร!J708"")"),0)</f>
        <v>0</v>
      </c>
      <c r="Z76" s="216">
        <f t="shared" ca="1" si="35"/>
        <v>0</v>
      </c>
      <c r="AA76" s="632">
        <f ca="1">IFERROR(__xludf.DUMMYFUNCTION("IMPORTRANGE(""https://docs.google.com/spreadsheets/d/1GwtLaSlNZkLk7iDqcyZz22giiy40b_usZZBXYciEN1U/edit?usp=sharing"",""ชุมพร!I709"")"),5)</f>
        <v>5</v>
      </c>
      <c r="AB76" s="251">
        <f ca="1">IFERROR(__xludf.DUMMYFUNCTION("IMPORTRANGE(""https://docs.google.com/spreadsheets/d/1GwtLaSlNZkLk7iDqcyZz22giiy40b_usZZBXYciEN1U/edit?usp=sharing"",""ชุมพร!J709"")"),10)</f>
        <v>10</v>
      </c>
      <c r="AC76" s="251">
        <f ca="1">IFERROR(__xludf.DUMMYFUNCTION("IMPORTRANGE(""https://docs.google.com/spreadsheets/d/1GwtLaSlNZkLk7iDqcyZz22giiy40b_usZZBXYciEN1U/edit?usp=sharing"",""ชุมพร!J710"")"),0)</f>
        <v>0</v>
      </c>
      <c r="AD76" s="605">
        <f t="shared" ca="1" si="37"/>
        <v>200</v>
      </c>
    </row>
    <row r="77" spans="1:30" ht="19.5" x14ac:dyDescent="0.3">
      <c r="A77" s="70">
        <v>3</v>
      </c>
      <c r="B77" s="71" t="s">
        <v>105</v>
      </c>
      <c r="C77" s="68">
        <f ca="1">IFERROR(__xludf.DUMMYFUNCTION("IMPORTRANGE(""https://docs.google.com/spreadsheets/d/16pAz3pOhQEZBhvFNMa5KGgZS6iKWpsKX0pg6tQmwFpo/edit?usp=sharing"",""ตรัง!Q690"")"),64340)</f>
        <v>64340</v>
      </c>
      <c r="D77" s="68">
        <f ca="1">IFERROR(__xludf.DUMMYFUNCTION("IMPORTRANGE(""https://docs.google.com/spreadsheets/d/16pAz3pOhQEZBhvFNMa5KGgZS6iKWpsKX0pg6tQmwFpo/edit?usp=sharing"",""ตรัง!R690"")"),64340)</f>
        <v>64340</v>
      </c>
      <c r="E77" s="68">
        <f ca="1">IFERROR(__xludf.DUMMYFUNCTION("IMPORTRANGE(""https://docs.google.com/spreadsheets/d/16pAz3pOhQEZBhvFNMa5KGgZS6iKWpsKX0pg6tQmwFpo/edit?usp=sharing"",""ตรัง!S690"")"),7827.05)</f>
        <v>7827.05</v>
      </c>
      <c r="F77" s="68">
        <f t="shared" ca="1" si="24"/>
        <v>12.165138327634441</v>
      </c>
      <c r="G77" s="68">
        <f t="shared" ca="1" si="25"/>
        <v>12.165138327634441</v>
      </c>
      <c r="H77" s="278">
        <f ca="1">IFERROR(__xludf.DUMMYFUNCTION("IMPORTRANGE(""https://docs.google.com/spreadsheets/d/16pAz3pOhQEZBhvFNMa5KGgZS6iKWpsKX0pg6tQmwFpo/edit?usp=sharing"",""ตรัง!I700"")"),0)</f>
        <v>0</v>
      </c>
      <c r="I77" s="152">
        <f ca="1">IFERROR(__xludf.DUMMYFUNCTION("IMPORTRANGE(""https://docs.google.com/spreadsheets/d/16pAz3pOhQEZBhvFNMa5KGgZS6iKWpsKX0pg6tQmwFpo/edit?usp=sharing"",""ตรัง!J700"")"),0)</f>
        <v>0</v>
      </c>
      <c r="J77" s="216">
        <f t="shared" ca="1" si="27"/>
        <v>0</v>
      </c>
      <c r="K77" s="278">
        <f ca="1">IFERROR(__xludf.DUMMYFUNCTION("IMPORTRANGE(""https://docs.google.com/spreadsheets/d/16pAz3pOhQEZBhvFNMa5KGgZS6iKWpsKX0pg6tQmwFpo/edit?usp=sharing"",""ตรัง!I701"")"),1)</f>
        <v>1</v>
      </c>
      <c r="L77" s="152">
        <f ca="1">IFERROR(__xludf.DUMMYFUNCTION("IMPORTRANGE(""https://docs.google.com/spreadsheets/d/16pAz3pOhQEZBhvFNMa5KGgZS6iKWpsKX0pg6tQmwFpo/edit?usp=sharing"",""ตรัง!J701"")"),0)</f>
        <v>0</v>
      </c>
      <c r="M77" s="152">
        <f ca="1">IFERROR(__xludf.DUMMYFUNCTION("IMPORTRANGE(""https://docs.google.com/spreadsheets/d/16pAz3pOhQEZBhvFNMa5KGgZS6iKWpsKX0pg6tQmwFpo/edit?usp=sharing"",""ตรัง!J702"")"),0)</f>
        <v>0</v>
      </c>
      <c r="N77" s="216">
        <f t="shared" ca="1" si="29"/>
        <v>0</v>
      </c>
      <c r="O77" s="278">
        <f ca="1">IFERROR(__xludf.DUMMYFUNCTION("IMPORTRANGE(""https://docs.google.com/spreadsheets/d/16pAz3pOhQEZBhvFNMa5KGgZS6iKWpsKX0pg6tQmwFpo/edit?usp=sharing"",""ตรัง!I703"")"),0)</f>
        <v>0</v>
      </c>
      <c r="P77" s="152">
        <f ca="1">IFERROR(__xludf.DUMMYFUNCTION("IMPORTRANGE(""https://docs.google.com/spreadsheets/d/16pAz3pOhQEZBhvFNMa5KGgZS6iKWpsKX0pg6tQmwFpo/edit?usp=sharing"",""ตรัง!J703"")"),0)</f>
        <v>0</v>
      </c>
      <c r="Q77" s="152">
        <f ca="1">IFERROR(__xludf.DUMMYFUNCTION("IMPORTRANGE(""https://docs.google.com/spreadsheets/d/16pAz3pOhQEZBhvFNMa5KGgZS6iKWpsKX0pg6tQmwFpo/edit?usp=sharing"",""ตรัง!J704"")"),0)</f>
        <v>0</v>
      </c>
      <c r="R77" s="216">
        <f t="shared" ca="1" si="31"/>
        <v>0</v>
      </c>
      <c r="S77" s="632">
        <f ca="1">IFERROR(__xludf.DUMMYFUNCTION("IMPORTRANGE(""https://docs.google.com/spreadsheets/d/16pAz3pOhQEZBhvFNMa5KGgZS6iKWpsKX0pg6tQmwFpo/edit?usp=sharing"",""ตรัง!I705"")"),1)</f>
        <v>1</v>
      </c>
      <c r="T77" s="251">
        <f ca="1">IFERROR(__xludf.DUMMYFUNCTION("IMPORTRANGE(""https://docs.google.com/spreadsheets/d/16pAz3pOhQEZBhvFNMa5KGgZS6iKWpsKX0pg6tQmwFpo/edit?usp=sharing"",""ตรัง!J705"")"),0)</f>
        <v>0</v>
      </c>
      <c r="U77" s="251">
        <f ca="1">IFERROR(__xludf.DUMMYFUNCTION("IMPORTRANGE(""https://docs.google.com/spreadsheets/d/16pAz3pOhQEZBhvFNMa5KGgZS6iKWpsKX0pg6tQmwFpo/edit?usp=sharing"",""ตรัง!J706"")"),0)</f>
        <v>0</v>
      </c>
      <c r="V77" s="605">
        <f t="shared" ca="1" si="33"/>
        <v>0</v>
      </c>
      <c r="W77" s="278">
        <f ca="1">IFERROR(__xludf.DUMMYFUNCTION("IMPORTRANGE(""https://docs.google.com/spreadsheets/d/16pAz3pOhQEZBhvFNMa5KGgZS6iKWpsKX0pg6tQmwFpo/edit?usp=sharing"",""ตรัง!I707"")"),0)</f>
        <v>0</v>
      </c>
      <c r="X77" s="152">
        <f ca="1">IFERROR(__xludf.DUMMYFUNCTION("IMPORTRANGE(""https://docs.google.com/spreadsheets/d/16pAz3pOhQEZBhvFNMa5KGgZS6iKWpsKX0pg6tQmwFpo/edit?usp=sharing"",""ตรัง!J707"")"),0)</f>
        <v>0</v>
      </c>
      <c r="Y77" s="152">
        <f ca="1">IFERROR(__xludf.DUMMYFUNCTION("IMPORTRANGE(""https://docs.google.com/spreadsheets/d/16pAz3pOhQEZBhvFNMa5KGgZS6iKWpsKX0pg6tQmwFpo/edit?usp=sharing"",""ตรัง!J708"")"),0)</f>
        <v>0</v>
      </c>
      <c r="Z77" s="216">
        <f t="shared" ca="1" si="35"/>
        <v>0</v>
      </c>
      <c r="AA77" s="632">
        <f ca="1">IFERROR(__xludf.DUMMYFUNCTION("IMPORTRANGE(""https://docs.google.com/spreadsheets/d/16pAz3pOhQEZBhvFNMa5KGgZS6iKWpsKX0pg6tQmwFpo/edit?usp=sharing"",""ตรัง!I709"")"),1)</f>
        <v>1</v>
      </c>
      <c r="AB77" s="251">
        <f ca="1">IFERROR(__xludf.DUMMYFUNCTION("IMPORTRANGE(""https://docs.google.com/spreadsheets/d/16pAz3pOhQEZBhvFNMa5KGgZS6iKWpsKX0pg6tQmwFpo/edit?usp=sharing"",""ตรัง!J709"")"),3)</f>
        <v>3</v>
      </c>
      <c r="AC77" s="251">
        <f ca="1">IFERROR(__xludf.DUMMYFUNCTION("IMPORTRANGE(""https://docs.google.com/spreadsheets/d/16pAz3pOhQEZBhvFNMa5KGgZS6iKWpsKX0pg6tQmwFpo/edit?usp=sharing"",""ตรัง!J710"")"),0)</f>
        <v>0</v>
      </c>
      <c r="AD77" s="605">
        <f t="shared" ca="1" si="37"/>
        <v>300</v>
      </c>
    </row>
    <row r="78" spans="1:30" ht="19.5" x14ac:dyDescent="0.3">
      <c r="A78" s="70">
        <v>4</v>
      </c>
      <c r="B78" s="71" t="s">
        <v>106</v>
      </c>
      <c r="C78" s="68">
        <f ca="1">IFERROR(__xludf.DUMMYFUNCTION("IMPORTRANGE(""https://docs.google.com/spreadsheets/d/1Dj4jcHCTV9JXKCaMoheSXS52JE63kDKyG7bPXnFogHk/edit?usp=sharing"",""นครศรีธรรมราช!Q690"")"),178410)</f>
        <v>178410</v>
      </c>
      <c r="D78" s="68">
        <f ca="1">IFERROR(__xludf.DUMMYFUNCTION("IMPORTRANGE(""https://docs.google.com/spreadsheets/d/1Dj4jcHCTV9JXKCaMoheSXS52JE63kDKyG7bPXnFogHk/edit?usp=sharing"",""นครศรีธรรมราช!R690"")"),178410)</f>
        <v>178410</v>
      </c>
      <c r="E78" s="68">
        <f ca="1">IFERROR(__xludf.DUMMYFUNCTION("IMPORTRANGE(""https://docs.google.com/spreadsheets/d/1Dj4jcHCTV9JXKCaMoheSXS52JE63kDKyG7bPXnFogHk/edit?usp=sharing"",""นครศรีธรรมราช!S690"")"),0)</f>
        <v>0</v>
      </c>
      <c r="F78" s="68">
        <f t="shared" ca="1" si="24"/>
        <v>0</v>
      </c>
      <c r="G78" s="68">
        <f t="shared" ca="1" si="25"/>
        <v>0</v>
      </c>
      <c r="H78" s="278">
        <f ca="1">IFERROR(__xludf.DUMMYFUNCTION("IMPORTRANGE(""https://docs.google.com/spreadsheets/d/1Dj4jcHCTV9JXKCaMoheSXS52JE63kDKyG7bPXnFogHk/edit?usp=sharing"",""นครศรีธรรมราช!I700"")"),0)</f>
        <v>0</v>
      </c>
      <c r="I78" s="152">
        <f ca="1">IFERROR(__xludf.DUMMYFUNCTION("IMPORTRANGE(""https://docs.google.com/spreadsheets/d/1Dj4jcHCTV9JXKCaMoheSXS52JE63kDKyG7bPXnFogHk/edit?usp=sharing"",""นครศรีธรรมราช!J700"")"),0)</f>
        <v>0</v>
      </c>
      <c r="J78" s="216">
        <f t="shared" ca="1" si="27"/>
        <v>0</v>
      </c>
      <c r="K78" s="278">
        <f ca="1">IFERROR(__xludf.DUMMYFUNCTION("IMPORTRANGE(""https://docs.google.com/spreadsheets/d/1Dj4jcHCTV9JXKCaMoheSXS52JE63kDKyG7bPXnFogHk/edit?usp=sharing"",""นครศรีธรรมราช!I701"")"),49)</f>
        <v>49</v>
      </c>
      <c r="L78" s="152">
        <f ca="1">IFERROR(__xludf.DUMMYFUNCTION("IMPORTRANGE(""https://docs.google.com/spreadsheets/d/1Dj4jcHCTV9JXKCaMoheSXS52JE63kDKyG7bPXnFogHk/edit?usp=sharing"",""นครศรีธรรมราช!J701"")"),0)</f>
        <v>0</v>
      </c>
      <c r="M78" s="152">
        <f ca="1">IFERROR(__xludf.DUMMYFUNCTION("IMPORTRANGE(""https://docs.google.com/spreadsheets/d/1Dj4jcHCTV9JXKCaMoheSXS52JE63kDKyG7bPXnFogHk/edit?usp=sharing"",""นครศรีธรรมราช!J702"")"),0)</f>
        <v>0</v>
      </c>
      <c r="N78" s="216">
        <f t="shared" ca="1" si="29"/>
        <v>0</v>
      </c>
      <c r="O78" s="278">
        <f ca="1">IFERROR(__xludf.DUMMYFUNCTION("IMPORTRANGE(""https://docs.google.com/spreadsheets/d/1Dj4jcHCTV9JXKCaMoheSXS52JE63kDKyG7bPXnFogHk/edit?usp=sharing"",""นครศรีธรรมราช!I703"")"),45)</f>
        <v>45</v>
      </c>
      <c r="P78" s="152">
        <f ca="1">IFERROR(__xludf.DUMMYFUNCTION("IMPORTRANGE(""https://docs.google.com/spreadsheets/d/1Dj4jcHCTV9JXKCaMoheSXS52JE63kDKyG7bPXnFogHk/edit?usp=sharing"",""นครศรีธรรมราช!J703"")"),0)</f>
        <v>0</v>
      </c>
      <c r="Q78" s="152">
        <f ca="1">IFERROR(__xludf.DUMMYFUNCTION("IMPORTRANGE(""https://docs.google.com/spreadsheets/d/1Dj4jcHCTV9JXKCaMoheSXS52JE63kDKyG7bPXnFogHk/edit?usp=sharing"",""นครศรีธรรมราช!J704"")"),0)</f>
        <v>0</v>
      </c>
      <c r="R78" s="216">
        <f t="shared" ca="1" si="31"/>
        <v>0</v>
      </c>
      <c r="S78" s="632">
        <f ca="1">IFERROR(__xludf.DUMMYFUNCTION("IMPORTRANGE(""https://docs.google.com/spreadsheets/d/1Dj4jcHCTV9JXKCaMoheSXS52JE63kDKyG7bPXnFogHk/edit?usp=sharing"",""นครศรีธรรมราช!I705"")"),4)</f>
        <v>4</v>
      </c>
      <c r="T78" s="251">
        <f ca="1">IFERROR(__xludf.DUMMYFUNCTION("IMPORTRANGE(""https://docs.google.com/spreadsheets/d/1Dj4jcHCTV9JXKCaMoheSXS52JE63kDKyG7bPXnFogHk/edit?usp=sharing"",""นครศรีธรรมราช!J705"")"),0)</f>
        <v>0</v>
      </c>
      <c r="U78" s="251">
        <f ca="1">IFERROR(__xludf.DUMMYFUNCTION("IMPORTRANGE(""https://docs.google.com/spreadsheets/d/1Dj4jcHCTV9JXKCaMoheSXS52JE63kDKyG7bPXnFogHk/edit?usp=sharing"",""นครศรีธรรมราช!J706"")"),0)</f>
        <v>0</v>
      </c>
      <c r="V78" s="605">
        <f t="shared" ca="1" si="33"/>
        <v>0</v>
      </c>
      <c r="W78" s="278">
        <f ca="1">IFERROR(__xludf.DUMMYFUNCTION("IMPORTRANGE(""https://docs.google.com/spreadsheets/d/1Dj4jcHCTV9JXKCaMoheSXS52JE63kDKyG7bPXnFogHk/edit?usp=sharing"",""นครศรีธรรมราช!I707"")"),45)</f>
        <v>45</v>
      </c>
      <c r="X78" s="152">
        <f ca="1">IFERROR(__xludf.DUMMYFUNCTION("IMPORTRANGE(""https://docs.google.com/spreadsheets/d/1Dj4jcHCTV9JXKCaMoheSXS52JE63kDKyG7bPXnFogHk/edit?usp=sharing"",""นครศรีธรรมราช!J707"")"),0)</f>
        <v>0</v>
      </c>
      <c r="Y78" s="152">
        <f ca="1">IFERROR(__xludf.DUMMYFUNCTION("IMPORTRANGE(""https://docs.google.com/spreadsheets/d/1Dj4jcHCTV9JXKCaMoheSXS52JE63kDKyG7bPXnFogHk/edit?usp=sharing"",""นครศรีธรรมราช!J708"")"),0)</f>
        <v>0</v>
      </c>
      <c r="Z78" s="216">
        <f t="shared" ca="1" si="35"/>
        <v>0</v>
      </c>
      <c r="AA78" s="632">
        <f ca="1">IFERROR(__xludf.DUMMYFUNCTION("IMPORTRANGE(""https://docs.google.com/spreadsheets/d/1Dj4jcHCTV9JXKCaMoheSXS52JE63kDKyG7bPXnFogHk/edit?usp=sharing"",""นครศรีธรรมราช!I709"")"),4)</f>
        <v>4</v>
      </c>
      <c r="AB78" s="251">
        <f ca="1">IFERROR(__xludf.DUMMYFUNCTION("IMPORTRANGE(""https://docs.google.com/spreadsheets/d/1Dj4jcHCTV9JXKCaMoheSXS52JE63kDKyG7bPXnFogHk/edit?usp=sharing"",""นครศรีธรรมราช!J709"")"),3)</f>
        <v>3</v>
      </c>
      <c r="AC78" s="251">
        <f ca="1">IFERROR(__xludf.DUMMYFUNCTION("IMPORTRANGE(""https://docs.google.com/spreadsheets/d/1Dj4jcHCTV9JXKCaMoheSXS52JE63kDKyG7bPXnFogHk/edit?usp=sharing"",""นครศรีธรรมราช!J710"")"),0)</f>
        <v>0</v>
      </c>
      <c r="AD78" s="605">
        <f t="shared" ca="1" si="37"/>
        <v>75</v>
      </c>
    </row>
    <row r="79" spans="1:30" ht="19.5" x14ac:dyDescent="0.3">
      <c r="A79" s="70">
        <v>5</v>
      </c>
      <c r="B79" s="71" t="s">
        <v>107</v>
      </c>
      <c r="C79" s="68">
        <f ca="1">IFERROR(__xludf.DUMMYFUNCTION("IMPORTRANGE(""https://docs.google.com/spreadsheets/d/1iodCdmuK2GR3jzUwk8tpccY2JHQQA-87DLOtJP-ooyU/edit?usp=sharing"",""นราธิวาส!Q690"")"),0)</f>
        <v>0</v>
      </c>
      <c r="D79" s="68">
        <f ca="1">IFERROR(__xludf.DUMMYFUNCTION("IMPORTRANGE(""https://docs.google.com/spreadsheets/d/1iodCdmuK2GR3jzUwk8tpccY2JHQQA-87DLOtJP-ooyU/edit?usp=sharing"",""นราธิวาส!R690"")"),0)</f>
        <v>0</v>
      </c>
      <c r="E79" s="68">
        <f ca="1">IFERROR(__xludf.DUMMYFUNCTION("IMPORTRANGE(""https://docs.google.com/spreadsheets/d/1iodCdmuK2GR3jzUwk8tpccY2JHQQA-87DLOtJP-ooyU/edit?usp=sharing"",""นราธิวาส!S690"")"),0)</f>
        <v>0</v>
      </c>
      <c r="F79" s="68">
        <f t="shared" ca="1" si="24"/>
        <v>0</v>
      </c>
      <c r="G79" s="68">
        <f t="shared" ca="1" si="25"/>
        <v>0</v>
      </c>
      <c r="H79" s="278">
        <f ca="1">IFERROR(__xludf.DUMMYFUNCTION("IMPORTRANGE(""https://docs.google.com/spreadsheets/d/1iodCdmuK2GR3jzUwk8tpccY2JHQQA-87DLOtJP-ooyU/edit?usp=sharing"",""นราธิวาส!I700"")"),0)</f>
        <v>0</v>
      </c>
      <c r="I79" s="152">
        <f ca="1">IFERROR(__xludf.DUMMYFUNCTION("IMPORTRANGE(""https://docs.google.com/spreadsheets/d/1iodCdmuK2GR3jzUwk8tpccY2JHQQA-87DLOtJP-ooyU/edit?usp=sharing"",""นราธิวาส!J700"")"),0)</f>
        <v>0</v>
      </c>
      <c r="J79" s="216">
        <f t="shared" ca="1" si="27"/>
        <v>0</v>
      </c>
      <c r="K79" s="278">
        <f ca="1">IFERROR(__xludf.DUMMYFUNCTION("IMPORTRANGE(""https://docs.google.com/spreadsheets/d/1iodCdmuK2GR3jzUwk8tpccY2JHQQA-87DLOtJP-ooyU/edit?usp=sharing"",""นราธิวาส!I701"")"),0)</f>
        <v>0</v>
      </c>
      <c r="L79" s="152">
        <f ca="1">IFERROR(__xludf.DUMMYFUNCTION("IMPORTRANGE(""https://docs.google.com/spreadsheets/d/1iodCdmuK2GR3jzUwk8tpccY2JHQQA-87DLOtJP-ooyU/edit?usp=sharing"",""นราธิวาส!J701"")"),2)</f>
        <v>2</v>
      </c>
      <c r="M79" s="152">
        <f ca="1">IFERROR(__xludf.DUMMYFUNCTION("IMPORTRANGE(""https://docs.google.com/spreadsheets/d/1iodCdmuK2GR3jzUwk8tpccY2JHQQA-87DLOtJP-ooyU/edit?usp=sharing"",""นราธิวาส!J702"")"),0.21)</f>
        <v>0.21</v>
      </c>
      <c r="N79" s="216">
        <f t="shared" ca="1" si="29"/>
        <v>0</v>
      </c>
      <c r="O79" s="278">
        <f ca="1">IFERROR(__xludf.DUMMYFUNCTION("IMPORTRANGE(""https://docs.google.com/spreadsheets/d/1iodCdmuK2GR3jzUwk8tpccY2JHQQA-87DLOtJP-ooyU/edit?usp=sharing"",""นราธิวาส!I703"")"),0)</f>
        <v>0</v>
      </c>
      <c r="P79" s="152">
        <f ca="1">IFERROR(__xludf.DUMMYFUNCTION("IMPORTRANGE(""https://docs.google.com/spreadsheets/d/1iodCdmuK2GR3jzUwk8tpccY2JHQQA-87DLOtJP-ooyU/edit?usp=sharing"",""นราธิวาส!J703"")"),2)</f>
        <v>2</v>
      </c>
      <c r="Q79" s="152">
        <f ca="1">IFERROR(__xludf.DUMMYFUNCTION("IMPORTRANGE(""https://docs.google.com/spreadsheets/d/1iodCdmuK2GR3jzUwk8tpccY2JHQQA-87DLOtJP-ooyU/edit?usp=sharing"",""นราธิวาส!J704"")"),0.21)</f>
        <v>0.21</v>
      </c>
      <c r="R79" s="216">
        <f t="shared" ca="1" si="31"/>
        <v>0</v>
      </c>
      <c r="S79" s="632">
        <f ca="1">IFERROR(__xludf.DUMMYFUNCTION("IMPORTRANGE(""https://docs.google.com/spreadsheets/d/1iodCdmuK2GR3jzUwk8tpccY2JHQQA-87DLOtJP-ooyU/edit?usp=sharing"",""นราธิวาส!I705"")"),0)</f>
        <v>0</v>
      </c>
      <c r="T79" s="251">
        <f ca="1">IFERROR(__xludf.DUMMYFUNCTION("IMPORTRANGE(""https://docs.google.com/spreadsheets/d/1iodCdmuK2GR3jzUwk8tpccY2JHQQA-87DLOtJP-ooyU/edit?usp=sharing"",""นราธิวาส!J705"")"),0)</f>
        <v>0</v>
      </c>
      <c r="U79" s="251">
        <f ca="1">IFERROR(__xludf.DUMMYFUNCTION("IMPORTRANGE(""https://docs.google.com/spreadsheets/d/1iodCdmuK2GR3jzUwk8tpccY2JHQQA-87DLOtJP-ooyU/edit?usp=sharing"",""นราธิวาส!J706"")"),0)</f>
        <v>0</v>
      </c>
      <c r="V79" s="605">
        <f t="shared" ca="1" si="33"/>
        <v>0</v>
      </c>
      <c r="W79" s="278">
        <f ca="1">IFERROR(__xludf.DUMMYFUNCTION("IMPORTRANGE(""https://docs.google.com/spreadsheets/d/1iodCdmuK2GR3jzUwk8tpccY2JHQQA-87DLOtJP-ooyU/edit?usp=sharing"",""นราธิวาส!I707"")"),0)</f>
        <v>0</v>
      </c>
      <c r="X79" s="152">
        <f ca="1">IFERROR(__xludf.DUMMYFUNCTION("IMPORTRANGE(""https://docs.google.com/spreadsheets/d/1iodCdmuK2GR3jzUwk8tpccY2JHQQA-87DLOtJP-ooyU/edit?usp=sharing"",""นราธิวาส!J707"")"),2)</f>
        <v>2</v>
      </c>
      <c r="Y79" s="152">
        <f ca="1">IFERROR(__xludf.DUMMYFUNCTION("IMPORTRANGE(""https://docs.google.com/spreadsheets/d/1iodCdmuK2GR3jzUwk8tpccY2JHQQA-87DLOtJP-ooyU/edit?usp=sharing"",""นราธิวาส!J708"")"),0.21)</f>
        <v>0.21</v>
      </c>
      <c r="Z79" s="216">
        <f t="shared" ca="1" si="35"/>
        <v>0</v>
      </c>
      <c r="AA79" s="632">
        <f ca="1">IFERROR(__xludf.DUMMYFUNCTION("IMPORTRANGE(""https://docs.google.com/spreadsheets/d/1iodCdmuK2GR3jzUwk8tpccY2JHQQA-87DLOtJP-ooyU/edit?usp=sharing"",""นราธิวาส!I709"")"),0)</f>
        <v>0</v>
      </c>
      <c r="AB79" s="251">
        <f ca="1">IFERROR(__xludf.DUMMYFUNCTION("IMPORTRANGE(""https://docs.google.com/spreadsheets/d/1iodCdmuK2GR3jzUwk8tpccY2JHQQA-87DLOtJP-ooyU/edit?usp=sharing"",""นราธิวาส!J709"")"),0)</f>
        <v>0</v>
      </c>
      <c r="AC79" s="251">
        <f ca="1">IFERROR(__xludf.DUMMYFUNCTION("IMPORTRANGE(""https://docs.google.com/spreadsheets/d/1iodCdmuK2GR3jzUwk8tpccY2JHQQA-87DLOtJP-ooyU/edit?usp=sharing"",""นราธิวาส!J710"")"),0)</f>
        <v>0</v>
      </c>
      <c r="AD79" s="605">
        <f t="shared" ca="1" si="37"/>
        <v>0</v>
      </c>
    </row>
    <row r="80" spans="1:30" ht="19.5" x14ac:dyDescent="0.3">
      <c r="A80" s="70">
        <v>6</v>
      </c>
      <c r="B80" s="71" t="s">
        <v>108</v>
      </c>
      <c r="C80" s="68">
        <f ca="1">IFERROR(__xludf.DUMMYFUNCTION("IMPORTRANGE(""https://docs.google.com/spreadsheets/d/1SDNX3JhDdYRuIOsj0Wh2M-Qa_eaXl0NbWmhAOTbfQAs/edit?usp=sharing"",""ปัตตานี!Q690"")"),0)</f>
        <v>0</v>
      </c>
      <c r="D80" s="68">
        <f ca="1">IFERROR(__xludf.DUMMYFUNCTION("IMPORTRANGE(""https://docs.google.com/spreadsheets/d/1SDNX3JhDdYRuIOsj0Wh2M-Qa_eaXl0NbWmhAOTbfQAs/edit?usp=sharing"",""ปัตตานี!R690"")"),0)</f>
        <v>0</v>
      </c>
      <c r="E80" s="68">
        <f ca="1">IFERROR(__xludf.DUMMYFUNCTION("IMPORTRANGE(""https://docs.google.com/spreadsheets/d/1SDNX3JhDdYRuIOsj0Wh2M-Qa_eaXl0NbWmhAOTbfQAs/edit?usp=sharing"",""ปัตตานี!S690"")"),0)</f>
        <v>0</v>
      </c>
      <c r="F80" s="68">
        <f t="shared" ca="1" si="24"/>
        <v>0</v>
      </c>
      <c r="G80" s="68">
        <f t="shared" ca="1" si="25"/>
        <v>0</v>
      </c>
      <c r="H80" s="278">
        <f ca="1">IFERROR(__xludf.DUMMYFUNCTION("IMPORTRANGE(""https://docs.google.com/spreadsheets/d/1SDNX3JhDdYRuIOsj0Wh2M-Qa_eaXl0NbWmhAOTbfQAs/edit?usp=sharing"",""ปัตตานี!I700"")"),0)</f>
        <v>0</v>
      </c>
      <c r="I80" s="152">
        <f ca="1">IFERROR(__xludf.DUMMYFUNCTION("IMPORTRANGE(""https://docs.google.com/spreadsheets/d/1SDNX3JhDdYRuIOsj0Wh2M-Qa_eaXl0NbWmhAOTbfQAs/edit?usp=sharing"",""ปัตตานี!J700"")"),0)</f>
        <v>0</v>
      </c>
      <c r="J80" s="216">
        <f t="shared" ca="1" si="27"/>
        <v>0</v>
      </c>
      <c r="K80" s="278">
        <f ca="1">IFERROR(__xludf.DUMMYFUNCTION("IMPORTRANGE(""https://docs.google.com/spreadsheets/d/1SDNX3JhDdYRuIOsj0Wh2M-Qa_eaXl0NbWmhAOTbfQAs/edit?usp=sharing"",""ปัตตานี!I701"")"),0)</f>
        <v>0</v>
      </c>
      <c r="L80" s="152">
        <f ca="1">IFERROR(__xludf.DUMMYFUNCTION("IMPORTRANGE(""https://docs.google.com/spreadsheets/d/1SDNX3JhDdYRuIOsj0Wh2M-Qa_eaXl0NbWmhAOTbfQAs/edit?usp=sharing"",""ปัตตานี!J701"")"),0)</f>
        <v>0</v>
      </c>
      <c r="M80" s="152">
        <f ca="1">IFERROR(__xludf.DUMMYFUNCTION("IMPORTRANGE(""https://docs.google.com/spreadsheets/d/1SDNX3JhDdYRuIOsj0Wh2M-Qa_eaXl0NbWmhAOTbfQAs/edit?usp=sharing"",""ปัตตานี!J702"")"),0)</f>
        <v>0</v>
      </c>
      <c r="N80" s="216">
        <f t="shared" ca="1" si="29"/>
        <v>0</v>
      </c>
      <c r="O80" s="278">
        <f ca="1">IFERROR(__xludf.DUMMYFUNCTION("IMPORTRANGE(""https://docs.google.com/spreadsheets/d/1SDNX3JhDdYRuIOsj0Wh2M-Qa_eaXl0NbWmhAOTbfQAs/edit?usp=sharing"",""ปัตตานี!I703"")"),0)</f>
        <v>0</v>
      </c>
      <c r="P80" s="152">
        <f ca="1">IFERROR(__xludf.DUMMYFUNCTION("IMPORTRANGE(""https://docs.google.com/spreadsheets/d/1SDNX3JhDdYRuIOsj0Wh2M-Qa_eaXl0NbWmhAOTbfQAs/edit?usp=sharing"",""ปัตตานี!J703"")"),0)</f>
        <v>0</v>
      </c>
      <c r="Q80" s="152">
        <f ca="1">IFERROR(__xludf.DUMMYFUNCTION("IMPORTRANGE(""https://docs.google.com/spreadsheets/d/1SDNX3JhDdYRuIOsj0Wh2M-Qa_eaXl0NbWmhAOTbfQAs/edit?usp=sharing"",""ปัตตานี!J704"")"),0)</f>
        <v>0</v>
      </c>
      <c r="R80" s="216">
        <f t="shared" ca="1" si="31"/>
        <v>0</v>
      </c>
      <c r="S80" s="632">
        <f ca="1">IFERROR(__xludf.DUMMYFUNCTION("IMPORTRANGE(""https://docs.google.com/spreadsheets/d/1SDNX3JhDdYRuIOsj0Wh2M-Qa_eaXl0NbWmhAOTbfQAs/edit?usp=sharing"",""ปัตตานี!I705"")"),0)</f>
        <v>0</v>
      </c>
      <c r="T80" s="251">
        <f ca="1">IFERROR(__xludf.DUMMYFUNCTION("IMPORTRANGE(""https://docs.google.com/spreadsheets/d/1SDNX3JhDdYRuIOsj0Wh2M-Qa_eaXl0NbWmhAOTbfQAs/edit?usp=sharing"",""ปัตตานี!J705"")"),0)</f>
        <v>0</v>
      </c>
      <c r="U80" s="251">
        <f ca="1">IFERROR(__xludf.DUMMYFUNCTION("IMPORTRANGE(""https://docs.google.com/spreadsheets/d/1SDNX3JhDdYRuIOsj0Wh2M-Qa_eaXl0NbWmhAOTbfQAs/edit?usp=sharing"",""ปัตตานี!J706"")"),0)</f>
        <v>0</v>
      </c>
      <c r="V80" s="605">
        <f t="shared" ca="1" si="33"/>
        <v>0</v>
      </c>
      <c r="W80" s="278">
        <f ca="1">IFERROR(__xludf.DUMMYFUNCTION("IMPORTRANGE(""https://docs.google.com/spreadsheets/d/1SDNX3JhDdYRuIOsj0Wh2M-Qa_eaXl0NbWmhAOTbfQAs/edit?usp=sharing"",""ปัตตานี!I707"")"),0)</f>
        <v>0</v>
      </c>
      <c r="X80" s="152">
        <f ca="1">IFERROR(__xludf.DUMMYFUNCTION("IMPORTRANGE(""https://docs.google.com/spreadsheets/d/1SDNX3JhDdYRuIOsj0Wh2M-Qa_eaXl0NbWmhAOTbfQAs/edit?usp=sharing"",""ปัตตานี!J707"")"),0)</f>
        <v>0</v>
      </c>
      <c r="Y80" s="152">
        <f ca="1">IFERROR(__xludf.DUMMYFUNCTION("IMPORTRANGE(""https://docs.google.com/spreadsheets/d/1SDNX3JhDdYRuIOsj0Wh2M-Qa_eaXl0NbWmhAOTbfQAs/edit?usp=sharing"",""ปัตตานี!J708"")"),0)</f>
        <v>0</v>
      </c>
      <c r="Z80" s="216">
        <f t="shared" ca="1" si="35"/>
        <v>0</v>
      </c>
      <c r="AA80" s="632">
        <f ca="1">IFERROR(__xludf.DUMMYFUNCTION("IMPORTRANGE(""https://docs.google.com/spreadsheets/d/1SDNX3JhDdYRuIOsj0Wh2M-Qa_eaXl0NbWmhAOTbfQAs/edit?usp=sharing"",""ปัตตานี!I709"")"),0)</f>
        <v>0</v>
      </c>
      <c r="AB80" s="251">
        <f ca="1">IFERROR(__xludf.DUMMYFUNCTION("IMPORTRANGE(""https://docs.google.com/spreadsheets/d/1SDNX3JhDdYRuIOsj0Wh2M-Qa_eaXl0NbWmhAOTbfQAs/edit?usp=sharing"",""ปัตตานี!J709"")"),0)</f>
        <v>0</v>
      </c>
      <c r="AC80" s="251">
        <f ca="1">IFERROR(__xludf.DUMMYFUNCTION("IMPORTRANGE(""https://docs.google.com/spreadsheets/d/1SDNX3JhDdYRuIOsj0Wh2M-Qa_eaXl0NbWmhAOTbfQAs/edit?usp=sharing"",""ปัตตานี!J710"")"),0)</f>
        <v>0</v>
      </c>
      <c r="AD80" s="605">
        <f t="shared" ca="1" si="37"/>
        <v>0</v>
      </c>
    </row>
    <row r="81" spans="1:30" ht="19.5" x14ac:dyDescent="0.3">
      <c r="A81" s="70">
        <v>7</v>
      </c>
      <c r="B81" s="71" t="s">
        <v>109</v>
      </c>
      <c r="C81" s="68">
        <f ca="1">IFERROR(__xludf.DUMMYFUNCTION("IMPORTRANGE(""https://docs.google.com/spreadsheets/d/16JDLGguT8s5DsGCND1KcwHP_AWR_zDMTqLHPLJUKhaU/edit?usp=sharing"",""พังงา!Q690"")"),0)</f>
        <v>0</v>
      </c>
      <c r="D81" s="68">
        <f ca="1">IFERROR(__xludf.DUMMYFUNCTION("IMPORTRANGE(""https://docs.google.com/spreadsheets/d/16JDLGguT8s5DsGCND1KcwHP_AWR_zDMTqLHPLJUKhaU/edit?usp=sharing"",""พังงา!R690"")"),0)</f>
        <v>0</v>
      </c>
      <c r="E81" s="68">
        <f ca="1">IFERROR(__xludf.DUMMYFUNCTION("IMPORTRANGE(""https://docs.google.com/spreadsheets/d/16JDLGguT8s5DsGCND1KcwHP_AWR_zDMTqLHPLJUKhaU/edit?usp=sharing"",""พังงา!S690"")"),0)</f>
        <v>0</v>
      </c>
      <c r="F81" s="68">
        <f t="shared" ca="1" si="24"/>
        <v>0</v>
      </c>
      <c r="G81" s="68">
        <f t="shared" ca="1" si="25"/>
        <v>0</v>
      </c>
      <c r="H81" s="278">
        <f ca="1">IFERROR(__xludf.DUMMYFUNCTION("IMPORTRANGE(""https://docs.google.com/spreadsheets/d/16JDLGguT8s5DsGCND1KcwHP_AWR_zDMTqLHPLJUKhaU/edit?usp=sharing"",""พังงา!I700"")"),0)</f>
        <v>0</v>
      </c>
      <c r="I81" s="152">
        <f ca="1">IFERROR(__xludf.DUMMYFUNCTION("IMPORTRANGE(""https://docs.google.com/spreadsheets/d/16JDLGguT8s5DsGCND1KcwHP_AWR_zDMTqLHPLJUKhaU/edit?usp=sharing"",""พังงา!J700"")"),0)</f>
        <v>0</v>
      </c>
      <c r="J81" s="216">
        <f t="shared" ca="1" si="27"/>
        <v>0</v>
      </c>
      <c r="K81" s="278">
        <f ca="1">IFERROR(__xludf.DUMMYFUNCTION("IMPORTRANGE(""https://docs.google.com/spreadsheets/d/16JDLGguT8s5DsGCND1KcwHP_AWR_zDMTqLHPLJUKhaU/edit?usp=sharing"",""พังงา!I701"")"),0)</f>
        <v>0</v>
      </c>
      <c r="L81" s="152">
        <f ca="1">IFERROR(__xludf.DUMMYFUNCTION("IMPORTRANGE(""https://docs.google.com/spreadsheets/d/16JDLGguT8s5DsGCND1KcwHP_AWR_zDMTqLHPLJUKhaU/edit?usp=sharing"",""พังงา!J701"")"),0)</f>
        <v>0</v>
      </c>
      <c r="M81" s="152">
        <f ca="1">IFERROR(__xludf.DUMMYFUNCTION("IMPORTRANGE(""https://docs.google.com/spreadsheets/d/16JDLGguT8s5DsGCND1KcwHP_AWR_zDMTqLHPLJUKhaU/edit?usp=sharing"",""พังงา!J702"")"),0)</f>
        <v>0</v>
      </c>
      <c r="N81" s="216">
        <f t="shared" ca="1" si="29"/>
        <v>0</v>
      </c>
      <c r="O81" s="278">
        <f ca="1">IFERROR(__xludf.DUMMYFUNCTION("IMPORTRANGE(""https://docs.google.com/spreadsheets/d/16JDLGguT8s5DsGCND1KcwHP_AWR_zDMTqLHPLJUKhaU/edit?usp=sharing"",""พังงา!I703"")"),0)</f>
        <v>0</v>
      </c>
      <c r="P81" s="152">
        <f ca="1">IFERROR(__xludf.DUMMYFUNCTION("IMPORTRANGE(""https://docs.google.com/spreadsheets/d/16JDLGguT8s5DsGCND1KcwHP_AWR_zDMTqLHPLJUKhaU/edit?usp=sharing"",""พังงา!J703"")"),0)</f>
        <v>0</v>
      </c>
      <c r="Q81" s="152">
        <f ca="1">IFERROR(__xludf.DUMMYFUNCTION("IMPORTRANGE(""https://docs.google.com/spreadsheets/d/16JDLGguT8s5DsGCND1KcwHP_AWR_zDMTqLHPLJUKhaU/edit?usp=sharing"",""พังงา!J704"")"),0)</f>
        <v>0</v>
      </c>
      <c r="R81" s="216">
        <f t="shared" ca="1" si="31"/>
        <v>0</v>
      </c>
      <c r="S81" s="632">
        <f ca="1">IFERROR(__xludf.DUMMYFUNCTION("IMPORTRANGE(""https://docs.google.com/spreadsheets/d/16JDLGguT8s5DsGCND1KcwHP_AWR_zDMTqLHPLJUKhaU/edit?usp=sharing"",""พังงา!I705"")"),0)</f>
        <v>0</v>
      </c>
      <c r="T81" s="251">
        <f ca="1">IFERROR(__xludf.DUMMYFUNCTION("IMPORTRANGE(""https://docs.google.com/spreadsheets/d/16JDLGguT8s5DsGCND1KcwHP_AWR_zDMTqLHPLJUKhaU/edit?usp=sharing"",""พังงา!J705"")"),0)</f>
        <v>0</v>
      </c>
      <c r="U81" s="251">
        <f ca="1">IFERROR(__xludf.DUMMYFUNCTION("IMPORTRANGE(""https://docs.google.com/spreadsheets/d/16JDLGguT8s5DsGCND1KcwHP_AWR_zDMTqLHPLJUKhaU/edit?usp=sharing"",""พังงา!J706"")"),0)</f>
        <v>0</v>
      </c>
      <c r="V81" s="605">
        <f t="shared" ca="1" si="33"/>
        <v>0</v>
      </c>
      <c r="W81" s="278">
        <f ca="1">IFERROR(__xludf.DUMMYFUNCTION("IMPORTRANGE(""https://docs.google.com/spreadsheets/d/16JDLGguT8s5DsGCND1KcwHP_AWR_zDMTqLHPLJUKhaU/edit?usp=sharing"",""พังงา!I707"")"),0)</f>
        <v>0</v>
      </c>
      <c r="X81" s="152">
        <f ca="1">IFERROR(__xludf.DUMMYFUNCTION("IMPORTRANGE(""https://docs.google.com/spreadsheets/d/16JDLGguT8s5DsGCND1KcwHP_AWR_zDMTqLHPLJUKhaU/edit?usp=sharing"",""พังงา!J707"")"),0)</f>
        <v>0</v>
      </c>
      <c r="Y81" s="152">
        <f ca="1">IFERROR(__xludf.DUMMYFUNCTION("IMPORTRANGE(""https://docs.google.com/spreadsheets/d/16JDLGguT8s5DsGCND1KcwHP_AWR_zDMTqLHPLJUKhaU/edit?usp=sharing"",""พังงา!J708"")"),0)</f>
        <v>0</v>
      </c>
      <c r="Z81" s="216">
        <f t="shared" ca="1" si="35"/>
        <v>0</v>
      </c>
      <c r="AA81" s="632">
        <f ca="1">IFERROR(__xludf.DUMMYFUNCTION("IMPORTRANGE(""https://docs.google.com/spreadsheets/d/16JDLGguT8s5DsGCND1KcwHP_AWR_zDMTqLHPLJUKhaU/edit?usp=sharing"",""พังงา!I709"")"),0)</f>
        <v>0</v>
      </c>
      <c r="AB81" s="251">
        <f ca="1">IFERROR(__xludf.DUMMYFUNCTION("IMPORTRANGE(""https://docs.google.com/spreadsheets/d/16JDLGguT8s5DsGCND1KcwHP_AWR_zDMTqLHPLJUKhaU/edit?usp=sharing"",""พังงา!J709"")"),0)</f>
        <v>0</v>
      </c>
      <c r="AC81" s="251">
        <f ca="1">IFERROR(__xludf.DUMMYFUNCTION("IMPORTRANGE(""https://docs.google.com/spreadsheets/d/16JDLGguT8s5DsGCND1KcwHP_AWR_zDMTqLHPLJUKhaU/edit?usp=sharing"",""พังงา!J710"")"),0)</f>
        <v>0</v>
      </c>
      <c r="AD81" s="605">
        <f t="shared" ca="1" si="37"/>
        <v>0</v>
      </c>
    </row>
    <row r="82" spans="1:30" ht="19.5" x14ac:dyDescent="0.3">
      <c r="A82" s="70">
        <v>8</v>
      </c>
      <c r="B82" s="71" t="s">
        <v>110</v>
      </c>
      <c r="C82" s="68">
        <f ca="1">IFERROR(__xludf.DUMMYFUNCTION("IMPORTRANGE(""https://docs.google.com/spreadsheets/d/17ht0gPKzzT3PObBL1XJkeRmntBXI7wGjpLV7QorqlTk/edit?usp=sharing"",""พัทลุง!Q690"")"),67330)</f>
        <v>67330</v>
      </c>
      <c r="D82" s="68">
        <f ca="1">IFERROR(__xludf.DUMMYFUNCTION("IMPORTRANGE(""https://docs.google.com/spreadsheets/d/17ht0gPKzzT3PObBL1XJkeRmntBXI7wGjpLV7QorqlTk/edit?usp=sharing"",""พัทลุง!R690"")"),14378.83)</f>
        <v>14378.83</v>
      </c>
      <c r="E82" s="68">
        <f ca="1">IFERROR(__xludf.DUMMYFUNCTION("IMPORTRANGE(""https://docs.google.com/spreadsheets/d/17ht0gPKzzT3PObBL1XJkeRmntBXI7wGjpLV7QorqlTk/edit?usp=sharing"",""พัทลุง!S690"")"),14378.83)</f>
        <v>14378.83</v>
      </c>
      <c r="F82" s="68">
        <f t="shared" ca="1" si="24"/>
        <v>21.355755235407692</v>
      </c>
      <c r="G82" s="68">
        <f t="shared" ca="1" si="25"/>
        <v>100</v>
      </c>
      <c r="H82" s="278">
        <f ca="1">IFERROR(__xludf.DUMMYFUNCTION("IMPORTRANGE(""https://docs.google.com/spreadsheets/d/17ht0gPKzzT3PObBL1XJkeRmntBXI7wGjpLV7QorqlTk/edit?usp=sharing"",""พัทลุง!I700"")"),0)</f>
        <v>0</v>
      </c>
      <c r="I82" s="397">
        <f ca="1">IFERROR(__xludf.DUMMYFUNCTION("IMPORTRANGE(""https://docs.google.com/spreadsheets/d/17ht0gPKzzT3PObBL1XJkeRmntBXI7wGjpLV7QorqlTk/edit?usp=sharing"",""พัทลุง!J700"")"),0)</f>
        <v>0</v>
      </c>
      <c r="J82" s="216">
        <f t="shared" ca="1" si="27"/>
        <v>0</v>
      </c>
      <c r="K82" s="278">
        <f ca="1">IFERROR(__xludf.DUMMYFUNCTION("IMPORTRANGE(""https://docs.google.com/spreadsheets/d/17ht0gPKzzT3PObBL1XJkeRmntBXI7wGjpLV7QorqlTk/edit?usp=sharing"",""พัทลุง!I701"")"),3)</f>
        <v>3</v>
      </c>
      <c r="L82" s="397">
        <f ca="1">IFERROR(__xludf.DUMMYFUNCTION("IMPORTRANGE(""https://docs.google.com/spreadsheets/d/17ht0gPKzzT3PObBL1XJkeRmntBXI7wGjpLV7QorqlTk/edit?usp=sharing"",""พัทลุง!J701"")"),0)</f>
        <v>0</v>
      </c>
      <c r="M82" s="397">
        <f ca="1">IFERROR(__xludf.DUMMYFUNCTION("IMPORTRANGE(""https://docs.google.com/spreadsheets/d/17ht0gPKzzT3PObBL1XJkeRmntBXI7wGjpLV7QorqlTk/edit?usp=sharing"",""พัทลุง!J702"")"),0)</f>
        <v>0</v>
      </c>
      <c r="N82" s="216">
        <f t="shared" ca="1" si="29"/>
        <v>0</v>
      </c>
      <c r="O82" s="278">
        <f ca="1">IFERROR(__xludf.DUMMYFUNCTION("IMPORTRANGE(""https://docs.google.com/spreadsheets/d/17ht0gPKzzT3PObBL1XJkeRmntBXI7wGjpLV7QorqlTk/edit?usp=sharing"",""พัทลุง!I703"")"),0)</f>
        <v>0</v>
      </c>
      <c r="P82" s="397">
        <f ca="1">IFERROR(__xludf.DUMMYFUNCTION("IMPORTRANGE(""https://docs.google.com/spreadsheets/d/17ht0gPKzzT3PObBL1XJkeRmntBXI7wGjpLV7QorqlTk/edit?usp=sharing"",""พัทลุง!J703"")"),0)</f>
        <v>0</v>
      </c>
      <c r="Q82" s="397">
        <f ca="1">IFERROR(__xludf.DUMMYFUNCTION("IMPORTRANGE(""https://docs.google.com/spreadsheets/d/17ht0gPKzzT3PObBL1XJkeRmntBXI7wGjpLV7QorqlTk/edit?usp=sharing"",""พัทลุง!J704"")"),0)</f>
        <v>0</v>
      </c>
      <c r="R82" s="216">
        <f t="shared" ca="1" si="31"/>
        <v>0</v>
      </c>
      <c r="S82" s="632">
        <f ca="1">IFERROR(__xludf.DUMMYFUNCTION("IMPORTRANGE(""https://docs.google.com/spreadsheets/d/17ht0gPKzzT3PObBL1XJkeRmntBXI7wGjpLV7QorqlTk/edit?usp=sharing"",""พัทลุง!I705"")"),3)</f>
        <v>3</v>
      </c>
      <c r="T82" s="251">
        <f ca="1">IFERROR(__xludf.DUMMYFUNCTION("IMPORTRANGE(""https://docs.google.com/spreadsheets/d/17ht0gPKzzT3PObBL1XJkeRmntBXI7wGjpLV7QorqlTk/edit?usp=sharing"",""พัทลุง!J705"")"),0)</f>
        <v>0</v>
      </c>
      <c r="U82" s="251">
        <f ca="1">IFERROR(__xludf.DUMMYFUNCTION("IMPORTRANGE(""https://docs.google.com/spreadsheets/d/17ht0gPKzzT3PObBL1XJkeRmntBXI7wGjpLV7QorqlTk/edit?usp=sharing"",""พัทลุง!J706"")"),0)</f>
        <v>0</v>
      </c>
      <c r="V82" s="605">
        <f t="shared" ca="1" si="33"/>
        <v>0</v>
      </c>
      <c r="W82" s="278">
        <f ca="1">IFERROR(__xludf.DUMMYFUNCTION("IMPORTRANGE(""https://docs.google.com/spreadsheets/d/17ht0gPKzzT3PObBL1XJkeRmntBXI7wGjpLV7QorqlTk/edit?usp=sharing"",""พัทลุง!I707"")"),0)</f>
        <v>0</v>
      </c>
      <c r="X82" s="397">
        <f ca="1">IFERROR(__xludf.DUMMYFUNCTION("IMPORTRANGE(""https://docs.google.com/spreadsheets/d/17ht0gPKzzT3PObBL1XJkeRmntBXI7wGjpLV7QorqlTk/edit?usp=sharing"",""พัทลุง!J707"")"),0)</f>
        <v>0</v>
      </c>
      <c r="Y82" s="397">
        <f ca="1">IFERROR(__xludf.DUMMYFUNCTION("IMPORTRANGE(""https://docs.google.com/spreadsheets/d/17ht0gPKzzT3PObBL1XJkeRmntBXI7wGjpLV7QorqlTk/edit?usp=sharing"",""พัทลุง!J708"")"),0)</f>
        <v>0</v>
      </c>
      <c r="Z82" s="216">
        <f t="shared" ca="1" si="35"/>
        <v>0</v>
      </c>
      <c r="AA82" s="632">
        <f ca="1">IFERROR(__xludf.DUMMYFUNCTION("IMPORTRANGE(""https://docs.google.com/spreadsheets/d/17ht0gPKzzT3PObBL1XJkeRmntBXI7wGjpLV7QorqlTk/edit?usp=sharing"",""พัทลุง!I709"")"),3)</f>
        <v>3</v>
      </c>
      <c r="AB82" s="251">
        <f ca="1">IFERROR(__xludf.DUMMYFUNCTION("IMPORTRANGE(""https://docs.google.com/spreadsheets/d/17ht0gPKzzT3PObBL1XJkeRmntBXI7wGjpLV7QorqlTk/edit?usp=sharing"",""พัทลุง!J709"")"),0)</f>
        <v>0</v>
      </c>
      <c r="AC82" s="251">
        <f ca="1">IFERROR(__xludf.DUMMYFUNCTION("IMPORTRANGE(""https://docs.google.com/spreadsheets/d/17ht0gPKzzT3PObBL1XJkeRmntBXI7wGjpLV7QorqlTk/edit?usp=sharing"",""พัทลุง!J710"")"),0)</f>
        <v>0</v>
      </c>
      <c r="AD82" s="605">
        <f t="shared" ca="1" si="37"/>
        <v>0</v>
      </c>
    </row>
    <row r="83" spans="1:30" ht="19.5" x14ac:dyDescent="0.3">
      <c r="A83" s="70">
        <v>9</v>
      </c>
      <c r="B83" s="71" t="s">
        <v>111</v>
      </c>
      <c r="C83" s="68">
        <f ca="1">IFERROR(__xludf.DUMMYFUNCTION("IMPORTRANGE(""https://docs.google.com/spreadsheets/d/1rd4qoM1q_hsgaolqNGfrim9gbsoLxQsda4-vOz5x_BM/edit?usp=sharing"",""ภูเก็ต!Q690"")"),0)</f>
        <v>0</v>
      </c>
      <c r="D83" s="68">
        <f ca="1">IFERROR(__xludf.DUMMYFUNCTION("IMPORTRANGE(""https://docs.google.com/spreadsheets/d/1rd4qoM1q_hsgaolqNGfrim9gbsoLxQsda4-vOz5x_BM/edit?usp=sharing"",""ภูเก็ต!R690"")"),30000)</f>
        <v>30000</v>
      </c>
      <c r="E83" s="68">
        <f ca="1">IFERROR(__xludf.DUMMYFUNCTION("IMPORTRANGE(""https://docs.google.com/spreadsheets/d/1rd4qoM1q_hsgaolqNGfrim9gbsoLxQsda4-vOz5x_BM/edit?usp=sharing"",""ภูเก็ต!S690"")"),0)</f>
        <v>0</v>
      </c>
      <c r="F83" s="68">
        <f t="shared" ca="1" si="24"/>
        <v>0</v>
      </c>
      <c r="G83" s="68">
        <f t="shared" ca="1" si="25"/>
        <v>0</v>
      </c>
      <c r="H83" s="278">
        <f ca="1">IFERROR(__xludf.DUMMYFUNCTION("IMPORTRANGE(""https://docs.google.com/spreadsheets/d/1rd4qoM1q_hsgaolqNGfrim9gbsoLxQsda4-vOz5x_BM/edit?usp=sharing"",""ภูเก็ต!I700"")"),0)</f>
        <v>0</v>
      </c>
      <c r="I83" s="152">
        <f ca="1">IFERROR(__xludf.DUMMYFUNCTION("IMPORTRANGE(""https://docs.google.com/spreadsheets/d/1rd4qoM1q_hsgaolqNGfrim9gbsoLxQsda4-vOz5x_BM/edit?usp=sharing"",""ภูเก็ต!J700"")"),0)</f>
        <v>0</v>
      </c>
      <c r="J83" s="216">
        <f t="shared" ca="1" si="27"/>
        <v>0</v>
      </c>
      <c r="K83" s="278">
        <f ca="1">IFERROR(__xludf.DUMMYFUNCTION("IMPORTRANGE(""https://docs.google.com/spreadsheets/d/1rd4qoM1q_hsgaolqNGfrim9gbsoLxQsda4-vOz5x_BM/edit?usp=sharing"",""ภูเก็ต!I701"")"),0)</f>
        <v>0</v>
      </c>
      <c r="L83" s="152">
        <f ca="1">IFERROR(__xludf.DUMMYFUNCTION("IMPORTRANGE(""https://docs.google.com/spreadsheets/d/1rd4qoM1q_hsgaolqNGfrim9gbsoLxQsda4-vOz5x_BM/edit?usp=sharing"",""ภูเก็ต!J701"")"),0)</f>
        <v>0</v>
      </c>
      <c r="M83" s="152">
        <f ca="1">IFERROR(__xludf.DUMMYFUNCTION("IMPORTRANGE(""https://docs.google.com/spreadsheets/d/1rd4qoM1q_hsgaolqNGfrim9gbsoLxQsda4-vOz5x_BM/edit?usp=sharing"",""ภูเก็ต!J702"")"),0)</f>
        <v>0</v>
      </c>
      <c r="N83" s="216">
        <f t="shared" ca="1" si="29"/>
        <v>0</v>
      </c>
      <c r="O83" s="278">
        <f ca="1">IFERROR(__xludf.DUMMYFUNCTION("IMPORTRANGE(""https://docs.google.com/spreadsheets/d/1rd4qoM1q_hsgaolqNGfrim9gbsoLxQsda4-vOz5x_BM/edit?usp=sharing"",""ภูเก็ต!I703"")"),0)</f>
        <v>0</v>
      </c>
      <c r="P83" s="152">
        <f ca="1">IFERROR(__xludf.DUMMYFUNCTION("IMPORTRANGE(""https://docs.google.com/spreadsheets/d/1rd4qoM1q_hsgaolqNGfrim9gbsoLxQsda4-vOz5x_BM/edit?usp=sharing"",""ภูเก็ต!J703"")"),0)</f>
        <v>0</v>
      </c>
      <c r="Q83" s="152">
        <f ca="1">IFERROR(__xludf.DUMMYFUNCTION("IMPORTRANGE(""https://docs.google.com/spreadsheets/d/1rd4qoM1q_hsgaolqNGfrim9gbsoLxQsda4-vOz5x_BM/edit?usp=sharing"",""ภูเก็ต!J704"")"),0)</f>
        <v>0</v>
      </c>
      <c r="R83" s="216">
        <f t="shared" ca="1" si="31"/>
        <v>0</v>
      </c>
      <c r="S83" s="632">
        <f ca="1">IFERROR(__xludf.DUMMYFUNCTION("IMPORTRANGE(""https://docs.google.com/spreadsheets/d/1rd4qoM1q_hsgaolqNGfrim9gbsoLxQsda4-vOz5x_BM/edit?usp=sharing"",""ภูเก็ต!I705"")"),0)</f>
        <v>0</v>
      </c>
      <c r="T83" s="251">
        <f ca="1">IFERROR(__xludf.DUMMYFUNCTION("IMPORTRANGE(""https://docs.google.com/spreadsheets/d/1rd4qoM1q_hsgaolqNGfrim9gbsoLxQsda4-vOz5x_BM/edit?usp=sharing"",""ภูเก็ต!J705"")"),0)</f>
        <v>0</v>
      </c>
      <c r="U83" s="251">
        <f ca="1">IFERROR(__xludf.DUMMYFUNCTION("IMPORTRANGE(""https://docs.google.com/spreadsheets/d/1rd4qoM1q_hsgaolqNGfrim9gbsoLxQsda4-vOz5x_BM/edit?usp=sharing"",""ภูเก็ต!J706"")"),0)</f>
        <v>0</v>
      </c>
      <c r="V83" s="605">
        <f t="shared" ca="1" si="33"/>
        <v>0</v>
      </c>
      <c r="W83" s="278">
        <f ca="1">IFERROR(__xludf.DUMMYFUNCTION("IMPORTRANGE(""https://docs.google.com/spreadsheets/d/1rd4qoM1q_hsgaolqNGfrim9gbsoLxQsda4-vOz5x_BM/edit?usp=sharing"",""ภูเก็ต!I707"")"),0)</f>
        <v>0</v>
      </c>
      <c r="X83" s="152">
        <f ca="1">IFERROR(__xludf.DUMMYFUNCTION("IMPORTRANGE(""https://docs.google.com/spreadsheets/d/1rd4qoM1q_hsgaolqNGfrim9gbsoLxQsda4-vOz5x_BM/edit?usp=sharing"",""ภูเก็ต!J707"")"),0)</f>
        <v>0</v>
      </c>
      <c r="Y83" s="152">
        <f ca="1">IFERROR(__xludf.DUMMYFUNCTION("IMPORTRANGE(""https://docs.google.com/spreadsheets/d/1rd4qoM1q_hsgaolqNGfrim9gbsoLxQsda4-vOz5x_BM/edit?usp=sharing"",""ภูเก็ต!J708"")"),0)</f>
        <v>0</v>
      </c>
      <c r="Z83" s="216">
        <f t="shared" ca="1" si="35"/>
        <v>0</v>
      </c>
      <c r="AA83" s="632">
        <f ca="1">IFERROR(__xludf.DUMMYFUNCTION("IMPORTRANGE(""https://docs.google.com/spreadsheets/d/1rd4qoM1q_hsgaolqNGfrim9gbsoLxQsda4-vOz5x_BM/edit?usp=sharing"",""ภูเก็ต!I709"")"),0)</f>
        <v>0</v>
      </c>
      <c r="AB83" s="251">
        <f ca="1">IFERROR(__xludf.DUMMYFUNCTION("IMPORTRANGE(""https://docs.google.com/spreadsheets/d/1rd4qoM1q_hsgaolqNGfrim9gbsoLxQsda4-vOz5x_BM/edit?usp=sharing"",""ภูเก็ต!J709"")"),0)</f>
        <v>0</v>
      </c>
      <c r="AC83" s="251">
        <f ca="1">IFERROR(__xludf.DUMMYFUNCTION("IMPORTRANGE(""https://docs.google.com/spreadsheets/d/1rd4qoM1q_hsgaolqNGfrim9gbsoLxQsda4-vOz5x_BM/edit?usp=sharing"",""ภูเก็ต!J710"")"),0)</f>
        <v>0</v>
      </c>
      <c r="AD83" s="605">
        <f t="shared" ca="1" si="37"/>
        <v>0</v>
      </c>
    </row>
    <row r="84" spans="1:30" ht="19.5" x14ac:dyDescent="0.3">
      <c r="A84" s="70">
        <v>10</v>
      </c>
      <c r="B84" s="71" t="s">
        <v>112</v>
      </c>
      <c r="C84" s="68">
        <f ca="1">IFERROR(__xludf.DUMMYFUNCTION("IMPORTRANGE(""https://docs.google.com/spreadsheets/d/1woKwKjgoLssDvPcPeVyezB5izizAn4X1JDrys69n6xI/edit?usp=sharing"",""ยะลา!Q690"")"),135150)</f>
        <v>135150</v>
      </c>
      <c r="D84" s="68">
        <f ca="1">IFERROR(__xludf.DUMMYFUNCTION("IMPORTRANGE(""https://docs.google.com/spreadsheets/d/1woKwKjgoLssDvPcPeVyezB5izizAn4X1JDrys69n6xI/edit?usp=sharing"",""ยะลา!R690"")"),135150)</f>
        <v>135150</v>
      </c>
      <c r="E84" s="68">
        <f ca="1">IFERROR(__xludf.DUMMYFUNCTION("IMPORTRANGE(""https://docs.google.com/spreadsheets/d/1woKwKjgoLssDvPcPeVyezB5izizAn4X1JDrys69n6xI/edit?usp=sharing"",""ยะลา!S690"")"),84211.47)</f>
        <v>84211.47</v>
      </c>
      <c r="F84" s="68">
        <f t="shared" ca="1" si="24"/>
        <v>62.309633740288568</v>
      </c>
      <c r="G84" s="68">
        <f t="shared" ca="1" si="25"/>
        <v>62.309633740288568</v>
      </c>
      <c r="H84" s="278">
        <f ca="1">IFERROR(__xludf.DUMMYFUNCTION("IMPORTRANGE(""https://docs.google.com/spreadsheets/d/1woKwKjgoLssDvPcPeVyezB5izizAn4X1JDrys69n6xI/edit?usp=sharing"",""ยะลา!I700"")"),0)</f>
        <v>0</v>
      </c>
      <c r="I84" s="152">
        <f ca="1">IFERROR(__xludf.DUMMYFUNCTION("IMPORTRANGE(""https://docs.google.com/spreadsheets/d/1woKwKjgoLssDvPcPeVyezB5izizAn4X1JDrys69n6xI/edit?usp=sharing"",""ยะลา!J700"")"),0)</f>
        <v>0</v>
      </c>
      <c r="J84" s="216">
        <f t="shared" ca="1" si="27"/>
        <v>0</v>
      </c>
      <c r="K84" s="278">
        <f ca="1">IFERROR(__xludf.DUMMYFUNCTION("IMPORTRANGE(""https://docs.google.com/spreadsheets/d/1woKwKjgoLssDvPcPeVyezB5izizAn4X1JDrys69n6xI/edit?usp=sharing"",""ยะลา!I701"")"),34)</f>
        <v>34</v>
      </c>
      <c r="L84" s="152">
        <f ca="1">IFERROR(__xludf.DUMMYFUNCTION("IMPORTRANGE(""https://docs.google.com/spreadsheets/d/1woKwKjgoLssDvPcPeVyezB5izizAn4X1JDrys69n6xI/edit?usp=sharing"",""ยะลา!J701"")"),0)</f>
        <v>0</v>
      </c>
      <c r="M84" s="152">
        <f ca="1">IFERROR(__xludf.DUMMYFUNCTION("IMPORTRANGE(""https://docs.google.com/spreadsheets/d/1woKwKjgoLssDvPcPeVyezB5izizAn4X1JDrys69n6xI/edit?usp=sharing"",""ยะลา!J702"")"),0)</f>
        <v>0</v>
      </c>
      <c r="N84" s="216">
        <f t="shared" ca="1" si="29"/>
        <v>0</v>
      </c>
      <c r="O84" s="278">
        <f ca="1">IFERROR(__xludf.DUMMYFUNCTION("IMPORTRANGE(""https://docs.google.com/spreadsheets/d/1woKwKjgoLssDvPcPeVyezB5izizAn4X1JDrys69n6xI/edit?usp=sharing"",""ยะลา!I703"")"),31)</f>
        <v>31</v>
      </c>
      <c r="P84" s="152">
        <f ca="1">IFERROR(__xludf.DUMMYFUNCTION("IMPORTRANGE(""https://docs.google.com/spreadsheets/d/1woKwKjgoLssDvPcPeVyezB5izizAn4X1JDrys69n6xI/edit?usp=sharing"",""ยะลา!J703"")"),0)</f>
        <v>0</v>
      </c>
      <c r="Q84" s="152">
        <f ca="1">IFERROR(__xludf.DUMMYFUNCTION("IMPORTRANGE(""https://docs.google.com/spreadsheets/d/1woKwKjgoLssDvPcPeVyezB5izizAn4X1JDrys69n6xI/edit?usp=sharing"",""ยะลา!J704"")"),0)</f>
        <v>0</v>
      </c>
      <c r="R84" s="216">
        <f t="shared" ca="1" si="31"/>
        <v>0</v>
      </c>
      <c r="S84" s="632">
        <f ca="1">IFERROR(__xludf.DUMMYFUNCTION("IMPORTRANGE(""https://docs.google.com/spreadsheets/d/1woKwKjgoLssDvPcPeVyezB5izizAn4X1JDrys69n6xI/edit?usp=sharing"",""ยะลา!I705"")"),3)</f>
        <v>3</v>
      </c>
      <c r="T84" s="251">
        <f ca="1">IFERROR(__xludf.DUMMYFUNCTION("IMPORTRANGE(""https://docs.google.com/spreadsheets/d/1woKwKjgoLssDvPcPeVyezB5izizAn4X1JDrys69n6xI/edit?usp=sharing"",""ยะลา!J705"")"),0)</f>
        <v>0</v>
      </c>
      <c r="U84" s="251">
        <f ca="1">IFERROR(__xludf.DUMMYFUNCTION("IMPORTRANGE(""https://docs.google.com/spreadsheets/d/1woKwKjgoLssDvPcPeVyezB5izizAn4X1JDrys69n6xI/edit?usp=sharing"",""ยะลา!J706"")"),0)</f>
        <v>0</v>
      </c>
      <c r="V84" s="605">
        <f t="shared" ca="1" si="33"/>
        <v>0</v>
      </c>
      <c r="W84" s="278">
        <f ca="1">IFERROR(__xludf.DUMMYFUNCTION("IMPORTRANGE(""https://docs.google.com/spreadsheets/d/1woKwKjgoLssDvPcPeVyezB5izizAn4X1JDrys69n6xI/edit?usp=sharing"",""ยะลา!I707"")"),31)</f>
        <v>31</v>
      </c>
      <c r="X84" s="152">
        <f ca="1">IFERROR(__xludf.DUMMYFUNCTION("IMPORTRANGE(""https://docs.google.com/spreadsheets/d/1woKwKjgoLssDvPcPeVyezB5izizAn4X1JDrys69n6xI/edit?usp=sharing"",""ยะลา!J707"")"),0)</f>
        <v>0</v>
      </c>
      <c r="Y84" s="152">
        <f ca="1">IFERROR(__xludf.DUMMYFUNCTION("IMPORTRANGE(""https://docs.google.com/spreadsheets/d/1woKwKjgoLssDvPcPeVyezB5izizAn4X1JDrys69n6xI/edit?usp=sharing"",""ยะลา!J708"")"),0)</f>
        <v>0</v>
      </c>
      <c r="Z84" s="216">
        <f t="shared" ca="1" si="35"/>
        <v>0</v>
      </c>
      <c r="AA84" s="632">
        <f ca="1">IFERROR(__xludf.DUMMYFUNCTION("IMPORTRANGE(""https://docs.google.com/spreadsheets/d/1woKwKjgoLssDvPcPeVyezB5izizAn4X1JDrys69n6xI/edit?usp=sharing"",""ยะลา!I709"")"),3)</f>
        <v>3</v>
      </c>
      <c r="AB84" s="251">
        <f ca="1">IFERROR(__xludf.DUMMYFUNCTION("IMPORTRANGE(""https://docs.google.com/spreadsheets/d/1woKwKjgoLssDvPcPeVyezB5izizAn4X1JDrys69n6xI/edit?usp=sharing"",""ยะลา!J709"")"),2)</f>
        <v>2</v>
      </c>
      <c r="AC84" s="251">
        <f ca="1">IFERROR(__xludf.DUMMYFUNCTION("IMPORTRANGE(""https://docs.google.com/spreadsheets/d/1woKwKjgoLssDvPcPeVyezB5izizAn4X1JDrys69n6xI/edit?usp=sharing"",""ยะลา!J710"")"),0)</f>
        <v>0</v>
      </c>
      <c r="AD84" s="605">
        <f t="shared" ca="1" si="37"/>
        <v>66.666666666666671</v>
      </c>
    </row>
    <row r="85" spans="1:30" ht="19.5" x14ac:dyDescent="0.3">
      <c r="A85" s="70">
        <v>11</v>
      </c>
      <c r="B85" s="71" t="s">
        <v>113</v>
      </c>
      <c r="C85" s="68">
        <f ca="1">IFERROR(__xludf.DUMMYFUNCTION("IMPORTRANGE(""https://docs.google.com/spreadsheets/d/1qfrKjzMhm2HJfxQ-qVlJlJQ25Hne1d0khsySbZyGtPA/edit?usp=sharing"",""ระนอง!Q690"")"),66220)</f>
        <v>66220</v>
      </c>
      <c r="D85" s="68">
        <f ca="1">IFERROR(__xludf.DUMMYFUNCTION("IMPORTRANGE(""https://docs.google.com/spreadsheets/d/1qfrKjzMhm2HJfxQ-qVlJlJQ25Hne1d0khsySbZyGtPA/edit?usp=sharing"",""ระนอง!R690"")"),66220)</f>
        <v>66220</v>
      </c>
      <c r="E85" s="68">
        <f ca="1">IFERROR(__xludf.DUMMYFUNCTION("IMPORTRANGE(""https://docs.google.com/spreadsheets/d/1qfrKjzMhm2HJfxQ-qVlJlJQ25Hne1d0khsySbZyGtPA/edit?usp=sharing"",""ระนอง!S690"")"),52148.09)</f>
        <v>52148.09</v>
      </c>
      <c r="F85" s="68">
        <f t="shared" ca="1" si="24"/>
        <v>78.749758381153725</v>
      </c>
      <c r="G85" s="68">
        <f t="shared" ca="1" si="25"/>
        <v>78.749758381153725</v>
      </c>
      <c r="H85" s="278">
        <f ca="1">IFERROR(__xludf.DUMMYFUNCTION("IMPORTRANGE(""https://docs.google.com/spreadsheets/d/1qfrKjzMhm2HJfxQ-qVlJlJQ25Hne1d0khsySbZyGtPA/edit?usp=sharing"",""ระนอง!I700"")"),0)</f>
        <v>0</v>
      </c>
      <c r="I85" s="152">
        <f ca="1">IFERROR(__xludf.DUMMYFUNCTION("IMPORTRANGE(""https://docs.google.com/spreadsheets/d/1qfrKjzMhm2HJfxQ-qVlJlJQ25Hne1d0khsySbZyGtPA/edit?usp=sharing"",""ระนอง!J700"")"),0)</f>
        <v>0</v>
      </c>
      <c r="J85" s="216">
        <f t="shared" ca="1" si="27"/>
        <v>0</v>
      </c>
      <c r="K85" s="278">
        <f ca="1">IFERROR(__xludf.DUMMYFUNCTION("IMPORTRANGE(""https://docs.google.com/spreadsheets/d/1qfrKjzMhm2HJfxQ-qVlJlJQ25Hne1d0khsySbZyGtPA/edit?usp=sharing"",""ระนอง!I701"")"),3)</f>
        <v>3</v>
      </c>
      <c r="L85" s="152">
        <f ca="1">IFERROR(__xludf.DUMMYFUNCTION("IMPORTRANGE(""https://docs.google.com/spreadsheets/d/1qfrKjzMhm2HJfxQ-qVlJlJQ25Hne1d0khsySbZyGtPA/edit?usp=sharing"",""ระนอง!J701"")"),0)</f>
        <v>0</v>
      </c>
      <c r="M85" s="152">
        <f ca="1">IFERROR(__xludf.DUMMYFUNCTION("IMPORTRANGE(""https://docs.google.com/spreadsheets/d/1qfrKjzMhm2HJfxQ-qVlJlJQ25Hne1d0khsySbZyGtPA/edit?usp=sharing"",""ระนอง!J702"")"),0)</f>
        <v>0</v>
      </c>
      <c r="N85" s="216">
        <f t="shared" ca="1" si="29"/>
        <v>0</v>
      </c>
      <c r="O85" s="278">
        <f ca="1">IFERROR(__xludf.DUMMYFUNCTION("IMPORTRANGE(""https://docs.google.com/spreadsheets/d/1qfrKjzMhm2HJfxQ-qVlJlJQ25Hne1d0khsySbZyGtPA/edit?usp=sharing"",""ระนอง!I703"")"),0)</f>
        <v>0</v>
      </c>
      <c r="P85" s="152">
        <f ca="1">IFERROR(__xludf.DUMMYFUNCTION("IMPORTRANGE(""https://docs.google.com/spreadsheets/d/1qfrKjzMhm2HJfxQ-qVlJlJQ25Hne1d0khsySbZyGtPA/edit?usp=sharing"",""ระนอง!J703"")"),0)</f>
        <v>0</v>
      </c>
      <c r="Q85" s="152">
        <f ca="1">IFERROR(__xludf.DUMMYFUNCTION("IMPORTRANGE(""https://docs.google.com/spreadsheets/d/1qfrKjzMhm2HJfxQ-qVlJlJQ25Hne1d0khsySbZyGtPA/edit?usp=sharing"",""ระนอง!J704"")"),0)</f>
        <v>0</v>
      </c>
      <c r="R85" s="216">
        <f t="shared" ca="1" si="31"/>
        <v>0</v>
      </c>
      <c r="S85" s="632">
        <f ca="1">IFERROR(__xludf.DUMMYFUNCTION("IMPORTRANGE(""https://docs.google.com/spreadsheets/d/1qfrKjzMhm2HJfxQ-qVlJlJQ25Hne1d0khsySbZyGtPA/edit?usp=sharing"",""ระนอง!I705"")"),3)</f>
        <v>3</v>
      </c>
      <c r="T85" s="251">
        <f ca="1">IFERROR(__xludf.DUMMYFUNCTION("IMPORTRANGE(""https://docs.google.com/spreadsheets/d/1qfrKjzMhm2HJfxQ-qVlJlJQ25Hne1d0khsySbZyGtPA/edit?usp=sharing"",""ระนอง!J705"")"),0)</f>
        <v>0</v>
      </c>
      <c r="U85" s="251">
        <f ca="1">IFERROR(__xludf.DUMMYFUNCTION("IMPORTRANGE(""https://docs.google.com/spreadsheets/d/1qfrKjzMhm2HJfxQ-qVlJlJQ25Hne1d0khsySbZyGtPA/edit?usp=sharing"",""ระนอง!J706"")"),0)</f>
        <v>0</v>
      </c>
      <c r="V85" s="605">
        <f t="shared" ca="1" si="33"/>
        <v>0</v>
      </c>
      <c r="W85" s="278">
        <f ca="1">IFERROR(__xludf.DUMMYFUNCTION("IMPORTRANGE(""https://docs.google.com/spreadsheets/d/1qfrKjzMhm2HJfxQ-qVlJlJQ25Hne1d0khsySbZyGtPA/edit?usp=sharing"",""ระนอง!I707"")"),0)</f>
        <v>0</v>
      </c>
      <c r="X85" s="152">
        <f ca="1">IFERROR(__xludf.DUMMYFUNCTION("IMPORTRANGE(""https://docs.google.com/spreadsheets/d/1qfrKjzMhm2HJfxQ-qVlJlJQ25Hne1d0khsySbZyGtPA/edit?usp=sharing"",""ระนอง!J707"")"),0)</f>
        <v>0</v>
      </c>
      <c r="Y85" s="152">
        <f ca="1">IFERROR(__xludf.DUMMYFUNCTION("IMPORTRANGE(""https://docs.google.com/spreadsheets/d/1qfrKjzMhm2HJfxQ-qVlJlJQ25Hne1d0khsySbZyGtPA/edit?usp=sharing"",""ระนอง!J708"")"),0)</f>
        <v>0</v>
      </c>
      <c r="Z85" s="216">
        <f t="shared" ca="1" si="35"/>
        <v>0</v>
      </c>
      <c r="AA85" s="632">
        <f ca="1">IFERROR(__xludf.DUMMYFUNCTION("IMPORTRANGE(""https://docs.google.com/spreadsheets/d/1qfrKjzMhm2HJfxQ-qVlJlJQ25Hne1d0khsySbZyGtPA/edit?usp=sharing"",""ระนอง!I709"")"),3)</f>
        <v>3</v>
      </c>
      <c r="AB85" s="251">
        <f ca="1">IFERROR(__xludf.DUMMYFUNCTION("IMPORTRANGE(""https://docs.google.com/spreadsheets/d/1qfrKjzMhm2HJfxQ-qVlJlJQ25Hne1d0khsySbZyGtPA/edit?usp=sharing"",""ระนอง!J709"")"),10)</f>
        <v>10</v>
      </c>
      <c r="AC85" s="251">
        <f ca="1">IFERROR(__xludf.DUMMYFUNCTION("IMPORTRANGE(""https://docs.google.com/spreadsheets/d/1qfrKjzMhm2HJfxQ-qVlJlJQ25Hne1d0khsySbZyGtPA/edit?usp=sharing"",""ระนอง!J710"")"),0)</f>
        <v>0</v>
      </c>
      <c r="AD85" s="605">
        <f t="shared" ca="1" si="37"/>
        <v>333.33333333333331</v>
      </c>
    </row>
    <row r="86" spans="1:30" ht="19.5" x14ac:dyDescent="0.3">
      <c r="A86" s="70">
        <v>12</v>
      </c>
      <c r="B86" s="71" t="s">
        <v>114</v>
      </c>
      <c r="C86" s="68">
        <f ca="1">IFERROR(__xludf.DUMMYFUNCTION("IMPORTRANGE(""https://docs.google.com/spreadsheets/d/1IbSCnFOKpZsnFogBHJnL_isstZVaOMnFiIN0fGTPZZw/edit?usp=sharing"",""สงขลา!Q690"")"),69540)</f>
        <v>69540</v>
      </c>
      <c r="D86" s="68">
        <f ca="1">IFERROR(__xludf.DUMMYFUNCTION("IMPORTRANGE(""https://docs.google.com/spreadsheets/d/1IbSCnFOKpZsnFogBHJnL_isstZVaOMnFiIN0fGTPZZw/edit?usp=sharing"",""สงขลา!R690"")"),69540)</f>
        <v>69540</v>
      </c>
      <c r="E86" s="68">
        <f ca="1">IFERROR(__xludf.DUMMYFUNCTION("IMPORTRANGE(""https://docs.google.com/spreadsheets/d/1IbSCnFOKpZsnFogBHJnL_isstZVaOMnFiIN0fGTPZZw/edit?usp=sharing"",""สงขลา!S690"")"),22480)</f>
        <v>22480</v>
      </c>
      <c r="F86" s="68">
        <f t="shared" ca="1" si="24"/>
        <v>32.326718435432845</v>
      </c>
      <c r="G86" s="68">
        <f t="shared" ca="1" si="25"/>
        <v>32.326718435432845</v>
      </c>
      <c r="H86" s="278">
        <f ca="1">IFERROR(__xludf.DUMMYFUNCTION("IMPORTRANGE(""https://docs.google.com/spreadsheets/d/1IbSCnFOKpZsnFogBHJnL_isstZVaOMnFiIN0fGTPZZw/edit?usp=sharing"",""สงขลา!I700"")"),0)</f>
        <v>0</v>
      </c>
      <c r="I86" s="152">
        <f ca="1">IFERROR(__xludf.DUMMYFUNCTION("IMPORTRANGE(""https://docs.google.com/spreadsheets/d/1IbSCnFOKpZsnFogBHJnL_isstZVaOMnFiIN0fGTPZZw/edit?usp=sharing"",""สงขลา!J700"")"),0)</f>
        <v>0</v>
      </c>
      <c r="J86" s="216">
        <f t="shared" ca="1" si="27"/>
        <v>0</v>
      </c>
      <c r="K86" s="278">
        <f ca="1">IFERROR(__xludf.DUMMYFUNCTION("IMPORTRANGE(""https://docs.google.com/spreadsheets/d/1IbSCnFOKpZsnFogBHJnL_isstZVaOMnFiIN0fGTPZZw/edit?usp=sharing"",""สงขลา!I701"")"),3)</f>
        <v>3</v>
      </c>
      <c r="L86" s="152">
        <f ca="1">IFERROR(__xludf.DUMMYFUNCTION("IMPORTRANGE(""https://docs.google.com/spreadsheets/d/1IbSCnFOKpZsnFogBHJnL_isstZVaOMnFiIN0fGTPZZw/edit?usp=sharing"",""สงขลา!J701"")"),0)</f>
        <v>0</v>
      </c>
      <c r="M86" s="152">
        <f ca="1">IFERROR(__xludf.DUMMYFUNCTION("IMPORTRANGE(""https://docs.google.com/spreadsheets/d/1IbSCnFOKpZsnFogBHJnL_isstZVaOMnFiIN0fGTPZZw/edit?usp=sharing"",""สงขลา!J702"")"),0)</f>
        <v>0</v>
      </c>
      <c r="N86" s="216">
        <f t="shared" ca="1" si="29"/>
        <v>0</v>
      </c>
      <c r="O86" s="278">
        <f ca="1">IFERROR(__xludf.DUMMYFUNCTION("IMPORTRANGE(""https://docs.google.com/spreadsheets/d/1IbSCnFOKpZsnFogBHJnL_isstZVaOMnFiIN0fGTPZZw/edit?usp=sharing"",""สงขลา!I703"")"),0)</f>
        <v>0</v>
      </c>
      <c r="P86" s="152">
        <f ca="1">IFERROR(__xludf.DUMMYFUNCTION("IMPORTRANGE(""https://docs.google.com/spreadsheets/d/1IbSCnFOKpZsnFogBHJnL_isstZVaOMnFiIN0fGTPZZw/edit?usp=sharing"",""สงขลา!J703"")"),0)</f>
        <v>0</v>
      </c>
      <c r="Q86" s="152">
        <f ca="1">IFERROR(__xludf.DUMMYFUNCTION("IMPORTRANGE(""https://docs.google.com/spreadsheets/d/1IbSCnFOKpZsnFogBHJnL_isstZVaOMnFiIN0fGTPZZw/edit?usp=sharing"",""สงขลา!J704"")"),0)</f>
        <v>0</v>
      </c>
      <c r="R86" s="216">
        <f t="shared" ca="1" si="31"/>
        <v>0</v>
      </c>
      <c r="S86" s="632">
        <f ca="1">IFERROR(__xludf.DUMMYFUNCTION("IMPORTRANGE(""https://docs.google.com/spreadsheets/d/1IbSCnFOKpZsnFogBHJnL_isstZVaOMnFiIN0fGTPZZw/edit?usp=sharing"",""สงขลา!I705"")"),3)</f>
        <v>3</v>
      </c>
      <c r="T86" s="251">
        <f ca="1">IFERROR(__xludf.DUMMYFUNCTION("IMPORTRANGE(""https://docs.google.com/spreadsheets/d/1IbSCnFOKpZsnFogBHJnL_isstZVaOMnFiIN0fGTPZZw/edit?usp=sharing"",""สงขลา!J705"")"),0)</f>
        <v>0</v>
      </c>
      <c r="U86" s="251">
        <f ca="1">IFERROR(__xludf.DUMMYFUNCTION("IMPORTRANGE(""https://docs.google.com/spreadsheets/d/1IbSCnFOKpZsnFogBHJnL_isstZVaOMnFiIN0fGTPZZw/edit?usp=sharing"",""สงขลา!J706"")"),0)</f>
        <v>0</v>
      </c>
      <c r="V86" s="605">
        <f t="shared" ca="1" si="33"/>
        <v>0</v>
      </c>
      <c r="W86" s="278">
        <f ca="1">IFERROR(__xludf.DUMMYFUNCTION("IMPORTRANGE(""https://docs.google.com/spreadsheets/d/1IbSCnFOKpZsnFogBHJnL_isstZVaOMnFiIN0fGTPZZw/edit?usp=sharing"",""สงขลา!I707"")"),0)</f>
        <v>0</v>
      </c>
      <c r="X86" s="152">
        <f ca="1">IFERROR(__xludf.DUMMYFUNCTION("IMPORTRANGE(""https://docs.google.com/spreadsheets/d/1IbSCnFOKpZsnFogBHJnL_isstZVaOMnFiIN0fGTPZZw/edit?usp=sharing"",""สงขลา!J707"")"),0)</f>
        <v>0</v>
      </c>
      <c r="Y86" s="152">
        <f ca="1">IFERROR(__xludf.DUMMYFUNCTION("IMPORTRANGE(""https://docs.google.com/spreadsheets/d/1IbSCnFOKpZsnFogBHJnL_isstZVaOMnFiIN0fGTPZZw/edit?usp=sharing"",""สงขลา!J708"")"),0)</f>
        <v>0</v>
      </c>
      <c r="Z86" s="216">
        <f t="shared" ca="1" si="35"/>
        <v>0</v>
      </c>
      <c r="AA86" s="632">
        <f ca="1">IFERROR(__xludf.DUMMYFUNCTION("IMPORTRANGE(""https://docs.google.com/spreadsheets/d/1IbSCnFOKpZsnFogBHJnL_isstZVaOMnFiIN0fGTPZZw/edit?usp=sharing"",""สงขลา!I709"")"),3)</f>
        <v>3</v>
      </c>
      <c r="AB86" s="251">
        <f ca="1">IFERROR(__xludf.DUMMYFUNCTION("IMPORTRANGE(""https://docs.google.com/spreadsheets/d/1IbSCnFOKpZsnFogBHJnL_isstZVaOMnFiIN0fGTPZZw/edit?usp=sharing"",""สงขลา!J709"")"),2)</f>
        <v>2</v>
      </c>
      <c r="AC86" s="251">
        <f ca="1">IFERROR(__xludf.DUMMYFUNCTION("IMPORTRANGE(""https://docs.google.com/spreadsheets/d/1IbSCnFOKpZsnFogBHJnL_isstZVaOMnFiIN0fGTPZZw/edit?usp=sharing"",""สงขลา!J710"")"),0)</f>
        <v>0</v>
      </c>
      <c r="AD86" s="605">
        <f t="shared" ca="1" si="37"/>
        <v>66.666666666666671</v>
      </c>
    </row>
    <row r="87" spans="1:30" ht="19.5" x14ac:dyDescent="0.3">
      <c r="A87" s="70">
        <v>13</v>
      </c>
      <c r="B87" s="71" t="s">
        <v>115</v>
      </c>
      <c r="C87" s="68">
        <f ca="1">IFERROR(__xludf.DUMMYFUNCTION("IMPORTRANGE(""https://docs.google.com/spreadsheets/d/1q9nWasZJ-K8bFGvbE9n0qSRuKGA4Toe3Y89cKCiVtCU/edit?usp=sharing"",""สตูล!Q690"")"),62580)</f>
        <v>62580</v>
      </c>
      <c r="D87" s="68">
        <f ca="1">IFERROR(__xludf.DUMMYFUNCTION("IMPORTRANGE(""https://docs.google.com/spreadsheets/d/1q9nWasZJ-K8bFGvbE9n0qSRuKGA4Toe3Y89cKCiVtCU/edit?usp=sharing"",""สตูล!R690"")"),62580)</f>
        <v>62580</v>
      </c>
      <c r="E87" s="68">
        <f ca="1">IFERROR(__xludf.DUMMYFUNCTION("IMPORTRANGE(""https://docs.google.com/spreadsheets/d/1q9nWasZJ-K8bFGvbE9n0qSRuKGA4Toe3Y89cKCiVtCU/edit?usp=sharing"",""สตูล!S690"")"),21021.95)</f>
        <v>21021.95</v>
      </c>
      <c r="F87" s="68">
        <f t="shared" ca="1" si="24"/>
        <v>33.592122083732825</v>
      </c>
      <c r="G87" s="68">
        <f t="shared" ca="1" si="25"/>
        <v>33.592122083732825</v>
      </c>
      <c r="H87" s="278">
        <f ca="1">IFERROR(__xludf.DUMMYFUNCTION("IMPORTRANGE(""https://docs.google.com/spreadsheets/d/1q9nWasZJ-K8bFGvbE9n0qSRuKGA4Toe3Y89cKCiVtCU/edit?usp=sharing"",""สตูล!I700"")"),0)</f>
        <v>0</v>
      </c>
      <c r="I87" s="152">
        <f ca="1">IFERROR(__xludf.DUMMYFUNCTION("IMPORTRANGE(""https://docs.google.com/spreadsheets/d/1q9nWasZJ-K8bFGvbE9n0qSRuKGA4Toe3Y89cKCiVtCU/edit?usp=sharing"",""สตูล!J700"")"),0)</f>
        <v>0</v>
      </c>
      <c r="J87" s="216">
        <f t="shared" ca="1" si="27"/>
        <v>0</v>
      </c>
      <c r="K87" s="278">
        <f ca="1">IFERROR(__xludf.DUMMYFUNCTION("IMPORTRANGE(""https://docs.google.com/spreadsheets/d/1q9nWasZJ-K8bFGvbE9n0qSRuKGA4Toe3Y89cKCiVtCU/edit?usp=sharing"",""สตูล!I701"")"),5)</f>
        <v>5</v>
      </c>
      <c r="L87" s="152">
        <f ca="1">IFERROR(__xludf.DUMMYFUNCTION("IMPORTRANGE(""https://docs.google.com/spreadsheets/d/1q9nWasZJ-K8bFGvbE9n0qSRuKGA4Toe3Y89cKCiVtCU/edit?usp=sharing"",""สตูล!J701"")"),0)</f>
        <v>0</v>
      </c>
      <c r="M87" s="152">
        <f ca="1">IFERROR(__xludf.DUMMYFUNCTION("IMPORTRANGE(""https://docs.google.com/spreadsheets/d/1q9nWasZJ-K8bFGvbE9n0qSRuKGA4Toe3Y89cKCiVtCU/edit?usp=sharing"",""สตูล!J702"")"),0)</f>
        <v>0</v>
      </c>
      <c r="N87" s="216">
        <f t="shared" ca="1" si="29"/>
        <v>0</v>
      </c>
      <c r="O87" s="278">
        <f ca="1">IFERROR(__xludf.DUMMYFUNCTION("IMPORTRANGE(""https://docs.google.com/spreadsheets/d/1q9nWasZJ-K8bFGvbE9n0qSRuKGA4Toe3Y89cKCiVtCU/edit?usp=sharing"",""สตูล!I703"")"),0)</f>
        <v>0</v>
      </c>
      <c r="P87" s="152">
        <f ca="1">IFERROR(__xludf.DUMMYFUNCTION("IMPORTRANGE(""https://docs.google.com/spreadsheets/d/1q9nWasZJ-K8bFGvbE9n0qSRuKGA4Toe3Y89cKCiVtCU/edit?usp=sharing"",""สตูล!J703"")"),0)</f>
        <v>0</v>
      </c>
      <c r="Q87" s="152">
        <f ca="1">IFERROR(__xludf.DUMMYFUNCTION("IMPORTRANGE(""https://docs.google.com/spreadsheets/d/1q9nWasZJ-K8bFGvbE9n0qSRuKGA4Toe3Y89cKCiVtCU/edit?usp=sharing"",""สตูล!J704"")"),0)</f>
        <v>0</v>
      </c>
      <c r="R87" s="216">
        <f t="shared" ca="1" si="31"/>
        <v>0</v>
      </c>
      <c r="S87" s="632">
        <f ca="1">IFERROR(__xludf.DUMMYFUNCTION("IMPORTRANGE(""https://docs.google.com/spreadsheets/d/1q9nWasZJ-K8bFGvbE9n0qSRuKGA4Toe3Y89cKCiVtCU/edit?usp=sharing"",""สตูล!I705"")"),5)</f>
        <v>5</v>
      </c>
      <c r="T87" s="251">
        <f ca="1">IFERROR(__xludf.DUMMYFUNCTION("IMPORTRANGE(""https://docs.google.com/spreadsheets/d/1q9nWasZJ-K8bFGvbE9n0qSRuKGA4Toe3Y89cKCiVtCU/edit?usp=sharing"",""สตูล!J705"")"),0)</f>
        <v>0</v>
      </c>
      <c r="U87" s="251">
        <f ca="1">IFERROR(__xludf.DUMMYFUNCTION("IMPORTRANGE(""https://docs.google.com/spreadsheets/d/1q9nWasZJ-K8bFGvbE9n0qSRuKGA4Toe3Y89cKCiVtCU/edit?usp=sharing"",""สตูล!J706"")"),0)</f>
        <v>0</v>
      </c>
      <c r="V87" s="605">
        <f t="shared" ca="1" si="33"/>
        <v>0</v>
      </c>
      <c r="W87" s="278">
        <f ca="1">IFERROR(__xludf.DUMMYFUNCTION("IMPORTRANGE(""https://docs.google.com/spreadsheets/d/1q9nWasZJ-K8bFGvbE9n0qSRuKGA4Toe3Y89cKCiVtCU/edit?usp=sharing"",""สตูล!I707"")"),0)</f>
        <v>0</v>
      </c>
      <c r="X87" s="152">
        <f ca="1">IFERROR(__xludf.DUMMYFUNCTION("IMPORTRANGE(""https://docs.google.com/spreadsheets/d/1q9nWasZJ-K8bFGvbE9n0qSRuKGA4Toe3Y89cKCiVtCU/edit?usp=sharing"",""สตูล!J707"")"),0)</f>
        <v>0</v>
      </c>
      <c r="Y87" s="152">
        <f ca="1">IFERROR(__xludf.DUMMYFUNCTION("IMPORTRANGE(""https://docs.google.com/spreadsheets/d/1q9nWasZJ-K8bFGvbE9n0qSRuKGA4Toe3Y89cKCiVtCU/edit?usp=sharing"",""สตูล!J708"")"),0)</f>
        <v>0</v>
      </c>
      <c r="Z87" s="216">
        <f t="shared" ca="1" si="35"/>
        <v>0</v>
      </c>
      <c r="AA87" s="632">
        <f ca="1">IFERROR(__xludf.DUMMYFUNCTION("IMPORTRANGE(""https://docs.google.com/spreadsheets/d/1q9nWasZJ-K8bFGvbE9n0qSRuKGA4Toe3Y89cKCiVtCU/edit?usp=sharing"",""สตูล!I709"")"),5)</f>
        <v>5</v>
      </c>
      <c r="AB87" s="251">
        <f ca="1">IFERROR(__xludf.DUMMYFUNCTION("IMPORTRANGE(""https://docs.google.com/spreadsheets/d/1q9nWasZJ-K8bFGvbE9n0qSRuKGA4Toe3Y89cKCiVtCU/edit?usp=sharing"",""สตูล!J709"")"),2)</f>
        <v>2</v>
      </c>
      <c r="AC87" s="251">
        <f ca="1">IFERROR(__xludf.DUMMYFUNCTION("IMPORTRANGE(""https://docs.google.com/spreadsheets/d/1q9nWasZJ-K8bFGvbE9n0qSRuKGA4Toe3Y89cKCiVtCU/edit?usp=sharing"",""สตูล!J710"")"),0)</f>
        <v>0</v>
      </c>
      <c r="AD87" s="605">
        <f t="shared" ca="1" si="37"/>
        <v>40</v>
      </c>
    </row>
    <row r="88" spans="1:30" ht="19.5" x14ac:dyDescent="0.3">
      <c r="A88" s="80">
        <v>14</v>
      </c>
      <c r="B88" s="81" t="s">
        <v>116</v>
      </c>
      <c r="C88" s="89">
        <f ca="1">IFERROR(__xludf.DUMMYFUNCTION("IMPORTRANGE(""https://docs.google.com/spreadsheets/d/18T20gbkS_WBjdscyTOV05cvq_JqvqQ17C81mpxf7Ncs/edit?usp=sharing"",""สุราษฎร์ธานี!Q690"")"),76940)</f>
        <v>76940</v>
      </c>
      <c r="D88" s="89">
        <f ca="1">IFERROR(__xludf.DUMMYFUNCTION("IMPORTRANGE(""https://docs.google.com/spreadsheets/d/18T20gbkS_WBjdscyTOV05cvq_JqvqQ17C81mpxf7Ncs/edit?usp=sharing"",""สุราษฎร์ธานี!R690"")"),76940)</f>
        <v>76940</v>
      </c>
      <c r="E88" s="89">
        <f ca="1">IFERROR(__xludf.DUMMYFUNCTION("IMPORTRANGE(""https://docs.google.com/spreadsheets/d/18T20gbkS_WBjdscyTOV05cvq_JqvqQ17C81mpxf7Ncs/edit?usp=sharing"",""สุราษฎร์ธานี!S690"")"),76940)</f>
        <v>76940</v>
      </c>
      <c r="F88" s="89">
        <f t="shared" ca="1" si="24"/>
        <v>100</v>
      </c>
      <c r="G88" s="89">
        <f t="shared" ca="1" si="25"/>
        <v>100</v>
      </c>
      <c r="H88" s="280">
        <f ca="1">IFERROR(__xludf.DUMMYFUNCTION("IMPORTRANGE(""https://docs.google.com/spreadsheets/d/18T20gbkS_WBjdscyTOV05cvq_JqvqQ17C81mpxf7Ncs/edit?usp=sharing"",""สุราษฎร์ธานี!I700"")"),0)</f>
        <v>0</v>
      </c>
      <c r="I88" s="191">
        <f ca="1">IFERROR(__xludf.DUMMYFUNCTION("IMPORTRANGE(""https://docs.google.com/spreadsheets/d/18T20gbkS_WBjdscyTOV05cvq_JqvqQ17C81mpxf7Ncs/edit?usp=sharing"",""สุราษฎร์ธานี!J700"")"),0)</f>
        <v>0</v>
      </c>
      <c r="J88" s="218">
        <f t="shared" ca="1" si="27"/>
        <v>0</v>
      </c>
      <c r="K88" s="280">
        <f ca="1">IFERROR(__xludf.DUMMYFUNCTION("IMPORTRANGE(""https://docs.google.com/spreadsheets/d/18T20gbkS_WBjdscyTOV05cvq_JqvqQ17C81mpxf7Ncs/edit?usp=sharing"",""สุราษฎร์ธานี!I701"")"),5)</f>
        <v>5</v>
      </c>
      <c r="L88" s="191">
        <f ca="1">IFERROR(__xludf.DUMMYFUNCTION("IMPORTRANGE(""https://docs.google.com/spreadsheets/d/18T20gbkS_WBjdscyTOV05cvq_JqvqQ17C81mpxf7Ncs/edit?usp=sharing"",""สุราษฎร์ธานี!J701"")"),0)</f>
        <v>0</v>
      </c>
      <c r="M88" s="191">
        <f ca="1">IFERROR(__xludf.DUMMYFUNCTION("IMPORTRANGE(""https://docs.google.com/spreadsheets/d/18T20gbkS_WBjdscyTOV05cvq_JqvqQ17C81mpxf7Ncs/edit?usp=sharing"",""สุราษฎร์ธานี!J702"")"),0)</f>
        <v>0</v>
      </c>
      <c r="N88" s="218">
        <f t="shared" ca="1" si="29"/>
        <v>0</v>
      </c>
      <c r="O88" s="280">
        <f ca="1">IFERROR(__xludf.DUMMYFUNCTION("IMPORTRANGE(""https://docs.google.com/spreadsheets/d/18T20gbkS_WBjdscyTOV05cvq_JqvqQ17C81mpxf7Ncs/edit?usp=sharing"",""สุราษฎร์ธานี!I703"")"),0)</f>
        <v>0</v>
      </c>
      <c r="P88" s="191">
        <f ca="1">IFERROR(__xludf.DUMMYFUNCTION("IMPORTRANGE(""https://docs.google.com/spreadsheets/d/18T20gbkS_WBjdscyTOV05cvq_JqvqQ17C81mpxf7Ncs/edit?usp=sharing"",""สุราษฎร์ธานี!J703"")"),0)</f>
        <v>0</v>
      </c>
      <c r="Q88" s="191">
        <f ca="1">IFERROR(__xludf.DUMMYFUNCTION("IMPORTRANGE(""https://docs.google.com/spreadsheets/d/18T20gbkS_WBjdscyTOV05cvq_JqvqQ17C81mpxf7Ncs/edit?usp=sharing"",""สุราษฎร์ธานี!J704"")"),0)</f>
        <v>0</v>
      </c>
      <c r="R88" s="218">
        <f t="shared" ca="1" si="31"/>
        <v>0</v>
      </c>
      <c r="S88" s="633">
        <f ca="1">IFERROR(__xludf.DUMMYFUNCTION("IMPORTRANGE(""https://docs.google.com/spreadsheets/d/18T20gbkS_WBjdscyTOV05cvq_JqvqQ17C81mpxf7Ncs/edit?usp=sharing"",""สุราษฎร์ธานี!I705"")"),5)</f>
        <v>5</v>
      </c>
      <c r="T88" s="253">
        <f ca="1">IFERROR(__xludf.DUMMYFUNCTION("IMPORTRANGE(""https://docs.google.com/spreadsheets/d/18T20gbkS_WBjdscyTOV05cvq_JqvqQ17C81mpxf7Ncs/edit?usp=sharing"",""สุราษฎร์ธานี!J705"")"),0)</f>
        <v>0</v>
      </c>
      <c r="U88" s="253">
        <f ca="1">IFERROR(__xludf.DUMMYFUNCTION("IMPORTRANGE(""https://docs.google.com/spreadsheets/d/18T20gbkS_WBjdscyTOV05cvq_JqvqQ17C81mpxf7Ncs/edit?usp=sharing"",""สุราษฎร์ธานี!J706"")"),0)</f>
        <v>0</v>
      </c>
      <c r="V88" s="634">
        <f t="shared" ca="1" si="33"/>
        <v>0</v>
      </c>
      <c r="W88" s="280">
        <f ca="1">IFERROR(__xludf.DUMMYFUNCTION("IMPORTRANGE(""https://docs.google.com/spreadsheets/d/18T20gbkS_WBjdscyTOV05cvq_JqvqQ17C81mpxf7Ncs/edit?usp=sharing"",""สุราษฎร์ธานี!I707"")"),0)</f>
        <v>0</v>
      </c>
      <c r="X88" s="191">
        <f ca="1">IFERROR(__xludf.DUMMYFUNCTION("IMPORTRANGE(""https://docs.google.com/spreadsheets/d/18T20gbkS_WBjdscyTOV05cvq_JqvqQ17C81mpxf7Ncs/edit?usp=sharing"",""สุราษฎร์ธานี!J707"")"),0)</f>
        <v>0</v>
      </c>
      <c r="Y88" s="191">
        <f ca="1">IFERROR(__xludf.DUMMYFUNCTION("IMPORTRANGE(""https://docs.google.com/spreadsheets/d/18T20gbkS_WBjdscyTOV05cvq_JqvqQ17C81mpxf7Ncs/edit?usp=sharing"",""สุราษฎร์ธานี!J708"")"),0)</f>
        <v>0</v>
      </c>
      <c r="Z88" s="218">
        <f t="shared" ca="1" si="35"/>
        <v>0</v>
      </c>
      <c r="AA88" s="633">
        <f ca="1">IFERROR(__xludf.DUMMYFUNCTION("IMPORTRANGE(""https://docs.google.com/spreadsheets/d/18T20gbkS_WBjdscyTOV05cvq_JqvqQ17C81mpxf7Ncs/edit?usp=sharing"",""สุราษฎร์ธานี!I709"")"),5)</f>
        <v>5</v>
      </c>
      <c r="AB88" s="253">
        <f ca="1">IFERROR(__xludf.DUMMYFUNCTION("IMPORTRANGE(""https://docs.google.com/spreadsheets/d/18T20gbkS_WBjdscyTOV05cvq_JqvqQ17C81mpxf7Ncs/edit?usp=sharing"",""สุราษฎร์ธานี!J709"")"),19)</f>
        <v>19</v>
      </c>
      <c r="AC88" s="253">
        <f ca="1">IFERROR(__xludf.DUMMYFUNCTION("IMPORTRANGE(""https://docs.google.com/spreadsheets/d/18T20gbkS_WBjdscyTOV05cvq_JqvqQ17C81mpxf7Ncs/edit?usp=sharing"",""สุราษฎร์ธานี!J710"")"),0)</f>
        <v>0</v>
      </c>
      <c r="AD88" s="634">
        <f t="shared" ca="1" si="37"/>
        <v>380</v>
      </c>
    </row>
    <row r="89" spans="1:30" ht="19.5" x14ac:dyDescent="0.3">
      <c r="A89" s="698" t="s">
        <v>117</v>
      </c>
      <c r="B89" s="662"/>
      <c r="C89" s="39">
        <f t="shared" ref="C89:E89" ca="1" si="59">SUM(C90:C106)</f>
        <v>1570110</v>
      </c>
      <c r="D89" s="39">
        <f t="shared" ca="1" si="59"/>
        <v>1540110</v>
      </c>
      <c r="E89" s="39">
        <f t="shared" ca="1" si="59"/>
        <v>711023.55999999994</v>
      </c>
      <c r="F89" s="39">
        <f t="shared" ca="1" si="24"/>
        <v>45.284952009731803</v>
      </c>
      <c r="G89" s="39">
        <f t="shared" ca="1" si="25"/>
        <v>46.16706339157593</v>
      </c>
      <c r="H89" s="39"/>
      <c r="I89" s="39"/>
      <c r="J89" s="41"/>
      <c r="K89" s="39"/>
      <c r="L89" s="39"/>
      <c r="M89" s="39"/>
      <c r="N89" s="41"/>
      <c r="O89" s="39"/>
      <c r="P89" s="39"/>
      <c r="Q89" s="39"/>
      <c r="R89" s="41"/>
      <c r="S89" s="283"/>
      <c r="T89" s="169"/>
      <c r="U89" s="169"/>
      <c r="V89" s="255"/>
      <c r="W89" s="39"/>
      <c r="X89" s="39"/>
      <c r="Y89" s="39"/>
      <c r="Z89" s="41"/>
      <c r="AA89" s="283"/>
      <c r="AB89" s="169"/>
      <c r="AC89" s="169"/>
      <c r="AD89" s="255"/>
    </row>
    <row r="90" spans="1:30" ht="19.5" x14ac:dyDescent="0.25">
      <c r="A90" s="102"/>
      <c r="B90" s="103" t="s">
        <v>118</v>
      </c>
      <c r="C90" s="66">
        <v>0</v>
      </c>
      <c r="D90" s="66">
        <v>0</v>
      </c>
      <c r="E90" s="66">
        <v>0</v>
      </c>
      <c r="F90" s="65">
        <f t="shared" si="24"/>
        <v>0</v>
      </c>
      <c r="G90" s="65">
        <f t="shared" si="25"/>
        <v>0</v>
      </c>
      <c r="H90" s="62"/>
      <c r="I90" s="62"/>
      <c r="J90" s="65"/>
      <c r="K90" s="62"/>
      <c r="L90" s="62"/>
      <c r="M90" s="62"/>
      <c r="N90" s="65"/>
      <c r="O90" s="62"/>
      <c r="P90" s="62"/>
      <c r="Q90" s="62"/>
      <c r="R90" s="65"/>
      <c r="S90" s="284"/>
      <c r="T90" s="220"/>
      <c r="U90" s="220"/>
      <c r="V90" s="259"/>
      <c r="W90" s="62"/>
      <c r="X90" s="62"/>
      <c r="Y90" s="62"/>
      <c r="Z90" s="65"/>
      <c r="AA90" s="284"/>
      <c r="AB90" s="220"/>
      <c r="AC90" s="220"/>
      <c r="AD90" s="259"/>
    </row>
    <row r="91" spans="1:30" ht="19.5" x14ac:dyDescent="0.25">
      <c r="A91" s="105"/>
      <c r="B91" s="106" t="s">
        <v>119</v>
      </c>
      <c r="C91" s="77">
        <v>0</v>
      </c>
      <c r="D91" s="77">
        <v>0</v>
      </c>
      <c r="E91" s="77">
        <v>0</v>
      </c>
      <c r="F91" s="76">
        <f t="shared" si="24"/>
        <v>0</v>
      </c>
      <c r="G91" s="76">
        <f t="shared" si="25"/>
        <v>0</v>
      </c>
      <c r="H91" s="74"/>
      <c r="I91" s="74"/>
      <c r="J91" s="76"/>
      <c r="K91" s="74"/>
      <c r="L91" s="74"/>
      <c r="M91" s="74"/>
      <c r="N91" s="76"/>
      <c r="O91" s="74"/>
      <c r="P91" s="74"/>
      <c r="Q91" s="74"/>
      <c r="R91" s="76"/>
      <c r="S91" s="284"/>
      <c r="T91" s="220"/>
      <c r="U91" s="220"/>
      <c r="V91" s="259"/>
      <c r="W91" s="74"/>
      <c r="X91" s="74"/>
      <c r="Y91" s="74"/>
      <c r="Z91" s="76"/>
      <c r="AA91" s="284"/>
      <c r="AB91" s="220"/>
      <c r="AC91" s="220"/>
      <c r="AD91" s="259"/>
    </row>
    <row r="92" spans="1:30" ht="19.5" x14ac:dyDescent="0.25">
      <c r="A92" s="105"/>
      <c r="B92" s="106" t="s">
        <v>120</v>
      </c>
      <c r="C92" s="77">
        <v>0</v>
      </c>
      <c r="D92" s="77">
        <v>0</v>
      </c>
      <c r="E92" s="77">
        <v>0</v>
      </c>
      <c r="F92" s="76">
        <f t="shared" si="24"/>
        <v>0</v>
      </c>
      <c r="G92" s="76">
        <f t="shared" si="25"/>
        <v>0</v>
      </c>
      <c r="H92" s="74"/>
      <c r="I92" s="74"/>
      <c r="J92" s="76"/>
      <c r="K92" s="74"/>
      <c r="L92" s="74"/>
      <c r="M92" s="74"/>
      <c r="N92" s="76"/>
      <c r="O92" s="74"/>
      <c r="P92" s="74"/>
      <c r="Q92" s="74"/>
      <c r="R92" s="76"/>
      <c r="S92" s="284"/>
      <c r="T92" s="220"/>
      <c r="U92" s="220"/>
      <c r="V92" s="259"/>
      <c r="W92" s="74"/>
      <c r="X92" s="74"/>
      <c r="Y92" s="74"/>
      <c r="Z92" s="76"/>
      <c r="AA92" s="284"/>
      <c r="AB92" s="220"/>
      <c r="AC92" s="220"/>
      <c r="AD92" s="259"/>
    </row>
    <row r="93" spans="1:30" ht="19.5" x14ac:dyDescent="0.25">
      <c r="A93" s="105"/>
      <c r="B93" s="106" t="s">
        <v>121</v>
      </c>
      <c r="C93" s="77">
        <v>0</v>
      </c>
      <c r="D93" s="77">
        <v>0</v>
      </c>
      <c r="E93" s="77">
        <v>0</v>
      </c>
      <c r="F93" s="76">
        <f t="shared" si="24"/>
        <v>0</v>
      </c>
      <c r="G93" s="76">
        <f t="shared" si="25"/>
        <v>0</v>
      </c>
      <c r="H93" s="74"/>
      <c r="I93" s="74"/>
      <c r="J93" s="76"/>
      <c r="K93" s="74"/>
      <c r="L93" s="74"/>
      <c r="M93" s="74"/>
      <c r="N93" s="76"/>
      <c r="O93" s="74"/>
      <c r="P93" s="74"/>
      <c r="Q93" s="74"/>
      <c r="R93" s="76"/>
      <c r="S93" s="284"/>
      <c r="T93" s="220"/>
      <c r="U93" s="220"/>
      <c r="V93" s="259"/>
      <c r="W93" s="74"/>
      <c r="X93" s="74"/>
      <c r="Y93" s="74"/>
      <c r="Z93" s="76"/>
      <c r="AA93" s="284"/>
      <c r="AB93" s="220"/>
      <c r="AC93" s="220"/>
      <c r="AD93" s="259"/>
    </row>
    <row r="94" spans="1:30" ht="19.5" x14ac:dyDescent="0.25">
      <c r="A94" s="105"/>
      <c r="B94" s="106" t="s">
        <v>122</v>
      </c>
      <c r="C94" s="77">
        <f ca="1">IFERROR(__xludf.DUMMYFUNCTION("IMPORTRANGE(""https://docs.google.com/spreadsheets/d/1ItG2mGa2ceCfYo0BwxsXqNm01IGEUdYcSSLTEv9YCik/edit?usp=sharing"",""เบิกจ่ายกองทุน!L90"")"),300510)</f>
        <v>300510</v>
      </c>
      <c r="D94" s="77">
        <f ca="1">IFERROR(__xludf.DUMMYFUNCTION("IMPORTRANGE(""https://docs.google.com/spreadsheets/d/1ItG2mGa2ceCfYo0BwxsXqNm01IGEUdYcSSLTEv9YCik/edit?usp=sharing"",""เบิกจ่ายกองทุน!M90"")"),300510)</f>
        <v>300510</v>
      </c>
      <c r="E94" s="77">
        <f ca="1">IFERROR(__xludf.DUMMYFUNCTION("IMPORTRANGE(""https://docs.google.com/spreadsheets/d/1ItG2mGa2ceCfYo0BwxsXqNm01IGEUdYcSSLTEv9YCik/edit?usp=sharing"",""เบิกจ่ายกองทุน!N90"")"),205371.9)</f>
        <v>205371.9</v>
      </c>
      <c r="F94" s="76">
        <f t="shared" ca="1" si="24"/>
        <v>68.34112009583707</v>
      </c>
      <c r="G94" s="76">
        <f t="shared" ca="1" si="25"/>
        <v>68.34112009583707</v>
      </c>
      <c r="H94" s="74"/>
      <c r="I94" s="74"/>
      <c r="J94" s="76"/>
      <c r="K94" s="74"/>
      <c r="L94" s="74"/>
      <c r="M94" s="74"/>
      <c r="N94" s="76"/>
      <c r="O94" s="74"/>
      <c r="P94" s="74"/>
      <c r="Q94" s="74"/>
      <c r="R94" s="76"/>
      <c r="S94" s="284"/>
      <c r="T94" s="220"/>
      <c r="U94" s="220"/>
      <c r="V94" s="259"/>
      <c r="W94" s="74"/>
      <c r="X94" s="74"/>
      <c r="Y94" s="74"/>
      <c r="Z94" s="76"/>
      <c r="AA94" s="284"/>
      <c r="AB94" s="220"/>
      <c r="AC94" s="220"/>
      <c r="AD94" s="259"/>
    </row>
    <row r="95" spans="1:30" ht="19.5" x14ac:dyDescent="0.25">
      <c r="A95" s="105"/>
      <c r="B95" s="106" t="s">
        <v>123</v>
      </c>
      <c r="C95" s="77">
        <v>0</v>
      </c>
      <c r="D95" s="77">
        <v>0</v>
      </c>
      <c r="E95" s="77">
        <v>0</v>
      </c>
      <c r="F95" s="76">
        <f t="shared" si="24"/>
        <v>0</v>
      </c>
      <c r="G95" s="76">
        <f t="shared" si="25"/>
        <v>0</v>
      </c>
      <c r="H95" s="74"/>
      <c r="I95" s="74"/>
      <c r="J95" s="76"/>
      <c r="K95" s="74"/>
      <c r="L95" s="74"/>
      <c r="M95" s="74"/>
      <c r="N95" s="76"/>
      <c r="O95" s="74"/>
      <c r="P95" s="74"/>
      <c r="Q95" s="74"/>
      <c r="R95" s="76"/>
      <c r="S95" s="284"/>
      <c r="T95" s="220"/>
      <c r="U95" s="220"/>
      <c r="V95" s="259"/>
      <c r="W95" s="74"/>
      <c r="X95" s="74"/>
      <c r="Y95" s="74"/>
      <c r="Z95" s="76"/>
      <c r="AA95" s="284"/>
      <c r="AB95" s="220"/>
      <c r="AC95" s="220"/>
      <c r="AD95" s="259"/>
    </row>
    <row r="96" spans="1:30" ht="19.5" x14ac:dyDescent="0.25">
      <c r="A96" s="105"/>
      <c r="B96" s="106" t="s">
        <v>124</v>
      </c>
      <c r="C96" s="77">
        <f ca="1">IFERROR(__xludf.DUMMYFUNCTION("IMPORTRANGE(""https://docs.google.com/spreadsheets/d/1ItG2mGa2ceCfYo0BwxsXqNm01IGEUdYcSSLTEv9YCik/edit?usp=sharing"",""เบิกจ่ายกองทุน!L91"")"),578000)</f>
        <v>578000</v>
      </c>
      <c r="D96" s="77">
        <f ca="1">IFERROR(__xludf.DUMMYFUNCTION("IMPORTRANGE(""https://docs.google.com/spreadsheets/d/1ItG2mGa2ceCfYo0BwxsXqNm01IGEUdYcSSLTEv9YCik/edit?usp=sharing"",""เบิกจ่ายกองทุน!M91"")"),548000)</f>
        <v>548000</v>
      </c>
      <c r="E96" s="77">
        <f ca="1">IFERROR(__xludf.DUMMYFUNCTION("IMPORTRANGE(""https://docs.google.com/spreadsheets/d/1ItG2mGa2ceCfYo0BwxsXqNm01IGEUdYcSSLTEv9YCik/edit?usp=sharing"",""เบิกจ่ายกองทุน!N91"")"),348431.66)</f>
        <v>348431.66</v>
      </c>
      <c r="F96" s="76">
        <f t="shared" ca="1" si="24"/>
        <v>60.282294117647062</v>
      </c>
      <c r="G96" s="76">
        <f t="shared" ca="1" si="25"/>
        <v>63.5824197080292</v>
      </c>
      <c r="H96" s="74"/>
      <c r="I96" s="74"/>
      <c r="J96" s="76"/>
      <c r="K96" s="74"/>
      <c r="L96" s="74"/>
      <c r="M96" s="74"/>
      <c r="N96" s="76"/>
      <c r="O96" s="74"/>
      <c r="P96" s="74"/>
      <c r="Q96" s="74"/>
      <c r="R96" s="76"/>
      <c r="S96" s="284"/>
      <c r="T96" s="220"/>
      <c r="U96" s="220"/>
      <c r="V96" s="259"/>
      <c r="W96" s="74"/>
      <c r="X96" s="74"/>
      <c r="Y96" s="74"/>
      <c r="Z96" s="76"/>
      <c r="AA96" s="284"/>
      <c r="AB96" s="220"/>
      <c r="AC96" s="220"/>
      <c r="AD96" s="259"/>
    </row>
    <row r="97" spans="1:30" ht="19.5" x14ac:dyDescent="0.25">
      <c r="A97" s="105"/>
      <c r="B97" s="106" t="s">
        <v>125</v>
      </c>
      <c r="C97" s="77">
        <v>0</v>
      </c>
      <c r="D97" s="77">
        <v>0</v>
      </c>
      <c r="E97" s="77">
        <v>0</v>
      </c>
      <c r="F97" s="76">
        <f t="shared" si="24"/>
        <v>0</v>
      </c>
      <c r="G97" s="76">
        <f t="shared" si="25"/>
        <v>0</v>
      </c>
      <c r="H97" s="74"/>
      <c r="I97" s="74"/>
      <c r="J97" s="76"/>
      <c r="K97" s="74"/>
      <c r="L97" s="74"/>
      <c r="M97" s="74"/>
      <c r="N97" s="76"/>
      <c r="O97" s="74"/>
      <c r="P97" s="74"/>
      <c r="Q97" s="74"/>
      <c r="R97" s="76"/>
      <c r="S97" s="284"/>
      <c r="T97" s="220"/>
      <c r="U97" s="220"/>
      <c r="V97" s="259"/>
      <c r="W97" s="74"/>
      <c r="X97" s="74"/>
      <c r="Y97" s="74"/>
      <c r="Z97" s="76"/>
      <c r="AA97" s="284"/>
      <c r="AB97" s="220"/>
      <c r="AC97" s="220"/>
      <c r="AD97" s="259"/>
    </row>
    <row r="98" spans="1:30" ht="19.5" x14ac:dyDescent="0.25">
      <c r="A98" s="105"/>
      <c r="B98" s="106" t="s">
        <v>126</v>
      </c>
      <c r="C98" s="77">
        <v>0</v>
      </c>
      <c r="D98" s="77">
        <v>0</v>
      </c>
      <c r="E98" s="77">
        <v>0</v>
      </c>
      <c r="F98" s="76">
        <f t="shared" si="24"/>
        <v>0</v>
      </c>
      <c r="G98" s="76">
        <f t="shared" si="25"/>
        <v>0</v>
      </c>
      <c r="H98" s="74"/>
      <c r="I98" s="74"/>
      <c r="J98" s="76"/>
      <c r="K98" s="74"/>
      <c r="L98" s="74"/>
      <c r="M98" s="74"/>
      <c r="N98" s="76"/>
      <c r="O98" s="74"/>
      <c r="P98" s="74"/>
      <c r="Q98" s="74"/>
      <c r="R98" s="76"/>
      <c r="S98" s="284"/>
      <c r="T98" s="220"/>
      <c r="U98" s="220"/>
      <c r="V98" s="259"/>
      <c r="W98" s="74"/>
      <c r="X98" s="74"/>
      <c r="Y98" s="74"/>
      <c r="Z98" s="76"/>
      <c r="AA98" s="284"/>
      <c r="AB98" s="220"/>
      <c r="AC98" s="220"/>
      <c r="AD98" s="259"/>
    </row>
    <row r="99" spans="1:30" ht="19.5" x14ac:dyDescent="0.25">
      <c r="A99" s="105"/>
      <c r="B99" s="106" t="s">
        <v>127</v>
      </c>
      <c r="C99" s="77">
        <f ca="1">IFERROR(__xludf.DUMMYFUNCTION("IMPORTRANGE(""https://docs.google.com/spreadsheets/d/1ItG2mGa2ceCfYo0BwxsXqNm01IGEUdYcSSLTEv9YCik/edit?usp=sharing"",""เบิกจ่ายกองทุน!L95"")"),691600)</f>
        <v>691600</v>
      </c>
      <c r="D99" s="77">
        <f ca="1">IFERROR(__xludf.DUMMYFUNCTION("IMPORTRANGE(""https://docs.google.com/spreadsheets/d/1ItG2mGa2ceCfYo0BwxsXqNm01IGEUdYcSSLTEv9YCik/edit?usp=sharing"",""เบิกจ่ายกองทุน!M95"")"),691600)</f>
        <v>691600</v>
      </c>
      <c r="E99" s="77">
        <f ca="1">IFERROR(__xludf.DUMMYFUNCTION("IMPORTRANGE(""https://docs.google.com/spreadsheets/d/1ItG2mGa2ceCfYo0BwxsXqNm01IGEUdYcSSLTEv9YCik/edit?usp=sharing"",""เบิกจ่ายกองทุน!N95"")"),157220)</f>
        <v>157220</v>
      </c>
      <c r="F99" s="76">
        <f t="shared" ca="1" si="24"/>
        <v>22.732793522267208</v>
      </c>
      <c r="G99" s="76">
        <f t="shared" ca="1" si="25"/>
        <v>22.732793522267208</v>
      </c>
      <c r="H99" s="74"/>
      <c r="I99" s="74"/>
      <c r="J99" s="76"/>
      <c r="K99" s="74"/>
      <c r="L99" s="74"/>
      <c r="M99" s="74"/>
      <c r="N99" s="76"/>
      <c r="O99" s="74"/>
      <c r="P99" s="74"/>
      <c r="Q99" s="74"/>
      <c r="R99" s="76"/>
      <c r="S99" s="284"/>
      <c r="T99" s="220"/>
      <c r="U99" s="220"/>
      <c r="V99" s="259"/>
      <c r="W99" s="74"/>
      <c r="X99" s="74"/>
      <c r="Y99" s="74"/>
      <c r="Z99" s="76"/>
      <c r="AA99" s="284"/>
      <c r="AB99" s="220"/>
      <c r="AC99" s="220"/>
      <c r="AD99" s="259"/>
    </row>
    <row r="100" spans="1:30" ht="19.5" x14ac:dyDescent="0.25">
      <c r="A100" s="105"/>
      <c r="B100" s="106" t="s">
        <v>128</v>
      </c>
      <c r="C100" s="77">
        <v>0</v>
      </c>
      <c r="D100" s="77">
        <v>0</v>
      </c>
      <c r="E100" s="77">
        <v>0</v>
      </c>
      <c r="F100" s="76">
        <f t="shared" si="24"/>
        <v>0</v>
      </c>
      <c r="G100" s="76">
        <f t="shared" si="25"/>
        <v>0</v>
      </c>
      <c r="H100" s="74"/>
      <c r="I100" s="74"/>
      <c r="J100" s="76"/>
      <c r="K100" s="74"/>
      <c r="L100" s="74"/>
      <c r="M100" s="74"/>
      <c r="N100" s="76"/>
      <c r="O100" s="74"/>
      <c r="P100" s="74"/>
      <c r="Q100" s="74"/>
      <c r="R100" s="76"/>
      <c r="S100" s="284"/>
      <c r="T100" s="220"/>
      <c r="U100" s="220"/>
      <c r="V100" s="259"/>
      <c r="W100" s="74"/>
      <c r="X100" s="74"/>
      <c r="Y100" s="74"/>
      <c r="Z100" s="76"/>
      <c r="AA100" s="284"/>
      <c r="AB100" s="220"/>
      <c r="AC100" s="220"/>
      <c r="AD100" s="259"/>
    </row>
    <row r="101" spans="1:30" ht="19.5" x14ac:dyDescent="0.25">
      <c r="A101" s="105"/>
      <c r="B101" s="106" t="s">
        <v>129</v>
      </c>
      <c r="C101" s="77">
        <v>0</v>
      </c>
      <c r="D101" s="77">
        <v>0</v>
      </c>
      <c r="E101" s="77">
        <v>0</v>
      </c>
      <c r="F101" s="76">
        <f t="shared" si="24"/>
        <v>0</v>
      </c>
      <c r="G101" s="76">
        <f t="shared" si="25"/>
        <v>0</v>
      </c>
      <c r="H101" s="74"/>
      <c r="I101" s="74"/>
      <c r="J101" s="76"/>
      <c r="K101" s="74"/>
      <c r="L101" s="74"/>
      <c r="M101" s="74"/>
      <c r="N101" s="76"/>
      <c r="O101" s="74"/>
      <c r="P101" s="74"/>
      <c r="Q101" s="74"/>
      <c r="R101" s="76"/>
      <c r="S101" s="284"/>
      <c r="T101" s="220"/>
      <c r="U101" s="220"/>
      <c r="V101" s="259"/>
      <c r="W101" s="74"/>
      <c r="X101" s="74"/>
      <c r="Y101" s="74"/>
      <c r="Z101" s="76"/>
      <c r="AA101" s="284"/>
      <c r="AB101" s="220"/>
      <c r="AC101" s="220"/>
      <c r="AD101" s="259"/>
    </row>
    <row r="102" spans="1:30" ht="19.5" x14ac:dyDescent="0.25">
      <c r="A102" s="105"/>
      <c r="B102" s="106" t="s">
        <v>130</v>
      </c>
      <c r="C102" s="77">
        <v>0</v>
      </c>
      <c r="D102" s="77">
        <v>0</v>
      </c>
      <c r="E102" s="77">
        <v>0</v>
      </c>
      <c r="F102" s="76">
        <f t="shared" si="24"/>
        <v>0</v>
      </c>
      <c r="G102" s="76">
        <f t="shared" si="25"/>
        <v>0</v>
      </c>
      <c r="H102" s="74"/>
      <c r="I102" s="74"/>
      <c r="J102" s="76"/>
      <c r="K102" s="74"/>
      <c r="L102" s="74"/>
      <c r="M102" s="74"/>
      <c r="N102" s="76"/>
      <c r="O102" s="74"/>
      <c r="P102" s="74"/>
      <c r="Q102" s="74"/>
      <c r="R102" s="76"/>
      <c r="S102" s="284"/>
      <c r="T102" s="220"/>
      <c r="U102" s="220"/>
      <c r="V102" s="259"/>
      <c r="W102" s="74"/>
      <c r="X102" s="74"/>
      <c r="Y102" s="74"/>
      <c r="Z102" s="76"/>
      <c r="AA102" s="284"/>
      <c r="AB102" s="220"/>
      <c r="AC102" s="220"/>
      <c r="AD102" s="259"/>
    </row>
    <row r="103" spans="1:30" ht="19.5" x14ac:dyDescent="0.25">
      <c r="A103" s="105"/>
      <c r="B103" s="106" t="s">
        <v>131</v>
      </c>
      <c r="C103" s="107">
        <v>0</v>
      </c>
      <c r="D103" s="107">
        <v>0</v>
      </c>
      <c r="E103" s="107">
        <v>0</v>
      </c>
      <c r="F103" s="108">
        <f t="shared" si="24"/>
        <v>0</v>
      </c>
      <c r="G103" s="108">
        <f t="shared" si="25"/>
        <v>0</v>
      </c>
      <c r="H103" s="203"/>
      <c r="I103" s="203"/>
      <c r="J103" s="108"/>
      <c r="K103" s="203"/>
      <c r="L103" s="203"/>
      <c r="M103" s="203"/>
      <c r="N103" s="108"/>
      <c r="O103" s="203"/>
      <c r="P103" s="203"/>
      <c r="Q103" s="203"/>
      <c r="R103" s="108"/>
      <c r="S103" s="284"/>
      <c r="T103" s="220"/>
      <c r="U103" s="220"/>
      <c r="V103" s="259"/>
      <c r="W103" s="203"/>
      <c r="X103" s="203"/>
      <c r="Y103" s="203"/>
      <c r="Z103" s="108"/>
      <c r="AA103" s="284"/>
      <c r="AB103" s="220"/>
      <c r="AC103" s="220"/>
      <c r="AD103" s="259"/>
    </row>
    <row r="104" spans="1:30" ht="19.5" x14ac:dyDescent="0.25">
      <c r="A104" s="105"/>
      <c r="B104" s="106" t="s">
        <v>132</v>
      </c>
      <c r="C104" s="77">
        <v>0</v>
      </c>
      <c r="D104" s="77">
        <v>0</v>
      </c>
      <c r="E104" s="77">
        <v>0</v>
      </c>
      <c r="F104" s="76">
        <f t="shared" si="24"/>
        <v>0</v>
      </c>
      <c r="G104" s="76">
        <f t="shared" si="25"/>
        <v>0</v>
      </c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394"/>
      <c r="T104" s="252"/>
      <c r="U104" s="252"/>
      <c r="V104" s="252"/>
      <c r="W104" s="287"/>
      <c r="X104" s="287"/>
      <c r="Y104" s="287"/>
      <c r="Z104" s="287"/>
      <c r="AA104" s="394"/>
      <c r="AB104" s="252"/>
      <c r="AC104" s="252"/>
      <c r="AD104" s="252"/>
    </row>
    <row r="105" spans="1:30" ht="19.5" x14ac:dyDescent="0.25">
      <c r="A105" s="105"/>
      <c r="B105" s="109" t="s">
        <v>133</v>
      </c>
      <c r="C105" s="110">
        <v>0</v>
      </c>
      <c r="D105" s="110">
        <v>0</v>
      </c>
      <c r="E105" s="110">
        <v>0</v>
      </c>
      <c r="F105" s="111">
        <f t="shared" si="24"/>
        <v>0</v>
      </c>
      <c r="G105" s="111">
        <f t="shared" si="25"/>
        <v>0</v>
      </c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284"/>
      <c r="T105" s="220"/>
      <c r="U105" s="220"/>
      <c r="V105" s="220"/>
      <c r="W105" s="100"/>
      <c r="X105" s="100"/>
      <c r="Y105" s="100"/>
      <c r="Z105" s="100"/>
      <c r="AA105" s="284"/>
      <c r="AB105" s="220"/>
      <c r="AC105" s="220"/>
      <c r="AD105" s="220"/>
    </row>
    <row r="106" spans="1:30" ht="19.5" x14ac:dyDescent="0.25">
      <c r="A106" s="105"/>
      <c r="B106" s="109" t="s">
        <v>134</v>
      </c>
      <c r="C106" s="77">
        <v>0</v>
      </c>
      <c r="D106" s="77">
        <v>0</v>
      </c>
      <c r="E106" s="77">
        <v>0</v>
      </c>
      <c r="F106" s="76">
        <f t="shared" si="24"/>
        <v>0</v>
      </c>
      <c r="G106" s="76">
        <f t="shared" si="25"/>
        <v>0</v>
      </c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284"/>
      <c r="T106" s="220"/>
      <c r="U106" s="220"/>
      <c r="V106" s="220"/>
      <c r="W106" s="74"/>
      <c r="X106" s="74"/>
      <c r="Y106" s="74"/>
      <c r="Z106" s="74"/>
      <c r="AA106" s="284"/>
      <c r="AB106" s="220"/>
      <c r="AC106" s="220"/>
      <c r="AD106" s="220"/>
    </row>
    <row r="107" spans="1:30" ht="19.5" x14ac:dyDescent="0.25">
      <c r="A107" s="105"/>
      <c r="B107" s="109" t="s">
        <v>26</v>
      </c>
      <c r="C107" s="77">
        <v>0</v>
      </c>
      <c r="D107" s="77">
        <v>0</v>
      </c>
      <c r="E107" s="77">
        <v>0</v>
      </c>
      <c r="F107" s="76">
        <f t="shared" si="24"/>
        <v>0</v>
      </c>
      <c r="G107" s="76">
        <f t="shared" si="25"/>
        <v>0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291"/>
      <c r="T107" s="175"/>
      <c r="U107" s="175"/>
      <c r="V107" s="175"/>
      <c r="W107" s="74"/>
      <c r="X107" s="74"/>
      <c r="Y107" s="74"/>
      <c r="Z107" s="74"/>
      <c r="AA107" s="291"/>
      <c r="AB107" s="175"/>
      <c r="AC107" s="175"/>
      <c r="AD107" s="175"/>
    </row>
    <row r="108" spans="1:30" ht="19.5" x14ac:dyDescent="0.25">
      <c r="A108" s="112"/>
      <c r="B108" s="113" t="s">
        <v>135</v>
      </c>
      <c r="C108" s="87">
        <v>0</v>
      </c>
      <c r="D108" s="87">
        <v>0</v>
      </c>
      <c r="E108" s="87">
        <v>0</v>
      </c>
      <c r="F108" s="86">
        <f t="shared" si="24"/>
        <v>0</v>
      </c>
      <c r="G108" s="86">
        <f t="shared" si="25"/>
        <v>0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292"/>
      <c r="T108" s="222"/>
      <c r="U108" s="222"/>
      <c r="V108" s="222"/>
      <c r="W108" s="84"/>
      <c r="X108" s="84"/>
      <c r="Y108" s="84"/>
      <c r="Z108" s="84"/>
      <c r="AA108" s="292"/>
      <c r="AB108" s="222"/>
      <c r="AC108" s="222"/>
      <c r="AD108" s="222"/>
    </row>
  </sheetData>
  <mergeCells count="28">
    <mergeCell ref="A7:B7"/>
    <mergeCell ref="A2:B6"/>
    <mergeCell ref="C4:C6"/>
    <mergeCell ref="D4:D6"/>
    <mergeCell ref="E4:E6"/>
    <mergeCell ref="F4:F6"/>
    <mergeCell ref="A13:B13"/>
    <mergeCell ref="A31:B31"/>
    <mergeCell ref="A52:B52"/>
    <mergeCell ref="A74:B74"/>
    <mergeCell ref="A89:B89"/>
    <mergeCell ref="T5:V5"/>
    <mergeCell ref="X5:Z5"/>
    <mergeCell ref="AB5:AD5"/>
    <mergeCell ref="C2:G2"/>
    <mergeCell ref="H2:AD2"/>
    <mergeCell ref="C3:G3"/>
    <mergeCell ref="H3:J4"/>
    <mergeCell ref="K3:V3"/>
    <mergeCell ref="W3:Z4"/>
    <mergeCell ref="AA3:AD4"/>
    <mergeCell ref="S4:V4"/>
    <mergeCell ref="G4:G6"/>
    <mergeCell ref="K4:N4"/>
    <mergeCell ref="O4:R4"/>
    <mergeCell ref="I5:J5"/>
    <mergeCell ref="L5:N5"/>
    <mergeCell ref="P5:R5"/>
  </mergeCells>
  <conditionalFormatting sqref="F14:F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J14:J30 N14:N30 R14:R30 V14:V30 Z14:Z30 AD14:AD30 J32:J51 N32:N51 R32:R51 V32:V51 Z32:Z51 AD32:AD51 J53:J73 N53:N73 R53:R73 V53:V73 Z53:Z73 AD53:AD73 J75:J88 N75:N88 R75:R88 V75:V88 Z75:Z88 AD75:AD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L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20.5703125" customWidth="1"/>
    <col min="6" max="7" width="15.7109375" customWidth="1"/>
    <col min="8" max="9" width="14.28515625" customWidth="1"/>
    <col min="10" max="10" width="11.42578125" customWidth="1"/>
    <col min="11" max="12" width="28.42578125" customWidth="1"/>
  </cols>
  <sheetData>
    <row r="1" spans="1:12" ht="19.5" x14ac:dyDescent="0.3">
      <c r="A1" s="234" t="s">
        <v>0</v>
      </c>
      <c r="B1" s="114"/>
      <c r="C1" s="117"/>
      <c r="D1" s="117"/>
      <c r="E1" s="117"/>
      <c r="F1" s="117"/>
      <c r="G1" s="117"/>
      <c r="H1" s="114"/>
      <c r="I1" s="114"/>
      <c r="J1" s="116"/>
      <c r="K1" s="339"/>
      <c r="L1" s="339"/>
    </row>
    <row r="2" spans="1:12" ht="30" customHeight="1" x14ac:dyDescent="0.2">
      <c r="A2" s="692" t="s">
        <v>1</v>
      </c>
      <c r="B2" s="658"/>
      <c r="C2" s="689" t="s">
        <v>357</v>
      </c>
      <c r="D2" s="646"/>
      <c r="E2" s="646"/>
      <c r="F2" s="646"/>
      <c r="G2" s="647"/>
      <c r="H2" s="689" t="s">
        <v>29</v>
      </c>
      <c r="I2" s="646"/>
      <c r="J2" s="646"/>
      <c r="K2" s="646"/>
      <c r="L2" s="647"/>
    </row>
    <row r="3" spans="1:12" ht="30" customHeight="1" x14ac:dyDescent="0.2">
      <c r="A3" s="659"/>
      <c r="B3" s="660"/>
      <c r="C3" s="709" t="s">
        <v>5</v>
      </c>
      <c r="D3" s="646"/>
      <c r="E3" s="646"/>
      <c r="F3" s="646"/>
      <c r="G3" s="647"/>
      <c r="H3" s="687" t="s">
        <v>311</v>
      </c>
      <c r="I3" s="674"/>
      <c r="J3" s="658"/>
      <c r="K3" s="715"/>
      <c r="L3" s="647"/>
    </row>
    <row r="4" spans="1:12" ht="30" customHeight="1" x14ac:dyDescent="0.2">
      <c r="A4" s="659"/>
      <c r="B4" s="660"/>
      <c r="C4" s="782" t="s">
        <v>11</v>
      </c>
      <c r="D4" s="703" t="s">
        <v>12</v>
      </c>
      <c r="E4" s="783" t="s">
        <v>13</v>
      </c>
      <c r="F4" s="710" t="s">
        <v>14</v>
      </c>
      <c r="G4" s="710" t="s">
        <v>15</v>
      </c>
      <c r="H4" s="661"/>
      <c r="I4" s="675"/>
      <c r="J4" s="662"/>
      <c r="K4" s="828" t="s">
        <v>358</v>
      </c>
      <c r="L4" s="828" t="s">
        <v>359</v>
      </c>
    </row>
    <row r="5" spans="1:12" ht="30" customHeight="1" x14ac:dyDescent="0.2">
      <c r="A5" s="659"/>
      <c r="B5" s="660"/>
      <c r="C5" s="649"/>
      <c r="D5" s="649"/>
      <c r="E5" s="649"/>
      <c r="F5" s="649"/>
      <c r="G5" s="649"/>
      <c r="H5" s="119" t="s">
        <v>28</v>
      </c>
      <c r="I5" s="780" t="s">
        <v>29</v>
      </c>
      <c r="J5" s="647"/>
      <c r="K5" s="650"/>
      <c r="L5" s="650"/>
    </row>
    <row r="6" spans="1:12" ht="30" customHeight="1" x14ac:dyDescent="0.2">
      <c r="A6" s="661"/>
      <c r="B6" s="662"/>
      <c r="C6" s="650"/>
      <c r="D6" s="650"/>
      <c r="E6" s="650"/>
      <c r="F6" s="650"/>
      <c r="G6" s="650"/>
      <c r="H6" s="119" t="s">
        <v>140</v>
      </c>
      <c r="I6" s="180" t="s">
        <v>140</v>
      </c>
      <c r="J6" s="210" t="s">
        <v>31</v>
      </c>
      <c r="K6" s="613" t="s">
        <v>140</v>
      </c>
      <c r="L6" s="613" t="s">
        <v>140</v>
      </c>
    </row>
    <row r="7" spans="1:12" ht="19.5" x14ac:dyDescent="0.3">
      <c r="A7" s="694" t="s">
        <v>38</v>
      </c>
      <c r="B7" s="647"/>
      <c r="C7" s="463">
        <f t="shared" ref="C7:E7" ca="1" si="0">C8+C9</f>
        <v>1299100</v>
      </c>
      <c r="D7" s="462">
        <f t="shared" ca="1" si="0"/>
        <v>1299100</v>
      </c>
      <c r="E7" s="463">
        <f t="shared" ca="1" si="0"/>
        <v>950541.19</v>
      </c>
      <c r="F7" s="462">
        <f t="shared" ref="F7:F9" ca="1" si="1">IF(C7&gt;0,E7*100/C7,0)</f>
        <v>73.16920868293434</v>
      </c>
      <c r="G7" s="462">
        <f t="shared" ref="G7:G9" ca="1" si="2">IF(D7&gt;0,E7*100/D7,0)</f>
        <v>73.16920868293434</v>
      </c>
      <c r="H7" s="211">
        <f t="shared" ref="H7:I7" ca="1" si="3">H9</f>
        <v>1200000</v>
      </c>
      <c r="I7" s="212">
        <f t="shared" ca="1" si="3"/>
        <v>941067.42</v>
      </c>
      <c r="J7" s="213">
        <f t="shared" ref="J7:J9" ca="1" si="4">IF(H7&gt;0,I7*100/H7,0)</f>
        <v>78.422285000000002</v>
      </c>
      <c r="K7" s="614">
        <f t="shared" ref="K7:L7" ca="1" si="5">K9</f>
        <v>327211</v>
      </c>
      <c r="L7" s="614">
        <f t="shared" ca="1" si="5"/>
        <v>613856.42000000004</v>
      </c>
    </row>
    <row r="8" spans="1:12" ht="19.5" x14ac:dyDescent="0.3">
      <c r="A8" s="134" t="s">
        <v>39</v>
      </c>
      <c r="B8" s="135"/>
      <c r="C8" s="467">
        <f t="shared" ref="C8:E8" si="6">+C13+C31+C52+C74</f>
        <v>0</v>
      </c>
      <c r="D8" s="466">
        <f t="shared" si="6"/>
        <v>0</v>
      </c>
      <c r="E8" s="467">
        <f t="shared" si="6"/>
        <v>0</v>
      </c>
      <c r="F8" s="466">
        <f t="shared" si="1"/>
        <v>0</v>
      </c>
      <c r="G8" s="466">
        <f t="shared" si="2"/>
        <v>0</v>
      </c>
      <c r="H8" s="276">
        <f t="shared" ref="H8:I8" si="7">+H13+H31+H52+H74</f>
        <v>0</v>
      </c>
      <c r="I8" s="276">
        <f t="shared" si="7"/>
        <v>0</v>
      </c>
      <c r="J8" s="37">
        <f t="shared" si="4"/>
        <v>0</v>
      </c>
      <c r="K8" s="276">
        <f t="shared" ref="K8:L8" si="8">+K13+K31+K52+K74</f>
        <v>0</v>
      </c>
      <c r="L8" s="276">
        <f t="shared" si="8"/>
        <v>0</v>
      </c>
    </row>
    <row r="9" spans="1:12" ht="19.5" x14ac:dyDescent="0.3">
      <c r="A9" s="245" t="s">
        <v>40</v>
      </c>
      <c r="B9" s="468"/>
      <c r="C9" s="471">
        <f t="shared" ref="C9:E9" ca="1" si="9">+C89</f>
        <v>1299100</v>
      </c>
      <c r="D9" s="470">
        <f t="shared" ca="1" si="9"/>
        <v>1299100</v>
      </c>
      <c r="E9" s="471">
        <f t="shared" ca="1" si="9"/>
        <v>950541.19</v>
      </c>
      <c r="F9" s="470">
        <f t="shared" ca="1" si="1"/>
        <v>73.16920868293434</v>
      </c>
      <c r="G9" s="470">
        <f t="shared" ca="1" si="2"/>
        <v>73.16920868293434</v>
      </c>
      <c r="H9" s="248">
        <f ca="1">IFERROR(__xludf.DUMMYFUNCTION("IMPORTRANGE(""https://docs.google.com/spreadsheets/d/1W-HhGofCdyidljablT5AVQ143BAUWsE-bKbHVeok6Og/edit?usp=sharing"",""ทั้งประเทศ!I712"")"),1200000)</f>
        <v>1200000</v>
      </c>
      <c r="I9" s="248">
        <f ca="1">IFERROR(__xludf.DUMMYFUNCTION("IMPORTRANGE(""https://docs.google.com/spreadsheets/d/1W-HhGofCdyidljablT5AVQ143BAUWsE-bKbHVeok6Og/edit?usp=sharing"",""ทั้งประเทศ!J712"")"),941067.42)</f>
        <v>941067.42</v>
      </c>
      <c r="J9" s="470">
        <f t="shared" ca="1" si="4"/>
        <v>78.422285000000002</v>
      </c>
      <c r="K9" s="248">
        <f ca="1">IFERROR(__xludf.DUMMYFUNCTION("IMPORTRANGE(""https://docs.google.com/spreadsheets/d/1W-HhGofCdyidljablT5AVQ143BAUWsE-bKbHVeok6Og/edit?usp=sharing"",""ทั้งประเทศ!J724"")"),327211)</f>
        <v>327211</v>
      </c>
      <c r="L9" s="248">
        <f ca="1">IFERROR(__xludf.DUMMYFUNCTION("IMPORTRANGE(""https://docs.google.com/spreadsheets/d/1W-HhGofCdyidljablT5AVQ143BAUWsE-bKbHVeok6Og/edit?usp=sharing"",""ทั้งประเทศ!J725"")"),613856.42)</f>
        <v>613856.42000000004</v>
      </c>
    </row>
    <row r="10" spans="1:12" ht="12.75" hidden="1" x14ac:dyDescent="0.2">
      <c r="A10" s="142"/>
      <c r="B10" s="142"/>
      <c r="C10" s="195"/>
      <c r="D10" s="196"/>
      <c r="E10" s="195"/>
      <c r="F10" s="196"/>
      <c r="G10" s="196"/>
      <c r="H10" s="214"/>
      <c r="I10" s="214"/>
      <c r="J10" s="196"/>
      <c r="K10" s="214"/>
      <c r="L10" s="214"/>
    </row>
    <row r="11" spans="1:12" ht="12.75" hidden="1" x14ac:dyDescent="0.2">
      <c r="A11" s="142"/>
      <c r="B11" s="142"/>
      <c r="C11" s="195"/>
      <c r="D11" s="196"/>
      <c r="E11" s="195"/>
      <c r="F11" s="196"/>
      <c r="G11" s="196"/>
      <c r="H11" s="214"/>
      <c r="I11" s="214"/>
      <c r="J11" s="196"/>
      <c r="K11" s="214"/>
      <c r="L11" s="214"/>
    </row>
    <row r="12" spans="1:12" ht="19.5" hidden="1" x14ac:dyDescent="0.3">
      <c r="A12" s="142"/>
      <c r="B12" s="142"/>
      <c r="C12" s="195"/>
      <c r="D12" s="196"/>
      <c r="E12" s="195"/>
      <c r="F12" s="196"/>
      <c r="G12" s="196"/>
      <c r="H12" s="143"/>
      <c r="I12" s="143"/>
      <c r="J12" s="51"/>
      <c r="K12" s="143"/>
      <c r="L12" s="143"/>
    </row>
    <row r="13" spans="1:12" ht="19.5" x14ac:dyDescent="0.3">
      <c r="A13" s="747" t="s">
        <v>41</v>
      </c>
      <c r="B13" s="647"/>
      <c r="C13" s="467">
        <f t="shared" ref="C13:E13" si="10">SUM(C14:C30)</f>
        <v>0</v>
      </c>
      <c r="D13" s="466">
        <f t="shared" si="10"/>
        <v>0</v>
      </c>
      <c r="E13" s="467">
        <f t="shared" si="10"/>
        <v>0</v>
      </c>
      <c r="F13" s="466">
        <f>IF(C13&gt;0,E13*100/C13,0)</f>
        <v>0</v>
      </c>
      <c r="G13" s="466">
        <f>IF(D13&gt;0,E13*100/D13,0)</f>
        <v>0</v>
      </c>
      <c r="H13" s="276">
        <f t="shared" ref="H13:I13" si="11">SUM(H14:H30)</f>
        <v>0</v>
      </c>
      <c r="I13" s="276">
        <f t="shared" si="11"/>
        <v>0</v>
      </c>
      <c r="J13" s="37">
        <f t="shared" ref="J13:J88" si="12">IF(H13&gt;0,I13*100/H13,0)</f>
        <v>0</v>
      </c>
      <c r="K13" s="276">
        <f t="shared" ref="K13:L13" si="13">SUM(K14:K30)</f>
        <v>0</v>
      </c>
      <c r="L13" s="276">
        <f t="shared" si="13"/>
        <v>0</v>
      </c>
    </row>
    <row r="14" spans="1:12" ht="19.5" x14ac:dyDescent="0.3">
      <c r="A14" s="147">
        <v>1</v>
      </c>
      <c r="B14" s="148" t="s">
        <v>42</v>
      </c>
      <c r="C14" s="475">
        <v>0</v>
      </c>
      <c r="D14" s="260">
        <v>0</v>
      </c>
      <c r="E14" s="475">
        <v>0</v>
      </c>
      <c r="F14" s="260">
        <v>0</v>
      </c>
      <c r="G14" s="260">
        <v>0</v>
      </c>
      <c r="H14" s="279">
        <v>0</v>
      </c>
      <c r="I14" s="397">
        <v>0</v>
      </c>
      <c r="J14" s="216">
        <f t="shared" si="12"/>
        <v>0</v>
      </c>
      <c r="K14" s="397">
        <v>0</v>
      </c>
      <c r="L14" s="397">
        <v>0</v>
      </c>
    </row>
    <row r="15" spans="1:12" ht="19.5" x14ac:dyDescent="0.3">
      <c r="A15" s="147">
        <v>2</v>
      </c>
      <c r="B15" s="148" t="s">
        <v>43</v>
      </c>
      <c r="C15" s="475">
        <v>0</v>
      </c>
      <c r="D15" s="260">
        <v>0</v>
      </c>
      <c r="E15" s="475">
        <v>0</v>
      </c>
      <c r="F15" s="260">
        <v>0</v>
      </c>
      <c r="G15" s="260">
        <v>0</v>
      </c>
      <c r="H15" s="278">
        <v>0</v>
      </c>
      <c r="I15" s="152">
        <v>0</v>
      </c>
      <c r="J15" s="216">
        <f t="shared" si="12"/>
        <v>0</v>
      </c>
      <c r="K15" s="152">
        <v>0</v>
      </c>
      <c r="L15" s="152">
        <v>0</v>
      </c>
    </row>
    <row r="16" spans="1:12" ht="19.5" x14ac:dyDescent="0.3">
      <c r="A16" s="147">
        <v>3</v>
      </c>
      <c r="B16" s="148" t="s">
        <v>44</v>
      </c>
      <c r="C16" s="475">
        <v>0</v>
      </c>
      <c r="D16" s="260">
        <v>0</v>
      </c>
      <c r="E16" s="475">
        <v>0</v>
      </c>
      <c r="F16" s="260">
        <v>0</v>
      </c>
      <c r="G16" s="260">
        <v>0</v>
      </c>
      <c r="H16" s="279">
        <v>0</v>
      </c>
      <c r="I16" s="397">
        <v>0</v>
      </c>
      <c r="J16" s="216">
        <f t="shared" si="12"/>
        <v>0</v>
      </c>
      <c r="K16" s="397">
        <v>0</v>
      </c>
      <c r="L16" s="397">
        <v>0</v>
      </c>
    </row>
    <row r="17" spans="1:12" ht="19.5" x14ac:dyDescent="0.3">
      <c r="A17" s="147">
        <v>4</v>
      </c>
      <c r="B17" s="148" t="s">
        <v>45</v>
      </c>
      <c r="C17" s="475">
        <v>0</v>
      </c>
      <c r="D17" s="260">
        <v>0</v>
      </c>
      <c r="E17" s="475">
        <v>0</v>
      </c>
      <c r="F17" s="260">
        <v>0</v>
      </c>
      <c r="G17" s="260">
        <v>0</v>
      </c>
      <c r="H17" s="278">
        <v>0</v>
      </c>
      <c r="I17" s="152">
        <v>0</v>
      </c>
      <c r="J17" s="216">
        <f t="shared" si="12"/>
        <v>0</v>
      </c>
      <c r="K17" s="152">
        <v>0</v>
      </c>
      <c r="L17" s="152">
        <v>0</v>
      </c>
    </row>
    <row r="18" spans="1:12" ht="19.5" x14ac:dyDescent="0.3">
      <c r="A18" s="147">
        <v>5</v>
      </c>
      <c r="B18" s="148" t="s">
        <v>46</v>
      </c>
      <c r="C18" s="475">
        <v>0</v>
      </c>
      <c r="D18" s="260">
        <v>0</v>
      </c>
      <c r="E18" s="475">
        <v>0</v>
      </c>
      <c r="F18" s="260">
        <v>0</v>
      </c>
      <c r="G18" s="260">
        <v>0</v>
      </c>
      <c r="H18" s="278">
        <v>0</v>
      </c>
      <c r="I18" s="152">
        <v>0</v>
      </c>
      <c r="J18" s="216">
        <f t="shared" si="12"/>
        <v>0</v>
      </c>
      <c r="K18" s="152">
        <v>0</v>
      </c>
      <c r="L18" s="152">
        <v>0</v>
      </c>
    </row>
    <row r="19" spans="1:12" ht="19.5" x14ac:dyDescent="0.3">
      <c r="A19" s="147">
        <v>6</v>
      </c>
      <c r="B19" s="148" t="s">
        <v>47</v>
      </c>
      <c r="C19" s="475">
        <v>0</v>
      </c>
      <c r="D19" s="260">
        <v>0</v>
      </c>
      <c r="E19" s="475">
        <v>0</v>
      </c>
      <c r="F19" s="260">
        <v>0</v>
      </c>
      <c r="G19" s="260">
        <v>0</v>
      </c>
      <c r="H19" s="278">
        <v>0</v>
      </c>
      <c r="I19" s="152">
        <v>0</v>
      </c>
      <c r="J19" s="216">
        <f t="shared" si="12"/>
        <v>0</v>
      </c>
      <c r="K19" s="152">
        <v>0</v>
      </c>
      <c r="L19" s="152">
        <v>0</v>
      </c>
    </row>
    <row r="20" spans="1:12" ht="19.5" x14ac:dyDescent="0.3">
      <c r="A20" s="147">
        <v>7</v>
      </c>
      <c r="B20" s="148" t="s">
        <v>48</v>
      </c>
      <c r="C20" s="475">
        <v>0</v>
      </c>
      <c r="D20" s="260">
        <v>0</v>
      </c>
      <c r="E20" s="475">
        <v>0</v>
      </c>
      <c r="F20" s="260">
        <v>0</v>
      </c>
      <c r="G20" s="260">
        <v>0</v>
      </c>
      <c r="H20" s="278">
        <v>0</v>
      </c>
      <c r="I20" s="152">
        <v>0</v>
      </c>
      <c r="J20" s="216">
        <f t="shared" si="12"/>
        <v>0</v>
      </c>
      <c r="K20" s="152">
        <v>0</v>
      </c>
      <c r="L20" s="152">
        <v>0</v>
      </c>
    </row>
    <row r="21" spans="1:12" ht="19.5" x14ac:dyDescent="0.3">
      <c r="A21" s="147">
        <v>8</v>
      </c>
      <c r="B21" s="148" t="s">
        <v>49</v>
      </c>
      <c r="C21" s="475">
        <v>0</v>
      </c>
      <c r="D21" s="260">
        <v>0</v>
      </c>
      <c r="E21" s="475">
        <v>0</v>
      </c>
      <c r="F21" s="260">
        <v>0</v>
      </c>
      <c r="G21" s="260">
        <v>0</v>
      </c>
      <c r="H21" s="278">
        <v>0</v>
      </c>
      <c r="I21" s="152">
        <v>0</v>
      </c>
      <c r="J21" s="216">
        <f t="shared" si="12"/>
        <v>0</v>
      </c>
      <c r="K21" s="152">
        <v>0</v>
      </c>
      <c r="L21" s="152">
        <v>0</v>
      </c>
    </row>
    <row r="22" spans="1:12" ht="19.5" x14ac:dyDescent="0.3">
      <c r="A22" s="147">
        <v>9</v>
      </c>
      <c r="B22" s="148" t="s">
        <v>50</v>
      </c>
      <c r="C22" s="475">
        <v>0</v>
      </c>
      <c r="D22" s="260">
        <v>0</v>
      </c>
      <c r="E22" s="475">
        <v>0</v>
      </c>
      <c r="F22" s="260">
        <v>0</v>
      </c>
      <c r="G22" s="260">
        <v>0</v>
      </c>
      <c r="H22" s="278">
        <v>0</v>
      </c>
      <c r="I22" s="152">
        <v>0</v>
      </c>
      <c r="J22" s="216">
        <f t="shared" si="12"/>
        <v>0</v>
      </c>
      <c r="K22" s="152">
        <v>0</v>
      </c>
      <c r="L22" s="152">
        <v>0</v>
      </c>
    </row>
    <row r="23" spans="1:12" ht="19.5" x14ac:dyDescent="0.3">
      <c r="A23" s="147">
        <v>10</v>
      </c>
      <c r="B23" s="148" t="s">
        <v>51</v>
      </c>
      <c r="C23" s="475">
        <v>0</v>
      </c>
      <c r="D23" s="260">
        <v>0</v>
      </c>
      <c r="E23" s="475">
        <v>0</v>
      </c>
      <c r="F23" s="260">
        <v>0</v>
      </c>
      <c r="G23" s="260">
        <v>0</v>
      </c>
      <c r="H23" s="279">
        <v>0</v>
      </c>
      <c r="I23" s="397">
        <v>0</v>
      </c>
      <c r="J23" s="216">
        <f t="shared" si="12"/>
        <v>0</v>
      </c>
      <c r="K23" s="397">
        <v>0</v>
      </c>
      <c r="L23" s="397">
        <v>0</v>
      </c>
    </row>
    <row r="24" spans="1:12" ht="19.5" x14ac:dyDescent="0.3">
      <c r="A24" s="147">
        <v>11</v>
      </c>
      <c r="B24" s="148" t="s">
        <v>52</v>
      </c>
      <c r="C24" s="475">
        <v>0</v>
      </c>
      <c r="D24" s="260">
        <v>0</v>
      </c>
      <c r="E24" s="475">
        <v>0</v>
      </c>
      <c r="F24" s="260">
        <v>0</v>
      </c>
      <c r="G24" s="260">
        <v>0</v>
      </c>
      <c r="H24" s="278">
        <v>0</v>
      </c>
      <c r="I24" s="152">
        <v>0</v>
      </c>
      <c r="J24" s="216">
        <f t="shared" si="12"/>
        <v>0</v>
      </c>
      <c r="K24" s="152">
        <v>0</v>
      </c>
      <c r="L24" s="152">
        <v>0</v>
      </c>
    </row>
    <row r="25" spans="1:12" ht="19.5" x14ac:dyDescent="0.3">
      <c r="A25" s="147">
        <v>12</v>
      </c>
      <c r="B25" s="148" t="s">
        <v>53</v>
      </c>
      <c r="C25" s="475">
        <v>0</v>
      </c>
      <c r="D25" s="260">
        <v>0</v>
      </c>
      <c r="E25" s="475">
        <v>0</v>
      </c>
      <c r="F25" s="260">
        <v>0</v>
      </c>
      <c r="G25" s="260">
        <v>0</v>
      </c>
      <c r="H25" s="278">
        <v>0</v>
      </c>
      <c r="I25" s="152">
        <v>0</v>
      </c>
      <c r="J25" s="216">
        <f t="shared" si="12"/>
        <v>0</v>
      </c>
      <c r="K25" s="152">
        <v>0</v>
      </c>
      <c r="L25" s="152">
        <v>0</v>
      </c>
    </row>
    <row r="26" spans="1:12" ht="19.5" x14ac:dyDescent="0.3">
      <c r="A26" s="147">
        <v>13</v>
      </c>
      <c r="B26" s="148" t="s">
        <v>54</v>
      </c>
      <c r="C26" s="475">
        <v>0</v>
      </c>
      <c r="D26" s="260">
        <v>0</v>
      </c>
      <c r="E26" s="475">
        <v>0</v>
      </c>
      <c r="F26" s="260">
        <v>0</v>
      </c>
      <c r="G26" s="260">
        <v>0</v>
      </c>
      <c r="H26" s="279">
        <v>0</v>
      </c>
      <c r="I26" s="397">
        <v>0</v>
      </c>
      <c r="J26" s="216">
        <f t="shared" si="12"/>
        <v>0</v>
      </c>
      <c r="K26" s="397">
        <v>0</v>
      </c>
      <c r="L26" s="397">
        <v>0</v>
      </c>
    </row>
    <row r="27" spans="1:12" ht="19.5" x14ac:dyDescent="0.3">
      <c r="A27" s="147">
        <v>14</v>
      </c>
      <c r="B27" s="148" t="s">
        <v>55</v>
      </c>
      <c r="C27" s="475">
        <v>0</v>
      </c>
      <c r="D27" s="260">
        <v>0</v>
      </c>
      <c r="E27" s="475">
        <v>0</v>
      </c>
      <c r="F27" s="260">
        <v>0</v>
      </c>
      <c r="G27" s="260">
        <v>0</v>
      </c>
      <c r="H27" s="278">
        <v>0</v>
      </c>
      <c r="I27" s="152">
        <v>0</v>
      </c>
      <c r="J27" s="216">
        <f t="shared" si="12"/>
        <v>0</v>
      </c>
      <c r="K27" s="152">
        <v>0</v>
      </c>
      <c r="L27" s="152">
        <v>0</v>
      </c>
    </row>
    <row r="28" spans="1:12" ht="19.5" x14ac:dyDescent="0.3">
      <c r="A28" s="147">
        <v>15</v>
      </c>
      <c r="B28" s="148" t="s">
        <v>56</v>
      </c>
      <c r="C28" s="475">
        <v>0</v>
      </c>
      <c r="D28" s="260">
        <v>0</v>
      </c>
      <c r="E28" s="475">
        <v>0</v>
      </c>
      <c r="F28" s="260">
        <v>0</v>
      </c>
      <c r="G28" s="260">
        <v>0</v>
      </c>
      <c r="H28" s="278">
        <v>0</v>
      </c>
      <c r="I28" s="152">
        <v>0</v>
      </c>
      <c r="J28" s="216">
        <f t="shared" si="12"/>
        <v>0</v>
      </c>
      <c r="K28" s="152">
        <v>0</v>
      </c>
      <c r="L28" s="152">
        <v>0</v>
      </c>
    </row>
    <row r="29" spans="1:12" ht="19.5" x14ac:dyDescent="0.3">
      <c r="A29" s="147">
        <v>16</v>
      </c>
      <c r="B29" s="148" t="s">
        <v>57</v>
      </c>
      <c r="C29" s="475">
        <v>0</v>
      </c>
      <c r="D29" s="260">
        <v>0</v>
      </c>
      <c r="E29" s="475">
        <v>0</v>
      </c>
      <c r="F29" s="260">
        <v>0</v>
      </c>
      <c r="G29" s="260">
        <v>0</v>
      </c>
      <c r="H29" s="278">
        <v>0</v>
      </c>
      <c r="I29" s="152">
        <v>0</v>
      </c>
      <c r="J29" s="216">
        <f t="shared" si="12"/>
        <v>0</v>
      </c>
      <c r="K29" s="152">
        <v>0</v>
      </c>
      <c r="L29" s="152">
        <v>0</v>
      </c>
    </row>
    <row r="30" spans="1:12" ht="19.5" x14ac:dyDescent="0.3">
      <c r="A30" s="155">
        <v>17</v>
      </c>
      <c r="B30" s="156" t="s">
        <v>58</v>
      </c>
      <c r="C30" s="482">
        <v>0</v>
      </c>
      <c r="D30" s="481">
        <v>0</v>
      </c>
      <c r="E30" s="482">
        <v>0</v>
      </c>
      <c r="F30" s="481">
        <v>0</v>
      </c>
      <c r="G30" s="481">
        <v>0</v>
      </c>
      <c r="H30" s="280">
        <v>0</v>
      </c>
      <c r="I30" s="191">
        <v>0</v>
      </c>
      <c r="J30" s="218">
        <f t="shared" si="12"/>
        <v>0</v>
      </c>
      <c r="K30" s="191">
        <v>0</v>
      </c>
      <c r="L30" s="191">
        <v>0</v>
      </c>
    </row>
    <row r="31" spans="1:12" ht="19.5" x14ac:dyDescent="0.3">
      <c r="A31" s="784" t="s">
        <v>59</v>
      </c>
      <c r="B31" s="662"/>
      <c r="C31" s="486">
        <f t="shared" ref="C31:E31" si="14">SUM(C32:C51)</f>
        <v>0</v>
      </c>
      <c r="D31" s="485">
        <f t="shared" si="14"/>
        <v>0</v>
      </c>
      <c r="E31" s="486">
        <f t="shared" si="14"/>
        <v>0</v>
      </c>
      <c r="F31" s="485">
        <f>IF(C31&gt;0,E31*100/C31,0)</f>
        <v>0</v>
      </c>
      <c r="G31" s="485">
        <f>IF(D31&gt;0,E31*100/D31,0)</f>
        <v>0</v>
      </c>
      <c r="H31" s="409">
        <f t="shared" ref="H31:I31" si="15">SUM(H32:H51)</f>
        <v>0</v>
      </c>
      <c r="I31" s="407">
        <f t="shared" si="15"/>
        <v>0</v>
      </c>
      <c r="J31" s="405">
        <f t="shared" si="12"/>
        <v>0</v>
      </c>
      <c r="K31" s="407">
        <f t="shared" ref="K31:L31" si="16">SUM(K32:K51)</f>
        <v>0</v>
      </c>
      <c r="L31" s="407">
        <f t="shared" si="16"/>
        <v>0</v>
      </c>
    </row>
    <row r="32" spans="1:12" ht="19.5" x14ac:dyDescent="0.3">
      <c r="A32" s="147">
        <v>1</v>
      </c>
      <c r="B32" s="148" t="s">
        <v>60</v>
      </c>
      <c r="C32" s="475">
        <v>0</v>
      </c>
      <c r="D32" s="260">
        <v>0</v>
      </c>
      <c r="E32" s="475">
        <v>0</v>
      </c>
      <c r="F32" s="260">
        <v>0</v>
      </c>
      <c r="G32" s="260">
        <v>0</v>
      </c>
      <c r="H32" s="278">
        <v>0</v>
      </c>
      <c r="I32" s="152">
        <v>0</v>
      </c>
      <c r="J32" s="216">
        <f t="shared" si="12"/>
        <v>0</v>
      </c>
      <c r="K32" s="152">
        <v>0</v>
      </c>
      <c r="L32" s="152">
        <v>0</v>
      </c>
    </row>
    <row r="33" spans="1:12" ht="19.5" x14ac:dyDescent="0.3">
      <c r="A33" s="147">
        <v>2</v>
      </c>
      <c r="B33" s="148" t="s">
        <v>61</v>
      </c>
      <c r="C33" s="475">
        <v>0</v>
      </c>
      <c r="D33" s="260">
        <v>0</v>
      </c>
      <c r="E33" s="475">
        <v>0</v>
      </c>
      <c r="F33" s="260">
        <v>0</v>
      </c>
      <c r="G33" s="260">
        <v>0</v>
      </c>
      <c r="H33" s="278">
        <v>0</v>
      </c>
      <c r="I33" s="152">
        <v>0</v>
      </c>
      <c r="J33" s="216">
        <f t="shared" si="12"/>
        <v>0</v>
      </c>
      <c r="K33" s="152">
        <v>0</v>
      </c>
      <c r="L33" s="152">
        <v>0</v>
      </c>
    </row>
    <row r="34" spans="1:12" ht="19.5" x14ac:dyDescent="0.3">
      <c r="A34" s="147">
        <v>3</v>
      </c>
      <c r="B34" s="148" t="s">
        <v>62</v>
      </c>
      <c r="C34" s="475">
        <v>0</v>
      </c>
      <c r="D34" s="260">
        <v>0</v>
      </c>
      <c r="E34" s="475">
        <v>0</v>
      </c>
      <c r="F34" s="260">
        <v>0</v>
      </c>
      <c r="G34" s="260">
        <v>0</v>
      </c>
      <c r="H34" s="278">
        <v>0</v>
      </c>
      <c r="I34" s="152">
        <v>0</v>
      </c>
      <c r="J34" s="216">
        <f t="shared" si="12"/>
        <v>0</v>
      </c>
      <c r="K34" s="152">
        <v>0</v>
      </c>
      <c r="L34" s="152">
        <v>0</v>
      </c>
    </row>
    <row r="35" spans="1:12" ht="19.5" x14ac:dyDescent="0.3">
      <c r="A35" s="147">
        <v>4</v>
      </c>
      <c r="B35" s="148" t="s">
        <v>63</v>
      </c>
      <c r="C35" s="475">
        <v>0</v>
      </c>
      <c r="D35" s="260">
        <v>0</v>
      </c>
      <c r="E35" s="475">
        <v>0</v>
      </c>
      <c r="F35" s="260">
        <v>0</v>
      </c>
      <c r="G35" s="260">
        <v>0</v>
      </c>
      <c r="H35" s="278">
        <v>0</v>
      </c>
      <c r="I35" s="152">
        <v>0</v>
      </c>
      <c r="J35" s="216">
        <f t="shared" si="12"/>
        <v>0</v>
      </c>
      <c r="K35" s="152">
        <v>0</v>
      </c>
      <c r="L35" s="152">
        <v>0</v>
      </c>
    </row>
    <row r="36" spans="1:12" ht="19.5" x14ac:dyDescent="0.3">
      <c r="A36" s="147">
        <v>5</v>
      </c>
      <c r="B36" s="148" t="s">
        <v>64</v>
      </c>
      <c r="C36" s="475">
        <v>0</v>
      </c>
      <c r="D36" s="260">
        <v>0</v>
      </c>
      <c r="E36" s="475">
        <v>0</v>
      </c>
      <c r="F36" s="260">
        <v>0</v>
      </c>
      <c r="G36" s="260">
        <v>0</v>
      </c>
      <c r="H36" s="279">
        <v>0</v>
      </c>
      <c r="I36" s="397">
        <v>0</v>
      </c>
      <c r="J36" s="216">
        <f t="shared" si="12"/>
        <v>0</v>
      </c>
      <c r="K36" s="397">
        <v>0</v>
      </c>
      <c r="L36" s="397">
        <v>0</v>
      </c>
    </row>
    <row r="37" spans="1:12" ht="19.5" x14ac:dyDescent="0.3">
      <c r="A37" s="147">
        <v>6</v>
      </c>
      <c r="B37" s="148" t="s">
        <v>65</v>
      </c>
      <c r="C37" s="475">
        <v>0</v>
      </c>
      <c r="D37" s="260">
        <v>0</v>
      </c>
      <c r="E37" s="475">
        <v>0</v>
      </c>
      <c r="F37" s="260">
        <v>0</v>
      </c>
      <c r="G37" s="260">
        <v>0</v>
      </c>
      <c r="H37" s="278">
        <v>0</v>
      </c>
      <c r="I37" s="152">
        <v>0</v>
      </c>
      <c r="J37" s="216">
        <f t="shared" si="12"/>
        <v>0</v>
      </c>
      <c r="K37" s="152">
        <v>0</v>
      </c>
      <c r="L37" s="152">
        <v>0</v>
      </c>
    </row>
    <row r="38" spans="1:12" ht="19.5" x14ac:dyDescent="0.3">
      <c r="A38" s="147">
        <v>7</v>
      </c>
      <c r="B38" s="148" t="s">
        <v>66</v>
      </c>
      <c r="C38" s="475">
        <v>0</v>
      </c>
      <c r="D38" s="260">
        <v>0</v>
      </c>
      <c r="E38" s="475">
        <v>0</v>
      </c>
      <c r="F38" s="260">
        <v>0</v>
      </c>
      <c r="G38" s="260">
        <v>0</v>
      </c>
      <c r="H38" s="279">
        <v>0</v>
      </c>
      <c r="I38" s="397">
        <v>0</v>
      </c>
      <c r="J38" s="216">
        <f t="shared" si="12"/>
        <v>0</v>
      </c>
      <c r="K38" s="397">
        <v>0</v>
      </c>
      <c r="L38" s="397">
        <v>0</v>
      </c>
    </row>
    <row r="39" spans="1:12" ht="19.5" x14ac:dyDescent="0.3">
      <c r="A39" s="147">
        <v>8</v>
      </c>
      <c r="B39" s="148" t="s">
        <v>67</v>
      </c>
      <c r="C39" s="475">
        <v>0</v>
      </c>
      <c r="D39" s="260">
        <v>0</v>
      </c>
      <c r="E39" s="475">
        <v>0</v>
      </c>
      <c r="F39" s="260">
        <v>0</v>
      </c>
      <c r="G39" s="260">
        <v>0</v>
      </c>
      <c r="H39" s="278">
        <v>0</v>
      </c>
      <c r="I39" s="152">
        <v>0</v>
      </c>
      <c r="J39" s="216">
        <f t="shared" si="12"/>
        <v>0</v>
      </c>
      <c r="K39" s="152">
        <v>0</v>
      </c>
      <c r="L39" s="152">
        <v>0</v>
      </c>
    </row>
    <row r="40" spans="1:12" ht="19.5" x14ac:dyDescent="0.3">
      <c r="A40" s="147">
        <v>9</v>
      </c>
      <c r="B40" s="148" t="s">
        <v>68</v>
      </c>
      <c r="C40" s="475">
        <v>0</v>
      </c>
      <c r="D40" s="260">
        <v>0</v>
      </c>
      <c r="E40" s="475">
        <v>0</v>
      </c>
      <c r="F40" s="260">
        <v>0</v>
      </c>
      <c r="G40" s="260">
        <v>0</v>
      </c>
      <c r="H40" s="278">
        <v>0</v>
      </c>
      <c r="I40" s="152">
        <v>0</v>
      </c>
      <c r="J40" s="216">
        <f t="shared" si="12"/>
        <v>0</v>
      </c>
      <c r="K40" s="152">
        <v>0</v>
      </c>
      <c r="L40" s="152">
        <v>0</v>
      </c>
    </row>
    <row r="41" spans="1:12" ht="19.5" x14ac:dyDescent="0.3">
      <c r="A41" s="147">
        <v>10</v>
      </c>
      <c r="B41" s="148" t="s">
        <v>69</v>
      </c>
      <c r="C41" s="475">
        <v>0</v>
      </c>
      <c r="D41" s="260">
        <v>0</v>
      </c>
      <c r="E41" s="475">
        <v>0</v>
      </c>
      <c r="F41" s="260">
        <v>0</v>
      </c>
      <c r="G41" s="260">
        <v>0</v>
      </c>
      <c r="H41" s="279">
        <v>0</v>
      </c>
      <c r="I41" s="397">
        <v>0</v>
      </c>
      <c r="J41" s="216">
        <f t="shared" si="12"/>
        <v>0</v>
      </c>
      <c r="K41" s="397">
        <v>0</v>
      </c>
      <c r="L41" s="397">
        <v>0</v>
      </c>
    </row>
    <row r="42" spans="1:12" ht="19.5" x14ac:dyDescent="0.3">
      <c r="A42" s="147">
        <v>11</v>
      </c>
      <c r="B42" s="148" t="s">
        <v>70</v>
      </c>
      <c r="C42" s="475">
        <v>0</v>
      </c>
      <c r="D42" s="260">
        <v>0</v>
      </c>
      <c r="E42" s="475">
        <v>0</v>
      </c>
      <c r="F42" s="260">
        <v>0</v>
      </c>
      <c r="G42" s="260">
        <v>0</v>
      </c>
      <c r="H42" s="278">
        <v>0</v>
      </c>
      <c r="I42" s="152">
        <v>0</v>
      </c>
      <c r="J42" s="216">
        <f t="shared" si="12"/>
        <v>0</v>
      </c>
      <c r="K42" s="152">
        <v>0</v>
      </c>
      <c r="L42" s="152">
        <v>0</v>
      </c>
    </row>
    <row r="43" spans="1:12" ht="19.5" x14ac:dyDescent="0.3">
      <c r="A43" s="147">
        <v>12</v>
      </c>
      <c r="B43" s="148" t="s">
        <v>71</v>
      </c>
      <c r="C43" s="475">
        <v>0</v>
      </c>
      <c r="D43" s="260">
        <v>0</v>
      </c>
      <c r="E43" s="475">
        <v>0</v>
      </c>
      <c r="F43" s="260">
        <v>0</v>
      </c>
      <c r="G43" s="260">
        <v>0</v>
      </c>
      <c r="H43" s="278">
        <v>0</v>
      </c>
      <c r="I43" s="152">
        <v>0</v>
      </c>
      <c r="J43" s="216">
        <f t="shared" si="12"/>
        <v>0</v>
      </c>
      <c r="K43" s="152">
        <v>0</v>
      </c>
      <c r="L43" s="152">
        <v>0</v>
      </c>
    </row>
    <row r="44" spans="1:12" ht="19.5" x14ac:dyDescent="0.3">
      <c r="A44" s="147">
        <v>13</v>
      </c>
      <c r="B44" s="148" t="s">
        <v>72</v>
      </c>
      <c r="C44" s="475">
        <v>0</v>
      </c>
      <c r="D44" s="260">
        <v>0</v>
      </c>
      <c r="E44" s="475">
        <v>0</v>
      </c>
      <c r="F44" s="260">
        <v>0</v>
      </c>
      <c r="G44" s="260">
        <v>0</v>
      </c>
      <c r="H44" s="278">
        <v>0</v>
      </c>
      <c r="I44" s="152">
        <v>0</v>
      </c>
      <c r="J44" s="216">
        <f t="shared" si="12"/>
        <v>0</v>
      </c>
      <c r="K44" s="152">
        <v>0</v>
      </c>
      <c r="L44" s="152">
        <v>0</v>
      </c>
    </row>
    <row r="45" spans="1:12" ht="19.5" x14ac:dyDescent="0.3">
      <c r="A45" s="147">
        <v>14</v>
      </c>
      <c r="B45" s="148" t="s">
        <v>73</v>
      </c>
      <c r="C45" s="475">
        <v>0</v>
      </c>
      <c r="D45" s="260">
        <v>0</v>
      </c>
      <c r="E45" s="475">
        <v>0</v>
      </c>
      <c r="F45" s="260">
        <v>0</v>
      </c>
      <c r="G45" s="260">
        <v>0</v>
      </c>
      <c r="H45" s="278">
        <v>0</v>
      </c>
      <c r="I45" s="152">
        <v>0</v>
      </c>
      <c r="J45" s="216">
        <f t="shared" si="12"/>
        <v>0</v>
      </c>
      <c r="K45" s="152">
        <v>0</v>
      </c>
      <c r="L45" s="152">
        <v>0</v>
      </c>
    </row>
    <row r="46" spans="1:12" ht="19.5" x14ac:dyDescent="0.3">
      <c r="A46" s="147">
        <v>15</v>
      </c>
      <c r="B46" s="148" t="s">
        <v>74</v>
      </c>
      <c r="C46" s="475">
        <v>0</v>
      </c>
      <c r="D46" s="260">
        <v>0</v>
      </c>
      <c r="E46" s="475">
        <v>0</v>
      </c>
      <c r="F46" s="260">
        <v>0</v>
      </c>
      <c r="G46" s="260">
        <v>0</v>
      </c>
      <c r="H46" s="278">
        <v>0</v>
      </c>
      <c r="I46" s="152">
        <v>0</v>
      </c>
      <c r="J46" s="216">
        <f t="shared" si="12"/>
        <v>0</v>
      </c>
      <c r="K46" s="152">
        <v>0</v>
      </c>
      <c r="L46" s="152">
        <v>0</v>
      </c>
    </row>
    <row r="47" spans="1:12" ht="19.5" x14ac:dyDescent="0.3">
      <c r="A47" s="147">
        <v>16</v>
      </c>
      <c r="B47" s="148" t="s">
        <v>75</v>
      </c>
      <c r="C47" s="475">
        <v>0</v>
      </c>
      <c r="D47" s="260">
        <v>0</v>
      </c>
      <c r="E47" s="475">
        <v>0</v>
      </c>
      <c r="F47" s="260">
        <v>0</v>
      </c>
      <c r="G47" s="260">
        <v>0</v>
      </c>
      <c r="H47" s="279">
        <v>0</v>
      </c>
      <c r="I47" s="397">
        <v>0</v>
      </c>
      <c r="J47" s="216">
        <f t="shared" si="12"/>
        <v>0</v>
      </c>
      <c r="K47" s="397">
        <v>0</v>
      </c>
      <c r="L47" s="397">
        <v>0</v>
      </c>
    </row>
    <row r="48" spans="1:12" ht="19.5" x14ac:dyDescent="0.3">
      <c r="A48" s="147">
        <v>17</v>
      </c>
      <c r="B48" s="148" t="s">
        <v>76</v>
      </c>
      <c r="C48" s="475">
        <v>0</v>
      </c>
      <c r="D48" s="260">
        <v>0</v>
      </c>
      <c r="E48" s="475">
        <v>0</v>
      </c>
      <c r="F48" s="260">
        <v>0</v>
      </c>
      <c r="G48" s="260">
        <v>0</v>
      </c>
      <c r="H48" s="278">
        <v>0</v>
      </c>
      <c r="I48" s="152">
        <v>0</v>
      </c>
      <c r="J48" s="216">
        <f t="shared" si="12"/>
        <v>0</v>
      </c>
      <c r="K48" s="152">
        <v>0</v>
      </c>
      <c r="L48" s="152">
        <v>0</v>
      </c>
    </row>
    <row r="49" spans="1:12" ht="19.5" x14ac:dyDescent="0.3">
      <c r="A49" s="147">
        <v>18</v>
      </c>
      <c r="B49" s="148" t="s">
        <v>77</v>
      </c>
      <c r="C49" s="475">
        <v>0</v>
      </c>
      <c r="D49" s="260">
        <v>0</v>
      </c>
      <c r="E49" s="475">
        <v>0</v>
      </c>
      <c r="F49" s="260">
        <v>0</v>
      </c>
      <c r="G49" s="260">
        <v>0</v>
      </c>
      <c r="H49" s="278">
        <v>0</v>
      </c>
      <c r="I49" s="152">
        <v>0</v>
      </c>
      <c r="J49" s="216">
        <f t="shared" si="12"/>
        <v>0</v>
      </c>
      <c r="K49" s="152">
        <v>0</v>
      </c>
      <c r="L49" s="152">
        <v>0</v>
      </c>
    </row>
    <row r="50" spans="1:12" ht="19.5" x14ac:dyDescent="0.3">
      <c r="A50" s="147">
        <v>19</v>
      </c>
      <c r="B50" s="148" t="s">
        <v>78</v>
      </c>
      <c r="C50" s="475">
        <v>0</v>
      </c>
      <c r="D50" s="260">
        <v>0</v>
      </c>
      <c r="E50" s="475">
        <v>0</v>
      </c>
      <c r="F50" s="260">
        <v>0</v>
      </c>
      <c r="G50" s="260">
        <v>0</v>
      </c>
      <c r="H50" s="278">
        <v>0</v>
      </c>
      <c r="I50" s="152">
        <v>0</v>
      </c>
      <c r="J50" s="216">
        <f t="shared" si="12"/>
        <v>0</v>
      </c>
      <c r="K50" s="152">
        <v>0</v>
      </c>
      <c r="L50" s="152">
        <v>0</v>
      </c>
    </row>
    <row r="51" spans="1:12" ht="19.5" x14ac:dyDescent="0.3">
      <c r="A51" s="155">
        <v>20</v>
      </c>
      <c r="B51" s="156" t="s">
        <v>79</v>
      </c>
      <c r="C51" s="482">
        <v>0</v>
      </c>
      <c r="D51" s="481">
        <v>0</v>
      </c>
      <c r="E51" s="482">
        <v>0</v>
      </c>
      <c r="F51" s="481">
        <v>0</v>
      </c>
      <c r="G51" s="481">
        <v>0</v>
      </c>
      <c r="H51" s="280">
        <v>0</v>
      </c>
      <c r="I51" s="191">
        <v>0</v>
      </c>
      <c r="J51" s="218">
        <f t="shared" si="12"/>
        <v>0</v>
      </c>
      <c r="K51" s="191">
        <v>0</v>
      </c>
      <c r="L51" s="191">
        <v>0</v>
      </c>
    </row>
    <row r="52" spans="1:12" ht="19.5" x14ac:dyDescent="0.3">
      <c r="A52" s="785" t="s">
        <v>80</v>
      </c>
      <c r="B52" s="662"/>
      <c r="C52" s="486">
        <f t="shared" ref="C52:E52" si="17">SUM(C53:C73)</f>
        <v>0</v>
      </c>
      <c r="D52" s="485">
        <f t="shared" si="17"/>
        <v>0</v>
      </c>
      <c r="E52" s="486">
        <f t="shared" si="17"/>
        <v>0</v>
      </c>
      <c r="F52" s="485">
        <f>IF(C52&gt;0,E52*100/C52,0)</f>
        <v>0</v>
      </c>
      <c r="G52" s="485">
        <f>IF(D52&gt;0,E52*100/D52,0)</f>
        <v>0</v>
      </c>
      <c r="H52" s="409">
        <f t="shared" ref="H52:I52" si="18">SUM(H53:H73)</f>
        <v>0</v>
      </c>
      <c r="I52" s="407">
        <f t="shared" si="18"/>
        <v>0</v>
      </c>
      <c r="J52" s="405">
        <f t="shared" si="12"/>
        <v>0</v>
      </c>
      <c r="K52" s="407">
        <f t="shared" ref="K52:L52" si="19">SUM(K53:K73)</f>
        <v>0</v>
      </c>
      <c r="L52" s="407">
        <f t="shared" si="19"/>
        <v>0</v>
      </c>
    </row>
    <row r="53" spans="1:12" ht="19.5" x14ac:dyDescent="0.3">
      <c r="A53" s="147">
        <v>1</v>
      </c>
      <c r="B53" s="148" t="s">
        <v>81</v>
      </c>
      <c r="C53" s="475">
        <v>0</v>
      </c>
      <c r="D53" s="260">
        <v>0</v>
      </c>
      <c r="E53" s="475">
        <v>0</v>
      </c>
      <c r="F53" s="260">
        <v>0</v>
      </c>
      <c r="G53" s="260">
        <v>0</v>
      </c>
      <c r="H53" s="278">
        <v>0</v>
      </c>
      <c r="I53" s="152">
        <v>0</v>
      </c>
      <c r="J53" s="216">
        <f t="shared" si="12"/>
        <v>0</v>
      </c>
      <c r="K53" s="152">
        <v>0</v>
      </c>
      <c r="L53" s="152">
        <v>0</v>
      </c>
    </row>
    <row r="54" spans="1:12" ht="19.5" x14ac:dyDescent="0.3">
      <c r="A54" s="147">
        <v>2</v>
      </c>
      <c r="B54" s="148" t="s">
        <v>82</v>
      </c>
      <c r="C54" s="475">
        <v>0</v>
      </c>
      <c r="D54" s="260">
        <v>0</v>
      </c>
      <c r="E54" s="475">
        <v>0</v>
      </c>
      <c r="F54" s="260">
        <v>0</v>
      </c>
      <c r="G54" s="260">
        <v>0</v>
      </c>
      <c r="H54" s="278">
        <v>0</v>
      </c>
      <c r="I54" s="152">
        <v>0</v>
      </c>
      <c r="J54" s="216">
        <f t="shared" si="12"/>
        <v>0</v>
      </c>
      <c r="K54" s="152">
        <v>0</v>
      </c>
      <c r="L54" s="152">
        <v>0</v>
      </c>
    </row>
    <row r="55" spans="1:12" ht="19.5" x14ac:dyDescent="0.3">
      <c r="A55" s="147">
        <v>3</v>
      </c>
      <c r="B55" s="148" t="s">
        <v>83</v>
      </c>
      <c r="C55" s="475">
        <v>0</v>
      </c>
      <c r="D55" s="260">
        <v>0</v>
      </c>
      <c r="E55" s="475">
        <v>0</v>
      </c>
      <c r="F55" s="260">
        <v>0</v>
      </c>
      <c r="G55" s="260">
        <v>0</v>
      </c>
      <c r="H55" s="278">
        <v>0</v>
      </c>
      <c r="I55" s="152">
        <v>0</v>
      </c>
      <c r="J55" s="216">
        <f t="shared" si="12"/>
        <v>0</v>
      </c>
      <c r="K55" s="152">
        <v>0</v>
      </c>
      <c r="L55" s="152">
        <v>0</v>
      </c>
    </row>
    <row r="56" spans="1:12" ht="19.5" x14ac:dyDescent="0.3">
      <c r="A56" s="147">
        <v>4</v>
      </c>
      <c r="B56" s="148" t="s">
        <v>84</v>
      </c>
      <c r="C56" s="475">
        <v>0</v>
      </c>
      <c r="D56" s="260">
        <v>0</v>
      </c>
      <c r="E56" s="475">
        <v>0</v>
      </c>
      <c r="F56" s="260">
        <v>0</v>
      </c>
      <c r="G56" s="260">
        <v>0</v>
      </c>
      <c r="H56" s="278">
        <v>0</v>
      </c>
      <c r="I56" s="152">
        <v>0</v>
      </c>
      <c r="J56" s="216">
        <f t="shared" si="12"/>
        <v>0</v>
      </c>
      <c r="K56" s="152">
        <v>0</v>
      </c>
      <c r="L56" s="152">
        <v>0</v>
      </c>
    </row>
    <row r="57" spans="1:12" ht="19.5" x14ac:dyDescent="0.3">
      <c r="A57" s="147">
        <v>5</v>
      </c>
      <c r="B57" s="148" t="s">
        <v>85</v>
      </c>
      <c r="C57" s="475">
        <v>0</v>
      </c>
      <c r="D57" s="260">
        <v>0</v>
      </c>
      <c r="E57" s="475">
        <v>0</v>
      </c>
      <c r="F57" s="260">
        <v>0</v>
      </c>
      <c r="G57" s="260">
        <v>0</v>
      </c>
      <c r="H57" s="278">
        <v>0</v>
      </c>
      <c r="I57" s="152">
        <v>0</v>
      </c>
      <c r="J57" s="216">
        <f t="shared" si="12"/>
        <v>0</v>
      </c>
      <c r="K57" s="152">
        <v>0</v>
      </c>
      <c r="L57" s="152">
        <v>0</v>
      </c>
    </row>
    <row r="58" spans="1:12" ht="19.5" x14ac:dyDescent="0.3">
      <c r="A58" s="147">
        <v>6</v>
      </c>
      <c r="B58" s="148" t="s">
        <v>86</v>
      </c>
      <c r="C58" s="475">
        <v>0</v>
      </c>
      <c r="D58" s="260">
        <v>0</v>
      </c>
      <c r="E58" s="475">
        <v>0</v>
      </c>
      <c r="F58" s="260">
        <v>0</v>
      </c>
      <c r="G58" s="260">
        <v>0</v>
      </c>
      <c r="H58" s="278">
        <v>0</v>
      </c>
      <c r="I58" s="152">
        <v>0</v>
      </c>
      <c r="J58" s="216">
        <f t="shared" si="12"/>
        <v>0</v>
      </c>
      <c r="K58" s="152">
        <v>0</v>
      </c>
      <c r="L58" s="152">
        <v>0</v>
      </c>
    </row>
    <row r="59" spans="1:12" ht="19.5" x14ac:dyDescent="0.3">
      <c r="A59" s="147">
        <v>7</v>
      </c>
      <c r="B59" s="148" t="s">
        <v>87</v>
      </c>
      <c r="C59" s="475">
        <v>0</v>
      </c>
      <c r="D59" s="260">
        <v>0</v>
      </c>
      <c r="E59" s="475">
        <v>0</v>
      </c>
      <c r="F59" s="260">
        <v>0</v>
      </c>
      <c r="G59" s="260">
        <v>0</v>
      </c>
      <c r="H59" s="278">
        <v>0</v>
      </c>
      <c r="I59" s="152">
        <v>0</v>
      </c>
      <c r="J59" s="216">
        <f t="shared" si="12"/>
        <v>0</v>
      </c>
      <c r="K59" s="152">
        <v>0</v>
      </c>
      <c r="L59" s="152">
        <v>0</v>
      </c>
    </row>
    <row r="60" spans="1:12" ht="19.5" x14ac:dyDescent="0.3">
      <c r="A60" s="147">
        <v>8</v>
      </c>
      <c r="B60" s="148" t="s">
        <v>88</v>
      </c>
      <c r="C60" s="475">
        <v>0</v>
      </c>
      <c r="D60" s="260">
        <v>0</v>
      </c>
      <c r="E60" s="475">
        <v>0</v>
      </c>
      <c r="F60" s="260">
        <v>0</v>
      </c>
      <c r="G60" s="260">
        <v>0</v>
      </c>
      <c r="H60" s="278">
        <v>0</v>
      </c>
      <c r="I60" s="152">
        <v>0</v>
      </c>
      <c r="J60" s="216">
        <f t="shared" si="12"/>
        <v>0</v>
      </c>
      <c r="K60" s="152">
        <v>0</v>
      </c>
      <c r="L60" s="152">
        <v>0</v>
      </c>
    </row>
    <row r="61" spans="1:12" ht="19.5" x14ac:dyDescent="0.3">
      <c r="A61" s="147">
        <v>9</v>
      </c>
      <c r="B61" s="148" t="s">
        <v>89</v>
      </c>
      <c r="C61" s="475">
        <v>0</v>
      </c>
      <c r="D61" s="260">
        <v>0</v>
      </c>
      <c r="E61" s="475">
        <v>0</v>
      </c>
      <c r="F61" s="260">
        <v>0</v>
      </c>
      <c r="G61" s="260">
        <v>0</v>
      </c>
      <c r="H61" s="278">
        <v>0</v>
      </c>
      <c r="I61" s="152">
        <v>0</v>
      </c>
      <c r="J61" s="216">
        <f t="shared" si="12"/>
        <v>0</v>
      </c>
      <c r="K61" s="152">
        <v>0</v>
      </c>
      <c r="L61" s="152">
        <v>0</v>
      </c>
    </row>
    <row r="62" spans="1:12" ht="19.5" x14ac:dyDescent="0.3">
      <c r="A62" s="147">
        <v>10</v>
      </c>
      <c r="B62" s="148" t="s">
        <v>90</v>
      </c>
      <c r="C62" s="475">
        <v>0</v>
      </c>
      <c r="D62" s="260">
        <v>0</v>
      </c>
      <c r="E62" s="475">
        <v>0</v>
      </c>
      <c r="F62" s="260">
        <v>0</v>
      </c>
      <c r="G62" s="260">
        <v>0</v>
      </c>
      <c r="H62" s="278">
        <v>0</v>
      </c>
      <c r="I62" s="152">
        <v>0</v>
      </c>
      <c r="J62" s="216">
        <f t="shared" si="12"/>
        <v>0</v>
      </c>
      <c r="K62" s="152">
        <v>0</v>
      </c>
      <c r="L62" s="152">
        <v>0</v>
      </c>
    </row>
    <row r="63" spans="1:12" ht="19.5" x14ac:dyDescent="0.3">
      <c r="A63" s="147">
        <v>11</v>
      </c>
      <c r="B63" s="148" t="s">
        <v>91</v>
      </c>
      <c r="C63" s="475">
        <v>0</v>
      </c>
      <c r="D63" s="260">
        <v>0</v>
      </c>
      <c r="E63" s="475">
        <v>0</v>
      </c>
      <c r="F63" s="260">
        <v>0</v>
      </c>
      <c r="G63" s="260">
        <v>0</v>
      </c>
      <c r="H63" s="278">
        <v>0</v>
      </c>
      <c r="I63" s="152">
        <v>0</v>
      </c>
      <c r="J63" s="216">
        <f t="shared" si="12"/>
        <v>0</v>
      </c>
      <c r="K63" s="152">
        <v>0</v>
      </c>
      <c r="L63" s="152">
        <v>0</v>
      </c>
    </row>
    <row r="64" spans="1:12" ht="19.5" x14ac:dyDescent="0.3">
      <c r="A64" s="147">
        <v>12</v>
      </c>
      <c r="B64" s="148" t="s">
        <v>92</v>
      </c>
      <c r="C64" s="475">
        <v>0</v>
      </c>
      <c r="D64" s="260">
        <v>0</v>
      </c>
      <c r="E64" s="475">
        <v>0</v>
      </c>
      <c r="F64" s="260">
        <v>0</v>
      </c>
      <c r="G64" s="260">
        <v>0</v>
      </c>
      <c r="H64" s="278">
        <v>0</v>
      </c>
      <c r="I64" s="152">
        <v>0</v>
      </c>
      <c r="J64" s="216">
        <f t="shared" si="12"/>
        <v>0</v>
      </c>
      <c r="K64" s="152">
        <v>0</v>
      </c>
      <c r="L64" s="152">
        <v>0</v>
      </c>
    </row>
    <row r="65" spans="1:12" ht="19.5" x14ac:dyDescent="0.3">
      <c r="A65" s="147">
        <v>13</v>
      </c>
      <c r="B65" s="148" t="s">
        <v>93</v>
      </c>
      <c r="C65" s="475">
        <v>0</v>
      </c>
      <c r="D65" s="260">
        <v>0</v>
      </c>
      <c r="E65" s="475">
        <v>0</v>
      </c>
      <c r="F65" s="260">
        <v>0</v>
      </c>
      <c r="G65" s="260">
        <v>0</v>
      </c>
      <c r="H65" s="278">
        <v>0</v>
      </c>
      <c r="I65" s="152">
        <v>0</v>
      </c>
      <c r="J65" s="216">
        <f t="shared" si="12"/>
        <v>0</v>
      </c>
      <c r="K65" s="152">
        <v>0</v>
      </c>
      <c r="L65" s="152">
        <v>0</v>
      </c>
    </row>
    <row r="66" spans="1:12" ht="19.5" x14ac:dyDescent="0.3">
      <c r="A66" s="147">
        <v>14</v>
      </c>
      <c r="B66" s="148" t="s">
        <v>94</v>
      </c>
      <c r="C66" s="475">
        <v>0</v>
      </c>
      <c r="D66" s="260">
        <v>0</v>
      </c>
      <c r="E66" s="475">
        <v>0</v>
      </c>
      <c r="F66" s="260">
        <v>0</v>
      </c>
      <c r="G66" s="260">
        <v>0</v>
      </c>
      <c r="H66" s="278">
        <v>0</v>
      </c>
      <c r="I66" s="152">
        <v>0</v>
      </c>
      <c r="J66" s="216">
        <f t="shared" si="12"/>
        <v>0</v>
      </c>
      <c r="K66" s="152">
        <v>0</v>
      </c>
      <c r="L66" s="152">
        <v>0</v>
      </c>
    </row>
    <row r="67" spans="1:12" ht="19.5" x14ac:dyDescent="0.3">
      <c r="A67" s="147">
        <v>15</v>
      </c>
      <c r="B67" s="148" t="s">
        <v>95</v>
      </c>
      <c r="C67" s="475">
        <v>0</v>
      </c>
      <c r="D67" s="260">
        <v>0</v>
      </c>
      <c r="E67" s="475">
        <v>0</v>
      </c>
      <c r="F67" s="260">
        <v>0</v>
      </c>
      <c r="G67" s="260">
        <v>0</v>
      </c>
      <c r="H67" s="278">
        <v>0</v>
      </c>
      <c r="I67" s="152">
        <v>0</v>
      </c>
      <c r="J67" s="216">
        <f t="shared" si="12"/>
        <v>0</v>
      </c>
      <c r="K67" s="152">
        <v>0</v>
      </c>
      <c r="L67" s="152">
        <v>0</v>
      </c>
    </row>
    <row r="68" spans="1:12" ht="19.5" x14ac:dyDescent="0.3">
      <c r="A68" s="147">
        <v>16</v>
      </c>
      <c r="B68" s="148" t="s">
        <v>96</v>
      </c>
      <c r="C68" s="475">
        <v>0</v>
      </c>
      <c r="D68" s="260">
        <v>0</v>
      </c>
      <c r="E68" s="475">
        <v>0</v>
      </c>
      <c r="F68" s="260">
        <v>0</v>
      </c>
      <c r="G68" s="260">
        <v>0</v>
      </c>
      <c r="H68" s="278">
        <v>0</v>
      </c>
      <c r="I68" s="152">
        <v>0</v>
      </c>
      <c r="J68" s="216">
        <f t="shared" si="12"/>
        <v>0</v>
      </c>
      <c r="K68" s="152">
        <v>0</v>
      </c>
      <c r="L68" s="152">
        <v>0</v>
      </c>
    </row>
    <row r="69" spans="1:12" ht="19.5" x14ac:dyDescent="0.3">
      <c r="A69" s="147">
        <v>17</v>
      </c>
      <c r="B69" s="148" t="s">
        <v>97</v>
      </c>
      <c r="C69" s="475">
        <v>0</v>
      </c>
      <c r="D69" s="260">
        <v>0</v>
      </c>
      <c r="E69" s="475">
        <v>0</v>
      </c>
      <c r="F69" s="260">
        <v>0</v>
      </c>
      <c r="G69" s="260">
        <v>0</v>
      </c>
      <c r="H69" s="278">
        <v>0</v>
      </c>
      <c r="I69" s="152">
        <v>0</v>
      </c>
      <c r="J69" s="216">
        <f t="shared" si="12"/>
        <v>0</v>
      </c>
      <c r="K69" s="152">
        <v>0</v>
      </c>
      <c r="L69" s="152">
        <v>0</v>
      </c>
    </row>
    <row r="70" spans="1:12" ht="19.5" x14ac:dyDescent="0.3">
      <c r="A70" s="147">
        <v>18</v>
      </c>
      <c r="B70" s="148" t="s">
        <v>98</v>
      </c>
      <c r="C70" s="475">
        <v>0</v>
      </c>
      <c r="D70" s="260">
        <v>0</v>
      </c>
      <c r="E70" s="475">
        <v>0</v>
      </c>
      <c r="F70" s="260">
        <v>0</v>
      </c>
      <c r="G70" s="260">
        <v>0</v>
      </c>
      <c r="H70" s="278">
        <v>0</v>
      </c>
      <c r="I70" s="152">
        <v>0</v>
      </c>
      <c r="J70" s="216">
        <f t="shared" si="12"/>
        <v>0</v>
      </c>
      <c r="K70" s="152">
        <v>0</v>
      </c>
      <c r="L70" s="152">
        <v>0</v>
      </c>
    </row>
    <row r="71" spans="1:12" ht="19.5" x14ac:dyDescent="0.3">
      <c r="A71" s="147">
        <v>19</v>
      </c>
      <c r="B71" s="148" t="s">
        <v>99</v>
      </c>
      <c r="C71" s="475">
        <v>0</v>
      </c>
      <c r="D71" s="260">
        <v>0</v>
      </c>
      <c r="E71" s="475">
        <v>0</v>
      </c>
      <c r="F71" s="260">
        <v>0</v>
      </c>
      <c r="G71" s="260">
        <v>0</v>
      </c>
      <c r="H71" s="278">
        <v>0</v>
      </c>
      <c r="I71" s="152">
        <v>0</v>
      </c>
      <c r="J71" s="216">
        <f t="shared" si="12"/>
        <v>0</v>
      </c>
      <c r="K71" s="152">
        <v>0</v>
      </c>
      <c r="L71" s="152">
        <v>0</v>
      </c>
    </row>
    <row r="72" spans="1:12" ht="19.5" x14ac:dyDescent="0.3">
      <c r="A72" s="147">
        <v>20</v>
      </c>
      <c r="B72" s="148" t="s">
        <v>100</v>
      </c>
      <c r="C72" s="475">
        <v>0</v>
      </c>
      <c r="D72" s="260">
        <v>0</v>
      </c>
      <c r="E72" s="475">
        <v>0</v>
      </c>
      <c r="F72" s="260">
        <v>0</v>
      </c>
      <c r="G72" s="260">
        <v>0</v>
      </c>
      <c r="H72" s="278">
        <v>0</v>
      </c>
      <c r="I72" s="152">
        <v>0</v>
      </c>
      <c r="J72" s="216">
        <f t="shared" si="12"/>
        <v>0</v>
      </c>
      <c r="K72" s="152">
        <v>0</v>
      </c>
      <c r="L72" s="152">
        <v>0</v>
      </c>
    </row>
    <row r="73" spans="1:12" ht="19.5" x14ac:dyDescent="0.3">
      <c r="A73" s="155">
        <v>21</v>
      </c>
      <c r="B73" s="156" t="s">
        <v>101</v>
      </c>
      <c r="C73" s="482">
        <v>0</v>
      </c>
      <c r="D73" s="481">
        <v>0</v>
      </c>
      <c r="E73" s="482">
        <v>0</v>
      </c>
      <c r="F73" s="481">
        <v>0</v>
      </c>
      <c r="G73" s="481">
        <v>0</v>
      </c>
      <c r="H73" s="487">
        <v>0</v>
      </c>
      <c r="I73" s="488">
        <v>0</v>
      </c>
      <c r="J73" s="218">
        <f t="shared" si="12"/>
        <v>0</v>
      </c>
      <c r="K73" s="488">
        <v>0</v>
      </c>
      <c r="L73" s="488">
        <v>0</v>
      </c>
    </row>
    <row r="74" spans="1:12" ht="19.5" x14ac:dyDescent="0.3">
      <c r="A74" s="784" t="s">
        <v>102</v>
      </c>
      <c r="B74" s="662"/>
      <c r="C74" s="486">
        <f t="shared" ref="C74:E74" si="20">SUM(C75:C88)</f>
        <v>0</v>
      </c>
      <c r="D74" s="485">
        <f t="shared" si="20"/>
        <v>0</v>
      </c>
      <c r="E74" s="486">
        <f t="shared" si="20"/>
        <v>0</v>
      </c>
      <c r="F74" s="485">
        <f>IF(C74&gt;0,E74*100/C74,0)</f>
        <v>0</v>
      </c>
      <c r="G74" s="485">
        <f>IF(D74&gt;0,E74*100/D74,0)</f>
        <v>0</v>
      </c>
      <c r="H74" s="409">
        <f t="shared" ref="H74:I74" si="21">SUM(H75:H88)</f>
        <v>0</v>
      </c>
      <c r="I74" s="407">
        <f t="shared" si="21"/>
        <v>0</v>
      </c>
      <c r="J74" s="405">
        <f t="shared" si="12"/>
        <v>0</v>
      </c>
      <c r="K74" s="407">
        <f t="shared" ref="K74:L74" si="22">SUM(K75:K88)</f>
        <v>0</v>
      </c>
      <c r="L74" s="407">
        <f t="shared" si="22"/>
        <v>0</v>
      </c>
    </row>
    <row r="75" spans="1:12" ht="19.5" x14ac:dyDescent="0.3">
      <c r="A75" s="147">
        <v>1</v>
      </c>
      <c r="B75" s="148" t="s">
        <v>103</v>
      </c>
      <c r="C75" s="475">
        <v>0</v>
      </c>
      <c r="D75" s="260">
        <v>0</v>
      </c>
      <c r="E75" s="475">
        <v>0</v>
      </c>
      <c r="F75" s="260">
        <v>0</v>
      </c>
      <c r="G75" s="260">
        <v>0</v>
      </c>
      <c r="H75" s="278">
        <v>0</v>
      </c>
      <c r="I75" s="152">
        <v>0</v>
      </c>
      <c r="J75" s="216">
        <f t="shared" si="12"/>
        <v>0</v>
      </c>
      <c r="K75" s="152">
        <v>0</v>
      </c>
      <c r="L75" s="152">
        <v>0</v>
      </c>
    </row>
    <row r="76" spans="1:12" ht="19.5" x14ac:dyDescent="0.3">
      <c r="A76" s="147">
        <v>2</v>
      </c>
      <c r="B76" s="148" t="s">
        <v>104</v>
      </c>
      <c r="C76" s="475">
        <v>0</v>
      </c>
      <c r="D76" s="260">
        <v>0</v>
      </c>
      <c r="E76" s="475">
        <v>0</v>
      </c>
      <c r="F76" s="260">
        <v>0</v>
      </c>
      <c r="G76" s="260">
        <v>0</v>
      </c>
      <c r="H76" s="278">
        <v>0</v>
      </c>
      <c r="I76" s="152">
        <v>0</v>
      </c>
      <c r="J76" s="216">
        <f t="shared" si="12"/>
        <v>0</v>
      </c>
      <c r="K76" s="152">
        <v>0</v>
      </c>
      <c r="L76" s="152">
        <v>0</v>
      </c>
    </row>
    <row r="77" spans="1:12" ht="19.5" x14ac:dyDescent="0.3">
      <c r="A77" s="147">
        <v>3</v>
      </c>
      <c r="B77" s="148" t="s">
        <v>105</v>
      </c>
      <c r="C77" s="475">
        <v>0</v>
      </c>
      <c r="D77" s="260">
        <v>0</v>
      </c>
      <c r="E77" s="475">
        <v>0</v>
      </c>
      <c r="F77" s="260">
        <v>0</v>
      </c>
      <c r="G77" s="260">
        <v>0</v>
      </c>
      <c r="H77" s="278">
        <v>0</v>
      </c>
      <c r="I77" s="152">
        <v>0</v>
      </c>
      <c r="J77" s="216">
        <f t="shared" si="12"/>
        <v>0</v>
      </c>
      <c r="K77" s="152">
        <v>0</v>
      </c>
      <c r="L77" s="152">
        <v>0</v>
      </c>
    </row>
    <row r="78" spans="1:12" ht="19.5" x14ac:dyDescent="0.3">
      <c r="A78" s="147">
        <v>4</v>
      </c>
      <c r="B78" s="148" t="s">
        <v>106</v>
      </c>
      <c r="C78" s="475">
        <v>0</v>
      </c>
      <c r="D78" s="260">
        <v>0</v>
      </c>
      <c r="E78" s="475">
        <v>0</v>
      </c>
      <c r="F78" s="260">
        <v>0</v>
      </c>
      <c r="G78" s="260">
        <v>0</v>
      </c>
      <c r="H78" s="278">
        <v>0</v>
      </c>
      <c r="I78" s="152">
        <v>0</v>
      </c>
      <c r="J78" s="216">
        <f t="shared" si="12"/>
        <v>0</v>
      </c>
      <c r="K78" s="152">
        <v>0</v>
      </c>
      <c r="L78" s="152">
        <v>0</v>
      </c>
    </row>
    <row r="79" spans="1:12" ht="19.5" x14ac:dyDescent="0.3">
      <c r="A79" s="147">
        <v>5</v>
      </c>
      <c r="B79" s="148" t="s">
        <v>107</v>
      </c>
      <c r="C79" s="475">
        <v>0</v>
      </c>
      <c r="D79" s="260">
        <v>0</v>
      </c>
      <c r="E79" s="475">
        <v>0</v>
      </c>
      <c r="F79" s="260">
        <v>0</v>
      </c>
      <c r="G79" s="260">
        <v>0</v>
      </c>
      <c r="H79" s="278">
        <v>0</v>
      </c>
      <c r="I79" s="152">
        <v>0</v>
      </c>
      <c r="J79" s="216">
        <f t="shared" si="12"/>
        <v>0</v>
      </c>
      <c r="K79" s="152">
        <v>0</v>
      </c>
      <c r="L79" s="152">
        <v>0</v>
      </c>
    </row>
    <row r="80" spans="1:12" ht="19.5" x14ac:dyDescent="0.3">
      <c r="A80" s="147">
        <v>6</v>
      </c>
      <c r="B80" s="148" t="s">
        <v>108</v>
      </c>
      <c r="C80" s="475">
        <v>0</v>
      </c>
      <c r="D80" s="260">
        <v>0</v>
      </c>
      <c r="E80" s="475">
        <v>0</v>
      </c>
      <c r="F80" s="260">
        <v>0</v>
      </c>
      <c r="G80" s="260">
        <v>0</v>
      </c>
      <c r="H80" s="278">
        <v>0</v>
      </c>
      <c r="I80" s="152">
        <v>0</v>
      </c>
      <c r="J80" s="216">
        <f t="shared" si="12"/>
        <v>0</v>
      </c>
      <c r="K80" s="152">
        <v>0</v>
      </c>
      <c r="L80" s="152">
        <v>0</v>
      </c>
    </row>
    <row r="81" spans="1:12" ht="19.5" x14ac:dyDescent="0.3">
      <c r="A81" s="147">
        <v>7</v>
      </c>
      <c r="B81" s="148" t="s">
        <v>109</v>
      </c>
      <c r="C81" s="475">
        <v>0</v>
      </c>
      <c r="D81" s="260">
        <v>0</v>
      </c>
      <c r="E81" s="475">
        <v>0</v>
      </c>
      <c r="F81" s="260">
        <v>0</v>
      </c>
      <c r="G81" s="260">
        <v>0</v>
      </c>
      <c r="H81" s="278">
        <v>0</v>
      </c>
      <c r="I81" s="152">
        <v>0</v>
      </c>
      <c r="J81" s="216">
        <f t="shared" si="12"/>
        <v>0</v>
      </c>
      <c r="K81" s="152">
        <v>0</v>
      </c>
      <c r="L81" s="152">
        <v>0</v>
      </c>
    </row>
    <row r="82" spans="1:12" ht="19.5" x14ac:dyDescent="0.3">
      <c r="A82" s="147">
        <v>8</v>
      </c>
      <c r="B82" s="148" t="s">
        <v>110</v>
      </c>
      <c r="C82" s="475">
        <v>0</v>
      </c>
      <c r="D82" s="260">
        <v>0</v>
      </c>
      <c r="E82" s="475">
        <v>0</v>
      </c>
      <c r="F82" s="260">
        <v>0</v>
      </c>
      <c r="G82" s="260">
        <v>0</v>
      </c>
      <c r="H82" s="278">
        <v>0</v>
      </c>
      <c r="I82" s="152">
        <v>0</v>
      </c>
      <c r="J82" s="216">
        <f t="shared" si="12"/>
        <v>0</v>
      </c>
      <c r="K82" s="152">
        <v>0</v>
      </c>
      <c r="L82" s="152">
        <v>0</v>
      </c>
    </row>
    <row r="83" spans="1:12" ht="19.5" x14ac:dyDescent="0.3">
      <c r="A83" s="147">
        <v>9</v>
      </c>
      <c r="B83" s="148" t="s">
        <v>111</v>
      </c>
      <c r="C83" s="475">
        <v>0</v>
      </c>
      <c r="D83" s="260">
        <v>0</v>
      </c>
      <c r="E83" s="475">
        <v>0</v>
      </c>
      <c r="F83" s="260">
        <v>0</v>
      </c>
      <c r="G83" s="260">
        <v>0</v>
      </c>
      <c r="H83" s="278">
        <v>0</v>
      </c>
      <c r="I83" s="152">
        <v>0</v>
      </c>
      <c r="J83" s="216">
        <f t="shared" si="12"/>
        <v>0</v>
      </c>
      <c r="K83" s="152">
        <v>0</v>
      </c>
      <c r="L83" s="152">
        <v>0</v>
      </c>
    </row>
    <row r="84" spans="1:12" ht="19.5" x14ac:dyDescent="0.3">
      <c r="A84" s="147">
        <v>10</v>
      </c>
      <c r="B84" s="148" t="s">
        <v>112</v>
      </c>
      <c r="C84" s="475">
        <v>0</v>
      </c>
      <c r="D84" s="260">
        <v>0</v>
      </c>
      <c r="E84" s="475">
        <v>0</v>
      </c>
      <c r="F84" s="260">
        <v>0</v>
      </c>
      <c r="G84" s="260">
        <v>0</v>
      </c>
      <c r="H84" s="278">
        <v>0</v>
      </c>
      <c r="I84" s="152">
        <v>0</v>
      </c>
      <c r="J84" s="216">
        <f t="shared" si="12"/>
        <v>0</v>
      </c>
      <c r="K84" s="152">
        <v>0</v>
      </c>
      <c r="L84" s="152">
        <v>0</v>
      </c>
    </row>
    <row r="85" spans="1:12" ht="19.5" x14ac:dyDescent="0.3">
      <c r="A85" s="147">
        <v>11</v>
      </c>
      <c r="B85" s="148" t="s">
        <v>113</v>
      </c>
      <c r="C85" s="475">
        <v>0</v>
      </c>
      <c r="D85" s="260">
        <v>0</v>
      </c>
      <c r="E85" s="475">
        <v>0</v>
      </c>
      <c r="F85" s="260">
        <v>0</v>
      </c>
      <c r="G85" s="260">
        <v>0</v>
      </c>
      <c r="H85" s="278">
        <v>0</v>
      </c>
      <c r="I85" s="152">
        <v>0</v>
      </c>
      <c r="J85" s="216">
        <f t="shared" si="12"/>
        <v>0</v>
      </c>
      <c r="K85" s="152">
        <v>0</v>
      </c>
      <c r="L85" s="152">
        <v>0</v>
      </c>
    </row>
    <row r="86" spans="1:12" ht="19.5" x14ac:dyDescent="0.3">
      <c r="A86" s="147">
        <v>12</v>
      </c>
      <c r="B86" s="148" t="s">
        <v>114</v>
      </c>
      <c r="C86" s="475">
        <v>0</v>
      </c>
      <c r="D86" s="260">
        <v>0</v>
      </c>
      <c r="E86" s="475">
        <v>0</v>
      </c>
      <c r="F86" s="260">
        <v>0</v>
      </c>
      <c r="G86" s="260">
        <v>0</v>
      </c>
      <c r="H86" s="279">
        <v>0</v>
      </c>
      <c r="I86" s="397">
        <v>0</v>
      </c>
      <c r="J86" s="216">
        <f t="shared" si="12"/>
        <v>0</v>
      </c>
      <c r="K86" s="397">
        <v>0</v>
      </c>
      <c r="L86" s="397">
        <v>0</v>
      </c>
    </row>
    <row r="87" spans="1:12" ht="19.5" x14ac:dyDescent="0.3">
      <c r="A87" s="147">
        <v>13</v>
      </c>
      <c r="B87" s="148" t="s">
        <v>115</v>
      </c>
      <c r="C87" s="475">
        <v>0</v>
      </c>
      <c r="D87" s="260">
        <v>0</v>
      </c>
      <c r="E87" s="475">
        <v>0</v>
      </c>
      <c r="F87" s="260">
        <v>0</v>
      </c>
      <c r="G87" s="260">
        <v>0</v>
      </c>
      <c r="H87" s="278">
        <v>0</v>
      </c>
      <c r="I87" s="152">
        <v>0</v>
      </c>
      <c r="J87" s="216">
        <f t="shared" si="12"/>
        <v>0</v>
      </c>
      <c r="K87" s="152">
        <v>0</v>
      </c>
      <c r="L87" s="152">
        <v>0</v>
      </c>
    </row>
    <row r="88" spans="1:12" ht="19.5" x14ac:dyDescent="0.3">
      <c r="A88" s="155">
        <v>14</v>
      </c>
      <c r="B88" s="156" t="s">
        <v>116</v>
      </c>
      <c r="C88" s="482">
        <v>0</v>
      </c>
      <c r="D88" s="481">
        <v>0</v>
      </c>
      <c r="E88" s="482">
        <v>0</v>
      </c>
      <c r="F88" s="481">
        <v>0</v>
      </c>
      <c r="G88" s="481">
        <v>0</v>
      </c>
      <c r="H88" s="280">
        <v>0</v>
      </c>
      <c r="I88" s="191">
        <v>0</v>
      </c>
      <c r="J88" s="218">
        <f t="shared" si="12"/>
        <v>0</v>
      </c>
      <c r="K88" s="191">
        <v>0</v>
      </c>
      <c r="L88" s="191">
        <v>0</v>
      </c>
    </row>
    <row r="89" spans="1:12" ht="19.5" x14ac:dyDescent="0.3">
      <c r="A89" s="698" t="s">
        <v>117</v>
      </c>
      <c r="B89" s="662"/>
      <c r="C89" s="491">
        <f t="shared" ref="C89:E89" ca="1" si="23">SUM(C90:C106)</f>
        <v>1299100</v>
      </c>
      <c r="D89" s="489">
        <f t="shared" ca="1" si="23"/>
        <v>1299100</v>
      </c>
      <c r="E89" s="491">
        <f t="shared" ca="1" si="23"/>
        <v>950541.19</v>
      </c>
      <c r="F89" s="489">
        <f t="shared" ref="F89:F108" ca="1" si="24">IF(C89&gt;0,E89*100/C89,0)</f>
        <v>73.16920868293434</v>
      </c>
      <c r="G89" s="489">
        <f t="shared" ref="G89:G108" ca="1" si="25">IF(D89&gt;0,E89*100/D89,0)</f>
        <v>73.16920868293434</v>
      </c>
      <c r="H89" s="169"/>
      <c r="I89" s="169"/>
      <c r="J89" s="255"/>
      <c r="K89" s="169"/>
      <c r="L89" s="169"/>
    </row>
    <row r="90" spans="1:12" ht="19.5" x14ac:dyDescent="0.3">
      <c r="A90" s="257"/>
      <c r="B90" s="258" t="s">
        <v>118</v>
      </c>
      <c r="C90" s="67">
        <v>0</v>
      </c>
      <c r="D90" s="67">
        <v>0</v>
      </c>
      <c r="E90" s="67">
        <v>0</v>
      </c>
      <c r="F90" s="260">
        <f t="shared" si="24"/>
        <v>0</v>
      </c>
      <c r="G90" s="260">
        <f t="shared" si="25"/>
        <v>0</v>
      </c>
      <c r="H90" s="492"/>
      <c r="I90" s="492"/>
      <c r="J90" s="493"/>
      <c r="K90" s="492"/>
      <c r="L90" s="492"/>
    </row>
    <row r="91" spans="1:12" ht="19.5" x14ac:dyDescent="0.3">
      <c r="A91" s="257"/>
      <c r="B91" s="258" t="s">
        <v>119</v>
      </c>
      <c r="C91" s="67">
        <v>0</v>
      </c>
      <c r="D91" s="67">
        <v>0</v>
      </c>
      <c r="E91" s="67">
        <v>0</v>
      </c>
      <c r="F91" s="260">
        <f t="shared" si="24"/>
        <v>0</v>
      </c>
      <c r="G91" s="260">
        <f t="shared" si="25"/>
        <v>0</v>
      </c>
      <c r="H91" s="492"/>
      <c r="I91" s="492"/>
      <c r="J91" s="493"/>
      <c r="K91" s="492"/>
      <c r="L91" s="492"/>
    </row>
    <row r="92" spans="1:12" ht="19.5" x14ac:dyDescent="0.3">
      <c r="A92" s="257"/>
      <c r="B92" s="258" t="s">
        <v>120</v>
      </c>
      <c r="C92" s="67">
        <v>0</v>
      </c>
      <c r="D92" s="67">
        <v>0</v>
      </c>
      <c r="E92" s="67">
        <v>0</v>
      </c>
      <c r="F92" s="260">
        <f t="shared" si="24"/>
        <v>0</v>
      </c>
      <c r="G92" s="260">
        <f t="shared" si="25"/>
        <v>0</v>
      </c>
      <c r="H92" s="492"/>
      <c r="I92" s="492"/>
      <c r="J92" s="493"/>
      <c r="K92" s="492"/>
      <c r="L92" s="492"/>
    </row>
    <row r="93" spans="1:12" ht="19.5" x14ac:dyDescent="0.3">
      <c r="A93" s="257"/>
      <c r="B93" s="258" t="s">
        <v>121</v>
      </c>
      <c r="C93" s="67">
        <v>0</v>
      </c>
      <c r="D93" s="67">
        <v>0</v>
      </c>
      <c r="E93" s="67">
        <v>0</v>
      </c>
      <c r="F93" s="260">
        <f t="shared" si="24"/>
        <v>0</v>
      </c>
      <c r="G93" s="260">
        <f t="shared" si="25"/>
        <v>0</v>
      </c>
      <c r="H93" s="492"/>
      <c r="I93" s="492"/>
      <c r="J93" s="493"/>
      <c r="K93" s="492"/>
      <c r="L93" s="492"/>
    </row>
    <row r="94" spans="1:12" ht="19.5" x14ac:dyDescent="0.3">
      <c r="A94" s="257"/>
      <c r="B94" s="258" t="s">
        <v>122</v>
      </c>
      <c r="C94" s="67">
        <v>0</v>
      </c>
      <c r="D94" s="67">
        <v>0</v>
      </c>
      <c r="E94" s="67">
        <v>0</v>
      </c>
      <c r="F94" s="260">
        <f t="shared" si="24"/>
        <v>0</v>
      </c>
      <c r="G94" s="260">
        <f t="shared" si="25"/>
        <v>0</v>
      </c>
      <c r="H94" s="492"/>
      <c r="I94" s="492"/>
      <c r="J94" s="493"/>
      <c r="K94" s="492"/>
      <c r="L94" s="492"/>
    </row>
    <row r="95" spans="1:12" ht="19.5" x14ac:dyDescent="0.3">
      <c r="A95" s="257"/>
      <c r="B95" s="258" t="s">
        <v>123</v>
      </c>
      <c r="C95" s="67">
        <v>0</v>
      </c>
      <c r="D95" s="67">
        <v>0</v>
      </c>
      <c r="E95" s="67">
        <v>0</v>
      </c>
      <c r="F95" s="260">
        <f t="shared" si="24"/>
        <v>0</v>
      </c>
      <c r="G95" s="260">
        <f t="shared" si="25"/>
        <v>0</v>
      </c>
      <c r="H95" s="492"/>
      <c r="I95" s="492"/>
      <c r="J95" s="493"/>
      <c r="K95" s="492"/>
      <c r="L95" s="492"/>
    </row>
    <row r="96" spans="1:12" ht="19.5" x14ac:dyDescent="0.3">
      <c r="A96" s="257"/>
      <c r="B96" s="258" t="s">
        <v>124</v>
      </c>
      <c r="C96" s="67">
        <v>0</v>
      </c>
      <c r="D96" s="67">
        <v>0</v>
      </c>
      <c r="E96" s="67">
        <v>0</v>
      </c>
      <c r="F96" s="260">
        <f t="shared" si="24"/>
        <v>0</v>
      </c>
      <c r="G96" s="260">
        <f t="shared" si="25"/>
        <v>0</v>
      </c>
      <c r="H96" s="492"/>
      <c r="I96" s="492"/>
      <c r="J96" s="493"/>
      <c r="K96" s="492"/>
      <c r="L96" s="492"/>
    </row>
    <row r="97" spans="1:12" ht="19.5" x14ac:dyDescent="0.3">
      <c r="A97" s="257"/>
      <c r="B97" s="258" t="s">
        <v>125</v>
      </c>
      <c r="C97" s="67">
        <v>0</v>
      </c>
      <c r="D97" s="67">
        <v>0</v>
      </c>
      <c r="E97" s="67">
        <v>0</v>
      </c>
      <c r="F97" s="260">
        <f t="shared" si="24"/>
        <v>0</v>
      </c>
      <c r="G97" s="260">
        <f t="shared" si="25"/>
        <v>0</v>
      </c>
      <c r="H97" s="492"/>
      <c r="I97" s="492"/>
      <c r="J97" s="493"/>
      <c r="K97" s="492"/>
      <c r="L97" s="492"/>
    </row>
    <row r="98" spans="1:12" ht="19.5" x14ac:dyDescent="0.3">
      <c r="A98" s="257"/>
      <c r="B98" s="258" t="s">
        <v>126</v>
      </c>
      <c r="C98" s="67">
        <v>0</v>
      </c>
      <c r="D98" s="67">
        <v>0</v>
      </c>
      <c r="E98" s="67">
        <v>0</v>
      </c>
      <c r="F98" s="260">
        <f t="shared" si="24"/>
        <v>0</v>
      </c>
      <c r="G98" s="260">
        <f t="shared" si="25"/>
        <v>0</v>
      </c>
      <c r="H98" s="492"/>
      <c r="I98" s="492"/>
      <c r="J98" s="493"/>
      <c r="K98" s="492"/>
      <c r="L98" s="492"/>
    </row>
    <row r="99" spans="1:12" ht="19.5" x14ac:dyDescent="0.3">
      <c r="A99" s="257"/>
      <c r="B99" s="258" t="s">
        <v>127</v>
      </c>
      <c r="C99" s="67">
        <v>0</v>
      </c>
      <c r="D99" s="67">
        <v>0</v>
      </c>
      <c r="E99" s="67">
        <v>0</v>
      </c>
      <c r="F99" s="260">
        <f t="shared" si="24"/>
        <v>0</v>
      </c>
      <c r="G99" s="260">
        <f t="shared" si="25"/>
        <v>0</v>
      </c>
      <c r="H99" s="492"/>
      <c r="I99" s="492"/>
      <c r="J99" s="493"/>
      <c r="K99" s="492"/>
      <c r="L99" s="492"/>
    </row>
    <row r="100" spans="1:12" ht="19.5" x14ac:dyDescent="0.3">
      <c r="A100" s="257"/>
      <c r="B100" s="258" t="s">
        <v>128</v>
      </c>
      <c r="C100" s="67">
        <f ca="1">IFERROR(__xludf.DUMMYFUNCTION("IMPORTRANGE(""https://docs.google.com/spreadsheets/d/1ItG2mGa2ceCfYo0BwxsXqNm01IGEUdYcSSLTEv9YCik/edit?usp=sharing"",""เบิกจ่ายกองทุน!AG93"")"),1299100)</f>
        <v>1299100</v>
      </c>
      <c r="D100" s="67">
        <f ca="1">IFERROR(__xludf.DUMMYFUNCTION("IMPORTRANGE(""https://docs.google.com/spreadsheets/d/1ItG2mGa2ceCfYo0BwxsXqNm01IGEUdYcSSLTEv9YCik/edit?usp=sharing"",""เบิกจ่ายกองทุน!AH93"")"),1299100)</f>
        <v>1299100</v>
      </c>
      <c r="E100" s="67">
        <f ca="1">IFERROR(__xludf.DUMMYFUNCTION("IMPORTRANGE(""https://docs.google.com/spreadsheets/d/1ItG2mGa2ceCfYo0BwxsXqNm01IGEUdYcSSLTEv9YCik/edit?usp=sharing"",""เบิกจ่ายกองทุน!AI93"")"),950541.19)</f>
        <v>950541.19</v>
      </c>
      <c r="F100" s="260">
        <f t="shared" ca="1" si="24"/>
        <v>73.16920868293434</v>
      </c>
      <c r="G100" s="260">
        <f t="shared" ca="1" si="25"/>
        <v>73.16920868293434</v>
      </c>
      <c r="H100" s="492"/>
      <c r="I100" s="492"/>
      <c r="J100" s="493"/>
      <c r="K100" s="492"/>
      <c r="L100" s="492"/>
    </row>
    <row r="101" spans="1:12" ht="19.5" x14ac:dyDescent="0.3">
      <c r="A101" s="257"/>
      <c r="B101" s="258" t="s">
        <v>129</v>
      </c>
      <c r="C101" s="67">
        <v>0</v>
      </c>
      <c r="D101" s="67">
        <v>0</v>
      </c>
      <c r="E101" s="67">
        <v>0</v>
      </c>
      <c r="F101" s="260">
        <f t="shared" si="24"/>
        <v>0</v>
      </c>
      <c r="G101" s="260">
        <f t="shared" si="25"/>
        <v>0</v>
      </c>
      <c r="H101" s="492"/>
      <c r="I101" s="492"/>
      <c r="J101" s="493"/>
      <c r="K101" s="492"/>
      <c r="L101" s="492"/>
    </row>
    <row r="102" spans="1:12" ht="19.5" x14ac:dyDescent="0.3">
      <c r="A102" s="257"/>
      <c r="B102" s="258" t="s">
        <v>130</v>
      </c>
      <c r="C102" s="67">
        <v>0</v>
      </c>
      <c r="D102" s="67">
        <v>0</v>
      </c>
      <c r="E102" s="67">
        <v>0</v>
      </c>
      <c r="F102" s="260">
        <f t="shared" si="24"/>
        <v>0</v>
      </c>
      <c r="G102" s="260">
        <f t="shared" si="25"/>
        <v>0</v>
      </c>
      <c r="H102" s="492"/>
      <c r="I102" s="492"/>
      <c r="J102" s="493"/>
      <c r="K102" s="492"/>
      <c r="L102" s="492"/>
    </row>
    <row r="103" spans="1:12" ht="19.5" x14ac:dyDescent="0.3">
      <c r="A103" s="257"/>
      <c r="B103" s="258" t="s">
        <v>131</v>
      </c>
      <c r="C103" s="67">
        <v>0</v>
      </c>
      <c r="D103" s="67">
        <v>0</v>
      </c>
      <c r="E103" s="67">
        <v>0</v>
      </c>
      <c r="F103" s="260">
        <f t="shared" si="24"/>
        <v>0</v>
      </c>
      <c r="G103" s="260">
        <f t="shared" si="25"/>
        <v>0</v>
      </c>
      <c r="H103" s="492"/>
      <c r="I103" s="492"/>
      <c r="J103" s="493"/>
      <c r="K103" s="492"/>
      <c r="L103" s="492"/>
    </row>
    <row r="104" spans="1:12" ht="19.5" x14ac:dyDescent="0.3">
      <c r="A104" s="257"/>
      <c r="B104" s="258" t="s">
        <v>132</v>
      </c>
      <c r="C104" s="67">
        <v>0</v>
      </c>
      <c r="D104" s="67">
        <v>0</v>
      </c>
      <c r="E104" s="67">
        <v>0</v>
      </c>
      <c r="F104" s="260">
        <f t="shared" si="24"/>
        <v>0</v>
      </c>
      <c r="G104" s="260">
        <f t="shared" si="25"/>
        <v>0</v>
      </c>
      <c r="H104" s="215"/>
      <c r="I104" s="215"/>
      <c r="J104" s="494"/>
      <c r="K104" s="215"/>
      <c r="L104" s="215"/>
    </row>
    <row r="105" spans="1:12" ht="19.5" x14ac:dyDescent="0.3">
      <c r="A105" s="257"/>
      <c r="B105" s="261" t="s">
        <v>133</v>
      </c>
      <c r="C105" s="67">
        <v>0</v>
      </c>
      <c r="D105" s="67">
        <v>0</v>
      </c>
      <c r="E105" s="67">
        <v>0</v>
      </c>
      <c r="F105" s="260">
        <f t="shared" si="24"/>
        <v>0</v>
      </c>
      <c r="G105" s="260">
        <f t="shared" si="25"/>
        <v>0</v>
      </c>
      <c r="H105" s="492"/>
      <c r="I105" s="492"/>
      <c r="J105" s="493"/>
      <c r="K105" s="492"/>
      <c r="L105" s="492"/>
    </row>
    <row r="106" spans="1:12" ht="19.5" x14ac:dyDescent="0.3">
      <c r="A106" s="257"/>
      <c r="B106" s="261" t="s">
        <v>134</v>
      </c>
      <c r="C106" s="67">
        <v>0</v>
      </c>
      <c r="D106" s="67">
        <v>0</v>
      </c>
      <c r="E106" s="67">
        <v>0</v>
      </c>
      <c r="F106" s="260">
        <f t="shared" si="24"/>
        <v>0</v>
      </c>
      <c r="G106" s="260">
        <f t="shared" si="25"/>
        <v>0</v>
      </c>
      <c r="H106" s="492"/>
      <c r="I106" s="492"/>
      <c r="J106" s="493"/>
      <c r="K106" s="492"/>
      <c r="L106" s="492"/>
    </row>
    <row r="107" spans="1:12" ht="19.5" x14ac:dyDescent="0.3">
      <c r="A107" s="263"/>
      <c r="B107" s="264" t="s">
        <v>26</v>
      </c>
      <c r="C107" s="205">
        <v>0</v>
      </c>
      <c r="D107" s="205">
        <v>0</v>
      </c>
      <c r="E107" s="205">
        <v>0</v>
      </c>
      <c r="F107" s="498">
        <f t="shared" si="24"/>
        <v>0</v>
      </c>
      <c r="G107" s="498">
        <f t="shared" si="25"/>
        <v>0</v>
      </c>
      <c r="H107" s="500"/>
      <c r="I107" s="500"/>
      <c r="J107" s="501"/>
      <c r="K107" s="500"/>
      <c r="L107" s="500"/>
    </row>
    <row r="108" spans="1:12" ht="19.5" x14ac:dyDescent="0.3">
      <c r="A108" s="268"/>
      <c r="B108" s="269" t="s">
        <v>135</v>
      </c>
      <c r="C108" s="208">
        <v>0</v>
      </c>
      <c r="D108" s="208">
        <v>0</v>
      </c>
      <c r="E108" s="208">
        <v>0</v>
      </c>
      <c r="F108" s="505">
        <f t="shared" si="24"/>
        <v>0</v>
      </c>
      <c r="G108" s="505">
        <f t="shared" si="25"/>
        <v>0</v>
      </c>
      <c r="H108" s="507"/>
      <c r="I108" s="507"/>
      <c r="J108" s="508"/>
      <c r="K108" s="507"/>
      <c r="L108" s="507"/>
    </row>
  </sheetData>
  <mergeCells count="20">
    <mergeCell ref="A52:B52"/>
    <mergeCell ref="A74:B74"/>
    <mergeCell ref="A89:B89"/>
    <mergeCell ref="C2:G2"/>
    <mergeCell ref="H2:L2"/>
    <mergeCell ref="C3:G3"/>
    <mergeCell ref="H3:J4"/>
    <mergeCell ref="K3:L3"/>
    <mergeCell ref="C4:C6"/>
    <mergeCell ref="I5:J5"/>
    <mergeCell ref="L4:L5"/>
    <mergeCell ref="A2:B6"/>
    <mergeCell ref="A7:B7"/>
    <mergeCell ref="A13:B13"/>
    <mergeCell ref="A31:B31"/>
    <mergeCell ref="D4:D6"/>
    <mergeCell ref="E4:E6"/>
    <mergeCell ref="F4:F6"/>
    <mergeCell ref="G4:G6"/>
    <mergeCell ref="K4:K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W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19.28515625" customWidth="1"/>
    <col min="8" max="23" width="17.5703125" customWidth="1"/>
  </cols>
  <sheetData>
    <row r="1" spans="1:23" ht="19.5" x14ac:dyDescent="0.3">
      <c r="A1" s="234" t="s">
        <v>0</v>
      </c>
      <c r="B1" s="114"/>
      <c r="C1" s="117"/>
      <c r="D1" s="117"/>
      <c r="E1" s="117"/>
      <c r="F1" s="117"/>
      <c r="G1" s="117"/>
      <c r="H1" s="114"/>
      <c r="I1" s="114"/>
      <c r="J1" s="116"/>
      <c r="K1" s="114"/>
      <c r="L1" s="114"/>
      <c r="M1" s="116"/>
      <c r="N1" s="116"/>
      <c r="O1" s="114"/>
      <c r="P1" s="114"/>
      <c r="Q1" s="116"/>
      <c r="R1" s="116"/>
      <c r="S1" s="116"/>
      <c r="T1" s="116"/>
      <c r="U1" s="116"/>
      <c r="V1" s="116"/>
      <c r="W1" s="339"/>
    </row>
    <row r="2" spans="1:23" ht="30" customHeight="1" x14ac:dyDescent="0.2">
      <c r="A2" s="692" t="s">
        <v>1</v>
      </c>
      <c r="B2" s="658"/>
      <c r="C2" s="689" t="s">
        <v>360</v>
      </c>
      <c r="D2" s="646"/>
      <c r="E2" s="646"/>
      <c r="F2" s="646"/>
      <c r="G2" s="647"/>
      <c r="H2" s="689" t="s">
        <v>361</v>
      </c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36"/>
    </row>
    <row r="3" spans="1:23" ht="30" customHeight="1" x14ac:dyDescent="0.2">
      <c r="A3" s="659"/>
      <c r="B3" s="660"/>
      <c r="C3" s="709" t="s">
        <v>5</v>
      </c>
      <c r="D3" s="646"/>
      <c r="E3" s="646"/>
      <c r="F3" s="646"/>
      <c r="G3" s="647"/>
      <c r="H3" s="687" t="s">
        <v>362</v>
      </c>
      <c r="I3" s="674"/>
      <c r="J3" s="658"/>
      <c r="K3" s="687" t="s">
        <v>363</v>
      </c>
      <c r="L3" s="674"/>
      <c r="M3" s="658"/>
      <c r="N3" s="687" t="s">
        <v>364</v>
      </c>
      <c r="O3" s="674"/>
      <c r="P3" s="658"/>
      <c r="Q3" s="687" t="s">
        <v>7</v>
      </c>
      <c r="R3" s="674"/>
      <c r="S3" s="674"/>
      <c r="T3" s="674"/>
      <c r="U3" s="674"/>
      <c r="V3" s="658"/>
      <c r="W3" s="637"/>
    </row>
    <row r="4" spans="1:23" ht="30" customHeight="1" x14ac:dyDescent="0.2">
      <c r="A4" s="659"/>
      <c r="B4" s="660"/>
      <c r="C4" s="782" t="s">
        <v>11</v>
      </c>
      <c r="D4" s="703" t="s">
        <v>12</v>
      </c>
      <c r="E4" s="783" t="s">
        <v>13</v>
      </c>
      <c r="F4" s="710" t="s">
        <v>14</v>
      </c>
      <c r="G4" s="710" t="s">
        <v>15</v>
      </c>
      <c r="H4" s="661"/>
      <c r="I4" s="675"/>
      <c r="J4" s="662"/>
      <c r="K4" s="661"/>
      <c r="L4" s="675"/>
      <c r="M4" s="662"/>
      <c r="N4" s="661"/>
      <c r="O4" s="675"/>
      <c r="P4" s="662"/>
      <c r="Q4" s="661"/>
      <c r="R4" s="675"/>
      <c r="S4" s="675"/>
      <c r="T4" s="675"/>
      <c r="U4" s="675"/>
      <c r="V4" s="662"/>
      <c r="W4" s="637"/>
    </row>
    <row r="5" spans="1:23" ht="30" customHeight="1" x14ac:dyDescent="0.2">
      <c r="A5" s="659"/>
      <c r="B5" s="660"/>
      <c r="C5" s="649"/>
      <c r="D5" s="649"/>
      <c r="E5" s="649"/>
      <c r="F5" s="649"/>
      <c r="G5" s="649"/>
      <c r="H5" s="119" t="s">
        <v>28</v>
      </c>
      <c r="I5" s="780" t="s">
        <v>29</v>
      </c>
      <c r="J5" s="647"/>
      <c r="K5" s="119" t="s">
        <v>28</v>
      </c>
      <c r="L5" s="780" t="s">
        <v>29</v>
      </c>
      <c r="M5" s="647"/>
      <c r="N5" s="119" t="s">
        <v>28</v>
      </c>
      <c r="O5" s="780" t="s">
        <v>29</v>
      </c>
      <c r="P5" s="647"/>
      <c r="Q5" s="781" t="s">
        <v>28</v>
      </c>
      <c r="R5" s="647"/>
      <c r="S5" s="780" t="s">
        <v>29</v>
      </c>
      <c r="T5" s="646"/>
      <c r="U5" s="646"/>
      <c r="V5" s="647"/>
      <c r="W5" s="638"/>
    </row>
    <row r="6" spans="1:23" ht="30" customHeight="1" x14ac:dyDescent="0.2">
      <c r="A6" s="661"/>
      <c r="B6" s="662"/>
      <c r="C6" s="650"/>
      <c r="D6" s="650"/>
      <c r="E6" s="650"/>
      <c r="F6" s="650"/>
      <c r="G6" s="650"/>
      <c r="H6" s="119" t="s">
        <v>35</v>
      </c>
      <c r="I6" s="180" t="s">
        <v>35</v>
      </c>
      <c r="J6" s="210" t="s">
        <v>31</v>
      </c>
      <c r="K6" s="119" t="s">
        <v>35</v>
      </c>
      <c r="L6" s="180" t="s">
        <v>35</v>
      </c>
      <c r="M6" s="210" t="s">
        <v>31</v>
      </c>
      <c r="N6" s="119" t="s">
        <v>140</v>
      </c>
      <c r="O6" s="180" t="s">
        <v>140</v>
      </c>
      <c r="P6" s="210" t="s">
        <v>31</v>
      </c>
      <c r="Q6" s="119" t="s">
        <v>140</v>
      </c>
      <c r="R6" s="119" t="s">
        <v>35</v>
      </c>
      <c r="S6" s="180" t="s">
        <v>140</v>
      </c>
      <c r="T6" s="210" t="s">
        <v>31</v>
      </c>
      <c r="U6" s="180" t="s">
        <v>35</v>
      </c>
      <c r="V6" s="210" t="s">
        <v>31</v>
      </c>
      <c r="W6" s="639"/>
    </row>
    <row r="7" spans="1:23" ht="19.5" x14ac:dyDescent="0.3">
      <c r="A7" s="694" t="s">
        <v>38</v>
      </c>
      <c r="B7" s="647"/>
      <c r="C7" s="463">
        <f t="shared" ref="C7:E7" ca="1" si="0">C8+C9</f>
        <v>28615000</v>
      </c>
      <c r="D7" s="462">
        <f t="shared" ca="1" si="0"/>
        <v>28573000</v>
      </c>
      <c r="E7" s="463">
        <f t="shared" ca="1" si="0"/>
        <v>19307162.599999998</v>
      </c>
      <c r="F7" s="462">
        <f t="shared" ref="F7:F9" ca="1" si="1">IF(C7&gt;0,E7*100/C7,0)</f>
        <v>67.472174034597231</v>
      </c>
      <c r="G7" s="462">
        <f t="shared" ref="G7:G9" ca="1" si="2">IF(D7&gt;0,E7*100/D7,0)</f>
        <v>67.571352675602839</v>
      </c>
      <c r="H7" s="211">
        <f t="shared" ref="H7:I7" ca="1" si="3">H9</f>
        <v>82</v>
      </c>
      <c r="I7" s="212">
        <f t="shared" ca="1" si="3"/>
        <v>0</v>
      </c>
      <c r="J7" s="213">
        <f t="shared" ref="J7:J8" ca="1" si="4">IF(H7&gt;0,I7*100/H7,0)</f>
        <v>0</v>
      </c>
      <c r="K7" s="211">
        <f t="shared" ref="K7:L7" ca="1" si="5">K8</f>
        <v>3240</v>
      </c>
      <c r="L7" s="212">
        <f t="shared" ca="1" si="5"/>
        <v>3150</v>
      </c>
      <c r="M7" s="213">
        <f t="shared" ref="M7:M8" ca="1" si="6">IF(K7&gt;0,L7*100/K7,0)</f>
        <v>97.222222222222229</v>
      </c>
      <c r="N7" s="211">
        <f t="shared" ref="N7:O7" ca="1" si="7">N8</f>
        <v>10000</v>
      </c>
      <c r="O7" s="212">
        <f t="shared" ca="1" si="7"/>
        <v>9510</v>
      </c>
      <c r="P7" s="213">
        <f t="shared" ref="P7:P8" ca="1" si="8">IF(N7&gt;0,O7*100/N7,0)</f>
        <v>95.1</v>
      </c>
      <c r="Q7" s="211">
        <f t="shared" ref="Q7:S7" ca="1" si="9">Q8</f>
        <v>10000</v>
      </c>
      <c r="R7" s="211">
        <f t="shared" ca="1" si="9"/>
        <v>3240</v>
      </c>
      <c r="S7" s="212">
        <f t="shared" ca="1" si="9"/>
        <v>7235</v>
      </c>
      <c r="T7" s="213">
        <f t="shared" ref="T7:T8" ca="1" si="10">IF(Q7&gt;0,S7*100/Q7,0)</f>
        <v>72.349999999999994</v>
      </c>
      <c r="U7" s="212">
        <f ca="1">U8</f>
        <v>2395</v>
      </c>
      <c r="V7" s="213">
        <f t="shared" ref="V7:V9" ca="1" si="11">IF(R7&gt;0,U7*100/R7,0)</f>
        <v>73.919753086419746</v>
      </c>
      <c r="W7" s="232"/>
    </row>
    <row r="8" spans="1:23" ht="19.5" x14ac:dyDescent="0.3">
      <c r="A8" s="134" t="s">
        <v>39</v>
      </c>
      <c r="B8" s="135"/>
      <c r="C8" s="467">
        <f t="shared" ref="C8:E8" ca="1" si="12">+C13+C31+C52+C74</f>
        <v>25583640</v>
      </c>
      <c r="D8" s="466">
        <f t="shared" ca="1" si="12"/>
        <v>25541640</v>
      </c>
      <c r="E8" s="467">
        <f t="shared" ca="1" si="12"/>
        <v>19137635.449999999</v>
      </c>
      <c r="F8" s="466">
        <f t="shared" ca="1" si="1"/>
        <v>74.804193031171479</v>
      </c>
      <c r="G8" s="466">
        <f t="shared" ca="1" si="2"/>
        <v>74.927199075705403</v>
      </c>
      <c r="H8" s="276">
        <f t="shared" ref="H8:I8" si="13">+H13+H31+H52+H74</f>
        <v>0</v>
      </c>
      <c r="I8" s="276">
        <f t="shared" si="13"/>
        <v>0</v>
      </c>
      <c r="J8" s="37">
        <f t="shared" si="4"/>
        <v>0</v>
      </c>
      <c r="K8" s="276">
        <f t="shared" ref="K8:L8" ca="1" si="14">+K13+K31+K52+K74</f>
        <v>3240</v>
      </c>
      <c r="L8" s="276">
        <f t="shared" ca="1" si="14"/>
        <v>3150</v>
      </c>
      <c r="M8" s="37">
        <f t="shared" ca="1" si="6"/>
        <v>97.222222222222229</v>
      </c>
      <c r="N8" s="276">
        <f t="shared" ref="N8:O8" ca="1" si="15">+N13+N31+N52+N74</f>
        <v>10000</v>
      </c>
      <c r="O8" s="276">
        <f t="shared" ca="1" si="15"/>
        <v>9510</v>
      </c>
      <c r="P8" s="37">
        <f t="shared" ca="1" si="8"/>
        <v>95.1</v>
      </c>
      <c r="Q8" s="276">
        <f t="shared" ref="Q8:S8" ca="1" si="16">+Q13+Q31+Q52+Q74</f>
        <v>10000</v>
      </c>
      <c r="R8" s="276">
        <f t="shared" ca="1" si="16"/>
        <v>3240</v>
      </c>
      <c r="S8" s="276">
        <f t="shared" ca="1" si="16"/>
        <v>7235</v>
      </c>
      <c r="T8" s="37">
        <f t="shared" ca="1" si="10"/>
        <v>72.349999999999994</v>
      </c>
      <c r="U8" s="276">
        <f ca="1">+U13+U31+U52+U74</f>
        <v>2395</v>
      </c>
      <c r="V8" s="37">
        <f t="shared" ca="1" si="11"/>
        <v>73.919753086419746</v>
      </c>
      <c r="W8" s="232"/>
    </row>
    <row r="9" spans="1:23" ht="19.5" x14ac:dyDescent="0.3">
      <c r="A9" s="245" t="s">
        <v>40</v>
      </c>
      <c r="B9" s="138"/>
      <c r="C9" s="471">
        <f t="shared" ref="C9:E9" ca="1" si="17">C89</f>
        <v>3031360</v>
      </c>
      <c r="D9" s="471">
        <f t="shared" ca="1" si="17"/>
        <v>3031360</v>
      </c>
      <c r="E9" s="471">
        <f t="shared" ca="1" si="17"/>
        <v>169527.15</v>
      </c>
      <c r="F9" s="470">
        <f t="shared" ca="1" si="1"/>
        <v>5.5924453050775886</v>
      </c>
      <c r="G9" s="470">
        <f t="shared" ca="1" si="2"/>
        <v>5.5924453050775886</v>
      </c>
      <c r="H9" s="248">
        <f ca="1">IFERROR(__xludf.DUMMYFUNCTION("IMPORTRANGE(""https://docs.google.com/spreadsheets/d/1W-HhGofCdyidljablT5AVQ143BAUWsE-bKbHVeok6Og/edit?usp=sharing"",""ทั้งประเทศ!I770"")"),82)</f>
        <v>82</v>
      </c>
      <c r="I9" s="248">
        <f ca="1">IFERROR(__xludf.DUMMYFUNCTION("IMPORTRANGE(""https://docs.google.com/spreadsheets/d/1W-HhGofCdyidljablT5AVQ143BAUWsE-bKbHVeok6Og/edit?usp=sharing"",""ทั้งประเทศ!J770"")"),0)</f>
        <v>0</v>
      </c>
      <c r="J9" s="470">
        <v>0</v>
      </c>
      <c r="K9" s="246"/>
      <c r="L9" s="246"/>
      <c r="M9" s="247"/>
      <c r="N9" s="246"/>
      <c r="O9" s="246"/>
      <c r="P9" s="247"/>
      <c r="Q9" s="246"/>
      <c r="R9" s="246"/>
      <c r="S9" s="246"/>
      <c r="T9" s="247"/>
      <c r="U9" s="246"/>
      <c r="V9" s="44">
        <f t="shared" si="11"/>
        <v>0</v>
      </c>
      <c r="W9" s="232"/>
    </row>
    <row r="10" spans="1:23" ht="19.5" hidden="1" x14ac:dyDescent="0.3">
      <c r="A10" s="142"/>
      <c r="B10" s="142"/>
      <c r="C10" s="195"/>
      <c r="D10" s="196"/>
      <c r="E10" s="195"/>
      <c r="F10" s="196"/>
      <c r="G10" s="196"/>
      <c r="H10" s="214"/>
      <c r="I10" s="214"/>
      <c r="J10" s="196"/>
      <c r="K10" s="214"/>
      <c r="L10" s="214"/>
      <c r="M10" s="196"/>
      <c r="N10" s="214"/>
      <c r="O10" s="214"/>
      <c r="P10" s="196"/>
      <c r="Q10" s="214"/>
      <c r="R10" s="214"/>
      <c r="S10" s="214"/>
      <c r="T10" s="196"/>
      <c r="U10" s="214"/>
      <c r="V10" s="51"/>
      <c r="W10" s="232"/>
    </row>
    <row r="11" spans="1:23" ht="19.5" hidden="1" x14ac:dyDescent="0.3">
      <c r="A11" s="142"/>
      <c r="B11" s="142"/>
      <c r="C11" s="195"/>
      <c r="D11" s="196"/>
      <c r="E11" s="195"/>
      <c r="F11" s="196"/>
      <c r="G11" s="196"/>
      <c r="H11" s="214"/>
      <c r="I11" s="214"/>
      <c r="J11" s="196"/>
      <c r="K11" s="214"/>
      <c r="L11" s="214"/>
      <c r="M11" s="196"/>
      <c r="N11" s="214"/>
      <c r="O11" s="214"/>
      <c r="P11" s="196"/>
      <c r="Q11" s="214"/>
      <c r="R11" s="214"/>
      <c r="S11" s="214"/>
      <c r="T11" s="196"/>
      <c r="U11" s="214"/>
      <c r="V11" s="51"/>
      <c r="W11" s="232"/>
    </row>
    <row r="12" spans="1:23" ht="19.5" hidden="1" x14ac:dyDescent="0.3">
      <c r="A12" s="142"/>
      <c r="B12" s="142"/>
      <c r="C12" s="195"/>
      <c r="D12" s="196"/>
      <c r="E12" s="195"/>
      <c r="F12" s="196"/>
      <c r="G12" s="196"/>
      <c r="H12" s="143"/>
      <c r="I12" s="143"/>
      <c r="J12" s="51"/>
      <c r="K12" s="143"/>
      <c r="L12" s="143"/>
      <c r="M12" s="51"/>
      <c r="N12" s="143"/>
      <c r="O12" s="143"/>
      <c r="P12" s="51"/>
      <c r="Q12" s="143"/>
      <c r="R12" s="143"/>
      <c r="S12" s="143"/>
      <c r="T12" s="51"/>
      <c r="U12" s="143"/>
      <c r="V12" s="51"/>
      <c r="W12" s="232"/>
    </row>
    <row r="13" spans="1:23" ht="19.5" x14ac:dyDescent="0.3">
      <c r="A13" s="695" t="s">
        <v>41</v>
      </c>
      <c r="B13" s="647"/>
      <c r="C13" s="599">
        <f t="shared" ref="C13:E13" ca="1" si="18">SUM(C14:C30)</f>
        <v>8462790</v>
      </c>
      <c r="D13" s="598">
        <f t="shared" ca="1" si="18"/>
        <v>8462790</v>
      </c>
      <c r="E13" s="599">
        <f t="shared" ca="1" si="18"/>
        <v>5685350.6799999997</v>
      </c>
      <c r="F13" s="598">
        <f t="shared" ref="F13:F108" ca="1" si="19">IF(C13&gt;0,E13*100/C13,0)</f>
        <v>67.18057141911828</v>
      </c>
      <c r="G13" s="598">
        <f t="shared" ref="G13:G108" ca="1" si="20">IF(D13&gt;0,E13*100/D13,0)</f>
        <v>67.18057141911828</v>
      </c>
      <c r="H13" s="277">
        <f t="shared" ref="H13:I13" si="21">SUM(H14:H30)</f>
        <v>0</v>
      </c>
      <c r="I13" s="277">
        <f t="shared" si="21"/>
        <v>0</v>
      </c>
      <c r="J13" s="57">
        <f t="shared" ref="J13:J88" si="22">IF(H13&gt;0,I13*100/H13,0)</f>
        <v>0</v>
      </c>
      <c r="K13" s="277">
        <f t="shared" ref="K13:L13" ca="1" si="23">SUM(K14:K30)</f>
        <v>1115</v>
      </c>
      <c r="L13" s="277">
        <f t="shared" ca="1" si="23"/>
        <v>1115</v>
      </c>
      <c r="M13" s="57">
        <f t="shared" ref="M13:M88" ca="1" si="24">IF(K13&gt;0,L13*100/K13,0)</f>
        <v>100</v>
      </c>
      <c r="N13" s="277">
        <f t="shared" ref="N13:O13" ca="1" si="25">SUM(N14:N30)</f>
        <v>3235</v>
      </c>
      <c r="O13" s="277">
        <f t="shared" ca="1" si="25"/>
        <v>3235</v>
      </c>
      <c r="P13" s="57">
        <f t="shared" ref="P13:P88" ca="1" si="26">IF(N13&gt;0,O13*100/N13,0)</f>
        <v>100</v>
      </c>
      <c r="Q13" s="277">
        <f t="shared" ref="Q13:S13" ca="1" si="27">SUM(Q14:Q30)</f>
        <v>3235</v>
      </c>
      <c r="R13" s="277">
        <f t="shared" ca="1" si="27"/>
        <v>1115</v>
      </c>
      <c r="S13" s="277">
        <f t="shared" ca="1" si="27"/>
        <v>2185</v>
      </c>
      <c r="T13" s="57">
        <f t="shared" ref="T13:T88" ca="1" si="28">IF(Q13&gt;0,S13*100/Q13,0)</f>
        <v>67.542503863987633</v>
      </c>
      <c r="U13" s="277">
        <f ca="1">SUM(U14:U30)</f>
        <v>800</v>
      </c>
      <c r="V13" s="57">
        <f t="shared" ref="V13:V88" ca="1" si="29">IF(R13&gt;0,U13*100/R13,0)</f>
        <v>71.74887892376681</v>
      </c>
      <c r="W13" s="640"/>
    </row>
    <row r="14" spans="1:23" ht="19.5" x14ac:dyDescent="0.3">
      <c r="A14" s="147">
        <v>1</v>
      </c>
      <c r="B14" s="148" t="s">
        <v>42</v>
      </c>
      <c r="C14" s="475">
        <f ca="1">IFERROR(__xludf.DUMMYFUNCTION("IMPORTRANGE(""https://docs.google.com/spreadsheets/d/1jTcq05yEiRwXcBMLjiodW9e4biSGYWAHcDj22rKWQ3s/edit?usp=sharing"",""กำแพงเพชร!Q760"")"),871800)</f>
        <v>871800</v>
      </c>
      <c r="D14" s="260">
        <f ca="1">IFERROR(__xludf.DUMMYFUNCTION("IMPORTRANGE(""https://docs.google.com/spreadsheets/d/1jTcq05yEiRwXcBMLjiodW9e4biSGYWAHcDj22rKWQ3s/edit?usp=sharing"",""กำแพงเพชร!R760"")"),871800)</f>
        <v>871800</v>
      </c>
      <c r="E14" s="475">
        <f ca="1">IFERROR(__xludf.DUMMYFUNCTION("IMPORTRANGE(""https://docs.google.com/spreadsheets/d/1jTcq05yEiRwXcBMLjiodW9e4biSGYWAHcDj22rKWQ3s/edit?usp=sharing"",""กำแพงเพชร!S760"")"),214260)</f>
        <v>214260</v>
      </c>
      <c r="F14" s="260">
        <f t="shared" ca="1" si="19"/>
        <v>24.576737783895389</v>
      </c>
      <c r="G14" s="260">
        <f t="shared" ca="1" si="20"/>
        <v>24.576737783895389</v>
      </c>
      <c r="H14" s="279">
        <v>0</v>
      </c>
      <c r="I14" s="397">
        <v>0</v>
      </c>
      <c r="J14" s="216">
        <f t="shared" si="22"/>
        <v>0</v>
      </c>
      <c r="K14" s="397">
        <f ca="1">IFERROR(__xludf.DUMMYFUNCTION("IMPORTRANGE(""https://docs.google.com/spreadsheets/d/1jTcq05yEiRwXcBMLjiodW9e4biSGYWAHcDj22rKWQ3s/edit?usp=sharing"",""กำแพงเพชร!I772"")"),50)</f>
        <v>50</v>
      </c>
      <c r="L14" s="397">
        <f ca="1">IFERROR(__xludf.DUMMYFUNCTION("IMPORTRANGE(""https://docs.google.com/spreadsheets/d/1jTcq05yEiRwXcBMLjiodW9e4biSGYWAHcDj22rKWQ3s/edit?usp=sharing"",""กำแพงเพชร!J772"")"),50)</f>
        <v>50</v>
      </c>
      <c r="M14" s="216">
        <f t="shared" ca="1" si="24"/>
        <v>100</v>
      </c>
      <c r="N14" s="397">
        <f ca="1">IFERROR(__xludf.DUMMYFUNCTION("IMPORTRANGE(""https://docs.google.com/spreadsheets/d/1jTcq05yEiRwXcBMLjiodW9e4biSGYWAHcDj22rKWQ3s/edit?usp=sharing"",""กำแพงเพชร!I774"")"),500)</f>
        <v>500</v>
      </c>
      <c r="O14" s="397">
        <f ca="1">IFERROR(__xludf.DUMMYFUNCTION("IMPORTRANGE(""https://docs.google.com/spreadsheets/d/1jTcq05yEiRwXcBMLjiodW9e4biSGYWAHcDj22rKWQ3s/edit?usp=sharing"",""กำแพงเพชร!J774"")"),500)</f>
        <v>500</v>
      </c>
      <c r="P14" s="216">
        <f t="shared" ca="1" si="26"/>
        <v>100</v>
      </c>
      <c r="Q14" s="397">
        <f ca="1">IFERROR(__xludf.DUMMYFUNCTION("IMPORTRANGE(""https://docs.google.com/spreadsheets/d/1jTcq05yEiRwXcBMLjiodW9e4biSGYWAHcDj22rKWQ3s/edit?usp=sharing"",""กำแพงเพชร!I775"")"),500)</f>
        <v>500</v>
      </c>
      <c r="R14" s="397">
        <f ca="1">IFERROR(__xludf.DUMMYFUNCTION("IMPORTRANGE(""https://docs.google.com/spreadsheets/d/1jTcq05yEiRwXcBMLjiodW9e4biSGYWAHcDj22rKWQ3s/edit?usp=sharing"",""กำแพงเพชร!I776"")"),50)</f>
        <v>50</v>
      </c>
      <c r="S14" s="397">
        <f ca="1">IFERROR(__xludf.DUMMYFUNCTION("IMPORTRANGE(""https://docs.google.com/spreadsheets/d/1jTcq05yEiRwXcBMLjiodW9e4biSGYWAHcDj22rKWQ3s/edit?usp=sharing"",""กำแพงเพชร!J775"")"),0)</f>
        <v>0</v>
      </c>
      <c r="T14" s="216">
        <f t="shared" ca="1" si="28"/>
        <v>0</v>
      </c>
      <c r="U14" s="397">
        <f ca="1">IFERROR(__xludf.DUMMYFUNCTION("IMPORTRANGE(""https://docs.google.com/spreadsheets/d/1jTcq05yEiRwXcBMLjiodW9e4biSGYWAHcDj22rKWQ3s/edit?usp=sharing"",""กำแพงเพชร!J776"")"),0)</f>
        <v>0</v>
      </c>
      <c r="V14" s="216">
        <f t="shared" ca="1" si="29"/>
        <v>0</v>
      </c>
      <c r="W14" s="232"/>
    </row>
    <row r="15" spans="1:23" ht="19.5" x14ac:dyDescent="0.3">
      <c r="A15" s="147">
        <v>2</v>
      </c>
      <c r="B15" s="148" t="s">
        <v>43</v>
      </c>
      <c r="C15" s="475">
        <f ca="1">IFERROR(__xludf.DUMMYFUNCTION("IMPORTRANGE(""https://docs.google.com/spreadsheets/d/1KS0zmDSZPk8KnTAbGN-Xk6MtX1YRZD0ldgdt20K4CRk/edit?usp=sharing"",""เชียงราย!Q760"")"),806680)</f>
        <v>806680</v>
      </c>
      <c r="D15" s="260">
        <f ca="1">IFERROR(__xludf.DUMMYFUNCTION("IMPORTRANGE(""https://docs.google.com/spreadsheets/d/1KS0zmDSZPk8KnTAbGN-Xk6MtX1YRZD0ldgdt20K4CRk/edit?usp=sharing"",""เชียงราย!R760"")"),806680)</f>
        <v>806680</v>
      </c>
      <c r="E15" s="475">
        <f ca="1">IFERROR(__xludf.DUMMYFUNCTION("IMPORTRANGE(""https://docs.google.com/spreadsheets/d/1KS0zmDSZPk8KnTAbGN-Xk6MtX1YRZD0ldgdt20K4CRk/edit?usp=sharing"",""เชียงราย!S760"")"),774231.67)</f>
        <v>774231.67</v>
      </c>
      <c r="F15" s="260">
        <f t="shared" ca="1" si="19"/>
        <v>95.977546238905148</v>
      </c>
      <c r="G15" s="260">
        <f t="shared" ca="1" si="20"/>
        <v>95.977546238905148</v>
      </c>
      <c r="H15" s="278">
        <v>0</v>
      </c>
      <c r="I15" s="152">
        <v>0</v>
      </c>
      <c r="J15" s="216">
        <f t="shared" si="22"/>
        <v>0</v>
      </c>
      <c r="K15" s="152">
        <f ca="1">IFERROR(__xludf.DUMMYFUNCTION("IMPORTRANGE(""https://docs.google.com/spreadsheets/d/1KS0zmDSZPk8KnTAbGN-Xk6MtX1YRZD0ldgdt20K4CRk/edit?usp=sharing"",""เชียงราย!I772"")"),150)</f>
        <v>150</v>
      </c>
      <c r="L15" s="152">
        <f ca="1">IFERROR(__xludf.DUMMYFUNCTION("IMPORTRANGE(""https://docs.google.com/spreadsheets/d/1KS0zmDSZPk8KnTAbGN-Xk6MtX1YRZD0ldgdt20K4CRk/edit?usp=sharing"",""เชียงราย!J772"")"),150)</f>
        <v>150</v>
      </c>
      <c r="M15" s="216">
        <f t="shared" ca="1" si="24"/>
        <v>100</v>
      </c>
      <c r="N15" s="152">
        <f ca="1">IFERROR(__xludf.DUMMYFUNCTION("IMPORTRANGE(""https://docs.google.com/spreadsheets/d/1KS0zmDSZPk8KnTAbGN-Xk6MtX1YRZD0ldgdt20K4CRk/edit?usp=sharing"",""เชียงราย!I774"")"),300)</f>
        <v>300</v>
      </c>
      <c r="O15" s="152">
        <f ca="1">IFERROR(__xludf.DUMMYFUNCTION("IMPORTRANGE(""https://docs.google.com/spreadsheets/d/1KS0zmDSZPk8KnTAbGN-Xk6MtX1YRZD0ldgdt20K4CRk/edit?usp=sharing"",""เชียงราย!J774"")"),300)</f>
        <v>300</v>
      </c>
      <c r="P15" s="216">
        <f t="shared" ca="1" si="26"/>
        <v>100</v>
      </c>
      <c r="Q15" s="152">
        <f ca="1">IFERROR(__xludf.DUMMYFUNCTION("IMPORTRANGE(""https://docs.google.com/spreadsheets/d/1KS0zmDSZPk8KnTAbGN-Xk6MtX1YRZD0ldgdt20K4CRk/edit?usp=sharing"",""เชียงราย!I775"")"),300)</f>
        <v>300</v>
      </c>
      <c r="R15" s="152">
        <f ca="1">IFERROR(__xludf.DUMMYFUNCTION("IMPORTRANGE(""https://docs.google.com/spreadsheets/d/1KS0zmDSZPk8KnTAbGN-Xk6MtX1YRZD0ldgdt20K4CRk/edit?usp=sharing"",""เชียงราย!I776"")"),150)</f>
        <v>150</v>
      </c>
      <c r="S15" s="152">
        <f ca="1">IFERROR(__xludf.DUMMYFUNCTION("IMPORTRANGE(""https://docs.google.com/spreadsheets/d/1KS0zmDSZPk8KnTAbGN-Xk6MtX1YRZD0ldgdt20K4CRk/edit?usp=sharing"",""เชียงราย!J775"")"),300)</f>
        <v>300</v>
      </c>
      <c r="T15" s="216">
        <f t="shared" ca="1" si="28"/>
        <v>100</v>
      </c>
      <c r="U15" s="152">
        <f ca="1">IFERROR(__xludf.DUMMYFUNCTION("IMPORTRANGE(""https://docs.google.com/spreadsheets/d/1KS0zmDSZPk8KnTAbGN-Xk6MtX1YRZD0ldgdt20K4CRk/edit?usp=sharing"",""เชียงราย!J776"")"),150)</f>
        <v>150</v>
      </c>
      <c r="V15" s="216">
        <f t="shared" ca="1" si="29"/>
        <v>100</v>
      </c>
      <c r="W15" s="232"/>
    </row>
    <row r="16" spans="1:23" ht="19.5" x14ac:dyDescent="0.3">
      <c r="A16" s="147">
        <v>3</v>
      </c>
      <c r="B16" s="148" t="s">
        <v>44</v>
      </c>
      <c r="C16" s="475">
        <f ca="1">IFERROR(__xludf.DUMMYFUNCTION("IMPORTRANGE(""https://docs.google.com/spreadsheets/d/1rEDxBtusbi64tE0zunoIbsTVV16HeL0oJ6trHQeQ7K8/edit?usp=sharing"",""เชียงใหม่!Q760"")"),416100)</f>
        <v>416100</v>
      </c>
      <c r="D16" s="260">
        <f ca="1">IFERROR(__xludf.DUMMYFUNCTION("IMPORTRANGE(""https://docs.google.com/spreadsheets/d/1rEDxBtusbi64tE0zunoIbsTVV16HeL0oJ6trHQeQ7K8/edit?usp=sharing"",""เชียงใหม่!R760"")"),416100)</f>
        <v>416100</v>
      </c>
      <c r="E16" s="475">
        <f ca="1">IFERROR(__xludf.DUMMYFUNCTION("IMPORTRANGE(""https://docs.google.com/spreadsheets/d/1rEDxBtusbi64tE0zunoIbsTVV16HeL0oJ6trHQeQ7K8/edit?usp=sharing"",""เชียงใหม่!S760"")"),363860)</f>
        <v>363860</v>
      </c>
      <c r="F16" s="260">
        <f t="shared" ca="1" si="19"/>
        <v>87.445325642874309</v>
      </c>
      <c r="G16" s="260">
        <f t="shared" ca="1" si="20"/>
        <v>87.445325642874309</v>
      </c>
      <c r="H16" s="279">
        <v>0</v>
      </c>
      <c r="I16" s="397">
        <v>0</v>
      </c>
      <c r="J16" s="216">
        <f t="shared" si="22"/>
        <v>0</v>
      </c>
      <c r="K16" s="397">
        <f ca="1">IFERROR(__xludf.DUMMYFUNCTION("IMPORTRANGE(""https://docs.google.com/spreadsheets/d/1rEDxBtusbi64tE0zunoIbsTVV16HeL0oJ6trHQeQ7K8/edit?usp=sharing"",""เชียงใหม่!I772"")"),60)</f>
        <v>60</v>
      </c>
      <c r="L16" s="397">
        <f ca="1">IFERROR(__xludf.DUMMYFUNCTION("IMPORTRANGE(""https://docs.google.com/spreadsheets/d/1rEDxBtusbi64tE0zunoIbsTVV16HeL0oJ6trHQeQ7K8/edit?usp=sharing"",""เชียงใหม่!J772"")"),60)</f>
        <v>60</v>
      </c>
      <c r="M16" s="216">
        <f t="shared" ca="1" si="24"/>
        <v>100</v>
      </c>
      <c r="N16" s="397">
        <f ca="1">IFERROR(__xludf.DUMMYFUNCTION("IMPORTRANGE(""https://docs.google.com/spreadsheets/d/1rEDxBtusbi64tE0zunoIbsTVV16HeL0oJ6trHQeQ7K8/edit?usp=sharing"",""เชียงใหม่!I774"")"),110)</f>
        <v>110</v>
      </c>
      <c r="O16" s="397">
        <f ca="1">IFERROR(__xludf.DUMMYFUNCTION("IMPORTRANGE(""https://docs.google.com/spreadsheets/d/1rEDxBtusbi64tE0zunoIbsTVV16HeL0oJ6trHQeQ7K8/edit?usp=sharing"",""เชียงใหม่!J774"")"),110)</f>
        <v>110</v>
      </c>
      <c r="P16" s="216">
        <f t="shared" ca="1" si="26"/>
        <v>100</v>
      </c>
      <c r="Q16" s="397">
        <f ca="1">IFERROR(__xludf.DUMMYFUNCTION("IMPORTRANGE(""https://docs.google.com/spreadsheets/d/1rEDxBtusbi64tE0zunoIbsTVV16HeL0oJ6trHQeQ7K8/edit?usp=sharing"",""เชียงใหม่!I775"")"),110)</f>
        <v>110</v>
      </c>
      <c r="R16" s="397">
        <f ca="1">IFERROR(__xludf.DUMMYFUNCTION("IMPORTRANGE(""https://docs.google.com/spreadsheets/d/1rEDxBtusbi64tE0zunoIbsTVV16HeL0oJ6trHQeQ7K8/edit?usp=sharing"",""เชียงใหม่!I776"")"),60)</f>
        <v>60</v>
      </c>
      <c r="S16" s="397">
        <f ca="1">IFERROR(__xludf.DUMMYFUNCTION("IMPORTRANGE(""https://docs.google.com/spreadsheets/d/1rEDxBtusbi64tE0zunoIbsTVV16HeL0oJ6trHQeQ7K8/edit?usp=sharing"",""เชียงใหม่!J775"")"),110)</f>
        <v>110</v>
      </c>
      <c r="T16" s="216">
        <f t="shared" ca="1" si="28"/>
        <v>100</v>
      </c>
      <c r="U16" s="397">
        <f ca="1">IFERROR(__xludf.DUMMYFUNCTION("IMPORTRANGE(""https://docs.google.com/spreadsheets/d/1rEDxBtusbi64tE0zunoIbsTVV16HeL0oJ6trHQeQ7K8/edit?usp=sharing"",""เชียงใหม่!J776"")"),60)</f>
        <v>60</v>
      </c>
      <c r="V16" s="216">
        <f t="shared" ca="1" si="29"/>
        <v>100</v>
      </c>
      <c r="W16" s="232"/>
    </row>
    <row r="17" spans="1:23" ht="19.5" x14ac:dyDescent="0.3">
      <c r="A17" s="147">
        <v>4</v>
      </c>
      <c r="B17" s="148" t="s">
        <v>45</v>
      </c>
      <c r="C17" s="475">
        <f ca="1">IFERROR(__xludf.DUMMYFUNCTION("IMPORTRANGE(""https://docs.google.com/spreadsheets/d/1W6MnUbDkMi6xHnHko_XkFDO9kkuL6Wqyc-6OCDFjW9I/edit?usp=sharing"",""ตาก!Q760"")"),0)</f>
        <v>0</v>
      </c>
      <c r="D17" s="260">
        <f ca="1">IFERROR(__xludf.DUMMYFUNCTION("IMPORTRANGE(""https://docs.google.com/spreadsheets/d/1W6MnUbDkMi6xHnHko_XkFDO9kkuL6Wqyc-6OCDFjW9I/edit?usp=sharing"",""ตาก!R760"")"),0)</f>
        <v>0</v>
      </c>
      <c r="E17" s="475">
        <f ca="1">IFERROR(__xludf.DUMMYFUNCTION("IMPORTRANGE(""https://docs.google.com/spreadsheets/d/1W6MnUbDkMi6xHnHko_XkFDO9kkuL6Wqyc-6OCDFjW9I/edit?usp=sharing"",""ตาก!S760"")"),0)</f>
        <v>0</v>
      </c>
      <c r="F17" s="260">
        <f t="shared" ca="1" si="19"/>
        <v>0</v>
      </c>
      <c r="G17" s="260">
        <f t="shared" ca="1" si="20"/>
        <v>0</v>
      </c>
      <c r="H17" s="278">
        <v>0</v>
      </c>
      <c r="I17" s="152">
        <v>0</v>
      </c>
      <c r="J17" s="216">
        <f t="shared" si="22"/>
        <v>0</v>
      </c>
      <c r="K17" s="152">
        <f ca="1">IFERROR(__xludf.DUMMYFUNCTION("IMPORTRANGE(""https://docs.google.com/spreadsheets/d/1W6MnUbDkMi6xHnHko_XkFDO9kkuL6Wqyc-6OCDFjW9I/edit?usp=sharing"",""ตาก!I772"")"),0)</f>
        <v>0</v>
      </c>
      <c r="L17" s="152">
        <f ca="1">IFERROR(__xludf.DUMMYFUNCTION("IMPORTRANGE(""https://docs.google.com/spreadsheets/d/1W6MnUbDkMi6xHnHko_XkFDO9kkuL6Wqyc-6OCDFjW9I/edit?usp=sharing"",""ตาก!J772"")"),0)</f>
        <v>0</v>
      </c>
      <c r="M17" s="216">
        <f t="shared" ca="1" si="24"/>
        <v>0</v>
      </c>
      <c r="N17" s="152">
        <f ca="1">IFERROR(__xludf.DUMMYFUNCTION("IMPORTRANGE(""https://docs.google.com/spreadsheets/d/1W6MnUbDkMi6xHnHko_XkFDO9kkuL6Wqyc-6OCDFjW9I/edit?usp=sharing"",""ตาก!I774"")"),0)</f>
        <v>0</v>
      </c>
      <c r="O17" s="152">
        <f ca="1">IFERROR(__xludf.DUMMYFUNCTION("IMPORTRANGE(""https://docs.google.com/spreadsheets/d/1W6MnUbDkMi6xHnHko_XkFDO9kkuL6Wqyc-6OCDFjW9I/edit?usp=sharing"",""ตาก!J774"")"),0)</f>
        <v>0</v>
      </c>
      <c r="P17" s="216">
        <f t="shared" ca="1" si="26"/>
        <v>0</v>
      </c>
      <c r="Q17" s="152">
        <f ca="1">IFERROR(__xludf.DUMMYFUNCTION("IMPORTRANGE(""https://docs.google.com/spreadsheets/d/1W6MnUbDkMi6xHnHko_XkFDO9kkuL6Wqyc-6OCDFjW9I/edit?usp=sharing"",""ตาก!I775"")"),0)</f>
        <v>0</v>
      </c>
      <c r="R17" s="152">
        <f ca="1">IFERROR(__xludf.DUMMYFUNCTION("IMPORTRANGE(""https://docs.google.com/spreadsheets/d/1W6MnUbDkMi6xHnHko_XkFDO9kkuL6Wqyc-6OCDFjW9I/edit?usp=sharing"",""ตาก!I776"")"),0)</f>
        <v>0</v>
      </c>
      <c r="S17" s="152">
        <f ca="1">IFERROR(__xludf.DUMMYFUNCTION("IMPORTRANGE(""https://docs.google.com/spreadsheets/d/1W6MnUbDkMi6xHnHko_XkFDO9kkuL6Wqyc-6OCDFjW9I/edit?usp=sharing"",""ตาก!J775"")"),0)</f>
        <v>0</v>
      </c>
      <c r="T17" s="216">
        <f t="shared" ca="1" si="28"/>
        <v>0</v>
      </c>
      <c r="U17" s="152">
        <f ca="1">IFERROR(__xludf.DUMMYFUNCTION("IMPORTRANGE(""https://docs.google.com/spreadsheets/d/1W6MnUbDkMi6xHnHko_XkFDO9kkuL6Wqyc-6OCDFjW9I/edit?usp=sharing"",""ตาก!J776"")"),0)</f>
        <v>0</v>
      </c>
      <c r="V17" s="216">
        <f t="shared" ca="1" si="29"/>
        <v>0</v>
      </c>
      <c r="W17" s="232"/>
    </row>
    <row r="18" spans="1:23" ht="19.5" x14ac:dyDescent="0.3">
      <c r="A18" s="147">
        <v>5</v>
      </c>
      <c r="B18" s="148" t="s">
        <v>46</v>
      </c>
      <c r="C18" s="475">
        <f ca="1">IFERROR(__xludf.DUMMYFUNCTION("IMPORTRANGE(""https://docs.google.com/spreadsheets/d/1IQAWArduLkta9LpYo4a_ULsyqdta6-6aDDiwpUnQT6c/edit?usp=sharing"",""นครสวรรค์!Q760"")"),470400)</f>
        <v>470400</v>
      </c>
      <c r="D18" s="260">
        <f ca="1">IFERROR(__xludf.DUMMYFUNCTION("IMPORTRANGE(""https://docs.google.com/spreadsheets/d/1IQAWArduLkta9LpYo4a_ULsyqdta6-6aDDiwpUnQT6c/edit?usp=sharing"",""นครสวรรค์!R760"")"),470400)</f>
        <v>470400</v>
      </c>
      <c r="E18" s="475">
        <f ca="1">IFERROR(__xludf.DUMMYFUNCTION("IMPORTRANGE(""https://docs.google.com/spreadsheets/d/1IQAWArduLkta9LpYo4a_ULsyqdta6-6aDDiwpUnQT6c/edit?usp=sharing"",""นครสวรรค์!S760"")"),404245)</f>
        <v>404245</v>
      </c>
      <c r="F18" s="260">
        <f t="shared" ca="1" si="19"/>
        <v>85.936437074829925</v>
      </c>
      <c r="G18" s="260">
        <f t="shared" ca="1" si="20"/>
        <v>85.936437074829925</v>
      </c>
      <c r="H18" s="278">
        <v>0</v>
      </c>
      <c r="I18" s="152">
        <v>0</v>
      </c>
      <c r="J18" s="216">
        <f t="shared" si="22"/>
        <v>0</v>
      </c>
      <c r="K18" s="152">
        <f ca="1">IFERROR(__xludf.DUMMYFUNCTION("IMPORTRANGE(""https://docs.google.com/spreadsheets/d/1IQAWArduLkta9LpYo4a_ULsyqdta6-6aDDiwpUnQT6c/edit?usp=sharing"",""นครสวรรค์!I772"")"),70)</f>
        <v>70</v>
      </c>
      <c r="L18" s="152">
        <f ca="1">IFERROR(__xludf.DUMMYFUNCTION("IMPORTRANGE(""https://docs.google.com/spreadsheets/d/1IQAWArduLkta9LpYo4a_ULsyqdta6-6aDDiwpUnQT6c/edit?usp=sharing"",""นครสวรรค์!J772"")"),70)</f>
        <v>70</v>
      </c>
      <c r="M18" s="216">
        <f t="shared" ca="1" si="24"/>
        <v>100</v>
      </c>
      <c r="N18" s="152">
        <f ca="1">IFERROR(__xludf.DUMMYFUNCTION("IMPORTRANGE(""https://docs.google.com/spreadsheets/d/1IQAWArduLkta9LpYo4a_ULsyqdta6-6aDDiwpUnQT6c/edit?usp=sharing"",""นครสวรรค์!I774"")"),140)</f>
        <v>140</v>
      </c>
      <c r="O18" s="152">
        <f ca="1">IFERROR(__xludf.DUMMYFUNCTION("IMPORTRANGE(""https://docs.google.com/spreadsheets/d/1IQAWArduLkta9LpYo4a_ULsyqdta6-6aDDiwpUnQT6c/edit?usp=sharing"",""นครสวรรค์!J774"")"),140)</f>
        <v>140</v>
      </c>
      <c r="P18" s="216">
        <f t="shared" ca="1" si="26"/>
        <v>100</v>
      </c>
      <c r="Q18" s="152">
        <f ca="1">IFERROR(__xludf.DUMMYFUNCTION("IMPORTRANGE(""https://docs.google.com/spreadsheets/d/1IQAWArduLkta9LpYo4a_ULsyqdta6-6aDDiwpUnQT6c/edit?usp=sharing"",""นครสวรรค์!I775"")"),140)</f>
        <v>140</v>
      </c>
      <c r="R18" s="152">
        <f ca="1">IFERROR(__xludf.DUMMYFUNCTION("IMPORTRANGE(""https://docs.google.com/spreadsheets/d/1IQAWArduLkta9LpYo4a_ULsyqdta6-6aDDiwpUnQT6c/edit?usp=sharing"",""นครสวรรค์!I776"")"),70)</f>
        <v>70</v>
      </c>
      <c r="S18" s="152">
        <f ca="1">IFERROR(__xludf.DUMMYFUNCTION("IMPORTRANGE(""https://docs.google.com/spreadsheets/d/1IQAWArduLkta9LpYo4a_ULsyqdta6-6aDDiwpUnQT6c/edit?usp=sharing"",""นครสวรรค์!J775"")"),0)</f>
        <v>0</v>
      </c>
      <c r="T18" s="216">
        <f t="shared" ca="1" si="28"/>
        <v>0</v>
      </c>
      <c r="U18" s="152">
        <f ca="1">IFERROR(__xludf.DUMMYFUNCTION("IMPORTRANGE(""https://docs.google.com/spreadsheets/d/1IQAWArduLkta9LpYo4a_ULsyqdta6-6aDDiwpUnQT6c/edit?usp=sharing"",""นครสวรรค์!J776"")"),0)</f>
        <v>0</v>
      </c>
      <c r="V18" s="216">
        <f t="shared" ca="1" si="29"/>
        <v>0</v>
      </c>
      <c r="W18" s="232"/>
    </row>
    <row r="19" spans="1:23" ht="19.5" x14ac:dyDescent="0.3">
      <c r="A19" s="147">
        <v>6</v>
      </c>
      <c r="B19" s="148" t="s">
        <v>47</v>
      </c>
      <c r="C19" s="475">
        <f ca="1">IFERROR(__xludf.DUMMYFUNCTION("IMPORTRANGE(""https://docs.google.com/spreadsheets/d/10s13Sk5xrltsiR-Zkbmk5DwIaDIKO8XlbJAfqyT7Gvg/edit?usp=sharing"",""น่าน!Q760"")"),491250)</f>
        <v>491250</v>
      </c>
      <c r="D19" s="260">
        <f ca="1">IFERROR(__xludf.DUMMYFUNCTION("IMPORTRANGE(""https://docs.google.com/spreadsheets/d/10s13Sk5xrltsiR-Zkbmk5DwIaDIKO8XlbJAfqyT7Gvg/edit?usp=sharing"",""น่าน!R760"")"),491250)</f>
        <v>491250</v>
      </c>
      <c r="E19" s="475">
        <f ca="1">IFERROR(__xludf.DUMMYFUNCTION("IMPORTRANGE(""https://docs.google.com/spreadsheets/d/10s13Sk5xrltsiR-Zkbmk5DwIaDIKO8XlbJAfqyT7Gvg/edit?usp=sharing"",""น่าน!S760"")"),207255)</f>
        <v>207255</v>
      </c>
      <c r="F19" s="260">
        <f t="shared" ca="1" si="19"/>
        <v>42.189312977099235</v>
      </c>
      <c r="G19" s="260">
        <f t="shared" ca="1" si="20"/>
        <v>42.189312977099235</v>
      </c>
      <c r="H19" s="278">
        <v>0</v>
      </c>
      <c r="I19" s="152">
        <v>0</v>
      </c>
      <c r="J19" s="216">
        <f t="shared" si="22"/>
        <v>0</v>
      </c>
      <c r="K19" s="152">
        <f ca="1">IFERROR(__xludf.DUMMYFUNCTION("IMPORTRANGE(""https://docs.google.com/spreadsheets/d/10s13Sk5xrltsiR-Zkbmk5DwIaDIKO8XlbJAfqyT7Gvg/edit?usp=sharing"",""น่าน!I772"")"),65)</f>
        <v>65</v>
      </c>
      <c r="L19" s="152">
        <f ca="1">IFERROR(__xludf.DUMMYFUNCTION("IMPORTRANGE(""https://docs.google.com/spreadsheets/d/10s13Sk5xrltsiR-Zkbmk5DwIaDIKO8XlbJAfqyT7Gvg/edit?usp=sharing"",""น่าน!J772"")"),65)</f>
        <v>65</v>
      </c>
      <c r="M19" s="216">
        <f t="shared" ca="1" si="24"/>
        <v>100</v>
      </c>
      <c r="N19" s="152">
        <f ca="1">IFERROR(__xludf.DUMMYFUNCTION("IMPORTRANGE(""https://docs.google.com/spreadsheets/d/10s13Sk5xrltsiR-Zkbmk5DwIaDIKO8XlbJAfqyT7Gvg/edit?usp=sharing"",""น่าน!I774"")"),170)</f>
        <v>170</v>
      </c>
      <c r="O19" s="152">
        <f ca="1">IFERROR(__xludf.DUMMYFUNCTION("IMPORTRANGE(""https://docs.google.com/spreadsheets/d/10s13Sk5xrltsiR-Zkbmk5DwIaDIKO8XlbJAfqyT7Gvg/edit?usp=sharing"",""น่าน!J774"")"),170)</f>
        <v>170</v>
      </c>
      <c r="P19" s="216">
        <f t="shared" ca="1" si="26"/>
        <v>100</v>
      </c>
      <c r="Q19" s="152">
        <f ca="1">IFERROR(__xludf.DUMMYFUNCTION("IMPORTRANGE(""https://docs.google.com/spreadsheets/d/10s13Sk5xrltsiR-Zkbmk5DwIaDIKO8XlbJAfqyT7Gvg/edit?usp=sharing"",""น่าน!I775"")"),170)</f>
        <v>170</v>
      </c>
      <c r="R19" s="152">
        <f ca="1">IFERROR(__xludf.DUMMYFUNCTION("IMPORTRANGE(""https://docs.google.com/spreadsheets/d/10s13Sk5xrltsiR-Zkbmk5DwIaDIKO8XlbJAfqyT7Gvg/edit?usp=sharing"",""น่าน!I776"")"),65)</f>
        <v>65</v>
      </c>
      <c r="S19" s="152">
        <f ca="1">IFERROR(__xludf.DUMMYFUNCTION("IMPORTRANGE(""https://docs.google.com/spreadsheets/d/10s13Sk5xrltsiR-Zkbmk5DwIaDIKO8XlbJAfqyT7Gvg/edit?usp=sharing"",""น่าน!J775"")"),0)</f>
        <v>0</v>
      </c>
      <c r="T19" s="216">
        <f t="shared" ca="1" si="28"/>
        <v>0</v>
      </c>
      <c r="U19" s="152">
        <f ca="1">IFERROR(__xludf.DUMMYFUNCTION("IMPORTRANGE(""https://docs.google.com/spreadsheets/d/10s13Sk5xrltsiR-Zkbmk5DwIaDIKO8XlbJAfqyT7Gvg/edit?usp=sharing"",""น่าน!J776"")"),0)</f>
        <v>0</v>
      </c>
      <c r="V19" s="216">
        <f t="shared" ca="1" si="29"/>
        <v>0</v>
      </c>
      <c r="W19" s="232"/>
    </row>
    <row r="20" spans="1:23" ht="19.5" x14ac:dyDescent="0.3">
      <c r="A20" s="147">
        <v>7</v>
      </c>
      <c r="B20" s="148" t="s">
        <v>48</v>
      </c>
      <c r="C20" s="475">
        <f ca="1">IFERROR(__xludf.DUMMYFUNCTION("IMPORTRANGE(""https://docs.google.com/spreadsheets/d/1uu4nAn4Dbi1XREnLKKotUANlKXa7yCgRcgq8HEzQYW8/edit?usp=sharing"",""พะเยา!Q760"")"),484700)</f>
        <v>484700</v>
      </c>
      <c r="D20" s="260">
        <f ca="1">IFERROR(__xludf.DUMMYFUNCTION("IMPORTRANGE(""https://docs.google.com/spreadsheets/d/1uu4nAn4Dbi1XREnLKKotUANlKXa7yCgRcgq8HEzQYW8/edit?usp=sharing"",""พะเยา!R760"")"),484700)</f>
        <v>484700</v>
      </c>
      <c r="E20" s="475">
        <f ca="1">IFERROR(__xludf.DUMMYFUNCTION("IMPORTRANGE(""https://docs.google.com/spreadsheets/d/1uu4nAn4Dbi1XREnLKKotUANlKXa7yCgRcgq8HEzQYW8/edit?usp=sharing"",""พะเยา!S760"")"),297058)</f>
        <v>297058</v>
      </c>
      <c r="F20" s="260">
        <f t="shared" ca="1" si="19"/>
        <v>61.286981638126676</v>
      </c>
      <c r="G20" s="260">
        <f t="shared" ca="1" si="20"/>
        <v>61.286981638126676</v>
      </c>
      <c r="H20" s="278">
        <v>0</v>
      </c>
      <c r="I20" s="152">
        <v>0</v>
      </c>
      <c r="J20" s="216">
        <f t="shared" si="22"/>
        <v>0</v>
      </c>
      <c r="K20" s="152">
        <f ca="1">IFERROR(__xludf.DUMMYFUNCTION("IMPORTRANGE(""https://docs.google.com/spreadsheets/d/1uu4nAn4Dbi1XREnLKKotUANlKXa7yCgRcgq8HEzQYW8/edit?usp=sharing"",""พะเยา!I772"")"),80)</f>
        <v>80</v>
      </c>
      <c r="L20" s="152">
        <f ca="1">IFERROR(__xludf.DUMMYFUNCTION("IMPORTRANGE(""https://docs.google.com/spreadsheets/d/1uu4nAn4Dbi1XREnLKKotUANlKXa7yCgRcgq8HEzQYW8/edit?usp=sharing"",""พะเยา!J772"")"),80)</f>
        <v>80</v>
      </c>
      <c r="M20" s="216">
        <f t="shared" ca="1" si="24"/>
        <v>100</v>
      </c>
      <c r="N20" s="152">
        <f ca="1">IFERROR(__xludf.DUMMYFUNCTION("IMPORTRANGE(""https://docs.google.com/spreadsheets/d/1uu4nAn4Dbi1XREnLKKotUANlKXa7yCgRcgq8HEzQYW8/edit?usp=sharing"",""พะเยา!I774"")"),140)</f>
        <v>140</v>
      </c>
      <c r="O20" s="152">
        <f ca="1">IFERROR(__xludf.DUMMYFUNCTION("IMPORTRANGE(""https://docs.google.com/spreadsheets/d/1uu4nAn4Dbi1XREnLKKotUANlKXa7yCgRcgq8HEzQYW8/edit?usp=sharing"",""พะเยา!J774"")"),140)</f>
        <v>140</v>
      </c>
      <c r="P20" s="216">
        <f t="shared" ca="1" si="26"/>
        <v>100</v>
      </c>
      <c r="Q20" s="152">
        <f ca="1">IFERROR(__xludf.DUMMYFUNCTION("IMPORTRANGE(""https://docs.google.com/spreadsheets/d/1uu4nAn4Dbi1XREnLKKotUANlKXa7yCgRcgq8HEzQYW8/edit?usp=sharing"",""พะเยา!I775"")"),140)</f>
        <v>140</v>
      </c>
      <c r="R20" s="152">
        <f ca="1">IFERROR(__xludf.DUMMYFUNCTION("IMPORTRANGE(""https://docs.google.com/spreadsheets/d/1uu4nAn4Dbi1XREnLKKotUANlKXa7yCgRcgq8HEzQYW8/edit?usp=sharing"",""พะเยา!I776"")"),80)</f>
        <v>80</v>
      </c>
      <c r="S20" s="152">
        <f ca="1">IFERROR(__xludf.DUMMYFUNCTION("IMPORTRANGE(""https://docs.google.com/spreadsheets/d/1uu4nAn4Dbi1XREnLKKotUANlKXa7yCgRcgq8HEzQYW8/edit?usp=sharing"",""พะเยา!J775"")"),0)</f>
        <v>0</v>
      </c>
      <c r="T20" s="216">
        <f t="shared" ca="1" si="28"/>
        <v>0</v>
      </c>
      <c r="U20" s="152">
        <f ca="1">IFERROR(__xludf.DUMMYFUNCTION("IMPORTRANGE(""https://docs.google.com/spreadsheets/d/1uu4nAn4Dbi1XREnLKKotUANlKXa7yCgRcgq8HEzQYW8/edit?usp=sharing"",""พะเยา!J776"")"),0)</f>
        <v>0</v>
      </c>
      <c r="V20" s="216">
        <f t="shared" ca="1" si="29"/>
        <v>0</v>
      </c>
      <c r="W20" s="232"/>
    </row>
    <row r="21" spans="1:23" ht="19.5" x14ac:dyDescent="0.3">
      <c r="A21" s="147">
        <v>8</v>
      </c>
      <c r="B21" s="148" t="s">
        <v>49</v>
      </c>
      <c r="C21" s="475">
        <f ca="1">IFERROR(__xludf.DUMMYFUNCTION("IMPORTRANGE(""https://docs.google.com/spreadsheets/d/1xfJKIQxVOaPDIICqsflNlLu3JacTDk1FP9RH4phX7mI/edit?usp=sharing"",""พิจิตร!Q760"")"),400950)</f>
        <v>400950</v>
      </c>
      <c r="D21" s="260">
        <f ca="1">IFERROR(__xludf.DUMMYFUNCTION("IMPORTRANGE(""https://docs.google.com/spreadsheets/d/1xfJKIQxVOaPDIICqsflNlLu3JacTDk1FP9RH4phX7mI/edit?usp=sharing"",""พิจิตร!R760"")"),400950)</f>
        <v>400950</v>
      </c>
      <c r="E21" s="475">
        <f ca="1">IFERROR(__xludf.DUMMYFUNCTION("IMPORTRANGE(""https://docs.google.com/spreadsheets/d/1xfJKIQxVOaPDIICqsflNlLu3JacTDk1FP9RH4phX7mI/edit?usp=sharing"",""พิจิตร!S760"")"),338525)</f>
        <v>338525</v>
      </c>
      <c r="F21" s="260">
        <f t="shared" ca="1" si="19"/>
        <v>84.430727023319619</v>
      </c>
      <c r="G21" s="260">
        <f t="shared" ca="1" si="20"/>
        <v>84.430727023319619</v>
      </c>
      <c r="H21" s="278">
        <v>0</v>
      </c>
      <c r="I21" s="152">
        <v>0</v>
      </c>
      <c r="J21" s="216">
        <f t="shared" si="22"/>
        <v>0</v>
      </c>
      <c r="K21" s="152">
        <f ca="1">IFERROR(__xludf.DUMMYFUNCTION("IMPORTRANGE(""https://docs.google.com/spreadsheets/d/1xfJKIQxVOaPDIICqsflNlLu3JacTDk1FP9RH4phX7mI/edit?usp=sharing"",""พิจิตร!I772"")"),55)</f>
        <v>55</v>
      </c>
      <c r="L21" s="152">
        <f ca="1">IFERROR(__xludf.DUMMYFUNCTION("IMPORTRANGE(""https://docs.google.com/spreadsheets/d/1xfJKIQxVOaPDIICqsflNlLu3JacTDk1FP9RH4phX7mI/edit?usp=sharing"",""พิจิตร!J772"")"),55)</f>
        <v>55</v>
      </c>
      <c r="M21" s="216">
        <f t="shared" ca="1" si="24"/>
        <v>100</v>
      </c>
      <c r="N21" s="152">
        <f ca="1">IFERROR(__xludf.DUMMYFUNCTION("IMPORTRANGE(""https://docs.google.com/spreadsheets/d/1xfJKIQxVOaPDIICqsflNlLu3JacTDk1FP9RH4phX7mI/edit?usp=sharing"",""พิจิตร!I774"")"),110)</f>
        <v>110</v>
      </c>
      <c r="O21" s="152">
        <f ca="1">IFERROR(__xludf.DUMMYFUNCTION("IMPORTRANGE(""https://docs.google.com/spreadsheets/d/1xfJKIQxVOaPDIICqsflNlLu3JacTDk1FP9RH4phX7mI/edit?usp=sharing"",""พิจิตร!J774"")"),110)</f>
        <v>110</v>
      </c>
      <c r="P21" s="216">
        <f t="shared" ca="1" si="26"/>
        <v>100</v>
      </c>
      <c r="Q21" s="152">
        <f ca="1">IFERROR(__xludf.DUMMYFUNCTION("IMPORTRANGE(""https://docs.google.com/spreadsheets/d/1xfJKIQxVOaPDIICqsflNlLu3JacTDk1FP9RH4phX7mI/edit?usp=sharing"",""พิจิตร!I775"")"),110)</f>
        <v>110</v>
      </c>
      <c r="R21" s="152">
        <f ca="1">IFERROR(__xludf.DUMMYFUNCTION("IMPORTRANGE(""https://docs.google.com/spreadsheets/d/1xfJKIQxVOaPDIICqsflNlLu3JacTDk1FP9RH4phX7mI/edit?usp=sharing"",""พิจิตร!I776"")"),55)</f>
        <v>55</v>
      </c>
      <c r="S21" s="152">
        <f ca="1">IFERROR(__xludf.DUMMYFUNCTION("IMPORTRANGE(""https://docs.google.com/spreadsheets/d/1xfJKIQxVOaPDIICqsflNlLu3JacTDk1FP9RH4phX7mI/edit?usp=sharing"",""พิจิตร!J775"")"),110)</f>
        <v>110</v>
      </c>
      <c r="T21" s="216">
        <f t="shared" ca="1" si="28"/>
        <v>100</v>
      </c>
      <c r="U21" s="152">
        <f ca="1">IFERROR(__xludf.DUMMYFUNCTION("IMPORTRANGE(""https://docs.google.com/spreadsheets/d/1xfJKIQxVOaPDIICqsflNlLu3JacTDk1FP9RH4phX7mI/edit?usp=sharing"",""พิจิตร!J776"")"),55)</f>
        <v>55</v>
      </c>
      <c r="V21" s="216">
        <f t="shared" ca="1" si="29"/>
        <v>100</v>
      </c>
      <c r="W21" s="232"/>
    </row>
    <row r="22" spans="1:23" ht="19.5" x14ac:dyDescent="0.3">
      <c r="A22" s="147">
        <v>9</v>
      </c>
      <c r="B22" s="148" t="s">
        <v>50</v>
      </c>
      <c r="C22" s="475">
        <f ca="1">IFERROR(__xludf.DUMMYFUNCTION("IMPORTRANGE(""https://docs.google.com/spreadsheets/d/1JtRfZkJMHtEhI5RdRHxYUG4FIZHqKDpNyIuN7A1Q0_k/edit?usp=sharing"",""พิษณุโลก!Q760"")"),0)</f>
        <v>0</v>
      </c>
      <c r="D22" s="260">
        <f ca="1">IFERROR(__xludf.DUMMYFUNCTION("IMPORTRANGE(""https://docs.google.com/spreadsheets/d/1JtRfZkJMHtEhI5RdRHxYUG4FIZHqKDpNyIuN7A1Q0_k/edit?usp=sharing"",""พิษณุโลก!R760"")"),0)</f>
        <v>0</v>
      </c>
      <c r="E22" s="475">
        <f ca="1">IFERROR(__xludf.DUMMYFUNCTION("IMPORTRANGE(""https://docs.google.com/spreadsheets/d/1JtRfZkJMHtEhI5RdRHxYUG4FIZHqKDpNyIuN7A1Q0_k/edit?usp=sharing"",""พิษณุโลก!S760"")"),0)</f>
        <v>0</v>
      </c>
      <c r="F22" s="260">
        <f t="shared" ca="1" si="19"/>
        <v>0</v>
      </c>
      <c r="G22" s="260">
        <f t="shared" ca="1" si="20"/>
        <v>0</v>
      </c>
      <c r="H22" s="278">
        <v>0</v>
      </c>
      <c r="I22" s="152">
        <v>0</v>
      </c>
      <c r="J22" s="216">
        <f t="shared" si="22"/>
        <v>0</v>
      </c>
      <c r="K22" s="152">
        <f ca="1">IFERROR(__xludf.DUMMYFUNCTION("IMPORTRANGE(""https://docs.google.com/spreadsheets/d/1JtRfZkJMHtEhI5RdRHxYUG4FIZHqKDpNyIuN7A1Q0_k/edit?usp=sharing"",""พิษณุโลก!I772"")"),0)</f>
        <v>0</v>
      </c>
      <c r="L22" s="152">
        <f ca="1">IFERROR(__xludf.DUMMYFUNCTION("IMPORTRANGE(""https://docs.google.com/spreadsheets/d/1JtRfZkJMHtEhI5RdRHxYUG4FIZHqKDpNyIuN7A1Q0_k/edit?usp=sharing"",""พิษณุโลก!J772"")"),0)</f>
        <v>0</v>
      </c>
      <c r="M22" s="216">
        <f t="shared" ca="1" si="24"/>
        <v>0</v>
      </c>
      <c r="N22" s="152">
        <f ca="1">IFERROR(__xludf.DUMMYFUNCTION("IMPORTRANGE(""https://docs.google.com/spreadsheets/d/1JtRfZkJMHtEhI5RdRHxYUG4FIZHqKDpNyIuN7A1Q0_k/edit?usp=sharing"",""พิษณุโลก!I774"")"),0)</f>
        <v>0</v>
      </c>
      <c r="O22" s="152">
        <f ca="1">IFERROR(__xludf.DUMMYFUNCTION("IMPORTRANGE(""https://docs.google.com/spreadsheets/d/1JtRfZkJMHtEhI5RdRHxYUG4FIZHqKDpNyIuN7A1Q0_k/edit?usp=sharing"",""พิษณุโลก!J774"")"),0)</f>
        <v>0</v>
      </c>
      <c r="P22" s="216">
        <f t="shared" ca="1" si="26"/>
        <v>0</v>
      </c>
      <c r="Q22" s="152">
        <f ca="1">IFERROR(__xludf.DUMMYFUNCTION("IMPORTRANGE(""https://docs.google.com/spreadsheets/d/1JtRfZkJMHtEhI5RdRHxYUG4FIZHqKDpNyIuN7A1Q0_k/edit?usp=sharing"",""พิษณุโลก!I775"")"),0)</f>
        <v>0</v>
      </c>
      <c r="R22" s="152">
        <f ca="1">IFERROR(__xludf.DUMMYFUNCTION("IMPORTRANGE(""https://docs.google.com/spreadsheets/d/1JtRfZkJMHtEhI5RdRHxYUG4FIZHqKDpNyIuN7A1Q0_k/edit?usp=sharing"",""พิษณุโลก!I776"")"),0)</f>
        <v>0</v>
      </c>
      <c r="S22" s="152">
        <f ca="1">IFERROR(__xludf.DUMMYFUNCTION("IMPORTRANGE(""https://docs.google.com/spreadsheets/d/1JtRfZkJMHtEhI5RdRHxYUG4FIZHqKDpNyIuN7A1Q0_k/edit?usp=sharing"",""พิษณุโลก!J775"")"),0)</f>
        <v>0</v>
      </c>
      <c r="T22" s="216">
        <f t="shared" ca="1" si="28"/>
        <v>0</v>
      </c>
      <c r="U22" s="152">
        <f ca="1">IFERROR(__xludf.DUMMYFUNCTION("IMPORTRANGE(""https://docs.google.com/spreadsheets/d/1JtRfZkJMHtEhI5RdRHxYUG4FIZHqKDpNyIuN7A1Q0_k/edit?usp=sharing"",""พิษณุโลก!J776"")"),0)</f>
        <v>0</v>
      </c>
      <c r="V22" s="216">
        <f t="shared" ca="1" si="29"/>
        <v>0</v>
      </c>
      <c r="W22" s="232"/>
    </row>
    <row r="23" spans="1:23" ht="19.5" x14ac:dyDescent="0.3">
      <c r="A23" s="147">
        <v>10</v>
      </c>
      <c r="B23" s="148" t="s">
        <v>51</v>
      </c>
      <c r="C23" s="475">
        <f ca="1">IFERROR(__xludf.DUMMYFUNCTION("IMPORTRANGE(""https://docs.google.com/spreadsheets/d/1xlcVZWUNn6SuWm0c307h32SiGkd9BaeQWlAktfD3KO8/edit?usp=sharing"",""เพชรบูรณ์!Q760"")"),790870)</f>
        <v>790870</v>
      </c>
      <c r="D23" s="260">
        <f ca="1">IFERROR(__xludf.DUMMYFUNCTION("IMPORTRANGE(""https://docs.google.com/spreadsheets/d/1xlcVZWUNn6SuWm0c307h32SiGkd9BaeQWlAktfD3KO8/edit?usp=sharing"",""เพชรบูรณ์!R760"")"),790870)</f>
        <v>790870</v>
      </c>
      <c r="E23" s="475">
        <f ca="1">IFERROR(__xludf.DUMMYFUNCTION("IMPORTRANGE(""https://docs.google.com/spreadsheets/d/1xlcVZWUNn6SuWm0c307h32SiGkd9BaeQWlAktfD3KO8/edit?usp=sharing"",""เพชรบูรณ์!S760"")"),744142.5)</f>
        <v>744142.5</v>
      </c>
      <c r="F23" s="260">
        <f t="shared" ca="1" si="19"/>
        <v>94.09163326463262</v>
      </c>
      <c r="G23" s="260">
        <f t="shared" ca="1" si="20"/>
        <v>94.09163326463262</v>
      </c>
      <c r="H23" s="279">
        <v>0</v>
      </c>
      <c r="I23" s="397">
        <v>0</v>
      </c>
      <c r="J23" s="216">
        <f t="shared" si="22"/>
        <v>0</v>
      </c>
      <c r="K23" s="397">
        <f ca="1">IFERROR(__xludf.DUMMYFUNCTION("IMPORTRANGE(""https://docs.google.com/spreadsheets/d/1xlcVZWUNn6SuWm0c307h32SiGkd9BaeQWlAktfD3KO8/edit?usp=sharing"",""เพชรบูรณ์!I772"")"),79)</f>
        <v>79</v>
      </c>
      <c r="L23" s="397">
        <f ca="1">IFERROR(__xludf.DUMMYFUNCTION("IMPORTRANGE(""https://docs.google.com/spreadsheets/d/1xlcVZWUNn6SuWm0c307h32SiGkd9BaeQWlAktfD3KO8/edit?usp=sharing"",""เพชรบูรณ์!J772"")"),79)</f>
        <v>79</v>
      </c>
      <c r="M23" s="216">
        <f t="shared" ca="1" si="24"/>
        <v>100</v>
      </c>
      <c r="N23" s="397">
        <f ca="1">IFERROR(__xludf.DUMMYFUNCTION("IMPORTRANGE(""https://docs.google.com/spreadsheets/d/1xlcVZWUNn6SuWm0c307h32SiGkd9BaeQWlAktfD3KO8/edit?usp=sharing"",""เพชรบูรณ์!I774"")"),406)</f>
        <v>406</v>
      </c>
      <c r="O23" s="397">
        <f ca="1">IFERROR(__xludf.DUMMYFUNCTION("IMPORTRANGE(""https://docs.google.com/spreadsheets/d/1xlcVZWUNn6SuWm0c307h32SiGkd9BaeQWlAktfD3KO8/edit?usp=sharing"",""เพชรบูรณ์!J774"")"),406)</f>
        <v>406</v>
      </c>
      <c r="P23" s="216">
        <f t="shared" ca="1" si="26"/>
        <v>100</v>
      </c>
      <c r="Q23" s="397">
        <f ca="1">IFERROR(__xludf.DUMMYFUNCTION("IMPORTRANGE(""https://docs.google.com/spreadsheets/d/1xlcVZWUNn6SuWm0c307h32SiGkd9BaeQWlAktfD3KO8/edit?usp=sharing"",""เพชรบูรณ์!I775"")"),406)</f>
        <v>406</v>
      </c>
      <c r="R23" s="397">
        <f ca="1">IFERROR(__xludf.DUMMYFUNCTION("IMPORTRANGE(""https://docs.google.com/spreadsheets/d/1xlcVZWUNn6SuWm0c307h32SiGkd9BaeQWlAktfD3KO8/edit?usp=sharing"",""เพชรบูรณ์!I776"")"),79)</f>
        <v>79</v>
      </c>
      <c r="S23" s="397">
        <f ca="1">IFERROR(__xludf.DUMMYFUNCTION("IMPORTRANGE(""https://docs.google.com/spreadsheets/d/1xlcVZWUNn6SuWm0c307h32SiGkd9BaeQWlAktfD3KO8/edit?usp=sharing"",""เพชรบูรณ์!J775"")"),406)</f>
        <v>406</v>
      </c>
      <c r="T23" s="216">
        <f t="shared" ca="1" si="28"/>
        <v>100</v>
      </c>
      <c r="U23" s="397">
        <f ca="1">IFERROR(__xludf.DUMMYFUNCTION("IMPORTRANGE(""https://docs.google.com/spreadsheets/d/1xlcVZWUNn6SuWm0c307h32SiGkd9BaeQWlAktfD3KO8/edit?usp=sharing"",""เพชรบูรณ์!J776"")"),79)</f>
        <v>79</v>
      </c>
      <c r="V23" s="216">
        <f t="shared" ca="1" si="29"/>
        <v>100</v>
      </c>
      <c r="W23" s="232"/>
    </row>
    <row r="24" spans="1:23" ht="19.5" x14ac:dyDescent="0.3">
      <c r="A24" s="147">
        <v>11</v>
      </c>
      <c r="B24" s="148" t="s">
        <v>52</v>
      </c>
      <c r="C24" s="475">
        <f ca="1">IFERROR(__xludf.DUMMYFUNCTION("IMPORTRANGE(""https://docs.google.com/spreadsheets/d/1lOVebEIsI9qjGXl6EX66luk7wiuP2tBaryw-wKvv4e0/edit?usp=sharing"",""แพร่!Q760"")"),479400)</f>
        <v>479400</v>
      </c>
      <c r="D24" s="260">
        <f ca="1">IFERROR(__xludf.DUMMYFUNCTION("IMPORTRANGE(""https://docs.google.com/spreadsheets/d/1lOVebEIsI9qjGXl6EX66luk7wiuP2tBaryw-wKvv4e0/edit?usp=sharing"",""แพร่!R760"")"),479400)</f>
        <v>479400</v>
      </c>
      <c r="E24" s="475">
        <f ca="1">IFERROR(__xludf.DUMMYFUNCTION("IMPORTRANGE(""https://docs.google.com/spreadsheets/d/1lOVebEIsI9qjGXl6EX66luk7wiuP2tBaryw-wKvv4e0/edit?usp=sharing"",""แพร่!S760"")"),388547)</f>
        <v>388547</v>
      </c>
      <c r="F24" s="260">
        <f t="shared" ca="1" si="19"/>
        <v>81.048602419691278</v>
      </c>
      <c r="G24" s="260">
        <f t="shared" ca="1" si="20"/>
        <v>81.048602419691278</v>
      </c>
      <c r="H24" s="278">
        <v>0</v>
      </c>
      <c r="I24" s="152">
        <v>0</v>
      </c>
      <c r="J24" s="216">
        <f t="shared" si="22"/>
        <v>0</v>
      </c>
      <c r="K24" s="152">
        <f ca="1">IFERROR(__xludf.DUMMYFUNCTION("IMPORTRANGE(""https://docs.google.com/spreadsheets/d/1lOVebEIsI9qjGXl6EX66luk7wiuP2tBaryw-wKvv4e0/edit?usp=sharing"",""แพร่!I772"")"),70)</f>
        <v>70</v>
      </c>
      <c r="L24" s="152">
        <f ca="1">IFERROR(__xludf.DUMMYFUNCTION("IMPORTRANGE(""https://docs.google.com/spreadsheets/d/1lOVebEIsI9qjGXl6EX66luk7wiuP2tBaryw-wKvv4e0/edit?usp=sharing"",""แพร่!J772"")"),70)</f>
        <v>70</v>
      </c>
      <c r="M24" s="216">
        <f t="shared" ca="1" si="24"/>
        <v>100</v>
      </c>
      <c r="N24" s="152">
        <f ca="1">IFERROR(__xludf.DUMMYFUNCTION("IMPORTRANGE(""https://docs.google.com/spreadsheets/d/1lOVebEIsI9qjGXl6EX66luk7wiuP2tBaryw-wKvv4e0/edit?usp=sharing"",""แพร่!I774"")"),140)</f>
        <v>140</v>
      </c>
      <c r="O24" s="152">
        <f ca="1">IFERROR(__xludf.DUMMYFUNCTION("IMPORTRANGE(""https://docs.google.com/spreadsheets/d/1lOVebEIsI9qjGXl6EX66luk7wiuP2tBaryw-wKvv4e0/edit?usp=sharing"",""แพร่!J774"")"),140)</f>
        <v>140</v>
      </c>
      <c r="P24" s="216">
        <f t="shared" ca="1" si="26"/>
        <v>100</v>
      </c>
      <c r="Q24" s="152">
        <f ca="1">IFERROR(__xludf.DUMMYFUNCTION("IMPORTRANGE(""https://docs.google.com/spreadsheets/d/1lOVebEIsI9qjGXl6EX66luk7wiuP2tBaryw-wKvv4e0/edit?usp=sharing"",""แพร่!I775"")"),140)</f>
        <v>140</v>
      </c>
      <c r="R24" s="152">
        <f ca="1">IFERROR(__xludf.DUMMYFUNCTION("IMPORTRANGE(""https://docs.google.com/spreadsheets/d/1lOVebEIsI9qjGXl6EX66luk7wiuP2tBaryw-wKvv4e0/edit?usp=sharing"",""แพร่!I776"")"),70)</f>
        <v>70</v>
      </c>
      <c r="S24" s="152">
        <f ca="1">IFERROR(__xludf.DUMMYFUNCTION("IMPORTRANGE(""https://docs.google.com/spreadsheets/d/1lOVebEIsI9qjGXl6EX66luk7wiuP2tBaryw-wKvv4e0/edit?usp=sharing"",""แพร่!J775"")"),140)</f>
        <v>140</v>
      </c>
      <c r="T24" s="216">
        <f t="shared" ca="1" si="28"/>
        <v>100</v>
      </c>
      <c r="U24" s="152">
        <f ca="1">IFERROR(__xludf.DUMMYFUNCTION("IMPORTRANGE(""https://docs.google.com/spreadsheets/d/1lOVebEIsI9qjGXl6EX66luk7wiuP2tBaryw-wKvv4e0/edit?usp=sharing"",""แพร่!J776"")"),70)</f>
        <v>70</v>
      </c>
      <c r="V24" s="216">
        <f t="shared" ca="1" si="29"/>
        <v>100</v>
      </c>
      <c r="W24" s="232"/>
    </row>
    <row r="25" spans="1:23" ht="19.5" x14ac:dyDescent="0.3">
      <c r="A25" s="147">
        <v>12</v>
      </c>
      <c r="B25" s="148" t="s">
        <v>53</v>
      </c>
      <c r="C25" s="475">
        <f ca="1">IFERROR(__xludf.DUMMYFUNCTION("IMPORTRANGE(""https://docs.google.com/spreadsheets/d/1dQrvX0vEcN7Gu0fnZ0B5S90AeR19zth4XlExFBeExMY/edit?usp=sharing"",""แม่ฮ่องสอน!Q760"")"),422100)</f>
        <v>422100</v>
      </c>
      <c r="D25" s="260">
        <f ca="1">IFERROR(__xludf.DUMMYFUNCTION("IMPORTRANGE(""https://docs.google.com/spreadsheets/d/1dQrvX0vEcN7Gu0fnZ0B5S90AeR19zth4XlExFBeExMY/edit?usp=sharing"",""แม่ฮ่องสอน!R760"")"),422100)</f>
        <v>422100</v>
      </c>
      <c r="E25" s="475">
        <f ca="1">IFERROR(__xludf.DUMMYFUNCTION("IMPORTRANGE(""https://docs.google.com/spreadsheets/d/1dQrvX0vEcN7Gu0fnZ0B5S90AeR19zth4XlExFBeExMY/edit?usp=sharing"",""แม่ฮ่องสอน!S760"")"),355420)</f>
        <v>355420</v>
      </c>
      <c r="F25" s="260">
        <f t="shared" ca="1" si="19"/>
        <v>84.20279554607913</v>
      </c>
      <c r="G25" s="260">
        <f t="shared" ca="1" si="20"/>
        <v>84.20279554607913</v>
      </c>
      <c r="H25" s="278">
        <v>0</v>
      </c>
      <c r="I25" s="152">
        <v>0</v>
      </c>
      <c r="J25" s="216">
        <f t="shared" si="22"/>
        <v>0</v>
      </c>
      <c r="K25" s="152">
        <f ca="1">IFERROR(__xludf.DUMMYFUNCTION("IMPORTRANGE(""https://docs.google.com/spreadsheets/d/1dQrvX0vEcN7Gu0fnZ0B5S90AeR19zth4XlExFBeExMY/edit?usp=sharing"",""แม่ฮ่องสอน!I772"")"),60)</f>
        <v>60</v>
      </c>
      <c r="L25" s="152">
        <f ca="1">IFERROR(__xludf.DUMMYFUNCTION("IMPORTRANGE(""https://docs.google.com/spreadsheets/d/1dQrvX0vEcN7Gu0fnZ0B5S90AeR19zth4XlExFBeExMY/edit?usp=sharing"",""แม่ฮ่องสอน!J772"")"),60)</f>
        <v>60</v>
      </c>
      <c r="M25" s="216">
        <f t="shared" ca="1" si="24"/>
        <v>100</v>
      </c>
      <c r="N25" s="152">
        <f ca="1">IFERROR(__xludf.DUMMYFUNCTION("IMPORTRANGE(""https://docs.google.com/spreadsheets/d/1dQrvX0vEcN7Gu0fnZ0B5S90AeR19zth4XlExFBeExMY/edit?usp=sharing"",""แม่ฮ่องสอน!I774"")"),120)</f>
        <v>120</v>
      </c>
      <c r="O25" s="152">
        <f ca="1">IFERROR(__xludf.DUMMYFUNCTION("IMPORTRANGE(""https://docs.google.com/spreadsheets/d/1dQrvX0vEcN7Gu0fnZ0B5S90AeR19zth4XlExFBeExMY/edit?usp=sharing"",""แม่ฮ่องสอน!J774"")"),120)</f>
        <v>120</v>
      </c>
      <c r="P25" s="216">
        <f t="shared" ca="1" si="26"/>
        <v>100</v>
      </c>
      <c r="Q25" s="152">
        <f ca="1">IFERROR(__xludf.DUMMYFUNCTION("IMPORTRANGE(""https://docs.google.com/spreadsheets/d/1dQrvX0vEcN7Gu0fnZ0B5S90AeR19zth4XlExFBeExMY/edit?usp=sharing"",""แม่ฮ่องสอน!I775"")"),120)</f>
        <v>120</v>
      </c>
      <c r="R25" s="152">
        <f ca="1">IFERROR(__xludf.DUMMYFUNCTION("IMPORTRANGE(""https://docs.google.com/spreadsheets/d/1dQrvX0vEcN7Gu0fnZ0B5S90AeR19zth4XlExFBeExMY/edit?usp=sharing"",""แม่ฮ่องสอน!I776"")"),60)</f>
        <v>60</v>
      </c>
      <c r="S25" s="152">
        <f ca="1">IFERROR(__xludf.DUMMYFUNCTION("IMPORTRANGE(""https://docs.google.com/spreadsheets/d/1dQrvX0vEcN7Gu0fnZ0B5S90AeR19zth4XlExFBeExMY/edit?usp=sharing"",""แม่ฮ่องสอน!J775"")"),120)</f>
        <v>120</v>
      </c>
      <c r="T25" s="216">
        <f t="shared" ca="1" si="28"/>
        <v>100</v>
      </c>
      <c r="U25" s="152">
        <f ca="1">IFERROR(__xludf.DUMMYFUNCTION("IMPORTRANGE(""https://docs.google.com/spreadsheets/d/1dQrvX0vEcN7Gu0fnZ0B5S90AeR19zth4XlExFBeExMY/edit?usp=sharing"",""แม่ฮ่องสอน!J776"")"),60)</f>
        <v>60</v>
      </c>
      <c r="V25" s="216">
        <f t="shared" ca="1" si="29"/>
        <v>100</v>
      </c>
      <c r="W25" s="232"/>
    </row>
    <row r="26" spans="1:23" ht="19.5" x14ac:dyDescent="0.3">
      <c r="A26" s="147">
        <v>13</v>
      </c>
      <c r="B26" s="148" t="s">
        <v>54</v>
      </c>
      <c r="C26" s="475">
        <f ca="1">IFERROR(__xludf.DUMMYFUNCTION("IMPORTRANGE(""https://docs.google.com/spreadsheets/d/1DY4XTNNwjluuxqdfdn6qvOSlMRrZqUtmYcZR0ttFiG4/edit?usp=sharing"",""ลำปาง!Q760"")"),379780)</f>
        <v>379780</v>
      </c>
      <c r="D26" s="260">
        <f ca="1">IFERROR(__xludf.DUMMYFUNCTION("IMPORTRANGE(""https://docs.google.com/spreadsheets/d/1DY4XTNNwjluuxqdfdn6qvOSlMRrZqUtmYcZR0ttFiG4/edit?usp=sharing"",""ลำปาง!R760"")"),379780)</f>
        <v>379780</v>
      </c>
      <c r="E26" s="475">
        <f ca="1">IFERROR(__xludf.DUMMYFUNCTION("IMPORTRANGE(""https://docs.google.com/spreadsheets/d/1DY4XTNNwjluuxqdfdn6qvOSlMRrZqUtmYcZR0ttFiG4/edit?usp=sharing"",""ลำปาง!S760"")"),302233.34)</f>
        <v>302233.34000000003</v>
      </c>
      <c r="F26" s="260">
        <f t="shared" ca="1" si="19"/>
        <v>79.58116277845069</v>
      </c>
      <c r="G26" s="260">
        <f t="shared" ca="1" si="20"/>
        <v>79.58116277845069</v>
      </c>
      <c r="H26" s="279">
        <v>0</v>
      </c>
      <c r="I26" s="397">
        <v>0</v>
      </c>
      <c r="J26" s="216">
        <f t="shared" si="22"/>
        <v>0</v>
      </c>
      <c r="K26" s="397">
        <f ca="1">IFERROR(__xludf.DUMMYFUNCTION("IMPORTRANGE(""https://docs.google.com/spreadsheets/d/1DY4XTNNwjluuxqdfdn6qvOSlMRrZqUtmYcZR0ttFiG4/edit?usp=sharing"",""ลำปาง!I772"")"),40)</f>
        <v>40</v>
      </c>
      <c r="L26" s="397">
        <f ca="1">IFERROR(__xludf.DUMMYFUNCTION("IMPORTRANGE(""https://docs.google.com/spreadsheets/d/1DY4XTNNwjluuxqdfdn6qvOSlMRrZqUtmYcZR0ttFiG4/edit?usp=sharing"",""ลำปาง!J772"")"),40)</f>
        <v>40</v>
      </c>
      <c r="M26" s="216">
        <f t="shared" ca="1" si="24"/>
        <v>100</v>
      </c>
      <c r="N26" s="397">
        <f ca="1">IFERROR(__xludf.DUMMYFUNCTION("IMPORTRANGE(""https://docs.google.com/spreadsheets/d/1DY4XTNNwjluuxqdfdn6qvOSlMRrZqUtmYcZR0ttFiG4/edit?usp=sharing"",""ลำปาง!I774"")"),120)</f>
        <v>120</v>
      </c>
      <c r="O26" s="397">
        <f ca="1">IFERROR(__xludf.DUMMYFUNCTION("IMPORTRANGE(""https://docs.google.com/spreadsheets/d/1DY4XTNNwjluuxqdfdn6qvOSlMRrZqUtmYcZR0ttFiG4/edit?usp=sharing"",""ลำปาง!J774"")"),120)</f>
        <v>120</v>
      </c>
      <c r="P26" s="216">
        <f t="shared" ca="1" si="26"/>
        <v>100</v>
      </c>
      <c r="Q26" s="397">
        <f ca="1">IFERROR(__xludf.DUMMYFUNCTION("IMPORTRANGE(""https://docs.google.com/spreadsheets/d/1DY4XTNNwjluuxqdfdn6qvOSlMRrZqUtmYcZR0ttFiG4/edit?usp=sharing"",""ลำปาง!I775"")"),120)</f>
        <v>120</v>
      </c>
      <c r="R26" s="397">
        <f ca="1">IFERROR(__xludf.DUMMYFUNCTION("IMPORTRANGE(""https://docs.google.com/spreadsheets/d/1DY4XTNNwjluuxqdfdn6qvOSlMRrZqUtmYcZR0ttFiG4/edit?usp=sharing"",""ลำปาง!I776"")"),40)</f>
        <v>40</v>
      </c>
      <c r="S26" s="397">
        <f ca="1">IFERROR(__xludf.DUMMYFUNCTION("IMPORTRANGE(""https://docs.google.com/spreadsheets/d/1DY4XTNNwjluuxqdfdn6qvOSlMRrZqUtmYcZR0ttFiG4/edit?usp=sharing"",""ลำปาง!J775"")"),120)</f>
        <v>120</v>
      </c>
      <c r="T26" s="216">
        <f t="shared" ca="1" si="28"/>
        <v>100</v>
      </c>
      <c r="U26" s="397">
        <f ca="1">IFERROR(__xludf.DUMMYFUNCTION("IMPORTRANGE(""https://docs.google.com/spreadsheets/d/1DY4XTNNwjluuxqdfdn6qvOSlMRrZqUtmYcZR0ttFiG4/edit?usp=sharing"",""ลำปาง!J776"")"),40)</f>
        <v>40</v>
      </c>
      <c r="V26" s="216">
        <f t="shared" ca="1" si="29"/>
        <v>100</v>
      </c>
      <c r="W26" s="232"/>
    </row>
    <row r="27" spans="1:23" ht="19.5" x14ac:dyDescent="0.3">
      <c r="A27" s="147">
        <v>14</v>
      </c>
      <c r="B27" s="148" t="s">
        <v>55</v>
      </c>
      <c r="C27" s="475">
        <f ca="1">IFERROR(__xludf.DUMMYFUNCTION("IMPORTRANGE(""https://docs.google.com/spreadsheets/d/1ICwG78r0OFT8biBlxnBF8r7she7gNSzOvJ958PWT09c/edit?usp=sharing"",""ลำพูน!Q760"")"),571100)</f>
        <v>571100</v>
      </c>
      <c r="D27" s="260">
        <f ca="1">IFERROR(__xludf.DUMMYFUNCTION("IMPORTRANGE(""https://docs.google.com/spreadsheets/d/1ICwG78r0OFT8biBlxnBF8r7she7gNSzOvJ958PWT09c/edit?usp=sharing"",""ลำพูน!R760"")"),571100)</f>
        <v>571100</v>
      </c>
      <c r="E27" s="475">
        <f ca="1">IFERROR(__xludf.DUMMYFUNCTION("IMPORTRANGE(""https://docs.google.com/spreadsheets/d/1ICwG78r0OFT8biBlxnBF8r7she7gNSzOvJ958PWT09c/edit?usp=sharing"",""ลำพูน!S760"")"),526686.67)</f>
        <v>526686.67000000004</v>
      </c>
      <c r="F27" s="260">
        <f t="shared" ca="1" si="19"/>
        <v>92.223195587462797</v>
      </c>
      <c r="G27" s="260">
        <f t="shared" ca="1" si="20"/>
        <v>92.223195587462797</v>
      </c>
      <c r="H27" s="278">
        <v>0</v>
      </c>
      <c r="I27" s="152">
        <v>0</v>
      </c>
      <c r="J27" s="216">
        <f t="shared" si="22"/>
        <v>0</v>
      </c>
      <c r="K27" s="152">
        <f ca="1">IFERROR(__xludf.DUMMYFUNCTION("IMPORTRANGE(""https://docs.google.com/spreadsheets/d/1ICwG78r0OFT8biBlxnBF8r7she7gNSzOvJ958PWT09c/edit?usp=sharing"",""ลำพูน!I772"")"),60)</f>
        <v>60</v>
      </c>
      <c r="L27" s="152">
        <f ca="1">IFERROR(__xludf.DUMMYFUNCTION("IMPORTRANGE(""https://docs.google.com/spreadsheets/d/1ICwG78r0OFT8biBlxnBF8r7she7gNSzOvJ958PWT09c/edit?usp=sharing"",""ลำพูน!J772"")"),60)</f>
        <v>60</v>
      </c>
      <c r="M27" s="216">
        <f t="shared" ca="1" si="24"/>
        <v>100</v>
      </c>
      <c r="N27" s="152">
        <f ca="1">IFERROR(__xludf.DUMMYFUNCTION("IMPORTRANGE(""https://docs.google.com/spreadsheets/d/1ICwG78r0OFT8biBlxnBF8r7she7gNSzOvJ958PWT09c/edit?usp=sharing"",""ลำพูน!I774"")"),250)</f>
        <v>250</v>
      </c>
      <c r="O27" s="152">
        <f ca="1">IFERROR(__xludf.DUMMYFUNCTION("IMPORTRANGE(""https://docs.google.com/spreadsheets/d/1ICwG78r0OFT8biBlxnBF8r7she7gNSzOvJ958PWT09c/edit?usp=sharing"",""ลำพูน!J774"")"),250)</f>
        <v>250</v>
      </c>
      <c r="P27" s="216">
        <f t="shared" ca="1" si="26"/>
        <v>100</v>
      </c>
      <c r="Q27" s="152">
        <f ca="1">IFERROR(__xludf.DUMMYFUNCTION("IMPORTRANGE(""https://docs.google.com/spreadsheets/d/1ICwG78r0OFT8biBlxnBF8r7she7gNSzOvJ958PWT09c/edit?usp=sharing"",""ลำพูน!I775"")"),250)</f>
        <v>250</v>
      </c>
      <c r="R27" s="152">
        <f ca="1">IFERROR(__xludf.DUMMYFUNCTION("IMPORTRANGE(""https://docs.google.com/spreadsheets/d/1ICwG78r0OFT8biBlxnBF8r7she7gNSzOvJ958PWT09c/edit?usp=sharing"",""ลำพูน!I776"")"),60)</f>
        <v>60</v>
      </c>
      <c r="S27" s="152">
        <f ca="1">IFERROR(__xludf.DUMMYFUNCTION("IMPORTRANGE(""https://docs.google.com/spreadsheets/d/1ICwG78r0OFT8biBlxnBF8r7she7gNSzOvJ958PWT09c/edit?usp=sharing"",""ลำพูน!J775"")"),250)</f>
        <v>250</v>
      </c>
      <c r="T27" s="216">
        <f t="shared" ca="1" si="28"/>
        <v>100</v>
      </c>
      <c r="U27" s="152">
        <f ca="1">IFERROR(__xludf.DUMMYFUNCTION("IMPORTRANGE(""https://docs.google.com/spreadsheets/d/1ICwG78r0OFT8biBlxnBF8r7she7gNSzOvJ958PWT09c/edit?usp=sharing"",""ลำพูน!J776"")"),60)</f>
        <v>60</v>
      </c>
      <c r="V27" s="216">
        <f t="shared" ca="1" si="29"/>
        <v>100</v>
      </c>
      <c r="W27" s="232"/>
    </row>
    <row r="28" spans="1:23" ht="19.5" x14ac:dyDescent="0.3">
      <c r="A28" s="147">
        <v>15</v>
      </c>
      <c r="B28" s="148" t="s">
        <v>56</v>
      </c>
      <c r="C28" s="475">
        <f ca="1">IFERROR(__xludf.DUMMYFUNCTION("IMPORTRANGE(""https://docs.google.com/spreadsheets/d/1B0f2xJpZUC6Z0xXnqKlZtEPzsf6L84eP1r1Q15seqRM/edit?usp=sharing"",""สุโขทัย!Q760"")"),1018160)</f>
        <v>1018160</v>
      </c>
      <c r="D28" s="260">
        <f ca="1">IFERROR(__xludf.DUMMYFUNCTION("IMPORTRANGE(""https://docs.google.com/spreadsheets/d/1B0f2xJpZUC6Z0xXnqKlZtEPzsf6L84eP1r1Q15seqRM/edit?usp=sharing"",""สุโขทัย!R760"")"),1018160)</f>
        <v>1018160</v>
      </c>
      <c r="E28" s="475">
        <f ca="1">IFERROR(__xludf.DUMMYFUNCTION("IMPORTRANGE(""https://docs.google.com/spreadsheets/d/1B0f2xJpZUC6Z0xXnqKlZtEPzsf6L84eP1r1Q15seqRM/edit?usp=sharing"",""สุโขทัย!S760"")"),382960)</f>
        <v>382960</v>
      </c>
      <c r="F28" s="260">
        <f t="shared" ca="1" si="19"/>
        <v>37.612948848903905</v>
      </c>
      <c r="G28" s="260">
        <f t="shared" ca="1" si="20"/>
        <v>37.612948848903905</v>
      </c>
      <c r="H28" s="278">
        <v>0</v>
      </c>
      <c r="I28" s="152">
        <v>0</v>
      </c>
      <c r="J28" s="216">
        <f t="shared" si="22"/>
        <v>0</v>
      </c>
      <c r="K28" s="152">
        <f ca="1">IFERROR(__xludf.DUMMYFUNCTION("IMPORTRANGE(""https://docs.google.com/spreadsheets/d/1B0f2xJpZUC6Z0xXnqKlZtEPzsf6L84eP1r1Q15seqRM/edit?usp=sharing"",""สุโขทัย!I772"")"),146)</f>
        <v>146</v>
      </c>
      <c r="L28" s="152">
        <f ca="1">IFERROR(__xludf.DUMMYFUNCTION("IMPORTRANGE(""https://docs.google.com/spreadsheets/d/1B0f2xJpZUC6Z0xXnqKlZtEPzsf6L84eP1r1Q15seqRM/edit?usp=sharing"",""สุโขทัย!J772"")"),146)</f>
        <v>146</v>
      </c>
      <c r="M28" s="216">
        <f t="shared" ca="1" si="24"/>
        <v>100</v>
      </c>
      <c r="N28" s="152">
        <f ca="1">IFERROR(__xludf.DUMMYFUNCTION("IMPORTRANGE(""https://docs.google.com/spreadsheets/d/1B0f2xJpZUC6Z0xXnqKlZtEPzsf6L84eP1r1Q15seqRM/edit?usp=sharing"",""สุโขทัย!I774"")"),509)</f>
        <v>509</v>
      </c>
      <c r="O28" s="152">
        <f ca="1">IFERROR(__xludf.DUMMYFUNCTION("IMPORTRANGE(""https://docs.google.com/spreadsheets/d/1B0f2xJpZUC6Z0xXnqKlZtEPzsf6L84eP1r1Q15seqRM/edit?usp=sharing"",""สุโขทัย!J774"")"),509)</f>
        <v>509</v>
      </c>
      <c r="P28" s="216">
        <f t="shared" ca="1" si="26"/>
        <v>100</v>
      </c>
      <c r="Q28" s="152">
        <f ca="1">IFERROR(__xludf.DUMMYFUNCTION("IMPORTRANGE(""https://docs.google.com/spreadsheets/d/1B0f2xJpZUC6Z0xXnqKlZtEPzsf6L84eP1r1Q15seqRM/edit?usp=sharing"",""สุโขทัย!I775"")"),509)</f>
        <v>509</v>
      </c>
      <c r="R28" s="152">
        <f ca="1">IFERROR(__xludf.DUMMYFUNCTION("IMPORTRANGE(""https://docs.google.com/spreadsheets/d/1B0f2xJpZUC6Z0xXnqKlZtEPzsf6L84eP1r1Q15seqRM/edit?usp=sharing"",""สุโขทัย!I776"")"),146)</f>
        <v>146</v>
      </c>
      <c r="S28" s="152">
        <f ca="1">IFERROR(__xludf.DUMMYFUNCTION("IMPORTRANGE(""https://docs.google.com/spreadsheets/d/1B0f2xJpZUC6Z0xXnqKlZtEPzsf6L84eP1r1Q15seqRM/edit?usp=sharing"",""สุโขทัย!J775"")"),509)</f>
        <v>509</v>
      </c>
      <c r="T28" s="216">
        <f t="shared" ca="1" si="28"/>
        <v>100</v>
      </c>
      <c r="U28" s="152">
        <f ca="1">IFERROR(__xludf.DUMMYFUNCTION("IMPORTRANGE(""https://docs.google.com/spreadsheets/d/1B0f2xJpZUC6Z0xXnqKlZtEPzsf6L84eP1r1Q15seqRM/edit?usp=sharing"",""สุโขทัย!J776"")"),146)</f>
        <v>146</v>
      </c>
      <c r="V28" s="216">
        <f t="shared" ca="1" si="29"/>
        <v>100</v>
      </c>
      <c r="W28" s="232"/>
    </row>
    <row r="29" spans="1:23" ht="19.5" x14ac:dyDescent="0.3">
      <c r="A29" s="147">
        <v>16</v>
      </c>
      <c r="B29" s="148" t="s">
        <v>57</v>
      </c>
      <c r="C29" s="475">
        <f ca="1">IFERROR(__xludf.DUMMYFUNCTION("IMPORTRANGE(""https://docs.google.com/spreadsheets/d/1v0b9pFQCsKUVExMei7AgY2yQkdeNQvtOssygGsXbiKo/edit?usp=sharing"",""อุตรดิตถ์!Q760"")"),398800)</f>
        <v>398800</v>
      </c>
      <c r="D29" s="260">
        <f ca="1">IFERROR(__xludf.DUMMYFUNCTION("IMPORTRANGE(""https://docs.google.com/spreadsheets/d/1v0b9pFQCsKUVExMei7AgY2yQkdeNQvtOssygGsXbiKo/edit?usp=sharing"",""อุตรดิตถ์!R760"")"),398800)</f>
        <v>398800</v>
      </c>
      <c r="E29" s="475">
        <f ca="1">IFERROR(__xludf.DUMMYFUNCTION("IMPORTRANGE(""https://docs.google.com/spreadsheets/d/1v0b9pFQCsKUVExMei7AgY2yQkdeNQvtOssygGsXbiKo/edit?usp=sharing"",""อุตรดิตถ์!S760"")"),154216.5)</f>
        <v>154216.5</v>
      </c>
      <c r="F29" s="260">
        <f t="shared" ca="1" si="19"/>
        <v>38.670135406218655</v>
      </c>
      <c r="G29" s="260">
        <f t="shared" ca="1" si="20"/>
        <v>38.670135406218655</v>
      </c>
      <c r="H29" s="278">
        <v>0</v>
      </c>
      <c r="I29" s="152">
        <v>0</v>
      </c>
      <c r="J29" s="216">
        <f t="shared" si="22"/>
        <v>0</v>
      </c>
      <c r="K29" s="152">
        <f ca="1">IFERROR(__xludf.DUMMYFUNCTION("IMPORTRANGE(""https://docs.google.com/spreadsheets/d/1v0b9pFQCsKUVExMei7AgY2yQkdeNQvtOssygGsXbiKo/edit?usp=sharing"",""อุตรดิตถ์!I772"")"),50)</f>
        <v>50</v>
      </c>
      <c r="L29" s="152">
        <f ca="1">IFERROR(__xludf.DUMMYFUNCTION("IMPORTRANGE(""https://docs.google.com/spreadsheets/d/1v0b9pFQCsKUVExMei7AgY2yQkdeNQvtOssygGsXbiKo/edit?usp=sharing"",""อุตรดิตถ์!J772"")"),50)</f>
        <v>50</v>
      </c>
      <c r="M29" s="216">
        <f t="shared" ca="1" si="24"/>
        <v>100</v>
      </c>
      <c r="N29" s="152">
        <f ca="1">IFERROR(__xludf.DUMMYFUNCTION("IMPORTRANGE(""https://docs.google.com/spreadsheets/d/1v0b9pFQCsKUVExMei7AgY2yQkdeNQvtOssygGsXbiKo/edit?usp=sharing"",""อุตรดิตถ์!I774"")"),100)</f>
        <v>100</v>
      </c>
      <c r="O29" s="152">
        <f ca="1">IFERROR(__xludf.DUMMYFUNCTION("IMPORTRANGE(""https://docs.google.com/spreadsheets/d/1v0b9pFQCsKUVExMei7AgY2yQkdeNQvtOssygGsXbiKo/edit?usp=sharing"",""อุตรดิตถ์!J774"")"),100)</f>
        <v>100</v>
      </c>
      <c r="P29" s="216">
        <f t="shared" ca="1" si="26"/>
        <v>100</v>
      </c>
      <c r="Q29" s="152">
        <f ca="1">IFERROR(__xludf.DUMMYFUNCTION("IMPORTRANGE(""https://docs.google.com/spreadsheets/d/1v0b9pFQCsKUVExMei7AgY2yQkdeNQvtOssygGsXbiKo/edit?usp=sharing"",""อุตรดิตถ์!I775"")"),100)</f>
        <v>100</v>
      </c>
      <c r="R29" s="152">
        <f ca="1">IFERROR(__xludf.DUMMYFUNCTION("IMPORTRANGE(""https://docs.google.com/spreadsheets/d/1v0b9pFQCsKUVExMei7AgY2yQkdeNQvtOssygGsXbiKo/edit?usp=sharing"",""อุตรดิตถ์!I776"")"),50)</f>
        <v>50</v>
      </c>
      <c r="S29" s="152">
        <f ca="1">IFERROR(__xludf.DUMMYFUNCTION("IMPORTRANGE(""https://docs.google.com/spreadsheets/d/1v0b9pFQCsKUVExMei7AgY2yQkdeNQvtOssygGsXbiKo/edit?usp=sharing"",""อุตรดิตถ์!J775"")"),0)</f>
        <v>0</v>
      </c>
      <c r="T29" s="216">
        <f t="shared" ca="1" si="28"/>
        <v>0</v>
      </c>
      <c r="U29" s="152">
        <f ca="1">IFERROR(__xludf.DUMMYFUNCTION("IMPORTRANGE(""https://docs.google.com/spreadsheets/d/1v0b9pFQCsKUVExMei7AgY2yQkdeNQvtOssygGsXbiKo/edit?usp=sharing"",""อุตรดิตถ์!J776"")"),0)</f>
        <v>0</v>
      </c>
      <c r="V29" s="216">
        <f t="shared" ca="1" si="29"/>
        <v>0</v>
      </c>
      <c r="W29" s="232"/>
    </row>
    <row r="30" spans="1:23" ht="19.5" x14ac:dyDescent="0.3">
      <c r="A30" s="155">
        <v>17</v>
      </c>
      <c r="B30" s="156" t="s">
        <v>58</v>
      </c>
      <c r="C30" s="482">
        <f ca="1">IFERROR(__xludf.DUMMYFUNCTION("IMPORTRANGE(""https://docs.google.com/spreadsheets/d/1UsNK1e-WWiCo2PvGqdNfdme4m17_Ezd3J69EeeiQPD0/edit?usp=sharing"",""อุทัยธานี!Q760"")"),460700)</f>
        <v>460700</v>
      </c>
      <c r="D30" s="481">
        <f ca="1">IFERROR(__xludf.DUMMYFUNCTION("IMPORTRANGE(""https://docs.google.com/spreadsheets/d/1UsNK1e-WWiCo2PvGqdNfdme4m17_Ezd3J69EeeiQPD0/edit?usp=sharing"",""อุทัยธานี!R760"")"),460700)</f>
        <v>460700</v>
      </c>
      <c r="E30" s="482">
        <f ca="1">IFERROR(__xludf.DUMMYFUNCTION("IMPORTRANGE(""https://docs.google.com/spreadsheets/d/1UsNK1e-WWiCo2PvGqdNfdme4m17_Ezd3J69EeeiQPD0/edit?usp=sharing"",""อุทัยธานี!S760"")"),231710)</f>
        <v>231710</v>
      </c>
      <c r="F30" s="481">
        <f t="shared" ca="1" si="19"/>
        <v>50.29520295202952</v>
      </c>
      <c r="G30" s="481">
        <f t="shared" ca="1" si="20"/>
        <v>50.29520295202952</v>
      </c>
      <c r="H30" s="280">
        <v>0</v>
      </c>
      <c r="I30" s="191">
        <v>0</v>
      </c>
      <c r="J30" s="218">
        <f t="shared" si="22"/>
        <v>0</v>
      </c>
      <c r="K30" s="191">
        <f ca="1">IFERROR(__xludf.DUMMYFUNCTION("IMPORTRANGE(""https://docs.google.com/spreadsheets/d/1UsNK1e-WWiCo2PvGqdNfdme4m17_Ezd3J69EeeiQPD0/edit?usp=sharing"",""อุทัยธานี!I772"")"),80)</f>
        <v>80</v>
      </c>
      <c r="L30" s="191">
        <f ca="1">IFERROR(__xludf.DUMMYFUNCTION("IMPORTRANGE(""https://docs.google.com/spreadsheets/d/1UsNK1e-WWiCo2PvGqdNfdme4m17_Ezd3J69EeeiQPD0/edit?usp=sharing"",""อุทัยธานี!J772"")"),80)</f>
        <v>80</v>
      </c>
      <c r="M30" s="218">
        <f t="shared" ca="1" si="24"/>
        <v>100</v>
      </c>
      <c r="N30" s="191">
        <f ca="1">IFERROR(__xludf.DUMMYFUNCTION("IMPORTRANGE(""https://docs.google.com/spreadsheets/d/1UsNK1e-WWiCo2PvGqdNfdme4m17_Ezd3J69EeeiQPD0/edit?usp=sharing"",""อุทัยธานี!I774"")"),120)</f>
        <v>120</v>
      </c>
      <c r="O30" s="191">
        <f ca="1">IFERROR(__xludf.DUMMYFUNCTION("IMPORTRANGE(""https://docs.google.com/spreadsheets/d/1UsNK1e-WWiCo2PvGqdNfdme4m17_Ezd3J69EeeiQPD0/edit?usp=sharing"",""อุทัยธานี!J774"")"),120)</f>
        <v>120</v>
      </c>
      <c r="P30" s="218">
        <f t="shared" ca="1" si="26"/>
        <v>100</v>
      </c>
      <c r="Q30" s="191">
        <f ca="1">IFERROR(__xludf.DUMMYFUNCTION("IMPORTRANGE(""https://docs.google.com/spreadsheets/d/1UsNK1e-WWiCo2PvGqdNfdme4m17_Ezd3J69EeeiQPD0/edit?usp=sharing"",""อุทัยธานี!I775"")"),120)</f>
        <v>120</v>
      </c>
      <c r="R30" s="191">
        <f ca="1">IFERROR(__xludf.DUMMYFUNCTION("IMPORTRANGE(""https://docs.google.com/spreadsheets/d/1UsNK1e-WWiCo2PvGqdNfdme4m17_Ezd3J69EeeiQPD0/edit?usp=sharing"",""อุทัยธานี!I776"")"),80)</f>
        <v>80</v>
      </c>
      <c r="S30" s="191">
        <f ca="1">IFERROR(__xludf.DUMMYFUNCTION("IMPORTRANGE(""https://docs.google.com/spreadsheets/d/1UsNK1e-WWiCo2PvGqdNfdme4m17_Ezd3J69EeeiQPD0/edit?usp=sharing"",""อุทัยธานี!J775"")"),120)</f>
        <v>120</v>
      </c>
      <c r="T30" s="218">
        <f t="shared" ca="1" si="28"/>
        <v>100</v>
      </c>
      <c r="U30" s="191">
        <f ca="1">IFERROR(__xludf.DUMMYFUNCTION("IMPORTRANGE(""https://docs.google.com/spreadsheets/d/1UsNK1e-WWiCo2PvGqdNfdme4m17_Ezd3J69EeeiQPD0/edit?usp=sharing"",""อุทัยธานี!J776"")"),80)</f>
        <v>80</v>
      </c>
      <c r="V30" s="218">
        <f t="shared" ca="1" si="29"/>
        <v>100</v>
      </c>
      <c r="W30" s="232"/>
    </row>
    <row r="31" spans="1:23" ht="19.5" x14ac:dyDescent="0.3">
      <c r="A31" s="696" t="s">
        <v>59</v>
      </c>
      <c r="B31" s="662"/>
      <c r="C31" s="604">
        <f t="shared" ref="C31:E31" ca="1" si="30">SUM(C32:C51)</f>
        <v>11984380</v>
      </c>
      <c r="D31" s="603">
        <f t="shared" ca="1" si="30"/>
        <v>11984380</v>
      </c>
      <c r="E31" s="604">
        <f t="shared" ca="1" si="30"/>
        <v>9680693.959999999</v>
      </c>
      <c r="F31" s="603">
        <f t="shared" ca="1" si="19"/>
        <v>80.777595169712569</v>
      </c>
      <c r="G31" s="603">
        <f t="shared" ca="1" si="20"/>
        <v>80.777595169712569</v>
      </c>
      <c r="H31" s="282">
        <f t="shared" ref="H31:I31" si="31">SUM(H32:H51)</f>
        <v>0</v>
      </c>
      <c r="I31" s="369">
        <f t="shared" si="31"/>
        <v>0</v>
      </c>
      <c r="J31" s="94">
        <f t="shared" si="22"/>
        <v>0</v>
      </c>
      <c r="K31" s="369">
        <f t="shared" ref="K31:L31" ca="1" si="32">SUM(K32:K51)</f>
        <v>1460</v>
      </c>
      <c r="L31" s="369">
        <f t="shared" ca="1" si="32"/>
        <v>1460</v>
      </c>
      <c r="M31" s="94">
        <f t="shared" ca="1" si="24"/>
        <v>100</v>
      </c>
      <c r="N31" s="369">
        <f t="shared" ref="N31:O31" ca="1" si="33">SUM(N32:N51)</f>
        <v>5255</v>
      </c>
      <c r="O31" s="369">
        <f t="shared" ca="1" si="33"/>
        <v>5025</v>
      </c>
      <c r="P31" s="94">
        <f t="shared" ca="1" si="26"/>
        <v>95.623215984776408</v>
      </c>
      <c r="Q31" s="369">
        <f t="shared" ref="Q31:S31" ca="1" si="34">SUM(Q32:Q51)</f>
        <v>5255</v>
      </c>
      <c r="R31" s="369">
        <f t="shared" ca="1" si="34"/>
        <v>1460</v>
      </c>
      <c r="S31" s="369">
        <f t="shared" ca="1" si="34"/>
        <v>4090</v>
      </c>
      <c r="T31" s="94">
        <f t="shared" ca="1" si="28"/>
        <v>77.830637488106561</v>
      </c>
      <c r="U31" s="369">
        <f ca="1">SUM(U32:U51)</f>
        <v>1115</v>
      </c>
      <c r="V31" s="94">
        <f t="shared" ca="1" si="29"/>
        <v>76.369863013698634</v>
      </c>
      <c r="W31" s="640"/>
    </row>
    <row r="32" spans="1:23" ht="19.5" x14ac:dyDescent="0.3">
      <c r="A32" s="147">
        <v>1</v>
      </c>
      <c r="B32" s="148" t="s">
        <v>60</v>
      </c>
      <c r="C32" s="475">
        <f ca="1">IFERROR(__xludf.DUMMYFUNCTION("IMPORTRANGE(""https://docs.google.com/spreadsheets/d/1yhBcrRPreicbMKl9Bu_Snb2-OcQAF62RKfhTLhJ2eAA/edit?usp=sharing"",""กาฬสินธุ์!Q760"")"),595100)</f>
        <v>595100</v>
      </c>
      <c r="D32" s="260">
        <f ca="1">IFERROR(__xludf.DUMMYFUNCTION("IMPORTRANGE(""https://docs.google.com/spreadsheets/d/1yhBcrRPreicbMKl9Bu_Snb2-OcQAF62RKfhTLhJ2eAA/edit?usp=sharing"",""กาฬสินธุ์!R760"")"),595100)</f>
        <v>595100</v>
      </c>
      <c r="E32" s="475">
        <f ca="1">IFERROR(__xludf.DUMMYFUNCTION("IMPORTRANGE(""https://docs.google.com/spreadsheets/d/1yhBcrRPreicbMKl9Bu_Snb2-OcQAF62RKfhTLhJ2eAA/edit?usp=sharing"",""กาฬสินธุ์!S760"")"),557855.78)</f>
        <v>557855.78</v>
      </c>
      <c r="F32" s="260">
        <f t="shared" ca="1" si="19"/>
        <v>93.741519072424808</v>
      </c>
      <c r="G32" s="260">
        <f t="shared" ca="1" si="20"/>
        <v>93.741519072424808</v>
      </c>
      <c r="H32" s="278">
        <v>0</v>
      </c>
      <c r="I32" s="152">
        <v>0</v>
      </c>
      <c r="J32" s="216">
        <f t="shared" si="22"/>
        <v>0</v>
      </c>
      <c r="K32" s="152">
        <f ca="1">IFERROR(__xludf.DUMMYFUNCTION("IMPORTRANGE(""https://docs.google.com/spreadsheets/d/1yhBcrRPreicbMKl9Bu_Snb2-OcQAF62RKfhTLhJ2eAA/edit?usp=sharing"",""กาฬสินธุ์!I772"")"),60)</f>
        <v>60</v>
      </c>
      <c r="L32" s="152">
        <f ca="1">IFERROR(__xludf.DUMMYFUNCTION("IMPORTRANGE(""https://docs.google.com/spreadsheets/d/1yhBcrRPreicbMKl9Bu_Snb2-OcQAF62RKfhTLhJ2eAA/edit?usp=sharing"",""กาฬสินธุ์!J772"")"),60)</f>
        <v>60</v>
      </c>
      <c r="M32" s="216">
        <f t="shared" ca="1" si="24"/>
        <v>100</v>
      </c>
      <c r="N32" s="152">
        <f ca="1">IFERROR(__xludf.DUMMYFUNCTION("IMPORTRANGE(""https://docs.google.com/spreadsheets/d/1yhBcrRPreicbMKl9Bu_Snb2-OcQAF62RKfhTLhJ2eAA/edit?usp=sharing"",""กาฬสินธุ์!I774"")"),300)</f>
        <v>300</v>
      </c>
      <c r="O32" s="152">
        <f ca="1">IFERROR(__xludf.DUMMYFUNCTION("IMPORTRANGE(""https://docs.google.com/spreadsheets/d/1yhBcrRPreicbMKl9Bu_Snb2-OcQAF62RKfhTLhJ2eAA/edit?usp=sharing"",""กาฬสินธุ์!J774"")"),300)</f>
        <v>300</v>
      </c>
      <c r="P32" s="216">
        <f t="shared" ca="1" si="26"/>
        <v>100</v>
      </c>
      <c r="Q32" s="152">
        <f ca="1">IFERROR(__xludf.DUMMYFUNCTION("IMPORTRANGE(""https://docs.google.com/spreadsheets/d/1yhBcrRPreicbMKl9Bu_Snb2-OcQAF62RKfhTLhJ2eAA/edit?usp=sharing"",""กาฬสินธุ์!I775"")"),300)</f>
        <v>300</v>
      </c>
      <c r="R32" s="152">
        <f ca="1">IFERROR(__xludf.DUMMYFUNCTION("IMPORTRANGE(""https://docs.google.com/spreadsheets/d/1yhBcrRPreicbMKl9Bu_Snb2-OcQAF62RKfhTLhJ2eAA/edit?usp=sharing"",""กาฬสินธุ์!I776"")"),60)</f>
        <v>60</v>
      </c>
      <c r="S32" s="152">
        <f ca="1">IFERROR(__xludf.DUMMYFUNCTION("IMPORTRANGE(""https://docs.google.com/spreadsheets/d/1yhBcrRPreicbMKl9Bu_Snb2-OcQAF62RKfhTLhJ2eAA/edit?usp=sharing"",""กาฬสินธุ์!J775"")"),300)</f>
        <v>300</v>
      </c>
      <c r="T32" s="216">
        <f t="shared" ca="1" si="28"/>
        <v>100</v>
      </c>
      <c r="U32" s="152">
        <f ca="1">IFERROR(__xludf.DUMMYFUNCTION("IMPORTRANGE(""https://docs.google.com/spreadsheets/d/1yhBcrRPreicbMKl9Bu_Snb2-OcQAF62RKfhTLhJ2eAA/edit?usp=sharing"",""กาฬสินธุ์!J776"")"),60)</f>
        <v>60</v>
      </c>
      <c r="V32" s="216">
        <f t="shared" ca="1" si="29"/>
        <v>100</v>
      </c>
      <c r="W32" s="232"/>
    </row>
    <row r="33" spans="1:23" ht="19.5" x14ac:dyDescent="0.3">
      <c r="A33" s="147">
        <v>2</v>
      </c>
      <c r="B33" s="148" t="s">
        <v>61</v>
      </c>
      <c r="C33" s="475">
        <f ca="1">IFERROR(__xludf.DUMMYFUNCTION("IMPORTRANGE(""https://docs.google.com/spreadsheets/d/1aHkj4IaQMThhwWwevcOymEh837vdxeC_PycurhTbGFA/edit?usp=sharing"",""ขอนแก่น!Q760"")"),475550)</f>
        <v>475550</v>
      </c>
      <c r="D33" s="260">
        <f ca="1">IFERROR(__xludf.DUMMYFUNCTION("IMPORTRANGE(""https://docs.google.com/spreadsheets/d/1aHkj4IaQMThhwWwevcOymEh837vdxeC_PycurhTbGFA/edit?usp=sharing"",""ขอนแก่น!R760"")"),475550)</f>
        <v>475550</v>
      </c>
      <c r="E33" s="475">
        <f ca="1">IFERROR(__xludf.DUMMYFUNCTION("IMPORTRANGE(""https://docs.google.com/spreadsheets/d/1aHkj4IaQMThhwWwevcOymEh837vdxeC_PycurhTbGFA/edit?usp=sharing"",""ขอนแก่น!S760"")"),369759.2)</f>
        <v>369759.2</v>
      </c>
      <c r="F33" s="260">
        <f t="shared" ca="1" si="19"/>
        <v>77.754011144990017</v>
      </c>
      <c r="G33" s="260">
        <f t="shared" ca="1" si="20"/>
        <v>77.754011144990017</v>
      </c>
      <c r="H33" s="278">
        <v>0</v>
      </c>
      <c r="I33" s="152">
        <v>0</v>
      </c>
      <c r="J33" s="216">
        <f t="shared" si="22"/>
        <v>0</v>
      </c>
      <c r="K33" s="152">
        <f ca="1">IFERROR(__xludf.DUMMYFUNCTION("IMPORTRANGE(""https://docs.google.com/spreadsheets/d/1aHkj4IaQMThhwWwevcOymEh837vdxeC_PycurhTbGFA/edit?usp=sharing"",""ขอนแก่น!I772"")"),75)</f>
        <v>75</v>
      </c>
      <c r="L33" s="152">
        <f ca="1">IFERROR(__xludf.DUMMYFUNCTION("IMPORTRANGE(""https://docs.google.com/spreadsheets/d/1aHkj4IaQMThhwWwevcOymEh837vdxeC_PycurhTbGFA/edit?usp=sharing"",""ขอนแก่น!J772"")"),75)</f>
        <v>75</v>
      </c>
      <c r="M33" s="216">
        <f t="shared" ca="1" si="24"/>
        <v>100</v>
      </c>
      <c r="N33" s="152">
        <f ca="1">IFERROR(__xludf.DUMMYFUNCTION("IMPORTRANGE(""https://docs.google.com/spreadsheets/d/1aHkj4IaQMThhwWwevcOymEh837vdxeC_PycurhTbGFA/edit?usp=sharing"",""ขอนแก่น!I774"")"),135)</f>
        <v>135</v>
      </c>
      <c r="O33" s="152">
        <f ca="1">IFERROR(__xludf.DUMMYFUNCTION("IMPORTRANGE(""https://docs.google.com/spreadsheets/d/1aHkj4IaQMThhwWwevcOymEh837vdxeC_PycurhTbGFA/edit?usp=sharing"",""ขอนแก่น!J774"")"),135)</f>
        <v>135</v>
      </c>
      <c r="P33" s="216">
        <f t="shared" ca="1" si="26"/>
        <v>100</v>
      </c>
      <c r="Q33" s="152">
        <f ca="1">IFERROR(__xludf.DUMMYFUNCTION("IMPORTRANGE(""https://docs.google.com/spreadsheets/d/1aHkj4IaQMThhwWwevcOymEh837vdxeC_PycurhTbGFA/edit?usp=sharing"",""ขอนแก่น!I775"")"),135)</f>
        <v>135</v>
      </c>
      <c r="R33" s="152">
        <f ca="1">IFERROR(__xludf.DUMMYFUNCTION("IMPORTRANGE(""https://docs.google.com/spreadsheets/d/1aHkj4IaQMThhwWwevcOymEh837vdxeC_PycurhTbGFA/edit?usp=sharing"",""ขอนแก่น!I776"")"),75)</f>
        <v>75</v>
      </c>
      <c r="S33" s="152">
        <f ca="1">IFERROR(__xludf.DUMMYFUNCTION("IMPORTRANGE(""https://docs.google.com/spreadsheets/d/1aHkj4IaQMThhwWwevcOymEh837vdxeC_PycurhTbGFA/edit?usp=sharing"",""ขอนแก่น!J775"")"),135)</f>
        <v>135</v>
      </c>
      <c r="T33" s="216">
        <f t="shared" ca="1" si="28"/>
        <v>100</v>
      </c>
      <c r="U33" s="152">
        <f ca="1">IFERROR(__xludf.DUMMYFUNCTION("IMPORTRANGE(""https://docs.google.com/spreadsheets/d/1aHkj4IaQMThhwWwevcOymEh837vdxeC_PycurhTbGFA/edit?usp=sharing"",""ขอนแก่น!J776"")"),75)</f>
        <v>75</v>
      </c>
      <c r="V33" s="216">
        <f t="shared" ca="1" si="29"/>
        <v>100</v>
      </c>
      <c r="W33" s="232"/>
    </row>
    <row r="34" spans="1:23" ht="19.5" x14ac:dyDescent="0.3">
      <c r="A34" s="147">
        <v>3</v>
      </c>
      <c r="B34" s="148" t="s">
        <v>62</v>
      </c>
      <c r="C34" s="475">
        <f ca="1">IFERROR(__xludf.DUMMYFUNCTION("IMPORTRANGE(""https://docs.google.com/spreadsheets/d/1FvTu2DsIWUjP6WCWra38Bkj_oOl_sOMf14r5Fg5srxU/edit?usp=sharing"",""ชัยภูมิ!Q760"")"),0)</f>
        <v>0</v>
      </c>
      <c r="D34" s="260">
        <f ca="1">IFERROR(__xludf.DUMMYFUNCTION("IMPORTRANGE(""https://docs.google.com/spreadsheets/d/1FvTu2DsIWUjP6WCWra38Bkj_oOl_sOMf14r5Fg5srxU/edit?usp=sharing"",""ชัยภูมิ!R760"")"),0)</f>
        <v>0</v>
      </c>
      <c r="E34" s="475">
        <f ca="1">IFERROR(__xludf.DUMMYFUNCTION("IMPORTRANGE(""https://docs.google.com/spreadsheets/d/1FvTu2DsIWUjP6WCWra38Bkj_oOl_sOMf14r5Fg5srxU/edit?usp=sharing"",""ชัยภูมิ!S760"")"),0)</f>
        <v>0</v>
      </c>
      <c r="F34" s="260">
        <f t="shared" ca="1" si="19"/>
        <v>0</v>
      </c>
      <c r="G34" s="260">
        <f t="shared" ca="1" si="20"/>
        <v>0</v>
      </c>
      <c r="H34" s="278">
        <v>0</v>
      </c>
      <c r="I34" s="152">
        <v>0</v>
      </c>
      <c r="J34" s="216">
        <f t="shared" si="22"/>
        <v>0</v>
      </c>
      <c r="K34" s="152">
        <f ca="1">IFERROR(__xludf.DUMMYFUNCTION("IMPORTRANGE(""https://docs.google.com/spreadsheets/d/1FvTu2DsIWUjP6WCWra38Bkj_oOl_sOMf14r5Fg5srxU/edit?usp=sharing"",""ชัยภูมิ!I772"")"),0)</f>
        <v>0</v>
      </c>
      <c r="L34" s="152">
        <f ca="1">IFERROR(__xludf.DUMMYFUNCTION("IMPORTRANGE(""https://docs.google.com/spreadsheets/d/1FvTu2DsIWUjP6WCWra38Bkj_oOl_sOMf14r5Fg5srxU/edit?usp=sharing"",""ชัยภูมิ!J772"")"),0)</f>
        <v>0</v>
      </c>
      <c r="M34" s="216">
        <f t="shared" ca="1" si="24"/>
        <v>0</v>
      </c>
      <c r="N34" s="152">
        <f ca="1">IFERROR(__xludf.DUMMYFUNCTION("IMPORTRANGE(""https://docs.google.com/spreadsheets/d/1FvTu2DsIWUjP6WCWra38Bkj_oOl_sOMf14r5Fg5srxU/edit?usp=sharing"",""ชัยภูมิ!I774"")"),0)</f>
        <v>0</v>
      </c>
      <c r="O34" s="152">
        <f ca="1">IFERROR(__xludf.DUMMYFUNCTION("IMPORTRANGE(""https://docs.google.com/spreadsheets/d/1FvTu2DsIWUjP6WCWra38Bkj_oOl_sOMf14r5Fg5srxU/edit?usp=sharing"",""ชัยภูมิ!J774"")"),0)</f>
        <v>0</v>
      </c>
      <c r="P34" s="216">
        <f t="shared" ca="1" si="26"/>
        <v>0</v>
      </c>
      <c r="Q34" s="152">
        <f ca="1">IFERROR(__xludf.DUMMYFUNCTION("IMPORTRANGE(""https://docs.google.com/spreadsheets/d/1FvTu2DsIWUjP6WCWra38Bkj_oOl_sOMf14r5Fg5srxU/edit?usp=sharing"",""ชัยภูมิ!I775"")"),0)</f>
        <v>0</v>
      </c>
      <c r="R34" s="152">
        <f ca="1">IFERROR(__xludf.DUMMYFUNCTION("IMPORTRANGE(""https://docs.google.com/spreadsheets/d/1FvTu2DsIWUjP6WCWra38Bkj_oOl_sOMf14r5Fg5srxU/edit?usp=sharing"",""ชัยภูมิ!I776"")"),0)</f>
        <v>0</v>
      </c>
      <c r="S34" s="152">
        <f ca="1">IFERROR(__xludf.DUMMYFUNCTION("IMPORTRANGE(""https://docs.google.com/spreadsheets/d/1FvTu2DsIWUjP6WCWra38Bkj_oOl_sOMf14r5Fg5srxU/edit?usp=sharing"",""ชัยภูมิ!J775"")"),0)</f>
        <v>0</v>
      </c>
      <c r="T34" s="216">
        <f t="shared" ca="1" si="28"/>
        <v>0</v>
      </c>
      <c r="U34" s="152">
        <f ca="1">IFERROR(__xludf.DUMMYFUNCTION("IMPORTRANGE(""https://docs.google.com/spreadsheets/d/1FvTu2DsIWUjP6WCWra38Bkj_oOl_sOMf14r5Fg5srxU/edit?usp=sharing"",""ชัยภูมิ!J776"")"),0)</f>
        <v>0</v>
      </c>
      <c r="V34" s="216">
        <f t="shared" ca="1" si="29"/>
        <v>0</v>
      </c>
      <c r="W34" s="232"/>
    </row>
    <row r="35" spans="1:23" ht="19.5" x14ac:dyDescent="0.3">
      <c r="A35" s="147">
        <v>4</v>
      </c>
      <c r="B35" s="148" t="s">
        <v>63</v>
      </c>
      <c r="C35" s="475">
        <f ca="1">IFERROR(__xludf.DUMMYFUNCTION("IMPORTRANGE(""https://docs.google.com/spreadsheets/d/1XVB7oCJ3pr-vBUdflwPQ8Z2LlzhnCvZaaYjAfP-647E/edit?usp=sharing"",""นครพนม!Q760"")"),401950)</f>
        <v>401950</v>
      </c>
      <c r="D35" s="260">
        <f ca="1">IFERROR(__xludf.DUMMYFUNCTION("IMPORTRANGE(""https://docs.google.com/spreadsheets/d/1XVB7oCJ3pr-vBUdflwPQ8Z2LlzhnCvZaaYjAfP-647E/edit?usp=sharing"",""นครพนม!R760"")"),401950)</f>
        <v>401950</v>
      </c>
      <c r="E35" s="475">
        <f ca="1">IFERROR(__xludf.DUMMYFUNCTION("IMPORTRANGE(""https://docs.google.com/spreadsheets/d/1XVB7oCJ3pr-vBUdflwPQ8Z2LlzhnCvZaaYjAfP-647E/edit?usp=sharing"",""นครพนม!S760"")"),226144.65)</f>
        <v>226144.65</v>
      </c>
      <c r="F35" s="260">
        <f t="shared" ca="1" si="19"/>
        <v>56.261885806692376</v>
      </c>
      <c r="G35" s="260">
        <f t="shared" ca="1" si="20"/>
        <v>56.261885806692376</v>
      </c>
      <c r="H35" s="278">
        <v>0</v>
      </c>
      <c r="I35" s="152">
        <v>0</v>
      </c>
      <c r="J35" s="216">
        <f t="shared" si="22"/>
        <v>0</v>
      </c>
      <c r="K35" s="152">
        <f ca="1">IFERROR(__xludf.DUMMYFUNCTION("IMPORTRANGE(""https://docs.google.com/spreadsheets/d/1XVB7oCJ3pr-vBUdflwPQ8Z2LlzhnCvZaaYjAfP-647E/edit?usp=sharing"",""นครพนม!I772"")"),55)</f>
        <v>55</v>
      </c>
      <c r="L35" s="152">
        <f ca="1">IFERROR(__xludf.DUMMYFUNCTION("IMPORTRANGE(""https://docs.google.com/spreadsheets/d/1XVB7oCJ3pr-vBUdflwPQ8Z2LlzhnCvZaaYjAfP-647E/edit?usp=sharing"",""นครพนม!J772"")"),55)</f>
        <v>55</v>
      </c>
      <c r="M35" s="216">
        <f t="shared" ca="1" si="24"/>
        <v>100</v>
      </c>
      <c r="N35" s="152">
        <f ca="1">IFERROR(__xludf.DUMMYFUNCTION("IMPORTRANGE(""https://docs.google.com/spreadsheets/d/1XVB7oCJ3pr-vBUdflwPQ8Z2LlzhnCvZaaYjAfP-647E/edit?usp=sharing"",""นครพนม!I774"")"),110)</f>
        <v>110</v>
      </c>
      <c r="O35" s="152">
        <f ca="1">IFERROR(__xludf.DUMMYFUNCTION("IMPORTRANGE(""https://docs.google.com/spreadsheets/d/1XVB7oCJ3pr-vBUdflwPQ8Z2LlzhnCvZaaYjAfP-647E/edit?usp=sharing"",""นครพนม!J774"")"),110)</f>
        <v>110</v>
      </c>
      <c r="P35" s="216">
        <f t="shared" ca="1" si="26"/>
        <v>100</v>
      </c>
      <c r="Q35" s="152">
        <f ca="1">IFERROR(__xludf.DUMMYFUNCTION("IMPORTRANGE(""https://docs.google.com/spreadsheets/d/1XVB7oCJ3pr-vBUdflwPQ8Z2LlzhnCvZaaYjAfP-647E/edit?usp=sharing"",""นครพนม!I775"")"),110)</f>
        <v>110</v>
      </c>
      <c r="R35" s="152">
        <f ca="1">IFERROR(__xludf.DUMMYFUNCTION("IMPORTRANGE(""https://docs.google.com/spreadsheets/d/1XVB7oCJ3pr-vBUdflwPQ8Z2LlzhnCvZaaYjAfP-647E/edit?usp=sharing"",""นครพนม!I776"")"),55)</f>
        <v>55</v>
      </c>
      <c r="S35" s="152">
        <f ca="1">IFERROR(__xludf.DUMMYFUNCTION("IMPORTRANGE(""https://docs.google.com/spreadsheets/d/1XVB7oCJ3pr-vBUdflwPQ8Z2LlzhnCvZaaYjAfP-647E/edit?usp=sharing"",""นครพนม!J775"")"),110)</f>
        <v>110</v>
      </c>
      <c r="T35" s="216">
        <f t="shared" ca="1" si="28"/>
        <v>100</v>
      </c>
      <c r="U35" s="152">
        <f ca="1">IFERROR(__xludf.DUMMYFUNCTION("IMPORTRANGE(""https://docs.google.com/spreadsheets/d/1XVB7oCJ3pr-vBUdflwPQ8Z2LlzhnCvZaaYjAfP-647E/edit?usp=sharing"",""นครพนม!J776"")"),55)</f>
        <v>55</v>
      </c>
      <c r="V35" s="216">
        <f t="shared" ca="1" si="29"/>
        <v>100</v>
      </c>
      <c r="W35" s="232"/>
    </row>
    <row r="36" spans="1:23" ht="19.5" x14ac:dyDescent="0.3">
      <c r="A36" s="147">
        <v>5</v>
      </c>
      <c r="B36" s="148" t="s">
        <v>64</v>
      </c>
      <c r="C36" s="475">
        <f ca="1">IFERROR(__xludf.DUMMYFUNCTION("IMPORTRANGE(""https://docs.google.com/spreadsheets/d/1Mnpb-8PYAgn85W6KOTD40hc_Xc55CaLfHoGAbrZ8tls/edit?usp=sharing"",""นครราชสีมา!Q760"")"),622180)</f>
        <v>622180</v>
      </c>
      <c r="D36" s="260">
        <f ca="1">IFERROR(__xludf.DUMMYFUNCTION("IMPORTRANGE(""https://docs.google.com/spreadsheets/d/1Mnpb-8PYAgn85W6KOTD40hc_Xc55CaLfHoGAbrZ8tls/edit?usp=sharing"",""นครราชสีมา!R760"")"),622180)</f>
        <v>622180</v>
      </c>
      <c r="E36" s="475">
        <f ca="1">IFERROR(__xludf.DUMMYFUNCTION("IMPORTRANGE(""https://docs.google.com/spreadsheets/d/1Mnpb-8PYAgn85W6KOTD40hc_Xc55CaLfHoGAbrZ8tls/edit?usp=sharing"",""นครราชสีมา!S760"")"),595509.65)</f>
        <v>595509.65</v>
      </c>
      <c r="F36" s="260">
        <f t="shared" ca="1" si="19"/>
        <v>95.713402873766441</v>
      </c>
      <c r="G36" s="260">
        <f t="shared" ca="1" si="20"/>
        <v>95.713402873766441</v>
      </c>
      <c r="H36" s="279">
        <v>0</v>
      </c>
      <c r="I36" s="397">
        <v>0</v>
      </c>
      <c r="J36" s="216">
        <f t="shared" si="22"/>
        <v>0</v>
      </c>
      <c r="K36" s="397">
        <f ca="1">IFERROR(__xludf.DUMMYFUNCTION("IMPORTRANGE(""https://docs.google.com/spreadsheets/d/1Mnpb-8PYAgn85W6KOTD40hc_Xc55CaLfHoGAbrZ8tls/edit?usp=sharing"",""นครราชสีมา!I772"")"),100)</f>
        <v>100</v>
      </c>
      <c r="L36" s="397">
        <f ca="1">IFERROR(__xludf.DUMMYFUNCTION("IMPORTRANGE(""https://docs.google.com/spreadsheets/d/1Mnpb-8PYAgn85W6KOTD40hc_Xc55CaLfHoGAbrZ8tls/edit?usp=sharing"",""นครราชสีมา!J772"")"),100)</f>
        <v>100</v>
      </c>
      <c r="M36" s="216">
        <f t="shared" ca="1" si="24"/>
        <v>100</v>
      </c>
      <c r="N36" s="397">
        <f ca="1">IFERROR(__xludf.DUMMYFUNCTION("IMPORTRANGE(""https://docs.google.com/spreadsheets/d/1Mnpb-8PYAgn85W6KOTD40hc_Xc55CaLfHoGAbrZ8tls/edit?usp=sharing"",""นครราชสีมา!I774"")"),200)</f>
        <v>200</v>
      </c>
      <c r="O36" s="397">
        <f ca="1">IFERROR(__xludf.DUMMYFUNCTION("IMPORTRANGE(""https://docs.google.com/spreadsheets/d/1Mnpb-8PYAgn85W6KOTD40hc_Xc55CaLfHoGAbrZ8tls/edit?usp=sharing"",""นครราชสีมา!J774"")"),200)</f>
        <v>200</v>
      </c>
      <c r="P36" s="216">
        <f t="shared" ca="1" si="26"/>
        <v>100</v>
      </c>
      <c r="Q36" s="397">
        <f ca="1">IFERROR(__xludf.DUMMYFUNCTION("IMPORTRANGE(""https://docs.google.com/spreadsheets/d/1Mnpb-8PYAgn85W6KOTD40hc_Xc55CaLfHoGAbrZ8tls/edit?usp=sharing"",""นครราชสีมา!I775"")"),200)</f>
        <v>200</v>
      </c>
      <c r="R36" s="397">
        <f ca="1">IFERROR(__xludf.DUMMYFUNCTION("IMPORTRANGE(""https://docs.google.com/spreadsheets/d/1Mnpb-8PYAgn85W6KOTD40hc_Xc55CaLfHoGAbrZ8tls/edit?usp=sharing"",""นครราชสีมา!I776"")"),100)</f>
        <v>100</v>
      </c>
      <c r="S36" s="397">
        <f ca="1">IFERROR(__xludf.DUMMYFUNCTION("IMPORTRANGE(""https://docs.google.com/spreadsheets/d/1Mnpb-8PYAgn85W6KOTD40hc_Xc55CaLfHoGAbrZ8tls/edit?usp=sharing"",""นครราชสีมา!J775"")"),200)</f>
        <v>200</v>
      </c>
      <c r="T36" s="216">
        <f t="shared" ca="1" si="28"/>
        <v>100</v>
      </c>
      <c r="U36" s="397">
        <f ca="1">IFERROR(__xludf.DUMMYFUNCTION("IMPORTRANGE(""https://docs.google.com/spreadsheets/d/1Mnpb-8PYAgn85W6KOTD40hc_Xc55CaLfHoGAbrZ8tls/edit?usp=sharing"",""นครราชสีมา!J776"")"),100)</f>
        <v>100</v>
      </c>
      <c r="V36" s="216">
        <f t="shared" ca="1" si="29"/>
        <v>100</v>
      </c>
      <c r="W36" s="232"/>
    </row>
    <row r="37" spans="1:23" ht="19.5" x14ac:dyDescent="0.3">
      <c r="A37" s="147">
        <v>6</v>
      </c>
      <c r="B37" s="148" t="s">
        <v>65</v>
      </c>
      <c r="C37" s="475">
        <f ca="1">IFERROR(__xludf.DUMMYFUNCTION("IMPORTRANGE(""https://docs.google.com/spreadsheets/d/1xoDLGBv9CYbyosIhki0kTq6IpYNj-gpjxfobnaDiut0/edit?usp=sharing"",""บึงกาฬ!Q760"")"),550180)</f>
        <v>550180</v>
      </c>
      <c r="D37" s="260">
        <f ca="1">IFERROR(__xludf.DUMMYFUNCTION("IMPORTRANGE(""https://docs.google.com/spreadsheets/d/1xoDLGBv9CYbyosIhki0kTq6IpYNj-gpjxfobnaDiut0/edit?usp=sharing"",""บึงกาฬ!R760"")"),550180)</f>
        <v>550180</v>
      </c>
      <c r="E37" s="475">
        <f ca="1">IFERROR(__xludf.DUMMYFUNCTION("IMPORTRANGE(""https://docs.google.com/spreadsheets/d/1xoDLGBv9CYbyosIhki0kTq6IpYNj-gpjxfobnaDiut0/edit?usp=sharing"",""บึงกาฬ!S760"")"),277857)</f>
        <v>277857</v>
      </c>
      <c r="F37" s="260">
        <f t="shared" ca="1" si="19"/>
        <v>50.502926315024176</v>
      </c>
      <c r="G37" s="260">
        <f t="shared" ca="1" si="20"/>
        <v>50.502926315024176</v>
      </c>
      <c r="H37" s="278">
        <v>0</v>
      </c>
      <c r="I37" s="152">
        <v>0</v>
      </c>
      <c r="J37" s="216">
        <f t="shared" si="22"/>
        <v>0</v>
      </c>
      <c r="K37" s="152">
        <f ca="1">IFERROR(__xludf.DUMMYFUNCTION("IMPORTRANGE(""https://docs.google.com/spreadsheets/d/1xoDLGBv9CYbyosIhki0kTq6IpYNj-gpjxfobnaDiut0/edit?usp=sharing"",""บึงกาฬ!I772"")"),100)</f>
        <v>100</v>
      </c>
      <c r="L37" s="152">
        <f ca="1">IFERROR(__xludf.DUMMYFUNCTION("IMPORTRANGE(""https://docs.google.com/spreadsheets/d/1xoDLGBv9CYbyosIhki0kTq6IpYNj-gpjxfobnaDiut0/edit?usp=sharing"",""บึงกาฬ!J772"")"),100)</f>
        <v>100</v>
      </c>
      <c r="M37" s="216">
        <f t="shared" ca="1" si="24"/>
        <v>100</v>
      </c>
      <c r="N37" s="152">
        <f ca="1">IFERROR(__xludf.DUMMYFUNCTION("IMPORTRANGE(""https://docs.google.com/spreadsheets/d/1xoDLGBv9CYbyosIhki0kTq6IpYNj-gpjxfobnaDiut0/edit?usp=sharing"",""บึงกาฬ!I774"")"),150)</f>
        <v>150</v>
      </c>
      <c r="O37" s="152">
        <f ca="1">IFERROR(__xludf.DUMMYFUNCTION("IMPORTRANGE(""https://docs.google.com/spreadsheets/d/1xoDLGBv9CYbyosIhki0kTq6IpYNj-gpjxfobnaDiut0/edit?usp=sharing"",""บึงกาฬ!J774"")"),150)</f>
        <v>150</v>
      </c>
      <c r="P37" s="216">
        <f t="shared" ca="1" si="26"/>
        <v>100</v>
      </c>
      <c r="Q37" s="152">
        <f ca="1">IFERROR(__xludf.DUMMYFUNCTION("IMPORTRANGE(""https://docs.google.com/spreadsheets/d/1xoDLGBv9CYbyosIhki0kTq6IpYNj-gpjxfobnaDiut0/edit?usp=sharing"",""บึงกาฬ!I775"")"),150)</f>
        <v>150</v>
      </c>
      <c r="R37" s="152">
        <f ca="1">IFERROR(__xludf.DUMMYFUNCTION("IMPORTRANGE(""https://docs.google.com/spreadsheets/d/1xoDLGBv9CYbyosIhki0kTq6IpYNj-gpjxfobnaDiut0/edit?usp=sharing"",""บึงกาฬ!I776"")"),100)</f>
        <v>100</v>
      </c>
      <c r="S37" s="152">
        <f ca="1">IFERROR(__xludf.DUMMYFUNCTION("IMPORTRANGE(""https://docs.google.com/spreadsheets/d/1xoDLGBv9CYbyosIhki0kTq6IpYNj-gpjxfobnaDiut0/edit?usp=sharing"",""บึงกาฬ!J775"")"),0)</f>
        <v>0</v>
      </c>
      <c r="T37" s="216">
        <f t="shared" ca="1" si="28"/>
        <v>0</v>
      </c>
      <c r="U37" s="152">
        <f ca="1">IFERROR(__xludf.DUMMYFUNCTION("IMPORTRANGE(""https://docs.google.com/spreadsheets/d/1xoDLGBv9CYbyosIhki0kTq6IpYNj-gpjxfobnaDiut0/edit?usp=sharing"",""บึงกาฬ!J776"")"),0)</f>
        <v>0</v>
      </c>
      <c r="V37" s="216">
        <f t="shared" ca="1" si="29"/>
        <v>0</v>
      </c>
      <c r="W37" s="232"/>
    </row>
    <row r="38" spans="1:23" ht="19.5" x14ac:dyDescent="0.3">
      <c r="A38" s="147">
        <v>7</v>
      </c>
      <c r="B38" s="148" t="s">
        <v>66</v>
      </c>
      <c r="C38" s="475">
        <f ca="1">IFERROR(__xludf.DUMMYFUNCTION("IMPORTRANGE(""https://docs.google.com/spreadsheets/d/1MMPq-JyI6DSgQETxuSiXkesP-P7JHuemnE6QJIa-Nlw/edit?usp=sharing"",""บุรีรัมย์!Q760"")"),979250)</f>
        <v>979250</v>
      </c>
      <c r="D38" s="260">
        <f ca="1">IFERROR(__xludf.DUMMYFUNCTION("IMPORTRANGE(""https://docs.google.com/spreadsheets/d/1MMPq-JyI6DSgQETxuSiXkesP-P7JHuemnE6QJIa-Nlw/edit?usp=sharing"",""บุรีรัมย์!R760"")"),979250)</f>
        <v>979250</v>
      </c>
      <c r="E38" s="475">
        <f ca="1">IFERROR(__xludf.DUMMYFUNCTION("IMPORTRANGE(""https://docs.google.com/spreadsheets/d/1MMPq-JyI6DSgQETxuSiXkesP-P7JHuemnE6QJIa-Nlw/edit?usp=sharing"",""บุรีรัมย์!S760"")"),842450.74)</f>
        <v>842450.74</v>
      </c>
      <c r="F38" s="260">
        <f t="shared" ca="1" si="19"/>
        <v>86.0302006637733</v>
      </c>
      <c r="G38" s="260">
        <f t="shared" ca="1" si="20"/>
        <v>86.0302006637733</v>
      </c>
      <c r="H38" s="279">
        <v>0</v>
      </c>
      <c r="I38" s="397">
        <v>0</v>
      </c>
      <c r="J38" s="216">
        <f t="shared" si="22"/>
        <v>0</v>
      </c>
      <c r="K38" s="397">
        <f ca="1">IFERROR(__xludf.DUMMYFUNCTION("IMPORTRANGE(""https://docs.google.com/spreadsheets/d/1MMPq-JyI6DSgQETxuSiXkesP-P7JHuemnE6QJIa-Nlw/edit?usp=sharing"",""บุรีรัมย์!I772"")"),65)</f>
        <v>65</v>
      </c>
      <c r="L38" s="397">
        <f ca="1">IFERROR(__xludf.DUMMYFUNCTION("IMPORTRANGE(""https://docs.google.com/spreadsheets/d/1MMPq-JyI6DSgQETxuSiXkesP-P7JHuemnE6QJIa-Nlw/edit?usp=sharing"",""บุรีรัมย์!J772"")"),65)</f>
        <v>65</v>
      </c>
      <c r="M38" s="216">
        <f t="shared" ca="1" si="24"/>
        <v>100</v>
      </c>
      <c r="N38" s="397">
        <f ca="1">IFERROR(__xludf.DUMMYFUNCTION("IMPORTRANGE(""https://docs.google.com/spreadsheets/d/1MMPq-JyI6DSgQETxuSiXkesP-P7JHuemnE6QJIa-Nlw/edit?usp=sharing"",""บุรีรัมย์!I774"")"),650)</f>
        <v>650</v>
      </c>
      <c r="O38" s="397">
        <f ca="1">IFERROR(__xludf.DUMMYFUNCTION("IMPORTRANGE(""https://docs.google.com/spreadsheets/d/1MMPq-JyI6DSgQETxuSiXkesP-P7JHuemnE6QJIa-Nlw/edit?usp=sharing"",""บุรีรัมย์!J774"")"),650)</f>
        <v>650</v>
      </c>
      <c r="P38" s="216">
        <f t="shared" ca="1" si="26"/>
        <v>100</v>
      </c>
      <c r="Q38" s="397">
        <f ca="1">IFERROR(__xludf.DUMMYFUNCTION("IMPORTRANGE(""https://docs.google.com/spreadsheets/d/1MMPq-JyI6DSgQETxuSiXkesP-P7JHuemnE6QJIa-Nlw/edit?usp=sharing"",""บุรีรัมย์!I775"")"),650)</f>
        <v>650</v>
      </c>
      <c r="R38" s="397">
        <f ca="1">IFERROR(__xludf.DUMMYFUNCTION("IMPORTRANGE(""https://docs.google.com/spreadsheets/d/1MMPq-JyI6DSgQETxuSiXkesP-P7JHuemnE6QJIa-Nlw/edit?usp=sharing"",""บุรีรัมย์!I776"")"),65)</f>
        <v>65</v>
      </c>
      <c r="S38" s="397">
        <f ca="1">IFERROR(__xludf.DUMMYFUNCTION("IMPORTRANGE(""https://docs.google.com/spreadsheets/d/1MMPq-JyI6DSgQETxuSiXkesP-P7JHuemnE6QJIa-Nlw/edit?usp=sharing"",""บุรีรัมย์!J775"")"),650)</f>
        <v>650</v>
      </c>
      <c r="T38" s="216">
        <f t="shared" ca="1" si="28"/>
        <v>100</v>
      </c>
      <c r="U38" s="397">
        <f ca="1">IFERROR(__xludf.DUMMYFUNCTION("IMPORTRANGE(""https://docs.google.com/spreadsheets/d/1MMPq-JyI6DSgQETxuSiXkesP-P7JHuemnE6QJIa-Nlw/edit?usp=sharing"",""บุรีรัมย์!J776"")"),65)</f>
        <v>65</v>
      </c>
      <c r="V38" s="216">
        <f t="shared" ca="1" si="29"/>
        <v>100</v>
      </c>
      <c r="W38" s="232"/>
    </row>
    <row r="39" spans="1:23" ht="19.5" x14ac:dyDescent="0.3">
      <c r="A39" s="147">
        <v>8</v>
      </c>
      <c r="B39" s="148" t="s">
        <v>67</v>
      </c>
      <c r="C39" s="475">
        <f ca="1">IFERROR(__xludf.DUMMYFUNCTION("IMPORTRANGE(""https://docs.google.com/spreadsheets/d/1l6IZ8xUPgMrESzcTYwhA1k_tPjeQjJPTqlm8Gd9eU5g/edit?usp=sharing"",""มหาสารคาม!Q760"")"),711480)</f>
        <v>711480</v>
      </c>
      <c r="D39" s="260">
        <f ca="1">IFERROR(__xludf.DUMMYFUNCTION("IMPORTRANGE(""https://docs.google.com/spreadsheets/d/1l6IZ8xUPgMrESzcTYwhA1k_tPjeQjJPTqlm8Gd9eU5g/edit?usp=sharing"",""มหาสารคาม!R760"")"),711480)</f>
        <v>711480</v>
      </c>
      <c r="E39" s="475">
        <f ca="1">IFERROR(__xludf.DUMMYFUNCTION("IMPORTRANGE(""https://docs.google.com/spreadsheets/d/1l6IZ8xUPgMrESzcTYwhA1k_tPjeQjJPTqlm8Gd9eU5g/edit?usp=sharing"",""มหาสารคาม!S760"")"),585929)</f>
        <v>585929</v>
      </c>
      <c r="F39" s="260">
        <f t="shared" ca="1" si="19"/>
        <v>82.353544723674588</v>
      </c>
      <c r="G39" s="260">
        <f t="shared" ca="1" si="20"/>
        <v>82.353544723674588</v>
      </c>
      <c r="H39" s="278">
        <v>0</v>
      </c>
      <c r="I39" s="152">
        <v>0</v>
      </c>
      <c r="J39" s="216">
        <f t="shared" si="22"/>
        <v>0</v>
      </c>
      <c r="K39" s="152">
        <f ca="1">IFERROR(__xludf.DUMMYFUNCTION("IMPORTRANGE(""https://docs.google.com/spreadsheets/d/1l6IZ8xUPgMrESzcTYwhA1k_tPjeQjJPTqlm8Gd9eU5g/edit?usp=sharing"",""มหาสารคาม!I772"")"),110)</f>
        <v>110</v>
      </c>
      <c r="L39" s="152">
        <f ca="1">IFERROR(__xludf.DUMMYFUNCTION("IMPORTRANGE(""https://docs.google.com/spreadsheets/d/1l6IZ8xUPgMrESzcTYwhA1k_tPjeQjJPTqlm8Gd9eU5g/edit?usp=sharing"",""มหาสารคาม!J772"")"),110)</f>
        <v>110</v>
      </c>
      <c r="M39" s="216">
        <f t="shared" ca="1" si="24"/>
        <v>100</v>
      </c>
      <c r="N39" s="152">
        <f ca="1">IFERROR(__xludf.DUMMYFUNCTION("IMPORTRANGE(""https://docs.google.com/spreadsheets/d/1l6IZ8xUPgMrESzcTYwhA1k_tPjeQjJPTqlm8Gd9eU5g/edit?usp=sharing"",""มหาสารคาม!I774"")"),280)</f>
        <v>280</v>
      </c>
      <c r="O39" s="152">
        <f ca="1">IFERROR(__xludf.DUMMYFUNCTION("IMPORTRANGE(""https://docs.google.com/spreadsheets/d/1l6IZ8xUPgMrESzcTYwhA1k_tPjeQjJPTqlm8Gd9eU5g/edit?usp=sharing"",""มหาสารคาม!J774"")"),280)</f>
        <v>280</v>
      </c>
      <c r="P39" s="216">
        <f t="shared" ca="1" si="26"/>
        <v>100</v>
      </c>
      <c r="Q39" s="152">
        <f ca="1">IFERROR(__xludf.DUMMYFUNCTION("IMPORTRANGE(""https://docs.google.com/spreadsheets/d/1l6IZ8xUPgMrESzcTYwhA1k_tPjeQjJPTqlm8Gd9eU5g/edit?usp=sharing"",""มหาสารคาม!I775"")"),280)</f>
        <v>280</v>
      </c>
      <c r="R39" s="152">
        <f ca="1">IFERROR(__xludf.DUMMYFUNCTION("IMPORTRANGE(""https://docs.google.com/spreadsheets/d/1l6IZ8xUPgMrESzcTYwhA1k_tPjeQjJPTqlm8Gd9eU5g/edit?usp=sharing"",""มหาสารคาม!I776"")"),110)</f>
        <v>110</v>
      </c>
      <c r="S39" s="152">
        <f ca="1">IFERROR(__xludf.DUMMYFUNCTION("IMPORTRANGE(""https://docs.google.com/spreadsheets/d/1l6IZ8xUPgMrESzcTYwhA1k_tPjeQjJPTqlm8Gd9eU5g/edit?usp=sharing"",""มหาสารคาม!J775"")"),280)</f>
        <v>280</v>
      </c>
      <c r="T39" s="216">
        <f t="shared" ca="1" si="28"/>
        <v>100</v>
      </c>
      <c r="U39" s="152">
        <f ca="1">IFERROR(__xludf.DUMMYFUNCTION("IMPORTRANGE(""https://docs.google.com/spreadsheets/d/1l6IZ8xUPgMrESzcTYwhA1k_tPjeQjJPTqlm8Gd9eU5g/edit?usp=sharing"",""มหาสารคาม!J776"")"),110)</f>
        <v>110</v>
      </c>
      <c r="V39" s="216">
        <f t="shared" ca="1" si="29"/>
        <v>100</v>
      </c>
      <c r="W39" s="232"/>
    </row>
    <row r="40" spans="1:23" ht="19.5" x14ac:dyDescent="0.3">
      <c r="A40" s="147">
        <v>9</v>
      </c>
      <c r="B40" s="148" t="s">
        <v>68</v>
      </c>
      <c r="C40" s="475">
        <f ca="1">IFERROR(__xludf.DUMMYFUNCTION("IMPORTRANGE(""https://docs.google.com/spreadsheets/d/1uB74YLqNjWX6FObjekfB2NtSYigTQyR2rq9u4Ub2Sq4/edit?usp=sharing"",""มุกดาหาร!Q760"")"),462400)</f>
        <v>462400</v>
      </c>
      <c r="D40" s="260">
        <f ca="1">IFERROR(__xludf.DUMMYFUNCTION("IMPORTRANGE(""https://docs.google.com/spreadsheets/d/1uB74YLqNjWX6FObjekfB2NtSYigTQyR2rq9u4Ub2Sq4/edit?usp=sharing"",""มุกดาหาร!R760"")"),462400)</f>
        <v>462400</v>
      </c>
      <c r="E40" s="475">
        <f ca="1">IFERROR(__xludf.DUMMYFUNCTION("IMPORTRANGE(""https://docs.google.com/spreadsheets/d/1uB74YLqNjWX6FObjekfB2NtSYigTQyR2rq9u4Ub2Sq4/edit?usp=sharing"",""มุกดาหาร!S760"")"),335642)</f>
        <v>335642</v>
      </c>
      <c r="F40" s="260">
        <f t="shared" ca="1" si="19"/>
        <v>72.58693771626298</v>
      </c>
      <c r="G40" s="260">
        <f t="shared" ca="1" si="20"/>
        <v>72.58693771626298</v>
      </c>
      <c r="H40" s="278">
        <v>0</v>
      </c>
      <c r="I40" s="152">
        <v>0</v>
      </c>
      <c r="J40" s="216">
        <f t="shared" si="22"/>
        <v>0</v>
      </c>
      <c r="K40" s="152">
        <f ca="1">IFERROR(__xludf.DUMMYFUNCTION("IMPORTRANGE(""https://docs.google.com/spreadsheets/d/1uB74YLqNjWX6FObjekfB2NtSYigTQyR2rq9u4Ub2Sq4/edit?usp=sharing"",""มุกดาหาร!I772"")"),70)</f>
        <v>70</v>
      </c>
      <c r="L40" s="152">
        <f ca="1">IFERROR(__xludf.DUMMYFUNCTION("IMPORTRANGE(""https://docs.google.com/spreadsheets/d/1uB74YLqNjWX6FObjekfB2NtSYigTQyR2rq9u4Ub2Sq4/edit?usp=sharing"",""มุกดาหาร!J772"")"),70)</f>
        <v>70</v>
      </c>
      <c r="M40" s="216">
        <f t="shared" ca="1" si="24"/>
        <v>100</v>
      </c>
      <c r="N40" s="152">
        <f ca="1">IFERROR(__xludf.DUMMYFUNCTION("IMPORTRANGE(""https://docs.google.com/spreadsheets/d/1uB74YLqNjWX6FObjekfB2NtSYigTQyR2rq9u4Ub2Sq4/edit?usp=sharing"",""มุกดาหาร!I774"")"),140)</f>
        <v>140</v>
      </c>
      <c r="O40" s="152">
        <f ca="1">IFERROR(__xludf.DUMMYFUNCTION("IMPORTRANGE(""https://docs.google.com/spreadsheets/d/1uB74YLqNjWX6FObjekfB2NtSYigTQyR2rq9u4Ub2Sq4/edit?usp=sharing"",""มุกดาหาร!J774"")"),140)</f>
        <v>140</v>
      </c>
      <c r="P40" s="216">
        <f t="shared" ca="1" si="26"/>
        <v>100</v>
      </c>
      <c r="Q40" s="152">
        <f ca="1">IFERROR(__xludf.DUMMYFUNCTION("IMPORTRANGE(""https://docs.google.com/spreadsheets/d/1uB74YLqNjWX6FObjekfB2NtSYigTQyR2rq9u4Ub2Sq4/edit?usp=sharing"",""มุกดาหาร!I775"")"),140)</f>
        <v>140</v>
      </c>
      <c r="R40" s="152">
        <f ca="1">IFERROR(__xludf.DUMMYFUNCTION("IMPORTRANGE(""https://docs.google.com/spreadsheets/d/1uB74YLqNjWX6FObjekfB2NtSYigTQyR2rq9u4Ub2Sq4/edit?usp=sharing"",""มุกดาหาร!I776"")"),70)</f>
        <v>70</v>
      </c>
      <c r="S40" s="152">
        <f ca="1">IFERROR(__xludf.DUMMYFUNCTION("IMPORTRANGE(""https://docs.google.com/spreadsheets/d/1uB74YLqNjWX6FObjekfB2NtSYigTQyR2rq9u4Ub2Sq4/edit?usp=sharing"",""มุกดาหาร!J775"")"),140)</f>
        <v>140</v>
      </c>
      <c r="T40" s="216">
        <f t="shared" ca="1" si="28"/>
        <v>100</v>
      </c>
      <c r="U40" s="152">
        <f ca="1">IFERROR(__xludf.DUMMYFUNCTION("IMPORTRANGE(""https://docs.google.com/spreadsheets/d/1uB74YLqNjWX6FObjekfB2NtSYigTQyR2rq9u4Ub2Sq4/edit?usp=sharing"",""มุกดาหาร!J776"")"),70)</f>
        <v>70</v>
      </c>
      <c r="V40" s="216">
        <f t="shared" ca="1" si="29"/>
        <v>100</v>
      </c>
      <c r="W40" s="232"/>
    </row>
    <row r="41" spans="1:23" ht="19.5" x14ac:dyDescent="0.3">
      <c r="A41" s="147">
        <v>10</v>
      </c>
      <c r="B41" s="148" t="s">
        <v>69</v>
      </c>
      <c r="C41" s="475">
        <f ca="1">IFERROR(__xludf.DUMMYFUNCTION("IMPORTRANGE(""https://docs.google.com/spreadsheets/d/1NexK3geCPxCTO1fzNF8dPec7yZyUx3OaWkFBC9HsQOo/edit?usp=sharing"",""ยโสธร!Q760"")"),669250)</f>
        <v>669250</v>
      </c>
      <c r="D41" s="260">
        <f ca="1">IFERROR(__xludf.DUMMYFUNCTION("IMPORTRANGE(""https://docs.google.com/spreadsheets/d/1NexK3geCPxCTO1fzNF8dPec7yZyUx3OaWkFBC9HsQOo/edit?usp=sharing"",""ยโสธร!R760"")"),669250)</f>
        <v>669250</v>
      </c>
      <c r="E41" s="475">
        <f ca="1">IFERROR(__xludf.DUMMYFUNCTION("IMPORTRANGE(""https://docs.google.com/spreadsheets/d/1NexK3geCPxCTO1fzNF8dPec7yZyUx3OaWkFBC9HsQOo/edit?usp=sharing"",""ยโสธร!S760"")"),597966)</f>
        <v>597966</v>
      </c>
      <c r="F41" s="260">
        <f t="shared" ca="1" si="19"/>
        <v>89.348673888681361</v>
      </c>
      <c r="G41" s="260">
        <f t="shared" ca="1" si="20"/>
        <v>89.348673888681361</v>
      </c>
      <c r="H41" s="279">
        <v>0</v>
      </c>
      <c r="I41" s="397">
        <v>0</v>
      </c>
      <c r="J41" s="216">
        <f t="shared" si="22"/>
        <v>0</v>
      </c>
      <c r="K41" s="397">
        <f ca="1">IFERROR(__xludf.DUMMYFUNCTION("IMPORTRANGE(""https://docs.google.com/spreadsheets/d/1NexK3geCPxCTO1fzNF8dPec7yZyUx3OaWkFBC9HsQOo/edit?usp=sharing"",""ยโสธร!I772"")"),65)</f>
        <v>65</v>
      </c>
      <c r="L41" s="397">
        <f ca="1">IFERROR(__xludf.DUMMYFUNCTION("IMPORTRANGE(""https://docs.google.com/spreadsheets/d/1NexK3geCPxCTO1fzNF8dPec7yZyUx3OaWkFBC9HsQOo/edit?usp=sharing"",""ยโสธร!J772"")"),65)</f>
        <v>65</v>
      </c>
      <c r="M41" s="216">
        <f t="shared" ca="1" si="24"/>
        <v>100</v>
      </c>
      <c r="N41" s="397">
        <f ca="1">IFERROR(__xludf.DUMMYFUNCTION("IMPORTRANGE(""https://docs.google.com/spreadsheets/d/1NexK3geCPxCTO1fzNF8dPec7yZyUx3OaWkFBC9HsQOo/edit?usp=sharing"",""ยโสธร!I774"")"),325)</f>
        <v>325</v>
      </c>
      <c r="O41" s="397">
        <f ca="1">IFERROR(__xludf.DUMMYFUNCTION("IMPORTRANGE(""https://docs.google.com/spreadsheets/d/1NexK3geCPxCTO1fzNF8dPec7yZyUx3OaWkFBC9HsQOo/edit?usp=sharing"",""ยโสธร!J774"")"),325)</f>
        <v>325</v>
      </c>
      <c r="P41" s="216">
        <f t="shared" ca="1" si="26"/>
        <v>100</v>
      </c>
      <c r="Q41" s="397">
        <f ca="1">IFERROR(__xludf.DUMMYFUNCTION("IMPORTRANGE(""https://docs.google.com/spreadsheets/d/1NexK3geCPxCTO1fzNF8dPec7yZyUx3OaWkFBC9HsQOo/edit?usp=sharing"",""ยโสธร!I775"")"),325)</f>
        <v>325</v>
      </c>
      <c r="R41" s="397">
        <f ca="1">IFERROR(__xludf.DUMMYFUNCTION("IMPORTRANGE(""https://docs.google.com/spreadsheets/d/1NexK3geCPxCTO1fzNF8dPec7yZyUx3OaWkFBC9HsQOo/edit?usp=sharing"",""ยโสธร!I776"")"),65)</f>
        <v>65</v>
      </c>
      <c r="S41" s="397">
        <f ca="1">IFERROR(__xludf.DUMMYFUNCTION("IMPORTRANGE(""https://docs.google.com/spreadsheets/d/1NexK3geCPxCTO1fzNF8dPec7yZyUx3OaWkFBC9HsQOo/edit?usp=sharing"",""ยโสธร!J775"")"),325)</f>
        <v>325</v>
      </c>
      <c r="T41" s="216">
        <f t="shared" ca="1" si="28"/>
        <v>100</v>
      </c>
      <c r="U41" s="397">
        <f ca="1">IFERROR(__xludf.DUMMYFUNCTION("IMPORTRANGE(""https://docs.google.com/spreadsheets/d/1NexK3geCPxCTO1fzNF8dPec7yZyUx3OaWkFBC9HsQOo/edit?usp=sharing"",""ยโสธร!J776"")"),65)</f>
        <v>65</v>
      </c>
      <c r="V41" s="216">
        <f t="shared" ca="1" si="29"/>
        <v>100</v>
      </c>
      <c r="W41" s="232"/>
    </row>
    <row r="42" spans="1:23" ht="19.5" x14ac:dyDescent="0.3">
      <c r="A42" s="147">
        <v>11</v>
      </c>
      <c r="B42" s="148" t="s">
        <v>70</v>
      </c>
      <c r="C42" s="475">
        <f ca="1">IFERROR(__xludf.DUMMYFUNCTION("IMPORTRANGE(""https://docs.google.com/spreadsheets/d/1v_cJrbBlyqmnHPReHk44g9NrMRdENNlSy_E_c5M9fIg/edit?usp=sharing"",""ร้อยเอ็ด!Q760"")"),1066780)</f>
        <v>1066780</v>
      </c>
      <c r="D42" s="260">
        <f ca="1">IFERROR(__xludf.DUMMYFUNCTION("IMPORTRANGE(""https://docs.google.com/spreadsheets/d/1v_cJrbBlyqmnHPReHk44g9NrMRdENNlSy_E_c5M9fIg/edit?usp=sharing"",""ร้อยเอ็ด!R760"")"),1066780)</f>
        <v>1066780</v>
      </c>
      <c r="E42" s="475">
        <f ca="1">IFERROR(__xludf.DUMMYFUNCTION("IMPORTRANGE(""https://docs.google.com/spreadsheets/d/1v_cJrbBlyqmnHPReHk44g9NrMRdENNlSy_E_c5M9fIg/edit?usp=sharing"",""ร้อยเอ็ด!S760"")"),686537)</f>
        <v>686537</v>
      </c>
      <c r="F42" s="260">
        <f t="shared" ca="1" si="19"/>
        <v>64.356005924370535</v>
      </c>
      <c r="G42" s="260">
        <f t="shared" ca="1" si="20"/>
        <v>64.356005924370535</v>
      </c>
      <c r="H42" s="278">
        <v>0</v>
      </c>
      <c r="I42" s="152">
        <v>0</v>
      </c>
      <c r="J42" s="216">
        <f t="shared" si="22"/>
        <v>0</v>
      </c>
      <c r="K42" s="152">
        <f ca="1">IFERROR(__xludf.DUMMYFUNCTION("IMPORTRANGE(""https://docs.google.com/spreadsheets/d/1v_cJrbBlyqmnHPReHk44g9NrMRdENNlSy_E_c5M9fIg/edit?usp=sharing"",""ร้อยเอ็ด!I772"")"),120)</f>
        <v>120</v>
      </c>
      <c r="L42" s="152">
        <f ca="1">IFERROR(__xludf.DUMMYFUNCTION("IMPORTRANGE(""https://docs.google.com/spreadsheets/d/1v_cJrbBlyqmnHPReHk44g9NrMRdENNlSy_E_c5M9fIg/edit?usp=sharing"",""ร้อยเอ็ด!J772"")"),120)</f>
        <v>120</v>
      </c>
      <c r="M42" s="216">
        <f t="shared" ca="1" si="24"/>
        <v>100</v>
      </c>
      <c r="N42" s="152">
        <f ca="1">IFERROR(__xludf.DUMMYFUNCTION("IMPORTRANGE(""https://docs.google.com/spreadsheets/d/1v_cJrbBlyqmnHPReHk44g9NrMRdENNlSy_E_c5M9fIg/edit?usp=sharing"",""ร้อยเอ็ด!I774"")"),600)</f>
        <v>600</v>
      </c>
      <c r="O42" s="152">
        <f ca="1">IFERROR(__xludf.DUMMYFUNCTION("IMPORTRANGE(""https://docs.google.com/spreadsheets/d/1v_cJrbBlyqmnHPReHk44g9NrMRdENNlSy_E_c5M9fIg/edit?usp=sharing"",""ร้อยเอ็ด!J774"")"),600)</f>
        <v>600</v>
      </c>
      <c r="P42" s="216">
        <f t="shared" ca="1" si="26"/>
        <v>100</v>
      </c>
      <c r="Q42" s="152">
        <f ca="1">IFERROR(__xludf.DUMMYFUNCTION("IMPORTRANGE(""https://docs.google.com/spreadsheets/d/1v_cJrbBlyqmnHPReHk44g9NrMRdENNlSy_E_c5M9fIg/edit?usp=sharing"",""ร้อยเอ็ด!I775"")"),600)</f>
        <v>600</v>
      </c>
      <c r="R42" s="152">
        <f ca="1">IFERROR(__xludf.DUMMYFUNCTION("IMPORTRANGE(""https://docs.google.com/spreadsheets/d/1v_cJrbBlyqmnHPReHk44g9NrMRdENNlSy_E_c5M9fIg/edit?usp=sharing"",""ร้อยเอ็ด!I776"")"),120)</f>
        <v>120</v>
      </c>
      <c r="S42" s="152">
        <f ca="1">IFERROR(__xludf.DUMMYFUNCTION("IMPORTRANGE(""https://docs.google.com/spreadsheets/d/1v_cJrbBlyqmnHPReHk44g9NrMRdENNlSy_E_c5M9fIg/edit?usp=sharing"",""ร้อยเอ็ด!J775"")"),0)</f>
        <v>0</v>
      </c>
      <c r="T42" s="216">
        <f t="shared" ca="1" si="28"/>
        <v>0</v>
      </c>
      <c r="U42" s="152">
        <f ca="1">IFERROR(__xludf.DUMMYFUNCTION("IMPORTRANGE(""https://docs.google.com/spreadsheets/d/1v_cJrbBlyqmnHPReHk44g9NrMRdENNlSy_E_c5M9fIg/edit?usp=sharing"",""ร้อยเอ็ด!J776"")"),0)</f>
        <v>0</v>
      </c>
      <c r="V42" s="216">
        <f t="shared" ca="1" si="29"/>
        <v>0</v>
      </c>
      <c r="W42" s="232"/>
    </row>
    <row r="43" spans="1:23" ht="19.5" x14ac:dyDescent="0.3">
      <c r="A43" s="147">
        <v>12</v>
      </c>
      <c r="B43" s="148" t="s">
        <v>71</v>
      </c>
      <c r="C43" s="475">
        <f ca="1">IFERROR(__xludf.DUMMYFUNCTION("IMPORTRANGE(""https://docs.google.com/spreadsheets/d/1Ul4RCpCX66NxYADU1QpwAPjOmBzW64SsT11s1wzXw_c/edit?usp=sharing"",""เลย!Q760"")"),674480)</f>
        <v>674480</v>
      </c>
      <c r="D43" s="260">
        <f ca="1">IFERROR(__xludf.DUMMYFUNCTION("IMPORTRANGE(""https://docs.google.com/spreadsheets/d/1Ul4RCpCX66NxYADU1QpwAPjOmBzW64SsT11s1wzXw_c/edit?usp=sharing"",""เลย!R760"")"),674480)</f>
        <v>674480</v>
      </c>
      <c r="E43" s="475">
        <f ca="1">IFERROR(__xludf.DUMMYFUNCTION("IMPORTRANGE(""https://docs.google.com/spreadsheets/d/1Ul4RCpCX66NxYADU1QpwAPjOmBzW64SsT11s1wzXw_c/edit?usp=sharing"",""เลย!S760"")"),625130)</f>
        <v>625130</v>
      </c>
      <c r="F43" s="260">
        <f t="shared" ca="1" si="19"/>
        <v>92.683252283240421</v>
      </c>
      <c r="G43" s="260">
        <f t="shared" ca="1" si="20"/>
        <v>92.683252283240421</v>
      </c>
      <c r="H43" s="278">
        <v>0</v>
      </c>
      <c r="I43" s="152">
        <v>0</v>
      </c>
      <c r="J43" s="216">
        <f t="shared" si="22"/>
        <v>0</v>
      </c>
      <c r="K43" s="152">
        <f ca="1">IFERROR(__xludf.DUMMYFUNCTION("IMPORTRANGE(""https://docs.google.com/spreadsheets/d/1Ul4RCpCX66NxYADU1QpwAPjOmBzW64SsT11s1wzXw_c/edit?usp=sharing"",""เลย!I772"")"),110)</f>
        <v>110</v>
      </c>
      <c r="L43" s="152">
        <f ca="1">IFERROR(__xludf.DUMMYFUNCTION("IMPORTRANGE(""https://docs.google.com/spreadsheets/d/1Ul4RCpCX66NxYADU1QpwAPjOmBzW64SsT11s1wzXw_c/edit?usp=sharing"",""เลย!J772"")"),110)</f>
        <v>110</v>
      </c>
      <c r="M43" s="216">
        <f t="shared" ca="1" si="24"/>
        <v>100</v>
      </c>
      <c r="N43" s="152">
        <f ca="1">IFERROR(__xludf.DUMMYFUNCTION("IMPORTRANGE(""https://docs.google.com/spreadsheets/d/1Ul4RCpCX66NxYADU1QpwAPjOmBzW64SsT11s1wzXw_c/edit?usp=sharing"",""เลย!I774"")"),265)</f>
        <v>265</v>
      </c>
      <c r="O43" s="152">
        <f ca="1">IFERROR(__xludf.DUMMYFUNCTION("IMPORTRANGE(""https://docs.google.com/spreadsheets/d/1Ul4RCpCX66NxYADU1QpwAPjOmBzW64SsT11s1wzXw_c/edit?usp=sharing"",""เลย!J774"")"),265)</f>
        <v>265</v>
      </c>
      <c r="P43" s="216">
        <f t="shared" ca="1" si="26"/>
        <v>100</v>
      </c>
      <c r="Q43" s="152">
        <f ca="1">IFERROR(__xludf.DUMMYFUNCTION("IMPORTRANGE(""https://docs.google.com/spreadsheets/d/1Ul4RCpCX66NxYADU1QpwAPjOmBzW64SsT11s1wzXw_c/edit?usp=sharing"",""เลย!I775"")"),265)</f>
        <v>265</v>
      </c>
      <c r="R43" s="152">
        <f ca="1">IFERROR(__xludf.DUMMYFUNCTION("IMPORTRANGE(""https://docs.google.com/spreadsheets/d/1Ul4RCpCX66NxYADU1QpwAPjOmBzW64SsT11s1wzXw_c/edit?usp=sharing"",""เลย!I776"")"),110)</f>
        <v>110</v>
      </c>
      <c r="S43" s="152">
        <f ca="1">IFERROR(__xludf.DUMMYFUNCTION("IMPORTRANGE(""https://docs.google.com/spreadsheets/d/1Ul4RCpCX66NxYADU1QpwAPjOmBzW64SsT11s1wzXw_c/edit?usp=sharing"",""เลย!J775"")"),265)</f>
        <v>265</v>
      </c>
      <c r="T43" s="216">
        <f t="shared" ca="1" si="28"/>
        <v>100</v>
      </c>
      <c r="U43" s="152">
        <f ca="1">IFERROR(__xludf.DUMMYFUNCTION("IMPORTRANGE(""https://docs.google.com/spreadsheets/d/1Ul4RCpCX66NxYADU1QpwAPjOmBzW64SsT11s1wzXw_c/edit?usp=sharing"",""เลย!J776"")"),110)</f>
        <v>110</v>
      </c>
      <c r="V43" s="216">
        <f t="shared" ca="1" si="29"/>
        <v>100</v>
      </c>
      <c r="W43" s="232"/>
    </row>
    <row r="44" spans="1:23" ht="19.5" x14ac:dyDescent="0.3">
      <c r="A44" s="147">
        <v>13</v>
      </c>
      <c r="B44" s="148" t="s">
        <v>72</v>
      </c>
      <c r="C44" s="475">
        <f ca="1">IFERROR(__xludf.DUMMYFUNCTION("IMPORTRANGE(""https://docs.google.com/spreadsheets/d/1bRrNKwbHDVktQG10isr5vbWRtt5spIZPpkOSWgbT5ug/edit?usp=sharing"",""ศรีสะเกษ!Q760"")"),521950)</f>
        <v>521950</v>
      </c>
      <c r="D44" s="260">
        <f ca="1">IFERROR(__xludf.DUMMYFUNCTION("IMPORTRANGE(""https://docs.google.com/spreadsheets/d/1bRrNKwbHDVktQG10isr5vbWRtt5spIZPpkOSWgbT5ug/edit?usp=sharing"",""ศรีสะเกษ!R760"")"),521950)</f>
        <v>521950</v>
      </c>
      <c r="E44" s="475">
        <f ca="1">IFERROR(__xludf.DUMMYFUNCTION("IMPORTRANGE(""https://docs.google.com/spreadsheets/d/1bRrNKwbHDVktQG10isr5vbWRtt5spIZPpkOSWgbT5ug/edit?usp=sharing"",""ศรีสะเกษ!S760"")"),453240)</f>
        <v>453240</v>
      </c>
      <c r="F44" s="260">
        <f t="shared" ca="1" si="19"/>
        <v>86.835903822205196</v>
      </c>
      <c r="G44" s="260">
        <f t="shared" ca="1" si="20"/>
        <v>86.835903822205196</v>
      </c>
      <c r="H44" s="278">
        <v>0</v>
      </c>
      <c r="I44" s="152">
        <v>0</v>
      </c>
      <c r="J44" s="216">
        <f t="shared" si="22"/>
        <v>0</v>
      </c>
      <c r="K44" s="152">
        <f ca="1">IFERROR(__xludf.DUMMYFUNCTION("IMPORTRANGE(""https://docs.google.com/spreadsheets/d/1bRrNKwbHDVktQG10isr5vbWRtt5spIZPpkOSWgbT5ug/edit?usp=sharing"",""ศรีสะเกษ!I772"")"),55)</f>
        <v>55</v>
      </c>
      <c r="L44" s="152">
        <f ca="1">IFERROR(__xludf.DUMMYFUNCTION("IMPORTRANGE(""https://docs.google.com/spreadsheets/d/1bRrNKwbHDVktQG10isr5vbWRtt5spIZPpkOSWgbT5ug/edit?usp=sharing"",""ศรีสะเกษ!J772"")"),55)</f>
        <v>55</v>
      </c>
      <c r="M44" s="216">
        <f t="shared" ca="1" si="24"/>
        <v>100</v>
      </c>
      <c r="N44" s="152">
        <f ca="1">IFERROR(__xludf.DUMMYFUNCTION("IMPORTRANGE(""https://docs.google.com/spreadsheets/d/1bRrNKwbHDVktQG10isr5vbWRtt5spIZPpkOSWgbT5ug/edit?usp=sharing"",""ศรีสะเกษ!I774"")"),230)</f>
        <v>230</v>
      </c>
      <c r="O44" s="152">
        <f ca="1">IFERROR(__xludf.DUMMYFUNCTION("IMPORTRANGE(""https://docs.google.com/spreadsheets/d/1bRrNKwbHDVktQG10isr5vbWRtt5spIZPpkOSWgbT5ug/edit?usp=sharing"",""ศรีสะเกษ!J774"")"),230)</f>
        <v>230</v>
      </c>
      <c r="P44" s="216">
        <f t="shared" ca="1" si="26"/>
        <v>100</v>
      </c>
      <c r="Q44" s="152">
        <f ca="1">IFERROR(__xludf.DUMMYFUNCTION("IMPORTRANGE(""https://docs.google.com/spreadsheets/d/1bRrNKwbHDVktQG10isr5vbWRtt5spIZPpkOSWgbT5ug/edit?usp=sharing"",""ศรีสะเกษ!I775"")"),230)</f>
        <v>230</v>
      </c>
      <c r="R44" s="152">
        <f ca="1">IFERROR(__xludf.DUMMYFUNCTION("IMPORTRANGE(""https://docs.google.com/spreadsheets/d/1bRrNKwbHDVktQG10isr5vbWRtt5spIZPpkOSWgbT5ug/edit?usp=sharing"",""ศรีสะเกษ!I776"")"),55)</f>
        <v>55</v>
      </c>
      <c r="S44" s="152">
        <f ca="1">IFERROR(__xludf.DUMMYFUNCTION("IMPORTRANGE(""https://docs.google.com/spreadsheets/d/1bRrNKwbHDVktQG10isr5vbWRtt5spIZPpkOSWgbT5ug/edit?usp=sharing"",""ศรีสะเกษ!J775"")"),230)</f>
        <v>230</v>
      </c>
      <c r="T44" s="216">
        <f t="shared" ca="1" si="28"/>
        <v>100</v>
      </c>
      <c r="U44" s="152">
        <f ca="1">IFERROR(__xludf.DUMMYFUNCTION("IMPORTRANGE(""https://docs.google.com/spreadsheets/d/1bRrNKwbHDVktQG10isr5vbWRtt5spIZPpkOSWgbT5ug/edit?usp=sharing"",""ศรีสะเกษ!J776"")"),55)</f>
        <v>55</v>
      </c>
      <c r="V44" s="216">
        <f t="shared" ca="1" si="29"/>
        <v>100</v>
      </c>
      <c r="W44" s="232"/>
    </row>
    <row r="45" spans="1:23" ht="19.5" x14ac:dyDescent="0.3">
      <c r="A45" s="147">
        <v>14</v>
      </c>
      <c r="B45" s="148" t="s">
        <v>73</v>
      </c>
      <c r="C45" s="475">
        <f ca="1">IFERROR(__xludf.DUMMYFUNCTION("IMPORTRANGE(""https://docs.google.com/spreadsheets/d/17P34_Ow5kFBfdQD0qspb2UuPX5zpi6WMrQzslghyvrI/edit?usp=sharing"",""สกลนคร!Q760"")"),555700)</f>
        <v>555700</v>
      </c>
      <c r="D45" s="260">
        <f ca="1">IFERROR(__xludf.DUMMYFUNCTION("IMPORTRANGE(""https://docs.google.com/spreadsheets/d/17P34_Ow5kFBfdQD0qspb2UuPX5zpi6WMrQzslghyvrI/edit?usp=sharing"",""สกลนคร!R760"")"),555700)</f>
        <v>555700</v>
      </c>
      <c r="E45" s="475">
        <f ca="1">IFERROR(__xludf.DUMMYFUNCTION("IMPORTRANGE(""https://docs.google.com/spreadsheets/d/17P34_Ow5kFBfdQD0qspb2UuPX5zpi6WMrQzslghyvrI/edit?usp=sharing"",""สกลนคร!S760"")"),433731)</f>
        <v>433731</v>
      </c>
      <c r="F45" s="260">
        <f t="shared" ca="1" si="19"/>
        <v>78.051286665466975</v>
      </c>
      <c r="G45" s="260">
        <f t="shared" ca="1" si="20"/>
        <v>78.051286665466975</v>
      </c>
      <c r="H45" s="278">
        <v>0</v>
      </c>
      <c r="I45" s="152">
        <v>0</v>
      </c>
      <c r="J45" s="216">
        <f t="shared" si="22"/>
        <v>0</v>
      </c>
      <c r="K45" s="152">
        <f ca="1">IFERROR(__xludf.DUMMYFUNCTION("IMPORTRANGE(""https://docs.google.com/spreadsheets/d/17P34_Ow5kFBfdQD0qspb2UuPX5zpi6WMrQzslghyvrI/edit?usp=sharing"",""สกลนคร!I772"")"),80)</f>
        <v>80</v>
      </c>
      <c r="L45" s="152">
        <f ca="1">IFERROR(__xludf.DUMMYFUNCTION("IMPORTRANGE(""https://docs.google.com/spreadsheets/d/17P34_Ow5kFBfdQD0qspb2UuPX5zpi6WMrQzslghyvrI/edit?usp=sharing"",""สกลนคร!J772"")"),80)</f>
        <v>80</v>
      </c>
      <c r="M45" s="216">
        <f t="shared" ca="1" si="24"/>
        <v>100</v>
      </c>
      <c r="N45" s="152">
        <f ca="1">IFERROR(__xludf.DUMMYFUNCTION("IMPORTRANGE(""https://docs.google.com/spreadsheets/d/17P34_Ow5kFBfdQD0qspb2UuPX5zpi6WMrQzslghyvrI/edit?usp=sharing"",""สกลนคร!I774"")"),200)</f>
        <v>200</v>
      </c>
      <c r="O45" s="152">
        <f ca="1">IFERROR(__xludf.DUMMYFUNCTION("IMPORTRANGE(""https://docs.google.com/spreadsheets/d/17P34_Ow5kFBfdQD0qspb2UuPX5zpi6WMrQzslghyvrI/edit?usp=sharing"",""สกลนคร!J774"")"),200)</f>
        <v>200</v>
      </c>
      <c r="P45" s="216">
        <f t="shared" ca="1" si="26"/>
        <v>100</v>
      </c>
      <c r="Q45" s="152">
        <f ca="1">IFERROR(__xludf.DUMMYFUNCTION("IMPORTRANGE(""https://docs.google.com/spreadsheets/d/17P34_Ow5kFBfdQD0qspb2UuPX5zpi6WMrQzslghyvrI/edit?usp=sharing"",""สกลนคร!I775"")"),200)</f>
        <v>200</v>
      </c>
      <c r="R45" s="152">
        <f ca="1">IFERROR(__xludf.DUMMYFUNCTION("IMPORTRANGE(""https://docs.google.com/spreadsheets/d/17P34_Ow5kFBfdQD0qspb2UuPX5zpi6WMrQzslghyvrI/edit?usp=sharing"",""สกลนคร!I776"")"),80)</f>
        <v>80</v>
      </c>
      <c r="S45" s="152">
        <f ca="1">IFERROR(__xludf.DUMMYFUNCTION("IMPORTRANGE(""https://docs.google.com/spreadsheets/d/17P34_Ow5kFBfdQD0qspb2UuPX5zpi6WMrQzslghyvrI/edit?usp=sharing"",""สกลนคร!J775"")"),200)</f>
        <v>200</v>
      </c>
      <c r="T45" s="216">
        <f t="shared" ca="1" si="28"/>
        <v>100</v>
      </c>
      <c r="U45" s="152">
        <f ca="1">IFERROR(__xludf.DUMMYFUNCTION("IMPORTRANGE(""https://docs.google.com/spreadsheets/d/17P34_Ow5kFBfdQD0qspb2UuPX5zpi6WMrQzslghyvrI/edit?usp=sharing"",""สกลนคร!J776"")"),80)</f>
        <v>80</v>
      </c>
      <c r="V45" s="216">
        <f t="shared" ca="1" si="29"/>
        <v>100</v>
      </c>
      <c r="W45" s="232"/>
    </row>
    <row r="46" spans="1:23" ht="19.5" x14ac:dyDescent="0.3">
      <c r="A46" s="147">
        <v>15</v>
      </c>
      <c r="B46" s="148" t="s">
        <v>74</v>
      </c>
      <c r="C46" s="475">
        <f ca="1">IFERROR(__xludf.DUMMYFUNCTION("IMPORTRANGE(""https://docs.google.com/spreadsheets/d/1yswqbM3-AEpThF3ZSUa1AcmHnmRTF1vlJ1CZGcJ8YuU/edit?usp=sharing"",""สุรินทร์!Q760"")"),588340)</f>
        <v>588340</v>
      </c>
      <c r="D46" s="260">
        <f ca="1">IFERROR(__xludf.DUMMYFUNCTION("IMPORTRANGE(""https://docs.google.com/spreadsheets/d/1yswqbM3-AEpThF3ZSUa1AcmHnmRTF1vlJ1CZGcJ8YuU/edit?usp=sharing"",""สุรินทร์!R760"")"),588340)</f>
        <v>588340</v>
      </c>
      <c r="E46" s="475">
        <f ca="1">IFERROR(__xludf.DUMMYFUNCTION("IMPORTRANGE(""https://docs.google.com/spreadsheets/d/1yswqbM3-AEpThF3ZSUa1AcmHnmRTF1vlJ1CZGcJ8YuU/edit?usp=sharing"",""สุรินทร์!S760"")"),561455.1)</f>
        <v>561455.1</v>
      </c>
      <c r="F46" s="260">
        <f t="shared" ca="1" si="19"/>
        <v>95.430380392290175</v>
      </c>
      <c r="G46" s="260">
        <f t="shared" ca="1" si="20"/>
        <v>95.430380392290175</v>
      </c>
      <c r="H46" s="278">
        <v>0</v>
      </c>
      <c r="I46" s="152">
        <v>0</v>
      </c>
      <c r="J46" s="216">
        <f t="shared" si="22"/>
        <v>0</v>
      </c>
      <c r="K46" s="152">
        <f ca="1">IFERROR(__xludf.DUMMYFUNCTION("IMPORTRANGE(""https://docs.google.com/spreadsheets/d/1yswqbM3-AEpThF3ZSUa1AcmHnmRTF1vlJ1CZGcJ8YuU/edit?usp=sharing"",""สุรินทร์!I772"")"),32)</f>
        <v>32</v>
      </c>
      <c r="L46" s="152">
        <f ca="1">IFERROR(__xludf.DUMMYFUNCTION("IMPORTRANGE(""https://docs.google.com/spreadsheets/d/1yswqbM3-AEpThF3ZSUa1AcmHnmRTF1vlJ1CZGcJ8YuU/edit?usp=sharing"",""สุรินทร์!J772"")"),32)</f>
        <v>32</v>
      </c>
      <c r="M46" s="216">
        <f t="shared" ca="1" si="24"/>
        <v>100</v>
      </c>
      <c r="N46" s="152">
        <f ca="1">IFERROR(__xludf.DUMMYFUNCTION("IMPORTRANGE(""https://docs.google.com/spreadsheets/d/1yswqbM3-AEpThF3ZSUa1AcmHnmRTF1vlJ1CZGcJ8YuU/edit?usp=sharing"",""สุรินทร์!I774"")"),320)</f>
        <v>320</v>
      </c>
      <c r="O46" s="152">
        <f ca="1">IFERROR(__xludf.DUMMYFUNCTION("IMPORTRANGE(""https://docs.google.com/spreadsheets/d/1yswqbM3-AEpThF3ZSUa1AcmHnmRTF1vlJ1CZGcJ8YuU/edit?usp=sharing"",""สุรินทร์!J774"")"),320)</f>
        <v>320</v>
      </c>
      <c r="P46" s="216">
        <f t="shared" ca="1" si="26"/>
        <v>100</v>
      </c>
      <c r="Q46" s="152">
        <f ca="1">IFERROR(__xludf.DUMMYFUNCTION("IMPORTRANGE(""https://docs.google.com/spreadsheets/d/1yswqbM3-AEpThF3ZSUa1AcmHnmRTF1vlJ1CZGcJ8YuU/edit?usp=sharing"",""สุรินทร์!I775"")"),320)</f>
        <v>320</v>
      </c>
      <c r="R46" s="152">
        <f ca="1">IFERROR(__xludf.DUMMYFUNCTION("IMPORTRANGE(""https://docs.google.com/spreadsheets/d/1yswqbM3-AEpThF3ZSUa1AcmHnmRTF1vlJ1CZGcJ8YuU/edit?usp=sharing"",""สุรินทร์!I776"")"),32)</f>
        <v>32</v>
      </c>
      <c r="S46" s="152">
        <f ca="1">IFERROR(__xludf.DUMMYFUNCTION("IMPORTRANGE(""https://docs.google.com/spreadsheets/d/1yswqbM3-AEpThF3ZSUa1AcmHnmRTF1vlJ1CZGcJ8YuU/edit?usp=sharing"",""สุรินทร์!J775"")"),320)</f>
        <v>320</v>
      </c>
      <c r="T46" s="216">
        <f t="shared" ca="1" si="28"/>
        <v>100</v>
      </c>
      <c r="U46" s="152">
        <f ca="1">IFERROR(__xludf.DUMMYFUNCTION("IMPORTRANGE(""https://docs.google.com/spreadsheets/d/1yswqbM3-AEpThF3ZSUa1AcmHnmRTF1vlJ1CZGcJ8YuU/edit?usp=sharing"",""สุรินทร์!J776"")"),32)</f>
        <v>32</v>
      </c>
      <c r="V46" s="216">
        <f t="shared" ca="1" si="29"/>
        <v>100</v>
      </c>
      <c r="W46" s="232"/>
    </row>
    <row r="47" spans="1:23" ht="19.5" x14ac:dyDescent="0.3">
      <c r="A47" s="147">
        <v>16</v>
      </c>
      <c r="B47" s="148" t="s">
        <v>75</v>
      </c>
      <c r="C47" s="475">
        <f ca="1">IFERROR(__xludf.DUMMYFUNCTION("IMPORTRANGE(""https://docs.google.com/spreadsheets/d/13JHU_EFbsQOUQ0JSQ3dWy1VTRosIWcDq6Nc99z2qzdc/edit?usp=sharing"",""หนองคาย!Q760"")"),533590)</f>
        <v>533590</v>
      </c>
      <c r="D47" s="260">
        <f ca="1">IFERROR(__xludf.DUMMYFUNCTION("IMPORTRANGE(""https://docs.google.com/spreadsheets/d/13JHU_EFbsQOUQ0JSQ3dWy1VTRosIWcDq6Nc99z2qzdc/edit?usp=sharing"",""หนองคาย!R760"")"),533590)</f>
        <v>533590</v>
      </c>
      <c r="E47" s="475">
        <f ca="1">IFERROR(__xludf.DUMMYFUNCTION("IMPORTRANGE(""https://docs.google.com/spreadsheets/d/13JHU_EFbsQOUQ0JSQ3dWy1VTRosIWcDq6Nc99z2qzdc/edit?usp=sharing"",""หนองคาย!S760"")"),431018.5)</f>
        <v>431018.5</v>
      </c>
      <c r="F47" s="260">
        <f t="shared" ca="1" si="19"/>
        <v>80.777094773140419</v>
      </c>
      <c r="G47" s="260">
        <f t="shared" ca="1" si="20"/>
        <v>80.777094773140419</v>
      </c>
      <c r="H47" s="279">
        <v>0</v>
      </c>
      <c r="I47" s="397">
        <v>0</v>
      </c>
      <c r="J47" s="216">
        <f t="shared" si="22"/>
        <v>0</v>
      </c>
      <c r="K47" s="397">
        <f ca="1">IFERROR(__xludf.DUMMYFUNCTION("IMPORTRANGE(""https://docs.google.com/spreadsheets/d/13JHU_EFbsQOUQ0JSQ3dWy1VTRosIWcDq6Nc99z2qzdc/edit?usp=sharing"",""หนองคาย!I772"")"),63)</f>
        <v>63</v>
      </c>
      <c r="L47" s="397">
        <f ca="1">IFERROR(__xludf.DUMMYFUNCTION("IMPORTRANGE(""https://docs.google.com/spreadsheets/d/13JHU_EFbsQOUQ0JSQ3dWy1VTRosIWcDq6Nc99z2qzdc/edit?usp=sharing"",""หนองคาย!J772"")"),63)</f>
        <v>63</v>
      </c>
      <c r="M47" s="216">
        <f t="shared" ca="1" si="24"/>
        <v>100</v>
      </c>
      <c r="N47" s="397">
        <f ca="1">IFERROR(__xludf.DUMMYFUNCTION("IMPORTRANGE(""https://docs.google.com/spreadsheets/d/13JHU_EFbsQOUQ0JSQ3dWy1VTRosIWcDq6Nc99z2qzdc/edit?usp=sharing"",""หนองคาย!I774"")"),210)</f>
        <v>210</v>
      </c>
      <c r="O47" s="397">
        <f ca="1">IFERROR(__xludf.DUMMYFUNCTION("IMPORTRANGE(""https://docs.google.com/spreadsheets/d/13JHU_EFbsQOUQ0JSQ3dWy1VTRosIWcDq6Nc99z2qzdc/edit?usp=sharing"",""หนองคาย!J774"")"),210)</f>
        <v>210</v>
      </c>
      <c r="P47" s="216">
        <f t="shared" ca="1" si="26"/>
        <v>100</v>
      </c>
      <c r="Q47" s="397">
        <f ca="1">IFERROR(__xludf.DUMMYFUNCTION("IMPORTRANGE(""https://docs.google.com/spreadsheets/d/13JHU_EFbsQOUQ0JSQ3dWy1VTRosIWcDq6Nc99z2qzdc/edit?usp=sharing"",""หนองคาย!I775"")"),210)</f>
        <v>210</v>
      </c>
      <c r="R47" s="397">
        <f ca="1">IFERROR(__xludf.DUMMYFUNCTION("IMPORTRANGE(""https://docs.google.com/spreadsheets/d/13JHU_EFbsQOUQ0JSQ3dWy1VTRosIWcDq6Nc99z2qzdc/edit?usp=sharing"",""หนองคาย!I776"")"),63)</f>
        <v>63</v>
      </c>
      <c r="S47" s="397">
        <f ca="1">IFERROR(__xludf.DUMMYFUNCTION("IMPORTRANGE(""https://docs.google.com/spreadsheets/d/13JHU_EFbsQOUQ0JSQ3dWy1VTRosIWcDq6Nc99z2qzdc/edit?usp=sharing"",""หนองคาย!J775"")"),210)</f>
        <v>210</v>
      </c>
      <c r="T47" s="216">
        <f t="shared" ca="1" si="28"/>
        <v>100</v>
      </c>
      <c r="U47" s="397">
        <f ca="1">IFERROR(__xludf.DUMMYFUNCTION("IMPORTRANGE(""https://docs.google.com/spreadsheets/d/13JHU_EFbsQOUQ0JSQ3dWy1VTRosIWcDq6Nc99z2qzdc/edit?usp=sharing"",""หนองคาย!J776"")"),63)</f>
        <v>63</v>
      </c>
      <c r="V47" s="216">
        <f t="shared" ca="1" si="29"/>
        <v>100</v>
      </c>
      <c r="W47" s="232"/>
    </row>
    <row r="48" spans="1:23" ht="19.5" x14ac:dyDescent="0.3">
      <c r="A48" s="147">
        <v>17</v>
      </c>
      <c r="B48" s="148" t="s">
        <v>76</v>
      </c>
      <c r="C48" s="475">
        <f ca="1">IFERROR(__xludf.DUMMYFUNCTION("IMPORTRANGE(""https://docs.google.com/spreadsheets/d/1Hx73zIEgVdDZZaYSTc46Dqv64atFhpr3GelxLbaIN8A/edit?usp=sharing"",""หนองบัวลำภู!Q760"")"),566400)</f>
        <v>566400</v>
      </c>
      <c r="D48" s="260">
        <f ca="1">IFERROR(__xludf.DUMMYFUNCTION("IMPORTRANGE(""https://docs.google.com/spreadsheets/d/1Hx73zIEgVdDZZaYSTc46Dqv64atFhpr3GelxLbaIN8A/edit?usp=sharing"",""หนองบัวลำภู!R760"")"),566400)</f>
        <v>566400</v>
      </c>
      <c r="E48" s="475">
        <f ca="1">IFERROR(__xludf.DUMMYFUNCTION("IMPORTRANGE(""https://docs.google.com/spreadsheets/d/1Hx73zIEgVdDZZaYSTc46Dqv64atFhpr3GelxLbaIN8A/edit?usp=sharing"",""หนองบัวลำภู!S760"")"),249499.17)</f>
        <v>249499.17</v>
      </c>
      <c r="F48" s="260">
        <f t="shared" ca="1" si="19"/>
        <v>44.049994703389828</v>
      </c>
      <c r="G48" s="260">
        <f t="shared" ca="1" si="20"/>
        <v>44.049994703389828</v>
      </c>
      <c r="H48" s="278">
        <v>0</v>
      </c>
      <c r="I48" s="152">
        <v>0</v>
      </c>
      <c r="J48" s="216">
        <f t="shared" si="22"/>
        <v>0</v>
      </c>
      <c r="K48" s="152">
        <f ca="1">IFERROR(__xludf.DUMMYFUNCTION("IMPORTRANGE(""https://docs.google.com/spreadsheets/d/1Hx73zIEgVdDZZaYSTc46Dqv64atFhpr3GelxLbaIN8A/edit?usp=sharing"",""หนองบัวลำภู!I772"")"),70)</f>
        <v>70</v>
      </c>
      <c r="L48" s="152">
        <f ca="1">IFERROR(__xludf.DUMMYFUNCTION("IMPORTRANGE(""https://docs.google.com/spreadsheets/d/1Hx73zIEgVdDZZaYSTc46Dqv64atFhpr3GelxLbaIN8A/edit?usp=sharing"",""หนองบัวลำภู!J772"")"),70)</f>
        <v>70</v>
      </c>
      <c r="M48" s="216">
        <f t="shared" ca="1" si="24"/>
        <v>100</v>
      </c>
      <c r="N48" s="152">
        <f ca="1">IFERROR(__xludf.DUMMYFUNCTION("IMPORTRANGE(""https://docs.google.com/spreadsheets/d/1Hx73zIEgVdDZZaYSTc46Dqv64atFhpr3GelxLbaIN8A/edit?usp=sharing"",""หนองบัวลำภู!I774"")"),230)</f>
        <v>230</v>
      </c>
      <c r="O48" s="152">
        <f ca="1">IFERROR(__xludf.DUMMYFUNCTION("IMPORTRANGE(""https://docs.google.com/spreadsheets/d/1Hx73zIEgVdDZZaYSTc46Dqv64atFhpr3GelxLbaIN8A/edit?usp=sharing"",""หนองบัวลำภู!J774"")"),0)</f>
        <v>0</v>
      </c>
      <c r="P48" s="216">
        <f t="shared" ca="1" si="26"/>
        <v>0</v>
      </c>
      <c r="Q48" s="152">
        <f ca="1">IFERROR(__xludf.DUMMYFUNCTION("IMPORTRANGE(""https://docs.google.com/spreadsheets/d/1Hx73zIEgVdDZZaYSTc46Dqv64atFhpr3GelxLbaIN8A/edit?usp=sharing"",""หนองบัวลำภู!I775"")"),230)</f>
        <v>230</v>
      </c>
      <c r="R48" s="152">
        <f ca="1">IFERROR(__xludf.DUMMYFUNCTION("IMPORTRANGE(""https://docs.google.com/spreadsheets/d/1Hx73zIEgVdDZZaYSTc46Dqv64atFhpr3GelxLbaIN8A/edit?usp=sharing"",""หนองบัวลำภู!I776"")"),70)</f>
        <v>70</v>
      </c>
      <c r="S48" s="152">
        <f ca="1">IFERROR(__xludf.DUMMYFUNCTION("IMPORTRANGE(""https://docs.google.com/spreadsheets/d/1Hx73zIEgVdDZZaYSTc46Dqv64atFhpr3GelxLbaIN8A/edit?usp=sharing"",""หนองบัวลำภู!J775"")"),0)</f>
        <v>0</v>
      </c>
      <c r="T48" s="216">
        <f t="shared" ca="1" si="28"/>
        <v>0</v>
      </c>
      <c r="U48" s="152">
        <f ca="1">IFERROR(__xludf.DUMMYFUNCTION("IMPORTRANGE(""https://docs.google.com/spreadsheets/d/1Hx73zIEgVdDZZaYSTc46Dqv64atFhpr3GelxLbaIN8A/edit?usp=sharing"",""หนองบัวลำภู!J776"")"),0)</f>
        <v>0</v>
      </c>
      <c r="V48" s="216">
        <f t="shared" ca="1" si="29"/>
        <v>0</v>
      </c>
      <c r="W48" s="232"/>
    </row>
    <row r="49" spans="1:23" ht="19.5" x14ac:dyDescent="0.3">
      <c r="A49" s="147">
        <v>18</v>
      </c>
      <c r="B49" s="148" t="s">
        <v>77</v>
      </c>
      <c r="C49" s="475">
        <f ca="1">IFERROR(__xludf.DUMMYFUNCTION("IMPORTRANGE(""https://docs.google.com/spreadsheets/d/1lFxr3ctmjFN90yc-xV6jrQ9Ty8BKYVBWnAZ15wcNIJc/edit?usp=sharing"",""อำนาจเจริญ!Q760"")"),503950)</f>
        <v>503950</v>
      </c>
      <c r="D49" s="260">
        <f ca="1">IFERROR(__xludf.DUMMYFUNCTION("IMPORTRANGE(""https://docs.google.com/spreadsheets/d/1lFxr3ctmjFN90yc-xV6jrQ9Ty8BKYVBWnAZ15wcNIJc/edit?usp=sharing"",""อำนาจเจริญ!R760"")"),503950)</f>
        <v>503950</v>
      </c>
      <c r="E49" s="475">
        <f ca="1">IFERROR(__xludf.DUMMYFUNCTION("IMPORTRANGE(""https://docs.google.com/spreadsheets/d/1lFxr3ctmjFN90yc-xV6jrQ9Ty8BKYVBWnAZ15wcNIJc/edit?usp=sharing"",""อำนาจเจริญ!S760"")"),455436)</f>
        <v>455436</v>
      </c>
      <c r="F49" s="260">
        <f t="shared" ca="1" si="19"/>
        <v>90.373251314614549</v>
      </c>
      <c r="G49" s="260">
        <f t="shared" ca="1" si="20"/>
        <v>90.373251314614549</v>
      </c>
      <c r="H49" s="278">
        <v>0</v>
      </c>
      <c r="I49" s="152">
        <v>0</v>
      </c>
      <c r="J49" s="216">
        <f t="shared" si="22"/>
        <v>0</v>
      </c>
      <c r="K49" s="152">
        <f ca="1">IFERROR(__xludf.DUMMYFUNCTION("IMPORTRANGE(""https://docs.google.com/spreadsheets/d/1lFxr3ctmjFN90yc-xV6jrQ9Ty8BKYVBWnAZ15wcNIJc/edit?usp=sharing"",""อำนาจเจริญ!I772"")"),55)</f>
        <v>55</v>
      </c>
      <c r="L49" s="152">
        <f ca="1">IFERROR(__xludf.DUMMYFUNCTION("IMPORTRANGE(""https://docs.google.com/spreadsheets/d/1lFxr3ctmjFN90yc-xV6jrQ9Ty8BKYVBWnAZ15wcNIJc/edit?usp=sharing"",""อำนาจเจริญ!J772"")"),55)</f>
        <v>55</v>
      </c>
      <c r="M49" s="216">
        <f t="shared" ca="1" si="24"/>
        <v>100</v>
      </c>
      <c r="N49" s="152">
        <f ca="1">IFERROR(__xludf.DUMMYFUNCTION("IMPORTRANGE(""https://docs.google.com/spreadsheets/d/1lFxr3ctmjFN90yc-xV6jrQ9Ty8BKYVBWnAZ15wcNIJc/edit?usp=sharing"",""อำนาจเจริญ!I774"")"),185)</f>
        <v>185</v>
      </c>
      <c r="O49" s="152">
        <f ca="1">IFERROR(__xludf.DUMMYFUNCTION("IMPORTRANGE(""https://docs.google.com/spreadsheets/d/1lFxr3ctmjFN90yc-xV6jrQ9Ty8BKYVBWnAZ15wcNIJc/edit?usp=sharing"",""อำนาจเจริญ!J774"")"),185)</f>
        <v>185</v>
      </c>
      <c r="P49" s="216">
        <f t="shared" ca="1" si="26"/>
        <v>100</v>
      </c>
      <c r="Q49" s="152">
        <f ca="1">IFERROR(__xludf.DUMMYFUNCTION("IMPORTRANGE(""https://docs.google.com/spreadsheets/d/1lFxr3ctmjFN90yc-xV6jrQ9Ty8BKYVBWnAZ15wcNIJc/edit?usp=sharing"",""อำนาจเจริญ!I775"")"),185)</f>
        <v>185</v>
      </c>
      <c r="R49" s="152">
        <f ca="1">IFERROR(__xludf.DUMMYFUNCTION("IMPORTRANGE(""https://docs.google.com/spreadsheets/d/1lFxr3ctmjFN90yc-xV6jrQ9Ty8BKYVBWnAZ15wcNIJc/edit?usp=sharing"",""อำนาจเจริญ!I776"")"),55)</f>
        <v>55</v>
      </c>
      <c r="S49" s="152">
        <f ca="1">IFERROR(__xludf.DUMMYFUNCTION("IMPORTRANGE(""https://docs.google.com/spreadsheets/d/1lFxr3ctmjFN90yc-xV6jrQ9Ty8BKYVBWnAZ15wcNIJc/edit?usp=sharing"",""อำนาจเจริญ!J775"")"),0)</f>
        <v>0</v>
      </c>
      <c r="T49" s="216">
        <f t="shared" ca="1" si="28"/>
        <v>0</v>
      </c>
      <c r="U49" s="152">
        <f ca="1">IFERROR(__xludf.DUMMYFUNCTION("IMPORTRANGE(""https://docs.google.com/spreadsheets/d/1lFxr3ctmjFN90yc-xV6jrQ9Ty8BKYVBWnAZ15wcNIJc/edit?usp=sharing"",""อำนาจเจริญ!J776"")"),0)</f>
        <v>0</v>
      </c>
      <c r="V49" s="216">
        <f t="shared" ca="1" si="29"/>
        <v>0</v>
      </c>
      <c r="W49" s="232"/>
    </row>
    <row r="50" spans="1:23" ht="19.5" x14ac:dyDescent="0.3">
      <c r="A50" s="147">
        <v>19</v>
      </c>
      <c r="B50" s="148" t="s">
        <v>78</v>
      </c>
      <c r="C50" s="475">
        <f ca="1">IFERROR(__xludf.DUMMYFUNCTION("IMPORTRANGE(""https://docs.google.com/spreadsheets/d/1gF7RJpRnL-1oyjyeWxs5SFWEH7y8ahOZsQlyp2A2e-A/edit?usp=sharing"",""อุดรธานี!Q760"")"),830850)</f>
        <v>830850</v>
      </c>
      <c r="D50" s="260">
        <f ca="1">IFERROR(__xludf.DUMMYFUNCTION("IMPORTRANGE(""https://docs.google.com/spreadsheets/d/1gF7RJpRnL-1oyjyeWxs5SFWEH7y8ahOZsQlyp2A2e-A/edit?usp=sharing"",""อุดรธานี!R760"")"),830850)</f>
        <v>830850</v>
      </c>
      <c r="E50" s="475">
        <f ca="1">IFERROR(__xludf.DUMMYFUNCTION("IMPORTRANGE(""https://docs.google.com/spreadsheets/d/1gF7RJpRnL-1oyjyeWxs5SFWEH7y8ahOZsQlyp2A2e-A/edit?usp=sharing"",""อุดรธานี!S760"")"),768455.17)</f>
        <v>768455.17</v>
      </c>
      <c r="F50" s="260">
        <f t="shared" ca="1" si="19"/>
        <v>92.490241319131016</v>
      </c>
      <c r="G50" s="260">
        <f t="shared" ca="1" si="20"/>
        <v>92.490241319131016</v>
      </c>
      <c r="H50" s="278">
        <v>0</v>
      </c>
      <c r="I50" s="152">
        <v>0</v>
      </c>
      <c r="J50" s="216">
        <f t="shared" si="22"/>
        <v>0</v>
      </c>
      <c r="K50" s="152">
        <f ca="1">IFERROR(__xludf.DUMMYFUNCTION("IMPORTRANGE(""https://docs.google.com/spreadsheets/d/1gF7RJpRnL-1oyjyeWxs5SFWEH7y8ahOZsQlyp2A2e-A/edit?usp=sharing"",""อุดรธานี!I772"")"),85)</f>
        <v>85</v>
      </c>
      <c r="L50" s="152">
        <f ca="1">IFERROR(__xludf.DUMMYFUNCTION("IMPORTRANGE(""https://docs.google.com/spreadsheets/d/1gF7RJpRnL-1oyjyeWxs5SFWEH7y8ahOZsQlyp2A2e-A/edit?usp=sharing"",""อุดรธานี!J772"")"),85)</f>
        <v>85</v>
      </c>
      <c r="M50" s="216">
        <f t="shared" ca="1" si="24"/>
        <v>100</v>
      </c>
      <c r="N50" s="152">
        <f ca="1">IFERROR(__xludf.DUMMYFUNCTION("IMPORTRANGE(""https://docs.google.com/spreadsheets/d/1gF7RJpRnL-1oyjyeWxs5SFWEH7y8ahOZsQlyp2A2e-A/edit?usp=sharing"",""อุดรธานี!I774"")"),425)</f>
        <v>425</v>
      </c>
      <c r="O50" s="152">
        <f ca="1">IFERROR(__xludf.DUMMYFUNCTION("IMPORTRANGE(""https://docs.google.com/spreadsheets/d/1gF7RJpRnL-1oyjyeWxs5SFWEH7y8ahOZsQlyp2A2e-A/edit?usp=sharing"",""อุดรธานี!J774"")"),425)</f>
        <v>425</v>
      </c>
      <c r="P50" s="216">
        <f t="shared" ca="1" si="26"/>
        <v>100</v>
      </c>
      <c r="Q50" s="152">
        <f ca="1">IFERROR(__xludf.DUMMYFUNCTION("IMPORTRANGE(""https://docs.google.com/spreadsheets/d/1gF7RJpRnL-1oyjyeWxs5SFWEH7y8ahOZsQlyp2A2e-A/edit?usp=sharing"",""อุดรธานี!I775"")"),425)</f>
        <v>425</v>
      </c>
      <c r="R50" s="152">
        <f ca="1">IFERROR(__xludf.DUMMYFUNCTION("IMPORTRANGE(""https://docs.google.com/spreadsheets/d/1gF7RJpRnL-1oyjyeWxs5SFWEH7y8ahOZsQlyp2A2e-A/edit?usp=sharing"",""อุดรธานี!I776"")"),85)</f>
        <v>85</v>
      </c>
      <c r="S50" s="152">
        <f ca="1">IFERROR(__xludf.DUMMYFUNCTION("IMPORTRANGE(""https://docs.google.com/spreadsheets/d/1gF7RJpRnL-1oyjyeWxs5SFWEH7y8ahOZsQlyp2A2e-A/edit?usp=sharing"",""อุดรธานี!J775"")"),425)</f>
        <v>425</v>
      </c>
      <c r="T50" s="216">
        <f t="shared" ca="1" si="28"/>
        <v>100</v>
      </c>
      <c r="U50" s="152">
        <f ca="1">IFERROR(__xludf.DUMMYFUNCTION("IMPORTRANGE(""https://docs.google.com/spreadsheets/d/1gF7RJpRnL-1oyjyeWxs5SFWEH7y8ahOZsQlyp2A2e-A/edit?usp=sharing"",""อุดรธานี!J776"")"),85)</f>
        <v>85</v>
      </c>
      <c r="V50" s="216">
        <f t="shared" ca="1" si="29"/>
        <v>100</v>
      </c>
      <c r="W50" s="232"/>
    </row>
    <row r="51" spans="1:23" ht="19.5" x14ac:dyDescent="0.3">
      <c r="A51" s="155">
        <v>20</v>
      </c>
      <c r="B51" s="156" t="s">
        <v>79</v>
      </c>
      <c r="C51" s="482">
        <f ca="1">IFERROR(__xludf.DUMMYFUNCTION("IMPORTRANGE(""https://docs.google.com/spreadsheets/d/1kfLP0j3INXRa8bTDpcEmoWewMBV61jlFlfzczfjWIgc/edit?usp=sharing"",""อุบลราชธานี!Q760"")"),675000)</f>
        <v>675000</v>
      </c>
      <c r="D51" s="481">
        <f ca="1">IFERROR(__xludf.DUMMYFUNCTION("IMPORTRANGE(""https://docs.google.com/spreadsheets/d/1kfLP0j3INXRa8bTDpcEmoWewMBV61jlFlfzczfjWIgc/edit?usp=sharing"",""อุบลราชธานี!R760"")"),675000)</f>
        <v>675000</v>
      </c>
      <c r="E51" s="482">
        <f ca="1">IFERROR(__xludf.DUMMYFUNCTION("IMPORTRANGE(""https://docs.google.com/spreadsheets/d/1kfLP0j3INXRa8bTDpcEmoWewMBV61jlFlfzczfjWIgc/edit?usp=sharing"",""อุบลราชธานี!S760"")"),627078)</f>
        <v>627078</v>
      </c>
      <c r="F51" s="481">
        <f t="shared" ca="1" si="19"/>
        <v>92.900444444444446</v>
      </c>
      <c r="G51" s="481">
        <f t="shared" ca="1" si="20"/>
        <v>92.900444444444446</v>
      </c>
      <c r="H51" s="280">
        <v>0</v>
      </c>
      <c r="I51" s="191">
        <v>0</v>
      </c>
      <c r="J51" s="218">
        <f t="shared" si="22"/>
        <v>0</v>
      </c>
      <c r="K51" s="191">
        <f ca="1">IFERROR(__xludf.DUMMYFUNCTION("IMPORTRANGE(""https://docs.google.com/spreadsheets/d/1kfLP0j3INXRa8bTDpcEmoWewMBV61jlFlfzczfjWIgc/edit?usp=sharing"",""อุบลราชธานี!I772"")"),90)</f>
        <v>90</v>
      </c>
      <c r="L51" s="191">
        <f ca="1">IFERROR(__xludf.DUMMYFUNCTION("IMPORTRANGE(""https://docs.google.com/spreadsheets/d/1kfLP0j3INXRa8bTDpcEmoWewMBV61jlFlfzczfjWIgc/edit?usp=sharing"",""อุบลราชธานี!J772"")"),90)</f>
        <v>90</v>
      </c>
      <c r="M51" s="218">
        <f t="shared" ca="1" si="24"/>
        <v>100</v>
      </c>
      <c r="N51" s="191">
        <f ca="1">IFERROR(__xludf.DUMMYFUNCTION("IMPORTRANGE(""https://docs.google.com/spreadsheets/d/1kfLP0j3INXRa8bTDpcEmoWewMBV61jlFlfzczfjWIgc/edit?usp=sharing"",""อุบลราชธานี!I774"")"),300)</f>
        <v>300</v>
      </c>
      <c r="O51" s="191">
        <f ca="1">IFERROR(__xludf.DUMMYFUNCTION("IMPORTRANGE(""https://docs.google.com/spreadsheets/d/1kfLP0j3INXRa8bTDpcEmoWewMBV61jlFlfzczfjWIgc/edit?usp=sharing"",""อุบลราชธานี!J774"")"),300)</f>
        <v>300</v>
      </c>
      <c r="P51" s="218">
        <f t="shared" ca="1" si="26"/>
        <v>100</v>
      </c>
      <c r="Q51" s="191">
        <f ca="1">IFERROR(__xludf.DUMMYFUNCTION("IMPORTRANGE(""https://docs.google.com/spreadsheets/d/1kfLP0j3INXRa8bTDpcEmoWewMBV61jlFlfzczfjWIgc/edit?usp=sharing"",""อุบลราชธานี!I775"")"),300)</f>
        <v>300</v>
      </c>
      <c r="R51" s="191">
        <f ca="1">IFERROR(__xludf.DUMMYFUNCTION("IMPORTRANGE(""https://docs.google.com/spreadsheets/d/1kfLP0j3INXRa8bTDpcEmoWewMBV61jlFlfzczfjWIgc/edit?usp=sharing"",""อุบลราชธานี!I776"")"),90)</f>
        <v>90</v>
      </c>
      <c r="S51" s="191">
        <f ca="1">IFERROR(__xludf.DUMMYFUNCTION("IMPORTRANGE(""https://docs.google.com/spreadsheets/d/1kfLP0j3INXRa8bTDpcEmoWewMBV61jlFlfzczfjWIgc/edit?usp=sharing"",""อุบลราชธานี!J775"")"),300)</f>
        <v>300</v>
      </c>
      <c r="T51" s="218">
        <f t="shared" ca="1" si="28"/>
        <v>100</v>
      </c>
      <c r="U51" s="191">
        <f ca="1">IFERROR(__xludf.DUMMYFUNCTION("IMPORTRANGE(""https://docs.google.com/spreadsheets/d/1kfLP0j3INXRa8bTDpcEmoWewMBV61jlFlfzczfjWIgc/edit?usp=sharing"",""อุบลราชธานี!J776"")"),90)</f>
        <v>90</v>
      </c>
      <c r="V51" s="218">
        <f t="shared" ca="1" si="29"/>
        <v>100</v>
      </c>
      <c r="W51" s="232"/>
    </row>
    <row r="52" spans="1:23" ht="19.5" x14ac:dyDescent="0.3">
      <c r="A52" s="716" t="s">
        <v>80</v>
      </c>
      <c r="B52" s="662"/>
      <c r="C52" s="604">
        <f t="shared" ref="C52:E52" ca="1" si="35">SUM(C53:C73)</f>
        <v>3121330</v>
      </c>
      <c r="D52" s="603">
        <f t="shared" ca="1" si="35"/>
        <v>3121330</v>
      </c>
      <c r="E52" s="604">
        <f t="shared" ca="1" si="35"/>
        <v>2303440.0099999998</v>
      </c>
      <c r="F52" s="603">
        <f t="shared" ca="1" si="19"/>
        <v>73.796747219935085</v>
      </c>
      <c r="G52" s="603">
        <f t="shared" ca="1" si="20"/>
        <v>73.796747219935085</v>
      </c>
      <c r="H52" s="282">
        <f t="shared" ref="H52:I52" si="36">SUM(H53:H73)</f>
        <v>0</v>
      </c>
      <c r="I52" s="369">
        <f t="shared" si="36"/>
        <v>0</v>
      </c>
      <c r="J52" s="94">
        <f t="shared" si="22"/>
        <v>0</v>
      </c>
      <c r="K52" s="369">
        <f t="shared" ref="K52:L52" ca="1" si="37">SUM(K53:K73)</f>
        <v>425</v>
      </c>
      <c r="L52" s="369">
        <f t="shared" ca="1" si="37"/>
        <v>335</v>
      </c>
      <c r="M52" s="94">
        <f t="shared" ca="1" si="24"/>
        <v>78.82352941176471</v>
      </c>
      <c r="N52" s="369">
        <f t="shared" ref="N52:O52" ca="1" si="38">SUM(N53:N73)</f>
        <v>885</v>
      </c>
      <c r="O52" s="369">
        <f t="shared" ca="1" si="38"/>
        <v>670</v>
      </c>
      <c r="P52" s="94">
        <f t="shared" ca="1" si="26"/>
        <v>75.706214689265536</v>
      </c>
      <c r="Q52" s="369">
        <f t="shared" ref="Q52:S52" ca="1" si="39">SUM(Q53:Q73)</f>
        <v>885</v>
      </c>
      <c r="R52" s="369">
        <f t="shared" ca="1" si="39"/>
        <v>425</v>
      </c>
      <c r="S52" s="369">
        <f t="shared" ca="1" si="39"/>
        <v>630</v>
      </c>
      <c r="T52" s="94">
        <f t="shared" ca="1" si="28"/>
        <v>71.186440677966104</v>
      </c>
      <c r="U52" s="369">
        <f ca="1">SUM(U53:U73)</f>
        <v>315</v>
      </c>
      <c r="V52" s="94">
        <f t="shared" ca="1" si="29"/>
        <v>74.117647058823536</v>
      </c>
      <c r="W52" s="640"/>
    </row>
    <row r="53" spans="1:23" ht="19.5" x14ac:dyDescent="0.3">
      <c r="A53" s="147">
        <v>1</v>
      </c>
      <c r="B53" s="148" t="s">
        <v>81</v>
      </c>
      <c r="C53" s="475">
        <f ca="1">IFERROR(__xludf.DUMMYFUNCTION("IMPORTRANGE(""https://docs.google.com/spreadsheets/d/13wPX838HrBrQMCywv1BsuMkt4PEKTChp52zj44s2izQ/edit?usp=sharing"",""กาญจนบุรี!Q760"")"),574850)</f>
        <v>574850</v>
      </c>
      <c r="D53" s="260">
        <f ca="1">IFERROR(__xludf.DUMMYFUNCTION("IMPORTRANGE(""https://docs.google.com/spreadsheets/d/13wPX838HrBrQMCywv1BsuMkt4PEKTChp52zj44s2izQ/edit?usp=sharing"",""กาญจนบุรี!R760"")"),574850)</f>
        <v>574850</v>
      </c>
      <c r="E53" s="475">
        <f ca="1">IFERROR(__xludf.DUMMYFUNCTION("IMPORTRANGE(""https://docs.google.com/spreadsheets/d/13wPX838HrBrQMCywv1BsuMkt4PEKTChp52zj44s2izQ/edit?usp=sharing"",""กาญจนบุรี!S760"")"),295710)</f>
        <v>295710</v>
      </c>
      <c r="F53" s="260">
        <f t="shared" ca="1" si="19"/>
        <v>51.441245542315386</v>
      </c>
      <c r="G53" s="260">
        <f t="shared" ca="1" si="20"/>
        <v>51.441245542315386</v>
      </c>
      <c r="H53" s="278">
        <v>0</v>
      </c>
      <c r="I53" s="152">
        <v>0</v>
      </c>
      <c r="J53" s="216">
        <f t="shared" si="22"/>
        <v>0</v>
      </c>
      <c r="K53" s="152">
        <f ca="1">IFERROR(__xludf.DUMMYFUNCTION("IMPORTRANGE(""https://docs.google.com/spreadsheets/d/13wPX838HrBrQMCywv1BsuMkt4PEKTChp52zj44s2izQ/edit?usp=sharing"",""กาญจนบุรี!I772"")"),85)</f>
        <v>85</v>
      </c>
      <c r="L53" s="152">
        <f ca="1">IFERROR(__xludf.DUMMYFUNCTION("IMPORTRANGE(""https://docs.google.com/spreadsheets/d/13wPX838HrBrQMCywv1BsuMkt4PEKTChp52zj44s2izQ/edit?usp=sharing"",""กาญจนบุรี!J772"")"),85)</f>
        <v>85</v>
      </c>
      <c r="M53" s="216">
        <f t="shared" ca="1" si="24"/>
        <v>100</v>
      </c>
      <c r="N53" s="152">
        <f ca="1">IFERROR(__xludf.DUMMYFUNCTION("IMPORTRANGE(""https://docs.google.com/spreadsheets/d/13wPX838HrBrQMCywv1BsuMkt4PEKTChp52zj44s2izQ/edit?usp=sharing"",""กาญจนบุรี!I774"")"),220)</f>
        <v>220</v>
      </c>
      <c r="O53" s="152">
        <f ca="1">IFERROR(__xludf.DUMMYFUNCTION("IMPORTRANGE(""https://docs.google.com/spreadsheets/d/13wPX838HrBrQMCywv1BsuMkt4PEKTChp52zj44s2izQ/edit?usp=sharing"",""กาญจนบุรี!J774"")"),220)</f>
        <v>220</v>
      </c>
      <c r="P53" s="216">
        <f t="shared" ca="1" si="26"/>
        <v>100</v>
      </c>
      <c r="Q53" s="152">
        <f ca="1">IFERROR(__xludf.DUMMYFUNCTION("IMPORTRANGE(""https://docs.google.com/spreadsheets/d/13wPX838HrBrQMCywv1BsuMkt4PEKTChp52zj44s2izQ/edit?usp=sharing"",""กาญจนบุรี!I775"")"),220)</f>
        <v>220</v>
      </c>
      <c r="R53" s="152">
        <f ca="1">IFERROR(__xludf.DUMMYFUNCTION("IMPORTRANGE(""https://docs.google.com/spreadsheets/d/13wPX838HrBrQMCywv1BsuMkt4PEKTChp52zj44s2izQ/edit?usp=sharing"",""กาญจนบุรี!I776"")"),85)</f>
        <v>85</v>
      </c>
      <c r="S53" s="152">
        <f ca="1">IFERROR(__xludf.DUMMYFUNCTION("IMPORTRANGE(""https://docs.google.com/spreadsheets/d/13wPX838HrBrQMCywv1BsuMkt4PEKTChp52zj44s2izQ/edit?usp=sharing"",""กาญจนบุรี!J775"")"),220)</f>
        <v>220</v>
      </c>
      <c r="T53" s="216">
        <f t="shared" ca="1" si="28"/>
        <v>100</v>
      </c>
      <c r="U53" s="152">
        <f ca="1">IFERROR(__xludf.DUMMYFUNCTION("IMPORTRANGE(""https://docs.google.com/spreadsheets/d/13wPX838HrBrQMCywv1BsuMkt4PEKTChp52zj44s2izQ/edit?usp=sharing"",""กาญจนบุรี!J776"")"),85)</f>
        <v>85</v>
      </c>
      <c r="V53" s="216">
        <f t="shared" ca="1" si="29"/>
        <v>100</v>
      </c>
      <c r="W53" s="232"/>
    </row>
    <row r="54" spans="1:23" ht="19.5" x14ac:dyDescent="0.3">
      <c r="A54" s="147">
        <v>2</v>
      </c>
      <c r="B54" s="148" t="s">
        <v>82</v>
      </c>
      <c r="C54" s="475">
        <f ca="1">IFERROR(__xludf.DUMMYFUNCTION("IMPORTRANGE(""https://docs.google.com/spreadsheets/d/1ddFKvqj1W1NEiWytbGlB1zMx_ykJDVtmfEQ-6-lIUBA/edit?usp=sharing"",""จันทบุรี!Q760"")"),0)</f>
        <v>0</v>
      </c>
      <c r="D54" s="260">
        <f ca="1">IFERROR(__xludf.DUMMYFUNCTION("IMPORTRANGE(""https://docs.google.com/spreadsheets/d/1ddFKvqj1W1NEiWytbGlB1zMx_ykJDVtmfEQ-6-lIUBA/edit?usp=sharing"",""จันทบุรี!R760"")"),0)</f>
        <v>0</v>
      </c>
      <c r="E54" s="475">
        <f ca="1">IFERROR(__xludf.DUMMYFUNCTION("IMPORTRANGE(""https://docs.google.com/spreadsheets/d/1ddFKvqj1W1NEiWytbGlB1zMx_ykJDVtmfEQ-6-lIUBA/edit?usp=sharing"",""จันทบุรี!S760"")"),0)</f>
        <v>0</v>
      </c>
      <c r="F54" s="260">
        <f t="shared" ca="1" si="19"/>
        <v>0</v>
      </c>
      <c r="G54" s="260">
        <f t="shared" ca="1" si="20"/>
        <v>0</v>
      </c>
      <c r="H54" s="278">
        <v>0</v>
      </c>
      <c r="I54" s="152">
        <v>0</v>
      </c>
      <c r="J54" s="216">
        <f t="shared" si="22"/>
        <v>0</v>
      </c>
      <c r="K54" s="152">
        <f ca="1">IFERROR(__xludf.DUMMYFUNCTION("IMPORTRANGE(""https://docs.google.com/spreadsheets/d/1ddFKvqj1W1NEiWytbGlB1zMx_ykJDVtmfEQ-6-lIUBA/edit?usp=sharing"",""จันทบุรี!I772"")"),0)</f>
        <v>0</v>
      </c>
      <c r="L54" s="152">
        <f ca="1">IFERROR(__xludf.DUMMYFUNCTION("IMPORTRANGE(""https://docs.google.com/spreadsheets/d/1ddFKvqj1W1NEiWytbGlB1zMx_ykJDVtmfEQ-6-lIUBA/edit?usp=sharing"",""จันทบุรี!J772"")"),0)</f>
        <v>0</v>
      </c>
      <c r="M54" s="216">
        <f t="shared" ca="1" si="24"/>
        <v>0</v>
      </c>
      <c r="N54" s="152">
        <f ca="1">IFERROR(__xludf.DUMMYFUNCTION("IMPORTRANGE(""https://docs.google.com/spreadsheets/d/1ddFKvqj1W1NEiWytbGlB1zMx_ykJDVtmfEQ-6-lIUBA/edit?usp=sharing"",""จันทบุรี!I774"")"),0)</f>
        <v>0</v>
      </c>
      <c r="O54" s="152">
        <f ca="1">IFERROR(__xludf.DUMMYFUNCTION("IMPORTRANGE(""https://docs.google.com/spreadsheets/d/1ddFKvqj1W1NEiWytbGlB1zMx_ykJDVtmfEQ-6-lIUBA/edit?usp=sharing"",""จันทบุรี!J774"")"),0)</f>
        <v>0</v>
      </c>
      <c r="P54" s="216">
        <f t="shared" ca="1" si="26"/>
        <v>0</v>
      </c>
      <c r="Q54" s="152">
        <f ca="1">IFERROR(__xludf.DUMMYFUNCTION("IMPORTRANGE(""https://docs.google.com/spreadsheets/d/1ddFKvqj1W1NEiWytbGlB1zMx_ykJDVtmfEQ-6-lIUBA/edit?usp=sharing"",""จันทบุรี!I775"")"),0)</f>
        <v>0</v>
      </c>
      <c r="R54" s="152">
        <f ca="1">IFERROR(__xludf.DUMMYFUNCTION("IMPORTRANGE(""https://docs.google.com/spreadsheets/d/1ddFKvqj1W1NEiWytbGlB1zMx_ykJDVtmfEQ-6-lIUBA/edit?usp=sharing"",""จันทบุรี!I776"")"),0)</f>
        <v>0</v>
      </c>
      <c r="S54" s="152">
        <f ca="1">IFERROR(__xludf.DUMMYFUNCTION("IMPORTRANGE(""https://docs.google.com/spreadsheets/d/1ddFKvqj1W1NEiWytbGlB1zMx_ykJDVtmfEQ-6-lIUBA/edit?usp=sharing"",""จันทบุรี!J775"")"),0)</f>
        <v>0</v>
      </c>
      <c r="T54" s="216">
        <f t="shared" ca="1" si="28"/>
        <v>0</v>
      </c>
      <c r="U54" s="152">
        <f ca="1">IFERROR(__xludf.DUMMYFUNCTION("IMPORTRANGE(""https://docs.google.com/spreadsheets/d/1ddFKvqj1W1NEiWytbGlB1zMx_ykJDVtmfEQ-6-lIUBA/edit?usp=sharing"",""จันทบุรี!J776"")"),0)</f>
        <v>0</v>
      </c>
      <c r="V54" s="216">
        <f t="shared" ca="1" si="29"/>
        <v>0</v>
      </c>
      <c r="W54" s="232"/>
    </row>
    <row r="55" spans="1:23" ht="19.5" x14ac:dyDescent="0.3">
      <c r="A55" s="147">
        <v>3</v>
      </c>
      <c r="B55" s="148" t="s">
        <v>83</v>
      </c>
      <c r="C55" s="475">
        <f ca="1">IFERROR(__xludf.DUMMYFUNCTION("IMPORTRANGE(""https://docs.google.com/spreadsheets/d/1T1PQvRODqOBZk8BRht_U031fIS1beLA0Ub2CEytj2q0/edit?usp=sharing"",""ฉะเชิงเทรา!Q760"")"),409400)</f>
        <v>409400</v>
      </c>
      <c r="D55" s="260">
        <f ca="1">IFERROR(__xludf.DUMMYFUNCTION("IMPORTRANGE(""https://docs.google.com/spreadsheets/d/1T1PQvRODqOBZk8BRht_U031fIS1beLA0Ub2CEytj2q0/edit?usp=sharing"",""ฉะเชิงเทรา!R760"")"),409400)</f>
        <v>409400</v>
      </c>
      <c r="E55" s="475">
        <f ca="1">IFERROR(__xludf.DUMMYFUNCTION("IMPORTRANGE(""https://docs.google.com/spreadsheets/d/1T1PQvRODqOBZk8BRht_U031fIS1beLA0Ub2CEytj2q0/edit?usp=sharing"",""ฉะเชิงเทรา!S760"")"),380510.01)</f>
        <v>380510.01</v>
      </c>
      <c r="F55" s="260">
        <f t="shared" ca="1" si="19"/>
        <v>92.94333414753298</v>
      </c>
      <c r="G55" s="260">
        <f t="shared" ca="1" si="20"/>
        <v>92.94333414753298</v>
      </c>
      <c r="H55" s="278">
        <v>0</v>
      </c>
      <c r="I55" s="152">
        <v>0</v>
      </c>
      <c r="J55" s="216">
        <f t="shared" si="22"/>
        <v>0</v>
      </c>
      <c r="K55" s="152">
        <f ca="1">IFERROR(__xludf.DUMMYFUNCTION("IMPORTRANGE(""https://docs.google.com/spreadsheets/d/1T1PQvRODqOBZk8BRht_U031fIS1beLA0Ub2CEytj2q0/edit?usp=sharing"",""ฉะเชิงเทรา!I772"")"),70)</f>
        <v>70</v>
      </c>
      <c r="L55" s="152">
        <f ca="1">IFERROR(__xludf.DUMMYFUNCTION("IMPORTRANGE(""https://docs.google.com/spreadsheets/d/1T1PQvRODqOBZk8BRht_U031fIS1beLA0Ub2CEytj2q0/edit?usp=sharing"",""ฉะเชิงเทรา!J772"")"),70)</f>
        <v>70</v>
      </c>
      <c r="M55" s="216">
        <f t="shared" ca="1" si="24"/>
        <v>100</v>
      </c>
      <c r="N55" s="152">
        <f ca="1">IFERROR(__xludf.DUMMYFUNCTION("IMPORTRANGE(""https://docs.google.com/spreadsheets/d/1T1PQvRODqOBZk8BRht_U031fIS1beLA0Ub2CEytj2q0/edit?usp=sharing"",""ฉะเชิงเทรา!I774"")"),85)</f>
        <v>85</v>
      </c>
      <c r="O55" s="152">
        <f ca="1">IFERROR(__xludf.DUMMYFUNCTION("IMPORTRANGE(""https://docs.google.com/spreadsheets/d/1T1PQvRODqOBZk8BRht_U031fIS1beLA0Ub2CEytj2q0/edit?usp=sharing"",""ฉะเชิงเทรา!J774"")"),85)</f>
        <v>85</v>
      </c>
      <c r="P55" s="216">
        <f t="shared" ca="1" si="26"/>
        <v>100</v>
      </c>
      <c r="Q55" s="152">
        <f ca="1">IFERROR(__xludf.DUMMYFUNCTION("IMPORTRANGE(""https://docs.google.com/spreadsheets/d/1T1PQvRODqOBZk8BRht_U031fIS1beLA0Ub2CEytj2q0/edit?usp=sharing"",""ฉะเชิงเทรา!I775"")"),85)</f>
        <v>85</v>
      </c>
      <c r="R55" s="152">
        <f ca="1">IFERROR(__xludf.DUMMYFUNCTION("IMPORTRANGE(""https://docs.google.com/spreadsheets/d/1T1PQvRODqOBZk8BRht_U031fIS1beLA0Ub2CEytj2q0/edit?usp=sharing"",""ฉะเชิงเทรา!I776"")"),70)</f>
        <v>70</v>
      </c>
      <c r="S55" s="152">
        <f ca="1">IFERROR(__xludf.DUMMYFUNCTION("IMPORTRANGE(""https://docs.google.com/spreadsheets/d/1T1PQvRODqOBZk8BRht_U031fIS1beLA0Ub2CEytj2q0/edit?usp=sharing"",""ฉะเชิงเทรา!J775"")"),85)</f>
        <v>85</v>
      </c>
      <c r="T55" s="216">
        <f t="shared" ca="1" si="28"/>
        <v>100</v>
      </c>
      <c r="U55" s="152">
        <f ca="1">IFERROR(__xludf.DUMMYFUNCTION("IMPORTRANGE(""https://docs.google.com/spreadsheets/d/1T1PQvRODqOBZk8BRht_U031fIS1beLA0Ub2CEytj2q0/edit?usp=sharing"",""ฉะเชิงเทรา!J776"")"),70)</f>
        <v>70</v>
      </c>
      <c r="V55" s="216">
        <f t="shared" ca="1" si="29"/>
        <v>100</v>
      </c>
      <c r="W55" s="232"/>
    </row>
    <row r="56" spans="1:23" ht="19.5" x14ac:dyDescent="0.3">
      <c r="A56" s="147">
        <v>4</v>
      </c>
      <c r="B56" s="148" t="s">
        <v>84</v>
      </c>
      <c r="C56" s="475">
        <f ca="1">IFERROR(__xludf.DUMMYFUNCTION("IMPORTRANGE(""https://docs.google.com/spreadsheets/d/11tr1B-Bhyr79v2bkwVh5h_fR-PStkgjlZtkrZpYurG0/edit?usp=sharing"",""ชลบุรี!Q760"")"),121660)</f>
        <v>121660</v>
      </c>
      <c r="D56" s="260">
        <f ca="1">IFERROR(__xludf.DUMMYFUNCTION("IMPORTRANGE(""https://docs.google.com/spreadsheets/d/11tr1B-Bhyr79v2bkwVh5h_fR-PStkgjlZtkrZpYurG0/edit?usp=sharing"",""ชลบุรี!R760"")"),121660)</f>
        <v>121660</v>
      </c>
      <c r="E56" s="475">
        <f ca="1">IFERROR(__xludf.DUMMYFUNCTION("IMPORTRANGE(""https://docs.google.com/spreadsheets/d/11tr1B-Bhyr79v2bkwVh5h_fR-PStkgjlZtkrZpYurG0/edit?usp=sharing"",""ชลบุรี!S760"")"),94085)</f>
        <v>94085</v>
      </c>
      <c r="F56" s="260">
        <f t="shared" ca="1" si="19"/>
        <v>77.334374486273219</v>
      </c>
      <c r="G56" s="260">
        <f t="shared" ca="1" si="20"/>
        <v>77.334374486273219</v>
      </c>
      <c r="H56" s="278">
        <v>0</v>
      </c>
      <c r="I56" s="152">
        <v>0</v>
      </c>
      <c r="J56" s="216">
        <f t="shared" si="22"/>
        <v>0</v>
      </c>
      <c r="K56" s="152">
        <f ca="1">IFERROR(__xludf.DUMMYFUNCTION("IMPORTRANGE(""https://docs.google.com/spreadsheets/d/11tr1B-Bhyr79v2bkwVh5h_fR-PStkgjlZtkrZpYurG0/edit?usp=sharing"",""ชลบุรี!I772"")"),20)</f>
        <v>20</v>
      </c>
      <c r="L56" s="152">
        <f ca="1">IFERROR(__xludf.DUMMYFUNCTION("IMPORTRANGE(""https://docs.google.com/spreadsheets/d/11tr1B-Bhyr79v2bkwVh5h_fR-PStkgjlZtkrZpYurG0/edit?usp=sharing"",""ชลบุรี!J772"")"),20)</f>
        <v>20</v>
      </c>
      <c r="M56" s="216">
        <f t="shared" ca="1" si="24"/>
        <v>100</v>
      </c>
      <c r="N56" s="152">
        <f ca="1">IFERROR(__xludf.DUMMYFUNCTION("IMPORTRANGE(""https://docs.google.com/spreadsheets/d/11tr1B-Bhyr79v2bkwVh5h_fR-PStkgjlZtkrZpYurG0/edit?usp=sharing"",""ชลบุรี!I774"")"),25)</f>
        <v>25</v>
      </c>
      <c r="O56" s="152">
        <f ca="1">IFERROR(__xludf.DUMMYFUNCTION("IMPORTRANGE(""https://docs.google.com/spreadsheets/d/11tr1B-Bhyr79v2bkwVh5h_fR-PStkgjlZtkrZpYurG0/edit?usp=sharing"",""ชลบุรี!J774"")"),25)</f>
        <v>25</v>
      </c>
      <c r="P56" s="216">
        <f t="shared" ca="1" si="26"/>
        <v>100</v>
      </c>
      <c r="Q56" s="152">
        <f ca="1">IFERROR(__xludf.DUMMYFUNCTION("IMPORTRANGE(""https://docs.google.com/spreadsheets/d/11tr1B-Bhyr79v2bkwVh5h_fR-PStkgjlZtkrZpYurG0/edit?usp=sharing"",""ชลบุรี!I775"")"),25)</f>
        <v>25</v>
      </c>
      <c r="R56" s="152">
        <f ca="1">IFERROR(__xludf.DUMMYFUNCTION("IMPORTRANGE(""https://docs.google.com/spreadsheets/d/11tr1B-Bhyr79v2bkwVh5h_fR-PStkgjlZtkrZpYurG0/edit?usp=sharing"",""ชลบุรี!I776"")"),20)</f>
        <v>20</v>
      </c>
      <c r="S56" s="152">
        <f ca="1">IFERROR(__xludf.DUMMYFUNCTION("IMPORTRANGE(""https://docs.google.com/spreadsheets/d/11tr1B-Bhyr79v2bkwVh5h_fR-PStkgjlZtkrZpYurG0/edit?usp=sharing"",""ชลบุรี!J775"")"),25)</f>
        <v>25</v>
      </c>
      <c r="T56" s="216">
        <f t="shared" ca="1" si="28"/>
        <v>100</v>
      </c>
      <c r="U56" s="152">
        <f ca="1">IFERROR(__xludf.DUMMYFUNCTION("IMPORTRANGE(""https://docs.google.com/spreadsheets/d/11tr1B-Bhyr79v2bkwVh5h_fR-PStkgjlZtkrZpYurG0/edit?usp=sharing"",""ชลบุรี!J776"")"),20)</f>
        <v>20</v>
      </c>
      <c r="V56" s="216">
        <f t="shared" ca="1" si="29"/>
        <v>100</v>
      </c>
      <c r="W56" s="232"/>
    </row>
    <row r="57" spans="1:23" ht="19.5" x14ac:dyDescent="0.3">
      <c r="A57" s="147">
        <v>5</v>
      </c>
      <c r="B57" s="148" t="s">
        <v>85</v>
      </c>
      <c r="C57" s="475">
        <f ca="1">IFERROR(__xludf.DUMMYFUNCTION("IMPORTRANGE(""https://docs.google.com/spreadsheets/d/1hh-FVnSX0vozXhGluamEcS54Dw9_zqW0N7qJUWgJ0Sw/edit?usp=sharing"",""ชัยนาท!Q760"")"),0)</f>
        <v>0</v>
      </c>
      <c r="D57" s="260">
        <f ca="1">IFERROR(__xludf.DUMMYFUNCTION("IMPORTRANGE(""https://docs.google.com/spreadsheets/d/1hh-FVnSX0vozXhGluamEcS54Dw9_zqW0N7qJUWgJ0Sw/edit?usp=sharing"",""ชัยนาท!R760"")"),0)</f>
        <v>0</v>
      </c>
      <c r="E57" s="475">
        <f ca="1">IFERROR(__xludf.DUMMYFUNCTION("IMPORTRANGE(""https://docs.google.com/spreadsheets/d/1hh-FVnSX0vozXhGluamEcS54Dw9_zqW0N7qJUWgJ0Sw/edit?usp=sharing"",""ชัยนาท!S760"")"),0)</f>
        <v>0</v>
      </c>
      <c r="F57" s="260">
        <f t="shared" ca="1" si="19"/>
        <v>0</v>
      </c>
      <c r="G57" s="260">
        <f t="shared" ca="1" si="20"/>
        <v>0</v>
      </c>
      <c r="H57" s="278">
        <v>0</v>
      </c>
      <c r="I57" s="152">
        <v>0</v>
      </c>
      <c r="J57" s="216">
        <f t="shared" si="22"/>
        <v>0</v>
      </c>
      <c r="K57" s="152">
        <f ca="1">IFERROR(__xludf.DUMMYFUNCTION("IMPORTRANGE(""https://docs.google.com/spreadsheets/d/1hh-FVnSX0vozXhGluamEcS54Dw9_zqW0N7qJUWgJ0Sw/edit?usp=sharing"",""ชัยนาท!I772"")"),0)</f>
        <v>0</v>
      </c>
      <c r="L57" s="152">
        <f ca="1">IFERROR(__xludf.DUMMYFUNCTION("IMPORTRANGE(""https://docs.google.com/spreadsheets/d/1hh-FVnSX0vozXhGluamEcS54Dw9_zqW0N7qJUWgJ0Sw/edit?usp=sharing"",""ชัยนาท!J772"")"),0)</f>
        <v>0</v>
      </c>
      <c r="M57" s="216">
        <f t="shared" ca="1" si="24"/>
        <v>0</v>
      </c>
      <c r="N57" s="152">
        <f ca="1">IFERROR(__xludf.DUMMYFUNCTION("IMPORTRANGE(""https://docs.google.com/spreadsheets/d/1hh-FVnSX0vozXhGluamEcS54Dw9_zqW0N7qJUWgJ0Sw/edit?usp=sharing"",""ชัยนาท!I774"")"),0)</f>
        <v>0</v>
      </c>
      <c r="O57" s="152">
        <f ca="1">IFERROR(__xludf.DUMMYFUNCTION("IMPORTRANGE(""https://docs.google.com/spreadsheets/d/1hh-FVnSX0vozXhGluamEcS54Dw9_zqW0N7qJUWgJ0Sw/edit?usp=sharing"",""ชัยนาท!J774"")"),0)</f>
        <v>0</v>
      </c>
      <c r="P57" s="216">
        <f t="shared" ca="1" si="26"/>
        <v>0</v>
      </c>
      <c r="Q57" s="152">
        <f ca="1">IFERROR(__xludf.DUMMYFUNCTION("IMPORTRANGE(""https://docs.google.com/spreadsheets/d/1hh-FVnSX0vozXhGluamEcS54Dw9_zqW0N7qJUWgJ0Sw/edit?usp=sharing"",""ชัยนาท!I775"")"),0)</f>
        <v>0</v>
      </c>
      <c r="R57" s="152">
        <f ca="1">IFERROR(__xludf.DUMMYFUNCTION("IMPORTRANGE(""https://docs.google.com/spreadsheets/d/1hh-FVnSX0vozXhGluamEcS54Dw9_zqW0N7qJUWgJ0Sw/edit?usp=sharing"",""ชัยนาท!I776"")"),0)</f>
        <v>0</v>
      </c>
      <c r="S57" s="152">
        <f ca="1">IFERROR(__xludf.DUMMYFUNCTION("IMPORTRANGE(""https://docs.google.com/spreadsheets/d/1hh-FVnSX0vozXhGluamEcS54Dw9_zqW0N7qJUWgJ0Sw/edit?usp=sharing"",""ชัยนาท!J775"")"),0)</f>
        <v>0</v>
      </c>
      <c r="T57" s="216">
        <f t="shared" ca="1" si="28"/>
        <v>0</v>
      </c>
      <c r="U57" s="152">
        <f ca="1">IFERROR(__xludf.DUMMYFUNCTION("IMPORTRANGE(""https://docs.google.com/spreadsheets/d/1hh-FVnSX0vozXhGluamEcS54Dw9_zqW0N7qJUWgJ0Sw/edit?usp=sharing"",""ชัยนาท!J776"")"),0)</f>
        <v>0</v>
      </c>
      <c r="V57" s="216">
        <f t="shared" ca="1" si="29"/>
        <v>0</v>
      </c>
      <c r="W57" s="232"/>
    </row>
    <row r="58" spans="1:23" ht="19.5" x14ac:dyDescent="0.3">
      <c r="A58" s="147">
        <v>6</v>
      </c>
      <c r="B58" s="148" t="s">
        <v>86</v>
      </c>
      <c r="C58" s="475">
        <f ca="1">IFERROR(__xludf.DUMMYFUNCTION("IMPORTRANGE(""https://docs.google.com/spreadsheets/d/1jkqa6GXxSacMcY1eN8AHjMNJ_7dDXMJVRLDlaFSOdPM/edit?usp=sharing"",""ตราด!Q760"")"),0)</f>
        <v>0</v>
      </c>
      <c r="D58" s="260">
        <f ca="1">IFERROR(__xludf.DUMMYFUNCTION("IMPORTRANGE(""https://docs.google.com/spreadsheets/d/1jkqa6GXxSacMcY1eN8AHjMNJ_7dDXMJVRLDlaFSOdPM/edit?usp=sharing"",""ตราด!R760"")"),0)</f>
        <v>0</v>
      </c>
      <c r="E58" s="475">
        <f ca="1">IFERROR(__xludf.DUMMYFUNCTION("IMPORTRANGE(""https://docs.google.com/spreadsheets/d/1jkqa6GXxSacMcY1eN8AHjMNJ_7dDXMJVRLDlaFSOdPM/edit?usp=sharing"",""ตราด!S760"")"),0)</f>
        <v>0</v>
      </c>
      <c r="F58" s="260">
        <f t="shared" ca="1" si="19"/>
        <v>0</v>
      </c>
      <c r="G58" s="260">
        <f t="shared" ca="1" si="20"/>
        <v>0</v>
      </c>
      <c r="H58" s="278">
        <v>0</v>
      </c>
      <c r="I58" s="152">
        <v>0</v>
      </c>
      <c r="J58" s="216">
        <f t="shared" si="22"/>
        <v>0</v>
      </c>
      <c r="K58" s="152">
        <f ca="1">IFERROR(__xludf.DUMMYFUNCTION("IMPORTRANGE(""https://docs.google.com/spreadsheets/d/1jkqa6GXxSacMcY1eN8AHjMNJ_7dDXMJVRLDlaFSOdPM/edit?usp=sharing"",""ตราด!I772"")"),0)</f>
        <v>0</v>
      </c>
      <c r="L58" s="152">
        <f ca="1">IFERROR(__xludf.DUMMYFUNCTION("IMPORTRANGE(""https://docs.google.com/spreadsheets/d/1jkqa6GXxSacMcY1eN8AHjMNJ_7dDXMJVRLDlaFSOdPM/edit?usp=sharing"",""ตราด!J772"")"),0)</f>
        <v>0</v>
      </c>
      <c r="M58" s="216">
        <f t="shared" ca="1" si="24"/>
        <v>0</v>
      </c>
      <c r="N58" s="152">
        <f ca="1">IFERROR(__xludf.DUMMYFUNCTION("IMPORTRANGE(""https://docs.google.com/spreadsheets/d/1jkqa6GXxSacMcY1eN8AHjMNJ_7dDXMJVRLDlaFSOdPM/edit?usp=sharing"",""ตราด!I774"")"),0)</f>
        <v>0</v>
      </c>
      <c r="O58" s="152">
        <f ca="1">IFERROR(__xludf.DUMMYFUNCTION("IMPORTRANGE(""https://docs.google.com/spreadsheets/d/1jkqa6GXxSacMcY1eN8AHjMNJ_7dDXMJVRLDlaFSOdPM/edit?usp=sharing"",""ตราด!J774"")"),0)</f>
        <v>0</v>
      </c>
      <c r="P58" s="216">
        <f t="shared" ca="1" si="26"/>
        <v>0</v>
      </c>
      <c r="Q58" s="152">
        <f ca="1">IFERROR(__xludf.DUMMYFUNCTION("IMPORTRANGE(""https://docs.google.com/spreadsheets/d/1jkqa6GXxSacMcY1eN8AHjMNJ_7dDXMJVRLDlaFSOdPM/edit?usp=sharing"",""ตราด!I775"")"),0)</f>
        <v>0</v>
      </c>
      <c r="R58" s="152">
        <f ca="1">IFERROR(__xludf.DUMMYFUNCTION("IMPORTRANGE(""https://docs.google.com/spreadsheets/d/1jkqa6GXxSacMcY1eN8AHjMNJ_7dDXMJVRLDlaFSOdPM/edit?usp=sharing"",""ตราด!I776"")"),0)</f>
        <v>0</v>
      </c>
      <c r="S58" s="152">
        <f ca="1">IFERROR(__xludf.DUMMYFUNCTION("IMPORTRANGE(""https://docs.google.com/spreadsheets/d/1jkqa6GXxSacMcY1eN8AHjMNJ_7dDXMJVRLDlaFSOdPM/edit?usp=sharing"",""ตราด!J775"")"),0)</f>
        <v>0</v>
      </c>
      <c r="T58" s="216">
        <f t="shared" ca="1" si="28"/>
        <v>0</v>
      </c>
      <c r="U58" s="152">
        <f ca="1">IFERROR(__xludf.DUMMYFUNCTION("IMPORTRANGE(""https://docs.google.com/spreadsheets/d/1jkqa6GXxSacMcY1eN8AHjMNJ_7dDXMJVRLDlaFSOdPM/edit?usp=sharing"",""ตราด!J776"")"),0)</f>
        <v>0</v>
      </c>
      <c r="V58" s="216">
        <f t="shared" ca="1" si="29"/>
        <v>0</v>
      </c>
      <c r="W58" s="232"/>
    </row>
    <row r="59" spans="1:23" ht="19.5" x14ac:dyDescent="0.3">
      <c r="A59" s="147">
        <v>7</v>
      </c>
      <c r="B59" s="148" t="s">
        <v>87</v>
      </c>
      <c r="C59" s="475">
        <f ca="1">IFERROR(__xludf.DUMMYFUNCTION("IMPORTRANGE(""https://docs.google.com/spreadsheets/d/18hSgUJ3VwClqi_qtULmmW3cLr0oe3OKaSYoKzdpTsYQ/edit?usp=sharing"",""นครนายก!Q760"")"),95360)</f>
        <v>95360</v>
      </c>
      <c r="D59" s="260">
        <f ca="1">IFERROR(__xludf.DUMMYFUNCTION("IMPORTRANGE(""https://docs.google.com/spreadsheets/d/18hSgUJ3VwClqi_qtULmmW3cLr0oe3OKaSYoKzdpTsYQ/edit?usp=sharing"",""นครนายก!R760"")"),95360)</f>
        <v>95360</v>
      </c>
      <c r="E59" s="475">
        <f ca="1">IFERROR(__xludf.DUMMYFUNCTION("IMPORTRANGE(""https://docs.google.com/spreadsheets/d/18hSgUJ3VwClqi_qtULmmW3cLr0oe3OKaSYoKzdpTsYQ/edit?usp=sharing"",""นครนายก!S760"")"),48320)</f>
        <v>48320</v>
      </c>
      <c r="F59" s="260">
        <f t="shared" ca="1" si="19"/>
        <v>50.671140939597315</v>
      </c>
      <c r="G59" s="260">
        <f t="shared" ca="1" si="20"/>
        <v>50.671140939597315</v>
      </c>
      <c r="H59" s="278">
        <v>0</v>
      </c>
      <c r="I59" s="152">
        <v>0</v>
      </c>
      <c r="J59" s="216">
        <f t="shared" si="22"/>
        <v>0</v>
      </c>
      <c r="K59" s="152">
        <f ca="1">IFERROR(__xludf.DUMMYFUNCTION("IMPORTRANGE(""https://docs.google.com/spreadsheets/d/18hSgUJ3VwClqi_qtULmmW3cLr0oe3OKaSYoKzdpTsYQ/edit?usp=sharing"",""นครนายก!I772"")"),10)</f>
        <v>10</v>
      </c>
      <c r="L59" s="152">
        <f ca="1">IFERROR(__xludf.DUMMYFUNCTION("IMPORTRANGE(""https://docs.google.com/spreadsheets/d/18hSgUJ3VwClqi_qtULmmW3cLr0oe3OKaSYoKzdpTsYQ/edit?usp=sharing"",""นครนายก!J772"")"),10)</f>
        <v>10</v>
      </c>
      <c r="M59" s="216">
        <f t="shared" ca="1" si="24"/>
        <v>100</v>
      </c>
      <c r="N59" s="152">
        <f ca="1">IFERROR(__xludf.DUMMYFUNCTION("IMPORTRANGE(""https://docs.google.com/spreadsheets/d/18hSgUJ3VwClqi_qtULmmW3cLr0oe3OKaSYoKzdpTsYQ/edit?usp=sharing"",""นครนายก!I774"")"),20)</f>
        <v>20</v>
      </c>
      <c r="O59" s="152">
        <f ca="1">IFERROR(__xludf.DUMMYFUNCTION("IMPORTRANGE(""https://docs.google.com/spreadsheets/d/18hSgUJ3VwClqi_qtULmmW3cLr0oe3OKaSYoKzdpTsYQ/edit?usp=sharing"",""นครนายก!J774"")"),20)</f>
        <v>20</v>
      </c>
      <c r="P59" s="216">
        <f t="shared" ca="1" si="26"/>
        <v>100</v>
      </c>
      <c r="Q59" s="152">
        <f ca="1">IFERROR(__xludf.DUMMYFUNCTION("IMPORTRANGE(""https://docs.google.com/spreadsheets/d/18hSgUJ3VwClqi_qtULmmW3cLr0oe3OKaSYoKzdpTsYQ/edit?usp=sharing"",""นครนายก!I775"")"),20)</f>
        <v>20</v>
      </c>
      <c r="R59" s="152">
        <f ca="1">IFERROR(__xludf.DUMMYFUNCTION("IMPORTRANGE(""https://docs.google.com/spreadsheets/d/18hSgUJ3VwClqi_qtULmmW3cLr0oe3OKaSYoKzdpTsYQ/edit?usp=sharing"",""นครนายก!I776"")"),10)</f>
        <v>10</v>
      </c>
      <c r="S59" s="152">
        <f ca="1">IFERROR(__xludf.DUMMYFUNCTION("IMPORTRANGE(""https://docs.google.com/spreadsheets/d/18hSgUJ3VwClqi_qtULmmW3cLr0oe3OKaSYoKzdpTsYQ/edit?usp=sharing"",""นครนายก!J775"")"),20)</f>
        <v>20</v>
      </c>
      <c r="T59" s="216">
        <f t="shared" ca="1" si="28"/>
        <v>100</v>
      </c>
      <c r="U59" s="152">
        <f ca="1">IFERROR(__xludf.DUMMYFUNCTION("IMPORTRANGE(""https://docs.google.com/spreadsheets/d/18hSgUJ3VwClqi_qtULmmW3cLr0oe3OKaSYoKzdpTsYQ/edit?usp=sharing"",""นครนายก!J776"")"),10)</f>
        <v>10</v>
      </c>
      <c r="V59" s="216">
        <f t="shared" ca="1" si="29"/>
        <v>100</v>
      </c>
      <c r="W59" s="232"/>
    </row>
    <row r="60" spans="1:23" ht="19.5" x14ac:dyDescent="0.3">
      <c r="A60" s="147">
        <v>8</v>
      </c>
      <c r="B60" s="148" t="s">
        <v>88</v>
      </c>
      <c r="C60" s="475">
        <f ca="1">IFERROR(__xludf.DUMMYFUNCTION("IMPORTRANGE(""https://docs.google.com/spreadsheets/d/1YTZo6WM2dQ6Ix6FSdnL5P7uVnVKu40sxZu975tgG10E/edit?usp=sharing"",""นครปฐม!Q760"")"),0)</f>
        <v>0</v>
      </c>
      <c r="D60" s="260">
        <f ca="1">IFERROR(__xludf.DUMMYFUNCTION("IMPORTRANGE(""https://docs.google.com/spreadsheets/d/1YTZo6WM2dQ6Ix6FSdnL5P7uVnVKu40sxZu975tgG10E/edit?usp=sharing"",""นครปฐม!R760"")"),0)</f>
        <v>0</v>
      </c>
      <c r="E60" s="475">
        <f ca="1">IFERROR(__xludf.DUMMYFUNCTION("IMPORTRANGE(""https://docs.google.com/spreadsheets/d/1YTZo6WM2dQ6Ix6FSdnL5P7uVnVKu40sxZu975tgG10E/edit?usp=sharing"",""นครปฐม!S760"")"),0)</f>
        <v>0</v>
      </c>
      <c r="F60" s="260">
        <f t="shared" ca="1" si="19"/>
        <v>0</v>
      </c>
      <c r="G60" s="260">
        <f t="shared" ca="1" si="20"/>
        <v>0</v>
      </c>
      <c r="H60" s="278">
        <v>0</v>
      </c>
      <c r="I60" s="152">
        <v>0</v>
      </c>
      <c r="J60" s="216">
        <f t="shared" si="22"/>
        <v>0</v>
      </c>
      <c r="K60" s="152">
        <f ca="1">IFERROR(__xludf.DUMMYFUNCTION("IMPORTRANGE(""https://docs.google.com/spreadsheets/d/1YTZo6WM2dQ6Ix6FSdnL5P7uVnVKu40sxZu975tgG10E/edit?usp=sharing"",""นครปฐม!I772"")"),0)</f>
        <v>0</v>
      </c>
      <c r="L60" s="152">
        <f ca="1">IFERROR(__xludf.DUMMYFUNCTION("IMPORTRANGE(""https://docs.google.com/spreadsheets/d/1YTZo6WM2dQ6Ix6FSdnL5P7uVnVKu40sxZu975tgG10E/edit?usp=sharing"",""นครปฐม!J772"")"),0)</f>
        <v>0</v>
      </c>
      <c r="M60" s="216">
        <f t="shared" ca="1" si="24"/>
        <v>0</v>
      </c>
      <c r="N60" s="152">
        <f ca="1">IFERROR(__xludf.DUMMYFUNCTION("IMPORTRANGE(""https://docs.google.com/spreadsheets/d/1YTZo6WM2dQ6Ix6FSdnL5P7uVnVKu40sxZu975tgG10E/edit?usp=sharing"",""นครปฐม!I774"")"),0)</f>
        <v>0</v>
      </c>
      <c r="O60" s="152">
        <f ca="1">IFERROR(__xludf.DUMMYFUNCTION("IMPORTRANGE(""https://docs.google.com/spreadsheets/d/1YTZo6WM2dQ6Ix6FSdnL5P7uVnVKu40sxZu975tgG10E/edit?usp=sharing"",""นครปฐม!J774"")"),0)</f>
        <v>0</v>
      </c>
      <c r="P60" s="216">
        <f t="shared" ca="1" si="26"/>
        <v>0</v>
      </c>
      <c r="Q60" s="152">
        <f ca="1">IFERROR(__xludf.DUMMYFUNCTION("IMPORTRANGE(""https://docs.google.com/spreadsheets/d/1YTZo6WM2dQ6Ix6FSdnL5P7uVnVKu40sxZu975tgG10E/edit?usp=sharing"",""นครปฐม!I775"")"),0)</f>
        <v>0</v>
      </c>
      <c r="R60" s="152">
        <f ca="1">IFERROR(__xludf.DUMMYFUNCTION("IMPORTRANGE(""https://docs.google.com/spreadsheets/d/1YTZo6WM2dQ6Ix6FSdnL5P7uVnVKu40sxZu975tgG10E/edit?usp=sharing"",""นครปฐม!I776"")"),0)</f>
        <v>0</v>
      </c>
      <c r="S60" s="152">
        <f ca="1">IFERROR(__xludf.DUMMYFUNCTION("IMPORTRANGE(""https://docs.google.com/spreadsheets/d/1YTZo6WM2dQ6Ix6FSdnL5P7uVnVKu40sxZu975tgG10E/edit?usp=sharing"",""นครปฐม!J775"")"),0)</f>
        <v>0</v>
      </c>
      <c r="T60" s="216">
        <f t="shared" ca="1" si="28"/>
        <v>0</v>
      </c>
      <c r="U60" s="152">
        <f ca="1">IFERROR(__xludf.DUMMYFUNCTION("IMPORTRANGE(""https://docs.google.com/spreadsheets/d/1YTZo6WM2dQ6Ix6FSdnL5P7uVnVKu40sxZu975tgG10E/edit?usp=sharing"",""นครปฐม!J776"")"),0)</f>
        <v>0</v>
      </c>
      <c r="V60" s="216">
        <f t="shared" ca="1" si="29"/>
        <v>0</v>
      </c>
      <c r="W60" s="232"/>
    </row>
    <row r="61" spans="1:23" ht="19.5" x14ac:dyDescent="0.3">
      <c r="A61" s="147">
        <v>9</v>
      </c>
      <c r="B61" s="148" t="s">
        <v>89</v>
      </c>
      <c r="C61" s="475">
        <f ca="1">IFERROR(__xludf.DUMMYFUNCTION("IMPORTRANGE(""https://docs.google.com/spreadsheets/d/1OYoGg4WDg5RIzwGeB10padOxJF9E_Vljuvvct_M7RDo/edit?usp=sharing"",""ปทุมธานี!Q760"")"),91360)</f>
        <v>91360</v>
      </c>
      <c r="D61" s="260">
        <f ca="1">IFERROR(__xludf.DUMMYFUNCTION("IMPORTRANGE(""https://docs.google.com/spreadsheets/d/1OYoGg4WDg5RIzwGeB10padOxJF9E_Vljuvvct_M7RDo/edit?usp=sharing"",""ปทุมธานี!R760"")"),91360)</f>
        <v>91360</v>
      </c>
      <c r="E61" s="475">
        <f ca="1">IFERROR(__xludf.DUMMYFUNCTION("IMPORTRANGE(""https://docs.google.com/spreadsheets/d/1OYoGg4WDg5RIzwGeB10padOxJF9E_Vljuvvct_M7RDo/edit?usp=sharing"",""ปทุมธานี!S760"")"),91160)</f>
        <v>91160</v>
      </c>
      <c r="F61" s="260">
        <f t="shared" ca="1" si="19"/>
        <v>99.781085814360765</v>
      </c>
      <c r="G61" s="260">
        <f t="shared" ca="1" si="20"/>
        <v>99.781085814360765</v>
      </c>
      <c r="H61" s="278">
        <v>0</v>
      </c>
      <c r="I61" s="152">
        <v>0</v>
      </c>
      <c r="J61" s="216">
        <f t="shared" si="22"/>
        <v>0</v>
      </c>
      <c r="K61" s="152">
        <f ca="1">IFERROR(__xludf.DUMMYFUNCTION("IMPORTRANGE(""https://docs.google.com/spreadsheets/d/1OYoGg4WDg5RIzwGeB10padOxJF9E_Vljuvvct_M7RDo/edit?usp=sharing"",""ปทุมธานี!I772"")"),10)</f>
        <v>10</v>
      </c>
      <c r="L61" s="152">
        <f ca="1">IFERROR(__xludf.DUMMYFUNCTION("IMPORTRANGE(""https://docs.google.com/spreadsheets/d/1OYoGg4WDg5RIzwGeB10padOxJF9E_Vljuvvct_M7RDo/edit?usp=sharing"",""ปทุมธานี!J772"")"),10)</f>
        <v>10</v>
      </c>
      <c r="M61" s="216">
        <f t="shared" ca="1" si="24"/>
        <v>100</v>
      </c>
      <c r="N61" s="152">
        <f ca="1">IFERROR(__xludf.DUMMYFUNCTION("IMPORTRANGE(""https://docs.google.com/spreadsheets/d/1OYoGg4WDg5RIzwGeB10padOxJF9E_Vljuvvct_M7RDo/edit?usp=sharing"",""ปทุมธานี!I774"")"),20)</f>
        <v>20</v>
      </c>
      <c r="O61" s="152">
        <f ca="1">IFERROR(__xludf.DUMMYFUNCTION("IMPORTRANGE(""https://docs.google.com/spreadsheets/d/1OYoGg4WDg5RIzwGeB10padOxJF9E_Vljuvvct_M7RDo/edit?usp=sharing"",""ปทุมธานี!J774"")"),20)</f>
        <v>20</v>
      </c>
      <c r="P61" s="216">
        <f t="shared" ca="1" si="26"/>
        <v>100</v>
      </c>
      <c r="Q61" s="152">
        <f ca="1">IFERROR(__xludf.DUMMYFUNCTION("IMPORTRANGE(""https://docs.google.com/spreadsheets/d/1OYoGg4WDg5RIzwGeB10padOxJF9E_Vljuvvct_M7RDo/edit?usp=sharing"",""ปทุมธานี!I775"")"),20)</f>
        <v>20</v>
      </c>
      <c r="R61" s="152">
        <f ca="1">IFERROR(__xludf.DUMMYFUNCTION("IMPORTRANGE(""https://docs.google.com/spreadsheets/d/1OYoGg4WDg5RIzwGeB10padOxJF9E_Vljuvvct_M7RDo/edit?usp=sharing"",""ปทุมธานี!I776"")"),10)</f>
        <v>10</v>
      </c>
      <c r="S61" s="152">
        <f ca="1">IFERROR(__xludf.DUMMYFUNCTION("IMPORTRANGE(""https://docs.google.com/spreadsheets/d/1OYoGg4WDg5RIzwGeB10padOxJF9E_Vljuvvct_M7RDo/edit?usp=sharing"",""ปทุมธานี!J775"")"),20)</f>
        <v>20</v>
      </c>
      <c r="T61" s="216">
        <f t="shared" ca="1" si="28"/>
        <v>100</v>
      </c>
      <c r="U61" s="152">
        <f ca="1">IFERROR(__xludf.DUMMYFUNCTION("IMPORTRANGE(""https://docs.google.com/spreadsheets/d/1OYoGg4WDg5RIzwGeB10padOxJF9E_Vljuvvct_M7RDo/edit?usp=sharing"",""ปทุมธานี!J776"")"),10)</f>
        <v>10</v>
      </c>
      <c r="V61" s="216">
        <f t="shared" ca="1" si="29"/>
        <v>100</v>
      </c>
      <c r="W61" s="232"/>
    </row>
    <row r="62" spans="1:23" ht="19.5" x14ac:dyDescent="0.3">
      <c r="A62" s="147">
        <v>10</v>
      </c>
      <c r="B62" s="148" t="s">
        <v>90</v>
      </c>
      <c r="C62" s="475">
        <f ca="1">IFERROR(__xludf.DUMMYFUNCTION("IMPORTRANGE(""https://docs.google.com/spreadsheets/d/1GbCIE4D4wk9FUozzqk7SxfDMxDVBwVmI5zcaVUSzKAc/edit?usp=sharing"",""ประจวบคีรีขันธ์!Q760"")"),0)</f>
        <v>0</v>
      </c>
      <c r="D62" s="260">
        <f ca="1">IFERROR(__xludf.DUMMYFUNCTION("IMPORTRANGE(""https://docs.google.com/spreadsheets/d/1GbCIE4D4wk9FUozzqk7SxfDMxDVBwVmI5zcaVUSzKAc/edit?usp=sharing"",""ประจวบคีรีขันธ์!R760"")"),0)</f>
        <v>0</v>
      </c>
      <c r="E62" s="475">
        <f ca="1">IFERROR(__xludf.DUMMYFUNCTION("IMPORTRANGE(""https://docs.google.com/spreadsheets/d/1GbCIE4D4wk9FUozzqk7SxfDMxDVBwVmI5zcaVUSzKAc/edit?usp=sharing"",""ประจวบคีรีขันธ์!S760"")"),0)</f>
        <v>0</v>
      </c>
      <c r="F62" s="260">
        <f t="shared" ca="1" si="19"/>
        <v>0</v>
      </c>
      <c r="G62" s="260">
        <f t="shared" ca="1" si="20"/>
        <v>0</v>
      </c>
      <c r="H62" s="278">
        <v>0</v>
      </c>
      <c r="I62" s="152">
        <v>0</v>
      </c>
      <c r="J62" s="216">
        <f t="shared" si="22"/>
        <v>0</v>
      </c>
      <c r="K62" s="152">
        <f ca="1">IFERROR(__xludf.DUMMYFUNCTION("IMPORTRANGE(""https://docs.google.com/spreadsheets/d/1GbCIE4D4wk9FUozzqk7SxfDMxDVBwVmI5zcaVUSzKAc/edit?usp=sharing"",""ประจวบคีรีขันธ์!I772"")"),0)</f>
        <v>0</v>
      </c>
      <c r="L62" s="152">
        <f ca="1">IFERROR(__xludf.DUMMYFUNCTION("IMPORTRANGE(""https://docs.google.com/spreadsheets/d/1GbCIE4D4wk9FUozzqk7SxfDMxDVBwVmI5zcaVUSzKAc/edit?usp=sharing"",""ประจวบคีรีขันธ์!J772"")"),0)</f>
        <v>0</v>
      </c>
      <c r="M62" s="216">
        <f t="shared" ca="1" si="24"/>
        <v>0</v>
      </c>
      <c r="N62" s="152">
        <f ca="1">IFERROR(__xludf.DUMMYFUNCTION("IMPORTRANGE(""https://docs.google.com/spreadsheets/d/1GbCIE4D4wk9FUozzqk7SxfDMxDVBwVmI5zcaVUSzKAc/edit?usp=sharing"",""ประจวบคีรีขันธ์!I774"")"),0)</f>
        <v>0</v>
      </c>
      <c r="O62" s="152">
        <f ca="1">IFERROR(__xludf.DUMMYFUNCTION("IMPORTRANGE(""https://docs.google.com/spreadsheets/d/1GbCIE4D4wk9FUozzqk7SxfDMxDVBwVmI5zcaVUSzKAc/edit?usp=sharing"",""ประจวบคีรีขันธ์!J774"")"),0)</f>
        <v>0</v>
      </c>
      <c r="P62" s="216">
        <f t="shared" ca="1" si="26"/>
        <v>0</v>
      </c>
      <c r="Q62" s="152">
        <f ca="1">IFERROR(__xludf.DUMMYFUNCTION("IMPORTRANGE(""https://docs.google.com/spreadsheets/d/1GbCIE4D4wk9FUozzqk7SxfDMxDVBwVmI5zcaVUSzKAc/edit?usp=sharing"",""ประจวบคีรีขันธ์!I775"")"),0)</f>
        <v>0</v>
      </c>
      <c r="R62" s="152">
        <f ca="1">IFERROR(__xludf.DUMMYFUNCTION("IMPORTRANGE(""https://docs.google.com/spreadsheets/d/1GbCIE4D4wk9FUozzqk7SxfDMxDVBwVmI5zcaVUSzKAc/edit?usp=sharing"",""ประจวบคีรีขันธ์!I776"")"),0)</f>
        <v>0</v>
      </c>
      <c r="S62" s="152">
        <f ca="1">IFERROR(__xludf.DUMMYFUNCTION("IMPORTRANGE(""https://docs.google.com/spreadsheets/d/1GbCIE4D4wk9FUozzqk7SxfDMxDVBwVmI5zcaVUSzKAc/edit?usp=sharing"",""ประจวบคีรีขันธ์!J775"")"),0)</f>
        <v>0</v>
      </c>
      <c r="T62" s="216">
        <f t="shared" ca="1" si="28"/>
        <v>0</v>
      </c>
      <c r="U62" s="152">
        <f ca="1">IFERROR(__xludf.DUMMYFUNCTION("IMPORTRANGE(""https://docs.google.com/spreadsheets/d/1GbCIE4D4wk9FUozzqk7SxfDMxDVBwVmI5zcaVUSzKAc/edit?usp=sharing"",""ประจวบคีรีขันธ์!J776"")"),0)</f>
        <v>0</v>
      </c>
      <c r="V62" s="216">
        <f t="shared" ca="1" si="29"/>
        <v>0</v>
      </c>
      <c r="W62" s="232"/>
    </row>
    <row r="63" spans="1:23" ht="19.5" x14ac:dyDescent="0.3">
      <c r="A63" s="147">
        <v>11</v>
      </c>
      <c r="B63" s="148" t="s">
        <v>91</v>
      </c>
      <c r="C63" s="475">
        <f ca="1">IFERROR(__xludf.DUMMYFUNCTION("IMPORTRANGE(""https://docs.google.com/spreadsheets/d/1vVf6wykvW_lAyu7Yo9L4hUTqHqIeP_qcVuxCtosJEbg/edit?usp=sharing"",""ปราจีนบุรี!Q760"")"),438800)</f>
        <v>438800</v>
      </c>
      <c r="D63" s="260">
        <f ca="1">IFERROR(__xludf.DUMMYFUNCTION("IMPORTRANGE(""https://docs.google.com/spreadsheets/d/1vVf6wykvW_lAyu7Yo9L4hUTqHqIeP_qcVuxCtosJEbg/edit?usp=sharing"",""ปราจีนบุรี!R760"")"),438800)</f>
        <v>438800</v>
      </c>
      <c r="E63" s="475">
        <f ca="1">IFERROR(__xludf.DUMMYFUNCTION("IMPORTRANGE(""https://docs.google.com/spreadsheets/d/1vVf6wykvW_lAyu7Yo9L4hUTqHqIeP_qcVuxCtosJEbg/edit?usp=sharing"",""ปราจีนบุรี!S760"")"),398424)</f>
        <v>398424</v>
      </c>
      <c r="F63" s="260">
        <f t="shared" ca="1" si="19"/>
        <v>90.798541476754792</v>
      </c>
      <c r="G63" s="260">
        <f t="shared" ca="1" si="20"/>
        <v>90.798541476754792</v>
      </c>
      <c r="H63" s="278">
        <v>0</v>
      </c>
      <c r="I63" s="152">
        <v>0</v>
      </c>
      <c r="J63" s="216">
        <f t="shared" si="22"/>
        <v>0</v>
      </c>
      <c r="K63" s="152">
        <f ca="1">IFERROR(__xludf.DUMMYFUNCTION("IMPORTRANGE(""https://docs.google.com/spreadsheets/d/1vVf6wykvW_lAyu7Yo9L4hUTqHqIeP_qcVuxCtosJEbg/edit?usp=sharing"",""ปราจีนบุรี!I772"")"),50)</f>
        <v>50</v>
      </c>
      <c r="L63" s="152">
        <f ca="1">IFERROR(__xludf.DUMMYFUNCTION("IMPORTRANGE(""https://docs.google.com/spreadsheets/d/1vVf6wykvW_lAyu7Yo9L4hUTqHqIeP_qcVuxCtosJEbg/edit?usp=sharing"",""ปราจีนบุรี!J772"")"),0)</f>
        <v>0</v>
      </c>
      <c r="M63" s="216">
        <f t="shared" ca="1" si="24"/>
        <v>0</v>
      </c>
      <c r="N63" s="152">
        <f ca="1">IFERROR(__xludf.DUMMYFUNCTION("IMPORTRANGE(""https://docs.google.com/spreadsheets/d/1vVf6wykvW_lAyu7Yo9L4hUTqHqIeP_qcVuxCtosJEbg/edit?usp=sharing"",""ปราจีนบุรี!I774"")"),150)</f>
        <v>150</v>
      </c>
      <c r="O63" s="152">
        <f ca="1">IFERROR(__xludf.DUMMYFUNCTION("IMPORTRANGE(""https://docs.google.com/spreadsheets/d/1vVf6wykvW_lAyu7Yo9L4hUTqHqIeP_qcVuxCtosJEbg/edit?usp=sharing"",""ปราจีนบุรี!J774"")"),0)</f>
        <v>0</v>
      </c>
      <c r="P63" s="216">
        <f t="shared" ca="1" si="26"/>
        <v>0</v>
      </c>
      <c r="Q63" s="152">
        <f ca="1">IFERROR(__xludf.DUMMYFUNCTION("IMPORTRANGE(""https://docs.google.com/spreadsheets/d/1vVf6wykvW_lAyu7Yo9L4hUTqHqIeP_qcVuxCtosJEbg/edit?usp=sharing"",""ปราจีนบุรี!I775"")"),150)</f>
        <v>150</v>
      </c>
      <c r="R63" s="152">
        <f ca="1">IFERROR(__xludf.DUMMYFUNCTION("IMPORTRANGE(""https://docs.google.com/spreadsheets/d/1vVf6wykvW_lAyu7Yo9L4hUTqHqIeP_qcVuxCtosJEbg/edit?usp=sharing"",""ปราจีนบุรี!I776"")"),50)</f>
        <v>50</v>
      </c>
      <c r="S63" s="152">
        <f ca="1">IFERROR(__xludf.DUMMYFUNCTION("IMPORTRANGE(""https://docs.google.com/spreadsheets/d/1vVf6wykvW_lAyu7Yo9L4hUTqHqIeP_qcVuxCtosJEbg/edit?usp=sharing"",""ปราจีนบุรี!J775"")"),0)</f>
        <v>0</v>
      </c>
      <c r="T63" s="216">
        <f t="shared" ca="1" si="28"/>
        <v>0</v>
      </c>
      <c r="U63" s="152">
        <f ca="1">IFERROR(__xludf.DUMMYFUNCTION("IMPORTRANGE(""https://docs.google.com/spreadsheets/d/1vVf6wykvW_lAyu7Yo9L4hUTqHqIeP_qcVuxCtosJEbg/edit?usp=sharing"",""ปราจีนบุรี!J776"")"),0)</f>
        <v>0</v>
      </c>
      <c r="V63" s="216">
        <f t="shared" ca="1" si="29"/>
        <v>0</v>
      </c>
      <c r="W63" s="232"/>
    </row>
    <row r="64" spans="1:23" ht="19.5" x14ac:dyDescent="0.3">
      <c r="A64" s="147">
        <v>12</v>
      </c>
      <c r="B64" s="148" t="s">
        <v>92</v>
      </c>
      <c r="C64" s="475">
        <f ca="1">IFERROR(__xludf.DUMMYFUNCTION("IMPORTRANGE(""https://docs.google.com/spreadsheets/d/1BIDqLLg5jk3v59G8NlR8rk5xfQDKne0sAvZHSj7TI6I/edit?usp=sharing"",""พระนครศรีอยุธยา!Q760"")"),0)</f>
        <v>0</v>
      </c>
      <c r="D64" s="260">
        <f ca="1">IFERROR(__xludf.DUMMYFUNCTION("IMPORTRANGE(""https://docs.google.com/spreadsheets/d/1BIDqLLg5jk3v59G8NlR8rk5xfQDKne0sAvZHSj7TI6I/edit?usp=sharing"",""พระนครศรีอยุธยา!R760"")"),0)</f>
        <v>0</v>
      </c>
      <c r="E64" s="475">
        <f ca="1">IFERROR(__xludf.DUMMYFUNCTION("IMPORTRANGE(""https://docs.google.com/spreadsheets/d/1BIDqLLg5jk3v59G8NlR8rk5xfQDKne0sAvZHSj7TI6I/edit?usp=sharing"",""พระนครศรีอยุธยา!S760"")"),0)</f>
        <v>0</v>
      </c>
      <c r="F64" s="260">
        <f t="shared" ca="1" si="19"/>
        <v>0</v>
      </c>
      <c r="G64" s="260">
        <f t="shared" ca="1" si="20"/>
        <v>0</v>
      </c>
      <c r="H64" s="278">
        <v>0</v>
      </c>
      <c r="I64" s="152">
        <v>0</v>
      </c>
      <c r="J64" s="216">
        <f t="shared" si="22"/>
        <v>0</v>
      </c>
      <c r="K64" s="152">
        <f ca="1">IFERROR(__xludf.DUMMYFUNCTION("IMPORTRANGE(""https://docs.google.com/spreadsheets/d/1BIDqLLg5jk3v59G8NlR8rk5xfQDKne0sAvZHSj7TI6I/edit?usp=sharing"",""พระนครศรีอยุธยา!I772"")"),0)</f>
        <v>0</v>
      </c>
      <c r="L64" s="152">
        <f ca="1">IFERROR(__xludf.DUMMYFUNCTION("IMPORTRANGE(""https://docs.google.com/spreadsheets/d/1BIDqLLg5jk3v59G8NlR8rk5xfQDKne0sAvZHSj7TI6I/edit?usp=sharing"",""พระนครศรีอยุธยา!J772"")"),0)</f>
        <v>0</v>
      </c>
      <c r="M64" s="216">
        <f t="shared" ca="1" si="24"/>
        <v>0</v>
      </c>
      <c r="N64" s="152">
        <f ca="1">IFERROR(__xludf.DUMMYFUNCTION("IMPORTRANGE(""https://docs.google.com/spreadsheets/d/1BIDqLLg5jk3v59G8NlR8rk5xfQDKne0sAvZHSj7TI6I/edit?usp=sharing"",""พระนครศรีอยุธยา!I774"")"),0)</f>
        <v>0</v>
      </c>
      <c r="O64" s="152">
        <f ca="1">IFERROR(__xludf.DUMMYFUNCTION("IMPORTRANGE(""https://docs.google.com/spreadsheets/d/1BIDqLLg5jk3v59G8NlR8rk5xfQDKne0sAvZHSj7TI6I/edit?usp=sharing"",""พระนครศรีอยุธยา!J774"")"),0)</f>
        <v>0</v>
      </c>
      <c r="P64" s="216">
        <f t="shared" ca="1" si="26"/>
        <v>0</v>
      </c>
      <c r="Q64" s="152">
        <f ca="1">IFERROR(__xludf.DUMMYFUNCTION("IMPORTRANGE(""https://docs.google.com/spreadsheets/d/1BIDqLLg5jk3v59G8NlR8rk5xfQDKne0sAvZHSj7TI6I/edit?usp=sharing"",""พระนครศรีอยุธยา!I775"")"),0)</f>
        <v>0</v>
      </c>
      <c r="R64" s="152">
        <f ca="1">IFERROR(__xludf.DUMMYFUNCTION("IMPORTRANGE(""https://docs.google.com/spreadsheets/d/1BIDqLLg5jk3v59G8NlR8rk5xfQDKne0sAvZHSj7TI6I/edit?usp=sharing"",""พระนครศรีอยุธยา!I776"")"),0)</f>
        <v>0</v>
      </c>
      <c r="S64" s="152">
        <f ca="1">IFERROR(__xludf.DUMMYFUNCTION("IMPORTRANGE(""https://docs.google.com/spreadsheets/d/1BIDqLLg5jk3v59G8NlR8rk5xfQDKne0sAvZHSj7TI6I/edit?usp=sharing"",""พระนครศรีอยุธยา!J775"")"),0)</f>
        <v>0</v>
      </c>
      <c r="T64" s="216">
        <f t="shared" ca="1" si="28"/>
        <v>0</v>
      </c>
      <c r="U64" s="152">
        <f ca="1">IFERROR(__xludf.DUMMYFUNCTION("IMPORTRANGE(""https://docs.google.com/spreadsheets/d/1BIDqLLg5jk3v59G8NlR8rk5xfQDKne0sAvZHSj7TI6I/edit?usp=sharing"",""พระนครศรีอยุธยา!J776"")"),0)</f>
        <v>0</v>
      </c>
      <c r="V64" s="216">
        <f t="shared" ca="1" si="29"/>
        <v>0</v>
      </c>
      <c r="W64" s="232"/>
    </row>
    <row r="65" spans="1:23" ht="19.5" x14ac:dyDescent="0.3">
      <c r="A65" s="147">
        <v>13</v>
      </c>
      <c r="B65" s="148" t="s">
        <v>93</v>
      </c>
      <c r="C65" s="475">
        <f ca="1">IFERROR(__xludf.DUMMYFUNCTION("IMPORTRANGE(""https://docs.google.com/spreadsheets/d/1YXvxf8Yu6_rV4hTBrwMqAcAnv6DfhUxh5emyM3CJp_w/edit?usp=sharing"",""เพชรบุรี!Q760"")"),0)</f>
        <v>0</v>
      </c>
      <c r="D65" s="260">
        <f ca="1">IFERROR(__xludf.DUMMYFUNCTION("IMPORTRANGE(""https://docs.google.com/spreadsheets/d/1YXvxf8Yu6_rV4hTBrwMqAcAnv6DfhUxh5emyM3CJp_w/edit?usp=sharing"",""เพชรบุรี!R760"")"),0)</f>
        <v>0</v>
      </c>
      <c r="E65" s="475">
        <f ca="1">IFERROR(__xludf.DUMMYFUNCTION("IMPORTRANGE(""https://docs.google.com/spreadsheets/d/1YXvxf8Yu6_rV4hTBrwMqAcAnv6DfhUxh5emyM3CJp_w/edit?usp=sharing"",""เพชรบุรี!S760"")"),0)</f>
        <v>0</v>
      </c>
      <c r="F65" s="260">
        <f t="shared" ca="1" si="19"/>
        <v>0</v>
      </c>
      <c r="G65" s="260">
        <f t="shared" ca="1" si="20"/>
        <v>0</v>
      </c>
      <c r="H65" s="278">
        <v>0</v>
      </c>
      <c r="I65" s="152">
        <v>0</v>
      </c>
      <c r="J65" s="216">
        <f t="shared" si="22"/>
        <v>0</v>
      </c>
      <c r="K65" s="152">
        <f ca="1">IFERROR(__xludf.DUMMYFUNCTION("IMPORTRANGE(""https://docs.google.com/spreadsheets/d/1YXvxf8Yu6_rV4hTBrwMqAcAnv6DfhUxh5emyM3CJp_w/edit?usp=sharing"",""เพชรบุรี!I772"")"),0)</f>
        <v>0</v>
      </c>
      <c r="L65" s="152">
        <f ca="1">IFERROR(__xludf.DUMMYFUNCTION("IMPORTRANGE(""https://docs.google.com/spreadsheets/d/1YXvxf8Yu6_rV4hTBrwMqAcAnv6DfhUxh5emyM3CJp_w/edit?usp=sharing"",""เพชรบุรี!J772"")"),0)</f>
        <v>0</v>
      </c>
      <c r="M65" s="216">
        <f t="shared" ca="1" si="24"/>
        <v>0</v>
      </c>
      <c r="N65" s="152">
        <f ca="1">IFERROR(__xludf.DUMMYFUNCTION("IMPORTRANGE(""https://docs.google.com/spreadsheets/d/1YXvxf8Yu6_rV4hTBrwMqAcAnv6DfhUxh5emyM3CJp_w/edit?usp=sharing"",""เพชรบุรี!I774"")"),0)</f>
        <v>0</v>
      </c>
      <c r="O65" s="152">
        <f ca="1">IFERROR(__xludf.DUMMYFUNCTION("IMPORTRANGE(""https://docs.google.com/spreadsheets/d/1YXvxf8Yu6_rV4hTBrwMqAcAnv6DfhUxh5emyM3CJp_w/edit?usp=sharing"",""เพชรบุรี!J774"")"),0)</f>
        <v>0</v>
      </c>
      <c r="P65" s="216">
        <f t="shared" ca="1" si="26"/>
        <v>0</v>
      </c>
      <c r="Q65" s="152">
        <f ca="1">IFERROR(__xludf.DUMMYFUNCTION("IMPORTRANGE(""https://docs.google.com/spreadsheets/d/1YXvxf8Yu6_rV4hTBrwMqAcAnv6DfhUxh5emyM3CJp_w/edit?usp=sharing"",""เพชรบุรี!I775"")"),0)</f>
        <v>0</v>
      </c>
      <c r="R65" s="152">
        <f ca="1">IFERROR(__xludf.DUMMYFUNCTION("IMPORTRANGE(""https://docs.google.com/spreadsheets/d/1YXvxf8Yu6_rV4hTBrwMqAcAnv6DfhUxh5emyM3CJp_w/edit?usp=sharing"",""เพชรบุรี!I776"")"),0)</f>
        <v>0</v>
      </c>
      <c r="S65" s="152">
        <f ca="1">IFERROR(__xludf.DUMMYFUNCTION("IMPORTRANGE(""https://docs.google.com/spreadsheets/d/1YXvxf8Yu6_rV4hTBrwMqAcAnv6DfhUxh5emyM3CJp_w/edit?usp=sharing"",""เพชรบุรี!J775"")"),0)</f>
        <v>0</v>
      </c>
      <c r="T65" s="216">
        <f t="shared" ca="1" si="28"/>
        <v>0</v>
      </c>
      <c r="U65" s="152">
        <f ca="1">IFERROR(__xludf.DUMMYFUNCTION("IMPORTRANGE(""https://docs.google.com/spreadsheets/d/1YXvxf8Yu6_rV4hTBrwMqAcAnv6DfhUxh5emyM3CJp_w/edit?usp=sharing"",""เพชรบุรี!J776"")"),0)</f>
        <v>0</v>
      </c>
      <c r="V65" s="216">
        <f t="shared" ca="1" si="29"/>
        <v>0</v>
      </c>
      <c r="W65" s="232"/>
    </row>
    <row r="66" spans="1:23" ht="19.5" x14ac:dyDescent="0.3">
      <c r="A66" s="147">
        <v>14</v>
      </c>
      <c r="B66" s="148" t="s">
        <v>94</v>
      </c>
      <c r="C66" s="475">
        <f ca="1">IFERROR(__xludf.DUMMYFUNCTION("IMPORTRANGE(""https://docs.google.com/spreadsheets/d/19KBlQQs7uwvsao6t2n-KvW3Ax8J8uRRfZPq1zPbXgKc/edit?usp=sharing"",""ระยอง!Q760"")"),330680)</f>
        <v>330680</v>
      </c>
      <c r="D66" s="260">
        <f ca="1">IFERROR(__xludf.DUMMYFUNCTION("IMPORTRANGE(""https://docs.google.com/spreadsheets/d/19KBlQQs7uwvsao6t2n-KvW3Ax8J8uRRfZPq1zPbXgKc/edit?usp=sharing"",""ระยอง!R760"")"),330680)</f>
        <v>330680</v>
      </c>
      <c r="E66" s="475">
        <f ca="1">IFERROR(__xludf.DUMMYFUNCTION("IMPORTRANGE(""https://docs.google.com/spreadsheets/d/19KBlQQs7uwvsao6t2n-KvW3Ax8J8uRRfZPq1zPbXgKc/edit?usp=sharing"",""ระยอง!S760"")"),244086)</f>
        <v>244086</v>
      </c>
      <c r="F66" s="260">
        <f t="shared" ca="1" si="19"/>
        <v>73.813354300229832</v>
      </c>
      <c r="G66" s="260">
        <f t="shared" ca="1" si="20"/>
        <v>73.813354300229832</v>
      </c>
      <c r="H66" s="278">
        <v>0</v>
      </c>
      <c r="I66" s="152">
        <v>0</v>
      </c>
      <c r="J66" s="216">
        <f t="shared" si="22"/>
        <v>0</v>
      </c>
      <c r="K66" s="152">
        <f ca="1">IFERROR(__xludf.DUMMYFUNCTION("IMPORTRANGE(""https://docs.google.com/spreadsheets/d/19KBlQQs7uwvsao6t2n-KvW3Ax8J8uRRfZPq1zPbXgKc/edit?usp=sharing"",""ระยอง!I772"")"),30)</f>
        <v>30</v>
      </c>
      <c r="L66" s="152">
        <f ca="1">IFERROR(__xludf.DUMMYFUNCTION("IMPORTRANGE(""https://docs.google.com/spreadsheets/d/19KBlQQs7uwvsao6t2n-KvW3Ax8J8uRRfZPq1zPbXgKc/edit?usp=sharing"",""ระยอง!J772"")"),30)</f>
        <v>30</v>
      </c>
      <c r="M66" s="216">
        <f t="shared" ca="1" si="24"/>
        <v>100</v>
      </c>
      <c r="N66" s="152">
        <f ca="1">IFERROR(__xludf.DUMMYFUNCTION("IMPORTRANGE(""https://docs.google.com/spreadsheets/d/19KBlQQs7uwvsao6t2n-KvW3Ax8J8uRRfZPq1zPbXgKc/edit?usp=sharing"",""ระยอง!I774"")"),100)</f>
        <v>100</v>
      </c>
      <c r="O66" s="152">
        <f ca="1">IFERROR(__xludf.DUMMYFUNCTION("IMPORTRANGE(""https://docs.google.com/spreadsheets/d/19KBlQQs7uwvsao6t2n-KvW3Ax8J8uRRfZPq1zPbXgKc/edit?usp=sharing"",""ระยอง!J774"")"),100)</f>
        <v>100</v>
      </c>
      <c r="P66" s="216">
        <f t="shared" ca="1" si="26"/>
        <v>100</v>
      </c>
      <c r="Q66" s="152">
        <f ca="1">IFERROR(__xludf.DUMMYFUNCTION("IMPORTRANGE(""https://docs.google.com/spreadsheets/d/19KBlQQs7uwvsao6t2n-KvW3Ax8J8uRRfZPq1zPbXgKc/edit?usp=sharing"",""ระยอง!I775"")"),100)</f>
        <v>100</v>
      </c>
      <c r="R66" s="152">
        <f ca="1">IFERROR(__xludf.DUMMYFUNCTION("IMPORTRANGE(""https://docs.google.com/spreadsheets/d/19KBlQQs7uwvsao6t2n-KvW3Ax8J8uRRfZPq1zPbXgKc/edit?usp=sharing"",""ระยอง!I776"")"),30)</f>
        <v>30</v>
      </c>
      <c r="S66" s="152">
        <f ca="1">IFERROR(__xludf.DUMMYFUNCTION("IMPORTRANGE(""https://docs.google.com/spreadsheets/d/19KBlQQs7uwvsao6t2n-KvW3Ax8J8uRRfZPq1zPbXgKc/edit?usp=sharing"",""ระยอง!J775"")"),100)</f>
        <v>100</v>
      </c>
      <c r="T66" s="216">
        <f t="shared" ca="1" si="28"/>
        <v>100</v>
      </c>
      <c r="U66" s="152">
        <f ca="1">IFERROR(__xludf.DUMMYFUNCTION("IMPORTRANGE(""https://docs.google.com/spreadsheets/d/19KBlQQs7uwvsao6t2n-KvW3Ax8J8uRRfZPq1zPbXgKc/edit?usp=sharing"",""ระยอง!J776"")"),30)</f>
        <v>30</v>
      </c>
      <c r="V66" s="216">
        <f t="shared" ca="1" si="29"/>
        <v>100</v>
      </c>
      <c r="W66" s="232"/>
    </row>
    <row r="67" spans="1:23" ht="19.5" x14ac:dyDescent="0.3">
      <c r="A67" s="147">
        <v>15</v>
      </c>
      <c r="B67" s="148" t="s">
        <v>95</v>
      </c>
      <c r="C67" s="475">
        <f ca="1">IFERROR(__xludf.DUMMYFUNCTION("IMPORTRANGE(""https://docs.google.com/spreadsheets/d/1jQ6P4QcrGM89YfqcC_PxOHGCMq5ezhucwJd8ci-NHng/edit?usp=sharing"",""ราชบุรี!Q760"")"),0)</f>
        <v>0</v>
      </c>
      <c r="D67" s="260">
        <f ca="1">IFERROR(__xludf.DUMMYFUNCTION("IMPORTRANGE(""https://docs.google.com/spreadsheets/d/1jQ6P4QcrGM89YfqcC_PxOHGCMq5ezhucwJd8ci-NHng/edit?usp=sharing"",""ราชบุรี!R760"")"),0)</f>
        <v>0</v>
      </c>
      <c r="E67" s="475">
        <f ca="1">IFERROR(__xludf.DUMMYFUNCTION("IMPORTRANGE(""https://docs.google.com/spreadsheets/d/1jQ6P4QcrGM89YfqcC_PxOHGCMq5ezhucwJd8ci-NHng/edit?usp=sharing"",""ราชบุรี!S760"")"),0)</f>
        <v>0</v>
      </c>
      <c r="F67" s="260">
        <f t="shared" ca="1" si="19"/>
        <v>0</v>
      </c>
      <c r="G67" s="260">
        <f t="shared" ca="1" si="20"/>
        <v>0</v>
      </c>
      <c r="H67" s="278">
        <v>0</v>
      </c>
      <c r="I67" s="152">
        <v>0</v>
      </c>
      <c r="J67" s="216">
        <f t="shared" si="22"/>
        <v>0</v>
      </c>
      <c r="K67" s="152">
        <f ca="1">IFERROR(__xludf.DUMMYFUNCTION("IMPORTRANGE(""https://docs.google.com/spreadsheets/d/1jQ6P4QcrGM89YfqcC_PxOHGCMq5ezhucwJd8ci-NHng/edit?usp=sharing"",""ราชบุรี!I772"")"),0)</f>
        <v>0</v>
      </c>
      <c r="L67" s="152">
        <f ca="1">IFERROR(__xludf.DUMMYFUNCTION("IMPORTRANGE(""https://docs.google.com/spreadsheets/d/1jQ6P4QcrGM89YfqcC_PxOHGCMq5ezhucwJd8ci-NHng/edit?usp=sharing"",""ราชบุรี!J772"")"),0)</f>
        <v>0</v>
      </c>
      <c r="M67" s="216">
        <f t="shared" ca="1" si="24"/>
        <v>0</v>
      </c>
      <c r="N67" s="152">
        <f ca="1">IFERROR(__xludf.DUMMYFUNCTION("IMPORTRANGE(""https://docs.google.com/spreadsheets/d/1jQ6P4QcrGM89YfqcC_PxOHGCMq5ezhucwJd8ci-NHng/edit?usp=sharing"",""ราชบุรี!I774"")"),0)</f>
        <v>0</v>
      </c>
      <c r="O67" s="152">
        <f ca="1">IFERROR(__xludf.DUMMYFUNCTION("IMPORTRANGE(""https://docs.google.com/spreadsheets/d/1jQ6P4QcrGM89YfqcC_PxOHGCMq5ezhucwJd8ci-NHng/edit?usp=sharing"",""ราชบุรี!J774"")"),0)</f>
        <v>0</v>
      </c>
      <c r="P67" s="216">
        <f t="shared" ca="1" si="26"/>
        <v>0</v>
      </c>
      <c r="Q67" s="152">
        <f ca="1">IFERROR(__xludf.DUMMYFUNCTION("IMPORTRANGE(""https://docs.google.com/spreadsheets/d/1jQ6P4QcrGM89YfqcC_PxOHGCMq5ezhucwJd8ci-NHng/edit?usp=sharing"",""ราชบุรี!I775"")"),0)</f>
        <v>0</v>
      </c>
      <c r="R67" s="152">
        <f ca="1">IFERROR(__xludf.DUMMYFUNCTION("IMPORTRANGE(""https://docs.google.com/spreadsheets/d/1jQ6P4QcrGM89YfqcC_PxOHGCMq5ezhucwJd8ci-NHng/edit?usp=sharing"",""ราชบุรี!I776"")"),0)</f>
        <v>0</v>
      </c>
      <c r="S67" s="152">
        <f ca="1">IFERROR(__xludf.DUMMYFUNCTION("IMPORTRANGE(""https://docs.google.com/spreadsheets/d/1jQ6P4QcrGM89YfqcC_PxOHGCMq5ezhucwJd8ci-NHng/edit?usp=sharing"",""ราชบุรี!J775"")"),0)</f>
        <v>0</v>
      </c>
      <c r="T67" s="216">
        <f t="shared" ca="1" si="28"/>
        <v>0</v>
      </c>
      <c r="U67" s="152">
        <f ca="1">IFERROR(__xludf.DUMMYFUNCTION("IMPORTRANGE(""https://docs.google.com/spreadsheets/d/1jQ6P4QcrGM89YfqcC_PxOHGCMq5ezhucwJd8ci-NHng/edit?usp=sharing"",""ราชบุรี!J776"")"),0)</f>
        <v>0</v>
      </c>
      <c r="V67" s="216">
        <f t="shared" ca="1" si="29"/>
        <v>0</v>
      </c>
      <c r="W67" s="232"/>
    </row>
    <row r="68" spans="1:23" ht="19.5" x14ac:dyDescent="0.3">
      <c r="A68" s="147">
        <v>16</v>
      </c>
      <c r="B68" s="148" t="s">
        <v>96</v>
      </c>
      <c r="C68" s="475">
        <f ca="1">IFERROR(__xludf.DUMMYFUNCTION("IMPORTRANGE(""https://docs.google.com/spreadsheets/d/1lufeA2cfFqM-elVq2hznhDzC6Pr7wkJ9ZG_sYNGCMCU/edit?usp=sharing"",""ลพบุรี!Q760"")"),413100)</f>
        <v>413100</v>
      </c>
      <c r="D68" s="260">
        <f ca="1">IFERROR(__xludf.DUMMYFUNCTION("IMPORTRANGE(""https://docs.google.com/spreadsheets/d/1lufeA2cfFqM-elVq2hznhDzC6Pr7wkJ9ZG_sYNGCMCU/edit?usp=sharing"",""ลพบุรี!R760"")"),413100)</f>
        <v>413100</v>
      </c>
      <c r="E68" s="475">
        <f ca="1">IFERROR(__xludf.DUMMYFUNCTION("IMPORTRANGE(""https://docs.google.com/spreadsheets/d/1lufeA2cfFqM-elVq2hznhDzC6Pr7wkJ9ZG_sYNGCMCU/edit?usp=sharing"",""ลพบุรี!S760"")"),241280)</f>
        <v>241280</v>
      </c>
      <c r="F68" s="260">
        <f t="shared" ca="1" si="19"/>
        <v>58.407165335269909</v>
      </c>
      <c r="G68" s="260">
        <f t="shared" ca="1" si="20"/>
        <v>58.407165335269909</v>
      </c>
      <c r="H68" s="278">
        <v>0</v>
      </c>
      <c r="I68" s="152">
        <v>0</v>
      </c>
      <c r="J68" s="216">
        <f t="shared" si="22"/>
        <v>0</v>
      </c>
      <c r="K68" s="152">
        <f ca="1">IFERROR(__xludf.DUMMYFUNCTION("IMPORTRANGE(""https://docs.google.com/spreadsheets/d/1lufeA2cfFqM-elVq2hznhDzC6Pr7wkJ9ZG_sYNGCMCU/edit?usp=sharing"",""ลพบุรี!I772"")"),60)</f>
        <v>60</v>
      </c>
      <c r="L68" s="152">
        <f ca="1">IFERROR(__xludf.DUMMYFUNCTION("IMPORTRANGE(""https://docs.google.com/spreadsheets/d/1lufeA2cfFqM-elVq2hznhDzC6Pr7wkJ9ZG_sYNGCMCU/edit?usp=sharing"",""ลพบุรี!J772"")"),20)</f>
        <v>20</v>
      </c>
      <c r="M68" s="216">
        <f t="shared" ca="1" si="24"/>
        <v>33.333333333333336</v>
      </c>
      <c r="N68" s="152">
        <f ca="1">IFERROR(__xludf.DUMMYFUNCTION("IMPORTRANGE(""https://docs.google.com/spreadsheets/d/1lufeA2cfFqM-elVq2hznhDzC6Pr7wkJ9ZG_sYNGCMCU/edit?usp=sharing"",""ลพบุรี!I774"")"),105)</f>
        <v>105</v>
      </c>
      <c r="O68" s="152">
        <f ca="1">IFERROR(__xludf.DUMMYFUNCTION("IMPORTRANGE(""https://docs.google.com/spreadsheets/d/1lufeA2cfFqM-elVq2hznhDzC6Pr7wkJ9ZG_sYNGCMCU/edit?usp=sharing"",""ลพบุรี!J774"")"),40)</f>
        <v>40</v>
      </c>
      <c r="P68" s="216">
        <f t="shared" ca="1" si="26"/>
        <v>38.095238095238095</v>
      </c>
      <c r="Q68" s="152">
        <f ca="1">IFERROR(__xludf.DUMMYFUNCTION("IMPORTRANGE(""https://docs.google.com/spreadsheets/d/1lufeA2cfFqM-elVq2hznhDzC6Pr7wkJ9ZG_sYNGCMCU/edit?usp=sharing"",""ลพบุรี!I775"")"),105)</f>
        <v>105</v>
      </c>
      <c r="R68" s="152">
        <f ca="1">IFERROR(__xludf.DUMMYFUNCTION("IMPORTRANGE(""https://docs.google.com/spreadsheets/d/1lufeA2cfFqM-elVq2hznhDzC6Pr7wkJ9ZG_sYNGCMCU/edit?usp=sharing"",""ลพบุรี!I776"")"),60)</f>
        <v>60</v>
      </c>
      <c r="S68" s="152">
        <f ca="1">IFERROR(__xludf.DUMMYFUNCTION("IMPORTRANGE(""https://docs.google.com/spreadsheets/d/1lufeA2cfFqM-elVq2hznhDzC6Pr7wkJ9ZG_sYNGCMCU/edit?usp=sharing"",""ลพบุรี!J775"")"),0)</f>
        <v>0</v>
      </c>
      <c r="T68" s="216">
        <f t="shared" ca="1" si="28"/>
        <v>0</v>
      </c>
      <c r="U68" s="152">
        <f ca="1">IFERROR(__xludf.DUMMYFUNCTION("IMPORTRANGE(""https://docs.google.com/spreadsheets/d/1lufeA2cfFqM-elVq2hznhDzC6Pr7wkJ9ZG_sYNGCMCU/edit?usp=sharing"",""ลพบุรี!J776"")"),0)</f>
        <v>0</v>
      </c>
      <c r="V68" s="216">
        <f t="shared" ca="1" si="29"/>
        <v>0</v>
      </c>
      <c r="W68" s="232"/>
    </row>
    <row r="69" spans="1:23" ht="19.5" x14ac:dyDescent="0.3">
      <c r="A69" s="147">
        <v>17</v>
      </c>
      <c r="B69" s="148" t="s">
        <v>97</v>
      </c>
      <c r="C69" s="475">
        <f ca="1">IFERROR(__xludf.DUMMYFUNCTION("IMPORTRANGE(""https://docs.google.com/spreadsheets/d/10oOiF7loTyfsTkbd4MpaIm0HQ9SwB7IYHdIUvt-U1Uc/edit?usp=sharing"",""สระแก้ว!Q760"")"),0)</f>
        <v>0</v>
      </c>
      <c r="D69" s="260">
        <f ca="1">IFERROR(__xludf.DUMMYFUNCTION("IMPORTRANGE(""https://docs.google.com/spreadsheets/d/10oOiF7loTyfsTkbd4MpaIm0HQ9SwB7IYHdIUvt-U1Uc/edit?usp=sharing"",""สระแก้ว!R760"")"),0)</f>
        <v>0</v>
      </c>
      <c r="E69" s="475">
        <f ca="1">IFERROR(__xludf.DUMMYFUNCTION("IMPORTRANGE(""https://docs.google.com/spreadsheets/d/10oOiF7loTyfsTkbd4MpaIm0HQ9SwB7IYHdIUvt-U1Uc/edit?usp=sharing"",""สระแก้ว!S760"")"),0)</f>
        <v>0</v>
      </c>
      <c r="F69" s="260">
        <f t="shared" ca="1" si="19"/>
        <v>0</v>
      </c>
      <c r="G69" s="260">
        <f t="shared" ca="1" si="20"/>
        <v>0</v>
      </c>
      <c r="H69" s="278">
        <v>0</v>
      </c>
      <c r="I69" s="152">
        <v>0</v>
      </c>
      <c r="J69" s="216">
        <f t="shared" si="22"/>
        <v>0</v>
      </c>
      <c r="K69" s="152">
        <f ca="1">IFERROR(__xludf.DUMMYFUNCTION("IMPORTRANGE(""https://docs.google.com/spreadsheets/d/10oOiF7loTyfsTkbd4MpaIm0HQ9SwB7IYHdIUvt-U1Uc/edit?usp=sharing"",""สระแก้ว!I772"")"),0)</f>
        <v>0</v>
      </c>
      <c r="L69" s="152">
        <f ca="1">IFERROR(__xludf.DUMMYFUNCTION("IMPORTRANGE(""https://docs.google.com/spreadsheets/d/10oOiF7loTyfsTkbd4MpaIm0HQ9SwB7IYHdIUvt-U1Uc/edit?usp=sharing"",""สระแก้ว!J772"")"),0)</f>
        <v>0</v>
      </c>
      <c r="M69" s="216">
        <f t="shared" ca="1" si="24"/>
        <v>0</v>
      </c>
      <c r="N69" s="152">
        <f ca="1">IFERROR(__xludf.DUMMYFUNCTION("IMPORTRANGE(""https://docs.google.com/spreadsheets/d/10oOiF7loTyfsTkbd4MpaIm0HQ9SwB7IYHdIUvt-U1Uc/edit?usp=sharing"",""สระแก้ว!I774"")"),0)</f>
        <v>0</v>
      </c>
      <c r="O69" s="152">
        <f ca="1">IFERROR(__xludf.DUMMYFUNCTION("IMPORTRANGE(""https://docs.google.com/spreadsheets/d/10oOiF7loTyfsTkbd4MpaIm0HQ9SwB7IYHdIUvt-U1Uc/edit?usp=sharing"",""สระแก้ว!J774"")"),0)</f>
        <v>0</v>
      </c>
      <c r="P69" s="216">
        <f t="shared" ca="1" si="26"/>
        <v>0</v>
      </c>
      <c r="Q69" s="152">
        <f ca="1">IFERROR(__xludf.DUMMYFUNCTION("IMPORTRANGE(""https://docs.google.com/spreadsheets/d/10oOiF7loTyfsTkbd4MpaIm0HQ9SwB7IYHdIUvt-U1Uc/edit?usp=sharing"",""สระแก้ว!I775"")"),0)</f>
        <v>0</v>
      </c>
      <c r="R69" s="152">
        <f ca="1">IFERROR(__xludf.DUMMYFUNCTION("IMPORTRANGE(""https://docs.google.com/spreadsheets/d/10oOiF7loTyfsTkbd4MpaIm0HQ9SwB7IYHdIUvt-U1Uc/edit?usp=sharing"",""สระแก้ว!I776"")"),0)</f>
        <v>0</v>
      </c>
      <c r="S69" s="152">
        <f ca="1">IFERROR(__xludf.DUMMYFUNCTION("IMPORTRANGE(""https://docs.google.com/spreadsheets/d/10oOiF7loTyfsTkbd4MpaIm0HQ9SwB7IYHdIUvt-U1Uc/edit?usp=sharing"",""สระแก้ว!J775"")"),0)</f>
        <v>0</v>
      </c>
      <c r="T69" s="216">
        <f t="shared" ca="1" si="28"/>
        <v>0</v>
      </c>
      <c r="U69" s="152">
        <f ca="1">IFERROR(__xludf.DUMMYFUNCTION("IMPORTRANGE(""https://docs.google.com/spreadsheets/d/10oOiF7loTyfsTkbd4MpaIm0HQ9SwB7IYHdIUvt-U1Uc/edit?usp=sharing"",""สระแก้ว!J776"")"),0)</f>
        <v>0</v>
      </c>
      <c r="V69" s="216">
        <f t="shared" ca="1" si="29"/>
        <v>0</v>
      </c>
      <c r="W69" s="232"/>
    </row>
    <row r="70" spans="1:23" ht="19.5" x14ac:dyDescent="0.3">
      <c r="A70" s="147">
        <v>18</v>
      </c>
      <c r="B70" s="148" t="s">
        <v>98</v>
      </c>
      <c r="C70" s="475">
        <f ca="1">IFERROR(__xludf.DUMMYFUNCTION("IMPORTRANGE(""https://docs.google.com/spreadsheets/d/1xmPlrr1QbdSIKvl1dWUl9K4PjAfSL9oeMr_37QVzcxc/edit?usp=sharing"",""สระบุรี!Q760"")"),117510)</f>
        <v>117510</v>
      </c>
      <c r="D70" s="260">
        <f ca="1">IFERROR(__xludf.DUMMYFUNCTION("IMPORTRANGE(""https://docs.google.com/spreadsheets/d/1xmPlrr1QbdSIKvl1dWUl9K4PjAfSL9oeMr_37QVzcxc/edit?usp=sharing"",""สระบุรี!R760"")"),117510)</f>
        <v>117510</v>
      </c>
      <c r="E70" s="475">
        <f ca="1">IFERROR(__xludf.DUMMYFUNCTION("IMPORTRANGE(""https://docs.google.com/spreadsheets/d/1xmPlrr1QbdSIKvl1dWUl9K4PjAfSL9oeMr_37QVzcxc/edit?usp=sharing"",""สระบุรี!S760"")"),83650)</f>
        <v>83650</v>
      </c>
      <c r="F70" s="260">
        <f t="shared" ca="1" si="19"/>
        <v>71.18543102714662</v>
      </c>
      <c r="G70" s="260">
        <f t="shared" ca="1" si="20"/>
        <v>71.18543102714662</v>
      </c>
      <c r="H70" s="278">
        <v>0</v>
      </c>
      <c r="I70" s="152">
        <v>0</v>
      </c>
      <c r="J70" s="216">
        <f t="shared" si="22"/>
        <v>0</v>
      </c>
      <c r="K70" s="152">
        <f ca="1">IFERROR(__xludf.DUMMYFUNCTION("IMPORTRANGE(""https://docs.google.com/spreadsheets/d/1xmPlrr1QbdSIKvl1dWUl9K4PjAfSL9oeMr_37QVzcxc/edit?usp=sharing"",""สระบุรี!I772"")"),15)</f>
        <v>15</v>
      </c>
      <c r="L70" s="152">
        <f ca="1">IFERROR(__xludf.DUMMYFUNCTION("IMPORTRANGE(""https://docs.google.com/spreadsheets/d/1xmPlrr1QbdSIKvl1dWUl9K4PjAfSL9oeMr_37QVzcxc/edit?usp=sharing"",""สระบุรี!J772"")"),15)</f>
        <v>15</v>
      </c>
      <c r="M70" s="216">
        <f t="shared" ca="1" si="24"/>
        <v>100</v>
      </c>
      <c r="N70" s="152">
        <f ca="1">IFERROR(__xludf.DUMMYFUNCTION("IMPORTRANGE(""https://docs.google.com/spreadsheets/d/1xmPlrr1QbdSIKvl1dWUl9K4PjAfSL9oeMr_37QVzcxc/edit?usp=sharing"",""สระบุรี!I774"")"),30)</f>
        <v>30</v>
      </c>
      <c r="O70" s="152">
        <f ca="1">IFERROR(__xludf.DUMMYFUNCTION("IMPORTRANGE(""https://docs.google.com/spreadsheets/d/1xmPlrr1QbdSIKvl1dWUl9K4PjAfSL9oeMr_37QVzcxc/edit?usp=sharing"",""สระบุรี!J774"")"),30)</f>
        <v>30</v>
      </c>
      <c r="P70" s="216">
        <f t="shared" ca="1" si="26"/>
        <v>100</v>
      </c>
      <c r="Q70" s="152">
        <f ca="1">IFERROR(__xludf.DUMMYFUNCTION("IMPORTRANGE(""https://docs.google.com/spreadsheets/d/1xmPlrr1QbdSIKvl1dWUl9K4PjAfSL9oeMr_37QVzcxc/edit?usp=sharing"",""สระบุรี!I775"")"),30)</f>
        <v>30</v>
      </c>
      <c r="R70" s="152">
        <f ca="1">IFERROR(__xludf.DUMMYFUNCTION("IMPORTRANGE(""https://docs.google.com/spreadsheets/d/1xmPlrr1QbdSIKvl1dWUl9K4PjAfSL9oeMr_37QVzcxc/edit?usp=sharing"",""สระบุรี!I776"")"),15)</f>
        <v>15</v>
      </c>
      <c r="S70" s="152">
        <f ca="1">IFERROR(__xludf.DUMMYFUNCTION("IMPORTRANGE(""https://docs.google.com/spreadsheets/d/1xmPlrr1QbdSIKvl1dWUl9K4PjAfSL9oeMr_37QVzcxc/edit?usp=sharing"",""สระบุรี!J775"")"),30)</f>
        <v>30</v>
      </c>
      <c r="T70" s="216">
        <f t="shared" ca="1" si="28"/>
        <v>100</v>
      </c>
      <c r="U70" s="152">
        <f ca="1">IFERROR(__xludf.DUMMYFUNCTION("IMPORTRANGE(""https://docs.google.com/spreadsheets/d/1xmPlrr1QbdSIKvl1dWUl9K4PjAfSL9oeMr_37QVzcxc/edit?usp=sharing"",""สระบุรี!J776"")"),15)</f>
        <v>15</v>
      </c>
      <c r="V70" s="216">
        <f t="shared" ca="1" si="29"/>
        <v>100</v>
      </c>
      <c r="W70" s="232"/>
    </row>
    <row r="71" spans="1:23" ht="19.5" x14ac:dyDescent="0.3">
      <c r="A71" s="147">
        <v>19</v>
      </c>
      <c r="B71" s="148" t="s">
        <v>99</v>
      </c>
      <c r="C71" s="475">
        <f ca="1">IFERROR(__xludf.DUMMYFUNCTION("IMPORTRANGE(""https://docs.google.com/spreadsheets/d/1j51vR6CYVGhABJpv6tkstgok82RLpXieLzW1yOY5rHw/edit?usp=sharing"",""สิงห์บุรี!Q760"")"),0)</f>
        <v>0</v>
      </c>
      <c r="D71" s="260">
        <f ca="1">IFERROR(__xludf.DUMMYFUNCTION("IMPORTRANGE(""https://docs.google.com/spreadsheets/d/1j51vR6CYVGhABJpv6tkstgok82RLpXieLzW1yOY5rHw/edit?usp=sharing"",""สิงห์บุรี!R760"")"),0)</f>
        <v>0</v>
      </c>
      <c r="E71" s="475">
        <f ca="1">IFERROR(__xludf.DUMMYFUNCTION("IMPORTRANGE(""https://docs.google.com/spreadsheets/d/1j51vR6CYVGhABJpv6tkstgok82RLpXieLzW1yOY5rHw/edit?usp=sharing"",""สิงห์บุรี!S760"")"),0)</f>
        <v>0</v>
      </c>
      <c r="F71" s="260">
        <f t="shared" ca="1" si="19"/>
        <v>0</v>
      </c>
      <c r="G71" s="260">
        <f t="shared" ca="1" si="20"/>
        <v>0</v>
      </c>
      <c r="H71" s="278">
        <v>0</v>
      </c>
      <c r="I71" s="152">
        <v>0</v>
      </c>
      <c r="J71" s="216">
        <f t="shared" si="22"/>
        <v>0</v>
      </c>
      <c r="K71" s="152">
        <f ca="1">IFERROR(__xludf.DUMMYFUNCTION("IMPORTRANGE(""https://docs.google.com/spreadsheets/d/1j51vR6CYVGhABJpv6tkstgok82RLpXieLzW1yOY5rHw/edit?usp=sharing"",""สิงห์บุรี!I772"")"),0)</f>
        <v>0</v>
      </c>
      <c r="L71" s="152">
        <f ca="1">IFERROR(__xludf.DUMMYFUNCTION("IMPORTRANGE(""https://docs.google.com/spreadsheets/d/1j51vR6CYVGhABJpv6tkstgok82RLpXieLzW1yOY5rHw/edit?usp=sharing"",""สิงห์บุรี!J772"")"),0)</f>
        <v>0</v>
      </c>
      <c r="M71" s="216">
        <f t="shared" ca="1" si="24"/>
        <v>0</v>
      </c>
      <c r="N71" s="152">
        <f ca="1">IFERROR(__xludf.DUMMYFUNCTION("IMPORTRANGE(""https://docs.google.com/spreadsheets/d/1j51vR6CYVGhABJpv6tkstgok82RLpXieLzW1yOY5rHw/edit?usp=sharing"",""สิงห์บุรี!I774"")"),0)</f>
        <v>0</v>
      </c>
      <c r="O71" s="152">
        <f ca="1">IFERROR(__xludf.DUMMYFUNCTION("IMPORTRANGE(""https://docs.google.com/spreadsheets/d/1j51vR6CYVGhABJpv6tkstgok82RLpXieLzW1yOY5rHw/edit?usp=sharing"",""สิงห์บุรี!J774"")"),0)</f>
        <v>0</v>
      </c>
      <c r="P71" s="216">
        <f t="shared" ca="1" si="26"/>
        <v>0</v>
      </c>
      <c r="Q71" s="152">
        <f ca="1">IFERROR(__xludf.DUMMYFUNCTION("IMPORTRANGE(""https://docs.google.com/spreadsheets/d/1j51vR6CYVGhABJpv6tkstgok82RLpXieLzW1yOY5rHw/edit?usp=sharing"",""สิงห์บุรี!I775"")"),0)</f>
        <v>0</v>
      </c>
      <c r="R71" s="152">
        <f ca="1">IFERROR(__xludf.DUMMYFUNCTION("IMPORTRANGE(""https://docs.google.com/spreadsheets/d/1j51vR6CYVGhABJpv6tkstgok82RLpXieLzW1yOY5rHw/edit?usp=sharing"",""สิงห์บุรี!I776"")"),0)</f>
        <v>0</v>
      </c>
      <c r="S71" s="152">
        <f ca="1">IFERROR(__xludf.DUMMYFUNCTION("IMPORTRANGE(""https://docs.google.com/spreadsheets/d/1j51vR6CYVGhABJpv6tkstgok82RLpXieLzW1yOY5rHw/edit?usp=sharing"",""สิงห์บุรี!J775"")"),0)</f>
        <v>0</v>
      </c>
      <c r="T71" s="216">
        <f t="shared" ca="1" si="28"/>
        <v>0</v>
      </c>
      <c r="U71" s="152">
        <f ca="1">IFERROR(__xludf.DUMMYFUNCTION("IMPORTRANGE(""https://docs.google.com/spreadsheets/d/1j51vR6CYVGhABJpv6tkstgok82RLpXieLzW1yOY5rHw/edit?usp=sharing"",""สิงห์บุรี!J776"")"),0)</f>
        <v>0</v>
      </c>
      <c r="V71" s="216">
        <f t="shared" ca="1" si="29"/>
        <v>0</v>
      </c>
      <c r="W71" s="232"/>
    </row>
    <row r="72" spans="1:23" ht="19.5" x14ac:dyDescent="0.3">
      <c r="A72" s="147">
        <v>20</v>
      </c>
      <c r="B72" s="148" t="s">
        <v>100</v>
      </c>
      <c r="C72" s="475">
        <f ca="1">IFERROR(__xludf.DUMMYFUNCTION("IMPORTRANGE(""https://docs.google.com/spreadsheets/d/1H1EalTWKUSzO4Z1-1CwzoDUaVffgrThEBe2sl74kKG0/edit?usp=sharing"",""สุพรรณบุรี!Q760"")"),413100)</f>
        <v>413100</v>
      </c>
      <c r="D72" s="260">
        <f ca="1">IFERROR(__xludf.DUMMYFUNCTION("IMPORTRANGE(""https://docs.google.com/spreadsheets/d/1H1EalTWKUSzO4Z1-1CwzoDUaVffgrThEBe2sl74kKG0/edit?usp=sharing"",""สุพรรณบุรี!R760"")"),413100)</f>
        <v>413100</v>
      </c>
      <c r="E72" s="475">
        <f ca="1">IFERROR(__xludf.DUMMYFUNCTION("IMPORTRANGE(""https://docs.google.com/spreadsheets/d/1H1EalTWKUSzO4Z1-1CwzoDUaVffgrThEBe2sl74kKG0/edit?usp=sharing"",""สุพรรณบุรี!S760"")"),364080)</f>
        <v>364080</v>
      </c>
      <c r="F72" s="260">
        <f t="shared" ca="1" si="19"/>
        <v>88.133623819898332</v>
      </c>
      <c r="G72" s="260">
        <f t="shared" ca="1" si="20"/>
        <v>88.133623819898332</v>
      </c>
      <c r="H72" s="278">
        <v>0</v>
      </c>
      <c r="I72" s="152">
        <v>0</v>
      </c>
      <c r="J72" s="216">
        <f t="shared" si="22"/>
        <v>0</v>
      </c>
      <c r="K72" s="152">
        <f ca="1">IFERROR(__xludf.DUMMYFUNCTION("IMPORTRANGE(""https://docs.google.com/spreadsheets/d/1H1EalTWKUSzO4Z1-1CwzoDUaVffgrThEBe2sl74kKG0/edit?usp=sharing"",""สุพรรณบุรี!I772"")"),60)</f>
        <v>60</v>
      </c>
      <c r="L72" s="152">
        <f ca="1">IFERROR(__xludf.DUMMYFUNCTION("IMPORTRANGE(""https://docs.google.com/spreadsheets/d/1H1EalTWKUSzO4Z1-1CwzoDUaVffgrThEBe2sl74kKG0/edit?usp=sharing"",""สุพรรณบุรี!J772"")"),60)</f>
        <v>60</v>
      </c>
      <c r="M72" s="216">
        <f t="shared" ca="1" si="24"/>
        <v>100</v>
      </c>
      <c r="N72" s="152">
        <f ca="1">IFERROR(__xludf.DUMMYFUNCTION("IMPORTRANGE(""https://docs.google.com/spreadsheets/d/1H1EalTWKUSzO4Z1-1CwzoDUaVffgrThEBe2sl74kKG0/edit?usp=sharing"",""สุพรรณบุรี!I774"")"),100)</f>
        <v>100</v>
      </c>
      <c r="O72" s="152">
        <f ca="1">IFERROR(__xludf.DUMMYFUNCTION("IMPORTRANGE(""https://docs.google.com/spreadsheets/d/1H1EalTWKUSzO4Z1-1CwzoDUaVffgrThEBe2sl74kKG0/edit?usp=sharing"",""สุพรรณบุรี!J774"")"),100)</f>
        <v>100</v>
      </c>
      <c r="P72" s="216">
        <f t="shared" ca="1" si="26"/>
        <v>100</v>
      </c>
      <c r="Q72" s="152">
        <f ca="1">IFERROR(__xludf.DUMMYFUNCTION("IMPORTRANGE(""https://docs.google.com/spreadsheets/d/1H1EalTWKUSzO4Z1-1CwzoDUaVffgrThEBe2sl74kKG0/edit?usp=sharing"",""สุพรรณบุรี!I775"")"),100)</f>
        <v>100</v>
      </c>
      <c r="R72" s="152">
        <f ca="1">IFERROR(__xludf.DUMMYFUNCTION("IMPORTRANGE(""https://docs.google.com/spreadsheets/d/1H1EalTWKUSzO4Z1-1CwzoDUaVffgrThEBe2sl74kKG0/edit?usp=sharing"",""สุพรรณบุรี!I776"")"),60)</f>
        <v>60</v>
      </c>
      <c r="S72" s="152">
        <f ca="1">IFERROR(__xludf.DUMMYFUNCTION("IMPORTRANGE(""https://docs.google.com/spreadsheets/d/1H1EalTWKUSzO4Z1-1CwzoDUaVffgrThEBe2sl74kKG0/edit?usp=sharing"",""สุพรรณบุรี!J775"")"),100)</f>
        <v>100</v>
      </c>
      <c r="T72" s="216">
        <f t="shared" ca="1" si="28"/>
        <v>100</v>
      </c>
      <c r="U72" s="152">
        <f ca="1">IFERROR(__xludf.DUMMYFUNCTION("IMPORTRANGE(""https://docs.google.com/spreadsheets/d/1H1EalTWKUSzO4Z1-1CwzoDUaVffgrThEBe2sl74kKG0/edit?usp=sharing"",""สุพรรณบุรี!J776"")"),60)</f>
        <v>60</v>
      </c>
      <c r="V72" s="216">
        <f t="shared" ca="1" si="29"/>
        <v>100</v>
      </c>
      <c r="W72" s="232"/>
    </row>
    <row r="73" spans="1:23" ht="19.5" x14ac:dyDescent="0.3">
      <c r="A73" s="155">
        <v>21</v>
      </c>
      <c r="B73" s="156" t="s">
        <v>101</v>
      </c>
      <c r="C73" s="482">
        <f ca="1">IFERROR(__xludf.DUMMYFUNCTION("IMPORTRANGE(""https://docs.google.com/spreadsheets/d/1BmIruG_sIrJLYao_Pdr7zVArWsfoBt2692TMi6x_854/edit?usp=sharing"",""อ่างทอง!Q760"")"),115510)</f>
        <v>115510</v>
      </c>
      <c r="D73" s="481">
        <f ca="1">IFERROR(__xludf.DUMMYFUNCTION("IMPORTRANGE(""https://docs.google.com/spreadsheets/d/1BmIruG_sIrJLYao_Pdr7zVArWsfoBt2692TMi6x_854/edit?usp=sharing"",""อ่างทอง!R760"")"),115510)</f>
        <v>115510</v>
      </c>
      <c r="E73" s="482">
        <f ca="1">IFERROR(__xludf.DUMMYFUNCTION("IMPORTRANGE(""https://docs.google.com/spreadsheets/d/1BmIruG_sIrJLYao_Pdr7zVArWsfoBt2692TMi6x_854/edit?usp=sharing"",""อ่างทอง!S760"")"),62135)</f>
        <v>62135</v>
      </c>
      <c r="F73" s="481">
        <f t="shared" ca="1" si="19"/>
        <v>53.791879490953164</v>
      </c>
      <c r="G73" s="481">
        <f t="shared" ca="1" si="20"/>
        <v>53.791879490953164</v>
      </c>
      <c r="H73" s="487">
        <v>0</v>
      </c>
      <c r="I73" s="488">
        <v>0</v>
      </c>
      <c r="J73" s="218">
        <f t="shared" si="22"/>
        <v>0</v>
      </c>
      <c r="K73" s="488">
        <f ca="1">IFERROR(__xludf.DUMMYFUNCTION("IMPORTRANGE(""https://docs.google.com/spreadsheets/d/1BmIruG_sIrJLYao_Pdr7zVArWsfoBt2692TMi6x_854/edit?usp=sharing"",""อ่างทอง!I772"")"),15)</f>
        <v>15</v>
      </c>
      <c r="L73" s="488">
        <f ca="1">IFERROR(__xludf.DUMMYFUNCTION("IMPORTRANGE(""https://docs.google.com/spreadsheets/d/1BmIruG_sIrJLYao_Pdr7zVArWsfoBt2692TMi6x_854/edit?usp=sharing"",""อ่างทอง!J772"")"),15)</f>
        <v>15</v>
      </c>
      <c r="M73" s="218">
        <f t="shared" ca="1" si="24"/>
        <v>100</v>
      </c>
      <c r="N73" s="488">
        <f ca="1">IFERROR(__xludf.DUMMYFUNCTION("IMPORTRANGE(""https://docs.google.com/spreadsheets/d/1BmIruG_sIrJLYao_Pdr7zVArWsfoBt2692TMi6x_854/edit?usp=sharing"",""อ่างทอง!I774"")"),30)</f>
        <v>30</v>
      </c>
      <c r="O73" s="488">
        <f ca="1">IFERROR(__xludf.DUMMYFUNCTION("IMPORTRANGE(""https://docs.google.com/spreadsheets/d/1BmIruG_sIrJLYao_Pdr7zVArWsfoBt2692TMi6x_854/edit?usp=sharing"",""อ่างทอง!J774"")"),30)</f>
        <v>30</v>
      </c>
      <c r="P73" s="218">
        <f t="shared" ca="1" si="26"/>
        <v>100</v>
      </c>
      <c r="Q73" s="488">
        <f ca="1">IFERROR(__xludf.DUMMYFUNCTION("IMPORTRANGE(""https://docs.google.com/spreadsheets/d/1BmIruG_sIrJLYao_Pdr7zVArWsfoBt2692TMi6x_854/edit?usp=sharing"",""อ่างทอง!I775"")"),30)</f>
        <v>30</v>
      </c>
      <c r="R73" s="488">
        <f ca="1">IFERROR(__xludf.DUMMYFUNCTION("IMPORTRANGE(""https://docs.google.com/spreadsheets/d/1BmIruG_sIrJLYao_Pdr7zVArWsfoBt2692TMi6x_854/edit?usp=sharing"",""อ่างทอง!I776"")"),15)</f>
        <v>15</v>
      </c>
      <c r="S73" s="488">
        <f ca="1">IFERROR(__xludf.DUMMYFUNCTION("IMPORTRANGE(""https://docs.google.com/spreadsheets/d/1BmIruG_sIrJLYao_Pdr7zVArWsfoBt2692TMi6x_854/edit?usp=sharing"",""อ่างทอง!J775"")"),30)</f>
        <v>30</v>
      </c>
      <c r="T73" s="218">
        <f t="shared" ca="1" si="28"/>
        <v>100</v>
      </c>
      <c r="U73" s="488">
        <f ca="1">IFERROR(__xludf.DUMMYFUNCTION("IMPORTRANGE(""https://docs.google.com/spreadsheets/d/1BmIruG_sIrJLYao_Pdr7zVArWsfoBt2692TMi6x_854/edit?usp=sharing"",""อ่างทอง!J776"")"),15)</f>
        <v>15</v>
      </c>
      <c r="V73" s="218">
        <f t="shared" ca="1" si="29"/>
        <v>100</v>
      </c>
      <c r="W73" s="232"/>
    </row>
    <row r="74" spans="1:23" ht="19.5" x14ac:dyDescent="0.3">
      <c r="A74" s="696" t="s">
        <v>102</v>
      </c>
      <c r="B74" s="662"/>
      <c r="C74" s="604">
        <f t="shared" ref="C74:E74" ca="1" si="40">SUM(C75:C88)</f>
        <v>2015140</v>
      </c>
      <c r="D74" s="603">
        <f t="shared" ca="1" si="40"/>
        <v>1973140</v>
      </c>
      <c r="E74" s="604">
        <f t="shared" ca="1" si="40"/>
        <v>1468150.8</v>
      </c>
      <c r="F74" s="603">
        <f t="shared" ca="1" si="19"/>
        <v>72.856019929136437</v>
      </c>
      <c r="G74" s="603">
        <f t="shared" ca="1" si="20"/>
        <v>74.406823641505412</v>
      </c>
      <c r="H74" s="282">
        <f t="shared" ref="H74:I74" si="41">SUM(H75:H88)</f>
        <v>0</v>
      </c>
      <c r="I74" s="369">
        <f t="shared" si="41"/>
        <v>0</v>
      </c>
      <c r="J74" s="94">
        <f t="shared" si="22"/>
        <v>0</v>
      </c>
      <c r="K74" s="369">
        <f t="shared" ref="K74:L74" ca="1" si="42">SUM(K75:K88)</f>
        <v>240</v>
      </c>
      <c r="L74" s="369">
        <f t="shared" ca="1" si="42"/>
        <v>240</v>
      </c>
      <c r="M74" s="94">
        <f t="shared" ca="1" si="24"/>
        <v>100</v>
      </c>
      <c r="N74" s="369">
        <f t="shared" ref="N74:O74" ca="1" si="43">SUM(N75:N88)</f>
        <v>625</v>
      </c>
      <c r="O74" s="369">
        <f t="shared" ca="1" si="43"/>
        <v>580</v>
      </c>
      <c r="P74" s="94">
        <f t="shared" ca="1" si="26"/>
        <v>92.8</v>
      </c>
      <c r="Q74" s="369">
        <f t="shared" ref="Q74:S74" ca="1" si="44">SUM(Q75:Q88)</f>
        <v>625</v>
      </c>
      <c r="R74" s="369">
        <f t="shared" ca="1" si="44"/>
        <v>240</v>
      </c>
      <c r="S74" s="369">
        <f t="shared" ca="1" si="44"/>
        <v>330</v>
      </c>
      <c r="T74" s="94">
        <f t="shared" ca="1" si="28"/>
        <v>52.8</v>
      </c>
      <c r="U74" s="369">
        <f ca="1">SUM(U75:U88)</f>
        <v>165</v>
      </c>
      <c r="V74" s="94">
        <f t="shared" ca="1" si="29"/>
        <v>68.75</v>
      </c>
      <c r="W74" s="640"/>
    </row>
    <row r="75" spans="1:23" ht="19.5" x14ac:dyDescent="0.3">
      <c r="A75" s="147">
        <v>1</v>
      </c>
      <c r="B75" s="148" t="s">
        <v>103</v>
      </c>
      <c r="C75" s="475">
        <f ca="1">IFERROR(__xludf.DUMMYFUNCTION("IMPORTRANGE(""https://docs.google.com/spreadsheets/d/1kKUcYdkIfrgTSj8iHHHB2MD2FAtwyyocFgqGQn6ADyI/edit?usp=sharing"",""กระบี่!Q760"")"),134510)</f>
        <v>134510</v>
      </c>
      <c r="D75" s="260">
        <f ca="1">IFERROR(__xludf.DUMMYFUNCTION("IMPORTRANGE(""https://docs.google.com/spreadsheets/d/1kKUcYdkIfrgTSj8iHHHB2MD2FAtwyyocFgqGQn6ADyI/edit?usp=sharing"",""กระบี่!R760"")"),134510)</f>
        <v>134510</v>
      </c>
      <c r="E75" s="475">
        <f ca="1">IFERROR(__xludf.DUMMYFUNCTION("IMPORTRANGE(""https://docs.google.com/spreadsheets/d/1kKUcYdkIfrgTSj8iHHHB2MD2FAtwyyocFgqGQn6ADyI/edit?usp=sharing"",""กระบี่!S760"")"),134385)</f>
        <v>134385</v>
      </c>
      <c r="F75" s="260">
        <f t="shared" ca="1" si="19"/>
        <v>99.907070106311792</v>
      </c>
      <c r="G75" s="260">
        <f t="shared" ca="1" si="20"/>
        <v>99.907070106311792</v>
      </c>
      <c r="H75" s="278">
        <v>0</v>
      </c>
      <c r="I75" s="152">
        <v>0</v>
      </c>
      <c r="J75" s="216">
        <f t="shared" si="22"/>
        <v>0</v>
      </c>
      <c r="K75" s="152">
        <f ca="1">IFERROR(__xludf.DUMMYFUNCTION("IMPORTRANGE(""https://docs.google.com/spreadsheets/d/1kKUcYdkIfrgTSj8iHHHB2MD2FAtwyyocFgqGQn6ADyI/edit?usp=sharing"",""กระบี่!I772"")"),15)</f>
        <v>15</v>
      </c>
      <c r="L75" s="152">
        <f ca="1">IFERROR(__xludf.DUMMYFUNCTION("IMPORTRANGE(""https://docs.google.com/spreadsheets/d/1kKUcYdkIfrgTSj8iHHHB2MD2FAtwyyocFgqGQn6ADyI/edit?usp=sharing"",""กระบี่!J772"")"),15)</f>
        <v>15</v>
      </c>
      <c r="M75" s="216">
        <f t="shared" ca="1" si="24"/>
        <v>100</v>
      </c>
      <c r="N75" s="152">
        <f ca="1">IFERROR(__xludf.DUMMYFUNCTION("IMPORTRANGE(""https://docs.google.com/spreadsheets/d/1kKUcYdkIfrgTSj8iHHHB2MD2FAtwyyocFgqGQn6ADyI/edit?usp=sharing"",""กระบี่!I774"")"),45)</f>
        <v>45</v>
      </c>
      <c r="O75" s="152">
        <f ca="1">IFERROR(__xludf.DUMMYFUNCTION("IMPORTRANGE(""https://docs.google.com/spreadsheets/d/1kKUcYdkIfrgTSj8iHHHB2MD2FAtwyyocFgqGQn6ADyI/edit?usp=sharing"",""กระบี่!J774"")"),0)</f>
        <v>0</v>
      </c>
      <c r="P75" s="216">
        <f t="shared" ca="1" si="26"/>
        <v>0</v>
      </c>
      <c r="Q75" s="152">
        <f ca="1">IFERROR(__xludf.DUMMYFUNCTION("IMPORTRANGE(""https://docs.google.com/spreadsheets/d/1kKUcYdkIfrgTSj8iHHHB2MD2FAtwyyocFgqGQn6ADyI/edit?usp=sharing"",""กระบี่!I775"")"),45)</f>
        <v>45</v>
      </c>
      <c r="R75" s="152">
        <f ca="1">IFERROR(__xludf.DUMMYFUNCTION("IMPORTRANGE(""https://docs.google.com/spreadsheets/d/1kKUcYdkIfrgTSj8iHHHB2MD2FAtwyyocFgqGQn6ADyI/edit?usp=sharing"",""กระบี่!I776"")"),15)</f>
        <v>15</v>
      </c>
      <c r="S75" s="152">
        <f ca="1">IFERROR(__xludf.DUMMYFUNCTION("IMPORTRANGE(""https://docs.google.com/spreadsheets/d/1kKUcYdkIfrgTSj8iHHHB2MD2FAtwyyocFgqGQn6ADyI/edit?usp=sharing"",""กระบี่!J775"")"),0)</f>
        <v>0</v>
      </c>
      <c r="T75" s="216">
        <f t="shared" ca="1" si="28"/>
        <v>0</v>
      </c>
      <c r="U75" s="152">
        <f ca="1">IFERROR(__xludf.DUMMYFUNCTION("IMPORTRANGE(""https://docs.google.com/spreadsheets/d/1kKUcYdkIfrgTSj8iHHHB2MD2FAtwyyocFgqGQn6ADyI/edit?usp=sharing"",""กระบี่!J776"")"),0)</f>
        <v>0</v>
      </c>
      <c r="V75" s="216">
        <f t="shared" ca="1" si="29"/>
        <v>0</v>
      </c>
      <c r="W75" s="232"/>
    </row>
    <row r="76" spans="1:23" ht="19.5" x14ac:dyDescent="0.3">
      <c r="A76" s="147">
        <v>2</v>
      </c>
      <c r="B76" s="148" t="s">
        <v>104</v>
      </c>
      <c r="C76" s="475">
        <f ca="1">IFERROR(__xludf.DUMMYFUNCTION("IMPORTRANGE(""https://docs.google.com/spreadsheets/d/1GwtLaSlNZkLk7iDqcyZz22giiy40b_usZZBXYciEN1U/edit?usp=sharing"",""ชุมพร!Q760"")"),463980)</f>
        <v>463980</v>
      </c>
      <c r="D76" s="260">
        <f ca="1">IFERROR(__xludf.DUMMYFUNCTION("IMPORTRANGE(""https://docs.google.com/spreadsheets/d/1GwtLaSlNZkLk7iDqcyZz22giiy40b_usZZBXYciEN1U/edit?usp=sharing"",""ชุมพร!R760"")"),463980)</f>
        <v>463980</v>
      </c>
      <c r="E76" s="475">
        <f ca="1">IFERROR(__xludf.DUMMYFUNCTION("IMPORTRANGE(""https://docs.google.com/spreadsheets/d/1GwtLaSlNZkLk7iDqcyZz22giiy40b_usZZBXYciEN1U/edit?usp=sharing"",""ชุมพร!S760"")"),210294)</f>
        <v>210294</v>
      </c>
      <c r="F76" s="260">
        <f t="shared" ca="1" si="19"/>
        <v>45.323936376567957</v>
      </c>
      <c r="G76" s="260">
        <f t="shared" ca="1" si="20"/>
        <v>45.323936376567957</v>
      </c>
      <c r="H76" s="278">
        <v>0</v>
      </c>
      <c r="I76" s="152">
        <v>0</v>
      </c>
      <c r="J76" s="216">
        <f t="shared" si="22"/>
        <v>0</v>
      </c>
      <c r="K76" s="152">
        <f ca="1">IFERROR(__xludf.DUMMYFUNCTION("IMPORTRANGE(""https://docs.google.com/spreadsheets/d/1GwtLaSlNZkLk7iDqcyZz22giiy40b_usZZBXYciEN1U/edit?usp=sharing"",""ชุมพร!I772"")"),40)</f>
        <v>40</v>
      </c>
      <c r="L76" s="152">
        <f ca="1">IFERROR(__xludf.DUMMYFUNCTION("IMPORTRANGE(""https://docs.google.com/spreadsheets/d/1GwtLaSlNZkLk7iDqcyZz22giiy40b_usZZBXYciEN1U/edit?usp=sharing"",""ชุมพร!J772"")"),40)</f>
        <v>40</v>
      </c>
      <c r="M76" s="216">
        <f t="shared" ca="1" si="24"/>
        <v>100</v>
      </c>
      <c r="N76" s="152">
        <f ca="1">IFERROR(__xludf.DUMMYFUNCTION("IMPORTRANGE(""https://docs.google.com/spreadsheets/d/1GwtLaSlNZkLk7iDqcyZz22giiy40b_usZZBXYciEN1U/edit?usp=sharing"",""ชุมพร!I774"")"),200)</f>
        <v>200</v>
      </c>
      <c r="O76" s="152">
        <f ca="1">IFERROR(__xludf.DUMMYFUNCTION("IMPORTRANGE(""https://docs.google.com/spreadsheets/d/1GwtLaSlNZkLk7iDqcyZz22giiy40b_usZZBXYciEN1U/edit?usp=sharing"",""ชุมพร!J774"")"),200)</f>
        <v>200</v>
      </c>
      <c r="P76" s="216">
        <f t="shared" ca="1" si="26"/>
        <v>100</v>
      </c>
      <c r="Q76" s="152">
        <f ca="1">IFERROR(__xludf.DUMMYFUNCTION("IMPORTRANGE(""https://docs.google.com/spreadsheets/d/1GwtLaSlNZkLk7iDqcyZz22giiy40b_usZZBXYciEN1U/edit?usp=sharing"",""ชุมพร!I775"")"),200)</f>
        <v>200</v>
      </c>
      <c r="R76" s="152">
        <f ca="1">IFERROR(__xludf.DUMMYFUNCTION("IMPORTRANGE(""https://docs.google.com/spreadsheets/d/1GwtLaSlNZkLk7iDqcyZz22giiy40b_usZZBXYciEN1U/edit?usp=sharing"",""ชุมพร!I776"")"),40)</f>
        <v>40</v>
      </c>
      <c r="S76" s="152">
        <f ca="1">IFERROR(__xludf.DUMMYFUNCTION("IMPORTRANGE(""https://docs.google.com/spreadsheets/d/1GwtLaSlNZkLk7iDqcyZz22giiy40b_usZZBXYciEN1U/edit?usp=sharing"",""ชุมพร!J775"")"),0)</f>
        <v>0</v>
      </c>
      <c r="T76" s="216">
        <f t="shared" ca="1" si="28"/>
        <v>0</v>
      </c>
      <c r="U76" s="152">
        <f ca="1">IFERROR(__xludf.DUMMYFUNCTION("IMPORTRANGE(""https://docs.google.com/spreadsheets/d/1GwtLaSlNZkLk7iDqcyZz22giiy40b_usZZBXYciEN1U/edit?usp=sharing"",""ชุมพร!J776"")"),0)</f>
        <v>0</v>
      </c>
      <c r="V76" s="216">
        <f t="shared" ca="1" si="29"/>
        <v>0</v>
      </c>
      <c r="W76" s="232"/>
    </row>
    <row r="77" spans="1:23" ht="19.5" x14ac:dyDescent="0.3">
      <c r="A77" s="147">
        <v>3</v>
      </c>
      <c r="B77" s="148" t="s">
        <v>105</v>
      </c>
      <c r="C77" s="475">
        <f ca="1">IFERROR(__xludf.DUMMYFUNCTION("IMPORTRANGE(""https://docs.google.com/spreadsheets/d/16pAz3pOhQEZBhvFNMa5KGgZS6iKWpsKX0pg6tQmwFpo/edit?usp=sharing"",""ตรัง!Q760"")"),148660)</f>
        <v>148660</v>
      </c>
      <c r="D77" s="260">
        <f ca="1">IFERROR(__xludf.DUMMYFUNCTION("IMPORTRANGE(""https://docs.google.com/spreadsheets/d/16pAz3pOhQEZBhvFNMa5KGgZS6iKWpsKX0pg6tQmwFpo/edit?usp=sharing"",""ตรัง!R760"")"),148660)</f>
        <v>148660</v>
      </c>
      <c r="E77" s="475">
        <f ca="1">IFERROR(__xludf.DUMMYFUNCTION("IMPORTRANGE(""https://docs.google.com/spreadsheets/d/16pAz3pOhQEZBhvFNMa5KGgZS6iKWpsKX0pg6tQmwFpo/edit?usp=sharing"",""ตรัง!S760"")"),53466.8)</f>
        <v>53466.8</v>
      </c>
      <c r="F77" s="260">
        <f t="shared" ca="1" si="19"/>
        <v>35.965828064038746</v>
      </c>
      <c r="G77" s="260">
        <f t="shared" ca="1" si="20"/>
        <v>35.965828064038746</v>
      </c>
      <c r="H77" s="278">
        <v>0</v>
      </c>
      <c r="I77" s="152">
        <v>0</v>
      </c>
      <c r="J77" s="216">
        <f t="shared" si="22"/>
        <v>0</v>
      </c>
      <c r="K77" s="152">
        <f ca="1">IFERROR(__xludf.DUMMYFUNCTION("IMPORTRANGE(""https://docs.google.com/spreadsheets/d/16pAz3pOhQEZBhvFNMa5KGgZS6iKWpsKX0pg6tQmwFpo/edit?usp=sharing"",""ตรัง!I772"")"),20)</f>
        <v>20</v>
      </c>
      <c r="L77" s="152">
        <f ca="1">IFERROR(__xludf.DUMMYFUNCTION("IMPORTRANGE(""https://docs.google.com/spreadsheets/d/16pAz3pOhQEZBhvFNMa5KGgZS6iKWpsKX0pg6tQmwFpo/edit?usp=sharing"",""ตรัง!J772"")"),20)</f>
        <v>20</v>
      </c>
      <c r="M77" s="216">
        <f t="shared" ca="1" si="24"/>
        <v>100</v>
      </c>
      <c r="N77" s="152">
        <f ca="1">IFERROR(__xludf.DUMMYFUNCTION("IMPORTRANGE(""https://docs.google.com/spreadsheets/d/16pAz3pOhQEZBhvFNMa5KGgZS6iKWpsKX0pg6tQmwFpo/edit?usp=sharing"",""ตรัง!I774"")"),50)</f>
        <v>50</v>
      </c>
      <c r="O77" s="152">
        <f ca="1">IFERROR(__xludf.DUMMYFUNCTION("IMPORTRANGE(""https://docs.google.com/spreadsheets/d/16pAz3pOhQEZBhvFNMa5KGgZS6iKWpsKX0pg6tQmwFpo/edit?usp=sharing"",""ตรัง!J774"")"),50)</f>
        <v>50</v>
      </c>
      <c r="P77" s="216">
        <f t="shared" ca="1" si="26"/>
        <v>100</v>
      </c>
      <c r="Q77" s="152">
        <f ca="1">IFERROR(__xludf.DUMMYFUNCTION("IMPORTRANGE(""https://docs.google.com/spreadsheets/d/16pAz3pOhQEZBhvFNMa5KGgZS6iKWpsKX0pg6tQmwFpo/edit?usp=sharing"",""ตรัง!I775"")"),50)</f>
        <v>50</v>
      </c>
      <c r="R77" s="152">
        <f ca="1">IFERROR(__xludf.DUMMYFUNCTION("IMPORTRANGE(""https://docs.google.com/spreadsheets/d/16pAz3pOhQEZBhvFNMa5KGgZS6iKWpsKX0pg6tQmwFpo/edit?usp=sharing"",""ตรัง!I776"")"),20)</f>
        <v>20</v>
      </c>
      <c r="S77" s="152">
        <f ca="1">IFERROR(__xludf.DUMMYFUNCTION("IMPORTRANGE(""https://docs.google.com/spreadsheets/d/16pAz3pOhQEZBhvFNMa5KGgZS6iKWpsKX0pg6tQmwFpo/edit?usp=sharing"",""ตรัง!J775"")"),0)</f>
        <v>0</v>
      </c>
      <c r="T77" s="216">
        <f t="shared" ca="1" si="28"/>
        <v>0</v>
      </c>
      <c r="U77" s="152">
        <f ca="1">IFERROR(__xludf.DUMMYFUNCTION("IMPORTRANGE(""https://docs.google.com/spreadsheets/d/16pAz3pOhQEZBhvFNMa5KGgZS6iKWpsKX0pg6tQmwFpo/edit?usp=sharing"",""ตรัง!J776"")"),0)</f>
        <v>0</v>
      </c>
      <c r="V77" s="216">
        <f t="shared" ca="1" si="29"/>
        <v>0</v>
      </c>
      <c r="W77" s="232"/>
    </row>
    <row r="78" spans="1:23" ht="19.5" x14ac:dyDescent="0.3">
      <c r="A78" s="147">
        <v>4</v>
      </c>
      <c r="B78" s="148" t="s">
        <v>106</v>
      </c>
      <c r="C78" s="475">
        <f ca="1">IFERROR(__xludf.DUMMYFUNCTION("IMPORTRANGE(""https://docs.google.com/spreadsheets/d/1Dj4jcHCTV9JXKCaMoheSXS52JE63kDKyG7bPXnFogHk/edit?usp=sharing"",""นครศรีธรรมราช!Q760"")"),0)</f>
        <v>0</v>
      </c>
      <c r="D78" s="260">
        <f ca="1">IFERROR(__xludf.DUMMYFUNCTION("IMPORTRANGE(""https://docs.google.com/spreadsheets/d/1Dj4jcHCTV9JXKCaMoheSXS52JE63kDKyG7bPXnFogHk/edit?usp=sharing"",""นครศรีธรรมราช!R760"")"),0)</f>
        <v>0</v>
      </c>
      <c r="E78" s="475">
        <f ca="1">IFERROR(__xludf.DUMMYFUNCTION("IMPORTRANGE(""https://docs.google.com/spreadsheets/d/1Dj4jcHCTV9JXKCaMoheSXS52JE63kDKyG7bPXnFogHk/edit?usp=sharing"",""นครศรีธรรมราช!S760"")"),0)</f>
        <v>0</v>
      </c>
      <c r="F78" s="260">
        <f t="shared" ca="1" si="19"/>
        <v>0</v>
      </c>
      <c r="G78" s="260">
        <f t="shared" ca="1" si="20"/>
        <v>0</v>
      </c>
      <c r="H78" s="278">
        <v>0</v>
      </c>
      <c r="I78" s="152">
        <v>0</v>
      </c>
      <c r="J78" s="216">
        <f t="shared" si="22"/>
        <v>0</v>
      </c>
      <c r="K78" s="152">
        <f ca="1">IFERROR(__xludf.DUMMYFUNCTION("IMPORTRANGE(""https://docs.google.com/spreadsheets/d/1Dj4jcHCTV9JXKCaMoheSXS52JE63kDKyG7bPXnFogHk/edit?usp=sharing"",""นครศรีธรรมราช!I772"")"),0)</f>
        <v>0</v>
      </c>
      <c r="L78" s="152">
        <f ca="1">IFERROR(__xludf.DUMMYFUNCTION("IMPORTRANGE(""https://docs.google.com/spreadsheets/d/1Dj4jcHCTV9JXKCaMoheSXS52JE63kDKyG7bPXnFogHk/edit?usp=sharing"",""นครศรีธรรมราช!J772"")"),0)</f>
        <v>0</v>
      </c>
      <c r="M78" s="216">
        <f t="shared" ca="1" si="24"/>
        <v>0</v>
      </c>
      <c r="N78" s="152">
        <f ca="1">IFERROR(__xludf.DUMMYFUNCTION("IMPORTRANGE(""https://docs.google.com/spreadsheets/d/1Dj4jcHCTV9JXKCaMoheSXS52JE63kDKyG7bPXnFogHk/edit?usp=sharing"",""นครศรีธรรมราช!I774"")"),0)</f>
        <v>0</v>
      </c>
      <c r="O78" s="152">
        <f ca="1">IFERROR(__xludf.DUMMYFUNCTION("IMPORTRANGE(""https://docs.google.com/spreadsheets/d/1Dj4jcHCTV9JXKCaMoheSXS52JE63kDKyG7bPXnFogHk/edit?usp=sharing"",""นครศรีธรรมราช!J774"")"),0)</f>
        <v>0</v>
      </c>
      <c r="P78" s="216">
        <f t="shared" ca="1" si="26"/>
        <v>0</v>
      </c>
      <c r="Q78" s="152">
        <f ca="1">IFERROR(__xludf.DUMMYFUNCTION("IMPORTRANGE(""https://docs.google.com/spreadsheets/d/1Dj4jcHCTV9JXKCaMoheSXS52JE63kDKyG7bPXnFogHk/edit?usp=sharing"",""นครศรีธรรมราช!I775"")"),0)</f>
        <v>0</v>
      </c>
      <c r="R78" s="152">
        <f ca="1">IFERROR(__xludf.DUMMYFUNCTION("IMPORTRANGE(""https://docs.google.com/spreadsheets/d/1Dj4jcHCTV9JXKCaMoheSXS52JE63kDKyG7bPXnFogHk/edit?usp=sharing"",""นครศรีธรรมราช!I776"")"),0)</f>
        <v>0</v>
      </c>
      <c r="S78" s="152">
        <f ca="1">IFERROR(__xludf.DUMMYFUNCTION("IMPORTRANGE(""https://docs.google.com/spreadsheets/d/1Dj4jcHCTV9JXKCaMoheSXS52JE63kDKyG7bPXnFogHk/edit?usp=sharing"",""นครศรีธรรมราช!J775"")"),0)</f>
        <v>0</v>
      </c>
      <c r="T78" s="216">
        <f t="shared" ca="1" si="28"/>
        <v>0</v>
      </c>
      <c r="U78" s="152">
        <f ca="1">IFERROR(__xludf.DUMMYFUNCTION("IMPORTRANGE(""https://docs.google.com/spreadsheets/d/1Dj4jcHCTV9JXKCaMoheSXS52JE63kDKyG7bPXnFogHk/edit?usp=sharing"",""นครศรีธรรมราช!J776"")"),0)</f>
        <v>0</v>
      </c>
      <c r="V78" s="216">
        <f t="shared" ca="1" si="29"/>
        <v>0</v>
      </c>
      <c r="W78" s="232"/>
    </row>
    <row r="79" spans="1:23" ht="19.5" x14ac:dyDescent="0.3">
      <c r="A79" s="147">
        <v>5</v>
      </c>
      <c r="B79" s="148" t="s">
        <v>107</v>
      </c>
      <c r="C79" s="475">
        <f ca="1">IFERROR(__xludf.DUMMYFUNCTION("IMPORTRANGE(""https://docs.google.com/spreadsheets/d/1iodCdmuK2GR3jzUwk8tpccY2JHQQA-87DLOtJP-ooyU/edit?usp=sharing"",""นราธิวาส!Q760"")"),0)</f>
        <v>0</v>
      </c>
      <c r="D79" s="260">
        <f ca="1">IFERROR(__xludf.DUMMYFUNCTION("IMPORTRANGE(""https://docs.google.com/spreadsheets/d/1iodCdmuK2GR3jzUwk8tpccY2JHQQA-87DLOtJP-ooyU/edit?usp=sharing"",""นราธิวาส!R760"")"),0)</f>
        <v>0</v>
      </c>
      <c r="E79" s="475">
        <f ca="1">IFERROR(__xludf.DUMMYFUNCTION("IMPORTRANGE(""https://docs.google.com/spreadsheets/d/1iodCdmuK2GR3jzUwk8tpccY2JHQQA-87DLOtJP-ooyU/edit?usp=sharing"",""นราธิวาส!S760"")"),0)</f>
        <v>0</v>
      </c>
      <c r="F79" s="260">
        <f t="shared" ca="1" si="19"/>
        <v>0</v>
      </c>
      <c r="G79" s="260">
        <f t="shared" ca="1" si="20"/>
        <v>0</v>
      </c>
      <c r="H79" s="278">
        <v>0</v>
      </c>
      <c r="I79" s="152">
        <v>0</v>
      </c>
      <c r="J79" s="216">
        <f t="shared" si="22"/>
        <v>0</v>
      </c>
      <c r="K79" s="152">
        <f ca="1">IFERROR(__xludf.DUMMYFUNCTION("IMPORTRANGE(""https://docs.google.com/spreadsheets/d/1iodCdmuK2GR3jzUwk8tpccY2JHQQA-87DLOtJP-ooyU/edit?usp=sharing"",""นราธิวาส!I772"")"),0)</f>
        <v>0</v>
      </c>
      <c r="L79" s="152">
        <f ca="1">IFERROR(__xludf.DUMMYFUNCTION("IMPORTRANGE(""https://docs.google.com/spreadsheets/d/1iodCdmuK2GR3jzUwk8tpccY2JHQQA-87DLOtJP-ooyU/edit?usp=sharing"",""นราธิวาส!J772"")"),0)</f>
        <v>0</v>
      </c>
      <c r="M79" s="216">
        <f t="shared" ca="1" si="24"/>
        <v>0</v>
      </c>
      <c r="N79" s="152">
        <f ca="1">IFERROR(__xludf.DUMMYFUNCTION("IMPORTRANGE(""https://docs.google.com/spreadsheets/d/1iodCdmuK2GR3jzUwk8tpccY2JHQQA-87DLOtJP-ooyU/edit?usp=sharing"",""นราธิวาส!I774"")"),0)</f>
        <v>0</v>
      </c>
      <c r="O79" s="152">
        <f ca="1">IFERROR(__xludf.DUMMYFUNCTION("IMPORTRANGE(""https://docs.google.com/spreadsheets/d/1iodCdmuK2GR3jzUwk8tpccY2JHQQA-87DLOtJP-ooyU/edit?usp=sharing"",""นราธิวาส!J774"")"),0)</f>
        <v>0</v>
      </c>
      <c r="P79" s="216">
        <f t="shared" ca="1" si="26"/>
        <v>0</v>
      </c>
      <c r="Q79" s="152">
        <f ca="1">IFERROR(__xludf.DUMMYFUNCTION("IMPORTRANGE(""https://docs.google.com/spreadsheets/d/1iodCdmuK2GR3jzUwk8tpccY2JHQQA-87DLOtJP-ooyU/edit?usp=sharing"",""นราธิวาส!I775"")"),0)</f>
        <v>0</v>
      </c>
      <c r="R79" s="152">
        <f ca="1">IFERROR(__xludf.DUMMYFUNCTION("IMPORTRANGE(""https://docs.google.com/spreadsheets/d/1iodCdmuK2GR3jzUwk8tpccY2JHQQA-87DLOtJP-ooyU/edit?usp=sharing"",""นราธิวาส!I776"")"),0)</f>
        <v>0</v>
      </c>
      <c r="S79" s="152">
        <f ca="1">IFERROR(__xludf.DUMMYFUNCTION("IMPORTRANGE(""https://docs.google.com/spreadsheets/d/1iodCdmuK2GR3jzUwk8tpccY2JHQQA-87DLOtJP-ooyU/edit?usp=sharing"",""นราธิวาส!J775"")"),0)</f>
        <v>0</v>
      </c>
      <c r="T79" s="216">
        <f t="shared" ca="1" si="28"/>
        <v>0</v>
      </c>
      <c r="U79" s="152">
        <f ca="1">IFERROR(__xludf.DUMMYFUNCTION("IMPORTRANGE(""https://docs.google.com/spreadsheets/d/1iodCdmuK2GR3jzUwk8tpccY2JHQQA-87DLOtJP-ooyU/edit?usp=sharing"",""นราธิวาส!J776"")"),0)</f>
        <v>0</v>
      </c>
      <c r="V79" s="216">
        <f t="shared" ca="1" si="29"/>
        <v>0</v>
      </c>
      <c r="W79" s="232"/>
    </row>
    <row r="80" spans="1:23" ht="19.5" x14ac:dyDescent="0.3">
      <c r="A80" s="147">
        <v>6</v>
      </c>
      <c r="B80" s="148" t="s">
        <v>108</v>
      </c>
      <c r="C80" s="475">
        <f ca="1">IFERROR(__xludf.DUMMYFUNCTION("IMPORTRANGE(""https://docs.google.com/spreadsheets/d/1SDNX3JhDdYRuIOsj0Wh2M-Qa_eaXl0NbWmhAOTbfQAs/edit?usp=sharing"",""ปัตตานี!Q760"")"),91360)</f>
        <v>91360</v>
      </c>
      <c r="D80" s="260">
        <f ca="1">IFERROR(__xludf.DUMMYFUNCTION("IMPORTRANGE(""https://docs.google.com/spreadsheets/d/1SDNX3JhDdYRuIOsj0Wh2M-Qa_eaXl0NbWmhAOTbfQAs/edit?usp=sharing"",""ปัตตานี!R760"")"),91360)</f>
        <v>91360</v>
      </c>
      <c r="E80" s="475">
        <f ca="1">IFERROR(__xludf.DUMMYFUNCTION("IMPORTRANGE(""https://docs.google.com/spreadsheets/d/1SDNX3JhDdYRuIOsj0Wh2M-Qa_eaXl0NbWmhAOTbfQAs/edit?usp=sharing"",""ปัตตานี!S760"")"),82920)</f>
        <v>82920</v>
      </c>
      <c r="F80" s="260">
        <f t="shared" ca="1" si="19"/>
        <v>90.76182136602452</v>
      </c>
      <c r="G80" s="260">
        <f t="shared" ca="1" si="20"/>
        <v>90.76182136602452</v>
      </c>
      <c r="H80" s="278">
        <v>0</v>
      </c>
      <c r="I80" s="152">
        <v>0</v>
      </c>
      <c r="J80" s="216">
        <f t="shared" si="22"/>
        <v>0</v>
      </c>
      <c r="K80" s="152">
        <f ca="1">IFERROR(__xludf.DUMMYFUNCTION("IMPORTRANGE(""https://docs.google.com/spreadsheets/d/1SDNX3JhDdYRuIOsj0Wh2M-Qa_eaXl0NbWmhAOTbfQAs/edit?usp=sharing"",""ปัตตานี!I772"")"),10)</f>
        <v>10</v>
      </c>
      <c r="L80" s="152">
        <f ca="1">IFERROR(__xludf.DUMMYFUNCTION("IMPORTRANGE(""https://docs.google.com/spreadsheets/d/1SDNX3JhDdYRuIOsj0Wh2M-Qa_eaXl0NbWmhAOTbfQAs/edit?usp=sharing"",""ปัตตานี!J772"")"),10)</f>
        <v>10</v>
      </c>
      <c r="M80" s="216">
        <f t="shared" ca="1" si="24"/>
        <v>100</v>
      </c>
      <c r="N80" s="152">
        <f ca="1">IFERROR(__xludf.DUMMYFUNCTION("IMPORTRANGE(""https://docs.google.com/spreadsheets/d/1SDNX3JhDdYRuIOsj0Wh2M-Qa_eaXl0NbWmhAOTbfQAs/edit?usp=sharing"",""ปัตตานี!I774"")"),20)</f>
        <v>20</v>
      </c>
      <c r="O80" s="152">
        <f ca="1">IFERROR(__xludf.DUMMYFUNCTION("IMPORTRANGE(""https://docs.google.com/spreadsheets/d/1SDNX3JhDdYRuIOsj0Wh2M-Qa_eaXl0NbWmhAOTbfQAs/edit?usp=sharing"",""ปัตตานี!J774"")"),20)</f>
        <v>20</v>
      </c>
      <c r="P80" s="216">
        <f t="shared" ca="1" si="26"/>
        <v>100</v>
      </c>
      <c r="Q80" s="152">
        <f ca="1">IFERROR(__xludf.DUMMYFUNCTION("IMPORTRANGE(""https://docs.google.com/spreadsheets/d/1SDNX3JhDdYRuIOsj0Wh2M-Qa_eaXl0NbWmhAOTbfQAs/edit?usp=sharing"",""ปัตตานี!I775"")"),20)</f>
        <v>20</v>
      </c>
      <c r="R80" s="152">
        <f ca="1">IFERROR(__xludf.DUMMYFUNCTION("IMPORTRANGE(""https://docs.google.com/spreadsheets/d/1SDNX3JhDdYRuIOsj0Wh2M-Qa_eaXl0NbWmhAOTbfQAs/edit?usp=sharing"",""ปัตตานี!I776"")"),10)</f>
        <v>10</v>
      </c>
      <c r="S80" s="152">
        <f ca="1">IFERROR(__xludf.DUMMYFUNCTION("IMPORTRANGE(""https://docs.google.com/spreadsheets/d/1SDNX3JhDdYRuIOsj0Wh2M-Qa_eaXl0NbWmhAOTbfQAs/edit?usp=sharing"",""ปัตตานี!J775"")"),20)</f>
        <v>20</v>
      </c>
      <c r="T80" s="216">
        <f t="shared" ca="1" si="28"/>
        <v>100</v>
      </c>
      <c r="U80" s="152">
        <f ca="1">IFERROR(__xludf.DUMMYFUNCTION("IMPORTRANGE(""https://docs.google.com/spreadsheets/d/1SDNX3JhDdYRuIOsj0Wh2M-Qa_eaXl0NbWmhAOTbfQAs/edit?usp=sharing"",""ปัตตานี!J776"")"),10)</f>
        <v>10</v>
      </c>
      <c r="V80" s="216">
        <f t="shared" ca="1" si="29"/>
        <v>100</v>
      </c>
      <c r="W80" s="232"/>
    </row>
    <row r="81" spans="1:23" ht="19.5" x14ac:dyDescent="0.3">
      <c r="A81" s="147">
        <v>7</v>
      </c>
      <c r="B81" s="148" t="s">
        <v>109</v>
      </c>
      <c r="C81" s="475">
        <f ca="1">IFERROR(__xludf.DUMMYFUNCTION("IMPORTRANGE(""https://docs.google.com/spreadsheets/d/16JDLGguT8s5DsGCND1KcwHP_AWR_zDMTqLHPLJUKhaU/edit?usp=sharing"",""พังงา!Q760"")"),160660)</f>
        <v>160660</v>
      </c>
      <c r="D81" s="260">
        <f ca="1">IFERROR(__xludf.DUMMYFUNCTION("IMPORTRANGE(""https://docs.google.com/spreadsheets/d/16JDLGguT8s5DsGCND1KcwHP_AWR_zDMTqLHPLJUKhaU/edit?usp=sharing"",""พังงา!R760"")"),160660)</f>
        <v>160660</v>
      </c>
      <c r="E81" s="475">
        <f ca="1">IFERROR(__xludf.DUMMYFUNCTION("IMPORTRANGE(""https://docs.google.com/spreadsheets/d/16JDLGguT8s5DsGCND1KcwHP_AWR_zDMTqLHPLJUKhaU/edit?usp=sharing"",""พังงา!S760"")"),121235)</f>
        <v>121235</v>
      </c>
      <c r="F81" s="260">
        <f t="shared" ca="1" si="19"/>
        <v>75.460600024897303</v>
      </c>
      <c r="G81" s="260">
        <f t="shared" ca="1" si="20"/>
        <v>75.460600024897303</v>
      </c>
      <c r="H81" s="278">
        <v>0</v>
      </c>
      <c r="I81" s="152">
        <v>0</v>
      </c>
      <c r="J81" s="216">
        <f t="shared" si="22"/>
        <v>0</v>
      </c>
      <c r="K81" s="152">
        <f ca="1">IFERROR(__xludf.DUMMYFUNCTION("IMPORTRANGE(""https://docs.google.com/spreadsheets/d/16JDLGguT8s5DsGCND1KcwHP_AWR_zDMTqLHPLJUKhaU/edit?usp=sharing"",""พังงา!I772"")"),20)</f>
        <v>20</v>
      </c>
      <c r="L81" s="152">
        <f ca="1">IFERROR(__xludf.DUMMYFUNCTION("IMPORTRANGE(""https://docs.google.com/spreadsheets/d/16JDLGguT8s5DsGCND1KcwHP_AWR_zDMTqLHPLJUKhaU/edit?usp=sharing"",""พังงา!J772"")"),20)</f>
        <v>20</v>
      </c>
      <c r="M81" s="216">
        <f t="shared" ca="1" si="24"/>
        <v>100</v>
      </c>
      <c r="N81" s="152">
        <f ca="1">IFERROR(__xludf.DUMMYFUNCTION("IMPORTRANGE(""https://docs.google.com/spreadsheets/d/16JDLGguT8s5DsGCND1KcwHP_AWR_zDMTqLHPLJUKhaU/edit?usp=sharing"",""พังงา!I774"")"),60)</f>
        <v>60</v>
      </c>
      <c r="O81" s="152">
        <f ca="1">IFERROR(__xludf.DUMMYFUNCTION("IMPORTRANGE(""https://docs.google.com/spreadsheets/d/16JDLGguT8s5DsGCND1KcwHP_AWR_zDMTqLHPLJUKhaU/edit?usp=sharing"",""พังงา!J774"")"),60)</f>
        <v>60</v>
      </c>
      <c r="P81" s="216">
        <f t="shared" ca="1" si="26"/>
        <v>100</v>
      </c>
      <c r="Q81" s="152">
        <f ca="1">IFERROR(__xludf.DUMMYFUNCTION("IMPORTRANGE(""https://docs.google.com/spreadsheets/d/16JDLGguT8s5DsGCND1KcwHP_AWR_zDMTqLHPLJUKhaU/edit?usp=sharing"",""พังงา!I775"")"),60)</f>
        <v>60</v>
      </c>
      <c r="R81" s="152">
        <f ca="1">IFERROR(__xludf.DUMMYFUNCTION("IMPORTRANGE(""https://docs.google.com/spreadsheets/d/16JDLGguT8s5DsGCND1KcwHP_AWR_zDMTqLHPLJUKhaU/edit?usp=sharing"",""พังงา!I776"")"),20)</f>
        <v>20</v>
      </c>
      <c r="S81" s="152">
        <f ca="1">IFERROR(__xludf.DUMMYFUNCTION("IMPORTRANGE(""https://docs.google.com/spreadsheets/d/16JDLGguT8s5DsGCND1KcwHP_AWR_zDMTqLHPLJUKhaU/edit?usp=sharing"",""พังงา!J775"")"),60)</f>
        <v>60</v>
      </c>
      <c r="T81" s="216">
        <f t="shared" ca="1" si="28"/>
        <v>100</v>
      </c>
      <c r="U81" s="152">
        <f ca="1">IFERROR(__xludf.DUMMYFUNCTION("IMPORTRANGE(""https://docs.google.com/spreadsheets/d/16JDLGguT8s5DsGCND1KcwHP_AWR_zDMTqLHPLJUKhaU/edit?usp=sharing"",""พังงา!J776"")"),20)</f>
        <v>20</v>
      </c>
      <c r="V81" s="216">
        <f t="shared" ca="1" si="29"/>
        <v>100</v>
      </c>
      <c r="W81" s="232"/>
    </row>
    <row r="82" spans="1:23" ht="19.5" x14ac:dyDescent="0.3">
      <c r="A82" s="147">
        <v>8</v>
      </c>
      <c r="B82" s="148" t="s">
        <v>110</v>
      </c>
      <c r="C82" s="475">
        <f ca="1">IFERROR(__xludf.DUMMYFUNCTION("IMPORTRANGE(""https://docs.google.com/spreadsheets/d/17ht0gPKzzT3PObBL1XJkeRmntBXI7wGjpLV7QorqlTk/edit?usp=sharing"",""พัทลุง!Q760"")"),397800)</f>
        <v>397800</v>
      </c>
      <c r="D82" s="260">
        <f ca="1">IFERROR(__xludf.DUMMYFUNCTION("IMPORTRANGE(""https://docs.google.com/spreadsheets/d/17ht0gPKzzT3PObBL1XJkeRmntBXI7wGjpLV7QorqlTk/edit?usp=sharing"",""พัทลุง!R760"")"),387800)</f>
        <v>387800</v>
      </c>
      <c r="E82" s="475">
        <f ca="1">IFERROR(__xludf.DUMMYFUNCTION("IMPORTRANGE(""https://docs.google.com/spreadsheets/d/17ht0gPKzzT3PObBL1XJkeRmntBXI7wGjpLV7QorqlTk/edit?usp=sharing"",""พัทลุง!S760"")"),342450)</f>
        <v>342450</v>
      </c>
      <c r="F82" s="260">
        <f t="shared" ca="1" si="19"/>
        <v>86.085972850678729</v>
      </c>
      <c r="G82" s="260">
        <f t="shared" ca="1" si="20"/>
        <v>88.30582774626096</v>
      </c>
      <c r="H82" s="278">
        <v>0</v>
      </c>
      <c r="I82" s="152">
        <v>0</v>
      </c>
      <c r="J82" s="216">
        <f t="shared" si="22"/>
        <v>0</v>
      </c>
      <c r="K82" s="152">
        <f ca="1">IFERROR(__xludf.DUMMYFUNCTION("IMPORTRANGE(""https://docs.google.com/spreadsheets/d/17ht0gPKzzT3PObBL1XJkeRmntBXI7wGjpLV7QorqlTk/edit?usp=sharing"",""พัทลุง!I772"")"),50)</f>
        <v>50</v>
      </c>
      <c r="L82" s="152">
        <f ca="1">IFERROR(__xludf.DUMMYFUNCTION("IMPORTRANGE(""https://docs.google.com/spreadsheets/d/17ht0gPKzzT3PObBL1XJkeRmntBXI7wGjpLV7QorqlTk/edit?usp=sharing"",""พัทลุง!J772"")"),50)</f>
        <v>50</v>
      </c>
      <c r="M82" s="216">
        <f t="shared" ca="1" si="24"/>
        <v>100</v>
      </c>
      <c r="N82" s="152">
        <f ca="1">IFERROR(__xludf.DUMMYFUNCTION("IMPORTRANGE(""https://docs.google.com/spreadsheets/d/17ht0gPKzzT3PObBL1XJkeRmntBXI7wGjpLV7QorqlTk/edit?usp=sharing"",""พัทลุง!I774"")"),100)</f>
        <v>100</v>
      </c>
      <c r="O82" s="152">
        <f ca="1">IFERROR(__xludf.DUMMYFUNCTION("IMPORTRANGE(""https://docs.google.com/spreadsheets/d/17ht0gPKzzT3PObBL1XJkeRmntBXI7wGjpLV7QorqlTk/edit?usp=sharing"",""พัทลุง!J774"")"),100)</f>
        <v>100</v>
      </c>
      <c r="P82" s="216">
        <f t="shared" ca="1" si="26"/>
        <v>100</v>
      </c>
      <c r="Q82" s="152">
        <f ca="1">IFERROR(__xludf.DUMMYFUNCTION("IMPORTRANGE(""https://docs.google.com/spreadsheets/d/17ht0gPKzzT3PObBL1XJkeRmntBXI7wGjpLV7QorqlTk/edit?usp=sharing"",""พัทลุง!I775"")"),100)</f>
        <v>100</v>
      </c>
      <c r="R82" s="152">
        <f ca="1">IFERROR(__xludf.DUMMYFUNCTION("IMPORTRANGE(""https://docs.google.com/spreadsheets/d/17ht0gPKzzT3PObBL1XJkeRmntBXI7wGjpLV7QorqlTk/edit?usp=sharing"",""พัทลุง!I776"")"),50)</f>
        <v>50</v>
      </c>
      <c r="S82" s="152">
        <f ca="1">IFERROR(__xludf.DUMMYFUNCTION("IMPORTRANGE(""https://docs.google.com/spreadsheets/d/17ht0gPKzzT3PObBL1XJkeRmntBXI7wGjpLV7QorqlTk/edit?usp=sharing"",""พัทลุง!J775"")"),100)</f>
        <v>100</v>
      </c>
      <c r="T82" s="216">
        <f t="shared" ca="1" si="28"/>
        <v>100</v>
      </c>
      <c r="U82" s="152">
        <f ca="1">IFERROR(__xludf.DUMMYFUNCTION("IMPORTRANGE(""https://docs.google.com/spreadsheets/d/17ht0gPKzzT3PObBL1XJkeRmntBXI7wGjpLV7QorqlTk/edit?usp=sharing"",""พัทลุง!J776"")"),50)</f>
        <v>50</v>
      </c>
      <c r="V82" s="216">
        <f t="shared" ca="1" si="29"/>
        <v>100</v>
      </c>
      <c r="W82" s="232"/>
    </row>
    <row r="83" spans="1:23" ht="19.5" x14ac:dyDescent="0.3">
      <c r="A83" s="147">
        <v>9</v>
      </c>
      <c r="B83" s="148" t="s">
        <v>111</v>
      </c>
      <c r="C83" s="475">
        <f ca="1">IFERROR(__xludf.DUMMYFUNCTION("IMPORTRANGE(""https://docs.google.com/spreadsheets/d/1rd4qoM1q_hsgaolqNGfrim9gbsoLxQsda4-vOz5x_BM/edit?usp=sharing"",""ภูเก็ต!Q760"")"),169530)</f>
        <v>169530</v>
      </c>
      <c r="D83" s="260">
        <f ca="1">IFERROR(__xludf.DUMMYFUNCTION("IMPORTRANGE(""https://docs.google.com/spreadsheets/d/1rd4qoM1q_hsgaolqNGfrim9gbsoLxQsda4-vOz5x_BM/edit?usp=sharing"",""ภูเก็ต!R760"")"),169530)</f>
        <v>169530</v>
      </c>
      <c r="E83" s="475">
        <f ca="1">IFERROR(__xludf.DUMMYFUNCTION("IMPORTRANGE(""https://docs.google.com/spreadsheets/d/1rd4qoM1q_hsgaolqNGfrim9gbsoLxQsda4-vOz5x_BM/edit?usp=sharing"",""ภูเก็ต!S760"")"),140940)</f>
        <v>140940</v>
      </c>
      <c r="F83" s="260">
        <f t="shared" ca="1" si="19"/>
        <v>83.135728189700941</v>
      </c>
      <c r="G83" s="260">
        <f t="shared" ca="1" si="20"/>
        <v>83.135728189700941</v>
      </c>
      <c r="H83" s="278">
        <v>0</v>
      </c>
      <c r="I83" s="152">
        <v>0</v>
      </c>
      <c r="J83" s="216">
        <f t="shared" si="22"/>
        <v>0</v>
      </c>
      <c r="K83" s="152">
        <f ca="1">IFERROR(__xludf.DUMMYFUNCTION("IMPORTRANGE(""https://docs.google.com/spreadsheets/d/1rd4qoM1q_hsgaolqNGfrim9gbsoLxQsda4-vOz5x_BM/edit?usp=sharing"",""ภูเก็ต!I772"")"),25)</f>
        <v>25</v>
      </c>
      <c r="L83" s="152">
        <f ca="1">IFERROR(__xludf.DUMMYFUNCTION("IMPORTRANGE(""https://docs.google.com/spreadsheets/d/1rd4qoM1q_hsgaolqNGfrim9gbsoLxQsda4-vOz5x_BM/edit?usp=sharing"",""ภูเก็ต!J772"")"),25)</f>
        <v>25</v>
      </c>
      <c r="M83" s="216">
        <f t="shared" ca="1" si="24"/>
        <v>100</v>
      </c>
      <c r="N83" s="152">
        <f ca="1">IFERROR(__xludf.DUMMYFUNCTION("IMPORTRANGE(""https://docs.google.com/spreadsheets/d/1rd4qoM1q_hsgaolqNGfrim9gbsoLxQsda4-vOz5x_BM/edit?usp=sharing"",""ภูเก็ต!I774"")"),50)</f>
        <v>50</v>
      </c>
      <c r="O83" s="152">
        <f ca="1">IFERROR(__xludf.DUMMYFUNCTION("IMPORTRANGE(""https://docs.google.com/spreadsheets/d/1rd4qoM1q_hsgaolqNGfrim9gbsoLxQsda4-vOz5x_BM/edit?usp=sharing"",""ภูเก็ต!J774"")"),50)</f>
        <v>50</v>
      </c>
      <c r="P83" s="216">
        <f t="shared" ca="1" si="26"/>
        <v>100</v>
      </c>
      <c r="Q83" s="152">
        <f ca="1">IFERROR(__xludf.DUMMYFUNCTION("IMPORTRANGE(""https://docs.google.com/spreadsheets/d/1rd4qoM1q_hsgaolqNGfrim9gbsoLxQsda4-vOz5x_BM/edit?usp=sharing"",""ภูเก็ต!I775"")"),50)</f>
        <v>50</v>
      </c>
      <c r="R83" s="152">
        <f ca="1">IFERROR(__xludf.DUMMYFUNCTION("IMPORTRANGE(""https://docs.google.com/spreadsheets/d/1rd4qoM1q_hsgaolqNGfrim9gbsoLxQsda4-vOz5x_BM/edit?usp=sharing"",""ภูเก็ต!I776"")"),25)</f>
        <v>25</v>
      </c>
      <c r="S83" s="152">
        <f ca="1">IFERROR(__xludf.DUMMYFUNCTION("IMPORTRANGE(""https://docs.google.com/spreadsheets/d/1rd4qoM1q_hsgaolqNGfrim9gbsoLxQsda4-vOz5x_BM/edit?usp=sharing"",""ภูเก็ต!J775"")"),50)</f>
        <v>50</v>
      </c>
      <c r="T83" s="216">
        <f t="shared" ca="1" si="28"/>
        <v>100</v>
      </c>
      <c r="U83" s="152">
        <f ca="1">IFERROR(__xludf.DUMMYFUNCTION("IMPORTRANGE(""https://docs.google.com/spreadsheets/d/1rd4qoM1q_hsgaolqNGfrim9gbsoLxQsda4-vOz5x_BM/edit?usp=sharing"",""ภูเก็ต!J776"")"),25)</f>
        <v>25</v>
      </c>
      <c r="V83" s="216">
        <f t="shared" ca="1" si="29"/>
        <v>100</v>
      </c>
      <c r="W83" s="232"/>
    </row>
    <row r="84" spans="1:23" ht="19.5" x14ac:dyDescent="0.3">
      <c r="A84" s="147">
        <v>10</v>
      </c>
      <c r="B84" s="148" t="s">
        <v>112</v>
      </c>
      <c r="C84" s="475">
        <f ca="1">IFERROR(__xludf.DUMMYFUNCTION("IMPORTRANGE(""https://docs.google.com/spreadsheets/d/1woKwKjgoLssDvPcPeVyezB5izizAn4X1JDrys69n6xI/edit?usp=sharing"",""ยะลา!Q760"")"),0)</f>
        <v>0</v>
      </c>
      <c r="D84" s="260">
        <f ca="1">IFERROR(__xludf.DUMMYFUNCTION("IMPORTRANGE(""https://docs.google.com/spreadsheets/d/1woKwKjgoLssDvPcPeVyezB5izizAn4X1JDrys69n6xI/edit?usp=sharing"",""ยะลา!R760"")"),0)</f>
        <v>0</v>
      </c>
      <c r="E84" s="475">
        <f ca="1">IFERROR(__xludf.DUMMYFUNCTION("IMPORTRANGE(""https://docs.google.com/spreadsheets/d/1woKwKjgoLssDvPcPeVyezB5izizAn4X1JDrys69n6xI/edit?usp=sharing"",""ยะลา!S760"")"),0)</f>
        <v>0</v>
      </c>
      <c r="F84" s="260">
        <f t="shared" ca="1" si="19"/>
        <v>0</v>
      </c>
      <c r="G84" s="260">
        <f t="shared" ca="1" si="20"/>
        <v>0</v>
      </c>
      <c r="H84" s="278">
        <v>0</v>
      </c>
      <c r="I84" s="152">
        <v>0</v>
      </c>
      <c r="J84" s="216">
        <f t="shared" si="22"/>
        <v>0</v>
      </c>
      <c r="K84" s="152">
        <f ca="1">IFERROR(__xludf.DUMMYFUNCTION("IMPORTRANGE(""https://docs.google.com/spreadsheets/d/1woKwKjgoLssDvPcPeVyezB5izizAn4X1JDrys69n6xI/edit?usp=sharing"",""ยะลา!I772"")"),0)</f>
        <v>0</v>
      </c>
      <c r="L84" s="152">
        <f ca="1">IFERROR(__xludf.DUMMYFUNCTION("IMPORTRANGE(""https://docs.google.com/spreadsheets/d/1woKwKjgoLssDvPcPeVyezB5izizAn4X1JDrys69n6xI/edit?usp=sharing"",""ยะลา!J772"")"),0)</f>
        <v>0</v>
      </c>
      <c r="M84" s="216">
        <f t="shared" ca="1" si="24"/>
        <v>0</v>
      </c>
      <c r="N84" s="152">
        <f ca="1">IFERROR(__xludf.DUMMYFUNCTION("IMPORTRANGE(""https://docs.google.com/spreadsheets/d/1woKwKjgoLssDvPcPeVyezB5izizAn4X1JDrys69n6xI/edit?usp=sharing"",""ยะลา!I774"")"),0)</f>
        <v>0</v>
      </c>
      <c r="O84" s="152">
        <f ca="1">IFERROR(__xludf.DUMMYFUNCTION("IMPORTRANGE(""https://docs.google.com/spreadsheets/d/1woKwKjgoLssDvPcPeVyezB5izizAn4X1JDrys69n6xI/edit?usp=sharing"",""ยะลา!J774"")"),0)</f>
        <v>0</v>
      </c>
      <c r="P84" s="216">
        <f t="shared" ca="1" si="26"/>
        <v>0</v>
      </c>
      <c r="Q84" s="152">
        <f ca="1">IFERROR(__xludf.DUMMYFUNCTION("IMPORTRANGE(""https://docs.google.com/spreadsheets/d/1woKwKjgoLssDvPcPeVyezB5izizAn4X1JDrys69n6xI/edit?usp=sharing"",""ยะลา!I775"")"),0)</f>
        <v>0</v>
      </c>
      <c r="R84" s="152">
        <f ca="1">IFERROR(__xludf.DUMMYFUNCTION("IMPORTRANGE(""https://docs.google.com/spreadsheets/d/1woKwKjgoLssDvPcPeVyezB5izizAn4X1JDrys69n6xI/edit?usp=sharing"",""ยะลา!I776"")"),0)</f>
        <v>0</v>
      </c>
      <c r="S84" s="152">
        <f ca="1">IFERROR(__xludf.DUMMYFUNCTION("IMPORTRANGE(""https://docs.google.com/spreadsheets/d/1woKwKjgoLssDvPcPeVyezB5izizAn4X1JDrys69n6xI/edit?usp=sharing"",""ยะลา!J775"")"),0)</f>
        <v>0</v>
      </c>
      <c r="T84" s="216">
        <f t="shared" ca="1" si="28"/>
        <v>0</v>
      </c>
      <c r="U84" s="152">
        <f ca="1">IFERROR(__xludf.DUMMYFUNCTION("IMPORTRANGE(""https://docs.google.com/spreadsheets/d/1woKwKjgoLssDvPcPeVyezB5izizAn4X1JDrys69n6xI/edit?usp=sharing"",""ยะลา!J776"")"),0)</f>
        <v>0</v>
      </c>
      <c r="V84" s="216">
        <f t="shared" ca="1" si="29"/>
        <v>0</v>
      </c>
      <c r="W84" s="232"/>
    </row>
    <row r="85" spans="1:23" ht="19.5" x14ac:dyDescent="0.3">
      <c r="A85" s="147">
        <v>11</v>
      </c>
      <c r="B85" s="148" t="s">
        <v>113</v>
      </c>
      <c r="C85" s="475">
        <f ca="1">IFERROR(__xludf.DUMMYFUNCTION("IMPORTRANGE(""https://docs.google.com/spreadsheets/d/1qfrKjzMhm2HJfxQ-qVlJlJQ25Hne1d0khsySbZyGtPA/edit?usp=sharing"",""ระนอง!Q760"")"),109660)</f>
        <v>109660</v>
      </c>
      <c r="D85" s="260">
        <f ca="1">IFERROR(__xludf.DUMMYFUNCTION("IMPORTRANGE(""https://docs.google.com/spreadsheets/d/1qfrKjzMhm2HJfxQ-qVlJlJQ25Hne1d0khsySbZyGtPA/edit?usp=sharing"",""ระนอง!R760"")"),109660)</f>
        <v>109660</v>
      </c>
      <c r="E85" s="475">
        <f ca="1">IFERROR(__xludf.DUMMYFUNCTION("IMPORTRANGE(""https://docs.google.com/spreadsheets/d/1qfrKjzMhm2HJfxQ-qVlJlJQ25Hne1d0khsySbZyGtPA/edit?usp=sharing"",""ระนอง!S760"")"),103560)</f>
        <v>103560</v>
      </c>
      <c r="F85" s="260">
        <f t="shared" ca="1" si="19"/>
        <v>94.43735181469998</v>
      </c>
      <c r="G85" s="260">
        <f t="shared" ca="1" si="20"/>
        <v>94.43735181469998</v>
      </c>
      <c r="H85" s="278">
        <v>0</v>
      </c>
      <c r="I85" s="152">
        <v>0</v>
      </c>
      <c r="J85" s="216">
        <f t="shared" si="22"/>
        <v>0</v>
      </c>
      <c r="K85" s="152">
        <f ca="1">IFERROR(__xludf.DUMMYFUNCTION("IMPORTRANGE(""https://docs.google.com/spreadsheets/d/1qfrKjzMhm2HJfxQ-qVlJlJQ25Hne1d0khsySbZyGtPA/edit?usp=sharing"",""ระนอง!I772"")"),20)</f>
        <v>20</v>
      </c>
      <c r="L85" s="152">
        <f ca="1">IFERROR(__xludf.DUMMYFUNCTION("IMPORTRANGE(""https://docs.google.com/spreadsheets/d/1qfrKjzMhm2HJfxQ-qVlJlJQ25Hne1d0khsySbZyGtPA/edit?usp=sharing"",""ระนอง!J772"")"),20)</f>
        <v>20</v>
      </c>
      <c r="M85" s="216">
        <f t="shared" ca="1" si="24"/>
        <v>100</v>
      </c>
      <c r="N85" s="152">
        <f ca="1">IFERROR(__xludf.DUMMYFUNCTION("IMPORTRANGE(""https://docs.google.com/spreadsheets/d/1qfrKjzMhm2HJfxQ-qVlJlJQ25Hne1d0khsySbZyGtPA/edit?usp=sharing"",""ระนอง!I774"")"),20)</f>
        <v>20</v>
      </c>
      <c r="O85" s="152">
        <f ca="1">IFERROR(__xludf.DUMMYFUNCTION("IMPORTRANGE(""https://docs.google.com/spreadsheets/d/1qfrKjzMhm2HJfxQ-qVlJlJQ25Hne1d0khsySbZyGtPA/edit?usp=sharing"",""ระนอง!J774"")"),20)</f>
        <v>20</v>
      </c>
      <c r="P85" s="216">
        <f t="shared" ca="1" si="26"/>
        <v>100</v>
      </c>
      <c r="Q85" s="152">
        <f ca="1">IFERROR(__xludf.DUMMYFUNCTION("IMPORTRANGE(""https://docs.google.com/spreadsheets/d/1qfrKjzMhm2HJfxQ-qVlJlJQ25Hne1d0khsySbZyGtPA/edit?usp=sharing"",""ระนอง!I775"")"),20)</f>
        <v>20</v>
      </c>
      <c r="R85" s="152">
        <f ca="1">IFERROR(__xludf.DUMMYFUNCTION("IMPORTRANGE(""https://docs.google.com/spreadsheets/d/1qfrKjzMhm2HJfxQ-qVlJlJQ25Hne1d0khsySbZyGtPA/edit?usp=sharing"",""ระนอง!I776"")"),20)</f>
        <v>20</v>
      </c>
      <c r="S85" s="152">
        <f ca="1">IFERROR(__xludf.DUMMYFUNCTION("IMPORTRANGE(""https://docs.google.com/spreadsheets/d/1qfrKjzMhm2HJfxQ-qVlJlJQ25Hne1d0khsySbZyGtPA/edit?usp=sharing"",""ระนอง!J775"")"),20)</f>
        <v>20</v>
      </c>
      <c r="T85" s="216">
        <f t="shared" ca="1" si="28"/>
        <v>100</v>
      </c>
      <c r="U85" s="152">
        <f ca="1">IFERROR(__xludf.DUMMYFUNCTION("IMPORTRANGE(""https://docs.google.com/spreadsheets/d/1qfrKjzMhm2HJfxQ-qVlJlJQ25Hne1d0khsySbZyGtPA/edit?usp=sharing"",""ระนอง!J776"")"),20)</f>
        <v>20</v>
      </c>
      <c r="V85" s="216">
        <f t="shared" ca="1" si="29"/>
        <v>100</v>
      </c>
      <c r="W85" s="232"/>
    </row>
    <row r="86" spans="1:23" ht="19.5" x14ac:dyDescent="0.3">
      <c r="A86" s="147">
        <v>12</v>
      </c>
      <c r="B86" s="148" t="s">
        <v>114</v>
      </c>
      <c r="C86" s="475">
        <f ca="1">IFERROR(__xludf.DUMMYFUNCTION("IMPORTRANGE(""https://docs.google.com/spreadsheets/d/1IbSCnFOKpZsnFogBHJnL_isstZVaOMnFiIN0fGTPZZw/edit?usp=sharing"",""สงขลา!Q760"")"),0)</f>
        <v>0</v>
      </c>
      <c r="D86" s="260">
        <f ca="1">IFERROR(__xludf.DUMMYFUNCTION("IMPORTRANGE(""https://docs.google.com/spreadsheets/d/1IbSCnFOKpZsnFogBHJnL_isstZVaOMnFiIN0fGTPZZw/edit?usp=sharing"",""สงขลา!R760"")"),0)</f>
        <v>0</v>
      </c>
      <c r="E86" s="475">
        <f ca="1">IFERROR(__xludf.DUMMYFUNCTION("IMPORTRANGE(""https://docs.google.com/spreadsheets/d/1IbSCnFOKpZsnFogBHJnL_isstZVaOMnFiIN0fGTPZZw/edit?usp=sharing"",""สงขลา!S760"")"),0)</f>
        <v>0</v>
      </c>
      <c r="F86" s="260">
        <f t="shared" ca="1" si="19"/>
        <v>0</v>
      </c>
      <c r="G86" s="260">
        <f t="shared" ca="1" si="20"/>
        <v>0</v>
      </c>
      <c r="H86" s="279">
        <v>0</v>
      </c>
      <c r="I86" s="397">
        <v>0</v>
      </c>
      <c r="J86" s="216">
        <f t="shared" si="22"/>
        <v>0</v>
      </c>
      <c r="K86" s="397">
        <f ca="1">IFERROR(__xludf.DUMMYFUNCTION("IMPORTRANGE(""https://docs.google.com/spreadsheets/d/1IbSCnFOKpZsnFogBHJnL_isstZVaOMnFiIN0fGTPZZw/edit?usp=sharing"",""สงขลา!I772"")"),0)</f>
        <v>0</v>
      </c>
      <c r="L86" s="397">
        <f ca="1">IFERROR(__xludf.DUMMYFUNCTION("IMPORTRANGE(""https://docs.google.com/spreadsheets/d/1IbSCnFOKpZsnFogBHJnL_isstZVaOMnFiIN0fGTPZZw/edit?usp=sharing"",""สงขลา!J772"")"),0)</f>
        <v>0</v>
      </c>
      <c r="M86" s="216">
        <f t="shared" ca="1" si="24"/>
        <v>0</v>
      </c>
      <c r="N86" s="397">
        <f ca="1">IFERROR(__xludf.DUMMYFUNCTION("IMPORTRANGE(""https://docs.google.com/spreadsheets/d/1IbSCnFOKpZsnFogBHJnL_isstZVaOMnFiIN0fGTPZZw/edit?usp=sharing"",""สงขลา!I774"")"),0)</f>
        <v>0</v>
      </c>
      <c r="O86" s="397">
        <f ca="1">IFERROR(__xludf.DUMMYFUNCTION("IMPORTRANGE(""https://docs.google.com/spreadsheets/d/1IbSCnFOKpZsnFogBHJnL_isstZVaOMnFiIN0fGTPZZw/edit?usp=sharing"",""สงขลา!J774"")"),0)</f>
        <v>0</v>
      </c>
      <c r="P86" s="216">
        <f t="shared" ca="1" si="26"/>
        <v>0</v>
      </c>
      <c r="Q86" s="397">
        <f ca="1">IFERROR(__xludf.DUMMYFUNCTION("IMPORTRANGE(""https://docs.google.com/spreadsheets/d/1IbSCnFOKpZsnFogBHJnL_isstZVaOMnFiIN0fGTPZZw/edit?usp=sharing"",""สงขลา!I775"")"),0)</f>
        <v>0</v>
      </c>
      <c r="R86" s="397">
        <f ca="1">IFERROR(__xludf.DUMMYFUNCTION("IMPORTRANGE(""https://docs.google.com/spreadsheets/d/1IbSCnFOKpZsnFogBHJnL_isstZVaOMnFiIN0fGTPZZw/edit?usp=sharing"",""สงขลา!I776"")"),0)</f>
        <v>0</v>
      </c>
      <c r="S86" s="397">
        <f ca="1">IFERROR(__xludf.DUMMYFUNCTION("IMPORTRANGE(""https://docs.google.com/spreadsheets/d/1IbSCnFOKpZsnFogBHJnL_isstZVaOMnFiIN0fGTPZZw/edit?usp=sharing"",""สงขลา!J775"")"),0)</f>
        <v>0</v>
      </c>
      <c r="T86" s="216">
        <f t="shared" ca="1" si="28"/>
        <v>0</v>
      </c>
      <c r="U86" s="397">
        <f ca="1">IFERROR(__xludf.DUMMYFUNCTION("IMPORTRANGE(""https://docs.google.com/spreadsheets/d/1IbSCnFOKpZsnFogBHJnL_isstZVaOMnFiIN0fGTPZZw/edit?usp=sharing"",""สงขลา!J776"")"),0)</f>
        <v>0</v>
      </c>
      <c r="V86" s="216">
        <f t="shared" ca="1" si="29"/>
        <v>0</v>
      </c>
      <c r="W86" s="232"/>
    </row>
    <row r="87" spans="1:23" ht="19.5" x14ac:dyDescent="0.3">
      <c r="A87" s="147">
        <v>13</v>
      </c>
      <c r="B87" s="148" t="s">
        <v>115</v>
      </c>
      <c r="C87" s="475">
        <f ca="1">IFERROR(__xludf.DUMMYFUNCTION("IMPORTRANGE(""https://docs.google.com/spreadsheets/d/1q9nWasZJ-K8bFGvbE9n0qSRuKGA4Toe3Y89cKCiVtCU/edit?usp=sharing"",""สตูล!Q760"")"),0)</f>
        <v>0</v>
      </c>
      <c r="D87" s="260">
        <f ca="1">IFERROR(__xludf.DUMMYFUNCTION("IMPORTRANGE(""https://docs.google.com/spreadsheets/d/1q9nWasZJ-K8bFGvbE9n0qSRuKGA4Toe3Y89cKCiVtCU/edit?usp=sharing"",""สตูล!R760"")"),0)</f>
        <v>0</v>
      </c>
      <c r="E87" s="475">
        <f ca="1">IFERROR(__xludf.DUMMYFUNCTION("IMPORTRANGE(""https://docs.google.com/spreadsheets/d/1q9nWasZJ-K8bFGvbE9n0qSRuKGA4Toe3Y89cKCiVtCU/edit?usp=sharing"",""สตูล!S760"")"),0)</f>
        <v>0</v>
      </c>
      <c r="F87" s="260">
        <f t="shared" ca="1" si="19"/>
        <v>0</v>
      </c>
      <c r="G87" s="260">
        <f t="shared" ca="1" si="20"/>
        <v>0</v>
      </c>
      <c r="H87" s="278">
        <v>0</v>
      </c>
      <c r="I87" s="152">
        <v>0</v>
      </c>
      <c r="J87" s="216">
        <f t="shared" si="22"/>
        <v>0</v>
      </c>
      <c r="K87" s="152">
        <f ca="1">IFERROR(__xludf.DUMMYFUNCTION("IMPORTRANGE(""https://docs.google.com/spreadsheets/d/1q9nWasZJ-K8bFGvbE9n0qSRuKGA4Toe3Y89cKCiVtCU/edit?usp=sharing"",""สตูล!I772"")"),0)</f>
        <v>0</v>
      </c>
      <c r="L87" s="152">
        <f ca="1">IFERROR(__xludf.DUMMYFUNCTION("IMPORTRANGE(""https://docs.google.com/spreadsheets/d/1q9nWasZJ-K8bFGvbE9n0qSRuKGA4Toe3Y89cKCiVtCU/edit?usp=sharing"",""สตูล!J772"")"),0)</f>
        <v>0</v>
      </c>
      <c r="M87" s="216">
        <f t="shared" ca="1" si="24"/>
        <v>0</v>
      </c>
      <c r="N87" s="152">
        <f ca="1">IFERROR(__xludf.DUMMYFUNCTION("IMPORTRANGE(""https://docs.google.com/spreadsheets/d/1q9nWasZJ-K8bFGvbE9n0qSRuKGA4Toe3Y89cKCiVtCU/edit?usp=sharing"",""สตูล!I774"")"),0)</f>
        <v>0</v>
      </c>
      <c r="O87" s="152">
        <f ca="1">IFERROR(__xludf.DUMMYFUNCTION("IMPORTRANGE(""https://docs.google.com/spreadsheets/d/1q9nWasZJ-K8bFGvbE9n0qSRuKGA4Toe3Y89cKCiVtCU/edit?usp=sharing"",""สตูล!J774"")"),0)</f>
        <v>0</v>
      </c>
      <c r="P87" s="216">
        <f t="shared" ca="1" si="26"/>
        <v>0</v>
      </c>
      <c r="Q87" s="152">
        <f ca="1">IFERROR(__xludf.DUMMYFUNCTION("IMPORTRANGE(""https://docs.google.com/spreadsheets/d/1q9nWasZJ-K8bFGvbE9n0qSRuKGA4Toe3Y89cKCiVtCU/edit?usp=sharing"",""สตูล!I775"")"),0)</f>
        <v>0</v>
      </c>
      <c r="R87" s="152">
        <f ca="1">IFERROR(__xludf.DUMMYFUNCTION("IMPORTRANGE(""https://docs.google.com/spreadsheets/d/1q9nWasZJ-K8bFGvbE9n0qSRuKGA4Toe3Y89cKCiVtCU/edit?usp=sharing"",""สตูล!I776"")"),0)</f>
        <v>0</v>
      </c>
      <c r="S87" s="152">
        <f ca="1">IFERROR(__xludf.DUMMYFUNCTION("IMPORTRANGE(""https://docs.google.com/spreadsheets/d/1q9nWasZJ-K8bFGvbE9n0qSRuKGA4Toe3Y89cKCiVtCU/edit?usp=sharing"",""สตูล!J775"")"),0)</f>
        <v>0</v>
      </c>
      <c r="T87" s="216">
        <f t="shared" ca="1" si="28"/>
        <v>0</v>
      </c>
      <c r="U87" s="152">
        <f ca="1">IFERROR(__xludf.DUMMYFUNCTION("IMPORTRANGE(""https://docs.google.com/spreadsheets/d/1q9nWasZJ-K8bFGvbE9n0qSRuKGA4Toe3Y89cKCiVtCU/edit?usp=sharing"",""สตูล!J776"")"),0)</f>
        <v>0</v>
      </c>
      <c r="V87" s="216">
        <f t="shared" ca="1" si="29"/>
        <v>0</v>
      </c>
      <c r="W87" s="232"/>
    </row>
    <row r="88" spans="1:23" ht="19.5" x14ac:dyDescent="0.3">
      <c r="A88" s="155">
        <v>14</v>
      </c>
      <c r="B88" s="156" t="s">
        <v>116</v>
      </c>
      <c r="C88" s="482">
        <f ca="1">IFERROR(__xludf.DUMMYFUNCTION("IMPORTRANGE(""https://docs.google.com/spreadsheets/d/18T20gbkS_WBjdscyTOV05cvq_JqvqQ17C81mpxf7Ncs/edit?usp=sharing"",""สุราษฎร์ธานี!Q760"")"),338980)</f>
        <v>338980</v>
      </c>
      <c r="D88" s="481">
        <f ca="1">IFERROR(__xludf.DUMMYFUNCTION("IMPORTRANGE(""https://docs.google.com/spreadsheets/d/18T20gbkS_WBjdscyTOV05cvq_JqvqQ17C81mpxf7Ncs/edit?usp=sharing"",""สุราษฎร์ธานี!R760"")"),306980)</f>
        <v>306980</v>
      </c>
      <c r="E88" s="482">
        <f ca="1">IFERROR(__xludf.DUMMYFUNCTION("IMPORTRANGE(""https://docs.google.com/spreadsheets/d/18T20gbkS_WBjdscyTOV05cvq_JqvqQ17C81mpxf7Ncs/edit?usp=sharing"",""สุราษฎร์ธานี!S760"")"),278900)</f>
        <v>278900</v>
      </c>
      <c r="F88" s="481">
        <f t="shared" ca="1" si="19"/>
        <v>82.276240486164369</v>
      </c>
      <c r="G88" s="481">
        <f t="shared" ca="1" si="20"/>
        <v>90.852824288227239</v>
      </c>
      <c r="H88" s="280">
        <v>0</v>
      </c>
      <c r="I88" s="191">
        <v>0</v>
      </c>
      <c r="J88" s="218">
        <f t="shared" si="22"/>
        <v>0</v>
      </c>
      <c r="K88" s="191">
        <f ca="1">IFERROR(__xludf.DUMMYFUNCTION("IMPORTRANGE(""https://docs.google.com/spreadsheets/d/18T20gbkS_WBjdscyTOV05cvq_JqvqQ17C81mpxf7Ncs/edit?usp=sharing"",""สุราษฎร์ธานี!I772"")"),40)</f>
        <v>40</v>
      </c>
      <c r="L88" s="191">
        <f ca="1">IFERROR(__xludf.DUMMYFUNCTION("IMPORTRANGE(""https://docs.google.com/spreadsheets/d/18T20gbkS_WBjdscyTOV05cvq_JqvqQ17C81mpxf7Ncs/edit?usp=sharing"",""สุราษฎร์ธานี!J772"")"),40)</f>
        <v>40</v>
      </c>
      <c r="M88" s="218">
        <f t="shared" ca="1" si="24"/>
        <v>100</v>
      </c>
      <c r="N88" s="191">
        <f ca="1">IFERROR(__xludf.DUMMYFUNCTION("IMPORTRANGE(""https://docs.google.com/spreadsheets/d/18T20gbkS_WBjdscyTOV05cvq_JqvqQ17C81mpxf7Ncs/edit?usp=sharing"",""สุราษฎร์ธานี!I774"")"),80)</f>
        <v>80</v>
      </c>
      <c r="O88" s="191">
        <f ca="1">IFERROR(__xludf.DUMMYFUNCTION("IMPORTRANGE(""https://docs.google.com/spreadsheets/d/18T20gbkS_WBjdscyTOV05cvq_JqvqQ17C81mpxf7Ncs/edit?usp=sharing"",""สุราษฎร์ธานี!J774"")"),80)</f>
        <v>80</v>
      </c>
      <c r="P88" s="218">
        <f t="shared" ca="1" si="26"/>
        <v>100</v>
      </c>
      <c r="Q88" s="191">
        <f ca="1">IFERROR(__xludf.DUMMYFUNCTION("IMPORTRANGE(""https://docs.google.com/spreadsheets/d/18T20gbkS_WBjdscyTOV05cvq_JqvqQ17C81mpxf7Ncs/edit?usp=sharing"",""สุราษฎร์ธานี!I775"")"),80)</f>
        <v>80</v>
      </c>
      <c r="R88" s="191">
        <f ca="1">IFERROR(__xludf.DUMMYFUNCTION("IMPORTRANGE(""https://docs.google.com/spreadsheets/d/18T20gbkS_WBjdscyTOV05cvq_JqvqQ17C81mpxf7Ncs/edit?usp=sharing"",""สุราษฎร์ธานี!I776"")"),40)</f>
        <v>40</v>
      </c>
      <c r="S88" s="191">
        <f ca="1">IFERROR(__xludf.DUMMYFUNCTION("IMPORTRANGE(""https://docs.google.com/spreadsheets/d/18T20gbkS_WBjdscyTOV05cvq_JqvqQ17C81mpxf7Ncs/edit?usp=sharing"",""สุราษฎร์ธานี!J775"")"),80)</f>
        <v>80</v>
      </c>
      <c r="T88" s="218">
        <f t="shared" ca="1" si="28"/>
        <v>100</v>
      </c>
      <c r="U88" s="191">
        <f ca="1">IFERROR(__xludf.DUMMYFUNCTION("IMPORTRANGE(""https://docs.google.com/spreadsheets/d/18T20gbkS_WBjdscyTOV05cvq_JqvqQ17C81mpxf7Ncs/edit?usp=sharing"",""สุราษฎร์ธานี!J776"")"),40)</f>
        <v>40</v>
      </c>
      <c r="V88" s="218">
        <f t="shared" ca="1" si="29"/>
        <v>100</v>
      </c>
      <c r="W88" s="232"/>
    </row>
    <row r="89" spans="1:23" ht="19.5" x14ac:dyDescent="0.3">
      <c r="A89" s="698" t="s">
        <v>117</v>
      </c>
      <c r="B89" s="662"/>
      <c r="C89" s="491">
        <f t="shared" ref="C89:E89" ca="1" si="45">SUM(C90:C106)</f>
        <v>3031360</v>
      </c>
      <c r="D89" s="489">
        <f t="shared" ca="1" si="45"/>
        <v>3031360</v>
      </c>
      <c r="E89" s="491">
        <f t="shared" ca="1" si="45"/>
        <v>169527.15</v>
      </c>
      <c r="F89" s="489">
        <f t="shared" ca="1" si="19"/>
        <v>5.5924453050775886</v>
      </c>
      <c r="G89" s="489">
        <f t="shared" ca="1" si="20"/>
        <v>5.5924453050775886</v>
      </c>
      <c r="H89" s="169"/>
      <c r="I89" s="169"/>
      <c r="J89" s="255"/>
      <c r="K89" s="169"/>
      <c r="L89" s="169"/>
      <c r="M89" s="169"/>
      <c r="N89" s="255"/>
      <c r="O89" s="169"/>
      <c r="P89" s="169"/>
      <c r="Q89" s="169"/>
      <c r="R89" s="255"/>
      <c r="S89" s="169"/>
      <c r="T89" s="169"/>
      <c r="U89" s="169"/>
      <c r="V89" s="255"/>
      <c r="W89" s="339"/>
    </row>
    <row r="90" spans="1:23" ht="19.5" x14ac:dyDescent="0.3">
      <c r="A90" s="257"/>
      <c r="B90" s="258" t="s">
        <v>118</v>
      </c>
      <c r="C90" s="67">
        <v>0</v>
      </c>
      <c r="D90" s="67">
        <v>0</v>
      </c>
      <c r="E90" s="67">
        <v>0</v>
      </c>
      <c r="F90" s="260">
        <f t="shared" si="19"/>
        <v>0</v>
      </c>
      <c r="G90" s="260">
        <f t="shared" si="20"/>
        <v>0</v>
      </c>
      <c r="H90" s="220"/>
      <c r="I90" s="220"/>
      <c r="J90" s="259"/>
      <c r="K90" s="220"/>
      <c r="L90" s="220"/>
      <c r="M90" s="220"/>
      <c r="N90" s="259"/>
      <c r="O90" s="220"/>
      <c r="P90" s="220"/>
      <c r="Q90" s="220"/>
      <c r="R90" s="259"/>
      <c r="S90" s="220"/>
      <c r="T90" s="220"/>
      <c r="U90" s="220"/>
      <c r="V90" s="259"/>
      <c r="W90" s="339"/>
    </row>
    <row r="91" spans="1:23" ht="19.5" x14ac:dyDescent="0.3">
      <c r="A91" s="257"/>
      <c r="B91" s="258" t="s">
        <v>119</v>
      </c>
      <c r="C91" s="67">
        <v>0</v>
      </c>
      <c r="D91" s="67">
        <v>0</v>
      </c>
      <c r="E91" s="67">
        <v>0</v>
      </c>
      <c r="F91" s="260">
        <f t="shared" si="19"/>
        <v>0</v>
      </c>
      <c r="G91" s="260">
        <f t="shared" si="20"/>
        <v>0</v>
      </c>
      <c r="H91" s="220"/>
      <c r="I91" s="220"/>
      <c r="J91" s="259"/>
      <c r="K91" s="220"/>
      <c r="L91" s="220"/>
      <c r="M91" s="220"/>
      <c r="N91" s="259"/>
      <c r="O91" s="220"/>
      <c r="P91" s="220"/>
      <c r="Q91" s="220"/>
      <c r="R91" s="259"/>
      <c r="S91" s="220"/>
      <c r="T91" s="220"/>
      <c r="U91" s="220"/>
      <c r="V91" s="259"/>
      <c r="W91" s="339"/>
    </row>
    <row r="92" spans="1:23" ht="19.5" x14ac:dyDescent="0.3">
      <c r="A92" s="257"/>
      <c r="B92" s="258" t="s">
        <v>120</v>
      </c>
      <c r="C92" s="67">
        <v>0</v>
      </c>
      <c r="D92" s="67">
        <v>0</v>
      </c>
      <c r="E92" s="67">
        <v>0</v>
      </c>
      <c r="F92" s="260">
        <f t="shared" si="19"/>
        <v>0</v>
      </c>
      <c r="G92" s="260">
        <f t="shared" si="20"/>
        <v>0</v>
      </c>
      <c r="H92" s="220"/>
      <c r="I92" s="220"/>
      <c r="J92" s="259"/>
      <c r="K92" s="220"/>
      <c r="L92" s="220"/>
      <c r="M92" s="220"/>
      <c r="N92" s="259"/>
      <c r="O92" s="220"/>
      <c r="P92" s="220"/>
      <c r="Q92" s="220"/>
      <c r="R92" s="259"/>
      <c r="S92" s="220"/>
      <c r="T92" s="220"/>
      <c r="U92" s="220"/>
      <c r="V92" s="259"/>
      <c r="W92" s="339"/>
    </row>
    <row r="93" spans="1:23" ht="19.5" x14ac:dyDescent="0.3">
      <c r="A93" s="257"/>
      <c r="B93" s="258" t="s">
        <v>121</v>
      </c>
      <c r="C93" s="67">
        <v>0</v>
      </c>
      <c r="D93" s="67">
        <v>0</v>
      </c>
      <c r="E93" s="67">
        <v>0</v>
      </c>
      <c r="F93" s="260">
        <f t="shared" si="19"/>
        <v>0</v>
      </c>
      <c r="G93" s="260">
        <f t="shared" si="20"/>
        <v>0</v>
      </c>
      <c r="H93" s="220"/>
      <c r="I93" s="220"/>
      <c r="J93" s="259"/>
      <c r="K93" s="220"/>
      <c r="L93" s="220"/>
      <c r="M93" s="220"/>
      <c r="N93" s="259"/>
      <c r="O93" s="220"/>
      <c r="P93" s="220"/>
      <c r="Q93" s="220"/>
      <c r="R93" s="259"/>
      <c r="S93" s="220"/>
      <c r="T93" s="220"/>
      <c r="U93" s="220"/>
      <c r="V93" s="259"/>
      <c r="W93" s="339"/>
    </row>
    <row r="94" spans="1:23" ht="19.5" x14ac:dyDescent="0.3">
      <c r="A94" s="257"/>
      <c r="B94" s="258" t="s">
        <v>122</v>
      </c>
      <c r="C94" s="67">
        <v>0</v>
      </c>
      <c r="D94" s="67">
        <v>0</v>
      </c>
      <c r="E94" s="67">
        <v>0</v>
      </c>
      <c r="F94" s="260">
        <f t="shared" si="19"/>
        <v>0</v>
      </c>
      <c r="G94" s="260">
        <f t="shared" si="20"/>
        <v>0</v>
      </c>
      <c r="H94" s="220"/>
      <c r="I94" s="220"/>
      <c r="J94" s="259"/>
      <c r="K94" s="220"/>
      <c r="L94" s="220"/>
      <c r="M94" s="220"/>
      <c r="N94" s="259"/>
      <c r="O94" s="220"/>
      <c r="P94" s="220"/>
      <c r="Q94" s="220"/>
      <c r="R94" s="259"/>
      <c r="S94" s="220"/>
      <c r="T94" s="220"/>
      <c r="U94" s="220"/>
      <c r="V94" s="259"/>
      <c r="W94" s="339"/>
    </row>
    <row r="95" spans="1:23" ht="19.5" x14ac:dyDescent="0.3">
      <c r="A95" s="257"/>
      <c r="B95" s="258" t="s">
        <v>123</v>
      </c>
      <c r="C95" s="67">
        <v>0</v>
      </c>
      <c r="D95" s="67">
        <v>0</v>
      </c>
      <c r="E95" s="67">
        <v>0</v>
      </c>
      <c r="F95" s="260">
        <f t="shared" si="19"/>
        <v>0</v>
      </c>
      <c r="G95" s="260">
        <f t="shared" si="20"/>
        <v>0</v>
      </c>
      <c r="H95" s="220"/>
      <c r="I95" s="220"/>
      <c r="J95" s="259"/>
      <c r="K95" s="220"/>
      <c r="L95" s="220"/>
      <c r="M95" s="220"/>
      <c r="N95" s="259"/>
      <c r="O95" s="220"/>
      <c r="P95" s="220"/>
      <c r="Q95" s="220"/>
      <c r="R95" s="259"/>
      <c r="S95" s="220"/>
      <c r="T95" s="220"/>
      <c r="U95" s="220"/>
      <c r="V95" s="259"/>
      <c r="W95" s="339"/>
    </row>
    <row r="96" spans="1:23" ht="19.5" x14ac:dyDescent="0.3">
      <c r="A96" s="257"/>
      <c r="B96" s="258" t="s">
        <v>124</v>
      </c>
      <c r="C96" s="67">
        <v>0</v>
      </c>
      <c r="D96" s="67">
        <v>0</v>
      </c>
      <c r="E96" s="67">
        <v>0</v>
      </c>
      <c r="F96" s="260">
        <f t="shared" si="19"/>
        <v>0</v>
      </c>
      <c r="G96" s="260">
        <f t="shared" si="20"/>
        <v>0</v>
      </c>
      <c r="H96" s="220"/>
      <c r="I96" s="220"/>
      <c r="J96" s="259"/>
      <c r="K96" s="220"/>
      <c r="L96" s="220"/>
      <c r="M96" s="220"/>
      <c r="N96" s="259"/>
      <c r="O96" s="220"/>
      <c r="P96" s="220"/>
      <c r="Q96" s="220"/>
      <c r="R96" s="259"/>
      <c r="S96" s="220"/>
      <c r="T96" s="220"/>
      <c r="U96" s="220"/>
      <c r="V96" s="259"/>
      <c r="W96" s="339"/>
    </row>
    <row r="97" spans="1:23" ht="19.5" x14ac:dyDescent="0.3">
      <c r="A97" s="257"/>
      <c r="B97" s="258" t="s">
        <v>125</v>
      </c>
      <c r="C97" s="67">
        <v>0</v>
      </c>
      <c r="D97" s="67">
        <v>0</v>
      </c>
      <c r="E97" s="67">
        <v>0</v>
      </c>
      <c r="F97" s="260">
        <f t="shared" si="19"/>
        <v>0</v>
      </c>
      <c r="G97" s="260">
        <f t="shared" si="20"/>
        <v>0</v>
      </c>
      <c r="H97" s="220"/>
      <c r="I97" s="220"/>
      <c r="J97" s="259"/>
      <c r="K97" s="220"/>
      <c r="L97" s="220"/>
      <c r="M97" s="220"/>
      <c r="N97" s="259"/>
      <c r="O97" s="220"/>
      <c r="P97" s="220"/>
      <c r="Q97" s="220"/>
      <c r="R97" s="259"/>
      <c r="S97" s="220"/>
      <c r="T97" s="220"/>
      <c r="U97" s="220"/>
      <c r="V97" s="259"/>
      <c r="W97" s="339"/>
    </row>
    <row r="98" spans="1:23" ht="19.5" x14ac:dyDescent="0.3">
      <c r="A98" s="257"/>
      <c r="B98" s="258" t="s">
        <v>126</v>
      </c>
      <c r="C98" s="67">
        <v>0</v>
      </c>
      <c r="D98" s="67">
        <v>0</v>
      </c>
      <c r="E98" s="67">
        <v>0</v>
      </c>
      <c r="F98" s="260">
        <f t="shared" si="19"/>
        <v>0</v>
      </c>
      <c r="G98" s="260">
        <f t="shared" si="20"/>
        <v>0</v>
      </c>
      <c r="H98" s="220"/>
      <c r="I98" s="220"/>
      <c r="J98" s="259"/>
      <c r="K98" s="220"/>
      <c r="L98" s="220"/>
      <c r="M98" s="220"/>
      <c r="N98" s="259"/>
      <c r="O98" s="220"/>
      <c r="P98" s="220"/>
      <c r="Q98" s="220"/>
      <c r="R98" s="259"/>
      <c r="S98" s="220"/>
      <c r="T98" s="220"/>
      <c r="U98" s="220"/>
      <c r="V98" s="259"/>
      <c r="W98" s="339"/>
    </row>
    <row r="99" spans="1:23" ht="19.5" x14ac:dyDescent="0.3">
      <c r="A99" s="257"/>
      <c r="B99" s="258" t="s">
        <v>127</v>
      </c>
      <c r="C99" s="67">
        <v>0</v>
      </c>
      <c r="D99" s="67">
        <v>0</v>
      </c>
      <c r="E99" s="67">
        <v>0</v>
      </c>
      <c r="F99" s="260">
        <f t="shared" si="19"/>
        <v>0</v>
      </c>
      <c r="G99" s="260">
        <f t="shared" si="20"/>
        <v>0</v>
      </c>
      <c r="H99" s="220"/>
      <c r="I99" s="220"/>
      <c r="J99" s="259"/>
      <c r="K99" s="220"/>
      <c r="L99" s="220"/>
      <c r="M99" s="220"/>
      <c r="N99" s="259"/>
      <c r="O99" s="220"/>
      <c r="P99" s="220"/>
      <c r="Q99" s="220"/>
      <c r="R99" s="259"/>
      <c r="S99" s="220"/>
      <c r="T99" s="220"/>
      <c r="U99" s="220"/>
      <c r="V99" s="259"/>
      <c r="W99" s="339"/>
    </row>
    <row r="100" spans="1:23" ht="19.5" x14ac:dyDescent="0.3">
      <c r="A100" s="257"/>
      <c r="B100" s="258" t="s">
        <v>128</v>
      </c>
      <c r="C100" s="67">
        <v>0</v>
      </c>
      <c r="D100" s="67">
        <v>0</v>
      </c>
      <c r="E100" s="67">
        <v>0</v>
      </c>
      <c r="F100" s="260">
        <f t="shared" si="19"/>
        <v>0</v>
      </c>
      <c r="G100" s="260">
        <f t="shared" si="20"/>
        <v>0</v>
      </c>
      <c r="H100" s="220"/>
      <c r="I100" s="220"/>
      <c r="J100" s="259"/>
      <c r="K100" s="220"/>
      <c r="L100" s="220"/>
      <c r="M100" s="220"/>
      <c r="N100" s="259"/>
      <c r="O100" s="220"/>
      <c r="P100" s="220"/>
      <c r="Q100" s="220"/>
      <c r="R100" s="259"/>
      <c r="S100" s="220"/>
      <c r="T100" s="220"/>
      <c r="U100" s="220"/>
      <c r="V100" s="259"/>
      <c r="W100" s="339"/>
    </row>
    <row r="101" spans="1:23" ht="19.5" x14ac:dyDescent="0.3">
      <c r="A101" s="257"/>
      <c r="B101" s="258" t="s">
        <v>129</v>
      </c>
      <c r="C101" s="67">
        <f ca="1">IFERROR(__xludf.DUMMYFUNCTION("IMPORTRANGE(""https://docs.google.com/spreadsheets/d/1ItG2mGa2ceCfYo0BwxsXqNm01IGEUdYcSSLTEv9YCik/edit?usp=sharing"",""เบิกจ่ายกองทุน!AA92"")"),3031360)</f>
        <v>3031360</v>
      </c>
      <c r="D101" s="67">
        <f ca="1">IFERROR(__xludf.DUMMYFUNCTION("IMPORTRANGE(""https://docs.google.com/spreadsheets/d/1ItG2mGa2ceCfYo0BwxsXqNm01IGEUdYcSSLTEv9YCik/edit?usp=sharing"",""เบิกจ่ายกองทุน!AB92"")"),3031360)</f>
        <v>3031360</v>
      </c>
      <c r="E101" s="67">
        <f ca="1">IFERROR(__xludf.DUMMYFUNCTION("IMPORTRANGE(""https://docs.google.com/spreadsheets/d/1ItG2mGa2ceCfYo0BwxsXqNm01IGEUdYcSSLTEv9YCik/edit?usp=sharing"",""เบิกจ่ายกองทุน!AC92"")"),169527.15)</f>
        <v>169527.15</v>
      </c>
      <c r="F101" s="260">
        <f t="shared" ca="1" si="19"/>
        <v>5.5924453050775886</v>
      </c>
      <c r="G101" s="260">
        <f t="shared" ca="1" si="20"/>
        <v>5.5924453050775886</v>
      </c>
      <c r="H101" s="220"/>
      <c r="I101" s="220"/>
      <c r="J101" s="259"/>
      <c r="K101" s="220"/>
      <c r="L101" s="220"/>
      <c r="M101" s="220"/>
      <c r="N101" s="259"/>
      <c r="O101" s="220"/>
      <c r="P101" s="220"/>
      <c r="Q101" s="220"/>
      <c r="R101" s="259"/>
      <c r="S101" s="220"/>
      <c r="T101" s="220"/>
      <c r="U101" s="220"/>
      <c r="V101" s="259"/>
      <c r="W101" s="339"/>
    </row>
    <row r="102" spans="1:23" ht="19.5" x14ac:dyDescent="0.3">
      <c r="A102" s="257"/>
      <c r="B102" s="258" t="s">
        <v>130</v>
      </c>
      <c r="C102" s="67">
        <v>0</v>
      </c>
      <c r="D102" s="67">
        <v>0</v>
      </c>
      <c r="E102" s="67">
        <v>0</v>
      </c>
      <c r="F102" s="260">
        <f t="shared" si="19"/>
        <v>0</v>
      </c>
      <c r="G102" s="260">
        <f t="shared" si="20"/>
        <v>0</v>
      </c>
      <c r="H102" s="220"/>
      <c r="I102" s="220"/>
      <c r="J102" s="259"/>
      <c r="K102" s="220"/>
      <c r="L102" s="220"/>
      <c r="M102" s="220"/>
      <c r="N102" s="259"/>
      <c r="O102" s="220"/>
      <c r="P102" s="220"/>
      <c r="Q102" s="220"/>
      <c r="R102" s="259"/>
      <c r="S102" s="220"/>
      <c r="T102" s="220"/>
      <c r="U102" s="220"/>
      <c r="V102" s="259"/>
      <c r="W102" s="339"/>
    </row>
    <row r="103" spans="1:23" ht="19.5" x14ac:dyDescent="0.3">
      <c r="A103" s="257"/>
      <c r="B103" s="258" t="s">
        <v>131</v>
      </c>
      <c r="C103" s="67">
        <v>0</v>
      </c>
      <c r="D103" s="67">
        <v>0</v>
      </c>
      <c r="E103" s="67">
        <v>0</v>
      </c>
      <c r="F103" s="260">
        <f t="shared" si="19"/>
        <v>0</v>
      </c>
      <c r="G103" s="260">
        <f t="shared" si="20"/>
        <v>0</v>
      </c>
      <c r="H103" s="220"/>
      <c r="I103" s="220"/>
      <c r="J103" s="259"/>
      <c r="K103" s="220"/>
      <c r="L103" s="220"/>
      <c r="M103" s="220"/>
      <c r="N103" s="259"/>
      <c r="O103" s="220"/>
      <c r="P103" s="220"/>
      <c r="Q103" s="220"/>
      <c r="R103" s="259"/>
      <c r="S103" s="220"/>
      <c r="T103" s="220"/>
      <c r="U103" s="220"/>
      <c r="V103" s="259"/>
      <c r="W103" s="339"/>
    </row>
    <row r="104" spans="1:23" ht="19.5" x14ac:dyDescent="0.3">
      <c r="A104" s="257"/>
      <c r="B104" s="258" t="s">
        <v>132</v>
      </c>
      <c r="C104" s="67">
        <v>0</v>
      </c>
      <c r="D104" s="67">
        <v>0</v>
      </c>
      <c r="E104" s="67">
        <v>0</v>
      </c>
      <c r="F104" s="260">
        <f t="shared" si="19"/>
        <v>0</v>
      </c>
      <c r="G104" s="260">
        <f t="shared" si="20"/>
        <v>0</v>
      </c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33"/>
    </row>
    <row r="105" spans="1:23" ht="19.5" x14ac:dyDescent="0.3">
      <c r="A105" s="257"/>
      <c r="B105" s="261" t="s">
        <v>133</v>
      </c>
      <c r="C105" s="67">
        <v>0</v>
      </c>
      <c r="D105" s="67">
        <v>0</v>
      </c>
      <c r="E105" s="67">
        <v>0</v>
      </c>
      <c r="F105" s="260">
        <f t="shared" si="19"/>
        <v>0</v>
      </c>
      <c r="G105" s="260">
        <f t="shared" si="20"/>
        <v>0</v>
      </c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33"/>
    </row>
    <row r="106" spans="1:23" ht="19.5" x14ac:dyDescent="0.3">
      <c r="A106" s="257"/>
      <c r="B106" s="261" t="s">
        <v>134</v>
      </c>
      <c r="C106" s="67">
        <v>0</v>
      </c>
      <c r="D106" s="67">
        <v>0</v>
      </c>
      <c r="E106" s="67">
        <v>0</v>
      </c>
      <c r="F106" s="260">
        <f t="shared" si="19"/>
        <v>0</v>
      </c>
      <c r="G106" s="260">
        <f t="shared" si="20"/>
        <v>0</v>
      </c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33"/>
    </row>
    <row r="107" spans="1:23" ht="19.5" x14ac:dyDescent="0.3">
      <c r="A107" s="263"/>
      <c r="B107" s="264" t="s">
        <v>26</v>
      </c>
      <c r="C107" s="67">
        <v>0</v>
      </c>
      <c r="D107" s="67">
        <v>0</v>
      </c>
      <c r="E107" s="67">
        <v>0</v>
      </c>
      <c r="F107" s="260">
        <f t="shared" si="19"/>
        <v>0</v>
      </c>
      <c r="G107" s="260">
        <f t="shared" si="20"/>
        <v>0</v>
      </c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233"/>
    </row>
    <row r="108" spans="1:23" ht="19.5" x14ac:dyDescent="0.3">
      <c r="A108" s="268"/>
      <c r="B108" s="269" t="s">
        <v>135</v>
      </c>
      <c r="C108" s="67">
        <v>0</v>
      </c>
      <c r="D108" s="67">
        <v>0</v>
      </c>
      <c r="E108" s="67">
        <v>0</v>
      </c>
      <c r="F108" s="260">
        <f t="shared" si="19"/>
        <v>0</v>
      </c>
      <c r="G108" s="260">
        <f t="shared" si="20"/>
        <v>0</v>
      </c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33"/>
    </row>
  </sheetData>
  <mergeCells count="24">
    <mergeCell ref="A13:B13"/>
    <mergeCell ref="A31:B31"/>
    <mergeCell ref="A52:B52"/>
    <mergeCell ref="A74:B74"/>
    <mergeCell ref="A89:B89"/>
    <mergeCell ref="L5:M5"/>
    <mergeCell ref="O5:P5"/>
    <mergeCell ref="Q5:R5"/>
    <mergeCell ref="S5:V5"/>
    <mergeCell ref="A7:B7"/>
    <mergeCell ref="A2:B6"/>
    <mergeCell ref="C4:C6"/>
    <mergeCell ref="D4:D6"/>
    <mergeCell ref="E4:E6"/>
    <mergeCell ref="F4:F6"/>
    <mergeCell ref="G4:G6"/>
    <mergeCell ref="I5:J5"/>
    <mergeCell ref="C2:G2"/>
    <mergeCell ref="H2:V2"/>
    <mergeCell ref="C3:G3"/>
    <mergeCell ref="H3:J4"/>
    <mergeCell ref="K3:M4"/>
    <mergeCell ref="N3:P4"/>
    <mergeCell ref="Q3:V4"/>
  </mergeCells>
  <conditionalFormatting sqref="F14:F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M14:M30 P14:P30 T14:T30 V14:W30 M32:M51 P32:P51 T32:T51 V32:W51 M53:M73 P53:P73 T53:T73 V53:W73 M75:M88 P75:P88 T75:T88 V75:W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AN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19.85546875" customWidth="1"/>
    <col min="17" max="17" width="17.42578125" customWidth="1"/>
    <col min="24" max="24" width="16.5703125" customWidth="1"/>
    <col min="28" max="28" width="17.5703125" customWidth="1"/>
    <col min="35" max="35" width="21.85546875" customWidth="1"/>
    <col min="39" max="39" width="21.42578125" customWidth="1"/>
    <col min="40" max="40" width="37.5703125" customWidth="1"/>
  </cols>
  <sheetData>
    <row r="1" spans="1:40" ht="19.5" x14ac:dyDescent="0.3">
      <c r="A1" s="234" t="s">
        <v>0</v>
      </c>
      <c r="B1" s="114"/>
      <c r="C1" s="117"/>
      <c r="D1" s="117"/>
      <c r="E1" s="117"/>
      <c r="F1" s="117"/>
      <c r="G1" s="117"/>
      <c r="H1" s="114"/>
      <c r="I1" s="114"/>
      <c r="J1" s="116"/>
      <c r="K1" s="114"/>
      <c r="L1" s="114"/>
      <c r="M1" s="116"/>
      <c r="N1" s="116"/>
      <c r="O1" s="114"/>
      <c r="P1" s="114"/>
      <c r="Q1" s="116"/>
      <c r="R1" s="116"/>
      <c r="S1" s="116"/>
      <c r="T1" s="116"/>
      <c r="U1" s="116"/>
      <c r="V1" s="116"/>
      <c r="W1" s="114"/>
      <c r="X1" s="114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</row>
    <row r="2" spans="1:40" ht="30" customHeight="1" x14ac:dyDescent="0.2">
      <c r="A2" s="692" t="s">
        <v>1</v>
      </c>
      <c r="B2" s="658"/>
      <c r="C2" s="689" t="s">
        <v>365</v>
      </c>
      <c r="D2" s="646"/>
      <c r="E2" s="646"/>
      <c r="F2" s="646"/>
      <c r="G2" s="647"/>
      <c r="H2" s="689" t="s">
        <v>366</v>
      </c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7"/>
    </row>
    <row r="3" spans="1:40" ht="30" customHeight="1" x14ac:dyDescent="0.2">
      <c r="A3" s="659"/>
      <c r="B3" s="660"/>
      <c r="C3" s="709" t="s">
        <v>5</v>
      </c>
      <c r="D3" s="646"/>
      <c r="E3" s="646"/>
      <c r="F3" s="646"/>
      <c r="G3" s="647"/>
      <c r="H3" s="687" t="s">
        <v>367</v>
      </c>
      <c r="I3" s="674"/>
      <c r="J3" s="674"/>
      <c r="K3" s="674"/>
      <c r="L3" s="674"/>
      <c r="M3" s="658"/>
      <c r="N3" s="715" t="s">
        <v>368</v>
      </c>
      <c r="O3" s="646"/>
      <c r="P3" s="646"/>
      <c r="Q3" s="646"/>
      <c r="R3" s="646"/>
      <c r="S3" s="646"/>
      <c r="T3" s="647"/>
      <c r="U3" s="715" t="s">
        <v>369</v>
      </c>
      <c r="V3" s="646"/>
      <c r="W3" s="646"/>
      <c r="X3" s="646"/>
      <c r="Y3" s="646"/>
      <c r="Z3" s="646"/>
      <c r="AA3" s="647"/>
      <c r="AB3" s="715" t="s">
        <v>370</v>
      </c>
      <c r="AC3" s="646"/>
      <c r="AD3" s="646"/>
      <c r="AE3" s="647"/>
      <c r="AF3" s="841" t="s">
        <v>371</v>
      </c>
      <c r="AG3" s="646"/>
      <c r="AH3" s="646"/>
      <c r="AI3" s="647"/>
      <c r="AJ3" s="841" t="s">
        <v>372</v>
      </c>
      <c r="AK3" s="646"/>
      <c r="AL3" s="646"/>
      <c r="AM3" s="647"/>
      <c r="AN3" s="641" t="s">
        <v>373</v>
      </c>
    </row>
    <row r="4" spans="1:40" ht="60" customHeight="1" x14ac:dyDescent="0.2">
      <c r="A4" s="659"/>
      <c r="B4" s="660"/>
      <c r="C4" s="711" t="s">
        <v>11</v>
      </c>
      <c r="D4" s="703" t="s">
        <v>12</v>
      </c>
      <c r="E4" s="710" t="s">
        <v>13</v>
      </c>
      <c r="F4" s="710" t="s">
        <v>14</v>
      </c>
      <c r="G4" s="710" t="s">
        <v>15</v>
      </c>
      <c r="H4" s="661"/>
      <c r="I4" s="675"/>
      <c r="J4" s="675"/>
      <c r="K4" s="675"/>
      <c r="L4" s="675"/>
      <c r="M4" s="662"/>
      <c r="N4" s="715" t="s">
        <v>374</v>
      </c>
      <c r="O4" s="646"/>
      <c r="P4" s="647"/>
      <c r="Q4" s="642" t="s">
        <v>375</v>
      </c>
      <c r="R4" s="715" t="s">
        <v>376</v>
      </c>
      <c r="S4" s="646"/>
      <c r="T4" s="647"/>
      <c r="U4" s="715" t="s">
        <v>374</v>
      </c>
      <c r="V4" s="646"/>
      <c r="W4" s="647"/>
      <c r="X4" s="642" t="s">
        <v>377</v>
      </c>
      <c r="Y4" s="715" t="s">
        <v>378</v>
      </c>
      <c r="Z4" s="646"/>
      <c r="AA4" s="647"/>
      <c r="AB4" s="642" t="s">
        <v>379</v>
      </c>
      <c r="AC4" s="715" t="s">
        <v>380</v>
      </c>
      <c r="AD4" s="646"/>
      <c r="AE4" s="647"/>
      <c r="AF4" s="841" t="s">
        <v>381</v>
      </c>
      <c r="AG4" s="646"/>
      <c r="AH4" s="647"/>
      <c r="AI4" s="643" t="s">
        <v>382</v>
      </c>
      <c r="AJ4" s="841" t="s">
        <v>383</v>
      </c>
      <c r="AK4" s="646"/>
      <c r="AL4" s="647"/>
      <c r="AM4" s="643" t="s">
        <v>384</v>
      </c>
      <c r="AN4" s="641" t="s">
        <v>385</v>
      </c>
    </row>
    <row r="5" spans="1:40" ht="30" customHeight="1" x14ac:dyDescent="0.2">
      <c r="A5" s="659"/>
      <c r="B5" s="660"/>
      <c r="C5" s="649"/>
      <c r="D5" s="649"/>
      <c r="E5" s="649"/>
      <c r="F5" s="649"/>
      <c r="G5" s="649"/>
      <c r="H5" s="781" t="s">
        <v>28</v>
      </c>
      <c r="I5" s="647"/>
      <c r="J5" s="688" t="s">
        <v>29</v>
      </c>
      <c r="K5" s="646"/>
      <c r="L5" s="646"/>
      <c r="M5" s="647"/>
      <c r="N5" s="119" t="s">
        <v>28</v>
      </c>
      <c r="O5" s="780" t="s">
        <v>29</v>
      </c>
      <c r="P5" s="647"/>
      <c r="Q5" s="125" t="s">
        <v>29</v>
      </c>
      <c r="R5" s="119" t="s">
        <v>28</v>
      </c>
      <c r="S5" s="780" t="s">
        <v>29</v>
      </c>
      <c r="T5" s="647"/>
      <c r="U5" s="119" t="s">
        <v>28</v>
      </c>
      <c r="V5" s="713" t="s">
        <v>29</v>
      </c>
      <c r="W5" s="647"/>
      <c r="X5" s="275" t="s">
        <v>29</v>
      </c>
      <c r="Y5" s="119" t="s">
        <v>28</v>
      </c>
      <c r="Z5" s="713" t="s">
        <v>29</v>
      </c>
      <c r="AA5" s="647"/>
      <c r="AB5" s="125" t="s">
        <v>29</v>
      </c>
      <c r="AC5" s="119" t="s">
        <v>28</v>
      </c>
      <c r="AD5" s="713" t="s">
        <v>29</v>
      </c>
      <c r="AE5" s="647"/>
      <c r="AF5" s="119" t="s">
        <v>28</v>
      </c>
      <c r="AG5" s="713" t="s">
        <v>29</v>
      </c>
      <c r="AH5" s="647"/>
      <c r="AI5" s="275" t="s">
        <v>29</v>
      </c>
      <c r="AJ5" s="119" t="s">
        <v>28</v>
      </c>
      <c r="AK5" s="713" t="s">
        <v>29</v>
      </c>
      <c r="AL5" s="647"/>
      <c r="AM5" s="275" t="s">
        <v>29</v>
      </c>
      <c r="AN5" s="275" t="s">
        <v>29</v>
      </c>
    </row>
    <row r="6" spans="1:40" ht="30" customHeight="1" x14ac:dyDescent="0.2">
      <c r="A6" s="661"/>
      <c r="B6" s="662"/>
      <c r="C6" s="650"/>
      <c r="D6" s="650"/>
      <c r="E6" s="650"/>
      <c r="F6" s="650"/>
      <c r="G6" s="650"/>
      <c r="H6" s="119" t="s">
        <v>35</v>
      </c>
      <c r="I6" s="119" t="s">
        <v>140</v>
      </c>
      <c r="J6" s="180" t="s">
        <v>35</v>
      </c>
      <c r="K6" s="210" t="s">
        <v>31</v>
      </c>
      <c r="L6" s="180" t="s">
        <v>140</v>
      </c>
      <c r="M6" s="210" t="s">
        <v>31</v>
      </c>
      <c r="N6" s="119" t="s">
        <v>140</v>
      </c>
      <c r="O6" s="180" t="s">
        <v>140</v>
      </c>
      <c r="P6" s="210" t="s">
        <v>31</v>
      </c>
      <c r="Q6" s="180" t="s">
        <v>35</v>
      </c>
      <c r="R6" s="119" t="s">
        <v>35</v>
      </c>
      <c r="S6" s="180" t="s">
        <v>35</v>
      </c>
      <c r="T6" s="210" t="s">
        <v>31</v>
      </c>
      <c r="U6" s="119" t="s">
        <v>140</v>
      </c>
      <c r="V6" s="180" t="s">
        <v>140</v>
      </c>
      <c r="W6" s="210" t="s">
        <v>31</v>
      </c>
      <c r="X6" s="180" t="s">
        <v>35</v>
      </c>
      <c r="Y6" s="119" t="s">
        <v>35</v>
      </c>
      <c r="Z6" s="180" t="s">
        <v>35</v>
      </c>
      <c r="AA6" s="210" t="s">
        <v>31</v>
      </c>
      <c r="AB6" s="180" t="s">
        <v>35</v>
      </c>
      <c r="AC6" s="119" t="s">
        <v>35</v>
      </c>
      <c r="AD6" s="180" t="s">
        <v>35</v>
      </c>
      <c r="AE6" s="210" t="s">
        <v>31</v>
      </c>
      <c r="AF6" s="119" t="s">
        <v>140</v>
      </c>
      <c r="AG6" s="180" t="s">
        <v>140</v>
      </c>
      <c r="AH6" s="210" t="s">
        <v>31</v>
      </c>
      <c r="AI6" s="180" t="s">
        <v>35</v>
      </c>
      <c r="AJ6" s="119" t="s">
        <v>140</v>
      </c>
      <c r="AK6" s="180" t="s">
        <v>140</v>
      </c>
      <c r="AL6" s="210" t="s">
        <v>31</v>
      </c>
      <c r="AM6" s="180" t="s">
        <v>35</v>
      </c>
      <c r="AN6" s="180" t="s">
        <v>35</v>
      </c>
    </row>
    <row r="7" spans="1:40" ht="19.5" x14ac:dyDescent="0.3">
      <c r="A7" s="694" t="s">
        <v>38</v>
      </c>
      <c r="B7" s="647"/>
      <c r="C7" s="27">
        <f t="shared" ref="C7:E7" ca="1" si="0">C8+C9</f>
        <v>39499060</v>
      </c>
      <c r="D7" s="27">
        <f t="shared" ca="1" si="0"/>
        <v>39075209.68</v>
      </c>
      <c r="E7" s="27">
        <f t="shared" ca="1" si="0"/>
        <v>16849510.079999998</v>
      </c>
      <c r="F7" s="27">
        <f t="shared" ref="F7:F9" ca="1" si="1">IF(C7&gt;0,E7*100/C7,0)</f>
        <v>42.658002696773032</v>
      </c>
      <c r="G7" s="27">
        <f t="shared" ref="G7:G9" ca="1" si="2">IF(D7&gt;0,E7*100/D7,0)</f>
        <v>43.120715712049375</v>
      </c>
      <c r="H7" s="211">
        <f t="shared" ref="H7:J7" ca="1" si="3">H8</f>
        <v>4625</v>
      </c>
      <c r="I7" s="211">
        <f t="shared" ca="1" si="3"/>
        <v>45000</v>
      </c>
      <c r="J7" s="212">
        <f t="shared" ca="1" si="3"/>
        <v>4626</v>
      </c>
      <c r="K7" s="213">
        <f t="shared" ref="K7:K8" ca="1" si="4">IF(H7&gt;0,J7*100/H7,0)</f>
        <v>100.02162162162162</v>
      </c>
      <c r="L7" s="212">
        <f ca="1">L8</f>
        <v>18361</v>
      </c>
      <c r="M7" s="213">
        <f t="shared" ref="M7:M8" ca="1" si="5">IF(I7&gt;0,L7*100/I7,0)</f>
        <v>40.80222222222222</v>
      </c>
      <c r="N7" s="211">
        <f t="shared" ref="N7:O7" ca="1" si="6">N8</f>
        <v>36000</v>
      </c>
      <c r="O7" s="212">
        <f t="shared" ca="1" si="6"/>
        <v>34805</v>
      </c>
      <c r="P7" s="213">
        <f t="shared" ref="P7:P8" ca="1" si="7">IF(N7&gt;0,O7*100/N7,0)</f>
        <v>96.680555555555557</v>
      </c>
      <c r="Q7" s="212">
        <f t="shared" ref="Q7:S7" ca="1" si="8">Q8</f>
        <v>1636</v>
      </c>
      <c r="R7" s="211">
        <f t="shared" ca="1" si="8"/>
        <v>3600</v>
      </c>
      <c r="S7" s="212">
        <f t="shared" ca="1" si="8"/>
        <v>3696</v>
      </c>
      <c r="T7" s="213">
        <f t="shared" ref="T7:T8" ca="1" si="9">IF(R7&gt;0,S7*100/R7,0)</f>
        <v>102.66666666666667</v>
      </c>
      <c r="U7" s="211">
        <f t="shared" ref="U7:V7" ca="1" si="10">U8</f>
        <v>9000</v>
      </c>
      <c r="V7" s="212">
        <f t="shared" ca="1" si="10"/>
        <v>7716</v>
      </c>
      <c r="W7" s="213">
        <f t="shared" ref="W7:W8" ca="1" si="11">IF(U7&gt;0,V7*100/U7,0)</f>
        <v>85.733333333333334</v>
      </c>
      <c r="X7" s="212">
        <f t="shared" ref="X7:Z7" ca="1" si="12">X8</f>
        <v>602</v>
      </c>
      <c r="Y7" s="211">
        <f t="shared" ca="1" si="12"/>
        <v>900</v>
      </c>
      <c r="Z7" s="212">
        <f t="shared" ca="1" si="12"/>
        <v>818</v>
      </c>
      <c r="AA7" s="213">
        <f t="shared" ref="AA7:AA8" ca="1" si="13">IF(Y7&gt;0,Z7*100/Y7,0)</f>
        <v>90.888888888888886</v>
      </c>
      <c r="AB7" s="212">
        <f t="shared" ref="AB7:AD7" ca="1" si="14">AB8</f>
        <v>144</v>
      </c>
      <c r="AC7" s="211">
        <f t="shared" ca="1" si="14"/>
        <v>125</v>
      </c>
      <c r="AD7" s="212">
        <f t="shared" ca="1" si="14"/>
        <v>112</v>
      </c>
      <c r="AE7" s="213">
        <f t="shared" ref="AE7:AE8" ca="1" si="15">IF(AC7&gt;0,AD7*100/AC7,0)</f>
        <v>89.6</v>
      </c>
      <c r="AF7" s="211">
        <f t="shared" ref="AF7:AG7" ca="1" si="16">AF8</f>
        <v>36000</v>
      </c>
      <c r="AG7" s="212">
        <f t="shared" ca="1" si="16"/>
        <v>14693</v>
      </c>
      <c r="AH7" s="213">
        <f t="shared" ref="AH7:AH8" ca="1" si="17">IF(AF7&gt;0,AG7*100/AF7,0)</f>
        <v>40.81388888888889</v>
      </c>
      <c r="AI7" s="212">
        <f t="shared" ref="AI7:AK7" ca="1" si="18">AI8</f>
        <v>5954</v>
      </c>
      <c r="AJ7" s="211">
        <f t="shared" ca="1" si="18"/>
        <v>9000</v>
      </c>
      <c r="AK7" s="212">
        <f t="shared" ca="1" si="18"/>
        <v>3668</v>
      </c>
      <c r="AL7" s="213">
        <f t="shared" ref="AL7:AL8" ca="1" si="19">IF(AJ7&gt;0,AK7*100/AJ7,0)</f>
        <v>40.755555555555553</v>
      </c>
      <c r="AM7" s="212">
        <f t="shared" ref="AM7:AN7" ca="1" si="20">AM8</f>
        <v>2261</v>
      </c>
      <c r="AN7" s="212">
        <f t="shared" ca="1" si="20"/>
        <v>71</v>
      </c>
    </row>
    <row r="8" spans="1:40" ht="19.5" x14ac:dyDescent="0.3">
      <c r="A8" s="134" t="s">
        <v>39</v>
      </c>
      <c r="B8" s="135"/>
      <c r="C8" s="37">
        <f t="shared" ref="C8:E8" ca="1" si="21">+C13+C31+C52+C74</f>
        <v>36621380</v>
      </c>
      <c r="D8" s="37">
        <f t="shared" ca="1" si="21"/>
        <v>36254429.68</v>
      </c>
      <c r="E8" s="37">
        <f t="shared" ca="1" si="21"/>
        <v>16449472.729999999</v>
      </c>
      <c r="F8" s="37">
        <f t="shared" ca="1" si="1"/>
        <v>44.917675767543436</v>
      </c>
      <c r="G8" s="37">
        <f t="shared" ca="1" si="2"/>
        <v>45.372311398059203</v>
      </c>
      <c r="H8" s="136">
        <f t="shared" ref="H8:J8" ca="1" si="22">+H13+H31+H52+H74</f>
        <v>4625</v>
      </c>
      <c r="I8" s="136">
        <f t="shared" ca="1" si="22"/>
        <v>45000</v>
      </c>
      <c r="J8" s="136">
        <f t="shared" ca="1" si="22"/>
        <v>4626</v>
      </c>
      <c r="K8" s="37">
        <f t="shared" ca="1" si="4"/>
        <v>100.02162162162162</v>
      </c>
      <c r="L8" s="136">
        <f ca="1">+L13+L31+L52+L74</f>
        <v>18361</v>
      </c>
      <c r="M8" s="37">
        <f t="shared" ca="1" si="5"/>
        <v>40.80222222222222</v>
      </c>
      <c r="N8" s="136">
        <f t="shared" ref="N8:O8" ca="1" si="23">+N13+N31+N52+N74</f>
        <v>36000</v>
      </c>
      <c r="O8" s="136">
        <f t="shared" ca="1" si="23"/>
        <v>34805</v>
      </c>
      <c r="P8" s="37">
        <f t="shared" ca="1" si="7"/>
        <v>96.680555555555557</v>
      </c>
      <c r="Q8" s="136">
        <f t="shared" ref="Q8:S8" ca="1" si="24">+Q13+Q31+Q52+Q74</f>
        <v>1636</v>
      </c>
      <c r="R8" s="136">
        <f t="shared" ca="1" si="24"/>
        <v>3600</v>
      </c>
      <c r="S8" s="136">
        <f t="shared" ca="1" si="24"/>
        <v>3696</v>
      </c>
      <c r="T8" s="37">
        <f t="shared" ca="1" si="9"/>
        <v>102.66666666666667</v>
      </c>
      <c r="U8" s="136">
        <f t="shared" ref="U8:V8" ca="1" si="25">+U13+U31+U52+U74</f>
        <v>9000</v>
      </c>
      <c r="V8" s="136">
        <f t="shared" ca="1" si="25"/>
        <v>7716</v>
      </c>
      <c r="W8" s="37">
        <f t="shared" ca="1" si="11"/>
        <v>85.733333333333334</v>
      </c>
      <c r="X8" s="136">
        <f t="shared" ref="X8:Z8" ca="1" si="26">+X13+X31+X52+X74</f>
        <v>602</v>
      </c>
      <c r="Y8" s="136">
        <f t="shared" ca="1" si="26"/>
        <v>900</v>
      </c>
      <c r="Z8" s="136">
        <f t="shared" ca="1" si="26"/>
        <v>818</v>
      </c>
      <c r="AA8" s="37">
        <f t="shared" ca="1" si="13"/>
        <v>90.888888888888886</v>
      </c>
      <c r="AB8" s="136">
        <f t="shared" ref="AB8:AD8" ca="1" si="27">+AB13+AB31+AB52+AB74</f>
        <v>144</v>
      </c>
      <c r="AC8" s="136">
        <f t="shared" ca="1" si="27"/>
        <v>125</v>
      </c>
      <c r="AD8" s="136">
        <f t="shared" ca="1" si="27"/>
        <v>112</v>
      </c>
      <c r="AE8" s="37">
        <f t="shared" ca="1" si="15"/>
        <v>89.6</v>
      </c>
      <c r="AF8" s="136">
        <f t="shared" ref="AF8:AG8" ca="1" si="28">+AF13+AF31+AF52+AF74</f>
        <v>36000</v>
      </c>
      <c r="AG8" s="136">
        <f t="shared" ca="1" si="28"/>
        <v>14693</v>
      </c>
      <c r="AH8" s="37">
        <f t="shared" ca="1" si="17"/>
        <v>40.81388888888889</v>
      </c>
      <c r="AI8" s="136">
        <f t="shared" ref="AI8:AK8" ca="1" si="29">+AI13+AI31+AI52+AI74</f>
        <v>5954</v>
      </c>
      <c r="AJ8" s="136">
        <f t="shared" ca="1" si="29"/>
        <v>9000</v>
      </c>
      <c r="AK8" s="136">
        <f t="shared" ca="1" si="29"/>
        <v>3668</v>
      </c>
      <c r="AL8" s="37">
        <f t="shared" ca="1" si="19"/>
        <v>40.755555555555553</v>
      </c>
      <c r="AM8" s="136">
        <f t="shared" ref="AM8:AN8" ca="1" si="30">+AM13+AM31+AM52+AM74</f>
        <v>2261</v>
      </c>
      <c r="AN8" s="136">
        <f t="shared" ca="1" si="30"/>
        <v>71</v>
      </c>
    </row>
    <row r="9" spans="1:40" ht="19.5" x14ac:dyDescent="0.3">
      <c r="A9" s="245" t="s">
        <v>40</v>
      </c>
      <c r="B9" s="138"/>
      <c r="C9" s="44">
        <f t="shared" ref="C9:E9" ca="1" si="31">C89</f>
        <v>2877680</v>
      </c>
      <c r="D9" s="44">
        <f t="shared" ca="1" si="31"/>
        <v>2820780</v>
      </c>
      <c r="E9" s="44">
        <f t="shared" ca="1" si="31"/>
        <v>400037.35</v>
      </c>
      <c r="F9" s="44">
        <f t="shared" ca="1" si="1"/>
        <v>13.901384101081426</v>
      </c>
      <c r="G9" s="44">
        <f t="shared" ca="1" si="2"/>
        <v>14.18179900594871</v>
      </c>
      <c r="H9" s="246"/>
      <c r="I9" s="246"/>
      <c r="J9" s="246"/>
      <c r="K9" s="247"/>
      <c r="L9" s="246"/>
      <c r="M9" s="247"/>
      <c r="N9" s="246"/>
      <c r="O9" s="246"/>
      <c r="P9" s="247"/>
      <c r="Q9" s="246"/>
      <c r="R9" s="246"/>
      <c r="S9" s="246"/>
      <c r="T9" s="247"/>
      <c r="U9" s="246"/>
      <c r="V9" s="246"/>
      <c r="W9" s="247"/>
      <c r="X9" s="246"/>
      <c r="Y9" s="246"/>
      <c r="Z9" s="246"/>
      <c r="AA9" s="247"/>
      <c r="AB9" s="246"/>
      <c r="AC9" s="246"/>
      <c r="AD9" s="246"/>
      <c r="AE9" s="247"/>
      <c r="AF9" s="246"/>
      <c r="AG9" s="246"/>
      <c r="AH9" s="247"/>
      <c r="AI9" s="246"/>
      <c r="AJ9" s="246"/>
      <c r="AK9" s="246"/>
      <c r="AL9" s="247"/>
      <c r="AM9" s="246"/>
      <c r="AN9" s="246"/>
    </row>
    <row r="10" spans="1:40" ht="12.75" hidden="1" x14ac:dyDescent="0.2">
      <c r="A10" s="142"/>
      <c r="B10" s="142"/>
      <c r="C10" s="196"/>
      <c r="D10" s="196"/>
      <c r="E10" s="196"/>
      <c r="F10" s="196"/>
      <c r="G10" s="196"/>
      <c r="H10" s="214"/>
      <c r="I10" s="214"/>
      <c r="J10" s="214"/>
      <c r="K10" s="196"/>
      <c r="L10" s="214"/>
      <c r="M10" s="196"/>
      <c r="N10" s="214"/>
      <c r="O10" s="214"/>
      <c r="P10" s="196"/>
      <c r="Q10" s="214"/>
      <c r="R10" s="214"/>
      <c r="S10" s="214"/>
      <c r="T10" s="196"/>
      <c r="U10" s="214"/>
      <c r="V10" s="214"/>
      <c r="W10" s="196"/>
      <c r="X10" s="214"/>
      <c r="Y10" s="214"/>
      <c r="Z10" s="214"/>
      <c r="AA10" s="196"/>
      <c r="AB10" s="214"/>
      <c r="AC10" s="214"/>
      <c r="AD10" s="214"/>
      <c r="AE10" s="196"/>
      <c r="AF10" s="214"/>
      <c r="AG10" s="214"/>
      <c r="AH10" s="196"/>
      <c r="AI10" s="214"/>
      <c r="AJ10" s="214"/>
      <c r="AK10" s="214"/>
      <c r="AL10" s="196"/>
      <c r="AM10" s="214"/>
      <c r="AN10" s="214"/>
    </row>
    <row r="11" spans="1:40" ht="12.75" hidden="1" x14ac:dyDescent="0.2">
      <c r="A11" s="142"/>
      <c r="B11" s="142"/>
      <c r="C11" s="196"/>
      <c r="D11" s="196"/>
      <c r="E11" s="196"/>
      <c r="F11" s="196"/>
      <c r="G11" s="196"/>
      <c r="H11" s="214"/>
      <c r="I11" s="214"/>
      <c r="J11" s="214"/>
      <c r="K11" s="196"/>
      <c r="L11" s="214"/>
      <c r="M11" s="196"/>
      <c r="N11" s="214"/>
      <c r="O11" s="214"/>
      <c r="P11" s="196"/>
      <c r="Q11" s="214"/>
      <c r="R11" s="214"/>
      <c r="S11" s="214"/>
      <c r="T11" s="196"/>
      <c r="U11" s="214"/>
      <c r="V11" s="214"/>
      <c r="W11" s="196"/>
      <c r="X11" s="214"/>
      <c r="Y11" s="214"/>
      <c r="Z11" s="214"/>
      <c r="AA11" s="196"/>
      <c r="AB11" s="214"/>
      <c r="AC11" s="214"/>
      <c r="AD11" s="214"/>
      <c r="AE11" s="196"/>
      <c r="AF11" s="214"/>
      <c r="AG11" s="214"/>
      <c r="AH11" s="196"/>
      <c r="AI11" s="214"/>
      <c r="AJ11" s="214"/>
      <c r="AK11" s="214"/>
      <c r="AL11" s="196"/>
      <c r="AM11" s="214"/>
      <c r="AN11" s="214"/>
    </row>
    <row r="12" spans="1:40" ht="12.75" hidden="1" x14ac:dyDescent="0.2">
      <c r="A12" s="142"/>
      <c r="B12" s="142"/>
      <c r="C12" s="196"/>
      <c r="D12" s="196"/>
      <c r="E12" s="196"/>
      <c r="F12" s="196"/>
      <c r="G12" s="196"/>
      <c r="H12" s="214"/>
      <c r="I12" s="214"/>
      <c r="J12" s="214"/>
      <c r="K12" s="196"/>
      <c r="L12" s="214"/>
      <c r="M12" s="196"/>
      <c r="N12" s="214"/>
      <c r="O12" s="214"/>
      <c r="P12" s="196"/>
      <c r="Q12" s="214"/>
      <c r="R12" s="214"/>
      <c r="S12" s="214"/>
      <c r="T12" s="196"/>
      <c r="U12" s="214"/>
      <c r="V12" s="214"/>
      <c r="W12" s="196"/>
      <c r="X12" s="214"/>
      <c r="Y12" s="214"/>
      <c r="Z12" s="214"/>
      <c r="AA12" s="196"/>
      <c r="AB12" s="214"/>
      <c r="AC12" s="214"/>
      <c r="AD12" s="214"/>
      <c r="AE12" s="196"/>
      <c r="AF12" s="214"/>
      <c r="AG12" s="214"/>
      <c r="AH12" s="196"/>
      <c r="AI12" s="214"/>
      <c r="AJ12" s="214"/>
      <c r="AK12" s="214"/>
      <c r="AL12" s="196"/>
      <c r="AM12" s="214"/>
      <c r="AN12" s="214"/>
    </row>
    <row r="13" spans="1:40" ht="19.5" x14ac:dyDescent="0.3">
      <c r="A13" s="695" t="s">
        <v>41</v>
      </c>
      <c r="B13" s="647"/>
      <c r="C13" s="57">
        <f t="shared" ref="C13:E13" ca="1" si="32">SUM(C14:C30)</f>
        <v>11271490</v>
      </c>
      <c r="D13" s="57">
        <f t="shared" ca="1" si="32"/>
        <v>11271490</v>
      </c>
      <c r="E13" s="57">
        <f t="shared" ca="1" si="32"/>
        <v>4404164.9799999995</v>
      </c>
      <c r="F13" s="57">
        <f t="shared" ref="F13:F106" ca="1" si="33">IF(C13&gt;0,E13*100/C13,0)</f>
        <v>39.0734940988281</v>
      </c>
      <c r="G13" s="57">
        <f t="shared" ref="G13:G106" ca="1" si="34">IF(D13&gt;0,E13*100/D13,0)</f>
        <v>39.0734940988281</v>
      </c>
      <c r="H13" s="145">
        <f t="shared" ref="H13:J13" ca="1" si="35">SUM(H14:H30)</f>
        <v>1436</v>
      </c>
      <c r="I13" s="145">
        <f t="shared" ca="1" si="35"/>
        <v>14000</v>
      </c>
      <c r="J13" s="145">
        <f t="shared" ca="1" si="35"/>
        <v>1432</v>
      </c>
      <c r="K13" s="57">
        <f t="shared" ref="K13:K88" ca="1" si="36">IF(H13&gt;0,J13*100/H13,0)</f>
        <v>99.721448467966567</v>
      </c>
      <c r="L13" s="145">
        <f ca="1">SUM(L14:L30)</f>
        <v>3141</v>
      </c>
      <c r="M13" s="57">
        <f t="shared" ref="M13:M88" ca="1" si="37">IF(I13&gt;0,L13*100/I13,0)</f>
        <v>22.435714285714287</v>
      </c>
      <c r="N13" s="145">
        <f t="shared" ref="N13:O13" ca="1" si="38">SUM(N14:N30)</f>
        <v>11200</v>
      </c>
      <c r="O13" s="145">
        <f t="shared" ca="1" si="38"/>
        <v>11244</v>
      </c>
      <c r="P13" s="57">
        <f t="shared" ref="P13:P88" ca="1" si="39">IF(N13&gt;0,O13*100/N13,0)</f>
        <v>100.39285714285714</v>
      </c>
      <c r="Q13" s="145">
        <f t="shared" ref="Q13:S13" ca="1" si="40">SUM(Q14:Q30)</f>
        <v>527</v>
      </c>
      <c r="R13" s="145">
        <f t="shared" ca="1" si="40"/>
        <v>1120</v>
      </c>
      <c r="S13" s="145">
        <f t="shared" ca="1" si="40"/>
        <v>1174</v>
      </c>
      <c r="T13" s="57">
        <f t="shared" ref="T13:T88" ca="1" si="41">IF(R13&gt;0,S13*100/R13,0)</f>
        <v>104.82142857142857</v>
      </c>
      <c r="U13" s="145">
        <f t="shared" ref="U13:V13" ca="1" si="42">SUM(U14:U30)</f>
        <v>2800</v>
      </c>
      <c r="V13" s="145">
        <f t="shared" ca="1" si="42"/>
        <v>2301</v>
      </c>
      <c r="W13" s="57">
        <f t="shared" ref="W13:W88" ca="1" si="43">IF(U13&gt;0,V13*100/U13,0)</f>
        <v>82.178571428571431</v>
      </c>
      <c r="X13" s="145">
        <f t="shared" ref="X13:Z13" ca="1" si="44">SUM(X14:X30)</f>
        <v>130</v>
      </c>
      <c r="Y13" s="145">
        <f t="shared" ca="1" si="44"/>
        <v>280</v>
      </c>
      <c r="Z13" s="145">
        <f t="shared" ca="1" si="44"/>
        <v>232</v>
      </c>
      <c r="AA13" s="57">
        <f t="shared" ref="AA13:AA88" ca="1" si="45">IF(Y13&gt;0,Z13*100/Y13,0)</f>
        <v>82.857142857142861</v>
      </c>
      <c r="AB13" s="145">
        <f t="shared" ref="AB13:AD13" ca="1" si="46">SUM(AB14:AB30)</f>
        <v>58</v>
      </c>
      <c r="AC13" s="145">
        <f t="shared" ca="1" si="46"/>
        <v>36</v>
      </c>
      <c r="AD13" s="145">
        <f t="shared" ca="1" si="46"/>
        <v>26</v>
      </c>
      <c r="AE13" s="57">
        <f t="shared" ref="AE13:AE88" ca="1" si="47">IF(AC13&gt;0,AD13*100/AC13,0)</f>
        <v>72.222222222222229</v>
      </c>
      <c r="AF13" s="145">
        <f t="shared" ref="AF13:AG13" ca="1" si="48">SUM(AF14:AF30)</f>
        <v>11200</v>
      </c>
      <c r="AG13" s="145">
        <f t="shared" ca="1" si="48"/>
        <v>2517</v>
      </c>
      <c r="AH13" s="57">
        <f t="shared" ref="AH13:AH88" ca="1" si="49">IF(AF13&gt;0,AG13*100/AF13,0)</f>
        <v>22.473214285714285</v>
      </c>
      <c r="AI13" s="145">
        <f t="shared" ref="AI13:AK13" ca="1" si="50">SUM(AI14:AI30)</f>
        <v>1327</v>
      </c>
      <c r="AJ13" s="145">
        <f t="shared" ca="1" si="50"/>
        <v>2800</v>
      </c>
      <c r="AK13" s="145">
        <f t="shared" ca="1" si="50"/>
        <v>624</v>
      </c>
      <c r="AL13" s="57">
        <f t="shared" ref="AL13:AL88" ca="1" si="51">IF(AJ13&gt;0,AK13*100/AJ13,0)</f>
        <v>22.285714285714285</v>
      </c>
      <c r="AM13" s="145">
        <f t="shared" ref="AM13:AN13" ca="1" si="52">SUM(AM14:AM30)</f>
        <v>327</v>
      </c>
      <c r="AN13" s="145">
        <f t="shared" ca="1" si="52"/>
        <v>13</v>
      </c>
    </row>
    <row r="14" spans="1:40" ht="19.5" x14ac:dyDescent="0.3">
      <c r="A14" s="147">
        <v>1</v>
      </c>
      <c r="B14" s="148" t="s">
        <v>42</v>
      </c>
      <c r="C14" s="68">
        <f ca="1">IFERROR(__xludf.DUMMYFUNCTION("IMPORTRANGE(""https://docs.google.com/spreadsheets/d/1jTcq05yEiRwXcBMLjiodW9e4biSGYWAHcDj22rKWQ3s/edit?usp=sharing"",""กำแพงเพชร!Q728"")"),1008470)</f>
        <v>1008470</v>
      </c>
      <c r="D14" s="68">
        <f ca="1">IFERROR(__xludf.DUMMYFUNCTION("IMPORTRANGE(""https://docs.google.com/spreadsheets/d/1jTcq05yEiRwXcBMLjiodW9e4biSGYWAHcDj22rKWQ3s/edit?usp=sharing"",""กำแพงเพชร!R728"")"),1008470)</f>
        <v>1008470</v>
      </c>
      <c r="E14" s="68">
        <f ca="1">IFERROR(__xludf.DUMMYFUNCTION("IMPORTRANGE(""https://docs.google.com/spreadsheets/d/1jTcq05yEiRwXcBMLjiodW9e4biSGYWAHcDj22rKWQ3s/edit?usp=sharing"",""กำแพงเพชร!S728"")"),227500)</f>
        <v>227500</v>
      </c>
      <c r="F14" s="68">
        <f t="shared" ca="1" si="33"/>
        <v>22.55892589764693</v>
      </c>
      <c r="G14" s="68">
        <f t="shared" ca="1" si="34"/>
        <v>22.55892589764693</v>
      </c>
      <c r="H14" s="152">
        <f ca="1">IFERROR(__xludf.DUMMYFUNCTION("IMPORTRANGE(""https://docs.google.com/spreadsheets/d/1jTcq05yEiRwXcBMLjiodW9e4biSGYWAHcDj22rKWQ3s/edit?usp=sharing"",""กำแพงเพชร!I726"")"),128)</f>
        <v>128</v>
      </c>
      <c r="I14" s="152">
        <f ca="1">IFERROR(__xludf.DUMMYFUNCTION("IMPORTRANGE(""https://docs.google.com/spreadsheets/d/1jTcq05yEiRwXcBMLjiodW9e4biSGYWAHcDj22rKWQ3s/edit?usp=sharing"",""กำแพงเพชร!I727"")"),1250)</f>
        <v>1250</v>
      </c>
      <c r="J14" s="152">
        <f ca="1">IFERROR(__xludf.DUMMYFUNCTION("IMPORTRANGE(""https://docs.google.com/spreadsheets/d/1jTcq05yEiRwXcBMLjiodW9e4biSGYWAHcDj22rKWQ3s/edit?usp=sharing"",""กำแพงเพชร!J726"")"),100)</f>
        <v>100</v>
      </c>
      <c r="K14" s="216">
        <f t="shared" ca="1" si="36"/>
        <v>78.125</v>
      </c>
      <c r="L14" s="152">
        <f ca="1">IFERROR(__xludf.DUMMYFUNCTION("IMPORTRANGE(""https://docs.google.com/spreadsheets/d/1jTcq05yEiRwXcBMLjiodW9e4biSGYWAHcDj22rKWQ3s/edit?usp=sharing"",""กำแพงเพชร!J727"")"),0)</f>
        <v>0</v>
      </c>
      <c r="M14" s="216">
        <f t="shared" ca="1" si="37"/>
        <v>0</v>
      </c>
      <c r="N14" s="152">
        <f ca="1">IFERROR(__xludf.DUMMYFUNCTION("IMPORTRANGE(""https://docs.google.com/spreadsheets/d/1jTcq05yEiRwXcBMLjiodW9e4biSGYWAHcDj22rKWQ3s/edit?usp=sharing"",""กำแพงเพชร!I740"")"),1000)</f>
        <v>1000</v>
      </c>
      <c r="O14" s="152">
        <f ca="1">IFERROR(__xludf.DUMMYFUNCTION("IMPORTRANGE(""https://docs.google.com/spreadsheets/d/1jTcq05yEiRwXcBMLjiodW9e4biSGYWAHcDj22rKWQ3s/edit?usp=sharing"",""กำแพงเพชร!J740"")"),1000)</f>
        <v>1000</v>
      </c>
      <c r="P14" s="216">
        <f t="shared" ca="1" si="39"/>
        <v>100</v>
      </c>
      <c r="Q14" s="152">
        <f ca="1">IFERROR(__xludf.DUMMYFUNCTION("IMPORTRANGE(""https://docs.google.com/spreadsheets/d/1jTcq05yEiRwXcBMLjiodW9e4biSGYWAHcDj22rKWQ3s/edit?usp=sharing"",""กำแพงเพชร!J741"")"),0)</f>
        <v>0</v>
      </c>
      <c r="R14" s="152">
        <f ca="1">IFERROR(__xludf.DUMMYFUNCTION("IMPORTRANGE(""https://docs.google.com/spreadsheets/d/1jTcq05yEiRwXcBMLjiodW9e4biSGYWAHcDj22rKWQ3s/edit?usp=sharing"",""กำแพงเพชร!I742"")"),100)</f>
        <v>100</v>
      </c>
      <c r="S14" s="152">
        <f ca="1">IFERROR(__xludf.DUMMYFUNCTION("IMPORTRANGE(""https://docs.google.com/spreadsheets/d/1jTcq05yEiRwXcBMLjiodW9e4biSGYWAHcDj22rKWQ3s/edit?usp=sharing"",""กำแพงเพชร!J742"")"),100)</f>
        <v>100</v>
      </c>
      <c r="T14" s="216">
        <f t="shared" ca="1" si="41"/>
        <v>100</v>
      </c>
      <c r="U14" s="152">
        <f ca="1">IFERROR(__xludf.DUMMYFUNCTION("IMPORTRANGE(""https://docs.google.com/spreadsheets/d/1jTcq05yEiRwXcBMLjiodW9e4biSGYWAHcDj22rKWQ3s/edit?usp=sharing"",""กำแพงเพชร!I744"")"),250)</f>
        <v>250</v>
      </c>
      <c r="V14" s="152">
        <f ca="1">IFERROR(__xludf.DUMMYFUNCTION("IMPORTRANGE(""https://docs.google.com/spreadsheets/d/1jTcq05yEiRwXcBMLjiodW9e4biSGYWAHcDj22rKWQ3s/edit?usp=sharing"",""กำแพงเพชร!J744"")"),0)</f>
        <v>0</v>
      </c>
      <c r="W14" s="216">
        <f t="shared" ca="1" si="43"/>
        <v>0</v>
      </c>
      <c r="X14" s="152">
        <f ca="1">IFERROR(__xludf.DUMMYFUNCTION("IMPORTRANGE(""https://docs.google.com/spreadsheets/d/1jTcq05yEiRwXcBMLjiodW9e4biSGYWAHcDj22rKWQ3s/edit?usp=sharing"",""กำแพงเพชร!J745"")"),0)</f>
        <v>0</v>
      </c>
      <c r="Y14" s="152">
        <f ca="1">IFERROR(__xludf.DUMMYFUNCTION("IMPORTRANGE(""https://docs.google.com/spreadsheets/d/1jTcq05yEiRwXcBMLjiodW9e4biSGYWAHcDj22rKWQ3s/edit?usp=sharing"",""กำแพงเพชร!I746"")"),25)</f>
        <v>25</v>
      </c>
      <c r="Z14" s="152">
        <f ca="1">IFERROR(__xludf.DUMMYFUNCTION("IMPORTRANGE(""https://docs.google.com/spreadsheets/d/1jTcq05yEiRwXcBMLjiodW9e4biSGYWAHcDj22rKWQ3s/edit?usp=sharing"",""กำแพงเพชร!J746"")"),0)</f>
        <v>0</v>
      </c>
      <c r="AA14" s="216">
        <f t="shared" ca="1" si="45"/>
        <v>0</v>
      </c>
      <c r="AB14" s="152">
        <f ca="1">IFERROR(__xludf.DUMMYFUNCTION("IMPORTRANGE(""https://docs.google.com/spreadsheets/d/1jTcq05yEiRwXcBMLjiodW9e4biSGYWAHcDj22rKWQ3s/edit?usp=sharing"",""กำแพงเพชร!J748"")"),0)</f>
        <v>0</v>
      </c>
      <c r="AC14" s="152">
        <f ca="1">IFERROR(__xludf.DUMMYFUNCTION("IMPORTRANGE(""https://docs.google.com/spreadsheets/d/1jTcq05yEiRwXcBMLjiodW9e4biSGYWAHcDj22rKWQ3s/edit?usp=sharing"",""กำแพงเพชร!I749"")"),3)</f>
        <v>3</v>
      </c>
      <c r="AD14" s="152">
        <f ca="1">IFERROR(__xludf.DUMMYFUNCTION("IMPORTRANGE(""https://docs.google.com/spreadsheets/d/1jTcq05yEiRwXcBMLjiodW9e4biSGYWAHcDj22rKWQ3s/edit?usp=sharing"",""กำแพงเพชร!J749"")"),0)</f>
        <v>0</v>
      </c>
      <c r="AE14" s="216">
        <f t="shared" ca="1" si="47"/>
        <v>0</v>
      </c>
      <c r="AF14" s="152">
        <f ca="1">IFERROR(__xludf.DUMMYFUNCTION("IMPORTRANGE(""https://docs.google.com/spreadsheets/d/1jTcq05yEiRwXcBMLjiodW9e4biSGYWAHcDj22rKWQ3s/edit?usp=sharing"",""กำแพงเพชร!I752"")"),1000)</f>
        <v>1000</v>
      </c>
      <c r="AG14" s="152">
        <f ca="1">IFERROR(__xludf.DUMMYFUNCTION("IMPORTRANGE(""https://docs.google.com/spreadsheets/d/1jTcq05yEiRwXcBMLjiodW9e4biSGYWAHcDj22rKWQ3s/edit?usp=sharing"",""กำแพงเพชร!J752"")"),0)</f>
        <v>0</v>
      </c>
      <c r="AH14" s="216">
        <f t="shared" ca="1" si="49"/>
        <v>0</v>
      </c>
      <c r="AI14" s="152">
        <f ca="1">IFERROR(__xludf.DUMMYFUNCTION("IMPORTRANGE(""https://docs.google.com/spreadsheets/d/1jTcq05yEiRwXcBMLjiodW9e4biSGYWAHcDj22rKWQ3s/edit?usp=sharing"",""กำแพงเพชร!J753"")"),0)</f>
        <v>0</v>
      </c>
      <c r="AJ14" s="152">
        <f ca="1">IFERROR(__xludf.DUMMYFUNCTION("IMPORTRANGE(""https://docs.google.com/spreadsheets/d/1jTcq05yEiRwXcBMLjiodW9e4biSGYWAHcDj22rKWQ3s/edit?usp=sharing"",""กำแพงเพชร!I755"")"),250)</f>
        <v>250</v>
      </c>
      <c r="AK14" s="152">
        <f ca="1">IFERROR(__xludf.DUMMYFUNCTION("IMPORTRANGE(""https://docs.google.com/spreadsheets/d/1jTcq05yEiRwXcBMLjiodW9e4biSGYWAHcDj22rKWQ3s/edit?usp=sharing"",""กำแพงเพชร!J755"")"),0)</f>
        <v>0</v>
      </c>
      <c r="AL14" s="216">
        <f t="shared" ca="1" si="51"/>
        <v>0</v>
      </c>
      <c r="AM14" s="152">
        <f ca="1">IFERROR(__xludf.DUMMYFUNCTION("IMPORTRANGE(""https://docs.google.com/spreadsheets/d/1jTcq05yEiRwXcBMLjiodW9e4biSGYWAHcDj22rKWQ3s/edit?usp=sharing"",""กำแพงเพชร!J756"")"),0)</f>
        <v>0</v>
      </c>
      <c r="AN14" s="152">
        <f ca="1">IFERROR(__xludf.DUMMYFUNCTION("IMPORTRANGE(""https://docs.google.com/spreadsheets/d/1jTcq05yEiRwXcBMLjiodW9e4biSGYWAHcDj22rKWQ3s/edit?usp=sharing"",""กำแพงเพชร!J757"")"),0)</f>
        <v>0</v>
      </c>
    </row>
    <row r="15" spans="1:40" ht="19.5" x14ac:dyDescent="0.3">
      <c r="A15" s="147">
        <v>2</v>
      </c>
      <c r="B15" s="148" t="s">
        <v>43</v>
      </c>
      <c r="C15" s="68">
        <f ca="1">IFERROR(__xludf.DUMMYFUNCTION("IMPORTRANGE(""https://docs.google.com/spreadsheets/d/1KS0zmDSZPk8KnTAbGN-Xk6MtX1YRZD0ldgdt20K4CRk/edit?usp=sharing"",""เชียงราย!Q728"")"),1008470)</f>
        <v>1008470</v>
      </c>
      <c r="D15" s="68">
        <f ca="1">IFERROR(__xludf.DUMMYFUNCTION("IMPORTRANGE(""https://docs.google.com/spreadsheets/d/1KS0zmDSZPk8KnTAbGN-Xk6MtX1YRZD0ldgdt20K4CRk/edit?usp=sharing"",""เชียงราย!R728"")"),1008470)</f>
        <v>1008470</v>
      </c>
      <c r="E15" s="68">
        <f ca="1">IFERROR(__xludf.DUMMYFUNCTION("IMPORTRANGE(""https://docs.google.com/spreadsheets/d/1KS0zmDSZPk8KnTAbGN-Xk6MtX1YRZD0ldgdt20K4CRk/edit?usp=sharing"",""เชียงราย!S728"")"),207201.18)</f>
        <v>207201.18</v>
      </c>
      <c r="F15" s="68">
        <f t="shared" ca="1" si="33"/>
        <v>20.546092595714299</v>
      </c>
      <c r="G15" s="68">
        <f t="shared" ca="1" si="34"/>
        <v>20.546092595714299</v>
      </c>
      <c r="H15" s="152">
        <f ca="1">IFERROR(__xludf.DUMMYFUNCTION("IMPORTRANGE(""https://docs.google.com/spreadsheets/d/1KS0zmDSZPk8KnTAbGN-Xk6MtX1YRZD0ldgdt20K4CRk/edit?usp=sharing"",""เชียงราย!I726"")"),128)</f>
        <v>128</v>
      </c>
      <c r="I15" s="152">
        <f ca="1">IFERROR(__xludf.DUMMYFUNCTION("IMPORTRANGE(""https://docs.google.com/spreadsheets/d/1KS0zmDSZPk8KnTAbGN-Xk6MtX1YRZD0ldgdt20K4CRk/edit?usp=sharing"",""เชียงราย!I727"")"),1250)</f>
        <v>1250</v>
      </c>
      <c r="J15" s="152">
        <f ca="1">IFERROR(__xludf.DUMMYFUNCTION("IMPORTRANGE(""https://docs.google.com/spreadsheets/d/1KS0zmDSZPk8KnTAbGN-Xk6MtX1YRZD0ldgdt20K4CRk/edit?usp=sharing"",""เชียงราย!J726"")"),137)</f>
        <v>137</v>
      </c>
      <c r="K15" s="216">
        <f t="shared" ca="1" si="36"/>
        <v>107.03125</v>
      </c>
      <c r="L15" s="152">
        <f ca="1">IFERROR(__xludf.DUMMYFUNCTION("IMPORTRANGE(""https://docs.google.com/spreadsheets/d/1KS0zmDSZPk8KnTAbGN-Xk6MtX1YRZD0ldgdt20K4CRk/edit?usp=sharing"",""เชียงราย!J727"")"),0)</f>
        <v>0</v>
      </c>
      <c r="M15" s="216">
        <f t="shared" ca="1" si="37"/>
        <v>0</v>
      </c>
      <c r="N15" s="152">
        <f ca="1">IFERROR(__xludf.DUMMYFUNCTION("IMPORTRANGE(""https://docs.google.com/spreadsheets/d/1KS0zmDSZPk8KnTAbGN-Xk6MtX1YRZD0ldgdt20K4CRk/edit?usp=sharing"",""เชียงราย!I740"")"),1000)</f>
        <v>1000</v>
      </c>
      <c r="O15" s="152">
        <f ca="1">IFERROR(__xludf.DUMMYFUNCTION("IMPORTRANGE(""https://docs.google.com/spreadsheets/d/1KS0zmDSZPk8KnTAbGN-Xk6MtX1YRZD0ldgdt20K4CRk/edit?usp=sharing"",""เชียงราย!J740"")"),1000)</f>
        <v>1000</v>
      </c>
      <c r="P15" s="216">
        <f t="shared" ca="1" si="39"/>
        <v>100</v>
      </c>
      <c r="Q15" s="152">
        <f ca="1">IFERROR(__xludf.DUMMYFUNCTION("IMPORTRANGE(""https://docs.google.com/spreadsheets/d/1KS0zmDSZPk8KnTAbGN-Xk6MtX1YRZD0ldgdt20K4CRk/edit?usp=sharing"",""เชียงราย!J741"")"),0)</f>
        <v>0</v>
      </c>
      <c r="R15" s="152">
        <f ca="1">IFERROR(__xludf.DUMMYFUNCTION("IMPORTRANGE(""https://docs.google.com/spreadsheets/d/1KS0zmDSZPk8KnTAbGN-Xk6MtX1YRZD0ldgdt20K4CRk/edit?usp=sharing"",""เชียงราย!I742"")"),100)</f>
        <v>100</v>
      </c>
      <c r="S15" s="152">
        <f ca="1">IFERROR(__xludf.DUMMYFUNCTION("IMPORTRANGE(""https://docs.google.com/spreadsheets/d/1KS0zmDSZPk8KnTAbGN-Xk6MtX1YRZD0ldgdt20K4CRk/edit?usp=sharing"",""เชียงราย!J742"")"),137)</f>
        <v>137</v>
      </c>
      <c r="T15" s="216">
        <f t="shared" ca="1" si="41"/>
        <v>137</v>
      </c>
      <c r="U15" s="152">
        <f ca="1">IFERROR(__xludf.DUMMYFUNCTION("IMPORTRANGE(""https://docs.google.com/spreadsheets/d/1KS0zmDSZPk8KnTAbGN-Xk6MtX1YRZD0ldgdt20K4CRk/edit?usp=sharing"",""เชียงราย!I744"")"),250)</f>
        <v>250</v>
      </c>
      <c r="V15" s="152">
        <f ca="1">IFERROR(__xludf.DUMMYFUNCTION("IMPORTRANGE(""https://docs.google.com/spreadsheets/d/1KS0zmDSZPk8KnTAbGN-Xk6MtX1YRZD0ldgdt20K4CRk/edit?usp=sharing"",""เชียงราย!J744"")"),0)</f>
        <v>0</v>
      </c>
      <c r="W15" s="216">
        <f t="shared" ca="1" si="43"/>
        <v>0</v>
      </c>
      <c r="X15" s="152">
        <f ca="1">IFERROR(__xludf.DUMMYFUNCTION("IMPORTRANGE(""https://docs.google.com/spreadsheets/d/1KS0zmDSZPk8KnTAbGN-Xk6MtX1YRZD0ldgdt20K4CRk/edit?usp=sharing"",""เชียงราย!J745"")"),0)</f>
        <v>0</v>
      </c>
      <c r="Y15" s="152">
        <f ca="1">IFERROR(__xludf.DUMMYFUNCTION("IMPORTRANGE(""https://docs.google.com/spreadsheets/d/1KS0zmDSZPk8KnTAbGN-Xk6MtX1YRZD0ldgdt20K4CRk/edit?usp=sharing"",""เชียงราย!I746"")"),25)</f>
        <v>25</v>
      </c>
      <c r="Z15" s="152">
        <f ca="1">IFERROR(__xludf.DUMMYFUNCTION("IMPORTRANGE(""https://docs.google.com/spreadsheets/d/1KS0zmDSZPk8KnTAbGN-Xk6MtX1YRZD0ldgdt20K4CRk/edit?usp=sharing"",""เชียงราย!J746"")"),0)</f>
        <v>0</v>
      </c>
      <c r="AA15" s="216">
        <f t="shared" ca="1" si="45"/>
        <v>0</v>
      </c>
      <c r="AB15" s="152">
        <f ca="1">IFERROR(__xludf.DUMMYFUNCTION("IMPORTRANGE(""https://docs.google.com/spreadsheets/d/1KS0zmDSZPk8KnTAbGN-Xk6MtX1YRZD0ldgdt20K4CRk/edit?usp=sharing"",""เชียงราย!J748"")"),0)</f>
        <v>0</v>
      </c>
      <c r="AC15" s="152">
        <f ca="1">IFERROR(__xludf.DUMMYFUNCTION("IMPORTRANGE(""https://docs.google.com/spreadsheets/d/1KS0zmDSZPk8KnTAbGN-Xk6MtX1YRZD0ldgdt20K4CRk/edit?usp=sharing"",""เชียงราย!I749"")"),3)</f>
        <v>3</v>
      </c>
      <c r="AD15" s="152">
        <f ca="1">IFERROR(__xludf.DUMMYFUNCTION("IMPORTRANGE(""https://docs.google.com/spreadsheets/d/1KS0zmDSZPk8KnTAbGN-Xk6MtX1YRZD0ldgdt20K4CRk/edit?usp=sharing"",""เชียงราย!J749"")"),0)</f>
        <v>0</v>
      </c>
      <c r="AE15" s="216">
        <f t="shared" ca="1" si="47"/>
        <v>0</v>
      </c>
      <c r="AF15" s="152">
        <f ca="1">IFERROR(__xludf.DUMMYFUNCTION("IMPORTRANGE(""https://docs.google.com/spreadsheets/d/1KS0zmDSZPk8KnTAbGN-Xk6MtX1YRZD0ldgdt20K4CRk/edit?usp=sharing"",""เชียงราย!I752"")"),1000)</f>
        <v>1000</v>
      </c>
      <c r="AG15" s="152">
        <f ca="1">IFERROR(__xludf.DUMMYFUNCTION("IMPORTRANGE(""https://docs.google.com/spreadsheets/d/1KS0zmDSZPk8KnTAbGN-Xk6MtX1YRZD0ldgdt20K4CRk/edit?usp=sharing"",""เชียงราย!J752"")"),0)</f>
        <v>0</v>
      </c>
      <c r="AH15" s="216">
        <f t="shared" ca="1" si="49"/>
        <v>0</v>
      </c>
      <c r="AI15" s="152">
        <f ca="1">IFERROR(__xludf.DUMMYFUNCTION("IMPORTRANGE(""https://docs.google.com/spreadsheets/d/1KS0zmDSZPk8KnTAbGN-Xk6MtX1YRZD0ldgdt20K4CRk/edit?usp=sharing"",""เชียงราย!J753"")"),0)</f>
        <v>0</v>
      </c>
      <c r="AJ15" s="152">
        <f ca="1">IFERROR(__xludf.DUMMYFUNCTION("IMPORTRANGE(""https://docs.google.com/spreadsheets/d/1KS0zmDSZPk8KnTAbGN-Xk6MtX1YRZD0ldgdt20K4CRk/edit?usp=sharing"",""เชียงราย!I755"")"),250)</f>
        <v>250</v>
      </c>
      <c r="AK15" s="152">
        <f ca="1">IFERROR(__xludf.DUMMYFUNCTION("IMPORTRANGE(""https://docs.google.com/spreadsheets/d/1KS0zmDSZPk8KnTAbGN-Xk6MtX1YRZD0ldgdt20K4CRk/edit?usp=sharing"",""เชียงราย!J755"")"),0)</f>
        <v>0</v>
      </c>
      <c r="AL15" s="216">
        <f t="shared" ca="1" si="51"/>
        <v>0</v>
      </c>
      <c r="AM15" s="152">
        <f ca="1">IFERROR(__xludf.DUMMYFUNCTION("IMPORTRANGE(""https://docs.google.com/spreadsheets/d/1KS0zmDSZPk8KnTAbGN-Xk6MtX1YRZD0ldgdt20K4CRk/edit?usp=sharing"",""เชียงราย!J756"")"),0)</f>
        <v>0</v>
      </c>
      <c r="AN15" s="152">
        <f ca="1">IFERROR(__xludf.DUMMYFUNCTION("IMPORTRANGE(""https://docs.google.com/spreadsheets/d/1KS0zmDSZPk8KnTAbGN-Xk6MtX1YRZD0ldgdt20K4CRk/edit?usp=sharing"",""เชียงราย!J757"")"),0)</f>
        <v>0</v>
      </c>
    </row>
    <row r="16" spans="1:40" ht="19.5" x14ac:dyDescent="0.3">
      <c r="A16" s="147">
        <v>3</v>
      </c>
      <c r="B16" s="148" t="s">
        <v>44</v>
      </c>
      <c r="C16" s="68">
        <f ca="1">IFERROR(__xludf.DUMMYFUNCTION("IMPORTRANGE(""https://docs.google.com/spreadsheets/d/1rEDxBtusbi64tE0zunoIbsTVV16HeL0oJ6trHQeQ7K8/edit?usp=sharing"",""เชียงใหม่!Q728"")"),1008470)</f>
        <v>1008470</v>
      </c>
      <c r="D16" s="68">
        <f ca="1">IFERROR(__xludf.DUMMYFUNCTION("IMPORTRANGE(""https://docs.google.com/spreadsheets/d/1rEDxBtusbi64tE0zunoIbsTVV16HeL0oJ6trHQeQ7K8/edit?usp=sharing"",""เชียงใหม่!R728"")"),1008470)</f>
        <v>1008470</v>
      </c>
      <c r="E16" s="68">
        <f ca="1">IFERROR(__xludf.DUMMYFUNCTION("IMPORTRANGE(""https://docs.google.com/spreadsheets/d/1rEDxBtusbi64tE0zunoIbsTVV16HeL0oJ6trHQeQ7K8/edit?usp=sharing"",""เชียงใหม่!S728"")"),862149)</f>
        <v>862149</v>
      </c>
      <c r="F16" s="68">
        <f t="shared" ca="1" si="33"/>
        <v>85.490792983430339</v>
      </c>
      <c r="G16" s="68">
        <f t="shared" ca="1" si="34"/>
        <v>85.490792983430339</v>
      </c>
      <c r="H16" s="152">
        <f ca="1">IFERROR(__xludf.DUMMYFUNCTION("IMPORTRANGE(""https://docs.google.com/spreadsheets/d/1rEDxBtusbi64tE0zunoIbsTVV16HeL0oJ6trHQeQ7K8/edit?usp=sharing"",""เชียงใหม่!I726"")"),128)</f>
        <v>128</v>
      </c>
      <c r="I16" s="152">
        <f ca="1">IFERROR(__xludf.DUMMYFUNCTION("IMPORTRANGE(""https://docs.google.com/spreadsheets/d/1rEDxBtusbi64tE0zunoIbsTVV16HeL0oJ6trHQeQ7K8/edit?usp=sharing"",""เชียงใหม่!I727"")"),1250)</f>
        <v>1250</v>
      </c>
      <c r="J16" s="152">
        <f ca="1">IFERROR(__xludf.DUMMYFUNCTION("IMPORTRANGE(""https://docs.google.com/spreadsheets/d/1rEDxBtusbi64tE0zunoIbsTVV16HeL0oJ6trHQeQ7K8/edit?usp=sharing"",""เชียงใหม่!J726"")"),128)</f>
        <v>128</v>
      </c>
      <c r="K16" s="216">
        <f t="shared" ca="1" si="36"/>
        <v>100</v>
      </c>
      <c r="L16" s="152">
        <f ca="1">IFERROR(__xludf.DUMMYFUNCTION("IMPORTRANGE(""https://docs.google.com/spreadsheets/d/1rEDxBtusbi64tE0zunoIbsTVV16HeL0oJ6trHQeQ7K8/edit?usp=sharing"",""เชียงใหม่!J727"")"),1250)</f>
        <v>1250</v>
      </c>
      <c r="M16" s="216">
        <f t="shared" ca="1" si="37"/>
        <v>100</v>
      </c>
      <c r="N16" s="152">
        <f ca="1">IFERROR(__xludf.DUMMYFUNCTION("IMPORTRANGE(""https://docs.google.com/spreadsheets/d/1rEDxBtusbi64tE0zunoIbsTVV16HeL0oJ6trHQeQ7K8/edit?usp=sharing"",""เชียงใหม่!I740"")"),1000)</f>
        <v>1000</v>
      </c>
      <c r="O16" s="152">
        <f ca="1">IFERROR(__xludf.DUMMYFUNCTION("IMPORTRANGE(""https://docs.google.com/spreadsheets/d/1rEDxBtusbi64tE0zunoIbsTVV16HeL0oJ6trHQeQ7K8/edit?usp=sharing"",""เชียงใหม่!J740"")"),1000)</f>
        <v>1000</v>
      </c>
      <c r="P16" s="216">
        <f t="shared" ca="1" si="39"/>
        <v>100</v>
      </c>
      <c r="Q16" s="152">
        <f ca="1">IFERROR(__xludf.DUMMYFUNCTION("IMPORTRANGE(""https://docs.google.com/spreadsheets/d/1rEDxBtusbi64tE0zunoIbsTVV16HeL0oJ6trHQeQ7K8/edit?usp=sharing"",""เชียงใหม่!J741"")"),100)</f>
        <v>100</v>
      </c>
      <c r="R16" s="152">
        <f ca="1">IFERROR(__xludf.DUMMYFUNCTION("IMPORTRANGE(""https://docs.google.com/spreadsheets/d/1rEDxBtusbi64tE0zunoIbsTVV16HeL0oJ6trHQeQ7K8/edit?usp=sharing"",""เชียงใหม่!I742"")"),100)</f>
        <v>100</v>
      </c>
      <c r="S16" s="152">
        <f ca="1">IFERROR(__xludf.DUMMYFUNCTION("IMPORTRANGE(""https://docs.google.com/spreadsheets/d/1rEDxBtusbi64tE0zunoIbsTVV16HeL0oJ6trHQeQ7K8/edit?usp=sharing"",""เชียงใหม่!J742"")"),100)</f>
        <v>100</v>
      </c>
      <c r="T16" s="216">
        <f t="shared" ca="1" si="41"/>
        <v>100</v>
      </c>
      <c r="U16" s="152">
        <f ca="1">IFERROR(__xludf.DUMMYFUNCTION("IMPORTRANGE(""https://docs.google.com/spreadsheets/d/1rEDxBtusbi64tE0zunoIbsTVV16HeL0oJ6trHQeQ7K8/edit?usp=sharing"",""เชียงใหม่!I744"")"),250)</f>
        <v>250</v>
      </c>
      <c r="V16" s="152">
        <f ca="1">IFERROR(__xludf.DUMMYFUNCTION("IMPORTRANGE(""https://docs.google.com/spreadsheets/d/1rEDxBtusbi64tE0zunoIbsTVV16HeL0oJ6trHQeQ7K8/edit?usp=sharing"",""เชียงใหม่!J744"")"),250)</f>
        <v>250</v>
      </c>
      <c r="W16" s="216">
        <f t="shared" ca="1" si="43"/>
        <v>100</v>
      </c>
      <c r="X16" s="152">
        <f ca="1">IFERROR(__xludf.DUMMYFUNCTION("IMPORTRANGE(""https://docs.google.com/spreadsheets/d/1rEDxBtusbi64tE0zunoIbsTVV16HeL0oJ6trHQeQ7K8/edit?usp=sharing"",""เชียงใหม่!J745"")"),25)</f>
        <v>25</v>
      </c>
      <c r="Y16" s="152">
        <f ca="1">IFERROR(__xludf.DUMMYFUNCTION("IMPORTRANGE(""https://docs.google.com/spreadsheets/d/1rEDxBtusbi64tE0zunoIbsTVV16HeL0oJ6trHQeQ7K8/edit?usp=sharing"",""เชียงใหม่!I746"")"),25)</f>
        <v>25</v>
      </c>
      <c r="Z16" s="152">
        <f ca="1">IFERROR(__xludf.DUMMYFUNCTION("IMPORTRANGE(""https://docs.google.com/spreadsheets/d/1rEDxBtusbi64tE0zunoIbsTVV16HeL0oJ6trHQeQ7K8/edit?usp=sharing"",""เชียงใหม่!J746"")"),25)</f>
        <v>25</v>
      </c>
      <c r="AA16" s="216">
        <f t="shared" ca="1" si="45"/>
        <v>100</v>
      </c>
      <c r="AB16" s="152">
        <f ca="1">IFERROR(__xludf.DUMMYFUNCTION("IMPORTRANGE(""https://docs.google.com/spreadsheets/d/1rEDxBtusbi64tE0zunoIbsTVV16HeL0oJ6trHQeQ7K8/edit?usp=sharing"",""เชียงใหม่!J748"")"),24)</f>
        <v>24</v>
      </c>
      <c r="AC16" s="152">
        <f ca="1">IFERROR(__xludf.DUMMYFUNCTION("IMPORTRANGE(""https://docs.google.com/spreadsheets/d/1rEDxBtusbi64tE0zunoIbsTVV16HeL0oJ6trHQeQ7K8/edit?usp=sharing"",""เชียงใหม่!I749"")"),3)</f>
        <v>3</v>
      </c>
      <c r="AD16" s="152">
        <f ca="1">IFERROR(__xludf.DUMMYFUNCTION("IMPORTRANGE(""https://docs.google.com/spreadsheets/d/1rEDxBtusbi64tE0zunoIbsTVV16HeL0oJ6trHQeQ7K8/edit?usp=sharing"",""เชียงใหม่!J749"")"),3)</f>
        <v>3</v>
      </c>
      <c r="AE16" s="216">
        <f t="shared" ca="1" si="47"/>
        <v>100</v>
      </c>
      <c r="AF16" s="152">
        <f ca="1">IFERROR(__xludf.DUMMYFUNCTION("IMPORTRANGE(""https://docs.google.com/spreadsheets/d/1rEDxBtusbi64tE0zunoIbsTVV16HeL0oJ6trHQeQ7K8/edit?usp=sharing"",""เชียงใหม่!I752"")"),1000)</f>
        <v>1000</v>
      </c>
      <c r="AG16" s="152">
        <f ca="1">IFERROR(__xludf.DUMMYFUNCTION("IMPORTRANGE(""https://docs.google.com/spreadsheets/d/1rEDxBtusbi64tE0zunoIbsTVV16HeL0oJ6trHQeQ7K8/edit?usp=sharing"",""เชียงใหม่!J752"")"),1000)</f>
        <v>1000</v>
      </c>
      <c r="AH16" s="216">
        <f t="shared" ca="1" si="49"/>
        <v>100</v>
      </c>
      <c r="AI16" s="152">
        <f ca="1">IFERROR(__xludf.DUMMYFUNCTION("IMPORTRANGE(""https://docs.google.com/spreadsheets/d/1rEDxBtusbi64tE0zunoIbsTVV16HeL0oJ6trHQeQ7K8/edit?usp=sharing"",""เชียงใหม่!J753"")"),1000)</f>
        <v>1000</v>
      </c>
      <c r="AJ16" s="152">
        <f ca="1">IFERROR(__xludf.DUMMYFUNCTION("IMPORTRANGE(""https://docs.google.com/spreadsheets/d/1rEDxBtusbi64tE0zunoIbsTVV16HeL0oJ6trHQeQ7K8/edit?usp=sharing"",""เชียงใหม่!I755"")"),250)</f>
        <v>250</v>
      </c>
      <c r="AK16" s="152">
        <f ca="1">IFERROR(__xludf.DUMMYFUNCTION("IMPORTRANGE(""https://docs.google.com/spreadsheets/d/1rEDxBtusbi64tE0zunoIbsTVV16HeL0oJ6trHQeQ7K8/edit?usp=sharing"",""เชียงใหม่!J755"")"),250)</f>
        <v>250</v>
      </c>
      <c r="AL16" s="216">
        <f t="shared" ca="1" si="51"/>
        <v>100</v>
      </c>
      <c r="AM16" s="152">
        <f ca="1">IFERROR(__xludf.DUMMYFUNCTION("IMPORTRANGE(""https://docs.google.com/spreadsheets/d/1rEDxBtusbi64tE0zunoIbsTVV16HeL0oJ6trHQeQ7K8/edit?usp=sharing"",""เชียงใหม่!J756"")"),250)</f>
        <v>250</v>
      </c>
      <c r="AN16" s="152">
        <f ca="1">IFERROR(__xludf.DUMMYFUNCTION("IMPORTRANGE(""https://docs.google.com/spreadsheets/d/1rEDxBtusbi64tE0zunoIbsTVV16HeL0oJ6trHQeQ7K8/edit?usp=sharing"",""เชียงใหม่!J757"")"),3)</f>
        <v>3</v>
      </c>
    </row>
    <row r="17" spans="1:40" ht="19.5" x14ac:dyDescent="0.3">
      <c r="A17" s="147">
        <v>4</v>
      </c>
      <c r="B17" s="148" t="s">
        <v>45</v>
      </c>
      <c r="C17" s="68">
        <f ca="1">IFERROR(__xludf.DUMMYFUNCTION("IMPORTRANGE(""https://docs.google.com/spreadsheets/d/1W6MnUbDkMi6xHnHko_XkFDO9kkuL6Wqyc-6OCDFjW9I/edit?usp=sharing"",""ตาก!Q728"")"),242546)</f>
        <v>242546</v>
      </c>
      <c r="D17" s="68">
        <f ca="1">IFERROR(__xludf.DUMMYFUNCTION("IMPORTRANGE(""https://docs.google.com/spreadsheets/d/1W6MnUbDkMi6xHnHko_XkFDO9kkuL6Wqyc-6OCDFjW9I/edit?usp=sharing"",""ตาก!R728"")"),242546)</f>
        <v>242546</v>
      </c>
      <c r="E17" s="68">
        <f ca="1">IFERROR(__xludf.DUMMYFUNCTION("IMPORTRANGE(""https://docs.google.com/spreadsheets/d/1W6MnUbDkMi6xHnHko_XkFDO9kkuL6Wqyc-6OCDFjW9I/edit?usp=sharing"",""ตาก!S728"")"),212761)</f>
        <v>212761</v>
      </c>
      <c r="F17" s="68">
        <f t="shared" ca="1" si="33"/>
        <v>87.719855202724432</v>
      </c>
      <c r="G17" s="68">
        <f t="shared" ca="1" si="34"/>
        <v>87.719855202724432</v>
      </c>
      <c r="H17" s="152">
        <f ca="1">IFERROR(__xludf.DUMMYFUNCTION("IMPORTRANGE(""https://docs.google.com/spreadsheets/d/1W6MnUbDkMi6xHnHko_XkFDO9kkuL6Wqyc-6OCDFjW9I/edit?usp=sharing"",""ตาก!I726"")"),31)</f>
        <v>31</v>
      </c>
      <c r="I17" s="152">
        <f ca="1">IFERROR(__xludf.DUMMYFUNCTION("IMPORTRANGE(""https://docs.google.com/spreadsheets/d/1W6MnUbDkMi6xHnHko_XkFDO9kkuL6Wqyc-6OCDFjW9I/edit?usp=sharing"",""ตาก!I727"")"),300)</f>
        <v>300</v>
      </c>
      <c r="J17" s="152">
        <f ca="1">IFERROR(__xludf.DUMMYFUNCTION("IMPORTRANGE(""https://docs.google.com/spreadsheets/d/1W6MnUbDkMi6xHnHko_XkFDO9kkuL6Wqyc-6OCDFjW9I/edit?usp=sharing"",""ตาก!J726"")"),31)</f>
        <v>31</v>
      </c>
      <c r="K17" s="216">
        <f t="shared" ca="1" si="36"/>
        <v>100</v>
      </c>
      <c r="L17" s="152">
        <f ca="1">IFERROR(__xludf.DUMMYFUNCTION("IMPORTRANGE(""https://docs.google.com/spreadsheets/d/1W6MnUbDkMi6xHnHko_XkFDO9kkuL6Wqyc-6OCDFjW9I/edit?usp=sharing"",""ตาก!J727"")"),300)</f>
        <v>300</v>
      </c>
      <c r="M17" s="216">
        <f t="shared" ca="1" si="37"/>
        <v>100</v>
      </c>
      <c r="N17" s="152">
        <f ca="1">IFERROR(__xludf.DUMMYFUNCTION("IMPORTRANGE(""https://docs.google.com/spreadsheets/d/1W6MnUbDkMi6xHnHko_XkFDO9kkuL6Wqyc-6OCDFjW9I/edit?usp=sharing"",""ตาก!I740"")"),240)</f>
        <v>240</v>
      </c>
      <c r="O17" s="152">
        <f ca="1">IFERROR(__xludf.DUMMYFUNCTION("IMPORTRANGE(""https://docs.google.com/spreadsheets/d/1W6MnUbDkMi6xHnHko_XkFDO9kkuL6Wqyc-6OCDFjW9I/edit?usp=sharing"",""ตาก!J740"")"),240)</f>
        <v>240</v>
      </c>
      <c r="P17" s="216">
        <f t="shared" ca="1" si="39"/>
        <v>100</v>
      </c>
      <c r="Q17" s="152">
        <f ca="1">IFERROR(__xludf.DUMMYFUNCTION("IMPORTRANGE(""https://docs.google.com/spreadsheets/d/1W6MnUbDkMi6xHnHko_XkFDO9kkuL6Wqyc-6OCDFjW9I/edit?usp=sharing"",""ตาก!J741"")"),0)</f>
        <v>0</v>
      </c>
      <c r="R17" s="152">
        <f ca="1">IFERROR(__xludf.DUMMYFUNCTION("IMPORTRANGE(""https://docs.google.com/spreadsheets/d/1W6MnUbDkMi6xHnHko_XkFDO9kkuL6Wqyc-6OCDFjW9I/edit?usp=sharing"",""ตาก!I742"")"),24)</f>
        <v>24</v>
      </c>
      <c r="S17" s="152">
        <f ca="1">IFERROR(__xludf.DUMMYFUNCTION("IMPORTRANGE(""https://docs.google.com/spreadsheets/d/1W6MnUbDkMi6xHnHko_XkFDO9kkuL6Wqyc-6OCDFjW9I/edit?usp=sharing"",""ตาก!J742"")"),24)</f>
        <v>24</v>
      </c>
      <c r="T17" s="216">
        <f t="shared" ca="1" si="41"/>
        <v>100</v>
      </c>
      <c r="U17" s="152">
        <f ca="1">IFERROR(__xludf.DUMMYFUNCTION("IMPORTRANGE(""https://docs.google.com/spreadsheets/d/1W6MnUbDkMi6xHnHko_XkFDO9kkuL6Wqyc-6OCDFjW9I/edit?usp=sharing"",""ตาก!I744"")"),60)</f>
        <v>60</v>
      </c>
      <c r="V17" s="152">
        <f ca="1">IFERROR(__xludf.DUMMYFUNCTION("IMPORTRANGE(""https://docs.google.com/spreadsheets/d/1W6MnUbDkMi6xHnHko_XkFDO9kkuL6Wqyc-6OCDFjW9I/edit?usp=sharing"",""ตาก!J744"")"),60)</f>
        <v>60</v>
      </c>
      <c r="W17" s="216">
        <f t="shared" ca="1" si="43"/>
        <v>100</v>
      </c>
      <c r="X17" s="152">
        <f ca="1">IFERROR(__xludf.DUMMYFUNCTION("IMPORTRANGE(""https://docs.google.com/spreadsheets/d/1W6MnUbDkMi6xHnHko_XkFDO9kkuL6Wqyc-6OCDFjW9I/edit?usp=sharing"",""ตาก!J745"")"),0)</f>
        <v>0</v>
      </c>
      <c r="Y17" s="152">
        <f ca="1">IFERROR(__xludf.DUMMYFUNCTION("IMPORTRANGE(""https://docs.google.com/spreadsheets/d/1W6MnUbDkMi6xHnHko_XkFDO9kkuL6Wqyc-6OCDFjW9I/edit?usp=sharing"",""ตาก!I746"")"),6)</f>
        <v>6</v>
      </c>
      <c r="Z17" s="152">
        <f ca="1">IFERROR(__xludf.DUMMYFUNCTION("IMPORTRANGE(""https://docs.google.com/spreadsheets/d/1W6MnUbDkMi6xHnHko_XkFDO9kkuL6Wqyc-6OCDFjW9I/edit?usp=sharing"",""ตาก!J746"")"),6)</f>
        <v>6</v>
      </c>
      <c r="AA17" s="216">
        <f t="shared" ca="1" si="45"/>
        <v>100</v>
      </c>
      <c r="AB17" s="152">
        <f ca="1">IFERROR(__xludf.DUMMYFUNCTION("IMPORTRANGE(""https://docs.google.com/spreadsheets/d/1W6MnUbDkMi6xHnHko_XkFDO9kkuL6Wqyc-6OCDFjW9I/edit?usp=sharing"",""ตาก!J748"")"),0)</f>
        <v>0</v>
      </c>
      <c r="AC17" s="152">
        <f ca="1">IFERROR(__xludf.DUMMYFUNCTION("IMPORTRANGE(""https://docs.google.com/spreadsheets/d/1W6MnUbDkMi6xHnHko_XkFDO9kkuL6Wqyc-6OCDFjW9I/edit?usp=sharing"",""ตาก!I749"")"),1)</f>
        <v>1</v>
      </c>
      <c r="AD17" s="152">
        <f ca="1">IFERROR(__xludf.DUMMYFUNCTION("IMPORTRANGE(""https://docs.google.com/spreadsheets/d/1W6MnUbDkMi6xHnHko_XkFDO9kkuL6Wqyc-6OCDFjW9I/edit?usp=sharing"",""ตาก!J749"")"),1)</f>
        <v>1</v>
      </c>
      <c r="AE17" s="216">
        <f t="shared" ca="1" si="47"/>
        <v>100</v>
      </c>
      <c r="AF17" s="152">
        <f ca="1">IFERROR(__xludf.DUMMYFUNCTION("IMPORTRANGE(""https://docs.google.com/spreadsheets/d/1W6MnUbDkMi6xHnHko_XkFDO9kkuL6Wqyc-6OCDFjW9I/edit?usp=sharing"",""ตาก!I752"")"),240)</f>
        <v>240</v>
      </c>
      <c r="AG17" s="152">
        <f ca="1">IFERROR(__xludf.DUMMYFUNCTION("IMPORTRANGE(""https://docs.google.com/spreadsheets/d/1W6MnUbDkMi6xHnHko_XkFDO9kkuL6Wqyc-6OCDFjW9I/edit?usp=sharing"",""ตาก!J752"")"),240)</f>
        <v>240</v>
      </c>
      <c r="AH17" s="216">
        <f t="shared" ca="1" si="49"/>
        <v>100</v>
      </c>
      <c r="AI17" s="152">
        <f ca="1">IFERROR(__xludf.DUMMYFUNCTION("IMPORTRANGE(""https://docs.google.com/spreadsheets/d/1W6MnUbDkMi6xHnHko_XkFDO9kkuL6Wqyc-6OCDFjW9I/edit?usp=sharing"",""ตาก!J753"")"),0)</f>
        <v>0</v>
      </c>
      <c r="AJ17" s="152">
        <f ca="1">IFERROR(__xludf.DUMMYFUNCTION("IMPORTRANGE(""https://docs.google.com/spreadsheets/d/1W6MnUbDkMi6xHnHko_XkFDO9kkuL6Wqyc-6OCDFjW9I/edit?usp=sharing"",""ตาก!I755"")"),60)</f>
        <v>60</v>
      </c>
      <c r="AK17" s="152">
        <f ca="1">IFERROR(__xludf.DUMMYFUNCTION("IMPORTRANGE(""https://docs.google.com/spreadsheets/d/1W6MnUbDkMi6xHnHko_XkFDO9kkuL6Wqyc-6OCDFjW9I/edit?usp=sharing"",""ตาก!J755"")"),60)</f>
        <v>60</v>
      </c>
      <c r="AL17" s="216">
        <f t="shared" ca="1" si="51"/>
        <v>100</v>
      </c>
      <c r="AM17" s="152">
        <f ca="1">IFERROR(__xludf.DUMMYFUNCTION("IMPORTRANGE(""https://docs.google.com/spreadsheets/d/1W6MnUbDkMi6xHnHko_XkFDO9kkuL6Wqyc-6OCDFjW9I/edit?usp=sharing"",""ตาก!J756"")"),0)</f>
        <v>0</v>
      </c>
      <c r="AN17" s="152">
        <f ca="1">IFERROR(__xludf.DUMMYFUNCTION("IMPORTRANGE(""https://docs.google.com/spreadsheets/d/1W6MnUbDkMi6xHnHko_XkFDO9kkuL6Wqyc-6OCDFjW9I/edit?usp=sharing"",""ตาก!J757"")"),0)</f>
        <v>0</v>
      </c>
    </row>
    <row r="18" spans="1:40" ht="19.5" x14ac:dyDescent="0.3">
      <c r="A18" s="147">
        <v>5</v>
      </c>
      <c r="B18" s="148" t="s">
        <v>46</v>
      </c>
      <c r="C18" s="68">
        <f ca="1">IFERROR(__xludf.DUMMYFUNCTION("IMPORTRANGE(""https://docs.google.com/spreadsheets/d/1IQAWArduLkta9LpYo4a_ULsyqdta6-6aDDiwpUnQT6c/edit?usp=sharing"",""นครสวรรค์!Q728"")"),1008470)</f>
        <v>1008470</v>
      </c>
      <c r="D18" s="68">
        <f ca="1">IFERROR(__xludf.DUMMYFUNCTION("IMPORTRANGE(""https://docs.google.com/spreadsheets/d/1IQAWArduLkta9LpYo4a_ULsyqdta6-6aDDiwpUnQT6c/edit?usp=sharing"",""นครสวรรค์!R728"")"),1008470)</f>
        <v>1008470</v>
      </c>
      <c r="E18" s="68">
        <f ca="1">IFERROR(__xludf.DUMMYFUNCTION("IMPORTRANGE(""https://docs.google.com/spreadsheets/d/1IQAWArduLkta9LpYo4a_ULsyqdta6-6aDDiwpUnQT6c/edit?usp=sharing"",""นครสวรรค์!S728"")"),246552)</f>
        <v>246552</v>
      </c>
      <c r="F18" s="68">
        <f t="shared" ca="1" si="33"/>
        <v>24.448124386446796</v>
      </c>
      <c r="G18" s="68">
        <f t="shared" ca="1" si="34"/>
        <v>24.448124386446796</v>
      </c>
      <c r="H18" s="152">
        <f ca="1">IFERROR(__xludf.DUMMYFUNCTION("IMPORTRANGE(""https://docs.google.com/spreadsheets/d/1IQAWArduLkta9LpYo4a_ULsyqdta6-6aDDiwpUnQT6c/edit?usp=sharing"",""นครสวรรค์!I726"")"),128)</f>
        <v>128</v>
      </c>
      <c r="I18" s="152">
        <f ca="1">IFERROR(__xludf.DUMMYFUNCTION("IMPORTRANGE(""https://docs.google.com/spreadsheets/d/1IQAWArduLkta9LpYo4a_ULsyqdta6-6aDDiwpUnQT6c/edit?usp=sharing"",""นครสวรรค์!I727"")"),1250)</f>
        <v>1250</v>
      </c>
      <c r="J18" s="152">
        <f ca="1">IFERROR(__xludf.DUMMYFUNCTION("IMPORTRANGE(""https://docs.google.com/spreadsheets/d/1IQAWArduLkta9LpYo4a_ULsyqdta6-6aDDiwpUnQT6c/edit?usp=sharing"",""นครสวรรค์!J726"")"),128)</f>
        <v>128</v>
      </c>
      <c r="K18" s="216">
        <f t="shared" ca="1" si="36"/>
        <v>100</v>
      </c>
      <c r="L18" s="152">
        <f ca="1">IFERROR(__xludf.DUMMYFUNCTION("IMPORTRANGE(""https://docs.google.com/spreadsheets/d/1IQAWArduLkta9LpYo4a_ULsyqdta6-6aDDiwpUnQT6c/edit?usp=sharing"",""นครสวรรค์!J727"")"),0)</f>
        <v>0</v>
      </c>
      <c r="M18" s="216">
        <f t="shared" ca="1" si="37"/>
        <v>0</v>
      </c>
      <c r="N18" s="152">
        <f ca="1">IFERROR(__xludf.DUMMYFUNCTION("IMPORTRANGE(""https://docs.google.com/spreadsheets/d/1IQAWArduLkta9LpYo4a_ULsyqdta6-6aDDiwpUnQT6c/edit?usp=sharing"",""นครสวรรค์!I740"")"),1000)</f>
        <v>1000</v>
      </c>
      <c r="O18" s="152">
        <f ca="1">IFERROR(__xludf.DUMMYFUNCTION("IMPORTRANGE(""https://docs.google.com/spreadsheets/d/1IQAWArduLkta9LpYo4a_ULsyqdta6-6aDDiwpUnQT6c/edit?usp=sharing"",""นครสวรรค์!J740"")"),1000)</f>
        <v>1000</v>
      </c>
      <c r="P18" s="216">
        <f t="shared" ca="1" si="39"/>
        <v>100</v>
      </c>
      <c r="Q18" s="152">
        <f ca="1">IFERROR(__xludf.DUMMYFUNCTION("IMPORTRANGE(""https://docs.google.com/spreadsheets/d/1IQAWArduLkta9LpYo4a_ULsyqdta6-6aDDiwpUnQT6c/edit?usp=sharing"",""นครสวรรค์!J741"")"),100)</f>
        <v>100</v>
      </c>
      <c r="R18" s="152">
        <f ca="1">IFERROR(__xludf.DUMMYFUNCTION("IMPORTRANGE(""https://docs.google.com/spreadsheets/d/1IQAWArduLkta9LpYo4a_ULsyqdta6-6aDDiwpUnQT6c/edit?usp=sharing"",""นครสวรรค์!I742"")"),100)</f>
        <v>100</v>
      </c>
      <c r="S18" s="152">
        <f ca="1">IFERROR(__xludf.DUMMYFUNCTION("IMPORTRANGE(""https://docs.google.com/spreadsheets/d/1IQAWArduLkta9LpYo4a_ULsyqdta6-6aDDiwpUnQT6c/edit?usp=sharing"",""นครสวรรค์!J742"")"),100)</f>
        <v>100</v>
      </c>
      <c r="T18" s="216">
        <f t="shared" ca="1" si="41"/>
        <v>100</v>
      </c>
      <c r="U18" s="152">
        <f ca="1">IFERROR(__xludf.DUMMYFUNCTION("IMPORTRANGE(""https://docs.google.com/spreadsheets/d/1IQAWArduLkta9LpYo4a_ULsyqdta6-6aDDiwpUnQT6c/edit?usp=sharing"",""นครสวรรค์!I744"")"),250)</f>
        <v>250</v>
      </c>
      <c r="V18" s="152">
        <f ca="1">IFERROR(__xludf.DUMMYFUNCTION("IMPORTRANGE(""https://docs.google.com/spreadsheets/d/1IQAWArduLkta9LpYo4a_ULsyqdta6-6aDDiwpUnQT6c/edit?usp=sharing"",""นครสวรรค์!J744"")"),250)</f>
        <v>250</v>
      </c>
      <c r="W18" s="216">
        <f t="shared" ca="1" si="43"/>
        <v>100</v>
      </c>
      <c r="X18" s="152">
        <f ca="1">IFERROR(__xludf.DUMMYFUNCTION("IMPORTRANGE(""https://docs.google.com/spreadsheets/d/1IQAWArduLkta9LpYo4a_ULsyqdta6-6aDDiwpUnQT6c/edit?usp=sharing"",""นครสวรรค์!J745"")"),25)</f>
        <v>25</v>
      </c>
      <c r="Y18" s="152">
        <f ca="1">IFERROR(__xludf.DUMMYFUNCTION("IMPORTRANGE(""https://docs.google.com/spreadsheets/d/1IQAWArduLkta9LpYo4a_ULsyqdta6-6aDDiwpUnQT6c/edit?usp=sharing"",""นครสวรรค์!I746"")"),25)</f>
        <v>25</v>
      </c>
      <c r="Z18" s="152">
        <f ca="1">IFERROR(__xludf.DUMMYFUNCTION("IMPORTRANGE(""https://docs.google.com/spreadsheets/d/1IQAWArduLkta9LpYo4a_ULsyqdta6-6aDDiwpUnQT6c/edit?usp=sharing"",""นครสวรรค์!J746"")"),25)</f>
        <v>25</v>
      </c>
      <c r="AA18" s="216">
        <f t="shared" ca="1" si="45"/>
        <v>100</v>
      </c>
      <c r="AB18" s="152">
        <f ca="1">IFERROR(__xludf.DUMMYFUNCTION("IMPORTRANGE(""https://docs.google.com/spreadsheets/d/1IQAWArduLkta9LpYo4a_ULsyqdta6-6aDDiwpUnQT6c/edit?usp=sharing"",""นครสวรรค์!J748"")"),0)</f>
        <v>0</v>
      </c>
      <c r="AC18" s="152">
        <f ca="1">IFERROR(__xludf.DUMMYFUNCTION("IMPORTRANGE(""https://docs.google.com/spreadsheets/d/1IQAWArduLkta9LpYo4a_ULsyqdta6-6aDDiwpUnQT6c/edit?usp=sharing"",""นครสวรรค์!I749"")"),3)</f>
        <v>3</v>
      </c>
      <c r="AD18" s="152">
        <f ca="1">IFERROR(__xludf.DUMMYFUNCTION("IMPORTRANGE(""https://docs.google.com/spreadsheets/d/1IQAWArduLkta9LpYo4a_ULsyqdta6-6aDDiwpUnQT6c/edit?usp=sharing"",""นครสวรรค์!J749"")"),3)</f>
        <v>3</v>
      </c>
      <c r="AE18" s="216">
        <f t="shared" ca="1" si="47"/>
        <v>100</v>
      </c>
      <c r="AF18" s="152">
        <f ca="1">IFERROR(__xludf.DUMMYFUNCTION("IMPORTRANGE(""https://docs.google.com/spreadsheets/d/1IQAWArduLkta9LpYo4a_ULsyqdta6-6aDDiwpUnQT6c/edit?usp=sharing"",""นครสวรรค์!I752"")"),1000)</f>
        <v>1000</v>
      </c>
      <c r="AG18" s="152">
        <f ca="1">IFERROR(__xludf.DUMMYFUNCTION("IMPORTRANGE(""https://docs.google.com/spreadsheets/d/1IQAWArduLkta9LpYo4a_ULsyqdta6-6aDDiwpUnQT6c/edit?usp=sharing"",""นครสวรรค์!J752"")"),0)</f>
        <v>0</v>
      </c>
      <c r="AH18" s="216">
        <f t="shared" ca="1" si="49"/>
        <v>0</v>
      </c>
      <c r="AI18" s="152">
        <f ca="1">IFERROR(__xludf.DUMMYFUNCTION("IMPORTRANGE(""https://docs.google.com/spreadsheets/d/1IQAWArduLkta9LpYo4a_ULsyqdta6-6aDDiwpUnQT6c/edit?usp=sharing"",""นครสวรรค์!J753"")"),0)</f>
        <v>0</v>
      </c>
      <c r="AJ18" s="152">
        <f ca="1">IFERROR(__xludf.DUMMYFUNCTION("IMPORTRANGE(""https://docs.google.com/spreadsheets/d/1IQAWArduLkta9LpYo4a_ULsyqdta6-6aDDiwpUnQT6c/edit?usp=sharing"",""นครสวรรค์!I755"")"),250)</f>
        <v>250</v>
      </c>
      <c r="AK18" s="152">
        <f ca="1">IFERROR(__xludf.DUMMYFUNCTION("IMPORTRANGE(""https://docs.google.com/spreadsheets/d/1IQAWArduLkta9LpYo4a_ULsyqdta6-6aDDiwpUnQT6c/edit?usp=sharing"",""นครสวรรค์!J755"")"),0)</f>
        <v>0</v>
      </c>
      <c r="AL18" s="216">
        <f t="shared" ca="1" si="51"/>
        <v>0</v>
      </c>
      <c r="AM18" s="152">
        <f ca="1">IFERROR(__xludf.DUMMYFUNCTION("IMPORTRANGE(""https://docs.google.com/spreadsheets/d/1IQAWArduLkta9LpYo4a_ULsyqdta6-6aDDiwpUnQT6c/edit?usp=sharing"",""นครสวรรค์!J756"")"),0)</f>
        <v>0</v>
      </c>
      <c r="AN18" s="152">
        <f ca="1">IFERROR(__xludf.DUMMYFUNCTION("IMPORTRANGE(""https://docs.google.com/spreadsheets/d/1IQAWArduLkta9LpYo4a_ULsyqdta6-6aDDiwpUnQT6c/edit?usp=sharing"",""นครสวรรค์!J757"")"),0)</f>
        <v>0</v>
      </c>
    </row>
    <row r="19" spans="1:40" ht="19.5" x14ac:dyDescent="0.3">
      <c r="A19" s="147">
        <v>6</v>
      </c>
      <c r="B19" s="148" t="s">
        <v>47</v>
      </c>
      <c r="C19" s="68">
        <f ca="1">IFERROR(__xludf.DUMMYFUNCTION("IMPORTRANGE(""https://docs.google.com/spreadsheets/d/10s13Sk5xrltsiR-Zkbmk5DwIaDIKO8XlbJAfqyT7Gvg/edit?usp=sharing"",""น่าน!Q728"")"),1008470)</f>
        <v>1008470</v>
      </c>
      <c r="D19" s="68">
        <f ca="1">IFERROR(__xludf.DUMMYFUNCTION("IMPORTRANGE(""https://docs.google.com/spreadsheets/d/10s13Sk5xrltsiR-Zkbmk5DwIaDIKO8XlbJAfqyT7Gvg/edit?usp=sharing"",""น่าน!R728"")"),1008470)</f>
        <v>1008470</v>
      </c>
      <c r="E19" s="68">
        <f ca="1">IFERROR(__xludf.DUMMYFUNCTION("IMPORTRANGE(""https://docs.google.com/spreadsheets/d/10s13Sk5xrltsiR-Zkbmk5DwIaDIKO8XlbJAfqyT7Gvg/edit?usp=sharing"",""น่าน!S728"")"),235390)</f>
        <v>235390</v>
      </c>
      <c r="F19" s="68">
        <f t="shared" ca="1" si="33"/>
        <v>23.341299195811477</v>
      </c>
      <c r="G19" s="68">
        <f t="shared" ca="1" si="34"/>
        <v>23.341299195811477</v>
      </c>
      <c r="H19" s="152">
        <f ca="1">IFERROR(__xludf.DUMMYFUNCTION("IMPORTRANGE(""https://docs.google.com/spreadsheets/d/10s13Sk5xrltsiR-Zkbmk5DwIaDIKO8XlbJAfqyT7Gvg/edit?usp=sharing"",""น่าน!I726"")"),128)</f>
        <v>128</v>
      </c>
      <c r="I19" s="152">
        <f ca="1">IFERROR(__xludf.DUMMYFUNCTION("IMPORTRANGE(""https://docs.google.com/spreadsheets/d/10s13Sk5xrltsiR-Zkbmk5DwIaDIKO8XlbJAfqyT7Gvg/edit?usp=sharing"",""น่าน!I727"")"),1250)</f>
        <v>1250</v>
      </c>
      <c r="J19" s="152">
        <f ca="1">IFERROR(__xludf.DUMMYFUNCTION("IMPORTRANGE(""https://docs.google.com/spreadsheets/d/10s13Sk5xrltsiR-Zkbmk5DwIaDIKO8XlbJAfqyT7Gvg/edit?usp=sharing"",""น่าน!J726"")"),128)</f>
        <v>128</v>
      </c>
      <c r="K19" s="216">
        <f t="shared" ca="1" si="36"/>
        <v>100</v>
      </c>
      <c r="L19" s="152">
        <f ca="1">IFERROR(__xludf.DUMMYFUNCTION("IMPORTRANGE(""https://docs.google.com/spreadsheets/d/10s13Sk5xrltsiR-Zkbmk5DwIaDIKO8XlbJAfqyT7Gvg/edit?usp=sharing"",""น่าน!J727"")"),0)</f>
        <v>0</v>
      </c>
      <c r="M19" s="216">
        <f t="shared" ca="1" si="37"/>
        <v>0</v>
      </c>
      <c r="N19" s="152">
        <f ca="1">IFERROR(__xludf.DUMMYFUNCTION("IMPORTRANGE(""https://docs.google.com/spreadsheets/d/10s13Sk5xrltsiR-Zkbmk5DwIaDIKO8XlbJAfqyT7Gvg/edit?usp=sharing"",""น่าน!I740"")"),1000)</f>
        <v>1000</v>
      </c>
      <c r="O19" s="152">
        <f ca="1">IFERROR(__xludf.DUMMYFUNCTION("IMPORTRANGE(""https://docs.google.com/spreadsheets/d/10s13Sk5xrltsiR-Zkbmk5DwIaDIKO8XlbJAfqyT7Gvg/edit?usp=sharing"",""น่าน!J740"")"),1000)</f>
        <v>1000</v>
      </c>
      <c r="P19" s="216">
        <f t="shared" ca="1" si="39"/>
        <v>100</v>
      </c>
      <c r="Q19" s="152">
        <f ca="1">IFERROR(__xludf.DUMMYFUNCTION("IMPORTRANGE(""https://docs.google.com/spreadsheets/d/10s13Sk5xrltsiR-Zkbmk5DwIaDIKO8XlbJAfqyT7Gvg/edit?usp=sharing"",""น่าน!J741"")"),100)</f>
        <v>100</v>
      </c>
      <c r="R19" s="152">
        <f ca="1">IFERROR(__xludf.DUMMYFUNCTION("IMPORTRANGE(""https://docs.google.com/spreadsheets/d/10s13Sk5xrltsiR-Zkbmk5DwIaDIKO8XlbJAfqyT7Gvg/edit?usp=sharing"",""น่าน!I742"")"),100)</f>
        <v>100</v>
      </c>
      <c r="S19" s="152">
        <f ca="1">IFERROR(__xludf.DUMMYFUNCTION("IMPORTRANGE(""https://docs.google.com/spreadsheets/d/10s13Sk5xrltsiR-Zkbmk5DwIaDIKO8XlbJAfqyT7Gvg/edit?usp=sharing"",""น่าน!J742"")"),100)</f>
        <v>100</v>
      </c>
      <c r="T19" s="216">
        <f t="shared" ca="1" si="41"/>
        <v>100</v>
      </c>
      <c r="U19" s="152">
        <f ca="1">IFERROR(__xludf.DUMMYFUNCTION("IMPORTRANGE(""https://docs.google.com/spreadsheets/d/10s13Sk5xrltsiR-Zkbmk5DwIaDIKO8XlbJAfqyT7Gvg/edit?usp=sharing"",""น่าน!I744"")"),250)</f>
        <v>250</v>
      </c>
      <c r="V19" s="152">
        <f ca="1">IFERROR(__xludf.DUMMYFUNCTION("IMPORTRANGE(""https://docs.google.com/spreadsheets/d/10s13Sk5xrltsiR-Zkbmk5DwIaDIKO8XlbJAfqyT7Gvg/edit?usp=sharing"",""น่าน!J744"")"),250)</f>
        <v>250</v>
      </c>
      <c r="W19" s="216">
        <f t="shared" ca="1" si="43"/>
        <v>100</v>
      </c>
      <c r="X19" s="152">
        <f ca="1">IFERROR(__xludf.DUMMYFUNCTION("IMPORTRANGE(""https://docs.google.com/spreadsheets/d/10s13Sk5xrltsiR-Zkbmk5DwIaDIKO8XlbJAfqyT7Gvg/edit?usp=sharing"",""น่าน!J745"")"),25)</f>
        <v>25</v>
      </c>
      <c r="Y19" s="152">
        <f ca="1">IFERROR(__xludf.DUMMYFUNCTION("IMPORTRANGE(""https://docs.google.com/spreadsheets/d/10s13Sk5xrltsiR-Zkbmk5DwIaDIKO8XlbJAfqyT7Gvg/edit?usp=sharing"",""น่าน!I746"")"),25)</f>
        <v>25</v>
      </c>
      <c r="Z19" s="152">
        <f ca="1">IFERROR(__xludf.DUMMYFUNCTION("IMPORTRANGE(""https://docs.google.com/spreadsheets/d/10s13Sk5xrltsiR-Zkbmk5DwIaDIKO8XlbJAfqyT7Gvg/edit?usp=sharing"",""น่าน!J746"")"),25)</f>
        <v>25</v>
      </c>
      <c r="AA19" s="216">
        <f t="shared" ca="1" si="45"/>
        <v>100</v>
      </c>
      <c r="AB19" s="152">
        <f ca="1">IFERROR(__xludf.DUMMYFUNCTION("IMPORTRANGE(""https://docs.google.com/spreadsheets/d/10s13Sk5xrltsiR-Zkbmk5DwIaDIKO8XlbJAfqyT7Gvg/edit?usp=sharing"",""น่าน!J748"")"),3)</f>
        <v>3</v>
      </c>
      <c r="AC19" s="152">
        <f ca="1">IFERROR(__xludf.DUMMYFUNCTION("IMPORTRANGE(""https://docs.google.com/spreadsheets/d/10s13Sk5xrltsiR-Zkbmk5DwIaDIKO8XlbJAfqyT7Gvg/edit?usp=sharing"",""น่าน!I749"")"),3)</f>
        <v>3</v>
      </c>
      <c r="AD19" s="152">
        <f ca="1">IFERROR(__xludf.DUMMYFUNCTION("IMPORTRANGE(""https://docs.google.com/spreadsheets/d/10s13Sk5xrltsiR-Zkbmk5DwIaDIKO8XlbJAfqyT7Gvg/edit?usp=sharing"",""น่าน!J749"")"),3)</f>
        <v>3</v>
      </c>
      <c r="AE19" s="216">
        <f t="shared" ca="1" si="47"/>
        <v>100</v>
      </c>
      <c r="AF19" s="152">
        <f ca="1">IFERROR(__xludf.DUMMYFUNCTION("IMPORTRANGE(""https://docs.google.com/spreadsheets/d/10s13Sk5xrltsiR-Zkbmk5DwIaDIKO8XlbJAfqyT7Gvg/edit?usp=sharing"",""น่าน!I752"")"),1000)</f>
        <v>1000</v>
      </c>
      <c r="AG19" s="152">
        <f ca="1">IFERROR(__xludf.DUMMYFUNCTION("IMPORTRANGE(""https://docs.google.com/spreadsheets/d/10s13Sk5xrltsiR-Zkbmk5DwIaDIKO8XlbJAfqyT7Gvg/edit?usp=sharing"",""น่าน!J752"")"),0)</f>
        <v>0</v>
      </c>
      <c r="AH19" s="216">
        <f t="shared" ca="1" si="49"/>
        <v>0</v>
      </c>
      <c r="AI19" s="152">
        <f ca="1">IFERROR(__xludf.DUMMYFUNCTION("IMPORTRANGE(""https://docs.google.com/spreadsheets/d/10s13Sk5xrltsiR-Zkbmk5DwIaDIKO8XlbJAfqyT7Gvg/edit?usp=sharing"",""น่าน!J753"")"),0)</f>
        <v>0</v>
      </c>
      <c r="AJ19" s="152">
        <f ca="1">IFERROR(__xludf.DUMMYFUNCTION("IMPORTRANGE(""https://docs.google.com/spreadsheets/d/10s13Sk5xrltsiR-Zkbmk5DwIaDIKO8XlbJAfqyT7Gvg/edit?usp=sharing"",""น่าน!I755"")"),250)</f>
        <v>250</v>
      </c>
      <c r="AK19" s="152">
        <f ca="1">IFERROR(__xludf.DUMMYFUNCTION("IMPORTRANGE(""https://docs.google.com/spreadsheets/d/10s13Sk5xrltsiR-Zkbmk5DwIaDIKO8XlbJAfqyT7Gvg/edit?usp=sharing"",""น่าน!J755"")"),0)</f>
        <v>0</v>
      </c>
      <c r="AL19" s="216">
        <f t="shared" ca="1" si="51"/>
        <v>0</v>
      </c>
      <c r="AM19" s="152">
        <f ca="1">IFERROR(__xludf.DUMMYFUNCTION("IMPORTRANGE(""https://docs.google.com/spreadsheets/d/10s13Sk5xrltsiR-Zkbmk5DwIaDIKO8XlbJAfqyT7Gvg/edit?usp=sharing"",""น่าน!J756"")"),0)</f>
        <v>0</v>
      </c>
      <c r="AN19" s="152">
        <f ca="1">IFERROR(__xludf.DUMMYFUNCTION("IMPORTRANGE(""https://docs.google.com/spreadsheets/d/10s13Sk5xrltsiR-Zkbmk5DwIaDIKO8XlbJAfqyT7Gvg/edit?usp=sharing"",""น่าน!J757"")"),0)</f>
        <v>0</v>
      </c>
    </row>
    <row r="20" spans="1:40" ht="19.5" x14ac:dyDescent="0.3">
      <c r="A20" s="147">
        <v>7</v>
      </c>
      <c r="B20" s="148" t="s">
        <v>48</v>
      </c>
      <c r="C20" s="68">
        <f ca="1">IFERROR(__xludf.DUMMYFUNCTION("IMPORTRANGE(""https://docs.google.com/spreadsheets/d/1uu4nAn4Dbi1XREnLKKotUANlKXa7yCgRcgq8HEzQYW8/edit?usp=sharing"",""พะเยา!Q728"")"),242546)</f>
        <v>242546</v>
      </c>
      <c r="D20" s="68">
        <f ca="1">IFERROR(__xludf.DUMMYFUNCTION("IMPORTRANGE(""https://docs.google.com/spreadsheets/d/1uu4nAn4Dbi1XREnLKKotUANlKXa7yCgRcgq8HEzQYW8/edit?usp=sharing"",""พะเยา!R728"")"),242546)</f>
        <v>242546</v>
      </c>
      <c r="E20" s="68">
        <f ca="1">IFERROR(__xludf.DUMMYFUNCTION("IMPORTRANGE(""https://docs.google.com/spreadsheets/d/1uu4nAn4Dbi1XREnLKKotUANlKXa7yCgRcgq8HEzQYW8/edit?usp=sharing"",""พะเยา!S728"")"),47165)</f>
        <v>47165</v>
      </c>
      <c r="F20" s="68">
        <f t="shared" ca="1" si="33"/>
        <v>19.445795849034823</v>
      </c>
      <c r="G20" s="68">
        <f t="shared" ca="1" si="34"/>
        <v>19.445795849034823</v>
      </c>
      <c r="H20" s="152">
        <f ca="1">IFERROR(__xludf.DUMMYFUNCTION("IMPORTRANGE(""https://docs.google.com/spreadsheets/d/1uu4nAn4Dbi1XREnLKKotUANlKXa7yCgRcgq8HEzQYW8/edit?usp=sharing"",""พะเยา!I726"")"),31)</f>
        <v>31</v>
      </c>
      <c r="I20" s="152">
        <f ca="1">IFERROR(__xludf.DUMMYFUNCTION("IMPORTRANGE(""https://docs.google.com/spreadsheets/d/1uu4nAn4Dbi1XREnLKKotUANlKXa7yCgRcgq8HEzQYW8/edit?usp=sharing"",""พะเยา!I727"")"),300)</f>
        <v>300</v>
      </c>
      <c r="J20" s="152">
        <f ca="1">IFERROR(__xludf.DUMMYFUNCTION("IMPORTRANGE(""https://docs.google.com/spreadsheets/d/1uu4nAn4Dbi1XREnLKKotUANlKXa7yCgRcgq8HEzQYW8/edit?usp=sharing"",""พะเยา!J726"")"),30)</f>
        <v>30</v>
      </c>
      <c r="K20" s="216">
        <f t="shared" ca="1" si="36"/>
        <v>96.774193548387103</v>
      </c>
      <c r="L20" s="152">
        <f ca="1">IFERROR(__xludf.DUMMYFUNCTION("IMPORTRANGE(""https://docs.google.com/spreadsheets/d/1uu4nAn4Dbi1XREnLKKotUANlKXa7yCgRcgq8HEzQYW8/edit?usp=sharing"",""พะเยา!J727"")"),0)</f>
        <v>0</v>
      </c>
      <c r="M20" s="216">
        <f t="shared" ca="1" si="37"/>
        <v>0</v>
      </c>
      <c r="N20" s="152">
        <f ca="1">IFERROR(__xludf.DUMMYFUNCTION("IMPORTRANGE(""https://docs.google.com/spreadsheets/d/1uu4nAn4Dbi1XREnLKKotUANlKXa7yCgRcgq8HEzQYW8/edit?usp=sharing"",""พะเยา!I740"")"),240)</f>
        <v>240</v>
      </c>
      <c r="O20" s="152">
        <f ca="1">IFERROR(__xludf.DUMMYFUNCTION("IMPORTRANGE(""https://docs.google.com/spreadsheets/d/1uu4nAn4Dbi1XREnLKKotUANlKXa7yCgRcgq8HEzQYW8/edit?usp=sharing"",""พะเยา!J740"")"),240)</f>
        <v>240</v>
      </c>
      <c r="P20" s="216">
        <f t="shared" ca="1" si="39"/>
        <v>100</v>
      </c>
      <c r="Q20" s="152">
        <f ca="1">IFERROR(__xludf.DUMMYFUNCTION("IMPORTRANGE(""https://docs.google.com/spreadsheets/d/1uu4nAn4Dbi1XREnLKKotUANlKXa7yCgRcgq8HEzQYW8/edit?usp=sharing"",""พะเยา!J741"")"),0)</f>
        <v>0</v>
      </c>
      <c r="R20" s="152">
        <f ca="1">IFERROR(__xludf.DUMMYFUNCTION("IMPORTRANGE(""https://docs.google.com/spreadsheets/d/1uu4nAn4Dbi1XREnLKKotUANlKXa7yCgRcgq8HEzQYW8/edit?usp=sharing"",""พะเยา!I742"")"),24)</f>
        <v>24</v>
      </c>
      <c r="S20" s="152">
        <f ca="1">IFERROR(__xludf.DUMMYFUNCTION("IMPORTRANGE(""https://docs.google.com/spreadsheets/d/1uu4nAn4Dbi1XREnLKKotUANlKXa7yCgRcgq8HEzQYW8/edit?usp=sharing"",""พะเยา!J742"")"),24)</f>
        <v>24</v>
      </c>
      <c r="T20" s="216">
        <f t="shared" ca="1" si="41"/>
        <v>100</v>
      </c>
      <c r="U20" s="152">
        <f ca="1">IFERROR(__xludf.DUMMYFUNCTION("IMPORTRANGE(""https://docs.google.com/spreadsheets/d/1uu4nAn4Dbi1XREnLKKotUANlKXa7yCgRcgq8HEzQYW8/edit?usp=sharing"",""พะเยา!I744"")"),60)</f>
        <v>60</v>
      </c>
      <c r="V20" s="152">
        <f ca="1">IFERROR(__xludf.DUMMYFUNCTION("IMPORTRANGE(""https://docs.google.com/spreadsheets/d/1uu4nAn4Dbi1XREnLKKotUANlKXa7yCgRcgq8HEzQYW8/edit?usp=sharing"",""พะเยา!J744"")"),60)</f>
        <v>60</v>
      </c>
      <c r="W20" s="216">
        <f t="shared" ca="1" si="43"/>
        <v>100</v>
      </c>
      <c r="X20" s="152">
        <f ca="1">IFERROR(__xludf.DUMMYFUNCTION("IMPORTRANGE(""https://docs.google.com/spreadsheets/d/1uu4nAn4Dbi1XREnLKKotUANlKXa7yCgRcgq8HEzQYW8/edit?usp=sharing"",""พะเยา!J745"")"),0)</f>
        <v>0</v>
      </c>
      <c r="Y20" s="152">
        <f ca="1">IFERROR(__xludf.DUMMYFUNCTION("IMPORTRANGE(""https://docs.google.com/spreadsheets/d/1uu4nAn4Dbi1XREnLKKotUANlKXa7yCgRcgq8HEzQYW8/edit?usp=sharing"",""พะเยา!I746"")"),6)</f>
        <v>6</v>
      </c>
      <c r="Z20" s="152">
        <f ca="1">IFERROR(__xludf.DUMMYFUNCTION("IMPORTRANGE(""https://docs.google.com/spreadsheets/d/1uu4nAn4Dbi1XREnLKKotUANlKXa7yCgRcgq8HEzQYW8/edit?usp=sharing"",""พะเยา!J746"")"),6)</f>
        <v>6</v>
      </c>
      <c r="AA20" s="216">
        <f t="shared" ca="1" si="45"/>
        <v>100</v>
      </c>
      <c r="AB20" s="152">
        <f ca="1">IFERROR(__xludf.DUMMYFUNCTION("IMPORTRANGE(""https://docs.google.com/spreadsheets/d/1uu4nAn4Dbi1XREnLKKotUANlKXa7yCgRcgq8HEzQYW8/edit?usp=sharing"",""พะเยา!J748"")"),0)</f>
        <v>0</v>
      </c>
      <c r="AC20" s="152">
        <f ca="1">IFERROR(__xludf.DUMMYFUNCTION("IMPORTRANGE(""https://docs.google.com/spreadsheets/d/1uu4nAn4Dbi1XREnLKKotUANlKXa7yCgRcgq8HEzQYW8/edit?usp=sharing"",""พะเยา!I749"")"),1)</f>
        <v>1</v>
      </c>
      <c r="AD20" s="152">
        <f ca="1">IFERROR(__xludf.DUMMYFUNCTION("IMPORTRANGE(""https://docs.google.com/spreadsheets/d/1uu4nAn4Dbi1XREnLKKotUANlKXa7yCgRcgq8HEzQYW8/edit?usp=sharing"",""พะเยา!J749"")"),0)</f>
        <v>0</v>
      </c>
      <c r="AE20" s="216">
        <f t="shared" ca="1" si="47"/>
        <v>0</v>
      </c>
      <c r="AF20" s="152">
        <f ca="1">IFERROR(__xludf.DUMMYFUNCTION("IMPORTRANGE(""https://docs.google.com/spreadsheets/d/1uu4nAn4Dbi1XREnLKKotUANlKXa7yCgRcgq8HEzQYW8/edit?usp=sharing"",""พะเยา!I752"")"),240)</f>
        <v>240</v>
      </c>
      <c r="AG20" s="152">
        <f ca="1">IFERROR(__xludf.DUMMYFUNCTION("IMPORTRANGE(""https://docs.google.com/spreadsheets/d/1uu4nAn4Dbi1XREnLKKotUANlKXa7yCgRcgq8HEzQYW8/edit?usp=sharing"",""พะเยา!J752"")"),0)</f>
        <v>0</v>
      </c>
      <c r="AH20" s="216">
        <f t="shared" ca="1" si="49"/>
        <v>0</v>
      </c>
      <c r="AI20" s="152">
        <f ca="1">IFERROR(__xludf.DUMMYFUNCTION("IMPORTRANGE(""https://docs.google.com/spreadsheets/d/1uu4nAn4Dbi1XREnLKKotUANlKXa7yCgRcgq8HEzQYW8/edit?usp=sharing"",""พะเยา!J753"")"),0)</f>
        <v>0</v>
      </c>
      <c r="AJ20" s="152">
        <f ca="1">IFERROR(__xludf.DUMMYFUNCTION("IMPORTRANGE(""https://docs.google.com/spreadsheets/d/1uu4nAn4Dbi1XREnLKKotUANlKXa7yCgRcgq8HEzQYW8/edit?usp=sharing"",""พะเยา!I755"")"),60)</f>
        <v>60</v>
      </c>
      <c r="AK20" s="152">
        <f ca="1">IFERROR(__xludf.DUMMYFUNCTION("IMPORTRANGE(""https://docs.google.com/spreadsheets/d/1uu4nAn4Dbi1XREnLKKotUANlKXa7yCgRcgq8HEzQYW8/edit?usp=sharing"",""พะเยา!J755"")"),0)</f>
        <v>0</v>
      </c>
      <c r="AL20" s="216">
        <f t="shared" ca="1" si="51"/>
        <v>0</v>
      </c>
      <c r="AM20" s="152">
        <f ca="1">IFERROR(__xludf.DUMMYFUNCTION("IMPORTRANGE(""https://docs.google.com/spreadsheets/d/1uu4nAn4Dbi1XREnLKKotUANlKXa7yCgRcgq8HEzQYW8/edit?usp=sharing"",""พะเยา!J756"")"),0)</f>
        <v>0</v>
      </c>
      <c r="AN20" s="152">
        <f ca="1">IFERROR(__xludf.DUMMYFUNCTION("IMPORTRANGE(""https://docs.google.com/spreadsheets/d/1uu4nAn4Dbi1XREnLKKotUANlKXa7yCgRcgq8HEzQYW8/edit?usp=sharing"",""พะเยา!J757"")"),0)</f>
        <v>0</v>
      </c>
    </row>
    <row r="21" spans="1:40" ht="19.5" x14ac:dyDescent="0.3">
      <c r="A21" s="147">
        <v>8</v>
      </c>
      <c r="B21" s="148" t="s">
        <v>49</v>
      </c>
      <c r="C21" s="68">
        <f ca="1">IFERROR(__xludf.DUMMYFUNCTION("IMPORTRANGE(""https://docs.google.com/spreadsheets/d/1xfJKIQxVOaPDIICqsflNlLu3JacTDk1FP9RH4phX7mI/edit?usp=sharing"",""พิจิตร!Q728"")"),242546)</f>
        <v>242546</v>
      </c>
      <c r="D21" s="68">
        <f ca="1">IFERROR(__xludf.DUMMYFUNCTION("IMPORTRANGE(""https://docs.google.com/spreadsheets/d/1xfJKIQxVOaPDIICqsflNlLu3JacTDk1FP9RH4phX7mI/edit?usp=sharing"",""พิจิตร!R728"")"),242546)</f>
        <v>242546</v>
      </c>
      <c r="E21" s="68">
        <f ca="1">IFERROR(__xludf.DUMMYFUNCTION("IMPORTRANGE(""https://docs.google.com/spreadsheets/d/1xfJKIQxVOaPDIICqsflNlLu3JacTDk1FP9RH4phX7mI/edit?usp=sharing"",""พิจิตร!S728"")"),217980)</f>
        <v>217980</v>
      </c>
      <c r="F21" s="68">
        <f t="shared" ca="1" si="33"/>
        <v>89.871611982881603</v>
      </c>
      <c r="G21" s="68">
        <f t="shared" ca="1" si="34"/>
        <v>89.871611982881603</v>
      </c>
      <c r="H21" s="152">
        <f ca="1">IFERROR(__xludf.DUMMYFUNCTION("IMPORTRANGE(""https://docs.google.com/spreadsheets/d/1xfJKIQxVOaPDIICqsflNlLu3JacTDk1FP9RH4phX7mI/edit?usp=sharing"",""พิจิตร!I726"")"),31)</f>
        <v>31</v>
      </c>
      <c r="I21" s="152">
        <f ca="1">IFERROR(__xludf.DUMMYFUNCTION("IMPORTRANGE(""https://docs.google.com/spreadsheets/d/1xfJKIQxVOaPDIICqsflNlLu3JacTDk1FP9RH4phX7mI/edit?usp=sharing"",""พิจิตร!I727"")"),300)</f>
        <v>300</v>
      </c>
      <c r="J21" s="152">
        <f ca="1">IFERROR(__xludf.DUMMYFUNCTION("IMPORTRANGE(""https://docs.google.com/spreadsheets/d/1xfJKIQxVOaPDIICqsflNlLu3JacTDk1FP9RH4phX7mI/edit?usp=sharing"",""พิจิตร!J726"")"),31)</f>
        <v>31</v>
      </c>
      <c r="K21" s="216">
        <f t="shared" ca="1" si="36"/>
        <v>100</v>
      </c>
      <c r="L21" s="152">
        <f ca="1">IFERROR(__xludf.DUMMYFUNCTION("IMPORTRANGE(""https://docs.google.com/spreadsheets/d/1xfJKIQxVOaPDIICqsflNlLu3JacTDk1FP9RH4phX7mI/edit?usp=sharing"",""พิจิตร!J727"")"),300)</f>
        <v>300</v>
      </c>
      <c r="M21" s="216">
        <f t="shared" ca="1" si="37"/>
        <v>100</v>
      </c>
      <c r="N21" s="152">
        <f ca="1">IFERROR(__xludf.DUMMYFUNCTION("IMPORTRANGE(""https://docs.google.com/spreadsheets/d/1xfJKIQxVOaPDIICqsflNlLu3JacTDk1FP9RH4phX7mI/edit?usp=sharing"",""พิจิตร!I740"")"),240)</f>
        <v>240</v>
      </c>
      <c r="O21" s="152">
        <f ca="1">IFERROR(__xludf.DUMMYFUNCTION("IMPORTRANGE(""https://docs.google.com/spreadsheets/d/1xfJKIQxVOaPDIICqsflNlLu3JacTDk1FP9RH4phX7mI/edit?usp=sharing"",""พิจิตร!J740"")"),240)</f>
        <v>240</v>
      </c>
      <c r="P21" s="216">
        <f t="shared" ca="1" si="39"/>
        <v>100</v>
      </c>
      <c r="Q21" s="152">
        <f ca="1">IFERROR(__xludf.DUMMYFUNCTION("IMPORTRANGE(""https://docs.google.com/spreadsheets/d/1xfJKIQxVOaPDIICqsflNlLu3JacTDk1FP9RH4phX7mI/edit?usp=sharing"",""พิจิตร!J741"")"),0)</f>
        <v>0</v>
      </c>
      <c r="R21" s="152">
        <f ca="1">IFERROR(__xludf.DUMMYFUNCTION("IMPORTRANGE(""https://docs.google.com/spreadsheets/d/1xfJKIQxVOaPDIICqsflNlLu3JacTDk1FP9RH4phX7mI/edit?usp=sharing"",""พิจิตร!I742"")"),24)</f>
        <v>24</v>
      </c>
      <c r="S21" s="152">
        <f ca="1">IFERROR(__xludf.DUMMYFUNCTION("IMPORTRANGE(""https://docs.google.com/spreadsheets/d/1xfJKIQxVOaPDIICqsflNlLu3JacTDk1FP9RH4phX7mI/edit?usp=sharing"",""พิจิตร!J742"")"),24)</f>
        <v>24</v>
      </c>
      <c r="T21" s="216">
        <f t="shared" ca="1" si="41"/>
        <v>100</v>
      </c>
      <c r="U21" s="152">
        <f ca="1">IFERROR(__xludf.DUMMYFUNCTION("IMPORTRANGE(""https://docs.google.com/spreadsheets/d/1xfJKIQxVOaPDIICqsflNlLu3JacTDk1FP9RH4phX7mI/edit?usp=sharing"",""พิจิตร!I744"")"),60)</f>
        <v>60</v>
      </c>
      <c r="V21" s="152">
        <f ca="1">IFERROR(__xludf.DUMMYFUNCTION("IMPORTRANGE(""https://docs.google.com/spreadsheets/d/1xfJKIQxVOaPDIICqsflNlLu3JacTDk1FP9RH4phX7mI/edit?usp=sharing"",""พิจิตร!J744"")"),60)</f>
        <v>60</v>
      </c>
      <c r="W21" s="216">
        <f t="shared" ca="1" si="43"/>
        <v>100</v>
      </c>
      <c r="X21" s="152">
        <f ca="1">IFERROR(__xludf.DUMMYFUNCTION("IMPORTRANGE(""https://docs.google.com/spreadsheets/d/1xfJKIQxVOaPDIICqsflNlLu3JacTDk1FP9RH4phX7mI/edit?usp=sharing"",""พิจิตร!J745"")"),0)</f>
        <v>0</v>
      </c>
      <c r="Y21" s="152">
        <f ca="1">IFERROR(__xludf.DUMMYFUNCTION("IMPORTRANGE(""https://docs.google.com/spreadsheets/d/1xfJKIQxVOaPDIICqsflNlLu3JacTDk1FP9RH4phX7mI/edit?usp=sharing"",""พิจิตร!I746"")"),6)</f>
        <v>6</v>
      </c>
      <c r="Z21" s="152">
        <f ca="1">IFERROR(__xludf.DUMMYFUNCTION("IMPORTRANGE(""https://docs.google.com/spreadsheets/d/1xfJKIQxVOaPDIICqsflNlLu3JacTDk1FP9RH4phX7mI/edit?usp=sharing"",""พิจิตร!J746"")"),6)</f>
        <v>6</v>
      </c>
      <c r="AA21" s="216">
        <f t="shared" ca="1" si="45"/>
        <v>100</v>
      </c>
      <c r="AB21" s="152">
        <f ca="1">IFERROR(__xludf.DUMMYFUNCTION("IMPORTRANGE(""https://docs.google.com/spreadsheets/d/1xfJKIQxVOaPDIICqsflNlLu3JacTDk1FP9RH4phX7mI/edit?usp=sharing"",""พิจิตร!J748"")"),0)</f>
        <v>0</v>
      </c>
      <c r="AC21" s="152">
        <f ca="1">IFERROR(__xludf.DUMMYFUNCTION("IMPORTRANGE(""https://docs.google.com/spreadsheets/d/1xfJKIQxVOaPDIICqsflNlLu3JacTDk1FP9RH4phX7mI/edit?usp=sharing"",""พิจิตร!I749"")"),1)</f>
        <v>1</v>
      </c>
      <c r="AD21" s="152">
        <f ca="1">IFERROR(__xludf.DUMMYFUNCTION("IMPORTRANGE(""https://docs.google.com/spreadsheets/d/1xfJKIQxVOaPDIICqsflNlLu3JacTDk1FP9RH4phX7mI/edit?usp=sharing"",""พิจิตร!J749"")"),1)</f>
        <v>1</v>
      </c>
      <c r="AE21" s="216">
        <f t="shared" ca="1" si="47"/>
        <v>100</v>
      </c>
      <c r="AF21" s="152">
        <f ca="1">IFERROR(__xludf.DUMMYFUNCTION("IMPORTRANGE(""https://docs.google.com/spreadsheets/d/1xfJKIQxVOaPDIICqsflNlLu3JacTDk1FP9RH4phX7mI/edit?usp=sharing"",""พิจิตร!I752"")"),240)</f>
        <v>240</v>
      </c>
      <c r="AG21" s="152">
        <f ca="1">IFERROR(__xludf.DUMMYFUNCTION("IMPORTRANGE(""https://docs.google.com/spreadsheets/d/1xfJKIQxVOaPDIICqsflNlLu3JacTDk1FP9RH4phX7mI/edit?usp=sharing"",""พิจิตร!J752"")"),240)</f>
        <v>240</v>
      </c>
      <c r="AH21" s="216">
        <f t="shared" ca="1" si="49"/>
        <v>100</v>
      </c>
      <c r="AI21" s="152">
        <f ca="1">IFERROR(__xludf.DUMMYFUNCTION("IMPORTRANGE(""https://docs.google.com/spreadsheets/d/1xfJKIQxVOaPDIICqsflNlLu3JacTDk1FP9RH4phX7mI/edit?usp=sharing"",""พิจิตร!J753"")"),0)</f>
        <v>0</v>
      </c>
      <c r="AJ21" s="152">
        <f ca="1">IFERROR(__xludf.DUMMYFUNCTION("IMPORTRANGE(""https://docs.google.com/spreadsheets/d/1xfJKIQxVOaPDIICqsflNlLu3JacTDk1FP9RH4phX7mI/edit?usp=sharing"",""พิจิตร!I755"")"),60)</f>
        <v>60</v>
      </c>
      <c r="AK21" s="152">
        <f ca="1">IFERROR(__xludf.DUMMYFUNCTION("IMPORTRANGE(""https://docs.google.com/spreadsheets/d/1xfJKIQxVOaPDIICqsflNlLu3JacTDk1FP9RH4phX7mI/edit?usp=sharing"",""พิจิตร!J755"")"),60)</f>
        <v>60</v>
      </c>
      <c r="AL21" s="216">
        <f t="shared" ca="1" si="51"/>
        <v>100</v>
      </c>
      <c r="AM21" s="152">
        <f ca="1">IFERROR(__xludf.DUMMYFUNCTION("IMPORTRANGE(""https://docs.google.com/spreadsheets/d/1xfJKIQxVOaPDIICqsflNlLu3JacTDk1FP9RH4phX7mI/edit?usp=sharing"",""พิจิตร!J756"")"),0)</f>
        <v>0</v>
      </c>
      <c r="AN21" s="152">
        <f ca="1">IFERROR(__xludf.DUMMYFUNCTION("IMPORTRANGE(""https://docs.google.com/spreadsheets/d/1xfJKIQxVOaPDIICqsflNlLu3JacTDk1FP9RH4phX7mI/edit?usp=sharing"",""พิจิตร!J757"")"),0)</f>
        <v>0</v>
      </c>
    </row>
    <row r="22" spans="1:40" ht="19.5" x14ac:dyDescent="0.3">
      <c r="A22" s="147">
        <v>9</v>
      </c>
      <c r="B22" s="148" t="s">
        <v>50</v>
      </c>
      <c r="C22" s="68">
        <f ca="1">IFERROR(__xludf.DUMMYFUNCTION("IMPORTRANGE(""https://docs.google.com/spreadsheets/d/1JtRfZkJMHtEhI5RdRHxYUG4FIZHqKDpNyIuN7A1Q0_k/edit?usp=sharing"",""พิษณุโลก!Q728"")"),1008470)</f>
        <v>1008470</v>
      </c>
      <c r="D22" s="68">
        <f ca="1">IFERROR(__xludf.DUMMYFUNCTION("IMPORTRANGE(""https://docs.google.com/spreadsheets/d/1JtRfZkJMHtEhI5RdRHxYUG4FIZHqKDpNyIuN7A1Q0_k/edit?usp=sharing"",""พิษณุโลก!R728"")"),1008470)</f>
        <v>1008470</v>
      </c>
      <c r="E22" s="68">
        <f ca="1">IFERROR(__xludf.DUMMYFUNCTION("IMPORTRANGE(""https://docs.google.com/spreadsheets/d/1JtRfZkJMHtEhI5RdRHxYUG4FIZHqKDpNyIuN7A1Q0_k/edit?usp=sharing"",""พิษณุโลก!S728"")"),200764.3)</f>
        <v>200764.3</v>
      </c>
      <c r="F22" s="68">
        <f t="shared" ca="1" si="33"/>
        <v>19.907810842166846</v>
      </c>
      <c r="G22" s="68">
        <f t="shared" ca="1" si="34"/>
        <v>19.907810842166846</v>
      </c>
      <c r="H22" s="152">
        <f ca="1">IFERROR(__xludf.DUMMYFUNCTION("IMPORTRANGE(""https://docs.google.com/spreadsheets/d/1JtRfZkJMHtEhI5RdRHxYUG4FIZHqKDpNyIuN7A1Q0_k/edit?usp=sharing"",""พิษณุโลก!I726"")"),128)</f>
        <v>128</v>
      </c>
      <c r="I22" s="152">
        <f ca="1">IFERROR(__xludf.DUMMYFUNCTION("IMPORTRANGE(""https://docs.google.com/spreadsheets/d/1JtRfZkJMHtEhI5RdRHxYUG4FIZHqKDpNyIuN7A1Q0_k/edit?usp=sharing"",""พิษณุโลก!I727"")"),1250)</f>
        <v>1250</v>
      </c>
      <c r="J22" s="152">
        <f ca="1">IFERROR(__xludf.DUMMYFUNCTION("IMPORTRANGE(""https://docs.google.com/spreadsheets/d/1JtRfZkJMHtEhI5RdRHxYUG4FIZHqKDpNyIuN7A1Q0_k/edit?usp=sharing"",""พิษณุโลก!J726"")"),128)</f>
        <v>128</v>
      </c>
      <c r="K22" s="216">
        <f t="shared" ca="1" si="36"/>
        <v>100</v>
      </c>
      <c r="L22" s="152">
        <f ca="1">IFERROR(__xludf.DUMMYFUNCTION("IMPORTRANGE(""https://docs.google.com/spreadsheets/d/1JtRfZkJMHtEhI5RdRHxYUG4FIZHqKDpNyIuN7A1Q0_k/edit?usp=sharing"",""พิษณุโลก!J727"")"),0)</f>
        <v>0</v>
      </c>
      <c r="M22" s="216">
        <f t="shared" ca="1" si="37"/>
        <v>0</v>
      </c>
      <c r="N22" s="152">
        <f ca="1">IFERROR(__xludf.DUMMYFUNCTION("IMPORTRANGE(""https://docs.google.com/spreadsheets/d/1JtRfZkJMHtEhI5RdRHxYUG4FIZHqKDpNyIuN7A1Q0_k/edit?usp=sharing"",""พิษณุโลก!I740"")"),1000)</f>
        <v>1000</v>
      </c>
      <c r="O22" s="152">
        <f ca="1">IFERROR(__xludf.DUMMYFUNCTION("IMPORTRANGE(""https://docs.google.com/spreadsheets/d/1JtRfZkJMHtEhI5RdRHxYUG4FIZHqKDpNyIuN7A1Q0_k/edit?usp=sharing"",""พิษณุโลก!J740"")"),1000)</f>
        <v>1000</v>
      </c>
      <c r="P22" s="216">
        <f t="shared" ca="1" si="39"/>
        <v>100</v>
      </c>
      <c r="Q22" s="152">
        <f ca="1">IFERROR(__xludf.DUMMYFUNCTION("IMPORTRANGE(""https://docs.google.com/spreadsheets/d/1JtRfZkJMHtEhI5RdRHxYUG4FIZHqKDpNyIuN7A1Q0_k/edit?usp=sharing"",""พิษณุโลก!J741"")"),0)</f>
        <v>0</v>
      </c>
      <c r="R22" s="152">
        <f ca="1">IFERROR(__xludf.DUMMYFUNCTION("IMPORTRANGE(""https://docs.google.com/spreadsheets/d/1JtRfZkJMHtEhI5RdRHxYUG4FIZHqKDpNyIuN7A1Q0_k/edit?usp=sharing"",""พิษณุโลก!I742"")"),100)</f>
        <v>100</v>
      </c>
      <c r="S22" s="152">
        <f ca="1">IFERROR(__xludf.DUMMYFUNCTION("IMPORTRANGE(""https://docs.google.com/spreadsheets/d/1JtRfZkJMHtEhI5RdRHxYUG4FIZHqKDpNyIuN7A1Q0_k/edit?usp=sharing"",""พิษณุโลก!J742"")"),100)</f>
        <v>100</v>
      </c>
      <c r="T22" s="216">
        <f t="shared" ca="1" si="41"/>
        <v>100</v>
      </c>
      <c r="U22" s="152">
        <f ca="1">IFERROR(__xludf.DUMMYFUNCTION("IMPORTRANGE(""https://docs.google.com/spreadsheets/d/1JtRfZkJMHtEhI5RdRHxYUG4FIZHqKDpNyIuN7A1Q0_k/edit?usp=sharing"",""พิษณุโลก!I744"")"),250)</f>
        <v>250</v>
      </c>
      <c r="V22" s="152">
        <f ca="1">IFERROR(__xludf.DUMMYFUNCTION("IMPORTRANGE(""https://docs.google.com/spreadsheets/d/1JtRfZkJMHtEhI5RdRHxYUG4FIZHqKDpNyIuN7A1Q0_k/edit?usp=sharing"",""พิษณุโลก!J744"")"),250)</f>
        <v>250</v>
      </c>
      <c r="W22" s="216">
        <f t="shared" ca="1" si="43"/>
        <v>100</v>
      </c>
      <c r="X22" s="152">
        <f ca="1">IFERROR(__xludf.DUMMYFUNCTION("IMPORTRANGE(""https://docs.google.com/spreadsheets/d/1JtRfZkJMHtEhI5RdRHxYUG4FIZHqKDpNyIuN7A1Q0_k/edit?usp=sharing"",""พิษณุโลก!J745"")"),0)</f>
        <v>0</v>
      </c>
      <c r="Y22" s="152">
        <f ca="1">IFERROR(__xludf.DUMMYFUNCTION("IMPORTRANGE(""https://docs.google.com/spreadsheets/d/1JtRfZkJMHtEhI5RdRHxYUG4FIZHqKDpNyIuN7A1Q0_k/edit?usp=sharing"",""พิษณุโลก!I746"")"),25)</f>
        <v>25</v>
      </c>
      <c r="Z22" s="152">
        <f ca="1">IFERROR(__xludf.DUMMYFUNCTION("IMPORTRANGE(""https://docs.google.com/spreadsheets/d/1JtRfZkJMHtEhI5RdRHxYUG4FIZHqKDpNyIuN7A1Q0_k/edit?usp=sharing"",""พิษณุโลก!J746"")"),25)</f>
        <v>25</v>
      </c>
      <c r="AA22" s="216">
        <f t="shared" ca="1" si="45"/>
        <v>100</v>
      </c>
      <c r="AB22" s="152">
        <f ca="1">IFERROR(__xludf.DUMMYFUNCTION("IMPORTRANGE(""https://docs.google.com/spreadsheets/d/1JtRfZkJMHtEhI5RdRHxYUG4FIZHqKDpNyIuN7A1Q0_k/edit?usp=sharing"",""พิษณุโลก!J748"")"),0)</f>
        <v>0</v>
      </c>
      <c r="AC22" s="152">
        <f ca="1">IFERROR(__xludf.DUMMYFUNCTION("IMPORTRANGE(""https://docs.google.com/spreadsheets/d/1JtRfZkJMHtEhI5RdRHxYUG4FIZHqKDpNyIuN7A1Q0_k/edit?usp=sharing"",""พิษณุโลก!I749"")"),3)</f>
        <v>3</v>
      </c>
      <c r="AD22" s="152">
        <f ca="1">IFERROR(__xludf.DUMMYFUNCTION("IMPORTRANGE(""https://docs.google.com/spreadsheets/d/1JtRfZkJMHtEhI5RdRHxYUG4FIZHqKDpNyIuN7A1Q0_k/edit?usp=sharing"",""พิษณุโลก!J749"")"),3)</f>
        <v>3</v>
      </c>
      <c r="AE22" s="216">
        <f t="shared" ca="1" si="47"/>
        <v>100</v>
      </c>
      <c r="AF22" s="152">
        <f ca="1">IFERROR(__xludf.DUMMYFUNCTION("IMPORTRANGE(""https://docs.google.com/spreadsheets/d/1JtRfZkJMHtEhI5RdRHxYUG4FIZHqKDpNyIuN7A1Q0_k/edit?usp=sharing"",""พิษณุโลก!I752"")"),1000)</f>
        <v>1000</v>
      </c>
      <c r="AG22" s="152">
        <f ca="1">IFERROR(__xludf.DUMMYFUNCTION("IMPORTRANGE(""https://docs.google.com/spreadsheets/d/1JtRfZkJMHtEhI5RdRHxYUG4FIZHqKDpNyIuN7A1Q0_k/edit?usp=sharing"",""พิษณุโลก!J752"")"),0)</f>
        <v>0</v>
      </c>
      <c r="AH22" s="216">
        <f t="shared" ca="1" si="49"/>
        <v>0</v>
      </c>
      <c r="AI22" s="152">
        <f ca="1">IFERROR(__xludf.DUMMYFUNCTION("IMPORTRANGE(""https://docs.google.com/spreadsheets/d/1JtRfZkJMHtEhI5RdRHxYUG4FIZHqKDpNyIuN7A1Q0_k/edit?usp=sharing"",""พิษณุโลก!J753"")"),0)</f>
        <v>0</v>
      </c>
      <c r="AJ22" s="152">
        <f ca="1">IFERROR(__xludf.DUMMYFUNCTION("IMPORTRANGE(""https://docs.google.com/spreadsheets/d/1JtRfZkJMHtEhI5RdRHxYUG4FIZHqKDpNyIuN7A1Q0_k/edit?usp=sharing"",""พิษณุโลก!I755"")"),250)</f>
        <v>250</v>
      </c>
      <c r="AK22" s="152">
        <f ca="1">IFERROR(__xludf.DUMMYFUNCTION("IMPORTRANGE(""https://docs.google.com/spreadsheets/d/1JtRfZkJMHtEhI5RdRHxYUG4FIZHqKDpNyIuN7A1Q0_k/edit?usp=sharing"",""พิษณุโลก!J755"")"),0)</f>
        <v>0</v>
      </c>
      <c r="AL22" s="216">
        <f t="shared" ca="1" si="51"/>
        <v>0</v>
      </c>
      <c r="AM22" s="152">
        <f ca="1">IFERROR(__xludf.DUMMYFUNCTION("IMPORTRANGE(""https://docs.google.com/spreadsheets/d/1JtRfZkJMHtEhI5RdRHxYUG4FIZHqKDpNyIuN7A1Q0_k/edit?usp=sharing"",""พิษณุโลก!J756"")"),0)</f>
        <v>0</v>
      </c>
      <c r="AN22" s="152">
        <f ca="1">IFERROR(__xludf.DUMMYFUNCTION("IMPORTRANGE(""https://docs.google.com/spreadsheets/d/1JtRfZkJMHtEhI5RdRHxYUG4FIZHqKDpNyIuN7A1Q0_k/edit?usp=sharing"",""พิษณุโลก!J757"")"),0)</f>
        <v>0</v>
      </c>
    </row>
    <row r="23" spans="1:40" ht="19.5" x14ac:dyDescent="0.3">
      <c r="A23" s="147">
        <v>10</v>
      </c>
      <c r="B23" s="148" t="s">
        <v>51</v>
      </c>
      <c r="C23" s="68">
        <f ca="1">IFERROR(__xludf.DUMMYFUNCTION("IMPORTRANGE(""https://docs.google.com/spreadsheets/d/1xlcVZWUNn6SuWm0c307h32SiGkd9BaeQWlAktfD3KO8/edit?usp=sharing"",""เพชรบูรณ์!Q728"")"),379090)</f>
        <v>379090</v>
      </c>
      <c r="D23" s="68">
        <f ca="1">IFERROR(__xludf.DUMMYFUNCTION("IMPORTRANGE(""https://docs.google.com/spreadsheets/d/1xlcVZWUNn6SuWm0c307h32SiGkd9BaeQWlAktfD3KO8/edit?usp=sharing"",""เพชรบูรณ์!R728"")"),379090)</f>
        <v>379090</v>
      </c>
      <c r="E23" s="68">
        <f ca="1">IFERROR(__xludf.DUMMYFUNCTION("IMPORTRANGE(""https://docs.google.com/spreadsheets/d/1xlcVZWUNn6SuWm0c307h32SiGkd9BaeQWlAktfD3KO8/edit?usp=sharing"",""เพชรบูรณ์!S728"")"),366360)</f>
        <v>366360</v>
      </c>
      <c r="F23" s="68">
        <f t="shared" ca="1" si="33"/>
        <v>96.641958374000893</v>
      </c>
      <c r="G23" s="68">
        <f t="shared" ca="1" si="34"/>
        <v>96.641958374000893</v>
      </c>
      <c r="H23" s="152">
        <f ca="1">IFERROR(__xludf.DUMMYFUNCTION("IMPORTRANGE(""https://docs.google.com/spreadsheets/d/1xlcVZWUNn6SuWm0c307h32SiGkd9BaeQWlAktfD3KO8/edit?usp=sharing"",""เพชรบูรณ์!I726"")"),51)</f>
        <v>51</v>
      </c>
      <c r="I23" s="152">
        <f ca="1">IFERROR(__xludf.DUMMYFUNCTION("IMPORTRANGE(""https://docs.google.com/spreadsheets/d/1xlcVZWUNn6SuWm0c307h32SiGkd9BaeQWlAktfD3KO8/edit?usp=sharing"",""เพชรบูรณ์!I727"")"),500)</f>
        <v>500</v>
      </c>
      <c r="J23" s="152">
        <f ca="1">IFERROR(__xludf.DUMMYFUNCTION("IMPORTRANGE(""https://docs.google.com/spreadsheets/d/1xlcVZWUNn6SuWm0c307h32SiGkd9BaeQWlAktfD3KO8/edit?usp=sharing"",""เพชรบูรณ์!J726"")"),51)</f>
        <v>51</v>
      </c>
      <c r="K23" s="216">
        <f t="shared" ca="1" si="36"/>
        <v>100</v>
      </c>
      <c r="L23" s="152">
        <f ca="1">IFERROR(__xludf.DUMMYFUNCTION("IMPORTRANGE(""https://docs.google.com/spreadsheets/d/1xlcVZWUNn6SuWm0c307h32SiGkd9BaeQWlAktfD3KO8/edit?usp=sharing"",""เพชรบูรณ์!J727"")"),500)</f>
        <v>500</v>
      </c>
      <c r="M23" s="216">
        <f t="shared" ca="1" si="37"/>
        <v>100</v>
      </c>
      <c r="N23" s="152">
        <f ca="1">IFERROR(__xludf.DUMMYFUNCTION("IMPORTRANGE(""https://docs.google.com/spreadsheets/d/1xlcVZWUNn6SuWm0c307h32SiGkd9BaeQWlAktfD3KO8/edit?usp=sharing"",""เพชรบูรณ์!I740"")"),400)</f>
        <v>400</v>
      </c>
      <c r="O23" s="152">
        <f ca="1">IFERROR(__xludf.DUMMYFUNCTION("IMPORTRANGE(""https://docs.google.com/spreadsheets/d/1xlcVZWUNn6SuWm0c307h32SiGkd9BaeQWlAktfD3KO8/edit?usp=sharing"",""เพชรบูรณ์!J740"")"),400)</f>
        <v>400</v>
      </c>
      <c r="P23" s="216">
        <f t="shared" ca="1" si="39"/>
        <v>100</v>
      </c>
      <c r="Q23" s="152">
        <f ca="1">IFERROR(__xludf.DUMMYFUNCTION("IMPORTRANGE(""https://docs.google.com/spreadsheets/d/1xlcVZWUNn6SuWm0c307h32SiGkd9BaeQWlAktfD3KO8/edit?usp=sharing"",""เพชรบูรณ์!J741"")"),0)</f>
        <v>0</v>
      </c>
      <c r="R23" s="152">
        <f ca="1">IFERROR(__xludf.DUMMYFUNCTION("IMPORTRANGE(""https://docs.google.com/spreadsheets/d/1xlcVZWUNn6SuWm0c307h32SiGkd9BaeQWlAktfD3KO8/edit?usp=sharing"",""เพชรบูรณ์!I742"")"),40)</f>
        <v>40</v>
      </c>
      <c r="S23" s="152">
        <f ca="1">IFERROR(__xludf.DUMMYFUNCTION("IMPORTRANGE(""https://docs.google.com/spreadsheets/d/1xlcVZWUNn6SuWm0c307h32SiGkd9BaeQWlAktfD3KO8/edit?usp=sharing"",""เพชรบูรณ์!J742"")"),40)</f>
        <v>40</v>
      </c>
      <c r="T23" s="216">
        <f t="shared" ca="1" si="41"/>
        <v>100</v>
      </c>
      <c r="U23" s="152">
        <f ca="1">IFERROR(__xludf.DUMMYFUNCTION("IMPORTRANGE(""https://docs.google.com/spreadsheets/d/1xlcVZWUNn6SuWm0c307h32SiGkd9BaeQWlAktfD3KO8/edit?usp=sharing"",""เพชรบูรณ์!I744"")"),100)</f>
        <v>100</v>
      </c>
      <c r="V23" s="152">
        <f ca="1">IFERROR(__xludf.DUMMYFUNCTION("IMPORTRANGE(""https://docs.google.com/spreadsheets/d/1xlcVZWUNn6SuWm0c307h32SiGkd9BaeQWlAktfD3KO8/edit?usp=sharing"",""เพชรบูรณ์!J744"")"),100)</f>
        <v>100</v>
      </c>
      <c r="W23" s="216">
        <f t="shared" ca="1" si="43"/>
        <v>100</v>
      </c>
      <c r="X23" s="152">
        <f ca="1">IFERROR(__xludf.DUMMYFUNCTION("IMPORTRANGE(""https://docs.google.com/spreadsheets/d/1xlcVZWUNn6SuWm0c307h32SiGkd9BaeQWlAktfD3KO8/edit?usp=sharing"",""เพชรบูรณ์!J745"")"),0)</f>
        <v>0</v>
      </c>
      <c r="Y23" s="152">
        <f ca="1">IFERROR(__xludf.DUMMYFUNCTION("IMPORTRANGE(""https://docs.google.com/spreadsheets/d/1xlcVZWUNn6SuWm0c307h32SiGkd9BaeQWlAktfD3KO8/edit?usp=sharing"",""เพชรบูรณ์!I746"")"),10)</f>
        <v>10</v>
      </c>
      <c r="Z23" s="152">
        <f ca="1">IFERROR(__xludf.DUMMYFUNCTION("IMPORTRANGE(""https://docs.google.com/spreadsheets/d/1xlcVZWUNn6SuWm0c307h32SiGkd9BaeQWlAktfD3KO8/edit?usp=sharing"",""เพชรบูรณ์!J746"")"),10)</f>
        <v>10</v>
      </c>
      <c r="AA23" s="216">
        <f t="shared" ca="1" si="45"/>
        <v>100</v>
      </c>
      <c r="AB23" s="152">
        <f ca="1">IFERROR(__xludf.DUMMYFUNCTION("IMPORTRANGE(""https://docs.google.com/spreadsheets/d/1xlcVZWUNn6SuWm0c307h32SiGkd9BaeQWlAktfD3KO8/edit?usp=sharing"",""เพชรบูรณ์!J748"")"),0)</f>
        <v>0</v>
      </c>
      <c r="AC23" s="152">
        <f ca="1">IFERROR(__xludf.DUMMYFUNCTION("IMPORTRANGE(""https://docs.google.com/spreadsheets/d/1xlcVZWUNn6SuWm0c307h32SiGkd9BaeQWlAktfD3KO8/edit?usp=sharing"",""เพชรบูรณ์!I749"")"),1)</f>
        <v>1</v>
      </c>
      <c r="AD23" s="152">
        <f ca="1">IFERROR(__xludf.DUMMYFUNCTION("IMPORTRANGE(""https://docs.google.com/spreadsheets/d/1xlcVZWUNn6SuWm0c307h32SiGkd9BaeQWlAktfD3KO8/edit?usp=sharing"",""เพชรบูรณ์!J749"")"),1)</f>
        <v>1</v>
      </c>
      <c r="AE23" s="216">
        <f t="shared" ca="1" si="47"/>
        <v>100</v>
      </c>
      <c r="AF23" s="152">
        <f ca="1">IFERROR(__xludf.DUMMYFUNCTION("IMPORTRANGE(""https://docs.google.com/spreadsheets/d/1xlcVZWUNn6SuWm0c307h32SiGkd9BaeQWlAktfD3KO8/edit?usp=sharing"",""เพชรบูรณ์!I752"")"),400)</f>
        <v>400</v>
      </c>
      <c r="AG23" s="152">
        <f ca="1">IFERROR(__xludf.DUMMYFUNCTION("IMPORTRANGE(""https://docs.google.com/spreadsheets/d/1xlcVZWUNn6SuWm0c307h32SiGkd9BaeQWlAktfD3KO8/edit?usp=sharing"",""เพชรบูรณ์!J752"")"),400)</f>
        <v>400</v>
      </c>
      <c r="AH23" s="216">
        <f t="shared" ca="1" si="49"/>
        <v>100</v>
      </c>
      <c r="AI23" s="152">
        <f ca="1">IFERROR(__xludf.DUMMYFUNCTION("IMPORTRANGE(""https://docs.google.com/spreadsheets/d/1xlcVZWUNn6SuWm0c307h32SiGkd9BaeQWlAktfD3KO8/edit?usp=sharing"",""เพชรบูรณ์!J753"")"),0)</f>
        <v>0</v>
      </c>
      <c r="AJ23" s="152">
        <f ca="1">IFERROR(__xludf.DUMMYFUNCTION("IMPORTRANGE(""https://docs.google.com/spreadsheets/d/1xlcVZWUNn6SuWm0c307h32SiGkd9BaeQWlAktfD3KO8/edit?usp=sharing"",""เพชรบูรณ์!I755"")"),100)</f>
        <v>100</v>
      </c>
      <c r="AK23" s="152">
        <f ca="1">IFERROR(__xludf.DUMMYFUNCTION("IMPORTRANGE(""https://docs.google.com/spreadsheets/d/1xlcVZWUNn6SuWm0c307h32SiGkd9BaeQWlAktfD3KO8/edit?usp=sharing"",""เพชรบูรณ์!J755"")"),100)</f>
        <v>100</v>
      </c>
      <c r="AL23" s="216">
        <f t="shared" ca="1" si="51"/>
        <v>100</v>
      </c>
      <c r="AM23" s="152">
        <f ca="1">IFERROR(__xludf.DUMMYFUNCTION("IMPORTRANGE(""https://docs.google.com/spreadsheets/d/1xlcVZWUNn6SuWm0c307h32SiGkd9BaeQWlAktfD3KO8/edit?usp=sharing"",""เพชรบูรณ์!J756"")"),0)</f>
        <v>0</v>
      </c>
      <c r="AN23" s="152">
        <f ca="1">IFERROR(__xludf.DUMMYFUNCTION("IMPORTRANGE(""https://docs.google.com/spreadsheets/d/1xlcVZWUNn6SuWm0c307h32SiGkd9BaeQWlAktfD3KO8/edit?usp=sharing"",""เพชรบูรณ์!J757"")"),0)</f>
        <v>0</v>
      </c>
    </row>
    <row r="24" spans="1:40" ht="19.5" x14ac:dyDescent="0.3">
      <c r="A24" s="147">
        <v>11</v>
      </c>
      <c r="B24" s="148" t="s">
        <v>52</v>
      </c>
      <c r="C24" s="68">
        <f ca="1">IFERROR(__xludf.DUMMYFUNCTION("IMPORTRANGE(""https://docs.google.com/spreadsheets/d/1lOVebEIsI9qjGXl6EX66luk7wiuP2tBaryw-wKvv4e0/edit?usp=sharing"",""แพร่!Q728"")"),1008470)</f>
        <v>1008470</v>
      </c>
      <c r="D24" s="68">
        <f ca="1">IFERROR(__xludf.DUMMYFUNCTION("IMPORTRANGE(""https://docs.google.com/spreadsheets/d/1lOVebEIsI9qjGXl6EX66luk7wiuP2tBaryw-wKvv4e0/edit?usp=sharing"",""แพร่!R728"")"),1008470)</f>
        <v>1008470</v>
      </c>
      <c r="E24" s="68">
        <f ca="1">IFERROR(__xludf.DUMMYFUNCTION("IMPORTRANGE(""https://docs.google.com/spreadsheets/d/1lOVebEIsI9qjGXl6EX66luk7wiuP2tBaryw-wKvv4e0/edit?usp=sharing"",""แพร่!S728"")"),279045)</f>
        <v>279045</v>
      </c>
      <c r="F24" s="68">
        <f t="shared" ca="1" si="33"/>
        <v>27.670133965313791</v>
      </c>
      <c r="G24" s="68">
        <f t="shared" ca="1" si="34"/>
        <v>27.670133965313791</v>
      </c>
      <c r="H24" s="152">
        <f ca="1">IFERROR(__xludf.DUMMYFUNCTION("IMPORTRANGE(""https://docs.google.com/spreadsheets/d/1lOVebEIsI9qjGXl6EX66luk7wiuP2tBaryw-wKvv4e0/edit?usp=sharing"",""แพร่!I726"")"),128)</f>
        <v>128</v>
      </c>
      <c r="I24" s="152">
        <f ca="1">IFERROR(__xludf.DUMMYFUNCTION("IMPORTRANGE(""https://docs.google.com/spreadsheets/d/1lOVebEIsI9qjGXl6EX66luk7wiuP2tBaryw-wKvv4e0/edit?usp=sharing"",""แพร่!I727"")"),1250)</f>
        <v>1250</v>
      </c>
      <c r="J24" s="152">
        <f ca="1">IFERROR(__xludf.DUMMYFUNCTION("IMPORTRANGE(""https://docs.google.com/spreadsheets/d/1lOVebEIsI9qjGXl6EX66luk7wiuP2tBaryw-wKvv4e0/edit?usp=sharing"",""แพร่!J726"")"),128)</f>
        <v>128</v>
      </c>
      <c r="K24" s="216">
        <f t="shared" ca="1" si="36"/>
        <v>100</v>
      </c>
      <c r="L24" s="152">
        <f ca="1">IFERROR(__xludf.DUMMYFUNCTION("IMPORTRANGE(""https://docs.google.com/spreadsheets/d/1lOVebEIsI9qjGXl6EX66luk7wiuP2tBaryw-wKvv4e0/edit?usp=sharing"",""แพร่!J727"")"),0)</f>
        <v>0</v>
      </c>
      <c r="M24" s="216">
        <f t="shared" ca="1" si="37"/>
        <v>0</v>
      </c>
      <c r="N24" s="152">
        <f ca="1">IFERROR(__xludf.DUMMYFUNCTION("IMPORTRANGE(""https://docs.google.com/spreadsheets/d/1lOVebEIsI9qjGXl6EX66luk7wiuP2tBaryw-wKvv4e0/edit?usp=sharing"",""แพร่!I740"")"),1000)</f>
        <v>1000</v>
      </c>
      <c r="O24" s="152">
        <f ca="1">IFERROR(__xludf.DUMMYFUNCTION("IMPORTRANGE(""https://docs.google.com/spreadsheets/d/1lOVebEIsI9qjGXl6EX66luk7wiuP2tBaryw-wKvv4e0/edit?usp=sharing"",""แพร่!J740"")"),1000)</f>
        <v>1000</v>
      </c>
      <c r="P24" s="216">
        <f t="shared" ca="1" si="39"/>
        <v>100</v>
      </c>
      <c r="Q24" s="152">
        <f ca="1">IFERROR(__xludf.DUMMYFUNCTION("IMPORTRANGE(""https://docs.google.com/spreadsheets/d/1lOVebEIsI9qjGXl6EX66luk7wiuP2tBaryw-wKvv4e0/edit?usp=sharing"",""แพร่!J741"")"),0)</f>
        <v>0</v>
      </c>
      <c r="R24" s="152">
        <f ca="1">IFERROR(__xludf.DUMMYFUNCTION("IMPORTRANGE(""https://docs.google.com/spreadsheets/d/1lOVebEIsI9qjGXl6EX66luk7wiuP2tBaryw-wKvv4e0/edit?usp=sharing"",""แพร่!I742"")"),100)</f>
        <v>100</v>
      </c>
      <c r="S24" s="152">
        <f ca="1">IFERROR(__xludf.DUMMYFUNCTION("IMPORTRANGE(""https://docs.google.com/spreadsheets/d/1lOVebEIsI9qjGXl6EX66luk7wiuP2tBaryw-wKvv4e0/edit?usp=sharing"",""แพร่!J742"")"),100)</f>
        <v>100</v>
      </c>
      <c r="T24" s="216">
        <f t="shared" ca="1" si="41"/>
        <v>100</v>
      </c>
      <c r="U24" s="152">
        <f ca="1">IFERROR(__xludf.DUMMYFUNCTION("IMPORTRANGE(""https://docs.google.com/spreadsheets/d/1lOVebEIsI9qjGXl6EX66luk7wiuP2tBaryw-wKvv4e0/edit?usp=sharing"",""แพร่!I744"")"),250)</f>
        <v>250</v>
      </c>
      <c r="V24" s="152">
        <f ca="1">IFERROR(__xludf.DUMMYFUNCTION("IMPORTRANGE(""https://docs.google.com/spreadsheets/d/1lOVebEIsI9qjGXl6EX66luk7wiuP2tBaryw-wKvv4e0/edit?usp=sharing"",""แพร่!J744"")"),250)</f>
        <v>250</v>
      </c>
      <c r="W24" s="216">
        <f t="shared" ca="1" si="43"/>
        <v>100</v>
      </c>
      <c r="X24" s="152" t="str">
        <f ca="1">IFERROR(__xludf.DUMMYFUNCTION("IMPORTRANGE(""https://docs.google.com/spreadsheets/d/1lOVebEIsI9qjGXl6EX66luk7wiuP2tBaryw-wKvv4e0/edit?usp=sharing"",""แพร่!J745"")"),"")</f>
        <v/>
      </c>
      <c r="Y24" s="152">
        <f ca="1">IFERROR(__xludf.DUMMYFUNCTION("IMPORTRANGE(""https://docs.google.com/spreadsheets/d/1lOVebEIsI9qjGXl6EX66luk7wiuP2tBaryw-wKvv4e0/edit?usp=sharing"",""แพร่!I746"")"),25)</f>
        <v>25</v>
      </c>
      <c r="Z24" s="152">
        <f ca="1">IFERROR(__xludf.DUMMYFUNCTION("IMPORTRANGE(""https://docs.google.com/spreadsheets/d/1lOVebEIsI9qjGXl6EX66luk7wiuP2tBaryw-wKvv4e0/edit?usp=sharing"",""แพร่!J746"")"),25)</f>
        <v>25</v>
      </c>
      <c r="AA24" s="216">
        <f t="shared" ca="1" si="45"/>
        <v>100</v>
      </c>
      <c r="AB24" s="152">
        <f ca="1">IFERROR(__xludf.DUMMYFUNCTION("IMPORTRANGE(""https://docs.google.com/spreadsheets/d/1lOVebEIsI9qjGXl6EX66luk7wiuP2tBaryw-wKvv4e0/edit?usp=sharing"",""แพร่!J748"")"),3)</f>
        <v>3</v>
      </c>
      <c r="AC24" s="152">
        <f ca="1">IFERROR(__xludf.DUMMYFUNCTION("IMPORTRANGE(""https://docs.google.com/spreadsheets/d/1lOVebEIsI9qjGXl6EX66luk7wiuP2tBaryw-wKvv4e0/edit?usp=sharing"",""แพร่!I749"")"),3)</f>
        <v>3</v>
      </c>
      <c r="AD24" s="152">
        <f ca="1">IFERROR(__xludf.DUMMYFUNCTION("IMPORTRANGE(""https://docs.google.com/spreadsheets/d/1lOVebEIsI9qjGXl6EX66luk7wiuP2tBaryw-wKvv4e0/edit?usp=sharing"",""แพร่!J749"")"),3)</f>
        <v>3</v>
      </c>
      <c r="AE24" s="216">
        <f t="shared" ca="1" si="47"/>
        <v>100</v>
      </c>
      <c r="AF24" s="152">
        <f ca="1">IFERROR(__xludf.DUMMYFUNCTION("IMPORTRANGE(""https://docs.google.com/spreadsheets/d/1lOVebEIsI9qjGXl6EX66luk7wiuP2tBaryw-wKvv4e0/edit?usp=sharing"",""แพร่!I752"")"),1000)</f>
        <v>1000</v>
      </c>
      <c r="AG24" s="152">
        <f ca="1">IFERROR(__xludf.DUMMYFUNCTION("IMPORTRANGE(""https://docs.google.com/spreadsheets/d/1lOVebEIsI9qjGXl6EX66luk7wiuP2tBaryw-wKvv4e0/edit?usp=sharing"",""แพร่!J752"")"),0)</f>
        <v>0</v>
      </c>
      <c r="AH24" s="216">
        <f t="shared" ca="1" si="49"/>
        <v>0</v>
      </c>
      <c r="AI24" s="152">
        <f ca="1">IFERROR(__xludf.DUMMYFUNCTION("IMPORTRANGE(""https://docs.google.com/spreadsheets/d/1lOVebEIsI9qjGXl6EX66luk7wiuP2tBaryw-wKvv4e0/edit?usp=sharing"",""แพร่!J753"")"),0)</f>
        <v>0</v>
      </c>
      <c r="AJ24" s="152">
        <f ca="1">IFERROR(__xludf.DUMMYFUNCTION("IMPORTRANGE(""https://docs.google.com/spreadsheets/d/1lOVebEIsI9qjGXl6EX66luk7wiuP2tBaryw-wKvv4e0/edit?usp=sharing"",""แพร่!I755"")"),250)</f>
        <v>250</v>
      </c>
      <c r="AK24" s="152">
        <f ca="1">IFERROR(__xludf.DUMMYFUNCTION("IMPORTRANGE(""https://docs.google.com/spreadsheets/d/1lOVebEIsI9qjGXl6EX66luk7wiuP2tBaryw-wKvv4e0/edit?usp=sharing"",""แพร่!J755"")"),0)</f>
        <v>0</v>
      </c>
      <c r="AL24" s="216">
        <f t="shared" ca="1" si="51"/>
        <v>0</v>
      </c>
      <c r="AM24" s="152">
        <f ca="1">IFERROR(__xludf.DUMMYFUNCTION("IMPORTRANGE(""https://docs.google.com/spreadsheets/d/1lOVebEIsI9qjGXl6EX66luk7wiuP2tBaryw-wKvv4e0/edit?usp=sharing"",""แพร่!J756"")"),0)</f>
        <v>0</v>
      </c>
      <c r="AN24" s="152">
        <f ca="1">IFERROR(__xludf.DUMMYFUNCTION("IMPORTRANGE(""https://docs.google.com/spreadsheets/d/1lOVebEIsI9qjGXl6EX66luk7wiuP2tBaryw-wKvv4e0/edit?usp=sharing"",""แพร่!J757"")"),0)</f>
        <v>0</v>
      </c>
    </row>
    <row r="25" spans="1:40" ht="19.5" x14ac:dyDescent="0.3">
      <c r="A25" s="147">
        <v>12</v>
      </c>
      <c r="B25" s="148" t="s">
        <v>53</v>
      </c>
      <c r="C25" s="68">
        <f ca="1">IFERROR(__xludf.DUMMYFUNCTION("IMPORTRANGE(""https://docs.google.com/spreadsheets/d/1dQrvX0vEcN7Gu0fnZ0B5S90AeR19zth4XlExFBeExMY/edit?usp=sharing"",""แม่ฮ่องสอน!Q728"")"),144438)</f>
        <v>144438</v>
      </c>
      <c r="D25" s="68">
        <f ca="1">IFERROR(__xludf.DUMMYFUNCTION("IMPORTRANGE(""https://docs.google.com/spreadsheets/d/1dQrvX0vEcN7Gu0fnZ0B5S90AeR19zth4XlExFBeExMY/edit?usp=sharing"",""แม่ฮ่องสอน!R728"")"),144438)</f>
        <v>144438</v>
      </c>
      <c r="E25" s="68">
        <f ca="1">IFERROR(__xludf.DUMMYFUNCTION("IMPORTRANGE(""https://docs.google.com/spreadsheets/d/1dQrvX0vEcN7Gu0fnZ0B5S90AeR19zth4XlExFBeExMY/edit?usp=sharing"",""แม่ฮ่องสอน!S728"")"),130728)</f>
        <v>130728</v>
      </c>
      <c r="F25" s="68">
        <f t="shared" ca="1" si="33"/>
        <v>90.50803805092842</v>
      </c>
      <c r="G25" s="68">
        <f t="shared" ca="1" si="34"/>
        <v>90.50803805092842</v>
      </c>
      <c r="H25" s="152">
        <f ca="1">IFERROR(__xludf.DUMMYFUNCTION("IMPORTRANGE(""https://docs.google.com/spreadsheets/d/1dQrvX0vEcN7Gu0fnZ0B5S90AeR19zth4XlExFBeExMY/edit?usp=sharing"",""แม่ฮ่องสอน!I726"")"),16)</f>
        <v>16</v>
      </c>
      <c r="I25" s="152">
        <f ca="1">IFERROR(__xludf.DUMMYFUNCTION("IMPORTRANGE(""https://docs.google.com/spreadsheets/d/1dQrvX0vEcN7Gu0fnZ0B5S90AeR19zth4XlExFBeExMY/edit?usp=sharing"",""แม่ฮ่องสอน!I727"")"),150)</f>
        <v>150</v>
      </c>
      <c r="J25" s="152">
        <f ca="1">IFERROR(__xludf.DUMMYFUNCTION("IMPORTRANGE(""https://docs.google.com/spreadsheets/d/1dQrvX0vEcN7Gu0fnZ0B5S90AeR19zth4XlExFBeExMY/edit?usp=sharing"",""แม่ฮ่องสอน!J726"")"),19)</f>
        <v>19</v>
      </c>
      <c r="K25" s="216">
        <f t="shared" ca="1" si="36"/>
        <v>118.75</v>
      </c>
      <c r="L25" s="152">
        <f ca="1">IFERROR(__xludf.DUMMYFUNCTION("IMPORTRANGE(""https://docs.google.com/spreadsheets/d/1dQrvX0vEcN7Gu0fnZ0B5S90AeR19zth4XlExFBeExMY/edit?usp=sharing"",""แม่ฮ่องสอน!J727"")"),91)</f>
        <v>91</v>
      </c>
      <c r="M25" s="216">
        <f t="shared" ca="1" si="37"/>
        <v>60.666666666666664</v>
      </c>
      <c r="N25" s="152">
        <f ca="1">IFERROR(__xludf.DUMMYFUNCTION("IMPORTRANGE(""https://docs.google.com/spreadsheets/d/1dQrvX0vEcN7Gu0fnZ0B5S90AeR19zth4XlExFBeExMY/edit?usp=sharing"",""แม่ฮ่องสอน!I740"")"),120)</f>
        <v>120</v>
      </c>
      <c r="O25" s="152">
        <f ca="1">IFERROR(__xludf.DUMMYFUNCTION("IMPORTRANGE(""https://docs.google.com/spreadsheets/d/1dQrvX0vEcN7Gu0fnZ0B5S90AeR19zth4XlExFBeExMY/edit?usp=sharing"",""แม่ฮ่องสอน!J740"")"),164)</f>
        <v>164</v>
      </c>
      <c r="P25" s="216">
        <f t="shared" ca="1" si="39"/>
        <v>136.66666666666666</v>
      </c>
      <c r="Q25" s="152">
        <f ca="1">IFERROR(__xludf.DUMMYFUNCTION("IMPORTRANGE(""https://docs.google.com/spreadsheets/d/1dQrvX0vEcN7Gu0fnZ0B5S90AeR19zth4XlExFBeExMY/edit?usp=sharing"",""แม่ฮ่องสอน!J741"")"),15)</f>
        <v>15</v>
      </c>
      <c r="R25" s="152">
        <f ca="1">IFERROR(__xludf.DUMMYFUNCTION("IMPORTRANGE(""https://docs.google.com/spreadsheets/d/1dQrvX0vEcN7Gu0fnZ0B5S90AeR19zth4XlExFBeExMY/edit?usp=sharing"",""แม่ฮ่องสอน!I742"")"),12)</f>
        <v>12</v>
      </c>
      <c r="S25" s="152">
        <f ca="1">IFERROR(__xludf.DUMMYFUNCTION("IMPORTRANGE(""https://docs.google.com/spreadsheets/d/1dQrvX0vEcN7Gu0fnZ0B5S90AeR19zth4XlExFBeExMY/edit?usp=sharing"",""แม่ฮ่องสอน!J742"")"),15)</f>
        <v>15</v>
      </c>
      <c r="T25" s="216">
        <f t="shared" ca="1" si="41"/>
        <v>125</v>
      </c>
      <c r="U25" s="152">
        <f ca="1">IFERROR(__xludf.DUMMYFUNCTION("IMPORTRANGE(""https://docs.google.com/spreadsheets/d/1dQrvX0vEcN7Gu0fnZ0B5S90AeR19zth4XlExFBeExMY/edit?usp=sharing"",""แม่ฮ่องสอน!I744"")"),30)</f>
        <v>30</v>
      </c>
      <c r="V25" s="152">
        <f ca="1">IFERROR(__xludf.DUMMYFUNCTION("IMPORTRANGE(""https://docs.google.com/spreadsheets/d/1dQrvX0vEcN7Gu0fnZ0B5S90AeR19zth4XlExFBeExMY/edit?usp=sharing"",""แม่ฮ่องสอน!J744"")"),31)</f>
        <v>31</v>
      </c>
      <c r="W25" s="216">
        <f t="shared" ca="1" si="43"/>
        <v>103.33333333333333</v>
      </c>
      <c r="X25" s="152">
        <f ca="1">IFERROR(__xludf.DUMMYFUNCTION("IMPORTRANGE(""https://docs.google.com/spreadsheets/d/1dQrvX0vEcN7Gu0fnZ0B5S90AeR19zth4XlExFBeExMY/edit?usp=sharing"",""แม่ฮ่องสอน!J745"")"),5)</f>
        <v>5</v>
      </c>
      <c r="Y25" s="152">
        <f ca="1">IFERROR(__xludf.DUMMYFUNCTION("IMPORTRANGE(""https://docs.google.com/spreadsheets/d/1dQrvX0vEcN7Gu0fnZ0B5S90AeR19zth4XlExFBeExMY/edit?usp=sharing"",""แม่ฮ่องสอน!I746"")"),3)</f>
        <v>3</v>
      </c>
      <c r="Z25" s="152">
        <f ca="1">IFERROR(__xludf.DUMMYFUNCTION("IMPORTRANGE(""https://docs.google.com/spreadsheets/d/1dQrvX0vEcN7Gu0fnZ0B5S90AeR19zth4XlExFBeExMY/edit?usp=sharing"",""แม่ฮ่องสอน!J746"")"),3)</f>
        <v>3</v>
      </c>
      <c r="AA25" s="216">
        <f t="shared" ca="1" si="45"/>
        <v>100</v>
      </c>
      <c r="AB25" s="152">
        <f ca="1">IFERROR(__xludf.DUMMYFUNCTION("IMPORTRANGE(""https://docs.google.com/spreadsheets/d/1dQrvX0vEcN7Gu0fnZ0B5S90AeR19zth4XlExFBeExMY/edit?usp=sharing"",""แม่ฮ่องสอน!J748"")"),1)</f>
        <v>1</v>
      </c>
      <c r="AC25" s="152">
        <f ca="1">IFERROR(__xludf.DUMMYFUNCTION("IMPORTRANGE(""https://docs.google.com/spreadsheets/d/1dQrvX0vEcN7Gu0fnZ0B5S90AeR19zth4XlExFBeExMY/edit?usp=sharing"",""แม่ฮ่องสอน!I749"")"),1)</f>
        <v>1</v>
      </c>
      <c r="AD25" s="152">
        <f ca="1">IFERROR(__xludf.DUMMYFUNCTION("IMPORTRANGE(""https://docs.google.com/spreadsheets/d/1dQrvX0vEcN7Gu0fnZ0B5S90AeR19zth4XlExFBeExMY/edit?usp=sharing"",""แม่ฮ่องสอน!J749"")"),1)</f>
        <v>1</v>
      </c>
      <c r="AE25" s="216">
        <f t="shared" ca="1" si="47"/>
        <v>100</v>
      </c>
      <c r="AF25" s="152">
        <f ca="1">IFERROR(__xludf.DUMMYFUNCTION("IMPORTRANGE(""https://docs.google.com/spreadsheets/d/1dQrvX0vEcN7Gu0fnZ0B5S90AeR19zth4XlExFBeExMY/edit?usp=sharing"",""แม่ฮ่องสอน!I752"")"),120)</f>
        <v>120</v>
      </c>
      <c r="AG25" s="152">
        <f ca="1">IFERROR(__xludf.DUMMYFUNCTION("IMPORTRANGE(""https://docs.google.com/spreadsheets/d/1dQrvX0vEcN7Gu0fnZ0B5S90AeR19zth4XlExFBeExMY/edit?usp=sharing"",""แม่ฮ่องสอน!J752"")"),77)</f>
        <v>77</v>
      </c>
      <c r="AH25" s="216">
        <f t="shared" ca="1" si="49"/>
        <v>64.166666666666671</v>
      </c>
      <c r="AI25" s="152">
        <f ca="1">IFERROR(__xludf.DUMMYFUNCTION("IMPORTRANGE(""https://docs.google.com/spreadsheets/d/1dQrvX0vEcN7Gu0fnZ0B5S90AeR19zth4XlExFBeExMY/edit?usp=sharing"",""แม่ฮ่องสอน!J753"")"),87)</f>
        <v>87</v>
      </c>
      <c r="AJ25" s="152">
        <f ca="1">IFERROR(__xludf.DUMMYFUNCTION("IMPORTRANGE(""https://docs.google.com/spreadsheets/d/1dQrvX0vEcN7Gu0fnZ0B5S90AeR19zth4XlExFBeExMY/edit?usp=sharing"",""แม่ฮ่องสอน!I755"")"),30)</f>
        <v>30</v>
      </c>
      <c r="AK25" s="152">
        <f ca="1">IFERROR(__xludf.DUMMYFUNCTION("IMPORTRANGE(""https://docs.google.com/spreadsheets/d/1dQrvX0vEcN7Gu0fnZ0B5S90AeR19zth4XlExFBeExMY/edit?usp=sharing"",""แม่ฮ่องสอน!J755"")"),14)</f>
        <v>14</v>
      </c>
      <c r="AL25" s="216">
        <f t="shared" ca="1" si="51"/>
        <v>46.666666666666664</v>
      </c>
      <c r="AM25" s="152">
        <f ca="1">IFERROR(__xludf.DUMMYFUNCTION("IMPORTRANGE(""https://docs.google.com/spreadsheets/d/1dQrvX0vEcN7Gu0fnZ0B5S90AeR19zth4XlExFBeExMY/edit?usp=sharing"",""แม่ฮ่องสอน!J756"")"),17)</f>
        <v>17</v>
      </c>
      <c r="AN25" s="152">
        <f ca="1">IFERROR(__xludf.DUMMYFUNCTION("IMPORTRANGE(""https://docs.google.com/spreadsheets/d/1dQrvX0vEcN7Gu0fnZ0B5S90AeR19zth4XlExFBeExMY/edit?usp=sharing"",""แม่ฮ่องสอน!J757"")"),9)</f>
        <v>9</v>
      </c>
    </row>
    <row r="26" spans="1:40" ht="19.5" x14ac:dyDescent="0.3">
      <c r="A26" s="147">
        <v>13</v>
      </c>
      <c r="B26" s="148" t="s">
        <v>54</v>
      </c>
      <c r="C26" s="68">
        <f ca="1">IFERROR(__xludf.DUMMYFUNCTION("IMPORTRANGE(""https://docs.google.com/spreadsheets/d/1DY4XTNNwjluuxqdfdn6qvOSlMRrZqUtmYcZR0ttFiG4/edit?usp=sharing"",""ลำปาง!Q728"")"),379090)</f>
        <v>379090</v>
      </c>
      <c r="D26" s="68">
        <f ca="1">IFERROR(__xludf.DUMMYFUNCTION("IMPORTRANGE(""https://docs.google.com/spreadsheets/d/1DY4XTNNwjluuxqdfdn6qvOSlMRrZqUtmYcZR0ttFiG4/edit?usp=sharing"",""ลำปาง!R728"")"),379090)</f>
        <v>379090</v>
      </c>
      <c r="E26" s="68">
        <f ca="1">IFERROR(__xludf.DUMMYFUNCTION("IMPORTRANGE(""https://docs.google.com/spreadsheets/d/1DY4XTNNwjluuxqdfdn6qvOSlMRrZqUtmYcZR0ttFiG4/edit?usp=sharing"",""ลำปาง!S728"")"),329530)</f>
        <v>329530</v>
      </c>
      <c r="F26" s="68">
        <f t="shared" ca="1" si="33"/>
        <v>86.926587353926507</v>
      </c>
      <c r="G26" s="68">
        <f t="shared" ca="1" si="34"/>
        <v>86.926587353926507</v>
      </c>
      <c r="H26" s="152">
        <f ca="1">IFERROR(__xludf.DUMMYFUNCTION("IMPORTRANGE(""https://docs.google.com/spreadsheets/d/1DY4XTNNwjluuxqdfdn6qvOSlMRrZqUtmYcZR0ttFiG4/edit?usp=sharing"",""ลำปาง!I726"")"),51)</f>
        <v>51</v>
      </c>
      <c r="I26" s="152">
        <f ca="1">IFERROR(__xludf.DUMMYFUNCTION("IMPORTRANGE(""https://docs.google.com/spreadsheets/d/1DY4XTNNwjluuxqdfdn6qvOSlMRrZqUtmYcZR0ttFiG4/edit?usp=sharing"",""ลำปาง!I727"")"),500)</f>
        <v>500</v>
      </c>
      <c r="J26" s="152">
        <f ca="1">IFERROR(__xludf.DUMMYFUNCTION("IMPORTRANGE(""https://docs.google.com/spreadsheets/d/1DY4XTNNwjluuxqdfdn6qvOSlMRrZqUtmYcZR0ttFiG4/edit?usp=sharing"",""ลำปาง!J726"")"),51)</f>
        <v>51</v>
      </c>
      <c r="K26" s="216">
        <f t="shared" ca="1" si="36"/>
        <v>100</v>
      </c>
      <c r="L26" s="152">
        <f ca="1">IFERROR(__xludf.DUMMYFUNCTION("IMPORTRANGE(""https://docs.google.com/spreadsheets/d/1DY4XTNNwjluuxqdfdn6qvOSlMRrZqUtmYcZR0ttFiG4/edit?usp=sharing"",""ลำปาง!J727"")"),0)</f>
        <v>0</v>
      </c>
      <c r="M26" s="216">
        <f t="shared" ca="1" si="37"/>
        <v>0</v>
      </c>
      <c r="N26" s="152">
        <f ca="1">IFERROR(__xludf.DUMMYFUNCTION("IMPORTRANGE(""https://docs.google.com/spreadsheets/d/1DY4XTNNwjluuxqdfdn6qvOSlMRrZqUtmYcZR0ttFiG4/edit?usp=sharing"",""ลำปาง!I740"")"),400)</f>
        <v>400</v>
      </c>
      <c r="O26" s="152">
        <f ca="1">IFERROR(__xludf.DUMMYFUNCTION("IMPORTRANGE(""https://docs.google.com/spreadsheets/d/1DY4XTNNwjluuxqdfdn6qvOSlMRrZqUtmYcZR0ttFiG4/edit?usp=sharing"",""ลำปาง!J740"")"),400)</f>
        <v>400</v>
      </c>
      <c r="P26" s="216">
        <f t="shared" ca="1" si="39"/>
        <v>100</v>
      </c>
      <c r="Q26" s="152">
        <f ca="1">IFERROR(__xludf.DUMMYFUNCTION("IMPORTRANGE(""https://docs.google.com/spreadsheets/d/1DY4XTNNwjluuxqdfdn6qvOSlMRrZqUtmYcZR0ttFiG4/edit?usp=sharing"",""ลำปาง!J741"")"),65)</f>
        <v>65</v>
      </c>
      <c r="R26" s="152">
        <f ca="1">IFERROR(__xludf.DUMMYFUNCTION("IMPORTRANGE(""https://docs.google.com/spreadsheets/d/1DY4XTNNwjluuxqdfdn6qvOSlMRrZqUtmYcZR0ttFiG4/edit?usp=sharing"",""ลำปาง!I742"")"),40)</f>
        <v>40</v>
      </c>
      <c r="S26" s="152">
        <f ca="1">IFERROR(__xludf.DUMMYFUNCTION("IMPORTRANGE(""https://docs.google.com/spreadsheets/d/1DY4XTNNwjluuxqdfdn6qvOSlMRrZqUtmYcZR0ttFiG4/edit?usp=sharing"",""ลำปาง!J742"")"),40)</f>
        <v>40</v>
      </c>
      <c r="T26" s="216">
        <f t="shared" ca="1" si="41"/>
        <v>100</v>
      </c>
      <c r="U26" s="152">
        <f ca="1">IFERROR(__xludf.DUMMYFUNCTION("IMPORTRANGE(""https://docs.google.com/spreadsheets/d/1DY4XTNNwjluuxqdfdn6qvOSlMRrZqUtmYcZR0ttFiG4/edit?usp=sharing"",""ลำปาง!I744"")"),100)</f>
        <v>100</v>
      </c>
      <c r="V26" s="152">
        <f ca="1">IFERROR(__xludf.DUMMYFUNCTION("IMPORTRANGE(""https://docs.google.com/spreadsheets/d/1DY4XTNNwjluuxqdfdn6qvOSlMRrZqUtmYcZR0ttFiG4/edit?usp=sharing"",""ลำปาง!J744"")"),100)</f>
        <v>100</v>
      </c>
      <c r="W26" s="216">
        <f t="shared" ca="1" si="43"/>
        <v>100</v>
      </c>
      <c r="X26" s="152">
        <f ca="1">IFERROR(__xludf.DUMMYFUNCTION("IMPORTRANGE(""https://docs.google.com/spreadsheets/d/1DY4XTNNwjluuxqdfdn6qvOSlMRrZqUtmYcZR0ttFiG4/edit?usp=sharing"",""ลำปาง!J745"")"),15)</f>
        <v>15</v>
      </c>
      <c r="Y26" s="152">
        <f ca="1">IFERROR(__xludf.DUMMYFUNCTION("IMPORTRANGE(""https://docs.google.com/spreadsheets/d/1DY4XTNNwjluuxqdfdn6qvOSlMRrZqUtmYcZR0ttFiG4/edit?usp=sharing"",""ลำปาง!I746"")"),10)</f>
        <v>10</v>
      </c>
      <c r="Z26" s="152">
        <f ca="1">IFERROR(__xludf.DUMMYFUNCTION("IMPORTRANGE(""https://docs.google.com/spreadsheets/d/1DY4XTNNwjluuxqdfdn6qvOSlMRrZqUtmYcZR0ttFiG4/edit?usp=sharing"",""ลำปาง!J746"")"),10)</f>
        <v>10</v>
      </c>
      <c r="AA26" s="216">
        <f t="shared" ca="1" si="45"/>
        <v>100</v>
      </c>
      <c r="AB26" s="644" t="str">
        <f ca="1">IFERROR(__xludf.DUMMYFUNCTION("IMPORTRANGE(""https://docs.google.com/spreadsheets/d/1DY4XTNNwjluuxqdfdn6qvOSlMRrZqUtmYcZR0ttFiG4/edit?usp=sharing"",""ลำปาง!J748"")"),"")</f>
        <v/>
      </c>
      <c r="AC26" s="152">
        <f ca="1">IFERROR(__xludf.DUMMYFUNCTION("IMPORTRANGE(""https://docs.google.com/spreadsheets/d/1DY4XTNNwjluuxqdfdn6qvOSlMRrZqUtmYcZR0ttFiG4/edit?usp=sharing"",""ลำปาง!I749"")"),1)</f>
        <v>1</v>
      </c>
      <c r="AD26" s="152">
        <f ca="1">IFERROR(__xludf.DUMMYFUNCTION("IMPORTRANGE(""https://docs.google.com/spreadsheets/d/1DY4XTNNwjluuxqdfdn6qvOSlMRrZqUtmYcZR0ttFiG4/edit?usp=sharing"",""ลำปาง!J749"")"),1)</f>
        <v>1</v>
      </c>
      <c r="AE26" s="216">
        <f t="shared" ca="1" si="47"/>
        <v>100</v>
      </c>
      <c r="AF26" s="152">
        <f ca="1">IFERROR(__xludf.DUMMYFUNCTION("IMPORTRANGE(""https://docs.google.com/spreadsheets/d/1DY4XTNNwjluuxqdfdn6qvOSlMRrZqUtmYcZR0ttFiG4/edit?usp=sharing"",""ลำปาง!I752"")"),400)</f>
        <v>400</v>
      </c>
      <c r="AG26" s="152">
        <f ca="1">IFERROR(__xludf.DUMMYFUNCTION("IMPORTRANGE(""https://docs.google.com/spreadsheets/d/1DY4XTNNwjluuxqdfdn6qvOSlMRrZqUtmYcZR0ttFiG4/edit?usp=sharing"",""ลำปาง!J752"")"),0)</f>
        <v>0</v>
      </c>
      <c r="AH26" s="216">
        <f t="shared" ca="1" si="49"/>
        <v>0</v>
      </c>
      <c r="AI26" s="152">
        <f ca="1">IFERROR(__xludf.DUMMYFUNCTION("IMPORTRANGE(""https://docs.google.com/spreadsheets/d/1DY4XTNNwjluuxqdfdn6qvOSlMRrZqUtmYcZR0ttFiG4/edit?usp=sharing"",""ลำปาง!J753"")"),0)</f>
        <v>0</v>
      </c>
      <c r="AJ26" s="152">
        <f ca="1">IFERROR(__xludf.DUMMYFUNCTION("IMPORTRANGE(""https://docs.google.com/spreadsheets/d/1DY4XTNNwjluuxqdfdn6qvOSlMRrZqUtmYcZR0ttFiG4/edit?usp=sharing"",""ลำปาง!I755"")"),100)</f>
        <v>100</v>
      </c>
      <c r="AK26" s="152">
        <f ca="1">IFERROR(__xludf.DUMMYFUNCTION("IMPORTRANGE(""https://docs.google.com/spreadsheets/d/1DY4XTNNwjluuxqdfdn6qvOSlMRrZqUtmYcZR0ttFiG4/edit?usp=sharing"",""ลำปาง!J755"")"),0)</f>
        <v>0</v>
      </c>
      <c r="AL26" s="216">
        <f t="shared" ca="1" si="51"/>
        <v>0</v>
      </c>
      <c r="AM26" s="152">
        <f ca="1">IFERROR(__xludf.DUMMYFUNCTION("IMPORTRANGE(""https://docs.google.com/spreadsheets/d/1DY4XTNNwjluuxqdfdn6qvOSlMRrZqUtmYcZR0ttFiG4/edit?usp=sharing"",""ลำปาง!J756"")"),0)</f>
        <v>0</v>
      </c>
      <c r="AN26" s="152">
        <f ca="1">IFERROR(__xludf.DUMMYFUNCTION("IMPORTRANGE(""https://docs.google.com/spreadsheets/d/1DY4XTNNwjluuxqdfdn6qvOSlMRrZqUtmYcZR0ttFiG4/edit?usp=sharing"",""ลำปาง!J757"")"),0)</f>
        <v>0</v>
      </c>
    </row>
    <row r="27" spans="1:40" ht="19.5" x14ac:dyDescent="0.3">
      <c r="A27" s="147">
        <v>14</v>
      </c>
      <c r="B27" s="148" t="s">
        <v>55</v>
      </c>
      <c r="C27" s="68">
        <f ca="1">IFERROR(__xludf.DUMMYFUNCTION("IMPORTRANGE(""https://docs.google.com/spreadsheets/d/1ICwG78r0OFT8biBlxnBF8r7she7gNSzOvJ958PWT09c/edit?usp=sharing"",""ลำพูน!Q728"")"),322458)</f>
        <v>322458</v>
      </c>
      <c r="D27" s="68">
        <f ca="1">IFERROR(__xludf.DUMMYFUNCTION("IMPORTRANGE(""https://docs.google.com/spreadsheets/d/1ICwG78r0OFT8biBlxnBF8r7she7gNSzOvJ958PWT09c/edit?usp=sharing"",""ลำพูน!R728"")"),322458)</f>
        <v>322458</v>
      </c>
      <c r="E27" s="68">
        <f ca="1">IFERROR(__xludf.DUMMYFUNCTION("IMPORTRANGE(""https://docs.google.com/spreadsheets/d/1ICwG78r0OFT8biBlxnBF8r7she7gNSzOvJ958PWT09c/edit?usp=sharing"",""ลำพูน!S728"")"),267515)</f>
        <v>267515</v>
      </c>
      <c r="F27" s="68">
        <f t="shared" ca="1" si="33"/>
        <v>82.961191845139524</v>
      </c>
      <c r="G27" s="68">
        <f t="shared" ca="1" si="34"/>
        <v>82.961191845139524</v>
      </c>
      <c r="H27" s="152">
        <f ca="1">IFERROR(__xludf.DUMMYFUNCTION("IMPORTRANGE(""https://docs.google.com/spreadsheets/d/1ICwG78r0OFT8biBlxnBF8r7she7gNSzOvJ958PWT09c/edit?usp=sharing"",""ลำพูน!I726"")"),42)</f>
        <v>42</v>
      </c>
      <c r="I27" s="152">
        <f ca="1">IFERROR(__xludf.DUMMYFUNCTION("IMPORTRANGE(""https://docs.google.com/spreadsheets/d/1ICwG78r0OFT8biBlxnBF8r7she7gNSzOvJ958PWT09c/edit?usp=sharing"",""ลำพูน!I727"")"),400)</f>
        <v>400</v>
      </c>
      <c r="J27" s="152">
        <f ca="1">IFERROR(__xludf.DUMMYFUNCTION("IMPORTRANGE(""https://docs.google.com/spreadsheets/d/1ICwG78r0OFT8biBlxnBF8r7she7gNSzOvJ958PWT09c/edit?usp=sharing"",""ลำพูน!J726"")"),50)</f>
        <v>50</v>
      </c>
      <c r="K27" s="216">
        <f t="shared" ca="1" si="36"/>
        <v>119.04761904761905</v>
      </c>
      <c r="L27" s="152">
        <f ca="1">IFERROR(__xludf.DUMMYFUNCTION("IMPORTRANGE(""https://docs.google.com/spreadsheets/d/1ICwG78r0OFT8biBlxnBF8r7she7gNSzOvJ958PWT09c/edit?usp=sharing"",""ลำพูน!J727"")"),400)</f>
        <v>400</v>
      </c>
      <c r="M27" s="216">
        <f t="shared" ca="1" si="37"/>
        <v>100</v>
      </c>
      <c r="N27" s="152">
        <f ca="1">IFERROR(__xludf.DUMMYFUNCTION("IMPORTRANGE(""https://docs.google.com/spreadsheets/d/1ICwG78r0OFT8biBlxnBF8r7she7gNSzOvJ958PWT09c/edit?usp=sharing"",""ลำพูน!I740"")"),320)</f>
        <v>320</v>
      </c>
      <c r="O27" s="152">
        <f ca="1">IFERROR(__xludf.DUMMYFUNCTION("IMPORTRANGE(""https://docs.google.com/spreadsheets/d/1ICwG78r0OFT8biBlxnBF8r7she7gNSzOvJ958PWT09c/edit?usp=sharing"",""ลำพูน!J740"")"),320)</f>
        <v>320</v>
      </c>
      <c r="P27" s="216">
        <f t="shared" ca="1" si="39"/>
        <v>100</v>
      </c>
      <c r="Q27" s="152">
        <f ca="1">IFERROR(__xludf.DUMMYFUNCTION("IMPORTRANGE(""https://docs.google.com/spreadsheets/d/1ICwG78r0OFT8biBlxnBF8r7she7gNSzOvJ958PWT09c/edit?usp=sharing"",""ลำพูน!J741"")"),40)</f>
        <v>40</v>
      </c>
      <c r="R27" s="152">
        <f ca="1">IFERROR(__xludf.DUMMYFUNCTION("IMPORTRANGE(""https://docs.google.com/spreadsheets/d/1ICwG78r0OFT8biBlxnBF8r7she7gNSzOvJ958PWT09c/edit?usp=sharing"",""ลำพูน!I742"")"),32)</f>
        <v>32</v>
      </c>
      <c r="S27" s="152">
        <f ca="1">IFERROR(__xludf.DUMMYFUNCTION("IMPORTRANGE(""https://docs.google.com/spreadsheets/d/1ICwG78r0OFT8biBlxnBF8r7she7gNSzOvJ958PWT09c/edit?usp=sharing"",""ลำพูน!J742"")"),40)</f>
        <v>40</v>
      </c>
      <c r="T27" s="216">
        <f t="shared" ca="1" si="41"/>
        <v>125</v>
      </c>
      <c r="U27" s="152">
        <f ca="1">IFERROR(__xludf.DUMMYFUNCTION("IMPORTRANGE(""https://docs.google.com/spreadsheets/d/1ICwG78r0OFT8biBlxnBF8r7she7gNSzOvJ958PWT09c/edit?usp=sharing"",""ลำพูน!I744"")"),80)</f>
        <v>80</v>
      </c>
      <c r="V27" s="152">
        <f ca="1">IFERROR(__xludf.DUMMYFUNCTION("IMPORTRANGE(""https://docs.google.com/spreadsheets/d/1ICwG78r0OFT8biBlxnBF8r7she7gNSzOvJ958PWT09c/edit?usp=sharing"",""ลำพูน!J744"")"),80)</f>
        <v>80</v>
      </c>
      <c r="W27" s="216">
        <f t="shared" ca="1" si="43"/>
        <v>100</v>
      </c>
      <c r="X27" s="152">
        <f ca="1">IFERROR(__xludf.DUMMYFUNCTION("IMPORTRANGE(""https://docs.google.com/spreadsheets/d/1ICwG78r0OFT8biBlxnBF8r7she7gNSzOvJ958PWT09c/edit?usp=sharing"",""ลำพูน!J745"")"),8)</f>
        <v>8</v>
      </c>
      <c r="Y27" s="152">
        <f ca="1">IFERROR(__xludf.DUMMYFUNCTION("IMPORTRANGE(""https://docs.google.com/spreadsheets/d/1ICwG78r0OFT8biBlxnBF8r7she7gNSzOvJ958PWT09c/edit?usp=sharing"",""ลำพูน!I746"")"),8)</f>
        <v>8</v>
      </c>
      <c r="Z27" s="152">
        <f ca="1">IFERROR(__xludf.DUMMYFUNCTION("IMPORTRANGE(""https://docs.google.com/spreadsheets/d/1ICwG78r0OFT8biBlxnBF8r7she7gNSzOvJ958PWT09c/edit?usp=sharing"",""ลำพูน!J746"")"),8)</f>
        <v>8</v>
      </c>
      <c r="AA27" s="216">
        <f t="shared" ca="1" si="45"/>
        <v>100</v>
      </c>
      <c r="AB27" s="152">
        <f ca="1">IFERROR(__xludf.DUMMYFUNCTION("IMPORTRANGE(""https://docs.google.com/spreadsheets/d/1ICwG78r0OFT8biBlxnBF8r7she7gNSzOvJ958PWT09c/edit?usp=sharing"",""ลำพูน!J748"")"),2)</f>
        <v>2</v>
      </c>
      <c r="AC27" s="152">
        <f ca="1">IFERROR(__xludf.DUMMYFUNCTION("IMPORTRANGE(""https://docs.google.com/spreadsheets/d/1ICwG78r0OFT8biBlxnBF8r7she7gNSzOvJ958PWT09c/edit?usp=sharing"",""ลำพูน!I749"")"),2)</f>
        <v>2</v>
      </c>
      <c r="AD27" s="152">
        <f ca="1">IFERROR(__xludf.DUMMYFUNCTION("IMPORTRANGE(""https://docs.google.com/spreadsheets/d/1ICwG78r0OFT8biBlxnBF8r7she7gNSzOvJ958PWT09c/edit?usp=sharing"",""ลำพูน!J749"")"),2)</f>
        <v>2</v>
      </c>
      <c r="AE27" s="216">
        <f t="shared" ca="1" si="47"/>
        <v>100</v>
      </c>
      <c r="AF27" s="152">
        <f ca="1">IFERROR(__xludf.DUMMYFUNCTION("IMPORTRANGE(""https://docs.google.com/spreadsheets/d/1ICwG78r0OFT8biBlxnBF8r7she7gNSzOvJ958PWT09c/edit?usp=sharing"",""ลำพูน!I752"")"),320)</f>
        <v>320</v>
      </c>
      <c r="AG27" s="152">
        <f ca="1">IFERROR(__xludf.DUMMYFUNCTION("IMPORTRANGE(""https://docs.google.com/spreadsheets/d/1ICwG78r0OFT8biBlxnBF8r7she7gNSzOvJ958PWT09c/edit?usp=sharing"",""ลำพูน!J752"")"),320)</f>
        <v>320</v>
      </c>
      <c r="AH27" s="216">
        <f t="shared" ca="1" si="49"/>
        <v>100</v>
      </c>
      <c r="AI27" s="152">
        <f ca="1">IFERROR(__xludf.DUMMYFUNCTION("IMPORTRANGE(""https://docs.google.com/spreadsheets/d/1ICwG78r0OFT8biBlxnBF8r7she7gNSzOvJ958PWT09c/edit?usp=sharing"",""ลำพูน!J753"")"),0)</f>
        <v>0</v>
      </c>
      <c r="AJ27" s="152">
        <f ca="1">IFERROR(__xludf.DUMMYFUNCTION("IMPORTRANGE(""https://docs.google.com/spreadsheets/d/1ICwG78r0OFT8biBlxnBF8r7she7gNSzOvJ958PWT09c/edit?usp=sharing"",""ลำพูน!I755"")"),80)</f>
        <v>80</v>
      </c>
      <c r="AK27" s="152">
        <f ca="1">IFERROR(__xludf.DUMMYFUNCTION("IMPORTRANGE(""https://docs.google.com/spreadsheets/d/1ICwG78r0OFT8biBlxnBF8r7she7gNSzOvJ958PWT09c/edit?usp=sharing"",""ลำพูน!J755"")"),80)</f>
        <v>80</v>
      </c>
      <c r="AL27" s="216">
        <f t="shared" ca="1" si="51"/>
        <v>100</v>
      </c>
      <c r="AM27" s="152">
        <f ca="1">IFERROR(__xludf.DUMMYFUNCTION("IMPORTRANGE(""https://docs.google.com/spreadsheets/d/1ICwG78r0OFT8biBlxnBF8r7she7gNSzOvJ958PWT09c/edit?usp=sharing"",""ลำพูน!J756"")"),0)</f>
        <v>0</v>
      </c>
      <c r="AN27" s="152">
        <f ca="1">IFERROR(__xludf.DUMMYFUNCTION("IMPORTRANGE(""https://docs.google.com/spreadsheets/d/1ICwG78r0OFT8biBlxnBF8r7she7gNSzOvJ958PWT09c/edit?usp=sharing"",""ลำพูน!J757"")"),0)</f>
        <v>0</v>
      </c>
    </row>
    <row r="28" spans="1:40" ht="19.5" x14ac:dyDescent="0.3">
      <c r="A28" s="147">
        <v>15</v>
      </c>
      <c r="B28" s="148" t="s">
        <v>56</v>
      </c>
      <c r="C28" s="68">
        <f ca="1">IFERROR(__xludf.DUMMYFUNCTION("IMPORTRANGE(""https://docs.google.com/spreadsheets/d/1B0f2xJpZUC6Z0xXnqKlZtEPzsf6L84eP1r1Q15seqRM/edit?usp=sharing"",""สุโขทัย!Q728"")"),242546)</f>
        <v>242546</v>
      </c>
      <c r="D28" s="68">
        <f ca="1">IFERROR(__xludf.DUMMYFUNCTION("IMPORTRANGE(""https://docs.google.com/spreadsheets/d/1B0f2xJpZUC6Z0xXnqKlZtEPzsf6L84eP1r1Q15seqRM/edit?usp=sharing"",""สุโขทัย!R728"")"),242546)</f>
        <v>242546</v>
      </c>
      <c r="E28" s="68">
        <f ca="1">IFERROR(__xludf.DUMMYFUNCTION("IMPORTRANGE(""https://docs.google.com/spreadsheets/d/1B0f2xJpZUC6Z0xXnqKlZtEPzsf6L84eP1r1Q15seqRM/edit?usp=sharing"",""สุโขทัย!S728"")"),36846)</f>
        <v>36846</v>
      </c>
      <c r="F28" s="68">
        <f t="shared" ca="1" si="33"/>
        <v>15.19134514689997</v>
      </c>
      <c r="G28" s="68">
        <f t="shared" ca="1" si="34"/>
        <v>15.19134514689997</v>
      </c>
      <c r="H28" s="152">
        <f ca="1">IFERROR(__xludf.DUMMYFUNCTION("IMPORTRANGE(""https://docs.google.com/spreadsheets/d/1B0f2xJpZUC6Z0xXnqKlZtEPzsf6L84eP1r1Q15seqRM/edit?usp=sharing"",""สุโขทัย!I726"")"),31)</f>
        <v>31</v>
      </c>
      <c r="I28" s="152">
        <f ca="1">IFERROR(__xludf.DUMMYFUNCTION("IMPORTRANGE(""https://docs.google.com/spreadsheets/d/1B0f2xJpZUC6Z0xXnqKlZtEPzsf6L84eP1r1Q15seqRM/edit?usp=sharing"",""สุโขทัย!I727"")"),300)</f>
        <v>300</v>
      </c>
      <c r="J28" s="152">
        <f ca="1">IFERROR(__xludf.DUMMYFUNCTION("IMPORTRANGE(""https://docs.google.com/spreadsheets/d/1B0f2xJpZUC6Z0xXnqKlZtEPzsf6L84eP1r1Q15seqRM/edit?usp=sharing"",""สุโขทัย!J726"")"),31)</f>
        <v>31</v>
      </c>
      <c r="K28" s="216">
        <f t="shared" ca="1" si="36"/>
        <v>100</v>
      </c>
      <c r="L28" s="152">
        <f ca="1">IFERROR(__xludf.DUMMYFUNCTION("IMPORTRANGE(""https://docs.google.com/spreadsheets/d/1B0f2xJpZUC6Z0xXnqKlZtEPzsf6L84eP1r1Q15seqRM/edit?usp=sharing"",""สุโขทัย!J727"")"),300)</f>
        <v>300</v>
      </c>
      <c r="M28" s="216">
        <f t="shared" ca="1" si="37"/>
        <v>100</v>
      </c>
      <c r="N28" s="152">
        <f ca="1">IFERROR(__xludf.DUMMYFUNCTION("IMPORTRANGE(""https://docs.google.com/spreadsheets/d/1B0f2xJpZUC6Z0xXnqKlZtEPzsf6L84eP1r1Q15seqRM/edit?usp=sharing"",""สุโขทัย!I740"")"),240)</f>
        <v>240</v>
      </c>
      <c r="O28" s="152">
        <f ca="1">IFERROR(__xludf.DUMMYFUNCTION("IMPORTRANGE(""https://docs.google.com/spreadsheets/d/1B0f2xJpZUC6Z0xXnqKlZtEPzsf6L84eP1r1Q15seqRM/edit?usp=sharing"",""สุโขทัย!J740"")"),240)</f>
        <v>240</v>
      </c>
      <c r="P28" s="216">
        <f t="shared" ca="1" si="39"/>
        <v>100</v>
      </c>
      <c r="Q28" s="152">
        <f ca="1">IFERROR(__xludf.DUMMYFUNCTION("IMPORTRANGE(""https://docs.google.com/spreadsheets/d/1B0f2xJpZUC6Z0xXnqKlZtEPzsf6L84eP1r1Q15seqRM/edit?usp=sharing"",""สุโขทัย!J741"")"),0)</f>
        <v>0</v>
      </c>
      <c r="R28" s="152">
        <f ca="1">IFERROR(__xludf.DUMMYFUNCTION("IMPORTRANGE(""https://docs.google.com/spreadsheets/d/1B0f2xJpZUC6Z0xXnqKlZtEPzsf6L84eP1r1Q15seqRM/edit?usp=sharing"",""สุโขทัย!I742"")"),24)</f>
        <v>24</v>
      </c>
      <c r="S28" s="152">
        <f ca="1">IFERROR(__xludf.DUMMYFUNCTION("IMPORTRANGE(""https://docs.google.com/spreadsheets/d/1B0f2xJpZUC6Z0xXnqKlZtEPzsf6L84eP1r1Q15seqRM/edit?usp=sharing"",""สุโขทัย!J742"")"),24)</f>
        <v>24</v>
      </c>
      <c r="T28" s="216">
        <f t="shared" ca="1" si="41"/>
        <v>100</v>
      </c>
      <c r="U28" s="152">
        <f ca="1">IFERROR(__xludf.DUMMYFUNCTION("IMPORTRANGE(""https://docs.google.com/spreadsheets/d/1B0f2xJpZUC6Z0xXnqKlZtEPzsf6L84eP1r1Q15seqRM/edit?usp=sharing"",""สุโขทัย!I744"")"),60)</f>
        <v>60</v>
      </c>
      <c r="V28" s="152">
        <f ca="1">IFERROR(__xludf.DUMMYFUNCTION("IMPORTRANGE(""https://docs.google.com/spreadsheets/d/1B0f2xJpZUC6Z0xXnqKlZtEPzsf6L84eP1r1Q15seqRM/edit?usp=sharing"",""สุโขทัย!J744"")"),60)</f>
        <v>60</v>
      </c>
      <c r="W28" s="216">
        <f t="shared" ca="1" si="43"/>
        <v>100</v>
      </c>
      <c r="X28" s="152">
        <f ca="1">IFERROR(__xludf.DUMMYFUNCTION("IMPORTRANGE(""https://docs.google.com/spreadsheets/d/1B0f2xJpZUC6Z0xXnqKlZtEPzsf6L84eP1r1Q15seqRM/edit?usp=sharing"",""สุโขทัย!J745"")"),0)</f>
        <v>0</v>
      </c>
      <c r="Y28" s="152">
        <f ca="1">IFERROR(__xludf.DUMMYFUNCTION("IMPORTRANGE(""https://docs.google.com/spreadsheets/d/1B0f2xJpZUC6Z0xXnqKlZtEPzsf6L84eP1r1Q15seqRM/edit?usp=sharing"",""สุโขทัย!I746"")"),6)</f>
        <v>6</v>
      </c>
      <c r="Z28" s="152">
        <f ca="1">IFERROR(__xludf.DUMMYFUNCTION("IMPORTRANGE(""https://docs.google.com/spreadsheets/d/1B0f2xJpZUC6Z0xXnqKlZtEPzsf6L84eP1r1Q15seqRM/edit?usp=sharing"",""สุโขทัย!J746"")"),6)</f>
        <v>6</v>
      </c>
      <c r="AA28" s="216">
        <f t="shared" ca="1" si="45"/>
        <v>100</v>
      </c>
      <c r="AB28" s="152">
        <f ca="1">IFERROR(__xludf.DUMMYFUNCTION("IMPORTRANGE(""https://docs.google.com/spreadsheets/d/1B0f2xJpZUC6Z0xXnqKlZtEPzsf6L84eP1r1Q15seqRM/edit?usp=sharing"",""สุโขทัย!J748"")"),1)</f>
        <v>1</v>
      </c>
      <c r="AC28" s="152">
        <f ca="1">IFERROR(__xludf.DUMMYFUNCTION("IMPORTRANGE(""https://docs.google.com/spreadsheets/d/1B0f2xJpZUC6Z0xXnqKlZtEPzsf6L84eP1r1Q15seqRM/edit?usp=sharing"",""สุโขทัย!I749"")"),1)</f>
        <v>1</v>
      </c>
      <c r="AD28" s="152">
        <f ca="1">IFERROR(__xludf.DUMMYFUNCTION("IMPORTRANGE(""https://docs.google.com/spreadsheets/d/1B0f2xJpZUC6Z0xXnqKlZtEPzsf6L84eP1r1Q15seqRM/edit?usp=sharing"",""สุโขทัย!J749"")"),1)</f>
        <v>1</v>
      </c>
      <c r="AE28" s="216">
        <f t="shared" ca="1" si="47"/>
        <v>100</v>
      </c>
      <c r="AF28" s="152">
        <f ca="1">IFERROR(__xludf.DUMMYFUNCTION("IMPORTRANGE(""https://docs.google.com/spreadsheets/d/1B0f2xJpZUC6Z0xXnqKlZtEPzsf6L84eP1r1Q15seqRM/edit?usp=sharing"",""สุโขทัย!I752"")"),240)</f>
        <v>240</v>
      </c>
      <c r="AG28" s="152">
        <f ca="1">IFERROR(__xludf.DUMMYFUNCTION("IMPORTRANGE(""https://docs.google.com/spreadsheets/d/1B0f2xJpZUC6Z0xXnqKlZtEPzsf6L84eP1r1Q15seqRM/edit?usp=sharing"",""สุโขทัย!J752"")"),240)</f>
        <v>240</v>
      </c>
      <c r="AH28" s="216">
        <f t="shared" ca="1" si="49"/>
        <v>100</v>
      </c>
      <c r="AI28" s="152">
        <f ca="1">IFERROR(__xludf.DUMMYFUNCTION("IMPORTRANGE(""https://docs.google.com/spreadsheets/d/1B0f2xJpZUC6Z0xXnqKlZtEPzsf6L84eP1r1Q15seqRM/edit?usp=sharing"",""สุโขทัย!J753"")"),240)</f>
        <v>240</v>
      </c>
      <c r="AJ28" s="152">
        <f ca="1">IFERROR(__xludf.DUMMYFUNCTION("IMPORTRANGE(""https://docs.google.com/spreadsheets/d/1B0f2xJpZUC6Z0xXnqKlZtEPzsf6L84eP1r1Q15seqRM/edit?usp=sharing"",""สุโขทัย!I755"")"),60)</f>
        <v>60</v>
      </c>
      <c r="AK28" s="152">
        <f ca="1">IFERROR(__xludf.DUMMYFUNCTION("IMPORTRANGE(""https://docs.google.com/spreadsheets/d/1B0f2xJpZUC6Z0xXnqKlZtEPzsf6L84eP1r1Q15seqRM/edit?usp=sharing"",""สุโขทัย!J755"")"),60)</f>
        <v>60</v>
      </c>
      <c r="AL28" s="216">
        <f t="shared" ca="1" si="51"/>
        <v>100</v>
      </c>
      <c r="AM28" s="152">
        <f ca="1">IFERROR(__xludf.DUMMYFUNCTION("IMPORTRANGE(""https://docs.google.com/spreadsheets/d/1B0f2xJpZUC6Z0xXnqKlZtEPzsf6L84eP1r1Q15seqRM/edit?usp=sharing"",""สุโขทัย!J756"")"),60)</f>
        <v>60</v>
      </c>
      <c r="AN28" s="152">
        <f ca="1">IFERROR(__xludf.DUMMYFUNCTION("IMPORTRANGE(""https://docs.google.com/spreadsheets/d/1B0f2xJpZUC6Z0xXnqKlZtEPzsf6L84eP1r1Q15seqRM/edit?usp=sharing"",""สุโขทัย!J757"")"),1)</f>
        <v>1</v>
      </c>
    </row>
    <row r="29" spans="1:40" ht="19.5" x14ac:dyDescent="0.3">
      <c r="A29" s="147">
        <v>16</v>
      </c>
      <c r="B29" s="148" t="s">
        <v>57</v>
      </c>
      <c r="C29" s="68">
        <f ca="1">IFERROR(__xludf.DUMMYFUNCTION("IMPORTRANGE(""https://docs.google.com/spreadsheets/d/1v0b9pFQCsKUVExMei7AgY2yQkdeNQvtOssygGsXbiKo/edit?usp=sharing"",""อุตรดิตถ์!Q728"")"),1008470)</f>
        <v>1008470</v>
      </c>
      <c r="D29" s="68">
        <f ca="1">IFERROR(__xludf.DUMMYFUNCTION("IMPORTRANGE(""https://docs.google.com/spreadsheets/d/1v0b9pFQCsKUVExMei7AgY2yQkdeNQvtOssygGsXbiKo/edit?usp=sharing"",""อุตรดิตถ์!R728"")"),1008470)</f>
        <v>1008470</v>
      </c>
      <c r="E29" s="68">
        <f ca="1">IFERROR(__xludf.DUMMYFUNCTION("IMPORTRANGE(""https://docs.google.com/spreadsheets/d/1v0b9pFQCsKUVExMei7AgY2yQkdeNQvtOssygGsXbiKo/edit?usp=sharing"",""อุตรดิตถ์!S728"")"),255547.5)</f>
        <v>255547.5</v>
      </c>
      <c r="F29" s="68">
        <f t="shared" ca="1" si="33"/>
        <v>25.340119190456832</v>
      </c>
      <c r="G29" s="68">
        <f t="shared" ca="1" si="34"/>
        <v>25.340119190456832</v>
      </c>
      <c r="H29" s="152">
        <f ca="1">IFERROR(__xludf.DUMMYFUNCTION("IMPORTRANGE(""https://docs.google.com/spreadsheets/d/1v0b9pFQCsKUVExMei7AgY2yQkdeNQvtOssygGsXbiKo/edit?usp=sharing"",""อุตรดิตถ์!I726"")"),128)</f>
        <v>128</v>
      </c>
      <c r="I29" s="152">
        <f ca="1">IFERROR(__xludf.DUMMYFUNCTION("IMPORTRANGE(""https://docs.google.com/spreadsheets/d/1v0b9pFQCsKUVExMei7AgY2yQkdeNQvtOssygGsXbiKo/edit?usp=sharing"",""อุตรดิตถ์!I727"")"),1250)</f>
        <v>1250</v>
      </c>
      <c r="J29" s="152">
        <f ca="1">IFERROR(__xludf.DUMMYFUNCTION("IMPORTRANGE(""https://docs.google.com/spreadsheets/d/1v0b9pFQCsKUVExMei7AgY2yQkdeNQvtOssygGsXbiKo/edit?usp=sharing"",""อุตรดิตถ์!J726"")"),136)</f>
        <v>136</v>
      </c>
      <c r="K29" s="216">
        <f t="shared" ca="1" si="36"/>
        <v>106.25</v>
      </c>
      <c r="L29" s="152">
        <f ca="1">IFERROR(__xludf.DUMMYFUNCTION("IMPORTRANGE(""https://docs.google.com/spreadsheets/d/1v0b9pFQCsKUVExMei7AgY2yQkdeNQvtOssygGsXbiKo/edit?usp=sharing"",""อุตรดิตถ์!J727"")"),0)</f>
        <v>0</v>
      </c>
      <c r="M29" s="216">
        <f t="shared" ca="1" si="37"/>
        <v>0</v>
      </c>
      <c r="N29" s="152">
        <f ca="1">IFERROR(__xludf.DUMMYFUNCTION("IMPORTRANGE(""https://docs.google.com/spreadsheets/d/1v0b9pFQCsKUVExMei7AgY2yQkdeNQvtOssygGsXbiKo/edit?usp=sharing"",""อุตรดิตถ์!I740"")"),1000)</f>
        <v>1000</v>
      </c>
      <c r="O29" s="152">
        <f ca="1">IFERROR(__xludf.DUMMYFUNCTION("IMPORTRANGE(""https://docs.google.com/spreadsheets/d/1v0b9pFQCsKUVExMei7AgY2yQkdeNQvtOssygGsXbiKo/edit?usp=sharing"",""อุตรดิตถ์!J740"")"),1000)</f>
        <v>1000</v>
      </c>
      <c r="P29" s="216">
        <f t="shared" ca="1" si="39"/>
        <v>100</v>
      </c>
      <c r="Q29" s="152">
        <f ca="1">IFERROR(__xludf.DUMMYFUNCTION("IMPORTRANGE(""https://docs.google.com/spreadsheets/d/1v0b9pFQCsKUVExMei7AgY2yQkdeNQvtOssygGsXbiKo/edit?usp=sharing"",""อุตรดิตถ์!J741"")"),107)</f>
        <v>107</v>
      </c>
      <c r="R29" s="152">
        <f ca="1">IFERROR(__xludf.DUMMYFUNCTION("IMPORTRANGE(""https://docs.google.com/spreadsheets/d/1v0b9pFQCsKUVExMei7AgY2yQkdeNQvtOssygGsXbiKo/edit?usp=sharing"",""อุตรดิตถ์!I742"")"),100)</f>
        <v>100</v>
      </c>
      <c r="S29" s="152">
        <f ca="1">IFERROR(__xludf.DUMMYFUNCTION("IMPORTRANGE(""https://docs.google.com/spreadsheets/d/1v0b9pFQCsKUVExMei7AgY2yQkdeNQvtOssygGsXbiKo/edit?usp=sharing"",""อุตรดิตถ์!J742"")"),106)</f>
        <v>106</v>
      </c>
      <c r="T29" s="216">
        <f t="shared" ca="1" si="41"/>
        <v>106</v>
      </c>
      <c r="U29" s="152">
        <f ca="1">IFERROR(__xludf.DUMMYFUNCTION("IMPORTRANGE(""https://docs.google.com/spreadsheets/d/1v0b9pFQCsKUVExMei7AgY2yQkdeNQvtOssygGsXbiKo/edit?usp=sharing"",""อุตรดิตถ์!I744"")"),250)</f>
        <v>250</v>
      </c>
      <c r="V29" s="152">
        <f ca="1">IFERROR(__xludf.DUMMYFUNCTION("IMPORTRANGE(""https://docs.google.com/spreadsheets/d/1v0b9pFQCsKUVExMei7AgY2yQkdeNQvtOssygGsXbiKo/edit?usp=sharing"",""อุตรดิตถ์!J744"")"),250)</f>
        <v>250</v>
      </c>
      <c r="W29" s="216">
        <f t="shared" ca="1" si="43"/>
        <v>100</v>
      </c>
      <c r="X29" s="152">
        <f ca="1">IFERROR(__xludf.DUMMYFUNCTION("IMPORTRANGE(""https://docs.google.com/spreadsheets/d/1v0b9pFQCsKUVExMei7AgY2yQkdeNQvtOssygGsXbiKo/edit?usp=sharing"",""อุตรดิตถ์!J745"")"),27)</f>
        <v>27</v>
      </c>
      <c r="Y29" s="152">
        <f ca="1">IFERROR(__xludf.DUMMYFUNCTION("IMPORTRANGE(""https://docs.google.com/spreadsheets/d/1v0b9pFQCsKUVExMei7AgY2yQkdeNQvtOssygGsXbiKo/edit?usp=sharing"",""อุตรดิตถ์!I746"")"),25)</f>
        <v>25</v>
      </c>
      <c r="Z29" s="152">
        <f ca="1">IFERROR(__xludf.DUMMYFUNCTION("IMPORTRANGE(""https://docs.google.com/spreadsheets/d/1v0b9pFQCsKUVExMei7AgY2yQkdeNQvtOssygGsXbiKo/edit?usp=sharing"",""อุตรดิตถ์!J746"")"),27)</f>
        <v>27</v>
      </c>
      <c r="AA29" s="216">
        <f t="shared" ca="1" si="45"/>
        <v>108</v>
      </c>
      <c r="AB29" s="152">
        <f ca="1">IFERROR(__xludf.DUMMYFUNCTION("IMPORTRANGE(""https://docs.google.com/spreadsheets/d/1v0b9pFQCsKUVExMei7AgY2yQkdeNQvtOssygGsXbiKo/edit?usp=sharing"",""อุตรดิตถ์!J748"")"),24)</f>
        <v>24</v>
      </c>
      <c r="AC29" s="152">
        <f ca="1">IFERROR(__xludf.DUMMYFUNCTION("IMPORTRANGE(""https://docs.google.com/spreadsheets/d/1v0b9pFQCsKUVExMei7AgY2yQkdeNQvtOssygGsXbiKo/edit?usp=sharing"",""อุตรดิตถ์!I749"")"),3)</f>
        <v>3</v>
      </c>
      <c r="AD29" s="152">
        <f ca="1">IFERROR(__xludf.DUMMYFUNCTION("IMPORTRANGE(""https://docs.google.com/spreadsheets/d/1v0b9pFQCsKUVExMei7AgY2yQkdeNQvtOssygGsXbiKo/edit?usp=sharing"",""อุตรดิตถ์!J749"")"),3)</f>
        <v>3</v>
      </c>
      <c r="AE29" s="216">
        <f t="shared" ca="1" si="47"/>
        <v>100</v>
      </c>
      <c r="AF29" s="152">
        <f ca="1">IFERROR(__xludf.DUMMYFUNCTION("IMPORTRANGE(""https://docs.google.com/spreadsheets/d/1v0b9pFQCsKUVExMei7AgY2yQkdeNQvtOssygGsXbiKo/edit?usp=sharing"",""อุตรดิตถ์!I752"")"),1000)</f>
        <v>1000</v>
      </c>
      <c r="AG29" s="152">
        <f ca="1">IFERROR(__xludf.DUMMYFUNCTION("IMPORTRANGE(""https://docs.google.com/spreadsheets/d/1v0b9pFQCsKUVExMei7AgY2yQkdeNQvtOssygGsXbiKo/edit?usp=sharing"",""อุตรดิตถ์!J752"")"),0)</f>
        <v>0</v>
      </c>
      <c r="AH29" s="216">
        <f t="shared" ca="1" si="49"/>
        <v>0</v>
      </c>
      <c r="AI29" s="152">
        <f ca="1">IFERROR(__xludf.DUMMYFUNCTION("IMPORTRANGE(""https://docs.google.com/spreadsheets/d/1v0b9pFQCsKUVExMei7AgY2yQkdeNQvtOssygGsXbiKo/edit?usp=sharing"",""อุตรดิตถ์!J753"")"),0)</f>
        <v>0</v>
      </c>
      <c r="AJ29" s="152">
        <f ca="1">IFERROR(__xludf.DUMMYFUNCTION("IMPORTRANGE(""https://docs.google.com/spreadsheets/d/1v0b9pFQCsKUVExMei7AgY2yQkdeNQvtOssygGsXbiKo/edit?usp=sharing"",""อุตรดิตถ์!I755"")"),250)</f>
        <v>250</v>
      </c>
      <c r="AK29" s="152">
        <f ca="1">IFERROR(__xludf.DUMMYFUNCTION("IMPORTRANGE(""https://docs.google.com/spreadsheets/d/1v0b9pFQCsKUVExMei7AgY2yQkdeNQvtOssygGsXbiKo/edit?usp=sharing"",""อุตรดิตถ์!J755"")"),0)</f>
        <v>0</v>
      </c>
      <c r="AL29" s="216">
        <f t="shared" ca="1" si="51"/>
        <v>0</v>
      </c>
      <c r="AM29" s="152">
        <f ca="1">IFERROR(__xludf.DUMMYFUNCTION("IMPORTRANGE(""https://docs.google.com/spreadsheets/d/1v0b9pFQCsKUVExMei7AgY2yQkdeNQvtOssygGsXbiKo/edit?usp=sharing"",""อุตรดิตถ์!J756"")"),0)</f>
        <v>0</v>
      </c>
      <c r="AN29" s="152">
        <f ca="1">IFERROR(__xludf.DUMMYFUNCTION("IMPORTRANGE(""https://docs.google.com/spreadsheets/d/1v0b9pFQCsKUVExMei7AgY2yQkdeNQvtOssygGsXbiKo/edit?usp=sharing"",""อุตรดิตถ์!J757"")"),0)</f>
        <v>0</v>
      </c>
    </row>
    <row r="30" spans="1:40" ht="19.5" x14ac:dyDescent="0.3">
      <c r="A30" s="155">
        <v>17</v>
      </c>
      <c r="B30" s="156" t="s">
        <v>58</v>
      </c>
      <c r="C30" s="89">
        <f ca="1">IFERROR(__xludf.DUMMYFUNCTION("IMPORTRANGE(""https://docs.google.com/spreadsheets/d/1UsNK1e-WWiCo2PvGqdNfdme4m17_Ezd3J69EeeiQPD0/edit?usp=sharing"",""อุทัยธานี!Q728"")"),1008470)</f>
        <v>1008470</v>
      </c>
      <c r="D30" s="89">
        <f ca="1">IFERROR(__xludf.DUMMYFUNCTION("IMPORTRANGE(""https://docs.google.com/spreadsheets/d/1UsNK1e-WWiCo2PvGqdNfdme4m17_Ezd3J69EeeiQPD0/edit?usp=sharing"",""อุทัยธานี!R728"")"),1008470)</f>
        <v>1008470</v>
      </c>
      <c r="E30" s="89">
        <f ca="1">IFERROR(__xludf.DUMMYFUNCTION("IMPORTRANGE(""https://docs.google.com/spreadsheets/d/1UsNK1e-WWiCo2PvGqdNfdme4m17_Ezd3J69EeeiQPD0/edit?usp=sharing"",""อุทัยธานี!S728"")"),281131)</f>
        <v>281131</v>
      </c>
      <c r="F30" s="89">
        <f t="shared" ca="1" si="33"/>
        <v>27.876981962775293</v>
      </c>
      <c r="G30" s="89">
        <f t="shared" ca="1" si="34"/>
        <v>27.876981962775293</v>
      </c>
      <c r="H30" s="191">
        <f ca="1">IFERROR(__xludf.DUMMYFUNCTION("IMPORTRANGE(""https://docs.google.com/spreadsheets/d/1UsNK1e-WWiCo2PvGqdNfdme4m17_Ezd3J69EeeiQPD0/edit?usp=sharing"",""อุทัยธานี!I726"")"),128)</f>
        <v>128</v>
      </c>
      <c r="I30" s="191">
        <f ca="1">IFERROR(__xludf.DUMMYFUNCTION("IMPORTRANGE(""https://docs.google.com/spreadsheets/d/1UsNK1e-WWiCo2PvGqdNfdme4m17_Ezd3J69EeeiQPD0/edit?usp=sharing"",""อุทัยธานี!I727"")"),1250)</f>
        <v>1250</v>
      </c>
      <c r="J30" s="191">
        <f ca="1">IFERROR(__xludf.DUMMYFUNCTION("IMPORTRANGE(""https://docs.google.com/spreadsheets/d/1UsNK1e-WWiCo2PvGqdNfdme4m17_Ezd3J69EeeiQPD0/edit?usp=sharing"",""อุทัยธานี!J726"")"),125)</f>
        <v>125</v>
      </c>
      <c r="K30" s="218">
        <f t="shared" ca="1" si="36"/>
        <v>97.65625</v>
      </c>
      <c r="L30" s="191">
        <f ca="1">IFERROR(__xludf.DUMMYFUNCTION("IMPORTRANGE(""https://docs.google.com/spreadsheets/d/1UsNK1e-WWiCo2PvGqdNfdme4m17_Ezd3J69EeeiQPD0/edit?usp=sharing"",""อุทัยธานี!J727"")"),0)</f>
        <v>0</v>
      </c>
      <c r="M30" s="218">
        <f t="shared" ca="1" si="37"/>
        <v>0</v>
      </c>
      <c r="N30" s="191">
        <f ca="1">IFERROR(__xludf.DUMMYFUNCTION("IMPORTRANGE(""https://docs.google.com/spreadsheets/d/1UsNK1e-WWiCo2PvGqdNfdme4m17_Ezd3J69EeeiQPD0/edit?usp=sharing"",""อุทัยธานี!I740"")"),1000)</f>
        <v>1000</v>
      </c>
      <c r="O30" s="191">
        <f ca="1">IFERROR(__xludf.DUMMYFUNCTION("IMPORTRANGE(""https://docs.google.com/spreadsheets/d/1UsNK1e-WWiCo2PvGqdNfdme4m17_Ezd3J69EeeiQPD0/edit?usp=sharing"",""อุทัยธานี!J740"")"),1000)</f>
        <v>1000</v>
      </c>
      <c r="P30" s="218">
        <f t="shared" ca="1" si="39"/>
        <v>100</v>
      </c>
      <c r="Q30" s="191">
        <f ca="1">IFERROR(__xludf.DUMMYFUNCTION("IMPORTRANGE(""https://docs.google.com/spreadsheets/d/1UsNK1e-WWiCo2PvGqdNfdme4m17_Ezd3J69EeeiQPD0/edit?usp=sharing"",""อุทัยธานี!J741"")"),0)</f>
        <v>0</v>
      </c>
      <c r="R30" s="191">
        <f ca="1">IFERROR(__xludf.DUMMYFUNCTION("IMPORTRANGE(""https://docs.google.com/spreadsheets/d/1UsNK1e-WWiCo2PvGqdNfdme4m17_Ezd3J69EeeiQPD0/edit?usp=sharing"",""อุทัยธานี!I742"")"),100)</f>
        <v>100</v>
      </c>
      <c r="S30" s="191">
        <f ca="1">IFERROR(__xludf.DUMMYFUNCTION("IMPORTRANGE(""https://docs.google.com/spreadsheets/d/1UsNK1e-WWiCo2PvGqdNfdme4m17_Ezd3J69EeeiQPD0/edit?usp=sharing"",""อุทัยธานี!J742"")"),100)</f>
        <v>100</v>
      </c>
      <c r="T30" s="218">
        <f t="shared" ca="1" si="41"/>
        <v>100</v>
      </c>
      <c r="U30" s="191">
        <f ca="1">IFERROR(__xludf.DUMMYFUNCTION("IMPORTRANGE(""https://docs.google.com/spreadsheets/d/1UsNK1e-WWiCo2PvGqdNfdme4m17_Ezd3J69EeeiQPD0/edit?usp=sharing"",""อุทัยธานี!I744"")"),250)</f>
        <v>250</v>
      </c>
      <c r="V30" s="191">
        <f ca="1">IFERROR(__xludf.DUMMYFUNCTION("IMPORTRANGE(""https://docs.google.com/spreadsheets/d/1UsNK1e-WWiCo2PvGqdNfdme4m17_Ezd3J69EeeiQPD0/edit?usp=sharing"",""อุทัยธานี!J744"")"),250)</f>
        <v>250</v>
      </c>
      <c r="W30" s="218">
        <f t="shared" ca="1" si="43"/>
        <v>100</v>
      </c>
      <c r="X30" s="191" t="str">
        <f ca="1">IFERROR(__xludf.DUMMYFUNCTION("IMPORTRANGE(""https://docs.google.com/spreadsheets/d/1UsNK1e-WWiCo2PvGqdNfdme4m17_Ezd3J69EeeiQPD0/edit?usp=sharing"",""อุทัยธานี!J745"")"),"")</f>
        <v/>
      </c>
      <c r="Y30" s="191">
        <f ca="1">IFERROR(__xludf.DUMMYFUNCTION("IMPORTRANGE(""https://docs.google.com/spreadsheets/d/1UsNK1e-WWiCo2PvGqdNfdme4m17_Ezd3J69EeeiQPD0/edit?usp=sharing"",""อุทัยธานี!I746"")"),25)</f>
        <v>25</v>
      </c>
      <c r="Z30" s="191">
        <f ca="1">IFERROR(__xludf.DUMMYFUNCTION("IMPORTRANGE(""https://docs.google.com/spreadsheets/d/1UsNK1e-WWiCo2PvGqdNfdme4m17_Ezd3J69EeeiQPD0/edit?usp=sharing"",""อุทัยธานี!J746"")"),25)</f>
        <v>25</v>
      </c>
      <c r="AA30" s="218">
        <f t="shared" ca="1" si="45"/>
        <v>100</v>
      </c>
      <c r="AB30" s="191">
        <f ca="1">IFERROR(__xludf.DUMMYFUNCTION("IMPORTRANGE(""https://docs.google.com/spreadsheets/d/1UsNK1e-WWiCo2PvGqdNfdme4m17_Ezd3J69EeeiQPD0/edit?usp=sharing"",""อุทัยธานี!J748"")"),0)</f>
        <v>0</v>
      </c>
      <c r="AC30" s="191">
        <f ca="1">IFERROR(__xludf.DUMMYFUNCTION("IMPORTRANGE(""https://docs.google.com/spreadsheets/d/1UsNK1e-WWiCo2PvGqdNfdme4m17_Ezd3J69EeeiQPD0/edit?usp=sharing"",""อุทัยธานี!I749"")"),3)</f>
        <v>3</v>
      </c>
      <c r="AD30" s="191">
        <f ca="1">IFERROR(__xludf.DUMMYFUNCTION("IMPORTRANGE(""https://docs.google.com/spreadsheets/d/1UsNK1e-WWiCo2PvGqdNfdme4m17_Ezd3J69EeeiQPD0/edit?usp=sharing"",""อุทัยธานี!J749"")"),0)</f>
        <v>0</v>
      </c>
      <c r="AE30" s="218">
        <f t="shared" ca="1" si="47"/>
        <v>0</v>
      </c>
      <c r="AF30" s="191">
        <f ca="1">IFERROR(__xludf.DUMMYFUNCTION("IMPORTRANGE(""https://docs.google.com/spreadsheets/d/1UsNK1e-WWiCo2PvGqdNfdme4m17_Ezd3J69EeeiQPD0/edit?usp=sharing"",""อุทัยธานี!I752"")"),1000)</f>
        <v>1000</v>
      </c>
      <c r="AG30" s="191">
        <f ca="1">IFERROR(__xludf.DUMMYFUNCTION("IMPORTRANGE(""https://docs.google.com/spreadsheets/d/1UsNK1e-WWiCo2PvGqdNfdme4m17_Ezd3J69EeeiQPD0/edit?usp=sharing"",""อุทัยธานี!J752"")"),0)</f>
        <v>0</v>
      </c>
      <c r="AH30" s="218">
        <f t="shared" ca="1" si="49"/>
        <v>0</v>
      </c>
      <c r="AI30" s="191">
        <f ca="1">IFERROR(__xludf.DUMMYFUNCTION("IMPORTRANGE(""https://docs.google.com/spreadsheets/d/1UsNK1e-WWiCo2PvGqdNfdme4m17_Ezd3J69EeeiQPD0/edit?usp=sharing"",""อุทัยธานี!J753"")"),0)</f>
        <v>0</v>
      </c>
      <c r="AJ30" s="191">
        <f ca="1">IFERROR(__xludf.DUMMYFUNCTION("IMPORTRANGE(""https://docs.google.com/spreadsheets/d/1UsNK1e-WWiCo2PvGqdNfdme4m17_Ezd3J69EeeiQPD0/edit?usp=sharing"",""อุทัยธานี!I755"")"),250)</f>
        <v>250</v>
      </c>
      <c r="AK30" s="191">
        <f ca="1">IFERROR(__xludf.DUMMYFUNCTION("IMPORTRANGE(""https://docs.google.com/spreadsheets/d/1UsNK1e-WWiCo2PvGqdNfdme4m17_Ezd3J69EeeiQPD0/edit?usp=sharing"",""อุทัยธานี!J755"")"),0)</f>
        <v>0</v>
      </c>
      <c r="AL30" s="218">
        <f t="shared" ca="1" si="51"/>
        <v>0</v>
      </c>
      <c r="AM30" s="191">
        <f ca="1">IFERROR(__xludf.DUMMYFUNCTION("IMPORTRANGE(""https://docs.google.com/spreadsheets/d/1UsNK1e-WWiCo2PvGqdNfdme4m17_Ezd3J69EeeiQPD0/edit?usp=sharing"",""อุทัยธานี!J756"")"),0)</f>
        <v>0</v>
      </c>
      <c r="AN30" s="191">
        <f ca="1">IFERROR(__xludf.DUMMYFUNCTION("IMPORTRANGE(""https://docs.google.com/spreadsheets/d/1UsNK1e-WWiCo2PvGqdNfdme4m17_Ezd3J69EeeiQPD0/edit?usp=sharing"",""อุทัยธานี!J757"")"),0)</f>
        <v>0</v>
      </c>
    </row>
    <row r="31" spans="1:40" ht="19.5" x14ac:dyDescent="0.3">
      <c r="A31" s="696" t="s">
        <v>59</v>
      </c>
      <c r="B31" s="662"/>
      <c r="C31" s="94">
        <f t="shared" ref="C31:E31" ca="1" si="53">SUM(C32:C51)</f>
        <v>17312240</v>
      </c>
      <c r="D31" s="94">
        <f t="shared" ca="1" si="53"/>
        <v>16919849.68</v>
      </c>
      <c r="E31" s="94">
        <f t="shared" ca="1" si="53"/>
        <v>7290370.129999999</v>
      </c>
      <c r="F31" s="94">
        <f t="shared" ca="1" si="33"/>
        <v>42.111073610347354</v>
      </c>
      <c r="G31" s="94">
        <f t="shared" ca="1" si="34"/>
        <v>43.087676710376066</v>
      </c>
      <c r="H31" s="161">
        <f t="shared" ref="H31:J31" ca="1" si="54">SUM(H32:H51)</f>
        <v>2202</v>
      </c>
      <c r="I31" s="161">
        <f t="shared" ca="1" si="54"/>
        <v>21500</v>
      </c>
      <c r="J31" s="161">
        <f t="shared" ca="1" si="54"/>
        <v>2194</v>
      </c>
      <c r="K31" s="94">
        <f t="shared" ca="1" si="36"/>
        <v>99.636693914623066</v>
      </c>
      <c r="L31" s="161">
        <f ca="1">SUM(L32:L51)</f>
        <v>8800</v>
      </c>
      <c r="M31" s="94">
        <f t="shared" ca="1" si="37"/>
        <v>40.930232558139537</v>
      </c>
      <c r="N31" s="161">
        <f t="shared" ref="N31:O31" ca="1" si="55">SUM(N32:N51)</f>
        <v>17200</v>
      </c>
      <c r="O31" s="161">
        <f t="shared" ca="1" si="55"/>
        <v>16546</v>
      </c>
      <c r="P31" s="94">
        <f t="shared" ca="1" si="39"/>
        <v>96.197674418604649</v>
      </c>
      <c r="Q31" s="161">
        <f t="shared" ref="Q31:S31" ca="1" si="56">SUM(Q32:Q51)</f>
        <v>824</v>
      </c>
      <c r="R31" s="161">
        <f t="shared" ca="1" si="56"/>
        <v>1720</v>
      </c>
      <c r="S31" s="161">
        <f t="shared" ca="1" si="56"/>
        <v>1743</v>
      </c>
      <c r="T31" s="94">
        <f t="shared" ca="1" si="41"/>
        <v>101.33720930232558</v>
      </c>
      <c r="U31" s="161">
        <f t="shared" ref="U31:V31" ca="1" si="57">SUM(U32:U51)</f>
        <v>4300</v>
      </c>
      <c r="V31" s="161">
        <f t="shared" ca="1" si="57"/>
        <v>3760</v>
      </c>
      <c r="W31" s="94">
        <f t="shared" ca="1" si="43"/>
        <v>87.441860465116278</v>
      </c>
      <c r="X31" s="161">
        <f t="shared" ref="X31:Z31" ca="1" si="58">SUM(X32:X51)</f>
        <v>178</v>
      </c>
      <c r="Y31" s="161">
        <f t="shared" ca="1" si="58"/>
        <v>430</v>
      </c>
      <c r="Z31" s="161">
        <f t="shared" ca="1" si="58"/>
        <v>406</v>
      </c>
      <c r="AA31" s="94">
        <f t="shared" ca="1" si="45"/>
        <v>94.418604651162795</v>
      </c>
      <c r="AB31" s="161">
        <f t="shared" ref="AB31:AD31" ca="1" si="59">SUM(AB32:AB51)</f>
        <v>38</v>
      </c>
      <c r="AC31" s="161">
        <f t="shared" ca="1" si="59"/>
        <v>52</v>
      </c>
      <c r="AD31" s="161">
        <f t="shared" ca="1" si="59"/>
        <v>45</v>
      </c>
      <c r="AE31" s="94">
        <f t="shared" ca="1" si="47"/>
        <v>86.538461538461533</v>
      </c>
      <c r="AF31" s="161">
        <f t="shared" ref="AF31:AG31" ca="1" si="60">SUM(AF32:AF51)</f>
        <v>17200</v>
      </c>
      <c r="AG31" s="161">
        <f t="shared" ca="1" si="60"/>
        <v>7040</v>
      </c>
      <c r="AH31" s="94">
        <f t="shared" ca="1" si="49"/>
        <v>40.930232558139537</v>
      </c>
      <c r="AI31" s="161">
        <f t="shared" ref="AI31:AK31" ca="1" si="61">SUM(AI32:AI51)</f>
        <v>3000</v>
      </c>
      <c r="AJ31" s="161">
        <f t="shared" ca="1" si="61"/>
        <v>4300</v>
      </c>
      <c r="AK31" s="161">
        <f t="shared" ca="1" si="61"/>
        <v>1760</v>
      </c>
      <c r="AL31" s="94">
        <f t="shared" ca="1" si="51"/>
        <v>40.930232558139537</v>
      </c>
      <c r="AM31" s="161">
        <f t="shared" ref="AM31:AN31" ca="1" si="62">SUM(AM32:AM51)</f>
        <v>1000</v>
      </c>
      <c r="AN31" s="161">
        <f t="shared" ca="1" si="62"/>
        <v>38</v>
      </c>
    </row>
    <row r="32" spans="1:40" ht="19.5" x14ac:dyDescent="0.3">
      <c r="A32" s="147">
        <v>1</v>
      </c>
      <c r="B32" s="148" t="s">
        <v>60</v>
      </c>
      <c r="C32" s="68">
        <f ca="1">IFERROR(__xludf.DUMMYFUNCTION("IMPORTRANGE(""https://docs.google.com/spreadsheets/d/1yhBcrRPreicbMKl9Bu_Snb2-OcQAF62RKfhTLhJ2eAA/edit?usp=sharing"",""กาฬสินธุ์!Q728"")"),1008470)</f>
        <v>1008470</v>
      </c>
      <c r="D32" s="68">
        <f ca="1">IFERROR(__xludf.DUMMYFUNCTION("IMPORTRANGE(""https://docs.google.com/spreadsheets/d/1yhBcrRPreicbMKl9Bu_Snb2-OcQAF62RKfhTLhJ2eAA/edit?usp=sharing"",""กาฬสินธุ์!R728"")"),1008470)</f>
        <v>1008470</v>
      </c>
      <c r="E32" s="68">
        <f ca="1">IFERROR(__xludf.DUMMYFUNCTION("IMPORTRANGE(""https://docs.google.com/spreadsheets/d/1yhBcrRPreicbMKl9Bu_Snb2-OcQAF62RKfhTLhJ2eAA/edit?usp=sharing"",""กาฬสินธุ์!S728"")"),143442.44)</f>
        <v>143442.44</v>
      </c>
      <c r="F32" s="68">
        <f t="shared" ca="1" si="33"/>
        <v>14.223768679286444</v>
      </c>
      <c r="G32" s="68">
        <f t="shared" ca="1" si="34"/>
        <v>14.223768679286444</v>
      </c>
      <c r="H32" s="152">
        <f ca="1">IFERROR(__xludf.DUMMYFUNCTION("IMPORTRANGE(""https://docs.google.com/spreadsheets/d/1yhBcrRPreicbMKl9Bu_Snb2-OcQAF62RKfhTLhJ2eAA/edit?usp=sharing"",""กาฬสินธุ์!I726"")"),128)</f>
        <v>128</v>
      </c>
      <c r="I32" s="152">
        <f ca="1">IFERROR(__xludf.DUMMYFUNCTION("IMPORTRANGE(""https://docs.google.com/spreadsheets/d/1yhBcrRPreicbMKl9Bu_Snb2-OcQAF62RKfhTLhJ2eAA/edit?usp=sharing"",""กาฬสินธุ์!I727"")"),1250)</f>
        <v>1250</v>
      </c>
      <c r="J32" s="152">
        <f ca="1">IFERROR(__xludf.DUMMYFUNCTION("IMPORTRANGE(""https://docs.google.com/spreadsheets/d/1yhBcrRPreicbMKl9Bu_Snb2-OcQAF62RKfhTLhJ2eAA/edit?usp=sharing"",""กาฬสินธุ์!J726"")"),125)</f>
        <v>125</v>
      </c>
      <c r="K32" s="216">
        <f t="shared" ca="1" si="36"/>
        <v>97.65625</v>
      </c>
      <c r="L32" s="152">
        <f ca="1">IFERROR(__xludf.DUMMYFUNCTION("IMPORTRANGE(""https://docs.google.com/spreadsheets/d/1yhBcrRPreicbMKl9Bu_Snb2-OcQAF62RKfhTLhJ2eAA/edit?usp=sharing"",""กาฬสินธุ์!J727"")"),0)</f>
        <v>0</v>
      </c>
      <c r="M32" s="216">
        <f t="shared" ca="1" si="37"/>
        <v>0</v>
      </c>
      <c r="N32" s="152">
        <f ca="1">IFERROR(__xludf.DUMMYFUNCTION("IMPORTRANGE(""https://docs.google.com/spreadsheets/d/1yhBcrRPreicbMKl9Bu_Snb2-OcQAF62RKfhTLhJ2eAA/edit?usp=sharing"",""กาฬสินธุ์!I740"")"),1000)</f>
        <v>1000</v>
      </c>
      <c r="O32" s="152">
        <f ca="1">IFERROR(__xludf.DUMMYFUNCTION("IMPORTRANGE(""https://docs.google.com/spreadsheets/d/1yhBcrRPreicbMKl9Bu_Snb2-OcQAF62RKfhTLhJ2eAA/edit?usp=sharing"",""กาฬสินธุ์!J740"")"),1000)</f>
        <v>1000</v>
      </c>
      <c r="P32" s="216">
        <f t="shared" ca="1" si="39"/>
        <v>100</v>
      </c>
      <c r="Q32" s="152">
        <f ca="1">IFERROR(__xludf.DUMMYFUNCTION("IMPORTRANGE(""https://docs.google.com/spreadsheets/d/1yhBcrRPreicbMKl9Bu_Snb2-OcQAF62RKfhTLhJ2eAA/edit?usp=sharing"",""กาฬสินธุ์!J741"")"),100)</f>
        <v>100</v>
      </c>
      <c r="R32" s="152">
        <f ca="1">IFERROR(__xludf.DUMMYFUNCTION("IMPORTRANGE(""https://docs.google.com/spreadsheets/d/1yhBcrRPreicbMKl9Bu_Snb2-OcQAF62RKfhTLhJ2eAA/edit?usp=sharing"",""กาฬสินธุ์!I742"")"),100)</f>
        <v>100</v>
      </c>
      <c r="S32" s="152">
        <f ca="1">IFERROR(__xludf.DUMMYFUNCTION("IMPORTRANGE(""https://docs.google.com/spreadsheets/d/1yhBcrRPreicbMKl9Bu_Snb2-OcQAF62RKfhTLhJ2eAA/edit?usp=sharing"",""กาฬสินธุ์!J742"")"),100)</f>
        <v>100</v>
      </c>
      <c r="T32" s="216">
        <f t="shared" ca="1" si="41"/>
        <v>100</v>
      </c>
      <c r="U32" s="152">
        <f ca="1">IFERROR(__xludf.DUMMYFUNCTION("IMPORTRANGE(""https://docs.google.com/spreadsheets/d/1yhBcrRPreicbMKl9Bu_Snb2-OcQAF62RKfhTLhJ2eAA/edit?usp=sharing"",""กาฬสินธุ์!I744"")"),250)</f>
        <v>250</v>
      </c>
      <c r="V32" s="152">
        <f ca="1">IFERROR(__xludf.DUMMYFUNCTION("IMPORTRANGE(""https://docs.google.com/spreadsheets/d/1yhBcrRPreicbMKl9Bu_Snb2-OcQAF62RKfhTLhJ2eAA/edit?usp=sharing"",""กาฬสินธุ์!J744"")"),250)</f>
        <v>250</v>
      </c>
      <c r="W32" s="216">
        <f t="shared" ca="1" si="43"/>
        <v>100</v>
      </c>
      <c r="X32" s="152">
        <f ca="1">IFERROR(__xludf.DUMMYFUNCTION("IMPORTRANGE(""https://docs.google.com/spreadsheets/d/1yhBcrRPreicbMKl9Bu_Snb2-OcQAF62RKfhTLhJ2eAA/edit?usp=sharing"",""กาฬสินธุ์!J745"")"),25)</f>
        <v>25</v>
      </c>
      <c r="Y32" s="152">
        <f ca="1">IFERROR(__xludf.DUMMYFUNCTION("IMPORTRANGE(""https://docs.google.com/spreadsheets/d/1yhBcrRPreicbMKl9Bu_Snb2-OcQAF62RKfhTLhJ2eAA/edit?usp=sharing"",""กาฬสินธุ์!I746"")"),25)</f>
        <v>25</v>
      </c>
      <c r="Z32" s="152">
        <f ca="1">IFERROR(__xludf.DUMMYFUNCTION("IMPORTRANGE(""https://docs.google.com/spreadsheets/d/1yhBcrRPreicbMKl9Bu_Snb2-OcQAF62RKfhTLhJ2eAA/edit?usp=sharing"",""กาฬสินธุ์!J746"")"),25)</f>
        <v>25</v>
      </c>
      <c r="AA32" s="216">
        <f t="shared" ca="1" si="45"/>
        <v>100</v>
      </c>
      <c r="AB32" s="152">
        <f ca="1">IFERROR(__xludf.DUMMYFUNCTION("IMPORTRANGE(""https://docs.google.com/spreadsheets/d/1yhBcrRPreicbMKl9Bu_Snb2-OcQAF62RKfhTLhJ2eAA/edit?usp=sharing"",""กาฬสินธุ์!J748"")"),0)</f>
        <v>0</v>
      </c>
      <c r="AC32" s="152">
        <f ca="1">IFERROR(__xludf.DUMMYFUNCTION("IMPORTRANGE(""https://docs.google.com/spreadsheets/d/1yhBcrRPreicbMKl9Bu_Snb2-OcQAF62RKfhTLhJ2eAA/edit?usp=sharing"",""กาฬสินธุ์!I749"")"),3)</f>
        <v>3</v>
      </c>
      <c r="AD32" s="152">
        <f ca="1">IFERROR(__xludf.DUMMYFUNCTION("IMPORTRANGE(""https://docs.google.com/spreadsheets/d/1yhBcrRPreicbMKl9Bu_Snb2-OcQAF62RKfhTLhJ2eAA/edit?usp=sharing"",""กาฬสินธุ์!J749"")"),0)</f>
        <v>0</v>
      </c>
      <c r="AE32" s="216">
        <f t="shared" ca="1" si="47"/>
        <v>0</v>
      </c>
      <c r="AF32" s="152">
        <f ca="1">IFERROR(__xludf.DUMMYFUNCTION("IMPORTRANGE(""https://docs.google.com/spreadsheets/d/1yhBcrRPreicbMKl9Bu_Snb2-OcQAF62RKfhTLhJ2eAA/edit?usp=sharing"",""กาฬสินธุ์!I752"")"),1000)</f>
        <v>1000</v>
      </c>
      <c r="AG32" s="152">
        <f ca="1">IFERROR(__xludf.DUMMYFUNCTION("IMPORTRANGE(""https://docs.google.com/spreadsheets/d/1yhBcrRPreicbMKl9Bu_Snb2-OcQAF62RKfhTLhJ2eAA/edit?usp=sharing"",""กาฬสินธุ์!J752"")"),0)</f>
        <v>0</v>
      </c>
      <c r="AH32" s="216">
        <f t="shared" ca="1" si="49"/>
        <v>0</v>
      </c>
      <c r="AI32" s="152">
        <f ca="1">IFERROR(__xludf.DUMMYFUNCTION("IMPORTRANGE(""https://docs.google.com/spreadsheets/d/1yhBcrRPreicbMKl9Bu_Snb2-OcQAF62RKfhTLhJ2eAA/edit?usp=sharing"",""กาฬสินธุ์!J753"")"),0)</f>
        <v>0</v>
      </c>
      <c r="AJ32" s="152">
        <f ca="1">IFERROR(__xludf.DUMMYFUNCTION("IMPORTRANGE(""https://docs.google.com/spreadsheets/d/1yhBcrRPreicbMKl9Bu_Snb2-OcQAF62RKfhTLhJ2eAA/edit?usp=sharing"",""กาฬสินธุ์!I755"")"),250)</f>
        <v>250</v>
      </c>
      <c r="AK32" s="152">
        <f ca="1">IFERROR(__xludf.DUMMYFUNCTION("IMPORTRANGE(""https://docs.google.com/spreadsheets/d/1yhBcrRPreicbMKl9Bu_Snb2-OcQAF62RKfhTLhJ2eAA/edit?usp=sharing"",""กาฬสินธุ์!J755"")"),0)</f>
        <v>0</v>
      </c>
      <c r="AL32" s="216">
        <f t="shared" ca="1" si="51"/>
        <v>0</v>
      </c>
      <c r="AM32" s="152">
        <f ca="1">IFERROR(__xludf.DUMMYFUNCTION("IMPORTRANGE(""https://docs.google.com/spreadsheets/d/1yhBcrRPreicbMKl9Bu_Snb2-OcQAF62RKfhTLhJ2eAA/edit?usp=sharing"",""กาฬสินธุ์!J756"")"),0)</f>
        <v>0</v>
      </c>
      <c r="AN32" s="152">
        <f ca="1">IFERROR(__xludf.DUMMYFUNCTION("IMPORTRANGE(""https://docs.google.com/spreadsheets/d/1yhBcrRPreicbMKl9Bu_Snb2-OcQAF62RKfhTLhJ2eAA/edit?usp=sharing"",""กาฬสินธุ์!J757"")"),0)</f>
        <v>0</v>
      </c>
    </row>
    <row r="33" spans="1:40" ht="19.5" x14ac:dyDescent="0.3">
      <c r="A33" s="147">
        <v>2</v>
      </c>
      <c r="B33" s="148" t="s">
        <v>61</v>
      </c>
      <c r="C33" s="68">
        <f ca="1">IFERROR(__xludf.DUMMYFUNCTION("IMPORTRANGE(""https://docs.google.com/spreadsheets/d/1aHkj4IaQMThhwWwevcOymEh837vdxeC_PycurhTbGFA/edit?usp=sharing"",""ขอนแก่น!Q728"")"),1008470)</f>
        <v>1008470</v>
      </c>
      <c r="D33" s="68">
        <f ca="1">IFERROR(__xludf.DUMMYFUNCTION("IMPORTRANGE(""https://docs.google.com/spreadsheets/d/1aHkj4IaQMThhwWwevcOymEh837vdxeC_PycurhTbGFA/edit?usp=sharing"",""ขอนแก่น!R728"")"),1008470)</f>
        <v>1008470</v>
      </c>
      <c r="E33" s="68">
        <f ca="1">IFERROR(__xludf.DUMMYFUNCTION("IMPORTRANGE(""https://docs.google.com/spreadsheets/d/1aHkj4IaQMThhwWwevcOymEh837vdxeC_PycurhTbGFA/edit?usp=sharing"",""ขอนแก่น!S728"")"),237255.45)</f>
        <v>237255.45</v>
      </c>
      <c r="F33" s="68">
        <f t="shared" ca="1" si="33"/>
        <v>23.526277430166491</v>
      </c>
      <c r="G33" s="68">
        <f t="shared" ca="1" si="34"/>
        <v>23.526277430166491</v>
      </c>
      <c r="H33" s="152">
        <f ca="1">IFERROR(__xludf.DUMMYFUNCTION("IMPORTRANGE(""https://docs.google.com/spreadsheets/d/1aHkj4IaQMThhwWwevcOymEh837vdxeC_PycurhTbGFA/edit?usp=sharing"",""ขอนแก่น!I726"")"),128)</f>
        <v>128</v>
      </c>
      <c r="I33" s="152">
        <f ca="1">IFERROR(__xludf.DUMMYFUNCTION("IMPORTRANGE(""https://docs.google.com/spreadsheets/d/1aHkj4IaQMThhwWwevcOymEh837vdxeC_PycurhTbGFA/edit?usp=sharing"",""ขอนแก่น!I727"")"),1250)</f>
        <v>1250</v>
      </c>
      <c r="J33" s="152">
        <f ca="1">IFERROR(__xludf.DUMMYFUNCTION("IMPORTRANGE(""https://docs.google.com/spreadsheets/d/1aHkj4IaQMThhwWwevcOymEh837vdxeC_PycurhTbGFA/edit?usp=sharing"",""ขอนแก่น!J726"")"),128)</f>
        <v>128</v>
      </c>
      <c r="K33" s="216">
        <f t="shared" ca="1" si="36"/>
        <v>100</v>
      </c>
      <c r="L33" s="152">
        <f ca="1">IFERROR(__xludf.DUMMYFUNCTION("IMPORTRANGE(""https://docs.google.com/spreadsheets/d/1aHkj4IaQMThhwWwevcOymEh837vdxeC_PycurhTbGFA/edit?usp=sharing"",""ขอนแก่น!J727"")"),1250)</f>
        <v>1250</v>
      </c>
      <c r="M33" s="216">
        <f t="shared" ca="1" si="37"/>
        <v>100</v>
      </c>
      <c r="N33" s="152">
        <f ca="1">IFERROR(__xludf.DUMMYFUNCTION("IMPORTRANGE(""https://docs.google.com/spreadsheets/d/1aHkj4IaQMThhwWwevcOymEh837vdxeC_PycurhTbGFA/edit?usp=sharing"",""ขอนแก่น!I740"")"),1000)</f>
        <v>1000</v>
      </c>
      <c r="O33" s="152">
        <f ca="1">IFERROR(__xludf.DUMMYFUNCTION("IMPORTRANGE(""https://docs.google.com/spreadsheets/d/1aHkj4IaQMThhwWwevcOymEh837vdxeC_PycurhTbGFA/edit?usp=sharing"",""ขอนแก่น!J740"")"),1000)</f>
        <v>1000</v>
      </c>
      <c r="P33" s="216">
        <f t="shared" ca="1" si="39"/>
        <v>100</v>
      </c>
      <c r="Q33" s="152">
        <f ca="1">IFERROR(__xludf.DUMMYFUNCTION("IMPORTRANGE(""https://docs.google.com/spreadsheets/d/1aHkj4IaQMThhwWwevcOymEh837vdxeC_PycurhTbGFA/edit?usp=sharing"",""ขอนแก่น!J741"")"),0)</f>
        <v>0</v>
      </c>
      <c r="R33" s="152">
        <f ca="1">IFERROR(__xludf.DUMMYFUNCTION("IMPORTRANGE(""https://docs.google.com/spreadsheets/d/1aHkj4IaQMThhwWwevcOymEh837vdxeC_PycurhTbGFA/edit?usp=sharing"",""ขอนแก่น!I742"")"),100)</f>
        <v>100</v>
      </c>
      <c r="S33" s="152">
        <f ca="1">IFERROR(__xludf.DUMMYFUNCTION("IMPORTRANGE(""https://docs.google.com/spreadsheets/d/1aHkj4IaQMThhwWwevcOymEh837vdxeC_PycurhTbGFA/edit?usp=sharing"",""ขอนแก่น!J742"")"),100)</f>
        <v>100</v>
      </c>
      <c r="T33" s="216">
        <f t="shared" ca="1" si="41"/>
        <v>100</v>
      </c>
      <c r="U33" s="152">
        <f ca="1">IFERROR(__xludf.DUMMYFUNCTION("IMPORTRANGE(""https://docs.google.com/spreadsheets/d/1aHkj4IaQMThhwWwevcOymEh837vdxeC_PycurhTbGFA/edit?usp=sharing"",""ขอนแก่น!I744"")"),250)</f>
        <v>250</v>
      </c>
      <c r="V33" s="152">
        <f ca="1">IFERROR(__xludf.DUMMYFUNCTION("IMPORTRANGE(""https://docs.google.com/spreadsheets/d/1aHkj4IaQMThhwWwevcOymEh837vdxeC_PycurhTbGFA/edit?usp=sharing"",""ขอนแก่น!J744"")"),250)</f>
        <v>250</v>
      </c>
      <c r="W33" s="216">
        <f t="shared" ca="1" si="43"/>
        <v>100</v>
      </c>
      <c r="X33" s="152">
        <f ca="1">IFERROR(__xludf.DUMMYFUNCTION("IMPORTRANGE(""https://docs.google.com/spreadsheets/d/1aHkj4IaQMThhwWwevcOymEh837vdxeC_PycurhTbGFA/edit?usp=sharing"",""ขอนแก่น!J745"")"),0)</f>
        <v>0</v>
      </c>
      <c r="Y33" s="152">
        <f ca="1">IFERROR(__xludf.DUMMYFUNCTION("IMPORTRANGE(""https://docs.google.com/spreadsheets/d/1aHkj4IaQMThhwWwevcOymEh837vdxeC_PycurhTbGFA/edit?usp=sharing"",""ขอนแก่น!I746"")"),25)</f>
        <v>25</v>
      </c>
      <c r="Z33" s="152">
        <f ca="1">IFERROR(__xludf.DUMMYFUNCTION("IMPORTRANGE(""https://docs.google.com/spreadsheets/d/1aHkj4IaQMThhwWwevcOymEh837vdxeC_PycurhTbGFA/edit?usp=sharing"",""ขอนแก่น!J746"")"),25)</f>
        <v>25</v>
      </c>
      <c r="AA33" s="216">
        <f t="shared" ca="1" si="45"/>
        <v>100</v>
      </c>
      <c r="AB33" s="152">
        <f ca="1">IFERROR(__xludf.DUMMYFUNCTION("IMPORTRANGE(""https://docs.google.com/spreadsheets/d/1aHkj4IaQMThhwWwevcOymEh837vdxeC_PycurhTbGFA/edit?usp=sharing"",""ขอนแก่น!J748"")"),0)</f>
        <v>0</v>
      </c>
      <c r="AC33" s="152">
        <f ca="1">IFERROR(__xludf.DUMMYFUNCTION("IMPORTRANGE(""https://docs.google.com/spreadsheets/d/1aHkj4IaQMThhwWwevcOymEh837vdxeC_PycurhTbGFA/edit?usp=sharing"",""ขอนแก่น!I749"")"),3)</f>
        <v>3</v>
      </c>
      <c r="AD33" s="152">
        <f ca="1">IFERROR(__xludf.DUMMYFUNCTION("IMPORTRANGE(""https://docs.google.com/spreadsheets/d/1aHkj4IaQMThhwWwevcOymEh837vdxeC_PycurhTbGFA/edit?usp=sharing"",""ขอนแก่น!J749"")"),3)</f>
        <v>3</v>
      </c>
      <c r="AE33" s="216">
        <f t="shared" ca="1" si="47"/>
        <v>100</v>
      </c>
      <c r="AF33" s="152">
        <f ca="1">IFERROR(__xludf.DUMMYFUNCTION("IMPORTRANGE(""https://docs.google.com/spreadsheets/d/1aHkj4IaQMThhwWwevcOymEh837vdxeC_PycurhTbGFA/edit?usp=sharing"",""ขอนแก่น!I752"")"),1000)</f>
        <v>1000</v>
      </c>
      <c r="AG33" s="152">
        <f ca="1">IFERROR(__xludf.DUMMYFUNCTION("IMPORTRANGE(""https://docs.google.com/spreadsheets/d/1aHkj4IaQMThhwWwevcOymEh837vdxeC_PycurhTbGFA/edit?usp=sharing"",""ขอนแก่น!J752"")"),1000)</f>
        <v>1000</v>
      </c>
      <c r="AH33" s="216">
        <f t="shared" ca="1" si="49"/>
        <v>100</v>
      </c>
      <c r="AI33" s="152">
        <f ca="1">IFERROR(__xludf.DUMMYFUNCTION("IMPORTRANGE(""https://docs.google.com/spreadsheets/d/1aHkj4IaQMThhwWwevcOymEh837vdxeC_PycurhTbGFA/edit?usp=sharing"",""ขอนแก่น!J753"")"),0)</f>
        <v>0</v>
      </c>
      <c r="AJ33" s="152">
        <f ca="1">IFERROR(__xludf.DUMMYFUNCTION("IMPORTRANGE(""https://docs.google.com/spreadsheets/d/1aHkj4IaQMThhwWwevcOymEh837vdxeC_PycurhTbGFA/edit?usp=sharing"",""ขอนแก่น!I755"")"),250)</f>
        <v>250</v>
      </c>
      <c r="AK33" s="152">
        <f ca="1">IFERROR(__xludf.DUMMYFUNCTION("IMPORTRANGE(""https://docs.google.com/spreadsheets/d/1aHkj4IaQMThhwWwevcOymEh837vdxeC_PycurhTbGFA/edit?usp=sharing"",""ขอนแก่น!J755"")"),250)</f>
        <v>250</v>
      </c>
      <c r="AL33" s="216">
        <f t="shared" ca="1" si="51"/>
        <v>100</v>
      </c>
      <c r="AM33" s="152">
        <f ca="1">IFERROR(__xludf.DUMMYFUNCTION("IMPORTRANGE(""https://docs.google.com/spreadsheets/d/1aHkj4IaQMThhwWwevcOymEh837vdxeC_PycurhTbGFA/edit?usp=sharing"",""ขอนแก่น!J756"")"),0)</f>
        <v>0</v>
      </c>
      <c r="AN33" s="152">
        <f ca="1">IFERROR(__xludf.DUMMYFUNCTION("IMPORTRANGE(""https://docs.google.com/spreadsheets/d/1aHkj4IaQMThhwWwevcOymEh837vdxeC_PycurhTbGFA/edit?usp=sharing"",""ขอนแก่น!J757"")"),3)</f>
        <v>3</v>
      </c>
    </row>
    <row r="34" spans="1:40" ht="19.5" x14ac:dyDescent="0.3">
      <c r="A34" s="147">
        <v>3</v>
      </c>
      <c r="B34" s="148" t="s">
        <v>62</v>
      </c>
      <c r="C34" s="68">
        <f ca="1">IFERROR(__xludf.DUMMYFUNCTION("IMPORTRANGE(""https://docs.google.com/spreadsheets/d/1FvTu2DsIWUjP6WCWra38Bkj_oOl_sOMf14r5Fg5srxU/edit?usp=sharing"",""ชัยภูมิ!Q728"")"),1008470)</f>
        <v>1008470</v>
      </c>
      <c r="D34" s="68">
        <f ca="1">IFERROR(__xludf.DUMMYFUNCTION("IMPORTRANGE(""https://docs.google.com/spreadsheets/d/1FvTu2DsIWUjP6WCWra38Bkj_oOl_sOMf14r5Fg5srxU/edit?usp=sharing"",""ชัยภูมิ!R728"")"),1008470)</f>
        <v>1008470</v>
      </c>
      <c r="E34" s="68">
        <f ca="1">IFERROR(__xludf.DUMMYFUNCTION("IMPORTRANGE(""https://docs.google.com/spreadsheets/d/1FvTu2DsIWUjP6WCWra38Bkj_oOl_sOMf14r5Fg5srxU/edit?usp=sharing"",""ชัยภูมิ!S728"")"),189700.8)</f>
        <v>189700.8</v>
      </c>
      <c r="F34" s="68">
        <f t="shared" ca="1" si="33"/>
        <v>18.810752922744356</v>
      </c>
      <c r="G34" s="68">
        <f t="shared" ca="1" si="34"/>
        <v>18.810752922744356</v>
      </c>
      <c r="H34" s="152">
        <f ca="1">IFERROR(__xludf.DUMMYFUNCTION("IMPORTRANGE(""https://docs.google.com/spreadsheets/d/1FvTu2DsIWUjP6WCWra38Bkj_oOl_sOMf14r5Fg5srxU/edit?usp=sharing"",""ชัยภูมิ!I726"")"),128)</f>
        <v>128</v>
      </c>
      <c r="I34" s="152">
        <f ca="1">IFERROR(__xludf.DUMMYFUNCTION("IMPORTRANGE(""https://docs.google.com/spreadsheets/d/1FvTu2DsIWUjP6WCWra38Bkj_oOl_sOMf14r5Fg5srxU/edit?usp=sharing"",""ชัยภูมิ!I727"")"),1250)</f>
        <v>1250</v>
      </c>
      <c r="J34" s="152">
        <f ca="1">IFERROR(__xludf.DUMMYFUNCTION("IMPORTRANGE(""https://docs.google.com/spreadsheets/d/1FvTu2DsIWUjP6WCWra38Bkj_oOl_sOMf14r5Fg5srxU/edit?usp=sharing"",""ชัยภูมิ!J726"")"),128)</f>
        <v>128</v>
      </c>
      <c r="K34" s="216">
        <f t="shared" ca="1" si="36"/>
        <v>100</v>
      </c>
      <c r="L34" s="152">
        <f ca="1">IFERROR(__xludf.DUMMYFUNCTION("IMPORTRANGE(""https://docs.google.com/spreadsheets/d/1FvTu2DsIWUjP6WCWra38Bkj_oOl_sOMf14r5Fg5srxU/edit?usp=sharing"",""ชัยภูมิ!J727"")"),0)</f>
        <v>0</v>
      </c>
      <c r="M34" s="216">
        <f t="shared" ca="1" si="37"/>
        <v>0</v>
      </c>
      <c r="N34" s="152">
        <f ca="1">IFERROR(__xludf.DUMMYFUNCTION("IMPORTRANGE(""https://docs.google.com/spreadsheets/d/1FvTu2DsIWUjP6WCWra38Bkj_oOl_sOMf14r5Fg5srxU/edit?usp=sharing"",""ชัยภูมิ!I740"")"),1000)</f>
        <v>1000</v>
      </c>
      <c r="O34" s="152">
        <f ca="1">IFERROR(__xludf.DUMMYFUNCTION("IMPORTRANGE(""https://docs.google.com/spreadsheets/d/1FvTu2DsIWUjP6WCWra38Bkj_oOl_sOMf14r5Fg5srxU/edit?usp=sharing"",""ชัยภูมิ!J740"")"),1000)</f>
        <v>1000</v>
      </c>
      <c r="P34" s="216">
        <f t="shared" ca="1" si="39"/>
        <v>100</v>
      </c>
      <c r="Q34" s="152">
        <f ca="1">IFERROR(__xludf.DUMMYFUNCTION("IMPORTRANGE(""https://docs.google.com/spreadsheets/d/1FvTu2DsIWUjP6WCWra38Bkj_oOl_sOMf14r5Fg5srxU/edit?usp=sharing"",""ชัยภูมิ!J741"")"),0)</f>
        <v>0</v>
      </c>
      <c r="R34" s="152">
        <f ca="1">IFERROR(__xludf.DUMMYFUNCTION("IMPORTRANGE(""https://docs.google.com/spreadsheets/d/1FvTu2DsIWUjP6WCWra38Bkj_oOl_sOMf14r5Fg5srxU/edit?usp=sharing"",""ชัยภูมิ!I742"")"),100)</f>
        <v>100</v>
      </c>
      <c r="S34" s="152">
        <f ca="1">IFERROR(__xludf.DUMMYFUNCTION("IMPORTRANGE(""https://docs.google.com/spreadsheets/d/1FvTu2DsIWUjP6WCWra38Bkj_oOl_sOMf14r5Fg5srxU/edit?usp=sharing"",""ชัยภูมิ!J742"")"),100)</f>
        <v>100</v>
      </c>
      <c r="T34" s="216">
        <f t="shared" ca="1" si="41"/>
        <v>100</v>
      </c>
      <c r="U34" s="152">
        <f ca="1">IFERROR(__xludf.DUMMYFUNCTION("IMPORTRANGE(""https://docs.google.com/spreadsheets/d/1FvTu2DsIWUjP6WCWra38Bkj_oOl_sOMf14r5Fg5srxU/edit?usp=sharing"",""ชัยภูมิ!I744"")"),250)</f>
        <v>250</v>
      </c>
      <c r="V34" s="152">
        <f ca="1">IFERROR(__xludf.DUMMYFUNCTION("IMPORTRANGE(""https://docs.google.com/spreadsheets/d/1FvTu2DsIWUjP6WCWra38Bkj_oOl_sOMf14r5Fg5srxU/edit?usp=sharing"",""ชัยภูมิ!J744"")"),250)</f>
        <v>250</v>
      </c>
      <c r="W34" s="216">
        <f t="shared" ca="1" si="43"/>
        <v>100</v>
      </c>
      <c r="X34" s="152">
        <f ca="1">IFERROR(__xludf.DUMMYFUNCTION("IMPORTRANGE(""https://docs.google.com/spreadsheets/d/1FvTu2DsIWUjP6WCWra38Bkj_oOl_sOMf14r5Fg5srxU/edit?usp=sharing"",""ชัยภูมิ!J745"")"),0)</f>
        <v>0</v>
      </c>
      <c r="Y34" s="152">
        <f ca="1">IFERROR(__xludf.DUMMYFUNCTION("IMPORTRANGE(""https://docs.google.com/spreadsheets/d/1FvTu2DsIWUjP6WCWra38Bkj_oOl_sOMf14r5Fg5srxU/edit?usp=sharing"",""ชัยภูมิ!I746"")"),25)</f>
        <v>25</v>
      </c>
      <c r="Z34" s="152">
        <f ca="1">IFERROR(__xludf.DUMMYFUNCTION("IMPORTRANGE(""https://docs.google.com/spreadsheets/d/1FvTu2DsIWUjP6WCWra38Bkj_oOl_sOMf14r5Fg5srxU/edit?usp=sharing"",""ชัยภูมิ!J746"")"),25)</f>
        <v>25</v>
      </c>
      <c r="AA34" s="216">
        <f t="shared" ca="1" si="45"/>
        <v>100</v>
      </c>
      <c r="AB34" s="152">
        <f ca="1">IFERROR(__xludf.DUMMYFUNCTION("IMPORTRANGE(""https://docs.google.com/spreadsheets/d/1FvTu2DsIWUjP6WCWra38Bkj_oOl_sOMf14r5Fg5srxU/edit?usp=sharing"",""ชัยภูมิ!J748"")"),0)</f>
        <v>0</v>
      </c>
      <c r="AC34" s="152">
        <f ca="1">IFERROR(__xludf.DUMMYFUNCTION("IMPORTRANGE(""https://docs.google.com/spreadsheets/d/1FvTu2DsIWUjP6WCWra38Bkj_oOl_sOMf14r5Fg5srxU/edit?usp=sharing"",""ชัยภูมิ!I749"")"),3)</f>
        <v>3</v>
      </c>
      <c r="AD34" s="152">
        <f ca="1">IFERROR(__xludf.DUMMYFUNCTION("IMPORTRANGE(""https://docs.google.com/spreadsheets/d/1FvTu2DsIWUjP6WCWra38Bkj_oOl_sOMf14r5Fg5srxU/edit?usp=sharing"",""ชัยภูมิ!J749"")"),3)</f>
        <v>3</v>
      </c>
      <c r="AE34" s="216">
        <f t="shared" ca="1" si="47"/>
        <v>100</v>
      </c>
      <c r="AF34" s="152">
        <f ca="1">IFERROR(__xludf.DUMMYFUNCTION("IMPORTRANGE(""https://docs.google.com/spreadsheets/d/1FvTu2DsIWUjP6WCWra38Bkj_oOl_sOMf14r5Fg5srxU/edit?usp=sharing"",""ชัยภูมิ!I752"")"),1000)</f>
        <v>1000</v>
      </c>
      <c r="AG34" s="152">
        <f ca="1">IFERROR(__xludf.DUMMYFUNCTION("IMPORTRANGE(""https://docs.google.com/spreadsheets/d/1FvTu2DsIWUjP6WCWra38Bkj_oOl_sOMf14r5Fg5srxU/edit?usp=sharing"",""ชัยภูมิ!J752"")"),0)</f>
        <v>0</v>
      </c>
      <c r="AH34" s="216">
        <f t="shared" ca="1" si="49"/>
        <v>0</v>
      </c>
      <c r="AI34" s="644">
        <f ca="1">IFERROR(__xludf.DUMMYFUNCTION("IMPORTRANGE(""https://docs.google.com/spreadsheets/d/1FvTu2DsIWUjP6WCWra38Bkj_oOl_sOMf14r5Fg5srxU/edit?usp=sharing"",""ชัยภูมิ!J753"")"),0)</f>
        <v>0</v>
      </c>
      <c r="AJ34" s="152">
        <f ca="1">IFERROR(__xludf.DUMMYFUNCTION("IMPORTRANGE(""https://docs.google.com/spreadsheets/d/1FvTu2DsIWUjP6WCWra38Bkj_oOl_sOMf14r5Fg5srxU/edit?usp=sharing"",""ชัยภูมิ!I755"")"),250)</f>
        <v>250</v>
      </c>
      <c r="AK34" s="152">
        <f ca="1">IFERROR(__xludf.DUMMYFUNCTION("IMPORTRANGE(""https://docs.google.com/spreadsheets/d/1FvTu2DsIWUjP6WCWra38Bkj_oOl_sOMf14r5Fg5srxU/edit?usp=sharing"",""ชัยภูมิ!J755"")"),0)</f>
        <v>0</v>
      </c>
      <c r="AL34" s="216">
        <f t="shared" ca="1" si="51"/>
        <v>0</v>
      </c>
      <c r="AM34" s="152">
        <f ca="1">IFERROR(__xludf.DUMMYFUNCTION("IMPORTRANGE(""https://docs.google.com/spreadsheets/d/1FvTu2DsIWUjP6WCWra38Bkj_oOl_sOMf14r5Fg5srxU/edit?usp=sharing"",""ชัยภูมิ!J756"")"),0)</f>
        <v>0</v>
      </c>
      <c r="AN34" s="152">
        <f ca="1">IFERROR(__xludf.DUMMYFUNCTION("IMPORTRANGE(""https://docs.google.com/spreadsheets/d/1FvTu2DsIWUjP6WCWra38Bkj_oOl_sOMf14r5Fg5srxU/edit?usp=sharing"",""ชัยภูมิ!J757"")"),0)</f>
        <v>0</v>
      </c>
    </row>
    <row r="35" spans="1:40" ht="19.5" x14ac:dyDescent="0.3">
      <c r="A35" s="147">
        <v>4</v>
      </c>
      <c r="B35" s="148" t="s">
        <v>63</v>
      </c>
      <c r="C35" s="68">
        <f ca="1">IFERROR(__xludf.DUMMYFUNCTION("IMPORTRANGE(""https://docs.google.com/spreadsheets/d/1XVB7oCJ3pr-vBUdflwPQ8Z2LlzhnCvZaaYjAfP-647E/edit?usp=sharing"",""นครพนม!Q728"")"),1008470)</f>
        <v>1008470</v>
      </c>
      <c r="D35" s="68">
        <f ca="1">IFERROR(__xludf.DUMMYFUNCTION("IMPORTRANGE(""https://docs.google.com/spreadsheets/d/1XVB7oCJ3pr-vBUdflwPQ8Z2LlzhnCvZaaYjAfP-647E/edit?usp=sharing"",""นครพนม!R728"")"),1008470)</f>
        <v>1008470</v>
      </c>
      <c r="E35" s="68">
        <f ca="1">IFERROR(__xludf.DUMMYFUNCTION("IMPORTRANGE(""https://docs.google.com/spreadsheets/d/1XVB7oCJ3pr-vBUdflwPQ8Z2LlzhnCvZaaYjAfP-647E/edit?usp=sharing"",""นครพนม!S728"")"),678227)</f>
        <v>678227</v>
      </c>
      <c r="F35" s="68">
        <f t="shared" ca="1" si="33"/>
        <v>67.253066526520371</v>
      </c>
      <c r="G35" s="68">
        <f t="shared" ca="1" si="34"/>
        <v>67.253066526520371</v>
      </c>
      <c r="H35" s="152">
        <f ca="1">IFERROR(__xludf.DUMMYFUNCTION("IMPORTRANGE(""https://docs.google.com/spreadsheets/d/1XVB7oCJ3pr-vBUdflwPQ8Z2LlzhnCvZaaYjAfP-647E/edit?usp=sharing"",""นครพนม!I726"")"),128)</f>
        <v>128</v>
      </c>
      <c r="I35" s="152">
        <f ca="1">IFERROR(__xludf.DUMMYFUNCTION("IMPORTRANGE(""https://docs.google.com/spreadsheets/d/1XVB7oCJ3pr-vBUdflwPQ8Z2LlzhnCvZaaYjAfP-647E/edit?usp=sharing"",""นครพนม!I727"")"),1250)</f>
        <v>1250</v>
      </c>
      <c r="J35" s="152">
        <f ca="1">IFERROR(__xludf.DUMMYFUNCTION("IMPORTRANGE(""https://docs.google.com/spreadsheets/d/1XVB7oCJ3pr-vBUdflwPQ8Z2LlzhnCvZaaYjAfP-647E/edit?usp=sharing"",""นครพนม!J726"")"),157)</f>
        <v>157</v>
      </c>
      <c r="K35" s="216">
        <f t="shared" ca="1" si="36"/>
        <v>122.65625</v>
      </c>
      <c r="L35" s="152">
        <f ca="1">IFERROR(__xludf.DUMMYFUNCTION("IMPORTRANGE(""https://docs.google.com/spreadsheets/d/1XVB7oCJ3pr-vBUdflwPQ8Z2LlzhnCvZaaYjAfP-647E/edit?usp=sharing"",""นครพนม!J727"")"),1250)</f>
        <v>1250</v>
      </c>
      <c r="M35" s="216">
        <f t="shared" ca="1" si="37"/>
        <v>100</v>
      </c>
      <c r="N35" s="152">
        <f ca="1">IFERROR(__xludf.DUMMYFUNCTION("IMPORTRANGE(""https://docs.google.com/spreadsheets/d/1XVB7oCJ3pr-vBUdflwPQ8Z2LlzhnCvZaaYjAfP-647E/edit?usp=sharing"",""นครพนม!I740"")"),1000)</f>
        <v>1000</v>
      </c>
      <c r="O35" s="152">
        <f ca="1">IFERROR(__xludf.DUMMYFUNCTION("IMPORTRANGE(""https://docs.google.com/spreadsheets/d/1XVB7oCJ3pr-vBUdflwPQ8Z2LlzhnCvZaaYjAfP-647E/edit?usp=sharing"",""นครพนม!J740"")"),1000)</f>
        <v>1000</v>
      </c>
      <c r="P35" s="216">
        <f t="shared" ca="1" si="39"/>
        <v>100</v>
      </c>
      <c r="Q35" s="152">
        <f ca="1">IFERROR(__xludf.DUMMYFUNCTION("IMPORTRANGE(""https://docs.google.com/spreadsheets/d/1XVB7oCJ3pr-vBUdflwPQ8Z2LlzhnCvZaaYjAfP-647E/edit?usp=sharing"",""นครพนม!J741"")"),128)</f>
        <v>128</v>
      </c>
      <c r="R35" s="152">
        <f ca="1">IFERROR(__xludf.DUMMYFUNCTION("IMPORTRANGE(""https://docs.google.com/spreadsheets/d/1XVB7oCJ3pr-vBUdflwPQ8Z2LlzhnCvZaaYjAfP-647E/edit?usp=sharing"",""นครพนม!I742"")"),100)</f>
        <v>100</v>
      </c>
      <c r="S35" s="152">
        <f ca="1">IFERROR(__xludf.DUMMYFUNCTION("IMPORTRANGE(""https://docs.google.com/spreadsheets/d/1XVB7oCJ3pr-vBUdflwPQ8Z2LlzhnCvZaaYjAfP-647E/edit?usp=sharing"",""นครพนม!J742"")"),125)</f>
        <v>125</v>
      </c>
      <c r="T35" s="216">
        <f t="shared" ca="1" si="41"/>
        <v>125</v>
      </c>
      <c r="U35" s="152">
        <f ca="1">IFERROR(__xludf.DUMMYFUNCTION("IMPORTRANGE(""https://docs.google.com/spreadsheets/d/1XVB7oCJ3pr-vBUdflwPQ8Z2LlzhnCvZaaYjAfP-647E/edit?usp=sharing"",""นครพนม!I744"")"),250)</f>
        <v>250</v>
      </c>
      <c r="V35" s="152">
        <f ca="1">IFERROR(__xludf.DUMMYFUNCTION("IMPORTRANGE(""https://docs.google.com/spreadsheets/d/1XVB7oCJ3pr-vBUdflwPQ8Z2LlzhnCvZaaYjAfP-647E/edit?usp=sharing"",""นครพนม!J744"")"),250)</f>
        <v>250</v>
      </c>
      <c r="W35" s="216">
        <f t="shared" ca="1" si="43"/>
        <v>100</v>
      </c>
      <c r="X35" s="152">
        <f ca="1">IFERROR(__xludf.DUMMYFUNCTION("IMPORTRANGE(""https://docs.google.com/spreadsheets/d/1XVB7oCJ3pr-vBUdflwPQ8Z2LlzhnCvZaaYjAfP-647E/edit?usp=sharing"",""นครพนม!J745"")"),29)</f>
        <v>29</v>
      </c>
      <c r="Y35" s="152">
        <f ca="1">IFERROR(__xludf.DUMMYFUNCTION("IMPORTRANGE(""https://docs.google.com/spreadsheets/d/1XVB7oCJ3pr-vBUdflwPQ8Z2LlzhnCvZaaYjAfP-647E/edit?usp=sharing"",""นครพนม!I746"")"),25)</f>
        <v>25</v>
      </c>
      <c r="Z35" s="152">
        <f ca="1">IFERROR(__xludf.DUMMYFUNCTION("IMPORTRANGE(""https://docs.google.com/spreadsheets/d/1XVB7oCJ3pr-vBUdflwPQ8Z2LlzhnCvZaaYjAfP-647E/edit?usp=sharing"",""นครพนม!J746"")"),29)</f>
        <v>29</v>
      </c>
      <c r="AA35" s="216">
        <f t="shared" ca="1" si="45"/>
        <v>116</v>
      </c>
      <c r="AB35" s="152">
        <f ca="1">IFERROR(__xludf.DUMMYFUNCTION("IMPORTRANGE(""https://docs.google.com/spreadsheets/d/1XVB7oCJ3pr-vBUdflwPQ8Z2LlzhnCvZaaYjAfP-647E/edit?usp=sharing"",""นครพนม!J748"")"),25)</f>
        <v>25</v>
      </c>
      <c r="AC35" s="152">
        <f ca="1">IFERROR(__xludf.DUMMYFUNCTION("IMPORTRANGE(""https://docs.google.com/spreadsheets/d/1XVB7oCJ3pr-vBUdflwPQ8Z2LlzhnCvZaaYjAfP-647E/edit?usp=sharing"",""นครพนม!I749"")"),3)</f>
        <v>3</v>
      </c>
      <c r="AD35" s="152">
        <f ca="1">IFERROR(__xludf.DUMMYFUNCTION("IMPORTRANGE(""https://docs.google.com/spreadsheets/d/1XVB7oCJ3pr-vBUdflwPQ8Z2LlzhnCvZaaYjAfP-647E/edit?usp=sharing"",""นครพนม!J749"")"),3)</f>
        <v>3</v>
      </c>
      <c r="AE35" s="216">
        <f t="shared" ca="1" si="47"/>
        <v>100</v>
      </c>
      <c r="AF35" s="152">
        <f ca="1">IFERROR(__xludf.DUMMYFUNCTION("IMPORTRANGE(""https://docs.google.com/spreadsheets/d/1XVB7oCJ3pr-vBUdflwPQ8Z2LlzhnCvZaaYjAfP-647E/edit?usp=sharing"",""นครพนม!I752"")"),1000)</f>
        <v>1000</v>
      </c>
      <c r="AG35" s="152">
        <f ca="1">IFERROR(__xludf.DUMMYFUNCTION("IMPORTRANGE(""https://docs.google.com/spreadsheets/d/1XVB7oCJ3pr-vBUdflwPQ8Z2LlzhnCvZaaYjAfP-647E/edit?usp=sharing"",""นครพนม!J752"")"),1000)</f>
        <v>1000</v>
      </c>
      <c r="AH35" s="216">
        <f t="shared" ca="1" si="49"/>
        <v>100</v>
      </c>
      <c r="AI35" s="152">
        <f ca="1">IFERROR(__xludf.DUMMYFUNCTION("IMPORTRANGE(""https://docs.google.com/spreadsheets/d/1XVB7oCJ3pr-vBUdflwPQ8Z2LlzhnCvZaaYjAfP-647E/edit?usp=sharing"",""นครพนม!J753"")"),1000)</f>
        <v>1000</v>
      </c>
      <c r="AJ35" s="152">
        <f ca="1">IFERROR(__xludf.DUMMYFUNCTION("IMPORTRANGE(""https://docs.google.com/spreadsheets/d/1XVB7oCJ3pr-vBUdflwPQ8Z2LlzhnCvZaaYjAfP-647E/edit?usp=sharing"",""นครพนม!I755"")"),250)</f>
        <v>250</v>
      </c>
      <c r="AK35" s="152">
        <f ca="1">IFERROR(__xludf.DUMMYFUNCTION("IMPORTRANGE(""https://docs.google.com/spreadsheets/d/1XVB7oCJ3pr-vBUdflwPQ8Z2LlzhnCvZaaYjAfP-647E/edit?usp=sharing"",""นครพนม!J755"")"),250)</f>
        <v>250</v>
      </c>
      <c r="AL35" s="216">
        <f t="shared" ca="1" si="51"/>
        <v>100</v>
      </c>
      <c r="AM35" s="152">
        <f ca="1">IFERROR(__xludf.DUMMYFUNCTION("IMPORTRANGE(""https://docs.google.com/spreadsheets/d/1XVB7oCJ3pr-vBUdflwPQ8Z2LlzhnCvZaaYjAfP-647E/edit?usp=sharing"",""นครพนม!J756"")"),250)</f>
        <v>250</v>
      </c>
      <c r="AN35" s="152">
        <f ca="1">IFERROR(__xludf.DUMMYFUNCTION("IMPORTRANGE(""https://docs.google.com/spreadsheets/d/1XVB7oCJ3pr-vBUdflwPQ8Z2LlzhnCvZaaYjAfP-647E/edit?usp=sharing"",""นครพนม!J757"")"),3)</f>
        <v>3</v>
      </c>
    </row>
    <row r="36" spans="1:40" ht="19.5" x14ac:dyDescent="0.3">
      <c r="A36" s="147">
        <v>5</v>
      </c>
      <c r="B36" s="148" t="s">
        <v>64</v>
      </c>
      <c r="C36" s="68">
        <f ca="1">IFERROR(__xludf.DUMMYFUNCTION("IMPORTRANGE(""https://docs.google.com/spreadsheets/d/1Mnpb-8PYAgn85W6KOTD40hc_Xc55CaLfHoGAbrZ8tls/edit?usp=sharing"",""นครราชสีมา!Q728"")"),1008470)</f>
        <v>1008470</v>
      </c>
      <c r="D36" s="68">
        <f ca="1">IFERROR(__xludf.DUMMYFUNCTION("IMPORTRANGE(""https://docs.google.com/spreadsheets/d/1Mnpb-8PYAgn85W6KOTD40hc_Xc55CaLfHoGAbrZ8tls/edit?usp=sharing"",""นครราชสีมา!R728"")"),1008470)</f>
        <v>1008470</v>
      </c>
      <c r="E36" s="68">
        <f ca="1">IFERROR(__xludf.DUMMYFUNCTION("IMPORTRANGE(""https://docs.google.com/spreadsheets/d/1Mnpb-8PYAgn85W6KOTD40hc_Xc55CaLfHoGAbrZ8tls/edit?usp=sharing"",""นครราชสีมา!S728"")"),223457)</f>
        <v>223457</v>
      </c>
      <c r="F36" s="68">
        <f t="shared" ca="1" si="33"/>
        <v>22.158021557408748</v>
      </c>
      <c r="G36" s="68">
        <f t="shared" ca="1" si="34"/>
        <v>22.158021557408748</v>
      </c>
      <c r="H36" s="152">
        <f ca="1">IFERROR(__xludf.DUMMYFUNCTION("IMPORTRANGE(""https://docs.google.com/spreadsheets/d/1Mnpb-8PYAgn85W6KOTD40hc_Xc55CaLfHoGAbrZ8tls/edit?usp=sharing"",""นครราชสีมา!I726"")"),128)</f>
        <v>128</v>
      </c>
      <c r="I36" s="152">
        <f ca="1">IFERROR(__xludf.DUMMYFUNCTION("IMPORTRANGE(""https://docs.google.com/spreadsheets/d/1Mnpb-8PYAgn85W6KOTD40hc_Xc55CaLfHoGAbrZ8tls/edit?usp=sharing"",""นครราชสีมา!I727"")"),1250)</f>
        <v>1250</v>
      </c>
      <c r="J36" s="152">
        <f ca="1">IFERROR(__xludf.DUMMYFUNCTION("IMPORTRANGE(""https://docs.google.com/spreadsheets/d/1Mnpb-8PYAgn85W6KOTD40hc_Xc55CaLfHoGAbrZ8tls/edit?usp=sharing"",""นครราชสีมา!J726"")"),128)</f>
        <v>128</v>
      </c>
      <c r="K36" s="216">
        <f t="shared" ca="1" si="36"/>
        <v>100</v>
      </c>
      <c r="L36" s="152">
        <f ca="1">IFERROR(__xludf.DUMMYFUNCTION("IMPORTRANGE(""https://docs.google.com/spreadsheets/d/1Mnpb-8PYAgn85W6KOTD40hc_Xc55CaLfHoGAbrZ8tls/edit?usp=sharing"",""นครราชสีมา!J727"")"),0)</f>
        <v>0</v>
      </c>
      <c r="M36" s="216">
        <f t="shared" ca="1" si="37"/>
        <v>0</v>
      </c>
      <c r="N36" s="152">
        <f ca="1">IFERROR(__xludf.DUMMYFUNCTION("IMPORTRANGE(""https://docs.google.com/spreadsheets/d/1Mnpb-8PYAgn85W6KOTD40hc_Xc55CaLfHoGAbrZ8tls/edit?usp=sharing"",""นครราชสีมา!I740"")"),1000)</f>
        <v>1000</v>
      </c>
      <c r="O36" s="152">
        <f ca="1">IFERROR(__xludf.DUMMYFUNCTION("IMPORTRANGE(""https://docs.google.com/spreadsheets/d/1Mnpb-8PYAgn85W6KOTD40hc_Xc55CaLfHoGAbrZ8tls/edit?usp=sharing"",""นครราชสีมา!J740"")"),1250)</f>
        <v>1250</v>
      </c>
      <c r="P36" s="216">
        <f t="shared" ca="1" si="39"/>
        <v>125</v>
      </c>
      <c r="Q36" s="152" t="str">
        <f ca="1">IFERROR(__xludf.DUMMYFUNCTION("IMPORTRANGE(""https://docs.google.com/spreadsheets/d/1Mnpb-8PYAgn85W6KOTD40hc_Xc55CaLfHoGAbrZ8tls/edit?usp=sharing"",""นครราชสีมา!J741"")"),"")</f>
        <v/>
      </c>
      <c r="R36" s="152">
        <f ca="1">IFERROR(__xludf.DUMMYFUNCTION("IMPORTRANGE(""https://docs.google.com/spreadsheets/d/1Mnpb-8PYAgn85W6KOTD40hc_Xc55CaLfHoGAbrZ8tls/edit?usp=sharing"",""นครราชสีมา!I742"")"),100)</f>
        <v>100</v>
      </c>
      <c r="S36" s="152">
        <f ca="1">IFERROR(__xludf.DUMMYFUNCTION("IMPORTRANGE(""https://docs.google.com/spreadsheets/d/1Mnpb-8PYAgn85W6KOTD40hc_Xc55CaLfHoGAbrZ8tls/edit?usp=sharing"",""นครราชสีมา!J742"")"),100)</f>
        <v>100</v>
      </c>
      <c r="T36" s="216">
        <f t="shared" ca="1" si="41"/>
        <v>100</v>
      </c>
      <c r="U36" s="152">
        <f ca="1">IFERROR(__xludf.DUMMYFUNCTION("IMPORTRANGE(""https://docs.google.com/spreadsheets/d/1Mnpb-8PYAgn85W6KOTD40hc_Xc55CaLfHoGAbrZ8tls/edit?usp=sharing"",""นครราชสีมา!I744"")"),250)</f>
        <v>250</v>
      </c>
      <c r="V36" s="152">
        <f ca="1">IFERROR(__xludf.DUMMYFUNCTION("IMPORTRANGE(""https://docs.google.com/spreadsheets/d/1Mnpb-8PYAgn85W6KOTD40hc_Xc55CaLfHoGAbrZ8tls/edit?usp=sharing"",""นครราชสีมา!J744"")"),250)</f>
        <v>250</v>
      </c>
      <c r="W36" s="216">
        <f t="shared" ca="1" si="43"/>
        <v>100</v>
      </c>
      <c r="X36" s="152">
        <f ca="1">IFERROR(__xludf.DUMMYFUNCTION("IMPORTRANGE(""https://docs.google.com/spreadsheets/d/1Mnpb-8PYAgn85W6KOTD40hc_Xc55CaLfHoGAbrZ8tls/edit?usp=sharing"",""นครราชสีมา!J745"")"),0)</f>
        <v>0</v>
      </c>
      <c r="Y36" s="152">
        <f ca="1">IFERROR(__xludf.DUMMYFUNCTION("IMPORTRANGE(""https://docs.google.com/spreadsheets/d/1Mnpb-8PYAgn85W6KOTD40hc_Xc55CaLfHoGAbrZ8tls/edit?usp=sharing"",""นครราชสีมา!I746"")"),25)</f>
        <v>25</v>
      </c>
      <c r="Z36" s="152">
        <f ca="1">IFERROR(__xludf.DUMMYFUNCTION("IMPORTRANGE(""https://docs.google.com/spreadsheets/d/1Mnpb-8PYAgn85W6KOTD40hc_Xc55CaLfHoGAbrZ8tls/edit?usp=sharing"",""นครราชสีมา!J746"")"),25)</f>
        <v>25</v>
      </c>
      <c r="AA36" s="216">
        <f t="shared" ca="1" si="45"/>
        <v>100</v>
      </c>
      <c r="AB36" s="152">
        <f ca="1">IFERROR(__xludf.DUMMYFUNCTION("IMPORTRANGE(""https://docs.google.com/spreadsheets/d/1Mnpb-8PYAgn85W6KOTD40hc_Xc55CaLfHoGAbrZ8tls/edit?usp=sharing"",""นครราชสีมา!J748"")"),0)</f>
        <v>0</v>
      </c>
      <c r="AC36" s="152">
        <f ca="1">IFERROR(__xludf.DUMMYFUNCTION("IMPORTRANGE(""https://docs.google.com/spreadsheets/d/1Mnpb-8PYAgn85W6KOTD40hc_Xc55CaLfHoGAbrZ8tls/edit?usp=sharing"",""นครราชสีมา!I749"")"),3)</f>
        <v>3</v>
      </c>
      <c r="AD36" s="152">
        <f ca="1">IFERROR(__xludf.DUMMYFUNCTION("IMPORTRANGE(""https://docs.google.com/spreadsheets/d/1Mnpb-8PYAgn85W6KOTD40hc_Xc55CaLfHoGAbrZ8tls/edit?usp=sharing"",""นครราชสีมา!J749"")"),3)</f>
        <v>3</v>
      </c>
      <c r="AE36" s="216">
        <f t="shared" ca="1" si="47"/>
        <v>100</v>
      </c>
      <c r="AF36" s="152">
        <f ca="1">IFERROR(__xludf.DUMMYFUNCTION("IMPORTRANGE(""https://docs.google.com/spreadsheets/d/1Mnpb-8PYAgn85W6KOTD40hc_Xc55CaLfHoGAbrZ8tls/edit?usp=sharing"",""นครราชสีมา!I752"")"),1000)</f>
        <v>1000</v>
      </c>
      <c r="AG36" s="152">
        <f ca="1">IFERROR(__xludf.DUMMYFUNCTION("IMPORTRANGE(""https://docs.google.com/spreadsheets/d/1Mnpb-8PYAgn85W6KOTD40hc_Xc55CaLfHoGAbrZ8tls/edit?usp=sharing"",""นครราชสีมา!J752"")"),0)</f>
        <v>0</v>
      </c>
      <c r="AH36" s="216">
        <f t="shared" ca="1" si="49"/>
        <v>0</v>
      </c>
      <c r="AI36" s="152">
        <f ca="1">IFERROR(__xludf.DUMMYFUNCTION("IMPORTRANGE(""https://docs.google.com/spreadsheets/d/1Mnpb-8PYAgn85W6KOTD40hc_Xc55CaLfHoGAbrZ8tls/edit?usp=sharing"",""นครราชสีมา!J753"")"),0)</f>
        <v>0</v>
      </c>
      <c r="AJ36" s="152">
        <f ca="1">IFERROR(__xludf.DUMMYFUNCTION("IMPORTRANGE(""https://docs.google.com/spreadsheets/d/1Mnpb-8PYAgn85W6KOTD40hc_Xc55CaLfHoGAbrZ8tls/edit?usp=sharing"",""นครราชสีมา!I755"")"),250)</f>
        <v>250</v>
      </c>
      <c r="AK36" s="152">
        <f ca="1">IFERROR(__xludf.DUMMYFUNCTION("IMPORTRANGE(""https://docs.google.com/spreadsheets/d/1Mnpb-8PYAgn85W6KOTD40hc_Xc55CaLfHoGAbrZ8tls/edit?usp=sharing"",""นครราชสีมา!J755"")"),0)</f>
        <v>0</v>
      </c>
      <c r="AL36" s="216">
        <f t="shared" ca="1" si="51"/>
        <v>0</v>
      </c>
      <c r="AM36" s="152">
        <f ca="1">IFERROR(__xludf.DUMMYFUNCTION("IMPORTRANGE(""https://docs.google.com/spreadsheets/d/1Mnpb-8PYAgn85W6KOTD40hc_Xc55CaLfHoGAbrZ8tls/edit?usp=sharing"",""นครราชสีมา!J756"")"),250)</f>
        <v>250</v>
      </c>
      <c r="AN36" s="152">
        <f ca="1">IFERROR(__xludf.DUMMYFUNCTION("IMPORTRANGE(""https://docs.google.com/spreadsheets/d/1Mnpb-8PYAgn85W6KOTD40hc_Xc55CaLfHoGAbrZ8tls/edit?usp=sharing"",""นครราชสีมา!J757"")"),25)</f>
        <v>25</v>
      </c>
    </row>
    <row r="37" spans="1:40" ht="19.5" x14ac:dyDescent="0.3">
      <c r="A37" s="147">
        <v>6</v>
      </c>
      <c r="B37" s="148" t="s">
        <v>65</v>
      </c>
      <c r="C37" s="68">
        <f ca="1">IFERROR(__xludf.DUMMYFUNCTION("IMPORTRANGE(""https://docs.google.com/spreadsheets/d/1xoDLGBv9CYbyosIhki0kTq6IpYNj-gpjxfobnaDiut0/edit?usp=sharing"",""บึงกาฬ!Q728"")"),1008470)</f>
        <v>1008470</v>
      </c>
      <c r="D37" s="68">
        <f ca="1">IFERROR(__xludf.DUMMYFUNCTION("IMPORTRANGE(""https://docs.google.com/spreadsheets/d/1xoDLGBv9CYbyosIhki0kTq6IpYNj-gpjxfobnaDiut0/edit?usp=sharing"",""บึงกาฬ!R728"")"),1008470)</f>
        <v>1008470</v>
      </c>
      <c r="E37" s="68">
        <f ca="1">IFERROR(__xludf.DUMMYFUNCTION("IMPORTRANGE(""https://docs.google.com/spreadsheets/d/1xoDLGBv9CYbyosIhki0kTq6IpYNj-gpjxfobnaDiut0/edit?usp=sharing"",""บึงกาฬ!S728"")"),243031)</f>
        <v>243031</v>
      </c>
      <c r="F37" s="68">
        <f t="shared" ca="1" si="33"/>
        <v>24.098981625630906</v>
      </c>
      <c r="G37" s="68">
        <f t="shared" ca="1" si="34"/>
        <v>24.098981625630906</v>
      </c>
      <c r="H37" s="152">
        <f ca="1">IFERROR(__xludf.DUMMYFUNCTION("IMPORTRANGE(""https://docs.google.com/spreadsheets/d/1xoDLGBv9CYbyosIhki0kTq6IpYNj-gpjxfobnaDiut0/edit?usp=sharing"",""บึงกาฬ!I726"")"),128)</f>
        <v>128</v>
      </c>
      <c r="I37" s="152">
        <f ca="1">IFERROR(__xludf.DUMMYFUNCTION("IMPORTRANGE(""https://docs.google.com/spreadsheets/d/1xoDLGBv9CYbyosIhki0kTq6IpYNj-gpjxfobnaDiut0/edit?usp=sharing"",""บึงกาฬ!I727"")"),1250)</f>
        <v>1250</v>
      </c>
      <c r="J37" s="152">
        <f ca="1">IFERROR(__xludf.DUMMYFUNCTION("IMPORTRANGE(""https://docs.google.com/spreadsheets/d/1xoDLGBv9CYbyosIhki0kTq6IpYNj-gpjxfobnaDiut0/edit?usp=sharing"",""บึงกาฬ!J726"")"),128)</f>
        <v>128</v>
      </c>
      <c r="K37" s="216">
        <f t="shared" ca="1" si="36"/>
        <v>100</v>
      </c>
      <c r="L37" s="152">
        <f ca="1">IFERROR(__xludf.DUMMYFUNCTION("IMPORTRANGE(""https://docs.google.com/spreadsheets/d/1xoDLGBv9CYbyosIhki0kTq6IpYNj-gpjxfobnaDiut0/edit?usp=sharing"",""บึงกาฬ!J727"")"),0)</f>
        <v>0</v>
      </c>
      <c r="M37" s="216">
        <f t="shared" ca="1" si="37"/>
        <v>0</v>
      </c>
      <c r="N37" s="152">
        <f ca="1">IFERROR(__xludf.DUMMYFUNCTION("IMPORTRANGE(""https://docs.google.com/spreadsheets/d/1xoDLGBv9CYbyosIhki0kTq6IpYNj-gpjxfobnaDiut0/edit?usp=sharing"",""บึงกาฬ!I740"")"),1000)</f>
        <v>1000</v>
      </c>
      <c r="O37" s="152">
        <f ca="1">IFERROR(__xludf.DUMMYFUNCTION("IMPORTRANGE(""https://docs.google.com/spreadsheets/d/1xoDLGBv9CYbyosIhki0kTq6IpYNj-gpjxfobnaDiut0/edit?usp=sharing"",""บึงกาฬ!J740"")"),1000)</f>
        <v>1000</v>
      </c>
      <c r="P37" s="216">
        <f t="shared" ca="1" si="39"/>
        <v>100</v>
      </c>
      <c r="Q37" s="152">
        <f ca="1">IFERROR(__xludf.DUMMYFUNCTION("IMPORTRANGE(""https://docs.google.com/spreadsheets/d/1xoDLGBv9CYbyosIhki0kTq6IpYNj-gpjxfobnaDiut0/edit?usp=sharing"",""บึงกาฬ!J741"")"),100)</f>
        <v>100</v>
      </c>
      <c r="R37" s="152">
        <f ca="1">IFERROR(__xludf.DUMMYFUNCTION("IMPORTRANGE(""https://docs.google.com/spreadsheets/d/1xoDLGBv9CYbyosIhki0kTq6IpYNj-gpjxfobnaDiut0/edit?usp=sharing"",""บึงกาฬ!I742"")"),100)</f>
        <v>100</v>
      </c>
      <c r="S37" s="152">
        <f ca="1">IFERROR(__xludf.DUMMYFUNCTION("IMPORTRANGE(""https://docs.google.com/spreadsheets/d/1xoDLGBv9CYbyosIhki0kTq6IpYNj-gpjxfobnaDiut0/edit?usp=sharing"",""บึงกาฬ!J742"")"),100)</f>
        <v>100</v>
      </c>
      <c r="T37" s="216">
        <f t="shared" ca="1" si="41"/>
        <v>100</v>
      </c>
      <c r="U37" s="152">
        <f ca="1">IFERROR(__xludf.DUMMYFUNCTION("IMPORTRANGE(""https://docs.google.com/spreadsheets/d/1xoDLGBv9CYbyosIhki0kTq6IpYNj-gpjxfobnaDiut0/edit?usp=sharing"",""บึงกาฬ!I744"")"),250)</f>
        <v>250</v>
      </c>
      <c r="V37" s="152">
        <f ca="1">IFERROR(__xludf.DUMMYFUNCTION("IMPORTRANGE(""https://docs.google.com/spreadsheets/d/1xoDLGBv9CYbyosIhki0kTq6IpYNj-gpjxfobnaDiut0/edit?usp=sharing"",""บึงกาฬ!J744"")"),250)</f>
        <v>250</v>
      </c>
      <c r="W37" s="216">
        <f t="shared" ca="1" si="43"/>
        <v>100</v>
      </c>
      <c r="X37" s="152">
        <f ca="1">IFERROR(__xludf.DUMMYFUNCTION("IMPORTRANGE(""https://docs.google.com/spreadsheets/d/1xoDLGBv9CYbyosIhki0kTq6IpYNj-gpjxfobnaDiut0/edit?usp=sharing"",""บึงกาฬ!J745"")"),25)</f>
        <v>25</v>
      </c>
      <c r="Y37" s="152">
        <f ca="1">IFERROR(__xludf.DUMMYFUNCTION("IMPORTRANGE(""https://docs.google.com/spreadsheets/d/1xoDLGBv9CYbyosIhki0kTq6IpYNj-gpjxfobnaDiut0/edit?usp=sharing"",""บึงกาฬ!I746"")"),25)</f>
        <v>25</v>
      </c>
      <c r="Z37" s="152">
        <f ca="1">IFERROR(__xludf.DUMMYFUNCTION("IMPORTRANGE(""https://docs.google.com/spreadsheets/d/1xoDLGBv9CYbyosIhki0kTq6IpYNj-gpjxfobnaDiut0/edit?usp=sharing"",""บึงกาฬ!J746"")"),25)</f>
        <v>25</v>
      </c>
      <c r="AA37" s="216">
        <f t="shared" ca="1" si="45"/>
        <v>100</v>
      </c>
      <c r="AB37" s="152">
        <f ca="1">IFERROR(__xludf.DUMMYFUNCTION("IMPORTRANGE(""https://docs.google.com/spreadsheets/d/1xoDLGBv9CYbyosIhki0kTq6IpYNj-gpjxfobnaDiut0/edit?usp=sharing"",""บึงกาฬ!J748"")"),3)</f>
        <v>3</v>
      </c>
      <c r="AC37" s="152">
        <f ca="1">IFERROR(__xludf.DUMMYFUNCTION("IMPORTRANGE(""https://docs.google.com/spreadsheets/d/1xoDLGBv9CYbyosIhki0kTq6IpYNj-gpjxfobnaDiut0/edit?usp=sharing"",""บึงกาฬ!I749"")"),3)</f>
        <v>3</v>
      </c>
      <c r="AD37" s="152">
        <f ca="1">IFERROR(__xludf.DUMMYFUNCTION("IMPORTRANGE(""https://docs.google.com/spreadsheets/d/1xoDLGBv9CYbyosIhki0kTq6IpYNj-gpjxfobnaDiut0/edit?usp=sharing"",""บึงกาฬ!J749"")"),3)</f>
        <v>3</v>
      </c>
      <c r="AE37" s="216">
        <f t="shared" ca="1" si="47"/>
        <v>100</v>
      </c>
      <c r="AF37" s="152">
        <f ca="1">IFERROR(__xludf.DUMMYFUNCTION("IMPORTRANGE(""https://docs.google.com/spreadsheets/d/1xoDLGBv9CYbyosIhki0kTq6IpYNj-gpjxfobnaDiut0/edit?usp=sharing"",""บึงกาฬ!I752"")"),1000)</f>
        <v>1000</v>
      </c>
      <c r="AG37" s="152">
        <f ca="1">IFERROR(__xludf.DUMMYFUNCTION("IMPORTRANGE(""https://docs.google.com/spreadsheets/d/1xoDLGBv9CYbyosIhki0kTq6IpYNj-gpjxfobnaDiut0/edit?usp=sharing"",""บึงกาฬ!J752"")"),0)</f>
        <v>0</v>
      </c>
      <c r="AH37" s="216">
        <f t="shared" ca="1" si="49"/>
        <v>0</v>
      </c>
      <c r="AI37" s="152">
        <f ca="1">IFERROR(__xludf.DUMMYFUNCTION("IMPORTRANGE(""https://docs.google.com/spreadsheets/d/1xoDLGBv9CYbyosIhki0kTq6IpYNj-gpjxfobnaDiut0/edit?usp=sharing"",""บึงกาฬ!J753"")"),0)</f>
        <v>0</v>
      </c>
      <c r="AJ37" s="152">
        <f ca="1">IFERROR(__xludf.DUMMYFUNCTION("IMPORTRANGE(""https://docs.google.com/spreadsheets/d/1xoDLGBv9CYbyosIhki0kTq6IpYNj-gpjxfobnaDiut0/edit?usp=sharing"",""บึงกาฬ!I755"")"),250)</f>
        <v>250</v>
      </c>
      <c r="AK37" s="152">
        <f ca="1">IFERROR(__xludf.DUMMYFUNCTION("IMPORTRANGE(""https://docs.google.com/spreadsheets/d/1xoDLGBv9CYbyosIhki0kTq6IpYNj-gpjxfobnaDiut0/edit?usp=sharing"",""บึงกาฬ!J755"")"),0)</f>
        <v>0</v>
      </c>
      <c r="AL37" s="216">
        <f t="shared" ca="1" si="51"/>
        <v>0</v>
      </c>
      <c r="AM37" s="152">
        <f ca="1">IFERROR(__xludf.DUMMYFUNCTION("IMPORTRANGE(""https://docs.google.com/spreadsheets/d/1xoDLGBv9CYbyosIhki0kTq6IpYNj-gpjxfobnaDiut0/edit?usp=sharing"",""บึงกาฬ!J756"")"),0)</f>
        <v>0</v>
      </c>
      <c r="AN37" s="152">
        <f ca="1">IFERROR(__xludf.DUMMYFUNCTION("IMPORTRANGE(""https://docs.google.com/spreadsheets/d/1xoDLGBv9CYbyosIhki0kTq6IpYNj-gpjxfobnaDiut0/edit?usp=sharing"",""บึงกาฬ!J757"")"),0)</f>
        <v>0</v>
      </c>
    </row>
    <row r="38" spans="1:40" ht="19.5" x14ac:dyDescent="0.3">
      <c r="A38" s="147">
        <v>7</v>
      </c>
      <c r="B38" s="148" t="s">
        <v>66</v>
      </c>
      <c r="C38" s="68">
        <f ca="1">IFERROR(__xludf.DUMMYFUNCTION("IMPORTRANGE(""https://docs.google.com/spreadsheets/d/1MMPq-JyI6DSgQETxuSiXkesP-P7JHuemnE6QJIa-Nlw/edit?usp=sharing"",""บุรีรัมย์!Q728"")"),1008470)</f>
        <v>1008470</v>
      </c>
      <c r="D38" s="68">
        <f ca="1">IFERROR(__xludf.DUMMYFUNCTION("IMPORTRANGE(""https://docs.google.com/spreadsheets/d/1MMPq-JyI6DSgQETxuSiXkesP-P7JHuemnE6QJIa-Nlw/edit?usp=sharing"",""บุรีรัมย์!R728"")"),1008470)</f>
        <v>1008470</v>
      </c>
      <c r="E38" s="68">
        <f ca="1">IFERROR(__xludf.DUMMYFUNCTION("IMPORTRANGE(""https://docs.google.com/spreadsheets/d/1MMPq-JyI6DSgQETxuSiXkesP-P7JHuemnE6QJIa-Nlw/edit?usp=sharing"",""บุรีรัมย์!S728"")"),257846.67)</f>
        <v>257846.67</v>
      </c>
      <c r="F38" s="68">
        <f t="shared" ca="1" si="33"/>
        <v>25.56810514938471</v>
      </c>
      <c r="G38" s="68">
        <f t="shared" ca="1" si="34"/>
        <v>25.56810514938471</v>
      </c>
      <c r="H38" s="152">
        <f ca="1">IFERROR(__xludf.DUMMYFUNCTION("IMPORTRANGE(""https://docs.google.com/spreadsheets/d/1MMPq-JyI6DSgQETxuSiXkesP-P7JHuemnE6QJIa-Nlw/edit?usp=sharing"",""บุรีรัมย์!I726"")"),128)</f>
        <v>128</v>
      </c>
      <c r="I38" s="152">
        <f ca="1">IFERROR(__xludf.DUMMYFUNCTION("IMPORTRANGE(""https://docs.google.com/spreadsheets/d/1MMPq-JyI6DSgQETxuSiXkesP-P7JHuemnE6QJIa-Nlw/edit?usp=sharing"",""บุรีรัมย์!I727"")"),1250)</f>
        <v>1250</v>
      </c>
      <c r="J38" s="152">
        <f ca="1">IFERROR(__xludf.DUMMYFUNCTION("IMPORTRANGE(""https://docs.google.com/spreadsheets/d/1MMPq-JyI6DSgQETxuSiXkesP-P7JHuemnE6QJIa-Nlw/edit?usp=sharing"",""บุรีรัมย์!J726"")"),128)</f>
        <v>128</v>
      </c>
      <c r="K38" s="216">
        <f t="shared" ca="1" si="36"/>
        <v>100</v>
      </c>
      <c r="L38" s="152">
        <f ca="1">IFERROR(__xludf.DUMMYFUNCTION("IMPORTRANGE(""https://docs.google.com/spreadsheets/d/1MMPq-JyI6DSgQETxuSiXkesP-P7JHuemnE6QJIa-Nlw/edit?usp=sharing"",""บุรีรัมย์!J727"")"),0)</f>
        <v>0</v>
      </c>
      <c r="M38" s="216">
        <f t="shared" ca="1" si="37"/>
        <v>0</v>
      </c>
      <c r="N38" s="152">
        <f ca="1">IFERROR(__xludf.DUMMYFUNCTION("IMPORTRANGE(""https://docs.google.com/spreadsheets/d/1MMPq-JyI6DSgQETxuSiXkesP-P7JHuemnE6QJIa-Nlw/edit?usp=sharing"",""บุรีรัมย์!I740"")"),1000)</f>
        <v>1000</v>
      </c>
      <c r="O38" s="152">
        <f ca="1">IFERROR(__xludf.DUMMYFUNCTION("IMPORTRANGE(""https://docs.google.com/spreadsheets/d/1MMPq-JyI6DSgQETxuSiXkesP-P7JHuemnE6QJIa-Nlw/edit?usp=sharing"",""บุรีรัมย์!J740"")"),1000)</f>
        <v>1000</v>
      </c>
      <c r="P38" s="216">
        <f t="shared" ca="1" si="39"/>
        <v>100</v>
      </c>
      <c r="Q38" s="152">
        <f ca="1">IFERROR(__xludf.DUMMYFUNCTION("IMPORTRANGE(""https://docs.google.com/spreadsheets/d/1MMPq-JyI6DSgQETxuSiXkesP-P7JHuemnE6QJIa-Nlw/edit?usp=sharing"",""บุรีรัมย์!J741"")"),100)</f>
        <v>100</v>
      </c>
      <c r="R38" s="152">
        <f ca="1">IFERROR(__xludf.DUMMYFUNCTION("IMPORTRANGE(""https://docs.google.com/spreadsheets/d/1MMPq-JyI6DSgQETxuSiXkesP-P7JHuemnE6QJIa-Nlw/edit?usp=sharing"",""บุรีรัมย์!I742"")"),100)</f>
        <v>100</v>
      </c>
      <c r="S38" s="152">
        <f ca="1">IFERROR(__xludf.DUMMYFUNCTION("IMPORTRANGE(""https://docs.google.com/spreadsheets/d/1MMPq-JyI6DSgQETxuSiXkesP-P7JHuemnE6QJIa-Nlw/edit?usp=sharing"",""บุรีรัมย์!J742"")"),100)</f>
        <v>100</v>
      </c>
      <c r="T38" s="216">
        <f t="shared" ca="1" si="41"/>
        <v>100</v>
      </c>
      <c r="U38" s="152">
        <f ca="1">IFERROR(__xludf.DUMMYFUNCTION("IMPORTRANGE(""https://docs.google.com/spreadsheets/d/1MMPq-JyI6DSgQETxuSiXkesP-P7JHuemnE6QJIa-Nlw/edit?usp=sharing"",""บุรีรัมย์!I744"")"),250)</f>
        <v>250</v>
      </c>
      <c r="V38" s="152">
        <f ca="1">IFERROR(__xludf.DUMMYFUNCTION("IMPORTRANGE(""https://docs.google.com/spreadsheets/d/1MMPq-JyI6DSgQETxuSiXkesP-P7JHuemnE6QJIa-Nlw/edit?usp=sharing"",""บุรีรัมย์!J744"")"),250)</f>
        <v>250</v>
      </c>
      <c r="W38" s="216">
        <f t="shared" ca="1" si="43"/>
        <v>100</v>
      </c>
      <c r="X38" s="152">
        <f ca="1">IFERROR(__xludf.DUMMYFUNCTION("IMPORTRANGE(""https://docs.google.com/spreadsheets/d/1MMPq-JyI6DSgQETxuSiXkesP-P7JHuemnE6QJIa-Nlw/edit?usp=sharing"",""บุรีรัมย์!J745"")"),25)</f>
        <v>25</v>
      </c>
      <c r="Y38" s="152">
        <f ca="1">IFERROR(__xludf.DUMMYFUNCTION("IMPORTRANGE(""https://docs.google.com/spreadsheets/d/1MMPq-JyI6DSgQETxuSiXkesP-P7JHuemnE6QJIa-Nlw/edit?usp=sharing"",""บุรีรัมย์!I746"")"),25)</f>
        <v>25</v>
      </c>
      <c r="Z38" s="152">
        <f ca="1">IFERROR(__xludf.DUMMYFUNCTION("IMPORTRANGE(""https://docs.google.com/spreadsheets/d/1MMPq-JyI6DSgQETxuSiXkesP-P7JHuemnE6QJIa-Nlw/edit?usp=sharing"",""บุรีรัมย์!J746"")"),25)</f>
        <v>25</v>
      </c>
      <c r="AA38" s="216">
        <f t="shared" ca="1" si="45"/>
        <v>100</v>
      </c>
      <c r="AB38" s="152">
        <f ca="1">IFERROR(__xludf.DUMMYFUNCTION("IMPORTRANGE(""https://docs.google.com/spreadsheets/d/1MMPq-JyI6DSgQETxuSiXkesP-P7JHuemnE6QJIa-Nlw/edit?usp=sharing"",""บุรีรัมย์!J748"")"),3)</f>
        <v>3</v>
      </c>
      <c r="AC38" s="152">
        <f ca="1">IFERROR(__xludf.DUMMYFUNCTION("IMPORTRANGE(""https://docs.google.com/spreadsheets/d/1MMPq-JyI6DSgQETxuSiXkesP-P7JHuemnE6QJIa-Nlw/edit?usp=sharing"",""บุรีรัมย์!I749"")"),3)</f>
        <v>3</v>
      </c>
      <c r="AD38" s="152">
        <f ca="1">IFERROR(__xludf.DUMMYFUNCTION("IMPORTRANGE(""https://docs.google.com/spreadsheets/d/1MMPq-JyI6DSgQETxuSiXkesP-P7JHuemnE6QJIa-Nlw/edit?usp=sharing"",""บุรีรัมย์!J749"")"),3)</f>
        <v>3</v>
      </c>
      <c r="AE38" s="216">
        <f t="shared" ca="1" si="47"/>
        <v>100</v>
      </c>
      <c r="AF38" s="152">
        <f ca="1">IFERROR(__xludf.DUMMYFUNCTION("IMPORTRANGE(""https://docs.google.com/spreadsheets/d/1MMPq-JyI6DSgQETxuSiXkesP-P7JHuemnE6QJIa-Nlw/edit?usp=sharing"",""บุรีรัมย์!I752"")"),1000)</f>
        <v>1000</v>
      </c>
      <c r="AG38" s="152">
        <f ca="1">IFERROR(__xludf.DUMMYFUNCTION("IMPORTRANGE(""https://docs.google.com/spreadsheets/d/1MMPq-JyI6DSgQETxuSiXkesP-P7JHuemnE6QJIa-Nlw/edit?usp=sharing"",""บุรีรัมย์!J752"")"),0)</f>
        <v>0</v>
      </c>
      <c r="AH38" s="216">
        <f t="shared" ca="1" si="49"/>
        <v>0</v>
      </c>
      <c r="AI38" s="152">
        <f ca="1">IFERROR(__xludf.DUMMYFUNCTION("IMPORTRANGE(""https://docs.google.com/spreadsheets/d/1MMPq-JyI6DSgQETxuSiXkesP-P7JHuemnE6QJIa-Nlw/edit?usp=sharing"",""บุรีรัมย์!J753"")"),0)</f>
        <v>0</v>
      </c>
      <c r="AJ38" s="152">
        <f ca="1">IFERROR(__xludf.DUMMYFUNCTION("IMPORTRANGE(""https://docs.google.com/spreadsheets/d/1MMPq-JyI6DSgQETxuSiXkesP-P7JHuemnE6QJIa-Nlw/edit?usp=sharing"",""บุรีรัมย์!I755"")"),250)</f>
        <v>250</v>
      </c>
      <c r="AK38" s="152">
        <f ca="1">IFERROR(__xludf.DUMMYFUNCTION("IMPORTRANGE(""https://docs.google.com/spreadsheets/d/1MMPq-JyI6DSgQETxuSiXkesP-P7JHuemnE6QJIa-Nlw/edit?usp=sharing"",""บุรีรัมย์!J755"")"),0)</f>
        <v>0</v>
      </c>
      <c r="AL38" s="216">
        <f t="shared" ca="1" si="51"/>
        <v>0</v>
      </c>
      <c r="AM38" s="152">
        <f ca="1">IFERROR(__xludf.DUMMYFUNCTION("IMPORTRANGE(""https://docs.google.com/spreadsheets/d/1MMPq-JyI6DSgQETxuSiXkesP-P7JHuemnE6QJIa-Nlw/edit?usp=sharing"",""บุรีรัมย์!J756"")"),0)</f>
        <v>0</v>
      </c>
      <c r="AN38" s="152">
        <f ca="1">IFERROR(__xludf.DUMMYFUNCTION("IMPORTRANGE(""https://docs.google.com/spreadsheets/d/1MMPq-JyI6DSgQETxuSiXkesP-P7JHuemnE6QJIa-Nlw/edit?usp=sharing"",""บุรีรัมย์!J757"")"),0)</f>
        <v>0</v>
      </c>
    </row>
    <row r="39" spans="1:40" ht="19.5" x14ac:dyDescent="0.3">
      <c r="A39" s="147">
        <v>8</v>
      </c>
      <c r="B39" s="148" t="s">
        <v>67</v>
      </c>
      <c r="C39" s="68">
        <f ca="1">IFERROR(__xludf.DUMMYFUNCTION("IMPORTRANGE(""https://docs.google.com/spreadsheets/d/1l6IZ8xUPgMrESzcTYwhA1k_tPjeQjJPTqlm8Gd9eU5g/edit?usp=sharing"",""มหาสารคาม!Q728"")"),1008470)</f>
        <v>1008470</v>
      </c>
      <c r="D39" s="68">
        <f ca="1">IFERROR(__xludf.DUMMYFUNCTION("IMPORTRANGE(""https://docs.google.com/spreadsheets/d/1l6IZ8xUPgMrESzcTYwhA1k_tPjeQjJPTqlm8Gd9eU5g/edit?usp=sharing"",""มหาสารคาม!R728"")"),616079.68)</f>
        <v>616079.68000000005</v>
      </c>
      <c r="E39" s="68">
        <f ca="1">IFERROR(__xludf.DUMMYFUNCTION("IMPORTRANGE(""https://docs.google.com/spreadsheets/d/1l6IZ8xUPgMrESzcTYwhA1k_tPjeQjJPTqlm8Gd9eU5g/edit?usp=sharing"",""มหาสารคาม!S728"")"),482944.68)</f>
        <v>482944.68</v>
      </c>
      <c r="F39" s="68">
        <f t="shared" ca="1" si="33"/>
        <v>47.888849445199163</v>
      </c>
      <c r="G39" s="68">
        <f t="shared" ca="1" si="34"/>
        <v>78.38997059601121</v>
      </c>
      <c r="H39" s="152">
        <f ca="1">IFERROR(__xludf.DUMMYFUNCTION("IMPORTRANGE(""https://docs.google.com/spreadsheets/d/1l6IZ8xUPgMrESzcTYwhA1k_tPjeQjJPTqlm8Gd9eU5g/edit?usp=sharing"",""มหาสารคาม!I726"")"),128)</f>
        <v>128</v>
      </c>
      <c r="I39" s="152">
        <f ca="1">IFERROR(__xludf.DUMMYFUNCTION("IMPORTRANGE(""https://docs.google.com/spreadsheets/d/1l6IZ8xUPgMrESzcTYwhA1k_tPjeQjJPTqlm8Gd9eU5g/edit?usp=sharing"",""มหาสารคาม!I727"")"),1250)</f>
        <v>1250</v>
      </c>
      <c r="J39" s="152">
        <f ca="1">IFERROR(__xludf.DUMMYFUNCTION("IMPORTRANGE(""https://docs.google.com/spreadsheets/d/1l6IZ8xUPgMrESzcTYwhA1k_tPjeQjJPTqlm8Gd9eU5g/edit?usp=sharing"",""มหาสารคาม!J726"")"),129)</f>
        <v>129</v>
      </c>
      <c r="K39" s="216">
        <f t="shared" ca="1" si="36"/>
        <v>100.78125</v>
      </c>
      <c r="L39" s="152">
        <f ca="1">IFERROR(__xludf.DUMMYFUNCTION("IMPORTRANGE(""https://docs.google.com/spreadsheets/d/1l6IZ8xUPgMrESzcTYwhA1k_tPjeQjJPTqlm8Gd9eU5g/edit?usp=sharing"",""มหาสารคาม!J727"")"),1250)</f>
        <v>1250</v>
      </c>
      <c r="M39" s="216">
        <f t="shared" ca="1" si="37"/>
        <v>100</v>
      </c>
      <c r="N39" s="152">
        <f ca="1">IFERROR(__xludf.DUMMYFUNCTION("IMPORTRANGE(""https://docs.google.com/spreadsheets/d/1l6IZ8xUPgMrESzcTYwhA1k_tPjeQjJPTqlm8Gd9eU5g/edit?usp=sharing"",""มหาสารคาม!I740"")"),1000)</f>
        <v>1000</v>
      </c>
      <c r="O39" s="152">
        <f ca="1">IFERROR(__xludf.DUMMYFUNCTION("IMPORTRANGE(""https://docs.google.com/spreadsheets/d/1l6IZ8xUPgMrESzcTYwhA1k_tPjeQjJPTqlm8Gd9eU5g/edit?usp=sharing"",""มหาสารคาม!J740"")"),1000)</f>
        <v>1000</v>
      </c>
      <c r="P39" s="216">
        <f t="shared" ca="1" si="39"/>
        <v>100</v>
      </c>
      <c r="Q39" s="152">
        <f ca="1">IFERROR(__xludf.DUMMYFUNCTION("IMPORTRANGE(""https://docs.google.com/spreadsheets/d/1l6IZ8xUPgMrESzcTYwhA1k_tPjeQjJPTqlm8Gd9eU5g/edit?usp=sharing"",""มหาสารคาม!J741"")"),182)</f>
        <v>182</v>
      </c>
      <c r="R39" s="152">
        <f ca="1">IFERROR(__xludf.DUMMYFUNCTION("IMPORTRANGE(""https://docs.google.com/spreadsheets/d/1l6IZ8xUPgMrESzcTYwhA1k_tPjeQjJPTqlm8Gd9eU5g/edit?usp=sharing"",""มหาสารคาม!I742"")"),100)</f>
        <v>100</v>
      </c>
      <c r="S39" s="152">
        <f ca="1">IFERROR(__xludf.DUMMYFUNCTION("IMPORTRANGE(""https://docs.google.com/spreadsheets/d/1l6IZ8xUPgMrESzcTYwhA1k_tPjeQjJPTqlm8Gd9eU5g/edit?usp=sharing"",""มหาสารคาม!J742"")"),100)</f>
        <v>100</v>
      </c>
      <c r="T39" s="216">
        <f t="shared" ca="1" si="41"/>
        <v>100</v>
      </c>
      <c r="U39" s="152">
        <f ca="1">IFERROR(__xludf.DUMMYFUNCTION("IMPORTRANGE(""https://docs.google.com/spreadsheets/d/1l6IZ8xUPgMrESzcTYwhA1k_tPjeQjJPTqlm8Gd9eU5g/edit?usp=sharing"",""มหาสารคาม!I744"")"),250)</f>
        <v>250</v>
      </c>
      <c r="V39" s="152">
        <f ca="1">IFERROR(__xludf.DUMMYFUNCTION("IMPORTRANGE(""https://docs.google.com/spreadsheets/d/1l6IZ8xUPgMrESzcTYwhA1k_tPjeQjJPTqlm8Gd9eU5g/edit?usp=sharing"",""มหาสารคาม!J744"")"),250)</f>
        <v>250</v>
      </c>
      <c r="W39" s="216">
        <f t="shared" ca="1" si="43"/>
        <v>100</v>
      </c>
      <c r="X39" s="152">
        <f ca="1">IFERROR(__xludf.DUMMYFUNCTION("IMPORTRANGE(""https://docs.google.com/spreadsheets/d/1l6IZ8xUPgMrESzcTYwhA1k_tPjeQjJPTqlm8Gd9eU5g/edit?usp=sharing"",""มหาสารคาม!J745"")"),39)</f>
        <v>39</v>
      </c>
      <c r="Y39" s="152">
        <f ca="1">IFERROR(__xludf.DUMMYFUNCTION("IMPORTRANGE(""https://docs.google.com/spreadsheets/d/1l6IZ8xUPgMrESzcTYwhA1k_tPjeQjJPTqlm8Gd9eU5g/edit?usp=sharing"",""มหาสารคาม!I746"")"),25)</f>
        <v>25</v>
      </c>
      <c r="Z39" s="152">
        <f ca="1">IFERROR(__xludf.DUMMYFUNCTION("IMPORTRANGE(""https://docs.google.com/spreadsheets/d/1l6IZ8xUPgMrESzcTYwhA1k_tPjeQjJPTqlm8Gd9eU5g/edit?usp=sharing"",""มหาสารคาม!J746"")"),26)</f>
        <v>26</v>
      </c>
      <c r="AA39" s="216">
        <f t="shared" ca="1" si="45"/>
        <v>104</v>
      </c>
      <c r="AB39" s="152">
        <f ca="1">IFERROR(__xludf.DUMMYFUNCTION("IMPORTRANGE(""https://docs.google.com/spreadsheets/d/1l6IZ8xUPgMrESzcTYwhA1k_tPjeQjJPTqlm8Gd9eU5g/edit?usp=sharing"",""มหาสารคาม!J748"")"),3)</f>
        <v>3</v>
      </c>
      <c r="AC39" s="152">
        <f ca="1">IFERROR(__xludf.DUMMYFUNCTION("IMPORTRANGE(""https://docs.google.com/spreadsheets/d/1l6IZ8xUPgMrESzcTYwhA1k_tPjeQjJPTqlm8Gd9eU5g/edit?usp=sharing"",""มหาสารคาม!I749"")"),3)</f>
        <v>3</v>
      </c>
      <c r="AD39" s="152">
        <f ca="1">IFERROR(__xludf.DUMMYFUNCTION("IMPORTRANGE(""https://docs.google.com/spreadsheets/d/1l6IZ8xUPgMrESzcTYwhA1k_tPjeQjJPTqlm8Gd9eU5g/edit?usp=sharing"",""มหาสารคาม!J749"")"),3)</f>
        <v>3</v>
      </c>
      <c r="AE39" s="216">
        <f t="shared" ca="1" si="47"/>
        <v>100</v>
      </c>
      <c r="AF39" s="152">
        <f ca="1">IFERROR(__xludf.DUMMYFUNCTION("IMPORTRANGE(""https://docs.google.com/spreadsheets/d/1l6IZ8xUPgMrESzcTYwhA1k_tPjeQjJPTqlm8Gd9eU5g/edit?usp=sharing"",""มหาสารคาม!I752"")"),1000)</f>
        <v>1000</v>
      </c>
      <c r="AG39" s="152">
        <f ca="1">IFERROR(__xludf.DUMMYFUNCTION("IMPORTRANGE(""https://docs.google.com/spreadsheets/d/1l6IZ8xUPgMrESzcTYwhA1k_tPjeQjJPTqlm8Gd9eU5g/edit?usp=sharing"",""มหาสารคาม!J752"")"),1000)</f>
        <v>1000</v>
      </c>
      <c r="AH39" s="216">
        <f t="shared" ca="1" si="49"/>
        <v>100</v>
      </c>
      <c r="AI39" s="152">
        <f ca="1">IFERROR(__xludf.DUMMYFUNCTION("IMPORTRANGE(""https://docs.google.com/spreadsheets/d/1l6IZ8xUPgMrESzcTYwhA1k_tPjeQjJPTqlm8Gd9eU5g/edit?usp=sharing"",""มหาสารคาม!J753"")"),1000)</f>
        <v>1000</v>
      </c>
      <c r="AJ39" s="152">
        <f ca="1">IFERROR(__xludf.DUMMYFUNCTION("IMPORTRANGE(""https://docs.google.com/spreadsheets/d/1l6IZ8xUPgMrESzcTYwhA1k_tPjeQjJPTqlm8Gd9eU5g/edit?usp=sharing"",""มหาสารคาม!I755"")"),250)</f>
        <v>250</v>
      </c>
      <c r="AK39" s="152">
        <f ca="1">IFERROR(__xludf.DUMMYFUNCTION("IMPORTRANGE(""https://docs.google.com/spreadsheets/d/1l6IZ8xUPgMrESzcTYwhA1k_tPjeQjJPTqlm8Gd9eU5g/edit?usp=sharing"",""มหาสารคาม!J755"")"),250)</f>
        <v>250</v>
      </c>
      <c r="AL39" s="216">
        <f t="shared" ca="1" si="51"/>
        <v>100</v>
      </c>
      <c r="AM39" s="152">
        <f ca="1">IFERROR(__xludf.DUMMYFUNCTION("IMPORTRANGE(""https://docs.google.com/spreadsheets/d/1l6IZ8xUPgMrESzcTYwhA1k_tPjeQjJPTqlm8Gd9eU5g/edit?usp=sharing"",""มหาสารคาม!J756"")"),250)</f>
        <v>250</v>
      </c>
      <c r="AN39" s="152">
        <f ca="1">IFERROR(__xludf.DUMMYFUNCTION("IMPORTRANGE(""https://docs.google.com/spreadsheets/d/1l6IZ8xUPgMrESzcTYwhA1k_tPjeQjJPTqlm8Gd9eU5g/edit?usp=sharing"",""มหาสารคาม!J757"")"),3)</f>
        <v>3</v>
      </c>
    </row>
    <row r="40" spans="1:40" ht="19.5" x14ac:dyDescent="0.3">
      <c r="A40" s="147">
        <v>9</v>
      </c>
      <c r="B40" s="148" t="s">
        <v>68</v>
      </c>
      <c r="C40" s="68">
        <f ca="1">IFERROR(__xludf.DUMMYFUNCTION("IMPORTRANGE(""https://docs.google.com/spreadsheets/d/1uB74YLqNjWX6FObjekfB2NtSYigTQyR2rq9u4Ub2Sq4/edit?usp=sharing"",""มุกดาหาร!Q728"")"),1008470)</f>
        <v>1008470</v>
      </c>
      <c r="D40" s="68">
        <f ca="1">IFERROR(__xludf.DUMMYFUNCTION("IMPORTRANGE(""https://docs.google.com/spreadsheets/d/1uB74YLqNjWX6FObjekfB2NtSYigTQyR2rq9u4Ub2Sq4/edit?usp=sharing"",""มุกดาหาร!R728"")"),1008470)</f>
        <v>1008470</v>
      </c>
      <c r="E40" s="68">
        <f ca="1">IFERROR(__xludf.DUMMYFUNCTION("IMPORTRANGE(""https://docs.google.com/spreadsheets/d/1uB74YLqNjWX6FObjekfB2NtSYigTQyR2rq9u4Ub2Sq4/edit?usp=sharing"",""มุกดาหาร!S728"")"),289980)</f>
        <v>289980</v>
      </c>
      <c r="F40" s="68">
        <f t="shared" ca="1" si="33"/>
        <v>28.754449810108383</v>
      </c>
      <c r="G40" s="68">
        <f t="shared" ca="1" si="34"/>
        <v>28.754449810108383</v>
      </c>
      <c r="H40" s="152">
        <f ca="1">IFERROR(__xludf.DUMMYFUNCTION("IMPORTRANGE(""https://docs.google.com/spreadsheets/d/1uB74YLqNjWX6FObjekfB2NtSYigTQyR2rq9u4Ub2Sq4/edit?usp=sharing"",""มุกดาหาร!I726"")"),128)</f>
        <v>128</v>
      </c>
      <c r="I40" s="152">
        <f ca="1">IFERROR(__xludf.DUMMYFUNCTION("IMPORTRANGE(""https://docs.google.com/spreadsheets/d/1uB74YLqNjWX6FObjekfB2NtSYigTQyR2rq9u4Ub2Sq4/edit?usp=sharing"",""มุกดาหาร!I727"")"),1250)</f>
        <v>1250</v>
      </c>
      <c r="J40" s="152">
        <f ca="1">IFERROR(__xludf.DUMMYFUNCTION("IMPORTRANGE(""https://docs.google.com/spreadsheets/d/1uB74YLqNjWX6FObjekfB2NtSYigTQyR2rq9u4Ub2Sq4/edit?usp=sharing"",""มุกดาหาร!J726"")"),128)</f>
        <v>128</v>
      </c>
      <c r="K40" s="216">
        <f t="shared" ca="1" si="36"/>
        <v>100</v>
      </c>
      <c r="L40" s="152">
        <f ca="1">IFERROR(__xludf.DUMMYFUNCTION("IMPORTRANGE(""https://docs.google.com/spreadsheets/d/1uB74YLqNjWX6FObjekfB2NtSYigTQyR2rq9u4Ub2Sq4/edit?usp=sharing"",""มุกดาหาร!J727"")"),0)</f>
        <v>0</v>
      </c>
      <c r="M40" s="216">
        <f t="shared" ca="1" si="37"/>
        <v>0</v>
      </c>
      <c r="N40" s="152">
        <f ca="1">IFERROR(__xludf.DUMMYFUNCTION("IMPORTRANGE(""https://docs.google.com/spreadsheets/d/1uB74YLqNjWX6FObjekfB2NtSYigTQyR2rq9u4Ub2Sq4/edit?usp=sharing"",""มุกดาหาร!I740"")"),1000)</f>
        <v>1000</v>
      </c>
      <c r="O40" s="152">
        <f ca="1">IFERROR(__xludf.DUMMYFUNCTION("IMPORTRANGE(""https://docs.google.com/spreadsheets/d/1uB74YLqNjWX6FObjekfB2NtSYigTQyR2rq9u4Ub2Sq4/edit?usp=sharing"",""มุกดาหาร!J740"")"),1000)</f>
        <v>1000</v>
      </c>
      <c r="P40" s="216">
        <f t="shared" ca="1" si="39"/>
        <v>100</v>
      </c>
      <c r="Q40" s="152">
        <f ca="1">IFERROR(__xludf.DUMMYFUNCTION("IMPORTRANGE(""https://docs.google.com/spreadsheets/d/1uB74YLqNjWX6FObjekfB2NtSYigTQyR2rq9u4Ub2Sq4/edit?usp=sharing"",""มุกดาหาร!J741"")"),0)</f>
        <v>0</v>
      </c>
      <c r="R40" s="152">
        <f ca="1">IFERROR(__xludf.DUMMYFUNCTION("IMPORTRANGE(""https://docs.google.com/spreadsheets/d/1uB74YLqNjWX6FObjekfB2NtSYigTQyR2rq9u4Ub2Sq4/edit?usp=sharing"",""มุกดาหาร!I742"")"),100)</f>
        <v>100</v>
      </c>
      <c r="S40" s="152">
        <f ca="1">IFERROR(__xludf.DUMMYFUNCTION("IMPORTRANGE(""https://docs.google.com/spreadsheets/d/1uB74YLqNjWX6FObjekfB2NtSYigTQyR2rq9u4Ub2Sq4/edit?usp=sharing"",""มุกดาหาร!J742"")"),100)</f>
        <v>100</v>
      </c>
      <c r="T40" s="216">
        <f t="shared" ca="1" si="41"/>
        <v>100</v>
      </c>
      <c r="U40" s="152">
        <f ca="1">IFERROR(__xludf.DUMMYFUNCTION("IMPORTRANGE(""https://docs.google.com/spreadsheets/d/1uB74YLqNjWX6FObjekfB2NtSYigTQyR2rq9u4Ub2Sq4/edit?usp=sharing"",""มุกดาหาร!I744"")"),250)</f>
        <v>250</v>
      </c>
      <c r="V40" s="152">
        <f ca="1">IFERROR(__xludf.DUMMYFUNCTION("IMPORTRANGE(""https://docs.google.com/spreadsheets/d/1uB74YLqNjWX6FObjekfB2NtSYigTQyR2rq9u4Ub2Sq4/edit?usp=sharing"",""มุกดาหาร!J744"")"),250)</f>
        <v>250</v>
      </c>
      <c r="W40" s="216">
        <f t="shared" ca="1" si="43"/>
        <v>100</v>
      </c>
      <c r="X40" s="152">
        <f ca="1">IFERROR(__xludf.DUMMYFUNCTION("IMPORTRANGE(""https://docs.google.com/spreadsheets/d/1uB74YLqNjWX6FObjekfB2NtSYigTQyR2rq9u4Ub2Sq4/edit?usp=sharing"",""มุกดาหาร!J745"")"),0)</f>
        <v>0</v>
      </c>
      <c r="Y40" s="152">
        <f ca="1">IFERROR(__xludf.DUMMYFUNCTION("IMPORTRANGE(""https://docs.google.com/spreadsheets/d/1uB74YLqNjWX6FObjekfB2NtSYigTQyR2rq9u4Ub2Sq4/edit?usp=sharing"",""มุกดาหาร!I746"")"),25)</f>
        <v>25</v>
      </c>
      <c r="Z40" s="152">
        <f ca="1">IFERROR(__xludf.DUMMYFUNCTION("IMPORTRANGE(""https://docs.google.com/spreadsheets/d/1uB74YLqNjWX6FObjekfB2NtSYigTQyR2rq9u4Ub2Sq4/edit?usp=sharing"",""มุกดาหาร!J746"")"),25)</f>
        <v>25</v>
      </c>
      <c r="AA40" s="216">
        <f t="shared" ca="1" si="45"/>
        <v>100</v>
      </c>
      <c r="AB40" s="152">
        <f ca="1">IFERROR(__xludf.DUMMYFUNCTION("IMPORTRANGE(""https://docs.google.com/spreadsheets/d/1uB74YLqNjWX6FObjekfB2NtSYigTQyR2rq9u4Ub2Sq4/edit?usp=sharing"",""มุกดาหาร!J748"")"),0)</f>
        <v>0</v>
      </c>
      <c r="AC40" s="152">
        <f ca="1">IFERROR(__xludf.DUMMYFUNCTION("IMPORTRANGE(""https://docs.google.com/spreadsheets/d/1uB74YLqNjWX6FObjekfB2NtSYigTQyR2rq9u4Ub2Sq4/edit?usp=sharing"",""มุกดาหาร!I749"")"),3)</f>
        <v>3</v>
      </c>
      <c r="AD40" s="152">
        <f ca="1">IFERROR(__xludf.DUMMYFUNCTION("IMPORTRANGE(""https://docs.google.com/spreadsheets/d/1uB74YLqNjWX6FObjekfB2NtSYigTQyR2rq9u4Ub2Sq4/edit?usp=sharing"",""มุกดาหาร!J749"")"),3)</f>
        <v>3</v>
      </c>
      <c r="AE40" s="216">
        <f t="shared" ca="1" si="47"/>
        <v>100</v>
      </c>
      <c r="AF40" s="152">
        <f ca="1">IFERROR(__xludf.DUMMYFUNCTION("IMPORTRANGE(""https://docs.google.com/spreadsheets/d/1uB74YLqNjWX6FObjekfB2NtSYigTQyR2rq9u4Ub2Sq4/edit?usp=sharing"",""มุกดาหาร!I752"")"),1000)</f>
        <v>1000</v>
      </c>
      <c r="AG40" s="152">
        <f ca="1">IFERROR(__xludf.DUMMYFUNCTION("IMPORTRANGE(""https://docs.google.com/spreadsheets/d/1uB74YLqNjWX6FObjekfB2NtSYigTQyR2rq9u4Ub2Sq4/edit?usp=sharing"",""มุกดาหาร!J752"")"),0)</f>
        <v>0</v>
      </c>
      <c r="AH40" s="216">
        <f t="shared" ca="1" si="49"/>
        <v>0</v>
      </c>
      <c r="AI40" s="152">
        <f ca="1">IFERROR(__xludf.DUMMYFUNCTION("IMPORTRANGE(""https://docs.google.com/spreadsheets/d/1uB74YLqNjWX6FObjekfB2NtSYigTQyR2rq9u4Ub2Sq4/edit?usp=sharing"",""มุกดาหาร!J753"")"),0)</f>
        <v>0</v>
      </c>
      <c r="AJ40" s="152">
        <f ca="1">IFERROR(__xludf.DUMMYFUNCTION("IMPORTRANGE(""https://docs.google.com/spreadsheets/d/1uB74YLqNjWX6FObjekfB2NtSYigTQyR2rq9u4Ub2Sq4/edit?usp=sharing"",""มุกดาหาร!I755"")"),250)</f>
        <v>250</v>
      </c>
      <c r="AK40" s="152">
        <f ca="1">IFERROR(__xludf.DUMMYFUNCTION("IMPORTRANGE(""https://docs.google.com/spreadsheets/d/1uB74YLqNjWX6FObjekfB2NtSYigTQyR2rq9u4Ub2Sq4/edit?usp=sharing"",""มุกดาหาร!J755"")"),0)</f>
        <v>0</v>
      </c>
      <c r="AL40" s="216">
        <f t="shared" ca="1" si="51"/>
        <v>0</v>
      </c>
      <c r="AM40" s="152">
        <f ca="1">IFERROR(__xludf.DUMMYFUNCTION("IMPORTRANGE(""https://docs.google.com/spreadsheets/d/1uB74YLqNjWX6FObjekfB2NtSYigTQyR2rq9u4Ub2Sq4/edit?usp=sharing"",""มุกดาหาร!J756"")"),0)</f>
        <v>0</v>
      </c>
      <c r="AN40" s="152">
        <f ca="1">IFERROR(__xludf.DUMMYFUNCTION("IMPORTRANGE(""https://docs.google.com/spreadsheets/d/1uB74YLqNjWX6FObjekfB2NtSYigTQyR2rq9u4Ub2Sq4/edit?usp=sharing"",""มุกดาหาร!J757"")"),0)</f>
        <v>0</v>
      </c>
    </row>
    <row r="41" spans="1:40" ht="19.5" x14ac:dyDescent="0.3">
      <c r="A41" s="147">
        <v>10</v>
      </c>
      <c r="B41" s="148" t="s">
        <v>69</v>
      </c>
      <c r="C41" s="68">
        <f ca="1">IFERROR(__xludf.DUMMYFUNCTION("IMPORTRANGE(""https://docs.google.com/spreadsheets/d/1NexK3geCPxCTO1fzNF8dPec7yZyUx3OaWkFBC9HsQOo/edit?usp=sharing"",""ยโสธร!Q728"")"),379090)</f>
        <v>379090</v>
      </c>
      <c r="D41" s="68">
        <f ca="1">IFERROR(__xludf.DUMMYFUNCTION("IMPORTRANGE(""https://docs.google.com/spreadsheets/d/1NexK3geCPxCTO1fzNF8dPec7yZyUx3OaWkFBC9HsQOo/edit?usp=sharing"",""ยโสธร!R728"")"),379090)</f>
        <v>379090</v>
      </c>
      <c r="E41" s="68">
        <f ca="1">IFERROR(__xludf.DUMMYFUNCTION("IMPORTRANGE(""https://docs.google.com/spreadsheets/d/1NexK3geCPxCTO1fzNF8dPec7yZyUx3OaWkFBC9HsQOo/edit?usp=sharing"",""ยโสธร!S728"")"),340592)</f>
        <v>340592</v>
      </c>
      <c r="F41" s="68">
        <f t="shared" ca="1" si="33"/>
        <v>89.844627924767209</v>
      </c>
      <c r="G41" s="68">
        <f t="shared" ca="1" si="34"/>
        <v>89.844627924767209</v>
      </c>
      <c r="H41" s="152">
        <f ca="1">IFERROR(__xludf.DUMMYFUNCTION("IMPORTRANGE(""https://docs.google.com/spreadsheets/d/1NexK3geCPxCTO1fzNF8dPec7yZyUx3OaWkFBC9HsQOo/edit?usp=sharing"",""ยโสธร!I726"")"),51)</f>
        <v>51</v>
      </c>
      <c r="I41" s="152">
        <f ca="1">IFERROR(__xludf.DUMMYFUNCTION("IMPORTRANGE(""https://docs.google.com/spreadsheets/d/1NexK3geCPxCTO1fzNF8dPec7yZyUx3OaWkFBC9HsQOo/edit?usp=sharing"",""ยโสธร!I727"")"),500)</f>
        <v>500</v>
      </c>
      <c r="J41" s="152">
        <f ca="1">IFERROR(__xludf.DUMMYFUNCTION("IMPORTRANGE(""https://docs.google.com/spreadsheets/d/1NexK3geCPxCTO1fzNF8dPec7yZyUx3OaWkFBC9HsQOo/edit?usp=sharing"",""ยโสธร!J726"")"),51)</f>
        <v>51</v>
      </c>
      <c r="K41" s="216">
        <f t="shared" ca="1" si="36"/>
        <v>100</v>
      </c>
      <c r="L41" s="152">
        <f ca="1">IFERROR(__xludf.DUMMYFUNCTION("IMPORTRANGE(""https://docs.google.com/spreadsheets/d/1NexK3geCPxCTO1fzNF8dPec7yZyUx3OaWkFBC9HsQOo/edit?usp=sharing"",""ยโสธร!J727"")"),500)</f>
        <v>500</v>
      </c>
      <c r="M41" s="216">
        <f t="shared" ca="1" si="37"/>
        <v>100</v>
      </c>
      <c r="N41" s="152">
        <f ca="1">IFERROR(__xludf.DUMMYFUNCTION("IMPORTRANGE(""https://docs.google.com/spreadsheets/d/1NexK3geCPxCTO1fzNF8dPec7yZyUx3OaWkFBC9HsQOo/edit?usp=sharing"",""ยโสธร!I740"")"),400)</f>
        <v>400</v>
      </c>
      <c r="O41" s="152">
        <f ca="1">IFERROR(__xludf.DUMMYFUNCTION("IMPORTRANGE(""https://docs.google.com/spreadsheets/d/1NexK3geCPxCTO1fzNF8dPec7yZyUx3OaWkFBC9HsQOo/edit?usp=sharing"",""ยโสธร!J740"")"),400)</f>
        <v>400</v>
      </c>
      <c r="P41" s="216">
        <f t="shared" ca="1" si="39"/>
        <v>100</v>
      </c>
      <c r="Q41" s="644">
        <f ca="1">IFERROR(__xludf.DUMMYFUNCTION("IMPORTRANGE(""https://docs.google.com/spreadsheets/d/1NexK3geCPxCTO1fzNF8dPec7yZyUx3OaWkFBC9HsQOo/edit?usp=sharing"",""ยโสธร!J741"")"),0)</f>
        <v>0</v>
      </c>
      <c r="R41" s="152">
        <f ca="1">IFERROR(__xludf.DUMMYFUNCTION("IMPORTRANGE(""https://docs.google.com/spreadsheets/d/1NexK3geCPxCTO1fzNF8dPec7yZyUx3OaWkFBC9HsQOo/edit?usp=sharing"",""ยโสธร!I742"")"),40)</f>
        <v>40</v>
      </c>
      <c r="S41" s="152">
        <f ca="1">IFERROR(__xludf.DUMMYFUNCTION("IMPORTRANGE(""https://docs.google.com/spreadsheets/d/1NexK3geCPxCTO1fzNF8dPec7yZyUx3OaWkFBC9HsQOo/edit?usp=sharing"",""ยโสธร!J742"")"),40)</f>
        <v>40</v>
      </c>
      <c r="T41" s="216">
        <f t="shared" ca="1" si="41"/>
        <v>100</v>
      </c>
      <c r="U41" s="152">
        <f ca="1">IFERROR(__xludf.DUMMYFUNCTION("IMPORTRANGE(""https://docs.google.com/spreadsheets/d/1NexK3geCPxCTO1fzNF8dPec7yZyUx3OaWkFBC9HsQOo/edit?usp=sharing"",""ยโสธร!I744"")"),100)</f>
        <v>100</v>
      </c>
      <c r="V41" s="152">
        <f ca="1">IFERROR(__xludf.DUMMYFUNCTION("IMPORTRANGE(""https://docs.google.com/spreadsheets/d/1NexK3geCPxCTO1fzNF8dPec7yZyUx3OaWkFBC9HsQOo/edit?usp=sharing"",""ยโสธร!J744"")"),100)</f>
        <v>100</v>
      </c>
      <c r="W41" s="216">
        <f t="shared" ca="1" si="43"/>
        <v>100</v>
      </c>
      <c r="X41" s="152">
        <f ca="1">IFERROR(__xludf.DUMMYFUNCTION("IMPORTRANGE(""https://docs.google.com/spreadsheets/d/1NexK3geCPxCTO1fzNF8dPec7yZyUx3OaWkFBC9HsQOo/edit?usp=sharing"",""ยโสธร!J745"")"),10)</f>
        <v>10</v>
      </c>
      <c r="Y41" s="152">
        <f ca="1">IFERROR(__xludf.DUMMYFUNCTION("IMPORTRANGE(""https://docs.google.com/spreadsheets/d/1NexK3geCPxCTO1fzNF8dPec7yZyUx3OaWkFBC9HsQOo/edit?usp=sharing"",""ยโสธร!I746"")"),10)</f>
        <v>10</v>
      </c>
      <c r="Z41" s="152">
        <f ca="1">IFERROR(__xludf.DUMMYFUNCTION("IMPORTRANGE(""https://docs.google.com/spreadsheets/d/1NexK3geCPxCTO1fzNF8dPec7yZyUx3OaWkFBC9HsQOo/edit?usp=sharing"",""ยโสธร!J746"")"),10)</f>
        <v>10</v>
      </c>
      <c r="AA41" s="216">
        <f t="shared" ca="1" si="45"/>
        <v>100</v>
      </c>
      <c r="AB41" s="152">
        <f ca="1">IFERROR(__xludf.DUMMYFUNCTION("IMPORTRANGE(""https://docs.google.com/spreadsheets/d/1NexK3geCPxCTO1fzNF8dPec7yZyUx3OaWkFBC9HsQOo/edit?usp=sharing"",""ยโสธร!J748"")"),1)</f>
        <v>1</v>
      </c>
      <c r="AC41" s="152">
        <f ca="1">IFERROR(__xludf.DUMMYFUNCTION("IMPORTRANGE(""https://docs.google.com/spreadsheets/d/1NexK3geCPxCTO1fzNF8dPec7yZyUx3OaWkFBC9HsQOo/edit?usp=sharing"",""ยโสธร!I749"")"),1)</f>
        <v>1</v>
      </c>
      <c r="AD41" s="152">
        <f ca="1">IFERROR(__xludf.DUMMYFUNCTION("IMPORTRANGE(""https://docs.google.com/spreadsheets/d/1NexK3geCPxCTO1fzNF8dPec7yZyUx3OaWkFBC9HsQOo/edit?usp=sharing"",""ยโสธร!J749"")"),1)</f>
        <v>1</v>
      </c>
      <c r="AE41" s="216">
        <f t="shared" ca="1" si="47"/>
        <v>100</v>
      </c>
      <c r="AF41" s="152">
        <f ca="1">IFERROR(__xludf.DUMMYFUNCTION("IMPORTRANGE(""https://docs.google.com/spreadsheets/d/1NexK3geCPxCTO1fzNF8dPec7yZyUx3OaWkFBC9HsQOo/edit?usp=sharing"",""ยโสธร!I752"")"),400)</f>
        <v>400</v>
      </c>
      <c r="AG41" s="152">
        <f ca="1">IFERROR(__xludf.DUMMYFUNCTION("IMPORTRANGE(""https://docs.google.com/spreadsheets/d/1NexK3geCPxCTO1fzNF8dPec7yZyUx3OaWkFBC9HsQOo/edit?usp=sharing"",""ยโสธร!J752"")"),400)</f>
        <v>400</v>
      </c>
      <c r="AH41" s="216">
        <f t="shared" ca="1" si="49"/>
        <v>100</v>
      </c>
      <c r="AI41" s="152">
        <f ca="1">IFERROR(__xludf.DUMMYFUNCTION("IMPORTRANGE(""https://docs.google.com/spreadsheets/d/1NexK3geCPxCTO1fzNF8dPec7yZyUx3OaWkFBC9HsQOo/edit?usp=sharing"",""ยโสธร!J753"")"),0)</f>
        <v>0</v>
      </c>
      <c r="AJ41" s="152">
        <f ca="1">IFERROR(__xludf.DUMMYFUNCTION("IMPORTRANGE(""https://docs.google.com/spreadsheets/d/1NexK3geCPxCTO1fzNF8dPec7yZyUx3OaWkFBC9HsQOo/edit?usp=sharing"",""ยโสธร!I755"")"),100)</f>
        <v>100</v>
      </c>
      <c r="AK41" s="152">
        <f ca="1">IFERROR(__xludf.DUMMYFUNCTION("IMPORTRANGE(""https://docs.google.com/spreadsheets/d/1NexK3geCPxCTO1fzNF8dPec7yZyUx3OaWkFBC9HsQOo/edit?usp=sharing"",""ยโสธร!J755"")"),100)</f>
        <v>100</v>
      </c>
      <c r="AL41" s="216">
        <f t="shared" ca="1" si="51"/>
        <v>100</v>
      </c>
      <c r="AM41" s="152">
        <f ca="1">IFERROR(__xludf.DUMMYFUNCTION("IMPORTRANGE(""https://docs.google.com/spreadsheets/d/1NexK3geCPxCTO1fzNF8dPec7yZyUx3OaWkFBC9HsQOo/edit?usp=sharing"",""ยโสธร!J756"")"),0)</f>
        <v>0</v>
      </c>
      <c r="AN41" s="152">
        <f ca="1">IFERROR(__xludf.DUMMYFUNCTION("IMPORTRANGE(""https://docs.google.com/spreadsheets/d/1NexK3geCPxCTO1fzNF8dPec7yZyUx3OaWkFBC9HsQOo/edit?usp=sharing"",""ยโสธร!J757"")"),0)</f>
        <v>0</v>
      </c>
    </row>
    <row r="42" spans="1:40" ht="19.5" x14ac:dyDescent="0.3">
      <c r="A42" s="147">
        <v>11</v>
      </c>
      <c r="B42" s="148" t="s">
        <v>70</v>
      </c>
      <c r="C42" s="68">
        <f ca="1">IFERROR(__xludf.DUMMYFUNCTION("IMPORTRANGE(""https://docs.google.com/spreadsheets/d/1v_cJrbBlyqmnHPReHk44g9NrMRdENNlSy_E_c5M9fIg/edit?usp=sharing"",""ร้อยเอ็ด!Q728"")"),1008470)</f>
        <v>1008470</v>
      </c>
      <c r="D42" s="68">
        <f ca="1">IFERROR(__xludf.DUMMYFUNCTION("IMPORTRANGE(""https://docs.google.com/spreadsheets/d/1v_cJrbBlyqmnHPReHk44g9NrMRdENNlSy_E_c5M9fIg/edit?usp=sharing"",""ร้อยเอ็ด!R728"")"),1008470)</f>
        <v>1008470</v>
      </c>
      <c r="E42" s="68">
        <f ca="1">IFERROR(__xludf.DUMMYFUNCTION("IMPORTRANGE(""https://docs.google.com/spreadsheets/d/1v_cJrbBlyqmnHPReHk44g9NrMRdENNlSy_E_c5M9fIg/edit?usp=sharing"",""ร้อยเอ็ด!S728"")"),268085)</f>
        <v>268085</v>
      </c>
      <c r="F42" s="68">
        <f t="shared" ca="1" si="33"/>
        <v>26.583339117673308</v>
      </c>
      <c r="G42" s="68">
        <f t="shared" ca="1" si="34"/>
        <v>26.583339117673308</v>
      </c>
      <c r="H42" s="152">
        <f ca="1">IFERROR(__xludf.DUMMYFUNCTION("IMPORTRANGE(""https://docs.google.com/spreadsheets/d/1v_cJrbBlyqmnHPReHk44g9NrMRdENNlSy_E_c5M9fIg/edit?usp=sharing"",""ร้อยเอ็ด!I726"")"),128)</f>
        <v>128</v>
      </c>
      <c r="I42" s="152">
        <f ca="1">IFERROR(__xludf.DUMMYFUNCTION("IMPORTRANGE(""https://docs.google.com/spreadsheets/d/1v_cJrbBlyqmnHPReHk44g9NrMRdENNlSy_E_c5M9fIg/edit?usp=sharing"",""ร้อยเอ็ด!I727"")"),1250)</f>
        <v>1250</v>
      </c>
      <c r="J42" s="152">
        <f ca="1">IFERROR(__xludf.DUMMYFUNCTION("IMPORTRANGE(""https://docs.google.com/spreadsheets/d/1v_cJrbBlyqmnHPReHk44g9NrMRdENNlSy_E_c5M9fIg/edit?usp=sharing"",""ร้อยเอ็ด!J726"")"),128)</f>
        <v>128</v>
      </c>
      <c r="K42" s="216">
        <f t="shared" ca="1" si="36"/>
        <v>100</v>
      </c>
      <c r="L42" s="152">
        <f ca="1">IFERROR(__xludf.DUMMYFUNCTION("IMPORTRANGE(""https://docs.google.com/spreadsheets/d/1v_cJrbBlyqmnHPReHk44g9NrMRdENNlSy_E_c5M9fIg/edit?usp=sharing"",""ร้อยเอ็ด!J727"")"),0)</f>
        <v>0</v>
      </c>
      <c r="M42" s="216">
        <f t="shared" ca="1" si="37"/>
        <v>0</v>
      </c>
      <c r="N42" s="152">
        <f ca="1">IFERROR(__xludf.DUMMYFUNCTION("IMPORTRANGE(""https://docs.google.com/spreadsheets/d/1v_cJrbBlyqmnHPReHk44g9NrMRdENNlSy_E_c5M9fIg/edit?usp=sharing"",""ร้อยเอ็ด!I740"")"),1000)</f>
        <v>1000</v>
      </c>
      <c r="O42" s="152">
        <f ca="1">IFERROR(__xludf.DUMMYFUNCTION("IMPORTRANGE(""https://docs.google.com/spreadsheets/d/1v_cJrbBlyqmnHPReHk44g9NrMRdENNlSy_E_c5M9fIg/edit?usp=sharing"",""ร้อยเอ็ด!J740"")"),1000)</f>
        <v>1000</v>
      </c>
      <c r="P42" s="216">
        <f t="shared" ca="1" si="39"/>
        <v>100</v>
      </c>
      <c r="Q42" s="152">
        <f ca="1">IFERROR(__xludf.DUMMYFUNCTION("IMPORTRANGE(""https://docs.google.com/spreadsheets/d/1v_cJrbBlyqmnHPReHk44g9NrMRdENNlSy_E_c5M9fIg/edit?usp=sharing"",""ร้อยเอ็ด!J741"")"),0)</f>
        <v>0</v>
      </c>
      <c r="R42" s="152">
        <f ca="1">IFERROR(__xludf.DUMMYFUNCTION("IMPORTRANGE(""https://docs.google.com/spreadsheets/d/1v_cJrbBlyqmnHPReHk44g9NrMRdENNlSy_E_c5M9fIg/edit?usp=sharing"",""ร้อยเอ็ด!I742"")"),100)</f>
        <v>100</v>
      </c>
      <c r="S42" s="152">
        <f ca="1">IFERROR(__xludf.DUMMYFUNCTION("IMPORTRANGE(""https://docs.google.com/spreadsheets/d/1v_cJrbBlyqmnHPReHk44g9NrMRdENNlSy_E_c5M9fIg/edit?usp=sharing"",""ร้อยเอ็ด!J742"")"),100)</f>
        <v>100</v>
      </c>
      <c r="T42" s="216">
        <f t="shared" ca="1" si="41"/>
        <v>100</v>
      </c>
      <c r="U42" s="152">
        <f ca="1">IFERROR(__xludf.DUMMYFUNCTION("IMPORTRANGE(""https://docs.google.com/spreadsheets/d/1v_cJrbBlyqmnHPReHk44g9NrMRdENNlSy_E_c5M9fIg/edit?usp=sharing"",""ร้อยเอ็ด!I744"")"),250)</f>
        <v>250</v>
      </c>
      <c r="V42" s="152">
        <f ca="1">IFERROR(__xludf.DUMMYFUNCTION("IMPORTRANGE(""https://docs.google.com/spreadsheets/d/1v_cJrbBlyqmnHPReHk44g9NrMRdENNlSy_E_c5M9fIg/edit?usp=sharing"",""ร้อยเอ็ด!J744"")"),250)</f>
        <v>250</v>
      </c>
      <c r="W42" s="216">
        <f t="shared" ca="1" si="43"/>
        <v>100</v>
      </c>
      <c r="X42" s="152" t="str">
        <f ca="1">IFERROR(__xludf.DUMMYFUNCTION("IMPORTRANGE(""https://docs.google.com/spreadsheets/d/1v_cJrbBlyqmnHPReHk44g9NrMRdENNlSy_E_c5M9fIg/edit?usp=sharing"",""ร้อยเอ็ด!J745"")"),"")</f>
        <v/>
      </c>
      <c r="Y42" s="152">
        <f ca="1">IFERROR(__xludf.DUMMYFUNCTION("IMPORTRANGE(""https://docs.google.com/spreadsheets/d/1v_cJrbBlyqmnHPReHk44g9NrMRdENNlSy_E_c5M9fIg/edit?usp=sharing"",""ร้อยเอ็ด!I746"")"),25)</f>
        <v>25</v>
      </c>
      <c r="Z42" s="152">
        <f ca="1">IFERROR(__xludf.DUMMYFUNCTION("IMPORTRANGE(""https://docs.google.com/spreadsheets/d/1v_cJrbBlyqmnHPReHk44g9NrMRdENNlSy_E_c5M9fIg/edit?usp=sharing"",""ร้อยเอ็ด!J746"")"),25)</f>
        <v>25</v>
      </c>
      <c r="AA42" s="216">
        <f t="shared" ca="1" si="45"/>
        <v>100</v>
      </c>
      <c r="AB42" s="152">
        <f ca="1">IFERROR(__xludf.DUMMYFUNCTION("IMPORTRANGE(""https://docs.google.com/spreadsheets/d/1v_cJrbBlyqmnHPReHk44g9NrMRdENNlSy_E_c5M9fIg/edit?usp=sharing"",""ร้อยเอ็ด!J748"")"),0)</f>
        <v>0</v>
      </c>
      <c r="AC42" s="152">
        <f ca="1">IFERROR(__xludf.DUMMYFUNCTION("IMPORTRANGE(""https://docs.google.com/spreadsheets/d/1v_cJrbBlyqmnHPReHk44g9NrMRdENNlSy_E_c5M9fIg/edit?usp=sharing"",""ร้อยเอ็ด!I749"")"),3)</f>
        <v>3</v>
      </c>
      <c r="AD42" s="152">
        <f ca="1">IFERROR(__xludf.DUMMYFUNCTION("IMPORTRANGE(""https://docs.google.com/spreadsheets/d/1v_cJrbBlyqmnHPReHk44g9NrMRdENNlSy_E_c5M9fIg/edit?usp=sharing"",""ร้อยเอ็ด!J749"")"),3)</f>
        <v>3</v>
      </c>
      <c r="AE42" s="216">
        <f t="shared" ca="1" si="47"/>
        <v>100</v>
      </c>
      <c r="AF42" s="152">
        <f ca="1">IFERROR(__xludf.DUMMYFUNCTION("IMPORTRANGE(""https://docs.google.com/spreadsheets/d/1v_cJrbBlyqmnHPReHk44g9NrMRdENNlSy_E_c5M9fIg/edit?usp=sharing"",""ร้อยเอ็ด!I752"")"),1000)</f>
        <v>1000</v>
      </c>
      <c r="AG42" s="152">
        <f ca="1">IFERROR(__xludf.DUMMYFUNCTION("IMPORTRANGE(""https://docs.google.com/spreadsheets/d/1v_cJrbBlyqmnHPReHk44g9NrMRdENNlSy_E_c5M9fIg/edit?usp=sharing"",""ร้อยเอ็ด!J752"")"),0)</f>
        <v>0</v>
      </c>
      <c r="AH42" s="216">
        <f t="shared" ca="1" si="49"/>
        <v>0</v>
      </c>
      <c r="AI42" s="152">
        <f ca="1">IFERROR(__xludf.DUMMYFUNCTION("IMPORTRANGE(""https://docs.google.com/spreadsheets/d/1v_cJrbBlyqmnHPReHk44g9NrMRdENNlSy_E_c5M9fIg/edit?usp=sharing"",""ร้อยเอ็ด!J753"")"),0)</f>
        <v>0</v>
      </c>
      <c r="AJ42" s="152">
        <f ca="1">IFERROR(__xludf.DUMMYFUNCTION("IMPORTRANGE(""https://docs.google.com/spreadsheets/d/1v_cJrbBlyqmnHPReHk44g9NrMRdENNlSy_E_c5M9fIg/edit?usp=sharing"",""ร้อยเอ็ด!I755"")"),250)</f>
        <v>250</v>
      </c>
      <c r="AK42" s="152">
        <f ca="1">IFERROR(__xludf.DUMMYFUNCTION("IMPORTRANGE(""https://docs.google.com/spreadsheets/d/1v_cJrbBlyqmnHPReHk44g9NrMRdENNlSy_E_c5M9fIg/edit?usp=sharing"",""ร้อยเอ็ด!J755"")"),0)</f>
        <v>0</v>
      </c>
      <c r="AL42" s="216">
        <f t="shared" ca="1" si="51"/>
        <v>0</v>
      </c>
      <c r="AM42" s="152">
        <f ca="1">IFERROR(__xludf.DUMMYFUNCTION("IMPORTRANGE(""https://docs.google.com/spreadsheets/d/1v_cJrbBlyqmnHPReHk44g9NrMRdENNlSy_E_c5M9fIg/edit?usp=sharing"",""ร้อยเอ็ด!J756"")"),0)</f>
        <v>0</v>
      </c>
      <c r="AN42" s="152">
        <f ca="1">IFERROR(__xludf.DUMMYFUNCTION("IMPORTRANGE(""https://docs.google.com/spreadsheets/d/1v_cJrbBlyqmnHPReHk44g9NrMRdENNlSy_E_c5M9fIg/edit?usp=sharing"",""ร้อยเอ็ด!J757"")"),0)</f>
        <v>0</v>
      </c>
    </row>
    <row r="43" spans="1:40" ht="19.5" x14ac:dyDescent="0.3">
      <c r="A43" s="147">
        <v>12</v>
      </c>
      <c r="B43" s="148" t="s">
        <v>71</v>
      </c>
      <c r="C43" s="68">
        <f ca="1">IFERROR(__xludf.DUMMYFUNCTION("IMPORTRANGE(""https://docs.google.com/spreadsheets/d/1Ul4RCpCX66NxYADU1QpwAPjOmBzW64SsT11s1wzXw_c/edit?usp=sharing"",""เลย!Q728"")"),175994)</f>
        <v>175994</v>
      </c>
      <c r="D43" s="68">
        <f ca="1">IFERROR(__xludf.DUMMYFUNCTION("IMPORTRANGE(""https://docs.google.com/spreadsheets/d/1Ul4RCpCX66NxYADU1QpwAPjOmBzW64SsT11s1wzXw_c/edit?usp=sharing"",""เลย!R728"")"),175994)</f>
        <v>175994</v>
      </c>
      <c r="E43" s="68">
        <f ca="1">IFERROR(__xludf.DUMMYFUNCTION("IMPORTRANGE(""https://docs.google.com/spreadsheets/d/1Ul4RCpCX66NxYADU1QpwAPjOmBzW64SsT11s1wzXw_c/edit?usp=sharing"",""เลย!S728"")"),8360)</f>
        <v>8360</v>
      </c>
      <c r="F43" s="68">
        <f t="shared" ca="1" si="33"/>
        <v>4.7501619373387731</v>
      </c>
      <c r="G43" s="68">
        <f t="shared" ca="1" si="34"/>
        <v>4.7501619373387731</v>
      </c>
      <c r="H43" s="152">
        <f ca="1">IFERROR(__xludf.DUMMYFUNCTION("IMPORTRANGE(""https://docs.google.com/spreadsheets/d/1Ul4RCpCX66NxYADU1QpwAPjOmBzW64SsT11s1wzXw_c/edit?usp=sharing"",""เลย!I726"")"),21)</f>
        <v>21</v>
      </c>
      <c r="I43" s="152">
        <f ca="1">IFERROR(__xludf.DUMMYFUNCTION("IMPORTRANGE(""https://docs.google.com/spreadsheets/d/1Ul4RCpCX66NxYADU1QpwAPjOmBzW64SsT11s1wzXw_c/edit?usp=sharing"",""เลย!I727"")"),200)</f>
        <v>200</v>
      </c>
      <c r="J43" s="152">
        <f ca="1">IFERROR(__xludf.DUMMYFUNCTION("IMPORTRANGE(""https://docs.google.com/spreadsheets/d/1Ul4RCpCX66NxYADU1QpwAPjOmBzW64SsT11s1wzXw_c/edit?usp=sharing"",""เลย!J726"")"),0)</f>
        <v>0</v>
      </c>
      <c r="K43" s="216">
        <f t="shared" ca="1" si="36"/>
        <v>0</v>
      </c>
      <c r="L43" s="152">
        <f ca="1">IFERROR(__xludf.DUMMYFUNCTION("IMPORTRANGE(""https://docs.google.com/spreadsheets/d/1Ul4RCpCX66NxYADU1QpwAPjOmBzW64SsT11s1wzXw_c/edit?usp=sharing"",""เลย!J727"")"),0)</f>
        <v>0</v>
      </c>
      <c r="M43" s="216">
        <f t="shared" ca="1" si="37"/>
        <v>0</v>
      </c>
      <c r="N43" s="152">
        <f ca="1">IFERROR(__xludf.DUMMYFUNCTION("IMPORTRANGE(""https://docs.google.com/spreadsheets/d/1Ul4RCpCX66NxYADU1QpwAPjOmBzW64SsT11s1wzXw_c/edit?usp=sharing"",""เลย!I740"")"),160)</f>
        <v>160</v>
      </c>
      <c r="O43" s="152">
        <f ca="1">IFERROR(__xludf.DUMMYFUNCTION("IMPORTRANGE(""https://docs.google.com/spreadsheets/d/1Ul4RCpCX66NxYADU1QpwAPjOmBzW64SsT11s1wzXw_c/edit?usp=sharing"",""เลย!J740"")"),0)</f>
        <v>0</v>
      </c>
      <c r="P43" s="216">
        <f t="shared" ca="1" si="39"/>
        <v>0</v>
      </c>
      <c r="Q43" s="152">
        <f ca="1">IFERROR(__xludf.DUMMYFUNCTION("IMPORTRANGE(""https://docs.google.com/spreadsheets/d/1Ul4RCpCX66NxYADU1QpwAPjOmBzW64SsT11s1wzXw_c/edit?usp=sharing"",""เลย!J741"")"),0)</f>
        <v>0</v>
      </c>
      <c r="R43" s="152">
        <f ca="1">IFERROR(__xludf.DUMMYFUNCTION("IMPORTRANGE(""https://docs.google.com/spreadsheets/d/1Ul4RCpCX66NxYADU1QpwAPjOmBzW64SsT11s1wzXw_c/edit?usp=sharing"",""เลย!I742"")"),16)</f>
        <v>16</v>
      </c>
      <c r="S43" s="152">
        <f ca="1">IFERROR(__xludf.DUMMYFUNCTION("IMPORTRANGE(""https://docs.google.com/spreadsheets/d/1Ul4RCpCX66NxYADU1QpwAPjOmBzW64SsT11s1wzXw_c/edit?usp=sharing"",""เลย!J742"")"),0)</f>
        <v>0</v>
      </c>
      <c r="T43" s="216">
        <f t="shared" ca="1" si="41"/>
        <v>0</v>
      </c>
      <c r="U43" s="152">
        <f ca="1">IFERROR(__xludf.DUMMYFUNCTION("IMPORTRANGE(""https://docs.google.com/spreadsheets/d/1Ul4RCpCX66NxYADU1QpwAPjOmBzW64SsT11s1wzXw_c/edit?usp=sharing"",""เลย!I744"")"),40)</f>
        <v>40</v>
      </c>
      <c r="V43" s="152">
        <f ca="1">IFERROR(__xludf.DUMMYFUNCTION("IMPORTRANGE(""https://docs.google.com/spreadsheets/d/1Ul4RCpCX66NxYADU1QpwAPjOmBzW64SsT11s1wzXw_c/edit?usp=sharing"",""เลย!J744"")"),0)</f>
        <v>0</v>
      </c>
      <c r="W43" s="216">
        <f t="shared" ca="1" si="43"/>
        <v>0</v>
      </c>
      <c r="X43" s="152">
        <f ca="1">IFERROR(__xludf.DUMMYFUNCTION("IMPORTRANGE(""https://docs.google.com/spreadsheets/d/1Ul4RCpCX66NxYADU1QpwAPjOmBzW64SsT11s1wzXw_c/edit?usp=sharing"",""เลย!J745"")"),0)</f>
        <v>0</v>
      </c>
      <c r="Y43" s="152">
        <f ca="1">IFERROR(__xludf.DUMMYFUNCTION("IMPORTRANGE(""https://docs.google.com/spreadsheets/d/1Ul4RCpCX66NxYADU1QpwAPjOmBzW64SsT11s1wzXw_c/edit?usp=sharing"",""เลย!I746"")"),4)</f>
        <v>4</v>
      </c>
      <c r="Z43" s="152">
        <f ca="1">IFERROR(__xludf.DUMMYFUNCTION("IMPORTRANGE(""https://docs.google.com/spreadsheets/d/1Ul4RCpCX66NxYADU1QpwAPjOmBzW64SsT11s1wzXw_c/edit?usp=sharing"",""เลย!J746"")"),0)</f>
        <v>0</v>
      </c>
      <c r="AA43" s="216">
        <f t="shared" ca="1" si="45"/>
        <v>0</v>
      </c>
      <c r="AB43" s="152">
        <f ca="1">IFERROR(__xludf.DUMMYFUNCTION("IMPORTRANGE(""https://docs.google.com/spreadsheets/d/1Ul4RCpCX66NxYADU1QpwAPjOmBzW64SsT11s1wzXw_c/edit?usp=sharing"",""เลย!J748"")"),0)</f>
        <v>0</v>
      </c>
      <c r="AC43" s="152">
        <f ca="1">IFERROR(__xludf.DUMMYFUNCTION("IMPORTRANGE(""https://docs.google.com/spreadsheets/d/1Ul4RCpCX66NxYADU1QpwAPjOmBzW64SsT11s1wzXw_c/edit?usp=sharing"",""เลย!I749"")"),1)</f>
        <v>1</v>
      </c>
      <c r="AD43" s="152">
        <f ca="1">IFERROR(__xludf.DUMMYFUNCTION("IMPORTRANGE(""https://docs.google.com/spreadsheets/d/1Ul4RCpCX66NxYADU1QpwAPjOmBzW64SsT11s1wzXw_c/edit?usp=sharing"",""เลย!J749"")"),0)</f>
        <v>0</v>
      </c>
      <c r="AE43" s="216">
        <f t="shared" ca="1" si="47"/>
        <v>0</v>
      </c>
      <c r="AF43" s="152">
        <f ca="1">IFERROR(__xludf.DUMMYFUNCTION("IMPORTRANGE(""https://docs.google.com/spreadsheets/d/1Ul4RCpCX66NxYADU1QpwAPjOmBzW64SsT11s1wzXw_c/edit?usp=sharing"",""เลย!I752"")"),160)</f>
        <v>160</v>
      </c>
      <c r="AG43" s="152">
        <f ca="1">IFERROR(__xludf.DUMMYFUNCTION("IMPORTRANGE(""https://docs.google.com/spreadsheets/d/1Ul4RCpCX66NxYADU1QpwAPjOmBzW64SsT11s1wzXw_c/edit?usp=sharing"",""เลย!J752"")"),0)</f>
        <v>0</v>
      </c>
      <c r="AH43" s="216">
        <f t="shared" ca="1" si="49"/>
        <v>0</v>
      </c>
      <c r="AI43" s="152">
        <f ca="1">IFERROR(__xludf.DUMMYFUNCTION("IMPORTRANGE(""https://docs.google.com/spreadsheets/d/1Ul4RCpCX66NxYADU1QpwAPjOmBzW64SsT11s1wzXw_c/edit?usp=sharing"",""เลย!J753"")"),0)</f>
        <v>0</v>
      </c>
      <c r="AJ43" s="152">
        <f ca="1">IFERROR(__xludf.DUMMYFUNCTION("IMPORTRANGE(""https://docs.google.com/spreadsheets/d/1Ul4RCpCX66NxYADU1QpwAPjOmBzW64SsT11s1wzXw_c/edit?usp=sharing"",""เลย!I755"")"),40)</f>
        <v>40</v>
      </c>
      <c r="AK43" s="152">
        <f ca="1">IFERROR(__xludf.DUMMYFUNCTION("IMPORTRANGE(""https://docs.google.com/spreadsheets/d/1Ul4RCpCX66NxYADU1QpwAPjOmBzW64SsT11s1wzXw_c/edit?usp=sharing"",""เลย!J755"")"),0)</f>
        <v>0</v>
      </c>
      <c r="AL43" s="216">
        <f t="shared" ca="1" si="51"/>
        <v>0</v>
      </c>
      <c r="AM43" s="152">
        <f ca="1">IFERROR(__xludf.DUMMYFUNCTION("IMPORTRANGE(""https://docs.google.com/spreadsheets/d/1Ul4RCpCX66NxYADU1QpwAPjOmBzW64SsT11s1wzXw_c/edit?usp=sharing"",""เลย!J756"")"),0)</f>
        <v>0</v>
      </c>
      <c r="AN43" s="152">
        <f ca="1">IFERROR(__xludf.DUMMYFUNCTION("IMPORTRANGE(""https://docs.google.com/spreadsheets/d/1Ul4RCpCX66NxYADU1QpwAPjOmBzW64SsT11s1wzXw_c/edit?usp=sharing"",""เลย!J757"")"),0)</f>
        <v>0</v>
      </c>
    </row>
    <row r="44" spans="1:40" ht="19.5" x14ac:dyDescent="0.3">
      <c r="A44" s="147">
        <v>13</v>
      </c>
      <c r="B44" s="148" t="s">
        <v>72</v>
      </c>
      <c r="C44" s="68">
        <f ca="1">IFERROR(__xludf.DUMMYFUNCTION("IMPORTRANGE(""https://docs.google.com/spreadsheets/d/1bRrNKwbHDVktQG10isr5vbWRtt5spIZPpkOSWgbT5ug/edit?usp=sharing"",""ศรีสะเกษ!Q728"")"),1008470)</f>
        <v>1008470</v>
      </c>
      <c r="D44" s="68">
        <f ca="1">IFERROR(__xludf.DUMMYFUNCTION("IMPORTRANGE(""https://docs.google.com/spreadsheets/d/1bRrNKwbHDVktQG10isr5vbWRtt5spIZPpkOSWgbT5ug/edit?usp=sharing"",""ศรีสะเกษ!R728"")"),1008470)</f>
        <v>1008470</v>
      </c>
      <c r="E44" s="68">
        <f ca="1">IFERROR(__xludf.DUMMYFUNCTION("IMPORTRANGE(""https://docs.google.com/spreadsheets/d/1bRrNKwbHDVktQG10isr5vbWRtt5spIZPpkOSWgbT5ug/edit?usp=sharing"",""ศรีสะเกษ!S728"")"),130460.65)</f>
        <v>130460.65</v>
      </c>
      <c r="F44" s="68">
        <f t="shared" ca="1" si="33"/>
        <v>12.936492905093855</v>
      </c>
      <c r="G44" s="68">
        <f t="shared" ca="1" si="34"/>
        <v>12.936492905093855</v>
      </c>
      <c r="H44" s="152">
        <f ca="1">IFERROR(__xludf.DUMMYFUNCTION("IMPORTRANGE(""https://docs.google.com/spreadsheets/d/1bRrNKwbHDVktQG10isr5vbWRtt5spIZPpkOSWgbT5ug/edit?usp=sharing"",""ศรีสะเกษ!I726"")"),128)</f>
        <v>128</v>
      </c>
      <c r="I44" s="152">
        <f ca="1">IFERROR(__xludf.DUMMYFUNCTION("IMPORTRANGE(""https://docs.google.com/spreadsheets/d/1bRrNKwbHDVktQG10isr5vbWRtt5spIZPpkOSWgbT5ug/edit?usp=sharing"",""ศรีสะเกษ!I727"")"),1250)</f>
        <v>1250</v>
      </c>
      <c r="J44" s="152">
        <f ca="1">IFERROR(__xludf.DUMMYFUNCTION("IMPORTRANGE(""https://docs.google.com/spreadsheets/d/1bRrNKwbHDVktQG10isr5vbWRtt5spIZPpkOSWgbT5ug/edit?usp=sharing"",""ศรีสะเกษ!J726"")"),114)</f>
        <v>114</v>
      </c>
      <c r="K44" s="216">
        <f t="shared" ca="1" si="36"/>
        <v>89.0625</v>
      </c>
      <c r="L44" s="152">
        <f ca="1">IFERROR(__xludf.DUMMYFUNCTION("IMPORTRANGE(""https://docs.google.com/spreadsheets/d/1bRrNKwbHDVktQG10isr5vbWRtt5spIZPpkOSWgbT5ug/edit?usp=sharing"",""ศรีสะเกษ!J727"")"),0)</f>
        <v>0</v>
      </c>
      <c r="M44" s="216">
        <f t="shared" ca="1" si="37"/>
        <v>0</v>
      </c>
      <c r="N44" s="152">
        <f ca="1">IFERROR(__xludf.DUMMYFUNCTION("IMPORTRANGE(""https://docs.google.com/spreadsheets/d/1bRrNKwbHDVktQG10isr5vbWRtt5spIZPpkOSWgbT5ug/edit?usp=sharing"",""ศรีสะเกษ!I740"")"),1000)</f>
        <v>1000</v>
      </c>
      <c r="O44" s="152">
        <f ca="1">IFERROR(__xludf.DUMMYFUNCTION("IMPORTRANGE(""https://docs.google.com/spreadsheets/d/1bRrNKwbHDVktQG10isr5vbWRtt5spIZPpkOSWgbT5ug/edit?usp=sharing"",""ศรีสะเกษ!J740"")"),1256)</f>
        <v>1256</v>
      </c>
      <c r="P44" s="216">
        <f t="shared" ca="1" si="39"/>
        <v>125.6</v>
      </c>
      <c r="Q44" s="152">
        <f ca="1">IFERROR(__xludf.DUMMYFUNCTION("IMPORTRANGE(""https://docs.google.com/spreadsheets/d/1bRrNKwbHDVktQG10isr5vbWRtt5spIZPpkOSWgbT5ug/edit?usp=sharing"",""ศรีสะเกษ!J741"")"),114)</f>
        <v>114</v>
      </c>
      <c r="R44" s="152">
        <f ca="1">IFERROR(__xludf.DUMMYFUNCTION("IMPORTRANGE(""https://docs.google.com/spreadsheets/d/1bRrNKwbHDVktQG10isr5vbWRtt5spIZPpkOSWgbT5ug/edit?usp=sharing"",""ศรีสะเกษ!I742"")"),100)</f>
        <v>100</v>
      </c>
      <c r="S44" s="152">
        <f ca="1">IFERROR(__xludf.DUMMYFUNCTION("IMPORTRANGE(""https://docs.google.com/spreadsheets/d/1bRrNKwbHDVktQG10isr5vbWRtt5spIZPpkOSWgbT5ug/edit?usp=sharing"",""ศรีสะเกษ!J742"")"),114)</f>
        <v>114</v>
      </c>
      <c r="T44" s="216">
        <f t="shared" ca="1" si="41"/>
        <v>114</v>
      </c>
      <c r="U44" s="152">
        <f ca="1">IFERROR(__xludf.DUMMYFUNCTION("IMPORTRANGE(""https://docs.google.com/spreadsheets/d/1bRrNKwbHDVktQG10isr5vbWRtt5spIZPpkOSWgbT5ug/edit?usp=sharing"",""ศรีสะเกษ!I744"")"),250)</f>
        <v>250</v>
      </c>
      <c r="V44" s="152">
        <f ca="1">IFERROR(__xludf.DUMMYFUNCTION("IMPORTRANGE(""https://docs.google.com/spreadsheets/d/1bRrNKwbHDVktQG10isr5vbWRtt5spIZPpkOSWgbT5ug/edit?usp=sharing"",""ศรีสะเกษ!J744"")"),0)</f>
        <v>0</v>
      </c>
      <c r="W44" s="216">
        <f t="shared" ca="1" si="43"/>
        <v>0</v>
      </c>
      <c r="X44" s="152">
        <f ca="1">IFERROR(__xludf.DUMMYFUNCTION("IMPORTRANGE(""https://docs.google.com/spreadsheets/d/1bRrNKwbHDVktQG10isr5vbWRtt5spIZPpkOSWgbT5ug/edit?usp=sharing"",""ศรีสะเกษ!J745"")"),0)</f>
        <v>0</v>
      </c>
      <c r="Y44" s="152">
        <f ca="1">IFERROR(__xludf.DUMMYFUNCTION("IMPORTRANGE(""https://docs.google.com/spreadsheets/d/1bRrNKwbHDVktQG10isr5vbWRtt5spIZPpkOSWgbT5ug/edit?usp=sharing"",""ศรีสะเกษ!I746"")"),25)</f>
        <v>25</v>
      </c>
      <c r="Z44" s="152">
        <f ca="1">IFERROR(__xludf.DUMMYFUNCTION("IMPORTRANGE(""https://docs.google.com/spreadsheets/d/1bRrNKwbHDVktQG10isr5vbWRtt5spIZPpkOSWgbT5ug/edit?usp=sharing"",""ศรีสะเกษ!J746"")"),0)</f>
        <v>0</v>
      </c>
      <c r="AA44" s="216">
        <f t="shared" ca="1" si="45"/>
        <v>0</v>
      </c>
      <c r="AB44" s="152">
        <f ca="1">IFERROR(__xludf.DUMMYFUNCTION("IMPORTRANGE(""https://docs.google.com/spreadsheets/d/1bRrNKwbHDVktQG10isr5vbWRtt5spIZPpkOSWgbT5ug/edit?usp=sharing"",""ศรีสะเกษ!J748"")"),0)</f>
        <v>0</v>
      </c>
      <c r="AC44" s="152">
        <f ca="1">IFERROR(__xludf.DUMMYFUNCTION("IMPORTRANGE(""https://docs.google.com/spreadsheets/d/1bRrNKwbHDVktQG10isr5vbWRtt5spIZPpkOSWgbT5ug/edit?usp=sharing"",""ศรีสะเกษ!I749"")"),3)</f>
        <v>3</v>
      </c>
      <c r="AD44" s="152">
        <f ca="1">IFERROR(__xludf.DUMMYFUNCTION("IMPORTRANGE(""https://docs.google.com/spreadsheets/d/1bRrNKwbHDVktQG10isr5vbWRtt5spIZPpkOSWgbT5ug/edit?usp=sharing"",""ศรีสะเกษ!J749"")"),0)</f>
        <v>0</v>
      </c>
      <c r="AE44" s="216">
        <f t="shared" ca="1" si="47"/>
        <v>0</v>
      </c>
      <c r="AF44" s="152">
        <f ca="1">IFERROR(__xludf.DUMMYFUNCTION("IMPORTRANGE(""https://docs.google.com/spreadsheets/d/1bRrNKwbHDVktQG10isr5vbWRtt5spIZPpkOSWgbT5ug/edit?usp=sharing"",""ศรีสะเกษ!I752"")"),1000)</f>
        <v>1000</v>
      </c>
      <c r="AG44" s="152">
        <f ca="1">IFERROR(__xludf.DUMMYFUNCTION("IMPORTRANGE(""https://docs.google.com/spreadsheets/d/1bRrNKwbHDVktQG10isr5vbWRtt5spIZPpkOSWgbT5ug/edit?usp=sharing"",""ศรีสะเกษ!J752"")"),0)</f>
        <v>0</v>
      </c>
      <c r="AH44" s="216">
        <f t="shared" ca="1" si="49"/>
        <v>0</v>
      </c>
      <c r="AI44" s="152">
        <f ca="1">IFERROR(__xludf.DUMMYFUNCTION("IMPORTRANGE(""https://docs.google.com/spreadsheets/d/1bRrNKwbHDVktQG10isr5vbWRtt5spIZPpkOSWgbT5ug/edit?usp=sharing"",""ศรีสะเกษ!J753"")"),0)</f>
        <v>0</v>
      </c>
      <c r="AJ44" s="152">
        <f ca="1">IFERROR(__xludf.DUMMYFUNCTION("IMPORTRANGE(""https://docs.google.com/spreadsheets/d/1bRrNKwbHDVktQG10isr5vbWRtt5spIZPpkOSWgbT5ug/edit?usp=sharing"",""ศรีสะเกษ!I755"")"),250)</f>
        <v>250</v>
      </c>
      <c r="AK44" s="152">
        <f ca="1">IFERROR(__xludf.DUMMYFUNCTION("IMPORTRANGE(""https://docs.google.com/spreadsheets/d/1bRrNKwbHDVktQG10isr5vbWRtt5spIZPpkOSWgbT5ug/edit?usp=sharing"",""ศรีสะเกษ!J755"")"),0)</f>
        <v>0</v>
      </c>
      <c r="AL44" s="216">
        <f t="shared" ca="1" si="51"/>
        <v>0</v>
      </c>
      <c r="AM44" s="152">
        <f ca="1">IFERROR(__xludf.DUMMYFUNCTION("IMPORTRANGE(""https://docs.google.com/spreadsheets/d/1bRrNKwbHDVktQG10isr5vbWRtt5spIZPpkOSWgbT5ug/edit?usp=sharing"",""ศรีสะเกษ!J756"")"),0)</f>
        <v>0</v>
      </c>
      <c r="AN44" s="152">
        <f ca="1">IFERROR(__xludf.DUMMYFUNCTION("IMPORTRANGE(""https://docs.google.com/spreadsheets/d/1bRrNKwbHDVktQG10isr5vbWRtt5spIZPpkOSWgbT5ug/edit?usp=sharing"",""ศรีสะเกษ!J757"")"),0)</f>
        <v>0</v>
      </c>
    </row>
    <row r="45" spans="1:40" ht="19.5" x14ac:dyDescent="0.3">
      <c r="A45" s="147">
        <v>14</v>
      </c>
      <c r="B45" s="148" t="s">
        <v>73</v>
      </c>
      <c r="C45" s="68">
        <f ca="1">IFERROR(__xludf.DUMMYFUNCTION("IMPORTRANGE(""https://docs.google.com/spreadsheets/d/17P34_Ow5kFBfdQD0qspb2UuPX5zpi6WMrQzslghyvrI/edit?usp=sharing"",""สกลนคร!Q728"")"),1008470)</f>
        <v>1008470</v>
      </c>
      <c r="D45" s="68">
        <f ca="1">IFERROR(__xludf.DUMMYFUNCTION("IMPORTRANGE(""https://docs.google.com/spreadsheets/d/17P34_Ow5kFBfdQD0qspb2UuPX5zpi6WMrQzslghyvrI/edit?usp=sharing"",""สกลนคร!R728"")"),1008470)</f>
        <v>1008470</v>
      </c>
      <c r="E45" s="68">
        <f ca="1">IFERROR(__xludf.DUMMYFUNCTION("IMPORTRANGE(""https://docs.google.com/spreadsheets/d/17P34_Ow5kFBfdQD0qspb2UuPX5zpi6WMrQzslghyvrI/edit?usp=sharing"",""สกลนคร!S728"")"),654209.34)</f>
        <v>654209.34</v>
      </c>
      <c r="F45" s="68">
        <f t="shared" ca="1" si="33"/>
        <v>64.871472626850576</v>
      </c>
      <c r="G45" s="68">
        <f t="shared" ca="1" si="34"/>
        <v>64.871472626850576</v>
      </c>
      <c r="H45" s="152">
        <f ca="1">IFERROR(__xludf.DUMMYFUNCTION("IMPORTRANGE(""https://docs.google.com/spreadsheets/d/17P34_Ow5kFBfdQD0qspb2UuPX5zpi6WMrQzslghyvrI/edit?usp=sharing"",""สกลนคร!I726"")"),128)</f>
        <v>128</v>
      </c>
      <c r="I45" s="152">
        <f ca="1">IFERROR(__xludf.DUMMYFUNCTION("IMPORTRANGE(""https://docs.google.com/spreadsheets/d/17P34_Ow5kFBfdQD0qspb2UuPX5zpi6WMrQzslghyvrI/edit?usp=sharing"",""สกลนคร!I727"")"),1250)</f>
        <v>1250</v>
      </c>
      <c r="J45" s="152">
        <f ca="1">IFERROR(__xludf.DUMMYFUNCTION("IMPORTRANGE(""https://docs.google.com/spreadsheets/d/17P34_Ow5kFBfdQD0qspb2UuPX5zpi6WMrQzslghyvrI/edit?usp=sharing"",""สกลนคร!J726"")"),128)</f>
        <v>128</v>
      </c>
      <c r="K45" s="216">
        <f t="shared" ca="1" si="36"/>
        <v>100</v>
      </c>
      <c r="L45" s="152">
        <f ca="1">IFERROR(__xludf.DUMMYFUNCTION("IMPORTRANGE(""https://docs.google.com/spreadsheets/d/17P34_Ow5kFBfdQD0qspb2UuPX5zpi6WMrQzslghyvrI/edit?usp=sharing"",""สกลนคร!J727"")"),0)</f>
        <v>0</v>
      </c>
      <c r="M45" s="216">
        <f t="shared" ca="1" si="37"/>
        <v>0</v>
      </c>
      <c r="N45" s="152">
        <f ca="1">IFERROR(__xludf.DUMMYFUNCTION("IMPORTRANGE(""https://docs.google.com/spreadsheets/d/17P34_Ow5kFBfdQD0qspb2UuPX5zpi6WMrQzslghyvrI/edit?usp=sharing"",""สกลนคร!I740"")"),1000)</f>
        <v>1000</v>
      </c>
      <c r="O45" s="152">
        <f ca="1">IFERROR(__xludf.DUMMYFUNCTION("IMPORTRANGE(""https://docs.google.com/spreadsheets/d/17P34_Ow5kFBfdQD0qspb2UuPX5zpi6WMrQzslghyvrI/edit?usp=sharing"",""สกลนคร!J740"")"),1000)</f>
        <v>1000</v>
      </c>
      <c r="P45" s="216">
        <f t="shared" ca="1" si="39"/>
        <v>100</v>
      </c>
      <c r="Q45" s="152">
        <f ca="1">IFERROR(__xludf.DUMMYFUNCTION("IMPORTRANGE(""https://docs.google.com/spreadsheets/d/17P34_Ow5kFBfdQD0qspb2UuPX5zpi6WMrQzslghyvrI/edit?usp=sharing"",""สกลนคร!J741"")"),0)</f>
        <v>0</v>
      </c>
      <c r="R45" s="152">
        <f ca="1">IFERROR(__xludf.DUMMYFUNCTION("IMPORTRANGE(""https://docs.google.com/spreadsheets/d/17P34_Ow5kFBfdQD0qspb2UuPX5zpi6WMrQzslghyvrI/edit?usp=sharing"",""สกลนคร!I742"")"),100)</f>
        <v>100</v>
      </c>
      <c r="S45" s="152">
        <f ca="1">IFERROR(__xludf.DUMMYFUNCTION("IMPORTRANGE(""https://docs.google.com/spreadsheets/d/17P34_Ow5kFBfdQD0qspb2UuPX5zpi6WMrQzslghyvrI/edit?usp=sharing"",""สกลนคร!J742"")"),100)</f>
        <v>100</v>
      </c>
      <c r="T45" s="216">
        <f t="shared" ca="1" si="41"/>
        <v>100</v>
      </c>
      <c r="U45" s="152">
        <f ca="1">IFERROR(__xludf.DUMMYFUNCTION("IMPORTRANGE(""https://docs.google.com/spreadsheets/d/17P34_Ow5kFBfdQD0qspb2UuPX5zpi6WMrQzslghyvrI/edit?usp=sharing"",""สกลนคร!I744"")"),250)</f>
        <v>250</v>
      </c>
      <c r="V45" s="152">
        <f ca="1">IFERROR(__xludf.DUMMYFUNCTION("IMPORTRANGE(""https://docs.google.com/spreadsheets/d/17P34_Ow5kFBfdQD0qspb2UuPX5zpi6WMrQzslghyvrI/edit?usp=sharing"",""สกลนคร!J744"")"),250)</f>
        <v>250</v>
      </c>
      <c r="W45" s="216">
        <f t="shared" ca="1" si="43"/>
        <v>100</v>
      </c>
      <c r="X45" s="152">
        <f ca="1">IFERROR(__xludf.DUMMYFUNCTION("IMPORTRANGE(""https://docs.google.com/spreadsheets/d/17P34_Ow5kFBfdQD0qspb2UuPX5zpi6WMrQzslghyvrI/edit?usp=sharing"",""สกลนคร!J745"")"),0)</f>
        <v>0</v>
      </c>
      <c r="Y45" s="152">
        <f ca="1">IFERROR(__xludf.DUMMYFUNCTION("IMPORTRANGE(""https://docs.google.com/spreadsheets/d/17P34_Ow5kFBfdQD0qspb2UuPX5zpi6WMrQzslghyvrI/edit?usp=sharing"",""สกลนคร!I746"")"),25)</f>
        <v>25</v>
      </c>
      <c r="Z45" s="152">
        <f ca="1">IFERROR(__xludf.DUMMYFUNCTION("IMPORTRANGE(""https://docs.google.com/spreadsheets/d/17P34_Ow5kFBfdQD0qspb2UuPX5zpi6WMrQzslghyvrI/edit?usp=sharing"",""สกลนคร!J746"")"),25)</f>
        <v>25</v>
      </c>
      <c r="AA45" s="216">
        <f t="shared" ca="1" si="45"/>
        <v>100</v>
      </c>
      <c r="AB45" s="152">
        <f ca="1">IFERROR(__xludf.DUMMYFUNCTION("IMPORTRANGE(""https://docs.google.com/spreadsheets/d/17P34_Ow5kFBfdQD0qspb2UuPX5zpi6WMrQzslghyvrI/edit?usp=sharing"",""สกลนคร!J748"")"),0)</f>
        <v>0</v>
      </c>
      <c r="AC45" s="152">
        <f ca="1">IFERROR(__xludf.DUMMYFUNCTION("IMPORTRANGE(""https://docs.google.com/spreadsheets/d/17P34_Ow5kFBfdQD0qspb2UuPX5zpi6WMrQzslghyvrI/edit?usp=sharing"",""สกลนคร!I749"")"),3)</f>
        <v>3</v>
      </c>
      <c r="AD45" s="152">
        <f ca="1">IFERROR(__xludf.DUMMYFUNCTION("IMPORTRANGE(""https://docs.google.com/spreadsheets/d/17P34_Ow5kFBfdQD0qspb2UuPX5zpi6WMrQzslghyvrI/edit?usp=sharing"",""สกลนคร!J749"")"),3)</f>
        <v>3</v>
      </c>
      <c r="AE45" s="216">
        <f t="shared" ca="1" si="47"/>
        <v>100</v>
      </c>
      <c r="AF45" s="152">
        <f ca="1">IFERROR(__xludf.DUMMYFUNCTION("IMPORTRANGE(""https://docs.google.com/spreadsheets/d/17P34_Ow5kFBfdQD0qspb2UuPX5zpi6WMrQzslghyvrI/edit?usp=sharing"",""สกลนคร!I752"")"),1000)</f>
        <v>1000</v>
      </c>
      <c r="AG45" s="152">
        <f ca="1">IFERROR(__xludf.DUMMYFUNCTION("IMPORTRANGE(""https://docs.google.com/spreadsheets/d/17P34_Ow5kFBfdQD0qspb2UuPX5zpi6WMrQzslghyvrI/edit?usp=sharing"",""สกลนคร!J752"")"),0)</f>
        <v>0</v>
      </c>
      <c r="AH45" s="216">
        <f t="shared" ca="1" si="49"/>
        <v>0</v>
      </c>
      <c r="AI45" s="152">
        <f ca="1">IFERROR(__xludf.DUMMYFUNCTION("IMPORTRANGE(""https://docs.google.com/spreadsheets/d/17P34_Ow5kFBfdQD0qspb2UuPX5zpi6WMrQzslghyvrI/edit?usp=sharing"",""สกลนคร!J753"")"),0)</f>
        <v>0</v>
      </c>
      <c r="AJ45" s="152">
        <f ca="1">IFERROR(__xludf.DUMMYFUNCTION("IMPORTRANGE(""https://docs.google.com/spreadsheets/d/17P34_Ow5kFBfdQD0qspb2UuPX5zpi6WMrQzslghyvrI/edit?usp=sharing"",""สกลนคร!I755"")"),250)</f>
        <v>250</v>
      </c>
      <c r="AK45" s="152">
        <f ca="1">IFERROR(__xludf.DUMMYFUNCTION("IMPORTRANGE(""https://docs.google.com/spreadsheets/d/17P34_Ow5kFBfdQD0qspb2UuPX5zpi6WMrQzslghyvrI/edit?usp=sharing"",""สกลนคร!J755"")"),0)</f>
        <v>0</v>
      </c>
      <c r="AL45" s="216">
        <f t="shared" ca="1" si="51"/>
        <v>0</v>
      </c>
      <c r="AM45" s="152">
        <f ca="1">IFERROR(__xludf.DUMMYFUNCTION("IMPORTRANGE(""https://docs.google.com/spreadsheets/d/17P34_Ow5kFBfdQD0qspb2UuPX5zpi6WMrQzslghyvrI/edit?usp=sharing"",""สกลนคร!J756"")"),0)</f>
        <v>0</v>
      </c>
      <c r="AN45" s="152">
        <f ca="1">IFERROR(__xludf.DUMMYFUNCTION("IMPORTRANGE(""https://docs.google.com/spreadsheets/d/17P34_Ow5kFBfdQD0qspb2UuPX5zpi6WMrQzslghyvrI/edit?usp=sharing"",""สกลนคร!J757"")"),0)</f>
        <v>0</v>
      </c>
    </row>
    <row r="46" spans="1:40" ht="19.5" x14ac:dyDescent="0.3">
      <c r="A46" s="147">
        <v>15</v>
      </c>
      <c r="B46" s="148" t="s">
        <v>74</v>
      </c>
      <c r="C46" s="68">
        <f ca="1">IFERROR(__xludf.DUMMYFUNCTION("IMPORTRANGE(""https://docs.google.com/spreadsheets/d/1yswqbM3-AEpThF3ZSUa1AcmHnmRTF1vlJ1CZGcJ8YuU/edit?usp=sharing"",""สุรินทร์!Q728"")"),1008470)</f>
        <v>1008470</v>
      </c>
      <c r="D46" s="68">
        <f ca="1">IFERROR(__xludf.DUMMYFUNCTION("IMPORTRANGE(""https://docs.google.com/spreadsheets/d/1yswqbM3-AEpThF3ZSUa1AcmHnmRTF1vlJ1CZGcJ8YuU/edit?usp=sharing"",""สุรินทร์!R728"")"),1008470)</f>
        <v>1008470</v>
      </c>
      <c r="E46" s="68">
        <f ca="1">IFERROR(__xludf.DUMMYFUNCTION("IMPORTRANGE(""https://docs.google.com/spreadsheets/d/1yswqbM3-AEpThF3ZSUa1AcmHnmRTF1vlJ1CZGcJ8YuU/edit?usp=sharing"",""สุรินทร์!S728"")"),249554)</f>
        <v>249554</v>
      </c>
      <c r="F46" s="68">
        <f t="shared" ca="1" si="33"/>
        <v>24.745803048181898</v>
      </c>
      <c r="G46" s="68">
        <f t="shared" ca="1" si="34"/>
        <v>24.745803048181898</v>
      </c>
      <c r="H46" s="152">
        <f ca="1">IFERROR(__xludf.DUMMYFUNCTION("IMPORTRANGE(""https://docs.google.com/spreadsheets/d/1yswqbM3-AEpThF3ZSUa1AcmHnmRTF1vlJ1CZGcJ8YuU/edit?usp=sharing"",""สุรินทร์!I726"")"),128)</f>
        <v>128</v>
      </c>
      <c r="I46" s="152">
        <f ca="1">IFERROR(__xludf.DUMMYFUNCTION("IMPORTRANGE(""https://docs.google.com/spreadsheets/d/1yswqbM3-AEpThF3ZSUa1AcmHnmRTF1vlJ1CZGcJ8YuU/edit?usp=sharing"",""สุรินทร์!I727"")"),1250)</f>
        <v>1250</v>
      </c>
      <c r="J46" s="152">
        <f ca="1">IFERROR(__xludf.DUMMYFUNCTION("IMPORTRANGE(""https://docs.google.com/spreadsheets/d/1yswqbM3-AEpThF3ZSUa1AcmHnmRTF1vlJ1CZGcJ8YuU/edit?usp=sharing"",""สุรินทร์!J726"")"),128)</f>
        <v>128</v>
      </c>
      <c r="K46" s="216">
        <f t="shared" ca="1" si="36"/>
        <v>100</v>
      </c>
      <c r="L46" s="152">
        <f ca="1">IFERROR(__xludf.DUMMYFUNCTION("IMPORTRANGE(""https://docs.google.com/spreadsheets/d/1yswqbM3-AEpThF3ZSUa1AcmHnmRTF1vlJ1CZGcJ8YuU/edit?usp=sharing"",""สุรินทร์!J727"")"),0)</f>
        <v>0</v>
      </c>
      <c r="M46" s="216">
        <f t="shared" ca="1" si="37"/>
        <v>0</v>
      </c>
      <c r="N46" s="152">
        <f ca="1">IFERROR(__xludf.DUMMYFUNCTION("IMPORTRANGE(""https://docs.google.com/spreadsheets/d/1yswqbM3-AEpThF3ZSUa1AcmHnmRTF1vlJ1CZGcJ8YuU/edit?usp=sharing"",""สุรินทร์!I740"")"),1000)</f>
        <v>1000</v>
      </c>
      <c r="O46" s="152">
        <f ca="1">IFERROR(__xludf.DUMMYFUNCTION("IMPORTRANGE(""https://docs.google.com/spreadsheets/d/1yswqbM3-AEpThF3ZSUa1AcmHnmRTF1vlJ1CZGcJ8YuU/edit?usp=sharing"",""สุรินทร์!J740"")"),0)</f>
        <v>0</v>
      </c>
      <c r="P46" s="216">
        <f t="shared" ca="1" si="39"/>
        <v>0</v>
      </c>
      <c r="Q46" s="152">
        <f ca="1">IFERROR(__xludf.DUMMYFUNCTION("IMPORTRANGE(""https://docs.google.com/spreadsheets/d/1yswqbM3-AEpThF3ZSUa1AcmHnmRTF1vlJ1CZGcJ8YuU/edit?usp=sharing"",""สุรินทร์!J741"")"),0)</f>
        <v>0</v>
      </c>
      <c r="R46" s="152">
        <f ca="1">IFERROR(__xludf.DUMMYFUNCTION("IMPORTRANGE(""https://docs.google.com/spreadsheets/d/1yswqbM3-AEpThF3ZSUa1AcmHnmRTF1vlJ1CZGcJ8YuU/edit?usp=sharing"",""สุรินทร์!I742"")"),100)</f>
        <v>100</v>
      </c>
      <c r="S46" s="152">
        <f ca="1">IFERROR(__xludf.DUMMYFUNCTION("IMPORTRANGE(""https://docs.google.com/spreadsheets/d/1yswqbM3-AEpThF3ZSUa1AcmHnmRTF1vlJ1CZGcJ8YuU/edit?usp=sharing"",""สุรินทร์!J742"")"),100)</f>
        <v>100</v>
      </c>
      <c r="T46" s="216">
        <f t="shared" ca="1" si="41"/>
        <v>100</v>
      </c>
      <c r="U46" s="152">
        <f ca="1">IFERROR(__xludf.DUMMYFUNCTION("IMPORTRANGE(""https://docs.google.com/spreadsheets/d/1yswqbM3-AEpThF3ZSUa1AcmHnmRTF1vlJ1CZGcJ8YuU/edit?usp=sharing"",""สุรินทร์!I744"")"),250)</f>
        <v>250</v>
      </c>
      <c r="V46" s="152">
        <f ca="1">IFERROR(__xludf.DUMMYFUNCTION("IMPORTRANGE(""https://docs.google.com/spreadsheets/d/1yswqbM3-AEpThF3ZSUa1AcmHnmRTF1vlJ1CZGcJ8YuU/edit?usp=sharing"",""สุรินทร์!J744"")"),0)</f>
        <v>0</v>
      </c>
      <c r="W46" s="216">
        <f t="shared" ca="1" si="43"/>
        <v>0</v>
      </c>
      <c r="X46" s="152">
        <f ca="1">IFERROR(__xludf.DUMMYFUNCTION("IMPORTRANGE(""https://docs.google.com/spreadsheets/d/1yswqbM3-AEpThF3ZSUa1AcmHnmRTF1vlJ1CZGcJ8YuU/edit?usp=sharing"",""สุรินทร์!J745"")"),0)</f>
        <v>0</v>
      </c>
      <c r="Y46" s="152">
        <f ca="1">IFERROR(__xludf.DUMMYFUNCTION("IMPORTRANGE(""https://docs.google.com/spreadsheets/d/1yswqbM3-AEpThF3ZSUa1AcmHnmRTF1vlJ1CZGcJ8YuU/edit?usp=sharing"",""สุรินทร์!I746"")"),25)</f>
        <v>25</v>
      </c>
      <c r="Z46" s="152">
        <f ca="1">IFERROR(__xludf.DUMMYFUNCTION("IMPORTRANGE(""https://docs.google.com/spreadsheets/d/1yswqbM3-AEpThF3ZSUa1AcmHnmRTF1vlJ1CZGcJ8YuU/edit?usp=sharing"",""สุรินทร์!J746"")"),25)</f>
        <v>25</v>
      </c>
      <c r="AA46" s="216">
        <f t="shared" ca="1" si="45"/>
        <v>100</v>
      </c>
      <c r="AB46" s="152">
        <f ca="1">IFERROR(__xludf.DUMMYFUNCTION("IMPORTRANGE(""https://docs.google.com/spreadsheets/d/1yswqbM3-AEpThF3ZSUa1AcmHnmRTF1vlJ1CZGcJ8YuU/edit?usp=sharing"",""สุรินทร์!J748"")"),0)</f>
        <v>0</v>
      </c>
      <c r="AC46" s="152">
        <f ca="1">IFERROR(__xludf.DUMMYFUNCTION("IMPORTRANGE(""https://docs.google.com/spreadsheets/d/1yswqbM3-AEpThF3ZSUa1AcmHnmRTF1vlJ1CZGcJ8YuU/edit?usp=sharing"",""สุรินทร์!I749"")"),3)</f>
        <v>3</v>
      </c>
      <c r="AD46" s="152">
        <f ca="1">IFERROR(__xludf.DUMMYFUNCTION("IMPORTRANGE(""https://docs.google.com/spreadsheets/d/1yswqbM3-AEpThF3ZSUa1AcmHnmRTF1vlJ1CZGcJ8YuU/edit?usp=sharing"",""สุรินทร์!J749"")"),3)</f>
        <v>3</v>
      </c>
      <c r="AE46" s="216">
        <f t="shared" ca="1" si="47"/>
        <v>100</v>
      </c>
      <c r="AF46" s="152">
        <f ca="1">IFERROR(__xludf.DUMMYFUNCTION("IMPORTRANGE(""https://docs.google.com/spreadsheets/d/1yswqbM3-AEpThF3ZSUa1AcmHnmRTF1vlJ1CZGcJ8YuU/edit?usp=sharing"",""สุรินทร์!I752"")"),1000)</f>
        <v>1000</v>
      </c>
      <c r="AG46" s="152">
        <f ca="1">IFERROR(__xludf.DUMMYFUNCTION("IMPORTRANGE(""https://docs.google.com/spreadsheets/d/1yswqbM3-AEpThF3ZSUa1AcmHnmRTF1vlJ1CZGcJ8YuU/edit?usp=sharing"",""สุรินทร์!J752"")"),0)</f>
        <v>0</v>
      </c>
      <c r="AH46" s="216">
        <f t="shared" ca="1" si="49"/>
        <v>0</v>
      </c>
      <c r="AI46" s="152">
        <f ca="1">IFERROR(__xludf.DUMMYFUNCTION("IMPORTRANGE(""https://docs.google.com/spreadsheets/d/1yswqbM3-AEpThF3ZSUa1AcmHnmRTF1vlJ1CZGcJ8YuU/edit?usp=sharing"",""สุรินทร์!J753"")"),0)</f>
        <v>0</v>
      </c>
      <c r="AJ46" s="152">
        <f ca="1">IFERROR(__xludf.DUMMYFUNCTION("IMPORTRANGE(""https://docs.google.com/spreadsheets/d/1yswqbM3-AEpThF3ZSUa1AcmHnmRTF1vlJ1CZGcJ8YuU/edit?usp=sharing"",""สุรินทร์!I755"")"),250)</f>
        <v>250</v>
      </c>
      <c r="AK46" s="152">
        <f ca="1">IFERROR(__xludf.DUMMYFUNCTION("IMPORTRANGE(""https://docs.google.com/spreadsheets/d/1yswqbM3-AEpThF3ZSUa1AcmHnmRTF1vlJ1CZGcJ8YuU/edit?usp=sharing"",""สุรินทร์!J755"")"),0)</f>
        <v>0</v>
      </c>
      <c r="AL46" s="216">
        <f t="shared" ca="1" si="51"/>
        <v>0</v>
      </c>
      <c r="AM46" s="152">
        <f ca="1">IFERROR(__xludf.DUMMYFUNCTION("IMPORTRANGE(""https://docs.google.com/spreadsheets/d/1yswqbM3-AEpThF3ZSUa1AcmHnmRTF1vlJ1CZGcJ8YuU/edit?usp=sharing"",""สุรินทร์!J756"")"),0)</f>
        <v>0</v>
      </c>
      <c r="AN46" s="152">
        <f ca="1">IFERROR(__xludf.DUMMYFUNCTION("IMPORTRANGE(""https://docs.google.com/spreadsheets/d/1yswqbM3-AEpThF3ZSUa1AcmHnmRTF1vlJ1CZGcJ8YuU/edit?usp=sharing"",""สุรินทร์!J757"")"),0)</f>
        <v>0</v>
      </c>
    </row>
    <row r="47" spans="1:40" ht="19.5" x14ac:dyDescent="0.3">
      <c r="A47" s="147">
        <v>16</v>
      </c>
      <c r="B47" s="148" t="s">
        <v>75</v>
      </c>
      <c r="C47" s="68">
        <f ca="1">IFERROR(__xludf.DUMMYFUNCTION("IMPORTRANGE(""https://docs.google.com/spreadsheets/d/13JHU_EFbsQOUQ0JSQ3dWy1VTRosIWcDq6Nc99z2qzdc/edit?usp=sharing"",""หนองคาย!Q728"")"),379090)</f>
        <v>379090</v>
      </c>
      <c r="D47" s="68">
        <f ca="1">IFERROR(__xludf.DUMMYFUNCTION("IMPORTRANGE(""https://docs.google.com/spreadsheets/d/13JHU_EFbsQOUQ0JSQ3dWy1VTRosIWcDq6Nc99z2qzdc/edit?usp=sharing"",""หนองคาย!R728"")"),379090)</f>
        <v>379090</v>
      </c>
      <c r="E47" s="68">
        <f ca="1">IFERROR(__xludf.DUMMYFUNCTION("IMPORTRANGE(""https://docs.google.com/spreadsheets/d/13JHU_EFbsQOUQ0JSQ3dWy1VTRosIWcDq6Nc99z2qzdc/edit?usp=sharing"",""หนองคาย!S728"")"),340250)</f>
        <v>340250</v>
      </c>
      <c r="F47" s="68">
        <f t="shared" ca="1" si="33"/>
        <v>89.754411881083641</v>
      </c>
      <c r="G47" s="68">
        <f t="shared" ca="1" si="34"/>
        <v>89.754411881083641</v>
      </c>
      <c r="H47" s="152">
        <f ca="1">IFERROR(__xludf.DUMMYFUNCTION("IMPORTRANGE(""https://docs.google.com/spreadsheets/d/13JHU_EFbsQOUQ0JSQ3dWy1VTRosIWcDq6Nc99z2qzdc/edit?usp=sharing"",""หนองคาย!I726"")"),51)</f>
        <v>51</v>
      </c>
      <c r="I47" s="152">
        <f ca="1">IFERROR(__xludf.DUMMYFUNCTION("IMPORTRANGE(""https://docs.google.com/spreadsheets/d/13JHU_EFbsQOUQ0JSQ3dWy1VTRosIWcDq6Nc99z2qzdc/edit?usp=sharing"",""หนองคาย!I727"")"),500)</f>
        <v>500</v>
      </c>
      <c r="J47" s="152">
        <f ca="1">IFERROR(__xludf.DUMMYFUNCTION("IMPORTRANGE(""https://docs.google.com/spreadsheets/d/13JHU_EFbsQOUQ0JSQ3dWy1VTRosIWcDq6Nc99z2qzdc/edit?usp=sharing"",""หนองคาย!J726"")"),51)</f>
        <v>51</v>
      </c>
      <c r="K47" s="216">
        <f t="shared" ca="1" si="36"/>
        <v>100</v>
      </c>
      <c r="L47" s="152">
        <f ca="1">IFERROR(__xludf.DUMMYFUNCTION("IMPORTRANGE(""https://docs.google.com/spreadsheets/d/13JHU_EFbsQOUQ0JSQ3dWy1VTRosIWcDq6Nc99z2qzdc/edit?usp=sharing"",""หนองคาย!J727"")"),500)</f>
        <v>500</v>
      </c>
      <c r="M47" s="216">
        <f t="shared" ca="1" si="37"/>
        <v>100</v>
      </c>
      <c r="N47" s="152">
        <f ca="1">IFERROR(__xludf.DUMMYFUNCTION("IMPORTRANGE(""https://docs.google.com/spreadsheets/d/13JHU_EFbsQOUQ0JSQ3dWy1VTRosIWcDq6Nc99z2qzdc/edit?usp=sharing"",""หนองคาย!I740"")"),400)</f>
        <v>400</v>
      </c>
      <c r="O47" s="152">
        <f ca="1">IFERROR(__xludf.DUMMYFUNCTION("IMPORTRANGE(""https://docs.google.com/spreadsheets/d/13JHU_EFbsQOUQ0JSQ3dWy1VTRosIWcDq6Nc99z2qzdc/edit?usp=sharing"",""หนองคาย!J740"")"),400)</f>
        <v>400</v>
      </c>
      <c r="P47" s="216">
        <f t="shared" ca="1" si="39"/>
        <v>100</v>
      </c>
      <c r="Q47" s="152">
        <f ca="1">IFERROR(__xludf.DUMMYFUNCTION("IMPORTRANGE(""https://docs.google.com/spreadsheets/d/13JHU_EFbsQOUQ0JSQ3dWy1VTRosIWcDq6Nc99z2qzdc/edit?usp=sharing"",""หนองคาย!J741"")"),0)</f>
        <v>0</v>
      </c>
      <c r="R47" s="152">
        <f ca="1">IFERROR(__xludf.DUMMYFUNCTION("IMPORTRANGE(""https://docs.google.com/spreadsheets/d/13JHU_EFbsQOUQ0JSQ3dWy1VTRosIWcDq6Nc99z2qzdc/edit?usp=sharing"",""หนองคาย!I742"")"),40)</f>
        <v>40</v>
      </c>
      <c r="S47" s="152">
        <f ca="1">IFERROR(__xludf.DUMMYFUNCTION("IMPORTRANGE(""https://docs.google.com/spreadsheets/d/13JHU_EFbsQOUQ0JSQ3dWy1VTRosIWcDq6Nc99z2qzdc/edit?usp=sharing"",""หนองคาย!J742"")"),40)</f>
        <v>40</v>
      </c>
      <c r="T47" s="216">
        <f t="shared" ca="1" si="41"/>
        <v>100</v>
      </c>
      <c r="U47" s="152">
        <f ca="1">IFERROR(__xludf.DUMMYFUNCTION("IMPORTRANGE(""https://docs.google.com/spreadsheets/d/13JHU_EFbsQOUQ0JSQ3dWy1VTRosIWcDq6Nc99z2qzdc/edit?usp=sharing"",""หนองคาย!I744"")"),100)</f>
        <v>100</v>
      </c>
      <c r="V47" s="152">
        <f ca="1">IFERROR(__xludf.DUMMYFUNCTION("IMPORTRANGE(""https://docs.google.com/spreadsheets/d/13JHU_EFbsQOUQ0JSQ3dWy1VTRosIWcDq6Nc99z2qzdc/edit?usp=sharing"",""หนองคาย!J744"")"),100)</f>
        <v>100</v>
      </c>
      <c r="W47" s="216">
        <f t="shared" ca="1" si="43"/>
        <v>100</v>
      </c>
      <c r="X47" s="152">
        <f ca="1">IFERROR(__xludf.DUMMYFUNCTION("IMPORTRANGE(""https://docs.google.com/spreadsheets/d/13JHU_EFbsQOUQ0JSQ3dWy1VTRosIWcDq6Nc99z2qzdc/edit?usp=sharing"",""หนองคาย!J745"")"),0)</f>
        <v>0</v>
      </c>
      <c r="Y47" s="152">
        <f ca="1">IFERROR(__xludf.DUMMYFUNCTION("IMPORTRANGE(""https://docs.google.com/spreadsheets/d/13JHU_EFbsQOUQ0JSQ3dWy1VTRosIWcDq6Nc99z2qzdc/edit?usp=sharing"",""หนองคาย!I746"")"),10)</f>
        <v>10</v>
      </c>
      <c r="Z47" s="152">
        <f ca="1">IFERROR(__xludf.DUMMYFUNCTION("IMPORTRANGE(""https://docs.google.com/spreadsheets/d/13JHU_EFbsQOUQ0JSQ3dWy1VTRosIWcDq6Nc99z2qzdc/edit?usp=sharing"",""หนองคาย!J746"")"),10)</f>
        <v>10</v>
      </c>
      <c r="AA47" s="216">
        <f t="shared" ca="1" si="45"/>
        <v>100</v>
      </c>
      <c r="AB47" s="152">
        <f ca="1">IFERROR(__xludf.DUMMYFUNCTION("IMPORTRANGE(""https://docs.google.com/spreadsheets/d/13JHU_EFbsQOUQ0JSQ3dWy1VTRosIWcDq6Nc99z2qzdc/edit?usp=sharing"",""หนองคาย!J748"")"),0)</f>
        <v>0</v>
      </c>
      <c r="AC47" s="152">
        <f ca="1">IFERROR(__xludf.DUMMYFUNCTION("IMPORTRANGE(""https://docs.google.com/spreadsheets/d/13JHU_EFbsQOUQ0JSQ3dWy1VTRosIWcDq6Nc99z2qzdc/edit?usp=sharing"",""หนองคาย!I749"")"),1)</f>
        <v>1</v>
      </c>
      <c r="AD47" s="152">
        <f ca="1">IFERROR(__xludf.DUMMYFUNCTION("IMPORTRANGE(""https://docs.google.com/spreadsheets/d/13JHU_EFbsQOUQ0JSQ3dWy1VTRosIWcDq6Nc99z2qzdc/edit?usp=sharing"",""หนองคาย!J749"")"),1)</f>
        <v>1</v>
      </c>
      <c r="AE47" s="216">
        <f t="shared" ca="1" si="47"/>
        <v>100</v>
      </c>
      <c r="AF47" s="152">
        <f ca="1">IFERROR(__xludf.DUMMYFUNCTION("IMPORTRANGE(""https://docs.google.com/spreadsheets/d/13JHU_EFbsQOUQ0JSQ3dWy1VTRosIWcDq6Nc99z2qzdc/edit?usp=sharing"",""หนองคาย!I752"")"),400)</f>
        <v>400</v>
      </c>
      <c r="AG47" s="152">
        <f ca="1">IFERROR(__xludf.DUMMYFUNCTION("IMPORTRANGE(""https://docs.google.com/spreadsheets/d/13JHU_EFbsQOUQ0JSQ3dWy1VTRosIWcDq6Nc99z2qzdc/edit?usp=sharing"",""หนองคาย!J752"")"),400)</f>
        <v>400</v>
      </c>
      <c r="AH47" s="216">
        <f t="shared" ca="1" si="49"/>
        <v>100</v>
      </c>
      <c r="AI47" s="152">
        <f ca="1">IFERROR(__xludf.DUMMYFUNCTION("IMPORTRANGE(""https://docs.google.com/spreadsheets/d/13JHU_EFbsQOUQ0JSQ3dWy1VTRosIWcDq6Nc99z2qzdc/edit?usp=sharing"",""หนองคาย!J753"")"),0)</f>
        <v>0</v>
      </c>
      <c r="AJ47" s="152">
        <f ca="1">IFERROR(__xludf.DUMMYFUNCTION("IMPORTRANGE(""https://docs.google.com/spreadsheets/d/13JHU_EFbsQOUQ0JSQ3dWy1VTRosIWcDq6Nc99z2qzdc/edit?usp=sharing"",""หนองคาย!I755"")"),100)</f>
        <v>100</v>
      </c>
      <c r="AK47" s="152">
        <f ca="1">IFERROR(__xludf.DUMMYFUNCTION("IMPORTRANGE(""https://docs.google.com/spreadsheets/d/13JHU_EFbsQOUQ0JSQ3dWy1VTRosIWcDq6Nc99z2qzdc/edit?usp=sharing"",""หนองคาย!J755"")"),100)</f>
        <v>100</v>
      </c>
      <c r="AL47" s="216">
        <f t="shared" ca="1" si="51"/>
        <v>100</v>
      </c>
      <c r="AM47" s="152">
        <f ca="1">IFERROR(__xludf.DUMMYFUNCTION("IMPORTRANGE(""https://docs.google.com/spreadsheets/d/13JHU_EFbsQOUQ0JSQ3dWy1VTRosIWcDq6Nc99z2qzdc/edit?usp=sharing"",""หนองคาย!J756"")"),0)</f>
        <v>0</v>
      </c>
      <c r="AN47" s="152">
        <f ca="1">IFERROR(__xludf.DUMMYFUNCTION("IMPORTRANGE(""https://docs.google.com/spreadsheets/d/13JHU_EFbsQOUQ0JSQ3dWy1VTRosIWcDq6Nc99z2qzdc/edit?usp=sharing"",""หนองคาย!J757"")"),0)</f>
        <v>0</v>
      </c>
    </row>
    <row r="48" spans="1:40" ht="19.5" x14ac:dyDescent="0.3">
      <c r="A48" s="147">
        <v>17</v>
      </c>
      <c r="B48" s="148" t="s">
        <v>76</v>
      </c>
      <c r="C48" s="68">
        <f ca="1">IFERROR(__xludf.DUMMYFUNCTION("IMPORTRANGE(""https://docs.google.com/spreadsheets/d/1Hx73zIEgVdDZZaYSTc46Dqv64atFhpr3GelxLbaIN8A/edit?usp=sharing"",""หนองบัวลำภู!Q728"")"),1008470)</f>
        <v>1008470</v>
      </c>
      <c r="D48" s="68">
        <f ca="1">IFERROR(__xludf.DUMMYFUNCTION("IMPORTRANGE(""https://docs.google.com/spreadsheets/d/1Hx73zIEgVdDZZaYSTc46Dqv64atFhpr3GelxLbaIN8A/edit?usp=sharing"",""หนองบัวลำภู!R728"")"),1008470)</f>
        <v>1008470</v>
      </c>
      <c r="E48" s="68">
        <f ca="1">IFERROR(__xludf.DUMMYFUNCTION("IMPORTRANGE(""https://docs.google.com/spreadsheets/d/1Hx73zIEgVdDZZaYSTc46Dqv64atFhpr3GelxLbaIN8A/edit?usp=sharing"",""หนองบัวลำภู!S728"")"),650680.01)</f>
        <v>650680.01</v>
      </c>
      <c r="F48" s="68">
        <f t="shared" ca="1" si="33"/>
        <v>64.521503862286437</v>
      </c>
      <c r="G48" s="68">
        <f t="shared" ca="1" si="34"/>
        <v>64.521503862286437</v>
      </c>
      <c r="H48" s="152">
        <f ca="1">IFERROR(__xludf.DUMMYFUNCTION("IMPORTRANGE(""https://docs.google.com/spreadsheets/d/1Hx73zIEgVdDZZaYSTc46Dqv64atFhpr3GelxLbaIN8A/edit?usp=sharing"",""หนองบัวลำภู!I726"")"),128)</f>
        <v>128</v>
      </c>
      <c r="I48" s="152">
        <f ca="1">IFERROR(__xludf.DUMMYFUNCTION("IMPORTRANGE(""https://docs.google.com/spreadsheets/d/1Hx73zIEgVdDZZaYSTc46Dqv64atFhpr3GelxLbaIN8A/edit?usp=sharing"",""หนองบัวลำภู!I727"")"),1250)</f>
        <v>1250</v>
      </c>
      <c r="J48" s="152">
        <f ca="1">IFERROR(__xludf.DUMMYFUNCTION("IMPORTRANGE(""https://docs.google.com/spreadsheets/d/1Hx73zIEgVdDZZaYSTc46Dqv64atFhpr3GelxLbaIN8A/edit?usp=sharing"",""หนองบัวลำภู!J726"")"),128)</f>
        <v>128</v>
      </c>
      <c r="K48" s="216">
        <f t="shared" ca="1" si="36"/>
        <v>100</v>
      </c>
      <c r="L48" s="152">
        <f ca="1">IFERROR(__xludf.DUMMYFUNCTION("IMPORTRANGE(""https://docs.google.com/spreadsheets/d/1Hx73zIEgVdDZZaYSTc46Dqv64atFhpr3GelxLbaIN8A/edit?usp=sharing"",""หนองบัวลำภู!J727"")"),1250)</f>
        <v>1250</v>
      </c>
      <c r="M48" s="216">
        <f t="shared" ca="1" si="37"/>
        <v>100</v>
      </c>
      <c r="N48" s="152">
        <f ca="1">IFERROR(__xludf.DUMMYFUNCTION("IMPORTRANGE(""https://docs.google.com/spreadsheets/d/1Hx73zIEgVdDZZaYSTc46Dqv64atFhpr3GelxLbaIN8A/edit?usp=sharing"",""หนองบัวลำภู!I740"")"),1000)</f>
        <v>1000</v>
      </c>
      <c r="O48" s="152">
        <f ca="1">IFERROR(__xludf.DUMMYFUNCTION("IMPORTRANGE(""https://docs.google.com/spreadsheets/d/1Hx73zIEgVdDZZaYSTc46Dqv64atFhpr3GelxLbaIN8A/edit?usp=sharing"",""หนองบัวลำภู!J740"")"),1000)</f>
        <v>1000</v>
      </c>
      <c r="P48" s="216">
        <f t="shared" ca="1" si="39"/>
        <v>100</v>
      </c>
      <c r="Q48" s="252" t="str">
        <f ca="1">IFERROR(__xludf.DUMMYFUNCTION("IMPORTRANGE(""https://docs.google.com/spreadsheets/d/1Hx73zIEgVdDZZaYSTc46Dqv64atFhpr3GelxLbaIN8A/edit?usp=sharing"",""หนองบัวลำภู!J741"")"),"")</f>
        <v/>
      </c>
      <c r="R48" s="152">
        <f ca="1">IFERROR(__xludf.DUMMYFUNCTION("IMPORTRANGE(""https://docs.google.com/spreadsheets/d/1Hx73zIEgVdDZZaYSTc46Dqv64atFhpr3GelxLbaIN8A/edit?usp=sharing"",""หนองบัวลำภู!I742"")"),100)</f>
        <v>100</v>
      </c>
      <c r="S48" s="152">
        <f ca="1">IFERROR(__xludf.DUMMYFUNCTION("IMPORTRANGE(""https://docs.google.com/spreadsheets/d/1Hx73zIEgVdDZZaYSTc46Dqv64atFhpr3GelxLbaIN8A/edit?usp=sharing"",""หนองบัวลำภู!J742"")"),100)</f>
        <v>100</v>
      </c>
      <c r="T48" s="216">
        <f t="shared" ca="1" si="41"/>
        <v>100</v>
      </c>
      <c r="U48" s="152">
        <f ca="1">IFERROR(__xludf.DUMMYFUNCTION("IMPORTRANGE(""https://docs.google.com/spreadsheets/d/1Hx73zIEgVdDZZaYSTc46Dqv64atFhpr3GelxLbaIN8A/edit?usp=sharing"",""หนองบัวลำภู!I744"")"),250)</f>
        <v>250</v>
      </c>
      <c r="V48" s="152">
        <f ca="1">IFERROR(__xludf.DUMMYFUNCTION("IMPORTRANGE(""https://docs.google.com/spreadsheets/d/1Hx73zIEgVdDZZaYSTc46Dqv64atFhpr3GelxLbaIN8A/edit?usp=sharing"",""หนองบัวลำภู!J744"")"),250)</f>
        <v>250</v>
      </c>
      <c r="W48" s="216">
        <f t="shared" ca="1" si="43"/>
        <v>100</v>
      </c>
      <c r="X48" s="152">
        <f ca="1">IFERROR(__xludf.DUMMYFUNCTION("IMPORTRANGE(""https://docs.google.com/spreadsheets/d/1Hx73zIEgVdDZZaYSTc46Dqv64atFhpr3GelxLbaIN8A/edit?usp=sharing"",""หนองบัวลำภู!J745"")"),0)</f>
        <v>0</v>
      </c>
      <c r="Y48" s="152">
        <f ca="1">IFERROR(__xludf.DUMMYFUNCTION("IMPORTRANGE(""https://docs.google.com/spreadsheets/d/1Hx73zIEgVdDZZaYSTc46Dqv64atFhpr3GelxLbaIN8A/edit?usp=sharing"",""หนองบัวลำภู!I746"")"),25)</f>
        <v>25</v>
      </c>
      <c r="Z48" s="152">
        <f ca="1">IFERROR(__xludf.DUMMYFUNCTION("IMPORTRANGE(""https://docs.google.com/spreadsheets/d/1Hx73zIEgVdDZZaYSTc46Dqv64atFhpr3GelxLbaIN8A/edit?usp=sharing"",""หนองบัวลำภู!J746"")"),25)</f>
        <v>25</v>
      </c>
      <c r="AA48" s="216">
        <f t="shared" ca="1" si="45"/>
        <v>100</v>
      </c>
      <c r="AB48" s="152">
        <f ca="1">IFERROR(__xludf.DUMMYFUNCTION("IMPORTRANGE(""https://docs.google.com/spreadsheets/d/1Hx73zIEgVdDZZaYSTc46Dqv64atFhpr3GelxLbaIN8A/edit?usp=sharing"",""หนองบัวลำภู!J748"")"),0)</f>
        <v>0</v>
      </c>
      <c r="AC48" s="152">
        <f ca="1">IFERROR(__xludf.DUMMYFUNCTION("IMPORTRANGE(""https://docs.google.com/spreadsheets/d/1Hx73zIEgVdDZZaYSTc46Dqv64atFhpr3GelxLbaIN8A/edit?usp=sharing"",""หนองบัวลำภู!I749"")"),3)</f>
        <v>3</v>
      </c>
      <c r="AD48" s="152">
        <f ca="1">IFERROR(__xludf.DUMMYFUNCTION("IMPORTRANGE(""https://docs.google.com/spreadsheets/d/1Hx73zIEgVdDZZaYSTc46Dqv64atFhpr3GelxLbaIN8A/edit?usp=sharing"",""หนองบัวลำภู!J749"")"),3)</f>
        <v>3</v>
      </c>
      <c r="AE48" s="216">
        <f t="shared" ca="1" si="47"/>
        <v>100</v>
      </c>
      <c r="AF48" s="152">
        <f ca="1">IFERROR(__xludf.DUMMYFUNCTION("IMPORTRANGE(""https://docs.google.com/spreadsheets/d/1Hx73zIEgVdDZZaYSTc46Dqv64atFhpr3GelxLbaIN8A/edit?usp=sharing"",""หนองบัวลำภู!I752"")"),1000)</f>
        <v>1000</v>
      </c>
      <c r="AG48" s="152">
        <f ca="1">IFERROR(__xludf.DUMMYFUNCTION("IMPORTRANGE(""https://docs.google.com/spreadsheets/d/1Hx73zIEgVdDZZaYSTc46Dqv64atFhpr3GelxLbaIN8A/edit?usp=sharing"",""หนองบัวลำภู!J752"")"),1000)</f>
        <v>1000</v>
      </c>
      <c r="AH48" s="216">
        <f t="shared" ca="1" si="49"/>
        <v>100</v>
      </c>
      <c r="AI48" s="152">
        <f ca="1">IFERROR(__xludf.DUMMYFUNCTION("IMPORTRANGE(""https://docs.google.com/spreadsheets/d/1Hx73zIEgVdDZZaYSTc46Dqv64atFhpr3GelxLbaIN8A/edit?usp=sharing"",""หนองบัวลำภู!J753"")"),0)</f>
        <v>0</v>
      </c>
      <c r="AJ48" s="152">
        <f ca="1">IFERROR(__xludf.DUMMYFUNCTION("IMPORTRANGE(""https://docs.google.com/spreadsheets/d/1Hx73zIEgVdDZZaYSTc46Dqv64atFhpr3GelxLbaIN8A/edit?usp=sharing"",""หนองบัวลำภู!I755"")"),250)</f>
        <v>250</v>
      </c>
      <c r="AK48" s="152">
        <f ca="1">IFERROR(__xludf.DUMMYFUNCTION("IMPORTRANGE(""https://docs.google.com/spreadsheets/d/1Hx73zIEgVdDZZaYSTc46Dqv64atFhpr3GelxLbaIN8A/edit?usp=sharing"",""หนองบัวลำภู!J755"")"),250)</f>
        <v>250</v>
      </c>
      <c r="AL48" s="216">
        <f t="shared" ca="1" si="51"/>
        <v>100</v>
      </c>
      <c r="AM48" s="152">
        <f ca="1">IFERROR(__xludf.DUMMYFUNCTION("IMPORTRANGE(""https://docs.google.com/spreadsheets/d/1Hx73zIEgVdDZZaYSTc46Dqv64atFhpr3GelxLbaIN8A/edit?usp=sharing"",""หนองบัวลำภู!J756"")"),0)</f>
        <v>0</v>
      </c>
      <c r="AN48" s="152">
        <f ca="1">IFERROR(__xludf.DUMMYFUNCTION("IMPORTRANGE(""https://docs.google.com/spreadsheets/d/1Hx73zIEgVdDZZaYSTc46Dqv64atFhpr3GelxLbaIN8A/edit?usp=sharing"",""หนองบัวลำภู!J757"")"),0)</f>
        <v>0</v>
      </c>
    </row>
    <row r="49" spans="1:40" ht="19.5" x14ac:dyDescent="0.3">
      <c r="A49" s="147">
        <v>18</v>
      </c>
      <c r="B49" s="148" t="s">
        <v>77</v>
      </c>
      <c r="C49" s="68">
        <f ca="1">IFERROR(__xludf.DUMMYFUNCTION("IMPORTRANGE(""https://docs.google.com/spreadsheets/d/1lFxr3ctmjFN90yc-xV6jrQ9Ty8BKYVBWnAZ15wcNIJc/edit?usp=sharing"",""อำนาจเจริญ!Q728"")"),242546)</f>
        <v>242546</v>
      </c>
      <c r="D49" s="68">
        <f ca="1">IFERROR(__xludf.DUMMYFUNCTION("IMPORTRANGE(""https://docs.google.com/spreadsheets/d/1lFxr3ctmjFN90yc-xV6jrQ9Ty8BKYVBWnAZ15wcNIJc/edit?usp=sharing"",""อำนาจเจริญ!R728"")"),242546)</f>
        <v>242546</v>
      </c>
      <c r="E49" s="68">
        <f ca="1">IFERROR(__xludf.DUMMYFUNCTION("IMPORTRANGE(""https://docs.google.com/spreadsheets/d/1lFxr3ctmjFN90yc-xV6jrQ9Ty8BKYVBWnAZ15wcNIJc/edit?usp=sharing"",""อำนาจเจริญ!S728"")"),228376)</f>
        <v>228376</v>
      </c>
      <c r="F49" s="68">
        <f t="shared" ca="1" si="33"/>
        <v>94.157809240309049</v>
      </c>
      <c r="G49" s="68">
        <f t="shared" ca="1" si="34"/>
        <v>94.157809240309049</v>
      </c>
      <c r="H49" s="152">
        <f ca="1">IFERROR(__xludf.DUMMYFUNCTION("IMPORTRANGE(""https://docs.google.com/spreadsheets/d/1lFxr3ctmjFN90yc-xV6jrQ9Ty8BKYVBWnAZ15wcNIJc/edit?usp=sharing"",""อำนาจเจริญ!I726"")"),31)</f>
        <v>31</v>
      </c>
      <c r="I49" s="152">
        <f ca="1">IFERROR(__xludf.DUMMYFUNCTION("IMPORTRANGE(""https://docs.google.com/spreadsheets/d/1lFxr3ctmjFN90yc-xV6jrQ9Ty8BKYVBWnAZ15wcNIJc/edit?usp=sharing"",""อำนาจเจริญ!I727"")"),300)</f>
        <v>300</v>
      </c>
      <c r="J49" s="152">
        <f ca="1">IFERROR(__xludf.DUMMYFUNCTION("IMPORTRANGE(""https://docs.google.com/spreadsheets/d/1lFxr3ctmjFN90yc-xV6jrQ9Ty8BKYVBWnAZ15wcNIJc/edit?usp=sharing"",""อำนาจเจริญ!J726"")"),31)</f>
        <v>31</v>
      </c>
      <c r="K49" s="216">
        <f t="shared" ca="1" si="36"/>
        <v>100</v>
      </c>
      <c r="L49" s="152">
        <f ca="1">IFERROR(__xludf.DUMMYFUNCTION("IMPORTRANGE(""https://docs.google.com/spreadsheets/d/1lFxr3ctmjFN90yc-xV6jrQ9Ty8BKYVBWnAZ15wcNIJc/edit?usp=sharing"",""อำนาจเจริญ!J727"")"),300)</f>
        <v>300</v>
      </c>
      <c r="M49" s="216">
        <f t="shared" ca="1" si="37"/>
        <v>100</v>
      </c>
      <c r="N49" s="152">
        <f ca="1">IFERROR(__xludf.DUMMYFUNCTION("IMPORTRANGE(""https://docs.google.com/spreadsheets/d/1lFxr3ctmjFN90yc-xV6jrQ9Ty8BKYVBWnAZ15wcNIJc/edit?usp=sharing"",""อำนาจเจริญ!I740"")"),240)</f>
        <v>240</v>
      </c>
      <c r="O49" s="152">
        <f ca="1">IFERROR(__xludf.DUMMYFUNCTION("IMPORTRANGE(""https://docs.google.com/spreadsheets/d/1lFxr3ctmjFN90yc-xV6jrQ9Ty8BKYVBWnAZ15wcNIJc/edit?usp=sharing"",""อำนาจเจริญ!J740"")"),240)</f>
        <v>240</v>
      </c>
      <c r="P49" s="216">
        <f t="shared" ca="1" si="39"/>
        <v>100</v>
      </c>
      <c r="Q49" s="152">
        <f ca="1">IFERROR(__xludf.DUMMYFUNCTION("IMPORTRANGE(""https://docs.google.com/spreadsheets/d/1lFxr3ctmjFN90yc-xV6jrQ9Ty8BKYVBWnAZ15wcNIJc/edit?usp=sharing"",""อำนาจเจริญ!J741"")"),0)</f>
        <v>0</v>
      </c>
      <c r="R49" s="152">
        <f ca="1">IFERROR(__xludf.DUMMYFUNCTION("IMPORTRANGE(""https://docs.google.com/spreadsheets/d/1lFxr3ctmjFN90yc-xV6jrQ9Ty8BKYVBWnAZ15wcNIJc/edit?usp=sharing"",""อำนาจเจริญ!I742"")"),24)</f>
        <v>24</v>
      </c>
      <c r="S49" s="152">
        <f ca="1">IFERROR(__xludf.DUMMYFUNCTION("IMPORTRANGE(""https://docs.google.com/spreadsheets/d/1lFxr3ctmjFN90yc-xV6jrQ9Ty8BKYVBWnAZ15wcNIJc/edit?usp=sharing"",""อำนาจเจริญ!J742"")"),24)</f>
        <v>24</v>
      </c>
      <c r="T49" s="216">
        <f t="shared" ca="1" si="41"/>
        <v>100</v>
      </c>
      <c r="U49" s="152">
        <f ca="1">IFERROR(__xludf.DUMMYFUNCTION("IMPORTRANGE(""https://docs.google.com/spreadsheets/d/1lFxr3ctmjFN90yc-xV6jrQ9Ty8BKYVBWnAZ15wcNIJc/edit?usp=sharing"",""อำนาจเจริญ!I744"")"),60)</f>
        <v>60</v>
      </c>
      <c r="V49" s="152">
        <f ca="1">IFERROR(__xludf.DUMMYFUNCTION("IMPORTRANGE(""https://docs.google.com/spreadsheets/d/1lFxr3ctmjFN90yc-xV6jrQ9Ty8BKYVBWnAZ15wcNIJc/edit?usp=sharing"",""อำนาจเจริญ!J744"")"),60)</f>
        <v>60</v>
      </c>
      <c r="W49" s="216">
        <f t="shared" ca="1" si="43"/>
        <v>100</v>
      </c>
      <c r="X49" s="152">
        <f ca="1">IFERROR(__xludf.DUMMYFUNCTION("IMPORTRANGE(""https://docs.google.com/spreadsheets/d/1lFxr3ctmjFN90yc-xV6jrQ9Ty8BKYVBWnAZ15wcNIJc/edit?usp=sharing"",""อำนาจเจริญ!J745"")"),0)</f>
        <v>0</v>
      </c>
      <c r="Y49" s="152">
        <f ca="1">IFERROR(__xludf.DUMMYFUNCTION("IMPORTRANGE(""https://docs.google.com/spreadsheets/d/1lFxr3ctmjFN90yc-xV6jrQ9Ty8BKYVBWnAZ15wcNIJc/edit?usp=sharing"",""อำนาจเจริญ!I746"")"),6)</f>
        <v>6</v>
      </c>
      <c r="Z49" s="152">
        <f ca="1">IFERROR(__xludf.DUMMYFUNCTION("IMPORTRANGE(""https://docs.google.com/spreadsheets/d/1lFxr3ctmjFN90yc-xV6jrQ9Ty8BKYVBWnAZ15wcNIJc/edit?usp=sharing"",""อำนาจเจริญ!J746"")"),6)</f>
        <v>6</v>
      </c>
      <c r="AA49" s="216">
        <f t="shared" ca="1" si="45"/>
        <v>100</v>
      </c>
      <c r="AB49" s="152">
        <f ca="1">IFERROR(__xludf.DUMMYFUNCTION("IMPORTRANGE(""https://docs.google.com/spreadsheets/d/1lFxr3ctmjFN90yc-xV6jrQ9Ty8BKYVBWnAZ15wcNIJc/edit?usp=sharing"",""อำนาจเจริญ!J748"")"),0)</f>
        <v>0</v>
      </c>
      <c r="AC49" s="152">
        <f ca="1">IFERROR(__xludf.DUMMYFUNCTION("IMPORTRANGE(""https://docs.google.com/spreadsheets/d/1lFxr3ctmjFN90yc-xV6jrQ9Ty8BKYVBWnAZ15wcNIJc/edit?usp=sharing"",""อำนาจเจริญ!I749"")"),1)</f>
        <v>1</v>
      </c>
      <c r="AD49" s="152">
        <f ca="1">IFERROR(__xludf.DUMMYFUNCTION("IMPORTRANGE(""https://docs.google.com/spreadsheets/d/1lFxr3ctmjFN90yc-xV6jrQ9Ty8BKYVBWnAZ15wcNIJc/edit?usp=sharing"",""อำนาจเจริญ!J749"")"),1)</f>
        <v>1</v>
      </c>
      <c r="AE49" s="216">
        <f t="shared" ca="1" si="47"/>
        <v>100</v>
      </c>
      <c r="AF49" s="152">
        <f ca="1">IFERROR(__xludf.DUMMYFUNCTION("IMPORTRANGE(""https://docs.google.com/spreadsheets/d/1lFxr3ctmjFN90yc-xV6jrQ9Ty8BKYVBWnAZ15wcNIJc/edit?usp=sharing"",""อำนาจเจริญ!I752"")"),240)</f>
        <v>240</v>
      </c>
      <c r="AG49" s="152">
        <f ca="1">IFERROR(__xludf.DUMMYFUNCTION("IMPORTRANGE(""https://docs.google.com/spreadsheets/d/1lFxr3ctmjFN90yc-xV6jrQ9Ty8BKYVBWnAZ15wcNIJc/edit?usp=sharing"",""อำนาจเจริญ!J752"")"),240)</f>
        <v>240</v>
      </c>
      <c r="AH49" s="216">
        <f t="shared" ca="1" si="49"/>
        <v>100</v>
      </c>
      <c r="AI49" s="152">
        <f ca="1">IFERROR(__xludf.DUMMYFUNCTION("IMPORTRANGE(""https://docs.google.com/spreadsheets/d/1lFxr3ctmjFN90yc-xV6jrQ9Ty8BKYVBWnAZ15wcNIJc/edit?usp=sharing"",""อำนาจเจริญ!J753"")"),0)</f>
        <v>0</v>
      </c>
      <c r="AJ49" s="152">
        <f ca="1">IFERROR(__xludf.DUMMYFUNCTION("IMPORTRANGE(""https://docs.google.com/spreadsheets/d/1lFxr3ctmjFN90yc-xV6jrQ9Ty8BKYVBWnAZ15wcNIJc/edit?usp=sharing"",""อำนาจเจริญ!I755"")"),60)</f>
        <v>60</v>
      </c>
      <c r="AK49" s="152">
        <f ca="1">IFERROR(__xludf.DUMMYFUNCTION("IMPORTRANGE(""https://docs.google.com/spreadsheets/d/1lFxr3ctmjFN90yc-xV6jrQ9Ty8BKYVBWnAZ15wcNIJc/edit?usp=sharing"",""อำนาจเจริญ!J755"")"),60)</f>
        <v>60</v>
      </c>
      <c r="AL49" s="216">
        <f t="shared" ca="1" si="51"/>
        <v>100</v>
      </c>
      <c r="AM49" s="152">
        <f ca="1">IFERROR(__xludf.DUMMYFUNCTION("IMPORTRANGE(""https://docs.google.com/spreadsheets/d/1lFxr3ctmjFN90yc-xV6jrQ9Ty8BKYVBWnAZ15wcNIJc/edit?usp=sharing"",""อำนาจเจริญ!J756"")"),0)</f>
        <v>0</v>
      </c>
      <c r="AN49" s="152">
        <f ca="1">IFERROR(__xludf.DUMMYFUNCTION("IMPORTRANGE(""https://docs.google.com/spreadsheets/d/1lFxr3ctmjFN90yc-xV6jrQ9Ty8BKYVBWnAZ15wcNIJc/edit?usp=sharing"",""อำนาจเจริญ!J757"")"),0)</f>
        <v>0</v>
      </c>
    </row>
    <row r="50" spans="1:40" ht="19.5" x14ac:dyDescent="0.3">
      <c r="A50" s="147">
        <v>19</v>
      </c>
      <c r="B50" s="148" t="s">
        <v>78</v>
      </c>
      <c r="C50" s="68">
        <f ca="1">IFERROR(__xludf.DUMMYFUNCTION("IMPORTRANGE(""https://docs.google.com/spreadsheets/d/1gF7RJpRnL-1oyjyeWxs5SFWEH7y8ahOZsQlyp2A2e-A/edit?usp=sharing"",""อุดรธานี!Q728"")"),1008470)</f>
        <v>1008470</v>
      </c>
      <c r="D50" s="68">
        <f ca="1">IFERROR(__xludf.DUMMYFUNCTION("IMPORTRANGE(""https://docs.google.com/spreadsheets/d/1gF7RJpRnL-1oyjyeWxs5SFWEH7y8ahOZsQlyp2A2e-A/edit?usp=sharing"",""อุดรธานี!R728"")"),1008470)</f>
        <v>1008470</v>
      </c>
      <c r="E50" s="68">
        <f ca="1">IFERROR(__xludf.DUMMYFUNCTION("IMPORTRANGE(""https://docs.google.com/spreadsheets/d/1gF7RJpRnL-1oyjyeWxs5SFWEH7y8ahOZsQlyp2A2e-A/edit?usp=sharing"",""อุดรธานี!S728"")"),888229.09)</f>
        <v>888229.09</v>
      </c>
      <c r="F50" s="68">
        <f t="shared" ca="1" si="33"/>
        <v>88.076897676678527</v>
      </c>
      <c r="G50" s="68">
        <f t="shared" ca="1" si="34"/>
        <v>88.076897676678527</v>
      </c>
      <c r="H50" s="152">
        <f ca="1">IFERROR(__xludf.DUMMYFUNCTION("IMPORTRANGE(""https://docs.google.com/spreadsheets/d/1gF7RJpRnL-1oyjyeWxs5SFWEH7y8ahOZsQlyp2A2e-A/edit?usp=sharing"",""อุดรธานี!I726"")"),128)</f>
        <v>128</v>
      </c>
      <c r="I50" s="152">
        <f ca="1">IFERROR(__xludf.DUMMYFUNCTION("IMPORTRANGE(""https://docs.google.com/spreadsheets/d/1gF7RJpRnL-1oyjyeWxs5SFWEH7y8ahOZsQlyp2A2e-A/edit?usp=sharing"",""อุดรธานี!I727"")"),1250)</f>
        <v>1250</v>
      </c>
      <c r="J50" s="152">
        <f ca="1">IFERROR(__xludf.DUMMYFUNCTION("IMPORTRANGE(""https://docs.google.com/spreadsheets/d/1gF7RJpRnL-1oyjyeWxs5SFWEH7y8ahOZsQlyp2A2e-A/edit?usp=sharing"",""อุดรธานี!J726"")"),128)</f>
        <v>128</v>
      </c>
      <c r="K50" s="216">
        <f t="shared" ca="1" si="36"/>
        <v>100</v>
      </c>
      <c r="L50" s="152">
        <f ca="1">IFERROR(__xludf.DUMMYFUNCTION("IMPORTRANGE(""https://docs.google.com/spreadsheets/d/1gF7RJpRnL-1oyjyeWxs5SFWEH7y8ahOZsQlyp2A2e-A/edit?usp=sharing"",""อุดรธานี!J727"")"),1250)</f>
        <v>1250</v>
      </c>
      <c r="M50" s="216">
        <f t="shared" ca="1" si="37"/>
        <v>100</v>
      </c>
      <c r="N50" s="152">
        <f ca="1">IFERROR(__xludf.DUMMYFUNCTION("IMPORTRANGE(""https://docs.google.com/spreadsheets/d/1gF7RJpRnL-1oyjyeWxs5SFWEH7y8ahOZsQlyp2A2e-A/edit?usp=sharing"",""อุดรธานี!I740"")"),1000)</f>
        <v>1000</v>
      </c>
      <c r="O50" s="152">
        <f ca="1">IFERROR(__xludf.DUMMYFUNCTION("IMPORTRANGE(""https://docs.google.com/spreadsheets/d/1gF7RJpRnL-1oyjyeWxs5SFWEH7y8ahOZsQlyp2A2e-A/edit?usp=sharing"",""อุดรธานี!J740"")"),1000)</f>
        <v>1000</v>
      </c>
      <c r="P50" s="216">
        <f t="shared" ca="1" si="39"/>
        <v>100</v>
      </c>
      <c r="Q50" s="152">
        <f ca="1">IFERROR(__xludf.DUMMYFUNCTION("IMPORTRANGE(""https://docs.google.com/spreadsheets/d/1gF7RJpRnL-1oyjyeWxs5SFWEH7y8ahOZsQlyp2A2e-A/edit?usp=sharing"",""อุดรธานี!J741"")"),0)</f>
        <v>0</v>
      </c>
      <c r="R50" s="152">
        <f ca="1">IFERROR(__xludf.DUMMYFUNCTION("IMPORTRANGE(""https://docs.google.com/spreadsheets/d/1gF7RJpRnL-1oyjyeWxs5SFWEH7y8ahOZsQlyp2A2e-A/edit?usp=sharing"",""อุดรธานี!I742"")"),100)</f>
        <v>100</v>
      </c>
      <c r="S50" s="152">
        <f ca="1">IFERROR(__xludf.DUMMYFUNCTION("IMPORTRANGE(""https://docs.google.com/spreadsheets/d/1gF7RJpRnL-1oyjyeWxs5SFWEH7y8ahOZsQlyp2A2e-A/edit?usp=sharing"",""อุดรธานี!J742"")"),100)</f>
        <v>100</v>
      </c>
      <c r="T50" s="216">
        <f t="shared" ca="1" si="41"/>
        <v>100</v>
      </c>
      <c r="U50" s="152">
        <f ca="1">IFERROR(__xludf.DUMMYFUNCTION("IMPORTRANGE(""https://docs.google.com/spreadsheets/d/1gF7RJpRnL-1oyjyeWxs5SFWEH7y8ahOZsQlyp2A2e-A/edit?usp=sharing"",""อุดรธานี!I744"")"),250)</f>
        <v>250</v>
      </c>
      <c r="V50" s="152">
        <f ca="1">IFERROR(__xludf.DUMMYFUNCTION("IMPORTRANGE(""https://docs.google.com/spreadsheets/d/1gF7RJpRnL-1oyjyeWxs5SFWEH7y8ahOZsQlyp2A2e-A/edit?usp=sharing"",""อุดรธานี!J744"")"),250)</f>
        <v>250</v>
      </c>
      <c r="W50" s="216">
        <f t="shared" ca="1" si="43"/>
        <v>100</v>
      </c>
      <c r="X50" s="152">
        <f ca="1">IFERROR(__xludf.DUMMYFUNCTION("IMPORTRANGE(""https://docs.google.com/spreadsheets/d/1gF7RJpRnL-1oyjyeWxs5SFWEH7y8ahOZsQlyp2A2e-A/edit?usp=sharing"",""อุดรธานี!J745"")"),0)</f>
        <v>0</v>
      </c>
      <c r="Y50" s="152">
        <f ca="1">IFERROR(__xludf.DUMMYFUNCTION("IMPORTRANGE(""https://docs.google.com/spreadsheets/d/1gF7RJpRnL-1oyjyeWxs5SFWEH7y8ahOZsQlyp2A2e-A/edit?usp=sharing"",""อุดรธานี!I746"")"),25)</f>
        <v>25</v>
      </c>
      <c r="Z50" s="152">
        <f ca="1">IFERROR(__xludf.DUMMYFUNCTION("IMPORTRANGE(""https://docs.google.com/spreadsheets/d/1gF7RJpRnL-1oyjyeWxs5SFWEH7y8ahOZsQlyp2A2e-A/edit?usp=sharing"",""อุดรธานี!J746"")"),25)</f>
        <v>25</v>
      </c>
      <c r="AA50" s="216">
        <f t="shared" ca="1" si="45"/>
        <v>100</v>
      </c>
      <c r="AB50" s="152">
        <f ca="1">IFERROR(__xludf.DUMMYFUNCTION("IMPORTRANGE(""https://docs.google.com/spreadsheets/d/1gF7RJpRnL-1oyjyeWxs5SFWEH7y8ahOZsQlyp2A2e-A/edit?usp=sharing"",""อุดรธานี!J748"")"),0)</f>
        <v>0</v>
      </c>
      <c r="AC50" s="152">
        <f ca="1">IFERROR(__xludf.DUMMYFUNCTION("IMPORTRANGE(""https://docs.google.com/spreadsheets/d/1gF7RJpRnL-1oyjyeWxs5SFWEH7y8ahOZsQlyp2A2e-A/edit?usp=sharing"",""อุดรธานี!I749"")"),3)</f>
        <v>3</v>
      </c>
      <c r="AD50" s="152">
        <f ca="1">IFERROR(__xludf.DUMMYFUNCTION("IMPORTRANGE(""https://docs.google.com/spreadsheets/d/1gF7RJpRnL-1oyjyeWxs5SFWEH7y8ahOZsQlyp2A2e-A/edit?usp=sharing"",""อุดรธานี!J749"")"),3)</f>
        <v>3</v>
      </c>
      <c r="AE50" s="216">
        <f t="shared" ca="1" si="47"/>
        <v>100</v>
      </c>
      <c r="AF50" s="152">
        <f ca="1">IFERROR(__xludf.DUMMYFUNCTION("IMPORTRANGE(""https://docs.google.com/spreadsheets/d/1gF7RJpRnL-1oyjyeWxs5SFWEH7y8ahOZsQlyp2A2e-A/edit?usp=sharing"",""อุดรธานี!I752"")"),1000)</f>
        <v>1000</v>
      </c>
      <c r="AG50" s="152">
        <f ca="1">IFERROR(__xludf.DUMMYFUNCTION("IMPORTRANGE(""https://docs.google.com/spreadsheets/d/1gF7RJpRnL-1oyjyeWxs5SFWEH7y8ahOZsQlyp2A2e-A/edit?usp=sharing"",""อุดรธานี!J752"")"),1000)</f>
        <v>1000</v>
      </c>
      <c r="AH50" s="216">
        <f t="shared" ca="1" si="49"/>
        <v>100</v>
      </c>
      <c r="AI50" s="152">
        <f ca="1">IFERROR(__xludf.DUMMYFUNCTION("IMPORTRANGE(""https://docs.google.com/spreadsheets/d/1gF7RJpRnL-1oyjyeWxs5SFWEH7y8ahOZsQlyp2A2e-A/edit?usp=sharing"",""อุดรธานี!J753"")"),0)</f>
        <v>0</v>
      </c>
      <c r="AJ50" s="152">
        <f ca="1">IFERROR(__xludf.DUMMYFUNCTION("IMPORTRANGE(""https://docs.google.com/spreadsheets/d/1gF7RJpRnL-1oyjyeWxs5SFWEH7y8ahOZsQlyp2A2e-A/edit?usp=sharing"",""อุดรธานี!I755"")"),250)</f>
        <v>250</v>
      </c>
      <c r="AK50" s="152">
        <f ca="1">IFERROR(__xludf.DUMMYFUNCTION("IMPORTRANGE(""https://docs.google.com/spreadsheets/d/1gF7RJpRnL-1oyjyeWxs5SFWEH7y8ahOZsQlyp2A2e-A/edit?usp=sharing"",""อุดรธานี!J755"")"),250)</f>
        <v>250</v>
      </c>
      <c r="AL50" s="216">
        <f t="shared" ca="1" si="51"/>
        <v>100</v>
      </c>
      <c r="AM50" s="152">
        <f ca="1">IFERROR(__xludf.DUMMYFUNCTION("IMPORTRANGE(""https://docs.google.com/spreadsheets/d/1gF7RJpRnL-1oyjyeWxs5SFWEH7y8ahOZsQlyp2A2e-A/edit?usp=sharing"",""อุดรธานี!J756"")"),0)</f>
        <v>0</v>
      </c>
      <c r="AN50" s="152">
        <f ca="1">IFERROR(__xludf.DUMMYFUNCTION("IMPORTRANGE(""https://docs.google.com/spreadsheets/d/1gF7RJpRnL-1oyjyeWxs5SFWEH7y8ahOZsQlyp2A2e-A/edit?usp=sharing"",""อุดรธานี!J757"")"),1)</f>
        <v>1</v>
      </c>
    </row>
    <row r="51" spans="1:40" ht="19.5" x14ac:dyDescent="0.3">
      <c r="A51" s="155">
        <v>20</v>
      </c>
      <c r="B51" s="156" t="s">
        <v>79</v>
      </c>
      <c r="C51" s="89">
        <f ca="1">IFERROR(__xludf.DUMMYFUNCTION("IMPORTRANGE(""https://docs.google.com/spreadsheets/d/1kfLP0j3INXRa8bTDpcEmoWewMBV61jlFlfzczfjWIgc/edit?usp=sharing"",""อุบลราชธานี!Q728"")"),1008470)</f>
        <v>1008470</v>
      </c>
      <c r="D51" s="89">
        <f ca="1">IFERROR(__xludf.DUMMYFUNCTION("IMPORTRANGE(""https://docs.google.com/spreadsheets/d/1kfLP0j3INXRa8bTDpcEmoWewMBV61jlFlfzczfjWIgc/edit?usp=sharing"",""อุบลราชธานี!R728"")"),1008470)</f>
        <v>1008470</v>
      </c>
      <c r="E51" s="89">
        <f ca="1">IFERROR(__xludf.DUMMYFUNCTION("IMPORTRANGE(""https://docs.google.com/spreadsheets/d/1kfLP0j3INXRa8bTDpcEmoWewMBV61jlFlfzczfjWIgc/edit?usp=sharing"",""อุบลราชธานี!S728"")"),785689)</f>
        <v>785689</v>
      </c>
      <c r="F51" s="89">
        <f t="shared" ca="1" si="33"/>
        <v>77.909010679544267</v>
      </c>
      <c r="G51" s="89">
        <f t="shared" ca="1" si="34"/>
        <v>77.909010679544267</v>
      </c>
      <c r="H51" s="191">
        <f ca="1">IFERROR(__xludf.DUMMYFUNCTION("IMPORTRANGE(""https://docs.google.com/spreadsheets/d/1kfLP0j3INXRa8bTDpcEmoWewMBV61jlFlfzczfjWIgc/edit?usp=sharing"",""อุบลราชธานี!I726"")"),128)</f>
        <v>128</v>
      </c>
      <c r="I51" s="191">
        <f ca="1">IFERROR(__xludf.DUMMYFUNCTION("IMPORTRANGE(""https://docs.google.com/spreadsheets/d/1kfLP0j3INXRa8bTDpcEmoWewMBV61jlFlfzczfjWIgc/edit?usp=sharing"",""อุบลราชธานี!I727"")"),1250)</f>
        <v>1250</v>
      </c>
      <c r="J51" s="191">
        <f ca="1">IFERROR(__xludf.DUMMYFUNCTION("IMPORTRANGE(""https://docs.google.com/spreadsheets/d/1kfLP0j3INXRa8bTDpcEmoWewMBV61jlFlfzczfjWIgc/edit?usp=sharing"",""อุบลราชธานี!J726"")"),128)</f>
        <v>128</v>
      </c>
      <c r="K51" s="218">
        <f t="shared" ca="1" si="36"/>
        <v>100</v>
      </c>
      <c r="L51" s="191">
        <f ca="1">IFERROR(__xludf.DUMMYFUNCTION("IMPORTRANGE(""https://docs.google.com/spreadsheets/d/1kfLP0j3INXRa8bTDpcEmoWewMBV61jlFlfzczfjWIgc/edit?usp=sharing"",""อุบลราชธานี!J727"")"),1250)</f>
        <v>1250</v>
      </c>
      <c r="M51" s="218">
        <f t="shared" ca="1" si="37"/>
        <v>100</v>
      </c>
      <c r="N51" s="191">
        <f ca="1">IFERROR(__xludf.DUMMYFUNCTION("IMPORTRANGE(""https://docs.google.com/spreadsheets/d/1kfLP0j3INXRa8bTDpcEmoWewMBV61jlFlfzczfjWIgc/edit?usp=sharing"",""อุบลราชธานี!I740"")"),1000)</f>
        <v>1000</v>
      </c>
      <c r="O51" s="191">
        <f ca="1">IFERROR(__xludf.DUMMYFUNCTION("IMPORTRANGE(""https://docs.google.com/spreadsheets/d/1kfLP0j3INXRa8bTDpcEmoWewMBV61jlFlfzczfjWIgc/edit?usp=sharing"",""อุบลราชธานี!J740"")"),1000)</f>
        <v>1000</v>
      </c>
      <c r="P51" s="218">
        <f t="shared" ca="1" si="39"/>
        <v>100</v>
      </c>
      <c r="Q51" s="191">
        <f ca="1">IFERROR(__xludf.DUMMYFUNCTION("IMPORTRANGE(""https://docs.google.com/spreadsheets/d/1kfLP0j3INXRa8bTDpcEmoWewMBV61jlFlfzczfjWIgc/edit?usp=sharing"",""อุบลราชธานี!J741"")"),100)</f>
        <v>100</v>
      </c>
      <c r="R51" s="191">
        <f ca="1">IFERROR(__xludf.DUMMYFUNCTION("IMPORTRANGE(""https://docs.google.com/spreadsheets/d/1kfLP0j3INXRa8bTDpcEmoWewMBV61jlFlfzczfjWIgc/edit?usp=sharing"",""อุบลราชธานี!I742"")"),100)</f>
        <v>100</v>
      </c>
      <c r="S51" s="191">
        <f ca="1">IFERROR(__xludf.DUMMYFUNCTION("IMPORTRANGE(""https://docs.google.com/spreadsheets/d/1kfLP0j3INXRa8bTDpcEmoWewMBV61jlFlfzczfjWIgc/edit?usp=sharing"",""อุบลราชธานี!J742"")"),100)</f>
        <v>100</v>
      </c>
      <c r="T51" s="218">
        <f t="shared" ca="1" si="41"/>
        <v>100</v>
      </c>
      <c r="U51" s="191">
        <f ca="1">IFERROR(__xludf.DUMMYFUNCTION("IMPORTRANGE(""https://docs.google.com/spreadsheets/d/1kfLP0j3INXRa8bTDpcEmoWewMBV61jlFlfzczfjWIgc/edit?usp=sharing"",""อุบลราชธานี!I744"")"),250)</f>
        <v>250</v>
      </c>
      <c r="V51" s="191">
        <f ca="1">IFERROR(__xludf.DUMMYFUNCTION("IMPORTRANGE(""https://docs.google.com/spreadsheets/d/1kfLP0j3INXRa8bTDpcEmoWewMBV61jlFlfzczfjWIgc/edit?usp=sharing"",""อุบลราชธานี!J744"")"),250)</f>
        <v>250</v>
      </c>
      <c r="W51" s="218">
        <f t="shared" ca="1" si="43"/>
        <v>100</v>
      </c>
      <c r="X51" s="191">
        <f ca="1">IFERROR(__xludf.DUMMYFUNCTION("IMPORTRANGE(""https://docs.google.com/spreadsheets/d/1kfLP0j3INXRa8bTDpcEmoWewMBV61jlFlfzczfjWIgc/edit?usp=sharing"",""อุบลราชธานี!J745"")"),25)</f>
        <v>25</v>
      </c>
      <c r="Y51" s="191">
        <f ca="1">IFERROR(__xludf.DUMMYFUNCTION("IMPORTRANGE(""https://docs.google.com/spreadsheets/d/1kfLP0j3INXRa8bTDpcEmoWewMBV61jlFlfzczfjWIgc/edit?usp=sharing"",""อุบลราชธานี!I746"")"),25)</f>
        <v>25</v>
      </c>
      <c r="Z51" s="191">
        <f ca="1">IFERROR(__xludf.DUMMYFUNCTION("IMPORTRANGE(""https://docs.google.com/spreadsheets/d/1kfLP0j3INXRa8bTDpcEmoWewMBV61jlFlfzczfjWIgc/edit?usp=sharing"",""อุบลราชธานี!J746"")"),25)</f>
        <v>25</v>
      </c>
      <c r="AA51" s="218">
        <f t="shared" ca="1" si="45"/>
        <v>100</v>
      </c>
      <c r="AB51" s="191">
        <f ca="1">IFERROR(__xludf.DUMMYFUNCTION("IMPORTRANGE(""https://docs.google.com/spreadsheets/d/1kfLP0j3INXRa8bTDpcEmoWewMBV61jlFlfzczfjWIgc/edit?usp=sharing"",""อุบลราชธานี!J748"")"),3)</f>
        <v>3</v>
      </c>
      <c r="AC51" s="191">
        <f ca="1">IFERROR(__xludf.DUMMYFUNCTION("IMPORTRANGE(""https://docs.google.com/spreadsheets/d/1kfLP0j3INXRa8bTDpcEmoWewMBV61jlFlfzczfjWIgc/edit?usp=sharing"",""อุบลราชธานี!I749"")"),3)</f>
        <v>3</v>
      </c>
      <c r="AD51" s="191">
        <f ca="1">IFERROR(__xludf.DUMMYFUNCTION("IMPORTRANGE(""https://docs.google.com/spreadsheets/d/1kfLP0j3INXRa8bTDpcEmoWewMBV61jlFlfzczfjWIgc/edit?usp=sharing"",""อุบลราชธานี!J749"")"),3)</f>
        <v>3</v>
      </c>
      <c r="AE51" s="218">
        <f t="shared" ca="1" si="47"/>
        <v>100</v>
      </c>
      <c r="AF51" s="191">
        <f ca="1">IFERROR(__xludf.DUMMYFUNCTION("IMPORTRANGE(""https://docs.google.com/spreadsheets/d/1kfLP0j3INXRa8bTDpcEmoWewMBV61jlFlfzczfjWIgc/edit?usp=sharing"",""อุบลราชธานี!I752"")"),1000)</f>
        <v>1000</v>
      </c>
      <c r="AG51" s="191">
        <f ca="1">IFERROR(__xludf.DUMMYFUNCTION("IMPORTRANGE(""https://docs.google.com/spreadsheets/d/1kfLP0j3INXRa8bTDpcEmoWewMBV61jlFlfzczfjWIgc/edit?usp=sharing"",""อุบลราชธานี!J752"")"),1000)</f>
        <v>1000</v>
      </c>
      <c r="AH51" s="218">
        <f t="shared" ca="1" si="49"/>
        <v>100</v>
      </c>
      <c r="AI51" s="191">
        <f ca="1">IFERROR(__xludf.DUMMYFUNCTION("IMPORTRANGE(""https://docs.google.com/spreadsheets/d/1kfLP0j3INXRa8bTDpcEmoWewMBV61jlFlfzczfjWIgc/edit?usp=sharing"",""อุบลราชธานี!J753"")"),1000)</f>
        <v>1000</v>
      </c>
      <c r="AJ51" s="191">
        <f ca="1">IFERROR(__xludf.DUMMYFUNCTION("IMPORTRANGE(""https://docs.google.com/spreadsheets/d/1kfLP0j3INXRa8bTDpcEmoWewMBV61jlFlfzczfjWIgc/edit?usp=sharing"",""อุบลราชธานี!I755"")"),250)</f>
        <v>250</v>
      </c>
      <c r="AK51" s="191">
        <f ca="1">IFERROR(__xludf.DUMMYFUNCTION("IMPORTRANGE(""https://docs.google.com/spreadsheets/d/1kfLP0j3INXRa8bTDpcEmoWewMBV61jlFlfzczfjWIgc/edit?usp=sharing"",""อุบลราชธานี!J755"")"),250)</f>
        <v>250</v>
      </c>
      <c r="AL51" s="218">
        <f t="shared" ca="1" si="51"/>
        <v>100</v>
      </c>
      <c r="AM51" s="191">
        <f ca="1">IFERROR(__xludf.DUMMYFUNCTION("IMPORTRANGE(""https://docs.google.com/spreadsheets/d/1kfLP0j3INXRa8bTDpcEmoWewMBV61jlFlfzczfjWIgc/edit?usp=sharing"",""อุบลราชธานี!J756"")"),250)</f>
        <v>250</v>
      </c>
      <c r="AN51" s="191">
        <f ca="1">IFERROR(__xludf.DUMMYFUNCTION("IMPORTRANGE(""https://docs.google.com/spreadsheets/d/1kfLP0j3INXRa8bTDpcEmoWewMBV61jlFlfzczfjWIgc/edit?usp=sharing"",""อุบลราชธานี!J757"")"),3)</f>
        <v>3</v>
      </c>
    </row>
    <row r="52" spans="1:40" ht="19.5" x14ac:dyDescent="0.3">
      <c r="A52" s="716" t="s">
        <v>80</v>
      </c>
      <c r="B52" s="662"/>
      <c r="C52" s="94">
        <f t="shared" ref="C52:E52" ca="1" si="63">SUM(C53:C73)</f>
        <v>5615326</v>
      </c>
      <c r="D52" s="94">
        <f t="shared" ca="1" si="63"/>
        <v>5609326</v>
      </c>
      <c r="E52" s="94">
        <f t="shared" ca="1" si="63"/>
        <v>2852909.01</v>
      </c>
      <c r="F52" s="94">
        <f t="shared" ca="1" si="33"/>
        <v>50.80575927381598</v>
      </c>
      <c r="G52" s="94">
        <f t="shared" ca="1" si="34"/>
        <v>50.860103513327623</v>
      </c>
      <c r="H52" s="161">
        <f t="shared" ref="H52:J52" ca="1" si="64">SUM(H53:H73)</f>
        <v>703</v>
      </c>
      <c r="I52" s="161">
        <f t="shared" ca="1" si="64"/>
        <v>6800</v>
      </c>
      <c r="J52" s="161">
        <f t="shared" ca="1" si="64"/>
        <v>722</v>
      </c>
      <c r="K52" s="94">
        <f t="shared" ca="1" si="36"/>
        <v>102.70270270270271</v>
      </c>
      <c r="L52" s="161">
        <f ca="1">SUM(L53:L73)</f>
        <v>3900</v>
      </c>
      <c r="M52" s="94">
        <f t="shared" ca="1" si="37"/>
        <v>57.352941176470587</v>
      </c>
      <c r="N52" s="161">
        <f t="shared" ref="N52:O52" ca="1" si="65">SUM(N53:N73)</f>
        <v>5440</v>
      </c>
      <c r="O52" s="161">
        <f t="shared" ca="1" si="65"/>
        <v>5040</v>
      </c>
      <c r="P52" s="94">
        <f t="shared" ca="1" si="39"/>
        <v>92.647058823529406</v>
      </c>
      <c r="Q52" s="161">
        <f t="shared" ref="Q52:S52" ca="1" si="66">SUM(Q53:Q73)</f>
        <v>198</v>
      </c>
      <c r="R52" s="161">
        <f t="shared" ca="1" si="66"/>
        <v>544</v>
      </c>
      <c r="S52" s="161">
        <f t="shared" ca="1" si="66"/>
        <v>573</v>
      </c>
      <c r="T52" s="94">
        <f t="shared" ca="1" si="41"/>
        <v>105.33088235294117</v>
      </c>
      <c r="U52" s="161">
        <f t="shared" ref="U52:V52" ca="1" si="67">SUM(U53:U73)</f>
        <v>1360</v>
      </c>
      <c r="V52" s="161">
        <f t="shared" ca="1" si="67"/>
        <v>1160</v>
      </c>
      <c r="W52" s="94">
        <f t="shared" ca="1" si="43"/>
        <v>85.294117647058826</v>
      </c>
      <c r="X52" s="161">
        <f t="shared" ref="X52:Z52" ca="1" si="68">SUM(X53:X73)</f>
        <v>273</v>
      </c>
      <c r="Y52" s="161">
        <f t="shared" ca="1" si="68"/>
        <v>136</v>
      </c>
      <c r="Z52" s="161">
        <f t="shared" ca="1" si="68"/>
        <v>128</v>
      </c>
      <c r="AA52" s="94">
        <f t="shared" ca="1" si="45"/>
        <v>94.117647058823536</v>
      </c>
      <c r="AB52" s="161">
        <f t="shared" ref="AB52:AD52" ca="1" si="69">SUM(AB53:AB73)</f>
        <v>37</v>
      </c>
      <c r="AC52" s="161">
        <f t="shared" ca="1" si="69"/>
        <v>23</v>
      </c>
      <c r="AD52" s="161">
        <f t="shared" ca="1" si="69"/>
        <v>21</v>
      </c>
      <c r="AE52" s="94">
        <f t="shared" ca="1" si="47"/>
        <v>91.304347826086953</v>
      </c>
      <c r="AF52" s="161">
        <f t="shared" ref="AF52:AG52" ca="1" si="70">SUM(AF53:AF73)</f>
        <v>5440</v>
      </c>
      <c r="AG52" s="161">
        <f t="shared" ca="1" si="70"/>
        <v>3121</v>
      </c>
      <c r="AH52" s="94">
        <f t="shared" ca="1" si="49"/>
        <v>57.371323529411768</v>
      </c>
      <c r="AI52" s="161">
        <f t="shared" ref="AI52:AK52" ca="1" si="71">SUM(AI53:AI73)</f>
        <v>644</v>
      </c>
      <c r="AJ52" s="161">
        <f t="shared" ca="1" si="71"/>
        <v>1360</v>
      </c>
      <c r="AK52" s="161">
        <f t="shared" ca="1" si="71"/>
        <v>779</v>
      </c>
      <c r="AL52" s="94">
        <f t="shared" ca="1" si="51"/>
        <v>57.279411764705884</v>
      </c>
      <c r="AM52" s="161">
        <f t="shared" ref="AM52:AN52" ca="1" si="72">SUM(AM53:AM73)</f>
        <v>687</v>
      </c>
      <c r="AN52" s="161">
        <f t="shared" ca="1" si="72"/>
        <v>13</v>
      </c>
    </row>
    <row r="53" spans="1:40" ht="19.5" x14ac:dyDescent="0.3">
      <c r="A53" s="147">
        <v>1</v>
      </c>
      <c r="B53" s="148" t="s">
        <v>81</v>
      </c>
      <c r="C53" s="68">
        <f ca="1">IFERROR(__xludf.DUMMYFUNCTION("IMPORTRANGE(""https://docs.google.com/spreadsheets/d/13wPX838HrBrQMCywv1BsuMkt4PEKTChp52zj44s2izQ/edit?usp=sharing"",""กาญจนบุรี!Q728"")"),1008470)</f>
        <v>1008470</v>
      </c>
      <c r="D53" s="68">
        <f ca="1">IFERROR(__xludf.DUMMYFUNCTION("IMPORTRANGE(""https://docs.google.com/spreadsheets/d/13wPX838HrBrQMCywv1BsuMkt4PEKTChp52zj44s2izQ/edit?usp=sharing"",""กาญจนบุรี!R728"")"),1008470)</f>
        <v>1008470</v>
      </c>
      <c r="E53" s="68">
        <f ca="1">IFERROR(__xludf.DUMMYFUNCTION("IMPORTRANGE(""https://docs.google.com/spreadsheets/d/13wPX838HrBrQMCywv1BsuMkt4PEKTChp52zj44s2izQ/edit?usp=sharing"",""กาญจนบุรี!S728"")"),339190)</f>
        <v>339190</v>
      </c>
      <c r="F53" s="68">
        <f t="shared" ca="1" si="33"/>
        <v>33.634119011968629</v>
      </c>
      <c r="G53" s="68">
        <f t="shared" ca="1" si="34"/>
        <v>33.634119011968629</v>
      </c>
      <c r="H53" s="152">
        <f ca="1">IFERROR(__xludf.DUMMYFUNCTION("IMPORTRANGE(""https://docs.google.com/spreadsheets/d/13wPX838HrBrQMCywv1BsuMkt4PEKTChp52zj44s2izQ/edit?usp=sharing"",""กาญจนบุรี!I726"")"),128)</f>
        <v>128</v>
      </c>
      <c r="I53" s="152">
        <f ca="1">IFERROR(__xludf.DUMMYFUNCTION("IMPORTRANGE(""https://docs.google.com/spreadsheets/d/13wPX838HrBrQMCywv1BsuMkt4PEKTChp52zj44s2izQ/edit?usp=sharing"",""กาญจนบุรี!I727"")"),1250)</f>
        <v>1250</v>
      </c>
      <c r="J53" s="152">
        <f ca="1">IFERROR(__xludf.DUMMYFUNCTION("IMPORTRANGE(""https://docs.google.com/spreadsheets/d/13wPX838HrBrQMCywv1BsuMkt4PEKTChp52zj44s2izQ/edit?usp=sharing"",""กาญจนบุรี!J726"")"),128)</f>
        <v>128</v>
      </c>
      <c r="K53" s="216">
        <f t="shared" ca="1" si="36"/>
        <v>100</v>
      </c>
      <c r="L53" s="152">
        <f ca="1">IFERROR(__xludf.DUMMYFUNCTION("IMPORTRANGE(""https://docs.google.com/spreadsheets/d/13wPX838HrBrQMCywv1BsuMkt4PEKTChp52zj44s2izQ/edit?usp=sharing"",""กาญจนบุรี!J727"")"),1250)</f>
        <v>1250</v>
      </c>
      <c r="M53" s="216">
        <f t="shared" ca="1" si="37"/>
        <v>100</v>
      </c>
      <c r="N53" s="152">
        <f ca="1">IFERROR(__xludf.DUMMYFUNCTION("IMPORTRANGE(""https://docs.google.com/spreadsheets/d/13wPX838HrBrQMCywv1BsuMkt4PEKTChp52zj44s2izQ/edit?usp=sharing"",""กาญจนบุรี!I740"")"),1000)</f>
        <v>1000</v>
      </c>
      <c r="O53" s="152">
        <f ca="1">IFERROR(__xludf.DUMMYFUNCTION("IMPORTRANGE(""https://docs.google.com/spreadsheets/d/13wPX838HrBrQMCywv1BsuMkt4PEKTChp52zj44s2izQ/edit?usp=sharing"",""กาญจนบุรี!J740"")"),1000)</f>
        <v>1000</v>
      </c>
      <c r="P53" s="216">
        <f t="shared" ca="1" si="39"/>
        <v>100</v>
      </c>
      <c r="Q53" s="152">
        <f ca="1">IFERROR(__xludf.DUMMYFUNCTION("IMPORTRANGE(""https://docs.google.com/spreadsheets/d/13wPX838HrBrQMCywv1BsuMkt4PEKTChp52zj44s2izQ/edit?usp=sharing"",""กาญจนบุรี!J741"")"),100)</f>
        <v>100</v>
      </c>
      <c r="R53" s="152">
        <f ca="1">IFERROR(__xludf.DUMMYFUNCTION("IMPORTRANGE(""https://docs.google.com/spreadsheets/d/13wPX838HrBrQMCywv1BsuMkt4PEKTChp52zj44s2izQ/edit?usp=sharing"",""กาญจนบุรี!I742"")"),100)</f>
        <v>100</v>
      </c>
      <c r="S53" s="152">
        <f ca="1">IFERROR(__xludf.DUMMYFUNCTION("IMPORTRANGE(""https://docs.google.com/spreadsheets/d/13wPX838HrBrQMCywv1BsuMkt4PEKTChp52zj44s2izQ/edit?usp=sharing"",""กาญจนบุรี!J742"")"),100)</f>
        <v>100</v>
      </c>
      <c r="T53" s="216">
        <f t="shared" ca="1" si="41"/>
        <v>100</v>
      </c>
      <c r="U53" s="152">
        <f ca="1">IFERROR(__xludf.DUMMYFUNCTION("IMPORTRANGE(""https://docs.google.com/spreadsheets/d/13wPX838HrBrQMCywv1BsuMkt4PEKTChp52zj44s2izQ/edit?usp=sharing"",""กาญจนบุรี!I744"")"),250)</f>
        <v>250</v>
      </c>
      <c r="V53" s="152">
        <f ca="1">IFERROR(__xludf.DUMMYFUNCTION("IMPORTRANGE(""https://docs.google.com/spreadsheets/d/13wPX838HrBrQMCywv1BsuMkt4PEKTChp52zj44s2izQ/edit?usp=sharing"",""กาญจนบุรี!J744"")"),250)</f>
        <v>250</v>
      </c>
      <c r="W53" s="216">
        <f t="shared" ca="1" si="43"/>
        <v>100</v>
      </c>
      <c r="X53" s="152">
        <f ca="1">IFERROR(__xludf.DUMMYFUNCTION("IMPORTRANGE(""https://docs.google.com/spreadsheets/d/13wPX838HrBrQMCywv1BsuMkt4PEKTChp52zj44s2izQ/edit?usp=sharing"",""กาญจนบุรี!J745"")"),250)</f>
        <v>250</v>
      </c>
      <c r="Y53" s="152">
        <f ca="1">IFERROR(__xludf.DUMMYFUNCTION("IMPORTRANGE(""https://docs.google.com/spreadsheets/d/13wPX838HrBrQMCywv1BsuMkt4PEKTChp52zj44s2izQ/edit?usp=sharing"",""กาญจนบุรี!I746"")"),25)</f>
        <v>25</v>
      </c>
      <c r="Z53" s="152">
        <f ca="1">IFERROR(__xludf.DUMMYFUNCTION("IMPORTRANGE(""https://docs.google.com/spreadsheets/d/13wPX838HrBrQMCywv1BsuMkt4PEKTChp52zj44s2izQ/edit?usp=sharing"",""กาญจนบุรี!J746"")"),25)</f>
        <v>25</v>
      </c>
      <c r="AA53" s="216">
        <f t="shared" ca="1" si="45"/>
        <v>100</v>
      </c>
      <c r="AB53" s="152">
        <f ca="1">IFERROR(__xludf.DUMMYFUNCTION("IMPORTRANGE(""https://docs.google.com/spreadsheets/d/13wPX838HrBrQMCywv1BsuMkt4PEKTChp52zj44s2izQ/edit?usp=sharing"",""กาญจนบุรี!J748"")"),3)</f>
        <v>3</v>
      </c>
      <c r="AC53" s="152">
        <f ca="1">IFERROR(__xludf.DUMMYFUNCTION("IMPORTRANGE(""https://docs.google.com/spreadsheets/d/13wPX838HrBrQMCywv1BsuMkt4PEKTChp52zj44s2izQ/edit?usp=sharing"",""กาญจนบุรี!I749"")"),3)</f>
        <v>3</v>
      </c>
      <c r="AD53" s="152">
        <f ca="1">IFERROR(__xludf.DUMMYFUNCTION("IMPORTRANGE(""https://docs.google.com/spreadsheets/d/13wPX838HrBrQMCywv1BsuMkt4PEKTChp52zj44s2izQ/edit?usp=sharing"",""กาญจนบุรี!J749"")"),3)</f>
        <v>3</v>
      </c>
      <c r="AE53" s="216">
        <f t="shared" ca="1" si="47"/>
        <v>100</v>
      </c>
      <c r="AF53" s="152">
        <f ca="1">IFERROR(__xludf.DUMMYFUNCTION("IMPORTRANGE(""https://docs.google.com/spreadsheets/d/13wPX838HrBrQMCywv1BsuMkt4PEKTChp52zj44s2izQ/edit?usp=sharing"",""กาญจนบุรี!I752"")"),1000)</f>
        <v>1000</v>
      </c>
      <c r="AG53" s="152">
        <f ca="1">IFERROR(__xludf.DUMMYFUNCTION("IMPORTRANGE(""https://docs.google.com/spreadsheets/d/13wPX838HrBrQMCywv1BsuMkt4PEKTChp52zj44s2izQ/edit?usp=sharing"",""กาญจนบุรี!J752"")"),1000)</f>
        <v>1000</v>
      </c>
      <c r="AH53" s="216">
        <f t="shared" ca="1" si="49"/>
        <v>100</v>
      </c>
      <c r="AI53" s="152">
        <f ca="1">IFERROR(__xludf.DUMMYFUNCTION("IMPORTRANGE(""https://docs.google.com/spreadsheets/d/13wPX838HrBrQMCywv1BsuMkt4PEKTChp52zj44s2izQ/edit?usp=sharing"",""กาญจนบุรี!J753"")"),100)</f>
        <v>100</v>
      </c>
      <c r="AJ53" s="152">
        <f ca="1">IFERROR(__xludf.DUMMYFUNCTION("IMPORTRANGE(""https://docs.google.com/spreadsheets/d/13wPX838HrBrQMCywv1BsuMkt4PEKTChp52zj44s2izQ/edit?usp=sharing"",""กาญจนบุรี!I755"")"),250)</f>
        <v>250</v>
      </c>
      <c r="AK53" s="152">
        <f ca="1">IFERROR(__xludf.DUMMYFUNCTION("IMPORTRANGE(""https://docs.google.com/spreadsheets/d/13wPX838HrBrQMCywv1BsuMkt4PEKTChp52zj44s2izQ/edit?usp=sharing"",""กาญจนบุรี!J755"")"),250)</f>
        <v>250</v>
      </c>
      <c r="AL53" s="216">
        <f t="shared" ca="1" si="51"/>
        <v>100</v>
      </c>
      <c r="AM53" s="152">
        <f ca="1">IFERROR(__xludf.DUMMYFUNCTION("IMPORTRANGE(""https://docs.google.com/spreadsheets/d/13wPX838HrBrQMCywv1BsuMkt4PEKTChp52zj44s2izQ/edit?usp=sharing"",""กาญจนบุรี!J756"")"),250)</f>
        <v>250</v>
      </c>
      <c r="AN53" s="152">
        <f ca="1">IFERROR(__xludf.DUMMYFUNCTION("IMPORTRANGE(""https://docs.google.com/spreadsheets/d/13wPX838HrBrQMCywv1BsuMkt4PEKTChp52zj44s2izQ/edit?usp=sharing"",""กาญจนบุรี!J757"")"),3)</f>
        <v>3</v>
      </c>
    </row>
    <row r="54" spans="1:40" ht="19.5" x14ac:dyDescent="0.3">
      <c r="A54" s="147">
        <v>2</v>
      </c>
      <c r="B54" s="148" t="s">
        <v>82</v>
      </c>
      <c r="C54" s="68">
        <f ca="1">IFERROR(__xludf.DUMMYFUNCTION("IMPORTRANGE(""https://docs.google.com/spreadsheets/d/1ddFKvqj1W1NEiWytbGlB1zMx_ykJDVtmfEQ-6-lIUBA/edit?usp=sharing"",""จันทบุรี!Q728"")"),391730)</f>
        <v>391730</v>
      </c>
      <c r="D54" s="68">
        <f ca="1">IFERROR(__xludf.DUMMYFUNCTION("IMPORTRANGE(""https://docs.google.com/spreadsheets/d/1ddFKvqj1W1NEiWytbGlB1zMx_ykJDVtmfEQ-6-lIUBA/edit?usp=sharing"",""จันทบุรี!R728"")"),391730)</f>
        <v>391730</v>
      </c>
      <c r="E54" s="68">
        <f ca="1">IFERROR(__xludf.DUMMYFUNCTION("IMPORTRANGE(""https://docs.google.com/spreadsheets/d/1ddFKvqj1W1NEiWytbGlB1zMx_ykJDVtmfEQ-6-lIUBA/edit?usp=sharing"",""จันทบุรี!S728"")"),378320)</f>
        <v>378320</v>
      </c>
      <c r="F54" s="68">
        <f t="shared" ca="1" si="33"/>
        <v>96.576723763816915</v>
      </c>
      <c r="G54" s="68">
        <f t="shared" ca="1" si="34"/>
        <v>96.576723763816915</v>
      </c>
      <c r="H54" s="152">
        <f ca="1">IFERROR(__xludf.DUMMYFUNCTION("IMPORTRANGE(""https://docs.google.com/spreadsheets/d/1ddFKvqj1W1NEiWytbGlB1zMx_ykJDVtmfEQ-6-lIUBA/edit?usp=sharing"",""จันทบุรี!I726"")"),52)</f>
        <v>52</v>
      </c>
      <c r="I54" s="152">
        <f ca="1">IFERROR(__xludf.DUMMYFUNCTION("IMPORTRANGE(""https://docs.google.com/spreadsheets/d/1ddFKvqj1W1NEiWytbGlB1zMx_ykJDVtmfEQ-6-lIUBA/edit?usp=sharing"",""จันทบุรี!I727"")"),500)</f>
        <v>500</v>
      </c>
      <c r="J54" s="152">
        <f ca="1">IFERROR(__xludf.DUMMYFUNCTION("IMPORTRANGE(""https://docs.google.com/spreadsheets/d/1ddFKvqj1W1NEiWytbGlB1zMx_ykJDVtmfEQ-6-lIUBA/edit?usp=sharing"",""จันทบุรี!J726"")"),112)</f>
        <v>112</v>
      </c>
      <c r="K54" s="216">
        <f t="shared" ca="1" si="36"/>
        <v>215.38461538461539</v>
      </c>
      <c r="L54" s="152">
        <f ca="1">IFERROR(__xludf.DUMMYFUNCTION("IMPORTRANGE(""https://docs.google.com/spreadsheets/d/1ddFKvqj1W1NEiWytbGlB1zMx_ykJDVtmfEQ-6-lIUBA/edit?usp=sharing"",""จันทบุรี!J727"")"),500)</f>
        <v>500</v>
      </c>
      <c r="M54" s="216">
        <f t="shared" ca="1" si="37"/>
        <v>100</v>
      </c>
      <c r="N54" s="152">
        <f ca="1">IFERROR(__xludf.DUMMYFUNCTION("IMPORTRANGE(""https://docs.google.com/spreadsheets/d/1ddFKvqj1W1NEiWytbGlB1zMx_ykJDVtmfEQ-6-lIUBA/edit?usp=sharing"",""จันทบุรี!I740"")"),400)</f>
        <v>400</v>
      </c>
      <c r="O54" s="152">
        <f ca="1">IFERROR(__xludf.DUMMYFUNCTION("IMPORTRANGE(""https://docs.google.com/spreadsheets/d/1ddFKvqj1W1NEiWytbGlB1zMx_ykJDVtmfEQ-6-lIUBA/edit?usp=sharing"",""จันทบุรี!J740"")"),400)</f>
        <v>400</v>
      </c>
      <c r="P54" s="216">
        <f t="shared" ca="1" si="39"/>
        <v>100</v>
      </c>
      <c r="Q54" s="152">
        <f ca="1">IFERROR(__xludf.DUMMYFUNCTION("IMPORTRANGE(""https://docs.google.com/spreadsheets/d/1ddFKvqj1W1NEiWytbGlB1zMx_ykJDVtmfEQ-6-lIUBA/edit?usp=sharing"",""จันทบุรี!J741"")"),0)</f>
        <v>0</v>
      </c>
      <c r="R54" s="152">
        <f ca="1">IFERROR(__xludf.DUMMYFUNCTION("IMPORTRANGE(""https://docs.google.com/spreadsheets/d/1ddFKvqj1W1NEiWytbGlB1zMx_ykJDVtmfEQ-6-lIUBA/edit?usp=sharing"",""จันทบุรี!I742"")"),40)</f>
        <v>40</v>
      </c>
      <c r="S54" s="152">
        <f ca="1">IFERROR(__xludf.DUMMYFUNCTION("IMPORTRANGE(""https://docs.google.com/spreadsheets/d/1ddFKvqj1W1NEiWytbGlB1zMx_ykJDVtmfEQ-6-lIUBA/edit?usp=sharing"",""จันทบุรี!J742"")"),100)</f>
        <v>100</v>
      </c>
      <c r="T54" s="216">
        <f t="shared" ca="1" si="41"/>
        <v>250</v>
      </c>
      <c r="U54" s="152">
        <f ca="1">IFERROR(__xludf.DUMMYFUNCTION("IMPORTRANGE(""https://docs.google.com/spreadsheets/d/1ddFKvqj1W1NEiWytbGlB1zMx_ykJDVtmfEQ-6-lIUBA/edit?usp=sharing"",""จันทบุรี!I744"")"),100)</f>
        <v>100</v>
      </c>
      <c r="V54" s="152">
        <f ca="1">IFERROR(__xludf.DUMMYFUNCTION("IMPORTRANGE(""https://docs.google.com/spreadsheets/d/1ddFKvqj1W1NEiWytbGlB1zMx_ykJDVtmfEQ-6-lIUBA/edit?usp=sharing"",""จันทบุรี!J744"")"),100)</f>
        <v>100</v>
      </c>
      <c r="W54" s="216">
        <f t="shared" ca="1" si="43"/>
        <v>100</v>
      </c>
      <c r="X54" s="152">
        <f ca="1">IFERROR(__xludf.DUMMYFUNCTION("IMPORTRANGE(""https://docs.google.com/spreadsheets/d/1ddFKvqj1W1NEiWytbGlB1zMx_ykJDVtmfEQ-6-lIUBA/edit?usp=sharing"",""จันทบุรี!J745"")"),0)</f>
        <v>0</v>
      </c>
      <c r="Y54" s="152">
        <f ca="1">IFERROR(__xludf.DUMMYFUNCTION("IMPORTRANGE(""https://docs.google.com/spreadsheets/d/1ddFKvqj1W1NEiWytbGlB1zMx_ykJDVtmfEQ-6-lIUBA/edit?usp=sharing"",""จันทบุรี!I746"")"),10)</f>
        <v>10</v>
      </c>
      <c r="Z54" s="152">
        <f ca="1">IFERROR(__xludf.DUMMYFUNCTION("IMPORTRANGE(""https://docs.google.com/spreadsheets/d/1ddFKvqj1W1NEiWytbGlB1zMx_ykJDVtmfEQ-6-lIUBA/edit?usp=sharing"",""จันทบุรี!J746"")"),10)</f>
        <v>10</v>
      </c>
      <c r="AA54" s="216">
        <f t="shared" ca="1" si="45"/>
        <v>100</v>
      </c>
      <c r="AB54" s="152">
        <f ca="1">IFERROR(__xludf.DUMMYFUNCTION("IMPORTRANGE(""https://docs.google.com/spreadsheets/d/1ddFKvqj1W1NEiWytbGlB1zMx_ykJDVtmfEQ-6-lIUBA/edit?usp=sharing"",""จันทบุรี!J748"")"),15)</f>
        <v>15</v>
      </c>
      <c r="AC54" s="152">
        <f ca="1">IFERROR(__xludf.DUMMYFUNCTION("IMPORTRANGE(""https://docs.google.com/spreadsheets/d/1ddFKvqj1W1NEiWytbGlB1zMx_ykJDVtmfEQ-6-lIUBA/edit?usp=sharing"",""จันทบุรี!I749"")"),2)</f>
        <v>2</v>
      </c>
      <c r="AD54" s="152">
        <f ca="1">IFERROR(__xludf.DUMMYFUNCTION("IMPORTRANGE(""https://docs.google.com/spreadsheets/d/1ddFKvqj1W1NEiWytbGlB1zMx_ykJDVtmfEQ-6-lIUBA/edit?usp=sharing"",""จันทบุรี!J749"")"),2)</f>
        <v>2</v>
      </c>
      <c r="AE54" s="216">
        <f t="shared" ca="1" si="47"/>
        <v>100</v>
      </c>
      <c r="AF54" s="152">
        <f ca="1">IFERROR(__xludf.DUMMYFUNCTION("IMPORTRANGE(""https://docs.google.com/spreadsheets/d/1ddFKvqj1W1NEiWytbGlB1zMx_ykJDVtmfEQ-6-lIUBA/edit?usp=sharing"",""จันทบุรี!I752"")"),400)</f>
        <v>400</v>
      </c>
      <c r="AG54" s="152">
        <f ca="1">IFERROR(__xludf.DUMMYFUNCTION("IMPORTRANGE(""https://docs.google.com/spreadsheets/d/1ddFKvqj1W1NEiWytbGlB1zMx_ykJDVtmfEQ-6-lIUBA/edit?usp=sharing"",""จันทบุรี!J752"")"),400)</f>
        <v>400</v>
      </c>
      <c r="AH54" s="216">
        <f t="shared" ca="1" si="49"/>
        <v>100</v>
      </c>
      <c r="AI54" s="152">
        <f ca="1">IFERROR(__xludf.DUMMYFUNCTION("IMPORTRANGE(""https://docs.google.com/spreadsheets/d/1ddFKvqj1W1NEiWytbGlB1zMx_ykJDVtmfEQ-6-lIUBA/edit?usp=sharing"",""จันทบุรี!J753"")"),400)</f>
        <v>400</v>
      </c>
      <c r="AJ54" s="152">
        <f ca="1">IFERROR(__xludf.DUMMYFUNCTION("IMPORTRANGE(""https://docs.google.com/spreadsheets/d/1ddFKvqj1W1NEiWytbGlB1zMx_ykJDVtmfEQ-6-lIUBA/edit?usp=sharing"",""จันทบุรี!I755"")"),100)</f>
        <v>100</v>
      </c>
      <c r="AK54" s="152">
        <f ca="1">IFERROR(__xludf.DUMMYFUNCTION("IMPORTRANGE(""https://docs.google.com/spreadsheets/d/1ddFKvqj1W1NEiWytbGlB1zMx_ykJDVtmfEQ-6-lIUBA/edit?usp=sharing"",""จันทบุรี!J755"")"),100)</f>
        <v>100</v>
      </c>
      <c r="AL54" s="216">
        <f t="shared" ca="1" si="51"/>
        <v>100</v>
      </c>
      <c r="AM54" s="152">
        <f ca="1">IFERROR(__xludf.DUMMYFUNCTION("IMPORTRANGE(""https://docs.google.com/spreadsheets/d/1ddFKvqj1W1NEiWytbGlB1zMx_ykJDVtmfEQ-6-lIUBA/edit?usp=sharing"",""จันทบุรี!J756"")"),100)</f>
        <v>100</v>
      </c>
      <c r="AN54" s="152">
        <f ca="1">IFERROR(__xludf.DUMMYFUNCTION("IMPORTRANGE(""https://docs.google.com/spreadsheets/d/1ddFKvqj1W1NEiWytbGlB1zMx_ykJDVtmfEQ-6-lIUBA/edit?usp=sharing"",""จันทบุรี!J757"")"),2)</f>
        <v>2</v>
      </c>
    </row>
    <row r="55" spans="1:40" ht="19.5" x14ac:dyDescent="0.3">
      <c r="A55" s="147">
        <v>3</v>
      </c>
      <c r="B55" s="148" t="s">
        <v>83</v>
      </c>
      <c r="C55" s="68">
        <f ca="1">IFERROR(__xludf.DUMMYFUNCTION("IMPORTRANGE(""https://docs.google.com/spreadsheets/d/1T1PQvRODqOBZk8BRht_U031fIS1beLA0Ub2CEytj2q0/edit?usp=sharing"",""ฉะเชิงเทรา!Q728"")"),1008470)</f>
        <v>1008470</v>
      </c>
      <c r="D55" s="68">
        <f ca="1">IFERROR(__xludf.DUMMYFUNCTION("IMPORTRANGE(""https://docs.google.com/spreadsheets/d/1T1PQvRODqOBZk8BRht_U031fIS1beLA0Ub2CEytj2q0/edit?usp=sharing"",""ฉะเชิงเทรา!R728"")"),1008470)</f>
        <v>1008470</v>
      </c>
      <c r="E55" s="68">
        <f ca="1">IFERROR(__xludf.DUMMYFUNCTION("IMPORTRANGE(""https://docs.google.com/spreadsheets/d/1T1PQvRODqOBZk8BRht_U031fIS1beLA0Ub2CEytj2q0/edit?usp=sharing"",""ฉะเชิงเทรา!S728"")"),214762.01)</f>
        <v>214762.01</v>
      </c>
      <c r="F55" s="68">
        <f t="shared" ca="1" si="33"/>
        <v>21.295825359207512</v>
      </c>
      <c r="G55" s="68">
        <f t="shared" ca="1" si="34"/>
        <v>21.295825359207512</v>
      </c>
      <c r="H55" s="152">
        <f ca="1">IFERROR(__xludf.DUMMYFUNCTION("IMPORTRANGE(""https://docs.google.com/spreadsheets/d/1T1PQvRODqOBZk8BRht_U031fIS1beLA0Ub2CEytj2q0/edit?usp=sharing"",""ฉะเชิงเทรา!I726"")"),128)</f>
        <v>128</v>
      </c>
      <c r="I55" s="152">
        <f ca="1">IFERROR(__xludf.DUMMYFUNCTION("IMPORTRANGE(""https://docs.google.com/spreadsheets/d/1T1PQvRODqOBZk8BRht_U031fIS1beLA0Ub2CEytj2q0/edit?usp=sharing"",""ฉะเชิงเทรา!I727"")"),1250)</f>
        <v>1250</v>
      </c>
      <c r="J55" s="152">
        <f ca="1">IFERROR(__xludf.DUMMYFUNCTION("IMPORTRANGE(""https://docs.google.com/spreadsheets/d/1T1PQvRODqOBZk8BRht_U031fIS1beLA0Ub2CEytj2q0/edit?usp=sharing"",""ฉะเชิงเทรา!J726"")"),128)</f>
        <v>128</v>
      </c>
      <c r="K55" s="216">
        <f t="shared" ca="1" si="36"/>
        <v>100</v>
      </c>
      <c r="L55" s="152">
        <f ca="1">IFERROR(__xludf.DUMMYFUNCTION("IMPORTRANGE(""https://docs.google.com/spreadsheets/d/1T1PQvRODqOBZk8BRht_U031fIS1beLA0Ub2CEytj2q0/edit?usp=sharing"",""ฉะเชิงเทรา!J727"")"),0)</f>
        <v>0</v>
      </c>
      <c r="M55" s="216">
        <f t="shared" ca="1" si="37"/>
        <v>0</v>
      </c>
      <c r="N55" s="152">
        <f ca="1">IFERROR(__xludf.DUMMYFUNCTION("IMPORTRANGE(""https://docs.google.com/spreadsheets/d/1T1PQvRODqOBZk8BRht_U031fIS1beLA0Ub2CEytj2q0/edit?usp=sharing"",""ฉะเชิงเทรา!I740"")"),1000)</f>
        <v>1000</v>
      </c>
      <c r="O55" s="152">
        <f ca="1">IFERROR(__xludf.DUMMYFUNCTION("IMPORTRANGE(""https://docs.google.com/spreadsheets/d/1T1PQvRODqOBZk8BRht_U031fIS1beLA0Ub2CEytj2q0/edit?usp=sharing"",""ฉะเชิงเทรา!J740"")"),1000)</f>
        <v>1000</v>
      </c>
      <c r="P55" s="216">
        <f t="shared" ca="1" si="39"/>
        <v>100</v>
      </c>
      <c r="Q55" s="152">
        <f ca="1">IFERROR(__xludf.DUMMYFUNCTION("IMPORTRANGE(""https://docs.google.com/spreadsheets/d/1T1PQvRODqOBZk8BRht_U031fIS1beLA0Ub2CEytj2q0/edit?usp=sharing"",""ฉะเชิงเทรา!J741"")"),0)</f>
        <v>0</v>
      </c>
      <c r="R55" s="152">
        <f ca="1">IFERROR(__xludf.DUMMYFUNCTION("IMPORTRANGE(""https://docs.google.com/spreadsheets/d/1T1PQvRODqOBZk8BRht_U031fIS1beLA0Ub2CEytj2q0/edit?usp=sharing"",""ฉะเชิงเทรา!I742"")"),100)</f>
        <v>100</v>
      </c>
      <c r="S55" s="152">
        <f ca="1">IFERROR(__xludf.DUMMYFUNCTION("IMPORTRANGE(""https://docs.google.com/spreadsheets/d/1T1PQvRODqOBZk8BRht_U031fIS1beLA0Ub2CEytj2q0/edit?usp=sharing"",""ฉะเชิงเทรา!J742"")"),100)</f>
        <v>100</v>
      </c>
      <c r="T55" s="216">
        <f t="shared" ca="1" si="41"/>
        <v>100</v>
      </c>
      <c r="U55" s="152">
        <f ca="1">IFERROR(__xludf.DUMMYFUNCTION("IMPORTRANGE(""https://docs.google.com/spreadsheets/d/1T1PQvRODqOBZk8BRht_U031fIS1beLA0Ub2CEytj2q0/edit?usp=sharing"",""ฉะเชิงเทรา!I744"")"),250)</f>
        <v>250</v>
      </c>
      <c r="V55" s="152">
        <f ca="1">IFERROR(__xludf.DUMMYFUNCTION("IMPORTRANGE(""https://docs.google.com/spreadsheets/d/1T1PQvRODqOBZk8BRht_U031fIS1beLA0Ub2CEytj2q0/edit?usp=sharing"",""ฉะเชิงเทรา!J744"")"),250)</f>
        <v>250</v>
      </c>
      <c r="W55" s="216">
        <f t="shared" ca="1" si="43"/>
        <v>100</v>
      </c>
      <c r="X55" s="152">
        <f ca="1">IFERROR(__xludf.DUMMYFUNCTION("IMPORTRANGE(""https://docs.google.com/spreadsheets/d/1T1PQvRODqOBZk8BRht_U031fIS1beLA0Ub2CEytj2q0/edit?usp=sharing"",""ฉะเชิงเทรา!J745"")"),0)</f>
        <v>0</v>
      </c>
      <c r="Y55" s="152">
        <f ca="1">IFERROR(__xludf.DUMMYFUNCTION("IMPORTRANGE(""https://docs.google.com/spreadsheets/d/1T1PQvRODqOBZk8BRht_U031fIS1beLA0Ub2CEytj2q0/edit?usp=sharing"",""ฉะเชิงเทรา!I746"")"),25)</f>
        <v>25</v>
      </c>
      <c r="Z55" s="152">
        <f ca="1">IFERROR(__xludf.DUMMYFUNCTION("IMPORTRANGE(""https://docs.google.com/spreadsheets/d/1T1PQvRODqOBZk8BRht_U031fIS1beLA0Ub2CEytj2q0/edit?usp=sharing"",""ฉะเชิงเทรา!J746"")"),25)</f>
        <v>25</v>
      </c>
      <c r="AA55" s="216">
        <f t="shared" ca="1" si="45"/>
        <v>100</v>
      </c>
      <c r="AB55" s="152">
        <f ca="1">IFERROR(__xludf.DUMMYFUNCTION("IMPORTRANGE(""https://docs.google.com/spreadsheets/d/1T1PQvRODqOBZk8BRht_U031fIS1beLA0Ub2CEytj2q0/edit?usp=sharing"",""ฉะเชิงเทรา!J748"")"),0)</f>
        <v>0</v>
      </c>
      <c r="AC55" s="152">
        <f ca="1">IFERROR(__xludf.DUMMYFUNCTION("IMPORTRANGE(""https://docs.google.com/spreadsheets/d/1T1PQvRODqOBZk8BRht_U031fIS1beLA0Ub2CEytj2q0/edit?usp=sharing"",""ฉะเชิงเทรา!I749"")"),3)</f>
        <v>3</v>
      </c>
      <c r="AD55" s="152">
        <f ca="1">IFERROR(__xludf.DUMMYFUNCTION("IMPORTRANGE(""https://docs.google.com/spreadsheets/d/1T1PQvRODqOBZk8BRht_U031fIS1beLA0Ub2CEytj2q0/edit?usp=sharing"",""ฉะเชิงเทรา!J749"")"),3)</f>
        <v>3</v>
      </c>
      <c r="AE55" s="216">
        <f t="shared" ca="1" si="47"/>
        <v>100</v>
      </c>
      <c r="AF55" s="152">
        <f ca="1">IFERROR(__xludf.DUMMYFUNCTION("IMPORTRANGE(""https://docs.google.com/spreadsheets/d/1T1PQvRODqOBZk8BRht_U031fIS1beLA0Ub2CEytj2q0/edit?usp=sharing"",""ฉะเชิงเทรา!I752"")"),1000)</f>
        <v>1000</v>
      </c>
      <c r="AG55" s="152">
        <f ca="1">IFERROR(__xludf.DUMMYFUNCTION("IMPORTRANGE(""https://docs.google.com/spreadsheets/d/1T1PQvRODqOBZk8BRht_U031fIS1beLA0Ub2CEytj2q0/edit?usp=sharing"",""ฉะเชิงเทรา!J752"")"),0)</f>
        <v>0</v>
      </c>
      <c r="AH55" s="216">
        <f t="shared" ca="1" si="49"/>
        <v>0</v>
      </c>
      <c r="AI55" s="152">
        <f ca="1">IFERROR(__xludf.DUMMYFUNCTION("IMPORTRANGE(""https://docs.google.com/spreadsheets/d/1T1PQvRODqOBZk8BRht_U031fIS1beLA0Ub2CEytj2q0/edit?usp=sharing"",""ฉะเชิงเทรา!J753"")"),0)</f>
        <v>0</v>
      </c>
      <c r="AJ55" s="152">
        <f ca="1">IFERROR(__xludf.DUMMYFUNCTION("IMPORTRANGE(""https://docs.google.com/spreadsheets/d/1T1PQvRODqOBZk8BRht_U031fIS1beLA0Ub2CEytj2q0/edit?usp=sharing"",""ฉะเชิงเทรา!I755"")"),250)</f>
        <v>250</v>
      </c>
      <c r="AK55" s="152">
        <f ca="1">IFERROR(__xludf.DUMMYFUNCTION("IMPORTRANGE(""https://docs.google.com/spreadsheets/d/1T1PQvRODqOBZk8BRht_U031fIS1beLA0Ub2CEytj2q0/edit?usp=sharing"",""ฉะเชิงเทรา!J755"")"),0)</f>
        <v>0</v>
      </c>
      <c r="AL55" s="216">
        <f t="shared" ca="1" si="51"/>
        <v>0</v>
      </c>
      <c r="AM55" s="152">
        <f ca="1">IFERROR(__xludf.DUMMYFUNCTION("IMPORTRANGE(""https://docs.google.com/spreadsheets/d/1T1PQvRODqOBZk8BRht_U031fIS1beLA0Ub2CEytj2q0/edit?usp=sharing"",""ฉะเชิงเทรา!J756"")"),0)</f>
        <v>0</v>
      </c>
      <c r="AN55" s="152">
        <f ca="1">IFERROR(__xludf.DUMMYFUNCTION("IMPORTRANGE(""https://docs.google.com/spreadsheets/d/1T1PQvRODqOBZk8BRht_U031fIS1beLA0Ub2CEytj2q0/edit?usp=sharing"",""ฉะเชิงเทรา!J757"")"),0)</f>
        <v>0</v>
      </c>
    </row>
    <row r="56" spans="1:40" ht="19.5" x14ac:dyDescent="0.3">
      <c r="A56" s="147">
        <v>4</v>
      </c>
      <c r="B56" s="148" t="s">
        <v>84</v>
      </c>
      <c r="C56" s="68">
        <f ca="1">IFERROR(__xludf.DUMMYFUNCTION("IMPORTRANGE(""https://docs.google.com/spreadsheets/d/11tr1B-Bhyr79v2bkwVh5h_fR-PStkgjlZtkrZpYurG0/edit?usp=sharing"",""ชลบุรี!Q728"")"),175994)</f>
        <v>175994</v>
      </c>
      <c r="D56" s="68">
        <f ca="1">IFERROR(__xludf.DUMMYFUNCTION("IMPORTRANGE(""https://docs.google.com/spreadsheets/d/11tr1B-Bhyr79v2bkwVh5h_fR-PStkgjlZtkrZpYurG0/edit?usp=sharing"",""ชลบุรี!R728"")"),175994)</f>
        <v>175994</v>
      </c>
      <c r="E56" s="68">
        <f ca="1">IFERROR(__xludf.DUMMYFUNCTION("IMPORTRANGE(""https://docs.google.com/spreadsheets/d/11tr1B-Bhyr79v2bkwVh5h_fR-PStkgjlZtkrZpYurG0/edit?usp=sharing"",""ชลบุรี!S728"")"),140485)</f>
        <v>140485</v>
      </c>
      <c r="F56" s="68">
        <f t="shared" ca="1" si="33"/>
        <v>79.823743991272423</v>
      </c>
      <c r="G56" s="68">
        <f t="shared" ca="1" si="34"/>
        <v>79.823743991272423</v>
      </c>
      <c r="H56" s="152">
        <f ca="1">IFERROR(__xludf.DUMMYFUNCTION("IMPORTRANGE(""https://docs.google.com/spreadsheets/d/11tr1B-Bhyr79v2bkwVh5h_fR-PStkgjlZtkrZpYurG0/edit?usp=sharing"",""ชลบุรี!I726"")"),21)</f>
        <v>21</v>
      </c>
      <c r="I56" s="152">
        <f ca="1">IFERROR(__xludf.DUMMYFUNCTION("IMPORTRANGE(""https://docs.google.com/spreadsheets/d/11tr1B-Bhyr79v2bkwVh5h_fR-PStkgjlZtkrZpYurG0/edit?usp=sharing"",""ชลบุรี!I727"")"),200)</f>
        <v>200</v>
      </c>
      <c r="J56" s="152">
        <f ca="1">IFERROR(__xludf.DUMMYFUNCTION("IMPORTRANGE(""https://docs.google.com/spreadsheets/d/11tr1B-Bhyr79v2bkwVh5h_fR-PStkgjlZtkrZpYurG0/edit?usp=sharing"",""ชลบุรี!J726"")"),0)</f>
        <v>0</v>
      </c>
      <c r="K56" s="216">
        <f t="shared" ca="1" si="36"/>
        <v>0</v>
      </c>
      <c r="L56" s="152">
        <f ca="1">IFERROR(__xludf.DUMMYFUNCTION("IMPORTRANGE(""https://docs.google.com/spreadsheets/d/11tr1B-Bhyr79v2bkwVh5h_fR-PStkgjlZtkrZpYurG0/edit?usp=sharing"",""ชลบุรี!J727"")"),0)</f>
        <v>0</v>
      </c>
      <c r="M56" s="216">
        <f t="shared" ca="1" si="37"/>
        <v>0</v>
      </c>
      <c r="N56" s="152">
        <f ca="1">IFERROR(__xludf.DUMMYFUNCTION("IMPORTRANGE(""https://docs.google.com/spreadsheets/d/11tr1B-Bhyr79v2bkwVh5h_fR-PStkgjlZtkrZpYurG0/edit?usp=sharing"",""ชลบุรี!I740"")"),160)</f>
        <v>160</v>
      </c>
      <c r="O56" s="152">
        <f ca="1">IFERROR(__xludf.DUMMYFUNCTION("IMPORTRANGE(""https://docs.google.com/spreadsheets/d/11tr1B-Bhyr79v2bkwVh5h_fR-PStkgjlZtkrZpYurG0/edit?usp=sharing"",""ชลบุรี!J740"")"),0)</f>
        <v>0</v>
      </c>
      <c r="P56" s="216">
        <f t="shared" ca="1" si="39"/>
        <v>0</v>
      </c>
      <c r="Q56" s="152">
        <f ca="1">IFERROR(__xludf.DUMMYFUNCTION("IMPORTRANGE(""https://docs.google.com/spreadsheets/d/11tr1B-Bhyr79v2bkwVh5h_fR-PStkgjlZtkrZpYurG0/edit?usp=sharing"",""ชลบุรี!J741"")"),0)</f>
        <v>0</v>
      </c>
      <c r="R56" s="152">
        <f ca="1">IFERROR(__xludf.DUMMYFUNCTION("IMPORTRANGE(""https://docs.google.com/spreadsheets/d/11tr1B-Bhyr79v2bkwVh5h_fR-PStkgjlZtkrZpYurG0/edit?usp=sharing"",""ชลบุรี!I742"")"),16)</f>
        <v>16</v>
      </c>
      <c r="S56" s="152">
        <f ca="1">IFERROR(__xludf.DUMMYFUNCTION("IMPORTRANGE(""https://docs.google.com/spreadsheets/d/11tr1B-Bhyr79v2bkwVh5h_fR-PStkgjlZtkrZpYurG0/edit?usp=sharing"",""ชลบุรี!J742"")"),0)</f>
        <v>0</v>
      </c>
      <c r="T56" s="216">
        <f t="shared" ca="1" si="41"/>
        <v>0</v>
      </c>
      <c r="U56" s="152">
        <f ca="1">IFERROR(__xludf.DUMMYFUNCTION("IMPORTRANGE(""https://docs.google.com/spreadsheets/d/11tr1B-Bhyr79v2bkwVh5h_fR-PStkgjlZtkrZpYurG0/edit?usp=sharing"",""ชลบุรี!I744"")"),40)</f>
        <v>40</v>
      </c>
      <c r="V56" s="152">
        <f ca="1">IFERROR(__xludf.DUMMYFUNCTION("IMPORTRANGE(""https://docs.google.com/spreadsheets/d/11tr1B-Bhyr79v2bkwVh5h_fR-PStkgjlZtkrZpYurG0/edit?usp=sharing"",""ชลบุรี!J744"")"),0)</f>
        <v>0</v>
      </c>
      <c r="W56" s="216">
        <f t="shared" ca="1" si="43"/>
        <v>0</v>
      </c>
      <c r="X56" s="152">
        <f ca="1">IFERROR(__xludf.DUMMYFUNCTION("IMPORTRANGE(""https://docs.google.com/spreadsheets/d/11tr1B-Bhyr79v2bkwVh5h_fR-PStkgjlZtkrZpYurG0/edit?usp=sharing"",""ชลบุรี!J745"")"),0)</f>
        <v>0</v>
      </c>
      <c r="Y56" s="152">
        <f ca="1">IFERROR(__xludf.DUMMYFUNCTION("IMPORTRANGE(""https://docs.google.com/spreadsheets/d/11tr1B-Bhyr79v2bkwVh5h_fR-PStkgjlZtkrZpYurG0/edit?usp=sharing"",""ชลบุรี!I746"")"),4)</f>
        <v>4</v>
      </c>
      <c r="Z56" s="152">
        <f ca="1">IFERROR(__xludf.DUMMYFUNCTION("IMPORTRANGE(""https://docs.google.com/spreadsheets/d/11tr1B-Bhyr79v2bkwVh5h_fR-PStkgjlZtkrZpYurG0/edit?usp=sharing"",""ชลบุรี!J746"")"),0)</f>
        <v>0</v>
      </c>
      <c r="AA56" s="216">
        <f t="shared" ca="1" si="45"/>
        <v>0</v>
      </c>
      <c r="AB56" s="152">
        <f ca="1">IFERROR(__xludf.DUMMYFUNCTION("IMPORTRANGE(""https://docs.google.com/spreadsheets/d/11tr1B-Bhyr79v2bkwVh5h_fR-PStkgjlZtkrZpYurG0/edit?usp=sharing"",""ชลบุรี!J748"")"),0)</f>
        <v>0</v>
      </c>
      <c r="AC56" s="152">
        <f ca="1">IFERROR(__xludf.DUMMYFUNCTION("IMPORTRANGE(""https://docs.google.com/spreadsheets/d/11tr1B-Bhyr79v2bkwVh5h_fR-PStkgjlZtkrZpYurG0/edit?usp=sharing"",""ชลบุรี!I749"")"),1)</f>
        <v>1</v>
      </c>
      <c r="AD56" s="152">
        <f ca="1">IFERROR(__xludf.DUMMYFUNCTION("IMPORTRANGE(""https://docs.google.com/spreadsheets/d/11tr1B-Bhyr79v2bkwVh5h_fR-PStkgjlZtkrZpYurG0/edit?usp=sharing"",""ชลบุรี!J749"")"),0)</f>
        <v>0</v>
      </c>
      <c r="AE56" s="216">
        <f t="shared" ca="1" si="47"/>
        <v>0</v>
      </c>
      <c r="AF56" s="152">
        <f ca="1">IFERROR(__xludf.DUMMYFUNCTION("IMPORTRANGE(""https://docs.google.com/spreadsheets/d/11tr1B-Bhyr79v2bkwVh5h_fR-PStkgjlZtkrZpYurG0/edit?usp=sharing"",""ชลบุรี!I752"")"),160)</f>
        <v>160</v>
      </c>
      <c r="AG56" s="152">
        <f ca="1">IFERROR(__xludf.DUMMYFUNCTION("IMPORTRANGE(""https://docs.google.com/spreadsheets/d/11tr1B-Bhyr79v2bkwVh5h_fR-PStkgjlZtkrZpYurG0/edit?usp=sharing"",""ชลบุรี!J752"")"),0)</f>
        <v>0</v>
      </c>
      <c r="AH56" s="216">
        <f t="shared" ca="1" si="49"/>
        <v>0</v>
      </c>
      <c r="AI56" s="152">
        <f ca="1">IFERROR(__xludf.DUMMYFUNCTION("IMPORTRANGE(""https://docs.google.com/spreadsheets/d/11tr1B-Bhyr79v2bkwVh5h_fR-PStkgjlZtkrZpYurG0/edit?usp=sharing"",""ชลบุรี!J753"")"),0)</f>
        <v>0</v>
      </c>
      <c r="AJ56" s="152">
        <f ca="1">IFERROR(__xludf.DUMMYFUNCTION("IMPORTRANGE(""https://docs.google.com/spreadsheets/d/11tr1B-Bhyr79v2bkwVh5h_fR-PStkgjlZtkrZpYurG0/edit?usp=sharing"",""ชลบุรี!I755"")"),40)</f>
        <v>40</v>
      </c>
      <c r="AK56" s="152">
        <f ca="1">IFERROR(__xludf.DUMMYFUNCTION("IMPORTRANGE(""https://docs.google.com/spreadsheets/d/11tr1B-Bhyr79v2bkwVh5h_fR-PStkgjlZtkrZpYurG0/edit?usp=sharing"",""ชลบุรี!J755"")"),0)</f>
        <v>0</v>
      </c>
      <c r="AL56" s="216">
        <f t="shared" ca="1" si="51"/>
        <v>0</v>
      </c>
      <c r="AM56" s="152">
        <f ca="1">IFERROR(__xludf.DUMMYFUNCTION("IMPORTRANGE(""https://docs.google.com/spreadsheets/d/11tr1B-Bhyr79v2bkwVh5h_fR-PStkgjlZtkrZpYurG0/edit?usp=sharing"",""ชลบุรี!J756"")"),0)</f>
        <v>0</v>
      </c>
      <c r="AN56" s="152">
        <f ca="1">IFERROR(__xludf.DUMMYFUNCTION("IMPORTRANGE(""https://docs.google.com/spreadsheets/d/11tr1B-Bhyr79v2bkwVh5h_fR-PStkgjlZtkrZpYurG0/edit?usp=sharing"",""ชลบุรี!J757"")"),0)</f>
        <v>0</v>
      </c>
    </row>
    <row r="57" spans="1:40" ht="19.5" x14ac:dyDescent="0.3">
      <c r="A57" s="147">
        <v>5</v>
      </c>
      <c r="B57" s="148" t="s">
        <v>85</v>
      </c>
      <c r="C57" s="68">
        <f ca="1">IFERROR(__xludf.DUMMYFUNCTION("IMPORTRANGE(""https://docs.google.com/spreadsheets/d/1hh-FVnSX0vozXhGluamEcS54Dw9_zqW0N7qJUWgJ0Sw/edit?usp=sharing"",""ชัยนาท!Q728"")"),111162)</f>
        <v>111162</v>
      </c>
      <c r="D57" s="68">
        <f ca="1">IFERROR(__xludf.DUMMYFUNCTION("IMPORTRANGE(""https://docs.google.com/spreadsheets/d/1hh-FVnSX0vozXhGluamEcS54Dw9_zqW0N7qJUWgJ0Sw/edit?usp=sharing"",""ชัยนาท!R728"")"),105162)</f>
        <v>105162</v>
      </c>
      <c r="E57" s="68">
        <f ca="1">IFERROR(__xludf.DUMMYFUNCTION("IMPORTRANGE(""https://docs.google.com/spreadsheets/d/1hh-FVnSX0vozXhGluamEcS54Dw9_zqW0N7qJUWgJ0Sw/edit?usp=sharing"",""ชัยนาท!S728"")"),98062)</f>
        <v>98062</v>
      </c>
      <c r="F57" s="68">
        <f t="shared" ca="1" si="33"/>
        <v>88.215397348014605</v>
      </c>
      <c r="G57" s="68">
        <f t="shared" ca="1" si="34"/>
        <v>93.248511819858891</v>
      </c>
      <c r="H57" s="152">
        <f ca="1">IFERROR(__xludf.DUMMYFUNCTION("IMPORTRANGE(""https://docs.google.com/spreadsheets/d/1hh-FVnSX0vozXhGluamEcS54Dw9_zqW0N7qJUWgJ0Sw/edit?usp=sharing"",""ชัยนาท!I726"")"),11)</f>
        <v>11</v>
      </c>
      <c r="I57" s="152">
        <f ca="1">IFERROR(__xludf.DUMMYFUNCTION("IMPORTRANGE(""https://docs.google.com/spreadsheets/d/1hh-FVnSX0vozXhGluamEcS54Dw9_zqW0N7qJUWgJ0Sw/edit?usp=sharing"",""ชัยนาท!I727"")"),100)</f>
        <v>100</v>
      </c>
      <c r="J57" s="152">
        <f ca="1">IFERROR(__xludf.DUMMYFUNCTION("IMPORTRANGE(""https://docs.google.com/spreadsheets/d/1hh-FVnSX0vozXhGluamEcS54Dw9_zqW0N7qJUWgJ0Sw/edit?usp=sharing"",""ชัยนาท!J726"")"),11)</f>
        <v>11</v>
      </c>
      <c r="K57" s="216">
        <f t="shared" ca="1" si="36"/>
        <v>100</v>
      </c>
      <c r="L57" s="152">
        <f ca="1">IFERROR(__xludf.DUMMYFUNCTION("IMPORTRANGE(""https://docs.google.com/spreadsheets/d/1hh-FVnSX0vozXhGluamEcS54Dw9_zqW0N7qJUWgJ0Sw/edit?usp=sharing"",""ชัยนาท!J727"")"),100)</f>
        <v>100</v>
      </c>
      <c r="M57" s="216">
        <f t="shared" ca="1" si="37"/>
        <v>100</v>
      </c>
      <c r="N57" s="152">
        <f ca="1">IFERROR(__xludf.DUMMYFUNCTION("IMPORTRANGE(""https://docs.google.com/spreadsheets/d/1hh-FVnSX0vozXhGluamEcS54Dw9_zqW0N7qJUWgJ0Sw/edit?usp=sharing"",""ชัยนาท!I740"")"),80)</f>
        <v>80</v>
      </c>
      <c r="O57" s="152">
        <f ca="1">IFERROR(__xludf.DUMMYFUNCTION("IMPORTRANGE(""https://docs.google.com/spreadsheets/d/1hh-FVnSX0vozXhGluamEcS54Dw9_zqW0N7qJUWgJ0Sw/edit?usp=sharing"",""ชัยนาท!J740"")"),80)</f>
        <v>80</v>
      </c>
      <c r="P57" s="216">
        <f t="shared" ca="1" si="39"/>
        <v>100</v>
      </c>
      <c r="Q57" s="152">
        <f ca="1">IFERROR(__xludf.DUMMYFUNCTION("IMPORTRANGE(""https://docs.google.com/spreadsheets/d/1hh-FVnSX0vozXhGluamEcS54Dw9_zqW0N7qJUWgJ0Sw/edit?usp=sharing"",""ชัยนาท!J741"")"),8)</f>
        <v>8</v>
      </c>
      <c r="R57" s="152">
        <f ca="1">IFERROR(__xludf.DUMMYFUNCTION("IMPORTRANGE(""https://docs.google.com/spreadsheets/d/1hh-FVnSX0vozXhGluamEcS54Dw9_zqW0N7qJUWgJ0Sw/edit?usp=sharing"",""ชัยนาท!I742"")"),8)</f>
        <v>8</v>
      </c>
      <c r="S57" s="152">
        <f ca="1">IFERROR(__xludf.DUMMYFUNCTION("IMPORTRANGE(""https://docs.google.com/spreadsheets/d/1hh-FVnSX0vozXhGluamEcS54Dw9_zqW0N7qJUWgJ0Sw/edit?usp=sharing"",""ชัยนาท!J742"")"),8)</f>
        <v>8</v>
      </c>
      <c r="T57" s="216">
        <f t="shared" ca="1" si="41"/>
        <v>100</v>
      </c>
      <c r="U57" s="152">
        <f ca="1">IFERROR(__xludf.DUMMYFUNCTION("IMPORTRANGE(""https://docs.google.com/spreadsheets/d/1hh-FVnSX0vozXhGluamEcS54Dw9_zqW0N7qJUWgJ0Sw/edit?usp=sharing"",""ชัยนาท!I744"")"),20)</f>
        <v>20</v>
      </c>
      <c r="V57" s="152">
        <f ca="1">IFERROR(__xludf.DUMMYFUNCTION("IMPORTRANGE(""https://docs.google.com/spreadsheets/d/1hh-FVnSX0vozXhGluamEcS54Dw9_zqW0N7qJUWgJ0Sw/edit?usp=sharing"",""ชัยนาท!J744"")"),20)</f>
        <v>20</v>
      </c>
      <c r="W57" s="216">
        <f t="shared" ca="1" si="43"/>
        <v>100</v>
      </c>
      <c r="X57" s="152">
        <f ca="1">IFERROR(__xludf.DUMMYFUNCTION("IMPORTRANGE(""https://docs.google.com/spreadsheets/d/1hh-FVnSX0vozXhGluamEcS54Dw9_zqW0N7qJUWgJ0Sw/edit?usp=sharing"",""ชัยนาท!J745"")"),2)</f>
        <v>2</v>
      </c>
      <c r="Y57" s="152">
        <f ca="1">IFERROR(__xludf.DUMMYFUNCTION("IMPORTRANGE(""https://docs.google.com/spreadsheets/d/1hh-FVnSX0vozXhGluamEcS54Dw9_zqW0N7qJUWgJ0Sw/edit?usp=sharing"",""ชัยนาท!I746"")"),2)</f>
        <v>2</v>
      </c>
      <c r="Z57" s="152">
        <f ca="1">IFERROR(__xludf.DUMMYFUNCTION("IMPORTRANGE(""https://docs.google.com/spreadsheets/d/1hh-FVnSX0vozXhGluamEcS54Dw9_zqW0N7qJUWgJ0Sw/edit?usp=sharing"",""ชัยนาท!J746"")"),2)</f>
        <v>2</v>
      </c>
      <c r="AA57" s="216">
        <f t="shared" ca="1" si="45"/>
        <v>100</v>
      </c>
      <c r="AB57" s="152">
        <f ca="1">IFERROR(__xludf.DUMMYFUNCTION("IMPORTRANGE(""https://docs.google.com/spreadsheets/d/1hh-FVnSX0vozXhGluamEcS54Dw9_zqW0N7qJUWgJ0Sw/edit?usp=sharing"",""ชัยนาท!J748"")"),1)</f>
        <v>1</v>
      </c>
      <c r="AC57" s="152">
        <f ca="1">IFERROR(__xludf.DUMMYFUNCTION("IMPORTRANGE(""https://docs.google.com/spreadsheets/d/1hh-FVnSX0vozXhGluamEcS54Dw9_zqW0N7qJUWgJ0Sw/edit?usp=sharing"",""ชัยนาท!I749"")"),1)</f>
        <v>1</v>
      </c>
      <c r="AD57" s="152">
        <f ca="1">IFERROR(__xludf.DUMMYFUNCTION("IMPORTRANGE(""https://docs.google.com/spreadsheets/d/1hh-FVnSX0vozXhGluamEcS54Dw9_zqW0N7qJUWgJ0Sw/edit?usp=sharing"",""ชัยนาท!J749"")"),1)</f>
        <v>1</v>
      </c>
      <c r="AE57" s="216">
        <f t="shared" ca="1" si="47"/>
        <v>100</v>
      </c>
      <c r="AF57" s="152">
        <f ca="1">IFERROR(__xludf.DUMMYFUNCTION("IMPORTRANGE(""https://docs.google.com/spreadsheets/d/1hh-FVnSX0vozXhGluamEcS54Dw9_zqW0N7qJUWgJ0Sw/edit?usp=sharing"",""ชัยนาท!I752"")"),80)</f>
        <v>80</v>
      </c>
      <c r="AG57" s="152">
        <f ca="1">IFERROR(__xludf.DUMMYFUNCTION("IMPORTRANGE(""https://docs.google.com/spreadsheets/d/1hh-FVnSX0vozXhGluamEcS54Dw9_zqW0N7qJUWgJ0Sw/edit?usp=sharing"",""ชัยนาท!J752"")"),80)</f>
        <v>80</v>
      </c>
      <c r="AH57" s="216">
        <f t="shared" ca="1" si="49"/>
        <v>100</v>
      </c>
      <c r="AI57" s="152">
        <f ca="1">IFERROR(__xludf.DUMMYFUNCTION("IMPORTRANGE(""https://docs.google.com/spreadsheets/d/1hh-FVnSX0vozXhGluamEcS54Dw9_zqW0N7qJUWgJ0Sw/edit?usp=sharing"",""ชัยนาท!J753"")"),80)</f>
        <v>80</v>
      </c>
      <c r="AJ57" s="152">
        <f ca="1">IFERROR(__xludf.DUMMYFUNCTION("IMPORTRANGE(""https://docs.google.com/spreadsheets/d/1hh-FVnSX0vozXhGluamEcS54Dw9_zqW0N7qJUWgJ0Sw/edit?usp=sharing"",""ชัยนาท!I755"")"),20)</f>
        <v>20</v>
      </c>
      <c r="AK57" s="152">
        <f ca="1">IFERROR(__xludf.DUMMYFUNCTION("IMPORTRANGE(""https://docs.google.com/spreadsheets/d/1hh-FVnSX0vozXhGluamEcS54Dw9_zqW0N7qJUWgJ0Sw/edit?usp=sharing"",""ชัยนาท!J755"")"),20)</f>
        <v>20</v>
      </c>
      <c r="AL57" s="216">
        <f t="shared" ca="1" si="51"/>
        <v>100</v>
      </c>
      <c r="AM57" s="152">
        <f ca="1">IFERROR(__xludf.DUMMYFUNCTION("IMPORTRANGE(""https://docs.google.com/spreadsheets/d/1hh-FVnSX0vozXhGluamEcS54Dw9_zqW0N7qJUWgJ0Sw/edit?usp=sharing"",""ชัยนาท!J756"")"),20)</f>
        <v>20</v>
      </c>
      <c r="AN57" s="152">
        <f ca="1">IFERROR(__xludf.DUMMYFUNCTION("IMPORTRANGE(""https://docs.google.com/spreadsheets/d/1hh-FVnSX0vozXhGluamEcS54Dw9_zqW0N7qJUWgJ0Sw/edit?usp=sharing"",""ชัยนาท!J757"")"),1)</f>
        <v>1</v>
      </c>
    </row>
    <row r="58" spans="1:40" ht="19.5" x14ac:dyDescent="0.3">
      <c r="A58" s="147">
        <v>6</v>
      </c>
      <c r="B58" s="148" t="s">
        <v>86</v>
      </c>
      <c r="C58" s="68">
        <f ca="1">IFERROR(__xludf.DUMMYFUNCTION("IMPORTRANGE(""https://docs.google.com/spreadsheets/d/1jkqa6GXxSacMcY1eN8AHjMNJ_7dDXMJVRLDlaFSOdPM/edit?usp=sharing"",""ตราด!Q728"")"),175994)</f>
        <v>175994</v>
      </c>
      <c r="D58" s="68">
        <f ca="1">IFERROR(__xludf.DUMMYFUNCTION("IMPORTRANGE(""https://docs.google.com/spreadsheets/d/1jkqa6GXxSacMcY1eN8AHjMNJ_7dDXMJVRLDlaFSOdPM/edit?usp=sharing"",""ตราด!R728"")"),175994)</f>
        <v>175994</v>
      </c>
      <c r="E58" s="68">
        <f ca="1">IFERROR(__xludf.DUMMYFUNCTION("IMPORTRANGE(""https://docs.google.com/spreadsheets/d/1jkqa6GXxSacMcY1eN8AHjMNJ_7dDXMJVRLDlaFSOdPM/edit?usp=sharing"",""ตราด!S728"")"),162144)</f>
        <v>162144</v>
      </c>
      <c r="F58" s="68">
        <f t="shared" ca="1" si="33"/>
        <v>92.130413536825117</v>
      </c>
      <c r="G58" s="68">
        <f t="shared" ca="1" si="34"/>
        <v>92.130413536825117</v>
      </c>
      <c r="H58" s="152">
        <f ca="1">IFERROR(__xludf.DUMMYFUNCTION("IMPORTRANGE(""https://docs.google.com/spreadsheets/d/1jkqa6GXxSacMcY1eN8AHjMNJ_7dDXMJVRLDlaFSOdPM/edit?usp=sharing"",""ตราด!I726"")"),21)</f>
        <v>21</v>
      </c>
      <c r="I58" s="152">
        <f ca="1">IFERROR(__xludf.DUMMYFUNCTION("IMPORTRANGE(""https://docs.google.com/spreadsheets/d/1jkqa6GXxSacMcY1eN8AHjMNJ_7dDXMJVRLDlaFSOdPM/edit?usp=sharing"",""ตราด!I727"")"),200)</f>
        <v>200</v>
      </c>
      <c r="J58" s="152">
        <f ca="1">IFERROR(__xludf.DUMMYFUNCTION("IMPORTRANGE(""https://docs.google.com/spreadsheets/d/1jkqa6GXxSacMcY1eN8AHjMNJ_7dDXMJVRLDlaFSOdPM/edit?usp=sharing"",""ตราด!J726"")"),21)</f>
        <v>21</v>
      </c>
      <c r="K58" s="216">
        <f t="shared" ca="1" si="36"/>
        <v>100</v>
      </c>
      <c r="L58" s="152">
        <f ca="1">IFERROR(__xludf.DUMMYFUNCTION("IMPORTRANGE(""https://docs.google.com/spreadsheets/d/1jkqa6GXxSacMcY1eN8AHjMNJ_7dDXMJVRLDlaFSOdPM/edit?usp=sharing"",""ตราด!J727"")"),200)</f>
        <v>200</v>
      </c>
      <c r="M58" s="216">
        <f t="shared" ca="1" si="37"/>
        <v>100</v>
      </c>
      <c r="N58" s="152">
        <f ca="1">IFERROR(__xludf.DUMMYFUNCTION("IMPORTRANGE(""https://docs.google.com/spreadsheets/d/1jkqa6GXxSacMcY1eN8AHjMNJ_7dDXMJVRLDlaFSOdPM/edit?usp=sharing"",""ตราด!I740"")"),160)</f>
        <v>160</v>
      </c>
      <c r="O58" s="152">
        <f ca="1">IFERROR(__xludf.DUMMYFUNCTION("IMPORTRANGE(""https://docs.google.com/spreadsheets/d/1jkqa6GXxSacMcY1eN8AHjMNJ_7dDXMJVRLDlaFSOdPM/edit?usp=sharing"",""ตราด!J740"")"),160)</f>
        <v>160</v>
      </c>
      <c r="P58" s="216">
        <f t="shared" ca="1" si="39"/>
        <v>100</v>
      </c>
      <c r="Q58" s="152">
        <f ca="1">IFERROR(__xludf.DUMMYFUNCTION("IMPORTRANGE(""https://docs.google.com/spreadsheets/d/1jkqa6GXxSacMcY1eN8AHjMNJ_7dDXMJVRLDlaFSOdPM/edit?usp=sharing"",""ตราด!J741"")"),16)</f>
        <v>16</v>
      </c>
      <c r="R58" s="152">
        <f ca="1">IFERROR(__xludf.DUMMYFUNCTION("IMPORTRANGE(""https://docs.google.com/spreadsheets/d/1jkqa6GXxSacMcY1eN8AHjMNJ_7dDXMJVRLDlaFSOdPM/edit?usp=sharing"",""ตราด!I742"")"),16)</f>
        <v>16</v>
      </c>
      <c r="S58" s="152">
        <f ca="1">IFERROR(__xludf.DUMMYFUNCTION("IMPORTRANGE(""https://docs.google.com/spreadsheets/d/1jkqa6GXxSacMcY1eN8AHjMNJ_7dDXMJVRLDlaFSOdPM/edit?usp=sharing"",""ตราด!J742"")"),16)</f>
        <v>16</v>
      </c>
      <c r="T58" s="216">
        <f t="shared" ca="1" si="41"/>
        <v>100</v>
      </c>
      <c r="U58" s="152">
        <f ca="1">IFERROR(__xludf.DUMMYFUNCTION("IMPORTRANGE(""https://docs.google.com/spreadsheets/d/1jkqa6GXxSacMcY1eN8AHjMNJ_7dDXMJVRLDlaFSOdPM/edit?usp=sharing"",""ตราด!I744"")"),40)</f>
        <v>40</v>
      </c>
      <c r="V58" s="152">
        <f ca="1">IFERROR(__xludf.DUMMYFUNCTION("IMPORTRANGE(""https://docs.google.com/spreadsheets/d/1jkqa6GXxSacMcY1eN8AHjMNJ_7dDXMJVRLDlaFSOdPM/edit?usp=sharing"",""ตราด!J744"")"),40)</f>
        <v>40</v>
      </c>
      <c r="W58" s="216">
        <f t="shared" ca="1" si="43"/>
        <v>100</v>
      </c>
      <c r="X58" s="152">
        <f ca="1">IFERROR(__xludf.DUMMYFUNCTION("IMPORTRANGE(""https://docs.google.com/spreadsheets/d/1jkqa6GXxSacMcY1eN8AHjMNJ_7dDXMJVRLDlaFSOdPM/edit?usp=sharing"",""ตราด!J745"")"),4)</f>
        <v>4</v>
      </c>
      <c r="Y58" s="152">
        <f ca="1">IFERROR(__xludf.DUMMYFUNCTION("IMPORTRANGE(""https://docs.google.com/spreadsheets/d/1jkqa6GXxSacMcY1eN8AHjMNJ_7dDXMJVRLDlaFSOdPM/edit?usp=sharing"",""ตราด!I746"")"),4)</f>
        <v>4</v>
      </c>
      <c r="Z58" s="152">
        <f ca="1">IFERROR(__xludf.DUMMYFUNCTION("IMPORTRANGE(""https://docs.google.com/spreadsheets/d/1jkqa6GXxSacMcY1eN8AHjMNJ_7dDXMJVRLDlaFSOdPM/edit?usp=sharing"",""ตราด!J746"")"),4)</f>
        <v>4</v>
      </c>
      <c r="AA58" s="216">
        <f t="shared" ca="1" si="45"/>
        <v>100</v>
      </c>
      <c r="AB58" s="152">
        <f ca="1">IFERROR(__xludf.DUMMYFUNCTION("IMPORTRANGE(""https://docs.google.com/spreadsheets/d/1jkqa6GXxSacMcY1eN8AHjMNJ_7dDXMJVRLDlaFSOdPM/edit?usp=sharing"",""ตราด!J748"")"),1)</f>
        <v>1</v>
      </c>
      <c r="AC58" s="152">
        <f ca="1">IFERROR(__xludf.DUMMYFUNCTION("IMPORTRANGE(""https://docs.google.com/spreadsheets/d/1jkqa6GXxSacMcY1eN8AHjMNJ_7dDXMJVRLDlaFSOdPM/edit?usp=sharing"",""ตราด!I749"")"),1)</f>
        <v>1</v>
      </c>
      <c r="AD58" s="152">
        <f ca="1">IFERROR(__xludf.DUMMYFUNCTION("IMPORTRANGE(""https://docs.google.com/spreadsheets/d/1jkqa6GXxSacMcY1eN8AHjMNJ_7dDXMJVRLDlaFSOdPM/edit?usp=sharing"",""ตราด!J749"")"),1)</f>
        <v>1</v>
      </c>
      <c r="AE58" s="216">
        <f t="shared" ca="1" si="47"/>
        <v>100</v>
      </c>
      <c r="AF58" s="152">
        <f ca="1">IFERROR(__xludf.DUMMYFUNCTION("IMPORTRANGE(""https://docs.google.com/spreadsheets/d/1jkqa6GXxSacMcY1eN8AHjMNJ_7dDXMJVRLDlaFSOdPM/edit?usp=sharing"",""ตราด!I752"")"),160)</f>
        <v>160</v>
      </c>
      <c r="AG58" s="152">
        <f ca="1">IFERROR(__xludf.DUMMYFUNCTION("IMPORTRANGE(""https://docs.google.com/spreadsheets/d/1jkqa6GXxSacMcY1eN8AHjMNJ_7dDXMJVRLDlaFSOdPM/edit?usp=sharing"",""ตราด!J752"")"),160)</f>
        <v>160</v>
      </c>
      <c r="AH58" s="216">
        <f t="shared" ca="1" si="49"/>
        <v>100</v>
      </c>
      <c r="AI58" s="152" t="str">
        <f ca="1">IFERROR(__xludf.DUMMYFUNCTION("IMPORTRANGE(""https://docs.google.com/spreadsheets/d/1jkqa6GXxSacMcY1eN8AHjMNJ_7dDXMJVRLDlaFSOdPM/edit?usp=sharing"",""ตราด!J753"")"),"")</f>
        <v/>
      </c>
      <c r="AJ58" s="152">
        <f ca="1">IFERROR(__xludf.DUMMYFUNCTION("IMPORTRANGE(""https://docs.google.com/spreadsheets/d/1jkqa6GXxSacMcY1eN8AHjMNJ_7dDXMJVRLDlaFSOdPM/edit?usp=sharing"",""ตราด!I755"")"),40)</f>
        <v>40</v>
      </c>
      <c r="AK58" s="152">
        <f ca="1">IFERROR(__xludf.DUMMYFUNCTION("IMPORTRANGE(""https://docs.google.com/spreadsheets/d/1jkqa6GXxSacMcY1eN8AHjMNJ_7dDXMJVRLDlaFSOdPM/edit?usp=sharing"",""ตราด!J755"")"),40)</f>
        <v>40</v>
      </c>
      <c r="AL58" s="216">
        <f t="shared" ca="1" si="51"/>
        <v>100</v>
      </c>
      <c r="AM58" s="152" t="str">
        <f ca="1">IFERROR(__xludf.DUMMYFUNCTION("IMPORTRANGE(""https://docs.google.com/spreadsheets/d/1jkqa6GXxSacMcY1eN8AHjMNJ_7dDXMJVRLDlaFSOdPM/edit?usp=sharing"",""ตราด!J756"")"),"")</f>
        <v/>
      </c>
      <c r="AN58" s="152">
        <f ca="1">IFERROR(__xludf.DUMMYFUNCTION("IMPORTRANGE(""https://docs.google.com/spreadsheets/d/1jkqa6GXxSacMcY1eN8AHjMNJ_7dDXMJVRLDlaFSOdPM/edit?usp=sharing"",""ตราด!J757"")"),1)</f>
        <v>1</v>
      </c>
    </row>
    <row r="59" spans="1:40" ht="19.5" x14ac:dyDescent="0.3">
      <c r="A59" s="147">
        <v>7</v>
      </c>
      <c r="B59" s="148" t="s">
        <v>87</v>
      </c>
      <c r="C59" s="68">
        <f ca="1">IFERROR(__xludf.DUMMYFUNCTION("IMPORTRANGE(""https://docs.google.com/spreadsheets/d/18hSgUJ3VwClqi_qtULmmW3cLr0oe3OKaSYoKzdpTsYQ/edit?usp=sharing"",""นครนายก!Q728"")"),0)</f>
        <v>0</v>
      </c>
      <c r="D59" s="68">
        <f ca="1">IFERROR(__xludf.DUMMYFUNCTION("IMPORTRANGE(""https://docs.google.com/spreadsheets/d/18hSgUJ3VwClqi_qtULmmW3cLr0oe3OKaSYoKzdpTsYQ/edit?usp=sharing"",""นครนายก!R728"")"),0)</f>
        <v>0</v>
      </c>
      <c r="E59" s="68">
        <f ca="1">IFERROR(__xludf.DUMMYFUNCTION("IMPORTRANGE(""https://docs.google.com/spreadsheets/d/18hSgUJ3VwClqi_qtULmmW3cLr0oe3OKaSYoKzdpTsYQ/edit?usp=sharing"",""นครนายก!S728"")"),0)</f>
        <v>0</v>
      </c>
      <c r="F59" s="68">
        <f t="shared" ca="1" si="33"/>
        <v>0</v>
      </c>
      <c r="G59" s="68">
        <f t="shared" ca="1" si="34"/>
        <v>0</v>
      </c>
      <c r="H59" s="152">
        <f ca="1">IFERROR(__xludf.DUMMYFUNCTION("IMPORTRANGE(""https://docs.google.com/spreadsheets/d/18hSgUJ3VwClqi_qtULmmW3cLr0oe3OKaSYoKzdpTsYQ/edit?usp=sharing"",""นครนายก!I726"")"),0)</f>
        <v>0</v>
      </c>
      <c r="I59" s="152">
        <f ca="1">IFERROR(__xludf.DUMMYFUNCTION("IMPORTRANGE(""https://docs.google.com/spreadsheets/d/18hSgUJ3VwClqi_qtULmmW3cLr0oe3OKaSYoKzdpTsYQ/edit?usp=sharing"",""นครนายก!I727"")"),0)</f>
        <v>0</v>
      </c>
      <c r="J59" s="152">
        <f ca="1">IFERROR(__xludf.DUMMYFUNCTION("IMPORTRANGE(""https://docs.google.com/spreadsheets/d/18hSgUJ3VwClqi_qtULmmW3cLr0oe3OKaSYoKzdpTsYQ/edit?usp=sharing"",""นครนายก!J726"")"),0)</f>
        <v>0</v>
      </c>
      <c r="K59" s="216">
        <f t="shared" ca="1" si="36"/>
        <v>0</v>
      </c>
      <c r="L59" s="152">
        <f ca="1">IFERROR(__xludf.DUMMYFUNCTION("IMPORTRANGE(""https://docs.google.com/spreadsheets/d/18hSgUJ3VwClqi_qtULmmW3cLr0oe3OKaSYoKzdpTsYQ/edit?usp=sharing"",""นครนายก!J727"")"),0)</f>
        <v>0</v>
      </c>
      <c r="M59" s="216">
        <f t="shared" ca="1" si="37"/>
        <v>0</v>
      </c>
      <c r="N59" s="152">
        <f ca="1">IFERROR(__xludf.DUMMYFUNCTION("IMPORTRANGE(""https://docs.google.com/spreadsheets/d/18hSgUJ3VwClqi_qtULmmW3cLr0oe3OKaSYoKzdpTsYQ/edit?usp=sharing"",""นครนายก!I740"")"),0)</f>
        <v>0</v>
      </c>
      <c r="O59" s="152">
        <f ca="1">IFERROR(__xludf.DUMMYFUNCTION("IMPORTRANGE(""https://docs.google.com/spreadsheets/d/18hSgUJ3VwClqi_qtULmmW3cLr0oe3OKaSYoKzdpTsYQ/edit?usp=sharing"",""นครนายก!J740"")"),0)</f>
        <v>0</v>
      </c>
      <c r="P59" s="216">
        <f t="shared" ca="1" si="39"/>
        <v>0</v>
      </c>
      <c r="Q59" s="152">
        <f ca="1">IFERROR(__xludf.DUMMYFUNCTION("IMPORTRANGE(""https://docs.google.com/spreadsheets/d/18hSgUJ3VwClqi_qtULmmW3cLr0oe3OKaSYoKzdpTsYQ/edit?usp=sharing"",""นครนายก!J741"")"),0)</f>
        <v>0</v>
      </c>
      <c r="R59" s="152">
        <f ca="1">IFERROR(__xludf.DUMMYFUNCTION("IMPORTRANGE(""https://docs.google.com/spreadsheets/d/18hSgUJ3VwClqi_qtULmmW3cLr0oe3OKaSYoKzdpTsYQ/edit?usp=sharing"",""นครนายก!I742"")"),0)</f>
        <v>0</v>
      </c>
      <c r="S59" s="152">
        <f ca="1">IFERROR(__xludf.DUMMYFUNCTION("IMPORTRANGE(""https://docs.google.com/spreadsheets/d/18hSgUJ3VwClqi_qtULmmW3cLr0oe3OKaSYoKzdpTsYQ/edit?usp=sharing"",""นครนายก!J742"")"),0)</f>
        <v>0</v>
      </c>
      <c r="T59" s="216">
        <f t="shared" ca="1" si="41"/>
        <v>0</v>
      </c>
      <c r="U59" s="152">
        <f ca="1">IFERROR(__xludf.DUMMYFUNCTION("IMPORTRANGE(""https://docs.google.com/spreadsheets/d/18hSgUJ3VwClqi_qtULmmW3cLr0oe3OKaSYoKzdpTsYQ/edit?usp=sharing"",""นครนายก!I744"")"),0)</f>
        <v>0</v>
      </c>
      <c r="V59" s="152">
        <f ca="1">IFERROR(__xludf.DUMMYFUNCTION("IMPORTRANGE(""https://docs.google.com/spreadsheets/d/18hSgUJ3VwClqi_qtULmmW3cLr0oe3OKaSYoKzdpTsYQ/edit?usp=sharing"",""นครนายก!J744"")"),0)</f>
        <v>0</v>
      </c>
      <c r="W59" s="216">
        <f t="shared" ca="1" si="43"/>
        <v>0</v>
      </c>
      <c r="X59" s="152">
        <f ca="1">IFERROR(__xludf.DUMMYFUNCTION("IMPORTRANGE(""https://docs.google.com/spreadsheets/d/18hSgUJ3VwClqi_qtULmmW3cLr0oe3OKaSYoKzdpTsYQ/edit?usp=sharing"",""นครนายก!J745"")"),0)</f>
        <v>0</v>
      </c>
      <c r="Y59" s="152">
        <f ca="1">IFERROR(__xludf.DUMMYFUNCTION("IMPORTRANGE(""https://docs.google.com/spreadsheets/d/18hSgUJ3VwClqi_qtULmmW3cLr0oe3OKaSYoKzdpTsYQ/edit?usp=sharing"",""นครนายก!I746"")"),0)</f>
        <v>0</v>
      </c>
      <c r="Z59" s="152">
        <f ca="1">IFERROR(__xludf.DUMMYFUNCTION("IMPORTRANGE(""https://docs.google.com/spreadsheets/d/18hSgUJ3VwClqi_qtULmmW3cLr0oe3OKaSYoKzdpTsYQ/edit?usp=sharing"",""นครนายก!J746"")"),0)</f>
        <v>0</v>
      </c>
      <c r="AA59" s="216">
        <f t="shared" ca="1" si="45"/>
        <v>0</v>
      </c>
      <c r="AB59" s="152">
        <f ca="1">IFERROR(__xludf.DUMMYFUNCTION("IMPORTRANGE(""https://docs.google.com/spreadsheets/d/18hSgUJ3VwClqi_qtULmmW3cLr0oe3OKaSYoKzdpTsYQ/edit?usp=sharing"",""นครนายก!J748"")"),0)</f>
        <v>0</v>
      </c>
      <c r="AC59" s="152">
        <f ca="1">IFERROR(__xludf.DUMMYFUNCTION("IMPORTRANGE(""https://docs.google.com/spreadsheets/d/18hSgUJ3VwClqi_qtULmmW3cLr0oe3OKaSYoKzdpTsYQ/edit?usp=sharing"",""นครนายก!I749"")"),0)</f>
        <v>0</v>
      </c>
      <c r="AD59" s="152">
        <f ca="1">IFERROR(__xludf.DUMMYFUNCTION("IMPORTRANGE(""https://docs.google.com/spreadsheets/d/18hSgUJ3VwClqi_qtULmmW3cLr0oe3OKaSYoKzdpTsYQ/edit?usp=sharing"",""นครนายก!J749"")"),0)</f>
        <v>0</v>
      </c>
      <c r="AE59" s="216">
        <f t="shared" ca="1" si="47"/>
        <v>0</v>
      </c>
      <c r="AF59" s="152">
        <f ca="1">IFERROR(__xludf.DUMMYFUNCTION("IMPORTRANGE(""https://docs.google.com/spreadsheets/d/18hSgUJ3VwClqi_qtULmmW3cLr0oe3OKaSYoKzdpTsYQ/edit?usp=sharing"",""นครนายก!I752"")"),0)</f>
        <v>0</v>
      </c>
      <c r="AG59" s="152">
        <f ca="1">IFERROR(__xludf.DUMMYFUNCTION("IMPORTRANGE(""https://docs.google.com/spreadsheets/d/18hSgUJ3VwClqi_qtULmmW3cLr0oe3OKaSYoKzdpTsYQ/edit?usp=sharing"",""นครนายก!J752"")"),0)</f>
        <v>0</v>
      </c>
      <c r="AH59" s="216">
        <f t="shared" ca="1" si="49"/>
        <v>0</v>
      </c>
      <c r="AI59" s="152">
        <f ca="1">IFERROR(__xludf.DUMMYFUNCTION("IMPORTRANGE(""https://docs.google.com/spreadsheets/d/18hSgUJ3VwClqi_qtULmmW3cLr0oe3OKaSYoKzdpTsYQ/edit?usp=sharing"",""นครนายก!J753"")"),0)</f>
        <v>0</v>
      </c>
      <c r="AJ59" s="152">
        <f ca="1">IFERROR(__xludf.DUMMYFUNCTION("IMPORTRANGE(""https://docs.google.com/spreadsheets/d/18hSgUJ3VwClqi_qtULmmW3cLr0oe3OKaSYoKzdpTsYQ/edit?usp=sharing"",""นครนายก!I755"")"),0)</f>
        <v>0</v>
      </c>
      <c r="AK59" s="152">
        <f ca="1">IFERROR(__xludf.DUMMYFUNCTION("IMPORTRANGE(""https://docs.google.com/spreadsheets/d/18hSgUJ3VwClqi_qtULmmW3cLr0oe3OKaSYoKzdpTsYQ/edit?usp=sharing"",""นครนายก!J755"")"),0)</f>
        <v>0</v>
      </c>
      <c r="AL59" s="216">
        <f t="shared" ca="1" si="51"/>
        <v>0</v>
      </c>
      <c r="AM59" s="152">
        <f ca="1">IFERROR(__xludf.DUMMYFUNCTION("IMPORTRANGE(""https://docs.google.com/spreadsheets/d/18hSgUJ3VwClqi_qtULmmW3cLr0oe3OKaSYoKzdpTsYQ/edit?usp=sharing"",""นครนายก!J756"")"),0)</f>
        <v>0</v>
      </c>
      <c r="AN59" s="152">
        <f ca="1">IFERROR(__xludf.DUMMYFUNCTION("IMPORTRANGE(""https://docs.google.com/spreadsheets/d/18hSgUJ3VwClqi_qtULmmW3cLr0oe3OKaSYoKzdpTsYQ/edit?usp=sharing"",""นครนายก!J757"")"),0)</f>
        <v>0</v>
      </c>
    </row>
    <row r="60" spans="1:40" ht="19.5" x14ac:dyDescent="0.3">
      <c r="A60" s="147">
        <v>8</v>
      </c>
      <c r="B60" s="148" t="s">
        <v>88</v>
      </c>
      <c r="C60" s="68">
        <f ca="1">IFERROR(__xludf.DUMMYFUNCTION("IMPORTRANGE(""https://docs.google.com/spreadsheets/d/1YTZo6WM2dQ6Ix6FSdnL5P7uVnVKu40sxZu975tgG10E/edit?usp=sharing"",""นครปฐม!Q728"")"),0)</f>
        <v>0</v>
      </c>
      <c r="D60" s="68">
        <f ca="1">IFERROR(__xludf.DUMMYFUNCTION("IMPORTRANGE(""https://docs.google.com/spreadsheets/d/1YTZo6WM2dQ6Ix6FSdnL5P7uVnVKu40sxZu975tgG10E/edit?usp=sharing"",""นครปฐม!R728"")"),0)</f>
        <v>0</v>
      </c>
      <c r="E60" s="68">
        <f ca="1">IFERROR(__xludf.DUMMYFUNCTION("IMPORTRANGE(""https://docs.google.com/spreadsheets/d/1YTZo6WM2dQ6Ix6FSdnL5P7uVnVKu40sxZu975tgG10E/edit?usp=sharing"",""นครปฐม!S728"")"),0)</f>
        <v>0</v>
      </c>
      <c r="F60" s="68">
        <f t="shared" ca="1" si="33"/>
        <v>0</v>
      </c>
      <c r="G60" s="68">
        <f t="shared" ca="1" si="34"/>
        <v>0</v>
      </c>
      <c r="H60" s="152">
        <f ca="1">IFERROR(__xludf.DUMMYFUNCTION("IMPORTRANGE(""https://docs.google.com/spreadsheets/d/1YTZo6WM2dQ6Ix6FSdnL5P7uVnVKu40sxZu975tgG10E/edit?usp=sharing"",""นครปฐม!I726"")"),0)</f>
        <v>0</v>
      </c>
      <c r="I60" s="152">
        <f ca="1">IFERROR(__xludf.DUMMYFUNCTION("IMPORTRANGE(""https://docs.google.com/spreadsheets/d/1YTZo6WM2dQ6Ix6FSdnL5P7uVnVKu40sxZu975tgG10E/edit?usp=sharing"",""นครปฐม!I727"")"),0)</f>
        <v>0</v>
      </c>
      <c r="J60" s="152">
        <f ca="1">IFERROR(__xludf.DUMMYFUNCTION("IMPORTRANGE(""https://docs.google.com/spreadsheets/d/1YTZo6WM2dQ6Ix6FSdnL5P7uVnVKu40sxZu975tgG10E/edit?usp=sharing"",""นครปฐม!J726"")"),0)</f>
        <v>0</v>
      </c>
      <c r="K60" s="216">
        <f t="shared" ca="1" si="36"/>
        <v>0</v>
      </c>
      <c r="L60" s="152">
        <f ca="1">IFERROR(__xludf.DUMMYFUNCTION("IMPORTRANGE(""https://docs.google.com/spreadsheets/d/1YTZo6WM2dQ6Ix6FSdnL5P7uVnVKu40sxZu975tgG10E/edit?usp=sharing"",""นครปฐม!J727"")"),0)</f>
        <v>0</v>
      </c>
      <c r="M60" s="216">
        <f t="shared" ca="1" si="37"/>
        <v>0</v>
      </c>
      <c r="N60" s="152">
        <f ca="1">IFERROR(__xludf.DUMMYFUNCTION("IMPORTRANGE(""https://docs.google.com/spreadsheets/d/1YTZo6WM2dQ6Ix6FSdnL5P7uVnVKu40sxZu975tgG10E/edit?usp=sharing"",""นครปฐม!I740"")"),0)</f>
        <v>0</v>
      </c>
      <c r="O60" s="152">
        <f ca="1">IFERROR(__xludf.DUMMYFUNCTION("IMPORTRANGE(""https://docs.google.com/spreadsheets/d/1YTZo6WM2dQ6Ix6FSdnL5P7uVnVKu40sxZu975tgG10E/edit?usp=sharing"",""นครปฐม!J740"")"),0)</f>
        <v>0</v>
      </c>
      <c r="P60" s="216">
        <f t="shared" ca="1" si="39"/>
        <v>0</v>
      </c>
      <c r="Q60" s="152">
        <f ca="1">IFERROR(__xludf.DUMMYFUNCTION("IMPORTRANGE(""https://docs.google.com/spreadsheets/d/1YTZo6WM2dQ6Ix6FSdnL5P7uVnVKu40sxZu975tgG10E/edit?usp=sharing"",""นครปฐม!J741"")"),0)</f>
        <v>0</v>
      </c>
      <c r="R60" s="152">
        <f ca="1">IFERROR(__xludf.DUMMYFUNCTION("IMPORTRANGE(""https://docs.google.com/spreadsheets/d/1YTZo6WM2dQ6Ix6FSdnL5P7uVnVKu40sxZu975tgG10E/edit?usp=sharing"",""นครปฐม!I742"")"),0)</f>
        <v>0</v>
      </c>
      <c r="S60" s="152">
        <f ca="1">IFERROR(__xludf.DUMMYFUNCTION("IMPORTRANGE(""https://docs.google.com/spreadsheets/d/1YTZo6WM2dQ6Ix6FSdnL5P7uVnVKu40sxZu975tgG10E/edit?usp=sharing"",""นครปฐม!J742"")"),0)</f>
        <v>0</v>
      </c>
      <c r="T60" s="216">
        <f t="shared" ca="1" si="41"/>
        <v>0</v>
      </c>
      <c r="U60" s="152">
        <f ca="1">IFERROR(__xludf.DUMMYFUNCTION("IMPORTRANGE(""https://docs.google.com/spreadsheets/d/1YTZo6WM2dQ6Ix6FSdnL5P7uVnVKu40sxZu975tgG10E/edit?usp=sharing"",""นครปฐม!I744"")"),0)</f>
        <v>0</v>
      </c>
      <c r="V60" s="152">
        <f ca="1">IFERROR(__xludf.DUMMYFUNCTION("IMPORTRANGE(""https://docs.google.com/spreadsheets/d/1YTZo6WM2dQ6Ix6FSdnL5P7uVnVKu40sxZu975tgG10E/edit?usp=sharing"",""นครปฐม!J744"")"),0)</f>
        <v>0</v>
      </c>
      <c r="W60" s="216">
        <f t="shared" ca="1" si="43"/>
        <v>0</v>
      </c>
      <c r="X60" s="152">
        <f ca="1">IFERROR(__xludf.DUMMYFUNCTION("IMPORTRANGE(""https://docs.google.com/spreadsheets/d/1YTZo6WM2dQ6Ix6FSdnL5P7uVnVKu40sxZu975tgG10E/edit?usp=sharing"",""นครปฐม!J745"")"),0)</f>
        <v>0</v>
      </c>
      <c r="Y60" s="152">
        <f ca="1">IFERROR(__xludf.DUMMYFUNCTION("IMPORTRANGE(""https://docs.google.com/spreadsheets/d/1YTZo6WM2dQ6Ix6FSdnL5P7uVnVKu40sxZu975tgG10E/edit?usp=sharing"",""นครปฐม!I746"")"),0)</f>
        <v>0</v>
      </c>
      <c r="Z60" s="152">
        <f ca="1">IFERROR(__xludf.DUMMYFUNCTION("IMPORTRANGE(""https://docs.google.com/spreadsheets/d/1YTZo6WM2dQ6Ix6FSdnL5P7uVnVKu40sxZu975tgG10E/edit?usp=sharing"",""นครปฐม!J746"")"),0)</f>
        <v>0</v>
      </c>
      <c r="AA60" s="216">
        <f t="shared" ca="1" si="45"/>
        <v>0</v>
      </c>
      <c r="AB60" s="152">
        <f ca="1">IFERROR(__xludf.DUMMYFUNCTION("IMPORTRANGE(""https://docs.google.com/spreadsheets/d/1YTZo6WM2dQ6Ix6FSdnL5P7uVnVKu40sxZu975tgG10E/edit?usp=sharing"",""นครปฐม!J748"")"),0)</f>
        <v>0</v>
      </c>
      <c r="AC60" s="152">
        <f ca="1">IFERROR(__xludf.DUMMYFUNCTION("IMPORTRANGE(""https://docs.google.com/spreadsheets/d/1YTZo6WM2dQ6Ix6FSdnL5P7uVnVKu40sxZu975tgG10E/edit?usp=sharing"",""นครปฐม!I749"")"),0)</f>
        <v>0</v>
      </c>
      <c r="AD60" s="152">
        <f ca="1">IFERROR(__xludf.DUMMYFUNCTION("IMPORTRANGE(""https://docs.google.com/spreadsheets/d/1YTZo6WM2dQ6Ix6FSdnL5P7uVnVKu40sxZu975tgG10E/edit?usp=sharing"",""นครปฐม!J749"")"),0)</f>
        <v>0</v>
      </c>
      <c r="AE60" s="216">
        <f t="shared" ca="1" si="47"/>
        <v>0</v>
      </c>
      <c r="AF60" s="152">
        <f ca="1">IFERROR(__xludf.DUMMYFUNCTION("IMPORTRANGE(""https://docs.google.com/spreadsheets/d/1YTZo6WM2dQ6Ix6FSdnL5P7uVnVKu40sxZu975tgG10E/edit?usp=sharing"",""นครปฐม!I752"")"),0)</f>
        <v>0</v>
      </c>
      <c r="AG60" s="152">
        <f ca="1">IFERROR(__xludf.DUMMYFUNCTION("IMPORTRANGE(""https://docs.google.com/spreadsheets/d/1YTZo6WM2dQ6Ix6FSdnL5P7uVnVKu40sxZu975tgG10E/edit?usp=sharing"",""นครปฐม!J752"")"),0)</f>
        <v>0</v>
      </c>
      <c r="AH60" s="216">
        <f t="shared" ca="1" si="49"/>
        <v>0</v>
      </c>
      <c r="AI60" s="152">
        <f ca="1">IFERROR(__xludf.DUMMYFUNCTION("IMPORTRANGE(""https://docs.google.com/spreadsheets/d/1YTZo6WM2dQ6Ix6FSdnL5P7uVnVKu40sxZu975tgG10E/edit?usp=sharing"",""นครปฐม!J753"")"),0)</f>
        <v>0</v>
      </c>
      <c r="AJ60" s="152">
        <f ca="1">IFERROR(__xludf.DUMMYFUNCTION("IMPORTRANGE(""https://docs.google.com/spreadsheets/d/1YTZo6WM2dQ6Ix6FSdnL5P7uVnVKu40sxZu975tgG10E/edit?usp=sharing"",""นครปฐม!I755"")"),0)</f>
        <v>0</v>
      </c>
      <c r="AK60" s="152">
        <f ca="1">IFERROR(__xludf.DUMMYFUNCTION("IMPORTRANGE(""https://docs.google.com/spreadsheets/d/1YTZo6WM2dQ6Ix6FSdnL5P7uVnVKu40sxZu975tgG10E/edit?usp=sharing"",""นครปฐม!J755"")"),0)</f>
        <v>0</v>
      </c>
      <c r="AL60" s="216">
        <f t="shared" ca="1" si="51"/>
        <v>0</v>
      </c>
      <c r="AM60" s="152">
        <f ca="1">IFERROR(__xludf.DUMMYFUNCTION("IMPORTRANGE(""https://docs.google.com/spreadsheets/d/1YTZo6WM2dQ6Ix6FSdnL5P7uVnVKu40sxZu975tgG10E/edit?usp=sharing"",""นครปฐม!J756"")"),0)</f>
        <v>0</v>
      </c>
      <c r="AN60" s="152">
        <f ca="1">IFERROR(__xludf.DUMMYFUNCTION("IMPORTRANGE(""https://docs.google.com/spreadsheets/d/1YTZo6WM2dQ6Ix6FSdnL5P7uVnVKu40sxZu975tgG10E/edit?usp=sharing"",""นครปฐม!J757"")"),0)</f>
        <v>0</v>
      </c>
    </row>
    <row r="61" spans="1:40" ht="19.5" x14ac:dyDescent="0.3">
      <c r="A61" s="147">
        <v>9</v>
      </c>
      <c r="B61" s="148" t="s">
        <v>89</v>
      </c>
      <c r="C61" s="68">
        <f ca="1">IFERROR(__xludf.DUMMYFUNCTION("IMPORTRANGE(""https://docs.google.com/spreadsheets/d/1OYoGg4WDg5RIzwGeB10padOxJF9E_Vljuvvct_M7RDo/edit?usp=sharing"",""ปทุมธานี!Q728"")"),0)</f>
        <v>0</v>
      </c>
      <c r="D61" s="68">
        <f ca="1">IFERROR(__xludf.DUMMYFUNCTION("IMPORTRANGE(""https://docs.google.com/spreadsheets/d/1OYoGg4WDg5RIzwGeB10padOxJF9E_Vljuvvct_M7RDo/edit?usp=sharing"",""ปทุมธานี!R728"")"),0)</f>
        <v>0</v>
      </c>
      <c r="E61" s="68">
        <f ca="1">IFERROR(__xludf.DUMMYFUNCTION("IMPORTRANGE(""https://docs.google.com/spreadsheets/d/1OYoGg4WDg5RIzwGeB10padOxJF9E_Vljuvvct_M7RDo/edit?usp=sharing"",""ปทุมธานี!S728"")"),0)</f>
        <v>0</v>
      </c>
      <c r="F61" s="68">
        <f t="shared" ca="1" si="33"/>
        <v>0</v>
      </c>
      <c r="G61" s="68">
        <f t="shared" ca="1" si="34"/>
        <v>0</v>
      </c>
      <c r="H61" s="152">
        <f ca="1">IFERROR(__xludf.DUMMYFUNCTION("IMPORTRANGE(""https://docs.google.com/spreadsheets/d/1OYoGg4WDg5RIzwGeB10padOxJF9E_Vljuvvct_M7RDo/edit?usp=sharing"",""ปทุมธานี!I726"")"),0)</f>
        <v>0</v>
      </c>
      <c r="I61" s="152">
        <f ca="1">IFERROR(__xludf.DUMMYFUNCTION("IMPORTRANGE(""https://docs.google.com/spreadsheets/d/1OYoGg4WDg5RIzwGeB10padOxJF9E_Vljuvvct_M7RDo/edit?usp=sharing"",""ปทุมธานี!I727"")"),0)</f>
        <v>0</v>
      </c>
      <c r="J61" s="152">
        <f ca="1">IFERROR(__xludf.DUMMYFUNCTION("IMPORTRANGE(""https://docs.google.com/spreadsheets/d/1OYoGg4WDg5RIzwGeB10padOxJF9E_Vljuvvct_M7RDo/edit?usp=sharing"",""ปทุมธานี!J726"")"),0)</f>
        <v>0</v>
      </c>
      <c r="K61" s="216">
        <f t="shared" ca="1" si="36"/>
        <v>0</v>
      </c>
      <c r="L61" s="152">
        <f ca="1">IFERROR(__xludf.DUMMYFUNCTION("IMPORTRANGE(""https://docs.google.com/spreadsheets/d/1OYoGg4WDg5RIzwGeB10padOxJF9E_Vljuvvct_M7RDo/edit?usp=sharing"",""ปทุมธานี!J727"")"),0)</f>
        <v>0</v>
      </c>
      <c r="M61" s="216">
        <f t="shared" ca="1" si="37"/>
        <v>0</v>
      </c>
      <c r="N61" s="152">
        <f ca="1">IFERROR(__xludf.DUMMYFUNCTION("IMPORTRANGE(""https://docs.google.com/spreadsheets/d/1OYoGg4WDg5RIzwGeB10padOxJF9E_Vljuvvct_M7RDo/edit?usp=sharing"",""ปทุมธานี!I740"")"),0)</f>
        <v>0</v>
      </c>
      <c r="O61" s="152">
        <f ca="1">IFERROR(__xludf.DUMMYFUNCTION("IMPORTRANGE(""https://docs.google.com/spreadsheets/d/1OYoGg4WDg5RIzwGeB10padOxJF9E_Vljuvvct_M7RDo/edit?usp=sharing"",""ปทุมธานี!J740"")"),0)</f>
        <v>0</v>
      </c>
      <c r="P61" s="216">
        <f t="shared" ca="1" si="39"/>
        <v>0</v>
      </c>
      <c r="Q61" s="152">
        <f ca="1">IFERROR(__xludf.DUMMYFUNCTION("IMPORTRANGE(""https://docs.google.com/spreadsheets/d/1OYoGg4WDg5RIzwGeB10padOxJF9E_Vljuvvct_M7RDo/edit?usp=sharing"",""ปทุมธานี!J741"")"),0)</f>
        <v>0</v>
      </c>
      <c r="R61" s="152">
        <f ca="1">IFERROR(__xludf.DUMMYFUNCTION("IMPORTRANGE(""https://docs.google.com/spreadsheets/d/1OYoGg4WDg5RIzwGeB10padOxJF9E_Vljuvvct_M7RDo/edit?usp=sharing"",""ปทุมธานี!I742"")"),0)</f>
        <v>0</v>
      </c>
      <c r="S61" s="152">
        <f ca="1">IFERROR(__xludf.DUMMYFUNCTION("IMPORTRANGE(""https://docs.google.com/spreadsheets/d/1OYoGg4WDg5RIzwGeB10padOxJF9E_Vljuvvct_M7RDo/edit?usp=sharing"",""ปทุมธานี!J742"")"),0)</f>
        <v>0</v>
      </c>
      <c r="T61" s="216">
        <f t="shared" ca="1" si="41"/>
        <v>0</v>
      </c>
      <c r="U61" s="152">
        <f ca="1">IFERROR(__xludf.DUMMYFUNCTION("IMPORTRANGE(""https://docs.google.com/spreadsheets/d/1OYoGg4WDg5RIzwGeB10padOxJF9E_Vljuvvct_M7RDo/edit?usp=sharing"",""ปทุมธานี!I744"")"),0)</f>
        <v>0</v>
      </c>
      <c r="V61" s="152">
        <f ca="1">IFERROR(__xludf.DUMMYFUNCTION("IMPORTRANGE(""https://docs.google.com/spreadsheets/d/1OYoGg4WDg5RIzwGeB10padOxJF9E_Vljuvvct_M7RDo/edit?usp=sharing"",""ปทุมธานี!J744"")"),0)</f>
        <v>0</v>
      </c>
      <c r="W61" s="216">
        <f t="shared" ca="1" si="43"/>
        <v>0</v>
      </c>
      <c r="X61" s="152">
        <f ca="1">IFERROR(__xludf.DUMMYFUNCTION("IMPORTRANGE(""https://docs.google.com/spreadsheets/d/1OYoGg4WDg5RIzwGeB10padOxJF9E_Vljuvvct_M7RDo/edit?usp=sharing"",""ปทุมธานี!J745"")"),0)</f>
        <v>0</v>
      </c>
      <c r="Y61" s="152">
        <f ca="1">IFERROR(__xludf.DUMMYFUNCTION("IMPORTRANGE(""https://docs.google.com/spreadsheets/d/1OYoGg4WDg5RIzwGeB10padOxJF9E_Vljuvvct_M7RDo/edit?usp=sharing"",""ปทุมธานี!I746"")"),0)</f>
        <v>0</v>
      </c>
      <c r="Z61" s="152">
        <f ca="1">IFERROR(__xludf.DUMMYFUNCTION("IMPORTRANGE(""https://docs.google.com/spreadsheets/d/1OYoGg4WDg5RIzwGeB10padOxJF9E_Vljuvvct_M7RDo/edit?usp=sharing"",""ปทุมธานี!J746"")"),0)</f>
        <v>0</v>
      </c>
      <c r="AA61" s="216">
        <f t="shared" ca="1" si="45"/>
        <v>0</v>
      </c>
      <c r="AB61" s="152">
        <f ca="1">IFERROR(__xludf.DUMMYFUNCTION("IMPORTRANGE(""https://docs.google.com/spreadsheets/d/1OYoGg4WDg5RIzwGeB10padOxJF9E_Vljuvvct_M7RDo/edit?usp=sharing"",""ปทุมธานี!J748"")"),0)</f>
        <v>0</v>
      </c>
      <c r="AC61" s="152">
        <f ca="1">IFERROR(__xludf.DUMMYFUNCTION("IMPORTRANGE(""https://docs.google.com/spreadsheets/d/1OYoGg4WDg5RIzwGeB10padOxJF9E_Vljuvvct_M7RDo/edit?usp=sharing"",""ปทุมธานี!I749"")"),0)</f>
        <v>0</v>
      </c>
      <c r="AD61" s="152">
        <f ca="1">IFERROR(__xludf.DUMMYFUNCTION("IMPORTRANGE(""https://docs.google.com/spreadsheets/d/1OYoGg4WDg5RIzwGeB10padOxJF9E_Vljuvvct_M7RDo/edit?usp=sharing"",""ปทุมธานี!J749"")"),0)</f>
        <v>0</v>
      </c>
      <c r="AE61" s="216">
        <f t="shared" ca="1" si="47"/>
        <v>0</v>
      </c>
      <c r="AF61" s="152">
        <f ca="1">IFERROR(__xludf.DUMMYFUNCTION("IMPORTRANGE(""https://docs.google.com/spreadsheets/d/1OYoGg4WDg5RIzwGeB10padOxJF9E_Vljuvvct_M7RDo/edit?usp=sharing"",""ปทุมธานี!I752"")"),0)</f>
        <v>0</v>
      </c>
      <c r="AG61" s="152">
        <f ca="1">IFERROR(__xludf.DUMMYFUNCTION("IMPORTRANGE(""https://docs.google.com/spreadsheets/d/1OYoGg4WDg5RIzwGeB10padOxJF9E_Vljuvvct_M7RDo/edit?usp=sharing"",""ปทุมธานี!J752"")"),0)</f>
        <v>0</v>
      </c>
      <c r="AH61" s="216">
        <f t="shared" ca="1" si="49"/>
        <v>0</v>
      </c>
      <c r="AI61" s="152">
        <f ca="1">IFERROR(__xludf.DUMMYFUNCTION("IMPORTRANGE(""https://docs.google.com/spreadsheets/d/1OYoGg4WDg5RIzwGeB10padOxJF9E_Vljuvvct_M7RDo/edit?usp=sharing"",""ปทุมธานี!J753"")"),0)</f>
        <v>0</v>
      </c>
      <c r="AJ61" s="152">
        <f ca="1">IFERROR(__xludf.DUMMYFUNCTION("IMPORTRANGE(""https://docs.google.com/spreadsheets/d/1OYoGg4WDg5RIzwGeB10padOxJF9E_Vljuvvct_M7RDo/edit?usp=sharing"",""ปทุมธานี!I755"")"),0)</f>
        <v>0</v>
      </c>
      <c r="AK61" s="152">
        <f ca="1">IFERROR(__xludf.DUMMYFUNCTION("IMPORTRANGE(""https://docs.google.com/spreadsheets/d/1OYoGg4WDg5RIzwGeB10padOxJF9E_Vljuvvct_M7RDo/edit?usp=sharing"",""ปทุมธานี!J755"")"),0)</f>
        <v>0</v>
      </c>
      <c r="AL61" s="216">
        <f t="shared" ca="1" si="51"/>
        <v>0</v>
      </c>
      <c r="AM61" s="152">
        <f ca="1">IFERROR(__xludf.DUMMYFUNCTION("IMPORTRANGE(""https://docs.google.com/spreadsheets/d/1OYoGg4WDg5RIzwGeB10padOxJF9E_Vljuvvct_M7RDo/edit?usp=sharing"",""ปทุมธานี!J756"")"),0)</f>
        <v>0</v>
      </c>
      <c r="AN61" s="152">
        <f ca="1">IFERROR(__xludf.DUMMYFUNCTION("IMPORTRANGE(""https://docs.google.com/spreadsheets/d/1OYoGg4WDg5RIzwGeB10padOxJF9E_Vljuvvct_M7RDo/edit?usp=sharing"",""ปทุมธานี!J757"")"),0)</f>
        <v>0</v>
      </c>
    </row>
    <row r="62" spans="1:40" ht="19.5" x14ac:dyDescent="0.3">
      <c r="A62" s="147">
        <v>10</v>
      </c>
      <c r="B62" s="148" t="s">
        <v>90</v>
      </c>
      <c r="C62" s="68">
        <f ca="1">IFERROR(__xludf.DUMMYFUNCTION("IMPORTRANGE(""https://docs.google.com/spreadsheets/d/1GbCIE4D4wk9FUozzqk7SxfDMxDVBwVmI5zcaVUSzKAc/edit?usp=sharing"",""ประจวบคีรีขันธ์!Q728"")"),379090)</f>
        <v>379090</v>
      </c>
      <c r="D62" s="68">
        <f ca="1">IFERROR(__xludf.DUMMYFUNCTION("IMPORTRANGE(""https://docs.google.com/spreadsheets/d/1GbCIE4D4wk9FUozzqk7SxfDMxDVBwVmI5zcaVUSzKAc/edit?usp=sharing"",""ประจวบคีรีขันธ์!R728"")"),379090)</f>
        <v>379090</v>
      </c>
      <c r="E62" s="68">
        <f ca="1">IFERROR(__xludf.DUMMYFUNCTION("IMPORTRANGE(""https://docs.google.com/spreadsheets/d/1GbCIE4D4wk9FUozzqk7SxfDMxDVBwVmI5zcaVUSzKAc/edit?usp=sharing"",""ประจวบคีรีขันธ์!S728"")"),78210)</f>
        <v>78210</v>
      </c>
      <c r="F62" s="68">
        <f t="shared" ca="1" si="33"/>
        <v>20.630984726582078</v>
      </c>
      <c r="G62" s="68">
        <f t="shared" ca="1" si="34"/>
        <v>20.630984726582078</v>
      </c>
      <c r="H62" s="152">
        <f ca="1">IFERROR(__xludf.DUMMYFUNCTION("IMPORTRANGE(""https://docs.google.com/spreadsheets/d/1GbCIE4D4wk9FUozzqk7SxfDMxDVBwVmI5zcaVUSzKAc/edit?usp=sharing"",""ประจวบคีรีขันธ์!I726"")"),51)</f>
        <v>51</v>
      </c>
      <c r="I62" s="152">
        <f ca="1">IFERROR(__xludf.DUMMYFUNCTION("IMPORTRANGE(""https://docs.google.com/spreadsheets/d/1GbCIE4D4wk9FUozzqk7SxfDMxDVBwVmI5zcaVUSzKAc/edit?usp=sharing"",""ประจวบคีรีขันธ์!I727"")"),500)</f>
        <v>500</v>
      </c>
      <c r="J62" s="152">
        <f ca="1">IFERROR(__xludf.DUMMYFUNCTION("IMPORTRANGE(""https://docs.google.com/spreadsheets/d/1GbCIE4D4wk9FUozzqk7SxfDMxDVBwVmI5zcaVUSzKAc/edit?usp=sharing"",""ประจวบคีรีขันธ์!J726"")"),51)</f>
        <v>51</v>
      </c>
      <c r="K62" s="216">
        <f t="shared" ca="1" si="36"/>
        <v>100</v>
      </c>
      <c r="L62" s="152">
        <f ca="1">IFERROR(__xludf.DUMMYFUNCTION("IMPORTRANGE(""https://docs.google.com/spreadsheets/d/1GbCIE4D4wk9FUozzqk7SxfDMxDVBwVmI5zcaVUSzKAc/edit?usp=sharing"",""ประจวบคีรีขันธ์!J727"")"),500)</f>
        <v>500</v>
      </c>
      <c r="M62" s="216">
        <f t="shared" ca="1" si="37"/>
        <v>100</v>
      </c>
      <c r="N62" s="152">
        <f ca="1">IFERROR(__xludf.DUMMYFUNCTION("IMPORTRANGE(""https://docs.google.com/spreadsheets/d/1GbCIE4D4wk9FUozzqk7SxfDMxDVBwVmI5zcaVUSzKAc/edit?usp=sharing"",""ประจวบคีรีขันธ์!I740"")"),400)</f>
        <v>400</v>
      </c>
      <c r="O62" s="152">
        <f ca="1">IFERROR(__xludf.DUMMYFUNCTION("IMPORTRANGE(""https://docs.google.com/spreadsheets/d/1GbCIE4D4wk9FUozzqk7SxfDMxDVBwVmI5zcaVUSzKAc/edit?usp=sharing"",""ประจวบคีรีขันธ์!J740"")"),400)</f>
        <v>400</v>
      </c>
      <c r="P62" s="216">
        <f t="shared" ca="1" si="39"/>
        <v>100</v>
      </c>
      <c r="Q62" s="152">
        <f ca="1">IFERROR(__xludf.DUMMYFUNCTION("IMPORTRANGE(""https://docs.google.com/spreadsheets/d/1GbCIE4D4wk9FUozzqk7SxfDMxDVBwVmI5zcaVUSzKAc/edit?usp=sharing"",""ประจวบคีรีขันธ์!J741"")"),40)</f>
        <v>40</v>
      </c>
      <c r="R62" s="152">
        <f ca="1">IFERROR(__xludf.DUMMYFUNCTION("IMPORTRANGE(""https://docs.google.com/spreadsheets/d/1GbCIE4D4wk9FUozzqk7SxfDMxDVBwVmI5zcaVUSzKAc/edit?usp=sharing"",""ประจวบคีรีขันธ์!I742"")"),40)</f>
        <v>40</v>
      </c>
      <c r="S62" s="152">
        <f ca="1">IFERROR(__xludf.DUMMYFUNCTION("IMPORTRANGE(""https://docs.google.com/spreadsheets/d/1GbCIE4D4wk9FUozzqk7SxfDMxDVBwVmI5zcaVUSzKAc/edit?usp=sharing"",""ประจวบคีรีขันธ์!J742"")"),40)</f>
        <v>40</v>
      </c>
      <c r="T62" s="216">
        <f t="shared" ca="1" si="41"/>
        <v>100</v>
      </c>
      <c r="U62" s="152">
        <f ca="1">IFERROR(__xludf.DUMMYFUNCTION("IMPORTRANGE(""https://docs.google.com/spreadsheets/d/1GbCIE4D4wk9FUozzqk7SxfDMxDVBwVmI5zcaVUSzKAc/edit?usp=sharing"",""ประจวบคีรีขันธ์!I744"")"),100)</f>
        <v>100</v>
      </c>
      <c r="V62" s="152">
        <f ca="1">IFERROR(__xludf.DUMMYFUNCTION("IMPORTRANGE(""https://docs.google.com/spreadsheets/d/1GbCIE4D4wk9FUozzqk7SxfDMxDVBwVmI5zcaVUSzKAc/edit?usp=sharing"",""ประจวบคีรีขันธ์!J744"")"),0)</f>
        <v>0</v>
      </c>
      <c r="W62" s="216">
        <f t="shared" ca="1" si="43"/>
        <v>0</v>
      </c>
      <c r="X62" s="152">
        <f ca="1">IFERROR(__xludf.DUMMYFUNCTION("IMPORTRANGE(""https://docs.google.com/spreadsheets/d/1GbCIE4D4wk9FUozzqk7SxfDMxDVBwVmI5zcaVUSzKAc/edit?usp=sharing"",""ประจวบคีรีขันธ์!J745"")"),10)</f>
        <v>10</v>
      </c>
      <c r="Y62" s="152">
        <f ca="1">IFERROR(__xludf.DUMMYFUNCTION("IMPORTRANGE(""https://docs.google.com/spreadsheets/d/1GbCIE4D4wk9FUozzqk7SxfDMxDVBwVmI5zcaVUSzKAc/edit?usp=sharing"",""ประจวบคีรีขันธ์!I746"")"),10)</f>
        <v>10</v>
      </c>
      <c r="Z62" s="152">
        <f ca="1">IFERROR(__xludf.DUMMYFUNCTION("IMPORTRANGE(""https://docs.google.com/spreadsheets/d/1GbCIE4D4wk9FUozzqk7SxfDMxDVBwVmI5zcaVUSzKAc/edit?usp=sharing"",""ประจวบคีรีขันธ์!J746"")"),10)</f>
        <v>10</v>
      </c>
      <c r="AA62" s="216">
        <f t="shared" ca="1" si="45"/>
        <v>100</v>
      </c>
      <c r="AB62" s="152">
        <f ca="1">IFERROR(__xludf.DUMMYFUNCTION("IMPORTRANGE(""https://docs.google.com/spreadsheets/d/1GbCIE4D4wk9FUozzqk7SxfDMxDVBwVmI5zcaVUSzKAc/edit?usp=sharing"",""ประจวบคีรีขันธ์!J748"")"),9)</f>
        <v>9</v>
      </c>
      <c r="AC62" s="152">
        <f ca="1">IFERROR(__xludf.DUMMYFUNCTION("IMPORTRANGE(""https://docs.google.com/spreadsheets/d/1GbCIE4D4wk9FUozzqk7SxfDMxDVBwVmI5zcaVUSzKAc/edit?usp=sharing"",""ประจวบคีรีขันธ์!I749"")"),1)</f>
        <v>1</v>
      </c>
      <c r="AD62" s="152">
        <f ca="1">IFERROR(__xludf.DUMMYFUNCTION("IMPORTRANGE(""https://docs.google.com/spreadsheets/d/1GbCIE4D4wk9FUozzqk7SxfDMxDVBwVmI5zcaVUSzKAc/edit?usp=sharing"",""ประจวบคีรีขันธ์!J749"")"),1)</f>
        <v>1</v>
      </c>
      <c r="AE62" s="216">
        <f t="shared" ca="1" si="47"/>
        <v>100</v>
      </c>
      <c r="AF62" s="152">
        <f ca="1">IFERROR(__xludf.DUMMYFUNCTION("IMPORTRANGE(""https://docs.google.com/spreadsheets/d/1GbCIE4D4wk9FUozzqk7SxfDMxDVBwVmI5zcaVUSzKAc/edit?usp=sharing"",""ประจวบคีรีขันธ์!I752"")"),400)</f>
        <v>400</v>
      </c>
      <c r="AG62" s="152">
        <f ca="1">IFERROR(__xludf.DUMMYFUNCTION("IMPORTRANGE(""https://docs.google.com/spreadsheets/d/1GbCIE4D4wk9FUozzqk7SxfDMxDVBwVmI5zcaVUSzKAc/edit?usp=sharing"",""ประจวบคีรีขันธ์!J752"")"),400)</f>
        <v>400</v>
      </c>
      <c r="AH62" s="216">
        <f t="shared" ca="1" si="49"/>
        <v>100</v>
      </c>
      <c r="AI62" s="152">
        <f ca="1">IFERROR(__xludf.DUMMYFUNCTION("IMPORTRANGE(""https://docs.google.com/spreadsheets/d/1GbCIE4D4wk9FUozzqk7SxfDMxDVBwVmI5zcaVUSzKAc/edit?usp=sharing"",""ประจวบคีรีขันธ์!J753"")"),0)</f>
        <v>0</v>
      </c>
      <c r="AJ62" s="152">
        <f ca="1">IFERROR(__xludf.DUMMYFUNCTION("IMPORTRANGE(""https://docs.google.com/spreadsheets/d/1GbCIE4D4wk9FUozzqk7SxfDMxDVBwVmI5zcaVUSzKAc/edit?usp=sharing"",""ประจวบคีรีขันธ์!I755"")"),100)</f>
        <v>100</v>
      </c>
      <c r="AK62" s="152">
        <f ca="1">IFERROR(__xludf.DUMMYFUNCTION("IMPORTRANGE(""https://docs.google.com/spreadsheets/d/1GbCIE4D4wk9FUozzqk7SxfDMxDVBwVmI5zcaVUSzKAc/edit?usp=sharing"",""ประจวบคีรีขันธ์!J755"")"),100)</f>
        <v>100</v>
      </c>
      <c r="AL62" s="216">
        <f t="shared" ca="1" si="51"/>
        <v>100</v>
      </c>
      <c r="AM62" s="152">
        <f ca="1">IFERROR(__xludf.DUMMYFUNCTION("IMPORTRANGE(""https://docs.google.com/spreadsheets/d/1GbCIE4D4wk9FUozzqk7SxfDMxDVBwVmI5zcaVUSzKAc/edit?usp=sharing"",""ประจวบคีรีขันธ์!J756"")"),10)</f>
        <v>10</v>
      </c>
      <c r="AN62" s="152">
        <f ca="1">IFERROR(__xludf.DUMMYFUNCTION("IMPORTRANGE(""https://docs.google.com/spreadsheets/d/1GbCIE4D4wk9FUozzqk7SxfDMxDVBwVmI5zcaVUSzKAc/edit?usp=sharing"",""ประจวบคีรีขันธ์!J757"")"),1)</f>
        <v>1</v>
      </c>
    </row>
    <row r="63" spans="1:40" ht="19.5" x14ac:dyDescent="0.3">
      <c r="A63" s="147">
        <v>11</v>
      </c>
      <c r="B63" s="148" t="s">
        <v>91</v>
      </c>
      <c r="C63" s="68">
        <f ca="1">IFERROR(__xludf.DUMMYFUNCTION("IMPORTRANGE(""https://docs.google.com/spreadsheets/d/1vVf6wykvW_lAyu7Yo9L4hUTqHqIeP_qcVuxCtosJEbg/edit?usp=sharing"",""ปราจีนบุรี!Q728"")"),175994)</f>
        <v>175994</v>
      </c>
      <c r="D63" s="68">
        <f ca="1">IFERROR(__xludf.DUMMYFUNCTION("IMPORTRANGE(""https://docs.google.com/spreadsheets/d/1vVf6wykvW_lAyu7Yo9L4hUTqHqIeP_qcVuxCtosJEbg/edit?usp=sharing"",""ปราจีนบุรี!R728"")"),175994)</f>
        <v>175994</v>
      </c>
      <c r="E63" s="68">
        <f ca="1">IFERROR(__xludf.DUMMYFUNCTION("IMPORTRANGE(""https://docs.google.com/spreadsheets/d/1vVf6wykvW_lAyu7Yo9L4hUTqHqIeP_qcVuxCtosJEbg/edit?usp=sharing"",""ปราจีนบุรี!S728"")"),141250)</f>
        <v>141250</v>
      </c>
      <c r="F63" s="68">
        <f t="shared" ca="1" si="33"/>
        <v>80.258417900610254</v>
      </c>
      <c r="G63" s="68">
        <f t="shared" ca="1" si="34"/>
        <v>80.258417900610254</v>
      </c>
      <c r="H63" s="152">
        <f ca="1">IFERROR(__xludf.DUMMYFUNCTION("IMPORTRANGE(""https://docs.google.com/spreadsheets/d/1vVf6wykvW_lAyu7Yo9L4hUTqHqIeP_qcVuxCtosJEbg/edit?usp=sharing"",""ปราจีนบุรี!I726"")"),21)</f>
        <v>21</v>
      </c>
      <c r="I63" s="152">
        <f ca="1">IFERROR(__xludf.DUMMYFUNCTION("IMPORTRANGE(""https://docs.google.com/spreadsheets/d/1vVf6wykvW_lAyu7Yo9L4hUTqHqIeP_qcVuxCtosJEbg/edit?usp=sharing"",""ปราจีนบุรี!I727"")"),200)</f>
        <v>200</v>
      </c>
      <c r="J63" s="152">
        <f ca="1">IFERROR(__xludf.DUMMYFUNCTION("IMPORTRANGE(""https://docs.google.com/spreadsheets/d/1vVf6wykvW_lAyu7Yo9L4hUTqHqIeP_qcVuxCtosJEbg/edit?usp=sharing"",""ปราจีนบุรี!J726"")"),0)</f>
        <v>0</v>
      </c>
      <c r="K63" s="216">
        <f t="shared" ca="1" si="36"/>
        <v>0</v>
      </c>
      <c r="L63" s="152">
        <f ca="1">IFERROR(__xludf.DUMMYFUNCTION("IMPORTRANGE(""https://docs.google.com/spreadsheets/d/1vVf6wykvW_lAyu7Yo9L4hUTqHqIeP_qcVuxCtosJEbg/edit?usp=sharing"",""ปราจีนบุรี!J727"")"),0)</f>
        <v>0</v>
      </c>
      <c r="M63" s="216">
        <f t="shared" ca="1" si="37"/>
        <v>0</v>
      </c>
      <c r="N63" s="152">
        <f ca="1">IFERROR(__xludf.DUMMYFUNCTION("IMPORTRANGE(""https://docs.google.com/spreadsheets/d/1vVf6wykvW_lAyu7Yo9L4hUTqHqIeP_qcVuxCtosJEbg/edit?usp=sharing"",""ปราจีนบุรี!I740"")"),160)</f>
        <v>160</v>
      </c>
      <c r="O63" s="152">
        <f ca="1">IFERROR(__xludf.DUMMYFUNCTION("IMPORTRANGE(""https://docs.google.com/spreadsheets/d/1vVf6wykvW_lAyu7Yo9L4hUTqHqIeP_qcVuxCtosJEbg/edit?usp=sharing"",""ปราจีนบุรี!J740"")"),0)</f>
        <v>0</v>
      </c>
      <c r="P63" s="216">
        <f t="shared" ca="1" si="39"/>
        <v>0</v>
      </c>
      <c r="Q63" s="152">
        <f ca="1">IFERROR(__xludf.DUMMYFUNCTION("IMPORTRANGE(""https://docs.google.com/spreadsheets/d/1vVf6wykvW_lAyu7Yo9L4hUTqHqIeP_qcVuxCtosJEbg/edit?usp=sharing"",""ปราจีนบุรี!J741"")"),0)</f>
        <v>0</v>
      </c>
      <c r="R63" s="152">
        <f ca="1">IFERROR(__xludf.DUMMYFUNCTION("IMPORTRANGE(""https://docs.google.com/spreadsheets/d/1vVf6wykvW_lAyu7Yo9L4hUTqHqIeP_qcVuxCtosJEbg/edit?usp=sharing"",""ปราจีนบุรี!I742"")"),16)</f>
        <v>16</v>
      </c>
      <c r="S63" s="152">
        <f ca="1">IFERROR(__xludf.DUMMYFUNCTION("IMPORTRANGE(""https://docs.google.com/spreadsheets/d/1vVf6wykvW_lAyu7Yo9L4hUTqHqIeP_qcVuxCtosJEbg/edit?usp=sharing"",""ปราจีนบุรี!J742"")"),0)</f>
        <v>0</v>
      </c>
      <c r="T63" s="216">
        <f t="shared" ca="1" si="41"/>
        <v>0</v>
      </c>
      <c r="U63" s="152">
        <f ca="1">IFERROR(__xludf.DUMMYFUNCTION("IMPORTRANGE(""https://docs.google.com/spreadsheets/d/1vVf6wykvW_lAyu7Yo9L4hUTqHqIeP_qcVuxCtosJEbg/edit?usp=sharing"",""ปราจีนบุรี!I744"")"),40)</f>
        <v>40</v>
      </c>
      <c r="V63" s="152">
        <f ca="1">IFERROR(__xludf.DUMMYFUNCTION("IMPORTRANGE(""https://docs.google.com/spreadsheets/d/1vVf6wykvW_lAyu7Yo9L4hUTqHqIeP_qcVuxCtosJEbg/edit?usp=sharing"",""ปราจีนบุรี!J744"")"),0)</f>
        <v>0</v>
      </c>
      <c r="W63" s="216">
        <f t="shared" ca="1" si="43"/>
        <v>0</v>
      </c>
      <c r="X63" s="152">
        <f ca="1">IFERROR(__xludf.DUMMYFUNCTION("IMPORTRANGE(""https://docs.google.com/spreadsheets/d/1vVf6wykvW_lAyu7Yo9L4hUTqHqIeP_qcVuxCtosJEbg/edit?usp=sharing"",""ปราจีนบุรี!J745"")"),0)</f>
        <v>0</v>
      </c>
      <c r="Y63" s="152">
        <f ca="1">IFERROR(__xludf.DUMMYFUNCTION("IMPORTRANGE(""https://docs.google.com/spreadsheets/d/1vVf6wykvW_lAyu7Yo9L4hUTqHqIeP_qcVuxCtosJEbg/edit?usp=sharing"",""ปราจีนบุรี!I746"")"),4)</f>
        <v>4</v>
      </c>
      <c r="Z63" s="152">
        <f ca="1">IFERROR(__xludf.DUMMYFUNCTION("IMPORTRANGE(""https://docs.google.com/spreadsheets/d/1vVf6wykvW_lAyu7Yo9L4hUTqHqIeP_qcVuxCtosJEbg/edit?usp=sharing"",""ปราจีนบุรี!J746"")"),0)</f>
        <v>0</v>
      </c>
      <c r="AA63" s="216">
        <f t="shared" ca="1" si="45"/>
        <v>0</v>
      </c>
      <c r="AB63" s="152">
        <f ca="1">IFERROR(__xludf.DUMMYFUNCTION("IMPORTRANGE(""https://docs.google.com/spreadsheets/d/1vVf6wykvW_lAyu7Yo9L4hUTqHqIeP_qcVuxCtosJEbg/edit?usp=sharing"",""ปราจีนบุรี!J748"")"),0)</f>
        <v>0</v>
      </c>
      <c r="AC63" s="152">
        <f ca="1">IFERROR(__xludf.DUMMYFUNCTION("IMPORTRANGE(""https://docs.google.com/spreadsheets/d/1vVf6wykvW_lAyu7Yo9L4hUTqHqIeP_qcVuxCtosJEbg/edit?usp=sharing"",""ปราจีนบุรี!I749"")"),1)</f>
        <v>1</v>
      </c>
      <c r="AD63" s="152">
        <f ca="1">IFERROR(__xludf.DUMMYFUNCTION("IMPORTRANGE(""https://docs.google.com/spreadsheets/d/1vVf6wykvW_lAyu7Yo9L4hUTqHqIeP_qcVuxCtosJEbg/edit?usp=sharing"",""ปราจีนบุรี!J749"")"),0)</f>
        <v>0</v>
      </c>
      <c r="AE63" s="216">
        <f t="shared" ca="1" si="47"/>
        <v>0</v>
      </c>
      <c r="AF63" s="152">
        <f ca="1">IFERROR(__xludf.DUMMYFUNCTION("IMPORTRANGE(""https://docs.google.com/spreadsheets/d/1vVf6wykvW_lAyu7Yo9L4hUTqHqIeP_qcVuxCtosJEbg/edit?usp=sharing"",""ปราจีนบุรี!I752"")"),160)</f>
        <v>160</v>
      </c>
      <c r="AG63" s="152">
        <f ca="1">IFERROR(__xludf.DUMMYFUNCTION("IMPORTRANGE(""https://docs.google.com/spreadsheets/d/1vVf6wykvW_lAyu7Yo9L4hUTqHqIeP_qcVuxCtosJEbg/edit?usp=sharing"",""ปราจีนบุรี!J752"")"),0)</f>
        <v>0</v>
      </c>
      <c r="AH63" s="216">
        <f t="shared" ca="1" si="49"/>
        <v>0</v>
      </c>
      <c r="AI63" s="152">
        <f ca="1">IFERROR(__xludf.DUMMYFUNCTION("IMPORTRANGE(""https://docs.google.com/spreadsheets/d/1vVf6wykvW_lAyu7Yo9L4hUTqHqIeP_qcVuxCtosJEbg/edit?usp=sharing"",""ปราจีนบุรี!J753"")"),0)</f>
        <v>0</v>
      </c>
      <c r="AJ63" s="152">
        <f ca="1">IFERROR(__xludf.DUMMYFUNCTION("IMPORTRANGE(""https://docs.google.com/spreadsheets/d/1vVf6wykvW_lAyu7Yo9L4hUTqHqIeP_qcVuxCtosJEbg/edit?usp=sharing"",""ปราจีนบุรี!I755"")"),40)</f>
        <v>40</v>
      </c>
      <c r="AK63" s="152">
        <f ca="1">IFERROR(__xludf.DUMMYFUNCTION("IMPORTRANGE(""https://docs.google.com/spreadsheets/d/1vVf6wykvW_lAyu7Yo9L4hUTqHqIeP_qcVuxCtosJEbg/edit?usp=sharing"",""ปราจีนบุรี!J755"")"),0)</f>
        <v>0</v>
      </c>
      <c r="AL63" s="216">
        <f t="shared" ca="1" si="51"/>
        <v>0</v>
      </c>
      <c r="AM63" s="152">
        <f ca="1">IFERROR(__xludf.DUMMYFUNCTION("IMPORTRANGE(""https://docs.google.com/spreadsheets/d/1vVf6wykvW_lAyu7Yo9L4hUTqHqIeP_qcVuxCtosJEbg/edit?usp=sharing"",""ปราจีนบุรี!J756"")"),0)</f>
        <v>0</v>
      </c>
      <c r="AN63" s="152">
        <f ca="1">IFERROR(__xludf.DUMMYFUNCTION("IMPORTRANGE(""https://docs.google.com/spreadsheets/d/1vVf6wykvW_lAyu7Yo9L4hUTqHqIeP_qcVuxCtosJEbg/edit?usp=sharing"",""ปราจีนบุรี!J757"")"),0)</f>
        <v>0</v>
      </c>
    </row>
    <row r="64" spans="1:40" ht="19.5" x14ac:dyDescent="0.3">
      <c r="A64" s="147">
        <v>12</v>
      </c>
      <c r="B64" s="148" t="s">
        <v>92</v>
      </c>
      <c r="C64" s="68">
        <f ca="1">IFERROR(__xludf.DUMMYFUNCTION("IMPORTRANGE(""https://docs.google.com/spreadsheets/d/1BIDqLLg5jk3v59G8NlR8rk5xfQDKne0sAvZHSj7TI6I/edit?usp=sharing"",""พระนครศรีอยุธยา!Q728"")"),0)</f>
        <v>0</v>
      </c>
      <c r="D64" s="68">
        <f ca="1">IFERROR(__xludf.DUMMYFUNCTION("IMPORTRANGE(""https://docs.google.com/spreadsheets/d/1BIDqLLg5jk3v59G8NlR8rk5xfQDKne0sAvZHSj7TI6I/edit?usp=sharing"",""พระนครศรีอยุธยา!R728"")"),0)</f>
        <v>0</v>
      </c>
      <c r="E64" s="68">
        <f ca="1">IFERROR(__xludf.DUMMYFUNCTION("IMPORTRANGE(""https://docs.google.com/spreadsheets/d/1BIDqLLg5jk3v59G8NlR8rk5xfQDKne0sAvZHSj7TI6I/edit?usp=sharing"",""พระนครศรีอยุธยา!S728"")"),0)</f>
        <v>0</v>
      </c>
      <c r="F64" s="68">
        <f t="shared" ca="1" si="33"/>
        <v>0</v>
      </c>
      <c r="G64" s="68">
        <f t="shared" ca="1" si="34"/>
        <v>0</v>
      </c>
      <c r="H64" s="152">
        <f ca="1">IFERROR(__xludf.DUMMYFUNCTION("IMPORTRANGE(""https://docs.google.com/spreadsheets/d/1BIDqLLg5jk3v59G8NlR8rk5xfQDKne0sAvZHSj7TI6I/edit?usp=sharing"",""พระนครศรีอยุธยา!I726"")"),0)</f>
        <v>0</v>
      </c>
      <c r="I64" s="152">
        <f ca="1">IFERROR(__xludf.DUMMYFUNCTION("IMPORTRANGE(""https://docs.google.com/spreadsheets/d/1BIDqLLg5jk3v59G8NlR8rk5xfQDKne0sAvZHSj7TI6I/edit?usp=sharing"",""พระนครศรีอยุธยา!I727"")"),0)</f>
        <v>0</v>
      </c>
      <c r="J64" s="152">
        <f ca="1">IFERROR(__xludf.DUMMYFUNCTION("IMPORTRANGE(""https://docs.google.com/spreadsheets/d/1BIDqLLg5jk3v59G8NlR8rk5xfQDKne0sAvZHSj7TI6I/edit?usp=sharing"",""พระนครศรีอยุธยา!J726"")"),0)</f>
        <v>0</v>
      </c>
      <c r="K64" s="216">
        <f t="shared" ca="1" si="36"/>
        <v>0</v>
      </c>
      <c r="L64" s="152">
        <f ca="1">IFERROR(__xludf.DUMMYFUNCTION("IMPORTRANGE(""https://docs.google.com/spreadsheets/d/1BIDqLLg5jk3v59G8NlR8rk5xfQDKne0sAvZHSj7TI6I/edit?usp=sharing"",""พระนครศรีอยุธยา!J727"")"),0)</f>
        <v>0</v>
      </c>
      <c r="M64" s="216">
        <f t="shared" ca="1" si="37"/>
        <v>0</v>
      </c>
      <c r="N64" s="152">
        <f ca="1">IFERROR(__xludf.DUMMYFUNCTION("IMPORTRANGE(""https://docs.google.com/spreadsheets/d/1BIDqLLg5jk3v59G8NlR8rk5xfQDKne0sAvZHSj7TI6I/edit?usp=sharing"",""พระนครศรีอยุธยา!I740"")"),0)</f>
        <v>0</v>
      </c>
      <c r="O64" s="152">
        <f ca="1">IFERROR(__xludf.DUMMYFUNCTION("IMPORTRANGE(""https://docs.google.com/spreadsheets/d/1BIDqLLg5jk3v59G8NlR8rk5xfQDKne0sAvZHSj7TI6I/edit?usp=sharing"",""พระนครศรีอยุธยา!J740"")"),0)</f>
        <v>0</v>
      </c>
      <c r="P64" s="216">
        <f t="shared" ca="1" si="39"/>
        <v>0</v>
      </c>
      <c r="Q64" s="152">
        <f ca="1">IFERROR(__xludf.DUMMYFUNCTION("IMPORTRANGE(""https://docs.google.com/spreadsheets/d/1BIDqLLg5jk3v59G8NlR8rk5xfQDKne0sAvZHSj7TI6I/edit?usp=sharing"",""พระนครศรีอยุธยา!J741"")"),0)</f>
        <v>0</v>
      </c>
      <c r="R64" s="152">
        <f ca="1">IFERROR(__xludf.DUMMYFUNCTION("IMPORTRANGE(""https://docs.google.com/spreadsheets/d/1BIDqLLg5jk3v59G8NlR8rk5xfQDKne0sAvZHSj7TI6I/edit?usp=sharing"",""พระนครศรีอยุธยา!I742"")"),0)</f>
        <v>0</v>
      </c>
      <c r="S64" s="152">
        <f ca="1">IFERROR(__xludf.DUMMYFUNCTION("IMPORTRANGE(""https://docs.google.com/spreadsheets/d/1BIDqLLg5jk3v59G8NlR8rk5xfQDKne0sAvZHSj7TI6I/edit?usp=sharing"",""พระนครศรีอยุธยา!J742"")"),0)</f>
        <v>0</v>
      </c>
      <c r="T64" s="216">
        <f t="shared" ca="1" si="41"/>
        <v>0</v>
      </c>
      <c r="U64" s="152">
        <f ca="1">IFERROR(__xludf.DUMMYFUNCTION("IMPORTRANGE(""https://docs.google.com/spreadsheets/d/1BIDqLLg5jk3v59G8NlR8rk5xfQDKne0sAvZHSj7TI6I/edit?usp=sharing"",""พระนครศรีอยุธยา!I744"")"),0)</f>
        <v>0</v>
      </c>
      <c r="V64" s="152">
        <f ca="1">IFERROR(__xludf.DUMMYFUNCTION("IMPORTRANGE(""https://docs.google.com/spreadsheets/d/1BIDqLLg5jk3v59G8NlR8rk5xfQDKne0sAvZHSj7TI6I/edit?usp=sharing"",""พระนครศรีอยุธยา!J744"")"),0)</f>
        <v>0</v>
      </c>
      <c r="W64" s="216">
        <f t="shared" ca="1" si="43"/>
        <v>0</v>
      </c>
      <c r="X64" s="152">
        <f ca="1">IFERROR(__xludf.DUMMYFUNCTION("IMPORTRANGE(""https://docs.google.com/spreadsheets/d/1BIDqLLg5jk3v59G8NlR8rk5xfQDKne0sAvZHSj7TI6I/edit?usp=sharing"",""พระนครศรีอยุธยา!J745"")"),0)</f>
        <v>0</v>
      </c>
      <c r="Y64" s="152">
        <f ca="1">IFERROR(__xludf.DUMMYFUNCTION("IMPORTRANGE(""https://docs.google.com/spreadsheets/d/1BIDqLLg5jk3v59G8NlR8rk5xfQDKne0sAvZHSj7TI6I/edit?usp=sharing"",""พระนครศรีอยุธยา!I746"")"),0)</f>
        <v>0</v>
      </c>
      <c r="Z64" s="152">
        <f ca="1">IFERROR(__xludf.DUMMYFUNCTION("IMPORTRANGE(""https://docs.google.com/spreadsheets/d/1BIDqLLg5jk3v59G8NlR8rk5xfQDKne0sAvZHSj7TI6I/edit?usp=sharing"",""พระนครศรีอยุธยา!J746"")"),0)</f>
        <v>0</v>
      </c>
      <c r="AA64" s="216">
        <f t="shared" ca="1" si="45"/>
        <v>0</v>
      </c>
      <c r="AB64" s="152">
        <f ca="1">IFERROR(__xludf.DUMMYFUNCTION("IMPORTRANGE(""https://docs.google.com/spreadsheets/d/1BIDqLLg5jk3v59G8NlR8rk5xfQDKne0sAvZHSj7TI6I/edit?usp=sharing"",""พระนครศรีอยุธยา!J748"")"),0)</f>
        <v>0</v>
      </c>
      <c r="AC64" s="152">
        <f ca="1">IFERROR(__xludf.DUMMYFUNCTION("IMPORTRANGE(""https://docs.google.com/spreadsheets/d/1BIDqLLg5jk3v59G8NlR8rk5xfQDKne0sAvZHSj7TI6I/edit?usp=sharing"",""พระนครศรีอยุธยา!I749"")"),0)</f>
        <v>0</v>
      </c>
      <c r="AD64" s="152">
        <f ca="1">IFERROR(__xludf.DUMMYFUNCTION("IMPORTRANGE(""https://docs.google.com/spreadsheets/d/1BIDqLLg5jk3v59G8NlR8rk5xfQDKne0sAvZHSj7TI6I/edit?usp=sharing"",""พระนครศรีอยุธยา!J749"")"),0)</f>
        <v>0</v>
      </c>
      <c r="AE64" s="216">
        <f t="shared" ca="1" si="47"/>
        <v>0</v>
      </c>
      <c r="AF64" s="152">
        <f ca="1">IFERROR(__xludf.DUMMYFUNCTION("IMPORTRANGE(""https://docs.google.com/spreadsheets/d/1BIDqLLg5jk3v59G8NlR8rk5xfQDKne0sAvZHSj7TI6I/edit?usp=sharing"",""พระนครศรีอยุธยา!I752"")"),0)</f>
        <v>0</v>
      </c>
      <c r="AG64" s="152">
        <f ca="1">IFERROR(__xludf.DUMMYFUNCTION("IMPORTRANGE(""https://docs.google.com/spreadsheets/d/1BIDqLLg5jk3v59G8NlR8rk5xfQDKne0sAvZHSj7TI6I/edit?usp=sharing"",""พระนครศรีอยุธยา!J752"")"),0)</f>
        <v>0</v>
      </c>
      <c r="AH64" s="216">
        <f t="shared" ca="1" si="49"/>
        <v>0</v>
      </c>
      <c r="AI64" s="152">
        <f ca="1">IFERROR(__xludf.DUMMYFUNCTION("IMPORTRANGE(""https://docs.google.com/spreadsheets/d/1BIDqLLg5jk3v59G8NlR8rk5xfQDKne0sAvZHSj7TI6I/edit?usp=sharing"",""พระนครศรีอยุธยา!J753"")"),0)</f>
        <v>0</v>
      </c>
      <c r="AJ64" s="152">
        <f ca="1">IFERROR(__xludf.DUMMYFUNCTION("IMPORTRANGE(""https://docs.google.com/spreadsheets/d/1BIDqLLg5jk3v59G8NlR8rk5xfQDKne0sAvZHSj7TI6I/edit?usp=sharing"",""พระนครศรีอยุธยา!I755"")"),0)</f>
        <v>0</v>
      </c>
      <c r="AK64" s="152">
        <f ca="1">IFERROR(__xludf.DUMMYFUNCTION("IMPORTRANGE(""https://docs.google.com/spreadsheets/d/1BIDqLLg5jk3v59G8NlR8rk5xfQDKne0sAvZHSj7TI6I/edit?usp=sharing"",""พระนครศรีอยุธยา!J755"")"),0)</f>
        <v>0</v>
      </c>
      <c r="AL64" s="216">
        <f t="shared" ca="1" si="51"/>
        <v>0</v>
      </c>
      <c r="AM64" s="152">
        <f ca="1">IFERROR(__xludf.DUMMYFUNCTION("IMPORTRANGE(""https://docs.google.com/spreadsheets/d/1BIDqLLg5jk3v59G8NlR8rk5xfQDKne0sAvZHSj7TI6I/edit?usp=sharing"",""พระนครศรีอยุธยา!J756"")"),0)</f>
        <v>0</v>
      </c>
      <c r="AN64" s="152">
        <f ca="1">IFERROR(__xludf.DUMMYFUNCTION("IMPORTRANGE(""https://docs.google.com/spreadsheets/d/1BIDqLLg5jk3v59G8NlR8rk5xfQDKne0sAvZHSj7TI6I/edit?usp=sharing"",""พระนครศรีอยุธยา!J757"")"),0)</f>
        <v>0</v>
      </c>
    </row>
    <row r="65" spans="1:40" ht="19.5" x14ac:dyDescent="0.3">
      <c r="A65" s="147">
        <v>13</v>
      </c>
      <c r="B65" s="148" t="s">
        <v>93</v>
      </c>
      <c r="C65" s="68">
        <f ca="1">IFERROR(__xludf.DUMMYFUNCTION("IMPORTRANGE(""https://docs.google.com/spreadsheets/d/1YXvxf8Yu6_rV4hTBrwMqAcAnv6DfhUxh5emyM3CJp_w/edit?usp=sharing"",""เพชรบุรี!Q728"")"),111642)</f>
        <v>111642</v>
      </c>
      <c r="D65" s="68">
        <f ca="1">IFERROR(__xludf.DUMMYFUNCTION("IMPORTRANGE(""https://docs.google.com/spreadsheets/d/1YXvxf8Yu6_rV4hTBrwMqAcAnv6DfhUxh5emyM3CJp_w/edit?usp=sharing"",""เพชรบุรี!R728"")"),111642)</f>
        <v>111642</v>
      </c>
      <c r="E65" s="68">
        <f ca="1">IFERROR(__xludf.DUMMYFUNCTION("IMPORTRANGE(""https://docs.google.com/spreadsheets/d/1YXvxf8Yu6_rV4hTBrwMqAcAnv6DfhUxh5emyM3CJp_w/edit?usp=sharing"",""เพชรบุรี!S728"")"),80480)</f>
        <v>80480</v>
      </c>
      <c r="F65" s="68">
        <f t="shared" ca="1" si="33"/>
        <v>72.087565611508211</v>
      </c>
      <c r="G65" s="68">
        <f t="shared" ca="1" si="34"/>
        <v>72.087565611508211</v>
      </c>
      <c r="H65" s="152">
        <f ca="1">IFERROR(__xludf.DUMMYFUNCTION("IMPORTRANGE(""https://docs.google.com/spreadsheets/d/1YXvxf8Yu6_rV4hTBrwMqAcAnv6DfhUxh5emyM3CJp_w/edit?usp=sharing"",""เพชรบุรี!I726"")"),11)</f>
        <v>11</v>
      </c>
      <c r="I65" s="152">
        <f ca="1">IFERROR(__xludf.DUMMYFUNCTION("IMPORTRANGE(""https://docs.google.com/spreadsheets/d/1YXvxf8Yu6_rV4hTBrwMqAcAnv6DfhUxh5emyM3CJp_w/edit?usp=sharing"",""เพชรบุรี!I727"")"),100)</f>
        <v>100</v>
      </c>
      <c r="J65" s="152">
        <f ca="1">IFERROR(__xludf.DUMMYFUNCTION("IMPORTRANGE(""https://docs.google.com/spreadsheets/d/1YXvxf8Yu6_rV4hTBrwMqAcAnv6DfhUxh5emyM3CJp_w/edit?usp=sharing"",""เพชรบุรี!J726"")"),12)</f>
        <v>12</v>
      </c>
      <c r="K65" s="216">
        <f t="shared" ca="1" si="36"/>
        <v>109.09090909090909</v>
      </c>
      <c r="L65" s="152">
        <f ca="1">IFERROR(__xludf.DUMMYFUNCTION("IMPORTRANGE(""https://docs.google.com/spreadsheets/d/1YXvxf8Yu6_rV4hTBrwMqAcAnv6DfhUxh5emyM3CJp_w/edit?usp=sharing"",""เพชรบุรี!J727"")"),100)</f>
        <v>100</v>
      </c>
      <c r="M65" s="216">
        <f t="shared" ca="1" si="37"/>
        <v>100</v>
      </c>
      <c r="N65" s="152">
        <f ca="1">IFERROR(__xludf.DUMMYFUNCTION("IMPORTRANGE(""https://docs.google.com/spreadsheets/d/1YXvxf8Yu6_rV4hTBrwMqAcAnv6DfhUxh5emyM3CJp_w/edit?usp=sharing"",""เพชรบุรี!I740"")"),80)</f>
        <v>80</v>
      </c>
      <c r="O65" s="152">
        <f ca="1">IFERROR(__xludf.DUMMYFUNCTION("IMPORTRANGE(""https://docs.google.com/spreadsheets/d/1YXvxf8Yu6_rV4hTBrwMqAcAnv6DfhUxh5emyM3CJp_w/edit?usp=sharing"",""เพชรบุรี!J740"")"),0)</f>
        <v>0</v>
      </c>
      <c r="P65" s="216">
        <f t="shared" ca="1" si="39"/>
        <v>0</v>
      </c>
      <c r="Q65" s="152">
        <f ca="1">IFERROR(__xludf.DUMMYFUNCTION("IMPORTRANGE(""https://docs.google.com/spreadsheets/d/1YXvxf8Yu6_rV4hTBrwMqAcAnv6DfhUxh5emyM3CJp_w/edit?usp=sharing"",""เพชรบุรี!J741"")"),0)</f>
        <v>0</v>
      </c>
      <c r="R65" s="152">
        <f ca="1">IFERROR(__xludf.DUMMYFUNCTION("IMPORTRANGE(""https://docs.google.com/spreadsheets/d/1YXvxf8Yu6_rV4hTBrwMqAcAnv6DfhUxh5emyM3CJp_w/edit?usp=sharing"",""เพชรบุรี!I742"")"),8)</f>
        <v>8</v>
      </c>
      <c r="S65" s="152">
        <f ca="1">IFERROR(__xludf.DUMMYFUNCTION("IMPORTRANGE(""https://docs.google.com/spreadsheets/d/1YXvxf8Yu6_rV4hTBrwMqAcAnv6DfhUxh5emyM3CJp_w/edit?usp=sharing"",""เพชรบุรี!J742"")"),9)</f>
        <v>9</v>
      </c>
      <c r="T65" s="216">
        <f t="shared" ca="1" si="41"/>
        <v>112.5</v>
      </c>
      <c r="U65" s="152">
        <f ca="1">IFERROR(__xludf.DUMMYFUNCTION("IMPORTRANGE(""https://docs.google.com/spreadsheets/d/1YXvxf8Yu6_rV4hTBrwMqAcAnv6DfhUxh5emyM3CJp_w/edit?usp=sharing"",""เพชรบุรี!I744"")"),20)</f>
        <v>20</v>
      </c>
      <c r="V65" s="644">
        <f ca="1">IFERROR(__xludf.DUMMYFUNCTION("IMPORTRANGE(""https://docs.google.com/spreadsheets/d/1YXvxf8Yu6_rV4hTBrwMqAcAnv6DfhUxh5emyM3CJp_w/edit?usp=sharing"",""เพชรบุรี!J744"")"),0)</f>
        <v>0</v>
      </c>
      <c r="W65" s="216">
        <f t="shared" ca="1" si="43"/>
        <v>0</v>
      </c>
      <c r="X65" s="152">
        <f ca="1">IFERROR(__xludf.DUMMYFUNCTION("IMPORTRANGE(""https://docs.google.com/spreadsheets/d/1YXvxf8Yu6_rV4hTBrwMqAcAnv6DfhUxh5emyM3CJp_w/edit?usp=sharing"",""เพชรบุรี!J745"")"),0)</f>
        <v>0</v>
      </c>
      <c r="Y65" s="152">
        <f ca="1">IFERROR(__xludf.DUMMYFUNCTION("IMPORTRANGE(""https://docs.google.com/spreadsheets/d/1YXvxf8Yu6_rV4hTBrwMqAcAnv6DfhUxh5emyM3CJp_w/edit?usp=sharing"",""เพชรบุรี!I746"")"),2)</f>
        <v>2</v>
      </c>
      <c r="Z65" s="152">
        <f ca="1">IFERROR(__xludf.DUMMYFUNCTION("IMPORTRANGE(""https://docs.google.com/spreadsheets/d/1YXvxf8Yu6_rV4hTBrwMqAcAnv6DfhUxh5emyM3CJp_w/edit?usp=sharing"",""เพชรบุรี!J746"")"),2)</f>
        <v>2</v>
      </c>
      <c r="AA65" s="216">
        <f t="shared" ca="1" si="45"/>
        <v>100</v>
      </c>
      <c r="AB65" s="152">
        <f ca="1">IFERROR(__xludf.DUMMYFUNCTION("IMPORTRANGE(""https://docs.google.com/spreadsheets/d/1YXvxf8Yu6_rV4hTBrwMqAcAnv6DfhUxh5emyM3CJp_w/edit?usp=sharing"",""เพชรบุรี!J748"")"),0)</f>
        <v>0</v>
      </c>
      <c r="AC65" s="152">
        <f ca="1">IFERROR(__xludf.DUMMYFUNCTION("IMPORTRANGE(""https://docs.google.com/spreadsheets/d/1YXvxf8Yu6_rV4hTBrwMqAcAnv6DfhUxh5emyM3CJp_w/edit?usp=sharing"",""เพชรบุรี!I749"")"),1)</f>
        <v>1</v>
      </c>
      <c r="AD65" s="152">
        <f ca="1">IFERROR(__xludf.DUMMYFUNCTION("IMPORTRANGE(""https://docs.google.com/spreadsheets/d/1YXvxf8Yu6_rV4hTBrwMqAcAnv6DfhUxh5emyM3CJp_w/edit?usp=sharing"",""เพชรบุรี!J749"")"),1)</f>
        <v>1</v>
      </c>
      <c r="AE65" s="216">
        <f t="shared" ca="1" si="47"/>
        <v>100</v>
      </c>
      <c r="AF65" s="152">
        <f ca="1">IFERROR(__xludf.DUMMYFUNCTION("IMPORTRANGE(""https://docs.google.com/spreadsheets/d/1YXvxf8Yu6_rV4hTBrwMqAcAnv6DfhUxh5emyM3CJp_w/edit?usp=sharing"",""เพชรบุรี!I752"")"),80)</f>
        <v>80</v>
      </c>
      <c r="AG65" s="152">
        <f ca="1">IFERROR(__xludf.DUMMYFUNCTION("IMPORTRANGE(""https://docs.google.com/spreadsheets/d/1YXvxf8Yu6_rV4hTBrwMqAcAnv6DfhUxh5emyM3CJp_w/edit?usp=sharing"",""เพชรบุรี!J752"")"),81)</f>
        <v>81</v>
      </c>
      <c r="AH65" s="216">
        <f t="shared" ca="1" si="49"/>
        <v>101.25</v>
      </c>
      <c r="AI65" s="152">
        <f ca="1">IFERROR(__xludf.DUMMYFUNCTION("IMPORTRANGE(""https://docs.google.com/spreadsheets/d/1YXvxf8Yu6_rV4hTBrwMqAcAnv6DfhUxh5emyM3CJp_w/edit?usp=sharing"",""เพชรบุรี!J753"")"),0)</f>
        <v>0</v>
      </c>
      <c r="AJ65" s="152">
        <f ca="1">IFERROR(__xludf.DUMMYFUNCTION("IMPORTRANGE(""https://docs.google.com/spreadsheets/d/1YXvxf8Yu6_rV4hTBrwMqAcAnv6DfhUxh5emyM3CJp_w/edit?usp=sharing"",""เพชรบุรี!I755"")"),20)</f>
        <v>20</v>
      </c>
      <c r="AK65" s="152">
        <f ca="1">IFERROR(__xludf.DUMMYFUNCTION("IMPORTRANGE(""https://docs.google.com/spreadsheets/d/1YXvxf8Yu6_rV4hTBrwMqAcAnv6DfhUxh5emyM3CJp_w/edit?usp=sharing"",""เพชรบุรี!J755"")"),19)</f>
        <v>19</v>
      </c>
      <c r="AL65" s="216">
        <f t="shared" ca="1" si="51"/>
        <v>95</v>
      </c>
      <c r="AM65" s="152">
        <f ca="1">IFERROR(__xludf.DUMMYFUNCTION("IMPORTRANGE(""https://docs.google.com/spreadsheets/d/1YXvxf8Yu6_rV4hTBrwMqAcAnv6DfhUxh5emyM3CJp_w/edit?usp=sharing"",""เพชรบุรี!J756"")"),0)</f>
        <v>0</v>
      </c>
      <c r="AN65" s="152">
        <f ca="1">IFERROR(__xludf.DUMMYFUNCTION("IMPORTRANGE(""https://docs.google.com/spreadsheets/d/1YXvxf8Yu6_rV4hTBrwMqAcAnv6DfhUxh5emyM3CJp_w/edit?usp=sharing"",""เพชรบุรี!J757"")"),1)</f>
        <v>1</v>
      </c>
    </row>
    <row r="66" spans="1:40" ht="19.5" x14ac:dyDescent="0.3">
      <c r="A66" s="147">
        <v>14</v>
      </c>
      <c r="B66" s="148" t="s">
        <v>94</v>
      </c>
      <c r="C66" s="68">
        <f ca="1">IFERROR(__xludf.DUMMYFUNCTION("IMPORTRANGE(""https://docs.google.com/spreadsheets/d/19KBlQQs7uwvsao6t2n-KvW3Ax8J8uRRfZPq1zPbXgKc/edit?usp=sharing"",""ระยอง!Q728"")"),79606)</f>
        <v>79606</v>
      </c>
      <c r="D66" s="68">
        <f ca="1">IFERROR(__xludf.DUMMYFUNCTION("IMPORTRANGE(""https://docs.google.com/spreadsheets/d/19KBlQQs7uwvsao6t2n-KvW3Ax8J8uRRfZPq1zPbXgKc/edit?usp=sharing"",""ระยอง!R728"")"),79606)</f>
        <v>79606</v>
      </c>
      <c r="E66" s="68">
        <f ca="1">IFERROR(__xludf.DUMMYFUNCTION("IMPORTRANGE(""https://docs.google.com/spreadsheets/d/19KBlQQs7uwvsao6t2n-KvW3Ax8J8uRRfZPq1zPbXgKc/edit?usp=sharing"",""ระยอง!S728"")"),61006)</f>
        <v>61006</v>
      </c>
      <c r="F66" s="68">
        <f t="shared" ca="1" si="33"/>
        <v>76.634927015551597</v>
      </c>
      <c r="G66" s="68">
        <f t="shared" ca="1" si="34"/>
        <v>76.634927015551597</v>
      </c>
      <c r="H66" s="152">
        <f ca="1">IFERROR(__xludf.DUMMYFUNCTION("IMPORTRANGE(""https://docs.google.com/spreadsheets/d/19KBlQQs7uwvsao6t2n-KvW3Ax8J8uRRfZPq1zPbXgKc/edit?usp=sharing"",""ระยอง!I726"")"),6)</f>
        <v>6</v>
      </c>
      <c r="I66" s="152">
        <f ca="1">IFERROR(__xludf.DUMMYFUNCTION("IMPORTRANGE(""https://docs.google.com/spreadsheets/d/19KBlQQs7uwvsao6t2n-KvW3Ax8J8uRRfZPq1zPbXgKc/edit?usp=sharing"",""ระยอง!I727"")"),50)</f>
        <v>50</v>
      </c>
      <c r="J66" s="152">
        <f ca="1">IFERROR(__xludf.DUMMYFUNCTION("IMPORTRANGE(""https://docs.google.com/spreadsheets/d/19KBlQQs7uwvsao6t2n-KvW3Ax8J8uRRfZPq1zPbXgKc/edit?usp=sharing"",""ระยอง!J726"")"),6)</f>
        <v>6</v>
      </c>
      <c r="K66" s="216">
        <f t="shared" ca="1" si="36"/>
        <v>100</v>
      </c>
      <c r="L66" s="152">
        <f ca="1">IFERROR(__xludf.DUMMYFUNCTION("IMPORTRANGE(""https://docs.google.com/spreadsheets/d/19KBlQQs7uwvsao6t2n-KvW3Ax8J8uRRfZPq1zPbXgKc/edit?usp=sharing"",""ระยอง!J727"")"),50)</f>
        <v>50</v>
      </c>
      <c r="M66" s="216">
        <f t="shared" ca="1" si="37"/>
        <v>100</v>
      </c>
      <c r="N66" s="152">
        <f ca="1">IFERROR(__xludf.DUMMYFUNCTION("IMPORTRANGE(""https://docs.google.com/spreadsheets/d/19KBlQQs7uwvsao6t2n-KvW3Ax8J8uRRfZPq1zPbXgKc/edit?usp=sharing"",""ระยอง!I740"")"),40)</f>
        <v>40</v>
      </c>
      <c r="O66" s="152">
        <f ca="1">IFERROR(__xludf.DUMMYFUNCTION("IMPORTRANGE(""https://docs.google.com/spreadsheets/d/19KBlQQs7uwvsao6t2n-KvW3Ax8J8uRRfZPq1zPbXgKc/edit?usp=sharing"",""ระยอง!J740"")"),40)</f>
        <v>40</v>
      </c>
      <c r="P66" s="216">
        <f t="shared" ca="1" si="39"/>
        <v>100</v>
      </c>
      <c r="Q66" s="152">
        <f ca="1">IFERROR(__xludf.DUMMYFUNCTION("IMPORTRANGE(""https://docs.google.com/spreadsheets/d/19KBlQQs7uwvsao6t2n-KvW3Ax8J8uRRfZPq1zPbXgKc/edit?usp=sharing"",""ระยอง!J741"")"),4)</f>
        <v>4</v>
      </c>
      <c r="R66" s="152">
        <f ca="1">IFERROR(__xludf.DUMMYFUNCTION("IMPORTRANGE(""https://docs.google.com/spreadsheets/d/19KBlQQs7uwvsao6t2n-KvW3Ax8J8uRRfZPq1zPbXgKc/edit?usp=sharing"",""ระยอง!I742"")"),4)</f>
        <v>4</v>
      </c>
      <c r="S66" s="152">
        <f ca="1">IFERROR(__xludf.DUMMYFUNCTION("IMPORTRANGE(""https://docs.google.com/spreadsheets/d/19KBlQQs7uwvsao6t2n-KvW3Ax8J8uRRfZPq1zPbXgKc/edit?usp=sharing"",""ระยอง!J742"")"),4)</f>
        <v>4</v>
      </c>
      <c r="T66" s="216">
        <f t="shared" ca="1" si="41"/>
        <v>100</v>
      </c>
      <c r="U66" s="152">
        <f ca="1">IFERROR(__xludf.DUMMYFUNCTION("IMPORTRANGE(""https://docs.google.com/spreadsheets/d/19KBlQQs7uwvsao6t2n-KvW3Ax8J8uRRfZPq1zPbXgKc/edit?usp=sharing"",""ระยอง!I744"")"),10)</f>
        <v>10</v>
      </c>
      <c r="V66" s="152">
        <f ca="1">IFERROR(__xludf.DUMMYFUNCTION("IMPORTRANGE(""https://docs.google.com/spreadsheets/d/19KBlQQs7uwvsao6t2n-KvW3Ax8J8uRRfZPq1zPbXgKc/edit?usp=sharing"",""ระยอง!J744"")"),10)</f>
        <v>10</v>
      </c>
      <c r="W66" s="216">
        <f t="shared" ca="1" si="43"/>
        <v>100</v>
      </c>
      <c r="X66" s="152">
        <f ca="1">IFERROR(__xludf.DUMMYFUNCTION("IMPORTRANGE(""https://docs.google.com/spreadsheets/d/19KBlQQs7uwvsao6t2n-KvW3Ax8J8uRRfZPq1zPbXgKc/edit?usp=sharing"",""ระยอง!J745"")"),1)</f>
        <v>1</v>
      </c>
      <c r="Y66" s="152">
        <f ca="1">IFERROR(__xludf.DUMMYFUNCTION("IMPORTRANGE(""https://docs.google.com/spreadsheets/d/19KBlQQs7uwvsao6t2n-KvW3Ax8J8uRRfZPq1zPbXgKc/edit?usp=sharing"",""ระยอง!I746"")"),1)</f>
        <v>1</v>
      </c>
      <c r="Z66" s="152">
        <f ca="1">IFERROR(__xludf.DUMMYFUNCTION("IMPORTRANGE(""https://docs.google.com/spreadsheets/d/19KBlQQs7uwvsao6t2n-KvW3Ax8J8uRRfZPq1zPbXgKc/edit?usp=sharing"",""ระยอง!J746"")"),1)</f>
        <v>1</v>
      </c>
      <c r="AA66" s="216">
        <f t="shared" ca="1" si="45"/>
        <v>100</v>
      </c>
      <c r="AB66" s="152">
        <f ca="1">IFERROR(__xludf.DUMMYFUNCTION("IMPORTRANGE(""https://docs.google.com/spreadsheets/d/19KBlQQs7uwvsao6t2n-KvW3Ax8J8uRRfZPq1zPbXgKc/edit?usp=sharing"",""ระยอง!J748"")"),1)</f>
        <v>1</v>
      </c>
      <c r="AC66" s="152">
        <f ca="1">IFERROR(__xludf.DUMMYFUNCTION("IMPORTRANGE(""https://docs.google.com/spreadsheets/d/19KBlQQs7uwvsao6t2n-KvW3Ax8J8uRRfZPq1zPbXgKc/edit?usp=sharing"",""ระยอง!I749"")"),1)</f>
        <v>1</v>
      </c>
      <c r="AD66" s="152">
        <f ca="1">IFERROR(__xludf.DUMMYFUNCTION("IMPORTRANGE(""https://docs.google.com/spreadsheets/d/19KBlQQs7uwvsao6t2n-KvW3Ax8J8uRRfZPq1zPbXgKc/edit?usp=sharing"",""ระยอง!J749"")"),1)</f>
        <v>1</v>
      </c>
      <c r="AE66" s="216">
        <f t="shared" ca="1" si="47"/>
        <v>100</v>
      </c>
      <c r="AF66" s="152">
        <f ca="1">IFERROR(__xludf.DUMMYFUNCTION("IMPORTRANGE(""https://docs.google.com/spreadsheets/d/19KBlQQs7uwvsao6t2n-KvW3Ax8J8uRRfZPq1zPbXgKc/edit?usp=sharing"",""ระยอง!I752"")"),40)</f>
        <v>40</v>
      </c>
      <c r="AG66" s="152">
        <f ca="1">IFERROR(__xludf.DUMMYFUNCTION("IMPORTRANGE(""https://docs.google.com/spreadsheets/d/19KBlQQs7uwvsao6t2n-KvW3Ax8J8uRRfZPq1zPbXgKc/edit?usp=sharing"",""ระยอง!J752"")"),40)</f>
        <v>40</v>
      </c>
      <c r="AH66" s="216">
        <f t="shared" ca="1" si="49"/>
        <v>100</v>
      </c>
      <c r="AI66" s="152">
        <f ca="1">IFERROR(__xludf.DUMMYFUNCTION("IMPORTRANGE(""https://docs.google.com/spreadsheets/d/19KBlQQs7uwvsao6t2n-KvW3Ax8J8uRRfZPq1zPbXgKc/edit?usp=sharing"",""ระยอง!J753"")"),40)</f>
        <v>40</v>
      </c>
      <c r="AJ66" s="152">
        <f ca="1">IFERROR(__xludf.DUMMYFUNCTION("IMPORTRANGE(""https://docs.google.com/spreadsheets/d/19KBlQQs7uwvsao6t2n-KvW3Ax8J8uRRfZPq1zPbXgKc/edit?usp=sharing"",""ระยอง!I755"")"),10)</f>
        <v>10</v>
      </c>
      <c r="AK66" s="152">
        <f ca="1">IFERROR(__xludf.DUMMYFUNCTION("IMPORTRANGE(""https://docs.google.com/spreadsheets/d/19KBlQQs7uwvsao6t2n-KvW3Ax8J8uRRfZPq1zPbXgKc/edit?usp=sharing"",""ระยอง!J755"")"),10)</f>
        <v>10</v>
      </c>
      <c r="AL66" s="216">
        <f t="shared" ca="1" si="51"/>
        <v>100</v>
      </c>
      <c r="AM66" s="152">
        <f ca="1">IFERROR(__xludf.DUMMYFUNCTION("IMPORTRANGE(""https://docs.google.com/spreadsheets/d/19KBlQQs7uwvsao6t2n-KvW3Ax8J8uRRfZPq1zPbXgKc/edit?usp=sharing"",""ระยอง!J756"")"),1)</f>
        <v>1</v>
      </c>
      <c r="AN66" s="152">
        <f ca="1">IFERROR(__xludf.DUMMYFUNCTION("IMPORTRANGE(""https://docs.google.com/spreadsheets/d/19KBlQQs7uwvsao6t2n-KvW3Ax8J8uRRfZPq1zPbXgKc/edit?usp=sharing"",""ระยอง!J757"")"),1)</f>
        <v>1</v>
      </c>
    </row>
    <row r="67" spans="1:40" ht="19.5" x14ac:dyDescent="0.3">
      <c r="A67" s="147">
        <v>15</v>
      </c>
      <c r="B67" s="148" t="s">
        <v>95</v>
      </c>
      <c r="C67" s="68">
        <f ca="1">IFERROR(__xludf.DUMMYFUNCTION("IMPORTRANGE(""https://docs.google.com/spreadsheets/d/1jQ6P4QcrGM89YfqcC_PxOHGCMq5ezhucwJd8ci-NHng/edit?usp=sharing"",""ราชบุรี!Q728"")"),242546)</f>
        <v>242546</v>
      </c>
      <c r="D67" s="68">
        <f ca="1">IFERROR(__xludf.DUMMYFUNCTION("IMPORTRANGE(""https://docs.google.com/spreadsheets/d/1jQ6P4QcrGM89YfqcC_PxOHGCMq5ezhucwJd8ci-NHng/edit?usp=sharing"",""ราชบุรี!R728"")"),242546)</f>
        <v>242546</v>
      </c>
      <c r="E67" s="68">
        <f ca="1">IFERROR(__xludf.DUMMYFUNCTION("IMPORTRANGE(""https://docs.google.com/spreadsheets/d/1jQ6P4QcrGM89YfqcC_PxOHGCMq5ezhucwJd8ci-NHng/edit?usp=sharing"",""ราชบุรี!S728"")"),205554)</f>
        <v>205554</v>
      </c>
      <c r="F67" s="68">
        <f t="shared" ca="1" si="33"/>
        <v>84.748460085921849</v>
      </c>
      <c r="G67" s="68">
        <f t="shared" ca="1" si="34"/>
        <v>84.748460085921849</v>
      </c>
      <c r="H67" s="152">
        <f ca="1">IFERROR(__xludf.DUMMYFUNCTION("IMPORTRANGE(""https://docs.google.com/spreadsheets/d/1jQ6P4QcrGM89YfqcC_PxOHGCMq5ezhucwJd8ci-NHng/edit?usp=sharing"",""ราชบุรี!I726"")"),31)</f>
        <v>31</v>
      </c>
      <c r="I67" s="152">
        <f ca="1">IFERROR(__xludf.DUMMYFUNCTION("IMPORTRANGE(""https://docs.google.com/spreadsheets/d/1jQ6P4QcrGM89YfqcC_PxOHGCMq5ezhucwJd8ci-NHng/edit?usp=sharing"",""ราชบุรี!I727"")"),300)</f>
        <v>300</v>
      </c>
      <c r="J67" s="152">
        <f ca="1">IFERROR(__xludf.DUMMYFUNCTION("IMPORTRANGE(""https://docs.google.com/spreadsheets/d/1jQ6P4QcrGM89YfqcC_PxOHGCMq5ezhucwJd8ci-NHng/edit?usp=sharing"",""ราชบุรี!J726"")"),31)</f>
        <v>31</v>
      </c>
      <c r="K67" s="216">
        <f t="shared" ca="1" si="36"/>
        <v>100</v>
      </c>
      <c r="L67" s="152">
        <f ca="1">IFERROR(__xludf.DUMMYFUNCTION("IMPORTRANGE(""https://docs.google.com/spreadsheets/d/1jQ6P4QcrGM89YfqcC_PxOHGCMq5ezhucwJd8ci-NHng/edit?usp=sharing"",""ราชบุรี!J727"")"),300)</f>
        <v>300</v>
      </c>
      <c r="M67" s="216">
        <f t="shared" ca="1" si="37"/>
        <v>100</v>
      </c>
      <c r="N67" s="152">
        <f ca="1">IFERROR(__xludf.DUMMYFUNCTION("IMPORTRANGE(""https://docs.google.com/spreadsheets/d/1jQ6P4QcrGM89YfqcC_PxOHGCMq5ezhucwJd8ci-NHng/edit?usp=sharing"",""ราชบุรี!I740"")"),240)</f>
        <v>240</v>
      </c>
      <c r="O67" s="152">
        <f ca="1">IFERROR(__xludf.DUMMYFUNCTION("IMPORTRANGE(""https://docs.google.com/spreadsheets/d/1jQ6P4QcrGM89YfqcC_PxOHGCMq5ezhucwJd8ci-NHng/edit?usp=sharing"",""ราชบุรี!J740"")"),240)</f>
        <v>240</v>
      </c>
      <c r="P67" s="216">
        <f t="shared" ca="1" si="39"/>
        <v>100</v>
      </c>
      <c r="Q67" s="152">
        <f ca="1">IFERROR(__xludf.DUMMYFUNCTION("IMPORTRANGE(""https://docs.google.com/spreadsheets/d/1jQ6P4QcrGM89YfqcC_PxOHGCMq5ezhucwJd8ci-NHng/edit?usp=sharing"",""ราชบุรี!J741"")"),30)</f>
        <v>30</v>
      </c>
      <c r="R67" s="152">
        <f ca="1">IFERROR(__xludf.DUMMYFUNCTION("IMPORTRANGE(""https://docs.google.com/spreadsheets/d/1jQ6P4QcrGM89YfqcC_PxOHGCMq5ezhucwJd8ci-NHng/edit?usp=sharing"",""ราชบุรี!I742"")"),24)</f>
        <v>24</v>
      </c>
      <c r="S67" s="152">
        <f ca="1">IFERROR(__xludf.DUMMYFUNCTION("IMPORTRANGE(""https://docs.google.com/spreadsheets/d/1jQ6P4QcrGM89YfqcC_PxOHGCMq5ezhucwJd8ci-NHng/edit?usp=sharing"",""ราชบุรี!J742"")"),24)</f>
        <v>24</v>
      </c>
      <c r="T67" s="216">
        <f t="shared" ca="1" si="41"/>
        <v>100</v>
      </c>
      <c r="U67" s="152">
        <f ca="1">IFERROR(__xludf.DUMMYFUNCTION("IMPORTRANGE(""https://docs.google.com/spreadsheets/d/1jQ6P4QcrGM89YfqcC_PxOHGCMq5ezhucwJd8ci-NHng/edit?usp=sharing"",""ราชบุรี!I744"")"),60)</f>
        <v>60</v>
      </c>
      <c r="V67" s="152">
        <f ca="1">IFERROR(__xludf.DUMMYFUNCTION("IMPORTRANGE(""https://docs.google.com/spreadsheets/d/1jQ6P4QcrGM89YfqcC_PxOHGCMq5ezhucwJd8ci-NHng/edit?usp=sharing"",""ราชบุรี!J744"")"),60)</f>
        <v>60</v>
      </c>
      <c r="W67" s="216">
        <f t="shared" ca="1" si="43"/>
        <v>100</v>
      </c>
      <c r="X67" s="152">
        <f ca="1">IFERROR(__xludf.DUMMYFUNCTION("IMPORTRANGE(""https://docs.google.com/spreadsheets/d/1jQ6P4QcrGM89YfqcC_PxOHGCMq5ezhucwJd8ci-NHng/edit?usp=sharing"",""ราชบุรี!J745"")"),6)</f>
        <v>6</v>
      </c>
      <c r="Y67" s="152">
        <f ca="1">IFERROR(__xludf.DUMMYFUNCTION("IMPORTRANGE(""https://docs.google.com/spreadsheets/d/1jQ6P4QcrGM89YfqcC_PxOHGCMq5ezhucwJd8ci-NHng/edit?usp=sharing"",""ราชบุรี!I746"")"),6)</f>
        <v>6</v>
      </c>
      <c r="Z67" s="152">
        <f ca="1">IFERROR(__xludf.DUMMYFUNCTION("IMPORTRANGE(""https://docs.google.com/spreadsheets/d/1jQ6P4QcrGM89YfqcC_PxOHGCMq5ezhucwJd8ci-NHng/edit?usp=sharing"",""ราชบุรี!J746"")"),6)</f>
        <v>6</v>
      </c>
      <c r="AA67" s="216">
        <f t="shared" ca="1" si="45"/>
        <v>100</v>
      </c>
      <c r="AB67" s="152">
        <f ca="1">IFERROR(__xludf.DUMMYFUNCTION("IMPORTRANGE(""https://docs.google.com/spreadsheets/d/1jQ6P4QcrGM89YfqcC_PxOHGCMq5ezhucwJd8ci-NHng/edit?usp=sharing"",""ราชบุรี!J748"")"),7)</f>
        <v>7</v>
      </c>
      <c r="AC67" s="152">
        <f ca="1">IFERROR(__xludf.DUMMYFUNCTION("IMPORTRANGE(""https://docs.google.com/spreadsheets/d/1jQ6P4QcrGM89YfqcC_PxOHGCMq5ezhucwJd8ci-NHng/edit?usp=sharing"",""ราชบุรี!I749"")"),1)</f>
        <v>1</v>
      </c>
      <c r="AD67" s="152">
        <f ca="1">IFERROR(__xludf.DUMMYFUNCTION("IMPORTRANGE(""https://docs.google.com/spreadsheets/d/1jQ6P4QcrGM89YfqcC_PxOHGCMq5ezhucwJd8ci-NHng/edit?usp=sharing"",""ราชบุรี!J749"")"),1)</f>
        <v>1</v>
      </c>
      <c r="AE67" s="216">
        <f t="shared" ca="1" si="47"/>
        <v>100</v>
      </c>
      <c r="AF67" s="152">
        <f ca="1">IFERROR(__xludf.DUMMYFUNCTION("IMPORTRANGE(""https://docs.google.com/spreadsheets/d/1jQ6P4QcrGM89YfqcC_PxOHGCMq5ezhucwJd8ci-NHng/edit?usp=sharing"",""ราชบุรี!I752"")"),240)</f>
        <v>240</v>
      </c>
      <c r="AG67" s="152">
        <f ca="1">IFERROR(__xludf.DUMMYFUNCTION("IMPORTRANGE(""https://docs.google.com/spreadsheets/d/1jQ6P4QcrGM89YfqcC_PxOHGCMq5ezhucwJd8ci-NHng/edit?usp=sharing"",""ราชบุรี!J752"")"),240)</f>
        <v>240</v>
      </c>
      <c r="AH67" s="216">
        <f t="shared" ca="1" si="49"/>
        <v>100</v>
      </c>
      <c r="AI67" s="152">
        <f ca="1">IFERROR(__xludf.DUMMYFUNCTION("IMPORTRANGE(""https://docs.google.com/spreadsheets/d/1jQ6P4QcrGM89YfqcC_PxOHGCMq5ezhucwJd8ci-NHng/edit?usp=sharing"",""ราชบุรี!J753"")"),24)</f>
        <v>24</v>
      </c>
      <c r="AJ67" s="152">
        <f ca="1">IFERROR(__xludf.DUMMYFUNCTION("IMPORTRANGE(""https://docs.google.com/spreadsheets/d/1jQ6P4QcrGM89YfqcC_PxOHGCMq5ezhucwJd8ci-NHng/edit?usp=sharing"",""ราชบุรี!I755"")"),60)</f>
        <v>60</v>
      </c>
      <c r="AK67" s="152">
        <f ca="1">IFERROR(__xludf.DUMMYFUNCTION("IMPORTRANGE(""https://docs.google.com/spreadsheets/d/1jQ6P4QcrGM89YfqcC_PxOHGCMq5ezhucwJd8ci-NHng/edit?usp=sharing"",""ราชบุรี!J755"")"),60)</f>
        <v>60</v>
      </c>
      <c r="AL67" s="216">
        <f t="shared" ca="1" si="51"/>
        <v>100</v>
      </c>
      <c r="AM67" s="152">
        <f ca="1">IFERROR(__xludf.DUMMYFUNCTION("IMPORTRANGE(""https://docs.google.com/spreadsheets/d/1jQ6P4QcrGM89YfqcC_PxOHGCMq5ezhucwJd8ci-NHng/edit?usp=sharing"",""ราชบุรี!J756"")"),6)</f>
        <v>6</v>
      </c>
      <c r="AN67" s="152">
        <f ca="1">IFERROR(__xludf.DUMMYFUNCTION("IMPORTRANGE(""https://docs.google.com/spreadsheets/d/1jQ6P4QcrGM89YfqcC_PxOHGCMq5ezhucwJd8ci-NHng/edit?usp=sharing"",""ราชบุรี!J757"")"),0)</f>
        <v>0</v>
      </c>
    </row>
    <row r="68" spans="1:40" ht="19.5" x14ac:dyDescent="0.3">
      <c r="A68" s="147">
        <v>16</v>
      </c>
      <c r="B68" s="148" t="s">
        <v>96</v>
      </c>
      <c r="C68" s="68">
        <f ca="1">IFERROR(__xludf.DUMMYFUNCTION("IMPORTRANGE(""https://docs.google.com/spreadsheets/d/1lufeA2cfFqM-elVq2hznhDzC6Pr7wkJ9ZG_sYNGCMCU/edit?usp=sharing"",""ลพบุรี!Q728"")"),1008470)</f>
        <v>1008470</v>
      </c>
      <c r="D68" s="68">
        <f ca="1">IFERROR(__xludf.DUMMYFUNCTION("IMPORTRANGE(""https://docs.google.com/spreadsheets/d/1lufeA2cfFqM-elVq2hznhDzC6Pr7wkJ9ZG_sYNGCMCU/edit?usp=sharing"",""ลพบุรี!R728"")"),1008470)</f>
        <v>1008470</v>
      </c>
      <c r="E68" s="68">
        <f ca="1">IFERROR(__xludf.DUMMYFUNCTION("IMPORTRANGE(""https://docs.google.com/spreadsheets/d/1lufeA2cfFqM-elVq2hznhDzC6Pr7wkJ9ZG_sYNGCMCU/edit?usp=sharing"",""ลพบุรี!S728"")"),308950)</f>
        <v>308950</v>
      </c>
      <c r="F68" s="68">
        <f t="shared" ca="1" si="33"/>
        <v>30.63551716957371</v>
      </c>
      <c r="G68" s="68">
        <f t="shared" ca="1" si="34"/>
        <v>30.63551716957371</v>
      </c>
      <c r="H68" s="152">
        <f ca="1">IFERROR(__xludf.DUMMYFUNCTION("IMPORTRANGE(""https://docs.google.com/spreadsheets/d/1lufeA2cfFqM-elVq2hznhDzC6Pr7wkJ9ZG_sYNGCMCU/edit?usp=sharing"",""ลพบุรี!I726"")"),128)</f>
        <v>128</v>
      </c>
      <c r="I68" s="152">
        <f ca="1">IFERROR(__xludf.DUMMYFUNCTION("IMPORTRANGE(""https://docs.google.com/spreadsheets/d/1lufeA2cfFqM-elVq2hznhDzC6Pr7wkJ9ZG_sYNGCMCU/edit?usp=sharing"",""ลพบุรี!I727"")"),1250)</f>
        <v>1250</v>
      </c>
      <c r="J68" s="152">
        <f ca="1">IFERROR(__xludf.DUMMYFUNCTION("IMPORTRANGE(""https://docs.google.com/spreadsheets/d/1lufeA2cfFqM-elVq2hznhDzC6Pr7wkJ9ZG_sYNGCMCU/edit?usp=sharing"",""ลพบุรี!J726"")"),128)</f>
        <v>128</v>
      </c>
      <c r="K68" s="216">
        <f t="shared" ca="1" si="36"/>
        <v>100</v>
      </c>
      <c r="L68" s="152">
        <f ca="1">IFERROR(__xludf.DUMMYFUNCTION("IMPORTRANGE(""https://docs.google.com/spreadsheets/d/1lufeA2cfFqM-elVq2hznhDzC6Pr7wkJ9ZG_sYNGCMCU/edit?usp=sharing"",""ลพบุรี!J727"")"),0)</f>
        <v>0</v>
      </c>
      <c r="M68" s="216">
        <f t="shared" ca="1" si="37"/>
        <v>0</v>
      </c>
      <c r="N68" s="152">
        <f ca="1">IFERROR(__xludf.DUMMYFUNCTION("IMPORTRANGE(""https://docs.google.com/spreadsheets/d/1lufeA2cfFqM-elVq2hznhDzC6Pr7wkJ9ZG_sYNGCMCU/edit?usp=sharing"",""ลพบุรี!I740"")"),1000)</f>
        <v>1000</v>
      </c>
      <c r="O68" s="152">
        <f ca="1">IFERROR(__xludf.DUMMYFUNCTION("IMPORTRANGE(""https://docs.google.com/spreadsheets/d/1lufeA2cfFqM-elVq2hznhDzC6Pr7wkJ9ZG_sYNGCMCU/edit?usp=sharing"",""ลพบุรี!J740"")"),1000)</f>
        <v>1000</v>
      </c>
      <c r="P68" s="216">
        <f t="shared" ca="1" si="39"/>
        <v>100</v>
      </c>
      <c r="Q68" s="152">
        <f ca="1">IFERROR(__xludf.DUMMYFUNCTION("IMPORTRANGE(""https://docs.google.com/spreadsheets/d/1lufeA2cfFqM-elVq2hznhDzC6Pr7wkJ9ZG_sYNGCMCU/edit?usp=sharing"",""ลพบุรี!J741"")"),0)</f>
        <v>0</v>
      </c>
      <c r="R68" s="152">
        <f ca="1">IFERROR(__xludf.DUMMYFUNCTION("IMPORTRANGE(""https://docs.google.com/spreadsheets/d/1lufeA2cfFqM-elVq2hznhDzC6Pr7wkJ9ZG_sYNGCMCU/edit?usp=sharing"",""ลพบุรี!I742"")"),100)</f>
        <v>100</v>
      </c>
      <c r="S68" s="152">
        <f ca="1">IFERROR(__xludf.DUMMYFUNCTION("IMPORTRANGE(""https://docs.google.com/spreadsheets/d/1lufeA2cfFqM-elVq2hznhDzC6Pr7wkJ9ZG_sYNGCMCU/edit?usp=sharing"",""ลพบุรี!J742"")"),100)</f>
        <v>100</v>
      </c>
      <c r="T68" s="216">
        <f t="shared" ca="1" si="41"/>
        <v>100</v>
      </c>
      <c r="U68" s="152">
        <f ca="1">IFERROR(__xludf.DUMMYFUNCTION("IMPORTRANGE(""https://docs.google.com/spreadsheets/d/1lufeA2cfFqM-elVq2hznhDzC6Pr7wkJ9ZG_sYNGCMCU/edit?usp=sharing"",""ลพบุรี!I744"")"),250)</f>
        <v>250</v>
      </c>
      <c r="V68" s="152">
        <f ca="1">IFERROR(__xludf.DUMMYFUNCTION("IMPORTRANGE(""https://docs.google.com/spreadsheets/d/1lufeA2cfFqM-elVq2hznhDzC6Pr7wkJ9ZG_sYNGCMCU/edit?usp=sharing"",""ลพบุรี!J744"")"),250)</f>
        <v>250</v>
      </c>
      <c r="W68" s="216">
        <f t="shared" ca="1" si="43"/>
        <v>100</v>
      </c>
      <c r="X68" s="152">
        <f ca="1">IFERROR(__xludf.DUMMYFUNCTION("IMPORTRANGE(""https://docs.google.com/spreadsheets/d/1lufeA2cfFqM-elVq2hznhDzC6Pr7wkJ9ZG_sYNGCMCU/edit?usp=sharing"",""ลพบุรี!J745"")"),0)</f>
        <v>0</v>
      </c>
      <c r="Y68" s="152">
        <f ca="1">IFERROR(__xludf.DUMMYFUNCTION("IMPORTRANGE(""https://docs.google.com/spreadsheets/d/1lufeA2cfFqM-elVq2hznhDzC6Pr7wkJ9ZG_sYNGCMCU/edit?usp=sharing"",""ลพบุรี!I746"")"),25)</f>
        <v>25</v>
      </c>
      <c r="Z68" s="152">
        <f ca="1">IFERROR(__xludf.DUMMYFUNCTION("IMPORTRANGE(""https://docs.google.com/spreadsheets/d/1lufeA2cfFqM-elVq2hznhDzC6Pr7wkJ9ZG_sYNGCMCU/edit?usp=sharing"",""ลพบุรี!J746"")"),25)</f>
        <v>25</v>
      </c>
      <c r="AA68" s="216">
        <f t="shared" ca="1" si="45"/>
        <v>100</v>
      </c>
      <c r="AB68" s="152">
        <f ca="1">IFERROR(__xludf.DUMMYFUNCTION("IMPORTRANGE(""https://docs.google.com/spreadsheets/d/1lufeA2cfFqM-elVq2hznhDzC6Pr7wkJ9ZG_sYNGCMCU/edit?usp=sharing"",""ลพบุรี!J748"")"),0)</f>
        <v>0</v>
      </c>
      <c r="AC68" s="152">
        <f ca="1">IFERROR(__xludf.DUMMYFUNCTION("IMPORTRANGE(""https://docs.google.com/spreadsheets/d/1lufeA2cfFqM-elVq2hznhDzC6Pr7wkJ9ZG_sYNGCMCU/edit?usp=sharing"",""ลพบุรี!I749"")"),3)</f>
        <v>3</v>
      </c>
      <c r="AD68" s="152">
        <f ca="1">IFERROR(__xludf.DUMMYFUNCTION("IMPORTRANGE(""https://docs.google.com/spreadsheets/d/1lufeA2cfFqM-elVq2hznhDzC6Pr7wkJ9ZG_sYNGCMCU/edit?usp=sharing"",""ลพบุรี!J749"")"),3)</f>
        <v>3</v>
      </c>
      <c r="AE68" s="216">
        <f t="shared" ca="1" si="47"/>
        <v>100</v>
      </c>
      <c r="AF68" s="152">
        <f ca="1">IFERROR(__xludf.DUMMYFUNCTION("IMPORTRANGE(""https://docs.google.com/spreadsheets/d/1lufeA2cfFqM-elVq2hznhDzC6Pr7wkJ9ZG_sYNGCMCU/edit?usp=sharing"",""ลพบุรี!I752"")"),1000)</f>
        <v>1000</v>
      </c>
      <c r="AG68" s="152">
        <f ca="1">IFERROR(__xludf.DUMMYFUNCTION("IMPORTRANGE(""https://docs.google.com/spreadsheets/d/1lufeA2cfFqM-elVq2hznhDzC6Pr7wkJ9ZG_sYNGCMCU/edit?usp=sharing"",""ลพบุรี!J752"")"),0)</f>
        <v>0</v>
      </c>
      <c r="AH68" s="216">
        <f t="shared" ca="1" si="49"/>
        <v>0</v>
      </c>
      <c r="AI68" s="152">
        <f ca="1">IFERROR(__xludf.DUMMYFUNCTION("IMPORTRANGE(""https://docs.google.com/spreadsheets/d/1lufeA2cfFqM-elVq2hznhDzC6Pr7wkJ9ZG_sYNGCMCU/edit?usp=sharing"",""ลพบุรี!J753"")"),0)</f>
        <v>0</v>
      </c>
      <c r="AJ68" s="152">
        <f ca="1">IFERROR(__xludf.DUMMYFUNCTION("IMPORTRANGE(""https://docs.google.com/spreadsheets/d/1lufeA2cfFqM-elVq2hznhDzC6Pr7wkJ9ZG_sYNGCMCU/edit?usp=sharing"",""ลพบุรี!I755"")"),250)</f>
        <v>250</v>
      </c>
      <c r="AK68" s="152">
        <f ca="1">IFERROR(__xludf.DUMMYFUNCTION("IMPORTRANGE(""https://docs.google.com/spreadsheets/d/1lufeA2cfFqM-elVq2hznhDzC6Pr7wkJ9ZG_sYNGCMCU/edit?usp=sharing"",""ลพบุรี!J755"")"),0)</f>
        <v>0</v>
      </c>
      <c r="AL68" s="216">
        <f t="shared" ca="1" si="51"/>
        <v>0</v>
      </c>
      <c r="AM68" s="152">
        <f ca="1">IFERROR(__xludf.DUMMYFUNCTION("IMPORTRANGE(""https://docs.google.com/spreadsheets/d/1lufeA2cfFqM-elVq2hznhDzC6Pr7wkJ9ZG_sYNGCMCU/edit?usp=sharing"",""ลพบุรี!J756"")"),0)</f>
        <v>0</v>
      </c>
      <c r="AN68" s="152">
        <f ca="1">IFERROR(__xludf.DUMMYFUNCTION("IMPORTRANGE(""https://docs.google.com/spreadsheets/d/1lufeA2cfFqM-elVq2hznhDzC6Pr7wkJ9ZG_sYNGCMCU/edit?usp=sharing"",""ลพบุรี!J757"")"),0)</f>
        <v>0</v>
      </c>
    </row>
    <row r="69" spans="1:40" ht="19.5" x14ac:dyDescent="0.3">
      <c r="A69" s="147">
        <v>17</v>
      </c>
      <c r="B69" s="148" t="s">
        <v>97</v>
      </c>
      <c r="C69" s="68">
        <f ca="1">IFERROR(__xludf.DUMMYFUNCTION("IMPORTRANGE(""https://docs.google.com/spreadsheets/d/10oOiF7loTyfsTkbd4MpaIm0HQ9SwB7IYHdIUvt-U1Uc/edit?usp=sharing"",""สระแก้ว!Q728"")"),391730)</f>
        <v>391730</v>
      </c>
      <c r="D69" s="68">
        <f ca="1">IFERROR(__xludf.DUMMYFUNCTION("IMPORTRANGE(""https://docs.google.com/spreadsheets/d/10oOiF7loTyfsTkbd4MpaIm0HQ9SwB7IYHdIUvt-U1Uc/edit?usp=sharing"",""สระแก้ว!R728"")"),391730)</f>
        <v>391730</v>
      </c>
      <c r="E69" s="68">
        <f ca="1">IFERROR(__xludf.DUMMYFUNCTION("IMPORTRANGE(""https://docs.google.com/spreadsheets/d/10oOiF7loTyfsTkbd4MpaIm0HQ9SwB7IYHdIUvt-U1Uc/edit?usp=sharing"",""สระแก้ว!S728"")"),327770)</f>
        <v>327770</v>
      </c>
      <c r="F69" s="68">
        <f t="shared" ca="1" si="33"/>
        <v>83.672427437265469</v>
      </c>
      <c r="G69" s="68">
        <f t="shared" ca="1" si="34"/>
        <v>83.672427437265469</v>
      </c>
      <c r="H69" s="152">
        <f ca="1">IFERROR(__xludf.DUMMYFUNCTION("IMPORTRANGE(""https://docs.google.com/spreadsheets/d/10oOiF7loTyfsTkbd4MpaIm0HQ9SwB7IYHdIUvt-U1Uc/edit?usp=sharing"",""สระแก้ว!I726"")"),52)</f>
        <v>52</v>
      </c>
      <c r="I69" s="152">
        <f ca="1">IFERROR(__xludf.DUMMYFUNCTION("IMPORTRANGE(""https://docs.google.com/spreadsheets/d/10oOiF7loTyfsTkbd4MpaIm0HQ9SwB7IYHdIUvt-U1Uc/edit?usp=sharing"",""สระแก้ว!I727"")"),500)</f>
        <v>500</v>
      </c>
      <c r="J69" s="152">
        <f ca="1">IFERROR(__xludf.DUMMYFUNCTION("IMPORTRANGE(""https://docs.google.com/spreadsheets/d/10oOiF7loTyfsTkbd4MpaIm0HQ9SwB7IYHdIUvt-U1Uc/edit?usp=sharing"",""สระแก้ว!J726"")"),52)</f>
        <v>52</v>
      </c>
      <c r="K69" s="216">
        <f t="shared" ca="1" si="36"/>
        <v>100</v>
      </c>
      <c r="L69" s="152">
        <f ca="1">IFERROR(__xludf.DUMMYFUNCTION("IMPORTRANGE(""https://docs.google.com/spreadsheets/d/10oOiF7loTyfsTkbd4MpaIm0HQ9SwB7IYHdIUvt-U1Uc/edit?usp=sharing"",""สระแก้ว!J727"")"),500)</f>
        <v>500</v>
      </c>
      <c r="M69" s="216">
        <f t="shared" ca="1" si="37"/>
        <v>100</v>
      </c>
      <c r="N69" s="152">
        <f ca="1">IFERROR(__xludf.DUMMYFUNCTION("IMPORTRANGE(""https://docs.google.com/spreadsheets/d/10oOiF7loTyfsTkbd4MpaIm0HQ9SwB7IYHdIUvt-U1Uc/edit?usp=sharing"",""สระแก้ว!I740"")"),400)</f>
        <v>400</v>
      </c>
      <c r="O69" s="152">
        <f ca="1">IFERROR(__xludf.DUMMYFUNCTION("IMPORTRANGE(""https://docs.google.com/spreadsheets/d/10oOiF7loTyfsTkbd4MpaIm0HQ9SwB7IYHdIUvt-U1Uc/edit?usp=sharing"",""สระแก้ว!J740"")"),400)</f>
        <v>400</v>
      </c>
      <c r="P69" s="216">
        <f t="shared" ca="1" si="39"/>
        <v>100</v>
      </c>
      <c r="Q69" s="152">
        <f ca="1">IFERROR(__xludf.DUMMYFUNCTION("IMPORTRANGE(""https://docs.google.com/spreadsheets/d/10oOiF7loTyfsTkbd4MpaIm0HQ9SwB7IYHdIUvt-U1Uc/edit?usp=sharing"",""สระแก้ว!J741"")"),0)</f>
        <v>0</v>
      </c>
      <c r="R69" s="152">
        <f ca="1">IFERROR(__xludf.DUMMYFUNCTION("IMPORTRANGE(""https://docs.google.com/spreadsheets/d/10oOiF7loTyfsTkbd4MpaIm0HQ9SwB7IYHdIUvt-U1Uc/edit?usp=sharing"",""สระแก้ว!I742"")"),40)</f>
        <v>40</v>
      </c>
      <c r="S69" s="152">
        <f ca="1">IFERROR(__xludf.DUMMYFUNCTION("IMPORTRANGE(""https://docs.google.com/spreadsheets/d/10oOiF7loTyfsTkbd4MpaIm0HQ9SwB7IYHdIUvt-U1Uc/edit?usp=sharing"",""สระแก้ว!J742"")"),40)</f>
        <v>40</v>
      </c>
      <c r="T69" s="216">
        <f t="shared" ca="1" si="41"/>
        <v>100</v>
      </c>
      <c r="U69" s="152">
        <f ca="1">IFERROR(__xludf.DUMMYFUNCTION("IMPORTRANGE(""https://docs.google.com/spreadsheets/d/10oOiF7loTyfsTkbd4MpaIm0HQ9SwB7IYHdIUvt-U1Uc/edit?usp=sharing"",""สระแก้ว!I744"")"),100)</f>
        <v>100</v>
      </c>
      <c r="V69" s="152">
        <f ca="1">IFERROR(__xludf.DUMMYFUNCTION("IMPORTRANGE(""https://docs.google.com/spreadsheets/d/10oOiF7loTyfsTkbd4MpaIm0HQ9SwB7IYHdIUvt-U1Uc/edit?usp=sharing"",""สระแก้ว!J744"")"),100)</f>
        <v>100</v>
      </c>
      <c r="W69" s="216">
        <f t="shared" ca="1" si="43"/>
        <v>100</v>
      </c>
      <c r="X69" s="152">
        <f ca="1">IFERROR(__xludf.DUMMYFUNCTION("IMPORTRANGE(""https://docs.google.com/spreadsheets/d/10oOiF7loTyfsTkbd4MpaIm0HQ9SwB7IYHdIUvt-U1Uc/edit?usp=sharing"",""สระแก้ว!J745"")"),0)</f>
        <v>0</v>
      </c>
      <c r="Y69" s="152">
        <f ca="1">IFERROR(__xludf.DUMMYFUNCTION("IMPORTRANGE(""https://docs.google.com/spreadsheets/d/10oOiF7loTyfsTkbd4MpaIm0HQ9SwB7IYHdIUvt-U1Uc/edit?usp=sharing"",""สระแก้ว!I746"")"),10)</f>
        <v>10</v>
      </c>
      <c r="Z69" s="152">
        <f ca="1">IFERROR(__xludf.DUMMYFUNCTION("IMPORTRANGE(""https://docs.google.com/spreadsheets/d/10oOiF7loTyfsTkbd4MpaIm0HQ9SwB7IYHdIUvt-U1Uc/edit?usp=sharing"",""สระแก้ว!J746"")"),10)</f>
        <v>10</v>
      </c>
      <c r="AA69" s="216">
        <f t="shared" ca="1" si="45"/>
        <v>100</v>
      </c>
      <c r="AB69" s="152">
        <f ca="1">IFERROR(__xludf.DUMMYFUNCTION("IMPORTRANGE(""https://docs.google.com/spreadsheets/d/10oOiF7loTyfsTkbd4MpaIm0HQ9SwB7IYHdIUvt-U1Uc/edit?usp=sharing"",""สระแก้ว!J748"")"),0)</f>
        <v>0</v>
      </c>
      <c r="AC69" s="152">
        <f ca="1">IFERROR(__xludf.DUMMYFUNCTION("IMPORTRANGE(""https://docs.google.com/spreadsheets/d/10oOiF7loTyfsTkbd4MpaIm0HQ9SwB7IYHdIUvt-U1Uc/edit?usp=sharing"",""สระแก้ว!I749"")"),2)</f>
        <v>2</v>
      </c>
      <c r="AD69" s="152">
        <f ca="1">IFERROR(__xludf.DUMMYFUNCTION("IMPORTRANGE(""https://docs.google.com/spreadsheets/d/10oOiF7loTyfsTkbd4MpaIm0HQ9SwB7IYHdIUvt-U1Uc/edit?usp=sharing"",""สระแก้ว!J749"")"),2)</f>
        <v>2</v>
      </c>
      <c r="AE69" s="216">
        <f t="shared" ca="1" si="47"/>
        <v>100</v>
      </c>
      <c r="AF69" s="152">
        <f ca="1">IFERROR(__xludf.DUMMYFUNCTION("IMPORTRANGE(""https://docs.google.com/spreadsheets/d/10oOiF7loTyfsTkbd4MpaIm0HQ9SwB7IYHdIUvt-U1Uc/edit?usp=sharing"",""สระแก้ว!I752"")"),400)</f>
        <v>400</v>
      </c>
      <c r="AG69" s="152">
        <f ca="1">IFERROR(__xludf.DUMMYFUNCTION("IMPORTRANGE(""https://docs.google.com/spreadsheets/d/10oOiF7loTyfsTkbd4MpaIm0HQ9SwB7IYHdIUvt-U1Uc/edit?usp=sharing"",""สระแก้ว!J752"")"),400)</f>
        <v>400</v>
      </c>
      <c r="AH69" s="216">
        <f t="shared" ca="1" si="49"/>
        <v>100</v>
      </c>
      <c r="AI69" s="152">
        <f ca="1">IFERROR(__xludf.DUMMYFUNCTION("IMPORTRANGE(""https://docs.google.com/spreadsheets/d/10oOiF7loTyfsTkbd4MpaIm0HQ9SwB7IYHdIUvt-U1Uc/edit?usp=sharing"",""สระแก้ว!J753"")"),0)</f>
        <v>0</v>
      </c>
      <c r="AJ69" s="152">
        <f ca="1">IFERROR(__xludf.DUMMYFUNCTION("IMPORTRANGE(""https://docs.google.com/spreadsheets/d/10oOiF7loTyfsTkbd4MpaIm0HQ9SwB7IYHdIUvt-U1Uc/edit?usp=sharing"",""สระแก้ว!I755"")"),100)</f>
        <v>100</v>
      </c>
      <c r="AK69" s="152">
        <f ca="1">IFERROR(__xludf.DUMMYFUNCTION("IMPORTRANGE(""https://docs.google.com/spreadsheets/d/10oOiF7loTyfsTkbd4MpaIm0HQ9SwB7IYHdIUvt-U1Uc/edit?usp=sharing"",""สระแก้ว!J755"")"),100)</f>
        <v>100</v>
      </c>
      <c r="AL69" s="216">
        <f t="shared" ca="1" si="51"/>
        <v>100</v>
      </c>
      <c r="AM69" s="152">
        <f ca="1">IFERROR(__xludf.DUMMYFUNCTION("IMPORTRANGE(""https://docs.google.com/spreadsheets/d/10oOiF7loTyfsTkbd4MpaIm0HQ9SwB7IYHdIUvt-U1Uc/edit?usp=sharing"",""สระแก้ว!J756"")"),0)</f>
        <v>0</v>
      </c>
      <c r="AN69" s="152">
        <f ca="1">IFERROR(__xludf.DUMMYFUNCTION("IMPORTRANGE(""https://docs.google.com/spreadsheets/d/10oOiF7loTyfsTkbd4MpaIm0HQ9SwB7IYHdIUvt-U1Uc/edit?usp=sharing"",""สระแก้ว!J757"")"),2)</f>
        <v>2</v>
      </c>
    </row>
    <row r="70" spans="1:40" ht="19.5" x14ac:dyDescent="0.3">
      <c r="A70" s="147">
        <v>18</v>
      </c>
      <c r="B70" s="148" t="s">
        <v>98</v>
      </c>
      <c r="C70" s="68">
        <f ca="1">IFERROR(__xludf.DUMMYFUNCTION("IMPORTRANGE(""https://docs.google.com/spreadsheets/d/1xmPlrr1QbdSIKvl1dWUl9K4PjAfSL9oeMr_37QVzcxc/edit?usp=sharing"",""สระบุรี!Q728"")"),111882)</f>
        <v>111882</v>
      </c>
      <c r="D70" s="68">
        <f ca="1">IFERROR(__xludf.DUMMYFUNCTION("IMPORTRANGE(""https://docs.google.com/spreadsheets/d/1xmPlrr1QbdSIKvl1dWUl9K4PjAfSL9oeMr_37QVzcxc/edit?usp=sharing"",""สระบุรี!R728"")"),111882)</f>
        <v>111882</v>
      </c>
      <c r="E70" s="68">
        <f ca="1">IFERROR(__xludf.DUMMYFUNCTION("IMPORTRANGE(""https://docs.google.com/spreadsheets/d/1xmPlrr1QbdSIKvl1dWUl9K4PjAfSL9oeMr_37QVzcxc/edit?usp=sharing"",""สระบุรี!S728"")"),86480)</f>
        <v>86480</v>
      </c>
      <c r="F70" s="68">
        <f t="shared" ca="1" si="33"/>
        <v>77.295722278829487</v>
      </c>
      <c r="G70" s="68">
        <f t="shared" ca="1" si="34"/>
        <v>77.295722278829487</v>
      </c>
      <c r="H70" s="152">
        <f ca="1">IFERROR(__xludf.DUMMYFUNCTION("IMPORTRANGE(""https://docs.google.com/spreadsheets/d/1xmPlrr1QbdSIKvl1dWUl9K4PjAfSL9oeMr_37QVzcxc/edit?usp=sharing"",""สระบุรี!I726"")"),11)</f>
        <v>11</v>
      </c>
      <c r="I70" s="152">
        <f ca="1">IFERROR(__xludf.DUMMYFUNCTION("IMPORTRANGE(""https://docs.google.com/spreadsheets/d/1xmPlrr1QbdSIKvl1dWUl9K4PjAfSL9oeMr_37QVzcxc/edit?usp=sharing"",""สระบุรี!I727"")"),100)</f>
        <v>100</v>
      </c>
      <c r="J70" s="152">
        <f ca="1">IFERROR(__xludf.DUMMYFUNCTION("IMPORTRANGE(""https://docs.google.com/spreadsheets/d/1xmPlrr1QbdSIKvl1dWUl9K4PjAfSL9oeMr_37QVzcxc/edit?usp=sharing"",""สระบุรี!J726"")"),11)</f>
        <v>11</v>
      </c>
      <c r="K70" s="216">
        <f t="shared" ca="1" si="36"/>
        <v>100</v>
      </c>
      <c r="L70" s="152">
        <f ca="1">IFERROR(__xludf.DUMMYFUNCTION("IMPORTRANGE(""https://docs.google.com/spreadsheets/d/1xmPlrr1QbdSIKvl1dWUl9K4PjAfSL9oeMr_37QVzcxc/edit?usp=sharing"",""สระบุรี!J727"")"),100)</f>
        <v>100</v>
      </c>
      <c r="M70" s="216">
        <f t="shared" ca="1" si="37"/>
        <v>100</v>
      </c>
      <c r="N70" s="152">
        <f ca="1">IFERROR(__xludf.DUMMYFUNCTION("IMPORTRANGE(""https://docs.google.com/spreadsheets/d/1xmPlrr1QbdSIKvl1dWUl9K4PjAfSL9oeMr_37QVzcxc/edit?usp=sharing"",""สระบุรี!I740"")"),80)</f>
        <v>80</v>
      </c>
      <c r="O70" s="152">
        <f ca="1">IFERROR(__xludf.DUMMYFUNCTION("IMPORTRANGE(""https://docs.google.com/spreadsheets/d/1xmPlrr1QbdSIKvl1dWUl9K4PjAfSL9oeMr_37QVzcxc/edit?usp=sharing"",""สระบุรี!J740"")"),80)</f>
        <v>80</v>
      </c>
      <c r="P70" s="216">
        <f t="shared" ca="1" si="39"/>
        <v>100</v>
      </c>
      <c r="Q70" s="152">
        <f ca="1">IFERROR(__xludf.DUMMYFUNCTION("IMPORTRANGE(""https://docs.google.com/spreadsheets/d/1xmPlrr1QbdSIKvl1dWUl9K4PjAfSL9oeMr_37QVzcxc/edit?usp=sharing"",""สระบุรี!J741"")"),0)</f>
        <v>0</v>
      </c>
      <c r="R70" s="152">
        <f ca="1">IFERROR(__xludf.DUMMYFUNCTION("IMPORTRANGE(""https://docs.google.com/spreadsheets/d/1xmPlrr1QbdSIKvl1dWUl9K4PjAfSL9oeMr_37QVzcxc/edit?usp=sharing"",""สระบุรี!I742"")"),8)</f>
        <v>8</v>
      </c>
      <c r="S70" s="152">
        <f ca="1">IFERROR(__xludf.DUMMYFUNCTION("IMPORTRANGE(""https://docs.google.com/spreadsheets/d/1xmPlrr1QbdSIKvl1dWUl9K4PjAfSL9oeMr_37QVzcxc/edit?usp=sharing"",""สระบุรี!J742"")"),8)</f>
        <v>8</v>
      </c>
      <c r="T70" s="216">
        <f t="shared" ca="1" si="41"/>
        <v>100</v>
      </c>
      <c r="U70" s="152">
        <f ca="1">IFERROR(__xludf.DUMMYFUNCTION("IMPORTRANGE(""https://docs.google.com/spreadsheets/d/1xmPlrr1QbdSIKvl1dWUl9K4PjAfSL9oeMr_37QVzcxc/edit?usp=sharing"",""สระบุรี!I744"")"),20)</f>
        <v>20</v>
      </c>
      <c r="V70" s="152">
        <f ca="1">IFERROR(__xludf.DUMMYFUNCTION("IMPORTRANGE(""https://docs.google.com/spreadsheets/d/1xmPlrr1QbdSIKvl1dWUl9K4PjAfSL9oeMr_37QVzcxc/edit?usp=sharing"",""สระบุรี!J744"")"),20)</f>
        <v>20</v>
      </c>
      <c r="W70" s="216">
        <f t="shared" ca="1" si="43"/>
        <v>100</v>
      </c>
      <c r="X70" s="152">
        <f ca="1">IFERROR(__xludf.DUMMYFUNCTION("IMPORTRANGE(""https://docs.google.com/spreadsheets/d/1xmPlrr1QbdSIKvl1dWUl9K4PjAfSL9oeMr_37QVzcxc/edit?usp=sharing"",""สระบุรี!J745"")"),0)</f>
        <v>0</v>
      </c>
      <c r="Y70" s="152">
        <f ca="1">IFERROR(__xludf.DUMMYFUNCTION("IMPORTRANGE(""https://docs.google.com/spreadsheets/d/1xmPlrr1QbdSIKvl1dWUl9K4PjAfSL9oeMr_37QVzcxc/edit?usp=sharing"",""สระบุรี!I746"")"),2)</f>
        <v>2</v>
      </c>
      <c r="Z70" s="152">
        <f ca="1">IFERROR(__xludf.DUMMYFUNCTION("IMPORTRANGE(""https://docs.google.com/spreadsheets/d/1xmPlrr1QbdSIKvl1dWUl9K4PjAfSL9oeMr_37QVzcxc/edit?usp=sharing"",""สระบุรี!J746"")"),2)</f>
        <v>2</v>
      </c>
      <c r="AA70" s="216">
        <f t="shared" ca="1" si="45"/>
        <v>100</v>
      </c>
      <c r="AB70" s="152">
        <f ca="1">IFERROR(__xludf.DUMMYFUNCTION("IMPORTRANGE(""https://docs.google.com/spreadsheets/d/1xmPlrr1QbdSIKvl1dWUl9K4PjAfSL9oeMr_37QVzcxc/edit?usp=sharing"",""สระบุรี!J748"")"),0)</f>
        <v>0</v>
      </c>
      <c r="AC70" s="152">
        <f ca="1">IFERROR(__xludf.DUMMYFUNCTION("IMPORTRANGE(""https://docs.google.com/spreadsheets/d/1xmPlrr1QbdSIKvl1dWUl9K4PjAfSL9oeMr_37QVzcxc/edit?usp=sharing"",""สระบุรี!I749"")"),1)</f>
        <v>1</v>
      </c>
      <c r="AD70" s="152">
        <f ca="1">IFERROR(__xludf.DUMMYFUNCTION("IMPORTRANGE(""https://docs.google.com/spreadsheets/d/1xmPlrr1QbdSIKvl1dWUl9K4PjAfSL9oeMr_37QVzcxc/edit?usp=sharing"",""สระบุรี!J749"")"),1)</f>
        <v>1</v>
      </c>
      <c r="AE70" s="216">
        <f t="shared" ca="1" si="47"/>
        <v>100</v>
      </c>
      <c r="AF70" s="152">
        <f ca="1">IFERROR(__xludf.DUMMYFUNCTION("IMPORTRANGE(""https://docs.google.com/spreadsheets/d/1xmPlrr1QbdSIKvl1dWUl9K4PjAfSL9oeMr_37QVzcxc/edit?usp=sharing"",""สระบุรี!I752"")"),80)</f>
        <v>80</v>
      </c>
      <c r="AG70" s="152">
        <f ca="1">IFERROR(__xludf.DUMMYFUNCTION("IMPORTRANGE(""https://docs.google.com/spreadsheets/d/1xmPlrr1QbdSIKvl1dWUl9K4PjAfSL9oeMr_37QVzcxc/edit?usp=sharing"",""สระบุรี!J752"")"),80)</f>
        <v>80</v>
      </c>
      <c r="AH70" s="216">
        <f t="shared" ca="1" si="49"/>
        <v>100</v>
      </c>
      <c r="AI70" s="152">
        <f ca="1">IFERROR(__xludf.DUMMYFUNCTION("IMPORTRANGE(""https://docs.google.com/spreadsheets/d/1xmPlrr1QbdSIKvl1dWUl9K4PjAfSL9oeMr_37QVzcxc/edit?usp=sharing"",""สระบุรี!J753"")"),0)</f>
        <v>0</v>
      </c>
      <c r="AJ70" s="152">
        <f ca="1">IFERROR(__xludf.DUMMYFUNCTION("IMPORTRANGE(""https://docs.google.com/spreadsheets/d/1xmPlrr1QbdSIKvl1dWUl9K4PjAfSL9oeMr_37QVzcxc/edit?usp=sharing"",""สระบุรี!I755"")"),20)</f>
        <v>20</v>
      </c>
      <c r="AK70" s="152">
        <f ca="1">IFERROR(__xludf.DUMMYFUNCTION("IMPORTRANGE(""https://docs.google.com/spreadsheets/d/1xmPlrr1QbdSIKvl1dWUl9K4PjAfSL9oeMr_37QVzcxc/edit?usp=sharing"",""สระบุรี!J755"")"),20)</f>
        <v>20</v>
      </c>
      <c r="AL70" s="216">
        <f t="shared" ca="1" si="51"/>
        <v>100</v>
      </c>
      <c r="AM70" s="152">
        <f ca="1">IFERROR(__xludf.DUMMYFUNCTION("IMPORTRANGE(""https://docs.google.com/spreadsheets/d/1xmPlrr1QbdSIKvl1dWUl9K4PjAfSL9oeMr_37QVzcxc/edit?usp=sharing"",""สระบุรี!J756"")"),0)</f>
        <v>0</v>
      </c>
      <c r="AN70" s="152">
        <f ca="1">IFERROR(__xludf.DUMMYFUNCTION("IMPORTRANGE(""https://docs.google.com/spreadsheets/d/1xmPlrr1QbdSIKvl1dWUl9K4PjAfSL9oeMr_37QVzcxc/edit?usp=sharing"",""สระบุรี!J757"")"),0)</f>
        <v>0</v>
      </c>
    </row>
    <row r="71" spans="1:40" ht="19.5" x14ac:dyDescent="0.3">
      <c r="A71" s="147">
        <v>19</v>
      </c>
      <c r="B71" s="148" t="s">
        <v>99</v>
      </c>
      <c r="C71" s="68">
        <f ca="1">IFERROR(__xludf.DUMMYFUNCTION("IMPORTRANGE(""https://docs.google.com/spreadsheets/d/1j51vR6CYVGhABJpv6tkstgok82RLpXieLzW1yOY5rHw/edit?usp=sharing"",""สิงห์บุรี!Q728"")"),0)</f>
        <v>0</v>
      </c>
      <c r="D71" s="68">
        <f ca="1">IFERROR(__xludf.DUMMYFUNCTION("IMPORTRANGE(""https://docs.google.com/spreadsheets/d/1j51vR6CYVGhABJpv6tkstgok82RLpXieLzW1yOY5rHw/edit?usp=sharing"",""สิงห์บุรี!R728"")"),0)</f>
        <v>0</v>
      </c>
      <c r="E71" s="68">
        <f ca="1">IFERROR(__xludf.DUMMYFUNCTION("IMPORTRANGE(""https://docs.google.com/spreadsheets/d/1j51vR6CYVGhABJpv6tkstgok82RLpXieLzW1yOY5rHw/edit?usp=sharing"",""สิงห์บุรี!S728"")"),0)</f>
        <v>0</v>
      </c>
      <c r="F71" s="68">
        <f t="shared" ca="1" si="33"/>
        <v>0</v>
      </c>
      <c r="G71" s="68">
        <f t="shared" ca="1" si="34"/>
        <v>0</v>
      </c>
      <c r="H71" s="152">
        <f ca="1">IFERROR(__xludf.DUMMYFUNCTION("IMPORTRANGE(""https://docs.google.com/spreadsheets/d/1j51vR6CYVGhABJpv6tkstgok82RLpXieLzW1yOY5rHw/edit?usp=sharing"",""สิงห์บุรี!I726"")"),0)</f>
        <v>0</v>
      </c>
      <c r="I71" s="152">
        <f ca="1">IFERROR(__xludf.DUMMYFUNCTION("IMPORTRANGE(""https://docs.google.com/spreadsheets/d/1j51vR6CYVGhABJpv6tkstgok82RLpXieLzW1yOY5rHw/edit?usp=sharing"",""สิงห์บุรี!I727"")"),0)</f>
        <v>0</v>
      </c>
      <c r="J71" s="152">
        <f ca="1">IFERROR(__xludf.DUMMYFUNCTION("IMPORTRANGE(""https://docs.google.com/spreadsheets/d/1j51vR6CYVGhABJpv6tkstgok82RLpXieLzW1yOY5rHw/edit?usp=sharing"",""สิงห์บุรี!J726"")"),0)</f>
        <v>0</v>
      </c>
      <c r="K71" s="216">
        <f t="shared" ca="1" si="36"/>
        <v>0</v>
      </c>
      <c r="L71" s="152">
        <f ca="1">IFERROR(__xludf.DUMMYFUNCTION("IMPORTRANGE(""https://docs.google.com/spreadsheets/d/1j51vR6CYVGhABJpv6tkstgok82RLpXieLzW1yOY5rHw/edit?usp=sharing"",""สิงห์บุรี!J727"")"),0)</f>
        <v>0</v>
      </c>
      <c r="M71" s="216">
        <f t="shared" ca="1" si="37"/>
        <v>0</v>
      </c>
      <c r="N71" s="152">
        <f ca="1">IFERROR(__xludf.DUMMYFUNCTION("IMPORTRANGE(""https://docs.google.com/spreadsheets/d/1j51vR6CYVGhABJpv6tkstgok82RLpXieLzW1yOY5rHw/edit?usp=sharing"",""สิงห์บุรี!I740"")"),0)</f>
        <v>0</v>
      </c>
      <c r="O71" s="152">
        <f ca="1">IFERROR(__xludf.DUMMYFUNCTION("IMPORTRANGE(""https://docs.google.com/spreadsheets/d/1j51vR6CYVGhABJpv6tkstgok82RLpXieLzW1yOY5rHw/edit?usp=sharing"",""สิงห์บุรี!J740"")"),0)</f>
        <v>0</v>
      </c>
      <c r="P71" s="216">
        <f t="shared" ca="1" si="39"/>
        <v>0</v>
      </c>
      <c r="Q71" s="152">
        <f ca="1">IFERROR(__xludf.DUMMYFUNCTION("IMPORTRANGE(""https://docs.google.com/spreadsheets/d/1j51vR6CYVGhABJpv6tkstgok82RLpXieLzW1yOY5rHw/edit?usp=sharing"",""สิงห์บุรี!J741"")"),0)</f>
        <v>0</v>
      </c>
      <c r="R71" s="152">
        <f ca="1">IFERROR(__xludf.DUMMYFUNCTION("IMPORTRANGE(""https://docs.google.com/spreadsheets/d/1j51vR6CYVGhABJpv6tkstgok82RLpXieLzW1yOY5rHw/edit?usp=sharing"",""สิงห์บุรี!I742"")"),0)</f>
        <v>0</v>
      </c>
      <c r="S71" s="152">
        <f ca="1">IFERROR(__xludf.DUMMYFUNCTION("IMPORTRANGE(""https://docs.google.com/spreadsheets/d/1j51vR6CYVGhABJpv6tkstgok82RLpXieLzW1yOY5rHw/edit?usp=sharing"",""สิงห์บุรี!J742"")"),0)</f>
        <v>0</v>
      </c>
      <c r="T71" s="216">
        <f t="shared" ca="1" si="41"/>
        <v>0</v>
      </c>
      <c r="U71" s="152">
        <f ca="1">IFERROR(__xludf.DUMMYFUNCTION("IMPORTRANGE(""https://docs.google.com/spreadsheets/d/1j51vR6CYVGhABJpv6tkstgok82RLpXieLzW1yOY5rHw/edit?usp=sharing"",""สิงห์บุรี!I744"")"),0)</f>
        <v>0</v>
      </c>
      <c r="V71" s="152">
        <f ca="1">IFERROR(__xludf.DUMMYFUNCTION("IMPORTRANGE(""https://docs.google.com/spreadsheets/d/1j51vR6CYVGhABJpv6tkstgok82RLpXieLzW1yOY5rHw/edit?usp=sharing"",""สิงห์บุรี!J744"")"),0)</f>
        <v>0</v>
      </c>
      <c r="W71" s="216">
        <f t="shared" ca="1" si="43"/>
        <v>0</v>
      </c>
      <c r="X71" s="152">
        <f ca="1">IFERROR(__xludf.DUMMYFUNCTION("IMPORTRANGE(""https://docs.google.com/spreadsheets/d/1j51vR6CYVGhABJpv6tkstgok82RLpXieLzW1yOY5rHw/edit?usp=sharing"",""สิงห์บุรี!J745"")"),0)</f>
        <v>0</v>
      </c>
      <c r="Y71" s="152">
        <f ca="1">IFERROR(__xludf.DUMMYFUNCTION("IMPORTRANGE(""https://docs.google.com/spreadsheets/d/1j51vR6CYVGhABJpv6tkstgok82RLpXieLzW1yOY5rHw/edit?usp=sharing"",""สิงห์บุรี!I746"")"),0)</f>
        <v>0</v>
      </c>
      <c r="Z71" s="152">
        <f ca="1">IFERROR(__xludf.DUMMYFUNCTION("IMPORTRANGE(""https://docs.google.com/spreadsheets/d/1j51vR6CYVGhABJpv6tkstgok82RLpXieLzW1yOY5rHw/edit?usp=sharing"",""สิงห์บุรี!J746"")"),0)</f>
        <v>0</v>
      </c>
      <c r="AA71" s="216">
        <f t="shared" ca="1" si="45"/>
        <v>0</v>
      </c>
      <c r="AB71" s="152">
        <f ca="1">IFERROR(__xludf.DUMMYFUNCTION("IMPORTRANGE(""https://docs.google.com/spreadsheets/d/1j51vR6CYVGhABJpv6tkstgok82RLpXieLzW1yOY5rHw/edit?usp=sharing"",""สิงห์บุรี!J748"")"),0)</f>
        <v>0</v>
      </c>
      <c r="AC71" s="152">
        <f ca="1">IFERROR(__xludf.DUMMYFUNCTION("IMPORTRANGE(""https://docs.google.com/spreadsheets/d/1j51vR6CYVGhABJpv6tkstgok82RLpXieLzW1yOY5rHw/edit?usp=sharing"",""สิงห์บุรี!I749"")"),0)</f>
        <v>0</v>
      </c>
      <c r="AD71" s="152">
        <f ca="1">IFERROR(__xludf.DUMMYFUNCTION("IMPORTRANGE(""https://docs.google.com/spreadsheets/d/1j51vR6CYVGhABJpv6tkstgok82RLpXieLzW1yOY5rHw/edit?usp=sharing"",""สิงห์บุรี!J749"")"),0)</f>
        <v>0</v>
      </c>
      <c r="AE71" s="216">
        <f t="shared" ca="1" si="47"/>
        <v>0</v>
      </c>
      <c r="AF71" s="152">
        <f ca="1">IFERROR(__xludf.DUMMYFUNCTION("IMPORTRANGE(""https://docs.google.com/spreadsheets/d/1j51vR6CYVGhABJpv6tkstgok82RLpXieLzW1yOY5rHw/edit?usp=sharing"",""สิงห์บุรี!I752"")"),0)</f>
        <v>0</v>
      </c>
      <c r="AG71" s="152">
        <f ca="1">IFERROR(__xludf.DUMMYFUNCTION("IMPORTRANGE(""https://docs.google.com/spreadsheets/d/1j51vR6CYVGhABJpv6tkstgok82RLpXieLzW1yOY5rHw/edit?usp=sharing"",""สิงห์บุรี!J752"")"),0)</f>
        <v>0</v>
      </c>
      <c r="AH71" s="216">
        <f t="shared" ca="1" si="49"/>
        <v>0</v>
      </c>
      <c r="AI71" s="152">
        <f ca="1">IFERROR(__xludf.DUMMYFUNCTION("IMPORTRANGE(""https://docs.google.com/spreadsheets/d/1j51vR6CYVGhABJpv6tkstgok82RLpXieLzW1yOY5rHw/edit?usp=sharing"",""สิงห์บุรี!J753"")"),0)</f>
        <v>0</v>
      </c>
      <c r="AJ71" s="152">
        <f ca="1">IFERROR(__xludf.DUMMYFUNCTION("IMPORTRANGE(""https://docs.google.com/spreadsheets/d/1j51vR6CYVGhABJpv6tkstgok82RLpXieLzW1yOY5rHw/edit?usp=sharing"",""สิงห์บุรี!I755"")"),0)</f>
        <v>0</v>
      </c>
      <c r="AK71" s="152">
        <f ca="1">IFERROR(__xludf.DUMMYFUNCTION("IMPORTRANGE(""https://docs.google.com/spreadsheets/d/1j51vR6CYVGhABJpv6tkstgok82RLpXieLzW1yOY5rHw/edit?usp=sharing"",""สิงห์บุรี!J755"")"),0)</f>
        <v>0</v>
      </c>
      <c r="AL71" s="216">
        <f t="shared" ca="1" si="51"/>
        <v>0</v>
      </c>
      <c r="AM71" s="152">
        <f ca="1">IFERROR(__xludf.DUMMYFUNCTION("IMPORTRANGE(""https://docs.google.com/spreadsheets/d/1j51vR6CYVGhABJpv6tkstgok82RLpXieLzW1yOY5rHw/edit?usp=sharing"",""สิงห์บุรี!J756"")"),0)</f>
        <v>0</v>
      </c>
      <c r="AN71" s="152">
        <f ca="1">IFERROR(__xludf.DUMMYFUNCTION("IMPORTRANGE(""https://docs.google.com/spreadsheets/d/1j51vR6CYVGhABJpv6tkstgok82RLpXieLzW1yOY5rHw/edit?usp=sharing"",""สิงห์บุรี!J757"")"),0)</f>
        <v>0</v>
      </c>
    </row>
    <row r="72" spans="1:40" ht="19.5" x14ac:dyDescent="0.3">
      <c r="A72" s="147">
        <v>20</v>
      </c>
      <c r="B72" s="148" t="s">
        <v>100</v>
      </c>
      <c r="C72" s="68">
        <f ca="1">IFERROR(__xludf.DUMMYFUNCTION("IMPORTRANGE(""https://docs.google.com/spreadsheets/d/1H1EalTWKUSzO4Z1-1CwzoDUaVffgrThEBe2sl74kKG0/edit?usp=sharing"",""สุพรรณบุรี!Q728"")"),242546)</f>
        <v>242546</v>
      </c>
      <c r="D72" s="68">
        <f ca="1">IFERROR(__xludf.DUMMYFUNCTION("IMPORTRANGE(""https://docs.google.com/spreadsheets/d/1H1EalTWKUSzO4Z1-1CwzoDUaVffgrThEBe2sl74kKG0/edit?usp=sharing"",""สุพรรณบุรี!R728"")"),242546)</f>
        <v>242546</v>
      </c>
      <c r="E72" s="68">
        <f ca="1">IFERROR(__xludf.DUMMYFUNCTION("IMPORTRANGE(""https://docs.google.com/spreadsheets/d/1H1EalTWKUSzO4Z1-1CwzoDUaVffgrThEBe2sl74kKG0/edit?usp=sharing"",""สุพรรณบุรี!S728"")"),230246)</f>
        <v>230246</v>
      </c>
      <c r="F72" s="68">
        <f t="shared" ca="1" si="33"/>
        <v>94.92879701170088</v>
      </c>
      <c r="G72" s="68">
        <f t="shared" ca="1" si="34"/>
        <v>94.92879701170088</v>
      </c>
      <c r="H72" s="152">
        <f ca="1">IFERROR(__xludf.DUMMYFUNCTION("IMPORTRANGE(""https://docs.google.com/spreadsheets/d/1H1EalTWKUSzO4Z1-1CwzoDUaVffgrThEBe2sl74kKG0/edit?usp=sharing"",""สุพรรณบุรี!I726"")"),31)</f>
        <v>31</v>
      </c>
      <c r="I72" s="152">
        <f ca="1">IFERROR(__xludf.DUMMYFUNCTION("IMPORTRANGE(""https://docs.google.com/spreadsheets/d/1H1EalTWKUSzO4Z1-1CwzoDUaVffgrThEBe2sl74kKG0/edit?usp=sharing"",""สุพรรณบุรี!I727"")"),300)</f>
        <v>300</v>
      </c>
      <c r="J72" s="152">
        <f ca="1">IFERROR(__xludf.DUMMYFUNCTION("IMPORTRANGE(""https://docs.google.com/spreadsheets/d/1H1EalTWKUSzO4Z1-1CwzoDUaVffgrThEBe2sl74kKG0/edit?usp=sharing"",""สุพรรณบุรี!J726"")"),31)</f>
        <v>31</v>
      </c>
      <c r="K72" s="216">
        <f t="shared" ca="1" si="36"/>
        <v>100</v>
      </c>
      <c r="L72" s="152">
        <f ca="1">IFERROR(__xludf.DUMMYFUNCTION("IMPORTRANGE(""https://docs.google.com/spreadsheets/d/1H1EalTWKUSzO4Z1-1CwzoDUaVffgrThEBe2sl74kKG0/edit?usp=sharing"",""สุพรรณบุรี!J727"")"),300)</f>
        <v>300</v>
      </c>
      <c r="M72" s="216">
        <f t="shared" ca="1" si="37"/>
        <v>100</v>
      </c>
      <c r="N72" s="152">
        <f ca="1">IFERROR(__xludf.DUMMYFUNCTION("IMPORTRANGE(""https://docs.google.com/spreadsheets/d/1H1EalTWKUSzO4Z1-1CwzoDUaVffgrThEBe2sl74kKG0/edit?usp=sharing"",""สุพรรณบุรี!I740"")"),240)</f>
        <v>240</v>
      </c>
      <c r="O72" s="152">
        <f ca="1">IFERROR(__xludf.DUMMYFUNCTION("IMPORTRANGE(""https://docs.google.com/spreadsheets/d/1H1EalTWKUSzO4Z1-1CwzoDUaVffgrThEBe2sl74kKG0/edit?usp=sharing"",""สุพรรณบุรี!J740"")"),240)</f>
        <v>240</v>
      </c>
      <c r="P72" s="216">
        <f t="shared" ca="1" si="39"/>
        <v>100</v>
      </c>
      <c r="Q72" s="152">
        <f ca="1">IFERROR(__xludf.DUMMYFUNCTION("IMPORTRANGE(""https://docs.google.com/spreadsheets/d/1H1EalTWKUSzO4Z1-1CwzoDUaVffgrThEBe2sl74kKG0/edit?usp=sharing"",""สุพรรณบุรี!J741"")"),0)</f>
        <v>0</v>
      </c>
      <c r="R72" s="152">
        <f ca="1">IFERROR(__xludf.DUMMYFUNCTION("IMPORTRANGE(""https://docs.google.com/spreadsheets/d/1H1EalTWKUSzO4Z1-1CwzoDUaVffgrThEBe2sl74kKG0/edit?usp=sharing"",""สุพรรณบุรี!I742"")"),24)</f>
        <v>24</v>
      </c>
      <c r="S72" s="152">
        <f ca="1">IFERROR(__xludf.DUMMYFUNCTION("IMPORTRANGE(""https://docs.google.com/spreadsheets/d/1H1EalTWKUSzO4Z1-1CwzoDUaVffgrThEBe2sl74kKG0/edit?usp=sharing"",""สุพรรณบุรี!J742"")"),24)</f>
        <v>24</v>
      </c>
      <c r="T72" s="216">
        <f t="shared" ca="1" si="41"/>
        <v>100</v>
      </c>
      <c r="U72" s="152">
        <f ca="1">IFERROR(__xludf.DUMMYFUNCTION("IMPORTRANGE(""https://docs.google.com/spreadsheets/d/1H1EalTWKUSzO4Z1-1CwzoDUaVffgrThEBe2sl74kKG0/edit?usp=sharing"",""สุพรรณบุรี!I744"")"),60)</f>
        <v>60</v>
      </c>
      <c r="V72" s="152">
        <f ca="1">IFERROR(__xludf.DUMMYFUNCTION("IMPORTRANGE(""https://docs.google.com/spreadsheets/d/1H1EalTWKUSzO4Z1-1CwzoDUaVffgrThEBe2sl74kKG0/edit?usp=sharing"",""สุพรรณบุรี!J744"")"),60)</f>
        <v>60</v>
      </c>
      <c r="W72" s="216">
        <f t="shared" ca="1" si="43"/>
        <v>100</v>
      </c>
      <c r="X72" s="152">
        <f ca="1">IFERROR(__xludf.DUMMYFUNCTION("IMPORTRANGE(""https://docs.google.com/spreadsheets/d/1H1EalTWKUSzO4Z1-1CwzoDUaVffgrThEBe2sl74kKG0/edit?usp=sharing"",""สุพรรณบุรี!J745"")"),0)</f>
        <v>0</v>
      </c>
      <c r="Y72" s="152">
        <f ca="1">IFERROR(__xludf.DUMMYFUNCTION("IMPORTRANGE(""https://docs.google.com/spreadsheets/d/1H1EalTWKUSzO4Z1-1CwzoDUaVffgrThEBe2sl74kKG0/edit?usp=sharing"",""สุพรรณบุรี!I746"")"),6)</f>
        <v>6</v>
      </c>
      <c r="Z72" s="152">
        <f ca="1">IFERROR(__xludf.DUMMYFUNCTION("IMPORTRANGE(""https://docs.google.com/spreadsheets/d/1H1EalTWKUSzO4Z1-1CwzoDUaVffgrThEBe2sl74kKG0/edit?usp=sharing"",""สุพรรณบุรี!J746"")"),6)</f>
        <v>6</v>
      </c>
      <c r="AA72" s="216">
        <f t="shared" ca="1" si="45"/>
        <v>100</v>
      </c>
      <c r="AB72" s="152">
        <f ca="1">IFERROR(__xludf.DUMMYFUNCTION("IMPORTRANGE(""https://docs.google.com/spreadsheets/d/1H1EalTWKUSzO4Z1-1CwzoDUaVffgrThEBe2sl74kKG0/edit?usp=sharing"",""สุพรรณบุรี!J748"")"),0)</f>
        <v>0</v>
      </c>
      <c r="AC72" s="152">
        <f ca="1">IFERROR(__xludf.DUMMYFUNCTION("IMPORTRANGE(""https://docs.google.com/spreadsheets/d/1H1EalTWKUSzO4Z1-1CwzoDUaVffgrThEBe2sl74kKG0/edit?usp=sharing"",""สุพรรณบุรี!I749"")"),1)</f>
        <v>1</v>
      </c>
      <c r="AD72" s="152">
        <f ca="1">IFERROR(__xludf.DUMMYFUNCTION("IMPORTRANGE(""https://docs.google.com/spreadsheets/d/1H1EalTWKUSzO4Z1-1CwzoDUaVffgrThEBe2sl74kKG0/edit?usp=sharing"",""สุพรรณบุรี!J749"")"),1)</f>
        <v>1</v>
      </c>
      <c r="AE72" s="216">
        <f t="shared" ca="1" si="47"/>
        <v>100</v>
      </c>
      <c r="AF72" s="152">
        <f ca="1">IFERROR(__xludf.DUMMYFUNCTION("IMPORTRANGE(""https://docs.google.com/spreadsheets/d/1H1EalTWKUSzO4Z1-1CwzoDUaVffgrThEBe2sl74kKG0/edit?usp=sharing"",""สุพรรณบุรี!I752"")"),240)</f>
        <v>240</v>
      </c>
      <c r="AG72" s="152">
        <f ca="1">IFERROR(__xludf.DUMMYFUNCTION("IMPORTRANGE(""https://docs.google.com/spreadsheets/d/1H1EalTWKUSzO4Z1-1CwzoDUaVffgrThEBe2sl74kKG0/edit?usp=sharing"",""สุพรรณบุรี!J752"")"),240)</f>
        <v>240</v>
      </c>
      <c r="AH72" s="216">
        <f t="shared" ca="1" si="49"/>
        <v>100</v>
      </c>
      <c r="AI72" s="152">
        <f ca="1">IFERROR(__xludf.DUMMYFUNCTION("IMPORTRANGE(""https://docs.google.com/spreadsheets/d/1H1EalTWKUSzO4Z1-1CwzoDUaVffgrThEBe2sl74kKG0/edit?usp=sharing"",""สุพรรณบุรี!J753"")"),0)</f>
        <v>0</v>
      </c>
      <c r="AJ72" s="152">
        <f ca="1">IFERROR(__xludf.DUMMYFUNCTION("IMPORTRANGE(""https://docs.google.com/spreadsheets/d/1H1EalTWKUSzO4Z1-1CwzoDUaVffgrThEBe2sl74kKG0/edit?usp=sharing"",""สุพรรณบุรี!I755"")"),60)</f>
        <v>60</v>
      </c>
      <c r="AK72" s="152">
        <f ca="1">IFERROR(__xludf.DUMMYFUNCTION("IMPORTRANGE(""https://docs.google.com/spreadsheets/d/1H1EalTWKUSzO4Z1-1CwzoDUaVffgrThEBe2sl74kKG0/edit?usp=sharing"",""สุพรรณบุรี!J755"")"),60)</f>
        <v>60</v>
      </c>
      <c r="AL72" s="216">
        <f t="shared" ca="1" si="51"/>
        <v>100</v>
      </c>
      <c r="AM72" s="152">
        <f ca="1">IFERROR(__xludf.DUMMYFUNCTION("IMPORTRANGE(""https://docs.google.com/spreadsheets/d/1H1EalTWKUSzO4Z1-1CwzoDUaVffgrThEBe2sl74kKG0/edit?usp=sharing"",""สุพรรณบุรี!J756"")"),300)</f>
        <v>300</v>
      </c>
      <c r="AN72" s="152">
        <f ca="1">IFERROR(__xludf.DUMMYFUNCTION("IMPORTRANGE(""https://docs.google.com/spreadsheets/d/1H1EalTWKUSzO4Z1-1CwzoDUaVffgrThEBe2sl74kKG0/edit?usp=sharing"",""สุพรรณบุรี!J757"")"),1)</f>
        <v>1</v>
      </c>
    </row>
    <row r="73" spans="1:40" ht="19.5" x14ac:dyDescent="0.3">
      <c r="A73" s="155">
        <v>21</v>
      </c>
      <c r="B73" s="156" t="s">
        <v>101</v>
      </c>
      <c r="C73" s="89">
        <f ca="1">IFERROR(__xludf.DUMMYFUNCTION("IMPORTRANGE(""https://docs.google.com/spreadsheets/d/1BmIruG_sIrJLYao_Pdr7zVArWsfoBt2692TMi6x_854/edit?usp=sharing"",""อ่างทอง!Q728"")"),0)</f>
        <v>0</v>
      </c>
      <c r="D73" s="89">
        <f ca="1">IFERROR(__xludf.DUMMYFUNCTION("IMPORTRANGE(""https://docs.google.com/spreadsheets/d/1BmIruG_sIrJLYao_Pdr7zVArWsfoBt2692TMi6x_854/edit?usp=sharing"",""อ่างทอง!R728"")"),0)</f>
        <v>0</v>
      </c>
      <c r="E73" s="89">
        <f ca="1">IFERROR(__xludf.DUMMYFUNCTION("IMPORTRANGE(""https://docs.google.com/spreadsheets/d/1BmIruG_sIrJLYao_Pdr7zVArWsfoBt2692TMi6x_854/edit?usp=sharing"",""อ่างทอง!S728"")"),0)</f>
        <v>0</v>
      </c>
      <c r="F73" s="89">
        <f t="shared" ca="1" si="33"/>
        <v>0</v>
      </c>
      <c r="G73" s="89">
        <f t="shared" ca="1" si="34"/>
        <v>0</v>
      </c>
      <c r="H73" s="191">
        <f ca="1">IFERROR(__xludf.DUMMYFUNCTION("IMPORTRANGE(""https://docs.google.com/spreadsheets/d/1BmIruG_sIrJLYao_Pdr7zVArWsfoBt2692TMi6x_854/edit?usp=sharing"",""อ่างทอง!I726"")"),0)</f>
        <v>0</v>
      </c>
      <c r="I73" s="191">
        <f ca="1">IFERROR(__xludf.DUMMYFUNCTION("IMPORTRANGE(""https://docs.google.com/spreadsheets/d/1BmIruG_sIrJLYao_Pdr7zVArWsfoBt2692TMi6x_854/edit?usp=sharing"",""อ่างทอง!I727"")"),0)</f>
        <v>0</v>
      </c>
      <c r="J73" s="191">
        <f ca="1">IFERROR(__xludf.DUMMYFUNCTION("IMPORTRANGE(""https://docs.google.com/spreadsheets/d/1BmIruG_sIrJLYao_Pdr7zVArWsfoBt2692TMi6x_854/edit?usp=sharing"",""อ่างทอง!J726"")"),0)</f>
        <v>0</v>
      </c>
      <c r="K73" s="218">
        <f t="shared" ca="1" si="36"/>
        <v>0</v>
      </c>
      <c r="L73" s="191">
        <f ca="1">IFERROR(__xludf.DUMMYFUNCTION("IMPORTRANGE(""https://docs.google.com/spreadsheets/d/1BmIruG_sIrJLYao_Pdr7zVArWsfoBt2692TMi6x_854/edit?usp=sharing"",""อ่างทอง!J727"")"),0)</f>
        <v>0</v>
      </c>
      <c r="M73" s="218">
        <f t="shared" ca="1" si="37"/>
        <v>0</v>
      </c>
      <c r="N73" s="191">
        <f ca="1">IFERROR(__xludf.DUMMYFUNCTION("IMPORTRANGE(""https://docs.google.com/spreadsheets/d/1BmIruG_sIrJLYao_Pdr7zVArWsfoBt2692TMi6x_854/edit?usp=sharing"",""อ่างทอง!I740"")"),0)</f>
        <v>0</v>
      </c>
      <c r="O73" s="191">
        <f ca="1">IFERROR(__xludf.DUMMYFUNCTION("IMPORTRANGE(""https://docs.google.com/spreadsheets/d/1BmIruG_sIrJLYao_Pdr7zVArWsfoBt2692TMi6x_854/edit?usp=sharing"",""อ่างทอง!J740"")"),0)</f>
        <v>0</v>
      </c>
      <c r="P73" s="218">
        <f t="shared" ca="1" si="39"/>
        <v>0</v>
      </c>
      <c r="Q73" s="191">
        <f ca="1">IFERROR(__xludf.DUMMYFUNCTION("IMPORTRANGE(""https://docs.google.com/spreadsheets/d/1BmIruG_sIrJLYao_Pdr7zVArWsfoBt2692TMi6x_854/edit?usp=sharing"",""อ่างทอง!J741"")"),0)</f>
        <v>0</v>
      </c>
      <c r="R73" s="191">
        <f ca="1">IFERROR(__xludf.DUMMYFUNCTION("IMPORTRANGE(""https://docs.google.com/spreadsheets/d/1BmIruG_sIrJLYao_Pdr7zVArWsfoBt2692TMi6x_854/edit?usp=sharing"",""อ่างทอง!I742"")"),0)</f>
        <v>0</v>
      </c>
      <c r="S73" s="191">
        <f ca="1">IFERROR(__xludf.DUMMYFUNCTION("IMPORTRANGE(""https://docs.google.com/spreadsheets/d/1BmIruG_sIrJLYao_Pdr7zVArWsfoBt2692TMi6x_854/edit?usp=sharing"",""อ่างทอง!J742"")"),0)</f>
        <v>0</v>
      </c>
      <c r="T73" s="218">
        <f t="shared" ca="1" si="41"/>
        <v>0</v>
      </c>
      <c r="U73" s="191">
        <f ca="1">IFERROR(__xludf.DUMMYFUNCTION("IMPORTRANGE(""https://docs.google.com/spreadsheets/d/1BmIruG_sIrJLYao_Pdr7zVArWsfoBt2692TMi6x_854/edit?usp=sharing"",""อ่างทอง!I744"")"),0)</f>
        <v>0</v>
      </c>
      <c r="V73" s="191">
        <f ca="1">IFERROR(__xludf.DUMMYFUNCTION("IMPORTRANGE(""https://docs.google.com/spreadsheets/d/1BmIruG_sIrJLYao_Pdr7zVArWsfoBt2692TMi6x_854/edit?usp=sharing"",""อ่างทอง!J744"")"),0)</f>
        <v>0</v>
      </c>
      <c r="W73" s="218">
        <f t="shared" ca="1" si="43"/>
        <v>0</v>
      </c>
      <c r="X73" s="191">
        <f ca="1">IFERROR(__xludf.DUMMYFUNCTION("IMPORTRANGE(""https://docs.google.com/spreadsheets/d/1BmIruG_sIrJLYao_Pdr7zVArWsfoBt2692TMi6x_854/edit?usp=sharing"",""อ่างทอง!J745"")"),0)</f>
        <v>0</v>
      </c>
      <c r="Y73" s="191">
        <f ca="1">IFERROR(__xludf.DUMMYFUNCTION("IMPORTRANGE(""https://docs.google.com/spreadsheets/d/1BmIruG_sIrJLYao_Pdr7zVArWsfoBt2692TMi6x_854/edit?usp=sharing"",""อ่างทอง!I746"")"),0)</f>
        <v>0</v>
      </c>
      <c r="Z73" s="191">
        <f ca="1">IFERROR(__xludf.DUMMYFUNCTION("IMPORTRANGE(""https://docs.google.com/spreadsheets/d/1BmIruG_sIrJLYao_Pdr7zVArWsfoBt2692TMi6x_854/edit?usp=sharing"",""อ่างทอง!J746"")"),0)</f>
        <v>0</v>
      </c>
      <c r="AA73" s="218">
        <f t="shared" ca="1" si="45"/>
        <v>0</v>
      </c>
      <c r="AB73" s="191">
        <f ca="1">IFERROR(__xludf.DUMMYFUNCTION("IMPORTRANGE(""https://docs.google.com/spreadsheets/d/1BmIruG_sIrJLYao_Pdr7zVArWsfoBt2692TMi6x_854/edit?usp=sharing"",""อ่างทอง!J748"")"),0)</f>
        <v>0</v>
      </c>
      <c r="AC73" s="191">
        <f ca="1">IFERROR(__xludf.DUMMYFUNCTION("IMPORTRANGE(""https://docs.google.com/spreadsheets/d/1BmIruG_sIrJLYao_Pdr7zVArWsfoBt2692TMi6x_854/edit?usp=sharing"",""อ่างทอง!I749"")"),0)</f>
        <v>0</v>
      </c>
      <c r="AD73" s="191">
        <f ca="1">IFERROR(__xludf.DUMMYFUNCTION("IMPORTRANGE(""https://docs.google.com/spreadsheets/d/1BmIruG_sIrJLYao_Pdr7zVArWsfoBt2692TMi6x_854/edit?usp=sharing"",""อ่างทอง!J749"")"),0)</f>
        <v>0</v>
      </c>
      <c r="AE73" s="218">
        <f t="shared" ca="1" si="47"/>
        <v>0</v>
      </c>
      <c r="AF73" s="191">
        <f ca="1">IFERROR(__xludf.DUMMYFUNCTION("IMPORTRANGE(""https://docs.google.com/spreadsheets/d/1BmIruG_sIrJLYao_Pdr7zVArWsfoBt2692TMi6x_854/edit?usp=sharing"",""อ่างทอง!I752"")"),0)</f>
        <v>0</v>
      </c>
      <c r="AG73" s="191">
        <f ca="1">IFERROR(__xludf.DUMMYFUNCTION("IMPORTRANGE(""https://docs.google.com/spreadsheets/d/1BmIruG_sIrJLYao_Pdr7zVArWsfoBt2692TMi6x_854/edit?usp=sharing"",""อ่างทอง!J752"")"),0)</f>
        <v>0</v>
      </c>
      <c r="AH73" s="218">
        <f t="shared" ca="1" si="49"/>
        <v>0</v>
      </c>
      <c r="AI73" s="191">
        <f ca="1">IFERROR(__xludf.DUMMYFUNCTION("IMPORTRANGE(""https://docs.google.com/spreadsheets/d/1BmIruG_sIrJLYao_Pdr7zVArWsfoBt2692TMi6x_854/edit?usp=sharing"",""อ่างทอง!J753"")"),0)</f>
        <v>0</v>
      </c>
      <c r="AJ73" s="191">
        <f ca="1">IFERROR(__xludf.DUMMYFUNCTION("IMPORTRANGE(""https://docs.google.com/spreadsheets/d/1BmIruG_sIrJLYao_Pdr7zVArWsfoBt2692TMi6x_854/edit?usp=sharing"",""อ่างทอง!I755"")"),0)</f>
        <v>0</v>
      </c>
      <c r="AK73" s="191">
        <f ca="1">IFERROR(__xludf.DUMMYFUNCTION("IMPORTRANGE(""https://docs.google.com/spreadsheets/d/1BmIruG_sIrJLYao_Pdr7zVArWsfoBt2692TMi6x_854/edit?usp=sharing"",""อ่างทอง!J755"")"),0)</f>
        <v>0</v>
      </c>
      <c r="AL73" s="218">
        <f t="shared" ca="1" si="51"/>
        <v>0</v>
      </c>
      <c r="AM73" s="191">
        <f ca="1">IFERROR(__xludf.DUMMYFUNCTION("IMPORTRANGE(""https://docs.google.com/spreadsheets/d/1BmIruG_sIrJLYao_Pdr7zVArWsfoBt2692TMi6x_854/edit?usp=sharing"",""อ่างทอง!J756"")"),0)</f>
        <v>0</v>
      </c>
      <c r="AN73" s="191">
        <f ca="1">IFERROR(__xludf.DUMMYFUNCTION("IMPORTRANGE(""https://docs.google.com/spreadsheets/d/1BmIruG_sIrJLYao_Pdr7zVArWsfoBt2692TMi6x_854/edit?usp=sharing"",""อ่างทอง!J757"")"),0)</f>
        <v>0</v>
      </c>
    </row>
    <row r="74" spans="1:40" ht="19.5" x14ac:dyDescent="0.3">
      <c r="A74" s="696" t="s">
        <v>102</v>
      </c>
      <c r="B74" s="662"/>
      <c r="C74" s="94">
        <f t="shared" ref="C74:E74" ca="1" si="73">SUM(C75:C88)</f>
        <v>2422324</v>
      </c>
      <c r="D74" s="94">
        <f t="shared" ca="1" si="73"/>
        <v>2453764</v>
      </c>
      <c r="E74" s="94">
        <f t="shared" ca="1" si="73"/>
        <v>1902028.61</v>
      </c>
      <c r="F74" s="94">
        <f t="shared" ca="1" si="33"/>
        <v>78.520817611516875</v>
      </c>
      <c r="G74" s="94">
        <f t="shared" ca="1" si="34"/>
        <v>77.514732875696282</v>
      </c>
      <c r="H74" s="161">
        <f t="shared" ref="H74:J74" ca="1" si="74">SUM(H75:H88)</f>
        <v>284</v>
      </c>
      <c r="I74" s="161">
        <f t="shared" ca="1" si="74"/>
        <v>2700</v>
      </c>
      <c r="J74" s="161">
        <f t="shared" ca="1" si="74"/>
        <v>278</v>
      </c>
      <c r="K74" s="94">
        <f t="shared" ca="1" si="36"/>
        <v>97.887323943661968</v>
      </c>
      <c r="L74" s="161">
        <f ca="1">SUM(L75:L88)</f>
        <v>2520</v>
      </c>
      <c r="M74" s="94">
        <f t="shared" ca="1" si="37"/>
        <v>93.333333333333329</v>
      </c>
      <c r="N74" s="161">
        <f t="shared" ref="N74:O74" ca="1" si="75">SUM(N75:N88)</f>
        <v>2160</v>
      </c>
      <c r="O74" s="161">
        <f t="shared" ca="1" si="75"/>
        <v>1975</v>
      </c>
      <c r="P74" s="94">
        <f t="shared" ca="1" si="39"/>
        <v>91.43518518518519</v>
      </c>
      <c r="Q74" s="161">
        <f t="shared" ref="Q74:S74" ca="1" si="76">SUM(Q75:Q88)</f>
        <v>87</v>
      </c>
      <c r="R74" s="161">
        <f t="shared" ca="1" si="76"/>
        <v>216</v>
      </c>
      <c r="S74" s="161">
        <f t="shared" ca="1" si="76"/>
        <v>206</v>
      </c>
      <c r="T74" s="94">
        <f t="shared" ca="1" si="41"/>
        <v>95.370370370370367</v>
      </c>
      <c r="U74" s="161">
        <f t="shared" ref="U74:V74" ca="1" si="77">SUM(U75:U88)</f>
        <v>540</v>
      </c>
      <c r="V74" s="161">
        <f t="shared" ca="1" si="77"/>
        <v>495</v>
      </c>
      <c r="W74" s="94">
        <f t="shared" ca="1" si="43"/>
        <v>91.666666666666671</v>
      </c>
      <c r="X74" s="161">
        <f t="shared" ref="X74:Z74" ca="1" si="78">SUM(X75:X88)</f>
        <v>21</v>
      </c>
      <c r="Y74" s="161">
        <f t="shared" ca="1" si="78"/>
        <v>54</v>
      </c>
      <c r="Z74" s="161">
        <f t="shared" ca="1" si="78"/>
        <v>52</v>
      </c>
      <c r="AA74" s="94">
        <f t="shared" ca="1" si="45"/>
        <v>96.296296296296291</v>
      </c>
      <c r="AB74" s="161">
        <f t="shared" ref="AB74:AD74" ca="1" si="79">SUM(AB75:AB88)</f>
        <v>11</v>
      </c>
      <c r="AC74" s="161">
        <f t="shared" ca="1" si="79"/>
        <v>14</v>
      </c>
      <c r="AD74" s="161">
        <f t="shared" ca="1" si="79"/>
        <v>20</v>
      </c>
      <c r="AE74" s="94">
        <f t="shared" ca="1" si="47"/>
        <v>142.85714285714286</v>
      </c>
      <c r="AF74" s="161">
        <f t="shared" ref="AF74:AG74" ca="1" si="80">SUM(AF75:AF88)</f>
        <v>2160</v>
      </c>
      <c r="AG74" s="161">
        <f t="shared" ca="1" si="80"/>
        <v>2015</v>
      </c>
      <c r="AH74" s="94">
        <f t="shared" ca="1" si="49"/>
        <v>93.287037037037038</v>
      </c>
      <c r="AI74" s="161">
        <f t="shared" ref="AI74:AK74" ca="1" si="81">SUM(AI75:AI88)</f>
        <v>983</v>
      </c>
      <c r="AJ74" s="161">
        <f t="shared" ca="1" si="81"/>
        <v>540</v>
      </c>
      <c r="AK74" s="161">
        <f t="shared" ca="1" si="81"/>
        <v>505</v>
      </c>
      <c r="AL74" s="94">
        <f t="shared" ca="1" si="51"/>
        <v>93.518518518518519</v>
      </c>
      <c r="AM74" s="161">
        <f t="shared" ref="AM74:AN74" ca="1" si="82">SUM(AM75:AM88)</f>
        <v>247</v>
      </c>
      <c r="AN74" s="161">
        <f t="shared" ca="1" si="82"/>
        <v>7</v>
      </c>
    </row>
    <row r="75" spans="1:40" ht="19.5" x14ac:dyDescent="0.3">
      <c r="A75" s="147">
        <v>1</v>
      </c>
      <c r="B75" s="148" t="s">
        <v>103</v>
      </c>
      <c r="C75" s="68">
        <f ca="1">IFERROR(__xludf.DUMMYFUNCTION("IMPORTRANGE(""https://docs.google.com/spreadsheets/d/1kKUcYdkIfrgTSj8iHHHB2MD2FAtwyyocFgqGQn6ADyI/edit?usp=sharing"",""กระบี่!Q728"")"),143438)</f>
        <v>143438</v>
      </c>
      <c r="D75" s="68">
        <f ca="1">IFERROR(__xludf.DUMMYFUNCTION("IMPORTRANGE(""https://docs.google.com/spreadsheets/d/1kKUcYdkIfrgTSj8iHHHB2MD2FAtwyyocFgqGQn6ADyI/edit?usp=sharing"",""กระบี่!R728"")"),170378)</f>
        <v>170378</v>
      </c>
      <c r="E75" s="68">
        <f ca="1">IFERROR(__xludf.DUMMYFUNCTION("IMPORTRANGE(""https://docs.google.com/spreadsheets/d/1kKUcYdkIfrgTSj8iHHHB2MD2FAtwyyocFgqGQn6ADyI/edit?usp=sharing"",""กระบี่!S728"")"),138471)</f>
        <v>138471</v>
      </c>
      <c r="F75" s="68">
        <f t="shared" ca="1" si="33"/>
        <v>96.537179826824129</v>
      </c>
      <c r="G75" s="68">
        <f t="shared" ca="1" si="34"/>
        <v>81.272816912981725</v>
      </c>
      <c r="H75" s="152">
        <f ca="1">IFERROR(__xludf.DUMMYFUNCTION("IMPORTRANGE(""https://docs.google.com/spreadsheets/d/1kKUcYdkIfrgTSj8iHHHB2MD2FAtwyyocFgqGQn6ADyI/edit?usp=sharing"",""กระบี่!I726"")"),16)</f>
        <v>16</v>
      </c>
      <c r="I75" s="152">
        <f ca="1">IFERROR(__xludf.DUMMYFUNCTION("IMPORTRANGE(""https://docs.google.com/spreadsheets/d/1kKUcYdkIfrgTSj8iHHHB2MD2FAtwyyocFgqGQn6ADyI/edit?usp=sharing"",""กระบี่!I727"")"),150)</f>
        <v>150</v>
      </c>
      <c r="J75" s="152">
        <f ca="1">IFERROR(__xludf.DUMMYFUNCTION("IMPORTRANGE(""https://docs.google.com/spreadsheets/d/1kKUcYdkIfrgTSj8iHHHB2MD2FAtwyyocFgqGQn6ADyI/edit?usp=sharing"",""กระบี่!J726"")"),0)</f>
        <v>0</v>
      </c>
      <c r="K75" s="216">
        <f t="shared" ca="1" si="36"/>
        <v>0</v>
      </c>
      <c r="L75" s="152">
        <f ca="1">IFERROR(__xludf.DUMMYFUNCTION("IMPORTRANGE(""https://docs.google.com/spreadsheets/d/1kKUcYdkIfrgTSj8iHHHB2MD2FAtwyyocFgqGQn6ADyI/edit?usp=sharing"",""กระบี่!J727"")"),0)</f>
        <v>0</v>
      </c>
      <c r="M75" s="216">
        <f t="shared" ca="1" si="37"/>
        <v>0</v>
      </c>
      <c r="N75" s="152">
        <f ca="1">IFERROR(__xludf.DUMMYFUNCTION("IMPORTRANGE(""https://docs.google.com/spreadsheets/d/1kKUcYdkIfrgTSj8iHHHB2MD2FAtwyyocFgqGQn6ADyI/edit?usp=sharing"",""กระบี่!I740"")"),120)</f>
        <v>120</v>
      </c>
      <c r="O75" s="152">
        <f ca="1">IFERROR(__xludf.DUMMYFUNCTION("IMPORTRANGE(""https://docs.google.com/spreadsheets/d/1kKUcYdkIfrgTSj8iHHHB2MD2FAtwyyocFgqGQn6ADyI/edit?usp=sharing"",""กระบี่!J740"")"),0)</f>
        <v>0</v>
      </c>
      <c r="P75" s="216">
        <f t="shared" ca="1" si="39"/>
        <v>0</v>
      </c>
      <c r="Q75" s="152">
        <f ca="1">IFERROR(__xludf.DUMMYFUNCTION("IMPORTRANGE(""https://docs.google.com/spreadsheets/d/1kKUcYdkIfrgTSj8iHHHB2MD2FAtwyyocFgqGQn6ADyI/edit?usp=sharing"",""กระบี่!J741"")"),0)</f>
        <v>0</v>
      </c>
      <c r="R75" s="152">
        <f ca="1">IFERROR(__xludf.DUMMYFUNCTION("IMPORTRANGE(""https://docs.google.com/spreadsheets/d/1kKUcYdkIfrgTSj8iHHHB2MD2FAtwyyocFgqGQn6ADyI/edit?usp=sharing"",""กระบี่!I742"")"),12)</f>
        <v>12</v>
      </c>
      <c r="S75" s="152">
        <f ca="1">IFERROR(__xludf.DUMMYFUNCTION("IMPORTRANGE(""https://docs.google.com/spreadsheets/d/1kKUcYdkIfrgTSj8iHHHB2MD2FAtwyyocFgqGQn6ADyI/edit?usp=sharing"",""กระบี่!J742"")"),0)</f>
        <v>0</v>
      </c>
      <c r="T75" s="216">
        <f t="shared" ca="1" si="41"/>
        <v>0</v>
      </c>
      <c r="U75" s="152">
        <f ca="1">IFERROR(__xludf.DUMMYFUNCTION("IMPORTRANGE(""https://docs.google.com/spreadsheets/d/1kKUcYdkIfrgTSj8iHHHB2MD2FAtwyyocFgqGQn6ADyI/edit?usp=sharing"",""กระบี่!I744"")"),30)</f>
        <v>30</v>
      </c>
      <c r="V75" s="152">
        <f ca="1">IFERROR(__xludf.DUMMYFUNCTION("IMPORTRANGE(""https://docs.google.com/spreadsheets/d/1kKUcYdkIfrgTSj8iHHHB2MD2FAtwyyocFgqGQn6ADyI/edit?usp=sharing"",""กระบี่!J744"")"),0)</f>
        <v>0</v>
      </c>
      <c r="W75" s="216">
        <f t="shared" ca="1" si="43"/>
        <v>0</v>
      </c>
      <c r="X75" s="152">
        <f ca="1">IFERROR(__xludf.DUMMYFUNCTION("IMPORTRANGE(""https://docs.google.com/spreadsheets/d/1kKUcYdkIfrgTSj8iHHHB2MD2FAtwyyocFgqGQn6ADyI/edit?usp=sharing"",""กระบี่!J745"")"),0)</f>
        <v>0</v>
      </c>
      <c r="Y75" s="152">
        <f ca="1">IFERROR(__xludf.DUMMYFUNCTION("IMPORTRANGE(""https://docs.google.com/spreadsheets/d/1kKUcYdkIfrgTSj8iHHHB2MD2FAtwyyocFgqGQn6ADyI/edit?usp=sharing"",""กระบี่!I746"")"),3)</f>
        <v>3</v>
      </c>
      <c r="Z75" s="152">
        <f ca="1">IFERROR(__xludf.DUMMYFUNCTION("IMPORTRANGE(""https://docs.google.com/spreadsheets/d/1kKUcYdkIfrgTSj8iHHHB2MD2FAtwyyocFgqGQn6ADyI/edit?usp=sharing"",""กระบี่!J746"")"),0)</f>
        <v>0</v>
      </c>
      <c r="AA75" s="216">
        <f t="shared" ca="1" si="45"/>
        <v>0</v>
      </c>
      <c r="AB75" s="152">
        <f ca="1">IFERROR(__xludf.DUMMYFUNCTION("IMPORTRANGE(""https://docs.google.com/spreadsheets/d/1kKUcYdkIfrgTSj8iHHHB2MD2FAtwyyocFgqGQn6ADyI/edit?usp=sharing"",""กระบี่!J748"")"),0)</f>
        <v>0</v>
      </c>
      <c r="AC75" s="152">
        <f ca="1">IFERROR(__xludf.DUMMYFUNCTION("IMPORTRANGE(""https://docs.google.com/spreadsheets/d/1kKUcYdkIfrgTSj8iHHHB2MD2FAtwyyocFgqGQn6ADyI/edit?usp=sharing"",""กระบี่!I749"")"),1)</f>
        <v>1</v>
      </c>
      <c r="AD75" s="152">
        <f ca="1">IFERROR(__xludf.DUMMYFUNCTION("IMPORTRANGE(""https://docs.google.com/spreadsheets/d/1kKUcYdkIfrgTSj8iHHHB2MD2FAtwyyocFgqGQn6ADyI/edit?usp=sharing"",""กระบี่!J749"")"),0)</f>
        <v>0</v>
      </c>
      <c r="AE75" s="216">
        <f t="shared" ca="1" si="47"/>
        <v>0</v>
      </c>
      <c r="AF75" s="152">
        <f ca="1">IFERROR(__xludf.DUMMYFUNCTION("IMPORTRANGE(""https://docs.google.com/spreadsheets/d/1kKUcYdkIfrgTSj8iHHHB2MD2FAtwyyocFgqGQn6ADyI/edit?usp=sharing"",""กระบี่!I752"")"),120)</f>
        <v>120</v>
      </c>
      <c r="AG75" s="152">
        <f ca="1">IFERROR(__xludf.DUMMYFUNCTION("IMPORTRANGE(""https://docs.google.com/spreadsheets/d/1kKUcYdkIfrgTSj8iHHHB2MD2FAtwyyocFgqGQn6ADyI/edit?usp=sharing"",""กระบี่!J752"")"),0)</f>
        <v>0</v>
      </c>
      <c r="AH75" s="216">
        <f t="shared" ca="1" si="49"/>
        <v>0</v>
      </c>
      <c r="AI75" s="152">
        <f ca="1">IFERROR(__xludf.DUMMYFUNCTION("IMPORTRANGE(""https://docs.google.com/spreadsheets/d/1kKUcYdkIfrgTSj8iHHHB2MD2FAtwyyocFgqGQn6ADyI/edit?usp=sharing"",""กระบี่!J753"")"),0)</f>
        <v>0</v>
      </c>
      <c r="AJ75" s="152">
        <f ca="1">IFERROR(__xludf.DUMMYFUNCTION("IMPORTRANGE(""https://docs.google.com/spreadsheets/d/1kKUcYdkIfrgTSj8iHHHB2MD2FAtwyyocFgqGQn6ADyI/edit?usp=sharing"",""กระบี่!I755"")"),30)</f>
        <v>30</v>
      </c>
      <c r="AK75" s="152">
        <f ca="1">IFERROR(__xludf.DUMMYFUNCTION("IMPORTRANGE(""https://docs.google.com/spreadsheets/d/1kKUcYdkIfrgTSj8iHHHB2MD2FAtwyyocFgqGQn6ADyI/edit?usp=sharing"",""กระบี่!J755"")"),0)</f>
        <v>0</v>
      </c>
      <c r="AL75" s="216">
        <f t="shared" ca="1" si="51"/>
        <v>0</v>
      </c>
      <c r="AM75" s="152">
        <f ca="1">IFERROR(__xludf.DUMMYFUNCTION("IMPORTRANGE(""https://docs.google.com/spreadsheets/d/1kKUcYdkIfrgTSj8iHHHB2MD2FAtwyyocFgqGQn6ADyI/edit?usp=sharing"",""กระบี่!J756"")"),0)</f>
        <v>0</v>
      </c>
      <c r="AN75" s="152">
        <f ca="1">IFERROR(__xludf.DUMMYFUNCTION("IMPORTRANGE(""https://docs.google.com/spreadsheets/d/1kKUcYdkIfrgTSj8iHHHB2MD2FAtwyyocFgqGQn6ADyI/edit?usp=sharing"",""กระบี่!J757"")"),0)</f>
        <v>0</v>
      </c>
    </row>
    <row r="76" spans="1:40" ht="19.5" x14ac:dyDescent="0.3">
      <c r="A76" s="147">
        <v>2</v>
      </c>
      <c r="B76" s="148" t="s">
        <v>104</v>
      </c>
      <c r="C76" s="68">
        <f ca="1">IFERROR(__xludf.DUMMYFUNCTION("IMPORTRANGE(""https://docs.google.com/spreadsheets/d/1GwtLaSlNZkLk7iDqcyZz22giiy40b_usZZBXYciEN1U/edit?usp=sharing"",""ชุมพร!Q728"")"),175994)</f>
        <v>175994</v>
      </c>
      <c r="D76" s="68">
        <f ca="1">IFERROR(__xludf.DUMMYFUNCTION("IMPORTRANGE(""https://docs.google.com/spreadsheets/d/1GwtLaSlNZkLk7iDqcyZz22giiy40b_usZZBXYciEN1U/edit?usp=sharing"",""ชุมพร!R728"")"),200494)</f>
        <v>200494</v>
      </c>
      <c r="E76" s="68">
        <f ca="1">IFERROR(__xludf.DUMMYFUNCTION("IMPORTRANGE(""https://docs.google.com/spreadsheets/d/1GwtLaSlNZkLk7iDqcyZz22giiy40b_usZZBXYciEN1U/edit?usp=sharing"",""ชุมพร!S728"")"),170610)</f>
        <v>170610</v>
      </c>
      <c r="F76" s="68">
        <f t="shared" ca="1" si="33"/>
        <v>96.940804800163647</v>
      </c>
      <c r="G76" s="68">
        <f t="shared" ca="1" si="34"/>
        <v>85.09481580496174</v>
      </c>
      <c r="H76" s="152">
        <f ca="1">IFERROR(__xludf.DUMMYFUNCTION("IMPORTRANGE(""https://docs.google.com/spreadsheets/d/1GwtLaSlNZkLk7iDqcyZz22giiy40b_usZZBXYciEN1U/edit?usp=sharing"",""ชุมพร!I726"")"),21)</f>
        <v>21</v>
      </c>
      <c r="I76" s="152">
        <f ca="1">IFERROR(__xludf.DUMMYFUNCTION("IMPORTRANGE(""https://docs.google.com/spreadsheets/d/1GwtLaSlNZkLk7iDqcyZz22giiy40b_usZZBXYciEN1U/edit?usp=sharing"",""ชุมพร!I727"")"),200)</f>
        <v>200</v>
      </c>
      <c r="J76" s="152">
        <f ca="1">IFERROR(__xludf.DUMMYFUNCTION("IMPORTRANGE(""https://docs.google.com/spreadsheets/d/1GwtLaSlNZkLk7iDqcyZz22giiy40b_usZZBXYciEN1U/edit?usp=sharing"",""ชุมพร!J726"")"),21)</f>
        <v>21</v>
      </c>
      <c r="K76" s="216">
        <f t="shared" ca="1" si="36"/>
        <v>100</v>
      </c>
      <c r="L76" s="152">
        <f ca="1">IFERROR(__xludf.DUMMYFUNCTION("IMPORTRANGE(""https://docs.google.com/spreadsheets/d/1GwtLaSlNZkLk7iDqcyZz22giiy40b_usZZBXYciEN1U/edit?usp=sharing"",""ชุมพร!J727"")"),200)</f>
        <v>200</v>
      </c>
      <c r="M76" s="216">
        <f t="shared" ca="1" si="37"/>
        <v>100</v>
      </c>
      <c r="N76" s="152">
        <f ca="1">IFERROR(__xludf.DUMMYFUNCTION("IMPORTRANGE(""https://docs.google.com/spreadsheets/d/1GwtLaSlNZkLk7iDqcyZz22giiy40b_usZZBXYciEN1U/edit?usp=sharing"",""ชุมพร!I740"")"),160)</f>
        <v>160</v>
      </c>
      <c r="O76" s="152">
        <f ca="1">IFERROR(__xludf.DUMMYFUNCTION("IMPORTRANGE(""https://docs.google.com/spreadsheets/d/1GwtLaSlNZkLk7iDqcyZz22giiy40b_usZZBXYciEN1U/edit?usp=sharing"",""ชุมพร!J740"")"),160)</f>
        <v>160</v>
      </c>
      <c r="P76" s="216">
        <f t="shared" ca="1" si="39"/>
        <v>100</v>
      </c>
      <c r="Q76" s="152">
        <f ca="1">IFERROR(__xludf.DUMMYFUNCTION("IMPORTRANGE(""https://docs.google.com/spreadsheets/d/1GwtLaSlNZkLk7iDqcyZz22giiy40b_usZZBXYciEN1U/edit?usp=sharing"",""ชุมพร!J741"")"),0)</f>
        <v>0</v>
      </c>
      <c r="R76" s="152">
        <f ca="1">IFERROR(__xludf.DUMMYFUNCTION("IMPORTRANGE(""https://docs.google.com/spreadsheets/d/1GwtLaSlNZkLk7iDqcyZz22giiy40b_usZZBXYciEN1U/edit?usp=sharing"",""ชุมพร!I742"")"),16)</f>
        <v>16</v>
      </c>
      <c r="S76" s="152">
        <f ca="1">IFERROR(__xludf.DUMMYFUNCTION("IMPORTRANGE(""https://docs.google.com/spreadsheets/d/1GwtLaSlNZkLk7iDqcyZz22giiy40b_usZZBXYciEN1U/edit?usp=sharing"",""ชุมพร!J742"")"),16)</f>
        <v>16</v>
      </c>
      <c r="T76" s="216">
        <f t="shared" ca="1" si="41"/>
        <v>100</v>
      </c>
      <c r="U76" s="152">
        <f ca="1">IFERROR(__xludf.DUMMYFUNCTION("IMPORTRANGE(""https://docs.google.com/spreadsheets/d/1GwtLaSlNZkLk7iDqcyZz22giiy40b_usZZBXYciEN1U/edit?usp=sharing"",""ชุมพร!I744"")"),40)</f>
        <v>40</v>
      </c>
      <c r="V76" s="152">
        <f ca="1">IFERROR(__xludf.DUMMYFUNCTION("IMPORTRANGE(""https://docs.google.com/spreadsheets/d/1GwtLaSlNZkLk7iDqcyZz22giiy40b_usZZBXYciEN1U/edit?usp=sharing"",""ชุมพร!J744"")"),40)</f>
        <v>40</v>
      </c>
      <c r="W76" s="216">
        <f t="shared" ca="1" si="43"/>
        <v>100</v>
      </c>
      <c r="X76" s="152">
        <f ca="1">IFERROR(__xludf.DUMMYFUNCTION("IMPORTRANGE(""https://docs.google.com/spreadsheets/d/1GwtLaSlNZkLk7iDqcyZz22giiy40b_usZZBXYciEN1U/edit?usp=sharing"",""ชุมพร!J745"")"),0)</f>
        <v>0</v>
      </c>
      <c r="Y76" s="152">
        <f ca="1">IFERROR(__xludf.DUMMYFUNCTION("IMPORTRANGE(""https://docs.google.com/spreadsheets/d/1GwtLaSlNZkLk7iDqcyZz22giiy40b_usZZBXYciEN1U/edit?usp=sharing"",""ชุมพร!I746"")"),4)</f>
        <v>4</v>
      </c>
      <c r="Z76" s="152">
        <f ca="1">IFERROR(__xludf.DUMMYFUNCTION("IMPORTRANGE(""https://docs.google.com/spreadsheets/d/1GwtLaSlNZkLk7iDqcyZz22giiy40b_usZZBXYciEN1U/edit?usp=sharing"",""ชุมพร!J746"")"),4)</f>
        <v>4</v>
      </c>
      <c r="AA76" s="216">
        <f t="shared" ca="1" si="45"/>
        <v>100</v>
      </c>
      <c r="AB76" s="152">
        <f ca="1">IFERROR(__xludf.DUMMYFUNCTION("IMPORTRANGE(""https://docs.google.com/spreadsheets/d/1GwtLaSlNZkLk7iDqcyZz22giiy40b_usZZBXYciEN1U/edit?usp=sharing"",""ชุมพร!J748"")"),0)</f>
        <v>0</v>
      </c>
      <c r="AC76" s="152">
        <f ca="1">IFERROR(__xludf.DUMMYFUNCTION("IMPORTRANGE(""https://docs.google.com/spreadsheets/d/1GwtLaSlNZkLk7iDqcyZz22giiy40b_usZZBXYciEN1U/edit?usp=sharing"",""ชุมพร!I749"")"),1)</f>
        <v>1</v>
      </c>
      <c r="AD76" s="152">
        <f ca="1">IFERROR(__xludf.DUMMYFUNCTION("IMPORTRANGE(""https://docs.google.com/spreadsheets/d/1GwtLaSlNZkLk7iDqcyZz22giiy40b_usZZBXYciEN1U/edit?usp=sharing"",""ชุมพร!J749"")"),1)</f>
        <v>1</v>
      </c>
      <c r="AE76" s="216">
        <f t="shared" ca="1" si="47"/>
        <v>100</v>
      </c>
      <c r="AF76" s="152">
        <f ca="1">IFERROR(__xludf.DUMMYFUNCTION("IMPORTRANGE(""https://docs.google.com/spreadsheets/d/1GwtLaSlNZkLk7iDqcyZz22giiy40b_usZZBXYciEN1U/edit?usp=sharing"",""ชุมพร!I752"")"),160)</f>
        <v>160</v>
      </c>
      <c r="AG76" s="152">
        <f ca="1">IFERROR(__xludf.DUMMYFUNCTION("IMPORTRANGE(""https://docs.google.com/spreadsheets/d/1GwtLaSlNZkLk7iDqcyZz22giiy40b_usZZBXYciEN1U/edit?usp=sharing"",""ชุมพร!J752"")"),160)</f>
        <v>160</v>
      </c>
      <c r="AH76" s="216">
        <f t="shared" ca="1" si="49"/>
        <v>100</v>
      </c>
      <c r="AI76" s="152">
        <f ca="1">IFERROR(__xludf.DUMMYFUNCTION("IMPORTRANGE(""https://docs.google.com/spreadsheets/d/1GwtLaSlNZkLk7iDqcyZz22giiy40b_usZZBXYciEN1U/edit?usp=sharing"",""ชุมพร!J753"")"),0)</f>
        <v>0</v>
      </c>
      <c r="AJ76" s="152">
        <f ca="1">IFERROR(__xludf.DUMMYFUNCTION("IMPORTRANGE(""https://docs.google.com/spreadsheets/d/1GwtLaSlNZkLk7iDqcyZz22giiy40b_usZZBXYciEN1U/edit?usp=sharing"",""ชุมพร!I755"")"),40)</f>
        <v>40</v>
      </c>
      <c r="AK76" s="152">
        <f ca="1">IFERROR(__xludf.DUMMYFUNCTION("IMPORTRANGE(""https://docs.google.com/spreadsheets/d/1GwtLaSlNZkLk7iDqcyZz22giiy40b_usZZBXYciEN1U/edit?usp=sharing"",""ชุมพร!J755"")"),40)</f>
        <v>40</v>
      </c>
      <c r="AL76" s="216">
        <f t="shared" ca="1" si="51"/>
        <v>100</v>
      </c>
      <c r="AM76" s="152">
        <f ca="1">IFERROR(__xludf.DUMMYFUNCTION("IMPORTRANGE(""https://docs.google.com/spreadsheets/d/1GwtLaSlNZkLk7iDqcyZz22giiy40b_usZZBXYciEN1U/edit?usp=sharing"",""ชุมพร!J756"")"),0)</f>
        <v>0</v>
      </c>
      <c r="AN76" s="152">
        <f ca="1">IFERROR(__xludf.DUMMYFUNCTION("IMPORTRANGE(""https://docs.google.com/spreadsheets/d/1GwtLaSlNZkLk7iDqcyZz22giiy40b_usZZBXYciEN1U/edit?usp=sharing"",""ชุมพร!J757"")"),0)</f>
        <v>0</v>
      </c>
    </row>
    <row r="77" spans="1:40" ht="19.5" x14ac:dyDescent="0.3">
      <c r="A77" s="147">
        <v>3</v>
      </c>
      <c r="B77" s="148" t="s">
        <v>105</v>
      </c>
      <c r="C77" s="68">
        <f ca="1">IFERROR(__xludf.DUMMYFUNCTION("IMPORTRANGE(""https://docs.google.com/spreadsheets/d/16pAz3pOhQEZBhvFNMa5KGgZS6iKWpsKX0pg6tQmwFpo/edit?usp=sharing"",""ตรัง!Q728"")"),242546)</f>
        <v>242546</v>
      </c>
      <c r="D77" s="68">
        <f ca="1">IFERROR(__xludf.DUMMYFUNCTION("IMPORTRANGE(""https://docs.google.com/spreadsheets/d/16pAz3pOhQEZBhvFNMa5KGgZS6iKWpsKX0pg6tQmwFpo/edit?usp=sharing"",""ตรัง!R728"")"),242546)</f>
        <v>242546</v>
      </c>
      <c r="E77" s="68">
        <f ca="1">IFERROR(__xludf.DUMMYFUNCTION("IMPORTRANGE(""https://docs.google.com/spreadsheets/d/16pAz3pOhQEZBhvFNMa5KGgZS6iKWpsKX0pg6tQmwFpo/edit?usp=sharing"",""ตรัง!S728"")"),28440)</f>
        <v>28440</v>
      </c>
      <c r="F77" s="68">
        <f t="shared" ca="1" si="33"/>
        <v>11.725610811969688</v>
      </c>
      <c r="G77" s="68">
        <f t="shared" ca="1" si="34"/>
        <v>11.725610811969688</v>
      </c>
      <c r="H77" s="152">
        <f ca="1">IFERROR(__xludf.DUMMYFUNCTION("IMPORTRANGE(""https://docs.google.com/spreadsheets/d/16pAz3pOhQEZBhvFNMa5KGgZS6iKWpsKX0pg6tQmwFpo/edit?usp=sharing"",""ตรัง!I726"")"),31)</f>
        <v>31</v>
      </c>
      <c r="I77" s="152">
        <f ca="1">IFERROR(__xludf.DUMMYFUNCTION("IMPORTRANGE(""https://docs.google.com/spreadsheets/d/16pAz3pOhQEZBhvFNMa5KGgZS6iKWpsKX0pg6tQmwFpo/edit?usp=sharing"",""ตรัง!I727"")"),300)</f>
        <v>300</v>
      </c>
      <c r="J77" s="152">
        <f ca="1">IFERROR(__xludf.DUMMYFUNCTION("IMPORTRANGE(""https://docs.google.com/spreadsheets/d/16pAz3pOhQEZBhvFNMa5KGgZS6iKWpsKX0pg6tQmwFpo/edit?usp=sharing"",""ตรัง!J726"")"),30)</f>
        <v>30</v>
      </c>
      <c r="K77" s="216">
        <f t="shared" ca="1" si="36"/>
        <v>96.774193548387103</v>
      </c>
      <c r="L77" s="152">
        <f ca="1">IFERROR(__xludf.DUMMYFUNCTION("IMPORTRANGE(""https://docs.google.com/spreadsheets/d/16pAz3pOhQEZBhvFNMa5KGgZS6iKWpsKX0pg6tQmwFpo/edit?usp=sharing"",""ตรัง!J727"")"),300)</f>
        <v>300</v>
      </c>
      <c r="M77" s="216">
        <f t="shared" ca="1" si="37"/>
        <v>100</v>
      </c>
      <c r="N77" s="152">
        <f ca="1">IFERROR(__xludf.DUMMYFUNCTION("IMPORTRANGE(""https://docs.google.com/spreadsheets/d/16pAz3pOhQEZBhvFNMa5KGgZS6iKWpsKX0pg6tQmwFpo/edit?usp=sharing"",""ตรัง!I740"")"),240)</f>
        <v>240</v>
      </c>
      <c r="O77" s="152">
        <f ca="1">IFERROR(__xludf.DUMMYFUNCTION("IMPORTRANGE(""https://docs.google.com/spreadsheets/d/16pAz3pOhQEZBhvFNMa5KGgZS6iKWpsKX0pg6tQmwFpo/edit?usp=sharing"",""ตรัง!J740"")"),240)</f>
        <v>240</v>
      </c>
      <c r="P77" s="216">
        <f t="shared" ca="1" si="39"/>
        <v>100</v>
      </c>
      <c r="Q77" s="152">
        <f ca="1">IFERROR(__xludf.DUMMYFUNCTION("IMPORTRANGE(""https://docs.google.com/spreadsheets/d/16pAz3pOhQEZBhvFNMa5KGgZS6iKWpsKX0pg6tQmwFpo/edit?usp=sharing"",""ตรัง!J741"")"),24)</f>
        <v>24</v>
      </c>
      <c r="R77" s="152">
        <f ca="1">IFERROR(__xludf.DUMMYFUNCTION("IMPORTRANGE(""https://docs.google.com/spreadsheets/d/16pAz3pOhQEZBhvFNMa5KGgZS6iKWpsKX0pg6tQmwFpo/edit?usp=sharing"",""ตรัง!I742"")"),24)</f>
        <v>24</v>
      </c>
      <c r="S77" s="152">
        <f ca="1">IFERROR(__xludf.DUMMYFUNCTION("IMPORTRANGE(""https://docs.google.com/spreadsheets/d/16pAz3pOhQEZBhvFNMa5KGgZS6iKWpsKX0pg6tQmwFpo/edit?usp=sharing"",""ตรัง!J742"")"),24)</f>
        <v>24</v>
      </c>
      <c r="T77" s="216">
        <f t="shared" ca="1" si="41"/>
        <v>100</v>
      </c>
      <c r="U77" s="152">
        <f ca="1">IFERROR(__xludf.DUMMYFUNCTION("IMPORTRANGE(""https://docs.google.com/spreadsheets/d/16pAz3pOhQEZBhvFNMa5KGgZS6iKWpsKX0pg6tQmwFpo/edit?usp=sharing"",""ตรัง!I744"")"),60)</f>
        <v>60</v>
      </c>
      <c r="V77" s="152">
        <f ca="1">IFERROR(__xludf.DUMMYFUNCTION("IMPORTRANGE(""https://docs.google.com/spreadsheets/d/16pAz3pOhQEZBhvFNMa5KGgZS6iKWpsKX0pg6tQmwFpo/edit?usp=sharing"",""ตรัง!J744"")"),60)</f>
        <v>60</v>
      </c>
      <c r="W77" s="216">
        <f t="shared" ca="1" si="43"/>
        <v>100</v>
      </c>
      <c r="X77" s="152">
        <f ca="1">IFERROR(__xludf.DUMMYFUNCTION("IMPORTRANGE(""https://docs.google.com/spreadsheets/d/16pAz3pOhQEZBhvFNMa5KGgZS6iKWpsKX0pg6tQmwFpo/edit?usp=sharing"",""ตรัง!J745"")"),6)</f>
        <v>6</v>
      </c>
      <c r="Y77" s="152">
        <f ca="1">IFERROR(__xludf.DUMMYFUNCTION("IMPORTRANGE(""https://docs.google.com/spreadsheets/d/16pAz3pOhQEZBhvFNMa5KGgZS6iKWpsKX0pg6tQmwFpo/edit?usp=sharing"",""ตรัง!I746"")"),6)</f>
        <v>6</v>
      </c>
      <c r="Z77" s="152">
        <f ca="1">IFERROR(__xludf.DUMMYFUNCTION("IMPORTRANGE(""https://docs.google.com/spreadsheets/d/16pAz3pOhQEZBhvFNMa5KGgZS6iKWpsKX0pg6tQmwFpo/edit?usp=sharing"",""ตรัง!J746"")"),6)</f>
        <v>6</v>
      </c>
      <c r="AA77" s="216">
        <f t="shared" ca="1" si="45"/>
        <v>100</v>
      </c>
      <c r="AB77" s="152">
        <f ca="1">IFERROR(__xludf.DUMMYFUNCTION("IMPORTRANGE(""https://docs.google.com/spreadsheets/d/16pAz3pOhQEZBhvFNMa5KGgZS6iKWpsKX0pg6tQmwFpo/edit?usp=sharing"",""ตรัง!J748"")"),0)</f>
        <v>0</v>
      </c>
      <c r="AC77" s="152">
        <f ca="1">IFERROR(__xludf.DUMMYFUNCTION("IMPORTRANGE(""https://docs.google.com/spreadsheets/d/16pAz3pOhQEZBhvFNMa5KGgZS6iKWpsKX0pg6tQmwFpo/edit?usp=sharing"",""ตรัง!I749"")"),1)</f>
        <v>1</v>
      </c>
      <c r="AD77" s="152">
        <f ca="1">IFERROR(__xludf.DUMMYFUNCTION("IMPORTRANGE(""https://docs.google.com/spreadsheets/d/16pAz3pOhQEZBhvFNMa5KGgZS6iKWpsKX0pg6tQmwFpo/edit?usp=sharing"",""ตรัง!J749"")"),0)</f>
        <v>0</v>
      </c>
      <c r="AE77" s="216">
        <f t="shared" ca="1" si="47"/>
        <v>0</v>
      </c>
      <c r="AF77" s="152">
        <f ca="1">IFERROR(__xludf.DUMMYFUNCTION("IMPORTRANGE(""https://docs.google.com/spreadsheets/d/16pAz3pOhQEZBhvFNMa5KGgZS6iKWpsKX0pg6tQmwFpo/edit?usp=sharing"",""ตรัง!I752"")"),240)</f>
        <v>240</v>
      </c>
      <c r="AG77" s="152">
        <f ca="1">IFERROR(__xludf.DUMMYFUNCTION("IMPORTRANGE(""https://docs.google.com/spreadsheets/d/16pAz3pOhQEZBhvFNMa5KGgZS6iKWpsKX0pg6tQmwFpo/edit?usp=sharing"",""ตรัง!J752"")"),240)</f>
        <v>240</v>
      </c>
      <c r="AH77" s="216">
        <f t="shared" ca="1" si="49"/>
        <v>100</v>
      </c>
      <c r="AI77" s="152">
        <f ca="1">IFERROR(__xludf.DUMMYFUNCTION("IMPORTRANGE(""https://docs.google.com/spreadsheets/d/16pAz3pOhQEZBhvFNMa5KGgZS6iKWpsKX0pg6tQmwFpo/edit?usp=sharing"",""ตรัง!J753"")"),0)</f>
        <v>0</v>
      </c>
      <c r="AJ77" s="152">
        <f ca="1">IFERROR(__xludf.DUMMYFUNCTION("IMPORTRANGE(""https://docs.google.com/spreadsheets/d/16pAz3pOhQEZBhvFNMa5KGgZS6iKWpsKX0pg6tQmwFpo/edit?usp=sharing"",""ตรัง!I755"")"),60)</f>
        <v>60</v>
      </c>
      <c r="AK77" s="152">
        <f ca="1">IFERROR(__xludf.DUMMYFUNCTION("IMPORTRANGE(""https://docs.google.com/spreadsheets/d/16pAz3pOhQEZBhvFNMa5KGgZS6iKWpsKX0pg6tQmwFpo/edit?usp=sharing"",""ตรัง!J755"")"),60)</f>
        <v>60</v>
      </c>
      <c r="AL77" s="216">
        <f t="shared" ca="1" si="51"/>
        <v>100</v>
      </c>
      <c r="AM77" s="152">
        <f ca="1">IFERROR(__xludf.DUMMYFUNCTION("IMPORTRANGE(""https://docs.google.com/spreadsheets/d/16pAz3pOhQEZBhvFNMa5KGgZS6iKWpsKX0pg6tQmwFpo/edit?usp=sharing"",""ตรัง!J756"")"),0)</f>
        <v>0</v>
      </c>
      <c r="AN77" s="152">
        <f ca="1">IFERROR(__xludf.DUMMYFUNCTION("IMPORTRANGE(""https://docs.google.com/spreadsheets/d/16pAz3pOhQEZBhvFNMa5KGgZS6iKWpsKX0pg6tQmwFpo/edit?usp=sharing"",""ตรัง!J757"")"),0)</f>
        <v>0</v>
      </c>
    </row>
    <row r="78" spans="1:40" ht="19.5" x14ac:dyDescent="0.3">
      <c r="A78" s="147">
        <v>4</v>
      </c>
      <c r="B78" s="148" t="s">
        <v>106</v>
      </c>
      <c r="C78" s="68">
        <f ca="1">IFERROR(__xludf.DUMMYFUNCTION("IMPORTRANGE(""https://docs.google.com/spreadsheets/d/1Dj4jcHCTV9JXKCaMoheSXS52JE63kDKyG7bPXnFogHk/edit?usp=sharing"",""นครศรีธรรมราช!Q728"")"),175994)</f>
        <v>175994</v>
      </c>
      <c r="D78" s="68">
        <f ca="1">IFERROR(__xludf.DUMMYFUNCTION("IMPORTRANGE(""https://docs.google.com/spreadsheets/d/1Dj4jcHCTV9JXKCaMoheSXS52JE63kDKyG7bPXnFogHk/edit?usp=sharing"",""นครศรีธรรมราช!R728"")"),175994)</f>
        <v>175994</v>
      </c>
      <c r="E78" s="68">
        <f ca="1">IFERROR(__xludf.DUMMYFUNCTION("IMPORTRANGE(""https://docs.google.com/spreadsheets/d/1Dj4jcHCTV9JXKCaMoheSXS52JE63kDKyG7bPXnFogHk/edit?usp=sharing"",""นครศรีธรรมราช!S728"")"),138298)</f>
        <v>138298</v>
      </c>
      <c r="F78" s="68">
        <f t="shared" ca="1" si="33"/>
        <v>78.581087991636082</v>
      </c>
      <c r="G78" s="68">
        <f t="shared" ca="1" si="34"/>
        <v>78.581087991636082</v>
      </c>
      <c r="H78" s="152">
        <f ca="1">IFERROR(__xludf.DUMMYFUNCTION("IMPORTRANGE(""https://docs.google.com/spreadsheets/d/1Dj4jcHCTV9JXKCaMoheSXS52JE63kDKyG7bPXnFogHk/edit?usp=sharing"",""นครศรีธรรมราช!I726"")"),21)</f>
        <v>21</v>
      </c>
      <c r="I78" s="152">
        <f ca="1">IFERROR(__xludf.DUMMYFUNCTION("IMPORTRANGE(""https://docs.google.com/spreadsheets/d/1Dj4jcHCTV9JXKCaMoheSXS52JE63kDKyG7bPXnFogHk/edit?usp=sharing"",""นครศรีธรรมราช!I727"")"),200)</f>
        <v>200</v>
      </c>
      <c r="J78" s="152">
        <f ca="1">IFERROR(__xludf.DUMMYFUNCTION("IMPORTRANGE(""https://docs.google.com/spreadsheets/d/1Dj4jcHCTV9JXKCaMoheSXS52JE63kDKyG7bPXnFogHk/edit?usp=sharing"",""นครศรีธรรมราช!J726"")"),21)</f>
        <v>21</v>
      </c>
      <c r="K78" s="216">
        <f t="shared" ca="1" si="36"/>
        <v>100</v>
      </c>
      <c r="L78" s="152">
        <f ca="1">IFERROR(__xludf.DUMMYFUNCTION("IMPORTRANGE(""https://docs.google.com/spreadsheets/d/1Dj4jcHCTV9JXKCaMoheSXS52JE63kDKyG7bPXnFogHk/edit?usp=sharing"",""นครศรีธรรมราช!J727"")"),200)</f>
        <v>200</v>
      </c>
      <c r="M78" s="216">
        <f t="shared" ca="1" si="37"/>
        <v>100</v>
      </c>
      <c r="N78" s="152">
        <f ca="1">IFERROR(__xludf.DUMMYFUNCTION("IMPORTRANGE(""https://docs.google.com/spreadsheets/d/1Dj4jcHCTV9JXKCaMoheSXS52JE63kDKyG7bPXnFogHk/edit?usp=sharing"",""นครศรีธรรมราช!I740"")"),160)</f>
        <v>160</v>
      </c>
      <c r="O78" s="152">
        <f ca="1">IFERROR(__xludf.DUMMYFUNCTION("IMPORTRANGE(""https://docs.google.com/spreadsheets/d/1Dj4jcHCTV9JXKCaMoheSXS52JE63kDKyG7bPXnFogHk/edit?usp=sharing"",""นครศรีธรรมราช!J740"")"),160)</f>
        <v>160</v>
      </c>
      <c r="P78" s="216">
        <f t="shared" ca="1" si="39"/>
        <v>100</v>
      </c>
      <c r="Q78" s="152">
        <f ca="1">IFERROR(__xludf.DUMMYFUNCTION("IMPORTRANGE(""https://docs.google.com/spreadsheets/d/1Dj4jcHCTV9JXKCaMoheSXS52JE63kDKyG7bPXnFogHk/edit?usp=sharing"",""นครศรีธรรมราช!J741"")"),0)</f>
        <v>0</v>
      </c>
      <c r="R78" s="152">
        <f ca="1">IFERROR(__xludf.DUMMYFUNCTION("IMPORTRANGE(""https://docs.google.com/spreadsheets/d/1Dj4jcHCTV9JXKCaMoheSXS52JE63kDKyG7bPXnFogHk/edit?usp=sharing"",""นครศรีธรรมราช!I742"")"),16)</f>
        <v>16</v>
      </c>
      <c r="S78" s="152">
        <f ca="1">IFERROR(__xludf.DUMMYFUNCTION("IMPORTRANGE(""https://docs.google.com/spreadsheets/d/1Dj4jcHCTV9JXKCaMoheSXS52JE63kDKyG7bPXnFogHk/edit?usp=sharing"",""นครศรีธรรมราช!J742"")"),16)</f>
        <v>16</v>
      </c>
      <c r="T78" s="216">
        <f t="shared" ca="1" si="41"/>
        <v>100</v>
      </c>
      <c r="U78" s="152">
        <f ca="1">IFERROR(__xludf.DUMMYFUNCTION("IMPORTRANGE(""https://docs.google.com/spreadsheets/d/1Dj4jcHCTV9JXKCaMoheSXS52JE63kDKyG7bPXnFogHk/edit?usp=sharing"",""นครศรีธรรมราช!I744"")"),40)</f>
        <v>40</v>
      </c>
      <c r="V78" s="152">
        <f ca="1">IFERROR(__xludf.DUMMYFUNCTION("IMPORTRANGE(""https://docs.google.com/spreadsheets/d/1Dj4jcHCTV9JXKCaMoheSXS52JE63kDKyG7bPXnFogHk/edit?usp=sharing"",""นครศรีธรรมราช!J744"")"),40)</f>
        <v>40</v>
      </c>
      <c r="W78" s="216">
        <f t="shared" ca="1" si="43"/>
        <v>100</v>
      </c>
      <c r="X78" s="152">
        <f ca="1">IFERROR(__xludf.DUMMYFUNCTION("IMPORTRANGE(""https://docs.google.com/spreadsheets/d/1Dj4jcHCTV9JXKCaMoheSXS52JE63kDKyG7bPXnFogHk/edit?usp=sharing"",""นครศรีธรรมราช!J745"")"),0)</f>
        <v>0</v>
      </c>
      <c r="Y78" s="152">
        <f ca="1">IFERROR(__xludf.DUMMYFUNCTION("IMPORTRANGE(""https://docs.google.com/spreadsheets/d/1Dj4jcHCTV9JXKCaMoheSXS52JE63kDKyG7bPXnFogHk/edit?usp=sharing"",""นครศรีธรรมราช!I746"")"),4)</f>
        <v>4</v>
      </c>
      <c r="Z78" s="152">
        <f ca="1">IFERROR(__xludf.DUMMYFUNCTION("IMPORTRANGE(""https://docs.google.com/spreadsheets/d/1Dj4jcHCTV9JXKCaMoheSXS52JE63kDKyG7bPXnFogHk/edit?usp=sharing"",""นครศรีธรรมราช!J746"")"),4)</f>
        <v>4</v>
      </c>
      <c r="AA78" s="216">
        <f t="shared" ca="1" si="45"/>
        <v>100</v>
      </c>
      <c r="AB78" s="152">
        <f ca="1">IFERROR(__xludf.DUMMYFUNCTION("IMPORTRANGE(""https://docs.google.com/spreadsheets/d/1Dj4jcHCTV9JXKCaMoheSXS52JE63kDKyG7bPXnFogHk/edit?usp=sharing"",""นครศรีธรรมราช!J748"")"),0)</f>
        <v>0</v>
      </c>
      <c r="AC78" s="152">
        <f ca="1">IFERROR(__xludf.DUMMYFUNCTION("IMPORTRANGE(""https://docs.google.com/spreadsheets/d/1Dj4jcHCTV9JXKCaMoheSXS52JE63kDKyG7bPXnFogHk/edit?usp=sharing"",""นครศรีธรรมราช!I749"")"),1)</f>
        <v>1</v>
      </c>
      <c r="AD78" s="152">
        <f ca="1">IFERROR(__xludf.DUMMYFUNCTION("IMPORTRANGE(""https://docs.google.com/spreadsheets/d/1Dj4jcHCTV9JXKCaMoheSXS52JE63kDKyG7bPXnFogHk/edit?usp=sharing"",""นครศรีธรรมราช!J749"")"),1)</f>
        <v>1</v>
      </c>
      <c r="AE78" s="216">
        <f t="shared" ca="1" si="47"/>
        <v>100</v>
      </c>
      <c r="AF78" s="152">
        <f ca="1">IFERROR(__xludf.DUMMYFUNCTION("IMPORTRANGE(""https://docs.google.com/spreadsheets/d/1Dj4jcHCTV9JXKCaMoheSXS52JE63kDKyG7bPXnFogHk/edit?usp=sharing"",""นครศรีธรรมราช!I752"")"),160)</f>
        <v>160</v>
      </c>
      <c r="AG78" s="152">
        <f ca="1">IFERROR(__xludf.DUMMYFUNCTION("IMPORTRANGE(""https://docs.google.com/spreadsheets/d/1Dj4jcHCTV9JXKCaMoheSXS52JE63kDKyG7bPXnFogHk/edit?usp=sharing"",""นครศรีธรรมราช!J752"")"),160)</f>
        <v>160</v>
      </c>
      <c r="AH78" s="216">
        <f t="shared" ca="1" si="49"/>
        <v>100</v>
      </c>
      <c r="AI78" s="152">
        <f ca="1">IFERROR(__xludf.DUMMYFUNCTION("IMPORTRANGE(""https://docs.google.com/spreadsheets/d/1Dj4jcHCTV9JXKCaMoheSXS52JE63kDKyG7bPXnFogHk/edit?usp=sharing"",""นครศรีธรรมราช!J753"")"),0)</f>
        <v>0</v>
      </c>
      <c r="AJ78" s="152">
        <f ca="1">IFERROR(__xludf.DUMMYFUNCTION("IMPORTRANGE(""https://docs.google.com/spreadsheets/d/1Dj4jcHCTV9JXKCaMoheSXS52JE63kDKyG7bPXnFogHk/edit?usp=sharing"",""นครศรีธรรมราช!I755"")"),40)</f>
        <v>40</v>
      </c>
      <c r="AK78" s="152">
        <f ca="1">IFERROR(__xludf.DUMMYFUNCTION("IMPORTRANGE(""https://docs.google.com/spreadsheets/d/1Dj4jcHCTV9JXKCaMoheSXS52JE63kDKyG7bPXnFogHk/edit?usp=sharing"",""นครศรีธรรมราช!J755"")"),40)</f>
        <v>40</v>
      </c>
      <c r="AL78" s="216">
        <f t="shared" ca="1" si="51"/>
        <v>100</v>
      </c>
      <c r="AM78" s="152">
        <f ca="1">IFERROR(__xludf.DUMMYFUNCTION("IMPORTRANGE(""https://docs.google.com/spreadsheets/d/1Dj4jcHCTV9JXKCaMoheSXS52JE63kDKyG7bPXnFogHk/edit?usp=sharing"",""นครศรีธรรมราช!J756"")"),0)</f>
        <v>0</v>
      </c>
      <c r="AN78" s="152">
        <f ca="1">IFERROR(__xludf.DUMMYFUNCTION("IMPORTRANGE(""https://docs.google.com/spreadsheets/d/1Dj4jcHCTV9JXKCaMoheSXS52JE63kDKyG7bPXnFogHk/edit?usp=sharing"",""นครศรีธรรมราช!J757"")"),0)</f>
        <v>0</v>
      </c>
    </row>
    <row r="79" spans="1:40" ht="19.5" x14ac:dyDescent="0.3">
      <c r="A79" s="147">
        <v>5</v>
      </c>
      <c r="B79" s="148" t="s">
        <v>107</v>
      </c>
      <c r="C79" s="68">
        <f ca="1">IFERROR(__xludf.DUMMYFUNCTION("IMPORTRANGE(""https://docs.google.com/spreadsheets/d/1iodCdmuK2GR3jzUwk8tpccY2JHQQA-87DLOtJP-ooyU/edit?usp=sharing"",""นราธิวาส!Q728"")"),111882)</f>
        <v>111882</v>
      </c>
      <c r="D79" s="68">
        <f ca="1">IFERROR(__xludf.DUMMYFUNCTION("IMPORTRANGE(""https://docs.google.com/spreadsheets/d/1iodCdmuK2GR3jzUwk8tpccY2JHQQA-87DLOtJP-ooyU/edit?usp=sharing"",""นราธิวาส!R728"")"),111882)</f>
        <v>111882</v>
      </c>
      <c r="E79" s="68">
        <f ca="1">IFERROR(__xludf.DUMMYFUNCTION("IMPORTRANGE(""https://docs.google.com/spreadsheets/d/1iodCdmuK2GR3jzUwk8tpccY2JHQQA-87DLOtJP-ooyU/edit?usp=sharing"",""นราธิวาส!S728"")"),110012)</f>
        <v>110012</v>
      </c>
      <c r="F79" s="68">
        <f t="shared" ca="1" si="33"/>
        <v>98.3285961995674</v>
      </c>
      <c r="G79" s="68">
        <f t="shared" ca="1" si="34"/>
        <v>98.3285961995674</v>
      </c>
      <c r="H79" s="152">
        <f ca="1">IFERROR(__xludf.DUMMYFUNCTION("IMPORTRANGE(""https://docs.google.com/spreadsheets/d/1iodCdmuK2GR3jzUwk8tpccY2JHQQA-87DLOtJP-ooyU/edit?usp=sharing"",""นราธิวาส!I726"")"),11)</f>
        <v>11</v>
      </c>
      <c r="I79" s="152">
        <f ca="1">IFERROR(__xludf.DUMMYFUNCTION("IMPORTRANGE(""https://docs.google.com/spreadsheets/d/1iodCdmuK2GR3jzUwk8tpccY2JHQQA-87DLOtJP-ooyU/edit?usp=sharing"",""นราธิวาส!I727"")"),100)</f>
        <v>100</v>
      </c>
      <c r="J79" s="152">
        <f ca="1">IFERROR(__xludf.DUMMYFUNCTION("IMPORTRANGE(""https://docs.google.com/spreadsheets/d/1iodCdmuK2GR3jzUwk8tpccY2JHQQA-87DLOtJP-ooyU/edit?usp=sharing"",""นราธิวาส!J726"")"),11)</f>
        <v>11</v>
      </c>
      <c r="K79" s="216">
        <f t="shared" ca="1" si="36"/>
        <v>100</v>
      </c>
      <c r="L79" s="152">
        <f ca="1">IFERROR(__xludf.DUMMYFUNCTION("IMPORTRANGE(""https://docs.google.com/spreadsheets/d/1iodCdmuK2GR3jzUwk8tpccY2JHQQA-87DLOtJP-ooyU/edit?usp=sharing"",""นราธิวาส!J727"")"),100)</f>
        <v>100</v>
      </c>
      <c r="M79" s="216">
        <f t="shared" ca="1" si="37"/>
        <v>100</v>
      </c>
      <c r="N79" s="152">
        <f ca="1">IFERROR(__xludf.DUMMYFUNCTION("IMPORTRANGE(""https://docs.google.com/spreadsheets/d/1iodCdmuK2GR3jzUwk8tpccY2JHQQA-87DLOtJP-ooyU/edit?usp=sharing"",""นราธิวาส!I740"")"),80)</f>
        <v>80</v>
      </c>
      <c r="O79" s="152">
        <f ca="1">IFERROR(__xludf.DUMMYFUNCTION("IMPORTRANGE(""https://docs.google.com/spreadsheets/d/1iodCdmuK2GR3jzUwk8tpccY2JHQQA-87DLOtJP-ooyU/edit?usp=sharing"",""นราธิวาส!J740"")"),80)</f>
        <v>80</v>
      </c>
      <c r="P79" s="216">
        <f t="shared" ca="1" si="39"/>
        <v>100</v>
      </c>
      <c r="Q79" s="152">
        <f ca="1">IFERROR(__xludf.DUMMYFUNCTION("IMPORTRANGE(""https://docs.google.com/spreadsheets/d/1iodCdmuK2GR3jzUwk8tpccY2JHQQA-87DLOtJP-ooyU/edit?usp=sharing"",""นราธิวาส!J741"")"),8)</f>
        <v>8</v>
      </c>
      <c r="R79" s="152">
        <f ca="1">IFERROR(__xludf.DUMMYFUNCTION("IMPORTRANGE(""https://docs.google.com/spreadsheets/d/1iodCdmuK2GR3jzUwk8tpccY2JHQQA-87DLOtJP-ooyU/edit?usp=sharing"",""นราธิวาส!I742"")"),8)</f>
        <v>8</v>
      </c>
      <c r="S79" s="152">
        <f ca="1">IFERROR(__xludf.DUMMYFUNCTION("IMPORTRANGE(""https://docs.google.com/spreadsheets/d/1iodCdmuK2GR3jzUwk8tpccY2JHQQA-87DLOtJP-ooyU/edit?usp=sharing"",""นราธิวาส!J742"")"),8)</f>
        <v>8</v>
      </c>
      <c r="T79" s="216">
        <f t="shared" ca="1" si="41"/>
        <v>100</v>
      </c>
      <c r="U79" s="152">
        <f ca="1">IFERROR(__xludf.DUMMYFUNCTION("IMPORTRANGE(""https://docs.google.com/spreadsheets/d/1iodCdmuK2GR3jzUwk8tpccY2JHQQA-87DLOtJP-ooyU/edit?usp=sharing"",""นราธิวาส!I744"")"),20)</f>
        <v>20</v>
      </c>
      <c r="V79" s="152">
        <f ca="1">IFERROR(__xludf.DUMMYFUNCTION("IMPORTRANGE(""https://docs.google.com/spreadsheets/d/1iodCdmuK2GR3jzUwk8tpccY2JHQQA-87DLOtJP-ooyU/edit?usp=sharing"",""นราธิวาส!J744"")"),20)</f>
        <v>20</v>
      </c>
      <c r="W79" s="216">
        <f t="shared" ca="1" si="43"/>
        <v>100</v>
      </c>
      <c r="X79" s="152">
        <f ca="1">IFERROR(__xludf.DUMMYFUNCTION("IMPORTRANGE(""https://docs.google.com/spreadsheets/d/1iodCdmuK2GR3jzUwk8tpccY2JHQQA-87DLOtJP-ooyU/edit?usp=sharing"",""นราธิวาส!J745"")"),2)</f>
        <v>2</v>
      </c>
      <c r="Y79" s="152">
        <f ca="1">IFERROR(__xludf.DUMMYFUNCTION("IMPORTRANGE(""https://docs.google.com/spreadsheets/d/1iodCdmuK2GR3jzUwk8tpccY2JHQQA-87DLOtJP-ooyU/edit?usp=sharing"",""นราธิวาส!I746"")"),2)</f>
        <v>2</v>
      </c>
      <c r="Z79" s="152">
        <f ca="1">IFERROR(__xludf.DUMMYFUNCTION("IMPORTRANGE(""https://docs.google.com/spreadsheets/d/1iodCdmuK2GR3jzUwk8tpccY2JHQQA-87DLOtJP-ooyU/edit?usp=sharing"",""นราธิวาส!J746"")"),2)</f>
        <v>2</v>
      </c>
      <c r="AA79" s="216">
        <f t="shared" ca="1" si="45"/>
        <v>100</v>
      </c>
      <c r="AB79" s="152">
        <f ca="1">IFERROR(__xludf.DUMMYFUNCTION("IMPORTRANGE(""https://docs.google.com/spreadsheets/d/1iodCdmuK2GR3jzUwk8tpccY2JHQQA-87DLOtJP-ooyU/edit?usp=sharing"",""นราธิวาส!J748"")"),1)</f>
        <v>1</v>
      </c>
      <c r="AC79" s="152">
        <f ca="1">IFERROR(__xludf.DUMMYFUNCTION("IMPORTRANGE(""https://docs.google.com/spreadsheets/d/1iodCdmuK2GR3jzUwk8tpccY2JHQQA-87DLOtJP-ooyU/edit?usp=sharing"",""นราธิวาส!I749"")"),1)</f>
        <v>1</v>
      </c>
      <c r="AD79" s="152">
        <f ca="1">IFERROR(__xludf.DUMMYFUNCTION("IMPORTRANGE(""https://docs.google.com/spreadsheets/d/1iodCdmuK2GR3jzUwk8tpccY2JHQQA-87DLOtJP-ooyU/edit?usp=sharing"",""นราธิวาส!J749"")"),1)</f>
        <v>1</v>
      </c>
      <c r="AE79" s="216">
        <f t="shared" ca="1" si="47"/>
        <v>100</v>
      </c>
      <c r="AF79" s="152">
        <f ca="1">IFERROR(__xludf.DUMMYFUNCTION("IMPORTRANGE(""https://docs.google.com/spreadsheets/d/1iodCdmuK2GR3jzUwk8tpccY2JHQQA-87DLOtJP-ooyU/edit?usp=sharing"",""นราธิวาส!I752"")"),80)</f>
        <v>80</v>
      </c>
      <c r="AG79" s="152">
        <f ca="1">IFERROR(__xludf.DUMMYFUNCTION("IMPORTRANGE(""https://docs.google.com/spreadsheets/d/1iodCdmuK2GR3jzUwk8tpccY2JHQQA-87DLOtJP-ooyU/edit?usp=sharing"",""นราธิวาส!J752"")"),80)</f>
        <v>80</v>
      </c>
      <c r="AH79" s="216">
        <f t="shared" ca="1" si="49"/>
        <v>100</v>
      </c>
      <c r="AI79" s="152">
        <f ca="1">IFERROR(__xludf.DUMMYFUNCTION("IMPORTRANGE(""https://docs.google.com/spreadsheets/d/1iodCdmuK2GR3jzUwk8tpccY2JHQQA-87DLOtJP-ooyU/edit?usp=sharing"",""นราธิวาส!J753"")"),80)</f>
        <v>80</v>
      </c>
      <c r="AJ79" s="152">
        <f ca="1">IFERROR(__xludf.DUMMYFUNCTION("IMPORTRANGE(""https://docs.google.com/spreadsheets/d/1iodCdmuK2GR3jzUwk8tpccY2JHQQA-87DLOtJP-ooyU/edit?usp=sharing"",""นราธิวาส!I755"")"),20)</f>
        <v>20</v>
      </c>
      <c r="AK79" s="152">
        <f ca="1">IFERROR(__xludf.DUMMYFUNCTION("IMPORTRANGE(""https://docs.google.com/spreadsheets/d/1iodCdmuK2GR3jzUwk8tpccY2JHQQA-87DLOtJP-ooyU/edit?usp=sharing"",""นราธิวาส!J755"")"),20)</f>
        <v>20</v>
      </c>
      <c r="AL79" s="216">
        <f t="shared" ca="1" si="51"/>
        <v>100</v>
      </c>
      <c r="AM79" s="152">
        <f ca="1">IFERROR(__xludf.DUMMYFUNCTION("IMPORTRANGE(""https://docs.google.com/spreadsheets/d/1iodCdmuK2GR3jzUwk8tpccY2JHQQA-87DLOtJP-ooyU/edit?usp=sharing"",""นราธิวาส!J756"")"),20)</f>
        <v>20</v>
      </c>
      <c r="AN79" s="152">
        <f ca="1">IFERROR(__xludf.DUMMYFUNCTION("IMPORTRANGE(""https://docs.google.com/spreadsheets/d/1iodCdmuK2GR3jzUwk8tpccY2JHQQA-87DLOtJP-ooyU/edit?usp=sharing"",""นราธิวาส!J757"")"),1)</f>
        <v>1</v>
      </c>
    </row>
    <row r="80" spans="1:40" ht="19.5" x14ac:dyDescent="0.3">
      <c r="A80" s="147">
        <v>6</v>
      </c>
      <c r="B80" s="148" t="s">
        <v>108</v>
      </c>
      <c r="C80" s="68">
        <f ca="1">IFERROR(__xludf.DUMMYFUNCTION("IMPORTRANGE(""https://docs.google.com/spreadsheets/d/1SDNX3JhDdYRuIOsj0Wh2M-Qa_eaXl0NbWmhAOTbfQAs/edit?usp=sharing"",""ปัตตานี!Q728"")"),79606)</f>
        <v>79606</v>
      </c>
      <c r="D80" s="68">
        <f ca="1">IFERROR(__xludf.DUMMYFUNCTION("IMPORTRANGE(""https://docs.google.com/spreadsheets/d/1SDNX3JhDdYRuIOsj0Wh2M-Qa_eaXl0NbWmhAOTbfQAs/edit?usp=sharing"",""ปัตตานี!R728"")"),79606)</f>
        <v>79606</v>
      </c>
      <c r="E80" s="68">
        <f ca="1">IFERROR(__xludf.DUMMYFUNCTION("IMPORTRANGE(""https://docs.google.com/spreadsheets/d/1SDNX3JhDdYRuIOsj0Wh2M-Qa_eaXl0NbWmhAOTbfQAs/edit?usp=sharing"",""ปัตตานี!S728"")"),55846)</f>
        <v>55846</v>
      </c>
      <c r="F80" s="68">
        <f t="shared" ca="1" si="33"/>
        <v>70.153003542446555</v>
      </c>
      <c r="G80" s="68">
        <f t="shared" ca="1" si="34"/>
        <v>70.153003542446555</v>
      </c>
      <c r="H80" s="152">
        <f ca="1">IFERROR(__xludf.DUMMYFUNCTION("IMPORTRANGE(""https://docs.google.com/spreadsheets/d/1SDNX3JhDdYRuIOsj0Wh2M-Qa_eaXl0NbWmhAOTbfQAs/edit?usp=sharing"",""ปัตตานี!I726"")"),6)</f>
        <v>6</v>
      </c>
      <c r="I80" s="152">
        <f ca="1">IFERROR(__xludf.DUMMYFUNCTION("IMPORTRANGE(""https://docs.google.com/spreadsheets/d/1SDNX3JhDdYRuIOsj0Wh2M-Qa_eaXl0NbWmhAOTbfQAs/edit?usp=sharing"",""ปัตตานี!I727"")"),50)</f>
        <v>50</v>
      </c>
      <c r="J80" s="152">
        <f ca="1">IFERROR(__xludf.DUMMYFUNCTION("IMPORTRANGE(""https://docs.google.com/spreadsheets/d/1SDNX3JhDdYRuIOsj0Wh2M-Qa_eaXl0NbWmhAOTbfQAs/edit?usp=sharing"",""ปัตตานี!J726"")"),7)</f>
        <v>7</v>
      </c>
      <c r="K80" s="216">
        <f t="shared" ca="1" si="36"/>
        <v>116.66666666666667</v>
      </c>
      <c r="L80" s="152">
        <f ca="1">IFERROR(__xludf.DUMMYFUNCTION("IMPORTRANGE(""https://docs.google.com/spreadsheets/d/1SDNX3JhDdYRuIOsj0Wh2M-Qa_eaXl0NbWmhAOTbfQAs/edit?usp=sharing"",""ปัตตานี!J727"")"),50)</f>
        <v>50</v>
      </c>
      <c r="M80" s="216">
        <f t="shared" ca="1" si="37"/>
        <v>100</v>
      </c>
      <c r="N80" s="152">
        <f ca="1">IFERROR(__xludf.DUMMYFUNCTION("IMPORTRANGE(""https://docs.google.com/spreadsheets/d/1SDNX3JhDdYRuIOsj0Wh2M-Qa_eaXl0NbWmhAOTbfQAs/edit?usp=sharing"",""ปัตตานี!I740"")"),40)</f>
        <v>40</v>
      </c>
      <c r="O80" s="152">
        <f ca="1">IFERROR(__xludf.DUMMYFUNCTION("IMPORTRANGE(""https://docs.google.com/spreadsheets/d/1SDNX3JhDdYRuIOsj0Wh2M-Qa_eaXl0NbWmhAOTbfQAs/edit?usp=sharing"",""ปัตตานี!J740"")"),40)</f>
        <v>40</v>
      </c>
      <c r="P80" s="216">
        <f t="shared" ca="1" si="39"/>
        <v>100</v>
      </c>
      <c r="Q80" s="152">
        <f ca="1">IFERROR(__xludf.DUMMYFUNCTION("IMPORTRANGE(""https://docs.google.com/spreadsheets/d/1SDNX3JhDdYRuIOsj0Wh2M-Qa_eaXl0NbWmhAOTbfQAs/edit?usp=sharing"",""ปัตตานี!J741"")"),5)</f>
        <v>5</v>
      </c>
      <c r="R80" s="152">
        <f ca="1">IFERROR(__xludf.DUMMYFUNCTION("IMPORTRANGE(""https://docs.google.com/spreadsheets/d/1SDNX3JhDdYRuIOsj0Wh2M-Qa_eaXl0NbWmhAOTbfQAs/edit?usp=sharing"",""ปัตตานี!I742"")"),4)</f>
        <v>4</v>
      </c>
      <c r="S80" s="152">
        <f ca="1">IFERROR(__xludf.DUMMYFUNCTION("IMPORTRANGE(""https://docs.google.com/spreadsheets/d/1SDNX3JhDdYRuIOsj0Wh2M-Qa_eaXl0NbWmhAOTbfQAs/edit?usp=sharing"",""ปัตตานี!J742"")"),5)</f>
        <v>5</v>
      </c>
      <c r="T80" s="216">
        <f t="shared" ca="1" si="41"/>
        <v>125</v>
      </c>
      <c r="U80" s="152">
        <f ca="1">IFERROR(__xludf.DUMMYFUNCTION("IMPORTRANGE(""https://docs.google.com/spreadsheets/d/1SDNX3JhDdYRuIOsj0Wh2M-Qa_eaXl0NbWmhAOTbfQAs/edit?usp=sharing"",""ปัตตานี!I744"")"),10)</f>
        <v>10</v>
      </c>
      <c r="V80" s="152">
        <f ca="1">IFERROR(__xludf.DUMMYFUNCTION("IMPORTRANGE(""https://docs.google.com/spreadsheets/d/1SDNX3JhDdYRuIOsj0Wh2M-Qa_eaXl0NbWmhAOTbfQAs/edit?usp=sharing"",""ปัตตานี!J744"")"),10)</f>
        <v>10</v>
      </c>
      <c r="W80" s="216">
        <f t="shared" ca="1" si="43"/>
        <v>100</v>
      </c>
      <c r="X80" s="152">
        <f ca="1">IFERROR(__xludf.DUMMYFUNCTION("IMPORTRANGE(""https://docs.google.com/spreadsheets/d/1SDNX3JhDdYRuIOsj0Wh2M-Qa_eaXl0NbWmhAOTbfQAs/edit?usp=sharing"",""ปัตตานี!J745"")"),1)</f>
        <v>1</v>
      </c>
      <c r="Y80" s="152">
        <f ca="1">IFERROR(__xludf.DUMMYFUNCTION("IMPORTRANGE(""https://docs.google.com/spreadsheets/d/1SDNX3JhDdYRuIOsj0Wh2M-Qa_eaXl0NbWmhAOTbfQAs/edit?usp=sharing"",""ปัตตานี!I746"")"),1)</f>
        <v>1</v>
      </c>
      <c r="Z80" s="152">
        <f ca="1">IFERROR(__xludf.DUMMYFUNCTION("IMPORTRANGE(""https://docs.google.com/spreadsheets/d/1SDNX3JhDdYRuIOsj0Wh2M-Qa_eaXl0NbWmhAOTbfQAs/edit?usp=sharing"",""ปัตตานี!J746"")"),1)</f>
        <v>1</v>
      </c>
      <c r="AA80" s="216">
        <f t="shared" ca="1" si="45"/>
        <v>100</v>
      </c>
      <c r="AB80" s="152">
        <f ca="1">IFERROR(__xludf.DUMMYFUNCTION("IMPORTRANGE(""https://docs.google.com/spreadsheets/d/1SDNX3JhDdYRuIOsj0Wh2M-Qa_eaXl0NbWmhAOTbfQAs/edit?usp=sharing"",""ปัตตานี!J748"")"),1)</f>
        <v>1</v>
      </c>
      <c r="AC80" s="152">
        <f ca="1">IFERROR(__xludf.DUMMYFUNCTION("IMPORTRANGE(""https://docs.google.com/spreadsheets/d/1SDNX3JhDdYRuIOsj0Wh2M-Qa_eaXl0NbWmhAOTbfQAs/edit?usp=sharing"",""ปัตตานี!I749"")"),1)</f>
        <v>1</v>
      </c>
      <c r="AD80" s="152">
        <f ca="1">IFERROR(__xludf.DUMMYFUNCTION("IMPORTRANGE(""https://docs.google.com/spreadsheets/d/1SDNX3JhDdYRuIOsj0Wh2M-Qa_eaXl0NbWmhAOTbfQAs/edit?usp=sharing"",""ปัตตานี!J749"")"),1)</f>
        <v>1</v>
      </c>
      <c r="AE80" s="216">
        <f t="shared" ca="1" si="47"/>
        <v>100</v>
      </c>
      <c r="AF80" s="152">
        <f ca="1">IFERROR(__xludf.DUMMYFUNCTION("IMPORTRANGE(""https://docs.google.com/spreadsheets/d/1SDNX3JhDdYRuIOsj0Wh2M-Qa_eaXl0NbWmhAOTbfQAs/edit?usp=sharing"",""ปัตตานี!I752"")"),40)</f>
        <v>40</v>
      </c>
      <c r="AG80" s="152">
        <f ca="1">IFERROR(__xludf.DUMMYFUNCTION("IMPORTRANGE(""https://docs.google.com/spreadsheets/d/1SDNX3JhDdYRuIOsj0Wh2M-Qa_eaXl0NbWmhAOTbfQAs/edit?usp=sharing"",""ปัตตานี!J752"")"),40)</f>
        <v>40</v>
      </c>
      <c r="AH80" s="216">
        <f t="shared" ca="1" si="49"/>
        <v>100</v>
      </c>
      <c r="AI80" s="152">
        <f ca="1">IFERROR(__xludf.DUMMYFUNCTION("IMPORTRANGE(""https://docs.google.com/spreadsheets/d/1SDNX3JhDdYRuIOsj0Wh2M-Qa_eaXl0NbWmhAOTbfQAs/edit?usp=sharing"",""ปัตตานี!J753"")"),40)</f>
        <v>40</v>
      </c>
      <c r="AJ80" s="152">
        <f ca="1">IFERROR(__xludf.DUMMYFUNCTION("IMPORTRANGE(""https://docs.google.com/spreadsheets/d/1SDNX3JhDdYRuIOsj0Wh2M-Qa_eaXl0NbWmhAOTbfQAs/edit?usp=sharing"",""ปัตตานี!I755"")"),10)</f>
        <v>10</v>
      </c>
      <c r="AK80" s="152">
        <f ca="1">IFERROR(__xludf.DUMMYFUNCTION("IMPORTRANGE(""https://docs.google.com/spreadsheets/d/1SDNX3JhDdYRuIOsj0Wh2M-Qa_eaXl0NbWmhAOTbfQAs/edit?usp=sharing"",""ปัตตานี!J755"")"),10)</f>
        <v>10</v>
      </c>
      <c r="AL80" s="216">
        <f t="shared" ca="1" si="51"/>
        <v>100</v>
      </c>
      <c r="AM80" s="152">
        <f ca="1">IFERROR(__xludf.DUMMYFUNCTION("IMPORTRANGE(""https://docs.google.com/spreadsheets/d/1SDNX3JhDdYRuIOsj0Wh2M-Qa_eaXl0NbWmhAOTbfQAs/edit?usp=sharing"",""ปัตตานี!J756"")"),10)</f>
        <v>10</v>
      </c>
      <c r="AN80" s="152">
        <f ca="1">IFERROR(__xludf.DUMMYFUNCTION("IMPORTRANGE(""https://docs.google.com/spreadsheets/d/1SDNX3JhDdYRuIOsj0Wh2M-Qa_eaXl0NbWmhAOTbfQAs/edit?usp=sharing"",""ปัตตานี!J757"")"),1)</f>
        <v>1</v>
      </c>
    </row>
    <row r="81" spans="1:40" ht="19.5" x14ac:dyDescent="0.3">
      <c r="A81" s="147">
        <v>7</v>
      </c>
      <c r="B81" s="148" t="s">
        <v>109</v>
      </c>
      <c r="C81" s="68">
        <f ca="1">IFERROR(__xludf.DUMMYFUNCTION("IMPORTRANGE(""https://docs.google.com/spreadsheets/d/16JDLGguT8s5DsGCND1KcwHP_AWR_zDMTqLHPLJUKhaU/edit?usp=sharing"",""พังงา!Q728"")"),143438)</f>
        <v>143438</v>
      </c>
      <c r="D81" s="68">
        <f ca="1">IFERROR(__xludf.DUMMYFUNCTION("IMPORTRANGE(""https://docs.google.com/spreadsheets/d/16JDLGguT8s5DsGCND1KcwHP_AWR_zDMTqLHPLJUKhaU/edit?usp=sharing"",""พังงา!R728"")"),143438)</f>
        <v>143438</v>
      </c>
      <c r="E81" s="68">
        <f ca="1">IFERROR(__xludf.DUMMYFUNCTION("IMPORTRANGE(""https://docs.google.com/spreadsheets/d/16JDLGguT8s5DsGCND1KcwHP_AWR_zDMTqLHPLJUKhaU/edit?usp=sharing"",""พังงา!S728"")"),131510)</f>
        <v>131510</v>
      </c>
      <c r="F81" s="68">
        <f t="shared" ca="1" si="33"/>
        <v>91.684211994032268</v>
      </c>
      <c r="G81" s="68">
        <f t="shared" ca="1" si="34"/>
        <v>91.684211994032268</v>
      </c>
      <c r="H81" s="152">
        <f ca="1">IFERROR(__xludf.DUMMYFUNCTION("IMPORTRANGE(""https://docs.google.com/spreadsheets/d/16JDLGguT8s5DsGCND1KcwHP_AWR_zDMTqLHPLJUKhaU/edit?usp=sharing"",""พังงา!I726"")"),16)</f>
        <v>16</v>
      </c>
      <c r="I81" s="152">
        <f ca="1">IFERROR(__xludf.DUMMYFUNCTION("IMPORTRANGE(""https://docs.google.com/spreadsheets/d/16JDLGguT8s5DsGCND1KcwHP_AWR_zDMTqLHPLJUKhaU/edit?usp=sharing"",""พังงา!I727"")"),150)</f>
        <v>150</v>
      </c>
      <c r="J81" s="152">
        <f ca="1">IFERROR(__xludf.DUMMYFUNCTION("IMPORTRANGE(""https://docs.google.com/spreadsheets/d/16JDLGguT8s5DsGCND1KcwHP_AWR_zDMTqLHPLJUKhaU/edit?usp=sharing"",""พังงา!J726"")"),16)</f>
        <v>16</v>
      </c>
      <c r="K81" s="216">
        <f t="shared" ca="1" si="36"/>
        <v>100</v>
      </c>
      <c r="L81" s="152">
        <f ca="1">IFERROR(__xludf.DUMMYFUNCTION("IMPORTRANGE(""https://docs.google.com/spreadsheets/d/16JDLGguT8s5DsGCND1KcwHP_AWR_zDMTqLHPLJUKhaU/edit?usp=sharing"",""พังงา!J727"")"),150)</f>
        <v>150</v>
      </c>
      <c r="M81" s="216">
        <f t="shared" ca="1" si="37"/>
        <v>100</v>
      </c>
      <c r="N81" s="152">
        <f ca="1">IFERROR(__xludf.DUMMYFUNCTION("IMPORTRANGE(""https://docs.google.com/spreadsheets/d/16JDLGguT8s5DsGCND1KcwHP_AWR_zDMTqLHPLJUKhaU/edit?usp=sharing"",""พังงา!I740"")"),120)</f>
        <v>120</v>
      </c>
      <c r="O81" s="152">
        <f ca="1">IFERROR(__xludf.DUMMYFUNCTION("IMPORTRANGE(""https://docs.google.com/spreadsheets/d/16JDLGguT8s5DsGCND1KcwHP_AWR_zDMTqLHPLJUKhaU/edit?usp=sharing"",""พังงา!J740"")"),0)</f>
        <v>0</v>
      </c>
      <c r="P81" s="216">
        <f t="shared" ca="1" si="39"/>
        <v>0</v>
      </c>
      <c r="Q81" s="152">
        <f ca="1">IFERROR(__xludf.DUMMYFUNCTION("IMPORTRANGE(""https://docs.google.com/spreadsheets/d/16JDLGguT8s5DsGCND1KcwHP_AWR_zDMTqLHPLJUKhaU/edit?usp=sharing"",""พังงา!J741"")"),0)</f>
        <v>0</v>
      </c>
      <c r="R81" s="152">
        <f ca="1">IFERROR(__xludf.DUMMYFUNCTION("IMPORTRANGE(""https://docs.google.com/spreadsheets/d/16JDLGguT8s5DsGCND1KcwHP_AWR_zDMTqLHPLJUKhaU/edit?usp=sharing"",""พังงา!I742"")"),12)</f>
        <v>12</v>
      </c>
      <c r="S81" s="152">
        <f ca="1">IFERROR(__xludf.DUMMYFUNCTION("IMPORTRANGE(""https://docs.google.com/spreadsheets/d/16JDLGguT8s5DsGCND1KcwHP_AWR_zDMTqLHPLJUKhaU/edit?usp=sharing"",""พังงา!J742"")"),12)</f>
        <v>12</v>
      </c>
      <c r="T81" s="216">
        <f t="shared" ca="1" si="41"/>
        <v>100</v>
      </c>
      <c r="U81" s="152">
        <f ca="1">IFERROR(__xludf.DUMMYFUNCTION("IMPORTRANGE(""https://docs.google.com/spreadsheets/d/16JDLGguT8s5DsGCND1KcwHP_AWR_zDMTqLHPLJUKhaU/edit?usp=sharing"",""พังงา!I744"")"),30)</f>
        <v>30</v>
      </c>
      <c r="V81" s="152">
        <f ca="1">IFERROR(__xludf.DUMMYFUNCTION("IMPORTRANGE(""https://docs.google.com/spreadsheets/d/16JDLGguT8s5DsGCND1KcwHP_AWR_zDMTqLHPLJUKhaU/edit?usp=sharing"",""พังงา!J744"")"),0)</f>
        <v>0</v>
      </c>
      <c r="W81" s="216">
        <f t="shared" ca="1" si="43"/>
        <v>0</v>
      </c>
      <c r="X81" s="152">
        <f ca="1">IFERROR(__xludf.DUMMYFUNCTION("IMPORTRANGE(""https://docs.google.com/spreadsheets/d/16JDLGguT8s5DsGCND1KcwHP_AWR_zDMTqLHPLJUKhaU/edit?usp=sharing"",""พังงา!J745"")"),0)</f>
        <v>0</v>
      </c>
      <c r="Y81" s="152">
        <f ca="1">IFERROR(__xludf.DUMMYFUNCTION("IMPORTRANGE(""https://docs.google.com/spreadsheets/d/16JDLGguT8s5DsGCND1KcwHP_AWR_zDMTqLHPLJUKhaU/edit?usp=sharing"",""พังงา!I746"")"),3)</f>
        <v>3</v>
      </c>
      <c r="Z81" s="152">
        <f ca="1">IFERROR(__xludf.DUMMYFUNCTION("IMPORTRANGE(""https://docs.google.com/spreadsheets/d/16JDLGguT8s5DsGCND1KcwHP_AWR_zDMTqLHPLJUKhaU/edit?usp=sharing"",""พังงา!J746"")"),3)</f>
        <v>3</v>
      </c>
      <c r="AA81" s="216">
        <f t="shared" ca="1" si="45"/>
        <v>100</v>
      </c>
      <c r="AB81" s="152">
        <f ca="1">IFERROR(__xludf.DUMMYFUNCTION("IMPORTRANGE(""https://docs.google.com/spreadsheets/d/16JDLGguT8s5DsGCND1KcwHP_AWR_zDMTqLHPLJUKhaU/edit?usp=sharing"",""พังงา!J748"")"),0)</f>
        <v>0</v>
      </c>
      <c r="AC81" s="152">
        <f ca="1">IFERROR(__xludf.DUMMYFUNCTION("IMPORTRANGE(""https://docs.google.com/spreadsheets/d/16JDLGguT8s5DsGCND1KcwHP_AWR_zDMTqLHPLJUKhaU/edit?usp=sharing"",""พังงา!I749"")"),1)</f>
        <v>1</v>
      </c>
      <c r="AD81" s="152">
        <f ca="1">IFERROR(__xludf.DUMMYFUNCTION("IMPORTRANGE(""https://docs.google.com/spreadsheets/d/16JDLGguT8s5DsGCND1KcwHP_AWR_zDMTqLHPLJUKhaU/edit?usp=sharing"",""พังงา!J749"")"),1)</f>
        <v>1</v>
      </c>
      <c r="AE81" s="216">
        <f t="shared" ca="1" si="47"/>
        <v>100</v>
      </c>
      <c r="AF81" s="152">
        <f ca="1">IFERROR(__xludf.DUMMYFUNCTION("IMPORTRANGE(""https://docs.google.com/spreadsheets/d/16JDLGguT8s5DsGCND1KcwHP_AWR_zDMTqLHPLJUKhaU/edit?usp=sharing"",""พังงา!I752"")"),120)</f>
        <v>120</v>
      </c>
      <c r="AG81" s="152">
        <f ca="1">IFERROR(__xludf.DUMMYFUNCTION("IMPORTRANGE(""https://docs.google.com/spreadsheets/d/16JDLGguT8s5DsGCND1KcwHP_AWR_zDMTqLHPLJUKhaU/edit?usp=sharing"",""พังงา!J752"")"),120)</f>
        <v>120</v>
      </c>
      <c r="AH81" s="216">
        <f t="shared" ca="1" si="49"/>
        <v>100</v>
      </c>
      <c r="AI81" s="152">
        <f ca="1">IFERROR(__xludf.DUMMYFUNCTION("IMPORTRANGE(""https://docs.google.com/spreadsheets/d/16JDLGguT8s5DsGCND1KcwHP_AWR_zDMTqLHPLJUKhaU/edit?usp=sharing"",""พังงา!J753"")"),0)</f>
        <v>0</v>
      </c>
      <c r="AJ81" s="152">
        <f ca="1">IFERROR(__xludf.DUMMYFUNCTION("IMPORTRANGE(""https://docs.google.com/spreadsheets/d/16JDLGguT8s5DsGCND1KcwHP_AWR_zDMTqLHPLJUKhaU/edit?usp=sharing"",""พังงา!I755"")"),30)</f>
        <v>30</v>
      </c>
      <c r="AK81" s="152">
        <f ca="1">IFERROR(__xludf.DUMMYFUNCTION("IMPORTRANGE(""https://docs.google.com/spreadsheets/d/16JDLGguT8s5DsGCND1KcwHP_AWR_zDMTqLHPLJUKhaU/edit?usp=sharing"",""พังงา!J755"")"),30)</f>
        <v>30</v>
      </c>
      <c r="AL81" s="216">
        <f t="shared" ca="1" si="51"/>
        <v>100</v>
      </c>
      <c r="AM81" s="152">
        <f ca="1">IFERROR(__xludf.DUMMYFUNCTION("IMPORTRANGE(""https://docs.google.com/spreadsheets/d/16JDLGguT8s5DsGCND1KcwHP_AWR_zDMTqLHPLJUKhaU/edit?usp=sharing"",""พังงา!J756"")"),0)</f>
        <v>0</v>
      </c>
      <c r="AN81" s="152">
        <f ca="1">IFERROR(__xludf.DUMMYFUNCTION("IMPORTRANGE(""https://docs.google.com/spreadsheets/d/16JDLGguT8s5DsGCND1KcwHP_AWR_zDMTqLHPLJUKhaU/edit?usp=sharing"",""พังงา!J757"")"),0)</f>
        <v>0</v>
      </c>
    </row>
    <row r="82" spans="1:40" ht="19.5" x14ac:dyDescent="0.3">
      <c r="A82" s="147">
        <v>8</v>
      </c>
      <c r="B82" s="148" t="s">
        <v>110</v>
      </c>
      <c r="C82" s="68">
        <f ca="1">IFERROR(__xludf.DUMMYFUNCTION("IMPORTRANGE(""https://docs.google.com/spreadsheets/d/17ht0gPKzzT3PObBL1XJkeRmntBXI7wGjpLV7QorqlTk/edit?usp=sharing"",""พัทลุง!Q728"")"),175994)</f>
        <v>175994</v>
      </c>
      <c r="D82" s="68">
        <f ca="1">IFERROR(__xludf.DUMMYFUNCTION("IMPORTRANGE(""https://docs.google.com/spreadsheets/d/17ht0gPKzzT3PObBL1XJkeRmntBXI7wGjpLV7QorqlTk/edit?usp=sharing"",""พัทลุง!R728"")"),165994)</f>
        <v>165994</v>
      </c>
      <c r="E82" s="68">
        <f ca="1">IFERROR(__xludf.DUMMYFUNCTION("IMPORTRANGE(""https://docs.google.com/spreadsheets/d/17ht0gPKzzT3PObBL1XJkeRmntBXI7wGjpLV7QorqlTk/edit?usp=sharing"",""พัทลุง!S728"")"),78635)</f>
        <v>78635</v>
      </c>
      <c r="F82" s="68">
        <f t="shared" ca="1" si="33"/>
        <v>44.680500471606983</v>
      </c>
      <c r="G82" s="68">
        <f t="shared" ca="1" si="34"/>
        <v>47.372194175693096</v>
      </c>
      <c r="H82" s="152">
        <f ca="1">IFERROR(__xludf.DUMMYFUNCTION("IMPORTRANGE(""https://docs.google.com/spreadsheets/d/17ht0gPKzzT3PObBL1XJkeRmntBXI7wGjpLV7QorqlTk/edit?usp=sharing"",""พัทลุง!I726"")"),21)</f>
        <v>21</v>
      </c>
      <c r="I82" s="152">
        <f ca="1">IFERROR(__xludf.DUMMYFUNCTION("IMPORTRANGE(""https://docs.google.com/spreadsheets/d/17ht0gPKzzT3PObBL1XJkeRmntBXI7wGjpLV7QorqlTk/edit?usp=sharing"",""พัทลุง!I727"")"),200)</f>
        <v>200</v>
      </c>
      <c r="J82" s="152">
        <f ca="1">IFERROR(__xludf.DUMMYFUNCTION("IMPORTRANGE(""https://docs.google.com/spreadsheets/d/17ht0gPKzzT3PObBL1XJkeRmntBXI7wGjpLV7QorqlTk/edit?usp=sharing"",""พัทลุง!J726"")"),21)</f>
        <v>21</v>
      </c>
      <c r="K82" s="216">
        <f t="shared" ca="1" si="36"/>
        <v>100</v>
      </c>
      <c r="L82" s="152">
        <f ca="1">IFERROR(__xludf.DUMMYFUNCTION("IMPORTRANGE(""https://docs.google.com/spreadsheets/d/17ht0gPKzzT3PObBL1XJkeRmntBXI7wGjpLV7QorqlTk/edit?usp=sharing"",""พัทลุง!J727"")"),200)</f>
        <v>200</v>
      </c>
      <c r="M82" s="216">
        <f t="shared" ca="1" si="37"/>
        <v>100</v>
      </c>
      <c r="N82" s="152">
        <f ca="1">IFERROR(__xludf.DUMMYFUNCTION("IMPORTRANGE(""https://docs.google.com/spreadsheets/d/17ht0gPKzzT3PObBL1XJkeRmntBXI7wGjpLV7QorqlTk/edit?usp=sharing"",""พัทลุง!I740"")"),160)</f>
        <v>160</v>
      </c>
      <c r="O82" s="152">
        <f ca="1">IFERROR(__xludf.DUMMYFUNCTION("IMPORTRANGE(""https://docs.google.com/spreadsheets/d/17ht0gPKzzT3PObBL1XJkeRmntBXI7wGjpLV7QorqlTk/edit?usp=sharing"",""พัทลุง!J740"")"),160)</f>
        <v>160</v>
      </c>
      <c r="P82" s="216">
        <f t="shared" ca="1" si="39"/>
        <v>100</v>
      </c>
      <c r="Q82" s="152">
        <f ca="1">IFERROR(__xludf.DUMMYFUNCTION("IMPORTRANGE(""https://docs.google.com/spreadsheets/d/17ht0gPKzzT3PObBL1XJkeRmntBXI7wGjpLV7QorqlTk/edit?usp=sharing"",""พัทลุง!J741"")"),0)</f>
        <v>0</v>
      </c>
      <c r="R82" s="152">
        <f ca="1">IFERROR(__xludf.DUMMYFUNCTION("IMPORTRANGE(""https://docs.google.com/spreadsheets/d/17ht0gPKzzT3PObBL1XJkeRmntBXI7wGjpLV7QorqlTk/edit?usp=sharing"",""พัทลุง!I742"")"),16)</f>
        <v>16</v>
      </c>
      <c r="S82" s="152">
        <f ca="1">IFERROR(__xludf.DUMMYFUNCTION("IMPORTRANGE(""https://docs.google.com/spreadsheets/d/17ht0gPKzzT3PObBL1XJkeRmntBXI7wGjpLV7QorqlTk/edit?usp=sharing"",""พัทลุง!J742"")"),16)</f>
        <v>16</v>
      </c>
      <c r="T82" s="216">
        <f t="shared" ca="1" si="41"/>
        <v>100</v>
      </c>
      <c r="U82" s="152">
        <f ca="1">IFERROR(__xludf.DUMMYFUNCTION("IMPORTRANGE(""https://docs.google.com/spreadsheets/d/17ht0gPKzzT3PObBL1XJkeRmntBXI7wGjpLV7QorqlTk/edit?usp=sharing"",""พัทลุง!I744"")"),40)</f>
        <v>40</v>
      </c>
      <c r="V82" s="152">
        <f ca="1">IFERROR(__xludf.DUMMYFUNCTION("IMPORTRANGE(""https://docs.google.com/spreadsheets/d/17ht0gPKzzT3PObBL1XJkeRmntBXI7wGjpLV7QorqlTk/edit?usp=sharing"",""พัทลุง!J744"")"),40)</f>
        <v>40</v>
      </c>
      <c r="W82" s="216">
        <f t="shared" ca="1" si="43"/>
        <v>100</v>
      </c>
      <c r="X82" s="152">
        <f ca="1">IFERROR(__xludf.DUMMYFUNCTION("IMPORTRANGE(""https://docs.google.com/spreadsheets/d/17ht0gPKzzT3PObBL1XJkeRmntBXI7wGjpLV7QorqlTk/edit?usp=sharing"",""พัทลุง!J745"")"),0)</f>
        <v>0</v>
      </c>
      <c r="Y82" s="152">
        <f ca="1">IFERROR(__xludf.DUMMYFUNCTION("IMPORTRANGE(""https://docs.google.com/spreadsheets/d/17ht0gPKzzT3PObBL1XJkeRmntBXI7wGjpLV7QorqlTk/edit?usp=sharing"",""พัทลุง!I746"")"),4)</f>
        <v>4</v>
      </c>
      <c r="Z82" s="152">
        <f ca="1">IFERROR(__xludf.DUMMYFUNCTION("IMPORTRANGE(""https://docs.google.com/spreadsheets/d/17ht0gPKzzT3PObBL1XJkeRmntBXI7wGjpLV7QorqlTk/edit?usp=sharing"",""พัทลุง!J746"")"),4)</f>
        <v>4</v>
      </c>
      <c r="AA82" s="216">
        <f t="shared" ca="1" si="45"/>
        <v>100</v>
      </c>
      <c r="AB82" s="152">
        <f ca="1">IFERROR(__xludf.DUMMYFUNCTION("IMPORTRANGE(""https://docs.google.com/spreadsheets/d/17ht0gPKzzT3PObBL1XJkeRmntBXI7wGjpLV7QorqlTk/edit?usp=sharing"",""พัทลุง!J748"")"),0)</f>
        <v>0</v>
      </c>
      <c r="AC82" s="152">
        <f ca="1">IFERROR(__xludf.DUMMYFUNCTION("IMPORTRANGE(""https://docs.google.com/spreadsheets/d/17ht0gPKzzT3PObBL1XJkeRmntBXI7wGjpLV7QorqlTk/edit?usp=sharing"",""พัทลุง!I749"")"),1)</f>
        <v>1</v>
      </c>
      <c r="AD82" s="152">
        <f ca="1">IFERROR(__xludf.DUMMYFUNCTION("IMPORTRANGE(""https://docs.google.com/spreadsheets/d/17ht0gPKzzT3PObBL1XJkeRmntBXI7wGjpLV7QorqlTk/edit?usp=sharing"",""พัทลุง!J749"")"),1)</f>
        <v>1</v>
      </c>
      <c r="AE82" s="216">
        <f t="shared" ca="1" si="47"/>
        <v>100</v>
      </c>
      <c r="AF82" s="152">
        <f ca="1">IFERROR(__xludf.DUMMYFUNCTION("IMPORTRANGE(""https://docs.google.com/spreadsheets/d/17ht0gPKzzT3PObBL1XJkeRmntBXI7wGjpLV7QorqlTk/edit?usp=sharing"",""พัทลุง!I752"")"),160)</f>
        <v>160</v>
      </c>
      <c r="AG82" s="152">
        <f ca="1">IFERROR(__xludf.DUMMYFUNCTION("IMPORTRANGE(""https://docs.google.com/spreadsheets/d/17ht0gPKzzT3PObBL1XJkeRmntBXI7wGjpLV7QorqlTk/edit?usp=sharing"",""พัทลุง!J752"")"),160)</f>
        <v>160</v>
      </c>
      <c r="AH82" s="216">
        <f t="shared" ca="1" si="49"/>
        <v>100</v>
      </c>
      <c r="AI82" s="152">
        <f ca="1">IFERROR(__xludf.DUMMYFUNCTION("IMPORTRANGE(""https://docs.google.com/spreadsheets/d/17ht0gPKzzT3PObBL1XJkeRmntBXI7wGjpLV7QorqlTk/edit?usp=sharing"",""พัทลุง!J753"")"),0)</f>
        <v>0</v>
      </c>
      <c r="AJ82" s="152">
        <f ca="1">IFERROR(__xludf.DUMMYFUNCTION("IMPORTRANGE(""https://docs.google.com/spreadsheets/d/17ht0gPKzzT3PObBL1XJkeRmntBXI7wGjpLV7QorqlTk/edit?usp=sharing"",""พัทลุง!I755"")"),40)</f>
        <v>40</v>
      </c>
      <c r="AK82" s="152">
        <f ca="1">IFERROR(__xludf.DUMMYFUNCTION("IMPORTRANGE(""https://docs.google.com/spreadsheets/d/17ht0gPKzzT3PObBL1XJkeRmntBXI7wGjpLV7QorqlTk/edit?usp=sharing"",""พัทลุง!J755"")"),40)</f>
        <v>40</v>
      </c>
      <c r="AL82" s="216">
        <f t="shared" ca="1" si="51"/>
        <v>100</v>
      </c>
      <c r="AM82" s="152">
        <f ca="1">IFERROR(__xludf.DUMMYFUNCTION("IMPORTRANGE(""https://docs.google.com/spreadsheets/d/17ht0gPKzzT3PObBL1XJkeRmntBXI7wGjpLV7QorqlTk/edit?usp=sharing"",""พัทลุง!J756"")"),0)</f>
        <v>0</v>
      </c>
      <c r="AN82" s="152">
        <f ca="1">IFERROR(__xludf.DUMMYFUNCTION("IMPORTRANGE(""https://docs.google.com/spreadsheets/d/17ht0gPKzzT3PObBL1XJkeRmntBXI7wGjpLV7QorqlTk/edit?usp=sharing"",""พัทลุง!J757"")"),0)</f>
        <v>0</v>
      </c>
    </row>
    <row r="83" spans="1:40" ht="19.5" x14ac:dyDescent="0.3">
      <c r="A83" s="147">
        <v>9</v>
      </c>
      <c r="B83" s="148" t="s">
        <v>111</v>
      </c>
      <c r="C83" s="68">
        <f ca="1">IFERROR(__xludf.DUMMYFUNCTION("IMPORTRANGE(""https://docs.google.com/spreadsheets/d/1rd4qoM1q_hsgaolqNGfrim9gbsoLxQsda4-vOz5x_BM/edit?usp=sharing"",""ภูเก็ต!Q728"")"),111882)</f>
        <v>111882</v>
      </c>
      <c r="D83" s="68">
        <f ca="1">IFERROR(__xludf.DUMMYFUNCTION("IMPORTRANGE(""https://docs.google.com/spreadsheets/d/1rd4qoM1q_hsgaolqNGfrim9gbsoLxQsda4-vOz5x_BM/edit?usp=sharing"",""ภูเก็ต!R728"")"),111882)</f>
        <v>111882</v>
      </c>
      <c r="E83" s="68">
        <f ca="1">IFERROR(__xludf.DUMMYFUNCTION("IMPORTRANGE(""https://docs.google.com/spreadsheets/d/1rd4qoM1q_hsgaolqNGfrim9gbsoLxQsda4-vOz5x_BM/edit?usp=sharing"",""ภูเก็ต!S728"")"),92722)</f>
        <v>92722</v>
      </c>
      <c r="F83" s="68">
        <f t="shared" ca="1" si="33"/>
        <v>82.874814536744069</v>
      </c>
      <c r="G83" s="68">
        <f t="shared" ca="1" si="34"/>
        <v>82.874814536744069</v>
      </c>
      <c r="H83" s="152">
        <f ca="1">IFERROR(__xludf.DUMMYFUNCTION("IMPORTRANGE(""https://docs.google.com/spreadsheets/d/1rd4qoM1q_hsgaolqNGfrim9gbsoLxQsda4-vOz5x_BM/edit?usp=sharing"",""ภูเก็ต!I726"")"),11)</f>
        <v>11</v>
      </c>
      <c r="I83" s="152">
        <f ca="1">IFERROR(__xludf.DUMMYFUNCTION("IMPORTRANGE(""https://docs.google.com/spreadsheets/d/1rd4qoM1q_hsgaolqNGfrim9gbsoLxQsda4-vOz5x_BM/edit?usp=sharing"",""ภูเก็ต!I727"")"),100)</f>
        <v>100</v>
      </c>
      <c r="J83" s="152">
        <f ca="1">IFERROR(__xludf.DUMMYFUNCTION("IMPORTRANGE(""https://docs.google.com/spreadsheets/d/1rd4qoM1q_hsgaolqNGfrim9gbsoLxQsda4-vOz5x_BM/edit?usp=sharing"",""ภูเก็ต!J726"")"),11)</f>
        <v>11</v>
      </c>
      <c r="K83" s="216">
        <f t="shared" ca="1" si="36"/>
        <v>100</v>
      </c>
      <c r="L83" s="152">
        <f ca="1">IFERROR(__xludf.DUMMYFUNCTION("IMPORTRANGE(""https://docs.google.com/spreadsheets/d/1rd4qoM1q_hsgaolqNGfrim9gbsoLxQsda4-vOz5x_BM/edit?usp=sharing"",""ภูเก็ต!J727"")"),100)</f>
        <v>100</v>
      </c>
      <c r="M83" s="216">
        <f t="shared" ca="1" si="37"/>
        <v>100</v>
      </c>
      <c r="N83" s="152">
        <f ca="1">IFERROR(__xludf.DUMMYFUNCTION("IMPORTRANGE(""https://docs.google.com/spreadsheets/d/1rd4qoM1q_hsgaolqNGfrim9gbsoLxQsda4-vOz5x_BM/edit?usp=sharing"",""ภูเก็ต!I740"")"),80)</f>
        <v>80</v>
      </c>
      <c r="O83" s="152">
        <f ca="1">IFERROR(__xludf.DUMMYFUNCTION("IMPORTRANGE(""https://docs.google.com/spreadsheets/d/1rd4qoM1q_hsgaolqNGfrim9gbsoLxQsda4-vOz5x_BM/edit?usp=sharing"",""ภูเก็ต!J740"")"),80)</f>
        <v>80</v>
      </c>
      <c r="P83" s="216">
        <f t="shared" ca="1" si="39"/>
        <v>100</v>
      </c>
      <c r="Q83" s="152">
        <f ca="1">IFERROR(__xludf.DUMMYFUNCTION("IMPORTRANGE(""https://docs.google.com/spreadsheets/d/1rd4qoM1q_hsgaolqNGfrim9gbsoLxQsda4-vOz5x_BM/edit?usp=sharing"",""ภูเก็ต!J741"")"),2)</f>
        <v>2</v>
      </c>
      <c r="R83" s="152">
        <f ca="1">IFERROR(__xludf.DUMMYFUNCTION("IMPORTRANGE(""https://docs.google.com/spreadsheets/d/1rd4qoM1q_hsgaolqNGfrim9gbsoLxQsda4-vOz5x_BM/edit?usp=sharing"",""ภูเก็ต!I742"")"),8)</f>
        <v>8</v>
      </c>
      <c r="S83" s="152">
        <f ca="1">IFERROR(__xludf.DUMMYFUNCTION("IMPORTRANGE(""https://docs.google.com/spreadsheets/d/1rd4qoM1q_hsgaolqNGfrim9gbsoLxQsda4-vOz5x_BM/edit?usp=sharing"",""ภูเก็ต!J742"")"),8)</f>
        <v>8</v>
      </c>
      <c r="T83" s="216">
        <f t="shared" ca="1" si="41"/>
        <v>100</v>
      </c>
      <c r="U83" s="152">
        <f ca="1">IFERROR(__xludf.DUMMYFUNCTION("IMPORTRANGE(""https://docs.google.com/spreadsheets/d/1rd4qoM1q_hsgaolqNGfrim9gbsoLxQsda4-vOz5x_BM/edit?usp=sharing"",""ภูเก็ต!I744"")"),20)</f>
        <v>20</v>
      </c>
      <c r="V83" s="152">
        <f ca="1">IFERROR(__xludf.DUMMYFUNCTION("IMPORTRANGE(""https://docs.google.com/spreadsheets/d/1rd4qoM1q_hsgaolqNGfrim9gbsoLxQsda4-vOz5x_BM/edit?usp=sharing"",""ภูเก็ต!J744"")"),20)</f>
        <v>20</v>
      </c>
      <c r="W83" s="216">
        <f t="shared" ca="1" si="43"/>
        <v>100</v>
      </c>
      <c r="X83" s="152">
        <f ca="1">IFERROR(__xludf.DUMMYFUNCTION("IMPORTRANGE(""https://docs.google.com/spreadsheets/d/1rd4qoM1q_hsgaolqNGfrim9gbsoLxQsda4-vOz5x_BM/edit?usp=sharing"",""ภูเก็ต!J745"")"),2)</f>
        <v>2</v>
      </c>
      <c r="Y83" s="152">
        <f ca="1">IFERROR(__xludf.DUMMYFUNCTION("IMPORTRANGE(""https://docs.google.com/spreadsheets/d/1rd4qoM1q_hsgaolqNGfrim9gbsoLxQsda4-vOz5x_BM/edit?usp=sharing"",""ภูเก็ต!I746"")"),2)</f>
        <v>2</v>
      </c>
      <c r="Z83" s="152">
        <f ca="1">IFERROR(__xludf.DUMMYFUNCTION("IMPORTRANGE(""https://docs.google.com/spreadsheets/d/1rd4qoM1q_hsgaolqNGfrim9gbsoLxQsda4-vOz5x_BM/edit?usp=sharing"",""ภูเก็ต!J746"")"),2)</f>
        <v>2</v>
      </c>
      <c r="AA83" s="216">
        <f t="shared" ca="1" si="45"/>
        <v>100</v>
      </c>
      <c r="AB83" s="152">
        <f ca="1">IFERROR(__xludf.DUMMYFUNCTION("IMPORTRANGE(""https://docs.google.com/spreadsheets/d/1rd4qoM1q_hsgaolqNGfrim9gbsoLxQsda4-vOz5x_BM/edit?usp=sharing"",""ภูเก็ต!J748"")"),1)</f>
        <v>1</v>
      </c>
      <c r="AC83" s="152">
        <f ca="1">IFERROR(__xludf.DUMMYFUNCTION("IMPORTRANGE(""https://docs.google.com/spreadsheets/d/1rd4qoM1q_hsgaolqNGfrim9gbsoLxQsda4-vOz5x_BM/edit?usp=sharing"",""ภูเก็ต!I749"")"),1)</f>
        <v>1</v>
      </c>
      <c r="AD83" s="152">
        <f ca="1">IFERROR(__xludf.DUMMYFUNCTION("IMPORTRANGE(""https://docs.google.com/spreadsheets/d/1rd4qoM1q_hsgaolqNGfrim9gbsoLxQsda4-vOz5x_BM/edit?usp=sharing"",""ภูเก็ต!J749"")"),1)</f>
        <v>1</v>
      </c>
      <c r="AE83" s="216">
        <f t="shared" ca="1" si="47"/>
        <v>100</v>
      </c>
      <c r="AF83" s="152">
        <f ca="1">IFERROR(__xludf.DUMMYFUNCTION("IMPORTRANGE(""https://docs.google.com/spreadsheets/d/1rd4qoM1q_hsgaolqNGfrim9gbsoLxQsda4-vOz5x_BM/edit?usp=sharing"",""ภูเก็ต!I752"")"),80)</f>
        <v>80</v>
      </c>
      <c r="AG83" s="152">
        <f ca="1">IFERROR(__xludf.DUMMYFUNCTION("IMPORTRANGE(""https://docs.google.com/spreadsheets/d/1rd4qoM1q_hsgaolqNGfrim9gbsoLxQsda4-vOz5x_BM/edit?usp=sharing"",""ภูเก็ต!J752"")"),80)</f>
        <v>80</v>
      </c>
      <c r="AH83" s="216">
        <f t="shared" ca="1" si="49"/>
        <v>100</v>
      </c>
      <c r="AI83" s="152">
        <f ca="1">IFERROR(__xludf.DUMMYFUNCTION("IMPORTRANGE(""https://docs.google.com/spreadsheets/d/1rd4qoM1q_hsgaolqNGfrim9gbsoLxQsda4-vOz5x_BM/edit?usp=sharing"",""ภูเก็ต!J753"")"),8)</f>
        <v>8</v>
      </c>
      <c r="AJ83" s="152">
        <f ca="1">IFERROR(__xludf.DUMMYFUNCTION("IMPORTRANGE(""https://docs.google.com/spreadsheets/d/1rd4qoM1q_hsgaolqNGfrim9gbsoLxQsda4-vOz5x_BM/edit?usp=sharing"",""ภูเก็ต!I755"")"),20)</f>
        <v>20</v>
      </c>
      <c r="AK83" s="152">
        <f ca="1">IFERROR(__xludf.DUMMYFUNCTION("IMPORTRANGE(""https://docs.google.com/spreadsheets/d/1rd4qoM1q_hsgaolqNGfrim9gbsoLxQsda4-vOz5x_BM/edit?usp=sharing"",""ภูเก็ต!J755"")"),20)</f>
        <v>20</v>
      </c>
      <c r="AL83" s="216">
        <f t="shared" ca="1" si="51"/>
        <v>100</v>
      </c>
      <c r="AM83" s="152">
        <f ca="1">IFERROR(__xludf.DUMMYFUNCTION("IMPORTRANGE(""https://docs.google.com/spreadsheets/d/1rd4qoM1q_hsgaolqNGfrim9gbsoLxQsda4-vOz5x_BM/edit?usp=sharing"",""ภูเก็ต!J756"")"),2)</f>
        <v>2</v>
      </c>
      <c r="AN83" s="152">
        <f ca="1">IFERROR(__xludf.DUMMYFUNCTION("IMPORTRANGE(""https://docs.google.com/spreadsheets/d/1rd4qoM1q_hsgaolqNGfrim9gbsoLxQsda4-vOz5x_BM/edit?usp=sharing"",""ภูเก็ต!J757"")"),1)</f>
        <v>1</v>
      </c>
    </row>
    <row r="84" spans="1:40" ht="19.5" x14ac:dyDescent="0.3">
      <c r="A84" s="147">
        <v>10</v>
      </c>
      <c r="B84" s="148" t="s">
        <v>112</v>
      </c>
      <c r="C84" s="68">
        <f ca="1">IFERROR(__xludf.DUMMYFUNCTION("IMPORTRANGE(""https://docs.google.com/spreadsheets/d/1woKwKjgoLssDvPcPeVyezB5izizAn4X1JDrys69n6xI/edit?usp=sharing"",""ยะลา!Q728"")"),111882)</f>
        <v>111882</v>
      </c>
      <c r="D84" s="68">
        <f ca="1">IFERROR(__xludf.DUMMYFUNCTION("IMPORTRANGE(""https://docs.google.com/spreadsheets/d/1woKwKjgoLssDvPcPeVyezB5izizAn4X1JDrys69n6xI/edit?usp=sharing"",""ยะลา!R728"")"),111882)</f>
        <v>111882</v>
      </c>
      <c r="E84" s="68">
        <f ca="1">IFERROR(__xludf.DUMMYFUNCTION("IMPORTRANGE(""https://docs.google.com/spreadsheets/d/1woKwKjgoLssDvPcPeVyezB5izizAn4X1JDrys69n6xI/edit?usp=sharing"",""ยะลา!S728"")"),98482)</f>
        <v>98482</v>
      </c>
      <c r="F84" s="68">
        <f t="shared" ca="1" si="33"/>
        <v>88.023095761605973</v>
      </c>
      <c r="G84" s="68">
        <f t="shared" ca="1" si="34"/>
        <v>88.023095761605973</v>
      </c>
      <c r="H84" s="152">
        <f ca="1">IFERROR(__xludf.DUMMYFUNCTION("IMPORTRANGE(""https://docs.google.com/spreadsheets/d/1woKwKjgoLssDvPcPeVyezB5izizAn4X1JDrys69n6xI/edit?usp=sharing"",""ยะลา!I726"")"),11)</f>
        <v>11</v>
      </c>
      <c r="I84" s="152">
        <f ca="1">IFERROR(__xludf.DUMMYFUNCTION("IMPORTRANGE(""https://docs.google.com/spreadsheets/d/1woKwKjgoLssDvPcPeVyezB5izizAn4X1JDrys69n6xI/edit?usp=sharing"",""ยะลา!I727"")"),100)</f>
        <v>100</v>
      </c>
      <c r="J84" s="152">
        <f ca="1">IFERROR(__xludf.DUMMYFUNCTION("IMPORTRANGE(""https://docs.google.com/spreadsheets/d/1woKwKjgoLssDvPcPeVyezB5izizAn4X1JDrys69n6xI/edit?usp=sharing"",""ยะลา!J726"")"),11)</f>
        <v>11</v>
      </c>
      <c r="K84" s="216">
        <f t="shared" ca="1" si="36"/>
        <v>100</v>
      </c>
      <c r="L84" s="152">
        <f ca="1">IFERROR(__xludf.DUMMYFUNCTION("IMPORTRANGE(""https://docs.google.com/spreadsheets/d/1woKwKjgoLssDvPcPeVyezB5izizAn4X1JDrys69n6xI/edit?usp=sharing"",""ยะลา!J727"")"),100)</f>
        <v>100</v>
      </c>
      <c r="M84" s="216">
        <f t="shared" ca="1" si="37"/>
        <v>100</v>
      </c>
      <c r="N84" s="152">
        <f ca="1">IFERROR(__xludf.DUMMYFUNCTION("IMPORTRANGE(""https://docs.google.com/spreadsheets/d/1woKwKjgoLssDvPcPeVyezB5izizAn4X1JDrys69n6xI/edit?usp=sharing"",""ยะลา!I740"")"),80)</f>
        <v>80</v>
      </c>
      <c r="O84" s="152">
        <f ca="1">IFERROR(__xludf.DUMMYFUNCTION("IMPORTRANGE(""https://docs.google.com/spreadsheets/d/1woKwKjgoLssDvPcPeVyezB5izizAn4X1JDrys69n6xI/edit?usp=sharing"",""ยะลา!J740"")"),80)</f>
        <v>80</v>
      </c>
      <c r="P84" s="216">
        <f t="shared" ca="1" si="39"/>
        <v>100</v>
      </c>
      <c r="Q84" s="152">
        <f ca="1">IFERROR(__xludf.DUMMYFUNCTION("IMPORTRANGE(""https://docs.google.com/spreadsheets/d/1woKwKjgoLssDvPcPeVyezB5izizAn4X1JDrys69n6xI/edit?usp=sharing"",""ยะลา!J741"")"),8)</f>
        <v>8</v>
      </c>
      <c r="R84" s="152">
        <f ca="1">IFERROR(__xludf.DUMMYFUNCTION("IMPORTRANGE(""https://docs.google.com/spreadsheets/d/1woKwKjgoLssDvPcPeVyezB5izizAn4X1JDrys69n6xI/edit?usp=sharing"",""ยะลา!I742"")"),8)</f>
        <v>8</v>
      </c>
      <c r="S84" s="152">
        <f ca="1">IFERROR(__xludf.DUMMYFUNCTION("IMPORTRANGE(""https://docs.google.com/spreadsheets/d/1woKwKjgoLssDvPcPeVyezB5izizAn4X1JDrys69n6xI/edit?usp=sharing"",""ยะลา!J742"")"),8)</f>
        <v>8</v>
      </c>
      <c r="T84" s="216">
        <f t="shared" ca="1" si="41"/>
        <v>100</v>
      </c>
      <c r="U84" s="152">
        <f ca="1">IFERROR(__xludf.DUMMYFUNCTION("IMPORTRANGE(""https://docs.google.com/spreadsheets/d/1woKwKjgoLssDvPcPeVyezB5izizAn4X1JDrys69n6xI/edit?usp=sharing"",""ยะลา!I744"")"),20)</f>
        <v>20</v>
      </c>
      <c r="V84" s="152">
        <f ca="1">IFERROR(__xludf.DUMMYFUNCTION("IMPORTRANGE(""https://docs.google.com/spreadsheets/d/1woKwKjgoLssDvPcPeVyezB5izizAn4X1JDrys69n6xI/edit?usp=sharing"",""ยะลา!J744"")"),20)</f>
        <v>20</v>
      </c>
      <c r="W84" s="216">
        <f t="shared" ca="1" si="43"/>
        <v>100</v>
      </c>
      <c r="X84" s="152">
        <f ca="1">IFERROR(__xludf.DUMMYFUNCTION("IMPORTRANGE(""https://docs.google.com/spreadsheets/d/1woKwKjgoLssDvPcPeVyezB5izizAn4X1JDrys69n6xI/edit?usp=sharing"",""ยะลา!J745"")"),0)</f>
        <v>0</v>
      </c>
      <c r="Y84" s="152">
        <f ca="1">IFERROR(__xludf.DUMMYFUNCTION("IMPORTRANGE(""https://docs.google.com/spreadsheets/d/1woKwKjgoLssDvPcPeVyezB5izizAn4X1JDrys69n6xI/edit?usp=sharing"",""ยะลา!I746"")"),2)</f>
        <v>2</v>
      </c>
      <c r="Z84" s="152">
        <f ca="1">IFERROR(__xludf.DUMMYFUNCTION("IMPORTRANGE(""https://docs.google.com/spreadsheets/d/1woKwKjgoLssDvPcPeVyezB5izizAn4X1JDrys69n6xI/edit?usp=sharing"",""ยะลา!J746"")"),2)</f>
        <v>2</v>
      </c>
      <c r="AA84" s="216">
        <f t="shared" ca="1" si="45"/>
        <v>100</v>
      </c>
      <c r="AB84" s="152">
        <f ca="1">IFERROR(__xludf.DUMMYFUNCTION("IMPORTRANGE(""https://docs.google.com/spreadsheets/d/1woKwKjgoLssDvPcPeVyezB5izizAn4X1JDrys69n6xI/edit?usp=sharing"",""ยะลา!J748"")"),0)</f>
        <v>0</v>
      </c>
      <c r="AC84" s="152">
        <f ca="1">IFERROR(__xludf.DUMMYFUNCTION("IMPORTRANGE(""https://docs.google.com/spreadsheets/d/1woKwKjgoLssDvPcPeVyezB5izizAn4X1JDrys69n6xI/edit?usp=sharing"",""ยะลา!I749"")"),1)</f>
        <v>1</v>
      </c>
      <c r="AD84" s="152">
        <f ca="1">IFERROR(__xludf.DUMMYFUNCTION("IMPORTRANGE(""https://docs.google.com/spreadsheets/d/1woKwKjgoLssDvPcPeVyezB5izizAn4X1JDrys69n6xI/edit?usp=sharing"",""ยะลา!J749"")"),1)</f>
        <v>1</v>
      </c>
      <c r="AE84" s="216">
        <f t="shared" ca="1" si="47"/>
        <v>100</v>
      </c>
      <c r="AF84" s="152">
        <f ca="1">IFERROR(__xludf.DUMMYFUNCTION("IMPORTRANGE(""https://docs.google.com/spreadsheets/d/1woKwKjgoLssDvPcPeVyezB5izizAn4X1JDrys69n6xI/edit?usp=sharing"",""ยะลา!I752"")"),80)</f>
        <v>80</v>
      </c>
      <c r="AG84" s="152">
        <f ca="1">IFERROR(__xludf.DUMMYFUNCTION("IMPORTRANGE(""https://docs.google.com/spreadsheets/d/1woKwKjgoLssDvPcPeVyezB5izizAn4X1JDrys69n6xI/edit?usp=sharing"",""ยะลา!J752"")"),80)</f>
        <v>80</v>
      </c>
      <c r="AH84" s="216">
        <f t="shared" ca="1" si="49"/>
        <v>100</v>
      </c>
      <c r="AI84" s="152">
        <f ca="1">IFERROR(__xludf.DUMMYFUNCTION("IMPORTRANGE(""https://docs.google.com/spreadsheets/d/1woKwKjgoLssDvPcPeVyezB5izizAn4X1JDrys69n6xI/edit?usp=sharing"",""ยะลา!J753"")"),0)</f>
        <v>0</v>
      </c>
      <c r="AJ84" s="152">
        <f ca="1">IFERROR(__xludf.DUMMYFUNCTION("IMPORTRANGE(""https://docs.google.com/spreadsheets/d/1woKwKjgoLssDvPcPeVyezB5izizAn4X1JDrys69n6xI/edit?usp=sharing"",""ยะลา!I755"")"),20)</f>
        <v>20</v>
      </c>
      <c r="AK84" s="152">
        <f ca="1">IFERROR(__xludf.DUMMYFUNCTION("IMPORTRANGE(""https://docs.google.com/spreadsheets/d/1woKwKjgoLssDvPcPeVyezB5izizAn4X1JDrys69n6xI/edit?usp=sharing"",""ยะลา!J755"")"),20)</f>
        <v>20</v>
      </c>
      <c r="AL84" s="216">
        <f t="shared" ca="1" si="51"/>
        <v>100</v>
      </c>
      <c r="AM84" s="152">
        <f ca="1">IFERROR(__xludf.DUMMYFUNCTION("IMPORTRANGE(""https://docs.google.com/spreadsheets/d/1woKwKjgoLssDvPcPeVyezB5izizAn4X1JDrys69n6xI/edit?usp=sharing"",""ยะลา!J756"")"),0)</f>
        <v>0</v>
      </c>
      <c r="AN84" s="152">
        <f ca="1">IFERROR(__xludf.DUMMYFUNCTION("IMPORTRANGE(""https://docs.google.com/spreadsheets/d/1woKwKjgoLssDvPcPeVyezB5izizAn4X1JDrys69n6xI/edit?usp=sharing"",""ยะลา!J757"")"),1)</f>
        <v>1</v>
      </c>
    </row>
    <row r="85" spans="1:40" ht="19.5" x14ac:dyDescent="0.3">
      <c r="A85" s="147">
        <v>11</v>
      </c>
      <c r="B85" s="148" t="s">
        <v>113</v>
      </c>
      <c r="C85" s="68">
        <f ca="1">IFERROR(__xludf.DUMMYFUNCTION("IMPORTRANGE(""https://docs.google.com/spreadsheets/d/1qfrKjzMhm2HJfxQ-qVlJlJQ25Hne1d0khsySbZyGtPA/edit?usp=sharing"",""ระนอง!Q728"")"),379090)</f>
        <v>379090</v>
      </c>
      <c r="D85" s="68">
        <f ca="1">IFERROR(__xludf.DUMMYFUNCTION("IMPORTRANGE(""https://docs.google.com/spreadsheets/d/1qfrKjzMhm2HJfxQ-qVlJlJQ25Hne1d0khsySbZyGtPA/edit?usp=sharing"",""ระนอง!R728"")"),379090)</f>
        <v>379090</v>
      </c>
      <c r="E85" s="68">
        <f ca="1">IFERROR(__xludf.DUMMYFUNCTION("IMPORTRANGE(""https://docs.google.com/spreadsheets/d/1qfrKjzMhm2HJfxQ-qVlJlJQ25Hne1d0khsySbZyGtPA/edit?usp=sharing"",""ระนอง!S728"")"),325300.01)</f>
        <v>325300.01</v>
      </c>
      <c r="F85" s="68">
        <f t="shared" ca="1" si="33"/>
        <v>85.81075997784167</v>
      </c>
      <c r="G85" s="68">
        <f t="shared" ca="1" si="34"/>
        <v>85.81075997784167</v>
      </c>
      <c r="H85" s="152">
        <f ca="1">IFERROR(__xludf.DUMMYFUNCTION("IMPORTRANGE(""https://docs.google.com/spreadsheets/d/1qfrKjzMhm2HJfxQ-qVlJlJQ25Hne1d0khsySbZyGtPA/edit?usp=sharing"",""ระนอง!I726"")"),51)</f>
        <v>51</v>
      </c>
      <c r="I85" s="152">
        <f ca="1">IFERROR(__xludf.DUMMYFUNCTION("IMPORTRANGE(""https://docs.google.com/spreadsheets/d/1qfrKjzMhm2HJfxQ-qVlJlJQ25Hne1d0khsySbZyGtPA/edit?usp=sharing"",""ระนอง!I727"")"),500)</f>
        <v>500</v>
      </c>
      <c r="J85" s="152">
        <f ca="1">IFERROR(__xludf.DUMMYFUNCTION("IMPORTRANGE(""https://docs.google.com/spreadsheets/d/1qfrKjzMhm2HJfxQ-qVlJlJQ25Hne1d0khsySbZyGtPA/edit?usp=sharing"",""ระนอง!J726"")"),51)</f>
        <v>51</v>
      </c>
      <c r="K85" s="216">
        <f t="shared" ca="1" si="36"/>
        <v>100</v>
      </c>
      <c r="L85" s="152">
        <f ca="1">IFERROR(__xludf.DUMMYFUNCTION("IMPORTRANGE(""https://docs.google.com/spreadsheets/d/1qfrKjzMhm2HJfxQ-qVlJlJQ25Hne1d0khsySbZyGtPA/edit?usp=sharing"",""ระนอง!J727"")"),570)</f>
        <v>570</v>
      </c>
      <c r="M85" s="216">
        <f t="shared" ca="1" si="37"/>
        <v>114</v>
      </c>
      <c r="N85" s="152">
        <f ca="1">IFERROR(__xludf.DUMMYFUNCTION("IMPORTRANGE(""https://docs.google.com/spreadsheets/d/1qfrKjzMhm2HJfxQ-qVlJlJQ25Hne1d0khsySbZyGtPA/edit?usp=sharing"",""ระนอง!I740"")"),400)</f>
        <v>400</v>
      </c>
      <c r="O85" s="152">
        <f ca="1">IFERROR(__xludf.DUMMYFUNCTION("IMPORTRANGE(""https://docs.google.com/spreadsheets/d/1qfrKjzMhm2HJfxQ-qVlJlJQ25Hne1d0khsySbZyGtPA/edit?usp=sharing"",""ระนอง!J740"")"),455)</f>
        <v>455</v>
      </c>
      <c r="P85" s="216">
        <f t="shared" ca="1" si="39"/>
        <v>113.75</v>
      </c>
      <c r="Q85" s="152">
        <f ca="1">IFERROR(__xludf.DUMMYFUNCTION("IMPORTRANGE(""https://docs.google.com/spreadsheets/d/1qfrKjzMhm2HJfxQ-qVlJlJQ25Hne1d0khsySbZyGtPA/edit?usp=sharing"",""ระนอง!J741"")"),40)</f>
        <v>40</v>
      </c>
      <c r="R85" s="152">
        <f ca="1">IFERROR(__xludf.DUMMYFUNCTION("IMPORTRANGE(""https://docs.google.com/spreadsheets/d/1qfrKjzMhm2HJfxQ-qVlJlJQ25Hne1d0khsySbZyGtPA/edit?usp=sharing"",""ระนอง!I742"")"),40)</f>
        <v>40</v>
      </c>
      <c r="S85" s="152">
        <f ca="1">IFERROR(__xludf.DUMMYFUNCTION("IMPORTRANGE(""https://docs.google.com/spreadsheets/d/1qfrKjzMhm2HJfxQ-qVlJlJQ25Hne1d0khsySbZyGtPA/edit?usp=sharing"",""ระนอง!J742"")"),40)</f>
        <v>40</v>
      </c>
      <c r="T85" s="216">
        <f t="shared" ca="1" si="41"/>
        <v>100</v>
      </c>
      <c r="U85" s="152">
        <f ca="1">IFERROR(__xludf.DUMMYFUNCTION("IMPORTRANGE(""https://docs.google.com/spreadsheets/d/1qfrKjzMhm2HJfxQ-qVlJlJQ25Hne1d0khsySbZyGtPA/edit?usp=sharing"",""ระนอง!I744"")"),100)</f>
        <v>100</v>
      </c>
      <c r="V85" s="152">
        <f ca="1">IFERROR(__xludf.DUMMYFUNCTION("IMPORTRANGE(""https://docs.google.com/spreadsheets/d/1qfrKjzMhm2HJfxQ-qVlJlJQ25Hne1d0khsySbZyGtPA/edit?usp=sharing"",""ระนอง!J744"")"),115)</f>
        <v>115</v>
      </c>
      <c r="W85" s="216">
        <f t="shared" ca="1" si="43"/>
        <v>115</v>
      </c>
      <c r="X85" s="152">
        <f ca="1">IFERROR(__xludf.DUMMYFUNCTION("IMPORTRANGE(""https://docs.google.com/spreadsheets/d/1qfrKjzMhm2HJfxQ-qVlJlJQ25Hne1d0khsySbZyGtPA/edit?usp=sharing"",""ระนอง!J745"")"),10)</f>
        <v>10</v>
      </c>
      <c r="Y85" s="152">
        <f ca="1">IFERROR(__xludf.DUMMYFUNCTION("IMPORTRANGE(""https://docs.google.com/spreadsheets/d/1qfrKjzMhm2HJfxQ-qVlJlJQ25Hne1d0khsySbZyGtPA/edit?usp=sharing"",""ระนอง!I746"")"),10)</f>
        <v>10</v>
      </c>
      <c r="Z85" s="152">
        <f ca="1">IFERROR(__xludf.DUMMYFUNCTION("IMPORTRANGE(""https://docs.google.com/spreadsheets/d/1qfrKjzMhm2HJfxQ-qVlJlJQ25Hne1d0khsySbZyGtPA/edit?usp=sharing"",""ระนอง!J746"")"),10)</f>
        <v>10</v>
      </c>
      <c r="AA85" s="216">
        <f t="shared" ca="1" si="45"/>
        <v>100</v>
      </c>
      <c r="AB85" s="152">
        <f ca="1">IFERROR(__xludf.DUMMYFUNCTION("IMPORTRANGE(""https://docs.google.com/spreadsheets/d/1qfrKjzMhm2HJfxQ-qVlJlJQ25Hne1d0khsySbZyGtPA/edit?usp=sharing"",""ระนอง!J748"")"),8)</f>
        <v>8</v>
      </c>
      <c r="AC85" s="152">
        <f ca="1">IFERROR(__xludf.DUMMYFUNCTION("IMPORTRANGE(""https://docs.google.com/spreadsheets/d/1qfrKjzMhm2HJfxQ-qVlJlJQ25Hne1d0khsySbZyGtPA/edit?usp=sharing"",""ระนอง!I749"")"),1)</f>
        <v>1</v>
      </c>
      <c r="AD85" s="152">
        <f ca="1">IFERROR(__xludf.DUMMYFUNCTION("IMPORTRANGE(""https://docs.google.com/spreadsheets/d/1qfrKjzMhm2HJfxQ-qVlJlJQ25Hne1d0khsySbZyGtPA/edit?usp=sharing"",""ระนอง!J749"")"),1)</f>
        <v>1</v>
      </c>
      <c r="AE85" s="216">
        <f t="shared" ca="1" si="47"/>
        <v>100</v>
      </c>
      <c r="AF85" s="152">
        <f ca="1">IFERROR(__xludf.DUMMYFUNCTION("IMPORTRANGE(""https://docs.google.com/spreadsheets/d/1qfrKjzMhm2HJfxQ-qVlJlJQ25Hne1d0khsySbZyGtPA/edit?usp=sharing"",""ระนอง!I752"")"),400)</f>
        <v>400</v>
      </c>
      <c r="AG85" s="152">
        <f ca="1">IFERROR(__xludf.DUMMYFUNCTION("IMPORTRANGE(""https://docs.google.com/spreadsheets/d/1qfrKjzMhm2HJfxQ-qVlJlJQ25Hne1d0khsySbZyGtPA/edit?usp=sharing"",""ระนอง!J752"")"),455)</f>
        <v>455</v>
      </c>
      <c r="AH85" s="216">
        <f t="shared" ca="1" si="49"/>
        <v>113.75</v>
      </c>
      <c r="AI85" s="152">
        <f ca="1">IFERROR(__xludf.DUMMYFUNCTION("IMPORTRANGE(""https://docs.google.com/spreadsheets/d/1qfrKjzMhm2HJfxQ-qVlJlJQ25Hne1d0khsySbZyGtPA/edit?usp=sharing"",""ระนอง!J753"")"),455)</f>
        <v>455</v>
      </c>
      <c r="AJ85" s="152">
        <f ca="1">IFERROR(__xludf.DUMMYFUNCTION("IMPORTRANGE(""https://docs.google.com/spreadsheets/d/1qfrKjzMhm2HJfxQ-qVlJlJQ25Hne1d0khsySbZyGtPA/edit?usp=sharing"",""ระนอง!I755"")"),100)</f>
        <v>100</v>
      </c>
      <c r="AK85" s="152">
        <f ca="1">IFERROR(__xludf.DUMMYFUNCTION("IMPORTRANGE(""https://docs.google.com/spreadsheets/d/1qfrKjzMhm2HJfxQ-qVlJlJQ25Hne1d0khsySbZyGtPA/edit?usp=sharing"",""ระนอง!J755"")"),115)</f>
        <v>115</v>
      </c>
      <c r="AL85" s="216">
        <f t="shared" ca="1" si="51"/>
        <v>115</v>
      </c>
      <c r="AM85" s="152">
        <f ca="1">IFERROR(__xludf.DUMMYFUNCTION("IMPORTRANGE(""https://docs.google.com/spreadsheets/d/1qfrKjzMhm2HJfxQ-qVlJlJQ25Hne1d0khsySbZyGtPA/edit?usp=sharing"",""ระนอง!J756"")"),115)</f>
        <v>115</v>
      </c>
      <c r="AN85" s="152">
        <f ca="1">IFERROR(__xludf.DUMMYFUNCTION("IMPORTRANGE(""https://docs.google.com/spreadsheets/d/1qfrKjzMhm2HJfxQ-qVlJlJQ25Hne1d0khsySbZyGtPA/edit?usp=sharing"",""ระนอง!J757"")"),1)</f>
        <v>1</v>
      </c>
    </row>
    <row r="86" spans="1:40" ht="19.5" x14ac:dyDescent="0.3">
      <c r="A86" s="147">
        <v>12</v>
      </c>
      <c r="B86" s="148" t="s">
        <v>114</v>
      </c>
      <c r="C86" s="68">
        <f ca="1">IFERROR(__xludf.DUMMYFUNCTION("IMPORTRANGE(""https://docs.google.com/spreadsheets/d/1IbSCnFOKpZsnFogBHJnL_isstZVaOMnFiIN0fGTPZZw/edit?usp=sharing"",""สงขลา!Q728"")"),111882)</f>
        <v>111882</v>
      </c>
      <c r="D86" s="68">
        <f ca="1">IFERROR(__xludf.DUMMYFUNCTION("IMPORTRANGE(""https://docs.google.com/spreadsheets/d/1IbSCnFOKpZsnFogBHJnL_isstZVaOMnFiIN0fGTPZZw/edit?usp=sharing"",""สงขลา!R728"")"),111882)</f>
        <v>111882</v>
      </c>
      <c r="E86" s="68">
        <f ca="1">IFERROR(__xludf.DUMMYFUNCTION("IMPORTRANGE(""https://docs.google.com/spreadsheets/d/1IbSCnFOKpZsnFogBHJnL_isstZVaOMnFiIN0fGTPZZw/edit?usp=sharing"",""สงขลา!S728"")"),109952)</f>
        <v>109952</v>
      </c>
      <c r="F86" s="68">
        <f t="shared" ca="1" si="33"/>
        <v>98.274968270141756</v>
      </c>
      <c r="G86" s="68">
        <f t="shared" ca="1" si="34"/>
        <v>98.274968270141756</v>
      </c>
      <c r="H86" s="152">
        <f ca="1">IFERROR(__xludf.DUMMYFUNCTION("IMPORTRANGE(""https://docs.google.com/spreadsheets/d/1IbSCnFOKpZsnFogBHJnL_isstZVaOMnFiIN0fGTPZZw/edit?usp=sharing"",""สงขลา!I726"")"),11)</f>
        <v>11</v>
      </c>
      <c r="I86" s="152">
        <f ca="1">IFERROR(__xludf.DUMMYFUNCTION("IMPORTRANGE(""https://docs.google.com/spreadsheets/d/1IbSCnFOKpZsnFogBHJnL_isstZVaOMnFiIN0fGTPZZw/edit?usp=sharing"",""สงขลา!I727"")"),100)</f>
        <v>100</v>
      </c>
      <c r="J86" s="152">
        <f ca="1">IFERROR(__xludf.DUMMYFUNCTION("IMPORTRANGE(""https://docs.google.com/spreadsheets/d/1IbSCnFOKpZsnFogBHJnL_isstZVaOMnFiIN0fGTPZZw/edit?usp=sharing"",""สงขลา!J726"")"),11)</f>
        <v>11</v>
      </c>
      <c r="K86" s="216">
        <f t="shared" ca="1" si="36"/>
        <v>100</v>
      </c>
      <c r="L86" s="152">
        <f ca="1">IFERROR(__xludf.DUMMYFUNCTION("IMPORTRANGE(""https://docs.google.com/spreadsheets/d/1IbSCnFOKpZsnFogBHJnL_isstZVaOMnFiIN0fGTPZZw/edit?usp=sharing"",""สงขลา!J727"")"),0)</f>
        <v>0</v>
      </c>
      <c r="M86" s="216">
        <f t="shared" ca="1" si="37"/>
        <v>0</v>
      </c>
      <c r="N86" s="152">
        <f ca="1">IFERROR(__xludf.DUMMYFUNCTION("IMPORTRANGE(""https://docs.google.com/spreadsheets/d/1IbSCnFOKpZsnFogBHJnL_isstZVaOMnFiIN0fGTPZZw/edit?usp=sharing"",""สงขลา!I740"")"),80)</f>
        <v>80</v>
      </c>
      <c r="O86" s="152">
        <f ca="1">IFERROR(__xludf.DUMMYFUNCTION("IMPORTRANGE(""https://docs.google.com/spreadsheets/d/1IbSCnFOKpZsnFogBHJnL_isstZVaOMnFiIN0fGTPZZw/edit?usp=sharing"",""สงขลา!J740"")"),80)</f>
        <v>80</v>
      </c>
      <c r="P86" s="216">
        <f t="shared" ca="1" si="39"/>
        <v>100</v>
      </c>
      <c r="Q86" s="152">
        <f ca="1">IFERROR(__xludf.DUMMYFUNCTION("IMPORTRANGE(""https://docs.google.com/spreadsheets/d/1IbSCnFOKpZsnFogBHJnL_isstZVaOMnFiIN0fGTPZZw/edit?usp=sharing"",""สงขลา!J741"")"),0)</f>
        <v>0</v>
      </c>
      <c r="R86" s="152">
        <f ca="1">IFERROR(__xludf.DUMMYFUNCTION("IMPORTRANGE(""https://docs.google.com/spreadsheets/d/1IbSCnFOKpZsnFogBHJnL_isstZVaOMnFiIN0fGTPZZw/edit?usp=sharing"",""สงขลา!I742"")"),8)</f>
        <v>8</v>
      </c>
      <c r="S86" s="152">
        <f ca="1">IFERROR(__xludf.DUMMYFUNCTION("IMPORTRANGE(""https://docs.google.com/spreadsheets/d/1IbSCnFOKpZsnFogBHJnL_isstZVaOMnFiIN0fGTPZZw/edit?usp=sharing"",""สงขลา!J742"")"),8)</f>
        <v>8</v>
      </c>
      <c r="T86" s="216">
        <f t="shared" ca="1" si="41"/>
        <v>100</v>
      </c>
      <c r="U86" s="152">
        <f ca="1">IFERROR(__xludf.DUMMYFUNCTION("IMPORTRANGE(""https://docs.google.com/spreadsheets/d/1IbSCnFOKpZsnFogBHJnL_isstZVaOMnFiIN0fGTPZZw/edit?usp=sharing"",""สงขลา!I744"")"),20)</f>
        <v>20</v>
      </c>
      <c r="V86" s="152">
        <f ca="1">IFERROR(__xludf.DUMMYFUNCTION("IMPORTRANGE(""https://docs.google.com/spreadsheets/d/1IbSCnFOKpZsnFogBHJnL_isstZVaOMnFiIN0fGTPZZw/edit?usp=sharing"",""สงขลา!J744"")"),20)</f>
        <v>20</v>
      </c>
      <c r="W86" s="216">
        <f t="shared" ca="1" si="43"/>
        <v>100</v>
      </c>
      <c r="X86" s="152">
        <f ca="1">IFERROR(__xludf.DUMMYFUNCTION("IMPORTRANGE(""https://docs.google.com/spreadsheets/d/1IbSCnFOKpZsnFogBHJnL_isstZVaOMnFiIN0fGTPZZw/edit?usp=sharing"",""สงขลา!J745"")"),0)</f>
        <v>0</v>
      </c>
      <c r="Y86" s="152">
        <f ca="1">IFERROR(__xludf.DUMMYFUNCTION("IMPORTRANGE(""https://docs.google.com/spreadsheets/d/1IbSCnFOKpZsnFogBHJnL_isstZVaOMnFiIN0fGTPZZw/edit?usp=sharing"",""สงขลา!I746"")"),2)</f>
        <v>2</v>
      </c>
      <c r="Z86" s="152">
        <f ca="1">IFERROR(__xludf.DUMMYFUNCTION("IMPORTRANGE(""https://docs.google.com/spreadsheets/d/1IbSCnFOKpZsnFogBHJnL_isstZVaOMnFiIN0fGTPZZw/edit?usp=sharing"",""สงขลา!J746"")"),2)</f>
        <v>2</v>
      </c>
      <c r="AA86" s="216">
        <f t="shared" ca="1" si="45"/>
        <v>100</v>
      </c>
      <c r="AB86" s="152">
        <f ca="1">IFERROR(__xludf.DUMMYFUNCTION("IMPORTRANGE(""https://docs.google.com/spreadsheets/d/1IbSCnFOKpZsnFogBHJnL_isstZVaOMnFiIN0fGTPZZw/edit?usp=sharing"",""สงขลา!J748"")"),0)</f>
        <v>0</v>
      </c>
      <c r="AC86" s="152">
        <f ca="1">IFERROR(__xludf.DUMMYFUNCTION("IMPORTRANGE(""https://docs.google.com/spreadsheets/d/1IbSCnFOKpZsnFogBHJnL_isstZVaOMnFiIN0fGTPZZw/edit?usp=sharing"",""สงขลา!I749"")"),1)</f>
        <v>1</v>
      </c>
      <c r="AD86" s="152">
        <f ca="1">IFERROR(__xludf.DUMMYFUNCTION("IMPORTRANGE(""https://docs.google.com/spreadsheets/d/1IbSCnFOKpZsnFogBHJnL_isstZVaOMnFiIN0fGTPZZw/edit?usp=sharing"",""สงขลา!J749"")"),1)</f>
        <v>1</v>
      </c>
      <c r="AE86" s="216">
        <f t="shared" ca="1" si="47"/>
        <v>100</v>
      </c>
      <c r="AF86" s="152">
        <f ca="1">IFERROR(__xludf.DUMMYFUNCTION("IMPORTRANGE(""https://docs.google.com/spreadsheets/d/1IbSCnFOKpZsnFogBHJnL_isstZVaOMnFiIN0fGTPZZw/edit?usp=sharing"",""สงขลา!I752"")"),80)</f>
        <v>80</v>
      </c>
      <c r="AG86" s="152">
        <f ca="1">IFERROR(__xludf.DUMMYFUNCTION("IMPORTRANGE(""https://docs.google.com/spreadsheets/d/1IbSCnFOKpZsnFogBHJnL_isstZVaOMnFiIN0fGTPZZw/edit?usp=sharing"",""สงขลา!J752"")"),0)</f>
        <v>0</v>
      </c>
      <c r="AH86" s="216">
        <f t="shared" ca="1" si="49"/>
        <v>0</v>
      </c>
      <c r="AI86" s="152">
        <f ca="1">IFERROR(__xludf.DUMMYFUNCTION("IMPORTRANGE(""https://docs.google.com/spreadsheets/d/1IbSCnFOKpZsnFogBHJnL_isstZVaOMnFiIN0fGTPZZw/edit?usp=sharing"",""สงขลา!J753"")"),0)</f>
        <v>0</v>
      </c>
      <c r="AJ86" s="152">
        <f ca="1">IFERROR(__xludf.DUMMYFUNCTION("IMPORTRANGE(""https://docs.google.com/spreadsheets/d/1IbSCnFOKpZsnFogBHJnL_isstZVaOMnFiIN0fGTPZZw/edit?usp=sharing"",""สงขลา!I755"")"),20)</f>
        <v>20</v>
      </c>
      <c r="AK86" s="152">
        <f ca="1">IFERROR(__xludf.DUMMYFUNCTION("IMPORTRANGE(""https://docs.google.com/spreadsheets/d/1IbSCnFOKpZsnFogBHJnL_isstZVaOMnFiIN0fGTPZZw/edit?usp=sharing"",""สงขลา!J755"")"),0)</f>
        <v>0</v>
      </c>
      <c r="AL86" s="216">
        <f t="shared" ca="1" si="51"/>
        <v>0</v>
      </c>
      <c r="AM86" s="152">
        <f ca="1">IFERROR(__xludf.DUMMYFUNCTION("IMPORTRANGE(""https://docs.google.com/spreadsheets/d/1IbSCnFOKpZsnFogBHJnL_isstZVaOMnFiIN0fGTPZZw/edit?usp=sharing"",""สงขลา!J756"")"),0)</f>
        <v>0</v>
      </c>
      <c r="AN86" s="152">
        <f ca="1">IFERROR(__xludf.DUMMYFUNCTION("IMPORTRANGE(""https://docs.google.com/spreadsheets/d/1IbSCnFOKpZsnFogBHJnL_isstZVaOMnFiIN0fGTPZZw/edit?usp=sharing"",""สงขลา!J757"")"),0)</f>
        <v>0</v>
      </c>
    </row>
    <row r="87" spans="1:40" ht="19.5" x14ac:dyDescent="0.3">
      <c r="A87" s="147">
        <v>13</v>
      </c>
      <c r="B87" s="148" t="s">
        <v>115</v>
      </c>
      <c r="C87" s="68">
        <f ca="1">IFERROR(__xludf.DUMMYFUNCTION("IMPORTRANGE(""https://docs.google.com/spreadsheets/d/1q9nWasZJ-K8bFGvbE9n0qSRuKGA4Toe3Y89cKCiVtCU/edit?usp=sharing"",""สตูล!Q728"")"),79606)</f>
        <v>79606</v>
      </c>
      <c r="D87" s="68">
        <f ca="1">IFERROR(__xludf.DUMMYFUNCTION("IMPORTRANGE(""https://docs.google.com/spreadsheets/d/1q9nWasZJ-K8bFGvbE9n0qSRuKGA4Toe3Y89cKCiVtCU/edit?usp=sharing"",""สตูล!R728"")"),79606)</f>
        <v>79606</v>
      </c>
      <c r="E87" s="68">
        <f ca="1">IFERROR(__xludf.DUMMYFUNCTION("IMPORTRANGE(""https://docs.google.com/spreadsheets/d/1q9nWasZJ-K8bFGvbE9n0qSRuKGA4Toe3Y89cKCiVtCU/edit?usp=sharing"",""สตูล!S728"")"),74976.6)</f>
        <v>74976.600000000006</v>
      </c>
      <c r="F87" s="68">
        <f t="shared" ca="1" si="33"/>
        <v>94.184609200311542</v>
      </c>
      <c r="G87" s="68">
        <f t="shared" ca="1" si="34"/>
        <v>94.184609200311542</v>
      </c>
      <c r="H87" s="152">
        <f ca="1">IFERROR(__xludf.DUMMYFUNCTION("IMPORTRANGE(""https://docs.google.com/spreadsheets/d/1q9nWasZJ-K8bFGvbE9n0qSRuKGA4Toe3Y89cKCiVtCU/edit?usp=sharing"",""สตูล!I726"")"),6)</f>
        <v>6</v>
      </c>
      <c r="I87" s="152">
        <f ca="1">IFERROR(__xludf.DUMMYFUNCTION("IMPORTRANGE(""https://docs.google.com/spreadsheets/d/1q9nWasZJ-K8bFGvbE9n0qSRuKGA4Toe3Y89cKCiVtCU/edit?usp=sharing"",""สตูล!I727"")"),50)</f>
        <v>50</v>
      </c>
      <c r="J87" s="152">
        <f ca="1">IFERROR(__xludf.DUMMYFUNCTION("IMPORTRANGE(""https://docs.google.com/spreadsheets/d/1q9nWasZJ-K8bFGvbE9n0qSRuKGA4Toe3Y89cKCiVtCU/edit?usp=sharing"",""สตูล!J726"")"),16)</f>
        <v>16</v>
      </c>
      <c r="K87" s="216">
        <f t="shared" ca="1" si="36"/>
        <v>266.66666666666669</v>
      </c>
      <c r="L87" s="152">
        <f ca="1">IFERROR(__xludf.DUMMYFUNCTION("IMPORTRANGE(""https://docs.google.com/spreadsheets/d/1q9nWasZJ-K8bFGvbE9n0qSRuKGA4Toe3Y89cKCiVtCU/edit?usp=sharing"",""สตูล!J727"")"),50)</f>
        <v>50</v>
      </c>
      <c r="M87" s="216">
        <f t="shared" ca="1" si="37"/>
        <v>100</v>
      </c>
      <c r="N87" s="152">
        <f ca="1">IFERROR(__xludf.DUMMYFUNCTION("IMPORTRANGE(""https://docs.google.com/spreadsheets/d/1q9nWasZJ-K8bFGvbE9n0qSRuKGA4Toe3Y89cKCiVtCU/edit?usp=sharing"",""สตูล!I740"")"),40)</f>
        <v>40</v>
      </c>
      <c r="O87" s="152">
        <f ca="1">IFERROR(__xludf.DUMMYFUNCTION("IMPORTRANGE(""https://docs.google.com/spreadsheets/d/1q9nWasZJ-K8bFGvbE9n0qSRuKGA4Toe3Y89cKCiVtCU/edit?usp=sharing"",""สตูล!J740"")"),40)</f>
        <v>40</v>
      </c>
      <c r="P87" s="216">
        <f t="shared" ca="1" si="39"/>
        <v>100</v>
      </c>
      <c r="Q87" s="152">
        <f ca="1">IFERROR(__xludf.DUMMYFUNCTION("IMPORTRANGE(""https://docs.google.com/spreadsheets/d/1q9nWasZJ-K8bFGvbE9n0qSRuKGA4Toe3Y89cKCiVtCU/edit?usp=sharing"",""สตูล!J741"")"),0)</f>
        <v>0</v>
      </c>
      <c r="R87" s="152">
        <f ca="1">IFERROR(__xludf.DUMMYFUNCTION("IMPORTRANGE(""https://docs.google.com/spreadsheets/d/1q9nWasZJ-K8bFGvbE9n0qSRuKGA4Toe3Y89cKCiVtCU/edit?usp=sharing"",""สตูล!I742"")"),4)</f>
        <v>4</v>
      </c>
      <c r="S87" s="152">
        <f ca="1">IFERROR(__xludf.DUMMYFUNCTION("IMPORTRANGE(""https://docs.google.com/spreadsheets/d/1q9nWasZJ-K8bFGvbE9n0qSRuKGA4Toe3Y89cKCiVtCU/edit?usp=sharing"",""สตูล!J742"")"),5)</f>
        <v>5</v>
      </c>
      <c r="T87" s="216">
        <f t="shared" ca="1" si="41"/>
        <v>125</v>
      </c>
      <c r="U87" s="152">
        <f ca="1">IFERROR(__xludf.DUMMYFUNCTION("IMPORTRANGE(""https://docs.google.com/spreadsheets/d/1q9nWasZJ-K8bFGvbE9n0qSRuKGA4Toe3Y89cKCiVtCU/edit?usp=sharing"",""สตูล!I744"")"),10)</f>
        <v>10</v>
      </c>
      <c r="V87" s="152">
        <f ca="1">IFERROR(__xludf.DUMMYFUNCTION("IMPORTRANGE(""https://docs.google.com/spreadsheets/d/1q9nWasZJ-K8bFGvbE9n0qSRuKGA4Toe3Y89cKCiVtCU/edit?usp=sharing"",""สตูล!J744"")"),10)</f>
        <v>10</v>
      </c>
      <c r="W87" s="216">
        <f t="shared" ca="1" si="43"/>
        <v>100</v>
      </c>
      <c r="X87" s="152">
        <f ca="1">IFERROR(__xludf.DUMMYFUNCTION("IMPORTRANGE(""https://docs.google.com/spreadsheets/d/1q9nWasZJ-K8bFGvbE9n0qSRuKGA4Toe3Y89cKCiVtCU/edit?usp=sharing"",""สตูล!J745"")"),0)</f>
        <v>0</v>
      </c>
      <c r="Y87" s="152">
        <f ca="1">IFERROR(__xludf.DUMMYFUNCTION("IMPORTRANGE(""https://docs.google.com/spreadsheets/d/1q9nWasZJ-K8bFGvbE9n0qSRuKGA4Toe3Y89cKCiVtCU/edit?usp=sharing"",""สตูล!I746"")"),1)</f>
        <v>1</v>
      </c>
      <c r="Z87" s="152">
        <f ca="1">IFERROR(__xludf.DUMMYFUNCTION("IMPORTRANGE(""https://docs.google.com/spreadsheets/d/1q9nWasZJ-K8bFGvbE9n0qSRuKGA4Toe3Y89cKCiVtCU/edit?usp=sharing"",""สตูล!J746"")"),2)</f>
        <v>2</v>
      </c>
      <c r="AA87" s="216">
        <f t="shared" ca="1" si="45"/>
        <v>200</v>
      </c>
      <c r="AB87" s="152">
        <f ca="1">IFERROR(__xludf.DUMMYFUNCTION("IMPORTRANGE(""https://docs.google.com/spreadsheets/d/1q9nWasZJ-K8bFGvbE9n0qSRuKGA4Toe3Y89cKCiVtCU/edit?usp=sharing"",""สตูล!J748"")"),0)</f>
        <v>0</v>
      </c>
      <c r="AC87" s="152">
        <f ca="1">IFERROR(__xludf.DUMMYFUNCTION("IMPORTRANGE(""https://docs.google.com/spreadsheets/d/1q9nWasZJ-K8bFGvbE9n0qSRuKGA4Toe3Y89cKCiVtCU/edit?usp=sharing"",""สตูล!I749"")"),1)</f>
        <v>1</v>
      </c>
      <c r="AD87" s="152">
        <f ca="1">IFERROR(__xludf.DUMMYFUNCTION("IMPORTRANGE(""https://docs.google.com/spreadsheets/d/1q9nWasZJ-K8bFGvbE9n0qSRuKGA4Toe3Y89cKCiVtCU/edit?usp=sharing"",""สตูล!J749"")"),9)</f>
        <v>9</v>
      </c>
      <c r="AE87" s="216">
        <f t="shared" ca="1" si="47"/>
        <v>900</v>
      </c>
      <c r="AF87" s="152">
        <f ca="1">IFERROR(__xludf.DUMMYFUNCTION("IMPORTRANGE(""https://docs.google.com/spreadsheets/d/1q9nWasZJ-K8bFGvbE9n0qSRuKGA4Toe3Y89cKCiVtCU/edit?usp=sharing"",""สตูล!I752"")"),40)</f>
        <v>40</v>
      </c>
      <c r="AG87" s="152">
        <f ca="1">IFERROR(__xludf.DUMMYFUNCTION("IMPORTRANGE(""https://docs.google.com/spreadsheets/d/1q9nWasZJ-K8bFGvbE9n0qSRuKGA4Toe3Y89cKCiVtCU/edit?usp=sharing"",""สตูล!J752"")"),40)</f>
        <v>40</v>
      </c>
      <c r="AH87" s="216">
        <f t="shared" ca="1" si="49"/>
        <v>100</v>
      </c>
      <c r="AI87" s="152">
        <f ca="1">IFERROR(__xludf.DUMMYFUNCTION("IMPORTRANGE(""https://docs.google.com/spreadsheets/d/1q9nWasZJ-K8bFGvbE9n0qSRuKGA4Toe3Y89cKCiVtCU/edit?usp=sharing"",""สตูล!J753"")"),0)</f>
        <v>0</v>
      </c>
      <c r="AJ87" s="152">
        <f ca="1">IFERROR(__xludf.DUMMYFUNCTION("IMPORTRANGE(""https://docs.google.com/spreadsheets/d/1q9nWasZJ-K8bFGvbE9n0qSRuKGA4Toe3Y89cKCiVtCU/edit?usp=sharing"",""สตูล!I755"")"),10)</f>
        <v>10</v>
      </c>
      <c r="AK87" s="152">
        <f ca="1">IFERROR(__xludf.DUMMYFUNCTION("IMPORTRANGE(""https://docs.google.com/spreadsheets/d/1q9nWasZJ-K8bFGvbE9n0qSRuKGA4Toe3Y89cKCiVtCU/edit?usp=sharing"",""สตูล!J755"")"),10)</f>
        <v>10</v>
      </c>
      <c r="AL87" s="216">
        <f t="shared" ca="1" si="51"/>
        <v>100</v>
      </c>
      <c r="AM87" s="152">
        <f ca="1">IFERROR(__xludf.DUMMYFUNCTION("IMPORTRANGE(""https://docs.google.com/spreadsheets/d/1q9nWasZJ-K8bFGvbE9n0qSRuKGA4Toe3Y89cKCiVtCU/edit?usp=sharing"",""สตูล!J756"")"),0)</f>
        <v>0</v>
      </c>
      <c r="AN87" s="152">
        <f ca="1">IFERROR(__xludf.DUMMYFUNCTION("IMPORTRANGE(""https://docs.google.com/spreadsheets/d/1q9nWasZJ-K8bFGvbE9n0qSRuKGA4Toe3Y89cKCiVtCU/edit?usp=sharing"",""สตูล!J757"")"),1)</f>
        <v>1</v>
      </c>
    </row>
    <row r="88" spans="1:40" ht="19.5" x14ac:dyDescent="0.3">
      <c r="A88" s="155">
        <v>14</v>
      </c>
      <c r="B88" s="156" t="s">
        <v>116</v>
      </c>
      <c r="C88" s="89">
        <f ca="1">IFERROR(__xludf.DUMMYFUNCTION("IMPORTRANGE(""https://docs.google.com/spreadsheets/d/18T20gbkS_WBjdscyTOV05cvq_JqvqQ17C81mpxf7Ncs/edit?usp=sharing"",""สุราษฎร์ธานี!Q728"")"),379090)</f>
        <v>379090</v>
      </c>
      <c r="D88" s="89">
        <f ca="1">IFERROR(__xludf.DUMMYFUNCTION("IMPORTRANGE(""https://docs.google.com/spreadsheets/d/18T20gbkS_WBjdscyTOV05cvq_JqvqQ17C81mpxf7Ncs/edit?usp=sharing"",""สุราษฎร์ธานี!R728"")"),369090)</f>
        <v>369090</v>
      </c>
      <c r="E88" s="89">
        <f ca="1">IFERROR(__xludf.DUMMYFUNCTION("IMPORTRANGE(""https://docs.google.com/spreadsheets/d/18T20gbkS_WBjdscyTOV05cvq_JqvqQ17C81mpxf7Ncs/edit?usp=sharing"",""สุราษฎร์ธานี!S728"")"),348774)</f>
        <v>348774</v>
      </c>
      <c r="F88" s="89">
        <f t="shared" ca="1" si="33"/>
        <v>92.002954443535842</v>
      </c>
      <c r="G88" s="89">
        <f t="shared" ca="1" si="34"/>
        <v>94.495651467121846</v>
      </c>
      <c r="H88" s="191">
        <f ca="1">IFERROR(__xludf.DUMMYFUNCTION("IMPORTRANGE(""https://docs.google.com/spreadsheets/d/18T20gbkS_WBjdscyTOV05cvq_JqvqQ17C81mpxf7Ncs/edit?usp=sharing"",""สุราษฎร์ธานี!I726"")"),51)</f>
        <v>51</v>
      </c>
      <c r="I88" s="191">
        <f ca="1">IFERROR(__xludf.DUMMYFUNCTION("IMPORTRANGE(""https://docs.google.com/spreadsheets/d/18T20gbkS_WBjdscyTOV05cvq_JqvqQ17C81mpxf7Ncs/edit?usp=sharing"",""สุราษฎร์ธานี!I727"")"),500)</f>
        <v>500</v>
      </c>
      <c r="J88" s="191">
        <f ca="1">IFERROR(__xludf.DUMMYFUNCTION("IMPORTRANGE(""https://docs.google.com/spreadsheets/d/18T20gbkS_WBjdscyTOV05cvq_JqvqQ17C81mpxf7Ncs/edit?usp=sharing"",""สุราษฎร์ธานี!J726"")"),51)</f>
        <v>51</v>
      </c>
      <c r="K88" s="218">
        <f t="shared" ca="1" si="36"/>
        <v>100</v>
      </c>
      <c r="L88" s="191">
        <f ca="1">IFERROR(__xludf.DUMMYFUNCTION("IMPORTRANGE(""https://docs.google.com/spreadsheets/d/18T20gbkS_WBjdscyTOV05cvq_JqvqQ17C81mpxf7Ncs/edit?usp=sharing"",""สุราษฎร์ธานี!J727"")"),500)</f>
        <v>500</v>
      </c>
      <c r="M88" s="218">
        <f t="shared" ca="1" si="37"/>
        <v>100</v>
      </c>
      <c r="N88" s="191">
        <f ca="1">IFERROR(__xludf.DUMMYFUNCTION("IMPORTRANGE(""https://docs.google.com/spreadsheets/d/18T20gbkS_WBjdscyTOV05cvq_JqvqQ17C81mpxf7Ncs/edit?usp=sharing"",""สุราษฎร์ธานี!I740"")"),400)</f>
        <v>400</v>
      </c>
      <c r="O88" s="191">
        <f ca="1">IFERROR(__xludf.DUMMYFUNCTION("IMPORTRANGE(""https://docs.google.com/spreadsheets/d/18T20gbkS_WBjdscyTOV05cvq_JqvqQ17C81mpxf7Ncs/edit?usp=sharing"",""สุราษฎร์ธานี!J740"")"),400)</f>
        <v>400</v>
      </c>
      <c r="P88" s="218">
        <f t="shared" ca="1" si="39"/>
        <v>100</v>
      </c>
      <c r="Q88" s="191">
        <f ca="1">IFERROR(__xludf.DUMMYFUNCTION("IMPORTRANGE(""https://docs.google.com/spreadsheets/d/18T20gbkS_WBjdscyTOV05cvq_JqvqQ17C81mpxf7Ncs/edit?usp=sharing"",""สุราษฎร์ธานี!J741"")"),0)</f>
        <v>0</v>
      </c>
      <c r="R88" s="191">
        <f ca="1">IFERROR(__xludf.DUMMYFUNCTION("IMPORTRANGE(""https://docs.google.com/spreadsheets/d/18T20gbkS_WBjdscyTOV05cvq_JqvqQ17C81mpxf7Ncs/edit?usp=sharing"",""สุราษฎร์ธานี!I742"")"),40)</f>
        <v>40</v>
      </c>
      <c r="S88" s="191">
        <f ca="1">IFERROR(__xludf.DUMMYFUNCTION("IMPORTRANGE(""https://docs.google.com/spreadsheets/d/18T20gbkS_WBjdscyTOV05cvq_JqvqQ17C81mpxf7Ncs/edit?usp=sharing"",""สุราษฎร์ธานี!J742"")"),40)</f>
        <v>40</v>
      </c>
      <c r="T88" s="218">
        <f t="shared" ca="1" si="41"/>
        <v>100</v>
      </c>
      <c r="U88" s="191">
        <f ca="1">IFERROR(__xludf.DUMMYFUNCTION("IMPORTRANGE(""https://docs.google.com/spreadsheets/d/18T20gbkS_WBjdscyTOV05cvq_JqvqQ17C81mpxf7Ncs/edit?usp=sharing"",""สุราษฎร์ธานี!I744"")"),100)</f>
        <v>100</v>
      </c>
      <c r="V88" s="191">
        <f ca="1">IFERROR(__xludf.DUMMYFUNCTION("IMPORTRANGE(""https://docs.google.com/spreadsheets/d/18T20gbkS_WBjdscyTOV05cvq_JqvqQ17C81mpxf7Ncs/edit?usp=sharing"",""สุราษฎร์ธานี!J744"")"),100)</f>
        <v>100</v>
      </c>
      <c r="W88" s="218">
        <f t="shared" ca="1" si="43"/>
        <v>100</v>
      </c>
      <c r="X88" s="191">
        <f ca="1">IFERROR(__xludf.DUMMYFUNCTION("IMPORTRANGE(""https://docs.google.com/spreadsheets/d/18T20gbkS_WBjdscyTOV05cvq_JqvqQ17C81mpxf7Ncs/edit?usp=sharing"",""สุราษฎร์ธานี!J745"")"),0)</f>
        <v>0</v>
      </c>
      <c r="Y88" s="191">
        <f ca="1">IFERROR(__xludf.DUMMYFUNCTION("IMPORTRANGE(""https://docs.google.com/spreadsheets/d/18T20gbkS_WBjdscyTOV05cvq_JqvqQ17C81mpxf7Ncs/edit?usp=sharing"",""สุราษฎร์ธานี!I746"")"),10)</f>
        <v>10</v>
      </c>
      <c r="Z88" s="191">
        <f ca="1">IFERROR(__xludf.DUMMYFUNCTION("IMPORTRANGE(""https://docs.google.com/spreadsheets/d/18T20gbkS_WBjdscyTOV05cvq_JqvqQ17C81mpxf7Ncs/edit?usp=sharing"",""สุราษฎร์ธานี!J746"")"),10)</f>
        <v>10</v>
      </c>
      <c r="AA88" s="218">
        <f t="shared" ca="1" si="45"/>
        <v>100</v>
      </c>
      <c r="AB88" s="191">
        <f ca="1">IFERROR(__xludf.DUMMYFUNCTION("IMPORTRANGE(""https://docs.google.com/spreadsheets/d/18T20gbkS_WBjdscyTOV05cvq_JqvqQ17C81mpxf7Ncs/edit?usp=sharing"",""สุราษฎร์ธานี!J748"")"),0)</f>
        <v>0</v>
      </c>
      <c r="AC88" s="191">
        <f ca="1">IFERROR(__xludf.DUMMYFUNCTION("IMPORTRANGE(""https://docs.google.com/spreadsheets/d/18T20gbkS_WBjdscyTOV05cvq_JqvqQ17C81mpxf7Ncs/edit?usp=sharing"",""สุราษฎร์ธานี!I749"")"),1)</f>
        <v>1</v>
      </c>
      <c r="AD88" s="191">
        <f ca="1">IFERROR(__xludf.DUMMYFUNCTION("IMPORTRANGE(""https://docs.google.com/spreadsheets/d/18T20gbkS_WBjdscyTOV05cvq_JqvqQ17C81mpxf7Ncs/edit?usp=sharing"",""สุราษฎร์ธานี!J749"")"),1)</f>
        <v>1</v>
      </c>
      <c r="AE88" s="218">
        <f t="shared" ca="1" si="47"/>
        <v>100</v>
      </c>
      <c r="AF88" s="191">
        <f ca="1">IFERROR(__xludf.DUMMYFUNCTION("IMPORTRANGE(""https://docs.google.com/spreadsheets/d/18T20gbkS_WBjdscyTOV05cvq_JqvqQ17C81mpxf7Ncs/edit?usp=sharing"",""สุราษฎร์ธานี!I752"")"),400)</f>
        <v>400</v>
      </c>
      <c r="AG88" s="191">
        <f ca="1">IFERROR(__xludf.DUMMYFUNCTION("IMPORTRANGE(""https://docs.google.com/spreadsheets/d/18T20gbkS_WBjdscyTOV05cvq_JqvqQ17C81mpxf7Ncs/edit?usp=sharing"",""สุราษฎร์ธานี!J752"")"),400)</f>
        <v>400</v>
      </c>
      <c r="AH88" s="218">
        <f t="shared" ca="1" si="49"/>
        <v>100</v>
      </c>
      <c r="AI88" s="191">
        <f ca="1">IFERROR(__xludf.DUMMYFUNCTION("IMPORTRANGE(""https://docs.google.com/spreadsheets/d/18T20gbkS_WBjdscyTOV05cvq_JqvqQ17C81mpxf7Ncs/edit?usp=sharing"",""สุราษฎร์ธานี!J753"")"),400)</f>
        <v>400</v>
      </c>
      <c r="AJ88" s="191">
        <f ca="1">IFERROR(__xludf.DUMMYFUNCTION("IMPORTRANGE(""https://docs.google.com/spreadsheets/d/18T20gbkS_WBjdscyTOV05cvq_JqvqQ17C81mpxf7Ncs/edit?usp=sharing"",""สุราษฎร์ธานี!I755"")"),100)</f>
        <v>100</v>
      </c>
      <c r="AK88" s="191">
        <f ca="1">IFERROR(__xludf.DUMMYFUNCTION("IMPORTRANGE(""https://docs.google.com/spreadsheets/d/18T20gbkS_WBjdscyTOV05cvq_JqvqQ17C81mpxf7Ncs/edit?usp=sharing"",""สุราษฎร์ธานี!J755"")"),100)</f>
        <v>100</v>
      </c>
      <c r="AL88" s="218">
        <f t="shared" ca="1" si="51"/>
        <v>100</v>
      </c>
      <c r="AM88" s="191">
        <f ca="1">IFERROR(__xludf.DUMMYFUNCTION("IMPORTRANGE(""https://docs.google.com/spreadsheets/d/18T20gbkS_WBjdscyTOV05cvq_JqvqQ17C81mpxf7Ncs/edit?usp=sharing"",""สุราษฎร์ธานี!J756"")"),100)</f>
        <v>100</v>
      </c>
      <c r="AN88" s="191">
        <f ca="1">IFERROR(__xludf.DUMMYFUNCTION("IMPORTRANGE(""https://docs.google.com/spreadsheets/d/18T20gbkS_WBjdscyTOV05cvq_JqvqQ17C81mpxf7Ncs/edit?usp=sharing"",""สุราษฎร์ธานี!J757"")"),1)</f>
        <v>1</v>
      </c>
    </row>
    <row r="89" spans="1:40" ht="19.5" x14ac:dyDescent="0.3">
      <c r="A89" s="698" t="s">
        <v>117</v>
      </c>
      <c r="B89" s="662"/>
      <c r="C89" s="202">
        <f t="shared" ref="C89:E89" ca="1" si="83">SUM(C90:C106)</f>
        <v>2877680</v>
      </c>
      <c r="D89" s="202">
        <f t="shared" ca="1" si="83"/>
        <v>2820780</v>
      </c>
      <c r="E89" s="202">
        <f t="shared" ca="1" si="83"/>
        <v>400037.35</v>
      </c>
      <c r="F89" s="202">
        <f t="shared" ca="1" si="33"/>
        <v>13.901384101081426</v>
      </c>
      <c r="G89" s="202">
        <f t="shared" ca="1" si="34"/>
        <v>14.18179900594871</v>
      </c>
      <c r="H89" s="169"/>
      <c r="I89" s="169"/>
      <c r="J89" s="255"/>
      <c r="K89" s="169"/>
      <c r="L89" s="169"/>
      <c r="M89" s="169"/>
      <c r="N89" s="255"/>
      <c r="O89" s="169"/>
      <c r="P89" s="169"/>
      <c r="Q89" s="169"/>
      <c r="R89" s="255"/>
      <c r="S89" s="169"/>
      <c r="T89" s="169"/>
      <c r="U89" s="169"/>
      <c r="V89" s="255"/>
      <c r="W89" s="169"/>
      <c r="X89" s="169"/>
      <c r="Y89" s="169"/>
      <c r="Z89" s="255"/>
      <c r="AA89" s="169"/>
      <c r="AB89" s="169"/>
      <c r="AC89" s="169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</row>
    <row r="90" spans="1:40" ht="19.5" x14ac:dyDescent="0.3">
      <c r="A90" s="257"/>
      <c r="B90" s="258" t="s">
        <v>118</v>
      </c>
      <c r="C90" s="67">
        <v>0</v>
      </c>
      <c r="D90" s="67">
        <v>0</v>
      </c>
      <c r="E90" s="67">
        <v>0</v>
      </c>
      <c r="F90" s="68">
        <f t="shared" si="33"/>
        <v>0</v>
      </c>
      <c r="G90" s="68">
        <f t="shared" si="34"/>
        <v>0</v>
      </c>
      <c r="H90" s="220"/>
      <c r="I90" s="220"/>
      <c r="J90" s="259"/>
      <c r="K90" s="220"/>
      <c r="L90" s="220"/>
      <c r="M90" s="220"/>
      <c r="N90" s="259"/>
      <c r="O90" s="220"/>
      <c r="P90" s="220"/>
      <c r="Q90" s="220"/>
      <c r="R90" s="259"/>
      <c r="S90" s="220"/>
      <c r="T90" s="220"/>
      <c r="U90" s="220"/>
      <c r="V90" s="259"/>
      <c r="W90" s="220"/>
      <c r="X90" s="220"/>
      <c r="Y90" s="220"/>
      <c r="Z90" s="259"/>
      <c r="AA90" s="220"/>
      <c r="AB90" s="220"/>
      <c r="AC90" s="220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</row>
    <row r="91" spans="1:40" ht="19.5" x14ac:dyDescent="0.3">
      <c r="A91" s="257"/>
      <c r="B91" s="258" t="s">
        <v>119</v>
      </c>
      <c r="C91" s="67">
        <v>0</v>
      </c>
      <c r="D91" s="67">
        <v>0</v>
      </c>
      <c r="E91" s="67">
        <v>0</v>
      </c>
      <c r="F91" s="68">
        <f t="shared" si="33"/>
        <v>0</v>
      </c>
      <c r="G91" s="68">
        <f t="shared" si="34"/>
        <v>0</v>
      </c>
      <c r="H91" s="220"/>
      <c r="I91" s="220"/>
      <c r="J91" s="259"/>
      <c r="K91" s="220"/>
      <c r="L91" s="220"/>
      <c r="M91" s="220"/>
      <c r="N91" s="259"/>
      <c r="O91" s="220"/>
      <c r="P91" s="220"/>
      <c r="Q91" s="220"/>
      <c r="R91" s="259"/>
      <c r="S91" s="220"/>
      <c r="T91" s="220"/>
      <c r="U91" s="220"/>
      <c r="V91" s="259"/>
      <c r="W91" s="220"/>
      <c r="X91" s="220"/>
      <c r="Y91" s="220"/>
      <c r="Z91" s="259"/>
      <c r="AA91" s="220"/>
      <c r="AB91" s="220"/>
      <c r="AC91" s="220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</row>
    <row r="92" spans="1:40" ht="19.5" x14ac:dyDescent="0.3">
      <c r="A92" s="257"/>
      <c r="B92" s="258" t="s">
        <v>120</v>
      </c>
      <c r="C92" s="67">
        <v>0</v>
      </c>
      <c r="D92" s="67">
        <v>0</v>
      </c>
      <c r="E92" s="67">
        <v>0</v>
      </c>
      <c r="F92" s="68">
        <f t="shared" si="33"/>
        <v>0</v>
      </c>
      <c r="G92" s="68">
        <f t="shared" si="34"/>
        <v>0</v>
      </c>
      <c r="H92" s="220"/>
      <c r="I92" s="220"/>
      <c r="J92" s="259"/>
      <c r="K92" s="220"/>
      <c r="L92" s="220"/>
      <c r="M92" s="220"/>
      <c r="N92" s="259"/>
      <c r="O92" s="220"/>
      <c r="P92" s="220"/>
      <c r="Q92" s="220"/>
      <c r="R92" s="259"/>
      <c r="S92" s="220"/>
      <c r="T92" s="220"/>
      <c r="U92" s="220"/>
      <c r="V92" s="259"/>
      <c r="W92" s="220"/>
      <c r="X92" s="220"/>
      <c r="Y92" s="220"/>
      <c r="Z92" s="259"/>
      <c r="AA92" s="220"/>
      <c r="AB92" s="220"/>
      <c r="AC92" s="220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</row>
    <row r="93" spans="1:40" ht="19.5" x14ac:dyDescent="0.3">
      <c r="A93" s="257"/>
      <c r="B93" s="258" t="s">
        <v>121</v>
      </c>
      <c r="C93" s="67">
        <v>0</v>
      </c>
      <c r="D93" s="67">
        <v>0</v>
      </c>
      <c r="E93" s="67">
        <v>0</v>
      </c>
      <c r="F93" s="68">
        <f t="shared" si="33"/>
        <v>0</v>
      </c>
      <c r="G93" s="68">
        <f t="shared" si="34"/>
        <v>0</v>
      </c>
      <c r="H93" s="220"/>
      <c r="I93" s="220"/>
      <c r="J93" s="259"/>
      <c r="K93" s="220"/>
      <c r="L93" s="220"/>
      <c r="M93" s="220"/>
      <c r="N93" s="259"/>
      <c r="O93" s="220"/>
      <c r="P93" s="220"/>
      <c r="Q93" s="220"/>
      <c r="R93" s="259"/>
      <c r="S93" s="220"/>
      <c r="T93" s="220"/>
      <c r="U93" s="220"/>
      <c r="V93" s="259"/>
      <c r="W93" s="220"/>
      <c r="X93" s="220"/>
      <c r="Y93" s="220"/>
      <c r="Z93" s="259"/>
      <c r="AA93" s="220"/>
      <c r="AB93" s="220"/>
      <c r="AC93" s="220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</row>
    <row r="94" spans="1:40" ht="19.5" x14ac:dyDescent="0.3">
      <c r="A94" s="257"/>
      <c r="B94" s="258" t="s">
        <v>122</v>
      </c>
      <c r="C94" s="67">
        <v>0</v>
      </c>
      <c r="D94" s="67">
        <v>0</v>
      </c>
      <c r="E94" s="67">
        <v>0</v>
      </c>
      <c r="F94" s="68">
        <f t="shared" si="33"/>
        <v>0</v>
      </c>
      <c r="G94" s="68">
        <f t="shared" si="34"/>
        <v>0</v>
      </c>
      <c r="H94" s="220"/>
      <c r="I94" s="220"/>
      <c r="J94" s="259"/>
      <c r="K94" s="220"/>
      <c r="L94" s="220"/>
      <c r="M94" s="220"/>
      <c r="N94" s="259"/>
      <c r="O94" s="220"/>
      <c r="P94" s="220"/>
      <c r="Q94" s="220"/>
      <c r="R94" s="259"/>
      <c r="S94" s="220"/>
      <c r="T94" s="220"/>
      <c r="U94" s="220"/>
      <c r="V94" s="259"/>
      <c r="W94" s="220"/>
      <c r="X94" s="220"/>
      <c r="Y94" s="220"/>
      <c r="Z94" s="259"/>
      <c r="AA94" s="220"/>
      <c r="AB94" s="220"/>
      <c r="AC94" s="220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</row>
    <row r="95" spans="1:40" ht="19.5" x14ac:dyDescent="0.3">
      <c r="A95" s="257"/>
      <c r="B95" s="258" t="s">
        <v>123</v>
      </c>
      <c r="C95" s="67">
        <v>0</v>
      </c>
      <c r="D95" s="67">
        <v>0</v>
      </c>
      <c r="E95" s="67">
        <v>0</v>
      </c>
      <c r="F95" s="68">
        <f t="shared" si="33"/>
        <v>0</v>
      </c>
      <c r="G95" s="68">
        <f t="shared" si="34"/>
        <v>0</v>
      </c>
      <c r="H95" s="220"/>
      <c r="I95" s="220"/>
      <c r="J95" s="259"/>
      <c r="K95" s="220"/>
      <c r="L95" s="220"/>
      <c r="M95" s="220"/>
      <c r="N95" s="259"/>
      <c r="O95" s="220"/>
      <c r="P95" s="220"/>
      <c r="Q95" s="220"/>
      <c r="R95" s="259"/>
      <c r="S95" s="220"/>
      <c r="T95" s="220"/>
      <c r="U95" s="220"/>
      <c r="V95" s="259"/>
      <c r="W95" s="220"/>
      <c r="X95" s="220"/>
      <c r="Y95" s="220"/>
      <c r="Z95" s="259"/>
      <c r="AA95" s="220"/>
      <c r="AB95" s="220"/>
      <c r="AC95" s="220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</row>
    <row r="96" spans="1:40" ht="19.5" x14ac:dyDescent="0.3">
      <c r="A96" s="257"/>
      <c r="B96" s="258" t="s">
        <v>124</v>
      </c>
      <c r="C96" s="67">
        <f ca="1">IFERROR(__xludf.DUMMYFUNCTION("IMPORTRANGE(""https://docs.google.com/spreadsheets/d/1ItG2mGa2ceCfYo0BwxsXqNm01IGEUdYcSSLTEv9YCik/edit?usp=sharing"",""เบิกจ่ายกองทุน!O92"")"),2877680)</f>
        <v>2877680</v>
      </c>
      <c r="D96" s="67">
        <f ca="1">IFERROR(__xludf.DUMMYFUNCTION("IMPORTRANGE(""https://docs.google.com/spreadsheets/d/1ItG2mGa2ceCfYo0BwxsXqNm01IGEUdYcSSLTEv9YCik/edit?usp=sharing"",""เบิกจ่ายกองทุน!P92"")"),2820780)</f>
        <v>2820780</v>
      </c>
      <c r="E96" s="67">
        <f ca="1">IFERROR(__xludf.DUMMYFUNCTION("IMPORTRANGE(""https://docs.google.com/spreadsheets/d/1ItG2mGa2ceCfYo0BwxsXqNm01IGEUdYcSSLTEv9YCik/edit?usp=sharing"",""เบิกจ่ายกองทุน!Q92"")"),400037.35)</f>
        <v>400037.35</v>
      </c>
      <c r="F96" s="68">
        <f t="shared" ca="1" si="33"/>
        <v>13.901384101081426</v>
      </c>
      <c r="G96" s="68">
        <f t="shared" ca="1" si="34"/>
        <v>14.18179900594871</v>
      </c>
      <c r="H96" s="220"/>
      <c r="I96" s="220"/>
      <c r="J96" s="259"/>
      <c r="K96" s="220"/>
      <c r="L96" s="220"/>
      <c r="M96" s="220"/>
      <c r="N96" s="259"/>
      <c r="O96" s="220"/>
      <c r="P96" s="220"/>
      <c r="Q96" s="220"/>
      <c r="R96" s="259"/>
      <c r="S96" s="220"/>
      <c r="T96" s="220"/>
      <c r="U96" s="220"/>
      <c r="V96" s="259"/>
      <c r="W96" s="220"/>
      <c r="X96" s="220"/>
      <c r="Y96" s="220"/>
      <c r="Z96" s="259"/>
      <c r="AA96" s="220"/>
      <c r="AB96" s="220"/>
      <c r="AC96" s="220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</row>
    <row r="97" spans="1:40" ht="19.5" x14ac:dyDescent="0.3">
      <c r="A97" s="257"/>
      <c r="B97" s="258" t="s">
        <v>125</v>
      </c>
      <c r="C97" s="67">
        <v>0</v>
      </c>
      <c r="D97" s="67">
        <v>0</v>
      </c>
      <c r="E97" s="67">
        <v>0</v>
      </c>
      <c r="F97" s="68">
        <f t="shared" si="33"/>
        <v>0</v>
      </c>
      <c r="G97" s="68">
        <f t="shared" si="34"/>
        <v>0</v>
      </c>
      <c r="H97" s="220"/>
      <c r="I97" s="220"/>
      <c r="J97" s="259"/>
      <c r="K97" s="220"/>
      <c r="L97" s="220"/>
      <c r="M97" s="220"/>
      <c r="N97" s="259"/>
      <c r="O97" s="220"/>
      <c r="P97" s="220"/>
      <c r="Q97" s="220"/>
      <c r="R97" s="259"/>
      <c r="S97" s="220"/>
      <c r="T97" s="220"/>
      <c r="U97" s="220"/>
      <c r="V97" s="259"/>
      <c r="W97" s="220"/>
      <c r="X97" s="220"/>
      <c r="Y97" s="220"/>
      <c r="Z97" s="259"/>
      <c r="AA97" s="220"/>
      <c r="AB97" s="220"/>
      <c r="AC97" s="220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</row>
    <row r="98" spans="1:40" ht="19.5" x14ac:dyDescent="0.3">
      <c r="A98" s="257"/>
      <c r="B98" s="258" t="s">
        <v>126</v>
      </c>
      <c r="C98" s="67">
        <v>0</v>
      </c>
      <c r="D98" s="67">
        <v>0</v>
      </c>
      <c r="E98" s="67">
        <v>0</v>
      </c>
      <c r="F98" s="68">
        <f t="shared" si="33"/>
        <v>0</v>
      </c>
      <c r="G98" s="68">
        <f t="shared" si="34"/>
        <v>0</v>
      </c>
      <c r="H98" s="220"/>
      <c r="I98" s="220"/>
      <c r="J98" s="259"/>
      <c r="K98" s="220"/>
      <c r="L98" s="220"/>
      <c r="M98" s="220"/>
      <c r="N98" s="259"/>
      <c r="O98" s="220"/>
      <c r="P98" s="220"/>
      <c r="Q98" s="220"/>
      <c r="R98" s="259"/>
      <c r="S98" s="220"/>
      <c r="T98" s="220"/>
      <c r="U98" s="220"/>
      <c r="V98" s="259"/>
      <c r="W98" s="220"/>
      <c r="X98" s="220"/>
      <c r="Y98" s="220"/>
      <c r="Z98" s="259"/>
      <c r="AA98" s="220"/>
      <c r="AB98" s="220"/>
      <c r="AC98" s="220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</row>
    <row r="99" spans="1:40" ht="19.5" x14ac:dyDescent="0.3">
      <c r="A99" s="257"/>
      <c r="B99" s="258" t="s">
        <v>127</v>
      </c>
      <c r="C99" s="67">
        <v>0</v>
      </c>
      <c r="D99" s="67">
        <v>0</v>
      </c>
      <c r="E99" s="67">
        <v>0</v>
      </c>
      <c r="F99" s="68">
        <f t="shared" si="33"/>
        <v>0</v>
      </c>
      <c r="G99" s="68">
        <f t="shared" si="34"/>
        <v>0</v>
      </c>
      <c r="H99" s="220"/>
      <c r="I99" s="220"/>
      <c r="J99" s="259"/>
      <c r="K99" s="220"/>
      <c r="L99" s="220"/>
      <c r="M99" s="220"/>
      <c r="N99" s="259"/>
      <c r="O99" s="220"/>
      <c r="P99" s="220"/>
      <c r="Q99" s="220"/>
      <c r="R99" s="259"/>
      <c r="S99" s="220"/>
      <c r="T99" s="220"/>
      <c r="U99" s="220"/>
      <c r="V99" s="259"/>
      <c r="W99" s="220"/>
      <c r="X99" s="220"/>
      <c r="Y99" s="220"/>
      <c r="Z99" s="259"/>
      <c r="AA99" s="220"/>
      <c r="AB99" s="220"/>
      <c r="AC99" s="220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</row>
    <row r="100" spans="1:40" ht="19.5" x14ac:dyDescent="0.3">
      <c r="A100" s="257"/>
      <c r="B100" s="258" t="s">
        <v>128</v>
      </c>
      <c r="C100" s="67">
        <v>0</v>
      </c>
      <c r="D100" s="67">
        <v>0</v>
      </c>
      <c r="E100" s="67">
        <v>0</v>
      </c>
      <c r="F100" s="68">
        <f t="shared" si="33"/>
        <v>0</v>
      </c>
      <c r="G100" s="68">
        <f t="shared" si="34"/>
        <v>0</v>
      </c>
      <c r="H100" s="220"/>
      <c r="I100" s="220"/>
      <c r="J100" s="259"/>
      <c r="K100" s="220"/>
      <c r="L100" s="220"/>
      <c r="M100" s="220"/>
      <c r="N100" s="259"/>
      <c r="O100" s="220"/>
      <c r="P100" s="220"/>
      <c r="Q100" s="220"/>
      <c r="R100" s="259"/>
      <c r="S100" s="220"/>
      <c r="T100" s="220"/>
      <c r="U100" s="220"/>
      <c r="V100" s="259"/>
      <c r="W100" s="220"/>
      <c r="X100" s="220"/>
      <c r="Y100" s="220"/>
      <c r="Z100" s="259"/>
      <c r="AA100" s="220"/>
      <c r="AB100" s="220"/>
      <c r="AC100" s="220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</row>
    <row r="101" spans="1:40" ht="19.5" x14ac:dyDescent="0.3">
      <c r="A101" s="257"/>
      <c r="B101" s="258" t="s">
        <v>129</v>
      </c>
      <c r="C101" s="67">
        <v>0</v>
      </c>
      <c r="D101" s="67">
        <v>0</v>
      </c>
      <c r="E101" s="67">
        <v>0</v>
      </c>
      <c r="F101" s="68">
        <f t="shared" si="33"/>
        <v>0</v>
      </c>
      <c r="G101" s="68">
        <f t="shared" si="34"/>
        <v>0</v>
      </c>
      <c r="H101" s="220"/>
      <c r="I101" s="220"/>
      <c r="J101" s="259"/>
      <c r="K101" s="220"/>
      <c r="L101" s="220"/>
      <c r="M101" s="220"/>
      <c r="N101" s="259"/>
      <c r="O101" s="220"/>
      <c r="P101" s="220"/>
      <c r="Q101" s="220"/>
      <c r="R101" s="259"/>
      <c r="S101" s="220"/>
      <c r="T101" s="220"/>
      <c r="U101" s="220"/>
      <c r="V101" s="259"/>
      <c r="W101" s="220"/>
      <c r="X101" s="220"/>
      <c r="Y101" s="220"/>
      <c r="Z101" s="259"/>
      <c r="AA101" s="220"/>
      <c r="AB101" s="220"/>
      <c r="AC101" s="220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</row>
    <row r="102" spans="1:40" ht="19.5" x14ac:dyDescent="0.3">
      <c r="A102" s="257"/>
      <c r="B102" s="258" t="s">
        <v>130</v>
      </c>
      <c r="C102" s="67">
        <v>0</v>
      </c>
      <c r="D102" s="67">
        <v>0</v>
      </c>
      <c r="E102" s="67">
        <v>0</v>
      </c>
      <c r="F102" s="68">
        <f t="shared" si="33"/>
        <v>0</v>
      </c>
      <c r="G102" s="68">
        <f t="shared" si="34"/>
        <v>0</v>
      </c>
      <c r="H102" s="220"/>
      <c r="I102" s="220"/>
      <c r="J102" s="259"/>
      <c r="K102" s="220"/>
      <c r="L102" s="220"/>
      <c r="M102" s="220"/>
      <c r="N102" s="259"/>
      <c r="O102" s="220"/>
      <c r="P102" s="220"/>
      <c r="Q102" s="220"/>
      <c r="R102" s="259"/>
      <c r="S102" s="220"/>
      <c r="T102" s="220"/>
      <c r="U102" s="220"/>
      <c r="V102" s="259"/>
      <c r="W102" s="220"/>
      <c r="X102" s="220"/>
      <c r="Y102" s="220"/>
      <c r="Z102" s="259"/>
      <c r="AA102" s="220"/>
      <c r="AB102" s="220"/>
      <c r="AC102" s="220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</row>
    <row r="103" spans="1:40" ht="19.5" x14ac:dyDescent="0.3">
      <c r="A103" s="257"/>
      <c r="B103" s="258" t="s">
        <v>131</v>
      </c>
      <c r="C103" s="67">
        <v>0</v>
      </c>
      <c r="D103" s="67">
        <v>0</v>
      </c>
      <c r="E103" s="67">
        <v>0</v>
      </c>
      <c r="F103" s="68">
        <f t="shared" si="33"/>
        <v>0</v>
      </c>
      <c r="G103" s="68">
        <f t="shared" si="34"/>
        <v>0</v>
      </c>
      <c r="H103" s="220"/>
      <c r="I103" s="220"/>
      <c r="J103" s="259"/>
      <c r="K103" s="220"/>
      <c r="L103" s="220"/>
      <c r="M103" s="220"/>
      <c r="N103" s="259"/>
      <c r="O103" s="220"/>
      <c r="P103" s="220"/>
      <c r="Q103" s="220"/>
      <c r="R103" s="259"/>
      <c r="S103" s="220"/>
      <c r="T103" s="220"/>
      <c r="U103" s="220"/>
      <c r="V103" s="259"/>
      <c r="W103" s="220"/>
      <c r="X103" s="220"/>
      <c r="Y103" s="220"/>
      <c r="Z103" s="259"/>
      <c r="AA103" s="220"/>
      <c r="AB103" s="220"/>
      <c r="AC103" s="220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</row>
    <row r="104" spans="1:40" ht="19.5" x14ac:dyDescent="0.3">
      <c r="A104" s="257"/>
      <c r="B104" s="258" t="s">
        <v>132</v>
      </c>
      <c r="C104" s="67">
        <v>0</v>
      </c>
      <c r="D104" s="67">
        <v>0</v>
      </c>
      <c r="E104" s="67">
        <v>0</v>
      </c>
      <c r="F104" s="68">
        <f t="shared" si="33"/>
        <v>0</v>
      </c>
      <c r="G104" s="68">
        <f t="shared" si="34"/>
        <v>0</v>
      </c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</row>
    <row r="105" spans="1:40" ht="19.5" x14ac:dyDescent="0.3">
      <c r="A105" s="257"/>
      <c r="B105" s="261" t="s">
        <v>133</v>
      </c>
      <c r="C105" s="67">
        <v>0</v>
      </c>
      <c r="D105" s="67">
        <v>0</v>
      </c>
      <c r="E105" s="67">
        <v>0</v>
      </c>
      <c r="F105" s="68">
        <f t="shared" si="33"/>
        <v>0</v>
      </c>
      <c r="G105" s="68">
        <f t="shared" si="34"/>
        <v>0</v>
      </c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</row>
    <row r="106" spans="1:40" ht="19.5" x14ac:dyDescent="0.3">
      <c r="A106" s="257"/>
      <c r="B106" s="261" t="s">
        <v>134</v>
      </c>
      <c r="C106" s="67">
        <v>0</v>
      </c>
      <c r="D106" s="67">
        <v>0</v>
      </c>
      <c r="E106" s="67">
        <v>0</v>
      </c>
      <c r="F106" s="68">
        <f t="shared" si="33"/>
        <v>0</v>
      </c>
      <c r="G106" s="68">
        <f t="shared" si="34"/>
        <v>0</v>
      </c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</row>
    <row r="107" spans="1:40" ht="19.5" x14ac:dyDescent="0.3">
      <c r="A107" s="263"/>
      <c r="B107" s="264" t="s">
        <v>26</v>
      </c>
      <c r="C107" s="205">
        <v>0</v>
      </c>
      <c r="D107" s="205">
        <v>0</v>
      </c>
      <c r="E107" s="205">
        <v>0</v>
      </c>
      <c r="F107" s="206">
        <v>0</v>
      </c>
      <c r="G107" s="206">
        <v>0</v>
      </c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</row>
    <row r="108" spans="1:40" ht="19.5" x14ac:dyDescent="0.3">
      <c r="A108" s="268"/>
      <c r="B108" s="269" t="s">
        <v>135</v>
      </c>
      <c r="C108" s="208">
        <v>0</v>
      </c>
      <c r="D108" s="208">
        <v>0</v>
      </c>
      <c r="E108" s="208">
        <v>0</v>
      </c>
      <c r="F108" s="209">
        <v>0</v>
      </c>
      <c r="G108" s="209">
        <v>0</v>
      </c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</row>
  </sheetData>
  <mergeCells count="37">
    <mergeCell ref="A89:B89"/>
    <mergeCell ref="A2:B6"/>
    <mergeCell ref="C4:C6"/>
    <mergeCell ref="D4:D6"/>
    <mergeCell ref="E4:E6"/>
    <mergeCell ref="A7:B7"/>
    <mergeCell ref="A13:B13"/>
    <mergeCell ref="A31:B31"/>
    <mergeCell ref="A52:B52"/>
    <mergeCell ref="A74:B74"/>
    <mergeCell ref="AK5:AL5"/>
    <mergeCell ref="C2:G2"/>
    <mergeCell ref="H2:AN2"/>
    <mergeCell ref="C3:G3"/>
    <mergeCell ref="H3:M4"/>
    <mergeCell ref="N3:T3"/>
    <mergeCell ref="U3:AA3"/>
    <mergeCell ref="AJ3:AM3"/>
    <mergeCell ref="AJ4:AL4"/>
    <mergeCell ref="F4:F6"/>
    <mergeCell ref="G4:G6"/>
    <mergeCell ref="H5:I5"/>
    <mergeCell ref="AB3:AE3"/>
    <mergeCell ref="AF3:AI3"/>
    <mergeCell ref="N4:P4"/>
    <mergeCell ref="R4:T4"/>
    <mergeCell ref="J5:M5"/>
    <mergeCell ref="O5:P5"/>
    <mergeCell ref="S5:T5"/>
    <mergeCell ref="V5:W5"/>
    <mergeCell ref="U4:W4"/>
    <mergeCell ref="Y4:AA4"/>
    <mergeCell ref="Z5:AA5"/>
    <mergeCell ref="AC4:AE4"/>
    <mergeCell ref="AF4:AH4"/>
    <mergeCell ref="AD5:AE5"/>
    <mergeCell ref="AG5:AH5"/>
  </mergeCells>
  <conditionalFormatting sqref="F14:F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K14:K30 M14:M30 K32:K51 M32:M51 K53:K73 M53:M73 K75:K88 M75:M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</sheetPr>
  <dimension ref="A1:Z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5" width="22.85546875" customWidth="1"/>
    <col min="6" max="7" width="15.7109375" customWidth="1"/>
    <col min="8" max="9" width="14.28515625" customWidth="1"/>
    <col min="10" max="10" width="11.42578125" customWidth="1"/>
    <col min="11" max="12" width="21.42578125" customWidth="1"/>
  </cols>
  <sheetData>
    <row r="1" spans="1:26" ht="19.5" x14ac:dyDescent="0.3">
      <c r="A1" s="234" t="s">
        <v>0</v>
      </c>
      <c r="B1" s="114"/>
      <c r="C1" s="117"/>
      <c r="D1" s="117"/>
      <c r="E1" s="117"/>
      <c r="F1" s="117"/>
      <c r="G1" s="117"/>
      <c r="H1" s="114"/>
      <c r="I1" s="114"/>
      <c r="J1" s="116"/>
      <c r="K1" s="339"/>
      <c r="L1" s="339"/>
    </row>
    <row r="2" spans="1:26" ht="30" customHeight="1" x14ac:dyDescent="0.2">
      <c r="A2" s="692" t="s">
        <v>1</v>
      </c>
      <c r="B2" s="658"/>
      <c r="C2" s="689" t="s">
        <v>386</v>
      </c>
      <c r="D2" s="646"/>
      <c r="E2" s="646"/>
      <c r="F2" s="646"/>
      <c r="G2" s="647"/>
      <c r="H2" s="689" t="s">
        <v>29</v>
      </c>
      <c r="I2" s="646"/>
      <c r="J2" s="646"/>
      <c r="K2" s="646"/>
      <c r="L2" s="647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</row>
    <row r="3" spans="1:26" ht="30" customHeight="1" x14ac:dyDescent="0.2">
      <c r="A3" s="659"/>
      <c r="B3" s="660"/>
      <c r="C3" s="709" t="s">
        <v>5</v>
      </c>
      <c r="D3" s="646"/>
      <c r="E3" s="646"/>
      <c r="F3" s="646"/>
      <c r="G3" s="647"/>
      <c r="H3" s="687" t="s">
        <v>311</v>
      </c>
      <c r="I3" s="674"/>
      <c r="J3" s="658"/>
      <c r="K3" s="715"/>
      <c r="L3" s="647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</row>
    <row r="4" spans="1:26" ht="30" customHeight="1" x14ac:dyDescent="0.2">
      <c r="A4" s="659"/>
      <c r="B4" s="660"/>
      <c r="C4" s="782" t="s">
        <v>11</v>
      </c>
      <c r="D4" s="703" t="s">
        <v>12</v>
      </c>
      <c r="E4" s="783" t="s">
        <v>13</v>
      </c>
      <c r="F4" s="710" t="s">
        <v>14</v>
      </c>
      <c r="G4" s="710" t="s">
        <v>15</v>
      </c>
      <c r="H4" s="661"/>
      <c r="I4" s="675"/>
      <c r="J4" s="662"/>
      <c r="K4" s="828" t="s">
        <v>387</v>
      </c>
      <c r="L4" s="828" t="s">
        <v>388</v>
      </c>
      <c r="M4" s="594"/>
      <c r="N4" s="594"/>
      <c r="O4" s="594"/>
      <c r="P4" s="594"/>
      <c r="Q4" s="594"/>
      <c r="R4" s="594"/>
      <c r="S4" s="594"/>
      <c r="T4" s="594"/>
      <c r="U4" s="594"/>
      <c r="V4" s="594"/>
      <c r="W4" s="594"/>
      <c r="X4" s="594"/>
      <c r="Y4" s="594"/>
      <c r="Z4" s="594"/>
    </row>
    <row r="5" spans="1:26" ht="30" customHeight="1" x14ac:dyDescent="0.2">
      <c r="A5" s="659"/>
      <c r="B5" s="660"/>
      <c r="C5" s="649"/>
      <c r="D5" s="649"/>
      <c r="E5" s="649"/>
      <c r="F5" s="649"/>
      <c r="G5" s="649"/>
      <c r="H5" s="119" t="s">
        <v>28</v>
      </c>
      <c r="I5" s="780" t="s">
        <v>29</v>
      </c>
      <c r="J5" s="647"/>
      <c r="K5" s="650"/>
      <c r="L5" s="650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</row>
    <row r="6" spans="1:26" ht="30" customHeight="1" x14ac:dyDescent="0.2">
      <c r="A6" s="661"/>
      <c r="B6" s="662"/>
      <c r="C6" s="650"/>
      <c r="D6" s="650"/>
      <c r="E6" s="650"/>
      <c r="F6" s="650"/>
      <c r="G6" s="650"/>
      <c r="H6" s="119" t="s">
        <v>153</v>
      </c>
      <c r="I6" s="180" t="s">
        <v>153</v>
      </c>
      <c r="J6" s="210" t="s">
        <v>31</v>
      </c>
      <c r="K6" s="613" t="s">
        <v>153</v>
      </c>
      <c r="L6" s="613" t="s">
        <v>153</v>
      </c>
      <c r="M6" s="594"/>
      <c r="N6" s="594"/>
      <c r="O6" s="594"/>
      <c r="P6" s="594"/>
      <c r="Q6" s="594"/>
      <c r="R6" s="594"/>
      <c r="S6" s="594"/>
      <c r="T6" s="594"/>
      <c r="U6" s="594"/>
      <c r="V6" s="594"/>
      <c r="W6" s="594"/>
      <c r="X6" s="594"/>
      <c r="Y6" s="594"/>
      <c r="Z6" s="594"/>
    </row>
    <row r="7" spans="1:26" ht="19.5" x14ac:dyDescent="0.3">
      <c r="A7" s="694" t="s">
        <v>38</v>
      </c>
      <c r="B7" s="647"/>
      <c r="C7" s="463">
        <f t="shared" ref="C7:E7" ca="1" si="0">C8+C9</f>
        <v>3073400</v>
      </c>
      <c r="D7" s="462">
        <f t="shared" ca="1" si="0"/>
        <v>2625700</v>
      </c>
      <c r="E7" s="463">
        <f t="shared" ca="1" si="0"/>
        <v>2400</v>
      </c>
      <c r="F7" s="462">
        <f t="shared" ref="F7:F9" ca="1" si="1">IF(C7&gt;0,E7*100/C7,0)</f>
        <v>7.808941237717186E-2</v>
      </c>
      <c r="G7" s="462">
        <f t="shared" ref="G7:G9" ca="1" si="2">IF(D7&gt;0,E7*100/D7,0)</f>
        <v>9.1404196976044488E-2</v>
      </c>
      <c r="H7" s="211">
        <f t="shared" ref="H7:I7" ca="1" si="3">H8</f>
        <v>2</v>
      </c>
      <c r="I7" s="212">
        <f t="shared" ca="1" si="3"/>
        <v>0</v>
      </c>
      <c r="J7" s="213">
        <f t="shared" ref="J7:J9" ca="1" si="4">IF(H7&gt;0,I7*100/H7,0)</f>
        <v>0</v>
      </c>
      <c r="K7" s="614">
        <f t="shared" ref="K7:L7" ca="1" si="5">K8</f>
        <v>0</v>
      </c>
      <c r="L7" s="614">
        <f t="shared" ca="1" si="5"/>
        <v>0</v>
      </c>
    </row>
    <row r="8" spans="1:26" ht="19.5" x14ac:dyDescent="0.3">
      <c r="A8" s="134" t="s">
        <v>39</v>
      </c>
      <c r="B8" s="135"/>
      <c r="C8" s="467">
        <f t="shared" ref="C8:E8" ca="1" si="6">+C13+C31+C52+C74</f>
        <v>3073400</v>
      </c>
      <c r="D8" s="466">
        <f t="shared" ca="1" si="6"/>
        <v>2625700</v>
      </c>
      <c r="E8" s="467">
        <f t="shared" ca="1" si="6"/>
        <v>2400</v>
      </c>
      <c r="F8" s="466">
        <f t="shared" ca="1" si="1"/>
        <v>7.808941237717186E-2</v>
      </c>
      <c r="G8" s="466">
        <f t="shared" ca="1" si="2"/>
        <v>9.1404196976044488E-2</v>
      </c>
      <c r="H8" s="276">
        <f t="shared" ref="H8:I8" ca="1" si="7">+H13+H31+H52+H74</f>
        <v>2</v>
      </c>
      <c r="I8" s="276">
        <f t="shared" ca="1" si="7"/>
        <v>0</v>
      </c>
      <c r="J8" s="37">
        <f t="shared" ca="1" si="4"/>
        <v>0</v>
      </c>
      <c r="K8" s="276">
        <f t="shared" ref="K8:L8" ca="1" si="8">+K13+K31+K52+K74</f>
        <v>0</v>
      </c>
      <c r="L8" s="276">
        <f t="shared" ca="1" si="8"/>
        <v>0</v>
      </c>
    </row>
    <row r="9" spans="1:26" ht="19.5" x14ac:dyDescent="0.3">
      <c r="A9" s="245" t="s">
        <v>40</v>
      </c>
      <c r="B9" s="468"/>
      <c r="C9" s="471">
        <f t="shared" ref="C9:E9" si="9">+C89</f>
        <v>0</v>
      </c>
      <c r="D9" s="470">
        <f t="shared" si="9"/>
        <v>0</v>
      </c>
      <c r="E9" s="471">
        <f t="shared" si="9"/>
        <v>0</v>
      </c>
      <c r="F9" s="470">
        <f t="shared" si="1"/>
        <v>0</v>
      </c>
      <c r="G9" s="470">
        <f t="shared" si="2"/>
        <v>0</v>
      </c>
      <c r="H9" s="248">
        <v>0</v>
      </c>
      <c r="I9" s="248">
        <v>0</v>
      </c>
      <c r="J9" s="470">
        <f t="shared" si="4"/>
        <v>0</v>
      </c>
      <c r="K9" s="248">
        <v>0</v>
      </c>
      <c r="L9" s="248">
        <v>0</v>
      </c>
    </row>
    <row r="10" spans="1:26" ht="12.75" hidden="1" x14ac:dyDescent="0.2">
      <c r="A10" s="142"/>
      <c r="B10" s="142"/>
      <c r="C10" s="195"/>
      <c r="D10" s="196"/>
      <c r="E10" s="195"/>
      <c r="F10" s="196"/>
      <c r="G10" s="196"/>
      <c r="H10" s="214"/>
      <c r="I10" s="214"/>
      <c r="J10" s="196"/>
      <c r="K10" s="214"/>
      <c r="L10" s="214"/>
    </row>
    <row r="11" spans="1:26" ht="12.75" hidden="1" x14ac:dyDescent="0.2">
      <c r="A11" s="142"/>
      <c r="B11" s="142"/>
      <c r="C11" s="195"/>
      <c r="D11" s="196"/>
      <c r="E11" s="195"/>
      <c r="F11" s="196"/>
      <c r="G11" s="196"/>
      <c r="H11" s="214"/>
      <c r="I11" s="214"/>
      <c r="J11" s="196"/>
      <c r="K11" s="214"/>
      <c r="L11" s="214"/>
    </row>
    <row r="12" spans="1:26" ht="19.5" hidden="1" x14ac:dyDescent="0.3">
      <c r="A12" s="142"/>
      <c r="B12" s="142"/>
      <c r="C12" s="195"/>
      <c r="D12" s="196"/>
      <c r="E12" s="195"/>
      <c r="F12" s="196"/>
      <c r="G12" s="196"/>
      <c r="H12" s="143"/>
      <c r="I12" s="143"/>
      <c r="J12" s="51"/>
      <c r="K12" s="143"/>
      <c r="L12" s="143"/>
    </row>
    <row r="13" spans="1:26" ht="19.5" x14ac:dyDescent="0.3">
      <c r="A13" s="747" t="s">
        <v>41</v>
      </c>
      <c r="B13" s="647"/>
      <c r="C13" s="467">
        <f t="shared" ref="C13:E13" si="10">SUM(C14:C30)</f>
        <v>0</v>
      </c>
      <c r="D13" s="466">
        <f t="shared" si="10"/>
        <v>0</v>
      </c>
      <c r="E13" s="467">
        <f t="shared" si="10"/>
        <v>0</v>
      </c>
      <c r="F13" s="466">
        <f>IF(C13&gt;0,E13*100/C13,0)</f>
        <v>0</v>
      </c>
      <c r="G13" s="466">
        <f>IF(D13&gt;0,E13*100/D13,0)</f>
        <v>0</v>
      </c>
      <c r="H13" s="276">
        <f t="shared" ref="H13:I13" si="11">SUM(H14:H30)</f>
        <v>0</v>
      </c>
      <c r="I13" s="276">
        <f t="shared" si="11"/>
        <v>0</v>
      </c>
      <c r="J13" s="37">
        <f t="shared" ref="J13:J88" si="12">IF(H13&gt;0,I13*100/H13,0)</f>
        <v>0</v>
      </c>
      <c r="K13" s="276">
        <f t="shared" ref="K13:L13" si="13">SUM(K14:K30)</f>
        <v>0</v>
      </c>
      <c r="L13" s="276">
        <f t="shared" si="13"/>
        <v>0</v>
      </c>
    </row>
    <row r="14" spans="1:26" ht="19.5" x14ac:dyDescent="0.3">
      <c r="A14" s="147">
        <v>1</v>
      </c>
      <c r="B14" s="148" t="s">
        <v>42</v>
      </c>
      <c r="C14" s="475">
        <v>0</v>
      </c>
      <c r="D14" s="260">
        <v>0</v>
      </c>
      <c r="E14" s="475">
        <v>0</v>
      </c>
      <c r="F14" s="260">
        <v>0</v>
      </c>
      <c r="G14" s="260">
        <v>0</v>
      </c>
      <c r="H14" s="279">
        <v>0</v>
      </c>
      <c r="I14" s="397">
        <v>0</v>
      </c>
      <c r="J14" s="216">
        <f t="shared" si="12"/>
        <v>0</v>
      </c>
      <c r="K14" s="397">
        <v>0</v>
      </c>
      <c r="L14" s="397">
        <v>0</v>
      </c>
    </row>
    <row r="15" spans="1:26" ht="19.5" x14ac:dyDescent="0.3">
      <c r="A15" s="147">
        <v>2</v>
      </c>
      <c r="B15" s="148" t="s">
        <v>43</v>
      </c>
      <c r="C15" s="475">
        <v>0</v>
      </c>
      <c r="D15" s="260">
        <v>0</v>
      </c>
      <c r="E15" s="475">
        <v>0</v>
      </c>
      <c r="F15" s="260">
        <v>0</v>
      </c>
      <c r="G15" s="260">
        <v>0</v>
      </c>
      <c r="H15" s="278">
        <v>0</v>
      </c>
      <c r="I15" s="152">
        <v>0</v>
      </c>
      <c r="J15" s="216">
        <f t="shared" si="12"/>
        <v>0</v>
      </c>
      <c r="K15" s="152">
        <v>0</v>
      </c>
      <c r="L15" s="152">
        <v>0</v>
      </c>
    </row>
    <row r="16" spans="1:26" ht="19.5" x14ac:dyDescent="0.3">
      <c r="A16" s="147">
        <v>3</v>
      </c>
      <c r="B16" s="148" t="s">
        <v>44</v>
      </c>
      <c r="C16" s="475">
        <v>0</v>
      </c>
      <c r="D16" s="260">
        <v>0</v>
      </c>
      <c r="E16" s="475">
        <v>0</v>
      </c>
      <c r="F16" s="260">
        <v>0</v>
      </c>
      <c r="G16" s="260">
        <v>0</v>
      </c>
      <c r="H16" s="279">
        <v>0</v>
      </c>
      <c r="I16" s="397">
        <v>0</v>
      </c>
      <c r="J16" s="216">
        <f t="shared" si="12"/>
        <v>0</v>
      </c>
      <c r="K16" s="397">
        <v>0</v>
      </c>
      <c r="L16" s="397">
        <v>0</v>
      </c>
    </row>
    <row r="17" spans="1:12" ht="19.5" x14ac:dyDescent="0.3">
      <c r="A17" s="147">
        <v>4</v>
      </c>
      <c r="B17" s="148" t="s">
        <v>45</v>
      </c>
      <c r="C17" s="475">
        <v>0</v>
      </c>
      <c r="D17" s="260">
        <v>0</v>
      </c>
      <c r="E17" s="475">
        <v>0</v>
      </c>
      <c r="F17" s="260">
        <v>0</v>
      </c>
      <c r="G17" s="260">
        <v>0</v>
      </c>
      <c r="H17" s="278">
        <v>0</v>
      </c>
      <c r="I17" s="152">
        <v>0</v>
      </c>
      <c r="J17" s="216">
        <f t="shared" si="12"/>
        <v>0</v>
      </c>
      <c r="K17" s="152">
        <v>0</v>
      </c>
      <c r="L17" s="152">
        <v>0</v>
      </c>
    </row>
    <row r="18" spans="1:12" ht="19.5" x14ac:dyDescent="0.3">
      <c r="A18" s="147">
        <v>5</v>
      </c>
      <c r="B18" s="148" t="s">
        <v>46</v>
      </c>
      <c r="C18" s="475">
        <v>0</v>
      </c>
      <c r="D18" s="260">
        <v>0</v>
      </c>
      <c r="E18" s="475">
        <v>0</v>
      </c>
      <c r="F18" s="260">
        <v>0</v>
      </c>
      <c r="G18" s="260">
        <v>0</v>
      </c>
      <c r="H18" s="278">
        <v>0</v>
      </c>
      <c r="I18" s="152">
        <v>0</v>
      </c>
      <c r="J18" s="216">
        <f t="shared" si="12"/>
        <v>0</v>
      </c>
      <c r="K18" s="152">
        <v>0</v>
      </c>
      <c r="L18" s="152">
        <v>0</v>
      </c>
    </row>
    <row r="19" spans="1:12" ht="19.5" x14ac:dyDescent="0.3">
      <c r="A19" s="147">
        <v>6</v>
      </c>
      <c r="B19" s="148" t="s">
        <v>47</v>
      </c>
      <c r="C19" s="475">
        <v>0</v>
      </c>
      <c r="D19" s="260">
        <v>0</v>
      </c>
      <c r="E19" s="475">
        <v>0</v>
      </c>
      <c r="F19" s="260">
        <v>0</v>
      </c>
      <c r="G19" s="260">
        <v>0</v>
      </c>
      <c r="H19" s="278">
        <v>0</v>
      </c>
      <c r="I19" s="152">
        <v>0</v>
      </c>
      <c r="J19" s="216">
        <f t="shared" si="12"/>
        <v>0</v>
      </c>
      <c r="K19" s="152">
        <v>0</v>
      </c>
      <c r="L19" s="152">
        <v>0</v>
      </c>
    </row>
    <row r="20" spans="1:12" ht="19.5" x14ac:dyDescent="0.3">
      <c r="A20" s="147">
        <v>7</v>
      </c>
      <c r="B20" s="148" t="s">
        <v>48</v>
      </c>
      <c r="C20" s="475">
        <v>0</v>
      </c>
      <c r="D20" s="260">
        <v>0</v>
      </c>
      <c r="E20" s="475">
        <v>0</v>
      </c>
      <c r="F20" s="260">
        <v>0</v>
      </c>
      <c r="G20" s="260">
        <v>0</v>
      </c>
      <c r="H20" s="278">
        <v>0</v>
      </c>
      <c r="I20" s="152">
        <v>0</v>
      </c>
      <c r="J20" s="216">
        <f t="shared" si="12"/>
        <v>0</v>
      </c>
      <c r="K20" s="152">
        <v>0</v>
      </c>
      <c r="L20" s="152">
        <v>0</v>
      </c>
    </row>
    <row r="21" spans="1:12" ht="19.5" x14ac:dyDescent="0.3">
      <c r="A21" s="147">
        <v>8</v>
      </c>
      <c r="B21" s="148" t="s">
        <v>49</v>
      </c>
      <c r="C21" s="475">
        <v>0</v>
      </c>
      <c r="D21" s="260">
        <v>0</v>
      </c>
      <c r="E21" s="475">
        <v>0</v>
      </c>
      <c r="F21" s="260">
        <v>0</v>
      </c>
      <c r="G21" s="260">
        <v>0</v>
      </c>
      <c r="H21" s="278">
        <v>0</v>
      </c>
      <c r="I21" s="152">
        <v>0</v>
      </c>
      <c r="J21" s="216">
        <f t="shared" si="12"/>
        <v>0</v>
      </c>
      <c r="K21" s="152">
        <v>0</v>
      </c>
      <c r="L21" s="152">
        <v>0</v>
      </c>
    </row>
    <row r="22" spans="1:12" ht="19.5" x14ac:dyDescent="0.3">
      <c r="A22" s="147">
        <v>9</v>
      </c>
      <c r="B22" s="148" t="s">
        <v>50</v>
      </c>
      <c r="C22" s="475">
        <v>0</v>
      </c>
      <c r="D22" s="260">
        <v>0</v>
      </c>
      <c r="E22" s="475">
        <v>0</v>
      </c>
      <c r="F22" s="260">
        <v>0</v>
      </c>
      <c r="G22" s="260">
        <v>0</v>
      </c>
      <c r="H22" s="278">
        <v>0</v>
      </c>
      <c r="I22" s="152">
        <v>0</v>
      </c>
      <c r="J22" s="216">
        <f t="shared" si="12"/>
        <v>0</v>
      </c>
      <c r="K22" s="152">
        <v>0</v>
      </c>
      <c r="L22" s="152">
        <v>0</v>
      </c>
    </row>
    <row r="23" spans="1:12" ht="19.5" x14ac:dyDescent="0.3">
      <c r="A23" s="147">
        <v>10</v>
      </c>
      <c r="B23" s="148" t="s">
        <v>51</v>
      </c>
      <c r="C23" s="475">
        <v>0</v>
      </c>
      <c r="D23" s="260">
        <v>0</v>
      </c>
      <c r="E23" s="475">
        <v>0</v>
      </c>
      <c r="F23" s="260">
        <v>0</v>
      </c>
      <c r="G23" s="260">
        <v>0</v>
      </c>
      <c r="H23" s="279">
        <v>0</v>
      </c>
      <c r="I23" s="397">
        <v>0</v>
      </c>
      <c r="J23" s="216">
        <f t="shared" si="12"/>
        <v>0</v>
      </c>
      <c r="K23" s="397">
        <v>0</v>
      </c>
      <c r="L23" s="397">
        <v>0</v>
      </c>
    </row>
    <row r="24" spans="1:12" ht="19.5" x14ac:dyDescent="0.3">
      <c r="A24" s="147">
        <v>11</v>
      </c>
      <c r="B24" s="148" t="s">
        <v>52</v>
      </c>
      <c r="C24" s="475">
        <v>0</v>
      </c>
      <c r="D24" s="260">
        <v>0</v>
      </c>
      <c r="E24" s="475">
        <v>0</v>
      </c>
      <c r="F24" s="260">
        <v>0</v>
      </c>
      <c r="G24" s="260">
        <v>0</v>
      </c>
      <c r="H24" s="278">
        <v>0</v>
      </c>
      <c r="I24" s="152">
        <v>0</v>
      </c>
      <c r="J24" s="216">
        <f t="shared" si="12"/>
        <v>0</v>
      </c>
      <c r="K24" s="152">
        <v>0</v>
      </c>
      <c r="L24" s="152">
        <v>0</v>
      </c>
    </row>
    <row r="25" spans="1:12" ht="19.5" x14ac:dyDescent="0.3">
      <c r="A25" s="147">
        <v>12</v>
      </c>
      <c r="B25" s="148" t="s">
        <v>53</v>
      </c>
      <c r="C25" s="475">
        <v>0</v>
      </c>
      <c r="D25" s="260">
        <v>0</v>
      </c>
      <c r="E25" s="475">
        <v>0</v>
      </c>
      <c r="F25" s="260">
        <v>0</v>
      </c>
      <c r="G25" s="260">
        <v>0</v>
      </c>
      <c r="H25" s="278">
        <v>0</v>
      </c>
      <c r="I25" s="152">
        <v>0</v>
      </c>
      <c r="J25" s="216">
        <f t="shared" si="12"/>
        <v>0</v>
      </c>
      <c r="K25" s="152">
        <v>0</v>
      </c>
      <c r="L25" s="152">
        <v>0</v>
      </c>
    </row>
    <row r="26" spans="1:12" ht="19.5" x14ac:dyDescent="0.3">
      <c r="A26" s="147">
        <v>13</v>
      </c>
      <c r="B26" s="148" t="s">
        <v>54</v>
      </c>
      <c r="C26" s="475">
        <v>0</v>
      </c>
      <c r="D26" s="260">
        <v>0</v>
      </c>
      <c r="E26" s="475">
        <v>0</v>
      </c>
      <c r="F26" s="260">
        <v>0</v>
      </c>
      <c r="G26" s="260">
        <v>0</v>
      </c>
      <c r="H26" s="279">
        <v>0</v>
      </c>
      <c r="I26" s="397">
        <v>0</v>
      </c>
      <c r="J26" s="216">
        <f t="shared" si="12"/>
        <v>0</v>
      </c>
      <c r="K26" s="397">
        <v>0</v>
      </c>
      <c r="L26" s="397">
        <v>0</v>
      </c>
    </row>
    <row r="27" spans="1:12" ht="19.5" x14ac:dyDescent="0.3">
      <c r="A27" s="147">
        <v>14</v>
      </c>
      <c r="B27" s="148" t="s">
        <v>55</v>
      </c>
      <c r="C27" s="475">
        <v>0</v>
      </c>
      <c r="D27" s="260">
        <v>0</v>
      </c>
      <c r="E27" s="475">
        <v>0</v>
      </c>
      <c r="F27" s="260">
        <v>0</v>
      </c>
      <c r="G27" s="260">
        <v>0</v>
      </c>
      <c r="H27" s="278">
        <v>0</v>
      </c>
      <c r="I27" s="152">
        <v>0</v>
      </c>
      <c r="J27" s="216">
        <f t="shared" si="12"/>
        <v>0</v>
      </c>
      <c r="K27" s="152">
        <v>0</v>
      </c>
      <c r="L27" s="152">
        <v>0</v>
      </c>
    </row>
    <row r="28" spans="1:12" ht="19.5" x14ac:dyDescent="0.3">
      <c r="A28" s="147">
        <v>15</v>
      </c>
      <c r="B28" s="148" t="s">
        <v>56</v>
      </c>
      <c r="C28" s="475">
        <v>0</v>
      </c>
      <c r="D28" s="260">
        <v>0</v>
      </c>
      <c r="E28" s="475">
        <v>0</v>
      </c>
      <c r="F28" s="260">
        <v>0</v>
      </c>
      <c r="G28" s="260">
        <v>0</v>
      </c>
      <c r="H28" s="278">
        <v>0</v>
      </c>
      <c r="I28" s="152">
        <v>0</v>
      </c>
      <c r="J28" s="216">
        <f t="shared" si="12"/>
        <v>0</v>
      </c>
      <c r="K28" s="152">
        <v>0</v>
      </c>
      <c r="L28" s="152">
        <v>0</v>
      </c>
    </row>
    <row r="29" spans="1:12" ht="19.5" x14ac:dyDescent="0.3">
      <c r="A29" s="147">
        <v>16</v>
      </c>
      <c r="B29" s="148" t="s">
        <v>57</v>
      </c>
      <c r="C29" s="475">
        <v>0</v>
      </c>
      <c r="D29" s="260">
        <v>0</v>
      </c>
      <c r="E29" s="475">
        <v>0</v>
      </c>
      <c r="F29" s="260">
        <v>0</v>
      </c>
      <c r="G29" s="260">
        <v>0</v>
      </c>
      <c r="H29" s="278">
        <v>0</v>
      </c>
      <c r="I29" s="152">
        <v>0</v>
      </c>
      <c r="J29" s="216">
        <f t="shared" si="12"/>
        <v>0</v>
      </c>
      <c r="K29" s="152">
        <v>0</v>
      </c>
      <c r="L29" s="152">
        <v>0</v>
      </c>
    </row>
    <row r="30" spans="1:12" ht="19.5" x14ac:dyDescent="0.3">
      <c r="A30" s="155">
        <v>17</v>
      </c>
      <c r="B30" s="156" t="s">
        <v>58</v>
      </c>
      <c r="C30" s="482">
        <v>0</v>
      </c>
      <c r="D30" s="481">
        <v>0</v>
      </c>
      <c r="E30" s="482">
        <v>0</v>
      </c>
      <c r="F30" s="481">
        <v>0</v>
      </c>
      <c r="G30" s="481">
        <v>0</v>
      </c>
      <c r="H30" s="280">
        <v>0</v>
      </c>
      <c r="I30" s="191">
        <v>0</v>
      </c>
      <c r="J30" s="218">
        <f t="shared" si="12"/>
        <v>0</v>
      </c>
      <c r="K30" s="191">
        <v>0</v>
      </c>
      <c r="L30" s="191">
        <v>0</v>
      </c>
    </row>
    <row r="31" spans="1:12" ht="19.5" x14ac:dyDescent="0.3">
      <c r="A31" s="784" t="s">
        <v>59</v>
      </c>
      <c r="B31" s="662"/>
      <c r="C31" s="486">
        <f t="shared" ref="C31:E31" ca="1" si="14">SUM(C32:C51)</f>
        <v>3073400</v>
      </c>
      <c r="D31" s="485">
        <f t="shared" ca="1" si="14"/>
        <v>2625700</v>
      </c>
      <c r="E31" s="486">
        <f t="shared" ca="1" si="14"/>
        <v>2400</v>
      </c>
      <c r="F31" s="485">
        <f ca="1">IF(C31&gt;0,E31*100/C31,0)</f>
        <v>7.808941237717186E-2</v>
      </c>
      <c r="G31" s="485">
        <f ca="1">IF(D31&gt;0,E31*100/D31,0)</f>
        <v>9.1404196976044488E-2</v>
      </c>
      <c r="H31" s="409">
        <f t="shared" ref="H31:I31" ca="1" si="15">SUM(H32:H51)</f>
        <v>2</v>
      </c>
      <c r="I31" s="407">
        <f t="shared" ca="1" si="15"/>
        <v>0</v>
      </c>
      <c r="J31" s="405">
        <f t="shared" ca="1" si="12"/>
        <v>0</v>
      </c>
      <c r="K31" s="407">
        <f t="shared" ref="K31:L31" ca="1" si="16">SUM(K32:K51)</f>
        <v>0</v>
      </c>
      <c r="L31" s="407">
        <f t="shared" ca="1" si="16"/>
        <v>0</v>
      </c>
    </row>
    <row r="32" spans="1:12" ht="19.5" x14ac:dyDescent="0.3">
      <c r="A32" s="147">
        <v>1</v>
      </c>
      <c r="B32" s="148" t="s">
        <v>60</v>
      </c>
      <c r="C32" s="475">
        <v>0</v>
      </c>
      <c r="D32" s="260">
        <v>0</v>
      </c>
      <c r="E32" s="475">
        <v>0</v>
      </c>
      <c r="F32" s="260">
        <v>0</v>
      </c>
      <c r="G32" s="260">
        <v>0</v>
      </c>
      <c r="H32" s="278">
        <v>0</v>
      </c>
      <c r="I32" s="152">
        <v>0</v>
      </c>
      <c r="J32" s="216">
        <f t="shared" si="12"/>
        <v>0</v>
      </c>
      <c r="K32" s="152">
        <v>0</v>
      </c>
      <c r="L32" s="152">
        <v>0</v>
      </c>
    </row>
    <row r="33" spans="1:12" ht="19.5" x14ac:dyDescent="0.3">
      <c r="A33" s="147">
        <v>2</v>
      </c>
      <c r="B33" s="148" t="s">
        <v>61</v>
      </c>
      <c r="C33" s="475">
        <v>0</v>
      </c>
      <c r="D33" s="260">
        <v>0</v>
      </c>
      <c r="E33" s="475">
        <v>0</v>
      </c>
      <c r="F33" s="260">
        <v>0</v>
      </c>
      <c r="G33" s="260">
        <v>0</v>
      </c>
      <c r="H33" s="278">
        <v>0</v>
      </c>
      <c r="I33" s="152">
        <v>0</v>
      </c>
      <c r="J33" s="216">
        <f t="shared" si="12"/>
        <v>0</v>
      </c>
      <c r="K33" s="152">
        <v>0</v>
      </c>
      <c r="L33" s="152">
        <v>0</v>
      </c>
    </row>
    <row r="34" spans="1:12" ht="19.5" x14ac:dyDescent="0.3">
      <c r="A34" s="147">
        <v>3</v>
      </c>
      <c r="B34" s="148" t="s">
        <v>62</v>
      </c>
      <c r="C34" s="475">
        <v>0</v>
      </c>
      <c r="D34" s="260">
        <v>0</v>
      </c>
      <c r="E34" s="475">
        <v>0</v>
      </c>
      <c r="F34" s="260">
        <v>0</v>
      </c>
      <c r="G34" s="260">
        <v>0</v>
      </c>
      <c r="H34" s="278">
        <v>0</v>
      </c>
      <c r="I34" s="152">
        <v>0</v>
      </c>
      <c r="J34" s="216">
        <f t="shared" si="12"/>
        <v>0</v>
      </c>
      <c r="K34" s="152">
        <v>0</v>
      </c>
      <c r="L34" s="152">
        <v>0</v>
      </c>
    </row>
    <row r="35" spans="1:12" ht="19.5" x14ac:dyDescent="0.3">
      <c r="A35" s="147">
        <v>4</v>
      </c>
      <c r="B35" s="148" t="s">
        <v>63</v>
      </c>
      <c r="C35" s="475">
        <v>0</v>
      </c>
      <c r="D35" s="260">
        <v>0</v>
      </c>
      <c r="E35" s="475">
        <v>0</v>
      </c>
      <c r="F35" s="260">
        <v>0</v>
      </c>
      <c r="G35" s="260">
        <v>0</v>
      </c>
      <c r="H35" s="278">
        <v>0</v>
      </c>
      <c r="I35" s="152">
        <v>0</v>
      </c>
      <c r="J35" s="216">
        <f t="shared" si="12"/>
        <v>0</v>
      </c>
      <c r="K35" s="152">
        <v>0</v>
      </c>
      <c r="L35" s="152">
        <v>0</v>
      </c>
    </row>
    <row r="36" spans="1:12" ht="19.5" x14ac:dyDescent="0.3">
      <c r="A36" s="147">
        <v>5</v>
      </c>
      <c r="B36" s="148" t="s">
        <v>64</v>
      </c>
      <c r="C36" s="475">
        <v>0</v>
      </c>
      <c r="D36" s="260">
        <v>0</v>
      </c>
      <c r="E36" s="475">
        <v>0</v>
      </c>
      <c r="F36" s="260">
        <v>0</v>
      </c>
      <c r="G36" s="260">
        <v>0</v>
      </c>
      <c r="H36" s="279">
        <v>0</v>
      </c>
      <c r="I36" s="397">
        <v>0</v>
      </c>
      <c r="J36" s="216">
        <f t="shared" si="12"/>
        <v>0</v>
      </c>
      <c r="K36" s="397">
        <v>0</v>
      </c>
      <c r="L36" s="397">
        <v>0</v>
      </c>
    </row>
    <row r="37" spans="1:12" ht="19.5" x14ac:dyDescent="0.3">
      <c r="A37" s="147">
        <v>6</v>
      </c>
      <c r="B37" s="148" t="s">
        <v>65</v>
      </c>
      <c r="C37" s="475">
        <v>0</v>
      </c>
      <c r="D37" s="260">
        <v>0</v>
      </c>
      <c r="E37" s="475">
        <v>0</v>
      </c>
      <c r="F37" s="260">
        <v>0</v>
      </c>
      <c r="G37" s="260">
        <v>0</v>
      </c>
      <c r="H37" s="278">
        <v>0</v>
      </c>
      <c r="I37" s="152">
        <v>0</v>
      </c>
      <c r="J37" s="216">
        <f t="shared" si="12"/>
        <v>0</v>
      </c>
      <c r="K37" s="152">
        <v>0</v>
      </c>
      <c r="L37" s="152">
        <v>0</v>
      </c>
    </row>
    <row r="38" spans="1:12" ht="19.5" x14ac:dyDescent="0.3">
      <c r="A38" s="147">
        <v>7</v>
      </c>
      <c r="B38" s="148" t="s">
        <v>66</v>
      </c>
      <c r="C38" s="475">
        <v>0</v>
      </c>
      <c r="D38" s="260">
        <v>0</v>
      </c>
      <c r="E38" s="475">
        <v>0</v>
      </c>
      <c r="F38" s="260">
        <v>0</v>
      </c>
      <c r="G38" s="260">
        <v>0</v>
      </c>
      <c r="H38" s="279">
        <v>0</v>
      </c>
      <c r="I38" s="397">
        <v>0</v>
      </c>
      <c r="J38" s="216">
        <f t="shared" si="12"/>
        <v>0</v>
      </c>
      <c r="K38" s="397">
        <v>0</v>
      </c>
      <c r="L38" s="397">
        <v>0</v>
      </c>
    </row>
    <row r="39" spans="1:12" ht="19.5" x14ac:dyDescent="0.3">
      <c r="A39" s="147">
        <v>8</v>
      </c>
      <c r="B39" s="148" t="s">
        <v>67</v>
      </c>
      <c r="C39" s="475">
        <f ca="1">IFERROR(__xludf.DUMMYFUNCTION("IMPORTRANGE(""https://docs.google.com/spreadsheets/d/1l6IZ8xUPgMrESzcTYwhA1k_tPjeQjJPTqlm8Gd9eU5g/edit?usp=sharing"",""มหาสารคาม!Q788"")"),3073400)</f>
        <v>3073400</v>
      </c>
      <c r="D39" s="260">
        <f ca="1">IFERROR(__xludf.DUMMYFUNCTION("IMPORTRANGE(""https://docs.google.com/spreadsheets/d/1l6IZ8xUPgMrESzcTYwhA1k_tPjeQjJPTqlm8Gd9eU5g/edit?usp=sharing"",""มหาสารคาม!R788"")"),2625700)</f>
        <v>2625700</v>
      </c>
      <c r="E39" s="475">
        <f ca="1">IFERROR(__xludf.DUMMYFUNCTION("IMPORTRANGE(""https://docs.google.com/spreadsheets/d/1l6IZ8xUPgMrESzcTYwhA1k_tPjeQjJPTqlm8Gd9eU5g/edit?usp=sharing"",""มหาสารคาม!S788"")"),2400)</f>
        <v>2400</v>
      </c>
      <c r="F39" s="260">
        <f ca="1">IF(C39&gt;0,E39*100/C39,0)</f>
        <v>7.808941237717186E-2</v>
      </c>
      <c r="G39" s="260">
        <f ca="1">IF(D39&gt;0,E39*100/D39,0)</f>
        <v>9.1404196976044488E-2</v>
      </c>
      <c r="H39" s="278">
        <f ca="1">IFERROR(__xludf.DUMMYFUNCTION("IMPORTRANGE(""https://docs.google.com/spreadsheets/d/1l6IZ8xUPgMrESzcTYwhA1k_tPjeQjJPTqlm8Gd9eU5g/edit?usp=sharing"",""มหาสารคาม!I786"")"),2)</f>
        <v>2</v>
      </c>
      <c r="I39" s="152">
        <f ca="1">IFERROR(__xludf.DUMMYFUNCTION("IMPORTRANGE(""https://docs.google.com/spreadsheets/d/1l6IZ8xUPgMrESzcTYwhA1k_tPjeQjJPTqlm8Gd9eU5g/edit?usp=sharing"",""มหาสารคาม!J786"")"),0)</f>
        <v>0</v>
      </c>
      <c r="J39" s="216">
        <f t="shared" ca="1" si="12"/>
        <v>0</v>
      </c>
      <c r="K39" s="152">
        <f ca="1">IFERROR(__xludf.DUMMYFUNCTION("IMPORTRANGE(""https://docs.google.com/spreadsheets/d/1l6IZ8xUPgMrESzcTYwhA1k_tPjeQjJPTqlm8Gd9eU5g/edit?usp=sharing"",""มหาสารคาม!J798"")"),0)</f>
        <v>0</v>
      </c>
      <c r="L39" s="152">
        <f ca="1">IFERROR(__xludf.DUMMYFUNCTION("IMPORTRANGE(""https://docs.google.com/spreadsheets/d/1l6IZ8xUPgMrESzcTYwhA1k_tPjeQjJPTqlm8Gd9eU5g/edit?usp=sharing"",""มหาสารคาม!J799"")"),0)</f>
        <v>0</v>
      </c>
    </row>
    <row r="40" spans="1:12" ht="19.5" x14ac:dyDescent="0.3">
      <c r="A40" s="147">
        <v>9</v>
      </c>
      <c r="B40" s="148" t="s">
        <v>68</v>
      </c>
      <c r="C40" s="475">
        <v>0</v>
      </c>
      <c r="D40" s="260">
        <v>0</v>
      </c>
      <c r="E40" s="475">
        <v>0</v>
      </c>
      <c r="F40" s="260">
        <v>0</v>
      </c>
      <c r="G40" s="260">
        <v>0</v>
      </c>
      <c r="H40" s="278">
        <v>0</v>
      </c>
      <c r="I40" s="152">
        <v>0</v>
      </c>
      <c r="J40" s="216">
        <f t="shared" si="12"/>
        <v>0</v>
      </c>
      <c r="K40" s="152">
        <v>0</v>
      </c>
      <c r="L40" s="152">
        <v>0</v>
      </c>
    </row>
    <row r="41" spans="1:12" ht="19.5" x14ac:dyDescent="0.3">
      <c r="A41" s="147">
        <v>10</v>
      </c>
      <c r="B41" s="148" t="s">
        <v>69</v>
      </c>
      <c r="C41" s="475">
        <v>0</v>
      </c>
      <c r="D41" s="260">
        <v>0</v>
      </c>
      <c r="E41" s="475">
        <v>0</v>
      </c>
      <c r="F41" s="260">
        <v>0</v>
      </c>
      <c r="G41" s="260">
        <v>0</v>
      </c>
      <c r="H41" s="279">
        <v>0</v>
      </c>
      <c r="I41" s="397">
        <v>0</v>
      </c>
      <c r="J41" s="216">
        <f t="shared" si="12"/>
        <v>0</v>
      </c>
      <c r="K41" s="397">
        <v>0</v>
      </c>
      <c r="L41" s="397">
        <v>0</v>
      </c>
    </row>
    <row r="42" spans="1:12" ht="19.5" x14ac:dyDescent="0.3">
      <c r="A42" s="147">
        <v>11</v>
      </c>
      <c r="B42" s="148" t="s">
        <v>70</v>
      </c>
      <c r="C42" s="475">
        <v>0</v>
      </c>
      <c r="D42" s="260">
        <v>0</v>
      </c>
      <c r="E42" s="475">
        <v>0</v>
      </c>
      <c r="F42" s="260">
        <v>0</v>
      </c>
      <c r="G42" s="260">
        <v>0</v>
      </c>
      <c r="H42" s="278">
        <v>0</v>
      </c>
      <c r="I42" s="152">
        <v>0</v>
      </c>
      <c r="J42" s="216">
        <f t="shared" si="12"/>
        <v>0</v>
      </c>
      <c r="K42" s="152">
        <v>0</v>
      </c>
      <c r="L42" s="152">
        <v>0</v>
      </c>
    </row>
    <row r="43" spans="1:12" ht="19.5" x14ac:dyDescent="0.3">
      <c r="A43" s="147">
        <v>12</v>
      </c>
      <c r="B43" s="148" t="s">
        <v>71</v>
      </c>
      <c r="C43" s="475">
        <v>0</v>
      </c>
      <c r="D43" s="260">
        <v>0</v>
      </c>
      <c r="E43" s="475">
        <v>0</v>
      </c>
      <c r="F43" s="260">
        <v>0</v>
      </c>
      <c r="G43" s="260">
        <v>0</v>
      </c>
      <c r="H43" s="278">
        <v>0</v>
      </c>
      <c r="I43" s="152">
        <v>0</v>
      </c>
      <c r="J43" s="216">
        <f t="shared" si="12"/>
        <v>0</v>
      </c>
      <c r="K43" s="152">
        <v>0</v>
      </c>
      <c r="L43" s="152">
        <v>0</v>
      </c>
    </row>
    <row r="44" spans="1:12" ht="19.5" x14ac:dyDescent="0.3">
      <c r="A44" s="147">
        <v>13</v>
      </c>
      <c r="B44" s="148" t="s">
        <v>72</v>
      </c>
      <c r="C44" s="475">
        <v>0</v>
      </c>
      <c r="D44" s="260">
        <v>0</v>
      </c>
      <c r="E44" s="475">
        <v>0</v>
      </c>
      <c r="F44" s="260">
        <v>0</v>
      </c>
      <c r="G44" s="260">
        <v>0</v>
      </c>
      <c r="H44" s="278">
        <v>0</v>
      </c>
      <c r="I44" s="152">
        <v>0</v>
      </c>
      <c r="J44" s="216">
        <f t="shared" si="12"/>
        <v>0</v>
      </c>
      <c r="K44" s="152">
        <v>0</v>
      </c>
      <c r="L44" s="152">
        <v>0</v>
      </c>
    </row>
    <row r="45" spans="1:12" ht="19.5" x14ac:dyDescent="0.3">
      <c r="A45" s="147">
        <v>14</v>
      </c>
      <c r="B45" s="148" t="s">
        <v>73</v>
      </c>
      <c r="C45" s="475">
        <v>0</v>
      </c>
      <c r="D45" s="260">
        <v>0</v>
      </c>
      <c r="E45" s="475">
        <v>0</v>
      </c>
      <c r="F45" s="260">
        <v>0</v>
      </c>
      <c r="G45" s="260">
        <v>0</v>
      </c>
      <c r="H45" s="278">
        <v>0</v>
      </c>
      <c r="I45" s="152">
        <v>0</v>
      </c>
      <c r="J45" s="216">
        <f t="shared" si="12"/>
        <v>0</v>
      </c>
      <c r="K45" s="152">
        <v>0</v>
      </c>
      <c r="L45" s="152">
        <v>0</v>
      </c>
    </row>
    <row r="46" spans="1:12" ht="19.5" x14ac:dyDescent="0.3">
      <c r="A46" s="147">
        <v>15</v>
      </c>
      <c r="B46" s="148" t="s">
        <v>74</v>
      </c>
      <c r="C46" s="475">
        <v>0</v>
      </c>
      <c r="D46" s="260">
        <v>0</v>
      </c>
      <c r="E46" s="475">
        <v>0</v>
      </c>
      <c r="F46" s="260">
        <v>0</v>
      </c>
      <c r="G46" s="260">
        <v>0</v>
      </c>
      <c r="H46" s="278">
        <v>0</v>
      </c>
      <c r="I46" s="152">
        <v>0</v>
      </c>
      <c r="J46" s="216">
        <f t="shared" si="12"/>
        <v>0</v>
      </c>
      <c r="K46" s="152">
        <v>0</v>
      </c>
      <c r="L46" s="152">
        <v>0</v>
      </c>
    </row>
    <row r="47" spans="1:12" ht="19.5" x14ac:dyDescent="0.3">
      <c r="A47" s="147">
        <v>16</v>
      </c>
      <c r="B47" s="148" t="s">
        <v>75</v>
      </c>
      <c r="C47" s="475">
        <v>0</v>
      </c>
      <c r="D47" s="260">
        <v>0</v>
      </c>
      <c r="E47" s="475">
        <v>0</v>
      </c>
      <c r="F47" s="260">
        <v>0</v>
      </c>
      <c r="G47" s="260">
        <v>0</v>
      </c>
      <c r="H47" s="279">
        <v>0</v>
      </c>
      <c r="I47" s="397">
        <v>0</v>
      </c>
      <c r="J47" s="216">
        <f t="shared" si="12"/>
        <v>0</v>
      </c>
      <c r="K47" s="397">
        <v>0</v>
      </c>
      <c r="L47" s="397">
        <v>0</v>
      </c>
    </row>
    <row r="48" spans="1:12" ht="19.5" x14ac:dyDescent="0.3">
      <c r="A48" s="147">
        <v>17</v>
      </c>
      <c r="B48" s="148" t="s">
        <v>76</v>
      </c>
      <c r="C48" s="475">
        <v>0</v>
      </c>
      <c r="D48" s="260">
        <v>0</v>
      </c>
      <c r="E48" s="475">
        <v>0</v>
      </c>
      <c r="F48" s="260">
        <v>0</v>
      </c>
      <c r="G48" s="260">
        <v>0</v>
      </c>
      <c r="H48" s="278">
        <v>0</v>
      </c>
      <c r="I48" s="152">
        <v>0</v>
      </c>
      <c r="J48" s="216">
        <f t="shared" si="12"/>
        <v>0</v>
      </c>
      <c r="K48" s="152">
        <v>0</v>
      </c>
      <c r="L48" s="152">
        <v>0</v>
      </c>
    </row>
    <row r="49" spans="1:12" ht="19.5" x14ac:dyDescent="0.3">
      <c r="A49" s="147">
        <v>18</v>
      </c>
      <c r="B49" s="148" t="s">
        <v>77</v>
      </c>
      <c r="C49" s="475">
        <v>0</v>
      </c>
      <c r="D49" s="260">
        <v>0</v>
      </c>
      <c r="E49" s="475">
        <v>0</v>
      </c>
      <c r="F49" s="260">
        <v>0</v>
      </c>
      <c r="G49" s="260">
        <v>0</v>
      </c>
      <c r="H49" s="278">
        <v>0</v>
      </c>
      <c r="I49" s="152">
        <v>0</v>
      </c>
      <c r="J49" s="216">
        <f t="shared" si="12"/>
        <v>0</v>
      </c>
      <c r="K49" s="152">
        <v>0</v>
      </c>
      <c r="L49" s="152">
        <v>0</v>
      </c>
    </row>
    <row r="50" spans="1:12" ht="19.5" x14ac:dyDescent="0.3">
      <c r="A50" s="147">
        <v>19</v>
      </c>
      <c r="B50" s="148" t="s">
        <v>78</v>
      </c>
      <c r="C50" s="475">
        <v>0</v>
      </c>
      <c r="D50" s="260">
        <v>0</v>
      </c>
      <c r="E50" s="475">
        <v>0</v>
      </c>
      <c r="F50" s="260">
        <v>0</v>
      </c>
      <c r="G50" s="260">
        <v>0</v>
      </c>
      <c r="H50" s="278">
        <v>0</v>
      </c>
      <c r="I50" s="152">
        <v>0</v>
      </c>
      <c r="J50" s="216">
        <f t="shared" si="12"/>
        <v>0</v>
      </c>
      <c r="K50" s="152">
        <v>0</v>
      </c>
      <c r="L50" s="152">
        <v>0</v>
      </c>
    </row>
    <row r="51" spans="1:12" ht="19.5" x14ac:dyDescent="0.3">
      <c r="A51" s="155">
        <v>20</v>
      </c>
      <c r="B51" s="156" t="s">
        <v>79</v>
      </c>
      <c r="C51" s="482">
        <v>0</v>
      </c>
      <c r="D51" s="481">
        <v>0</v>
      </c>
      <c r="E51" s="482">
        <v>0</v>
      </c>
      <c r="F51" s="481">
        <v>0</v>
      </c>
      <c r="G51" s="481">
        <v>0</v>
      </c>
      <c r="H51" s="280">
        <v>0</v>
      </c>
      <c r="I51" s="191">
        <v>0</v>
      </c>
      <c r="J51" s="218">
        <f t="shared" si="12"/>
        <v>0</v>
      </c>
      <c r="K51" s="191">
        <v>0</v>
      </c>
      <c r="L51" s="191">
        <v>0</v>
      </c>
    </row>
    <row r="52" spans="1:12" ht="19.5" x14ac:dyDescent="0.3">
      <c r="A52" s="785" t="s">
        <v>80</v>
      </c>
      <c r="B52" s="662"/>
      <c r="C52" s="486">
        <f t="shared" ref="C52:E52" si="17">SUM(C53:C73)</f>
        <v>0</v>
      </c>
      <c r="D52" s="485">
        <f t="shared" si="17"/>
        <v>0</v>
      </c>
      <c r="E52" s="486">
        <f t="shared" si="17"/>
        <v>0</v>
      </c>
      <c r="F52" s="485">
        <f>IF(C52&gt;0,E52*100/C52,0)</f>
        <v>0</v>
      </c>
      <c r="G52" s="485">
        <f>IF(D52&gt;0,E52*100/D52,0)</f>
        <v>0</v>
      </c>
      <c r="H52" s="409">
        <f t="shared" ref="H52:I52" si="18">SUM(H53:H73)</f>
        <v>0</v>
      </c>
      <c r="I52" s="407">
        <f t="shared" si="18"/>
        <v>0</v>
      </c>
      <c r="J52" s="405">
        <f t="shared" si="12"/>
        <v>0</v>
      </c>
      <c r="K52" s="407">
        <f t="shared" ref="K52:L52" si="19">SUM(K53:K73)</f>
        <v>0</v>
      </c>
      <c r="L52" s="407">
        <f t="shared" si="19"/>
        <v>0</v>
      </c>
    </row>
    <row r="53" spans="1:12" ht="19.5" x14ac:dyDescent="0.3">
      <c r="A53" s="147">
        <v>1</v>
      </c>
      <c r="B53" s="148" t="s">
        <v>81</v>
      </c>
      <c r="C53" s="475">
        <v>0</v>
      </c>
      <c r="D53" s="260">
        <v>0</v>
      </c>
      <c r="E53" s="475">
        <v>0</v>
      </c>
      <c r="F53" s="260">
        <v>0</v>
      </c>
      <c r="G53" s="260">
        <v>0</v>
      </c>
      <c r="H53" s="278">
        <v>0</v>
      </c>
      <c r="I53" s="152">
        <v>0</v>
      </c>
      <c r="J53" s="216">
        <f t="shared" si="12"/>
        <v>0</v>
      </c>
      <c r="K53" s="152">
        <v>0</v>
      </c>
      <c r="L53" s="152">
        <v>0</v>
      </c>
    </row>
    <row r="54" spans="1:12" ht="19.5" x14ac:dyDescent="0.3">
      <c r="A54" s="147">
        <v>2</v>
      </c>
      <c r="B54" s="148" t="s">
        <v>82</v>
      </c>
      <c r="C54" s="475">
        <v>0</v>
      </c>
      <c r="D54" s="260">
        <v>0</v>
      </c>
      <c r="E54" s="475">
        <v>0</v>
      </c>
      <c r="F54" s="260">
        <v>0</v>
      </c>
      <c r="G54" s="260">
        <v>0</v>
      </c>
      <c r="H54" s="278">
        <v>0</v>
      </c>
      <c r="I54" s="152">
        <v>0</v>
      </c>
      <c r="J54" s="216">
        <f t="shared" si="12"/>
        <v>0</v>
      </c>
      <c r="K54" s="152">
        <v>0</v>
      </c>
      <c r="L54" s="152">
        <v>0</v>
      </c>
    </row>
    <row r="55" spans="1:12" ht="19.5" x14ac:dyDescent="0.3">
      <c r="A55" s="147">
        <v>3</v>
      </c>
      <c r="B55" s="148" t="s">
        <v>83</v>
      </c>
      <c r="C55" s="475">
        <v>0</v>
      </c>
      <c r="D55" s="260">
        <v>0</v>
      </c>
      <c r="E55" s="475">
        <v>0</v>
      </c>
      <c r="F55" s="260">
        <v>0</v>
      </c>
      <c r="G55" s="260">
        <v>0</v>
      </c>
      <c r="H55" s="278">
        <v>0</v>
      </c>
      <c r="I55" s="152">
        <v>0</v>
      </c>
      <c r="J55" s="216">
        <f t="shared" si="12"/>
        <v>0</v>
      </c>
      <c r="K55" s="152">
        <v>0</v>
      </c>
      <c r="L55" s="152">
        <v>0</v>
      </c>
    </row>
    <row r="56" spans="1:12" ht="19.5" x14ac:dyDescent="0.3">
      <c r="A56" s="147">
        <v>4</v>
      </c>
      <c r="B56" s="148" t="s">
        <v>84</v>
      </c>
      <c r="C56" s="475">
        <v>0</v>
      </c>
      <c r="D56" s="260">
        <v>0</v>
      </c>
      <c r="E56" s="475">
        <v>0</v>
      </c>
      <c r="F56" s="260">
        <v>0</v>
      </c>
      <c r="G56" s="260">
        <v>0</v>
      </c>
      <c r="H56" s="278">
        <v>0</v>
      </c>
      <c r="I56" s="152">
        <v>0</v>
      </c>
      <c r="J56" s="216">
        <f t="shared" si="12"/>
        <v>0</v>
      </c>
      <c r="K56" s="152">
        <v>0</v>
      </c>
      <c r="L56" s="152">
        <v>0</v>
      </c>
    </row>
    <row r="57" spans="1:12" ht="19.5" x14ac:dyDescent="0.3">
      <c r="A57" s="147">
        <v>5</v>
      </c>
      <c r="B57" s="148" t="s">
        <v>85</v>
      </c>
      <c r="C57" s="475">
        <v>0</v>
      </c>
      <c r="D57" s="260">
        <v>0</v>
      </c>
      <c r="E57" s="475">
        <v>0</v>
      </c>
      <c r="F57" s="260">
        <v>0</v>
      </c>
      <c r="G57" s="260">
        <v>0</v>
      </c>
      <c r="H57" s="278">
        <v>0</v>
      </c>
      <c r="I57" s="152">
        <v>0</v>
      </c>
      <c r="J57" s="216">
        <f t="shared" si="12"/>
        <v>0</v>
      </c>
      <c r="K57" s="152">
        <v>0</v>
      </c>
      <c r="L57" s="152">
        <v>0</v>
      </c>
    </row>
    <row r="58" spans="1:12" ht="19.5" x14ac:dyDescent="0.3">
      <c r="A58" s="147">
        <v>6</v>
      </c>
      <c r="B58" s="148" t="s">
        <v>86</v>
      </c>
      <c r="C58" s="475">
        <v>0</v>
      </c>
      <c r="D58" s="260">
        <v>0</v>
      </c>
      <c r="E58" s="475">
        <v>0</v>
      </c>
      <c r="F58" s="260">
        <v>0</v>
      </c>
      <c r="G58" s="260">
        <v>0</v>
      </c>
      <c r="H58" s="278">
        <v>0</v>
      </c>
      <c r="I58" s="152">
        <v>0</v>
      </c>
      <c r="J58" s="216">
        <f t="shared" si="12"/>
        <v>0</v>
      </c>
      <c r="K58" s="152">
        <v>0</v>
      </c>
      <c r="L58" s="152">
        <v>0</v>
      </c>
    </row>
    <row r="59" spans="1:12" ht="19.5" x14ac:dyDescent="0.3">
      <c r="A59" s="147">
        <v>7</v>
      </c>
      <c r="B59" s="148" t="s">
        <v>87</v>
      </c>
      <c r="C59" s="475">
        <v>0</v>
      </c>
      <c r="D59" s="260">
        <v>0</v>
      </c>
      <c r="E59" s="475">
        <v>0</v>
      </c>
      <c r="F59" s="260">
        <v>0</v>
      </c>
      <c r="G59" s="260">
        <v>0</v>
      </c>
      <c r="H59" s="278">
        <v>0</v>
      </c>
      <c r="I59" s="152">
        <v>0</v>
      </c>
      <c r="J59" s="216">
        <f t="shared" si="12"/>
        <v>0</v>
      </c>
      <c r="K59" s="152">
        <v>0</v>
      </c>
      <c r="L59" s="152">
        <v>0</v>
      </c>
    </row>
    <row r="60" spans="1:12" ht="19.5" x14ac:dyDescent="0.3">
      <c r="A60" s="147">
        <v>8</v>
      </c>
      <c r="B60" s="148" t="s">
        <v>88</v>
      </c>
      <c r="C60" s="475">
        <v>0</v>
      </c>
      <c r="D60" s="260">
        <v>0</v>
      </c>
      <c r="E60" s="475">
        <v>0</v>
      </c>
      <c r="F60" s="260">
        <v>0</v>
      </c>
      <c r="G60" s="260">
        <v>0</v>
      </c>
      <c r="H60" s="278">
        <v>0</v>
      </c>
      <c r="I60" s="152">
        <v>0</v>
      </c>
      <c r="J60" s="216">
        <f t="shared" si="12"/>
        <v>0</v>
      </c>
      <c r="K60" s="152">
        <v>0</v>
      </c>
      <c r="L60" s="152">
        <v>0</v>
      </c>
    </row>
    <row r="61" spans="1:12" ht="19.5" x14ac:dyDescent="0.3">
      <c r="A61" s="147">
        <v>9</v>
      </c>
      <c r="B61" s="148" t="s">
        <v>89</v>
      </c>
      <c r="C61" s="475">
        <v>0</v>
      </c>
      <c r="D61" s="260">
        <v>0</v>
      </c>
      <c r="E61" s="475">
        <v>0</v>
      </c>
      <c r="F61" s="260">
        <v>0</v>
      </c>
      <c r="G61" s="260">
        <v>0</v>
      </c>
      <c r="H61" s="278">
        <v>0</v>
      </c>
      <c r="I61" s="152">
        <v>0</v>
      </c>
      <c r="J61" s="216">
        <f t="shared" si="12"/>
        <v>0</v>
      </c>
      <c r="K61" s="152">
        <v>0</v>
      </c>
      <c r="L61" s="152">
        <v>0</v>
      </c>
    </row>
    <row r="62" spans="1:12" ht="19.5" x14ac:dyDescent="0.3">
      <c r="A62" s="147">
        <v>10</v>
      </c>
      <c r="B62" s="148" t="s">
        <v>90</v>
      </c>
      <c r="C62" s="475">
        <v>0</v>
      </c>
      <c r="D62" s="260">
        <v>0</v>
      </c>
      <c r="E62" s="475">
        <v>0</v>
      </c>
      <c r="F62" s="260">
        <v>0</v>
      </c>
      <c r="G62" s="260">
        <v>0</v>
      </c>
      <c r="H62" s="278">
        <v>0</v>
      </c>
      <c r="I62" s="152">
        <v>0</v>
      </c>
      <c r="J62" s="216">
        <f t="shared" si="12"/>
        <v>0</v>
      </c>
      <c r="K62" s="152">
        <v>0</v>
      </c>
      <c r="L62" s="152">
        <v>0</v>
      </c>
    </row>
    <row r="63" spans="1:12" ht="19.5" x14ac:dyDescent="0.3">
      <c r="A63" s="147">
        <v>11</v>
      </c>
      <c r="B63" s="148" t="s">
        <v>91</v>
      </c>
      <c r="C63" s="475">
        <v>0</v>
      </c>
      <c r="D63" s="260">
        <v>0</v>
      </c>
      <c r="E63" s="475">
        <v>0</v>
      </c>
      <c r="F63" s="260">
        <v>0</v>
      </c>
      <c r="G63" s="260">
        <v>0</v>
      </c>
      <c r="H63" s="278">
        <v>0</v>
      </c>
      <c r="I63" s="152">
        <v>0</v>
      </c>
      <c r="J63" s="216">
        <f t="shared" si="12"/>
        <v>0</v>
      </c>
      <c r="K63" s="152">
        <v>0</v>
      </c>
      <c r="L63" s="152">
        <v>0</v>
      </c>
    </row>
    <row r="64" spans="1:12" ht="19.5" x14ac:dyDescent="0.3">
      <c r="A64" s="147">
        <v>12</v>
      </c>
      <c r="B64" s="148" t="s">
        <v>92</v>
      </c>
      <c r="C64" s="475">
        <v>0</v>
      </c>
      <c r="D64" s="260">
        <v>0</v>
      </c>
      <c r="E64" s="475">
        <v>0</v>
      </c>
      <c r="F64" s="260">
        <v>0</v>
      </c>
      <c r="G64" s="260">
        <v>0</v>
      </c>
      <c r="H64" s="278">
        <v>0</v>
      </c>
      <c r="I64" s="152">
        <v>0</v>
      </c>
      <c r="J64" s="216">
        <f t="shared" si="12"/>
        <v>0</v>
      </c>
      <c r="K64" s="152">
        <v>0</v>
      </c>
      <c r="L64" s="152">
        <v>0</v>
      </c>
    </row>
    <row r="65" spans="1:12" ht="19.5" x14ac:dyDescent="0.3">
      <c r="A65" s="147">
        <v>13</v>
      </c>
      <c r="B65" s="148" t="s">
        <v>93</v>
      </c>
      <c r="C65" s="475">
        <v>0</v>
      </c>
      <c r="D65" s="260">
        <v>0</v>
      </c>
      <c r="E65" s="475">
        <v>0</v>
      </c>
      <c r="F65" s="260">
        <v>0</v>
      </c>
      <c r="G65" s="260">
        <v>0</v>
      </c>
      <c r="H65" s="278">
        <v>0</v>
      </c>
      <c r="I65" s="152">
        <v>0</v>
      </c>
      <c r="J65" s="216">
        <f t="shared" si="12"/>
        <v>0</v>
      </c>
      <c r="K65" s="152">
        <v>0</v>
      </c>
      <c r="L65" s="152">
        <v>0</v>
      </c>
    </row>
    <row r="66" spans="1:12" ht="19.5" x14ac:dyDescent="0.3">
      <c r="A66" s="147">
        <v>14</v>
      </c>
      <c r="B66" s="148" t="s">
        <v>94</v>
      </c>
      <c r="C66" s="475">
        <v>0</v>
      </c>
      <c r="D66" s="260">
        <v>0</v>
      </c>
      <c r="E66" s="475">
        <v>0</v>
      </c>
      <c r="F66" s="260">
        <v>0</v>
      </c>
      <c r="G66" s="260">
        <v>0</v>
      </c>
      <c r="H66" s="278">
        <v>0</v>
      </c>
      <c r="I66" s="152">
        <v>0</v>
      </c>
      <c r="J66" s="216">
        <f t="shared" si="12"/>
        <v>0</v>
      </c>
      <c r="K66" s="152">
        <v>0</v>
      </c>
      <c r="L66" s="152">
        <v>0</v>
      </c>
    </row>
    <row r="67" spans="1:12" ht="19.5" x14ac:dyDescent="0.3">
      <c r="A67" s="147">
        <v>15</v>
      </c>
      <c r="B67" s="148" t="s">
        <v>95</v>
      </c>
      <c r="C67" s="475">
        <v>0</v>
      </c>
      <c r="D67" s="260">
        <v>0</v>
      </c>
      <c r="E67" s="475">
        <v>0</v>
      </c>
      <c r="F67" s="260">
        <v>0</v>
      </c>
      <c r="G67" s="260">
        <v>0</v>
      </c>
      <c r="H67" s="278">
        <v>0</v>
      </c>
      <c r="I67" s="152">
        <v>0</v>
      </c>
      <c r="J67" s="216">
        <f t="shared" si="12"/>
        <v>0</v>
      </c>
      <c r="K67" s="152">
        <v>0</v>
      </c>
      <c r="L67" s="152">
        <v>0</v>
      </c>
    </row>
    <row r="68" spans="1:12" ht="19.5" x14ac:dyDescent="0.3">
      <c r="A68" s="147">
        <v>16</v>
      </c>
      <c r="B68" s="148" t="s">
        <v>96</v>
      </c>
      <c r="C68" s="475">
        <v>0</v>
      </c>
      <c r="D68" s="260">
        <v>0</v>
      </c>
      <c r="E68" s="475">
        <v>0</v>
      </c>
      <c r="F68" s="260">
        <v>0</v>
      </c>
      <c r="G68" s="260">
        <v>0</v>
      </c>
      <c r="H68" s="278">
        <v>0</v>
      </c>
      <c r="I68" s="152">
        <v>0</v>
      </c>
      <c r="J68" s="216">
        <f t="shared" si="12"/>
        <v>0</v>
      </c>
      <c r="K68" s="152">
        <v>0</v>
      </c>
      <c r="L68" s="152">
        <v>0</v>
      </c>
    </row>
    <row r="69" spans="1:12" ht="19.5" x14ac:dyDescent="0.3">
      <c r="A69" s="147">
        <v>17</v>
      </c>
      <c r="B69" s="148" t="s">
        <v>97</v>
      </c>
      <c r="C69" s="475">
        <v>0</v>
      </c>
      <c r="D69" s="260">
        <v>0</v>
      </c>
      <c r="E69" s="475">
        <v>0</v>
      </c>
      <c r="F69" s="260">
        <v>0</v>
      </c>
      <c r="G69" s="260">
        <v>0</v>
      </c>
      <c r="H69" s="278">
        <v>0</v>
      </c>
      <c r="I69" s="152">
        <v>0</v>
      </c>
      <c r="J69" s="216">
        <f t="shared" si="12"/>
        <v>0</v>
      </c>
      <c r="K69" s="152">
        <v>0</v>
      </c>
      <c r="L69" s="152">
        <v>0</v>
      </c>
    </row>
    <row r="70" spans="1:12" ht="19.5" x14ac:dyDescent="0.3">
      <c r="A70" s="147">
        <v>18</v>
      </c>
      <c r="B70" s="148" t="s">
        <v>98</v>
      </c>
      <c r="C70" s="475">
        <v>0</v>
      </c>
      <c r="D70" s="260">
        <v>0</v>
      </c>
      <c r="E70" s="475">
        <v>0</v>
      </c>
      <c r="F70" s="260">
        <v>0</v>
      </c>
      <c r="G70" s="260">
        <v>0</v>
      </c>
      <c r="H70" s="278">
        <v>0</v>
      </c>
      <c r="I70" s="152">
        <v>0</v>
      </c>
      <c r="J70" s="216">
        <f t="shared" si="12"/>
        <v>0</v>
      </c>
      <c r="K70" s="152">
        <v>0</v>
      </c>
      <c r="L70" s="152">
        <v>0</v>
      </c>
    </row>
    <row r="71" spans="1:12" ht="19.5" x14ac:dyDescent="0.3">
      <c r="A71" s="147">
        <v>19</v>
      </c>
      <c r="B71" s="148" t="s">
        <v>99</v>
      </c>
      <c r="C71" s="475">
        <v>0</v>
      </c>
      <c r="D71" s="260">
        <v>0</v>
      </c>
      <c r="E71" s="475">
        <v>0</v>
      </c>
      <c r="F71" s="260">
        <v>0</v>
      </c>
      <c r="G71" s="260">
        <v>0</v>
      </c>
      <c r="H71" s="278">
        <v>0</v>
      </c>
      <c r="I71" s="152">
        <v>0</v>
      </c>
      <c r="J71" s="216">
        <f t="shared" si="12"/>
        <v>0</v>
      </c>
      <c r="K71" s="152">
        <v>0</v>
      </c>
      <c r="L71" s="152">
        <v>0</v>
      </c>
    </row>
    <row r="72" spans="1:12" ht="19.5" x14ac:dyDescent="0.3">
      <c r="A72" s="147">
        <v>20</v>
      </c>
      <c r="B72" s="148" t="s">
        <v>100</v>
      </c>
      <c r="C72" s="475">
        <v>0</v>
      </c>
      <c r="D72" s="260">
        <v>0</v>
      </c>
      <c r="E72" s="475">
        <v>0</v>
      </c>
      <c r="F72" s="260">
        <v>0</v>
      </c>
      <c r="G72" s="260">
        <v>0</v>
      </c>
      <c r="H72" s="278">
        <v>0</v>
      </c>
      <c r="I72" s="152">
        <v>0</v>
      </c>
      <c r="J72" s="216">
        <f t="shared" si="12"/>
        <v>0</v>
      </c>
      <c r="K72" s="152">
        <v>0</v>
      </c>
      <c r="L72" s="152">
        <v>0</v>
      </c>
    </row>
    <row r="73" spans="1:12" ht="19.5" x14ac:dyDescent="0.3">
      <c r="A73" s="155">
        <v>21</v>
      </c>
      <c r="B73" s="156" t="s">
        <v>101</v>
      </c>
      <c r="C73" s="482">
        <v>0</v>
      </c>
      <c r="D73" s="481">
        <v>0</v>
      </c>
      <c r="E73" s="482">
        <v>0</v>
      </c>
      <c r="F73" s="481">
        <v>0</v>
      </c>
      <c r="G73" s="481">
        <v>0</v>
      </c>
      <c r="H73" s="487">
        <v>0</v>
      </c>
      <c r="I73" s="488">
        <v>0</v>
      </c>
      <c r="J73" s="218">
        <f t="shared" si="12"/>
        <v>0</v>
      </c>
      <c r="K73" s="488">
        <v>0</v>
      </c>
      <c r="L73" s="488">
        <v>0</v>
      </c>
    </row>
    <row r="74" spans="1:12" ht="19.5" x14ac:dyDescent="0.3">
      <c r="A74" s="784" t="s">
        <v>102</v>
      </c>
      <c r="B74" s="662"/>
      <c r="C74" s="486">
        <f t="shared" ref="C74:E74" si="20">SUM(C75:C88)</f>
        <v>0</v>
      </c>
      <c r="D74" s="485">
        <f t="shared" si="20"/>
        <v>0</v>
      </c>
      <c r="E74" s="486">
        <f t="shared" si="20"/>
        <v>0</v>
      </c>
      <c r="F74" s="485">
        <f>IF(C74&gt;0,E74*100/C74,0)</f>
        <v>0</v>
      </c>
      <c r="G74" s="485">
        <f>IF(D74&gt;0,E74*100/D74,0)</f>
        <v>0</v>
      </c>
      <c r="H74" s="409">
        <f t="shared" ref="H74:I74" si="21">SUM(H75:H88)</f>
        <v>0</v>
      </c>
      <c r="I74" s="407">
        <f t="shared" si="21"/>
        <v>0</v>
      </c>
      <c r="J74" s="405">
        <f t="shared" si="12"/>
        <v>0</v>
      </c>
      <c r="K74" s="407">
        <f t="shared" ref="K74:L74" si="22">SUM(K75:K88)</f>
        <v>0</v>
      </c>
      <c r="L74" s="407">
        <f t="shared" si="22"/>
        <v>0</v>
      </c>
    </row>
    <row r="75" spans="1:12" ht="19.5" x14ac:dyDescent="0.3">
      <c r="A75" s="147">
        <v>1</v>
      </c>
      <c r="B75" s="148" t="s">
        <v>103</v>
      </c>
      <c r="C75" s="475">
        <v>0</v>
      </c>
      <c r="D75" s="260">
        <v>0</v>
      </c>
      <c r="E75" s="475">
        <v>0</v>
      </c>
      <c r="F75" s="260">
        <v>0</v>
      </c>
      <c r="G75" s="260">
        <v>0</v>
      </c>
      <c r="H75" s="278">
        <v>0</v>
      </c>
      <c r="I75" s="152">
        <v>0</v>
      </c>
      <c r="J75" s="216">
        <f t="shared" si="12"/>
        <v>0</v>
      </c>
      <c r="K75" s="152">
        <v>0</v>
      </c>
      <c r="L75" s="152">
        <v>0</v>
      </c>
    </row>
    <row r="76" spans="1:12" ht="19.5" x14ac:dyDescent="0.3">
      <c r="A76" s="147">
        <v>2</v>
      </c>
      <c r="B76" s="148" t="s">
        <v>104</v>
      </c>
      <c r="C76" s="475">
        <v>0</v>
      </c>
      <c r="D76" s="260">
        <v>0</v>
      </c>
      <c r="E76" s="475">
        <v>0</v>
      </c>
      <c r="F76" s="260">
        <v>0</v>
      </c>
      <c r="G76" s="260">
        <v>0</v>
      </c>
      <c r="H76" s="278">
        <v>0</v>
      </c>
      <c r="I76" s="152">
        <v>0</v>
      </c>
      <c r="J76" s="216">
        <f t="shared" si="12"/>
        <v>0</v>
      </c>
      <c r="K76" s="152">
        <v>0</v>
      </c>
      <c r="L76" s="152">
        <v>0</v>
      </c>
    </row>
    <row r="77" spans="1:12" ht="19.5" x14ac:dyDescent="0.3">
      <c r="A77" s="147">
        <v>3</v>
      </c>
      <c r="B77" s="148" t="s">
        <v>105</v>
      </c>
      <c r="C77" s="475">
        <v>0</v>
      </c>
      <c r="D77" s="260">
        <v>0</v>
      </c>
      <c r="E77" s="475">
        <v>0</v>
      </c>
      <c r="F77" s="260">
        <v>0</v>
      </c>
      <c r="G77" s="260">
        <v>0</v>
      </c>
      <c r="H77" s="278">
        <v>0</v>
      </c>
      <c r="I77" s="152">
        <v>0</v>
      </c>
      <c r="J77" s="216">
        <f t="shared" si="12"/>
        <v>0</v>
      </c>
      <c r="K77" s="152">
        <v>0</v>
      </c>
      <c r="L77" s="152">
        <v>0</v>
      </c>
    </row>
    <row r="78" spans="1:12" ht="19.5" x14ac:dyDescent="0.3">
      <c r="A78" s="147">
        <v>4</v>
      </c>
      <c r="B78" s="148" t="s">
        <v>106</v>
      </c>
      <c r="C78" s="475">
        <v>0</v>
      </c>
      <c r="D78" s="260">
        <v>0</v>
      </c>
      <c r="E78" s="475">
        <v>0</v>
      </c>
      <c r="F78" s="260">
        <v>0</v>
      </c>
      <c r="G78" s="260">
        <v>0</v>
      </c>
      <c r="H78" s="278">
        <v>0</v>
      </c>
      <c r="I78" s="152">
        <v>0</v>
      </c>
      <c r="J78" s="216">
        <f t="shared" si="12"/>
        <v>0</v>
      </c>
      <c r="K78" s="152">
        <v>0</v>
      </c>
      <c r="L78" s="152">
        <v>0</v>
      </c>
    </row>
    <row r="79" spans="1:12" ht="19.5" x14ac:dyDescent="0.3">
      <c r="A79" s="147">
        <v>5</v>
      </c>
      <c r="B79" s="148" t="s">
        <v>107</v>
      </c>
      <c r="C79" s="475">
        <v>0</v>
      </c>
      <c r="D79" s="260">
        <v>0</v>
      </c>
      <c r="E79" s="475">
        <v>0</v>
      </c>
      <c r="F79" s="260">
        <v>0</v>
      </c>
      <c r="G79" s="260">
        <v>0</v>
      </c>
      <c r="H79" s="278">
        <v>0</v>
      </c>
      <c r="I79" s="152">
        <v>0</v>
      </c>
      <c r="J79" s="216">
        <f t="shared" si="12"/>
        <v>0</v>
      </c>
      <c r="K79" s="152">
        <v>0</v>
      </c>
      <c r="L79" s="152">
        <v>0</v>
      </c>
    </row>
    <row r="80" spans="1:12" ht="19.5" x14ac:dyDescent="0.3">
      <c r="A80" s="147">
        <v>6</v>
      </c>
      <c r="B80" s="148" t="s">
        <v>108</v>
      </c>
      <c r="C80" s="475">
        <v>0</v>
      </c>
      <c r="D80" s="260">
        <v>0</v>
      </c>
      <c r="E80" s="475">
        <v>0</v>
      </c>
      <c r="F80" s="260">
        <v>0</v>
      </c>
      <c r="G80" s="260">
        <v>0</v>
      </c>
      <c r="H80" s="278">
        <v>0</v>
      </c>
      <c r="I80" s="152">
        <v>0</v>
      </c>
      <c r="J80" s="216">
        <f t="shared" si="12"/>
        <v>0</v>
      </c>
      <c r="K80" s="152">
        <v>0</v>
      </c>
      <c r="L80" s="152">
        <v>0</v>
      </c>
    </row>
    <row r="81" spans="1:12" ht="19.5" x14ac:dyDescent="0.3">
      <c r="A81" s="147">
        <v>7</v>
      </c>
      <c r="B81" s="148" t="s">
        <v>109</v>
      </c>
      <c r="C81" s="475">
        <v>0</v>
      </c>
      <c r="D81" s="260">
        <v>0</v>
      </c>
      <c r="E81" s="475">
        <v>0</v>
      </c>
      <c r="F81" s="260">
        <v>0</v>
      </c>
      <c r="G81" s="260">
        <v>0</v>
      </c>
      <c r="H81" s="278">
        <v>0</v>
      </c>
      <c r="I81" s="152">
        <v>0</v>
      </c>
      <c r="J81" s="216">
        <f t="shared" si="12"/>
        <v>0</v>
      </c>
      <c r="K81" s="152">
        <v>0</v>
      </c>
      <c r="L81" s="152">
        <v>0</v>
      </c>
    </row>
    <row r="82" spans="1:12" ht="19.5" x14ac:dyDescent="0.3">
      <c r="A82" s="147">
        <v>8</v>
      </c>
      <c r="B82" s="148" t="s">
        <v>110</v>
      </c>
      <c r="C82" s="475">
        <v>0</v>
      </c>
      <c r="D82" s="260">
        <v>0</v>
      </c>
      <c r="E82" s="475">
        <v>0</v>
      </c>
      <c r="F82" s="260">
        <v>0</v>
      </c>
      <c r="G82" s="260">
        <v>0</v>
      </c>
      <c r="H82" s="278">
        <v>0</v>
      </c>
      <c r="I82" s="152">
        <v>0</v>
      </c>
      <c r="J82" s="216">
        <f t="shared" si="12"/>
        <v>0</v>
      </c>
      <c r="K82" s="152">
        <v>0</v>
      </c>
      <c r="L82" s="152">
        <v>0</v>
      </c>
    </row>
    <row r="83" spans="1:12" ht="19.5" x14ac:dyDescent="0.3">
      <c r="A83" s="147">
        <v>9</v>
      </c>
      <c r="B83" s="148" t="s">
        <v>111</v>
      </c>
      <c r="C83" s="475">
        <v>0</v>
      </c>
      <c r="D83" s="260">
        <v>0</v>
      </c>
      <c r="E83" s="475">
        <v>0</v>
      </c>
      <c r="F83" s="260">
        <v>0</v>
      </c>
      <c r="G83" s="260">
        <v>0</v>
      </c>
      <c r="H83" s="278">
        <v>0</v>
      </c>
      <c r="I83" s="152">
        <v>0</v>
      </c>
      <c r="J83" s="216">
        <f t="shared" si="12"/>
        <v>0</v>
      </c>
      <c r="K83" s="152">
        <v>0</v>
      </c>
      <c r="L83" s="152">
        <v>0</v>
      </c>
    </row>
    <row r="84" spans="1:12" ht="19.5" x14ac:dyDescent="0.3">
      <c r="A84" s="147">
        <v>10</v>
      </c>
      <c r="B84" s="148" t="s">
        <v>112</v>
      </c>
      <c r="C84" s="475">
        <v>0</v>
      </c>
      <c r="D84" s="260">
        <v>0</v>
      </c>
      <c r="E84" s="475">
        <v>0</v>
      </c>
      <c r="F84" s="260">
        <v>0</v>
      </c>
      <c r="G84" s="260">
        <v>0</v>
      </c>
      <c r="H84" s="278">
        <v>0</v>
      </c>
      <c r="I84" s="152">
        <v>0</v>
      </c>
      <c r="J84" s="216">
        <f t="shared" si="12"/>
        <v>0</v>
      </c>
      <c r="K84" s="152">
        <v>0</v>
      </c>
      <c r="L84" s="152">
        <v>0</v>
      </c>
    </row>
    <row r="85" spans="1:12" ht="19.5" x14ac:dyDescent="0.3">
      <c r="A85" s="147">
        <v>11</v>
      </c>
      <c r="B85" s="148" t="s">
        <v>113</v>
      </c>
      <c r="C85" s="475">
        <v>0</v>
      </c>
      <c r="D85" s="260">
        <v>0</v>
      </c>
      <c r="E85" s="475">
        <v>0</v>
      </c>
      <c r="F85" s="260">
        <v>0</v>
      </c>
      <c r="G85" s="260">
        <v>0</v>
      </c>
      <c r="H85" s="278">
        <v>0</v>
      </c>
      <c r="I85" s="152">
        <v>0</v>
      </c>
      <c r="J85" s="216">
        <f t="shared" si="12"/>
        <v>0</v>
      </c>
      <c r="K85" s="152">
        <v>0</v>
      </c>
      <c r="L85" s="152">
        <v>0</v>
      </c>
    </row>
    <row r="86" spans="1:12" ht="19.5" x14ac:dyDescent="0.3">
      <c r="A86" s="147">
        <v>12</v>
      </c>
      <c r="B86" s="148" t="s">
        <v>114</v>
      </c>
      <c r="C86" s="475">
        <v>0</v>
      </c>
      <c r="D86" s="260">
        <v>0</v>
      </c>
      <c r="E86" s="475">
        <v>0</v>
      </c>
      <c r="F86" s="260">
        <v>0</v>
      </c>
      <c r="G86" s="260">
        <v>0</v>
      </c>
      <c r="H86" s="279">
        <v>0</v>
      </c>
      <c r="I86" s="397">
        <v>0</v>
      </c>
      <c r="J86" s="216">
        <f t="shared" si="12"/>
        <v>0</v>
      </c>
      <c r="K86" s="397">
        <v>0</v>
      </c>
      <c r="L86" s="397">
        <v>0</v>
      </c>
    </row>
    <row r="87" spans="1:12" ht="19.5" x14ac:dyDescent="0.3">
      <c r="A87" s="147">
        <v>13</v>
      </c>
      <c r="B87" s="148" t="s">
        <v>115</v>
      </c>
      <c r="C87" s="475">
        <v>0</v>
      </c>
      <c r="D87" s="260">
        <v>0</v>
      </c>
      <c r="E87" s="475">
        <v>0</v>
      </c>
      <c r="F87" s="260">
        <v>0</v>
      </c>
      <c r="G87" s="260">
        <v>0</v>
      </c>
      <c r="H87" s="278">
        <v>0</v>
      </c>
      <c r="I87" s="152">
        <v>0</v>
      </c>
      <c r="J87" s="216">
        <f t="shared" si="12"/>
        <v>0</v>
      </c>
      <c r="K87" s="152">
        <v>0</v>
      </c>
      <c r="L87" s="152">
        <v>0</v>
      </c>
    </row>
    <row r="88" spans="1:12" ht="19.5" x14ac:dyDescent="0.3">
      <c r="A88" s="155">
        <v>14</v>
      </c>
      <c r="B88" s="156" t="s">
        <v>116</v>
      </c>
      <c r="C88" s="482">
        <v>0</v>
      </c>
      <c r="D88" s="481">
        <v>0</v>
      </c>
      <c r="E88" s="482">
        <v>0</v>
      </c>
      <c r="F88" s="481">
        <v>0</v>
      </c>
      <c r="G88" s="481">
        <v>0</v>
      </c>
      <c r="H88" s="280">
        <v>0</v>
      </c>
      <c r="I88" s="191">
        <v>0</v>
      </c>
      <c r="J88" s="218">
        <f t="shared" si="12"/>
        <v>0</v>
      </c>
      <c r="K88" s="191">
        <v>0</v>
      </c>
      <c r="L88" s="191">
        <v>0</v>
      </c>
    </row>
    <row r="89" spans="1:12" ht="19.5" x14ac:dyDescent="0.3">
      <c r="A89" s="698" t="s">
        <v>117</v>
      </c>
      <c r="B89" s="662"/>
      <c r="C89" s="491">
        <f t="shared" ref="C89:E89" si="23">SUM(C90:C106)</f>
        <v>0</v>
      </c>
      <c r="D89" s="489">
        <f t="shared" si="23"/>
        <v>0</v>
      </c>
      <c r="E89" s="491">
        <f t="shared" si="23"/>
        <v>0</v>
      </c>
      <c r="F89" s="489">
        <f t="shared" ref="F89:F108" si="24">IF(C89&gt;0,E89*100/C89,0)</f>
        <v>0</v>
      </c>
      <c r="G89" s="489">
        <f t="shared" ref="G89:G108" si="25">IF(D89&gt;0,E89*100/D89,0)</f>
        <v>0</v>
      </c>
      <c r="H89" s="169"/>
      <c r="I89" s="169"/>
      <c r="J89" s="255"/>
      <c r="K89" s="169"/>
      <c r="L89" s="169"/>
    </row>
    <row r="90" spans="1:12" ht="19.5" x14ac:dyDescent="0.3">
      <c r="A90" s="257"/>
      <c r="B90" s="258" t="s">
        <v>118</v>
      </c>
      <c r="C90" s="67">
        <v>0</v>
      </c>
      <c r="D90" s="67">
        <v>0</v>
      </c>
      <c r="E90" s="67">
        <v>0</v>
      </c>
      <c r="F90" s="260">
        <f t="shared" si="24"/>
        <v>0</v>
      </c>
      <c r="G90" s="260">
        <f t="shared" si="25"/>
        <v>0</v>
      </c>
      <c r="H90" s="492"/>
      <c r="I90" s="492"/>
      <c r="J90" s="493"/>
      <c r="K90" s="492"/>
      <c r="L90" s="492"/>
    </row>
    <row r="91" spans="1:12" ht="19.5" x14ac:dyDescent="0.3">
      <c r="A91" s="257"/>
      <c r="B91" s="258" t="s">
        <v>119</v>
      </c>
      <c r="C91" s="67">
        <v>0</v>
      </c>
      <c r="D91" s="67">
        <v>0</v>
      </c>
      <c r="E91" s="67">
        <v>0</v>
      </c>
      <c r="F91" s="260">
        <f t="shared" si="24"/>
        <v>0</v>
      </c>
      <c r="G91" s="260">
        <f t="shared" si="25"/>
        <v>0</v>
      </c>
      <c r="H91" s="492"/>
      <c r="I91" s="492"/>
      <c r="J91" s="493"/>
      <c r="K91" s="492"/>
      <c r="L91" s="492"/>
    </row>
    <row r="92" spans="1:12" ht="19.5" x14ac:dyDescent="0.3">
      <c r="A92" s="257"/>
      <c r="B92" s="258" t="s">
        <v>120</v>
      </c>
      <c r="C92" s="67">
        <v>0</v>
      </c>
      <c r="D92" s="67">
        <v>0</v>
      </c>
      <c r="E92" s="67">
        <v>0</v>
      </c>
      <c r="F92" s="260">
        <f t="shared" si="24"/>
        <v>0</v>
      </c>
      <c r="G92" s="260">
        <f t="shared" si="25"/>
        <v>0</v>
      </c>
      <c r="H92" s="492"/>
      <c r="I92" s="492"/>
      <c r="J92" s="493"/>
      <c r="K92" s="492"/>
      <c r="L92" s="492"/>
    </row>
    <row r="93" spans="1:12" ht="19.5" x14ac:dyDescent="0.3">
      <c r="A93" s="257"/>
      <c r="B93" s="258" t="s">
        <v>121</v>
      </c>
      <c r="C93" s="67">
        <v>0</v>
      </c>
      <c r="D93" s="67">
        <v>0</v>
      </c>
      <c r="E93" s="67">
        <v>0</v>
      </c>
      <c r="F93" s="260">
        <f t="shared" si="24"/>
        <v>0</v>
      </c>
      <c r="G93" s="260">
        <f t="shared" si="25"/>
        <v>0</v>
      </c>
      <c r="H93" s="492"/>
      <c r="I93" s="492"/>
      <c r="J93" s="493"/>
      <c r="K93" s="492"/>
      <c r="L93" s="492"/>
    </row>
    <row r="94" spans="1:12" ht="19.5" x14ac:dyDescent="0.3">
      <c r="A94" s="257"/>
      <c r="B94" s="258" t="s">
        <v>122</v>
      </c>
      <c r="C94" s="67">
        <v>0</v>
      </c>
      <c r="D94" s="67">
        <v>0</v>
      </c>
      <c r="E94" s="67">
        <v>0</v>
      </c>
      <c r="F94" s="260">
        <f t="shared" si="24"/>
        <v>0</v>
      </c>
      <c r="G94" s="260">
        <f t="shared" si="25"/>
        <v>0</v>
      </c>
      <c r="H94" s="492"/>
      <c r="I94" s="492"/>
      <c r="J94" s="493"/>
      <c r="K94" s="492"/>
      <c r="L94" s="492"/>
    </row>
    <row r="95" spans="1:12" ht="19.5" x14ac:dyDescent="0.3">
      <c r="A95" s="257"/>
      <c r="B95" s="258" t="s">
        <v>123</v>
      </c>
      <c r="C95" s="67">
        <v>0</v>
      </c>
      <c r="D95" s="67">
        <v>0</v>
      </c>
      <c r="E95" s="67">
        <v>0</v>
      </c>
      <c r="F95" s="260">
        <f t="shared" si="24"/>
        <v>0</v>
      </c>
      <c r="G95" s="260">
        <f t="shared" si="25"/>
        <v>0</v>
      </c>
      <c r="H95" s="492"/>
      <c r="I95" s="492"/>
      <c r="J95" s="493"/>
      <c r="K95" s="492"/>
      <c r="L95" s="492"/>
    </row>
    <row r="96" spans="1:12" ht="19.5" x14ac:dyDescent="0.3">
      <c r="A96" s="257"/>
      <c r="B96" s="258" t="s">
        <v>124</v>
      </c>
      <c r="C96" s="67">
        <v>0</v>
      </c>
      <c r="D96" s="67">
        <v>0</v>
      </c>
      <c r="E96" s="67">
        <v>0</v>
      </c>
      <c r="F96" s="260">
        <f t="shared" si="24"/>
        <v>0</v>
      </c>
      <c r="G96" s="260">
        <f t="shared" si="25"/>
        <v>0</v>
      </c>
      <c r="H96" s="492"/>
      <c r="I96" s="492"/>
      <c r="J96" s="493"/>
      <c r="K96" s="492"/>
      <c r="L96" s="492"/>
    </row>
    <row r="97" spans="1:12" ht="19.5" x14ac:dyDescent="0.3">
      <c r="A97" s="257"/>
      <c r="B97" s="258" t="s">
        <v>125</v>
      </c>
      <c r="C97" s="67">
        <v>0</v>
      </c>
      <c r="D97" s="67">
        <v>0</v>
      </c>
      <c r="E97" s="67">
        <v>0</v>
      </c>
      <c r="F97" s="260">
        <f t="shared" si="24"/>
        <v>0</v>
      </c>
      <c r="G97" s="260">
        <f t="shared" si="25"/>
        <v>0</v>
      </c>
      <c r="H97" s="492"/>
      <c r="I97" s="492"/>
      <c r="J97" s="493"/>
      <c r="K97" s="492"/>
      <c r="L97" s="492"/>
    </row>
    <row r="98" spans="1:12" ht="19.5" x14ac:dyDescent="0.3">
      <c r="A98" s="257"/>
      <c r="B98" s="258" t="s">
        <v>126</v>
      </c>
      <c r="C98" s="67">
        <v>0</v>
      </c>
      <c r="D98" s="67">
        <v>0</v>
      </c>
      <c r="E98" s="67">
        <v>0</v>
      </c>
      <c r="F98" s="260">
        <f t="shared" si="24"/>
        <v>0</v>
      </c>
      <c r="G98" s="260">
        <f t="shared" si="25"/>
        <v>0</v>
      </c>
      <c r="H98" s="492"/>
      <c r="I98" s="492"/>
      <c r="J98" s="493"/>
      <c r="K98" s="492"/>
      <c r="L98" s="492"/>
    </row>
    <row r="99" spans="1:12" ht="19.5" x14ac:dyDescent="0.3">
      <c r="A99" s="257"/>
      <c r="B99" s="258" t="s">
        <v>127</v>
      </c>
      <c r="C99" s="67">
        <v>0</v>
      </c>
      <c r="D99" s="67">
        <v>0</v>
      </c>
      <c r="E99" s="67">
        <v>0</v>
      </c>
      <c r="F99" s="260">
        <f t="shared" si="24"/>
        <v>0</v>
      </c>
      <c r="G99" s="260">
        <f t="shared" si="25"/>
        <v>0</v>
      </c>
      <c r="H99" s="492"/>
      <c r="I99" s="492"/>
      <c r="J99" s="493"/>
      <c r="K99" s="492"/>
      <c r="L99" s="492"/>
    </row>
    <row r="100" spans="1:12" ht="19.5" x14ac:dyDescent="0.3">
      <c r="A100" s="257"/>
      <c r="B100" s="258" t="s">
        <v>128</v>
      </c>
      <c r="C100" s="67">
        <v>0</v>
      </c>
      <c r="D100" s="67">
        <v>0</v>
      </c>
      <c r="E100" s="67">
        <v>0</v>
      </c>
      <c r="F100" s="260">
        <f t="shared" si="24"/>
        <v>0</v>
      </c>
      <c r="G100" s="260">
        <f t="shared" si="25"/>
        <v>0</v>
      </c>
      <c r="H100" s="492"/>
      <c r="I100" s="492"/>
      <c r="J100" s="493"/>
      <c r="K100" s="492"/>
      <c r="L100" s="492"/>
    </row>
    <row r="101" spans="1:12" ht="19.5" x14ac:dyDescent="0.3">
      <c r="A101" s="257"/>
      <c r="B101" s="258" t="s">
        <v>129</v>
      </c>
      <c r="C101" s="67">
        <v>0</v>
      </c>
      <c r="D101" s="67">
        <v>0</v>
      </c>
      <c r="E101" s="67">
        <v>0</v>
      </c>
      <c r="F101" s="260">
        <f t="shared" si="24"/>
        <v>0</v>
      </c>
      <c r="G101" s="260">
        <f t="shared" si="25"/>
        <v>0</v>
      </c>
      <c r="H101" s="492"/>
      <c r="I101" s="492"/>
      <c r="J101" s="493"/>
      <c r="K101" s="492"/>
      <c r="L101" s="492"/>
    </row>
    <row r="102" spans="1:12" ht="19.5" x14ac:dyDescent="0.3">
      <c r="A102" s="257"/>
      <c r="B102" s="258" t="s">
        <v>130</v>
      </c>
      <c r="C102" s="67">
        <v>0</v>
      </c>
      <c r="D102" s="67">
        <v>0</v>
      </c>
      <c r="E102" s="67">
        <v>0</v>
      </c>
      <c r="F102" s="260">
        <f t="shared" si="24"/>
        <v>0</v>
      </c>
      <c r="G102" s="260">
        <f t="shared" si="25"/>
        <v>0</v>
      </c>
      <c r="H102" s="492"/>
      <c r="I102" s="492"/>
      <c r="J102" s="493"/>
      <c r="K102" s="492"/>
      <c r="L102" s="492"/>
    </row>
    <row r="103" spans="1:12" ht="19.5" x14ac:dyDescent="0.3">
      <c r="A103" s="257"/>
      <c r="B103" s="258" t="s">
        <v>131</v>
      </c>
      <c r="C103" s="67">
        <v>0</v>
      </c>
      <c r="D103" s="67">
        <v>0</v>
      </c>
      <c r="E103" s="67">
        <v>0</v>
      </c>
      <c r="F103" s="260">
        <f t="shared" si="24"/>
        <v>0</v>
      </c>
      <c r="G103" s="260">
        <f t="shared" si="25"/>
        <v>0</v>
      </c>
      <c r="H103" s="492"/>
      <c r="I103" s="492"/>
      <c r="J103" s="493"/>
      <c r="K103" s="492"/>
      <c r="L103" s="492"/>
    </row>
    <row r="104" spans="1:12" ht="19.5" x14ac:dyDescent="0.3">
      <c r="A104" s="257"/>
      <c r="B104" s="258" t="s">
        <v>132</v>
      </c>
      <c r="C104" s="67">
        <v>0</v>
      </c>
      <c r="D104" s="67">
        <v>0</v>
      </c>
      <c r="E104" s="67">
        <v>0</v>
      </c>
      <c r="F104" s="260">
        <f t="shared" si="24"/>
        <v>0</v>
      </c>
      <c r="G104" s="260">
        <f t="shared" si="25"/>
        <v>0</v>
      </c>
      <c r="H104" s="215"/>
      <c r="I104" s="215"/>
      <c r="J104" s="494"/>
      <c r="K104" s="215"/>
      <c r="L104" s="215"/>
    </row>
    <row r="105" spans="1:12" ht="19.5" x14ac:dyDescent="0.3">
      <c r="A105" s="257"/>
      <c r="B105" s="261" t="s">
        <v>133</v>
      </c>
      <c r="C105" s="67">
        <v>0</v>
      </c>
      <c r="D105" s="67">
        <v>0</v>
      </c>
      <c r="E105" s="67">
        <v>0</v>
      </c>
      <c r="F105" s="260">
        <f t="shared" si="24"/>
        <v>0</v>
      </c>
      <c r="G105" s="260">
        <f t="shared" si="25"/>
        <v>0</v>
      </c>
      <c r="H105" s="492"/>
      <c r="I105" s="492"/>
      <c r="J105" s="493"/>
      <c r="K105" s="492"/>
      <c r="L105" s="492"/>
    </row>
    <row r="106" spans="1:12" ht="19.5" x14ac:dyDescent="0.3">
      <c r="A106" s="257"/>
      <c r="B106" s="261" t="s">
        <v>134</v>
      </c>
      <c r="C106" s="67">
        <v>0</v>
      </c>
      <c r="D106" s="67">
        <v>0</v>
      </c>
      <c r="E106" s="67">
        <v>0</v>
      </c>
      <c r="F106" s="260">
        <f t="shared" si="24"/>
        <v>0</v>
      </c>
      <c r="G106" s="260">
        <f t="shared" si="25"/>
        <v>0</v>
      </c>
      <c r="H106" s="492"/>
      <c r="I106" s="492"/>
      <c r="J106" s="493"/>
      <c r="K106" s="492"/>
      <c r="L106" s="492"/>
    </row>
    <row r="107" spans="1:12" ht="19.5" x14ac:dyDescent="0.3">
      <c r="A107" s="263"/>
      <c r="B107" s="264" t="s">
        <v>26</v>
      </c>
      <c r="C107" s="205">
        <v>0</v>
      </c>
      <c r="D107" s="205">
        <v>0</v>
      </c>
      <c r="E107" s="205">
        <v>0</v>
      </c>
      <c r="F107" s="498">
        <f t="shared" si="24"/>
        <v>0</v>
      </c>
      <c r="G107" s="498">
        <f t="shared" si="25"/>
        <v>0</v>
      </c>
      <c r="H107" s="500"/>
      <c r="I107" s="500"/>
      <c r="J107" s="501"/>
      <c r="K107" s="500"/>
      <c r="L107" s="500"/>
    </row>
    <row r="108" spans="1:12" ht="19.5" x14ac:dyDescent="0.3">
      <c r="A108" s="268"/>
      <c r="B108" s="269" t="s">
        <v>135</v>
      </c>
      <c r="C108" s="208">
        <v>0</v>
      </c>
      <c r="D108" s="208">
        <v>0</v>
      </c>
      <c r="E108" s="208">
        <v>0</v>
      </c>
      <c r="F108" s="505">
        <f t="shared" si="24"/>
        <v>0</v>
      </c>
      <c r="G108" s="505">
        <f t="shared" si="25"/>
        <v>0</v>
      </c>
      <c r="H108" s="507"/>
      <c r="I108" s="507"/>
      <c r="J108" s="508"/>
      <c r="K108" s="507"/>
      <c r="L108" s="507"/>
    </row>
  </sheetData>
  <mergeCells count="20">
    <mergeCell ref="A52:B52"/>
    <mergeCell ref="A74:B74"/>
    <mergeCell ref="A89:B89"/>
    <mergeCell ref="C2:G2"/>
    <mergeCell ref="H2:L2"/>
    <mergeCell ref="C3:G3"/>
    <mergeCell ref="H3:J4"/>
    <mergeCell ref="K3:L3"/>
    <mergeCell ref="C4:C6"/>
    <mergeCell ref="I5:J5"/>
    <mergeCell ref="L4:L5"/>
    <mergeCell ref="A2:B6"/>
    <mergeCell ref="A7:B7"/>
    <mergeCell ref="A13:B13"/>
    <mergeCell ref="A31:B31"/>
    <mergeCell ref="D4:D6"/>
    <mergeCell ref="E4:E6"/>
    <mergeCell ref="F4:F6"/>
    <mergeCell ref="G4:G6"/>
    <mergeCell ref="K4:K5"/>
  </mergeCells>
  <conditionalFormatting sqref="F14:F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AG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3" width="13.7109375" customWidth="1"/>
    <col min="7" max="7" width="13.85546875" customWidth="1"/>
    <col min="8" max="8" width="16.42578125" customWidth="1"/>
    <col min="9" max="9" width="13.85546875" customWidth="1"/>
    <col min="18" max="20" width="15.28515625" customWidth="1"/>
    <col min="31" max="33" width="17.5703125" customWidth="1"/>
  </cols>
  <sheetData>
    <row r="1" spans="1:33" ht="19.5" x14ac:dyDescent="0.3">
      <c r="A1" s="1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7"/>
      <c r="S1" s="117"/>
      <c r="T1" s="117"/>
      <c r="U1" s="117"/>
      <c r="V1" s="117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</row>
    <row r="2" spans="1:33" ht="30" customHeight="1" x14ac:dyDescent="0.2">
      <c r="A2" s="692" t="s">
        <v>1</v>
      </c>
      <c r="B2" s="658"/>
      <c r="C2" s="689" t="s">
        <v>141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90" t="s">
        <v>142</v>
      </c>
      <c r="X2" s="646"/>
      <c r="Y2" s="646"/>
      <c r="Z2" s="646"/>
      <c r="AA2" s="646"/>
      <c r="AB2" s="646"/>
      <c r="AC2" s="646"/>
      <c r="AD2" s="646"/>
      <c r="AE2" s="646"/>
      <c r="AF2" s="646"/>
      <c r="AG2" s="647"/>
    </row>
    <row r="3" spans="1:33" ht="30" customHeight="1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45" t="s">
        <v>5</v>
      </c>
      <c r="S3" s="646"/>
      <c r="T3" s="646"/>
      <c r="U3" s="646"/>
      <c r="V3" s="647"/>
      <c r="W3" s="687" t="s">
        <v>143</v>
      </c>
      <c r="X3" s="674"/>
      <c r="Y3" s="674"/>
      <c r="Z3" s="658"/>
      <c r="AA3" s="687" t="s">
        <v>144</v>
      </c>
      <c r="AB3" s="674"/>
      <c r="AC3" s="674"/>
      <c r="AD3" s="658"/>
      <c r="AE3" s="687" t="s">
        <v>145</v>
      </c>
      <c r="AF3" s="674"/>
      <c r="AG3" s="658"/>
    </row>
    <row r="4" spans="1:33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648" t="s">
        <v>11</v>
      </c>
      <c r="S4" s="651" t="s">
        <v>12</v>
      </c>
      <c r="T4" s="652" t="s">
        <v>13</v>
      </c>
      <c r="U4" s="652" t="s">
        <v>14</v>
      </c>
      <c r="V4" s="652" t="s">
        <v>15</v>
      </c>
      <c r="W4" s="661"/>
      <c r="X4" s="675"/>
      <c r="Y4" s="675"/>
      <c r="Z4" s="662"/>
      <c r="AA4" s="661"/>
      <c r="AB4" s="675"/>
      <c r="AC4" s="675"/>
      <c r="AD4" s="662"/>
      <c r="AE4" s="661"/>
      <c r="AF4" s="675"/>
      <c r="AG4" s="662"/>
    </row>
    <row r="5" spans="1:33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649"/>
      <c r="S5" s="649"/>
      <c r="T5" s="649"/>
      <c r="U5" s="649"/>
      <c r="V5" s="649"/>
      <c r="W5" s="119" t="s">
        <v>28</v>
      </c>
      <c r="X5" s="688" t="s">
        <v>29</v>
      </c>
      <c r="Y5" s="647"/>
      <c r="Z5" s="180"/>
      <c r="AA5" s="119" t="s">
        <v>28</v>
      </c>
      <c r="AB5" s="688" t="s">
        <v>29</v>
      </c>
      <c r="AC5" s="647"/>
      <c r="AD5" s="180"/>
      <c r="AE5" s="119" t="s">
        <v>28</v>
      </c>
      <c r="AF5" s="688" t="s">
        <v>29</v>
      </c>
      <c r="AG5" s="647"/>
    </row>
    <row r="6" spans="1:33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650"/>
      <c r="S6" s="650"/>
      <c r="T6" s="650"/>
      <c r="U6" s="650"/>
      <c r="V6" s="650"/>
      <c r="W6" s="124" t="s">
        <v>35</v>
      </c>
      <c r="X6" s="125" t="s">
        <v>35</v>
      </c>
      <c r="Y6" s="125" t="s">
        <v>31</v>
      </c>
      <c r="Z6" s="125" t="s">
        <v>146</v>
      </c>
      <c r="AA6" s="124" t="s">
        <v>35</v>
      </c>
      <c r="AB6" s="125" t="s">
        <v>35</v>
      </c>
      <c r="AC6" s="125" t="s">
        <v>31</v>
      </c>
      <c r="AD6" s="125" t="s">
        <v>146</v>
      </c>
      <c r="AE6" s="124" t="s">
        <v>35</v>
      </c>
      <c r="AF6" s="125" t="s">
        <v>35</v>
      </c>
      <c r="AG6" s="125" t="s">
        <v>31</v>
      </c>
    </row>
    <row r="7" spans="1:33" ht="19.5" x14ac:dyDescent="0.2">
      <c r="A7" s="705" t="s">
        <v>38</v>
      </c>
      <c r="B7" s="647"/>
      <c r="C7" s="181">
        <f t="shared" ref="C7:C9" ca="1" si="0">D7+G7</f>
        <v>2725100</v>
      </c>
      <c r="D7" s="182">
        <f t="shared" ref="D7:E7" ca="1" si="1">D8+D9+D12</f>
        <v>452500</v>
      </c>
      <c r="E7" s="183">
        <f t="shared" ca="1" si="1"/>
        <v>203600</v>
      </c>
      <c r="F7" s="184">
        <f ca="1">F8+F9</f>
        <v>248900</v>
      </c>
      <c r="G7" s="185">
        <f t="shared" ref="G7:I7" ca="1" si="2">G8+G9+G12</f>
        <v>2272600</v>
      </c>
      <c r="H7" s="186">
        <f t="shared" ca="1" si="2"/>
        <v>452500</v>
      </c>
      <c r="I7" s="186">
        <f t="shared" ca="1" si="2"/>
        <v>2215700</v>
      </c>
      <c r="J7" s="187">
        <f t="shared" ref="J7:J9" ca="1" si="3">L7+O7</f>
        <v>529060</v>
      </c>
      <c r="K7" s="188">
        <f t="shared" ref="K7:K9" ca="1" si="4">IF(C7&gt;0,J7*100/C7,0)</f>
        <v>19.414333418957103</v>
      </c>
      <c r="L7" s="187">
        <f ca="1">L8+L9+L12</f>
        <v>234060</v>
      </c>
      <c r="M7" s="189">
        <f t="shared" ref="M7:M9" ca="1" si="5">IF(D7&gt;0,L7*100/D7,0)</f>
        <v>51.725966850828726</v>
      </c>
      <c r="N7" s="189">
        <f t="shared" ref="N7:N9" ca="1" si="6">IF(H7&gt;0,L7*100/H7,0)</f>
        <v>51.725966850828726</v>
      </c>
      <c r="O7" s="190">
        <f ca="1">O8+O9+O12</f>
        <v>295000</v>
      </c>
      <c r="P7" s="190">
        <f t="shared" ref="P7:P9" ca="1" si="7">IF(G7&gt;0,O7*100/G7,0)</f>
        <v>12.980726920707559</v>
      </c>
      <c r="Q7" s="189">
        <f t="shared" ref="Q7:Q9" ca="1" si="8">IF(I7&gt;0,O7*100/I7,0)</f>
        <v>13.314076815453356</v>
      </c>
      <c r="R7" s="190">
        <f t="shared" ref="R7:T7" ca="1" si="9">R8+R9</f>
        <v>23588000</v>
      </c>
      <c r="S7" s="190">
        <f t="shared" ca="1" si="9"/>
        <v>23553746</v>
      </c>
      <c r="T7" s="190">
        <f t="shared" ca="1" si="9"/>
        <v>12365718.57</v>
      </c>
      <c r="U7" s="189">
        <f t="shared" ref="U7:U9" ca="1" si="10">IF(R7&gt;0,T7*100/R7,0)</f>
        <v>52.423768738341529</v>
      </c>
      <c r="V7" s="189">
        <f t="shared" ref="V7:V9" ca="1" si="11">IF(S7&gt;0,T7*100/S7,0)</f>
        <v>52.500008151569602</v>
      </c>
      <c r="W7" s="28">
        <f t="shared" ref="W7:X7" ca="1" si="12">W8</f>
        <v>2000</v>
      </c>
      <c r="X7" s="29">
        <f t="shared" ca="1" si="12"/>
        <v>1935</v>
      </c>
      <c r="Y7" s="30">
        <f t="shared" ref="Y7:Y8" ca="1" si="13">IF(W7&gt;0,X7*100/W7,0)</f>
        <v>96.75</v>
      </c>
      <c r="Z7" s="29">
        <f t="shared" ref="Z7:AB7" ca="1" si="14">Z8</f>
        <v>96</v>
      </c>
      <c r="AA7" s="28">
        <f t="shared" ca="1" si="14"/>
        <v>1400</v>
      </c>
      <c r="AB7" s="29">
        <f t="shared" ca="1" si="14"/>
        <v>1335</v>
      </c>
      <c r="AC7" s="30">
        <f t="shared" ref="AC7:AC8" ca="1" si="15">IF(AA7&gt;0,AB7*100/AA7,0)</f>
        <v>95.357142857142861</v>
      </c>
      <c r="AD7" s="125">
        <f ca="1">AD8</f>
        <v>80</v>
      </c>
      <c r="AE7" s="28">
        <f t="shared" ref="AE7:AF7" ca="1" si="16">AE9</f>
        <v>155</v>
      </c>
      <c r="AF7" s="29">
        <f t="shared" ca="1" si="16"/>
        <v>0</v>
      </c>
      <c r="AG7" s="30">
        <f t="shared" ref="AG7:AG9" ca="1" si="17">IF(AE7&gt;0,AF7*100/AE7,0)</f>
        <v>0</v>
      </c>
    </row>
    <row r="8" spans="1:33" ht="19.5" x14ac:dyDescent="0.3">
      <c r="A8" s="134" t="s">
        <v>39</v>
      </c>
      <c r="B8" s="135"/>
      <c r="C8" s="136">
        <f t="shared" ca="1" si="0"/>
        <v>2272600</v>
      </c>
      <c r="D8" s="136">
        <f t="shared" ref="D8:I8" ca="1" si="18">+D13+D31+D52+D74</f>
        <v>0</v>
      </c>
      <c r="E8" s="136">
        <f t="shared" ca="1" si="18"/>
        <v>0</v>
      </c>
      <c r="F8" s="136">
        <f t="shared" ca="1" si="18"/>
        <v>0</v>
      </c>
      <c r="G8" s="136">
        <f t="shared" ca="1" si="18"/>
        <v>2272600</v>
      </c>
      <c r="H8" s="136">
        <f t="shared" ca="1" si="18"/>
        <v>0</v>
      </c>
      <c r="I8" s="136">
        <f t="shared" ca="1" si="18"/>
        <v>2215700</v>
      </c>
      <c r="J8" s="136">
        <f t="shared" ca="1" si="3"/>
        <v>295000</v>
      </c>
      <c r="K8" s="137">
        <f t="shared" ca="1" si="4"/>
        <v>12.980726920707559</v>
      </c>
      <c r="L8" s="136">
        <f ca="1">+L13+L31+L52+L74</f>
        <v>0</v>
      </c>
      <c r="M8" s="37">
        <f t="shared" ca="1" si="5"/>
        <v>0</v>
      </c>
      <c r="N8" s="37">
        <f t="shared" ca="1" si="6"/>
        <v>0</v>
      </c>
      <c r="O8" s="36">
        <f ca="1">+O13+O31+O52+O74</f>
        <v>295000</v>
      </c>
      <c r="P8" s="36">
        <f t="shared" ca="1" si="7"/>
        <v>12.980726920707559</v>
      </c>
      <c r="Q8" s="37">
        <f t="shared" ca="1" si="8"/>
        <v>13.314076815453356</v>
      </c>
      <c r="R8" s="36">
        <f t="shared" ref="R8:T8" ca="1" si="19">+R13+R31+R52+R74</f>
        <v>21980680</v>
      </c>
      <c r="S8" s="36">
        <f t="shared" ca="1" si="19"/>
        <v>21946426</v>
      </c>
      <c r="T8" s="36">
        <f t="shared" ca="1" si="19"/>
        <v>12122274.890000001</v>
      </c>
      <c r="U8" s="37">
        <f t="shared" ca="1" si="10"/>
        <v>55.14968094708626</v>
      </c>
      <c r="V8" s="37">
        <f t="shared" ca="1" si="11"/>
        <v>55.235758615092955</v>
      </c>
      <c r="W8" s="32">
        <f t="shared" ref="W8:X8" ca="1" si="20">+W13+W31+W52+W74</f>
        <v>2000</v>
      </c>
      <c r="X8" s="32">
        <f t="shared" ca="1" si="20"/>
        <v>1935</v>
      </c>
      <c r="Y8" s="34">
        <f t="shared" ca="1" si="13"/>
        <v>96.75</v>
      </c>
      <c r="Z8" s="32">
        <f t="shared" ref="Z8:AB8" ca="1" si="21">+Z13+Z31+Z52+Z74</f>
        <v>96</v>
      </c>
      <c r="AA8" s="32">
        <f t="shared" ca="1" si="21"/>
        <v>1400</v>
      </c>
      <c r="AB8" s="32">
        <f t="shared" ca="1" si="21"/>
        <v>1335</v>
      </c>
      <c r="AC8" s="34">
        <f t="shared" ca="1" si="15"/>
        <v>95.357142857142861</v>
      </c>
      <c r="AD8" s="136">
        <f t="shared" ref="AD8:AF8" ca="1" si="22">+AD13+AD31+AD52+AD74</f>
        <v>80</v>
      </c>
      <c r="AE8" s="32">
        <f t="shared" si="22"/>
        <v>0</v>
      </c>
      <c r="AF8" s="32">
        <f t="shared" si="22"/>
        <v>0</v>
      </c>
      <c r="AG8" s="34">
        <f t="shared" si="17"/>
        <v>0</v>
      </c>
    </row>
    <row r="9" spans="1:33" ht="19.5" x14ac:dyDescent="0.3">
      <c r="A9" s="38" t="s">
        <v>40</v>
      </c>
      <c r="B9" s="138"/>
      <c r="C9" s="139">
        <f t="shared" ca="1" si="0"/>
        <v>452500</v>
      </c>
      <c r="D9" s="139">
        <f t="shared" ref="D9:I9" ca="1" si="23">+D89</f>
        <v>452500</v>
      </c>
      <c r="E9" s="139">
        <f t="shared" ca="1" si="23"/>
        <v>203600</v>
      </c>
      <c r="F9" s="139">
        <f t="shared" ca="1" si="23"/>
        <v>248900</v>
      </c>
      <c r="G9" s="139">
        <f t="shared" ca="1" si="23"/>
        <v>0</v>
      </c>
      <c r="H9" s="139">
        <f t="shared" ca="1" si="23"/>
        <v>452500</v>
      </c>
      <c r="I9" s="139">
        <f t="shared" ca="1" si="23"/>
        <v>0</v>
      </c>
      <c r="J9" s="139">
        <f t="shared" ca="1" si="3"/>
        <v>234060</v>
      </c>
      <c r="K9" s="140">
        <f t="shared" ca="1" si="4"/>
        <v>51.725966850828726</v>
      </c>
      <c r="L9" s="139">
        <f ca="1">+L89</f>
        <v>234060</v>
      </c>
      <c r="M9" s="44">
        <f t="shared" ca="1" si="5"/>
        <v>51.725966850828726</v>
      </c>
      <c r="N9" s="44">
        <f t="shared" ca="1" si="6"/>
        <v>51.725966850828726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4">+R89</f>
        <v>1607320</v>
      </c>
      <c r="S9" s="43">
        <f t="shared" ca="1" si="24"/>
        <v>1607320</v>
      </c>
      <c r="T9" s="43">
        <f t="shared" ca="1" si="24"/>
        <v>243443.68</v>
      </c>
      <c r="U9" s="44">
        <f t="shared" ca="1" si="10"/>
        <v>15.145937336684668</v>
      </c>
      <c r="V9" s="44">
        <f t="shared" ca="1" si="11"/>
        <v>15.145937336684668</v>
      </c>
      <c r="W9" s="39">
        <v>0</v>
      </c>
      <c r="X9" s="39">
        <v>0</v>
      </c>
      <c r="Y9" s="41">
        <v>0</v>
      </c>
      <c r="Z9" s="39">
        <v>0</v>
      </c>
      <c r="AA9" s="39">
        <v>0</v>
      </c>
      <c r="AB9" s="39">
        <v>0</v>
      </c>
      <c r="AC9" s="41">
        <v>0</v>
      </c>
      <c r="AD9" s="139">
        <v>0</v>
      </c>
      <c r="AE9" s="39">
        <f ca="1">IFERROR(__xludf.DUMMYFUNCTION("IMPORTRANGE(""https://docs.google.com/spreadsheets/d/1W-HhGofCdyidljablT5AVQ143BAUWsE-bKbHVeok6Og/edit?usp=sharing"",""ทั้งประเทศ!I131"")"),155)</f>
        <v>155</v>
      </c>
      <c r="AF9" s="39">
        <f ca="1">IFERROR(__xludf.DUMMYFUNCTION("IMPORTRANGE(""https://docs.google.com/spreadsheets/d/1W-HhGofCdyidljablT5AVQ143BAUWsE-bKbHVeok6Og/edit?usp=sharing"",""ทั้งประเทศ!J131"")"),0)</f>
        <v>0</v>
      </c>
      <c r="AG9" s="41">
        <f t="shared" ca="1" si="17"/>
        <v>0</v>
      </c>
    </row>
    <row r="10" spans="1:33" ht="19.5" hidden="1" x14ac:dyDescent="0.3">
      <c r="A10" s="141"/>
      <c r="B10" s="142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48"/>
      <c r="Z10" s="46"/>
      <c r="AA10" s="46"/>
      <c r="AB10" s="46"/>
      <c r="AC10" s="48"/>
      <c r="AD10" s="143"/>
      <c r="AE10" s="46"/>
      <c r="AF10" s="46"/>
      <c r="AG10" s="48"/>
    </row>
    <row r="11" spans="1:33" ht="19.5" hidden="1" x14ac:dyDescent="0.3">
      <c r="A11" s="141"/>
      <c r="B11" s="142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48"/>
      <c r="Z11" s="46"/>
      <c r="AA11" s="46"/>
      <c r="AB11" s="46"/>
      <c r="AC11" s="48"/>
      <c r="AD11" s="143"/>
      <c r="AE11" s="46"/>
      <c r="AF11" s="46"/>
      <c r="AG11" s="48"/>
    </row>
    <row r="12" spans="1:33" ht="19.5" hidden="1" x14ac:dyDescent="0.3">
      <c r="A12" s="141"/>
      <c r="B12" s="142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48"/>
      <c r="Z12" s="46"/>
      <c r="AA12" s="46"/>
      <c r="AB12" s="46"/>
      <c r="AC12" s="48"/>
      <c r="AD12" s="143"/>
      <c r="AE12" s="46"/>
      <c r="AF12" s="46"/>
      <c r="AG12" s="48"/>
    </row>
    <row r="13" spans="1:33" ht="19.5" x14ac:dyDescent="0.3">
      <c r="A13" s="695" t="s">
        <v>41</v>
      </c>
      <c r="B13" s="647"/>
      <c r="C13" s="145">
        <f t="shared" ref="C13:C88" ca="1" si="25">D13+G13</f>
        <v>0</v>
      </c>
      <c r="D13" s="145">
        <f t="shared" ref="D13:I13" ca="1" si="26">SUM(D14:D30)</f>
        <v>0</v>
      </c>
      <c r="E13" s="145">
        <f t="shared" ca="1" si="26"/>
        <v>0</v>
      </c>
      <c r="F13" s="145">
        <f t="shared" ca="1" si="26"/>
        <v>0</v>
      </c>
      <c r="G13" s="145">
        <f t="shared" ca="1" si="26"/>
        <v>0</v>
      </c>
      <c r="H13" s="145">
        <f t="shared" ca="1" si="26"/>
        <v>0</v>
      </c>
      <c r="I13" s="145">
        <f t="shared" ca="1" si="26"/>
        <v>0</v>
      </c>
      <c r="J13" s="145">
        <f t="shared" ref="J13:J88" ca="1" si="27">L13+O13</f>
        <v>0</v>
      </c>
      <c r="K13" s="146">
        <f t="shared" ref="K13:K88" ca="1" si="28">IF(C13&gt;0,J13*100/C13,0)</f>
        <v>0</v>
      </c>
      <c r="L13" s="145">
        <f ca="1">SUM(L14:L30)</f>
        <v>0</v>
      </c>
      <c r="M13" s="57">
        <f t="shared" ref="M13:M88" ca="1" si="29">IF(D13&gt;0,L13*100/D13,0)</f>
        <v>0</v>
      </c>
      <c r="N13" s="57">
        <f t="shared" ref="N13:N88" ca="1" si="30">IF(H13&gt;0,L13*100/H13,0)</f>
        <v>0</v>
      </c>
      <c r="O13" s="56">
        <f ca="1">SUM(O14:O30)</f>
        <v>0</v>
      </c>
      <c r="P13" s="56">
        <f t="shared" ref="P13:P88" ca="1" si="31">IF(G13&gt;0,O13*100/G13,0)</f>
        <v>0</v>
      </c>
      <c r="Q13" s="57">
        <f t="shared" ref="Q13:Q88" ca="1" si="32">IF(I13&gt;0,O13*100/I13,0)</f>
        <v>0</v>
      </c>
      <c r="R13" s="56">
        <f t="shared" ref="R13:T13" ca="1" si="33">SUM(R14:R30)</f>
        <v>6899960</v>
      </c>
      <c r="S13" s="56">
        <f t="shared" ca="1" si="33"/>
        <v>6899960</v>
      </c>
      <c r="T13" s="56">
        <f t="shared" ca="1" si="33"/>
        <v>3519111.31</v>
      </c>
      <c r="U13" s="57">
        <f t="shared" ref="U13:U108" ca="1" si="34">IF(R13&gt;0,T13*100/R13,0)</f>
        <v>51.001908851645517</v>
      </c>
      <c r="V13" s="57">
        <f t="shared" ref="V13:V108" ca="1" si="35">IF(S13&gt;0,T13*100/S13,0)</f>
        <v>51.001908851645517</v>
      </c>
      <c r="W13" s="52">
        <f t="shared" ref="W13:X13" ca="1" si="36">SUM(W14:W30)</f>
        <v>735</v>
      </c>
      <c r="X13" s="52">
        <f t="shared" ca="1" si="36"/>
        <v>735</v>
      </c>
      <c r="Y13" s="54">
        <f t="shared" ref="Y13:Y88" ca="1" si="37">IF(W13&gt;0,X13*100/W13,0)</f>
        <v>100</v>
      </c>
      <c r="Z13" s="52">
        <f t="shared" ref="Z13:AB13" ca="1" si="38">SUM(Z14:Z30)</f>
        <v>31</v>
      </c>
      <c r="AA13" s="52">
        <f t="shared" ca="1" si="38"/>
        <v>365</v>
      </c>
      <c r="AB13" s="52">
        <f t="shared" ca="1" si="38"/>
        <v>365</v>
      </c>
      <c r="AC13" s="54">
        <f t="shared" ref="AC13:AC88" ca="1" si="39">IF(AA13&gt;0,AB13*100/AA13,0)</f>
        <v>100</v>
      </c>
      <c r="AD13" s="145">
        <f ca="1">SUM(AD14:AD30)</f>
        <v>21</v>
      </c>
      <c r="AE13" s="52">
        <v>0</v>
      </c>
      <c r="AF13" s="52">
        <v>0</v>
      </c>
      <c r="AG13" s="54">
        <v>0</v>
      </c>
    </row>
    <row r="14" spans="1:33" ht="19.5" x14ac:dyDescent="0.3">
      <c r="A14" s="147">
        <v>1</v>
      </c>
      <c r="B14" s="148" t="s">
        <v>42</v>
      </c>
      <c r="C14" s="149">
        <f t="shared" ca="1" si="25"/>
        <v>0</v>
      </c>
      <c r="D14" s="150">
        <f t="shared" ref="D14:D30" ca="1" si="40">+E14+F14</f>
        <v>0</v>
      </c>
      <c r="E14" s="151">
        <f ca="1">IFERROR(__xludf.DUMMYFUNCTION("IMPORTRANGE(""https://docs.google.com/spreadsheets/d/1-uDff_7J0KD5mKrp0Vvzr7lt3OU09vwQwhkpOPPYv2Y/edit?usp=sharing"",""งบพรบ!BH14"")"),0)</f>
        <v>0</v>
      </c>
      <c r="F14" s="151">
        <f ca="1">IFERROR(__xludf.DUMMYFUNCTION("IMPORTRANGE(""https://docs.google.com/spreadsheets/d/1-uDff_7J0KD5mKrp0Vvzr7lt3OU09vwQwhkpOPPYv2Y/edit?usp=sharing"",""งบพรบ!BI14"")"),0)</f>
        <v>0</v>
      </c>
      <c r="G14" s="152">
        <f ca="1">IFERROR(__xludf.DUMMYFUNCTION("IMPORTRANGE(""https://docs.google.com/spreadsheets/d/1-uDff_7J0KD5mKrp0Vvzr7lt3OU09vwQwhkpOPPYv2Y/edit?usp=sharing"",""งบพรบ!BJ14"")"),0)</f>
        <v>0</v>
      </c>
      <c r="H14" s="152">
        <f ca="1">IFERROR(__xludf.DUMMYFUNCTION("IMPORTRANGE(""https://docs.google.com/spreadsheets/d/1-uDff_7J0KD5mKrp0Vvzr7lt3OU09vwQwhkpOPPYv2Y/edit?usp=sharing"",""งบพรบ!BL14"")"),0)</f>
        <v>0</v>
      </c>
      <c r="I14" s="152">
        <f ca="1">IFERROR(__xludf.DUMMYFUNCTION("IMPORTRANGE(""https://docs.google.com/spreadsheets/d/1-uDff_7J0KD5mKrp0Vvzr7lt3OU09vwQwhkpOPPYv2Y/edit?usp=sharing"",""งบพรบ!BM14"")"),0)</f>
        <v>0</v>
      </c>
      <c r="J14" s="152">
        <f t="shared" ca="1" si="27"/>
        <v>0</v>
      </c>
      <c r="K14" s="153">
        <f t="shared" ca="1" si="28"/>
        <v>0</v>
      </c>
      <c r="L14" s="152">
        <f ca="1">IFERROR(__xludf.DUMMYFUNCTION("IMPORTRANGE(""https://docs.google.com/spreadsheets/d/1-uDff_7J0KD5mKrp0Vvzr7lt3OU09vwQwhkpOPPYv2Y/edit?usp=sharing"",""งบพรบ!BN14"")"),0)</f>
        <v>0</v>
      </c>
      <c r="M14" s="68">
        <f t="shared" ca="1" si="29"/>
        <v>0</v>
      </c>
      <c r="N14" s="68">
        <f t="shared" ca="1" si="30"/>
        <v>0</v>
      </c>
      <c r="O14" s="67">
        <f ca="1">IFERROR(__xludf.DUMMYFUNCTION("IMPORTRANGE(""https://docs.google.com/spreadsheets/d/1-uDff_7J0KD5mKrp0Vvzr7lt3OU09vwQwhkpOPPYv2Y/edit?usp=sharing"",""งบพรบ!BO14"")"),0)</f>
        <v>0</v>
      </c>
      <c r="P14" s="67">
        <f t="shared" ca="1" si="31"/>
        <v>0</v>
      </c>
      <c r="Q14" s="68">
        <f t="shared" ca="1" si="32"/>
        <v>0</v>
      </c>
      <c r="R14" s="67">
        <f ca="1">IFERROR(__xludf.DUMMYFUNCTION("IMPORTRANGE(""https://docs.google.com/spreadsheets/d/1jTcq05yEiRwXcBMLjiodW9e4biSGYWAHcDj22rKWQ3s/edit?usp=sharing"",""กำแพงเพชร!Q117"")"),333320)</f>
        <v>333320</v>
      </c>
      <c r="S14" s="67">
        <f ca="1">IFERROR(__xludf.DUMMYFUNCTION("IMPORTRANGE(""https://docs.google.com/spreadsheets/d/1jTcq05yEiRwXcBMLjiodW9e4biSGYWAHcDj22rKWQ3s/edit?usp=sharing"",""กำแพงเพชร!R117"")"),333320)</f>
        <v>333320</v>
      </c>
      <c r="T14" s="67">
        <f ca="1">IFERROR(__xludf.DUMMYFUNCTION("IMPORTRANGE(""https://docs.google.com/spreadsheets/d/1jTcq05yEiRwXcBMLjiodW9e4biSGYWAHcDj22rKWQ3s/edit?usp=sharing"",""กำแพงเพชร!S117"")"),295800)</f>
        <v>295800</v>
      </c>
      <c r="U14" s="68">
        <f t="shared" ca="1" si="34"/>
        <v>88.743549741989682</v>
      </c>
      <c r="V14" s="68">
        <f t="shared" ca="1" si="35"/>
        <v>88.743549741989682</v>
      </c>
      <c r="W14" s="62">
        <f ca="1">IFERROR(__xludf.DUMMYFUNCTION("IMPORTRANGE(""https://docs.google.com/spreadsheets/d/1jTcq05yEiRwXcBMLjiodW9e4biSGYWAHcDj22rKWQ3s/edit?usp=sharing"",""กำแพงเพชร!I127"")"),70)</f>
        <v>70</v>
      </c>
      <c r="X14" s="62">
        <f ca="1">IFERROR(__xludf.DUMMYFUNCTION("IMPORTRANGE(""https://docs.google.com/spreadsheets/d/1jTcq05yEiRwXcBMLjiodW9e4biSGYWAHcDj22rKWQ3s/edit?usp=sharing"",""กำแพงเพชร!J127"")"),70)</f>
        <v>70</v>
      </c>
      <c r="Y14" s="69">
        <f t="shared" ca="1" si="37"/>
        <v>100</v>
      </c>
      <c r="Z14" s="62">
        <f ca="1">IFERROR(__xludf.DUMMYFUNCTION("IMPORTRANGE(""https://docs.google.com/spreadsheets/d/1jTcq05yEiRwXcBMLjiodW9e4biSGYWAHcDj22rKWQ3s/edit?usp=sharing"",""กำแพงเพชร!J128"")"),2)</f>
        <v>2</v>
      </c>
      <c r="AA14" s="62">
        <f ca="1">IFERROR(__xludf.DUMMYFUNCTION("IMPORTRANGE(""https://docs.google.com/spreadsheets/d/1jTcq05yEiRwXcBMLjiodW9e4biSGYWAHcDj22rKWQ3s/edit?usp=sharing"",""กำแพงเพชร!I129"")"),20)</f>
        <v>20</v>
      </c>
      <c r="AB14" s="62">
        <f ca="1">IFERROR(__xludf.DUMMYFUNCTION("IMPORTRANGE(""https://docs.google.com/spreadsheets/d/1jTcq05yEiRwXcBMLjiodW9e4biSGYWAHcDj22rKWQ3s/edit?usp=sharing"",""กำแพงเพชร!J129"")"),20)</f>
        <v>20</v>
      </c>
      <c r="AC14" s="69">
        <f t="shared" ca="1" si="39"/>
        <v>100</v>
      </c>
      <c r="AD14" s="152">
        <f ca="1">IFERROR(__xludf.DUMMYFUNCTION("IMPORTRANGE(""https://docs.google.com/spreadsheets/d/1jTcq05yEiRwXcBMLjiodW9e4biSGYWAHcDj22rKWQ3s/edit?usp=sharing"",""กำแพงเพชร!J130"")"),1)</f>
        <v>1</v>
      </c>
      <c r="AE14" s="62">
        <v>0</v>
      </c>
      <c r="AF14" s="62">
        <v>0</v>
      </c>
      <c r="AG14" s="69">
        <v>0</v>
      </c>
    </row>
    <row r="15" spans="1:33" ht="19.5" x14ac:dyDescent="0.3">
      <c r="A15" s="147">
        <v>2</v>
      </c>
      <c r="B15" s="148" t="s">
        <v>43</v>
      </c>
      <c r="C15" s="149">
        <f t="shared" ca="1" si="25"/>
        <v>0</v>
      </c>
      <c r="D15" s="150">
        <f t="shared" ca="1" si="40"/>
        <v>0</v>
      </c>
      <c r="E15" s="151">
        <f ca="1">IFERROR(__xludf.DUMMYFUNCTION("IMPORTRANGE(""https://docs.google.com/spreadsheets/d/1-uDff_7J0KD5mKrp0Vvzr7lt3OU09vwQwhkpOPPYv2Y/edit?usp=sharing"",""งบพรบ!BH15"")"),0)</f>
        <v>0</v>
      </c>
      <c r="F15" s="151">
        <f ca="1">IFERROR(__xludf.DUMMYFUNCTION("IMPORTRANGE(""https://docs.google.com/spreadsheets/d/1-uDff_7J0KD5mKrp0Vvzr7lt3OU09vwQwhkpOPPYv2Y/edit?usp=sharing"",""งบพรบ!BI15"")"),0)</f>
        <v>0</v>
      </c>
      <c r="G15" s="151">
        <f ca="1">IFERROR(__xludf.DUMMYFUNCTION("IMPORTRANGE(""https://docs.google.com/spreadsheets/d/1-uDff_7J0KD5mKrp0Vvzr7lt3OU09vwQwhkpOPPYv2Y/edit?usp=sharing"",""งบพรบ!BJ15"")"),0)</f>
        <v>0</v>
      </c>
      <c r="H15" s="151">
        <f ca="1">IFERROR(__xludf.DUMMYFUNCTION("IMPORTRANGE(""https://docs.google.com/spreadsheets/d/1-uDff_7J0KD5mKrp0Vvzr7lt3OU09vwQwhkpOPPYv2Y/edit?usp=sharing"",""งบพรบ!BL15"")"),0)</f>
        <v>0</v>
      </c>
      <c r="I15" s="151">
        <f ca="1">IFERROR(__xludf.DUMMYFUNCTION("IMPORTRANGE(""https://docs.google.com/spreadsheets/d/1-uDff_7J0KD5mKrp0Vvzr7lt3OU09vwQwhkpOPPYv2Y/edit?usp=sharing"",""งบพรบ!BM15"")"),0)</f>
        <v>0</v>
      </c>
      <c r="J15" s="151">
        <f t="shared" ca="1" si="27"/>
        <v>0</v>
      </c>
      <c r="K15" s="154">
        <f t="shared" ca="1" si="28"/>
        <v>0</v>
      </c>
      <c r="L15" s="151">
        <f ca="1">IFERROR(__xludf.DUMMYFUNCTION("IMPORTRANGE(""https://docs.google.com/spreadsheets/d/1-uDff_7J0KD5mKrp0Vvzr7lt3OU09vwQwhkpOPPYv2Y/edit?usp=sharing"",""งบพรบ!BN15"")"),0)</f>
        <v>0</v>
      </c>
      <c r="M15" s="68">
        <f t="shared" ca="1" si="29"/>
        <v>0</v>
      </c>
      <c r="N15" s="68">
        <f t="shared" ca="1" si="30"/>
        <v>0</v>
      </c>
      <c r="O15" s="67">
        <f ca="1">IFERROR(__xludf.DUMMYFUNCTION("IMPORTRANGE(""https://docs.google.com/spreadsheets/d/1-uDff_7J0KD5mKrp0Vvzr7lt3OU09vwQwhkpOPPYv2Y/edit?usp=sharing"",""งบพรบ!BO15"")"),0)</f>
        <v>0</v>
      </c>
      <c r="P15" s="67">
        <f t="shared" ca="1" si="31"/>
        <v>0</v>
      </c>
      <c r="Q15" s="68">
        <f t="shared" ca="1" si="32"/>
        <v>0</v>
      </c>
      <c r="R15" s="67">
        <f ca="1">IFERROR(__xludf.DUMMYFUNCTION("IMPORTRANGE(""https://docs.google.com/spreadsheets/d/1KS0zmDSZPk8KnTAbGN-Xk6MtX1YRZD0ldgdt20K4CRk/edit?usp=sharing"",""เชียงราย!Q117"")"),308920)</f>
        <v>308920</v>
      </c>
      <c r="S15" s="67">
        <f ca="1">IFERROR(__xludf.DUMMYFUNCTION("IMPORTRANGE(""https://docs.google.com/spreadsheets/d/1KS0zmDSZPk8KnTAbGN-Xk6MtX1YRZD0ldgdt20K4CRk/edit?usp=sharing"",""เชียงราย!R117"")"),308920)</f>
        <v>308920</v>
      </c>
      <c r="T15" s="67">
        <f ca="1">IFERROR(__xludf.DUMMYFUNCTION("IMPORTRANGE(""https://docs.google.com/spreadsheets/d/1KS0zmDSZPk8KnTAbGN-Xk6MtX1YRZD0ldgdt20K4CRk/edit?usp=sharing"",""เชียงราย!S117"")"),246620.01)</f>
        <v>246620.01</v>
      </c>
      <c r="U15" s="68">
        <f t="shared" ca="1" si="34"/>
        <v>79.832969700893429</v>
      </c>
      <c r="V15" s="68">
        <f t="shared" ca="1" si="35"/>
        <v>79.832969700893429</v>
      </c>
      <c r="W15" s="78">
        <f ca="1">IFERROR(__xludf.DUMMYFUNCTION("IMPORTRANGE(""https://docs.google.com/spreadsheets/d/1KS0zmDSZPk8KnTAbGN-Xk6MtX1YRZD0ldgdt20K4CRk/edit?usp=sharing"",""เชียงราย!I127"")"),60)</f>
        <v>60</v>
      </c>
      <c r="X15" s="78">
        <f ca="1">IFERROR(__xludf.DUMMYFUNCTION("IMPORTRANGE(""https://docs.google.com/spreadsheets/d/1KS0zmDSZPk8KnTAbGN-Xk6MtX1YRZD0ldgdt20K4CRk/edit?usp=sharing"",""เชียงราย!J127"")"),60)</f>
        <v>60</v>
      </c>
      <c r="Y15" s="79">
        <f t="shared" ca="1" si="37"/>
        <v>100</v>
      </c>
      <c r="Z15" s="78">
        <f ca="1">IFERROR(__xludf.DUMMYFUNCTION("IMPORTRANGE(""https://docs.google.com/spreadsheets/d/1KS0zmDSZPk8KnTAbGN-Xk6MtX1YRZD0ldgdt20K4CRk/edit?usp=sharing"",""เชียงราย!J128"")"),2)</f>
        <v>2</v>
      </c>
      <c r="AA15" s="78">
        <f ca="1">IFERROR(__xludf.DUMMYFUNCTION("IMPORTRANGE(""https://docs.google.com/spreadsheets/d/1KS0zmDSZPk8KnTAbGN-Xk6MtX1YRZD0ldgdt20K4CRk/edit?usp=sharing"",""เชียงราย!I129"")"),20)</f>
        <v>20</v>
      </c>
      <c r="AB15" s="78">
        <f ca="1">IFERROR(__xludf.DUMMYFUNCTION("IMPORTRANGE(""https://docs.google.com/spreadsheets/d/1KS0zmDSZPk8KnTAbGN-Xk6MtX1YRZD0ldgdt20K4CRk/edit?usp=sharing"",""เชียงราย!J129"")"),20)</f>
        <v>20</v>
      </c>
      <c r="AC15" s="79">
        <f t="shared" ca="1" si="39"/>
        <v>100</v>
      </c>
      <c r="AD15" s="152">
        <f ca="1">IFERROR(__xludf.DUMMYFUNCTION("IMPORTRANGE(""https://docs.google.com/spreadsheets/d/1KS0zmDSZPk8KnTAbGN-Xk6MtX1YRZD0ldgdt20K4CRk/edit?usp=sharing"",""เชียงราย!J130"")"),1)</f>
        <v>1</v>
      </c>
      <c r="AE15" s="78">
        <v>0</v>
      </c>
      <c r="AF15" s="78">
        <v>0</v>
      </c>
      <c r="AG15" s="79">
        <v>0</v>
      </c>
    </row>
    <row r="16" spans="1:33" ht="19.5" x14ac:dyDescent="0.3">
      <c r="A16" s="147">
        <v>3</v>
      </c>
      <c r="B16" s="148" t="s">
        <v>44</v>
      </c>
      <c r="C16" s="149">
        <f t="shared" ca="1" si="25"/>
        <v>0</v>
      </c>
      <c r="D16" s="150">
        <f t="shared" ca="1" si="40"/>
        <v>0</v>
      </c>
      <c r="E16" s="151">
        <f ca="1">IFERROR(__xludf.DUMMYFUNCTION("IMPORTRANGE(""https://docs.google.com/spreadsheets/d/1-uDff_7J0KD5mKrp0Vvzr7lt3OU09vwQwhkpOPPYv2Y/edit?usp=sharing"",""งบพรบ!BH16"")"),0)</f>
        <v>0</v>
      </c>
      <c r="F16" s="151">
        <f ca="1">IFERROR(__xludf.DUMMYFUNCTION("IMPORTRANGE(""https://docs.google.com/spreadsheets/d/1-uDff_7J0KD5mKrp0Vvzr7lt3OU09vwQwhkpOPPYv2Y/edit?usp=sharing"",""งบพรบ!BI16"")"),0)</f>
        <v>0</v>
      </c>
      <c r="G16" s="151">
        <f ca="1">IFERROR(__xludf.DUMMYFUNCTION("IMPORTRANGE(""https://docs.google.com/spreadsheets/d/1-uDff_7J0KD5mKrp0Vvzr7lt3OU09vwQwhkpOPPYv2Y/edit?usp=sharing"",""งบพรบ!BJ16"")"),0)</f>
        <v>0</v>
      </c>
      <c r="H16" s="151">
        <f ca="1">IFERROR(__xludf.DUMMYFUNCTION("IMPORTRANGE(""https://docs.google.com/spreadsheets/d/1-uDff_7J0KD5mKrp0Vvzr7lt3OU09vwQwhkpOPPYv2Y/edit?usp=sharing"",""งบพรบ!BL16"")"),0)</f>
        <v>0</v>
      </c>
      <c r="I16" s="151">
        <f ca="1">IFERROR(__xludf.DUMMYFUNCTION("IMPORTRANGE(""https://docs.google.com/spreadsheets/d/1-uDff_7J0KD5mKrp0Vvzr7lt3OU09vwQwhkpOPPYv2Y/edit?usp=sharing"",""งบพรบ!BM16"")"),0)</f>
        <v>0</v>
      </c>
      <c r="J16" s="151">
        <f t="shared" ca="1" si="27"/>
        <v>0</v>
      </c>
      <c r="K16" s="154">
        <f t="shared" ca="1" si="28"/>
        <v>0</v>
      </c>
      <c r="L16" s="151">
        <f ca="1">IFERROR(__xludf.DUMMYFUNCTION("IMPORTRANGE(""https://docs.google.com/spreadsheets/d/1-uDff_7J0KD5mKrp0Vvzr7lt3OU09vwQwhkpOPPYv2Y/edit?usp=sharing"",""งบพรบ!BN16"")"),0)</f>
        <v>0</v>
      </c>
      <c r="M16" s="68">
        <f t="shared" ca="1" si="29"/>
        <v>0</v>
      </c>
      <c r="N16" s="68">
        <f t="shared" ca="1" si="30"/>
        <v>0</v>
      </c>
      <c r="O16" s="67">
        <f ca="1">IFERROR(__xludf.DUMMYFUNCTION("IMPORTRANGE(""https://docs.google.com/spreadsheets/d/1-uDff_7J0KD5mKrp0Vvzr7lt3OU09vwQwhkpOPPYv2Y/edit?usp=sharing"",""งบพรบ!BO16"")"),0)</f>
        <v>0</v>
      </c>
      <c r="P16" s="67">
        <f t="shared" ca="1" si="31"/>
        <v>0</v>
      </c>
      <c r="Q16" s="68">
        <f t="shared" ca="1" si="32"/>
        <v>0</v>
      </c>
      <c r="R16" s="67">
        <f ca="1">IFERROR(__xludf.DUMMYFUNCTION("IMPORTRANGE(""https://docs.google.com/spreadsheets/d/1rEDxBtusbi64tE0zunoIbsTVV16HeL0oJ6trHQeQ7K8/edit?usp=sharing"",""เชียงใหม่!Q117"")"),209360)</f>
        <v>209360</v>
      </c>
      <c r="S16" s="67">
        <f ca="1">IFERROR(__xludf.DUMMYFUNCTION("IMPORTRANGE(""https://docs.google.com/spreadsheets/d/1rEDxBtusbi64tE0zunoIbsTVV16HeL0oJ6trHQeQ7K8/edit?usp=sharing"",""เชียงใหม่!R117"")"),209360)</f>
        <v>209360</v>
      </c>
      <c r="T16" s="67">
        <f ca="1">IFERROR(__xludf.DUMMYFUNCTION("IMPORTRANGE(""https://docs.google.com/spreadsheets/d/1rEDxBtusbi64tE0zunoIbsTVV16HeL0oJ6trHQeQ7K8/edit?usp=sharing"",""เชียงใหม่!S117"")"),170710)</f>
        <v>170710</v>
      </c>
      <c r="U16" s="68">
        <f t="shared" ca="1" si="34"/>
        <v>81.538975926633555</v>
      </c>
      <c r="V16" s="68">
        <f t="shared" ca="1" si="35"/>
        <v>81.538975926633555</v>
      </c>
      <c r="W16" s="74">
        <f ca="1">IFERROR(__xludf.DUMMYFUNCTION("IMPORTRANGE(""https://docs.google.com/spreadsheets/d/1rEDxBtusbi64tE0zunoIbsTVV16HeL0oJ6trHQeQ7K8/edit?usp=sharing"",""เชียงใหม่!I127"")"),20)</f>
        <v>20</v>
      </c>
      <c r="X16" s="74">
        <f ca="1">IFERROR(__xludf.DUMMYFUNCTION("IMPORTRANGE(""https://docs.google.com/spreadsheets/d/1rEDxBtusbi64tE0zunoIbsTVV16HeL0oJ6trHQeQ7K8/edit?usp=sharing"",""เชียงใหม่!J127"")"),20)</f>
        <v>20</v>
      </c>
      <c r="Y16" s="79">
        <f t="shared" ca="1" si="37"/>
        <v>100</v>
      </c>
      <c r="Z16" s="74">
        <f ca="1">IFERROR(__xludf.DUMMYFUNCTION("IMPORTRANGE(""https://docs.google.com/spreadsheets/d/1rEDxBtusbi64tE0zunoIbsTVV16HeL0oJ6trHQeQ7K8/edit?usp=sharing"",""เชียงใหม่!J128"")"),1)</f>
        <v>1</v>
      </c>
      <c r="AA16" s="74">
        <f ca="1">IFERROR(__xludf.DUMMYFUNCTION("IMPORTRANGE(""https://docs.google.com/spreadsheets/d/1rEDxBtusbi64tE0zunoIbsTVV16HeL0oJ6trHQeQ7K8/edit?usp=sharing"",""เชียงใหม่!I129"")"),20)</f>
        <v>20</v>
      </c>
      <c r="AB16" s="74">
        <f ca="1">IFERROR(__xludf.DUMMYFUNCTION("IMPORTRANGE(""https://docs.google.com/spreadsheets/d/1rEDxBtusbi64tE0zunoIbsTVV16HeL0oJ6trHQeQ7K8/edit?usp=sharing"",""เชียงใหม่!J129"")"),20)</f>
        <v>20</v>
      </c>
      <c r="AC16" s="79">
        <f t="shared" ca="1" si="39"/>
        <v>100</v>
      </c>
      <c r="AD16" s="152">
        <f ca="1">IFERROR(__xludf.DUMMYFUNCTION("IMPORTRANGE(""https://docs.google.com/spreadsheets/d/1rEDxBtusbi64tE0zunoIbsTVV16HeL0oJ6trHQeQ7K8/edit?usp=sharing"",""เชียงใหม่!J130"")"),1)</f>
        <v>1</v>
      </c>
      <c r="AE16" s="74">
        <v>0</v>
      </c>
      <c r="AF16" s="74">
        <v>0</v>
      </c>
      <c r="AG16" s="79">
        <v>0</v>
      </c>
    </row>
    <row r="17" spans="1:33" ht="19.5" x14ac:dyDescent="0.3">
      <c r="A17" s="147">
        <v>4</v>
      </c>
      <c r="B17" s="148" t="s">
        <v>45</v>
      </c>
      <c r="C17" s="149">
        <f t="shared" ca="1" si="25"/>
        <v>0</v>
      </c>
      <c r="D17" s="150">
        <f t="shared" ca="1" si="40"/>
        <v>0</v>
      </c>
      <c r="E17" s="151">
        <f ca="1">IFERROR(__xludf.DUMMYFUNCTION("IMPORTRANGE(""https://docs.google.com/spreadsheets/d/1-uDff_7J0KD5mKrp0Vvzr7lt3OU09vwQwhkpOPPYv2Y/edit?usp=sharing"",""งบพรบ!BH17"")"),0)</f>
        <v>0</v>
      </c>
      <c r="F17" s="151">
        <f ca="1">IFERROR(__xludf.DUMMYFUNCTION("IMPORTRANGE(""https://docs.google.com/spreadsheets/d/1-uDff_7J0KD5mKrp0Vvzr7lt3OU09vwQwhkpOPPYv2Y/edit?usp=sharing"",""งบพรบ!BI17"")"),0)</f>
        <v>0</v>
      </c>
      <c r="G17" s="151">
        <f ca="1">IFERROR(__xludf.DUMMYFUNCTION("IMPORTRANGE(""https://docs.google.com/spreadsheets/d/1-uDff_7J0KD5mKrp0Vvzr7lt3OU09vwQwhkpOPPYv2Y/edit?usp=sharing"",""งบพรบ!BJ17"")"),0)</f>
        <v>0</v>
      </c>
      <c r="H17" s="151">
        <f ca="1">IFERROR(__xludf.DUMMYFUNCTION("IMPORTRANGE(""https://docs.google.com/spreadsheets/d/1-uDff_7J0KD5mKrp0Vvzr7lt3OU09vwQwhkpOPPYv2Y/edit?usp=sharing"",""งบพรบ!BL17"")"),0)</f>
        <v>0</v>
      </c>
      <c r="I17" s="151">
        <f ca="1">IFERROR(__xludf.DUMMYFUNCTION("IMPORTRANGE(""https://docs.google.com/spreadsheets/d/1-uDff_7J0KD5mKrp0Vvzr7lt3OU09vwQwhkpOPPYv2Y/edit?usp=sharing"",""งบพรบ!BM17"")"),0)</f>
        <v>0</v>
      </c>
      <c r="J17" s="151">
        <f t="shared" ca="1" si="27"/>
        <v>0</v>
      </c>
      <c r="K17" s="154">
        <f t="shared" ca="1" si="28"/>
        <v>0</v>
      </c>
      <c r="L17" s="151">
        <f ca="1">IFERROR(__xludf.DUMMYFUNCTION("IMPORTRANGE(""https://docs.google.com/spreadsheets/d/1-uDff_7J0KD5mKrp0Vvzr7lt3OU09vwQwhkpOPPYv2Y/edit?usp=sharing"",""งบพรบ!BN17"")"),0)</f>
        <v>0</v>
      </c>
      <c r="M17" s="68">
        <f t="shared" ca="1" si="29"/>
        <v>0</v>
      </c>
      <c r="N17" s="68">
        <f t="shared" ca="1" si="30"/>
        <v>0</v>
      </c>
      <c r="O17" s="67">
        <f ca="1">IFERROR(__xludf.DUMMYFUNCTION("IMPORTRANGE(""https://docs.google.com/spreadsheets/d/1-uDff_7J0KD5mKrp0Vvzr7lt3OU09vwQwhkpOPPYv2Y/edit?usp=sharing"",""งบพรบ!BO17"")"),0)</f>
        <v>0</v>
      </c>
      <c r="P17" s="67">
        <f t="shared" ca="1" si="31"/>
        <v>0</v>
      </c>
      <c r="Q17" s="68">
        <f t="shared" ca="1" si="32"/>
        <v>0</v>
      </c>
      <c r="R17" s="67">
        <f ca="1">IFERROR(__xludf.DUMMYFUNCTION("IMPORTRANGE(""https://docs.google.com/spreadsheets/d/1W6MnUbDkMi6xHnHko_XkFDO9kkuL6Wqyc-6OCDFjW9I/edit?usp=sharing"",""ตาก!Q117"")"),211520)</f>
        <v>211520</v>
      </c>
      <c r="S17" s="67">
        <f ca="1">IFERROR(__xludf.DUMMYFUNCTION("IMPORTRANGE(""https://docs.google.com/spreadsheets/d/1W6MnUbDkMi6xHnHko_XkFDO9kkuL6Wqyc-6OCDFjW9I/edit?usp=sharing"",""ตาก!R117"")"),211520)</f>
        <v>211520</v>
      </c>
      <c r="T17" s="67">
        <f ca="1">IFERROR(__xludf.DUMMYFUNCTION("IMPORTRANGE(""https://docs.google.com/spreadsheets/d/1W6MnUbDkMi6xHnHko_XkFDO9kkuL6Wqyc-6OCDFjW9I/edit?usp=sharing"",""ตาก!S117"")"),161903.14)</f>
        <v>161903.14000000001</v>
      </c>
      <c r="U17" s="68">
        <f t="shared" ca="1" si="34"/>
        <v>76.542709909228449</v>
      </c>
      <c r="V17" s="68">
        <f t="shared" ca="1" si="35"/>
        <v>76.542709909228449</v>
      </c>
      <c r="W17" s="74">
        <f ca="1">IFERROR(__xludf.DUMMYFUNCTION("IMPORTRANGE(""https://docs.google.com/spreadsheets/d/1W6MnUbDkMi6xHnHko_XkFDO9kkuL6Wqyc-6OCDFjW9I/edit?usp=sharing"",""ตาก!I127"")"),20)</f>
        <v>20</v>
      </c>
      <c r="X17" s="74">
        <f ca="1">IFERROR(__xludf.DUMMYFUNCTION("IMPORTRANGE(""https://docs.google.com/spreadsheets/d/1W6MnUbDkMi6xHnHko_XkFDO9kkuL6Wqyc-6OCDFjW9I/edit?usp=sharing"",""ตาก!J127"")"),20)</f>
        <v>20</v>
      </c>
      <c r="Y17" s="79">
        <f t="shared" ca="1" si="37"/>
        <v>100</v>
      </c>
      <c r="Z17" s="74">
        <f ca="1">IFERROR(__xludf.DUMMYFUNCTION("IMPORTRANGE(""https://docs.google.com/spreadsheets/d/1W6MnUbDkMi6xHnHko_XkFDO9kkuL6Wqyc-6OCDFjW9I/edit?usp=sharing"",""ตาก!J128"")"),2)</f>
        <v>2</v>
      </c>
      <c r="AA17" s="74">
        <f ca="1">IFERROR(__xludf.DUMMYFUNCTION("IMPORTRANGE(""https://docs.google.com/spreadsheets/d/1W6MnUbDkMi6xHnHko_XkFDO9kkuL6Wqyc-6OCDFjW9I/edit?usp=sharing"",""ตาก!I129"")"),20)</f>
        <v>20</v>
      </c>
      <c r="AB17" s="74">
        <f ca="1">IFERROR(__xludf.DUMMYFUNCTION("IMPORTRANGE(""https://docs.google.com/spreadsheets/d/1W6MnUbDkMi6xHnHko_XkFDO9kkuL6Wqyc-6OCDFjW9I/edit?usp=sharing"",""ตาก!J129"")"),20)</f>
        <v>20</v>
      </c>
      <c r="AC17" s="79">
        <f t="shared" ca="1" si="39"/>
        <v>100</v>
      </c>
      <c r="AD17" s="152">
        <f ca="1">IFERROR(__xludf.DUMMYFUNCTION("IMPORTRANGE(""https://docs.google.com/spreadsheets/d/1W6MnUbDkMi6xHnHko_XkFDO9kkuL6Wqyc-6OCDFjW9I/edit?usp=sharing"",""ตาก!J130"")"),2)</f>
        <v>2</v>
      </c>
      <c r="AE17" s="74">
        <v>0</v>
      </c>
      <c r="AF17" s="74">
        <v>0</v>
      </c>
      <c r="AG17" s="79">
        <v>0</v>
      </c>
    </row>
    <row r="18" spans="1:33" ht="19.5" x14ac:dyDescent="0.3">
      <c r="A18" s="147">
        <v>5</v>
      </c>
      <c r="B18" s="148" t="s">
        <v>46</v>
      </c>
      <c r="C18" s="149">
        <f t="shared" ca="1" si="25"/>
        <v>0</v>
      </c>
      <c r="D18" s="150">
        <f t="shared" ca="1" si="40"/>
        <v>0</v>
      </c>
      <c r="E18" s="151">
        <f ca="1">IFERROR(__xludf.DUMMYFUNCTION("IMPORTRANGE(""https://docs.google.com/spreadsheets/d/1-uDff_7J0KD5mKrp0Vvzr7lt3OU09vwQwhkpOPPYv2Y/edit?usp=sharing"",""งบพรบ!BH18"")"),0)</f>
        <v>0</v>
      </c>
      <c r="F18" s="151">
        <f ca="1">IFERROR(__xludf.DUMMYFUNCTION("IMPORTRANGE(""https://docs.google.com/spreadsheets/d/1-uDff_7J0KD5mKrp0Vvzr7lt3OU09vwQwhkpOPPYv2Y/edit?usp=sharing"",""งบพรบ!BI18"")"),0)</f>
        <v>0</v>
      </c>
      <c r="G18" s="151">
        <f ca="1">IFERROR(__xludf.DUMMYFUNCTION("IMPORTRANGE(""https://docs.google.com/spreadsheets/d/1-uDff_7J0KD5mKrp0Vvzr7lt3OU09vwQwhkpOPPYv2Y/edit?usp=sharing"",""งบพรบ!BJ18"")"),0)</f>
        <v>0</v>
      </c>
      <c r="H18" s="151">
        <f ca="1">IFERROR(__xludf.DUMMYFUNCTION("IMPORTRANGE(""https://docs.google.com/spreadsheets/d/1-uDff_7J0KD5mKrp0Vvzr7lt3OU09vwQwhkpOPPYv2Y/edit?usp=sharing"",""งบพรบ!BL18"")"),0)</f>
        <v>0</v>
      </c>
      <c r="I18" s="151">
        <f ca="1">IFERROR(__xludf.DUMMYFUNCTION("IMPORTRANGE(""https://docs.google.com/spreadsheets/d/1-uDff_7J0KD5mKrp0Vvzr7lt3OU09vwQwhkpOPPYv2Y/edit?usp=sharing"",""งบพรบ!BM18"")"),0)</f>
        <v>0</v>
      </c>
      <c r="J18" s="151">
        <f t="shared" ca="1" si="27"/>
        <v>0</v>
      </c>
      <c r="K18" s="154">
        <f t="shared" ca="1" si="28"/>
        <v>0</v>
      </c>
      <c r="L18" s="151">
        <f ca="1">IFERROR(__xludf.DUMMYFUNCTION("IMPORTRANGE(""https://docs.google.com/spreadsheets/d/1-uDff_7J0KD5mKrp0Vvzr7lt3OU09vwQwhkpOPPYv2Y/edit?usp=sharing"",""งบพรบ!BN18"")"),0)</f>
        <v>0</v>
      </c>
      <c r="M18" s="68">
        <f t="shared" ca="1" si="29"/>
        <v>0</v>
      </c>
      <c r="N18" s="68">
        <f t="shared" ca="1" si="30"/>
        <v>0</v>
      </c>
      <c r="O18" s="67">
        <f ca="1">IFERROR(__xludf.DUMMYFUNCTION("IMPORTRANGE(""https://docs.google.com/spreadsheets/d/1-uDff_7J0KD5mKrp0Vvzr7lt3OU09vwQwhkpOPPYv2Y/edit?usp=sharing"",""งบพรบ!BO18"")"),0)</f>
        <v>0</v>
      </c>
      <c r="P18" s="67">
        <f t="shared" ca="1" si="31"/>
        <v>0</v>
      </c>
      <c r="Q18" s="68">
        <f t="shared" ca="1" si="32"/>
        <v>0</v>
      </c>
      <c r="R18" s="67">
        <f ca="1">IFERROR(__xludf.DUMMYFUNCTION("IMPORTRANGE(""https://docs.google.com/spreadsheets/d/1IQAWArduLkta9LpYo4a_ULsyqdta6-6aDDiwpUnQT6c/edit?usp=sharing"",""นครสวรรค์!Q117"")"),408480)</f>
        <v>408480</v>
      </c>
      <c r="S18" s="67">
        <f ca="1">IFERROR(__xludf.DUMMYFUNCTION("IMPORTRANGE(""https://docs.google.com/spreadsheets/d/1IQAWArduLkta9LpYo4a_ULsyqdta6-6aDDiwpUnQT6c/edit?usp=sharing"",""นครสวรรค์!R117"")"),408480)</f>
        <v>408480</v>
      </c>
      <c r="T18" s="67">
        <f ca="1">IFERROR(__xludf.DUMMYFUNCTION("IMPORTRANGE(""https://docs.google.com/spreadsheets/d/1IQAWArduLkta9LpYo4a_ULsyqdta6-6aDDiwpUnQT6c/edit?usp=sharing"",""นครสวรรค์!S117"")"),244683.5)</f>
        <v>244683.5</v>
      </c>
      <c r="U18" s="68">
        <f t="shared" ca="1" si="34"/>
        <v>59.900974343909127</v>
      </c>
      <c r="V18" s="68">
        <f t="shared" ca="1" si="35"/>
        <v>59.900974343909127</v>
      </c>
      <c r="W18" s="74">
        <f ca="1">IFERROR(__xludf.DUMMYFUNCTION("IMPORTRANGE(""https://docs.google.com/spreadsheets/d/1IQAWArduLkta9LpYo4a_ULsyqdta6-6aDDiwpUnQT6c/edit?usp=sharing"",""นครสวรรค์!I127"")"),100)</f>
        <v>100</v>
      </c>
      <c r="X18" s="74">
        <f ca="1">IFERROR(__xludf.DUMMYFUNCTION("IMPORTRANGE(""https://docs.google.com/spreadsheets/d/1IQAWArduLkta9LpYo4a_ULsyqdta6-6aDDiwpUnQT6c/edit?usp=sharing"",""นครสวรรค์!J127"")"),100)</f>
        <v>100</v>
      </c>
      <c r="Y18" s="79">
        <f t="shared" ca="1" si="37"/>
        <v>100</v>
      </c>
      <c r="Z18" s="74">
        <f ca="1">IFERROR(__xludf.DUMMYFUNCTION("IMPORTRANGE(""https://docs.google.com/spreadsheets/d/1IQAWArduLkta9LpYo4a_ULsyqdta6-6aDDiwpUnQT6c/edit?usp=sharing"",""นครสวรรค์!J128"")"),3)</f>
        <v>3</v>
      </c>
      <c r="AA18" s="74">
        <f ca="1">IFERROR(__xludf.DUMMYFUNCTION("IMPORTRANGE(""https://docs.google.com/spreadsheets/d/1IQAWArduLkta9LpYo4a_ULsyqdta6-6aDDiwpUnQT6c/edit?usp=sharing"",""นครสวรรค์!I129"")"),20)</f>
        <v>20</v>
      </c>
      <c r="AB18" s="74">
        <f ca="1">IFERROR(__xludf.DUMMYFUNCTION("IMPORTRANGE(""https://docs.google.com/spreadsheets/d/1IQAWArduLkta9LpYo4a_ULsyqdta6-6aDDiwpUnQT6c/edit?usp=sharing"",""นครสวรรค์!J129"")"),20)</f>
        <v>20</v>
      </c>
      <c r="AC18" s="79">
        <f t="shared" ca="1" si="39"/>
        <v>100</v>
      </c>
      <c r="AD18" s="152">
        <f ca="1">IFERROR(__xludf.DUMMYFUNCTION("IMPORTRANGE(""https://docs.google.com/spreadsheets/d/1IQAWArduLkta9LpYo4a_ULsyqdta6-6aDDiwpUnQT6c/edit?usp=sharing"",""นครสวรรค์!J130"")"),1)</f>
        <v>1</v>
      </c>
      <c r="AE18" s="74">
        <v>0</v>
      </c>
      <c r="AF18" s="74">
        <v>0</v>
      </c>
      <c r="AG18" s="79">
        <v>0</v>
      </c>
    </row>
    <row r="19" spans="1:33" ht="19.5" x14ac:dyDescent="0.3">
      <c r="A19" s="147">
        <v>6</v>
      </c>
      <c r="B19" s="148" t="s">
        <v>47</v>
      </c>
      <c r="C19" s="149">
        <f t="shared" ca="1" si="25"/>
        <v>0</v>
      </c>
      <c r="D19" s="150">
        <f t="shared" ca="1" si="40"/>
        <v>0</v>
      </c>
      <c r="E19" s="151">
        <f ca="1">IFERROR(__xludf.DUMMYFUNCTION("IMPORTRANGE(""https://docs.google.com/spreadsheets/d/1-uDff_7J0KD5mKrp0Vvzr7lt3OU09vwQwhkpOPPYv2Y/edit?usp=sharing"",""งบพรบ!BH19"")"),0)</f>
        <v>0</v>
      </c>
      <c r="F19" s="151">
        <f ca="1">IFERROR(__xludf.DUMMYFUNCTION("IMPORTRANGE(""https://docs.google.com/spreadsheets/d/1-uDff_7J0KD5mKrp0Vvzr7lt3OU09vwQwhkpOPPYv2Y/edit?usp=sharing"",""งบพรบ!BI19"")"),0)</f>
        <v>0</v>
      </c>
      <c r="G19" s="151">
        <f ca="1">IFERROR(__xludf.DUMMYFUNCTION("IMPORTRANGE(""https://docs.google.com/spreadsheets/d/1-uDff_7J0KD5mKrp0Vvzr7lt3OU09vwQwhkpOPPYv2Y/edit?usp=sharing"",""งบพรบ!BJ19"")"),0)</f>
        <v>0</v>
      </c>
      <c r="H19" s="151">
        <f ca="1">IFERROR(__xludf.DUMMYFUNCTION("IMPORTRANGE(""https://docs.google.com/spreadsheets/d/1-uDff_7J0KD5mKrp0Vvzr7lt3OU09vwQwhkpOPPYv2Y/edit?usp=sharing"",""งบพรบ!BL19"")"),0)</f>
        <v>0</v>
      </c>
      <c r="I19" s="151">
        <f ca="1">IFERROR(__xludf.DUMMYFUNCTION("IMPORTRANGE(""https://docs.google.com/spreadsheets/d/1-uDff_7J0KD5mKrp0Vvzr7lt3OU09vwQwhkpOPPYv2Y/edit?usp=sharing"",""งบพรบ!BM19"")"),0)</f>
        <v>0</v>
      </c>
      <c r="J19" s="151">
        <f t="shared" ca="1" si="27"/>
        <v>0</v>
      </c>
      <c r="K19" s="154">
        <f t="shared" ca="1" si="28"/>
        <v>0</v>
      </c>
      <c r="L19" s="151">
        <f ca="1">IFERROR(__xludf.DUMMYFUNCTION("IMPORTRANGE(""https://docs.google.com/spreadsheets/d/1-uDff_7J0KD5mKrp0Vvzr7lt3OU09vwQwhkpOPPYv2Y/edit?usp=sharing"",""งบพรบ!BN19"")"),0)</f>
        <v>0</v>
      </c>
      <c r="M19" s="68">
        <f t="shared" ca="1" si="29"/>
        <v>0</v>
      </c>
      <c r="N19" s="68">
        <f t="shared" ca="1" si="30"/>
        <v>0</v>
      </c>
      <c r="O19" s="67">
        <f ca="1">IFERROR(__xludf.DUMMYFUNCTION("IMPORTRANGE(""https://docs.google.com/spreadsheets/d/1-uDff_7J0KD5mKrp0Vvzr7lt3OU09vwQwhkpOPPYv2Y/edit?usp=sharing"",""งบพรบ!BO19"")"),0)</f>
        <v>0</v>
      </c>
      <c r="P19" s="67">
        <f t="shared" ca="1" si="31"/>
        <v>0</v>
      </c>
      <c r="Q19" s="68">
        <f t="shared" ca="1" si="32"/>
        <v>0</v>
      </c>
      <c r="R19" s="67">
        <f ca="1">IFERROR(__xludf.DUMMYFUNCTION("IMPORTRANGE(""https://docs.google.com/spreadsheets/d/10s13Sk5xrltsiR-Zkbmk5DwIaDIKO8XlbJAfqyT7Gvg/edit?usp=sharing"",""น่าน!Q117"")"),2605520)</f>
        <v>2605520</v>
      </c>
      <c r="S19" s="67">
        <f ca="1">IFERROR(__xludf.DUMMYFUNCTION("IMPORTRANGE(""https://docs.google.com/spreadsheets/d/10s13Sk5xrltsiR-Zkbmk5DwIaDIKO8XlbJAfqyT7Gvg/edit?usp=sharing"",""น่าน!R117"")"),2605520)</f>
        <v>2605520</v>
      </c>
      <c r="T19" s="67">
        <f ca="1">IFERROR(__xludf.DUMMYFUNCTION("IMPORTRANGE(""https://docs.google.com/spreadsheets/d/10s13Sk5xrltsiR-Zkbmk5DwIaDIKO8XlbJAfqyT7Gvg/edit?usp=sharing"",""น่าน!S117"")"),248875.87)</f>
        <v>248875.87</v>
      </c>
      <c r="U19" s="68">
        <f t="shared" ca="1" si="34"/>
        <v>9.5518694924621581</v>
      </c>
      <c r="V19" s="68">
        <f t="shared" ca="1" si="35"/>
        <v>9.5518694924621581</v>
      </c>
      <c r="W19" s="74">
        <f ca="1">IFERROR(__xludf.DUMMYFUNCTION("IMPORTRANGE(""https://docs.google.com/spreadsheets/d/10s13Sk5xrltsiR-Zkbmk5DwIaDIKO8XlbJAfqyT7Gvg/edit?usp=sharing"",""น่าน!I127"")"),50)</f>
        <v>50</v>
      </c>
      <c r="X19" s="74">
        <f ca="1">IFERROR(__xludf.DUMMYFUNCTION("IMPORTRANGE(""https://docs.google.com/spreadsheets/d/10s13Sk5xrltsiR-Zkbmk5DwIaDIKO8XlbJAfqyT7Gvg/edit?usp=sharing"",""น่าน!J127"")"),50)</f>
        <v>50</v>
      </c>
      <c r="Y19" s="79">
        <f t="shared" ca="1" si="37"/>
        <v>100</v>
      </c>
      <c r="Z19" s="74">
        <f ca="1">IFERROR(__xludf.DUMMYFUNCTION("IMPORTRANGE(""https://docs.google.com/spreadsheets/d/10s13Sk5xrltsiR-Zkbmk5DwIaDIKO8XlbJAfqyT7Gvg/edit?usp=sharing"",""น่าน!J128"")"),2)</f>
        <v>2</v>
      </c>
      <c r="AA19" s="74">
        <f ca="1">IFERROR(__xludf.DUMMYFUNCTION("IMPORTRANGE(""https://docs.google.com/spreadsheets/d/10s13Sk5xrltsiR-Zkbmk5DwIaDIKO8XlbJAfqyT7Gvg/edit?usp=sharing"",""น่าน!I129"")"),20)</f>
        <v>20</v>
      </c>
      <c r="AB19" s="74">
        <f ca="1">IFERROR(__xludf.DUMMYFUNCTION("IMPORTRANGE(""https://docs.google.com/spreadsheets/d/10s13Sk5xrltsiR-Zkbmk5DwIaDIKO8XlbJAfqyT7Gvg/edit?usp=sharing"",""น่าน!J129"")"),20)</f>
        <v>20</v>
      </c>
      <c r="AC19" s="79">
        <f t="shared" ca="1" si="39"/>
        <v>100</v>
      </c>
      <c r="AD19" s="152">
        <f ca="1">IFERROR(__xludf.DUMMYFUNCTION("IMPORTRANGE(""https://docs.google.com/spreadsheets/d/10s13Sk5xrltsiR-Zkbmk5DwIaDIKO8XlbJAfqyT7Gvg/edit?usp=sharing"",""น่าน!J130"")"),1)</f>
        <v>1</v>
      </c>
      <c r="AE19" s="74">
        <v>0</v>
      </c>
      <c r="AF19" s="74">
        <v>0</v>
      </c>
      <c r="AG19" s="79">
        <v>0</v>
      </c>
    </row>
    <row r="20" spans="1:33" ht="19.5" x14ac:dyDescent="0.3">
      <c r="A20" s="147">
        <v>7</v>
      </c>
      <c r="B20" s="148" t="s">
        <v>48</v>
      </c>
      <c r="C20" s="149">
        <f t="shared" ca="1" si="25"/>
        <v>0</v>
      </c>
      <c r="D20" s="150">
        <f t="shared" ca="1" si="40"/>
        <v>0</v>
      </c>
      <c r="E20" s="151">
        <f ca="1">IFERROR(__xludf.DUMMYFUNCTION("IMPORTRANGE(""https://docs.google.com/spreadsheets/d/1-uDff_7J0KD5mKrp0Vvzr7lt3OU09vwQwhkpOPPYv2Y/edit?usp=sharing"",""งบพรบ!BH20"")"),0)</f>
        <v>0</v>
      </c>
      <c r="F20" s="151">
        <f ca="1">IFERROR(__xludf.DUMMYFUNCTION("IMPORTRANGE(""https://docs.google.com/spreadsheets/d/1-uDff_7J0KD5mKrp0Vvzr7lt3OU09vwQwhkpOPPYv2Y/edit?usp=sharing"",""งบพรบ!BI20"")"),0)</f>
        <v>0</v>
      </c>
      <c r="G20" s="151">
        <f ca="1">IFERROR(__xludf.DUMMYFUNCTION("IMPORTRANGE(""https://docs.google.com/spreadsheets/d/1-uDff_7J0KD5mKrp0Vvzr7lt3OU09vwQwhkpOPPYv2Y/edit?usp=sharing"",""งบพรบ!BJ20"")"),0)</f>
        <v>0</v>
      </c>
      <c r="H20" s="151">
        <f ca="1">IFERROR(__xludf.DUMMYFUNCTION("IMPORTRANGE(""https://docs.google.com/spreadsheets/d/1-uDff_7J0KD5mKrp0Vvzr7lt3OU09vwQwhkpOPPYv2Y/edit?usp=sharing"",""งบพรบ!BL20"")"),0)</f>
        <v>0</v>
      </c>
      <c r="I20" s="151">
        <f ca="1">IFERROR(__xludf.DUMMYFUNCTION("IMPORTRANGE(""https://docs.google.com/spreadsheets/d/1-uDff_7J0KD5mKrp0Vvzr7lt3OU09vwQwhkpOPPYv2Y/edit?usp=sharing"",""งบพรบ!BM20"")"),0)</f>
        <v>0</v>
      </c>
      <c r="J20" s="151">
        <f t="shared" ca="1" si="27"/>
        <v>0</v>
      </c>
      <c r="K20" s="154">
        <f t="shared" ca="1" si="28"/>
        <v>0</v>
      </c>
      <c r="L20" s="151">
        <f ca="1">IFERROR(__xludf.DUMMYFUNCTION("IMPORTRANGE(""https://docs.google.com/spreadsheets/d/1-uDff_7J0KD5mKrp0Vvzr7lt3OU09vwQwhkpOPPYv2Y/edit?usp=sharing"",""งบพรบ!BN20"")"),0)</f>
        <v>0</v>
      </c>
      <c r="M20" s="68">
        <f t="shared" ca="1" si="29"/>
        <v>0</v>
      </c>
      <c r="N20" s="68">
        <f t="shared" ca="1" si="30"/>
        <v>0</v>
      </c>
      <c r="O20" s="67">
        <f ca="1">IFERROR(__xludf.DUMMYFUNCTION("IMPORTRANGE(""https://docs.google.com/spreadsheets/d/1-uDff_7J0KD5mKrp0Vvzr7lt3OU09vwQwhkpOPPYv2Y/edit?usp=sharing"",""งบพรบ!BO20"")"),0)</f>
        <v>0</v>
      </c>
      <c r="P20" s="67">
        <f t="shared" ca="1" si="31"/>
        <v>0</v>
      </c>
      <c r="Q20" s="68">
        <f t="shared" ca="1" si="32"/>
        <v>0</v>
      </c>
      <c r="R20" s="67">
        <f ca="1">IFERROR(__xludf.DUMMYFUNCTION("IMPORTRANGE(""https://docs.google.com/spreadsheets/d/1uu4nAn4Dbi1XREnLKKotUANlKXa7yCgRcgq8HEzQYW8/edit?usp=sharing"",""พะเยา!Q117"")"),322280)</f>
        <v>322280</v>
      </c>
      <c r="S20" s="67">
        <f ca="1">IFERROR(__xludf.DUMMYFUNCTION("IMPORTRANGE(""https://docs.google.com/spreadsheets/d/1uu4nAn4Dbi1XREnLKKotUANlKXa7yCgRcgq8HEzQYW8/edit?usp=sharing"",""พะเยา!R117"")"),322280)</f>
        <v>322280</v>
      </c>
      <c r="T20" s="67">
        <f ca="1">IFERROR(__xludf.DUMMYFUNCTION("IMPORTRANGE(""https://docs.google.com/spreadsheets/d/1uu4nAn4Dbi1XREnLKKotUANlKXa7yCgRcgq8HEzQYW8/edit?usp=sharing"",""พะเยา!S117"")"),223435)</f>
        <v>223435</v>
      </c>
      <c r="U20" s="68">
        <f t="shared" ca="1" si="34"/>
        <v>69.329465061437261</v>
      </c>
      <c r="V20" s="68">
        <f t="shared" ca="1" si="35"/>
        <v>69.329465061437261</v>
      </c>
      <c r="W20" s="74">
        <f ca="1">IFERROR(__xludf.DUMMYFUNCTION("IMPORTRANGE(""https://docs.google.com/spreadsheets/d/1uu4nAn4Dbi1XREnLKKotUANlKXa7yCgRcgq8HEzQYW8/edit?usp=sharing"",""พะเยา!I127"")"),60)</f>
        <v>60</v>
      </c>
      <c r="X20" s="74">
        <f ca="1">IFERROR(__xludf.DUMMYFUNCTION("IMPORTRANGE(""https://docs.google.com/spreadsheets/d/1uu4nAn4Dbi1XREnLKKotUANlKXa7yCgRcgq8HEzQYW8/edit?usp=sharing"",""พะเยา!J127"")"),60)</f>
        <v>60</v>
      </c>
      <c r="Y20" s="79">
        <f t="shared" ca="1" si="37"/>
        <v>100</v>
      </c>
      <c r="Z20" s="74">
        <f ca="1">IFERROR(__xludf.DUMMYFUNCTION("IMPORTRANGE(""https://docs.google.com/spreadsheets/d/1uu4nAn4Dbi1XREnLKKotUANlKXa7yCgRcgq8HEzQYW8/edit?usp=sharing"",""พะเยา!J128"")"),3)</f>
        <v>3</v>
      </c>
      <c r="AA20" s="74">
        <f ca="1">IFERROR(__xludf.DUMMYFUNCTION("IMPORTRANGE(""https://docs.google.com/spreadsheets/d/1uu4nAn4Dbi1XREnLKKotUANlKXa7yCgRcgq8HEzQYW8/edit?usp=sharing"",""พะเยา!I129"")"),30)</f>
        <v>30</v>
      </c>
      <c r="AB20" s="74">
        <f ca="1">IFERROR(__xludf.DUMMYFUNCTION("IMPORTRANGE(""https://docs.google.com/spreadsheets/d/1uu4nAn4Dbi1XREnLKKotUANlKXa7yCgRcgq8HEzQYW8/edit?usp=sharing"",""พะเยา!J129"")"),30)</f>
        <v>30</v>
      </c>
      <c r="AC20" s="79">
        <f t="shared" ca="1" si="39"/>
        <v>100</v>
      </c>
      <c r="AD20" s="152">
        <f ca="1">IFERROR(__xludf.DUMMYFUNCTION("IMPORTRANGE(""https://docs.google.com/spreadsheets/d/1uu4nAn4Dbi1XREnLKKotUANlKXa7yCgRcgq8HEzQYW8/edit?usp=sharing"",""พะเยา!J130"")"),2)</f>
        <v>2</v>
      </c>
      <c r="AE20" s="74">
        <v>0</v>
      </c>
      <c r="AF20" s="74">
        <v>0</v>
      </c>
      <c r="AG20" s="79">
        <v>0</v>
      </c>
    </row>
    <row r="21" spans="1:33" ht="19.5" x14ac:dyDescent="0.3">
      <c r="A21" s="147">
        <v>8</v>
      </c>
      <c r="B21" s="148" t="s">
        <v>49</v>
      </c>
      <c r="C21" s="149">
        <f t="shared" ca="1" si="25"/>
        <v>0</v>
      </c>
      <c r="D21" s="150">
        <f t="shared" ca="1" si="40"/>
        <v>0</v>
      </c>
      <c r="E21" s="151">
        <f ca="1">IFERROR(__xludf.DUMMYFUNCTION("IMPORTRANGE(""https://docs.google.com/spreadsheets/d/1-uDff_7J0KD5mKrp0Vvzr7lt3OU09vwQwhkpOPPYv2Y/edit?usp=sharing"",""งบพรบ!BH21"")"),0)</f>
        <v>0</v>
      </c>
      <c r="F21" s="151">
        <f ca="1">IFERROR(__xludf.DUMMYFUNCTION("IMPORTRANGE(""https://docs.google.com/spreadsheets/d/1-uDff_7J0KD5mKrp0Vvzr7lt3OU09vwQwhkpOPPYv2Y/edit?usp=sharing"",""งบพรบ!BI21"")"),0)</f>
        <v>0</v>
      </c>
      <c r="G21" s="151">
        <f ca="1">IFERROR(__xludf.DUMMYFUNCTION("IMPORTRANGE(""https://docs.google.com/spreadsheets/d/1-uDff_7J0KD5mKrp0Vvzr7lt3OU09vwQwhkpOPPYv2Y/edit?usp=sharing"",""งบพรบ!BJ21"")"),0)</f>
        <v>0</v>
      </c>
      <c r="H21" s="151">
        <f ca="1">IFERROR(__xludf.DUMMYFUNCTION("IMPORTRANGE(""https://docs.google.com/spreadsheets/d/1-uDff_7J0KD5mKrp0Vvzr7lt3OU09vwQwhkpOPPYv2Y/edit?usp=sharing"",""งบพรบ!BL21"")"),0)</f>
        <v>0</v>
      </c>
      <c r="I21" s="151">
        <f ca="1">IFERROR(__xludf.DUMMYFUNCTION("IMPORTRANGE(""https://docs.google.com/spreadsheets/d/1-uDff_7J0KD5mKrp0Vvzr7lt3OU09vwQwhkpOPPYv2Y/edit?usp=sharing"",""งบพรบ!BM21"")"),0)</f>
        <v>0</v>
      </c>
      <c r="J21" s="151">
        <f t="shared" ca="1" si="27"/>
        <v>0</v>
      </c>
      <c r="K21" s="154">
        <f t="shared" ca="1" si="28"/>
        <v>0</v>
      </c>
      <c r="L21" s="151">
        <f ca="1">IFERROR(__xludf.DUMMYFUNCTION("IMPORTRANGE(""https://docs.google.com/spreadsheets/d/1-uDff_7J0KD5mKrp0Vvzr7lt3OU09vwQwhkpOPPYv2Y/edit?usp=sharing"",""งบพรบ!BN21"")"),0)</f>
        <v>0</v>
      </c>
      <c r="M21" s="68">
        <f t="shared" ca="1" si="29"/>
        <v>0</v>
      </c>
      <c r="N21" s="68">
        <f t="shared" ca="1" si="30"/>
        <v>0</v>
      </c>
      <c r="O21" s="67">
        <f ca="1">IFERROR(__xludf.DUMMYFUNCTION("IMPORTRANGE(""https://docs.google.com/spreadsheets/d/1-uDff_7J0KD5mKrp0Vvzr7lt3OU09vwQwhkpOPPYv2Y/edit?usp=sharing"",""งบพรบ!BO21"")"),0)</f>
        <v>0</v>
      </c>
      <c r="P21" s="67">
        <f t="shared" ca="1" si="31"/>
        <v>0</v>
      </c>
      <c r="Q21" s="68">
        <f t="shared" ca="1" si="32"/>
        <v>0</v>
      </c>
      <c r="R21" s="67">
        <f ca="1">IFERROR(__xludf.DUMMYFUNCTION("IMPORTRANGE(""https://docs.google.com/spreadsheets/d/1xfJKIQxVOaPDIICqsflNlLu3JacTDk1FP9RH4phX7mI/edit?usp=sharing"",""พิจิตร!Q117"")"),209360)</f>
        <v>209360</v>
      </c>
      <c r="S21" s="67">
        <f ca="1">IFERROR(__xludf.DUMMYFUNCTION("IMPORTRANGE(""https://docs.google.com/spreadsheets/d/1xfJKIQxVOaPDIICqsflNlLu3JacTDk1FP9RH4phX7mI/edit?usp=sharing"",""พิจิตร!R117"")"),209360)</f>
        <v>209360</v>
      </c>
      <c r="T21" s="67">
        <f ca="1">IFERROR(__xludf.DUMMYFUNCTION("IMPORTRANGE(""https://docs.google.com/spreadsheets/d/1xfJKIQxVOaPDIICqsflNlLu3JacTDk1FP9RH4phX7mI/edit?usp=sharing"",""พิจิตร!S117"")"),132357.01)</f>
        <v>132357.01</v>
      </c>
      <c r="U21" s="68">
        <f t="shared" ca="1" si="34"/>
        <v>63.219817539166982</v>
      </c>
      <c r="V21" s="68">
        <f t="shared" ca="1" si="35"/>
        <v>63.219817539166982</v>
      </c>
      <c r="W21" s="74">
        <f ca="1">IFERROR(__xludf.DUMMYFUNCTION("IMPORTRANGE(""https://docs.google.com/spreadsheets/d/1xfJKIQxVOaPDIICqsflNlLu3JacTDk1FP9RH4phX7mI/edit?usp=sharing"",""พิจิตร!I127"")"),20)</f>
        <v>20</v>
      </c>
      <c r="X21" s="74">
        <f ca="1">IFERROR(__xludf.DUMMYFUNCTION("IMPORTRANGE(""https://docs.google.com/spreadsheets/d/1xfJKIQxVOaPDIICqsflNlLu3JacTDk1FP9RH4phX7mI/edit?usp=sharing"",""พิจิตร!J127"")"),20)</f>
        <v>20</v>
      </c>
      <c r="Y21" s="79">
        <f t="shared" ca="1" si="37"/>
        <v>100</v>
      </c>
      <c r="Z21" s="74">
        <f ca="1">IFERROR(__xludf.DUMMYFUNCTION("IMPORTRANGE(""https://docs.google.com/spreadsheets/d/1xfJKIQxVOaPDIICqsflNlLu3JacTDk1FP9RH4phX7mI/edit?usp=sharing"",""พิจิตร!J128"")"),1)</f>
        <v>1</v>
      </c>
      <c r="AA21" s="74">
        <f ca="1">IFERROR(__xludf.DUMMYFUNCTION("IMPORTRANGE(""https://docs.google.com/spreadsheets/d/1xfJKIQxVOaPDIICqsflNlLu3JacTDk1FP9RH4phX7mI/edit?usp=sharing"",""พิจิตร!I129"")"),20)</f>
        <v>20</v>
      </c>
      <c r="AB21" s="74">
        <f ca="1">IFERROR(__xludf.DUMMYFUNCTION("IMPORTRANGE(""https://docs.google.com/spreadsheets/d/1xfJKIQxVOaPDIICqsflNlLu3JacTDk1FP9RH4phX7mI/edit?usp=sharing"",""พิจิตร!J129"")"),20)</f>
        <v>20</v>
      </c>
      <c r="AC21" s="79">
        <f t="shared" ca="1" si="39"/>
        <v>100</v>
      </c>
      <c r="AD21" s="152">
        <f ca="1">IFERROR(__xludf.DUMMYFUNCTION("IMPORTRANGE(""https://docs.google.com/spreadsheets/d/1xfJKIQxVOaPDIICqsflNlLu3JacTDk1FP9RH4phX7mI/edit?usp=sharing"",""พิจิตร!J130"")"),1)</f>
        <v>1</v>
      </c>
      <c r="AE21" s="74">
        <v>0</v>
      </c>
      <c r="AF21" s="74">
        <v>0</v>
      </c>
      <c r="AG21" s="79">
        <v>0</v>
      </c>
    </row>
    <row r="22" spans="1:33" ht="19.5" x14ac:dyDescent="0.3">
      <c r="A22" s="147">
        <v>9</v>
      </c>
      <c r="B22" s="148" t="s">
        <v>50</v>
      </c>
      <c r="C22" s="149">
        <f t="shared" ca="1" si="25"/>
        <v>0</v>
      </c>
      <c r="D22" s="150">
        <f t="shared" ca="1" si="40"/>
        <v>0</v>
      </c>
      <c r="E22" s="151">
        <f ca="1">IFERROR(__xludf.DUMMYFUNCTION("IMPORTRANGE(""https://docs.google.com/spreadsheets/d/1-uDff_7J0KD5mKrp0Vvzr7lt3OU09vwQwhkpOPPYv2Y/edit?usp=sharing"",""งบพรบ!BH22"")"),0)</f>
        <v>0</v>
      </c>
      <c r="F22" s="151">
        <f ca="1">IFERROR(__xludf.DUMMYFUNCTION("IMPORTRANGE(""https://docs.google.com/spreadsheets/d/1-uDff_7J0KD5mKrp0Vvzr7lt3OU09vwQwhkpOPPYv2Y/edit?usp=sharing"",""งบพรบ!BI22"")"),0)</f>
        <v>0</v>
      </c>
      <c r="G22" s="151">
        <f ca="1">IFERROR(__xludf.DUMMYFUNCTION("IMPORTRANGE(""https://docs.google.com/spreadsheets/d/1-uDff_7J0KD5mKrp0Vvzr7lt3OU09vwQwhkpOPPYv2Y/edit?usp=sharing"",""งบพรบ!BJ22"")"),0)</f>
        <v>0</v>
      </c>
      <c r="H22" s="151">
        <f ca="1">IFERROR(__xludf.DUMMYFUNCTION("IMPORTRANGE(""https://docs.google.com/spreadsheets/d/1-uDff_7J0KD5mKrp0Vvzr7lt3OU09vwQwhkpOPPYv2Y/edit?usp=sharing"",""งบพรบ!BL22"")"),0)</f>
        <v>0</v>
      </c>
      <c r="I22" s="151">
        <f ca="1">IFERROR(__xludf.DUMMYFUNCTION("IMPORTRANGE(""https://docs.google.com/spreadsheets/d/1-uDff_7J0KD5mKrp0Vvzr7lt3OU09vwQwhkpOPPYv2Y/edit?usp=sharing"",""งบพรบ!BM22"")"),0)</f>
        <v>0</v>
      </c>
      <c r="J22" s="151">
        <f t="shared" ca="1" si="27"/>
        <v>0</v>
      </c>
      <c r="K22" s="154">
        <f t="shared" ca="1" si="28"/>
        <v>0</v>
      </c>
      <c r="L22" s="151">
        <f ca="1">IFERROR(__xludf.DUMMYFUNCTION("IMPORTRANGE(""https://docs.google.com/spreadsheets/d/1-uDff_7J0KD5mKrp0Vvzr7lt3OU09vwQwhkpOPPYv2Y/edit?usp=sharing"",""งบพรบ!BN22"")"),0)</f>
        <v>0</v>
      </c>
      <c r="M22" s="68">
        <f t="shared" ca="1" si="29"/>
        <v>0</v>
      </c>
      <c r="N22" s="68">
        <f t="shared" ca="1" si="30"/>
        <v>0</v>
      </c>
      <c r="O22" s="67">
        <f ca="1">IFERROR(__xludf.DUMMYFUNCTION("IMPORTRANGE(""https://docs.google.com/spreadsheets/d/1-uDff_7J0KD5mKrp0Vvzr7lt3OU09vwQwhkpOPPYv2Y/edit?usp=sharing"",""งบพรบ!BO22"")"),0)</f>
        <v>0</v>
      </c>
      <c r="P22" s="67">
        <f t="shared" ca="1" si="31"/>
        <v>0</v>
      </c>
      <c r="Q22" s="68">
        <f t="shared" ca="1" si="32"/>
        <v>0</v>
      </c>
      <c r="R22" s="67">
        <f ca="1">IFERROR(__xludf.DUMMYFUNCTION("IMPORTRANGE(""https://docs.google.com/spreadsheets/d/1JtRfZkJMHtEhI5RdRHxYUG4FIZHqKDpNyIuN7A1Q0_k/edit?usp=sharing"",""พิษณุโลก!Q117"")"),209360)</f>
        <v>209360</v>
      </c>
      <c r="S22" s="67">
        <f ca="1">IFERROR(__xludf.DUMMYFUNCTION("IMPORTRANGE(""https://docs.google.com/spreadsheets/d/1JtRfZkJMHtEhI5RdRHxYUG4FIZHqKDpNyIuN7A1Q0_k/edit?usp=sharing"",""พิษณุโลก!R117"")"),209360)</f>
        <v>209360</v>
      </c>
      <c r="T22" s="67">
        <f ca="1">IFERROR(__xludf.DUMMYFUNCTION("IMPORTRANGE(""https://docs.google.com/spreadsheets/d/1JtRfZkJMHtEhI5RdRHxYUG4FIZHqKDpNyIuN7A1Q0_k/edit?usp=sharing"",""พิษณุโลก!S117"")"),135981.3)</f>
        <v>135981.29999999999</v>
      </c>
      <c r="U22" s="68">
        <f t="shared" ca="1" si="34"/>
        <v>64.950945739396246</v>
      </c>
      <c r="V22" s="68">
        <f t="shared" ca="1" si="35"/>
        <v>64.950945739396246</v>
      </c>
      <c r="W22" s="74">
        <f ca="1">IFERROR(__xludf.DUMMYFUNCTION("IMPORTRANGE(""https://docs.google.com/spreadsheets/d/1JtRfZkJMHtEhI5RdRHxYUG4FIZHqKDpNyIuN7A1Q0_k/edit?usp=sharing"",""พิษณุโลก!I127"")"),20)</f>
        <v>20</v>
      </c>
      <c r="X22" s="74">
        <f ca="1">IFERROR(__xludf.DUMMYFUNCTION("IMPORTRANGE(""https://docs.google.com/spreadsheets/d/1JtRfZkJMHtEhI5RdRHxYUG4FIZHqKDpNyIuN7A1Q0_k/edit?usp=sharing"",""พิษณุโลก!J127"")"),20)</f>
        <v>20</v>
      </c>
      <c r="Y22" s="79">
        <f t="shared" ca="1" si="37"/>
        <v>100</v>
      </c>
      <c r="Z22" s="74">
        <f ca="1">IFERROR(__xludf.DUMMYFUNCTION("IMPORTRANGE(""https://docs.google.com/spreadsheets/d/1JtRfZkJMHtEhI5RdRHxYUG4FIZHqKDpNyIuN7A1Q0_k/edit?usp=sharing"",""พิษณุโลก!J128"")"),1)</f>
        <v>1</v>
      </c>
      <c r="AA22" s="74">
        <f ca="1">IFERROR(__xludf.DUMMYFUNCTION("IMPORTRANGE(""https://docs.google.com/spreadsheets/d/1JtRfZkJMHtEhI5RdRHxYUG4FIZHqKDpNyIuN7A1Q0_k/edit?usp=sharing"",""พิษณุโลก!I129"")"),20)</f>
        <v>20</v>
      </c>
      <c r="AB22" s="74">
        <f ca="1">IFERROR(__xludf.DUMMYFUNCTION("IMPORTRANGE(""https://docs.google.com/spreadsheets/d/1JtRfZkJMHtEhI5RdRHxYUG4FIZHqKDpNyIuN7A1Q0_k/edit?usp=sharing"",""พิษณุโลก!J129"")"),20)</f>
        <v>20</v>
      </c>
      <c r="AC22" s="79">
        <f t="shared" ca="1" si="39"/>
        <v>100</v>
      </c>
      <c r="AD22" s="152">
        <f ca="1">IFERROR(__xludf.DUMMYFUNCTION("IMPORTRANGE(""https://docs.google.com/spreadsheets/d/1JtRfZkJMHtEhI5RdRHxYUG4FIZHqKDpNyIuN7A1Q0_k/edit?usp=sharing"",""พิษณุโลก!J130"")"),1)</f>
        <v>1</v>
      </c>
      <c r="AE22" s="74">
        <v>0</v>
      </c>
      <c r="AF22" s="74">
        <v>0</v>
      </c>
      <c r="AG22" s="79">
        <v>0</v>
      </c>
    </row>
    <row r="23" spans="1:33" ht="19.5" x14ac:dyDescent="0.3">
      <c r="A23" s="147">
        <v>10</v>
      </c>
      <c r="B23" s="148" t="s">
        <v>51</v>
      </c>
      <c r="C23" s="149">
        <f t="shared" ca="1" si="25"/>
        <v>0</v>
      </c>
      <c r="D23" s="150">
        <f t="shared" ca="1" si="40"/>
        <v>0</v>
      </c>
      <c r="E23" s="151">
        <f ca="1">IFERROR(__xludf.DUMMYFUNCTION("IMPORTRANGE(""https://docs.google.com/spreadsheets/d/1-uDff_7J0KD5mKrp0Vvzr7lt3OU09vwQwhkpOPPYv2Y/edit?usp=sharing"",""งบพรบ!BH23"")"),0)</f>
        <v>0</v>
      </c>
      <c r="F23" s="151">
        <f ca="1">IFERROR(__xludf.DUMMYFUNCTION("IMPORTRANGE(""https://docs.google.com/spreadsheets/d/1-uDff_7J0KD5mKrp0Vvzr7lt3OU09vwQwhkpOPPYv2Y/edit?usp=sharing"",""งบพรบ!BI23"")"),0)</f>
        <v>0</v>
      </c>
      <c r="G23" s="151">
        <f ca="1">IFERROR(__xludf.DUMMYFUNCTION("IMPORTRANGE(""https://docs.google.com/spreadsheets/d/1-uDff_7J0KD5mKrp0Vvzr7lt3OU09vwQwhkpOPPYv2Y/edit?usp=sharing"",""งบพรบ!BJ23"")"),0)</f>
        <v>0</v>
      </c>
      <c r="H23" s="151">
        <f ca="1">IFERROR(__xludf.DUMMYFUNCTION("IMPORTRANGE(""https://docs.google.com/spreadsheets/d/1-uDff_7J0KD5mKrp0Vvzr7lt3OU09vwQwhkpOPPYv2Y/edit?usp=sharing"",""งบพรบ!BL23"")"),0)</f>
        <v>0</v>
      </c>
      <c r="I23" s="151">
        <f ca="1">IFERROR(__xludf.DUMMYFUNCTION("IMPORTRANGE(""https://docs.google.com/spreadsheets/d/1-uDff_7J0KD5mKrp0Vvzr7lt3OU09vwQwhkpOPPYv2Y/edit?usp=sharing"",""งบพรบ!BM23"")"),0)</f>
        <v>0</v>
      </c>
      <c r="J23" s="151">
        <f t="shared" ca="1" si="27"/>
        <v>0</v>
      </c>
      <c r="K23" s="154">
        <f t="shared" ca="1" si="28"/>
        <v>0</v>
      </c>
      <c r="L23" s="151">
        <f ca="1">IFERROR(__xludf.DUMMYFUNCTION("IMPORTRANGE(""https://docs.google.com/spreadsheets/d/1-uDff_7J0KD5mKrp0Vvzr7lt3OU09vwQwhkpOPPYv2Y/edit?usp=sharing"",""งบพรบ!BN23"")"),0)</f>
        <v>0</v>
      </c>
      <c r="M23" s="68">
        <f t="shared" ca="1" si="29"/>
        <v>0</v>
      </c>
      <c r="N23" s="68">
        <f t="shared" ca="1" si="30"/>
        <v>0</v>
      </c>
      <c r="O23" s="67">
        <f ca="1">IFERROR(__xludf.DUMMYFUNCTION("IMPORTRANGE(""https://docs.google.com/spreadsheets/d/1-uDff_7J0KD5mKrp0Vvzr7lt3OU09vwQwhkpOPPYv2Y/edit?usp=sharing"",""งบพรบ!BO23"")"),0)</f>
        <v>0</v>
      </c>
      <c r="P23" s="67">
        <f t="shared" ca="1" si="31"/>
        <v>0</v>
      </c>
      <c r="Q23" s="68">
        <f t="shared" ca="1" si="32"/>
        <v>0</v>
      </c>
      <c r="R23" s="67">
        <f ca="1">IFERROR(__xludf.DUMMYFUNCTION("IMPORTRANGE(""https://docs.google.com/spreadsheets/d/1xlcVZWUNn6SuWm0c307h32SiGkd9BaeQWlAktfD3KO8/edit?usp=sharing"",""เพชรบูรณ์!Q117"")"),209360)</f>
        <v>209360</v>
      </c>
      <c r="S23" s="67">
        <f ca="1">IFERROR(__xludf.DUMMYFUNCTION("IMPORTRANGE(""https://docs.google.com/spreadsheets/d/1xlcVZWUNn6SuWm0c307h32SiGkd9BaeQWlAktfD3KO8/edit?usp=sharing"",""เพชรบูรณ์!R117"")"),209360)</f>
        <v>209360</v>
      </c>
      <c r="T23" s="67">
        <f ca="1">IFERROR(__xludf.DUMMYFUNCTION("IMPORTRANGE(""https://docs.google.com/spreadsheets/d/1xlcVZWUNn6SuWm0c307h32SiGkd9BaeQWlAktfD3KO8/edit?usp=sharing"",""เพชรบูรณ์!S117"")"),179050.5)</f>
        <v>179050.5</v>
      </c>
      <c r="U23" s="68">
        <f t="shared" ca="1" si="34"/>
        <v>85.522783721818882</v>
      </c>
      <c r="V23" s="68">
        <f t="shared" ca="1" si="35"/>
        <v>85.522783721818882</v>
      </c>
      <c r="W23" s="74">
        <f ca="1">IFERROR(__xludf.DUMMYFUNCTION("IMPORTRANGE(""https://docs.google.com/spreadsheets/d/1xlcVZWUNn6SuWm0c307h32SiGkd9BaeQWlAktfD3KO8/edit?usp=sharing"",""เพชรบูรณ์!I127"")"),20)</f>
        <v>20</v>
      </c>
      <c r="X23" s="74">
        <f ca="1">IFERROR(__xludf.DUMMYFUNCTION("IMPORTRANGE(""https://docs.google.com/spreadsheets/d/1xlcVZWUNn6SuWm0c307h32SiGkd9BaeQWlAktfD3KO8/edit?usp=sharing"",""เพชรบูรณ์!J127"")"),20)</f>
        <v>20</v>
      </c>
      <c r="Y23" s="79">
        <f t="shared" ca="1" si="37"/>
        <v>100</v>
      </c>
      <c r="Z23" s="74">
        <f ca="1">IFERROR(__xludf.DUMMYFUNCTION("IMPORTRANGE(""https://docs.google.com/spreadsheets/d/1xlcVZWUNn6SuWm0c307h32SiGkd9BaeQWlAktfD3KO8/edit?usp=sharing"",""เพชรบูรณ์!J128"")"),1)</f>
        <v>1</v>
      </c>
      <c r="AA23" s="74">
        <f ca="1">IFERROR(__xludf.DUMMYFUNCTION("IMPORTRANGE(""https://docs.google.com/spreadsheets/d/1xlcVZWUNn6SuWm0c307h32SiGkd9BaeQWlAktfD3KO8/edit?usp=sharing"",""เพชรบูรณ์!I129"")"),20)</f>
        <v>20</v>
      </c>
      <c r="AB23" s="74">
        <f ca="1">IFERROR(__xludf.DUMMYFUNCTION("IMPORTRANGE(""https://docs.google.com/spreadsheets/d/1xlcVZWUNn6SuWm0c307h32SiGkd9BaeQWlAktfD3KO8/edit?usp=sharing"",""เพชรบูรณ์!J129"")"),20)</f>
        <v>20</v>
      </c>
      <c r="AC23" s="79">
        <f t="shared" ca="1" si="39"/>
        <v>100</v>
      </c>
      <c r="AD23" s="152">
        <f ca="1">IFERROR(__xludf.DUMMYFUNCTION("IMPORTRANGE(""https://docs.google.com/spreadsheets/d/1xlcVZWUNn6SuWm0c307h32SiGkd9BaeQWlAktfD3KO8/edit?usp=sharing"",""เพชรบูรณ์!J130"")"),1)</f>
        <v>1</v>
      </c>
      <c r="AE23" s="74">
        <v>0</v>
      </c>
      <c r="AF23" s="74">
        <v>0</v>
      </c>
      <c r="AG23" s="79">
        <v>0</v>
      </c>
    </row>
    <row r="24" spans="1:33" ht="19.5" x14ac:dyDescent="0.3">
      <c r="A24" s="147">
        <v>11</v>
      </c>
      <c r="B24" s="148" t="s">
        <v>52</v>
      </c>
      <c r="C24" s="149">
        <f t="shared" ca="1" si="25"/>
        <v>0</v>
      </c>
      <c r="D24" s="150">
        <f t="shared" ca="1" si="40"/>
        <v>0</v>
      </c>
      <c r="E24" s="151">
        <f ca="1">IFERROR(__xludf.DUMMYFUNCTION("IMPORTRANGE(""https://docs.google.com/spreadsheets/d/1-uDff_7J0KD5mKrp0Vvzr7lt3OU09vwQwhkpOPPYv2Y/edit?usp=sharing"",""งบพรบ!BH24"")"),0)</f>
        <v>0</v>
      </c>
      <c r="F24" s="151">
        <f ca="1">IFERROR(__xludf.DUMMYFUNCTION("IMPORTRANGE(""https://docs.google.com/spreadsheets/d/1-uDff_7J0KD5mKrp0Vvzr7lt3OU09vwQwhkpOPPYv2Y/edit?usp=sharing"",""งบพรบ!BI24"")"),0)</f>
        <v>0</v>
      </c>
      <c r="G24" s="151">
        <f ca="1">IFERROR(__xludf.DUMMYFUNCTION("IMPORTRANGE(""https://docs.google.com/spreadsheets/d/1-uDff_7J0KD5mKrp0Vvzr7lt3OU09vwQwhkpOPPYv2Y/edit?usp=sharing"",""งบพรบ!BJ24"")"),0)</f>
        <v>0</v>
      </c>
      <c r="H24" s="151">
        <f ca="1">IFERROR(__xludf.DUMMYFUNCTION("IMPORTRANGE(""https://docs.google.com/spreadsheets/d/1-uDff_7J0KD5mKrp0Vvzr7lt3OU09vwQwhkpOPPYv2Y/edit?usp=sharing"",""งบพรบ!BL24"")"),0)</f>
        <v>0</v>
      </c>
      <c r="I24" s="151">
        <f ca="1">IFERROR(__xludf.DUMMYFUNCTION("IMPORTRANGE(""https://docs.google.com/spreadsheets/d/1-uDff_7J0KD5mKrp0Vvzr7lt3OU09vwQwhkpOPPYv2Y/edit?usp=sharing"",""งบพรบ!BM24"")"),0)</f>
        <v>0</v>
      </c>
      <c r="J24" s="151">
        <f t="shared" ca="1" si="27"/>
        <v>0</v>
      </c>
      <c r="K24" s="154">
        <f t="shared" ca="1" si="28"/>
        <v>0</v>
      </c>
      <c r="L24" s="151">
        <f ca="1">IFERROR(__xludf.DUMMYFUNCTION("IMPORTRANGE(""https://docs.google.com/spreadsheets/d/1-uDff_7J0KD5mKrp0Vvzr7lt3OU09vwQwhkpOPPYv2Y/edit?usp=sharing"",""งบพรบ!BN24"")"),0)</f>
        <v>0</v>
      </c>
      <c r="M24" s="68">
        <f t="shared" ca="1" si="29"/>
        <v>0</v>
      </c>
      <c r="N24" s="68">
        <f t="shared" ca="1" si="30"/>
        <v>0</v>
      </c>
      <c r="O24" s="67">
        <f ca="1">IFERROR(__xludf.DUMMYFUNCTION("IMPORTRANGE(""https://docs.google.com/spreadsheets/d/1-uDff_7J0KD5mKrp0Vvzr7lt3OU09vwQwhkpOPPYv2Y/edit?usp=sharing"",""งบพรบ!BO24"")"),0)</f>
        <v>0</v>
      </c>
      <c r="P24" s="67">
        <f t="shared" ca="1" si="31"/>
        <v>0</v>
      </c>
      <c r="Q24" s="68">
        <f t="shared" ca="1" si="32"/>
        <v>0</v>
      </c>
      <c r="R24" s="67">
        <f ca="1">IFERROR(__xludf.DUMMYFUNCTION("IMPORTRANGE(""https://docs.google.com/spreadsheets/d/1lOVebEIsI9qjGXl6EX66luk7wiuP2tBaryw-wKvv4e0/edit?usp=sharing"",""แพร่!Q117"")"),247020)</f>
        <v>247020</v>
      </c>
      <c r="S24" s="67">
        <f ca="1">IFERROR(__xludf.DUMMYFUNCTION("IMPORTRANGE(""https://docs.google.com/spreadsheets/d/1lOVebEIsI9qjGXl6EX66luk7wiuP2tBaryw-wKvv4e0/edit?usp=sharing"",""แพร่!R117"")"),247020)</f>
        <v>247020</v>
      </c>
      <c r="T24" s="67">
        <f ca="1">IFERROR(__xludf.DUMMYFUNCTION("IMPORTRANGE(""https://docs.google.com/spreadsheets/d/1lOVebEIsI9qjGXl6EX66luk7wiuP2tBaryw-wKvv4e0/edit?usp=sharing"",""แพร่!S117"")"),145275)</f>
        <v>145275</v>
      </c>
      <c r="U24" s="68">
        <f t="shared" ca="1" si="34"/>
        <v>58.811027447170268</v>
      </c>
      <c r="V24" s="68">
        <f t="shared" ca="1" si="35"/>
        <v>58.811027447170268</v>
      </c>
      <c r="W24" s="74">
        <f ca="1">IFERROR(__xludf.DUMMYFUNCTION("IMPORTRANGE(""https://docs.google.com/spreadsheets/d/1lOVebEIsI9qjGXl6EX66luk7wiuP2tBaryw-wKvv4e0/edit?usp=sharing"",""แพร่!I127"")"),30)</f>
        <v>30</v>
      </c>
      <c r="X24" s="74">
        <f ca="1">IFERROR(__xludf.DUMMYFUNCTION("IMPORTRANGE(""https://docs.google.com/spreadsheets/d/1lOVebEIsI9qjGXl6EX66luk7wiuP2tBaryw-wKvv4e0/edit?usp=sharing"",""แพร่!J127"")"),30)</f>
        <v>30</v>
      </c>
      <c r="Y24" s="79">
        <f t="shared" ca="1" si="37"/>
        <v>100</v>
      </c>
      <c r="Z24" s="74">
        <f ca="1">IFERROR(__xludf.DUMMYFUNCTION("IMPORTRANGE(""https://docs.google.com/spreadsheets/d/1lOVebEIsI9qjGXl6EX66luk7wiuP2tBaryw-wKvv4e0/edit?usp=sharing"",""แพร่!J128"")"),2)</f>
        <v>2</v>
      </c>
      <c r="AA24" s="74">
        <f ca="1">IFERROR(__xludf.DUMMYFUNCTION("IMPORTRANGE(""https://docs.google.com/spreadsheets/d/1lOVebEIsI9qjGXl6EX66luk7wiuP2tBaryw-wKvv4e0/edit?usp=sharing"",""แพร่!I129"")"),30)</f>
        <v>30</v>
      </c>
      <c r="AB24" s="74">
        <f ca="1">IFERROR(__xludf.DUMMYFUNCTION("IMPORTRANGE(""https://docs.google.com/spreadsheets/d/1lOVebEIsI9qjGXl6EX66luk7wiuP2tBaryw-wKvv4e0/edit?usp=sharing"",""แพร่!J129"")"),30)</f>
        <v>30</v>
      </c>
      <c r="AC24" s="79">
        <f t="shared" ca="1" si="39"/>
        <v>100</v>
      </c>
      <c r="AD24" s="152">
        <f ca="1">IFERROR(__xludf.DUMMYFUNCTION("IMPORTRANGE(""https://docs.google.com/spreadsheets/d/1lOVebEIsI9qjGXl6EX66luk7wiuP2tBaryw-wKvv4e0/edit?usp=sharing"",""แพร่!J130"")"),2)</f>
        <v>2</v>
      </c>
      <c r="AE24" s="74">
        <v>0</v>
      </c>
      <c r="AF24" s="74">
        <v>0</v>
      </c>
      <c r="AG24" s="79">
        <v>0</v>
      </c>
    </row>
    <row r="25" spans="1:33" ht="19.5" x14ac:dyDescent="0.3">
      <c r="A25" s="147">
        <v>12</v>
      </c>
      <c r="B25" s="148" t="s">
        <v>53</v>
      </c>
      <c r="C25" s="149">
        <f t="shared" ca="1" si="25"/>
        <v>0</v>
      </c>
      <c r="D25" s="150">
        <f t="shared" ca="1" si="40"/>
        <v>0</v>
      </c>
      <c r="E25" s="151">
        <f ca="1">IFERROR(__xludf.DUMMYFUNCTION("IMPORTRANGE(""https://docs.google.com/spreadsheets/d/1-uDff_7J0KD5mKrp0Vvzr7lt3OU09vwQwhkpOPPYv2Y/edit?usp=sharing"",""งบพรบ!BH25"")"),0)</f>
        <v>0</v>
      </c>
      <c r="F25" s="151">
        <f ca="1">IFERROR(__xludf.DUMMYFUNCTION("IMPORTRANGE(""https://docs.google.com/spreadsheets/d/1-uDff_7J0KD5mKrp0Vvzr7lt3OU09vwQwhkpOPPYv2Y/edit?usp=sharing"",""งบพรบ!BI25"")"),0)</f>
        <v>0</v>
      </c>
      <c r="G25" s="151">
        <f ca="1">IFERROR(__xludf.DUMMYFUNCTION("IMPORTRANGE(""https://docs.google.com/spreadsheets/d/1-uDff_7J0KD5mKrp0Vvzr7lt3OU09vwQwhkpOPPYv2Y/edit?usp=sharing"",""งบพรบ!BJ25"")"),0)</f>
        <v>0</v>
      </c>
      <c r="H25" s="151">
        <f ca="1">IFERROR(__xludf.DUMMYFUNCTION("IMPORTRANGE(""https://docs.google.com/spreadsheets/d/1-uDff_7J0KD5mKrp0Vvzr7lt3OU09vwQwhkpOPPYv2Y/edit?usp=sharing"",""งบพรบ!BL25"")"),0)</f>
        <v>0</v>
      </c>
      <c r="I25" s="151">
        <f ca="1">IFERROR(__xludf.DUMMYFUNCTION("IMPORTRANGE(""https://docs.google.com/spreadsheets/d/1-uDff_7J0KD5mKrp0Vvzr7lt3OU09vwQwhkpOPPYv2Y/edit?usp=sharing"",""งบพรบ!BM25"")"),0)</f>
        <v>0</v>
      </c>
      <c r="J25" s="151">
        <f t="shared" ca="1" si="27"/>
        <v>0</v>
      </c>
      <c r="K25" s="154">
        <f t="shared" ca="1" si="28"/>
        <v>0</v>
      </c>
      <c r="L25" s="151">
        <f ca="1">IFERROR(__xludf.DUMMYFUNCTION("IMPORTRANGE(""https://docs.google.com/spreadsheets/d/1-uDff_7J0KD5mKrp0Vvzr7lt3OU09vwQwhkpOPPYv2Y/edit?usp=sharing"",""งบพรบ!BN25"")"),0)</f>
        <v>0</v>
      </c>
      <c r="M25" s="68">
        <f t="shared" ca="1" si="29"/>
        <v>0</v>
      </c>
      <c r="N25" s="68">
        <f t="shared" ca="1" si="30"/>
        <v>0</v>
      </c>
      <c r="O25" s="67">
        <f ca="1">IFERROR(__xludf.DUMMYFUNCTION("IMPORTRANGE(""https://docs.google.com/spreadsheets/d/1-uDff_7J0KD5mKrp0Vvzr7lt3OU09vwQwhkpOPPYv2Y/edit?usp=sharing"",""งบพรบ!BO25"")"),0)</f>
        <v>0</v>
      </c>
      <c r="P25" s="67">
        <f t="shared" ca="1" si="31"/>
        <v>0</v>
      </c>
      <c r="Q25" s="68">
        <f t="shared" ca="1" si="32"/>
        <v>0</v>
      </c>
      <c r="R25" s="67">
        <f ca="1">IFERROR(__xludf.DUMMYFUNCTION("IMPORTRANGE(""https://docs.google.com/spreadsheets/d/1dQrvX0vEcN7Gu0fnZ0B5S90AeR19zth4XlExFBeExMY/edit?usp=sharing"",""แม่ฮ่องสอน!Q117"")"),209360)</f>
        <v>209360</v>
      </c>
      <c r="S25" s="67">
        <f ca="1">IFERROR(__xludf.DUMMYFUNCTION("IMPORTRANGE(""https://docs.google.com/spreadsheets/d/1dQrvX0vEcN7Gu0fnZ0B5S90AeR19zth4XlExFBeExMY/edit?usp=sharing"",""แม่ฮ่องสอน!R117"")"),209360)</f>
        <v>209360</v>
      </c>
      <c r="T25" s="67">
        <f ca="1">IFERROR(__xludf.DUMMYFUNCTION("IMPORTRANGE(""https://docs.google.com/spreadsheets/d/1dQrvX0vEcN7Gu0fnZ0B5S90AeR19zth4XlExFBeExMY/edit?usp=sharing"",""แม่ฮ่องสอน!S117"")"),154502)</f>
        <v>154502</v>
      </c>
      <c r="U25" s="68">
        <f t="shared" ca="1" si="34"/>
        <v>73.79728696981276</v>
      </c>
      <c r="V25" s="68">
        <f t="shared" ca="1" si="35"/>
        <v>73.79728696981276</v>
      </c>
      <c r="W25" s="74">
        <f ca="1">IFERROR(__xludf.DUMMYFUNCTION("IMPORTRANGE(""https://docs.google.com/spreadsheets/d/1dQrvX0vEcN7Gu0fnZ0B5S90AeR19zth4XlExFBeExMY/edit?usp=sharing"",""แม่ฮ่องสอน!I127"")"),20)</f>
        <v>20</v>
      </c>
      <c r="X25" s="74">
        <f ca="1">IFERROR(__xludf.DUMMYFUNCTION("IMPORTRANGE(""https://docs.google.com/spreadsheets/d/1dQrvX0vEcN7Gu0fnZ0B5S90AeR19zth4XlExFBeExMY/edit?usp=sharing"",""แม่ฮ่องสอน!J127"")"),20)</f>
        <v>20</v>
      </c>
      <c r="Y25" s="79">
        <f t="shared" ca="1" si="37"/>
        <v>100</v>
      </c>
      <c r="Z25" s="74">
        <f ca="1">IFERROR(__xludf.DUMMYFUNCTION("IMPORTRANGE(""https://docs.google.com/spreadsheets/d/1dQrvX0vEcN7Gu0fnZ0B5S90AeR19zth4XlExFBeExMY/edit?usp=sharing"",""แม่ฮ่องสอน!J128"")"),1)</f>
        <v>1</v>
      </c>
      <c r="AA25" s="74">
        <f ca="1">IFERROR(__xludf.DUMMYFUNCTION("IMPORTRANGE(""https://docs.google.com/spreadsheets/d/1dQrvX0vEcN7Gu0fnZ0B5S90AeR19zth4XlExFBeExMY/edit?usp=sharing"",""แม่ฮ่องสอน!I129"")"),20)</f>
        <v>20</v>
      </c>
      <c r="AB25" s="74">
        <f ca="1">IFERROR(__xludf.DUMMYFUNCTION("IMPORTRANGE(""https://docs.google.com/spreadsheets/d/1dQrvX0vEcN7Gu0fnZ0B5S90AeR19zth4XlExFBeExMY/edit?usp=sharing"",""แม่ฮ่องสอน!J129"")"),20)</f>
        <v>20</v>
      </c>
      <c r="AC25" s="79">
        <f t="shared" ca="1" si="39"/>
        <v>100</v>
      </c>
      <c r="AD25" s="152">
        <f ca="1">IFERROR(__xludf.DUMMYFUNCTION("IMPORTRANGE(""https://docs.google.com/spreadsheets/d/1dQrvX0vEcN7Gu0fnZ0B5S90AeR19zth4XlExFBeExMY/edit?usp=sharing"",""แม่ฮ่องสอน!J130"")"),1)</f>
        <v>1</v>
      </c>
      <c r="AE25" s="74">
        <v>0</v>
      </c>
      <c r="AF25" s="74">
        <v>0</v>
      </c>
      <c r="AG25" s="79">
        <v>0</v>
      </c>
    </row>
    <row r="26" spans="1:33" ht="19.5" x14ac:dyDescent="0.3">
      <c r="A26" s="147">
        <v>13</v>
      </c>
      <c r="B26" s="148" t="s">
        <v>54</v>
      </c>
      <c r="C26" s="149">
        <f t="shared" ca="1" si="25"/>
        <v>0</v>
      </c>
      <c r="D26" s="150">
        <f t="shared" ca="1" si="40"/>
        <v>0</v>
      </c>
      <c r="E26" s="151">
        <f ca="1">IFERROR(__xludf.DUMMYFUNCTION("IMPORTRANGE(""https://docs.google.com/spreadsheets/d/1-uDff_7J0KD5mKrp0Vvzr7lt3OU09vwQwhkpOPPYv2Y/edit?usp=sharing"",""งบพรบ!BH26"")"),0)</f>
        <v>0</v>
      </c>
      <c r="F26" s="151">
        <f ca="1">IFERROR(__xludf.DUMMYFUNCTION("IMPORTRANGE(""https://docs.google.com/spreadsheets/d/1-uDff_7J0KD5mKrp0Vvzr7lt3OU09vwQwhkpOPPYv2Y/edit?usp=sharing"",""งบพรบ!BI26"")"),0)</f>
        <v>0</v>
      </c>
      <c r="G26" s="151">
        <f ca="1">IFERROR(__xludf.DUMMYFUNCTION("IMPORTRANGE(""https://docs.google.com/spreadsheets/d/1-uDff_7J0KD5mKrp0Vvzr7lt3OU09vwQwhkpOPPYv2Y/edit?usp=sharing"",""งบพรบ!BJ26"")"),0)</f>
        <v>0</v>
      </c>
      <c r="H26" s="151">
        <f ca="1">IFERROR(__xludf.DUMMYFUNCTION("IMPORTRANGE(""https://docs.google.com/spreadsheets/d/1-uDff_7J0KD5mKrp0Vvzr7lt3OU09vwQwhkpOPPYv2Y/edit?usp=sharing"",""งบพรบ!BL26"")"),0)</f>
        <v>0</v>
      </c>
      <c r="I26" s="151">
        <f ca="1">IFERROR(__xludf.DUMMYFUNCTION("IMPORTRANGE(""https://docs.google.com/spreadsheets/d/1-uDff_7J0KD5mKrp0Vvzr7lt3OU09vwQwhkpOPPYv2Y/edit?usp=sharing"",""งบพรบ!BM26"")"),0)</f>
        <v>0</v>
      </c>
      <c r="J26" s="151">
        <f t="shared" ca="1" si="27"/>
        <v>0</v>
      </c>
      <c r="K26" s="154">
        <f t="shared" ca="1" si="28"/>
        <v>0</v>
      </c>
      <c r="L26" s="151">
        <f ca="1">IFERROR(__xludf.DUMMYFUNCTION("IMPORTRANGE(""https://docs.google.com/spreadsheets/d/1-uDff_7J0KD5mKrp0Vvzr7lt3OU09vwQwhkpOPPYv2Y/edit?usp=sharing"",""งบพรบ!BN26"")"),0)</f>
        <v>0</v>
      </c>
      <c r="M26" s="68">
        <f t="shared" ca="1" si="29"/>
        <v>0</v>
      </c>
      <c r="N26" s="68">
        <f t="shared" ca="1" si="30"/>
        <v>0</v>
      </c>
      <c r="O26" s="67">
        <f ca="1">IFERROR(__xludf.DUMMYFUNCTION("IMPORTRANGE(""https://docs.google.com/spreadsheets/d/1-uDff_7J0KD5mKrp0Vvzr7lt3OU09vwQwhkpOPPYv2Y/edit?usp=sharing"",""งบพรบ!BO26"")"),0)</f>
        <v>0</v>
      </c>
      <c r="P26" s="67">
        <f t="shared" ca="1" si="31"/>
        <v>0</v>
      </c>
      <c r="Q26" s="68">
        <f t="shared" ca="1" si="32"/>
        <v>0</v>
      </c>
      <c r="R26" s="67">
        <f ca="1">IFERROR(__xludf.DUMMYFUNCTION("IMPORTRANGE(""https://docs.google.com/spreadsheets/d/1DY4XTNNwjluuxqdfdn6qvOSlMRrZqUtmYcZR0ttFiG4/edit?usp=sharing"",""ลำปาง!Q117"")"),284520)</f>
        <v>284520</v>
      </c>
      <c r="S26" s="67">
        <f ca="1">IFERROR(__xludf.DUMMYFUNCTION("IMPORTRANGE(""https://docs.google.com/spreadsheets/d/1DY4XTNNwjluuxqdfdn6qvOSlMRrZqUtmYcZR0ttFiG4/edit?usp=sharing"",""ลำปาง!R117"")"),284520)</f>
        <v>284520</v>
      </c>
      <c r="T26" s="67">
        <f ca="1">IFERROR(__xludf.DUMMYFUNCTION("IMPORTRANGE(""https://docs.google.com/spreadsheets/d/1DY4XTNNwjluuxqdfdn6qvOSlMRrZqUtmYcZR0ttFiG4/edit?usp=sharing"",""ลำปาง!S117"")"),239140)</f>
        <v>239140</v>
      </c>
      <c r="U26" s="68">
        <f t="shared" ca="1" si="34"/>
        <v>84.050330380992548</v>
      </c>
      <c r="V26" s="68">
        <f t="shared" ca="1" si="35"/>
        <v>84.050330380992548</v>
      </c>
      <c r="W26" s="74">
        <f ca="1">IFERROR(__xludf.DUMMYFUNCTION("IMPORTRANGE(""https://docs.google.com/spreadsheets/d/1DY4XTNNwjluuxqdfdn6qvOSlMRrZqUtmYcZR0ttFiG4/edit?usp=sharing"",""ลำปาง!I127"")"),50)</f>
        <v>50</v>
      </c>
      <c r="X26" s="74">
        <f ca="1">IFERROR(__xludf.DUMMYFUNCTION("IMPORTRANGE(""https://docs.google.com/spreadsheets/d/1DY4XTNNwjluuxqdfdn6qvOSlMRrZqUtmYcZR0ttFiG4/edit?usp=sharing"",""ลำปาง!J127"")"),50)</f>
        <v>50</v>
      </c>
      <c r="Y26" s="79">
        <f t="shared" ca="1" si="37"/>
        <v>100</v>
      </c>
      <c r="Z26" s="74">
        <f ca="1">IFERROR(__xludf.DUMMYFUNCTION("IMPORTRANGE(""https://docs.google.com/spreadsheets/d/1DY4XTNNwjluuxqdfdn6qvOSlMRrZqUtmYcZR0ttFiG4/edit?usp=sharing"",""ลำปาง!J128"")"),2)</f>
        <v>2</v>
      </c>
      <c r="AA26" s="74">
        <f ca="1">IFERROR(__xludf.DUMMYFUNCTION("IMPORTRANGE(""https://docs.google.com/spreadsheets/d/1DY4XTNNwjluuxqdfdn6qvOSlMRrZqUtmYcZR0ttFiG4/edit?usp=sharing"",""ลำปาง!I129"")"),20)</f>
        <v>20</v>
      </c>
      <c r="AB26" s="74">
        <f ca="1">IFERROR(__xludf.DUMMYFUNCTION("IMPORTRANGE(""https://docs.google.com/spreadsheets/d/1DY4XTNNwjluuxqdfdn6qvOSlMRrZqUtmYcZR0ttFiG4/edit?usp=sharing"",""ลำปาง!J129"")"),20)</f>
        <v>20</v>
      </c>
      <c r="AC26" s="79">
        <f t="shared" ca="1" si="39"/>
        <v>100</v>
      </c>
      <c r="AD26" s="152">
        <f ca="1">IFERROR(__xludf.DUMMYFUNCTION("IMPORTRANGE(""https://docs.google.com/spreadsheets/d/1DY4XTNNwjluuxqdfdn6qvOSlMRrZqUtmYcZR0ttFiG4/edit?usp=sharing"",""ลำปาง!J130"")"),1)</f>
        <v>1</v>
      </c>
      <c r="AE26" s="74">
        <v>0</v>
      </c>
      <c r="AF26" s="74">
        <v>0</v>
      </c>
      <c r="AG26" s="79">
        <v>0</v>
      </c>
    </row>
    <row r="27" spans="1:33" ht="19.5" x14ac:dyDescent="0.3">
      <c r="A27" s="147">
        <v>14</v>
      </c>
      <c r="B27" s="148" t="s">
        <v>55</v>
      </c>
      <c r="C27" s="149">
        <f t="shared" ca="1" si="25"/>
        <v>0</v>
      </c>
      <c r="D27" s="150">
        <f t="shared" ca="1" si="40"/>
        <v>0</v>
      </c>
      <c r="E27" s="151">
        <f ca="1">IFERROR(__xludf.DUMMYFUNCTION("IMPORTRANGE(""https://docs.google.com/spreadsheets/d/1-uDff_7J0KD5mKrp0Vvzr7lt3OU09vwQwhkpOPPYv2Y/edit?usp=sharing"",""งบพรบ!BH27"")"),0)</f>
        <v>0</v>
      </c>
      <c r="F27" s="151">
        <f ca="1">IFERROR(__xludf.DUMMYFUNCTION("IMPORTRANGE(""https://docs.google.com/spreadsheets/d/1-uDff_7J0KD5mKrp0Vvzr7lt3OU09vwQwhkpOPPYv2Y/edit?usp=sharing"",""งบพรบ!BI27"")"),0)</f>
        <v>0</v>
      </c>
      <c r="G27" s="151">
        <f ca="1">IFERROR(__xludf.DUMMYFUNCTION("IMPORTRANGE(""https://docs.google.com/spreadsheets/d/1-uDff_7J0KD5mKrp0Vvzr7lt3OU09vwQwhkpOPPYv2Y/edit?usp=sharing"",""งบพรบ!BJ27"")"),0)</f>
        <v>0</v>
      </c>
      <c r="H27" s="151">
        <f ca="1">IFERROR(__xludf.DUMMYFUNCTION("IMPORTRANGE(""https://docs.google.com/spreadsheets/d/1-uDff_7J0KD5mKrp0Vvzr7lt3OU09vwQwhkpOPPYv2Y/edit?usp=sharing"",""งบพรบ!BL27"")"),0)</f>
        <v>0</v>
      </c>
      <c r="I27" s="151">
        <f ca="1">IFERROR(__xludf.DUMMYFUNCTION("IMPORTRANGE(""https://docs.google.com/spreadsheets/d/1-uDff_7J0KD5mKrp0Vvzr7lt3OU09vwQwhkpOPPYv2Y/edit?usp=sharing"",""งบพรบ!BM27"")"),0)</f>
        <v>0</v>
      </c>
      <c r="J27" s="151">
        <f t="shared" ca="1" si="27"/>
        <v>0</v>
      </c>
      <c r="K27" s="154">
        <f t="shared" ca="1" si="28"/>
        <v>0</v>
      </c>
      <c r="L27" s="151">
        <f ca="1">IFERROR(__xludf.DUMMYFUNCTION("IMPORTRANGE(""https://docs.google.com/spreadsheets/d/1-uDff_7J0KD5mKrp0Vvzr7lt3OU09vwQwhkpOPPYv2Y/edit?usp=sharing"",""งบพรบ!BN27"")"),0)</f>
        <v>0</v>
      </c>
      <c r="M27" s="68">
        <f t="shared" ca="1" si="29"/>
        <v>0</v>
      </c>
      <c r="N27" s="68">
        <f t="shared" ca="1" si="30"/>
        <v>0</v>
      </c>
      <c r="O27" s="67">
        <f ca="1">IFERROR(__xludf.DUMMYFUNCTION("IMPORTRANGE(""https://docs.google.com/spreadsheets/d/1-uDff_7J0KD5mKrp0Vvzr7lt3OU09vwQwhkpOPPYv2Y/edit?usp=sharing"",""งบพรบ!BO27"")"),0)</f>
        <v>0</v>
      </c>
      <c r="P27" s="67">
        <f t="shared" ca="1" si="31"/>
        <v>0</v>
      </c>
      <c r="Q27" s="68">
        <f t="shared" ca="1" si="32"/>
        <v>0</v>
      </c>
      <c r="R27" s="67">
        <f ca="1">IFERROR(__xludf.DUMMYFUNCTION("IMPORTRANGE(""https://docs.google.com/spreadsheets/d/1ICwG78r0OFT8biBlxnBF8r7she7gNSzOvJ958PWT09c/edit?usp=sharing"",""ลำพูน!Q117"")"),284520)</f>
        <v>284520</v>
      </c>
      <c r="S27" s="67">
        <f ca="1">IFERROR(__xludf.DUMMYFUNCTION("IMPORTRANGE(""https://docs.google.com/spreadsheets/d/1ICwG78r0OFT8biBlxnBF8r7she7gNSzOvJ958PWT09c/edit?usp=sharing"",""ลำพูน!R117"")"),284520)</f>
        <v>284520</v>
      </c>
      <c r="T27" s="67">
        <f ca="1">IFERROR(__xludf.DUMMYFUNCTION("IMPORTRANGE(""https://docs.google.com/spreadsheets/d/1ICwG78r0OFT8biBlxnBF8r7she7gNSzOvJ958PWT09c/edit?usp=sharing"",""ลำพูน!S117"")"),241887.98)</f>
        <v>241887.98</v>
      </c>
      <c r="U27" s="68">
        <f t="shared" ca="1" si="34"/>
        <v>85.01616055110361</v>
      </c>
      <c r="V27" s="68">
        <f t="shared" ca="1" si="35"/>
        <v>85.01616055110361</v>
      </c>
      <c r="W27" s="74">
        <f ca="1">IFERROR(__xludf.DUMMYFUNCTION("IMPORTRANGE(""https://docs.google.com/spreadsheets/d/1ICwG78r0OFT8biBlxnBF8r7she7gNSzOvJ958PWT09c/edit?usp=sharing"",""ลำพูน!I127"")"),50)</f>
        <v>50</v>
      </c>
      <c r="X27" s="74">
        <f ca="1">IFERROR(__xludf.DUMMYFUNCTION("IMPORTRANGE(""https://docs.google.com/spreadsheets/d/1ICwG78r0OFT8biBlxnBF8r7she7gNSzOvJ958PWT09c/edit?usp=sharing"",""ลำพูน!J127"")"),50)</f>
        <v>50</v>
      </c>
      <c r="Y27" s="79">
        <f t="shared" ca="1" si="37"/>
        <v>100</v>
      </c>
      <c r="Z27" s="74">
        <f ca="1">IFERROR(__xludf.DUMMYFUNCTION("IMPORTRANGE(""https://docs.google.com/spreadsheets/d/1ICwG78r0OFT8biBlxnBF8r7she7gNSzOvJ958PWT09c/edit?usp=sharing"",""ลำพูน!J128"")"),2)</f>
        <v>2</v>
      </c>
      <c r="AA27" s="74">
        <f ca="1">IFERROR(__xludf.DUMMYFUNCTION("IMPORTRANGE(""https://docs.google.com/spreadsheets/d/1ICwG78r0OFT8biBlxnBF8r7she7gNSzOvJ958PWT09c/edit?usp=sharing"",""ลำพูน!I129"")"),20)</f>
        <v>20</v>
      </c>
      <c r="AB27" s="74">
        <f ca="1">IFERROR(__xludf.DUMMYFUNCTION("IMPORTRANGE(""https://docs.google.com/spreadsheets/d/1ICwG78r0OFT8biBlxnBF8r7she7gNSzOvJ958PWT09c/edit?usp=sharing"",""ลำพูน!J129"")"),20)</f>
        <v>20</v>
      </c>
      <c r="AC27" s="79">
        <f t="shared" ca="1" si="39"/>
        <v>100</v>
      </c>
      <c r="AD27" s="152">
        <f ca="1">IFERROR(__xludf.DUMMYFUNCTION("IMPORTRANGE(""https://docs.google.com/spreadsheets/d/1ICwG78r0OFT8biBlxnBF8r7she7gNSzOvJ958PWT09c/edit?usp=sharing"",""ลำพูน!J130"")"),1)</f>
        <v>1</v>
      </c>
      <c r="AE27" s="74">
        <v>0</v>
      </c>
      <c r="AF27" s="74">
        <v>0</v>
      </c>
      <c r="AG27" s="79">
        <v>0</v>
      </c>
    </row>
    <row r="28" spans="1:33" ht="19.5" x14ac:dyDescent="0.3">
      <c r="A28" s="147">
        <v>15</v>
      </c>
      <c r="B28" s="148" t="s">
        <v>56</v>
      </c>
      <c r="C28" s="149">
        <f t="shared" ca="1" si="25"/>
        <v>0</v>
      </c>
      <c r="D28" s="150">
        <f t="shared" ca="1" si="40"/>
        <v>0</v>
      </c>
      <c r="E28" s="151">
        <f ca="1">IFERROR(__xludf.DUMMYFUNCTION("IMPORTRANGE(""https://docs.google.com/spreadsheets/d/1-uDff_7J0KD5mKrp0Vvzr7lt3OU09vwQwhkpOPPYv2Y/edit?usp=sharing"",""งบพรบ!BH28"")"),0)</f>
        <v>0</v>
      </c>
      <c r="F28" s="151">
        <f ca="1">IFERROR(__xludf.DUMMYFUNCTION("IMPORTRANGE(""https://docs.google.com/spreadsheets/d/1-uDff_7J0KD5mKrp0Vvzr7lt3OU09vwQwhkpOPPYv2Y/edit?usp=sharing"",""งบพรบ!BI28"")"),0)</f>
        <v>0</v>
      </c>
      <c r="G28" s="151">
        <f ca="1">IFERROR(__xludf.DUMMYFUNCTION("IMPORTRANGE(""https://docs.google.com/spreadsheets/d/1-uDff_7J0KD5mKrp0Vvzr7lt3OU09vwQwhkpOPPYv2Y/edit?usp=sharing"",""งบพรบ!BJ28"")"),0)</f>
        <v>0</v>
      </c>
      <c r="H28" s="151">
        <f ca="1">IFERROR(__xludf.DUMMYFUNCTION("IMPORTRANGE(""https://docs.google.com/spreadsheets/d/1-uDff_7J0KD5mKrp0Vvzr7lt3OU09vwQwhkpOPPYv2Y/edit?usp=sharing"",""งบพรบ!BL28"")"),0)</f>
        <v>0</v>
      </c>
      <c r="I28" s="151">
        <f ca="1">IFERROR(__xludf.DUMMYFUNCTION("IMPORTRANGE(""https://docs.google.com/spreadsheets/d/1-uDff_7J0KD5mKrp0Vvzr7lt3OU09vwQwhkpOPPYv2Y/edit?usp=sharing"",""งบพรบ!BM28"")"),0)</f>
        <v>0</v>
      </c>
      <c r="J28" s="151">
        <f t="shared" ca="1" si="27"/>
        <v>0</v>
      </c>
      <c r="K28" s="154">
        <f t="shared" ca="1" si="28"/>
        <v>0</v>
      </c>
      <c r="L28" s="151">
        <f ca="1">IFERROR(__xludf.DUMMYFUNCTION("IMPORTRANGE(""https://docs.google.com/spreadsheets/d/1-uDff_7J0KD5mKrp0Vvzr7lt3OU09vwQwhkpOPPYv2Y/edit?usp=sharing"",""งบพรบ!BN28"")"),0)</f>
        <v>0</v>
      </c>
      <c r="M28" s="68">
        <f t="shared" ca="1" si="29"/>
        <v>0</v>
      </c>
      <c r="N28" s="68">
        <f t="shared" ca="1" si="30"/>
        <v>0</v>
      </c>
      <c r="O28" s="67">
        <f ca="1">IFERROR(__xludf.DUMMYFUNCTION("IMPORTRANGE(""https://docs.google.com/spreadsheets/d/1-uDff_7J0KD5mKrp0Vvzr7lt3OU09vwQwhkpOPPYv2Y/edit?usp=sharing"",""งบพรบ!BO28"")"),0)</f>
        <v>0</v>
      </c>
      <c r="P28" s="67">
        <f t="shared" ca="1" si="31"/>
        <v>0</v>
      </c>
      <c r="Q28" s="68">
        <f t="shared" ca="1" si="32"/>
        <v>0</v>
      </c>
      <c r="R28" s="67">
        <f ca="1">IFERROR(__xludf.DUMMYFUNCTION("IMPORTRANGE(""https://docs.google.com/spreadsheets/d/1B0f2xJpZUC6Z0xXnqKlZtEPzsf6L84eP1r1Q15seqRM/edit?usp=sharing"",""สุโขทัย!Q117"")"),408480)</f>
        <v>408480</v>
      </c>
      <c r="S28" s="67">
        <f ca="1">IFERROR(__xludf.DUMMYFUNCTION("IMPORTRANGE(""https://docs.google.com/spreadsheets/d/1B0f2xJpZUC6Z0xXnqKlZtEPzsf6L84eP1r1Q15seqRM/edit?usp=sharing"",""สุโขทัย!R117"")"),408480)</f>
        <v>408480</v>
      </c>
      <c r="T28" s="67">
        <f ca="1">IFERROR(__xludf.DUMMYFUNCTION("IMPORTRANGE(""https://docs.google.com/spreadsheets/d/1B0f2xJpZUC6Z0xXnqKlZtEPzsf6L84eP1r1Q15seqRM/edit?usp=sharing"",""สุโขทัย!S117"")"),354850)</f>
        <v>354850</v>
      </c>
      <c r="U28" s="68">
        <f t="shared" ca="1" si="34"/>
        <v>86.870838229533888</v>
      </c>
      <c r="V28" s="68">
        <f t="shared" ca="1" si="35"/>
        <v>86.870838229533888</v>
      </c>
      <c r="W28" s="74">
        <f ca="1">IFERROR(__xludf.DUMMYFUNCTION("IMPORTRANGE(""https://docs.google.com/spreadsheets/d/1B0f2xJpZUC6Z0xXnqKlZtEPzsf6L84eP1r1Q15seqRM/edit?usp=sharing"",""สุโขทัย!I127"")"),100)</f>
        <v>100</v>
      </c>
      <c r="X28" s="74">
        <f ca="1">IFERROR(__xludf.DUMMYFUNCTION("IMPORTRANGE(""https://docs.google.com/spreadsheets/d/1B0f2xJpZUC6Z0xXnqKlZtEPzsf6L84eP1r1Q15seqRM/edit?usp=sharing"",""สุโขทัย!J127"")"),100)</f>
        <v>100</v>
      </c>
      <c r="Y28" s="79">
        <f t="shared" ca="1" si="37"/>
        <v>100</v>
      </c>
      <c r="Z28" s="74">
        <f ca="1">IFERROR(__xludf.DUMMYFUNCTION("IMPORTRANGE(""https://docs.google.com/spreadsheets/d/1B0f2xJpZUC6Z0xXnqKlZtEPzsf6L84eP1r1Q15seqRM/edit?usp=sharing"",""สุโขทัย!J128"")"),3)</f>
        <v>3</v>
      </c>
      <c r="AA28" s="74">
        <f ca="1">IFERROR(__xludf.DUMMYFUNCTION("IMPORTRANGE(""https://docs.google.com/spreadsheets/d/1B0f2xJpZUC6Z0xXnqKlZtEPzsf6L84eP1r1Q15seqRM/edit?usp=sharing"",""สุโขทัย!I129"")"),20)</f>
        <v>20</v>
      </c>
      <c r="AB28" s="74">
        <f ca="1">IFERROR(__xludf.DUMMYFUNCTION("IMPORTRANGE(""https://docs.google.com/spreadsheets/d/1B0f2xJpZUC6Z0xXnqKlZtEPzsf6L84eP1r1Q15seqRM/edit?usp=sharing"",""สุโขทัย!J129"")"),20)</f>
        <v>20</v>
      </c>
      <c r="AC28" s="79">
        <f t="shared" ca="1" si="39"/>
        <v>100</v>
      </c>
      <c r="AD28" s="152">
        <f ca="1">IFERROR(__xludf.DUMMYFUNCTION("IMPORTRANGE(""https://docs.google.com/spreadsheets/d/1B0f2xJpZUC6Z0xXnqKlZtEPzsf6L84eP1r1Q15seqRM/edit?usp=sharing"",""สุโขทัย!J130"")"),1)</f>
        <v>1</v>
      </c>
      <c r="AE28" s="74">
        <v>0</v>
      </c>
      <c r="AF28" s="74">
        <v>0</v>
      </c>
      <c r="AG28" s="79">
        <v>0</v>
      </c>
    </row>
    <row r="29" spans="1:33" ht="19.5" x14ac:dyDescent="0.3">
      <c r="A29" s="147">
        <v>16</v>
      </c>
      <c r="B29" s="148" t="s">
        <v>57</v>
      </c>
      <c r="C29" s="149">
        <f t="shared" ca="1" si="25"/>
        <v>0</v>
      </c>
      <c r="D29" s="150">
        <f t="shared" ca="1" si="40"/>
        <v>0</v>
      </c>
      <c r="E29" s="151">
        <f ca="1">IFERROR(__xludf.DUMMYFUNCTION("IMPORTRANGE(""https://docs.google.com/spreadsheets/d/1-uDff_7J0KD5mKrp0Vvzr7lt3OU09vwQwhkpOPPYv2Y/edit?usp=sharing"",""งบพรบ!BH29"")"),0)</f>
        <v>0</v>
      </c>
      <c r="F29" s="151">
        <f ca="1">IFERROR(__xludf.DUMMYFUNCTION("IMPORTRANGE(""https://docs.google.com/spreadsheets/d/1-uDff_7J0KD5mKrp0Vvzr7lt3OU09vwQwhkpOPPYv2Y/edit?usp=sharing"",""งบพรบ!BI29"")"),0)</f>
        <v>0</v>
      </c>
      <c r="G29" s="151">
        <f ca="1">IFERROR(__xludf.DUMMYFUNCTION("IMPORTRANGE(""https://docs.google.com/spreadsheets/d/1-uDff_7J0KD5mKrp0Vvzr7lt3OU09vwQwhkpOPPYv2Y/edit?usp=sharing"",""งบพรบ!BJ29"")"),0)</f>
        <v>0</v>
      </c>
      <c r="H29" s="151">
        <f ca="1">IFERROR(__xludf.DUMMYFUNCTION("IMPORTRANGE(""https://docs.google.com/spreadsheets/d/1-uDff_7J0KD5mKrp0Vvzr7lt3OU09vwQwhkpOPPYv2Y/edit?usp=sharing"",""งบพรบ!BL29"")"),0)</f>
        <v>0</v>
      </c>
      <c r="I29" s="151">
        <f ca="1">IFERROR(__xludf.DUMMYFUNCTION("IMPORTRANGE(""https://docs.google.com/spreadsheets/d/1-uDff_7J0KD5mKrp0Vvzr7lt3OU09vwQwhkpOPPYv2Y/edit?usp=sharing"",""งบพรบ!BM29"")"),0)</f>
        <v>0</v>
      </c>
      <c r="J29" s="151">
        <f t="shared" ca="1" si="27"/>
        <v>0</v>
      </c>
      <c r="K29" s="154">
        <f t="shared" ca="1" si="28"/>
        <v>0</v>
      </c>
      <c r="L29" s="151">
        <f ca="1">IFERROR(__xludf.DUMMYFUNCTION("IMPORTRANGE(""https://docs.google.com/spreadsheets/d/1-uDff_7J0KD5mKrp0Vvzr7lt3OU09vwQwhkpOPPYv2Y/edit?usp=sharing"",""งบพรบ!BN29"")"),0)</f>
        <v>0</v>
      </c>
      <c r="M29" s="68">
        <f t="shared" ca="1" si="29"/>
        <v>0</v>
      </c>
      <c r="N29" s="68">
        <f t="shared" ca="1" si="30"/>
        <v>0</v>
      </c>
      <c r="O29" s="67">
        <f ca="1">IFERROR(__xludf.DUMMYFUNCTION("IMPORTRANGE(""https://docs.google.com/spreadsheets/d/1-uDff_7J0KD5mKrp0Vvzr7lt3OU09vwQwhkpOPPYv2Y/edit?usp=sharing"",""งบพรบ!BO29"")"),0)</f>
        <v>0</v>
      </c>
      <c r="P29" s="67">
        <f t="shared" ca="1" si="31"/>
        <v>0</v>
      </c>
      <c r="Q29" s="68">
        <f t="shared" ca="1" si="32"/>
        <v>0</v>
      </c>
      <c r="R29" s="67">
        <f ca="1">IFERROR(__xludf.DUMMYFUNCTION("IMPORTRANGE(""https://docs.google.com/spreadsheets/d/1v0b9pFQCsKUVExMei7AgY2yQkdeNQvtOssygGsXbiKo/edit?usp=sharing"",""อุตรดิตถ์!Q117"")"),229220)</f>
        <v>229220</v>
      </c>
      <c r="S29" s="67">
        <f ca="1">IFERROR(__xludf.DUMMYFUNCTION("IMPORTRANGE(""https://docs.google.com/spreadsheets/d/1v0b9pFQCsKUVExMei7AgY2yQkdeNQvtOssygGsXbiKo/edit?usp=sharing"",""อุตรดิตถ์!R117"")"),229220)</f>
        <v>229220</v>
      </c>
      <c r="T29" s="67">
        <f ca="1">IFERROR(__xludf.DUMMYFUNCTION("IMPORTRANGE(""https://docs.google.com/spreadsheets/d/1v0b9pFQCsKUVExMei7AgY2yQkdeNQvtOssygGsXbiKo/edit?usp=sharing"",""อุตรดิตถ์!S117"")"),178280)</f>
        <v>178280</v>
      </c>
      <c r="U29" s="68">
        <f t="shared" ca="1" si="34"/>
        <v>77.77680830643051</v>
      </c>
      <c r="V29" s="68">
        <f t="shared" ca="1" si="35"/>
        <v>77.77680830643051</v>
      </c>
      <c r="W29" s="74">
        <f ca="1">IFERROR(__xludf.DUMMYFUNCTION("IMPORTRANGE(""https://docs.google.com/spreadsheets/d/1v0b9pFQCsKUVExMei7AgY2yQkdeNQvtOssygGsXbiKo/edit?usp=sharing"",""อุตรดิตถ์!I127"")"),25)</f>
        <v>25</v>
      </c>
      <c r="X29" s="74">
        <f ca="1">IFERROR(__xludf.DUMMYFUNCTION("IMPORTRANGE(""https://docs.google.com/spreadsheets/d/1v0b9pFQCsKUVExMei7AgY2yQkdeNQvtOssygGsXbiKo/edit?usp=sharing"",""อุตรดิตถ์!J127"")"),25)</f>
        <v>25</v>
      </c>
      <c r="Y29" s="79">
        <f t="shared" ca="1" si="37"/>
        <v>100</v>
      </c>
      <c r="Z29" s="74">
        <f ca="1">IFERROR(__xludf.DUMMYFUNCTION("IMPORTRANGE(""https://docs.google.com/spreadsheets/d/1v0b9pFQCsKUVExMei7AgY2yQkdeNQvtOssygGsXbiKo/edit?usp=sharing"",""อุตรดิตถ์!J128"")"),2)</f>
        <v>2</v>
      </c>
      <c r="AA29" s="74">
        <f ca="1">IFERROR(__xludf.DUMMYFUNCTION("IMPORTRANGE(""https://docs.google.com/spreadsheets/d/1v0b9pFQCsKUVExMei7AgY2yQkdeNQvtOssygGsXbiKo/edit?usp=sharing"",""อุตรดิตถ์!I129"")"),25)</f>
        <v>25</v>
      </c>
      <c r="AB29" s="74">
        <f ca="1">IFERROR(__xludf.DUMMYFUNCTION("IMPORTRANGE(""https://docs.google.com/spreadsheets/d/1v0b9pFQCsKUVExMei7AgY2yQkdeNQvtOssygGsXbiKo/edit?usp=sharing"",""อุตรดิตถ์!J129"")"),25)</f>
        <v>25</v>
      </c>
      <c r="AC29" s="79">
        <f t="shared" ca="1" si="39"/>
        <v>100</v>
      </c>
      <c r="AD29" s="152">
        <f ca="1">IFERROR(__xludf.DUMMYFUNCTION("IMPORTRANGE(""https://docs.google.com/spreadsheets/d/1v0b9pFQCsKUVExMei7AgY2yQkdeNQvtOssygGsXbiKo/edit?usp=sharing"",""อุตรดิตถ์!J130"")"),2)</f>
        <v>2</v>
      </c>
      <c r="AE29" s="74">
        <v>0</v>
      </c>
      <c r="AF29" s="74">
        <v>0</v>
      </c>
      <c r="AG29" s="79">
        <v>0</v>
      </c>
    </row>
    <row r="30" spans="1:33" ht="19.5" x14ac:dyDescent="0.3">
      <c r="A30" s="155">
        <v>17</v>
      </c>
      <c r="B30" s="156" t="s">
        <v>58</v>
      </c>
      <c r="C30" s="157">
        <f t="shared" ca="1" si="25"/>
        <v>0</v>
      </c>
      <c r="D30" s="158">
        <f t="shared" ca="1" si="40"/>
        <v>0</v>
      </c>
      <c r="E30" s="159">
        <f ca="1">IFERROR(__xludf.DUMMYFUNCTION("IMPORTRANGE(""https://docs.google.com/spreadsheets/d/1-uDff_7J0KD5mKrp0Vvzr7lt3OU09vwQwhkpOPPYv2Y/edit?usp=sharing"",""งบพรบ!BH30"")"),0)</f>
        <v>0</v>
      </c>
      <c r="F30" s="159">
        <f ca="1">IFERROR(__xludf.DUMMYFUNCTION("IMPORTRANGE(""https://docs.google.com/spreadsheets/d/1-uDff_7J0KD5mKrp0Vvzr7lt3OU09vwQwhkpOPPYv2Y/edit?usp=sharing"",""งบพรบ!BI30"")"),0)</f>
        <v>0</v>
      </c>
      <c r="G30" s="159">
        <f ca="1">IFERROR(__xludf.DUMMYFUNCTION("IMPORTRANGE(""https://docs.google.com/spreadsheets/d/1-uDff_7J0KD5mKrp0Vvzr7lt3OU09vwQwhkpOPPYv2Y/edit?usp=sharing"",""งบพรบ!BJ30"")"),0)</f>
        <v>0</v>
      </c>
      <c r="H30" s="159">
        <f ca="1">IFERROR(__xludf.DUMMYFUNCTION("IMPORTRANGE(""https://docs.google.com/spreadsheets/d/1-uDff_7J0KD5mKrp0Vvzr7lt3OU09vwQwhkpOPPYv2Y/edit?usp=sharing"",""งบพรบ!BL30"")"),0)</f>
        <v>0</v>
      </c>
      <c r="I30" s="159">
        <f ca="1">IFERROR(__xludf.DUMMYFUNCTION("IMPORTRANGE(""https://docs.google.com/spreadsheets/d/1-uDff_7J0KD5mKrp0Vvzr7lt3OU09vwQwhkpOPPYv2Y/edit?usp=sharing"",""งบพรบ!BM30"")"),0)</f>
        <v>0</v>
      </c>
      <c r="J30" s="159">
        <f t="shared" ca="1" si="27"/>
        <v>0</v>
      </c>
      <c r="K30" s="160">
        <f t="shared" ca="1" si="28"/>
        <v>0</v>
      </c>
      <c r="L30" s="159">
        <f ca="1">IFERROR(__xludf.DUMMYFUNCTION("IMPORTRANGE(""https://docs.google.com/spreadsheets/d/1-uDff_7J0KD5mKrp0Vvzr7lt3OU09vwQwhkpOPPYv2Y/edit?usp=sharing"",""งบพรบ!BN30"")"),0)</f>
        <v>0</v>
      </c>
      <c r="M30" s="89">
        <f t="shared" ca="1" si="29"/>
        <v>0</v>
      </c>
      <c r="N30" s="89">
        <f t="shared" ca="1" si="30"/>
        <v>0</v>
      </c>
      <c r="O30" s="88">
        <f ca="1">IFERROR(__xludf.DUMMYFUNCTION("IMPORTRANGE(""https://docs.google.com/spreadsheets/d/1-uDff_7J0KD5mKrp0Vvzr7lt3OU09vwQwhkpOPPYv2Y/edit?usp=sharing"",""งบพรบ!BO30"")"),0)</f>
        <v>0</v>
      </c>
      <c r="P30" s="88">
        <f t="shared" ca="1" si="31"/>
        <v>0</v>
      </c>
      <c r="Q30" s="89">
        <f t="shared" ca="1" si="32"/>
        <v>0</v>
      </c>
      <c r="R30" s="88">
        <f ca="1">IFERROR(__xludf.DUMMYFUNCTION("IMPORTRANGE(""https://docs.google.com/spreadsheets/d/1UsNK1e-WWiCo2PvGqdNfdme4m17_Ezd3J69EeeiQPD0/edit?usp=sharing"",""อุทัยธานี!Q117"")"),209360)</f>
        <v>209360</v>
      </c>
      <c r="S30" s="88">
        <f ca="1">IFERROR(__xludf.DUMMYFUNCTION("IMPORTRANGE(""https://docs.google.com/spreadsheets/d/1UsNK1e-WWiCo2PvGqdNfdme4m17_Ezd3J69EeeiQPD0/edit?usp=sharing"",""อุทัยธานี!R117"")"),209360)</f>
        <v>209360</v>
      </c>
      <c r="T30" s="88">
        <f ca="1">IFERROR(__xludf.DUMMYFUNCTION("IMPORTRANGE(""https://docs.google.com/spreadsheets/d/1UsNK1e-WWiCo2PvGqdNfdme4m17_Ezd3J69EeeiQPD0/edit?usp=sharing"",""อุทัยธานี!S117"")"),165760)</f>
        <v>165760</v>
      </c>
      <c r="U30" s="89">
        <f t="shared" ca="1" si="34"/>
        <v>79.174627435995419</v>
      </c>
      <c r="V30" s="89">
        <f t="shared" ca="1" si="35"/>
        <v>79.174627435995419</v>
      </c>
      <c r="W30" s="84">
        <f ca="1">IFERROR(__xludf.DUMMYFUNCTION("IMPORTRANGE(""https://docs.google.com/spreadsheets/d/1UsNK1e-WWiCo2PvGqdNfdme4m17_Ezd3J69EeeiQPD0/edit?usp=sharing"",""อุทัยธานี!I127"")"),20)</f>
        <v>20</v>
      </c>
      <c r="X30" s="84">
        <f ca="1">IFERROR(__xludf.DUMMYFUNCTION("IMPORTRANGE(""https://docs.google.com/spreadsheets/d/1UsNK1e-WWiCo2PvGqdNfdme4m17_Ezd3J69EeeiQPD0/edit?usp=sharing"",""อุทัยธานี!J127"")"),20)</f>
        <v>20</v>
      </c>
      <c r="Y30" s="91">
        <f t="shared" ca="1" si="37"/>
        <v>100</v>
      </c>
      <c r="Z30" s="84">
        <f ca="1">IFERROR(__xludf.DUMMYFUNCTION("IMPORTRANGE(""https://docs.google.com/spreadsheets/d/1UsNK1e-WWiCo2PvGqdNfdme4m17_Ezd3J69EeeiQPD0/edit?usp=sharing"",""อุทัยธานี!J128"")"),1)</f>
        <v>1</v>
      </c>
      <c r="AA30" s="84">
        <f ca="1">IFERROR(__xludf.DUMMYFUNCTION("IMPORTRANGE(""https://docs.google.com/spreadsheets/d/1UsNK1e-WWiCo2PvGqdNfdme4m17_Ezd3J69EeeiQPD0/edit?usp=sharing"",""อุทัยธานี!I129"")"),20)</f>
        <v>20</v>
      </c>
      <c r="AB30" s="84">
        <f ca="1">IFERROR(__xludf.DUMMYFUNCTION("IMPORTRANGE(""https://docs.google.com/spreadsheets/d/1UsNK1e-WWiCo2PvGqdNfdme4m17_Ezd3J69EeeiQPD0/edit?usp=sharing"",""อุทัยธานี!J129"")"),20)</f>
        <v>20</v>
      </c>
      <c r="AC30" s="91">
        <f t="shared" ca="1" si="39"/>
        <v>100</v>
      </c>
      <c r="AD30" s="191">
        <f ca="1">IFERROR(__xludf.DUMMYFUNCTION("IMPORTRANGE(""https://docs.google.com/spreadsheets/d/1UsNK1e-WWiCo2PvGqdNfdme4m17_Ezd3J69EeeiQPD0/edit?usp=sharing"",""อุทัยธานี!J130"")"),1)</f>
        <v>1</v>
      </c>
      <c r="AE30" s="84">
        <v>0</v>
      </c>
      <c r="AF30" s="84">
        <v>0</v>
      </c>
      <c r="AG30" s="91">
        <v>0</v>
      </c>
    </row>
    <row r="31" spans="1:33" ht="19.5" x14ac:dyDescent="0.3">
      <c r="A31" s="696" t="s">
        <v>59</v>
      </c>
      <c r="B31" s="662"/>
      <c r="C31" s="161">
        <f t="shared" ca="1" si="25"/>
        <v>1920700</v>
      </c>
      <c r="D31" s="161">
        <f t="shared" ref="D31:I31" ca="1" si="41">SUM(D32:D51)</f>
        <v>0</v>
      </c>
      <c r="E31" s="161">
        <f t="shared" ca="1" si="41"/>
        <v>0</v>
      </c>
      <c r="F31" s="161">
        <f t="shared" ca="1" si="41"/>
        <v>0</v>
      </c>
      <c r="G31" s="161">
        <f t="shared" ca="1" si="41"/>
        <v>1920700</v>
      </c>
      <c r="H31" s="161">
        <f t="shared" ca="1" si="41"/>
        <v>0</v>
      </c>
      <c r="I31" s="161">
        <f t="shared" ca="1" si="41"/>
        <v>1920700</v>
      </c>
      <c r="J31" s="161">
        <f t="shared" ca="1" si="27"/>
        <v>0</v>
      </c>
      <c r="K31" s="162">
        <f t="shared" ca="1" si="28"/>
        <v>0</v>
      </c>
      <c r="L31" s="161">
        <f ca="1">SUM(L32:L51)</f>
        <v>0</v>
      </c>
      <c r="M31" s="94">
        <f t="shared" ca="1" si="29"/>
        <v>0</v>
      </c>
      <c r="N31" s="94">
        <f t="shared" ca="1" si="30"/>
        <v>0</v>
      </c>
      <c r="O31" s="93">
        <f ca="1">SUM(O32:O51)</f>
        <v>0</v>
      </c>
      <c r="P31" s="93">
        <f t="shared" ca="1" si="31"/>
        <v>0</v>
      </c>
      <c r="Q31" s="94">
        <f t="shared" ca="1" si="32"/>
        <v>0</v>
      </c>
      <c r="R31" s="93">
        <f t="shared" ref="R31:T31" ca="1" si="42">SUM(R32:R51)</f>
        <v>4716070</v>
      </c>
      <c r="S31" s="93">
        <f t="shared" ca="1" si="42"/>
        <v>4716070</v>
      </c>
      <c r="T31" s="93">
        <f t="shared" ca="1" si="42"/>
        <v>3244729.79</v>
      </c>
      <c r="U31" s="94">
        <f t="shared" ca="1" si="34"/>
        <v>68.801561257572516</v>
      </c>
      <c r="V31" s="94">
        <f t="shared" ca="1" si="35"/>
        <v>68.801561257572516</v>
      </c>
      <c r="W31" s="52">
        <f t="shared" ref="W31:X31" ca="1" si="43">SUM(W32:W51)</f>
        <v>589</v>
      </c>
      <c r="X31" s="52">
        <f t="shared" ca="1" si="43"/>
        <v>524</v>
      </c>
      <c r="Y31" s="54">
        <f t="shared" ca="1" si="37"/>
        <v>88.964346349745327</v>
      </c>
      <c r="Z31" s="52">
        <f t="shared" ref="Z31:AB31" ca="1" si="44">SUM(Z32:Z51)</f>
        <v>22</v>
      </c>
      <c r="AA31" s="52">
        <f t="shared" ca="1" si="44"/>
        <v>454</v>
      </c>
      <c r="AB31" s="52">
        <f t="shared" ca="1" si="44"/>
        <v>389</v>
      </c>
      <c r="AC31" s="54">
        <f t="shared" ca="1" si="39"/>
        <v>85.682819383259911</v>
      </c>
      <c r="AD31" s="161">
        <f ca="1">SUM(AD32:AD51)</f>
        <v>19</v>
      </c>
      <c r="AE31" s="52">
        <v>0</v>
      </c>
      <c r="AF31" s="52">
        <v>0</v>
      </c>
      <c r="AG31" s="54">
        <v>0</v>
      </c>
    </row>
    <row r="32" spans="1:33" ht="19.5" x14ac:dyDescent="0.3">
      <c r="A32" s="147">
        <v>1</v>
      </c>
      <c r="B32" s="148" t="s">
        <v>60</v>
      </c>
      <c r="C32" s="149">
        <f t="shared" ca="1" si="25"/>
        <v>0</v>
      </c>
      <c r="D32" s="150">
        <f t="shared" ref="D32:D51" ca="1" si="45">+E32+F32</f>
        <v>0</v>
      </c>
      <c r="E32" s="151">
        <f ca="1">IFERROR(__xludf.DUMMYFUNCTION("IMPORTRANGE(""https://docs.google.com/spreadsheets/d/1-uDff_7J0KD5mKrp0Vvzr7lt3OU09vwQwhkpOPPYv2Y/edit?usp=sharing"",""งบพรบ!BH32"")"),0)</f>
        <v>0</v>
      </c>
      <c r="F32" s="151">
        <f ca="1">IFERROR(__xludf.DUMMYFUNCTION("IMPORTRANGE(""https://docs.google.com/spreadsheets/d/1-uDff_7J0KD5mKrp0Vvzr7lt3OU09vwQwhkpOPPYv2Y/edit?usp=sharing"",""งบพรบ!BI32"")"),0)</f>
        <v>0</v>
      </c>
      <c r="G32" s="152">
        <f ca="1">IFERROR(__xludf.DUMMYFUNCTION("IMPORTRANGE(""https://docs.google.com/spreadsheets/d/1-uDff_7J0KD5mKrp0Vvzr7lt3OU09vwQwhkpOPPYv2Y/edit?usp=sharing"",""งบพรบ!BJ32"")"),0)</f>
        <v>0</v>
      </c>
      <c r="H32" s="152">
        <f ca="1">IFERROR(__xludf.DUMMYFUNCTION("IMPORTRANGE(""https://docs.google.com/spreadsheets/d/1-uDff_7J0KD5mKrp0Vvzr7lt3OU09vwQwhkpOPPYv2Y/edit?usp=sharing"",""งบพรบ!BL32"")"),0)</f>
        <v>0</v>
      </c>
      <c r="I32" s="152">
        <f ca="1">IFERROR(__xludf.DUMMYFUNCTION("IMPORTRANGE(""https://docs.google.com/spreadsheets/d/1-uDff_7J0KD5mKrp0Vvzr7lt3OU09vwQwhkpOPPYv2Y/edit?usp=sharing"",""งบพรบ!BM32"")"),0)</f>
        <v>0</v>
      </c>
      <c r="J32" s="152">
        <f t="shared" ca="1" si="27"/>
        <v>0</v>
      </c>
      <c r="K32" s="153">
        <f t="shared" ca="1" si="28"/>
        <v>0</v>
      </c>
      <c r="L32" s="152">
        <f ca="1">IFERROR(__xludf.DUMMYFUNCTION("IMPORTRANGE(""https://docs.google.com/spreadsheets/d/1-uDff_7J0KD5mKrp0Vvzr7lt3OU09vwQwhkpOPPYv2Y/edit?usp=sharing"",""งบพรบ!BN32"")"),0)</f>
        <v>0</v>
      </c>
      <c r="M32" s="68">
        <f t="shared" ca="1" si="29"/>
        <v>0</v>
      </c>
      <c r="N32" s="68">
        <f t="shared" ca="1" si="30"/>
        <v>0</v>
      </c>
      <c r="O32" s="67">
        <f ca="1">IFERROR(__xludf.DUMMYFUNCTION("IMPORTRANGE(""https://docs.google.com/spreadsheets/d/1-uDff_7J0KD5mKrp0Vvzr7lt3OU09vwQwhkpOPPYv2Y/edit?usp=sharing"",""งบพรบ!BO32"")"),0)</f>
        <v>0</v>
      </c>
      <c r="P32" s="67">
        <f t="shared" ca="1" si="31"/>
        <v>0</v>
      </c>
      <c r="Q32" s="68">
        <f t="shared" ca="1" si="32"/>
        <v>0</v>
      </c>
      <c r="R32" s="67">
        <f ca="1">IFERROR(__xludf.DUMMYFUNCTION("IMPORTRANGE(""https://docs.google.com/spreadsheets/d/1yhBcrRPreicbMKl9Bu_Snb2-OcQAF62RKfhTLhJ2eAA/edit?usp=sharing"",""กาฬสินธุ์!Q117"")"),209360)</f>
        <v>209360</v>
      </c>
      <c r="S32" s="67">
        <f ca="1">IFERROR(__xludf.DUMMYFUNCTION("IMPORTRANGE(""https://docs.google.com/spreadsheets/d/1yhBcrRPreicbMKl9Bu_Snb2-OcQAF62RKfhTLhJ2eAA/edit?usp=sharing"",""กาฬสินธุ์!R117"")"),209360)</f>
        <v>209360</v>
      </c>
      <c r="T32" s="67">
        <f ca="1">IFERROR(__xludf.DUMMYFUNCTION("IMPORTRANGE(""https://docs.google.com/spreadsheets/d/1yhBcrRPreicbMKl9Bu_Snb2-OcQAF62RKfhTLhJ2eAA/edit?usp=sharing"",""กาฬสินธุ์!S117"")"),162755.06)</f>
        <v>162755.06</v>
      </c>
      <c r="U32" s="68">
        <f t="shared" ca="1" si="34"/>
        <v>77.739329384791745</v>
      </c>
      <c r="V32" s="68">
        <f t="shared" ca="1" si="35"/>
        <v>77.739329384791745</v>
      </c>
      <c r="W32" s="62">
        <f ca="1">IFERROR(__xludf.DUMMYFUNCTION("IMPORTRANGE(""https://docs.google.com/spreadsheets/d/1yhBcrRPreicbMKl9Bu_Snb2-OcQAF62RKfhTLhJ2eAA/edit?usp=sharing"",""กาฬสินธุ์!I127"")"),20)</f>
        <v>20</v>
      </c>
      <c r="X32" s="62">
        <f ca="1">IFERROR(__xludf.DUMMYFUNCTION("IMPORTRANGE(""https://docs.google.com/spreadsheets/d/1yhBcrRPreicbMKl9Bu_Snb2-OcQAF62RKfhTLhJ2eAA/edit?usp=sharing"",""กาฬสินธุ์!J127"")"),20)</f>
        <v>20</v>
      </c>
      <c r="Y32" s="69">
        <f t="shared" ca="1" si="37"/>
        <v>100</v>
      </c>
      <c r="Z32" s="62">
        <f ca="1">IFERROR(__xludf.DUMMYFUNCTION("IMPORTRANGE(""https://docs.google.com/spreadsheets/d/1yhBcrRPreicbMKl9Bu_Snb2-OcQAF62RKfhTLhJ2eAA/edit?usp=sharing"",""กาฬสินธุ์!J128"")"),1)</f>
        <v>1</v>
      </c>
      <c r="AA32" s="62">
        <f ca="1">IFERROR(__xludf.DUMMYFUNCTION("IMPORTRANGE(""https://docs.google.com/spreadsheets/d/1yhBcrRPreicbMKl9Bu_Snb2-OcQAF62RKfhTLhJ2eAA/edit?usp=sharing"",""กาฬสินธุ์!I129"")"),20)</f>
        <v>20</v>
      </c>
      <c r="AB32" s="62">
        <f ca="1">IFERROR(__xludf.DUMMYFUNCTION("IMPORTRANGE(""https://docs.google.com/spreadsheets/d/1yhBcrRPreicbMKl9Bu_Snb2-OcQAF62RKfhTLhJ2eAA/edit?usp=sharing"",""กาฬสินธุ์!J129"")"),20)</f>
        <v>20</v>
      </c>
      <c r="AC32" s="69">
        <f t="shared" ca="1" si="39"/>
        <v>100</v>
      </c>
      <c r="AD32" s="152">
        <f ca="1">IFERROR(__xludf.DUMMYFUNCTION("IMPORTRANGE(""https://docs.google.com/spreadsheets/d/1yhBcrRPreicbMKl9Bu_Snb2-OcQAF62RKfhTLhJ2eAA/edit?usp=sharing"",""กาฬสินธุ์!J130"")"),1)</f>
        <v>1</v>
      </c>
      <c r="AE32" s="62">
        <v>0</v>
      </c>
      <c r="AF32" s="62">
        <v>0</v>
      </c>
      <c r="AG32" s="69">
        <v>0</v>
      </c>
    </row>
    <row r="33" spans="1:33" ht="19.5" x14ac:dyDescent="0.3">
      <c r="A33" s="147">
        <v>2</v>
      </c>
      <c r="B33" s="148" t="s">
        <v>61</v>
      </c>
      <c r="C33" s="149">
        <f t="shared" ca="1" si="25"/>
        <v>0</v>
      </c>
      <c r="D33" s="150">
        <f t="shared" ca="1" si="45"/>
        <v>0</v>
      </c>
      <c r="E33" s="151">
        <f ca="1">IFERROR(__xludf.DUMMYFUNCTION("IMPORTRANGE(""https://docs.google.com/spreadsheets/d/1-uDff_7J0KD5mKrp0Vvzr7lt3OU09vwQwhkpOPPYv2Y/edit?usp=sharing"",""งบพรบ!BH33"")"),0)</f>
        <v>0</v>
      </c>
      <c r="F33" s="151">
        <f ca="1">IFERROR(__xludf.DUMMYFUNCTION("IMPORTRANGE(""https://docs.google.com/spreadsheets/d/1-uDff_7J0KD5mKrp0Vvzr7lt3OU09vwQwhkpOPPYv2Y/edit?usp=sharing"",""งบพรบ!BI33"")"),0)</f>
        <v>0</v>
      </c>
      <c r="G33" s="151">
        <f ca="1">IFERROR(__xludf.DUMMYFUNCTION("IMPORTRANGE(""https://docs.google.com/spreadsheets/d/1-uDff_7J0KD5mKrp0Vvzr7lt3OU09vwQwhkpOPPYv2Y/edit?usp=sharing"",""งบพรบ!BJ33"")"),0)</f>
        <v>0</v>
      </c>
      <c r="H33" s="151">
        <f ca="1">IFERROR(__xludf.DUMMYFUNCTION("IMPORTRANGE(""https://docs.google.com/spreadsheets/d/1-uDff_7J0KD5mKrp0Vvzr7lt3OU09vwQwhkpOPPYv2Y/edit?usp=sharing"",""งบพรบ!BL33"")"),0)</f>
        <v>0</v>
      </c>
      <c r="I33" s="151">
        <f ca="1">IFERROR(__xludf.DUMMYFUNCTION("IMPORTRANGE(""https://docs.google.com/spreadsheets/d/1-uDff_7J0KD5mKrp0Vvzr7lt3OU09vwQwhkpOPPYv2Y/edit?usp=sharing"",""งบพรบ!BM33"")"),0)</f>
        <v>0</v>
      </c>
      <c r="J33" s="151">
        <f t="shared" ca="1" si="27"/>
        <v>0</v>
      </c>
      <c r="K33" s="154">
        <f t="shared" ca="1" si="28"/>
        <v>0</v>
      </c>
      <c r="L33" s="151">
        <f ca="1">IFERROR(__xludf.DUMMYFUNCTION("IMPORTRANGE(""https://docs.google.com/spreadsheets/d/1-uDff_7J0KD5mKrp0Vvzr7lt3OU09vwQwhkpOPPYv2Y/edit?usp=sharing"",""งบพรบ!BN33"")"),0)</f>
        <v>0</v>
      </c>
      <c r="M33" s="68">
        <f t="shared" ca="1" si="29"/>
        <v>0</v>
      </c>
      <c r="N33" s="68">
        <f t="shared" ca="1" si="30"/>
        <v>0</v>
      </c>
      <c r="O33" s="67">
        <f ca="1">IFERROR(__xludf.DUMMYFUNCTION("IMPORTRANGE(""https://docs.google.com/spreadsheets/d/1-uDff_7J0KD5mKrp0Vvzr7lt3OU09vwQwhkpOPPYv2Y/edit?usp=sharing"",""งบพรบ!BO33"")"),0)</f>
        <v>0</v>
      </c>
      <c r="P33" s="67">
        <f t="shared" ca="1" si="31"/>
        <v>0</v>
      </c>
      <c r="Q33" s="68">
        <f t="shared" ca="1" si="32"/>
        <v>0</v>
      </c>
      <c r="R33" s="67">
        <f ca="1">IFERROR(__xludf.DUMMYFUNCTION("IMPORTRANGE(""https://docs.google.com/spreadsheets/d/1aHkj4IaQMThhwWwevcOymEh837vdxeC_PycurhTbGFA/edit?usp=sharing"",""ขอนแก่น!Q117"")"),209360)</f>
        <v>209360</v>
      </c>
      <c r="S33" s="67">
        <f ca="1">IFERROR(__xludf.DUMMYFUNCTION("IMPORTRANGE(""https://docs.google.com/spreadsheets/d/1aHkj4IaQMThhwWwevcOymEh837vdxeC_PycurhTbGFA/edit?usp=sharing"",""ขอนแก่น!R117"")"),209360)</f>
        <v>209360</v>
      </c>
      <c r="T33" s="67">
        <f ca="1">IFERROR(__xludf.DUMMYFUNCTION("IMPORTRANGE(""https://docs.google.com/spreadsheets/d/1aHkj4IaQMThhwWwevcOymEh837vdxeC_PycurhTbGFA/edit?usp=sharing"",""ขอนแก่น!S117"")"),165891.65)</f>
        <v>165891.65</v>
      </c>
      <c r="U33" s="68">
        <f t="shared" ca="1" si="34"/>
        <v>79.2375095529232</v>
      </c>
      <c r="V33" s="68">
        <f t="shared" ca="1" si="35"/>
        <v>79.2375095529232</v>
      </c>
      <c r="W33" s="74">
        <f ca="1">IFERROR(__xludf.DUMMYFUNCTION("IMPORTRANGE(""https://docs.google.com/spreadsheets/d/1aHkj4IaQMThhwWwevcOymEh837vdxeC_PycurhTbGFA/edit?usp=sharing"",""ขอนแก่น!I127"")"),20)</f>
        <v>20</v>
      </c>
      <c r="X33" s="74">
        <f ca="1">IFERROR(__xludf.DUMMYFUNCTION("IMPORTRANGE(""https://docs.google.com/spreadsheets/d/1aHkj4IaQMThhwWwevcOymEh837vdxeC_PycurhTbGFA/edit?usp=sharing"",""ขอนแก่น!J127"")"),20)</f>
        <v>20</v>
      </c>
      <c r="Y33" s="79">
        <f t="shared" ca="1" si="37"/>
        <v>100</v>
      </c>
      <c r="Z33" s="74">
        <f ca="1">IFERROR(__xludf.DUMMYFUNCTION("IMPORTRANGE(""https://docs.google.com/spreadsheets/d/1aHkj4IaQMThhwWwevcOymEh837vdxeC_PycurhTbGFA/edit?usp=sharing"",""ขอนแก่น!J128"")"),1)</f>
        <v>1</v>
      </c>
      <c r="AA33" s="74">
        <f ca="1">IFERROR(__xludf.DUMMYFUNCTION("IMPORTRANGE(""https://docs.google.com/spreadsheets/d/1aHkj4IaQMThhwWwevcOymEh837vdxeC_PycurhTbGFA/edit?usp=sharing"",""ขอนแก่น!I129"")"),20)</f>
        <v>20</v>
      </c>
      <c r="AB33" s="74">
        <f ca="1">IFERROR(__xludf.DUMMYFUNCTION("IMPORTRANGE(""https://docs.google.com/spreadsheets/d/1aHkj4IaQMThhwWwevcOymEh837vdxeC_PycurhTbGFA/edit?usp=sharing"",""ขอนแก่น!J129"")"),20)</f>
        <v>20</v>
      </c>
      <c r="AC33" s="79">
        <f t="shared" ca="1" si="39"/>
        <v>100</v>
      </c>
      <c r="AD33" s="152">
        <f ca="1">IFERROR(__xludf.DUMMYFUNCTION("IMPORTRANGE(""https://docs.google.com/spreadsheets/d/1aHkj4IaQMThhwWwevcOymEh837vdxeC_PycurhTbGFA/edit?usp=sharing"",""ขอนแก่น!J130"")"),1)</f>
        <v>1</v>
      </c>
      <c r="AE33" s="74">
        <v>0</v>
      </c>
      <c r="AF33" s="74">
        <v>0</v>
      </c>
      <c r="AG33" s="79">
        <v>0</v>
      </c>
    </row>
    <row r="34" spans="1:33" ht="19.5" x14ac:dyDescent="0.3">
      <c r="A34" s="147">
        <v>3</v>
      </c>
      <c r="B34" s="148" t="s">
        <v>62</v>
      </c>
      <c r="C34" s="149">
        <f t="shared" ca="1" si="25"/>
        <v>0</v>
      </c>
      <c r="D34" s="150">
        <f t="shared" ca="1" si="45"/>
        <v>0</v>
      </c>
      <c r="E34" s="151">
        <f ca="1">IFERROR(__xludf.DUMMYFUNCTION("IMPORTRANGE(""https://docs.google.com/spreadsheets/d/1-uDff_7J0KD5mKrp0Vvzr7lt3OU09vwQwhkpOPPYv2Y/edit?usp=sharing"",""งบพรบ!BH34"")"),0)</f>
        <v>0</v>
      </c>
      <c r="F34" s="151">
        <f ca="1">IFERROR(__xludf.DUMMYFUNCTION("IMPORTRANGE(""https://docs.google.com/spreadsheets/d/1-uDff_7J0KD5mKrp0Vvzr7lt3OU09vwQwhkpOPPYv2Y/edit?usp=sharing"",""งบพรบ!BI34"")"),0)</f>
        <v>0</v>
      </c>
      <c r="G34" s="151">
        <f ca="1">IFERROR(__xludf.DUMMYFUNCTION("IMPORTRANGE(""https://docs.google.com/spreadsheets/d/1-uDff_7J0KD5mKrp0Vvzr7lt3OU09vwQwhkpOPPYv2Y/edit?usp=sharing"",""งบพรบ!BJ34"")"),0)</f>
        <v>0</v>
      </c>
      <c r="H34" s="151">
        <f ca="1">IFERROR(__xludf.DUMMYFUNCTION("IMPORTRANGE(""https://docs.google.com/spreadsheets/d/1-uDff_7J0KD5mKrp0Vvzr7lt3OU09vwQwhkpOPPYv2Y/edit?usp=sharing"",""งบพรบ!BL34"")"),0)</f>
        <v>0</v>
      </c>
      <c r="I34" s="151">
        <f ca="1">IFERROR(__xludf.DUMMYFUNCTION("IMPORTRANGE(""https://docs.google.com/spreadsheets/d/1-uDff_7J0KD5mKrp0Vvzr7lt3OU09vwQwhkpOPPYv2Y/edit?usp=sharing"",""งบพรบ!BM34"")"),0)</f>
        <v>0</v>
      </c>
      <c r="J34" s="151">
        <f t="shared" ca="1" si="27"/>
        <v>0</v>
      </c>
      <c r="K34" s="154">
        <f t="shared" ca="1" si="28"/>
        <v>0</v>
      </c>
      <c r="L34" s="151">
        <f ca="1">IFERROR(__xludf.DUMMYFUNCTION("IMPORTRANGE(""https://docs.google.com/spreadsheets/d/1-uDff_7J0KD5mKrp0Vvzr7lt3OU09vwQwhkpOPPYv2Y/edit?usp=sharing"",""งบพรบ!BN34"")"),0)</f>
        <v>0</v>
      </c>
      <c r="M34" s="68">
        <f t="shared" ca="1" si="29"/>
        <v>0</v>
      </c>
      <c r="N34" s="68">
        <f t="shared" ca="1" si="30"/>
        <v>0</v>
      </c>
      <c r="O34" s="67">
        <f ca="1">IFERROR(__xludf.DUMMYFUNCTION("IMPORTRANGE(""https://docs.google.com/spreadsheets/d/1-uDff_7J0KD5mKrp0Vvzr7lt3OU09vwQwhkpOPPYv2Y/edit?usp=sharing"",""งบพรบ!BO34"")"),0)</f>
        <v>0</v>
      </c>
      <c r="P34" s="67">
        <f t="shared" ca="1" si="31"/>
        <v>0</v>
      </c>
      <c r="Q34" s="68">
        <f t="shared" ca="1" si="32"/>
        <v>0</v>
      </c>
      <c r="R34" s="67">
        <f ca="1">IFERROR(__xludf.DUMMYFUNCTION("IMPORTRANGE(""https://docs.google.com/spreadsheets/d/1FvTu2DsIWUjP6WCWra38Bkj_oOl_sOMf14r5Fg5srxU/edit?usp=sharing"",""ชัยภูมิ!Q117"")"),191460)</f>
        <v>191460</v>
      </c>
      <c r="S34" s="67">
        <f ca="1">IFERROR(__xludf.DUMMYFUNCTION("IMPORTRANGE(""https://docs.google.com/spreadsheets/d/1FvTu2DsIWUjP6WCWra38Bkj_oOl_sOMf14r5Fg5srxU/edit?usp=sharing"",""ชัยภูมิ!R117"")"),191460)</f>
        <v>191460</v>
      </c>
      <c r="T34" s="67">
        <f ca="1">IFERROR(__xludf.DUMMYFUNCTION("IMPORTRANGE(""https://docs.google.com/spreadsheets/d/1FvTu2DsIWUjP6WCWra38Bkj_oOl_sOMf14r5Fg5srxU/edit?usp=sharing"",""ชัยภูมิ!S117"")"),150490)</f>
        <v>150490</v>
      </c>
      <c r="U34" s="68">
        <f t="shared" ca="1" si="34"/>
        <v>78.601274417632922</v>
      </c>
      <c r="V34" s="68">
        <f t="shared" ca="1" si="35"/>
        <v>78.601274417632922</v>
      </c>
      <c r="W34" s="74">
        <f ca="1">IFERROR(__xludf.DUMMYFUNCTION("IMPORTRANGE(""https://docs.google.com/spreadsheets/d/1FvTu2DsIWUjP6WCWra38Bkj_oOl_sOMf14r5Fg5srxU/edit?usp=sharing"",""ชัยภูมิ!I127"")"),15)</f>
        <v>15</v>
      </c>
      <c r="X34" s="74">
        <f ca="1">IFERROR(__xludf.DUMMYFUNCTION("IMPORTRANGE(""https://docs.google.com/spreadsheets/d/1FvTu2DsIWUjP6WCWra38Bkj_oOl_sOMf14r5Fg5srxU/edit?usp=sharing"",""ชัยภูมิ!J127"")"),15)</f>
        <v>15</v>
      </c>
      <c r="Y34" s="79">
        <f t="shared" ca="1" si="37"/>
        <v>100</v>
      </c>
      <c r="Z34" s="74">
        <f ca="1">IFERROR(__xludf.DUMMYFUNCTION("IMPORTRANGE(""https://docs.google.com/spreadsheets/d/1FvTu2DsIWUjP6WCWra38Bkj_oOl_sOMf14r5Fg5srxU/edit?usp=sharing"",""ชัยภูมิ!J128"")"),1)</f>
        <v>1</v>
      </c>
      <c r="AA34" s="74">
        <f ca="1">IFERROR(__xludf.DUMMYFUNCTION("IMPORTRANGE(""https://docs.google.com/spreadsheets/d/1FvTu2DsIWUjP6WCWra38Bkj_oOl_sOMf14r5Fg5srxU/edit?usp=sharing"",""ชัยภูมิ!I129"")"),15)</f>
        <v>15</v>
      </c>
      <c r="AB34" s="74">
        <f ca="1">IFERROR(__xludf.DUMMYFUNCTION("IMPORTRANGE(""https://docs.google.com/spreadsheets/d/1FvTu2DsIWUjP6WCWra38Bkj_oOl_sOMf14r5Fg5srxU/edit?usp=sharing"",""ชัยภูมิ!J129"")"),15)</f>
        <v>15</v>
      </c>
      <c r="AC34" s="79">
        <f t="shared" ca="1" si="39"/>
        <v>100</v>
      </c>
      <c r="AD34" s="152">
        <f ca="1">IFERROR(__xludf.DUMMYFUNCTION("IMPORTRANGE(""https://docs.google.com/spreadsheets/d/1FvTu2DsIWUjP6WCWra38Bkj_oOl_sOMf14r5Fg5srxU/edit?usp=sharing"",""ชัยภูมิ!J130"")"),1)</f>
        <v>1</v>
      </c>
      <c r="AE34" s="74">
        <v>0</v>
      </c>
      <c r="AF34" s="74">
        <v>0</v>
      </c>
      <c r="AG34" s="79">
        <v>0</v>
      </c>
    </row>
    <row r="35" spans="1:33" ht="19.5" x14ac:dyDescent="0.3">
      <c r="A35" s="147">
        <v>4</v>
      </c>
      <c r="B35" s="148" t="s">
        <v>63</v>
      </c>
      <c r="C35" s="149">
        <f t="shared" ca="1" si="25"/>
        <v>0</v>
      </c>
      <c r="D35" s="150">
        <f t="shared" ca="1" si="45"/>
        <v>0</v>
      </c>
      <c r="E35" s="151">
        <f ca="1">IFERROR(__xludf.DUMMYFUNCTION("IMPORTRANGE(""https://docs.google.com/spreadsheets/d/1-uDff_7J0KD5mKrp0Vvzr7lt3OU09vwQwhkpOPPYv2Y/edit?usp=sharing"",""งบพรบ!BH35"")"),0)</f>
        <v>0</v>
      </c>
      <c r="F35" s="151">
        <f ca="1">IFERROR(__xludf.DUMMYFUNCTION("IMPORTRANGE(""https://docs.google.com/spreadsheets/d/1-uDff_7J0KD5mKrp0Vvzr7lt3OU09vwQwhkpOPPYv2Y/edit?usp=sharing"",""งบพรบ!BI35"")"),0)</f>
        <v>0</v>
      </c>
      <c r="G35" s="151">
        <f ca="1">IFERROR(__xludf.DUMMYFUNCTION("IMPORTRANGE(""https://docs.google.com/spreadsheets/d/1-uDff_7J0KD5mKrp0Vvzr7lt3OU09vwQwhkpOPPYv2Y/edit?usp=sharing"",""งบพรบ!BJ35"")"),0)</f>
        <v>0</v>
      </c>
      <c r="H35" s="151">
        <f ca="1">IFERROR(__xludf.DUMMYFUNCTION("IMPORTRANGE(""https://docs.google.com/spreadsheets/d/1-uDff_7J0KD5mKrp0Vvzr7lt3OU09vwQwhkpOPPYv2Y/edit?usp=sharing"",""งบพรบ!BL35"")"),0)</f>
        <v>0</v>
      </c>
      <c r="I35" s="151">
        <f ca="1">IFERROR(__xludf.DUMMYFUNCTION("IMPORTRANGE(""https://docs.google.com/spreadsheets/d/1-uDff_7J0KD5mKrp0Vvzr7lt3OU09vwQwhkpOPPYv2Y/edit?usp=sharing"",""งบพรบ!BM35"")"),0)</f>
        <v>0</v>
      </c>
      <c r="J35" s="151">
        <f t="shared" ca="1" si="27"/>
        <v>0</v>
      </c>
      <c r="K35" s="154">
        <f t="shared" ca="1" si="28"/>
        <v>0</v>
      </c>
      <c r="L35" s="151">
        <f ca="1">IFERROR(__xludf.DUMMYFUNCTION("IMPORTRANGE(""https://docs.google.com/spreadsheets/d/1-uDff_7J0KD5mKrp0Vvzr7lt3OU09vwQwhkpOPPYv2Y/edit?usp=sharing"",""งบพรบ!BN35"")"),0)</f>
        <v>0</v>
      </c>
      <c r="M35" s="68">
        <f t="shared" ca="1" si="29"/>
        <v>0</v>
      </c>
      <c r="N35" s="68">
        <f t="shared" ca="1" si="30"/>
        <v>0</v>
      </c>
      <c r="O35" s="67">
        <f ca="1">IFERROR(__xludf.DUMMYFUNCTION("IMPORTRANGE(""https://docs.google.com/spreadsheets/d/1-uDff_7J0KD5mKrp0Vvzr7lt3OU09vwQwhkpOPPYv2Y/edit?usp=sharing"",""งบพรบ!BO35"")"),0)</f>
        <v>0</v>
      </c>
      <c r="P35" s="67">
        <f t="shared" ca="1" si="31"/>
        <v>0</v>
      </c>
      <c r="Q35" s="68">
        <f t="shared" ca="1" si="32"/>
        <v>0</v>
      </c>
      <c r="R35" s="67">
        <f ca="1">IFERROR(__xludf.DUMMYFUNCTION("IMPORTRANGE(""https://docs.google.com/spreadsheets/d/1XVB7oCJ3pr-vBUdflwPQ8Z2LlzhnCvZaaYjAfP-647E/edit?usp=sharing"",""นครพนม!Q117"")"),227060)</f>
        <v>227060</v>
      </c>
      <c r="S35" s="67">
        <f ca="1">IFERROR(__xludf.DUMMYFUNCTION("IMPORTRANGE(""https://docs.google.com/spreadsheets/d/1XVB7oCJ3pr-vBUdflwPQ8Z2LlzhnCvZaaYjAfP-647E/edit?usp=sharing"",""นครพนม!R117"")"),227060)</f>
        <v>227060</v>
      </c>
      <c r="T35" s="67">
        <f ca="1">IFERROR(__xludf.DUMMYFUNCTION("IMPORTRANGE(""https://docs.google.com/spreadsheets/d/1XVB7oCJ3pr-vBUdflwPQ8Z2LlzhnCvZaaYjAfP-647E/edit?usp=sharing"",""นครพนม!S117"")"),132310.65)</f>
        <v>132310.65</v>
      </c>
      <c r="U35" s="68">
        <f t="shared" ca="1" si="34"/>
        <v>58.271227869285653</v>
      </c>
      <c r="V35" s="68">
        <f t="shared" ca="1" si="35"/>
        <v>58.271227869285653</v>
      </c>
      <c r="W35" s="74">
        <f ca="1">IFERROR(__xludf.DUMMYFUNCTION("IMPORTRANGE(""https://docs.google.com/spreadsheets/d/1XVB7oCJ3pr-vBUdflwPQ8Z2LlzhnCvZaaYjAfP-647E/edit?usp=sharing"",""นครพนม!I127"")"),25)</f>
        <v>25</v>
      </c>
      <c r="X35" s="74">
        <f ca="1">IFERROR(__xludf.DUMMYFUNCTION("IMPORTRANGE(""https://docs.google.com/spreadsheets/d/1XVB7oCJ3pr-vBUdflwPQ8Z2LlzhnCvZaaYjAfP-647E/edit?usp=sharing"",""นครพนม!J127"")"),25)</f>
        <v>25</v>
      </c>
      <c r="Y35" s="79">
        <f t="shared" ca="1" si="37"/>
        <v>100</v>
      </c>
      <c r="Z35" s="74">
        <f ca="1">IFERROR(__xludf.DUMMYFUNCTION("IMPORTRANGE(""https://docs.google.com/spreadsheets/d/1XVB7oCJ3pr-vBUdflwPQ8Z2LlzhnCvZaaYjAfP-647E/edit?usp=sharing"",""นครพนม!J128"")"),1)</f>
        <v>1</v>
      </c>
      <c r="AA35" s="74">
        <f ca="1">IFERROR(__xludf.DUMMYFUNCTION("IMPORTRANGE(""https://docs.google.com/spreadsheets/d/1XVB7oCJ3pr-vBUdflwPQ8Z2LlzhnCvZaaYjAfP-647E/edit?usp=sharing"",""นครพนม!I129"")"),25)</f>
        <v>25</v>
      </c>
      <c r="AB35" s="74">
        <f ca="1">IFERROR(__xludf.DUMMYFUNCTION("IMPORTRANGE(""https://docs.google.com/spreadsheets/d/1XVB7oCJ3pr-vBUdflwPQ8Z2LlzhnCvZaaYjAfP-647E/edit?usp=sharing"",""นครพนม!J129"")"),25)</f>
        <v>25</v>
      </c>
      <c r="AC35" s="79">
        <f t="shared" ca="1" si="39"/>
        <v>100</v>
      </c>
      <c r="AD35" s="152">
        <f ca="1">IFERROR(__xludf.DUMMYFUNCTION("IMPORTRANGE(""https://docs.google.com/spreadsheets/d/1XVB7oCJ3pr-vBUdflwPQ8Z2LlzhnCvZaaYjAfP-647E/edit?usp=sharing"",""นครพนม!J130"")"),1)</f>
        <v>1</v>
      </c>
      <c r="AE35" s="74">
        <v>0</v>
      </c>
      <c r="AF35" s="74">
        <v>0</v>
      </c>
      <c r="AG35" s="79">
        <v>0</v>
      </c>
    </row>
    <row r="36" spans="1:33" ht="19.5" x14ac:dyDescent="0.3">
      <c r="A36" s="147">
        <v>5</v>
      </c>
      <c r="B36" s="148" t="s">
        <v>64</v>
      </c>
      <c r="C36" s="149">
        <f t="shared" ca="1" si="25"/>
        <v>1920700</v>
      </c>
      <c r="D36" s="150">
        <f t="shared" ca="1" si="45"/>
        <v>0</v>
      </c>
      <c r="E36" s="151">
        <f ca="1">IFERROR(__xludf.DUMMYFUNCTION("IMPORTRANGE(""https://docs.google.com/spreadsheets/d/1-uDff_7J0KD5mKrp0Vvzr7lt3OU09vwQwhkpOPPYv2Y/edit?usp=sharing"",""งบพรบ!BH36"")"),0)</f>
        <v>0</v>
      </c>
      <c r="F36" s="151">
        <f ca="1">IFERROR(__xludf.DUMMYFUNCTION("IMPORTRANGE(""https://docs.google.com/spreadsheets/d/1-uDff_7J0KD5mKrp0Vvzr7lt3OU09vwQwhkpOPPYv2Y/edit?usp=sharing"",""งบพรบ!BI36"")"),0)</f>
        <v>0</v>
      </c>
      <c r="G36" s="151">
        <f ca="1">IFERROR(__xludf.DUMMYFUNCTION("IMPORTRANGE(""https://docs.google.com/spreadsheets/d/1-uDff_7J0KD5mKrp0Vvzr7lt3OU09vwQwhkpOPPYv2Y/edit?usp=sharing"",""งบพรบ!BJ36"")"),1920700)</f>
        <v>1920700</v>
      </c>
      <c r="H36" s="151">
        <f ca="1">IFERROR(__xludf.DUMMYFUNCTION("IMPORTRANGE(""https://docs.google.com/spreadsheets/d/1-uDff_7J0KD5mKrp0Vvzr7lt3OU09vwQwhkpOPPYv2Y/edit?usp=sharing"",""งบพรบ!BL36"")"),0)</f>
        <v>0</v>
      </c>
      <c r="I36" s="151">
        <f ca="1">IFERROR(__xludf.DUMMYFUNCTION("IMPORTRANGE(""https://docs.google.com/spreadsheets/d/1-uDff_7J0KD5mKrp0Vvzr7lt3OU09vwQwhkpOPPYv2Y/edit?usp=sharing"",""งบพรบ!BM36"")"),1920700)</f>
        <v>1920700</v>
      </c>
      <c r="J36" s="151">
        <f t="shared" ca="1" si="27"/>
        <v>0</v>
      </c>
      <c r="K36" s="154">
        <f t="shared" ca="1" si="28"/>
        <v>0</v>
      </c>
      <c r="L36" s="151">
        <f ca="1">IFERROR(__xludf.DUMMYFUNCTION("IMPORTRANGE(""https://docs.google.com/spreadsheets/d/1-uDff_7J0KD5mKrp0Vvzr7lt3OU09vwQwhkpOPPYv2Y/edit?usp=sharing"",""งบพรบ!BN36"")"),0)</f>
        <v>0</v>
      </c>
      <c r="M36" s="68">
        <f t="shared" ca="1" si="29"/>
        <v>0</v>
      </c>
      <c r="N36" s="68">
        <f t="shared" ca="1" si="30"/>
        <v>0</v>
      </c>
      <c r="O36" s="67">
        <f ca="1">IFERROR(__xludf.DUMMYFUNCTION("IMPORTRANGE(""https://docs.google.com/spreadsheets/d/1-uDff_7J0KD5mKrp0Vvzr7lt3OU09vwQwhkpOPPYv2Y/edit?usp=sharing"",""งบพรบ!BO36"")"),0)</f>
        <v>0</v>
      </c>
      <c r="P36" s="67">
        <f t="shared" ca="1" si="31"/>
        <v>0</v>
      </c>
      <c r="Q36" s="68">
        <f t="shared" ca="1" si="32"/>
        <v>0</v>
      </c>
      <c r="R36" s="67">
        <f ca="1">IFERROR(__xludf.DUMMYFUNCTION("IMPORTRANGE(""https://docs.google.com/spreadsheets/d/1Mnpb-8PYAgn85W6KOTD40hc_Xc55CaLfHoGAbrZ8tls/edit?usp=sharing"",""นครราชสีมา!Q117"")"),619440)</f>
        <v>619440</v>
      </c>
      <c r="S36" s="67">
        <f ca="1">IFERROR(__xludf.DUMMYFUNCTION("IMPORTRANGE(""https://docs.google.com/spreadsheets/d/1Mnpb-8PYAgn85W6KOTD40hc_Xc55CaLfHoGAbrZ8tls/edit?usp=sharing"",""นครราชสีมา!R117"")"),619440)</f>
        <v>619440</v>
      </c>
      <c r="T36" s="67">
        <f ca="1">IFERROR(__xludf.DUMMYFUNCTION("IMPORTRANGE(""https://docs.google.com/spreadsheets/d/1Mnpb-8PYAgn85W6KOTD40hc_Xc55CaLfHoGAbrZ8tls/edit?usp=sharing"",""นครราชสีมา!S117"")"),91673.39)</f>
        <v>91673.39</v>
      </c>
      <c r="U36" s="68">
        <f t="shared" ca="1" si="34"/>
        <v>14.799397843213224</v>
      </c>
      <c r="V36" s="68">
        <f t="shared" ca="1" si="35"/>
        <v>14.799397843213224</v>
      </c>
      <c r="W36" s="74">
        <f ca="1">IFERROR(__xludf.DUMMYFUNCTION("IMPORTRANGE(""https://docs.google.com/spreadsheets/d/1Mnpb-8PYAgn85W6KOTD40hc_Xc55CaLfHoGAbrZ8tls/edit?usp=sharing"",""นครราชสีมา!I127"")"),165)</f>
        <v>165</v>
      </c>
      <c r="X36" s="74">
        <f ca="1">IFERROR(__xludf.DUMMYFUNCTION("IMPORTRANGE(""https://docs.google.com/spreadsheets/d/1Mnpb-8PYAgn85W6KOTD40hc_Xc55CaLfHoGAbrZ8tls/edit?usp=sharing"",""นครราชสีมา!J127"")"),100)</f>
        <v>100</v>
      </c>
      <c r="Y36" s="79">
        <f t="shared" ca="1" si="37"/>
        <v>60.606060606060609</v>
      </c>
      <c r="Z36" s="74">
        <f ca="1">IFERROR(__xludf.DUMMYFUNCTION("IMPORTRANGE(""https://docs.google.com/spreadsheets/d/1Mnpb-8PYAgn85W6KOTD40hc_Xc55CaLfHoGAbrZ8tls/edit?usp=sharing"",""นครราชสีมา!J128"")"),2)</f>
        <v>2</v>
      </c>
      <c r="AA36" s="74">
        <f ca="1">IFERROR(__xludf.DUMMYFUNCTION("IMPORTRANGE(""https://docs.google.com/spreadsheets/d/1Mnpb-8PYAgn85W6KOTD40hc_Xc55CaLfHoGAbrZ8tls/edit?usp=sharing"",""นครราชสีมา!I129"")"),65)</f>
        <v>65</v>
      </c>
      <c r="AB36" s="74">
        <f ca="1">IFERROR(__xludf.DUMMYFUNCTION("IMPORTRANGE(""https://docs.google.com/spreadsheets/d/1Mnpb-8PYAgn85W6KOTD40hc_Xc55CaLfHoGAbrZ8tls/edit?usp=sharing"",""นครราชสีมา!J129"")"),0)</f>
        <v>0</v>
      </c>
      <c r="AC36" s="79">
        <f t="shared" ca="1" si="39"/>
        <v>0</v>
      </c>
      <c r="AD36" s="152">
        <f ca="1">IFERROR(__xludf.DUMMYFUNCTION("IMPORTRANGE(""https://docs.google.com/spreadsheets/d/1Mnpb-8PYAgn85W6KOTD40hc_Xc55CaLfHoGAbrZ8tls/edit?usp=sharing"",""นครราชสีมา!J130"")"),0)</f>
        <v>0</v>
      </c>
      <c r="AE36" s="74">
        <v>0</v>
      </c>
      <c r="AF36" s="74">
        <v>0</v>
      </c>
      <c r="AG36" s="79">
        <v>0</v>
      </c>
    </row>
    <row r="37" spans="1:33" ht="19.5" x14ac:dyDescent="0.3">
      <c r="A37" s="147">
        <v>6</v>
      </c>
      <c r="B37" s="148" t="s">
        <v>65</v>
      </c>
      <c r="C37" s="149">
        <f t="shared" ca="1" si="25"/>
        <v>0</v>
      </c>
      <c r="D37" s="150">
        <f t="shared" ca="1" si="45"/>
        <v>0</v>
      </c>
      <c r="E37" s="151">
        <f ca="1">IFERROR(__xludf.DUMMYFUNCTION("IMPORTRANGE(""https://docs.google.com/spreadsheets/d/1-uDff_7J0KD5mKrp0Vvzr7lt3OU09vwQwhkpOPPYv2Y/edit?usp=sharing"",""งบพรบ!BH37"")"),0)</f>
        <v>0</v>
      </c>
      <c r="F37" s="151">
        <f ca="1">IFERROR(__xludf.DUMMYFUNCTION("IMPORTRANGE(""https://docs.google.com/spreadsheets/d/1-uDff_7J0KD5mKrp0Vvzr7lt3OU09vwQwhkpOPPYv2Y/edit?usp=sharing"",""งบพรบ!BI37"")"),0)</f>
        <v>0</v>
      </c>
      <c r="G37" s="151">
        <f ca="1">IFERROR(__xludf.DUMMYFUNCTION("IMPORTRANGE(""https://docs.google.com/spreadsheets/d/1-uDff_7J0KD5mKrp0Vvzr7lt3OU09vwQwhkpOPPYv2Y/edit?usp=sharing"",""งบพรบ!BJ37"")"),0)</f>
        <v>0</v>
      </c>
      <c r="H37" s="151">
        <f ca="1">IFERROR(__xludf.DUMMYFUNCTION("IMPORTRANGE(""https://docs.google.com/spreadsheets/d/1-uDff_7J0KD5mKrp0Vvzr7lt3OU09vwQwhkpOPPYv2Y/edit?usp=sharing"",""งบพรบ!BL37"")"),0)</f>
        <v>0</v>
      </c>
      <c r="I37" s="151">
        <f ca="1">IFERROR(__xludf.DUMMYFUNCTION("IMPORTRANGE(""https://docs.google.com/spreadsheets/d/1-uDff_7J0KD5mKrp0Vvzr7lt3OU09vwQwhkpOPPYv2Y/edit?usp=sharing"",""งบพรบ!BM37"")"),0)</f>
        <v>0</v>
      </c>
      <c r="J37" s="151">
        <f t="shared" ca="1" si="27"/>
        <v>0</v>
      </c>
      <c r="K37" s="154">
        <f t="shared" ca="1" si="28"/>
        <v>0</v>
      </c>
      <c r="L37" s="151">
        <f ca="1">IFERROR(__xludf.DUMMYFUNCTION("IMPORTRANGE(""https://docs.google.com/spreadsheets/d/1-uDff_7J0KD5mKrp0Vvzr7lt3OU09vwQwhkpOPPYv2Y/edit?usp=sharing"",""งบพรบ!BN37"")"),0)</f>
        <v>0</v>
      </c>
      <c r="M37" s="68">
        <f t="shared" ca="1" si="29"/>
        <v>0</v>
      </c>
      <c r="N37" s="68">
        <f t="shared" ca="1" si="30"/>
        <v>0</v>
      </c>
      <c r="O37" s="67">
        <f ca="1">IFERROR(__xludf.DUMMYFUNCTION("IMPORTRANGE(""https://docs.google.com/spreadsheets/d/1-uDff_7J0KD5mKrp0Vvzr7lt3OU09vwQwhkpOPPYv2Y/edit?usp=sharing"",""งบพรบ!BO37"")"),0)</f>
        <v>0</v>
      </c>
      <c r="P37" s="67">
        <f t="shared" ca="1" si="31"/>
        <v>0</v>
      </c>
      <c r="Q37" s="68">
        <f t="shared" ca="1" si="32"/>
        <v>0</v>
      </c>
      <c r="R37" s="67">
        <f ca="1">IFERROR(__xludf.DUMMYFUNCTION("IMPORTRANGE(""https://docs.google.com/spreadsheets/d/1xoDLGBv9CYbyosIhki0kTq6IpYNj-gpjxfobnaDiut0/edit?usp=sharing"",""บึงกาฬ!Q117"")"),191460)</f>
        <v>191460</v>
      </c>
      <c r="S37" s="67">
        <f ca="1">IFERROR(__xludf.DUMMYFUNCTION("IMPORTRANGE(""https://docs.google.com/spreadsheets/d/1xoDLGBv9CYbyosIhki0kTq6IpYNj-gpjxfobnaDiut0/edit?usp=sharing"",""บึงกาฬ!R117"")"),191460)</f>
        <v>191460</v>
      </c>
      <c r="T37" s="67">
        <f ca="1">IFERROR(__xludf.DUMMYFUNCTION("IMPORTRANGE(""https://docs.google.com/spreadsheets/d/1xoDLGBv9CYbyosIhki0kTq6IpYNj-gpjxfobnaDiut0/edit?usp=sharing"",""บึงกาฬ!S117"")"),123500)</f>
        <v>123500</v>
      </c>
      <c r="U37" s="68">
        <f t="shared" ca="1" si="34"/>
        <v>64.504335109161175</v>
      </c>
      <c r="V37" s="68">
        <f t="shared" ca="1" si="35"/>
        <v>64.504335109161175</v>
      </c>
      <c r="W37" s="74">
        <f ca="1">IFERROR(__xludf.DUMMYFUNCTION("IMPORTRANGE(""https://docs.google.com/spreadsheets/d/1xoDLGBv9CYbyosIhki0kTq6IpYNj-gpjxfobnaDiut0/edit?usp=sharing"",""บึงกาฬ!I127"")"),15)</f>
        <v>15</v>
      </c>
      <c r="X37" s="74">
        <f ca="1">IFERROR(__xludf.DUMMYFUNCTION("IMPORTRANGE(""https://docs.google.com/spreadsheets/d/1xoDLGBv9CYbyosIhki0kTq6IpYNj-gpjxfobnaDiut0/edit?usp=sharing"",""บึงกาฬ!J127"")"),15)</f>
        <v>15</v>
      </c>
      <c r="Y37" s="79">
        <f t="shared" ca="1" si="37"/>
        <v>100</v>
      </c>
      <c r="Z37" s="74">
        <f ca="1">IFERROR(__xludf.DUMMYFUNCTION("IMPORTRANGE(""https://docs.google.com/spreadsheets/d/1xoDLGBv9CYbyosIhki0kTq6IpYNj-gpjxfobnaDiut0/edit?usp=sharing"",""บึงกาฬ!J128"")"),1)</f>
        <v>1</v>
      </c>
      <c r="AA37" s="74">
        <f ca="1">IFERROR(__xludf.DUMMYFUNCTION("IMPORTRANGE(""https://docs.google.com/spreadsheets/d/1xoDLGBv9CYbyosIhki0kTq6IpYNj-gpjxfobnaDiut0/edit?usp=sharing"",""บึงกาฬ!I129"")"),15)</f>
        <v>15</v>
      </c>
      <c r="AB37" s="74">
        <f ca="1">IFERROR(__xludf.DUMMYFUNCTION("IMPORTRANGE(""https://docs.google.com/spreadsheets/d/1xoDLGBv9CYbyosIhki0kTq6IpYNj-gpjxfobnaDiut0/edit?usp=sharing"",""บึงกาฬ!J129"")"),15)</f>
        <v>15</v>
      </c>
      <c r="AC37" s="79">
        <f t="shared" ca="1" si="39"/>
        <v>100</v>
      </c>
      <c r="AD37" s="152">
        <f ca="1">IFERROR(__xludf.DUMMYFUNCTION("IMPORTRANGE(""https://docs.google.com/spreadsheets/d/1xoDLGBv9CYbyosIhki0kTq6IpYNj-gpjxfobnaDiut0/edit?usp=sharing"",""บึงกาฬ!J130"")"),1)</f>
        <v>1</v>
      </c>
      <c r="AE37" s="74">
        <v>0</v>
      </c>
      <c r="AF37" s="74">
        <v>0</v>
      </c>
      <c r="AG37" s="79">
        <v>0</v>
      </c>
    </row>
    <row r="38" spans="1:33" ht="19.5" x14ac:dyDescent="0.3">
      <c r="A38" s="147">
        <v>7</v>
      </c>
      <c r="B38" s="148" t="s">
        <v>66</v>
      </c>
      <c r="C38" s="149">
        <f t="shared" ca="1" si="25"/>
        <v>0</v>
      </c>
      <c r="D38" s="150">
        <f t="shared" ca="1" si="45"/>
        <v>0</v>
      </c>
      <c r="E38" s="151">
        <f ca="1">IFERROR(__xludf.DUMMYFUNCTION("IMPORTRANGE(""https://docs.google.com/spreadsheets/d/1-uDff_7J0KD5mKrp0Vvzr7lt3OU09vwQwhkpOPPYv2Y/edit?usp=sharing"",""งบพรบ!BH38"")"),0)</f>
        <v>0</v>
      </c>
      <c r="F38" s="151">
        <f ca="1">IFERROR(__xludf.DUMMYFUNCTION("IMPORTRANGE(""https://docs.google.com/spreadsheets/d/1-uDff_7J0KD5mKrp0Vvzr7lt3OU09vwQwhkpOPPYv2Y/edit?usp=sharing"",""งบพรบ!BI38"")"),0)</f>
        <v>0</v>
      </c>
      <c r="G38" s="151">
        <f ca="1">IFERROR(__xludf.DUMMYFUNCTION("IMPORTRANGE(""https://docs.google.com/spreadsheets/d/1-uDff_7J0KD5mKrp0Vvzr7lt3OU09vwQwhkpOPPYv2Y/edit?usp=sharing"",""งบพรบ!BJ38"")"),0)</f>
        <v>0</v>
      </c>
      <c r="H38" s="151">
        <f ca="1">IFERROR(__xludf.DUMMYFUNCTION("IMPORTRANGE(""https://docs.google.com/spreadsheets/d/1-uDff_7J0KD5mKrp0Vvzr7lt3OU09vwQwhkpOPPYv2Y/edit?usp=sharing"",""งบพรบ!BL38"")"),0)</f>
        <v>0</v>
      </c>
      <c r="I38" s="151">
        <f ca="1">IFERROR(__xludf.DUMMYFUNCTION("IMPORTRANGE(""https://docs.google.com/spreadsheets/d/1-uDff_7J0KD5mKrp0Vvzr7lt3OU09vwQwhkpOPPYv2Y/edit?usp=sharing"",""งบพรบ!BM38"")"),0)</f>
        <v>0</v>
      </c>
      <c r="J38" s="151">
        <f t="shared" ca="1" si="27"/>
        <v>0</v>
      </c>
      <c r="K38" s="154">
        <f t="shared" ca="1" si="28"/>
        <v>0</v>
      </c>
      <c r="L38" s="151">
        <f ca="1">IFERROR(__xludf.DUMMYFUNCTION("IMPORTRANGE(""https://docs.google.com/spreadsheets/d/1-uDff_7J0KD5mKrp0Vvzr7lt3OU09vwQwhkpOPPYv2Y/edit?usp=sharing"",""งบพรบ!BN38"")"),0)</f>
        <v>0</v>
      </c>
      <c r="M38" s="68">
        <f t="shared" ca="1" si="29"/>
        <v>0</v>
      </c>
      <c r="N38" s="68">
        <f t="shared" ca="1" si="30"/>
        <v>0</v>
      </c>
      <c r="O38" s="67">
        <f ca="1">IFERROR(__xludf.DUMMYFUNCTION("IMPORTRANGE(""https://docs.google.com/spreadsheets/d/1-uDff_7J0KD5mKrp0Vvzr7lt3OU09vwQwhkpOPPYv2Y/edit?usp=sharing"",""งบพรบ!BO38"")"),0)</f>
        <v>0</v>
      </c>
      <c r="P38" s="67">
        <f t="shared" ca="1" si="31"/>
        <v>0</v>
      </c>
      <c r="Q38" s="68">
        <f t="shared" ca="1" si="32"/>
        <v>0</v>
      </c>
      <c r="R38" s="67">
        <f ca="1">IFERROR(__xludf.DUMMYFUNCTION("IMPORTRANGE(""https://docs.google.com/spreadsheets/d/1MMPq-JyI6DSgQETxuSiXkesP-P7JHuemnE6QJIa-Nlw/edit?usp=sharing"",""บุรีรัมย์!Q117"")"),209360)</f>
        <v>209360</v>
      </c>
      <c r="S38" s="67">
        <f ca="1">IFERROR(__xludf.DUMMYFUNCTION("IMPORTRANGE(""https://docs.google.com/spreadsheets/d/1MMPq-JyI6DSgQETxuSiXkesP-P7JHuemnE6QJIa-Nlw/edit?usp=sharing"",""บุรีรัมย์!R117"")"),209360)</f>
        <v>209360</v>
      </c>
      <c r="T38" s="67">
        <f ca="1">IFERROR(__xludf.DUMMYFUNCTION("IMPORTRANGE(""https://docs.google.com/spreadsheets/d/1MMPq-JyI6DSgQETxuSiXkesP-P7JHuemnE6QJIa-Nlw/edit?usp=sharing"",""บุรีรัมย์!S117"")"),158662.01)</f>
        <v>158662.01</v>
      </c>
      <c r="U38" s="68">
        <f t="shared" ca="1" si="34"/>
        <v>75.784299770729845</v>
      </c>
      <c r="V38" s="68">
        <f t="shared" ca="1" si="35"/>
        <v>75.784299770729845</v>
      </c>
      <c r="W38" s="78">
        <f ca="1">IFERROR(__xludf.DUMMYFUNCTION("IMPORTRANGE(""https://docs.google.com/spreadsheets/d/1MMPq-JyI6DSgQETxuSiXkesP-P7JHuemnE6QJIa-Nlw/edit?usp=sharing"",""บุรีรัมย์!I127"")"),20)</f>
        <v>20</v>
      </c>
      <c r="X38" s="78">
        <f ca="1">IFERROR(__xludf.DUMMYFUNCTION("IMPORTRANGE(""https://docs.google.com/spreadsheets/d/1MMPq-JyI6DSgQETxuSiXkesP-P7JHuemnE6QJIa-Nlw/edit?usp=sharing"",""บุรีรัมย์!J127"")"),20)</f>
        <v>20</v>
      </c>
      <c r="Y38" s="79">
        <f t="shared" ca="1" si="37"/>
        <v>100</v>
      </c>
      <c r="Z38" s="78">
        <f ca="1">IFERROR(__xludf.DUMMYFUNCTION("IMPORTRANGE(""https://docs.google.com/spreadsheets/d/1MMPq-JyI6DSgQETxuSiXkesP-P7JHuemnE6QJIa-Nlw/edit?usp=sharing"",""บุรีรัมย์!J128"")"),1)</f>
        <v>1</v>
      </c>
      <c r="AA38" s="78">
        <f ca="1">IFERROR(__xludf.DUMMYFUNCTION("IMPORTRANGE(""https://docs.google.com/spreadsheets/d/1MMPq-JyI6DSgQETxuSiXkesP-P7JHuemnE6QJIa-Nlw/edit?usp=sharing"",""บุรีรัมย์!I129"")"),20)</f>
        <v>20</v>
      </c>
      <c r="AB38" s="78">
        <f ca="1">IFERROR(__xludf.DUMMYFUNCTION("IMPORTRANGE(""https://docs.google.com/spreadsheets/d/1MMPq-JyI6DSgQETxuSiXkesP-P7JHuemnE6QJIa-Nlw/edit?usp=sharing"",""บุรีรัมย์!J129"")"),20)</f>
        <v>20</v>
      </c>
      <c r="AC38" s="79">
        <f t="shared" ca="1" si="39"/>
        <v>100</v>
      </c>
      <c r="AD38" s="152">
        <f ca="1">IFERROR(__xludf.DUMMYFUNCTION("IMPORTRANGE(""https://docs.google.com/spreadsheets/d/1MMPq-JyI6DSgQETxuSiXkesP-P7JHuemnE6QJIa-Nlw/edit?usp=sharing"",""บุรีรัมย์!J130"")"),1)</f>
        <v>1</v>
      </c>
      <c r="AE38" s="78">
        <v>0</v>
      </c>
      <c r="AF38" s="78">
        <v>0</v>
      </c>
      <c r="AG38" s="79">
        <v>0</v>
      </c>
    </row>
    <row r="39" spans="1:33" ht="19.5" x14ac:dyDescent="0.3">
      <c r="A39" s="147">
        <v>8</v>
      </c>
      <c r="B39" s="148" t="s">
        <v>67</v>
      </c>
      <c r="C39" s="149">
        <f t="shared" ca="1" si="25"/>
        <v>0</v>
      </c>
      <c r="D39" s="150">
        <f t="shared" ca="1" si="45"/>
        <v>0</v>
      </c>
      <c r="E39" s="151">
        <f ca="1">IFERROR(__xludf.DUMMYFUNCTION("IMPORTRANGE(""https://docs.google.com/spreadsheets/d/1-uDff_7J0KD5mKrp0Vvzr7lt3OU09vwQwhkpOPPYv2Y/edit?usp=sharing"",""งบพรบ!BH39"")"),0)</f>
        <v>0</v>
      </c>
      <c r="F39" s="151">
        <f ca="1">IFERROR(__xludf.DUMMYFUNCTION("IMPORTRANGE(""https://docs.google.com/spreadsheets/d/1-uDff_7J0KD5mKrp0Vvzr7lt3OU09vwQwhkpOPPYv2Y/edit?usp=sharing"",""งบพรบ!BI39"")"),0)</f>
        <v>0</v>
      </c>
      <c r="G39" s="151">
        <f ca="1">IFERROR(__xludf.DUMMYFUNCTION("IMPORTRANGE(""https://docs.google.com/spreadsheets/d/1-uDff_7J0KD5mKrp0Vvzr7lt3OU09vwQwhkpOPPYv2Y/edit?usp=sharing"",""งบพรบ!BJ39"")"),0)</f>
        <v>0</v>
      </c>
      <c r="H39" s="151">
        <f ca="1">IFERROR(__xludf.DUMMYFUNCTION("IMPORTRANGE(""https://docs.google.com/spreadsheets/d/1-uDff_7J0KD5mKrp0Vvzr7lt3OU09vwQwhkpOPPYv2Y/edit?usp=sharing"",""งบพรบ!BL39"")"),0)</f>
        <v>0</v>
      </c>
      <c r="I39" s="151">
        <f ca="1">IFERROR(__xludf.DUMMYFUNCTION("IMPORTRANGE(""https://docs.google.com/spreadsheets/d/1-uDff_7J0KD5mKrp0Vvzr7lt3OU09vwQwhkpOPPYv2Y/edit?usp=sharing"",""งบพรบ!BM39"")"),0)</f>
        <v>0</v>
      </c>
      <c r="J39" s="151">
        <f t="shared" ca="1" si="27"/>
        <v>0</v>
      </c>
      <c r="K39" s="154">
        <f t="shared" ca="1" si="28"/>
        <v>0</v>
      </c>
      <c r="L39" s="151">
        <f ca="1">IFERROR(__xludf.DUMMYFUNCTION("IMPORTRANGE(""https://docs.google.com/spreadsheets/d/1-uDff_7J0KD5mKrp0Vvzr7lt3OU09vwQwhkpOPPYv2Y/edit?usp=sharing"",""งบพรบ!BN39"")"),0)</f>
        <v>0</v>
      </c>
      <c r="M39" s="68">
        <f t="shared" ca="1" si="29"/>
        <v>0</v>
      </c>
      <c r="N39" s="68">
        <f t="shared" ca="1" si="30"/>
        <v>0</v>
      </c>
      <c r="O39" s="67">
        <f ca="1">IFERROR(__xludf.DUMMYFUNCTION("IMPORTRANGE(""https://docs.google.com/spreadsheets/d/1-uDff_7J0KD5mKrp0Vvzr7lt3OU09vwQwhkpOPPYv2Y/edit?usp=sharing"",""งบพรบ!BO39"")"),0)</f>
        <v>0</v>
      </c>
      <c r="P39" s="67">
        <f t="shared" ca="1" si="31"/>
        <v>0</v>
      </c>
      <c r="Q39" s="68">
        <f t="shared" ca="1" si="32"/>
        <v>0</v>
      </c>
      <c r="R39" s="67">
        <f ca="1">IFERROR(__xludf.DUMMYFUNCTION("IMPORTRANGE(""https://docs.google.com/spreadsheets/d/1l6IZ8xUPgMrESzcTYwhA1k_tPjeQjJPTqlm8Gd9eU5g/edit?usp=sharing"",""มหาสารคาม!Q117"")"),227060)</f>
        <v>227060</v>
      </c>
      <c r="S39" s="67">
        <f ca="1">IFERROR(__xludf.DUMMYFUNCTION("IMPORTRANGE(""https://docs.google.com/spreadsheets/d/1l6IZ8xUPgMrESzcTYwhA1k_tPjeQjJPTqlm8Gd9eU5g/edit?usp=sharing"",""มหาสารคาม!R117"")"),227060)</f>
        <v>227060</v>
      </c>
      <c r="T39" s="67">
        <f ca="1">IFERROR(__xludf.DUMMYFUNCTION("IMPORTRANGE(""https://docs.google.com/spreadsheets/d/1l6IZ8xUPgMrESzcTYwhA1k_tPjeQjJPTqlm8Gd9eU5g/edit?usp=sharing"",""มหาสารคาม!S117"")"),180514)</f>
        <v>180514</v>
      </c>
      <c r="U39" s="68">
        <f t="shared" ca="1" si="34"/>
        <v>79.500572535893596</v>
      </c>
      <c r="V39" s="68">
        <f t="shared" ca="1" si="35"/>
        <v>79.500572535893596</v>
      </c>
      <c r="W39" s="78">
        <f ca="1">IFERROR(__xludf.DUMMYFUNCTION("IMPORTRANGE(""https://docs.google.com/spreadsheets/d/1l6IZ8xUPgMrESzcTYwhA1k_tPjeQjJPTqlm8Gd9eU5g/edit?usp=sharing"",""มหาสารคาม!I127"")"),25)</f>
        <v>25</v>
      </c>
      <c r="X39" s="78">
        <f ca="1">IFERROR(__xludf.DUMMYFUNCTION("IMPORTRANGE(""https://docs.google.com/spreadsheets/d/1l6IZ8xUPgMrESzcTYwhA1k_tPjeQjJPTqlm8Gd9eU5g/edit?usp=sharing"",""มหาสารคาม!J127"")"),25)</f>
        <v>25</v>
      </c>
      <c r="Y39" s="79">
        <f t="shared" ca="1" si="37"/>
        <v>100</v>
      </c>
      <c r="Z39" s="78">
        <f ca="1">IFERROR(__xludf.DUMMYFUNCTION("IMPORTRANGE(""https://docs.google.com/spreadsheets/d/1l6IZ8xUPgMrESzcTYwhA1k_tPjeQjJPTqlm8Gd9eU5g/edit?usp=sharing"",""มหาสารคาม!J128"")"),1)</f>
        <v>1</v>
      </c>
      <c r="AA39" s="78">
        <f ca="1">IFERROR(__xludf.DUMMYFUNCTION("IMPORTRANGE(""https://docs.google.com/spreadsheets/d/1l6IZ8xUPgMrESzcTYwhA1k_tPjeQjJPTqlm8Gd9eU5g/edit?usp=sharing"",""มหาสารคาม!I129"")"),25)</f>
        <v>25</v>
      </c>
      <c r="AB39" s="78">
        <f ca="1">IFERROR(__xludf.DUMMYFUNCTION("IMPORTRANGE(""https://docs.google.com/spreadsheets/d/1l6IZ8xUPgMrESzcTYwhA1k_tPjeQjJPTqlm8Gd9eU5g/edit?usp=sharing"",""มหาสารคาม!J129"")"),25)</f>
        <v>25</v>
      </c>
      <c r="AC39" s="79">
        <f t="shared" ca="1" si="39"/>
        <v>100</v>
      </c>
      <c r="AD39" s="152">
        <f ca="1">IFERROR(__xludf.DUMMYFUNCTION("IMPORTRANGE(""https://docs.google.com/spreadsheets/d/1l6IZ8xUPgMrESzcTYwhA1k_tPjeQjJPTqlm8Gd9eU5g/edit?usp=sharing"",""มหาสารคาม!J130"")"),1)</f>
        <v>1</v>
      </c>
      <c r="AE39" s="78">
        <v>0</v>
      </c>
      <c r="AF39" s="78">
        <v>0</v>
      </c>
      <c r="AG39" s="79">
        <v>0</v>
      </c>
    </row>
    <row r="40" spans="1:33" ht="19.5" x14ac:dyDescent="0.3">
      <c r="A40" s="147">
        <v>9</v>
      </c>
      <c r="B40" s="148" t="s">
        <v>68</v>
      </c>
      <c r="C40" s="149">
        <f t="shared" ca="1" si="25"/>
        <v>0</v>
      </c>
      <c r="D40" s="150">
        <f t="shared" ca="1" si="45"/>
        <v>0</v>
      </c>
      <c r="E40" s="151">
        <f ca="1">IFERROR(__xludf.DUMMYFUNCTION("IMPORTRANGE(""https://docs.google.com/spreadsheets/d/1-uDff_7J0KD5mKrp0Vvzr7lt3OU09vwQwhkpOPPYv2Y/edit?usp=sharing"",""งบพรบ!BH40"")"),0)</f>
        <v>0</v>
      </c>
      <c r="F40" s="151">
        <f ca="1">IFERROR(__xludf.DUMMYFUNCTION("IMPORTRANGE(""https://docs.google.com/spreadsheets/d/1-uDff_7J0KD5mKrp0Vvzr7lt3OU09vwQwhkpOPPYv2Y/edit?usp=sharing"",""งบพรบ!BI40"")"),0)</f>
        <v>0</v>
      </c>
      <c r="G40" s="151">
        <f ca="1">IFERROR(__xludf.DUMMYFUNCTION("IMPORTRANGE(""https://docs.google.com/spreadsheets/d/1-uDff_7J0KD5mKrp0Vvzr7lt3OU09vwQwhkpOPPYv2Y/edit?usp=sharing"",""งบพรบ!BJ40"")"),0)</f>
        <v>0</v>
      </c>
      <c r="H40" s="151">
        <f ca="1">IFERROR(__xludf.DUMMYFUNCTION("IMPORTRANGE(""https://docs.google.com/spreadsheets/d/1-uDff_7J0KD5mKrp0Vvzr7lt3OU09vwQwhkpOPPYv2Y/edit?usp=sharing"",""งบพรบ!BL40"")"),0)</f>
        <v>0</v>
      </c>
      <c r="I40" s="151">
        <f ca="1">IFERROR(__xludf.DUMMYFUNCTION("IMPORTRANGE(""https://docs.google.com/spreadsheets/d/1-uDff_7J0KD5mKrp0Vvzr7lt3OU09vwQwhkpOPPYv2Y/edit?usp=sharing"",""งบพรบ!BM40"")"),0)</f>
        <v>0</v>
      </c>
      <c r="J40" s="151">
        <f t="shared" ca="1" si="27"/>
        <v>0</v>
      </c>
      <c r="K40" s="154">
        <f t="shared" ca="1" si="28"/>
        <v>0</v>
      </c>
      <c r="L40" s="151">
        <f ca="1">IFERROR(__xludf.DUMMYFUNCTION("IMPORTRANGE(""https://docs.google.com/spreadsheets/d/1-uDff_7J0KD5mKrp0Vvzr7lt3OU09vwQwhkpOPPYv2Y/edit?usp=sharing"",""งบพรบ!BN40"")"),0)</f>
        <v>0</v>
      </c>
      <c r="M40" s="68">
        <f t="shared" ca="1" si="29"/>
        <v>0</v>
      </c>
      <c r="N40" s="68">
        <f t="shared" ca="1" si="30"/>
        <v>0</v>
      </c>
      <c r="O40" s="67">
        <f ca="1">IFERROR(__xludf.DUMMYFUNCTION("IMPORTRANGE(""https://docs.google.com/spreadsheets/d/1-uDff_7J0KD5mKrp0Vvzr7lt3OU09vwQwhkpOPPYv2Y/edit?usp=sharing"",""งบพรบ!BO40"")"),0)</f>
        <v>0</v>
      </c>
      <c r="P40" s="67">
        <f t="shared" ca="1" si="31"/>
        <v>0</v>
      </c>
      <c r="Q40" s="68">
        <f t="shared" ca="1" si="32"/>
        <v>0</v>
      </c>
      <c r="R40" s="67">
        <f ca="1">IFERROR(__xludf.DUMMYFUNCTION("IMPORTRANGE(""https://docs.google.com/spreadsheets/d/1uB74YLqNjWX6FObjekfB2NtSYigTQyR2rq9u4Ub2Sq4/edit?usp=sharing"",""มุกดาหาร!Q117"")"),227060)</f>
        <v>227060</v>
      </c>
      <c r="S40" s="67">
        <f ca="1">IFERROR(__xludf.DUMMYFUNCTION("IMPORTRANGE(""https://docs.google.com/spreadsheets/d/1uB74YLqNjWX6FObjekfB2NtSYigTQyR2rq9u4Ub2Sq4/edit?usp=sharing"",""มุกดาหาร!R117"")"),227060)</f>
        <v>227060</v>
      </c>
      <c r="T40" s="67">
        <f ca="1">IFERROR(__xludf.DUMMYFUNCTION("IMPORTRANGE(""https://docs.google.com/spreadsheets/d/1uB74YLqNjWX6FObjekfB2NtSYigTQyR2rq9u4Ub2Sq4/edit?usp=sharing"",""มุกดาหาร!S117"")"),173854)</f>
        <v>173854</v>
      </c>
      <c r="U40" s="68">
        <f t="shared" ca="1" si="34"/>
        <v>76.567427111776624</v>
      </c>
      <c r="V40" s="68">
        <f t="shared" ca="1" si="35"/>
        <v>76.567427111776624</v>
      </c>
      <c r="W40" s="78">
        <f ca="1">IFERROR(__xludf.DUMMYFUNCTION("IMPORTRANGE(""https://docs.google.com/spreadsheets/d/1uB74YLqNjWX6FObjekfB2NtSYigTQyR2rq9u4Ub2Sq4/edit?usp=sharing"",""มุกดาหาร!I127"")"),25)</f>
        <v>25</v>
      </c>
      <c r="X40" s="78">
        <f ca="1">IFERROR(__xludf.DUMMYFUNCTION("IMPORTRANGE(""https://docs.google.com/spreadsheets/d/1uB74YLqNjWX6FObjekfB2NtSYigTQyR2rq9u4Ub2Sq4/edit?usp=sharing"",""มุกดาหาร!J127"")"),25)</f>
        <v>25</v>
      </c>
      <c r="Y40" s="79">
        <f t="shared" ca="1" si="37"/>
        <v>100</v>
      </c>
      <c r="Z40" s="78">
        <f ca="1">IFERROR(__xludf.DUMMYFUNCTION("IMPORTRANGE(""https://docs.google.com/spreadsheets/d/1uB74YLqNjWX6FObjekfB2NtSYigTQyR2rq9u4Ub2Sq4/edit?usp=sharing"",""มุกดาหาร!J128"")"),1)</f>
        <v>1</v>
      </c>
      <c r="AA40" s="78">
        <f ca="1">IFERROR(__xludf.DUMMYFUNCTION("IMPORTRANGE(""https://docs.google.com/spreadsheets/d/1uB74YLqNjWX6FObjekfB2NtSYigTQyR2rq9u4Ub2Sq4/edit?usp=sharing"",""มุกดาหาร!I129"")"),25)</f>
        <v>25</v>
      </c>
      <c r="AB40" s="78">
        <f ca="1">IFERROR(__xludf.DUMMYFUNCTION("IMPORTRANGE(""https://docs.google.com/spreadsheets/d/1uB74YLqNjWX6FObjekfB2NtSYigTQyR2rq9u4Ub2Sq4/edit?usp=sharing"",""มุกดาหาร!J129"")"),25)</f>
        <v>25</v>
      </c>
      <c r="AC40" s="79">
        <f t="shared" ca="1" si="39"/>
        <v>100</v>
      </c>
      <c r="AD40" s="152">
        <f ca="1">IFERROR(__xludf.DUMMYFUNCTION("IMPORTRANGE(""https://docs.google.com/spreadsheets/d/1uB74YLqNjWX6FObjekfB2NtSYigTQyR2rq9u4Ub2Sq4/edit?usp=sharing"",""มุกดาหาร!J130"")"),1)</f>
        <v>1</v>
      </c>
      <c r="AE40" s="78">
        <v>0</v>
      </c>
      <c r="AF40" s="78">
        <v>0</v>
      </c>
      <c r="AG40" s="79">
        <v>0</v>
      </c>
    </row>
    <row r="41" spans="1:33" ht="19.5" x14ac:dyDescent="0.3">
      <c r="A41" s="147">
        <v>10</v>
      </c>
      <c r="B41" s="148" t="s">
        <v>69</v>
      </c>
      <c r="C41" s="149">
        <f t="shared" ca="1" si="25"/>
        <v>0</v>
      </c>
      <c r="D41" s="150">
        <f t="shared" ca="1" si="45"/>
        <v>0</v>
      </c>
      <c r="E41" s="151">
        <f ca="1">IFERROR(__xludf.DUMMYFUNCTION("IMPORTRANGE(""https://docs.google.com/spreadsheets/d/1-uDff_7J0KD5mKrp0Vvzr7lt3OU09vwQwhkpOPPYv2Y/edit?usp=sharing"",""งบพรบ!BH41"")"),0)</f>
        <v>0</v>
      </c>
      <c r="F41" s="151">
        <f ca="1">IFERROR(__xludf.DUMMYFUNCTION("IMPORTRANGE(""https://docs.google.com/spreadsheets/d/1-uDff_7J0KD5mKrp0Vvzr7lt3OU09vwQwhkpOPPYv2Y/edit?usp=sharing"",""งบพรบ!BI41"")"),0)</f>
        <v>0</v>
      </c>
      <c r="G41" s="151">
        <f ca="1">IFERROR(__xludf.DUMMYFUNCTION("IMPORTRANGE(""https://docs.google.com/spreadsheets/d/1-uDff_7J0KD5mKrp0Vvzr7lt3OU09vwQwhkpOPPYv2Y/edit?usp=sharing"",""งบพรบ!BJ41"")"),0)</f>
        <v>0</v>
      </c>
      <c r="H41" s="151">
        <f ca="1">IFERROR(__xludf.DUMMYFUNCTION("IMPORTRANGE(""https://docs.google.com/spreadsheets/d/1-uDff_7J0KD5mKrp0Vvzr7lt3OU09vwQwhkpOPPYv2Y/edit?usp=sharing"",""งบพรบ!BL41"")"),0)</f>
        <v>0</v>
      </c>
      <c r="I41" s="151">
        <f ca="1">IFERROR(__xludf.DUMMYFUNCTION("IMPORTRANGE(""https://docs.google.com/spreadsheets/d/1-uDff_7J0KD5mKrp0Vvzr7lt3OU09vwQwhkpOPPYv2Y/edit?usp=sharing"",""งบพรบ!BM41"")"),0)</f>
        <v>0</v>
      </c>
      <c r="J41" s="151">
        <f t="shared" ca="1" si="27"/>
        <v>0</v>
      </c>
      <c r="K41" s="154">
        <f t="shared" ca="1" si="28"/>
        <v>0</v>
      </c>
      <c r="L41" s="151">
        <f ca="1">IFERROR(__xludf.DUMMYFUNCTION("IMPORTRANGE(""https://docs.google.com/spreadsheets/d/1-uDff_7J0KD5mKrp0Vvzr7lt3OU09vwQwhkpOPPYv2Y/edit?usp=sharing"",""งบพรบ!BN41"")"),0)</f>
        <v>0</v>
      </c>
      <c r="M41" s="68">
        <f t="shared" ca="1" si="29"/>
        <v>0</v>
      </c>
      <c r="N41" s="68">
        <f t="shared" ca="1" si="30"/>
        <v>0</v>
      </c>
      <c r="O41" s="67">
        <f ca="1">IFERROR(__xludf.DUMMYFUNCTION("IMPORTRANGE(""https://docs.google.com/spreadsheets/d/1-uDff_7J0KD5mKrp0Vvzr7lt3OU09vwQwhkpOPPYv2Y/edit?usp=sharing"",""งบพรบ!BO41"")"),0)</f>
        <v>0</v>
      </c>
      <c r="P41" s="67">
        <f t="shared" ca="1" si="31"/>
        <v>0</v>
      </c>
      <c r="Q41" s="68">
        <f t="shared" ca="1" si="32"/>
        <v>0</v>
      </c>
      <c r="R41" s="67">
        <f ca="1">IFERROR(__xludf.DUMMYFUNCTION("IMPORTRANGE(""https://docs.google.com/spreadsheets/d/1NexK3geCPxCTO1fzNF8dPec7yZyUx3OaWkFBC9HsQOo/edit?usp=sharing"",""ยโสธร!Q117"")"),209360)</f>
        <v>209360</v>
      </c>
      <c r="S41" s="67">
        <f ca="1">IFERROR(__xludf.DUMMYFUNCTION("IMPORTRANGE(""https://docs.google.com/spreadsheets/d/1NexK3geCPxCTO1fzNF8dPec7yZyUx3OaWkFBC9HsQOo/edit?usp=sharing"",""ยโสธร!R117"")"),209360)</f>
        <v>209360</v>
      </c>
      <c r="T41" s="67">
        <f ca="1">IFERROR(__xludf.DUMMYFUNCTION("IMPORTRANGE(""https://docs.google.com/spreadsheets/d/1NexK3geCPxCTO1fzNF8dPec7yZyUx3OaWkFBC9HsQOo/edit?usp=sharing"",""ยโสธร!S117"")"),157782)</f>
        <v>157782</v>
      </c>
      <c r="U41" s="68">
        <f t="shared" ca="1" si="34"/>
        <v>75.363966373710355</v>
      </c>
      <c r="V41" s="68">
        <f t="shared" ca="1" si="35"/>
        <v>75.363966373710355</v>
      </c>
      <c r="W41" s="78">
        <f ca="1">IFERROR(__xludf.DUMMYFUNCTION("IMPORTRANGE(""https://docs.google.com/spreadsheets/d/1NexK3geCPxCTO1fzNF8dPec7yZyUx3OaWkFBC9HsQOo/edit?usp=sharing"",""ยโสธร!I127"")"),20)</f>
        <v>20</v>
      </c>
      <c r="X41" s="78">
        <f ca="1">IFERROR(__xludf.DUMMYFUNCTION("IMPORTRANGE(""https://docs.google.com/spreadsheets/d/1NexK3geCPxCTO1fzNF8dPec7yZyUx3OaWkFBC9HsQOo/edit?usp=sharing"",""ยโสธร!J127"")"),20)</f>
        <v>20</v>
      </c>
      <c r="Y41" s="79">
        <f t="shared" ca="1" si="37"/>
        <v>100</v>
      </c>
      <c r="Z41" s="78">
        <f ca="1">IFERROR(__xludf.DUMMYFUNCTION("IMPORTRANGE(""https://docs.google.com/spreadsheets/d/1NexK3geCPxCTO1fzNF8dPec7yZyUx3OaWkFBC9HsQOo/edit?usp=sharing"",""ยโสธร!J128"")"),1)</f>
        <v>1</v>
      </c>
      <c r="AA41" s="78">
        <f ca="1">IFERROR(__xludf.DUMMYFUNCTION("IMPORTRANGE(""https://docs.google.com/spreadsheets/d/1NexK3geCPxCTO1fzNF8dPec7yZyUx3OaWkFBC9HsQOo/edit?usp=sharing"",""ยโสธร!I129"")"),20)</f>
        <v>20</v>
      </c>
      <c r="AB41" s="78">
        <f ca="1">IFERROR(__xludf.DUMMYFUNCTION("IMPORTRANGE(""https://docs.google.com/spreadsheets/d/1NexK3geCPxCTO1fzNF8dPec7yZyUx3OaWkFBC9HsQOo/edit?usp=sharing"",""ยโสธร!J129"")"),20)</f>
        <v>20</v>
      </c>
      <c r="AC41" s="79">
        <f t="shared" ca="1" si="39"/>
        <v>100</v>
      </c>
      <c r="AD41" s="152">
        <f ca="1">IFERROR(__xludf.DUMMYFUNCTION("IMPORTRANGE(""https://docs.google.com/spreadsheets/d/1NexK3geCPxCTO1fzNF8dPec7yZyUx3OaWkFBC9HsQOo/edit?usp=sharing"",""ยโสธร!J130"")"),1)</f>
        <v>1</v>
      </c>
      <c r="AE41" s="78">
        <v>0</v>
      </c>
      <c r="AF41" s="78">
        <v>0</v>
      </c>
      <c r="AG41" s="79">
        <v>0</v>
      </c>
    </row>
    <row r="42" spans="1:33" ht="19.5" x14ac:dyDescent="0.3">
      <c r="A42" s="147">
        <v>11</v>
      </c>
      <c r="B42" s="148" t="s">
        <v>70</v>
      </c>
      <c r="C42" s="149">
        <f t="shared" ca="1" si="25"/>
        <v>0</v>
      </c>
      <c r="D42" s="150">
        <f t="shared" ca="1" si="45"/>
        <v>0</v>
      </c>
      <c r="E42" s="151">
        <f ca="1">IFERROR(__xludf.DUMMYFUNCTION("IMPORTRANGE(""https://docs.google.com/spreadsheets/d/1-uDff_7J0KD5mKrp0Vvzr7lt3OU09vwQwhkpOPPYv2Y/edit?usp=sharing"",""งบพรบ!BH42"")"),0)</f>
        <v>0</v>
      </c>
      <c r="F42" s="151">
        <f ca="1">IFERROR(__xludf.DUMMYFUNCTION("IMPORTRANGE(""https://docs.google.com/spreadsheets/d/1-uDff_7J0KD5mKrp0Vvzr7lt3OU09vwQwhkpOPPYv2Y/edit?usp=sharing"",""งบพรบ!BI42"")"),0)</f>
        <v>0</v>
      </c>
      <c r="G42" s="151">
        <f ca="1">IFERROR(__xludf.DUMMYFUNCTION("IMPORTRANGE(""https://docs.google.com/spreadsheets/d/1-uDff_7J0KD5mKrp0Vvzr7lt3OU09vwQwhkpOPPYv2Y/edit?usp=sharing"",""งบพรบ!BJ42"")"),0)</f>
        <v>0</v>
      </c>
      <c r="H42" s="151">
        <f ca="1">IFERROR(__xludf.DUMMYFUNCTION("IMPORTRANGE(""https://docs.google.com/spreadsheets/d/1-uDff_7J0KD5mKrp0Vvzr7lt3OU09vwQwhkpOPPYv2Y/edit?usp=sharing"",""งบพรบ!BL42"")"),0)</f>
        <v>0</v>
      </c>
      <c r="I42" s="151">
        <f ca="1">IFERROR(__xludf.DUMMYFUNCTION("IMPORTRANGE(""https://docs.google.com/spreadsheets/d/1-uDff_7J0KD5mKrp0Vvzr7lt3OU09vwQwhkpOPPYv2Y/edit?usp=sharing"",""งบพรบ!BM42"")"),0)</f>
        <v>0</v>
      </c>
      <c r="J42" s="151">
        <f t="shared" ca="1" si="27"/>
        <v>0</v>
      </c>
      <c r="K42" s="154">
        <f t="shared" ca="1" si="28"/>
        <v>0</v>
      </c>
      <c r="L42" s="151">
        <f ca="1">IFERROR(__xludf.DUMMYFUNCTION("IMPORTRANGE(""https://docs.google.com/spreadsheets/d/1-uDff_7J0KD5mKrp0Vvzr7lt3OU09vwQwhkpOPPYv2Y/edit?usp=sharing"",""งบพรบ!BN42"")"),0)</f>
        <v>0</v>
      </c>
      <c r="M42" s="68">
        <f t="shared" ca="1" si="29"/>
        <v>0</v>
      </c>
      <c r="N42" s="68">
        <f t="shared" ca="1" si="30"/>
        <v>0</v>
      </c>
      <c r="O42" s="67">
        <f ca="1">IFERROR(__xludf.DUMMYFUNCTION("IMPORTRANGE(""https://docs.google.com/spreadsheets/d/1-uDff_7J0KD5mKrp0Vvzr7lt3OU09vwQwhkpOPPYv2Y/edit?usp=sharing"",""งบพรบ!BO42"")"),0)</f>
        <v>0</v>
      </c>
      <c r="P42" s="67">
        <f t="shared" ca="1" si="31"/>
        <v>0</v>
      </c>
      <c r="Q42" s="68">
        <f t="shared" ca="1" si="32"/>
        <v>0</v>
      </c>
      <c r="R42" s="67">
        <f ca="1">IFERROR(__xludf.DUMMYFUNCTION("IMPORTRANGE(""https://docs.google.com/spreadsheets/d/1v_cJrbBlyqmnHPReHk44g9NrMRdENNlSy_E_c5M9fIg/edit?usp=sharing"",""ร้อยเอ็ด!Q117"")"),209360)</f>
        <v>209360</v>
      </c>
      <c r="S42" s="67">
        <f ca="1">IFERROR(__xludf.DUMMYFUNCTION("IMPORTRANGE(""https://docs.google.com/spreadsheets/d/1v_cJrbBlyqmnHPReHk44g9NrMRdENNlSy_E_c5M9fIg/edit?usp=sharing"",""ร้อยเอ็ด!R117"")"),209360)</f>
        <v>209360</v>
      </c>
      <c r="T42" s="67">
        <f ca="1">IFERROR(__xludf.DUMMYFUNCTION("IMPORTRANGE(""https://docs.google.com/spreadsheets/d/1v_cJrbBlyqmnHPReHk44g9NrMRdENNlSy_E_c5M9fIg/edit?usp=sharing"",""ร้อยเอ็ด!S117"")"),170899)</f>
        <v>170899</v>
      </c>
      <c r="U42" s="68">
        <f t="shared" ca="1" si="34"/>
        <v>81.629251050821551</v>
      </c>
      <c r="V42" s="68">
        <f t="shared" ca="1" si="35"/>
        <v>81.629251050821551</v>
      </c>
      <c r="W42" s="74">
        <f ca="1">IFERROR(__xludf.DUMMYFUNCTION("IMPORTRANGE(""https://docs.google.com/spreadsheets/d/1v_cJrbBlyqmnHPReHk44g9NrMRdENNlSy_E_c5M9fIg/edit?usp=sharing"",""ร้อยเอ็ด!I127"")"),20)</f>
        <v>20</v>
      </c>
      <c r="X42" s="74">
        <f ca="1">IFERROR(__xludf.DUMMYFUNCTION("IMPORTRANGE(""https://docs.google.com/spreadsheets/d/1v_cJrbBlyqmnHPReHk44g9NrMRdENNlSy_E_c5M9fIg/edit?usp=sharing"",""ร้อยเอ็ด!J127"")"),20)</f>
        <v>20</v>
      </c>
      <c r="Y42" s="79">
        <f t="shared" ca="1" si="37"/>
        <v>100</v>
      </c>
      <c r="Z42" s="74">
        <f ca="1">IFERROR(__xludf.DUMMYFUNCTION("IMPORTRANGE(""https://docs.google.com/spreadsheets/d/1v_cJrbBlyqmnHPReHk44g9NrMRdENNlSy_E_c5M9fIg/edit?usp=sharing"",""ร้อยเอ็ด!J128"")"),1)</f>
        <v>1</v>
      </c>
      <c r="AA42" s="74">
        <f ca="1">IFERROR(__xludf.DUMMYFUNCTION("IMPORTRANGE(""https://docs.google.com/spreadsheets/d/1v_cJrbBlyqmnHPReHk44g9NrMRdENNlSy_E_c5M9fIg/edit?usp=sharing"",""ร้อยเอ็ด!I129"")"),20)</f>
        <v>20</v>
      </c>
      <c r="AB42" s="74">
        <f ca="1">IFERROR(__xludf.DUMMYFUNCTION("IMPORTRANGE(""https://docs.google.com/spreadsheets/d/1v_cJrbBlyqmnHPReHk44g9NrMRdENNlSy_E_c5M9fIg/edit?usp=sharing"",""ร้อยเอ็ด!J129"")"),20)</f>
        <v>20</v>
      </c>
      <c r="AC42" s="79">
        <f t="shared" ca="1" si="39"/>
        <v>100</v>
      </c>
      <c r="AD42" s="152">
        <f ca="1">IFERROR(__xludf.DUMMYFUNCTION("IMPORTRANGE(""https://docs.google.com/spreadsheets/d/1v_cJrbBlyqmnHPReHk44g9NrMRdENNlSy_E_c5M9fIg/edit?usp=sharing"",""ร้อยเอ็ด!J130"")"),1)</f>
        <v>1</v>
      </c>
      <c r="AE42" s="74">
        <v>0</v>
      </c>
      <c r="AF42" s="74">
        <v>0</v>
      </c>
      <c r="AG42" s="79">
        <v>0</v>
      </c>
    </row>
    <row r="43" spans="1:33" ht="19.5" x14ac:dyDescent="0.3">
      <c r="A43" s="147">
        <v>12</v>
      </c>
      <c r="B43" s="148" t="s">
        <v>71</v>
      </c>
      <c r="C43" s="149">
        <f t="shared" ca="1" si="25"/>
        <v>0</v>
      </c>
      <c r="D43" s="150">
        <f t="shared" ca="1" si="45"/>
        <v>0</v>
      </c>
      <c r="E43" s="151">
        <f ca="1">IFERROR(__xludf.DUMMYFUNCTION("IMPORTRANGE(""https://docs.google.com/spreadsheets/d/1-uDff_7J0KD5mKrp0Vvzr7lt3OU09vwQwhkpOPPYv2Y/edit?usp=sharing"",""งบพรบ!BH43"")"),0)</f>
        <v>0</v>
      </c>
      <c r="F43" s="151">
        <f ca="1">IFERROR(__xludf.DUMMYFUNCTION("IMPORTRANGE(""https://docs.google.com/spreadsheets/d/1-uDff_7J0KD5mKrp0Vvzr7lt3OU09vwQwhkpOPPYv2Y/edit?usp=sharing"",""งบพรบ!BI43"")"),0)</f>
        <v>0</v>
      </c>
      <c r="G43" s="151">
        <f ca="1">IFERROR(__xludf.DUMMYFUNCTION("IMPORTRANGE(""https://docs.google.com/spreadsheets/d/1-uDff_7J0KD5mKrp0Vvzr7lt3OU09vwQwhkpOPPYv2Y/edit?usp=sharing"",""งบพรบ!BJ43"")"),0)</f>
        <v>0</v>
      </c>
      <c r="H43" s="151">
        <f ca="1">IFERROR(__xludf.DUMMYFUNCTION("IMPORTRANGE(""https://docs.google.com/spreadsheets/d/1-uDff_7J0KD5mKrp0Vvzr7lt3OU09vwQwhkpOPPYv2Y/edit?usp=sharing"",""งบพรบ!BL43"")"),0)</f>
        <v>0</v>
      </c>
      <c r="I43" s="151">
        <f ca="1">IFERROR(__xludf.DUMMYFUNCTION("IMPORTRANGE(""https://docs.google.com/spreadsheets/d/1-uDff_7J0KD5mKrp0Vvzr7lt3OU09vwQwhkpOPPYv2Y/edit?usp=sharing"",""งบพรบ!BM43"")"),0)</f>
        <v>0</v>
      </c>
      <c r="J43" s="151">
        <f t="shared" ca="1" si="27"/>
        <v>0</v>
      </c>
      <c r="K43" s="154">
        <f t="shared" ca="1" si="28"/>
        <v>0</v>
      </c>
      <c r="L43" s="151">
        <f ca="1">IFERROR(__xludf.DUMMYFUNCTION("IMPORTRANGE(""https://docs.google.com/spreadsheets/d/1-uDff_7J0KD5mKrp0Vvzr7lt3OU09vwQwhkpOPPYv2Y/edit?usp=sharing"",""งบพรบ!BN43"")"),0)</f>
        <v>0</v>
      </c>
      <c r="M43" s="68">
        <f t="shared" ca="1" si="29"/>
        <v>0</v>
      </c>
      <c r="N43" s="68">
        <f t="shared" ca="1" si="30"/>
        <v>0</v>
      </c>
      <c r="O43" s="67">
        <f ca="1">IFERROR(__xludf.DUMMYFUNCTION("IMPORTRANGE(""https://docs.google.com/spreadsheets/d/1-uDff_7J0KD5mKrp0Vvzr7lt3OU09vwQwhkpOPPYv2Y/edit?usp=sharing"",""งบพรบ!BO43"")"),0)</f>
        <v>0</v>
      </c>
      <c r="P43" s="67">
        <f t="shared" ca="1" si="31"/>
        <v>0</v>
      </c>
      <c r="Q43" s="68">
        <f t="shared" ca="1" si="32"/>
        <v>0</v>
      </c>
      <c r="R43" s="67">
        <f ca="1">IFERROR(__xludf.DUMMYFUNCTION("IMPORTRANGE(""https://docs.google.com/spreadsheets/d/1Ul4RCpCX66NxYADU1QpwAPjOmBzW64SsT11s1wzXw_c/edit?usp=sharing"",""เลย!Q117"")"),209360)</f>
        <v>209360</v>
      </c>
      <c r="S43" s="67">
        <f ca="1">IFERROR(__xludf.DUMMYFUNCTION("IMPORTRANGE(""https://docs.google.com/spreadsheets/d/1Ul4RCpCX66NxYADU1QpwAPjOmBzW64SsT11s1wzXw_c/edit?usp=sharing"",""เลย!R117"")"),209360)</f>
        <v>209360</v>
      </c>
      <c r="T43" s="67">
        <f ca="1">IFERROR(__xludf.DUMMYFUNCTION("IMPORTRANGE(""https://docs.google.com/spreadsheets/d/1Ul4RCpCX66NxYADU1QpwAPjOmBzW64SsT11s1wzXw_c/edit?usp=sharing"",""เลย!S117"")"),188777)</f>
        <v>188777</v>
      </c>
      <c r="U43" s="68">
        <f t="shared" ca="1" si="34"/>
        <v>90.168609094382887</v>
      </c>
      <c r="V43" s="68">
        <f t="shared" ca="1" si="35"/>
        <v>90.168609094382887</v>
      </c>
      <c r="W43" s="74">
        <f ca="1">IFERROR(__xludf.DUMMYFUNCTION("IMPORTRANGE(""https://docs.google.com/spreadsheets/d/1Ul4RCpCX66NxYADU1QpwAPjOmBzW64SsT11s1wzXw_c/edit?usp=sharing"",""เลย!I127"")"),20)</f>
        <v>20</v>
      </c>
      <c r="X43" s="74">
        <f ca="1">IFERROR(__xludf.DUMMYFUNCTION("IMPORTRANGE(""https://docs.google.com/spreadsheets/d/1Ul4RCpCX66NxYADU1QpwAPjOmBzW64SsT11s1wzXw_c/edit?usp=sharing"",""เลย!J127"")"),20)</f>
        <v>20</v>
      </c>
      <c r="Y43" s="79">
        <f t="shared" ca="1" si="37"/>
        <v>100</v>
      </c>
      <c r="Z43" s="74">
        <f ca="1">IFERROR(__xludf.DUMMYFUNCTION("IMPORTRANGE(""https://docs.google.com/spreadsheets/d/1Ul4RCpCX66NxYADU1QpwAPjOmBzW64SsT11s1wzXw_c/edit?usp=sharing"",""เลย!J128"")"),1)</f>
        <v>1</v>
      </c>
      <c r="AA43" s="74">
        <f ca="1">IFERROR(__xludf.DUMMYFUNCTION("IMPORTRANGE(""https://docs.google.com/spreadsheets/d/1Ul4RCpCX66NxYADU1QpwAPjOmBzW64SsT11s1wzXw_c/edit?usp=sharing"",""เลย!I129"")"),20)</f>
        <v>20</v>
      </c>
      <c r="AB43" s="74">
        <f ca="1">IFERROR(__xludf.DUMMYFUNCTION("IMPORTRANGE(""https://docs.google.com/spreadsheets/d/1Ul4RCpCX66NxYADU1QpwAPjOmBzW64SsT11s1wzXw_c/edit?usp=sharing"",""เลย!J129"")"),20)</f>
        <v>20</v>
      </c>
      <c r="AC43" s="79">
        <f t="shared" ca="1" si="39"/>
        <v>100</v>
      </c>
      <c r="AD43" s="152">
        <f ca="1">IFERROR(__xludf.DUMMYFUNCTION("IMPORTRANGE(""https://docs.google.com/spreadsheets/d/1Ul4RCpCX66NxYADU1QpwAPjOmBzW64SsT11s1wzXw_c/edit?usp=sharing"",""เลย!J130"")"),1)</f>
        <v>1</v>
      </c>
      <c r="AE43" s="74">
        <v>0</v>
      </c>
      <c r="AF43" s="74">
        <v>0</v>
      </c>
      <c r="AG43" s="79">
        <v>0</v>
      </c>
    </row>
    <row r="44" spans="1:33" ht="19.5" x14ac:dyDescent="0.3">
      <c r="A44" s="147">
        <v>13</v>
      </c>
      <c r="B44" s="148" t="s">
        <v>72</v>
      </c>
      <c r="C44" s="149">
        <f t="shared" ca="1" si="25"/>
        <v>0</v>
      </c>
      <c r="D44" s="150">
        <f t="shared" ca="1" si="45"/>
        <v>0</v>
      </c>
      <c r="E44" s="151">
        <f ca="1">IFERROR(__xludf.DUMMYFUNCTION("IMPORTRANGE(""https://docs.google.com/spreadsheets/d/1-uDff_7J0KD5mKrp0Vvzr7lt3OU09vwQwhkpOPPYv2Y/edit?usp=sharing"",""งบพรบ!BH44"")"),0)</f>
        <v>0</v>
      </c>
      <c r="F44" s="151">
        <f ca="1">IFERROR(__xludf.DUMMYFUNCTION("IMPORTRANGE(""https://docs.google.com/spreadsheets/d/1-uDff_7J0KD5mKrp0Vvzr7lt3OU09vwQwhkpOPPYv2Y/edit?usp=sharing"",""งบพรบ!BI44"")"),0)</f>
        <v>0</v>
      </c>
      <c r="G44" s="151">
        <f ca="1">IFERROR(__xludf.DUMMYFUNCTION("IMPORTRANGE(""https://docs.google.com/spreadsheets/d/1-uDff_7J0KD5mKrp0Vvzr7lt3OU09vwQwhkpOPPYv2Y/edit?usp=sharing"",""งบพรบ!BJ44"")"),0)</f>
        <v>0</v>
      </c>
      <c r="H44" s="151">
        <f ca="1">IFERROR(__xludf.DUMMYFUNCTION("IMPORTRANGE(""https://docs.google.com/spreadsheets/d/1-uDff_7J0KD5mKrp0Vvzr7lt3OU09vwQwhkpOPPYv2Y/edit?usp=sharing"",""งบพรบ!BL44"")"),0)</f>
        <v>0</v>
      </c>
      <c r="I44" s="151">
        <f ca="1">IFERROR(__xludf.DUMMYFUNCTION("IMPORTRANGE(""https://docs.google.com/spreadsheets/d/1-uDff_7J0KD5mKrp0Vvzr7lt3OU09vwQwhkpOPPYv2Y/edit?usp=sharing"",""งบพรบ!BM44"")"),0)</f>
        <v>0</v>
      </c>
      <c r="J44" s="151">
        <f t="shared" ca="1" si="27"/>
        <v>0</v>
      </c>
      <c r="K44" s="154">
        <f t="shared" ca="1" si="28"/>
        <v>0</v>
      </c>
      <c r="L44" s="151">
        <f ca="1">IFERROR(__xludf.DUMMYFUNCTION("IMPORTRANGE(""https://docs.google.com/spreadsheets/d/1-uDff_7J0KD5mKrp0Vvzr7lt3OU09vwQwhkpOPPYv2Y/edit?usp=sharing"",""งบพรบ!BN44"")"),0)</f>
        <v>0</v>
      </c>
      <c r="M44" s="68">
        <f t="shared" ca="1" si="29"/>
        <v>0</v>
      </c>
      <c r="N44" s="68">
        <f t="shared" ca="1" si="30"/>
        <v>0</v>
      </c>
      <c r="O44" s="67">
        <f ca="1">IFERROR(__xludf.DUMMYFUNCTION("IMPORTRANGE(""https://docs.google.com/spreadsheets/d/1-uDff_7J0KD5mKrp0Vvzr7lt3OU09vwQwhkpOPPYv2Y/edit?usp=sharing"",""งบพรบ!BO44"")"),0)</f>
        <v>0</v>
      </c>
      <c r="P44" s="67">
        <f t="shared" ca="1" si="31"/>
        <v>0</v>
      </c>
      <c r="Q44" s="68">
        <f t="shared" ca="1" si="32"/>
        <v>0</v>
      </c>
      <c r="R44" s="67">
        <f ca="1">IFERROR(__xludf.DUMMYFUNCTION("IMPORTRANGE(""https://docs.google.com/spreadsheets/d/1bRrNKwbHDVktQG10isr5vbWRtt5spIZPpkOSWgbT5ug/edit?usp=sharing"",""ศรีสะเกษ!Q117"")"),227090)</f>
        <v>227090</v>
      </c>
      <c r="S44" s="67">
        <f ca="1">IFERROR(__xludf.DUMMYFUNCTION("IMPORTRANGE(""https://docs.google.com/spreadsheets/d/1bRrNKwbHDVktQG10isr5vbWRtt5spIZPpkOSWgbT5ug/edit?usp=sharing"",""ศรีสะเกษ!R117"")"),227090)</f>
        <v>227090</v>
      </c>
      <c r="T44" s="67">
        <f ca="1">IFERROR(__xludf.DUMMYFUNCTION("IMPORTRANGE(""https://docs.google.com/spreadsheets/d/1bRrNKwbHDVktQG10isr5vbWRtt5spIZPpkOSWgbT5ug/edit?usp=sharing"",""ศรีสะเกษ!S117"")"),180557.65)</f>
        <v>180557.65</v>
      </c>
      <c r="U44" s="68">
        <f t="shared" ca="1" si="34"/>
        <v>79.509291470342149</v>
      </c>
      <c r="V44" s="68">
        <f t="shared" ca="1" si="35"/>
        <v>79.509291470342149</v>
      </c>
      <c r="W44" s="74">
        <f ca="1">IFERROR(__xludf.DUMMYFUNCTION("IMPORTRANGE(""https://docs.google.com/spreadsheets/d/1bRrNKwbHDVktQG10isr5vbWRtt5spIZPpkOSWgbT5ug/edit?usp=sharing"",""ศรีสะเกษ!I127"")"),25)</f>
        <v>25</v>
      </c>
      <c r="X44" s="74">
        <f ca="1">IFERROR(__xludf.DUMMYFUNCTION("IMPORTRANGE(""https://docs.google.com/spreadsheets/d/1bRrNKwbHDVktQG10isr5vbWRtt5spIZPpkOSWgbT5ug/edit?usp=sharing"",""ศรีสะเกษ!J127"")"),25)</f>
        <v>25</v>
      </c>
      <c r="Y44" s="79">
        <f t="shared" ca="1" si="37"/>
        <v>100</v>
      </c>
      <c r="Z44" s="74">
        <f ca="1">IFERROR(__xludf.DUMMYFUNCTION("IMPORTRANGE(""https://docs.google.com/spreadsheets/d/1bRrNKwbHDVktQG10isr5vbWRtt5spIZPpkOSWgbT5ug/edit?usp=sharing"",""ศรีสะเกษ!J128"")"),1)</f>
        <v>1</v>
      </c>
      <c r="AA44" s="74">
        <f ca="1">IFERROR(__xludf.DUMMYFUNCTION("IMPORTRANGE(""https://docs.google.com/spreadsheets/d/1bRrNKwbHDVktQG10isr5vbWRtt5spIZPpkOSWgbT5ug/edit?usp=sharing"",""ศรีสะเกษ!I129"")"),25)</f>
        <v>25</v>
      </c>
      <c r="AB44" s="74">
        <f ca="1">IFERROR(__xludf.DUMMYFUNCTION("IMPORTRANGE(""https://docs.google.com/spreadsheets/d/1bRrNKwbHDVktQG10isr5vbWRtt5spIZPpkOSWgbT5ug/edit?usp=sharing"",""ศรีสะเกษ!J129"")"),25)</f>
        <v>25</v>
      </c>
      <c r="AC44" s="79">
        <f t="shared" ca="1" si="39"/>
        <v>100</v>
      </c>
      <c r="AD44" s="152">
        <f ca="1">IFERROR(__xludf.DUMMYFUNCTION("IMPORTRANGE(""https://docs.google.com/spreadsheets/d/1bRrNKwbHDVktQG10isr5vbWRtt5spIZPpkOSWgbT5ug/edit?usp=sharing"",""ศรีสะเกษ!J130"")"),1)</f>
        <v>1</v>
      </c>
      <c r="AE44" s="74">
        <v>0</v>
      </c>
      <c r="AF44" s="74">
        <v>0</v>
      </c>
      <c r="AG44" s="79">
        <v>0</v>
      </c>
    </row>
    <row r="45" spans="1:33" ht="19.5" x14ac:dyDescent="0.3">
      <c r="A45" s="147">
        <v>14</v>
      </c>
      <c r="B45" s="148" t="s">
        <v>73</v>
      </c>
      <c r="C45" s="149">
        <f t="shared" ca="1" si="25"/>
        <v>0</v>
      </c>
      <c r="D45" s="150">
        <f t="shared" ca="1" si="45"/>
        <v>0</v>
      </c>
      <c r="E45" s="151">
        <f ca="1">IFERROR(__xludf.DUMMYFUNCTION("IMPORTRANGE(""https://docs.google.com/spreadsheets/d/1-uDff_7J0KD5mKrp0Vvzr7lt3OU09vwQwhkpOPPYv2Y/edit?usp=sharing"",""งบพรบ!BH45"")"),0)</f>
        <v>0</v>
      </c>
      <c r="F45" s="151">
        <f ca="1">IFERROR(__xludf.DUMMYFUNCTION("IMPORTRANGE(""https://docs.google.com/spreadsheets/d/1-uDff_7J0KD5mKrp0Vvzr7lt3OU09vwQwhkpOPPYv2Y/edit?usp=sharing"",""งบพรบ!BI45"")"),0)</f>
        <v>0</v>
      </c>
      <c r="G45" s="151">
        <f ca="1">IFERROR(__xludf.DUMMYFUNCTION("IMPORTRANGE(""https://docs.google.com/spreadsheets/d/1-uDff_7J0KD5mKrp0Vvzr7lt3OU09vwQwhkpOPPYv2Y/edit?usp=sharing"",""งบพรบ!BJ45"")"),0)</f>
        <v>0</v>
      </c>
      <c r="H45" s="151">
        <f ca="1">IFERROR(__xludf.DUMMYFUNCTION("IMPORTRANGE(""https://docs.google.com/spreadsheets/d/1-uDff_7J0KD5mKrp0Vvzr7lt3OU09vwQwhkpOPPYv2Y/edit?usp=sharing"",""งบพรบ!BL45"")"),0)</f>
        <v>0</v>
      </c>
      <c r="I45" s="151">
        <f ca="1">IFERROR(__xludf.DUMMYFUNCTION("IMPORTRANGE(""https://docs.google.com/spreadsheets/d/1-uDff_7J0KD5mKrp0Vvzr7lt3OU09vwQwhkpOPPYv2Y/edit?usp=sharing"",""งบพรบ!BM45"")"),0)</f>
        <v>0</v>
      </c>
      <c r="J45" s="151">
        <f t="shared" ca="1" si="27"/>
        <v>0</v>
      </c>
      <c r="K45" s="154">
        <f t="shared" ca="1" si="28"/>
        <v>0</v>
      </c>
      <c r="L45" s="151">
        <f ca="1">IFERROR(__xludf.DUMMYFUNCTION("IMPORTRANGE(""https://docs.google.com/spreadsheets/d/1-uDff_7J0KD5mKrp0Vvzr7lt3OU09vwQwhkpOPPYv2Y/edit?usp=sharing"",""งบพรบ!BN45"")"),0)</f>
        <v>0</v>
      </c>
      <c r="M45" s="68">
        <f t="shared" ca="1" si="29"/>
        <v>0</v>
      </c>
      <c r="N45" s="68">
        <f t="shared" ca="1" si="30"/>
        <v>0</v>
      </c>
      <c r="O45" s="67">
        <f ca="1">IFERROR(__xludf.DUMMYFUNCTION("IMPORTRANGE(""https://docs.google.com/spreadsheets/d/1-uDff_7J0KD5mKrp0Vvzr7lt3OU09vwQwhkpOPPYv2Y/edit?usp=sharing"",""งบพรบ!BO45"")"),0)</f>
        <v>0</v>
      </c>
      <c r="P45" s="67">
        <f t="shared" ca="1" si="31"/>
        <v>0</v>
      </c>
      <c r="Q45" s="68">
        <f t="shared" ca="1" si="32"/>
        <v>0</v>
      </c>
      <c r="R45" s="67">
        <f ca="1">IFERROR(__xludf.DUMMYFUNCTION("IMPORTRANGE(""https://docs.google.com/spreadsheets/d/17P34_Ow5kFBfdQD0qspb2UuPX5zpi6WMrQzslghyvrI/edit?usp=sharing"",""สกลนคร!Q117"")"),188160)</f>
        <v>188160</v>
      </c>
      <c r="S45" s="67">
        <f ca="1">IFERROR(__xludf.DUMMYFUNCTION("IMPORTRANGE(""https://docs.google.com/spreadsheets/d/17P34_Ow5kFBfdQD0qspb2UuPX5zpi6WMrQzslghyvrI/edit?usp=sharing"",""สกลนคร!R117"")"),188160)</f>
        <v>188160</v>
      </c>
      <c r="T45" s="67">
        <f ca="1">IFERROR(__xludf.DUMMYFUNCTION("IMPORTRANGE(""https://docs.google.com/spreadsheets/d/17P34_Ow5kFBfdQD0qspb2UuPX5zpi6WMrQzslghyvrI/edit?usp=sharing"",""สกลนคร!S117"")"),157021)</f>
        <v>157021</v>
      </c>
      <c r="U45" s="68">
        <f t="shared" ca="1" si="34"/>
        <v>83.450786564625844</v>
      </c>
      <c r="V45" s="68">
        <f t="shared" ca="1" si="35"/>
        <v>83.450786564625844</v>
      </c>
      <c r="W45" s="74">
        <f ca="1">IFERROR(__xludf.DUMMYFUNCTION("IMPORTRANGE(""https://docs.google.com/spreadsheets/d/17P34_Ow5kFBfdQD0qspb2UuPX5zpi6WMrQzslghyvrI/edit?usp=sharing"",""สกลนคร!I127"")"),14)</f>
        <v>14</v>
      </c>
      <c r="X45" s="74">
        <f ca="1">IFERROR(__xludf.DUMMYFUNCTION("IMPORTRANGE(""https://docs.google.com/spreadsheets/d/17P34_Ow5kFBfdQD0qspb2UuPX5zpi6WMrQzslghyvrI/edit?usp=sharing"",""สกลนคร!J127"")"),14)</f>
        <v>14</v>
      </c>
      <c r="Y45" s="79">
        <f t="shared" ca="1" si="37"/>
        <v>100</v>
      </c>
      <c r="Z45" s="74">
        <f ca="1">IFERROR(__xludf.DUMMYFUNCTION("IMPORTRANGE(""https://docs.google.com/spreadsheets/d/17P34_Ow5kFBfdQD0qspb2UuPX5zpi6WMrQzslghyvrI/edit?usp=sharing"",""สกลนคร!J128"")"),1)</f>
        <v>1</v>
      </c>
      <c r="AA45" s="74">
        <f ca="1">IFERROR(__xludf.DUMMYFUNCTION("IMPORTRANGE(""https://docs.google.com/spreadsheets/d/17P34_Ow5kFBfdQD0qspb2UuPX5zpi6WMrQzslghyvrI/edit?usp=sharing"",""สกลนคร!I129"")"),14)</f>
        <v>14</v>
      </c>
      <c r="AB45" s="74">
        <f ca="1">IFERROR(__xludf.DUMMYFUNCTION("IMPORTRANGE(""https://docs.google.com/spreadsheets/d/17P34_Ow5kFBfdQD0qspb2UuPX5zpi6WMrQzslghyvrI/edit?usp=sharing"",""สกลนคร!J129"")"),14)</f>
        <v>14</v>
      </c>
      <c r="AC45" s="79">
        <f t="shared" ca="1" si="39"/>
        <v>100</v>
      </c>
      <c r="AD45" s="152">
        <f ca="1">IFERROR(__xludf.DUMMYFUNCTION("IMPORTRANGE(""https://docs.google.com/spreadsheets/d/17P34_Ow5kFBfdQD0qspb2UuPX5zpi6WMrQzslghyvrI/edit?usp=sharing"",""สกลนคร!J130"")"),1)</f>
        <v>1</v>
      </c>
      <c r="AE45" s="74">
        <v>0</v>
      </c>
      <c r="AF45" s="74">
        <v>0</v>
      </c>
      <c r="AG45" s="79">
        <v>0</v>
      </c>
    </row>
    <row r="46" spans="1:33" ht="19.5" x14ac:dyDescent="0.3">
      <c r="A46" s="147">
        <v>15</v>
      </c>
      <c r="B46" s="148" t="s">
        <v>74</v>
      </c>
      <c r="C46" s="149">
        <f t="shared" ca="1" si="25"/>
        <v>0</v>
      </c>
      <c r="D46" s="150">
        <f t="shared" ca="1" si="45"/>
        <v>0</v>
      </c>
      <c r="E46" s="151">
        <f ca="1">IFERROR(__xludf.DUMMYFUNCTION("IMPORTRANGE(""https://docs.google.com/spreadsheets/d/1-uDff_7J0KD5mKrp0Vvzr7lt3OU09vwQwhkpOPPYv2Y/edit?usp=sharing"",""งบพรบ!BH46"")"),0)</f>
        <v>0</v>
      </c>
      <c r="F46" s="151">
        <f ca="1">IFERROR(__xludf.DUMMYFUNCTION("IMPORTRANGE(""https://docs.google.com/spreadsheets/d/1-uDff_7J0KD5mKrp0Vvzr7lt3OU09vwQwhkpOPPYv2Y/edit?usp=sharing"",""งบพรบ!BI46"")"),0)</f>
        <v>0</v>
      </c>
      <c r="G46" s="151">
        <f ca="1">IFERROR(__xludf.DUMMYFUNCTION("IMPORTRANGE(""https://docs.google.com/spreadsheets/d/1-uDff_7J0KD5mKrp0Vvzr7lt3OU09vwQwhkpOPPYv2Y/edit?usp=sharing"",""งบพรบ!BJ46"")"),0)</f>
        <v>0</v>
      </c>
      <c r="H46" s="151">
        <f ca="1">IFERROR(__xludf.DUMMYFUNCTION("IMPORTRANGE(""https://docs.google.com/spreadsheets/d/1-uDff_7J0KD5mKrp0Vvzr7lt3OU09vwQwhkpOPPYv2Y/edit?usp=sharing"",""งบพรบ!BL46"")"),0)</f>
        <v>0</v>
      </c>
      <c r="I46" s="151">
        <f ca="1">IFERROR(__xludf.DUMMYFUNCTION("IMPORTRANGE(""https://docs.google.com/spreadsheets/d/1-uDff_7J0KD5mKrp0Vvzr7lt3OU09vwQwhkpOPPYv2Y/edit?usp=sharing"",""งบพรบ!BM46"")"),0)</f>
        <v>0</v>
      </c>
      <c r="J46" s="151">
        <f t="shared" ca="1" si="27"/>
        <v>0</v>
      </c>
      <c r="K46" s="154">
        <f t="shared" ca="1" si="28"/>
        <v>0</v>
      </c>
      <c r="L46" s="151">
        <f ca="1">IFERROR(__xludf.DUMMYFUNCTION("IMPORTRANGE(""https://docs.google.com/spreadsheets/d/1-uDff_7J0KD5mKrp0Vvzr7lt3OU09vwQwhkpOPPYv2Y/edit?usp=sharing"",""งบพรบ!BN46"")"),0)</f>
        <v>0</v>
      </c>
      <c r="M46" s="68">
        <f t="shared" ca="1" si="29"/>
        <v>0</v>
      </c>
      <c r="N46" s="68">
        <f t="shared" ca="1" si="30"/>
        <v>0</v>
      </c>
      <c r="O46" s="67">
        <f ca="1">IFERROR(__xludf.DUMMYFUNCTION("IMPORTRANGE(""https://docs.google.com/spreadsheets/d/1-uDff_7J0KD5mKrp0Vvzr7lt3OU09vwQwhkpOPPYv2Y/edit?usp=sharing"",""งบพรบ!BO46"")"),0)</f>
        <v>0</v>
      </c>
      <c r="P46" s="67">
        <f t="shared" ca="1" si="31"/>
        <v>0</v>
      </c>
      <c r="Q46" s="68">
        <f t="shared" ca="1" si="32"/>
        <v>0</v>
      </c>
      <c r="R46" s="67">
        <f ca="1">IFERROR(__xludf.DUMMYFUNCTION("IMPORTRANGE(""https://docs.google.com/spreadsheets/d/1yswqbM3-AEpThF3ZSUa1AcmHnmRTF1vlJ1CZGcJ8YuU/edit?usp=sharing"",""สุรินทร์!Q117"")"),296720)</f>
        <v>296720</v>
      </c>
      <c r="S46" s="67">
        <f ca="1">IFERROR(__xludf.DUMMYFUNCTION("IMPORTRANGE(""https://docs.google.com/spreadsheets/d/1yswqbM3-AEpThF3ZSUa1AcmHnmRTF1vlJ1CZGcJ8YuU/edit?usp=sharing"",""สุรินทร์!R117"")"),296720)</f>
        <v>296720</v>
      </c>
      <c r="T46" s="67">
        <f ca="1">IFERROR(__xludf.DUMMYFUNCTION("IMPORTRANGE(""https://docs.google.com/spreadsheets/d/1yswqbM3-AEpThF3ZSUa1AcmHnmRTF1vlJ1CZGcJ8YuU/edit?usp=sharing"",""สุรินทร์!S117"")"),199530.25)</f>
        <v>199530.25</v>
      </c>
      <c r="U46" s="68">
        <f t="shared" ca="1" si="34"/>
        <v>67.245298598004851</v>
      </c>
      <c r="V46" s="68">
        <f t="shared" ca="1" si="35"/>
        <v>67.245298598004851</v>
      </c>
      <c r="W46" s="74">
        <f ca="1">IFERROR(__xludf.DUMMYFUNCTION("IMPORTRANGE(""https://docs.google.com/spreadsheets/d/1yswqbM3-AEpThF3ZSUa1AcmHnmRTF1vlJ1CZGcJ8YuU/edit?usp=sharing"",""สุรินทร์!I127"")"),55)</f>
        <v>55</v>
      </c>
      <c r="X46" s="74">
        <f ca="1">IFERROR(__xludf.DUMMYFUNCTION("IMPORTRANGE(""https://docs.google.com/spreadsheets/d/1yswqbM3-AEpThF3ZSUa1AcmHnmRTF1vlJ1CZGcJ8YuU/edit?usp=sharing"",""สุรินทร์!J127"")"),55)</f>
        <v>55</v>
      </c>
      <c r="Y46" s="79">
        <f t="shared" ca="1" si="37"/>
        <v>100</v>
      </c>
      <c r="Z46" s="74">
        <f ca="1">IFERROR(__xludf.DUMMYFUNCTION("IMPORTRANGE(""https://docs.google.com/spreadsheets/d/1yswqbM3-AEpThF3ZSUa1AcmHnmRTF1vlJ1CZGcJ8YuU/edit?usp=sharing"",""สุรินทร์!J128"")"),2)</f>
        <v>2</v>
      </c>
      <c r="AA46" s="74">
        <f ca="1">IFERROR(__xludf.DUMMYFUNCTION("IMPORTRANGE(""https://docs.google.com/spreadsheets/d/1yswqbM3-AEpThF3ZSUa1AcmHnmRTF1vlJ1CZGcJ8YuU/edit?usp=sharing"",""สุรินทร์!I129"")"),20)</f>
        <v>20</v>
      </c>
      <c r="AB46" s="74">
        <f ca="1">IFERROR(__xludf.DUMMYFUNCTION("IMPORTRANGE(""https://docs.google.com/spreadsheets/d/1yswqbM3-AEpThF3ZSUa1AcmHnmRTF1vlJ1CZGcJ8YuU/edit?usp=sharing"",""สุรินทร์!J129"")"),20)</f>
        <v>20</v>
      </c>
      <c r="AC46" s="79">
        <f t="shared" ca="1" si="39"/>
        <v>100</v>
      </c>
      <c r="AD46" s="152">
        <f ca="1">IFERROR(__xludf.DUMMYFUNCTION("IMPORTRANGE(""https://docs.google.com/spreadsheets/d/1yswqbM3-AEpThF3ZSUa1AcmHnmRTF1vlJ1CZGcJ8YuU/edit?usp=sharing"",""สุรินทร์!J130"")"),1)</f>
        <v>1</v>
      </c>
      <c r="AE46" s="74">
        <v>0</v>
      </c>
      <c r="AF46" s="74">
        <v>0</v>
      </c>
      <c r="AG46" s="79">
        <v>0</v>
      </c>
    </row>
    <row r="47" spans="1:33" ht="19.5" x14ac:dyDescent="0.3">
      <c r="A47" s="147">
        <v>16</v>
      </c>
      <c r="B47" s="148" t="s">
        <v>75</v>
      </c>
      <c r="C47" s="149">
        <f t="shared" ca="1" si="25"/>
        <v>0</v>
      </c>
      <c r="D47" s="150">
        <f t="shared" ca="1" si="45"/>
        <v>0</v>
      </c>
      <c r="E47" s="151">
        <f ca="1">IFERROR(__xludf.DUMMYFUNCTION("IMPORTRANGE(""https://docs.google.com/spreadsheets/d/1-uDff_7J0KD5mKrp0Vvzr7lt3OU09vwQwhkpOPPYv2Y/edit?usp=sharing"",""งบพรบ!BH47"")"),0)</f>
        <v>0</v>
      </c>
      <c r="F47" s="151">
        <f ca="1">IFERROR(__xludf.DUMMYFUNCTION("IMPORTRANGE(""https://docs.google.com/spreadsheets/d/1-uDff_7J0KD5mKrp0Vvzr7lt3OU09vwQwhkpOPPYv2Y/edit?usp=sharing"",""งบพรบ!BI47"")"),0)</f>
        <v>0</v>
      </c>
      <c r="G47" s="151">
        <f ca="1">IFERROR(__xludf.DUMMYFUNCTION("IMPORTRANGE(""https://docs.google.com/spreadsheets/d/1-uDff_7J0KD5mKrp0Vvzr7lt3OU09vwQwhkpOPPYv2Y/edit?usp=sharing"",""งบพรบ!BJ47"")"),0)</f>
        <v>0</v>
      </c>
      <c r="H47" s="151">
        <f ca="1">IFERROR(__xludf.DUMMYFUNCTION("IMPORTRANGE(""https://docs.google.com/spreadsheets/d/1-uDff_7J0KD5mKrp0Vvzr7lt3OU09vwQwhkpOPPYv2Y/edit?usp=sharing"",""งบพรบ!BL47"")"),0)</f>
        <v>0</v>
      </c>
      <c r="I47" s="151">
        <f ca="1">IFERROR(__xludf.DUMMYFUNCTION("IMPORTRANGE(""https://docs.google.com/spreadsheets/d/1-uDff_7J0KD5mKrp0Vvzr7lt3OU09vwQwhkpOPPYv2Y/edit?usp=sharing"",""งบพรบ!BM47"")"),0)</f>
        <v>0</v>
      </c>
      <c r="J47" s="151">
        <f t="shared" ca="1" si="27"/>
        <v>0</v>
      </c>
      <c r="K47" s="154">
        <f t="shared" ca="1" si="28"/>
        <v>0</v>
      </c>
      <c r="L47" s="151">
        <f ca="1">IFERROR(__xludf.DUMMYFUNCTION("IMPORTRANGE(""https://docs.google.com/spreadsheets/d/1-uDff_7J0KD5mKrp0Vvzr7lt3OU09vwQwhkpOPPYv2Y/edit?usp=sharing"",""งบพรบ!BN47"")"),0)</f>
        <v>0</v>
      </c>
      <c r="M47" s="68">
        <f t="shared" ca="1" si="29"/>
        <v>0</v>
      </c>
      <c r="N47" s="68">
        <f t="shared" ca="1" si="30"/>
        <v>0</v>
      </c>
      <c r="O47" s="67">
        <f ca="1">IFERROR(__xludf.DUMMYFUNCTION("IMPORTRANGE(""https://docs.google.com/spreadsheets/d/1-uDff_7J0KD5mKrp0Vvzr7lt3OU09vwQwhkpOPPYv2Y/edit?usp=sharing"",""งบพรบ!BO47"")"),0)</f>
        <v>0</v>
      </c>
      <c r="P47" s="67">
        <f t="shared" ca="1" si="31"/>
        <v>0</v>
      </c>
      <c r="Q47" s="68">
        <f t="shared" ca="1" si="32"/>
        <v>0</v>
      </c>
      <c r="R47" s="67">
        <f ca="1">IFERROR(__xludf.DUMMYFUNCTION("IMPORTRANGE(""https://docs.google.com/spreadsheets/d/13JHU_EFbsQOUQ0JSQ3dWy1VTRosIWcDq6Nc99z2qzdc/edit?usp=sharing"",""หนองคาย!Q117"")"),244860)</f>
        <v>244860</v>
      </c>
      <c r="S47" s="67">
        <f ca="1">IFERROR(__xludf.DUMMYFUNCTION("IMPORTRANGE(""https://docs.google.com/spreadsheets/d/13JHU_EFbsQOUQ0JSQ3dWy1VTRosIWcDq6Nc99z2qzdc/edit?usp=sharing"",""หนองคาย!R117"")"),244860)</f>
        <v>244860</v>
      </c>
      <c r="T47" s="67">
        <f ca="1">IFERROR(__xludf.DUMMYFUNCTION("IMPORTRANGE(""https://docs.google.com/spreadsheets/d/13JHU_EFbsQOUQ0JSQ3dWy1VTRosIWcDq6Nc99z2qzdc/edit?usp=sharing"",""หนองคาย!S117"")"),197549)</f>
        <v>197549</v>
      </c>
      <c r="U47" s="68">
        <f t="shared" ca="1" si="34"/>
        <v>80.678346810422283</v>
      </c>
      <c r="V47" s="68">
        <f t="shared" ca="1" si="35"/>
        <v>80.678346810422283</v>
      </c>
      <c r="W47" s="74">
        <f ca="1">IFERROR(__xludf.DUMMYFUNCTION("IMPORTRANGE(""https://docs.google.com/spreadsheets/d/13JHU_EFbsQOUQ0JSQ3dWy1VTRosIWcDq6Nc99z2qzdc/edit?usp=sharing"",""หนองคาย!I127"")"),30)</f>
        <v>30</v>
      </c>
      <c r="X47" s="74">
        <f ca="1">IFERROR(__xludf.DUMMYFUNCTION("IMPORTRANGE(""https://docs.google.com/spreadsheets/d/13JHU_EFbsQOUQ0JSQ3dWy1VTRosIWcDq6Nc99z2qzdc/edit?usp=sharing"",""หนองคาย!J127"")"),30)</f>
        <v>30</v>
      </c>
      <c r="Y47" s="79">
        <f t="shared" ca="1" si="37"/>
        <v>100</v>
      </c>
      <c r="Z47" s="74">
        <f ca="1">IFERROR(__xludf.DUMMYFUNCTION("IMPORTRANGE(""https://docs.google.com/spreadsheets/d/13JHU_EFbsQOUQ0JSQ3dWy1VTRosIWcDq6Nc99z2qzdc/edit?usp=sharing"",""หนองคาย!J128"")"),1)</f>
        <v>1</v>
      </c>
      <c r="AA47" s="74">
        <f ca="1">IFERROR(__xludf.DUMMYFUNCTION("IMPORTRANGE(""https://docs.google.com/spreadsheets/d/13JHU_EFbsQOUQ0JSQ3dWy1VTRosIWcDq6Nc99z2qzdc/edit?usp=sharing"",""หนองคาย!I129"")"),30)</f>
        <v>30</v>
      </c>
      <c r="AB47" s="74">
        <f ca="1">IFERROR(__xludf.DUMMYFUNCTION("IMPORTRANGE(""https://docs.google.com/spreadsheets/d/13JHU_EFbsQOUQ0JSQ3dWy1VTRosIWcDq6Nc99z2qzdc/edit?usp=sharing"",""หนองคาย!J129"")"),30)</f>
        <v>30</v>
      </c>
      <c r="AC47" s="79">
        <f t="shared" ca="1" si="39"/>
        <v>100</v>
      </c>
      <c r="AD47" s="152">
        <f ca="1">IFERROR(__xludf.DUMMYFUNCTION("IMPORTRANGE(""https://docs.google.com/spreadsheets/d/13JHU_EFbsQOUQ0JSQ3dWy1VTRosIWcDq6Nc99z2qzdc/edit?usp=sharing"",""หนองคาย!J130"")"),1)</f>
        <v>1</v>
      </c>
      <c r="AE47" s="74">
        <v>0</v>
      </c>
      <c r="AF47" s="74">
        <v>0</v>
      </c>
      <c r="AG47" s="79">
        <v>0</v>
      </c>
    </row>
    <row r="48" spans="1:33" ht="19.5" x14ac:dyDescent="0.3">
      <c r="A48" s="147">
        <v>17</v>
      </c>
      <c r="B48" s="148" t="s">
        <v>76</v>
      </c>
      <c r="C48" s="149">
        <f t="shared" ca="1" si="25"/>
        <v>0</v>
      </c>
      <c r="D48" s="150">
        <f t="shared" ca="1" si="45"/>
        <v>0</v>
      </c>
      <c r="E48" s="151">
        <f ca="1">IFERROR(__xludf.DUMMYFUNCTION("IMPORTRANGE(""https://docs.google.com/spreadsheets/d/1-uDff_7J0KD5mKrp0Vvzr7lt3OU09vwQwhkpOPPYv2Y/edit?usp=sharing"",""งบพรบ!BH48"")"),0)</f>
        <v>0</v>
      </c>
      <c r="F48" s="151">
        <f ca="1">IFERROR(__xludf.DUMMYFUNCTION("IMPORTRANGE(""https://docs.google.com/spreadsheets/d/1-uDff_7J0KD5mKrp0Vvzr7lt3OU09vwQwhkpOPPYv2Y/edit?usp=sharing"",""งบพรบ!BI48"")"),0)</f>
        <v>0</v>
      </c>
      <c r="G48" s="151">
        <f ca="1">IFERROR(__xludf.DUMMYFUNCTION("IMPORTRANGE(""https://docs.google.com/spreadsheets/d/1-uDff_7J0KD5mKrp0Vvzr7lt3OU09vwQwhkpOPPYv2Y/edit?usp=sharing"",""งบพรบ!BJ48"")"),0)</f>
        <v>0</v>
      </c>
      <c r="H48" s="151">
        <f ca="1">IFERROR(__xludf.DUMMYFUNCTION("IMPORTRANGE(""https://docs.google.com/spreadsheets/d/1-uDff_7J0KD5mKrp0Vvzr7lt3OU09vwQwhkpOPPYv2Y/edit?usp=sharing"",""งบพรบ!BL48"")"),0)</f>
        <v>0</v>
      </c>
      <c r="I48" s="151">
        <f ca="1">IFERROR(__xludf.DUMMYFUNCTION("IMPORTRANGE(""https://docs.google.com/spreadsheets/d/1-uDff_7J0KD5mKrp0Vvzr7lt3OU09vwQwhkpOPPYv2Y/edit?usp=sharing"",""งบพรบ!BM48"")"),0)</f>
        <v>0</v>
      </c>
      <c r="J48" s="151">
        <f t="shared" ca="1" si="27"/>
        <v>0</v>
      </c>
      <c r="K48" s="154">
        <f t="shared" ca="1" si="28"/>
        <v>0</v>
      </c>
      <c r="L48" s="151">
        <f ca="1">IFERROR(__xludf.DUMMYFUNCTION("IMPORTRANGE(""https://docs.google.com/spreadsheets/d/1-uDff_7J0KD5mKrp0Vvzr7lt3OU09vwQwhkpOPPYv2Y/edit?usp=sharing"",""งบพรบ!BN48"")"),0)</f>
        <v>0</v>
      </c>
      <c r="M48" s="68">
        <f t="shared" ca="1" si="29"/>
        <v>0</v>
      </c>
      <c r="N48" s="68">
        <f t="shared" ca="1" si="30"/>
        <v>0</v>
      </c>
      <c r="O48" s="67">
        <f ca="1">IFERROR(__xludf.DUMMYFUNCTION("IMPORTRANGE(""https://docs.google.com/spreadsheets/d/1-uDff_7J0KD5mKrp0Vvzr7lt3OU09vwQwhkpOPPYv2Y/edit?usp=sharing"",""งบพรบ!BO48"")"),0)</f>
        <v>0</v>
      </c>
      <c r="P48" s="67">
        <f t="shared" ca="1" si="31"/>
        <v>0</v>
      </c>
      <c r="Q48" s="68">
        <f t="shared" ca="1" si="32"/>
        <v>0</v>
      </c>
      <c r="R48" s="67">
        <f ca="1">IFERROR(__xludf.DUMMYFUNCTION("IMPORTRANGE(""https://docs.google.com/spreadsheets/d/1Hx73zIEgVdDZZaYSTc46Dqv64atFhpr3GelxLbaIN8A/edit?usp=sharing"",""หนองบัวลำภู!Q117"")"),191460)</f>
        <v>191460</v>
      </c>
      <c r="S48" s="67">
        <f ca="1">IFERROR(__xludf.DUMMYFUNCTION("IMPORTRANGE(""https://docs.google.com/spreadsheets/d/1Hx73zIEgVdDZZaYSTc46Dqv64atFhpr3GelxLbaIN8A/edit?usp=sharing"",""หนองบัวลำภู!R117"")"),191460)</f>
        <v>191460</v>
      </c>
      <c r="T48" s="67">
        <f ca="1">IFERROR(__xludf.DUMMYFUNCTION("IMPORTRANGE(""https://docs.google.com/spreadsheets/d/1Hx73zIEgVdDZZaYSTc46Dqv64atFhpr3GelxLbaIN8A/edit?usp=sharing"",""หนองบัวลำภู!S117"")"),139558)</f>
        <v>139558</v>
      </c>
      <c r="U48" s="68">
        <f t="shared" ca="1" si="34"/>
        <v>72.891465580277867</v>
      </c>
      <c r="V48" s="68">
        <f t="shared" ca="1" si="35"/>
        <v>72.891465580277867</v>
      </c>
      <c r="W48" s="74">
        <f ca="1">IFERROR(__xludf.DUMMYFUNCTION("IMPORTRANGE(""https://docs.google.com/spreadsheets/d/1Hx73zIEgVdDZZaYSTc46Dqv64atFhpr3GelxLbaIN8A/edit?usp=sharing"",""หนองบัวลำภู!I127"")"),15)</f>
        <v>15</v>
      </c>
      <c r="X48" s="74">
        <f ca="1">IFERROR(__xludf.DUMMYFUNCTION("IMPORTRANGE(""https://docs.google.com/spreadsheets/d/1Hx73zIEgVdDZZaYSTc46Dqv64atFhpr3GelxLbaIN8A/edit?usp=sharing"",""หนองบัวลำภู!J127"")"),15)</f>
        <v>15</v>
      </c>
      <c r="Y48" s="79">
        <f t="shared" ca="1" si="37"/>
        <v>100</v>
      </c>
      <c r="Z48" s="74">
        <f ca="1">IFERROR(__xludf.DUMMYFUNCTION("IMPORTRANGE(""https://docs.google.com/spreadsheets/d/1Hx73zIEgVdDZZaYSTc46Dqv64atFhpr3GelxLbaIN8A/edit?usp=sharing"",""หนองบัวลำภู!J128"")"),1)</f>
        <v>1</v>
      </c>
      <c r="AA48" s="74">
        <f ca="1">IFERROR(__xludf.DUMMYFUNCTION("IMPORTRANGE(""https://docs.google.com/spreadsheets/d/1Hx73zIEgVdDZZaYSTc46Dqv64atFhpr3GelxLbaIN8A/edit?usp=sharing"",""หนองบัวลำภู!I129"")"),15)</f>
        <v>15</v>
      </c>
      <c r="AB48" s="74">
        <f ca="1">IFERROR(__xludf.DUMMYFUNCTION("IMPORTRANGE(""https://docs.google.com/spreadsheets/d/1Hx73zIEgVdDZZaYSTc46Dqv64atFhpr3GelxLbaIN8A/edit?usp=sharing"",""หนองบัวลำภู!J129"")"),15)</f>
        <v>15</v>
      </c>
      <c r="AC48" s="79">
        <f t="shared" ca="1" si="39"/>
        <v>100</v>
      </c>
      <c r="AD48" s="152">
        <f ca="1">IFERROR(__xludf.DUMMYFUNCTION("IMPORTRANGE(""https://docs.google.com/spreadsheets/d/1Hx73zIEgVdDZZaYSTc46Dqv64atFhpr3GelxLbaIN8A/edit?usp=sharing"",""หนองบัวลำภู!J130"")"),1)</f>
        <v>1</v>
      </c>
      <c r="AE48" s="74">
        <v>0</v>
      </c>
      <c r="AF48" s="74">
        <v>0</v>
      </c>
      <c r="AG48" s="79">
        <v>0</v>
      </c>
    </row>
    <row r="49" spans="1:33" ht="19.5" x14ac:dyDescent="0.3">
      <c r="A49" s="147">
        <v>18</v>
      </c>
      <c r="B49" s="148" t="s">
        <v>77</v>
      </c>
      <c r="C49" s="149">
        <f t="shared" ca="1" si="25"/>
        <v>0</v>
      </c>
      <c r="D49" s="150">
        <f t="shared" ca="1" si="45"/>
        <v>0</v>
      </c>
      <c r="E49" s="151">
        <f ca="1">IFERROR(__xludf.DUMMYFUNCTION("IMPORTRANGE(""https://docs.google.com/spreadsheets/d/1-uDff_7J0KD5mKrp0Vvzr7lt3OU09vwQwhkpOPPYv2Y/edit?usp=sharing"",""งบพรบ!BH49"")"),0)</f>
        <v>0</v>
      </c>
      <c r="F49" s="151">
        <f ca="1">IFERROR(__xludf.DUMMYFUNCTION("IMPORTRANGE(""https://docs.google.com/spreadsheets/d/1-uDff_7J0KD5mKrp0Vvzr7lt3OU09vwQwhkpOPPYv2Y/edit?usp=sharing"",""งบพรบ!BI49"")"),0)</f>
        <v>0</v>
      </c>
      <c r="G49" s="151">
        <f ca="1">IFERROR(__xludf.DUMMYFUNCTION("IMPORTRANGE(""https://docs.google.com/spreadsheets/d/1-uDff_7J0KD5mKrp0Vvzr7lt3OU09vwQwhkpOPPYv2Y/edit?usp=sharing"",""งบพรบ!BJ49"")"),0)</f>
        <v>0</v>
      </c>
      <c r="H49" s="151">
        <f ca="1">IFERROR(__xludf.DUMMYFUNCTION("IMPORTRANGE(""https://docs.google.com/spreadsheets/d/1-uDff_7J0KD5mKrp0Vvzr7lt3OU09vwQwhkpOPPYv2Y/edit?usp=sharing"",""งบพรบ!BL49"")"),0)</f>
        <v>0</v>
      </c>
      <c r="I49" s="151">
        <f ca="1">IFERROR(__xludf.DUMMYFUNCTION("IMPORTRANGE(""https://docs.google.com/spreadsheets/d/1-uDff_7J0KD5mKrp0Vvzr7lt3OU09vwQwhkpOPPYv2Y/edit?usp=sharing"",""งบพรบ!BM49"")"),0)</f>
        <v>0</v>
      </c>
      <c r="J49" s="151">
        <f t="shared" ca="1" si="27"/>
        <v>0</v>
      </c>
      <c r="K49" s="154">
        <f t="shared" ca="1" si="28"/>
        <v>0</v>
      </c>
      <c r="L49" s="151">
        <f ca="1">IFERROR(__xludf.DUMMYFUNCTION("IMPORTRANGE(""https://docs.google.com/spreadsheets/d/1-uDff_7J0KD5mKrp0Vvzr7lt3OU09vwQwhkpOPPYv2Y/edit?usp=sharing"",""งบพรบ!BN49"")"),0)</f>
        <v>0</v>
      </c>
      <c r="M49" s="68">
        <f t="shared" ca="1" si="29"/>
        <v>0</v>
      </c>
      <c r="N49" s="68">
        <f t="shared" ca="1" si="30"/>
        <v>0</v>
      </c>
      <c r="O49" s="67">
        <f ca="1">IFERROR(__xludf.DUMMYFUNCTION("IMPORTRANGE(""https://docs.google.com/spreadsheets/d/1-uDff_7J0KD5mKrp0Vvzr7lt3OU09vwQwhkpOPPYv2Y/edit?usp=sharing"",""งบพรบ!BO49"")"),0)</f>
        <v>0</v>
      </c>
      <c r="P49" s="67">
        <f t="shared" ca="1" si="31"/>
        <v>0</v>
      </c>
      <c r="Q49" s="68">
        <f t="shared" ca="1" si="32"/>
        <v>0</v>
      </c>
      <c r="R49" s="67">
        <f ca="1">IFERROR(__xludf.DUMMYFUNCTION("IMPORTRANGE(""https://docs.google.com/spreadsheets/d/1lFxr3ctmjFN90yc-xV6jrQ9Ty8BKYVBWnAZ15wcNIJc/edit?usp=sharing"",""อำนาจเจริญ!Q117"")"),209360)</f>
        <v>209360</v>
      </c>
      <c r="S49" s="67">
        <f ca="1">IFERROR(__xludf.DUMMYFUNCTION("IMPORTRANGE(""https://docs.google.com/spreadsheets/d/1lFxr3ctmjFN90yc-xV6jrQ9Ty8BKYVBWnAZ15wcNIJc/edit?usp=sharing"",""อำนาจเจริญ!R117"")"),209360)</f>
        <v>209360</v>
      </c>
      <c r="T49" s="67">
        <f ca="1">IFERROR(__xludf.DUMMYFUNCTION("IMPORTRANGE(""https://docs.google.com/spreadsheets/d/1lFxr3ctmjFN90yc-xV6jrQ9Ty8BKYVBWnAZ15wcNIJc/edit?usp=sharing"",""อำนาจเจริญ!S117"")"),183256)</f>
        <v>183256</v>
      </c>
      <c r="U49" s="68">
        <f t="shared" ca="1" si="34"/>
        <v>87.53152464654184</v>
      </c>
      <c r="V49" s="68">
        <f t="shared" ca="1" si="35"/>
        <v>87.53152464654184</v>
      </c>
      <c r="W49" s="74">
        <f ca="1">IFERROR(__xludf.DUMMYFUNCTION("IMPORTRANGE(""https://docs.google.com/spreadsheets/d/1lFxr3ctmjFN90yc-xV6jrQ9Ty8BKYVBWnAZ15wcNIJc/edit?usp=sharing"",""อำนาจเจริญ!I127"")"),20)</f>
        <v>20</v>
      </c>
      <c r="X49" s="74">
        <f ca="1">IFERROR(__xludf.DUMMYFUNCTION("IMPORTRANGE(""https://docs.google.com/spreadsheets/d/1lFxr3ctmjFN90yc-xV6jrQ9Ty8BKYVBWnAZ15wcNIJc/edit?usp=sharing"",""อำนาจเจริญ!J127"")"),20)</f>
        <v>20</v>
      </c>
      <c r="Y49" s="79">
        <f t="shared" ca="1" si="37"/>
        <v>100</v>
      </c>
      <c r="Z49" s="74">
        <f ca="1">IFERROR(__xludf.DUMMYFUNCTION("IMPORTRANGE(""https://docs.google.com/spreadsheets/d/1lFxr3ctmjFN90yc-xV6jrQ9Ty8BKYVBWnAZ15wcNIJc/edit?usp=sharing"",""อำนาจเจริญ!J128"")"),1)</f>
        <v>1</v>
      </c>
      <c r="AA49" s="74">
        <f ca="1">IFERROR(__xludf.DUMMYFUNCTION("IMPORTRANGE(""https://docs.google.com/spreadsheets/d/1lFxr3ctmjFN90yc-xV6jrQ9Ty8BKYVBWnAZ15wcNIJc/edit?usp=sharing"",""อำนาจเจริญ!I129"")"),20)</f>
        <v>20</v>
      </c>
      <c r="AB49" s="74">
        <f ca="1">IFERROR(__xludf.DUMMYFUNCTION("IMPORTRANGE(""https://docs.google.com/spreadsheets/d/1lFxr3ctmjFN90yc-xV6jrQ9Ty8BKYVBWnAZ15wcNIJc/edit?usp=sharing"",""อำนาจเจริญ!J129"")"),20)</f>
        <v>20</v>
      </c>
      <c r="AC49" s="79">
        <f t="shared" ca="1" si="39"/>
        <v>100</v>
      </c>
      <c r="AD49" s="152">
        <f ca="1">IFERROR(__xludf.DUMMYFUNCTION("IMPORTRANGE(""https://docs.google.com/spreadsheets/d/1lFxr3ctmjFN90yc-xV6jrQ9Ty8BKYVBWnAZ15wcNIJc/edit?usp=sharing"",""อำนาจเจริญ!J130"")"),1)</f>
        <v>1</v>
      </c>
      <c r="AE49" s="74">
        <v>0</v>
      </c>
      <c r="AF49" s="74">
        <v>0</v>
      </c>
      <c r="AG49" s="79">
        <v>0</v>
      </c>
    </row>
    <row r="50" spans="1:33" ht="19.5" x14ac:dyDescent="0.3">
      <c r="A50" s="147">
        <v>19</v>
      </c>
      <c r="B50" s="148" t="s">
        <v>78</v>
      </c>
      <c r="C50" s="149">
        <f t="shared" ca="1" si="25"/>
        <v>0</v>
      </c>
      <c r="D50" s="150">
        <f t="shared" ca="1" si="45"/>
        <v>0</v>
      </c>
      <c r="E50" s="151">
        <f ca="1">IFERROR(__xludf.DUMMYFUNCTION("IMPORTRANGE(""https://docs.google.com/spreadsheets/d/1-uDff_7J0KD5mKrp0Vvzr7lt3OU09vwQwhkpOPPYv2Y/edit?usp=sharing"",""งบพรบ!BH50"")"),0)</f>
        <v>0</v>
      </c>
      <c r="F50" s="151">
        <f ca="1">IFERROR(__xludf.DUMMYFUNCTION("IMPORTRANGE(""https://docs.google.com/spreadsheets/d/1-uDff_7J0KD5mKrp0Vvzr7lt3OU09vwQwhkpOPPYv2Y/edit?usp=sharing"",""งบพรบ!BI50"")"),0)</f>
        <v>0</v>
      </c>
      <c r="G50" s="151">
        <f ca="1">IFERROR(__xludf.DUMMYFUNCTION("IMPORTRANGE(""https://docs.google.com/spreadsheets/d/1-uDff_7J0KD5mKrp0Vvzr7lt3OU09vwQwhkpOPPYv2Y/edit?usp=sharing"",""งบพรบ!BJ50"")"),0)</f>
        <v>0</v>
      </c>
      <c r="H50" s="151">
        <f ca="1">IFERROR(__xludf.DUMMYFUNCTION("IMPORTRANGE(""https://docs.google.com/spreadsheets/d/1-uDff_7J0KD5mKrp0Vvzr7lt3OU09vwQwhkpOPPYv2Y/edit?usp=sharing"",""งบพรบ!BL50"")"),0)</f>
        <v>0</v>
      </c>
      <c r="I50" s="151">
        <f ca="1">IFERROR(__xludf.DUMMYFUNCTION("IMPORTRANGE(""https://docs.google.com/spreadsheets/d/1-uDff_7J0KD5mKrp0Vvzr7lt3OU09vwQwhkpOPPYv2Y/edit?usp=sharing"",""งบพรบ!BM50"")"),0)</f>
        <v>0</v>
      </c>
      <c r="J50" s="151">
        <f t="shared" ca="1" si="27"/>
        <v>0</v>
      </c>
      <c r="K50" s="154">
        <f t="shared" ca="1" si="28"/>
        <v>0</v>
      </c>
      <c r="L50" s="151">
        <f ca="1">IFERROR(__xludf.DUMMYFUNCTION("IMPORTRANGE(""https://docs.google.com/spreadsheets/d/1-uDff_7J0KD5mKrp0Vvzr7lt3OU09vwQwhkpOPPYv2Y/edit?usp=sharing"",""งบพรบ!BN50"")"),0)</f>
        <v>0</v>
      </c>
      <c r="M50" s="68">
        <f t="shared" ca="1" si="29"/>
        <v>0</v>
      </c>
      <c r="N50" s="68">
        <f t="shared" ca="1" si="30"/>
        <v>0</v>
      </c>
      <c r="O50" s="67">
        <f ca="1">IFERROR(__xludf.DUMMYFUNCTION("IMPORTRANGE(""https://docs.google.com/spreadsheets/d/1-uDff_7J0KD5mKrp0Vvzr7lt3OU09vwQwhkpOPPYv2Y/edit?usp=sharing"",""งบพรบ!BO50"")"),0)</f>
        <v>0</v>
      </c>
      <c r="P50" s="67">
        <f t="shared" ca="1" si="31"/>
        <v>0</v>
      </c>
      <c r="Q50" s="68">
        <f t="shared" ca="1" si="32"/>
        <v>0</v>
      </c>
      <c r="R50" s="67">
        <f ca="1">IFERROR(__xludf.DUMMYFUNCTION("IMPORTRANGE(""https://docs.google.com/spreadsheets/d/1gF7RJpRnL-1oyjyeWxs5SFWEH7y8ahOZsQlyp2A2e-A/edit?usp=sharing"",""อุดรธานี!Q117"")"),209360)</f>
        <v>209360</v>
      </c>
      <c r="S50" s="67">
        <f ca="1">IFERROR(__xludf.DUMMYFUNCTION("IMPORTRANGE(""https://docs.google.com/spreadsheets/d/1gF7RJpRnL-1oyjyeWxs5SFWEH7y8ahOZsQlyp2A2e-A/edit?usp=sharing"",""อุดรธานี!R117"")"),209360)</f>
        <v>209360</v>
      </c>
      <c r="T50" s="67">
        <f ca="1">IFERROR(__xludf.DUMMYFUNCTION("IMPORTRANGE(""https://docs.google.com/spreadsheets/d/1gF7RJpRnL-1oyjyeWxs5SFWEH7y8ahOZsQlyp2A2e-A/edit?usp=sharing"",""อุดรธานี!S117"")"),150975.37)</f>
        <v>150975.37</v>
      </c>
      <c r="U50" s="68">
        <f t="shared" ca="1" si="34"/>
        <v>72.112805693542228</v>
      </c>
      <c r="V50" s="68">
        <f t="shared" ca="1" si="35"/>
        <v>72.112805693542228</v>
      </c>
      <c r="W50" s="74">
        <f ca="1">IFERROR(__xludf.DUMMYFUNCTION("IMPORTRANGE(""https://docs.google.com/spreadsheets/d/1gF7RJpRnL-1oyjyeWxs5SFWEH7y8ahOZsQlyp2A2e-A/edit?usp=sharing"",""อุดรธานี!I127"")"),20)</f>
        <v>20</v>
      </c>
      <c r="X50" s="74">
        <f ca="1">IFERROR(__xludf.DUMMYFUNCTION("IMPORTRANGE(""https://docs.google.com/spreadsheets/d/1gF7RJpRnL-1oyjyeWxs5SFWEH7y8ahOZsQlyp2A2e-A/edit?usp=sharing"",""อุดรธานี!J127"")"),20)</f>
        <v>20</v>
      </c>
      <c r="Y50" s="79">
        <f t="shared" ca="1" si="37"/>
        <v>100</v>
      </c>
      <c r="Z50" s="74">
        <f ca="1">IFERROR(__xludf.DUMMYFUNCTION("IMPORTRANGE(""https://docs.google.com/spreadsheets/d/1gF7RJpRnL-1oyjyeWxs5SFWEH7y8ahOZsQlyp2A2e-A/edit?usp=sharing"",""อุดรธานี!J128"")"),1)</f>
        <v>1</v>
      </c>
      <c r="AA50" s="74">
        <f ca="1">IFERROR(__xludf.DUMMYFUNCTION("IMPORTRANGE(""https://docs.google.com/spreadsheets/d/1gF7RJpRnL-1oyjyeWxs5SFWEH7y8ahOZsQlyp2A2e-A/edit?usp=sharing"",""อุดรธานี!I129"")"),20)</f>
        <v>20</v>
      </c>
      <c r="AB50" s="74">
        <f ca="1">IFERROR(__xludf.DUMMYFUNCTION("IMPORTRANGE(""https://docs.google.com/spreadsheets/d/1gF7RJpRnL-1oyjyeWxs5SFWEH7y8ahOZsQlyp2A2e-A/edit?usp=sharing"",""อุดรธานี!J129"")"),20)</f>
        <v>20</v>
      </c>
      <c r="AC50" s="79">
        <f t="shared" ca="1" si="39"/>
        <v>100</v>
      </c>
      <c r="AD50" s="152">
        <f ca="1">IFERROR(__xludf.DUMMYFUNCTION("IMPORTRANGE(""https://docs.google.com/spreadsheets/d/1gF7RJpRnL-1oyjyeWxs5SFWEH7y8ahOZsQlyp2A2e-A/edit?usp=sharing"",""อุดรธานี!J130"")"),1)</f>
        <v>1</v>
      </c>
      <c r="AE50" s="74">
        <v>0</v>
      </c>
      <c r="AF50" s="74">
        <v>0</v>
      </c>
      <c r="AG50" s="79">
        <v>0</v>
      </c>
    </row>
    <row r="51" spans="1:33" ht="19.5" x14ac:dyDescent="0.3">
      <c r="A51" s="163">
        <v>20</v>
      </c>
      <c r="B51" s="164" t="s">
        <v>79</v>
      </c>
      <c r="C51" s="165">
        <f t="shared" ca="1" si="25"/>
        <v>0</v>
      </c>
      <c r="D51" s="166">
        <f t="shared" ca="1" si="45"/>
        <v>0</v>
      </c>
      <c r="E51" s="167">
        <f ca="1">IFERROR(__xludf.DUMMYFUNCTION("IMPORTRANGE(""https://docs.google.com/spreadsheets/d/1-uDff_7J0KD5mKrp0Vvzr7lt3OU09vwQwhkpOPPYv2Y/edit?usp=sharing"",""งบพรบ!BH51"")"),0)</f>
        <v>0</v>
      </c>
      <c r="F51" s="167">
        <f ca="1">IFERROR(__xludf.DUMMYFUNCTION("IMPORTRANGE(""https://docs.google.com/spreadsheets/d/1-uDff_7J0KD5mKrp0Vvzr7lt3OU09vwQwhkpOPPYv2Y/edit?usp=sharing"",""งบพรบ!BI51"")"),0)</f>
        <v>0</v>
      </c>
      <c r="G51" s="167">
        <f ca="1">IFERROR(__xludf.DUMMYFUNCTION("IMPORTRANGE(""https://docs.google.com/spreadsheets/d/1-uDff_7J0KD5mKrp0Vvzr7lt3OU09vwQwhkpOPPYv2Y/edit?usp=sharing"",""งบพรบ!BJ51"")"),0)</f>
        <v>0</v>
      </c>
      <c r="H51" s="167">
        <f ca="1">IFERROR(__xludf.DUMMYFUNCTION("IMPORTRANGE(""https://docs.google.com/spreadsheets/d/1-uDff_7J0KD5mKrp0Vvzr7lt3OU09vwQwhkpOPPYv2Y/edit?usp=sharing"",""งบพรบ!BL51"")"),0)</f>
        <v>0</v>
      </c>
      <c r="I51" s="167">
        <f ca="1">IFERROR(__xludf.DUMMYFUNCTION("IMPORTRANGE(""https://docs.google.com/spreadsheets/d/1-uDff_7J0KD5mKrp0Vvzr7lt3OU09vwQwhkpOPPYv2Y/edit?usp=sharing"",""งบพรบ!BM51"")"),0)</f>
        <v>0</v>
      </c>
      <c r="J51" s="167">
        <f t="shared" ca="1" si="27"/>
        <v>0</v>
      </c>
      <c r="K51" s="168">
        <f t="shared" ca="1" si="28"/>
        <v>0</v>
      </c>
      <c r="L51" s="167">
        <f ca="1">IFERROR(__xludf.DUMMYFUNCTION("IMPORTRANGE(""https://docs.google.com/spreadsheets/d/1-uDff_7J0KD5mKrp0Vvzr7lt3OU09vwQwhkpOPPYv2Y/edit?usp=sharing"",""งบพรบ!BN51"")"),0)</f>
        <v>0</v>
      </c>
      <c r="M51" s="97">
        <f t="shared" ca="1" si="29"/>
        <v>0</v>
      </c>
      <c r="N51" s="97">
        <f t="shared" ca="1" si="30"/>
        <v>0</v>
      </c>
      <c r="O51" s="96">
        <f ca="1">IFERROR(__xludf.DUMMYFUNCTION("IMPORTRANGE(""https://docs.google.com/spreadsheets/d/1-uDff_7J0KD5mKrp0Vvzr7lt3OU09vwQwhkpOPPYv2Y/edit?usp=sharing"",""งบพรบ!BO51"")"),0)</f>
        <v>0</v>
      </c>
      <c r="P51" s="96">
        <f t="shared" ca="1" si="31"/>
        <v>0</v>
      </c>
      <c r="Q51" s="97">
        <f t="shared" ca="1" si="32"/>
        <v>0</v>
      </c>
      <c r="R51" s="96">
        <f ca="1">IFERROR(__xludf.DUMMYFUNCTION("IMPORTRANGE(""https://docs.google.com/spreadsheets/d/1kfLP0j3INXRa8bTDpcEmoWewMBV61jlFlfzczfjWIgc/edit?usp=sharing"",""อุบลราชธานี!Q117"")"),209360)</f>
        <v>209360</v>
      </c>
      <c r="S51" s="96">
        <f ca="1">IFERROR(__xludf.DUMMYFUNCTION("IMPORTRANGE(""https://docs.google.com/spreadsheets/d/1kfLP0j3INXRa8bTDpcEmoWewMBV61jlFlfzczfjWIgc/edit?usp=sharing"",""อุบลราชธานี!R117"")"),209360)</f>
        <v>209360</v>
      </c>
      <c r="T51" s="96">
        <f ca="1">IFERROR(__xludf.DUMMYFUNCTION("IMPORTRANGE(""https://docs.google.com/spreadsheets/d/1kfLP0j3INXRa8bTDpcEmoWewMBV61jlFlfzczfjWIgc/edit?usp=sharing"",""อุบลราชธานี!S117"")"),179173.76)</f>
        <v>179173.76000000001</v>
      </c>
      <c r="U51" s="97">
        <f t="shared" ca="1" si="34"/>
        <v>85.581658387466561</v>
      </c>
      <c r="V51" s="97">
        <f t="shared" ca="1" si="35"/>
        <v>85.581658387466561</v>
      </c>
      <c r="W51" s="84">
        <f ca="1">IFERROR(__xludf.DUMMYFUNCTION("IMPORTRANGE(""https://docs.google.com/spreadsheets/d/1kfLP0j3INXRa8bTDpcEmoWewMBV61jlFlfzczfjWIgc/edit?usp=sharing"",""อุบลราชธานี!I127"")"),20)</f>
        <v>20</v>
      </c>
      <c r="X51" s="84">
        <f ca="1">IFERROR(__xludf.DUMMYFUNCTION("IMPORTRANGE(""https://docs.google.com/spreadsheets/d/1kfLP0j3INXRa8bTDpcEmoWewMBV61jlFlfzczfjWIgc/edit?usp=sharing"",""อุบลราชธานี!J127"")"),20)</f>
        <v>20</v>
      </c>
      <c r="Y51" s="91">
        <f t="shared" ca="1" si="37"/>
        <v>100</v>
      </c>
      <c r="Z51" s="84">
        <f ca="1">IFERROR(__xludf.DUMMYFUNCTION("IMPORTRANGE(""https://docs.google.com/spreadsheets/d/1kfLP0j3INXRa8bTDpcEmoWewMBV61jlFlfzczfjWIgc/edit?usp=sharing"",""อุบลราชธานี!J128"")"),1)</f>
        <v>1</v>
      </c>
      <c r="AA51" s="84">
        <f ca="1">IFERROR(__xludf.DUMMYFUNCTION("IMPORTRANGE(""https://docs.google.com/spreadsheets/d/1kfLP0j3INXRa8bTDpcEmoWewMBV61jlFlfzczfjWIgc/edit?usp=sharing"",""อุบลราชธานี!I129"")"),20)</f>
        <v>20</v>
      </c>
      <c r="AB51" s="84">
        <f ca="1">IFERROR(__xludf.DUMMYFUNCTION("IMPORTRANGE(""https://docs.google.com/spreadsheets/d/1kfLP0j3INXRa8bTDpcEmoWewMBV61jlFlfzczfjWIgc/edit?usp=sharing"",""อุบลราชธานี!J129"")"),20)</f>
        <v>20</v>
      </c>
      <c r="AC51" s="91">
        <f t="shared" ca="1" si="39"/>
        <v>100</v>
      </c>
      <c r="AD51" s="192">
        <f ca="1">IFERROR(__xludf.DUMMYFUNCTION("IMPORTRANGE(""https://docs.google.com/spreadsheets/d/1kfLP0j3INXRa8bTDpcEmoWewMBV61jlFlfzczfjWIgc/edit?usp=sharing"",""อุบลราชธานี!J130"")"),1)</f>
        <v>1</v>
      </c>
      <c r="AE51" s="84">
        <v>0</v>
      </c>
      <c r="AF51" s="84">
        <v>0</v>
      </c>
      <c r="AG51" s="91">
        <v>0</v>
      </c>
    </row>
    <row r="52" spans="1:33" ht="19.5" x14ac:dyDescent="0.3">
      <c r="A52" s="697" t="s">
        <v>80</v>
      </c>
      <c r="B52" s="647"/>
      <c r="C52" s="145">
        <f t="shared" ca="1" si="25"/>
        <v>0</v>
      </c>
      <c r="D52" s="145">
        <f t="shared" ref="D52:I52" ca="1" si="46">SUM(D53:D73)</f>
        <v>0</v>
      </c>
      <c r="E52" s="145">
        <f t="shared" ca="1" si="46"/>
        <v>0</v>
      </c>
      <c r="F52" s="145">
        <f t="shared" ca="1" si="46"/>
        <v>0</v>
      </c>
      <c r="G52" s="145">
        <f t="shared" ca="1" si="46"/>
        <v>0</v>
      </c>
      <c r="H52" s="145">
        <f t="shared" ca="1" si="46"/>
        <v>0</v>
      </c>
      <c r="I52" s="145">
        <f t="shared" ca="1" si="46"/>
        <v>0</v>
      </c>
      <c r="J52" s="145">
        <f t="shared" ca="1" si="27"/>
        <v>0</v>
      </c>
      <c r="K52" s="146">
        <f t="shared" ca="1" si="28"/>
        <v>0</v>
      </c>
      <c r="L52" s="145">
        <f ca="1">SUM(L53:L73)</f>
        <v>0</v>
      </c>
      <c r="M52" s="57">
        <f t="shared" ca="1" si="29"/>
        <v>0</v>
      </c>
      <c r="N52" s="57">
        <f t="shared" ca="1" si="30"/>
        <v>0</v>
      </c>
      <c r="O52" s="56">
        <f ca="1">SUM(O53:O73)</f>
        <v>0</v>
      </c>
      <c r="P52" s="56">
        <f t="shared" ca="1" si="31"/>
        <v>0</v>
      </c>
      <c r="Q52" s="57">
        <f t="shared" ca="1" si="32"/>
        <v>0</v>
      </c>
      <c r="R52" s="56">
        <f t="shared" ref="R52:T52" ca="1" si="47">SUM(R53:R73)</f>
        <v>4203090</v>
      </c>
      <c r="S52" s="56">
        <f t="shared" ca="1" si="47"/>
        <v>4168836</v>
      </c>
      <c r="T52" s="56">
        <f t="shared" ca="1" si="47"/>
        <v>3196892.24</v>
      </c>
      <c r="U52" s="57">
        <f t="shared" ca="1" si="34"/>
        <v>76.060523091344706</v>
      </c>
      <c r="V52" s="57">
        <f t="shared" ca="1" si="35"/>
        <v>76.68548822740928</v>
      </c>
      <c r="W52" s="52">
        <f t="shared" ref="W52:X52" ca="1" si="48">SUM(W53:W73)</f>
        <v>421</v>
      </c>
      <c r="X52" s="52">
        <f t="shared" ca="1" si="48"/>
        <v>421</v>
      </c>
      <c r="Y52" s="54">
        <f t="shared" ca="1" si="37"/>
        <v>100</v>
      </c>
      <c r="Z52" s="52">
        <f t="shared" ref="Z52:AB52" ca="1" si="49">SUM(Z53:Z73)</f>
        <v>27</v>
      </c>
      <c r="AA52" s="52">
        <f t="shared" ca="1" si="49"/>
        <v>356</v>
      </c>
      <c r="AB52" s="52">
        <f t="shared" ca="1" si="49"/>
        <v>356</v>
      </c>
      <c r="AC52" s="54">
        <f t="shared" ca="1" si="39"/>
        <v>100</v>
      </c>
      <c r="AD52" s="145">
        <f ca="1">SUM(AD53:AD73)</f>
        <v>25</v>
      </c>
      <c r="AE52" s="52">
        <v>0</v>
      </c>
      <c r="AF52" s="52">
        <v>0</v>
      </c>
      <c r="AG52" s="54">
        <v>0</v>
      </c>
    </row>
    <row r="53" spans="1:33" ht="19.5" x14ac:dyDescent="0.3">
      <c r="A53" s="147">
        <v>1</v>
      </c>
      <c r="B53" s="148" t="s">
        <v>81</v>
      </c>
      <c r="C53" s="149">
        <f t="shared" ca="1" si="25"/>
        <v>0</v>
      </c>
      <c r="D53" s="150">
        <f t="shared" ref="D53:D73" ca="1" si="50">+E53+F53</f>
        <v>0</v>
      </c>
      <c r="E53" s="151">
        <f ca="1">IFERROR(__xludf.DUMMYFUNCTION("IMPORTRANGE(""https://docs.google.com/spreadsheets/d/1-uDff_7J0KD5mKrp0Vvzr7lt3OU09vwQwhkpOPPYv2Y/edit?usp=sharing"",""งบพรบ!BH53"")"),0)</f>
        <v>0</v>
      </c>
      <c r="F53" s="151">
        <f ca="1">IFERROR(__xludf.DUMMYFUNCTION("IMPORTRANGE(""https://docs.google.com/spreadsheets/d/1-uDff_7J0KD5mKrp0Vvzr7lt3OU09vwQwhkpOPPYv2Y/edit?usp=sharing"",""งบพรบ!BI53"")"),0)</f>
        <v>0</v>
      </c>
      <c r="G53" s="152">
        <f ca="1">IFERROR(__xludf.DUMMYFUNCTION("IMPORTRANGE(""https://docs.google.com/spreadsheets/d/1-uDff_7J0KD5mKrp0Vvzr7lt3OU09vwQwhkpOPPYv2Y/edit?usp=sharing"",""งบพรบ!BJ53"")"),0)</f>
        <v>0</v>
      </c>
      <c r="H53" s="152">
        <f ca="1">IFERROR(__xludf.DUMMYFUNCTION("IMPORTRANGE(""https://docs.google.com/spreadsheets/d/1-uDff_7J0KD5mKrp0Vvzr7lt3OU09vwQwhkpOPPYv2Y/edit?usp=sharing"",""งบพรบ!BL53"")"),0)</f>
        <v>0</v>
      </c>
      <c r="I53" s="152">
        <f ca="1">IFERROR(__xludf.DUMMYFUNCTION("IMPORTRANGE(""https://docs.google.com/spreadsheets/d/1-uDff_7J0KD5mKrp0Vvzr7lt3OU09vwQwhkpOPPYv2Y/edit?usp=sharing"",""งบพรบ!BM53"")"),0)</f>
        <v>0</v>
      </c>
      <c r="J53" s="152">
        <f t="shared" ca="1" si="27"/>
        <v>0</v>
      </c>
      <c r="K53" s="153">
        <f t="shared" ca="1" si="28"/>
        <v>0</v>
      </c>
      <c r="L53" s="152">
        <f ca="1">IFERROR(__xludf.DUMMYFUNCTION("IMPORTRANGE(""https://docs.google.com/spreadsheets/d/1-uDff_7J0KD5mKrp0Vvzr7lt3OU09vwQwhkpOPPYv2Y/edit?usp=sharing"",""งบพรบ!BN53"")"),0)</f>
        <v>0</v>
      </c>
      <c r="M53" s="68">
        <f t="shared" ca="1" si="29"/>
        <v>0</v>
      </c>
      <c r="N53" s="68">
        <f t="shared" ca="1" si="30"/>
        <v>0</v>
      </c>
      <c r="O53" s="67">
        <f ca="1">IFERROR(__xludf.DUMMYFUNCTION("IMPORTRANGE(""https://docs.google.com/spreadsheets/d/1-uDff_7J0KD5mKrp0Vvzr7lt3OU09vwQwhkpOPPYv2Y/edit?usp=sharing"",""งบพรบ!BO53"")"),0)</f>
        <v>0</v>
      </c>
      <c r="P53" s="67">
        <f t="shared" ca="1" si="31"/>
        <v>0</v>
      </c>
      <c r="Q53" s="68">
        <f t="shared" ca="1" si="32"/>
        <v>0</v>
      </c>
      <c r="R53" s="67">
        <f ca="1">IFERROR(__xludf.DUMMYFUNCTION("IMPORTRANGE(""https://docs.google.com/spreadsheets/d/13wPX838HrBrQMCywv1BsuMkt4PEKTChp52zj44s2izQ/edit?usp=sharing"",""กาญจนบุรี!Q117"")"),209360)</f>
        <v>209360</v>
      </c>
      <c r="S53" s="67">
        <f ca="1">IFERROR(__xludf.DUMMYFUNCTION("IMPORTRANGE(""https://docs.google.com/spreadsheets/d/13wPX838HrBrQMCywv1BsuMkt4PEKTChp52zj44s2izQ/edit?usp=sharing"",""กาญจนบุรี!R117"")"),209360)</f>
        <v>209360</v>
      </c>
      <c r="T53" s="67">
        <f ca="1">IFERROR(__xludf.DUMMYFUNCTION("IMPORTRANGE(""https://docs.google.com/spreadsheets/d/13wPX838HrBrQMCywv1BsuMkt4PEKTChp52zj44s2izQ/edit?usp=sharing"",""กาญจนบุรี!S117"")"),179197)</f>
        <v>179197</v>
      </c>
      <c r="U53" s="68">
        <f t="shared" ca="1" si="34"/>
        <v>85.592758884218568</v>
      </c>
      <c r="V53" s="68">
        <f t="shared" ca="1" si="35"/>
        <v>85.592758884218568</v>
      </c>
      <c r="W53" s="62">
        <f ca="1">IFERROR(__xludf.DUMMYFUNCTION("IMPORTRANGE(""https://docs.google.com/spreadsheets/d/13wPX838HrBrQMCywv1BsuMkt4PEKTChp52zj44s2izQ/edit?usp=sharing"",""กาญจนบุรี!I127"")"),20)</f>
        <v>20</v>
      </c>
      <c r="X53" s="62">
        <f ca="1">IFERROR(__xludf.DUMMYFUNCTION("IMPORTRANGE(""https://docs.google.com/spreadsheets/d/13wPX838HrBrQMCywv1BsuMkt4PEKTChp52zj44s2izQ/edit?usp=sharing"",""กาญจนบุรี!J127"")"),20)</f>
        <v>20</v>
      </c>
      <c r="Y53" s="69">
        <f t="shared" ca="1" si="37"/>
        <v>100</v>
      </c>
      <c r="Z53" s="62">
        <f ca="1">IFERROR(__xludf.DUMMYFUNCTION("IMPORTRANGE(""https://docs.google.com/spreadsheets/d/13wPX838HrBrQMCywv1BsuMkt4PEKTChp52zj44s2izQ/edit?usp=sharing"",""กาญจนบุรี!J128"")"),1)</f>
        <v>1</v>
      </c>
      <c r="AA53" s="62">
        <f ca="1">IFERROR(__xludf.DUMMYFUNCTION("IMPORTRANGE(""https://docs.google.com/spreadsheets/d/13wPX838HrBrQMCywv1BsuMkt4PEKTChp52zj44s2izQ/edit?usp=sharing"",""กาญจนบุรี!I129"")"),20)</f>
        <v>20</v>
      </c>
      <c r="AB53" s="62">
        <f ca="1">IFERROR(__xludf.DUMMYFUNCTION("IMPORTRANGE(""https://docs.google.com/spreadsheets/d/13wPX838HrBrQMCywv1BsuMkt4PEKTChp52zj44s2izQ/edit?usp=sharing"",""กาญจนบุรี!J129"")"),20)</f>
        <v>20</v>
      </c>
      <c r="AC53" s="69">
        <f t="shared" ca="1" si="39"/>
        <v>100</v>
      </c>
      <c r="AD53" s="152">
        <f ca="1">IFERROR(__xludf.DUMMYFUNCTION("IMPORTRANGE(""https://docs.google.com/spreadsheets/d/13wPX838HrBrQMCywv1BsuMkt4PEKTChp52zj44s2izQ/edit?usp=sharing"",""กาญจนบุรี!J130"")"),1)</f>
        <v>1</v>
      </c>
      <c r="AE53" s="62">
        <v>0</v>
      </c>
      <c r="AF53" s="62">
        <v>0</v>
      </c>
      <c r="AG53" s="69">
        <v>0</v>
      </c>
    </row>
    <row r="54" spans="1:33" ht="19.5" x14ac:dyDescent="0.3">
      <c r="A54" s="147">
        <v>2</v>
      </c>
      <c r="B54" s="148" t="s">
        <v>82</v>
      </c>
      <c r="C54" s="149">
        <f t="shared" ca="1" si="25"/>
        <v>0</v>
      </c>
      <c r="D54" s="150">
        <f t="shared" ca="1" si="50"/>
        <v>0</v>
      </c>
      <c r="E54" s="151">
        <f ca="1">IFERROR(__xludf.DUMMYFUNCTION("IMPORTRANGE(""https://docs.google.com/spreadsheets/d/1-uDff_7J0KD5mKrp0Vvzr7lt3OU09vwQwhkpOPPYv2Y/edit?usp=sharing"",""งบพรบ!BH54"")"),0)</f>
        <v>0</v>
      </c>
      <c r="F54" s="151">
        <f ca="1">IFERROR(__xludf.DUMMYFUNCTION("IMPORTRANGE(""https://docs.google.com/spreadsheets/d/1-uDff_7J0KD5mKrp0Vvzr7lt3OU09vwQwhkpOPPYv2Y/edit?usp=sharing"",""งบพรบ!BI54"")"),0)</f>
        <v>0</v>
      </c>
      <c r="G54" s="151">
        <f ca="1">IFERROR(__xludf.DUMMYFUNCTION("IMPORTRANGE(""https://docs.google.com/spreadsheets/d/1-uDff_7J0KD5mKrp0Vvzr7lt3OU09vwQwhkpOPPYv2Y/edit?usp=sharing"",""งบพรบ!BJ54"")"),0)</f>
        <v>0</v>
      </c>
      <c r="H54" s="151">
        <f ca="1">IFERROR(__xludf.DUMMYFUNCTION("IMPORTRANGE(""https://docs.google.com/spreadsheets/d/1-uDff_7J0KD5mKrp0Vvzr7lt3OU09vwQwhkpOPPYv2Y/edit?usp=sharing"",""งบพรบ!BL54"")"),0)</f>
        <v>0</v>
      </c>
      <c r="I54" s="151">
        <f ca="1">IFERROR(__xludf.DUMMYFUNCTION("IMPORTRANGE(""https://docs.google.com/spreadsheets/d/1-uDff_7J0KD5mKrp0Vvzr7lt3OU09vwQwhkpOPPYv2Y/edit?usp=sharing"",""งบพรบ!BM54"")"),0)</f>
        <v>0</v>
      </c>
      <c r="J54" s="151">
        <f t="shared" ca="1" si="27"/>
        <v>0</v>
      </c>
      <c r="K54" s="154">
        <f t="shared" ca="1" si="28"/>
        <v>0</v>
      </c>
      <c r="L54" s="151">
        <f ca="1">IFERROR(__xludf.DUMMYFUNCTION("IMPORTRANGE(""https://docs.google.com/spreadsheets/d/1-uDff_7J0KD5mKrp0Vvzr7lt3OU09vwQwhkpOPPYv2Y/edit?usp=sharing"",""งบพรบ!BN54"")"),0)</f>
        <v>0</v>
      </c>
      <c r="M54" s="68">
        <f t="shared" ca="1" si="29"/>
        <v>0</v>
      </c>
      <c r="N54" s="68">
        <f t="shared" ca="1" si="30"/>
        <v>0</v>
      </c>
      <c r="O54" s="67">
        <f ca="1">IFERROR(__xludf.DUMMYFUNCTION("IMPORTRANGE(""https://docs.google.com/spreadsheets/d/1-uDff_7J0KD5mKrp0Vvzr7lt3OU09vwQwhkpOPPYv2Y/edit?usp=sharing"",""งบพรบ!BO54"")"),0)</f>
        <v>0</v>
      </c>
      <c r="P54" s="67">
        <f t="shared" ca="1" si="31"/>
        <v>0</v>
      </c>
      <c r="Q54" s="68">
        <f t="shared" ca="1" si="32"/>
        <v>0</v>
      </c>
      <c r="R54" s="67">
        <f ca="1">IFERROR(__xludf.DUMMYFUNCTION("IMPORTRANGE(""https://docs.google.com/spreadsheets/d/1ddFKvqj1W1NEiWytbGlB1zMx_ykJDVtmfEQ-6-lIUBA/edit?usp=sharing"",""จันทบุรี!Q117"")"),209360)</f>
        <v>209360</v>
      </c>
      <c r="S54" s="67">
        <f ca="1">IFERROR(__xludf.DUMMYFUNCTION("IMPORTRANGE(""https://docs.google.com/spreadsheets/d/1ddFKvqj1W1NEiWytbGlB1zMx_ykJDVtmfEQ-6-lIUBA/edit?usp=sharing"",""จันทบุรี!R117"")"),209360)</f>
        <v>209360</v>
      </c>
      <c r="T54" s="67">
        <f ca="1">IFERROR(__xludf.DUMMYFUNCTION("IMPORTRANGE(""https://docs.google.com/spreadsheets/d/1ddFKvqj1W1NEiWytbGlB1zMx_ykJDVtmfEQ-6-lIUBA/edit?usp=sharing"",""จันทบุรี!S117"")"),166359.91)</f>
        <v>166359.91</v>
      </c>
      <c r="U54" s="68">
        <f t="shared" ca="1" si="34"/>
        <v>79.461172143675967</v>
      </c>
      <c r="V54" s="68">
        <f t="shared" ca="1" si="35"/>
        <v>79.461172143675967</v>
      </c>
      <c r="W54" s="74">
        <f ca="1">IFERROR(__xludf.DUMMYFUNCTION("IMPORTRANGE(""https://docs.google.com/spreadsheets/d/1ddFKvqj1W1NEiWytbGlB1zMx_ykJDVtmfEQ-6-lIUBA/edit?usp=sharing"",""จันทบุรี!I127"")"),20)</f>
        <v>20</v>
      </c>
      <c r="X54" s="74">
        <f ca="1">IFERROR(__xludf.DUMMYFUNCTION("IMPORTRANGE(""https://docs.google.com/spreadsheets/d/1ddFKvqj1W1NEiWytbGlB1zMx_ykJDVtmfEQ-6-lIUBA/edit?usp=sharing"",""จันทบุรี!J127"")"),20)</f>
        <v>20</v>
      </c>
      <c r="Y54" s="79">
        <f t="shared" ca="1" si="37"/>
        <v>100</v>
      </c>
      <c r="Z54" s="74">
        <f ca="1">IFERROR(__xludf.DUMMYFUNCTION("IMPORTRANGE(""https://docs.google.com/spreadsheets/d/1ddFKvqj1W1NEiWytbGlB1zMx_ykJDVtmfEQ-6-lIUBA/edit?usp=sharing"",""จันทบุรี!J128"")"),1)</f>
        <v>1</v>
      </c>
      <c r="AA54" s="74">
        <f ca="1">IFERROR(__xludf.DUMMYFUNCTION("IMPORTRANGE(""https://docs.google.com/spreadsheets/d/1ddFKvqj1W1NEiWytbGlB1zMx_ykJDVtmfEQ-6-lIUBA/edit?usp=sharing"",""จันทบุรี!I129"")"),20)</f>
        <v>20</v>
      </c>
      <c r="AB54" s="74">
        <f ca="1">IFERROR(__xludf.DUMMYFUNCTION("IMPORTRANGE(""https://docs.google.com/spreadsheets/d/1ddFKvqj1W1NEiWytbGlB1zMx_ykJDVtmfEQ-6-lIUBA/edit?usp=sharing"",""จันทบุรี!J129"")"),20)</f>
        <v>20</v>
      </c>
      <c r="AC54" s="79">
        <f t="shared" ca="1" si="39"/>
        <v>100</v>
      </c>
      <c r="AD54" s="152">
        <f ca="1">IFERROR(__xludf.DUMMYFUNCTION("IMPORTRANGE(""https://docs.google.com/spreadsheets/d/1ddFKvqj1W1NEiWytbGlB1zMx_ykJDVtmfEQ-6-lIUBA/edit?usp=sharing"",""จันทบุรี!J130"")"),1)</f>
        <v>1</v>
      </c>
      <c r="AE54" s="74">
        <v>0</v>
      </c>
      <c r="AF54" s="74">
        <v>0</v>
      </c>
      <c r="AG54" s="79">
        <v>0</v>
      </c>
    </row>
    <row r="55" spans="1:33" ht="19.5" x14ac:dyDescent="0.3">
      <c r="A55" s="147">
        <v>3</v>
      </c>
      <c r="B55" s="148" t="s">
        <v>83</v>
      </c>
      <c r="C55" s="149">
        <f t="shared" ca="1" si="25"/>
        <v>0</v>
      </c>
      <c r="D55" s="150">
        <f t="shared" ca="1" si="50"/>
        <v>0</v>
      </c>
      <c r="E55" s="151">
        <f ca="1">IFERROR(__xludf.DUMMYFUNCTION("IMPORTRANGE(""https://docs.google.com/spreadsheets/d/1-uDff_7J0KD5mKrp0Vvzr7lt3OU09vwQwhkpOPPYv2Y/edit?usp=sharing"",""งบพรบ!BH55"")"),0)</f>
        <v>0</v>
      </c>
      <c r="F55" s="151">
        <f ca="1">IFERROR(__xludf.DUMMYFUNCTION("IMPORTRANGE(""https://docs.google.com/spreadsheets/d/1-uDff_7J0KD5mKrp0Vvzr7lt3OU09vwQwhkpOPPYv2Y/edit?usp=sharing"",""งบพรบ!BI55"")"),0)</f>
        <v>0</v>
      </c>
      <c r="G55" s="151">
        <f ca="1">IFERROR(__xludf.DUMMYFUNCTION("IMPORTRANGE(""https://docs.google.com/spreadsheets/d/1-uDff_7J0KD5mKrp0Vvzr7lt3OU09vwQwhkpOPPYv2Y/edit?usp=sharing"",""งบพรบ!BJ55"")"),0)</f>
        <v>0</v>
      </c>
      <c r="H55" s="151">
        <f ca="1">IFERROR(__xludf.DUMMYFUNCTION("IMPORTRANGE(""https://docs.google.com/spreadsheets/d/1-uDff_7J0KD5mKrp0Vvzr7lt3OU09vwQwhkpOPPYv2Y/edit?usp=sharing"",""งบพรบ!BL55"")"),0)</f>
        <v>0</v>
      </c>
      <c r="I55" s="151">
        <f ca="1">IFERROR(__xludf.DUMMYFUNCTION("IMPORTRANGE(""https://docs.google.com/spreadsheets/d/1-uDff_7J0KD5mKrp0Vvzr7lt3OU09vwQwhkpOPPYv2Y/edit?usp=sharing"",""งบพรบ!BM55"")"),0)</f>
        <v>0</v>
      </c>
      <c r="J55" s="151">
        <f t="shared" ca="1" si="27"/>
        <v>0</v>
      </c>
      <c r="K55" s="154">
        <f t="shared" ca="1" si="28"/>
        <v>0</v>
      </c>
      <c r="L55" s="151">
        <f ca="1">IFERROR(__xludf.DUMMYFUNCTION("IMPORTRANGE(""https://docs.google.com/spreadsheets/d/1-uDff_7J0KD5mKrp0Vvzr7lt3OU09vwQwhkpOPPYv2Y/edit?usp=sharing"",""งบพรบ!BN55"")"),0)</f>
        <v>0</v>
      </c>
      <c r="M55" s="68">
        <f t="shared" ca="1" si="29"/>
        <v>0</v>
      </c>
      <c r="N55" s="68">
        <f t="shared" ca="1" si="30"/>
        <v>0</v>
      </c>
      <c r="O55" s="67">
        <f ca="1">IFERROR(__xludf.DUMMYFUNCTION("IMPORTRANGE(""https://docs.google.com/spreadsheets/d/1-uDff_7J0KD5mKrp0Vvzr7lt3OU09vwQwhkpOPPYv2Y/edit?usp=sharing"",""งบพรบ!BO55"")"),0)</f>
        <v>0</v>
      </c>
      <c r="P55" s="67">
        <f t="shared" ca="1" si="31"/>
        <v>0</v>
      </c>
      <c r="Q55" s="68">
        <f t="shared" ca="1" si="32"/>
        <v>0</v>
      </c>
      <c r="R55" s="67">
        <f ca="1">IFERROR(__xludf.DUMMYFUNCTION("IMPORTRANGE(""https://docs.google.com/spreadsheets/d/1T1PQvRODqOBZk8BRht_U031fIS1beLA0Ub2CEytj2q0/edit?usp=sharing"",""ฉะเชิงเทรา!Q117"")"),209360)</f>
        <v>209360</v>
      </c>
      <c r="S55" s="67">
        <f ca="1">IFERROR(__xludf.DUMMYFUNCTION("IMPORTRANGE(""https://docs.google.com/spreadsheets/d/1T1PQvRODqOBZk8BRht_U031fIS1beLA0Ub2CEytj2q0/edit?usp=sharing"",""ฉะเชิงเทรา!R117"")"),209360)</f>
        <v>209360</v>
      </c>
      <c r="T55" s="67">
        <f ca="1">IFERROR(__xludf.DUMMYFUNCTION("IMPORTRANGE(""https://docs.google.com/spreadsheets/d/1T1PQvRODqOBZk8BRht_U031fIS1beLA0Ub2CEytj2q0/edit?usp=sharing"",""ฉะเชิงเทรา!S117"")"),182493.34)</f>
        <v>182493.34</v>
      </c>
      <c r="U55" s="68">
        <f t="shared" ca="1" si="34"/>
        <v>87.167243026366066</v>
      </c>
      <c r="V55" s="68">
        <f t="shared" ca="1" si="35"/>
        <v>87.167243026366066</v>
      </c>
      <c r="W55" s="74">
        <f ca="1">IFERROR(__xludf.DUMMYFUNCTION("IMPORTRANGE(""https://docs.google.com/spreadsheets/d/1T1PQvRODqOBZk8BRht_U031fIS1beLA0Ub2CEytj2q0/edit?usp=sharing"",""ฉะเชิงเทรา!I127"")"),20)</f>
        <v>20</v>
      </c>
      <c r="X55" s="74">
        <f ca="1">IFERROR(__xludf.DUMMYFUNCTION("IMPORTRANGE(""https://docs.google.com/spreadsheets/d/1T1PQvRODqOBZk8BRht_U031fIS1beLA0Ub2CEytj2q0/edit?usp=sharing"",""ฉะเชิงเทรา!J127"")"),20)</f>
        <v>20</v>
      </c>
      <c r="Y55" s="79">
        <f t="shared" ca="1" si="37"/>
        <v>100</v>
      </c>
      <c r="Z55" s="74">
        <f ca="1">IFERROR(__xludf.DUMMYFUNCTION("IMPORTRANGE(""https://docs.google.com/spreadsheets/d/1T1PQvRODqOBZk8BRht_U031fIS1beLA0Ub2CEytj2q0/edit?usp=sharing"",""ฉะเชิงเทรา!J128"")"),1)</f>
        <v>1</v>
      </c>
      <c r="AA55" s="74">
        <f ca="1">IFERROR(__xludf.DUMMYFUNCTION("IMPORTRANGE(""https://docs.google.com/spreadsheets/d/1T1PQvRODqOBZk8BRht_U031fIS1beLA0Ub2CEytj2q0/edit?usp=sharing"",""ฉะเชิงเทรา!I129"")"),20)</f>
        <v>20</v>
      </c>
      <c r="AB55" s="74">
        <f ca="1">IFERROR(__xludf.DUMMYFUNCTION("IMPORTRANGE(""https://docs.google.com/spreadsheets/d/1T1PQvRODqOBZk8BRht_U031fIS1beLA0Ub2CEytj2q0/edit?usp=sharing"",""ฉะเชิงเทรา!J129"")"),20)</f>
        <v>20</v>
      </c>
      <c r="AC55" s="79">
        <f t="shared" ca="1" si="39"/>
        <v>100</v>
      </c>
      <c r="AD55" s="152">
        <f ca="1">IFERROR(__xludf.DUMMYFUNCTION("IMPORTRANGE(""https://docs.google.com/spreadsheets/d/1T1PQvRODqOBZk8BRht_U031fIS1beLA0Ub2CEytj2q0/edit?usp=sharing"",""ฉะเชิงเทรา!J130"")"),1)</f>
        <v>1</v>
      </c>
      <c r="AE55" s="74">
        <v>0</v>
      </c>
      <c r="AF55" s="74">
        <v>0</v>
      </c>
      <c r="AG55" s="79">
        <v>0</v>
      </c>
    </row>
    <row r="56" spans="1:33" ht="19.5" x14ac:dyDescent="0.3">
      <c r="A56" s="147">
        <v>4</v>
      </c>
      <c r="B56" s="148" t="s">
        <v>84</v>
      </c>
      <c r="C56" s="149">
        <f t="shared" ca="1" si="25"/>
        <v>0</v>
      </c>
      <c r="D56" s="150">
        <f t="shared" ca="1" si="50"/>
        <v>0</v>
      </c>
      <c r="E56" s="151">
        <f ca="1">IFERROR(__xludf.DUMMYFUNCTION("IMPORTRANGE(""https://docs.google.com/spreadsheets/d/1-uDff_7J0KD5mKrp0Vvzr7lt3OU09vwQwhkpOPPYv2Y/edit?usp=sharing"",""งบพรบ!BH56"")"),0)</f>
        <v>0</v>
      </c>
      <c r="F56" s="151">
        <f ca="1">IFERROR(__xludf.DUMMYFUNCTION("IMPORTRANGE(""https://docs.google.com/spreadsheets/d/1-uDff_7J0KD5mKrp0Vvzr7lt3OU09vwQwhkpOPPYv2Y/edit?usp=sharing"",""งบพรบ!BI56"")"),0)</f>
        <v>0</v>
      </c>
      <c r="G56" s="151">
        <f ca="1">IFERROR(__xludf.DUMMYFUNCTION("IMPORTRANGE(""https://docs.google.com/spreadsheets/d/1-uDff_7J0KD5mKrp0Vvzr7lt3OU09vwQwhkpOPPYv2Y/edit?usp=sharing"",""งบพรบ!BJ56"")"),0)</f>
        <v>0</v>
      </c>
      <c r="H56" s="151">
        <f ca="1">IFERROR(__xludf.DUMMYFUNCTION("IMPORTRANGE(""https://docs.google.com/spreadsheets/d/1-uDff_7J0KD5mKrp0Vvzr7lt3OU09vwQwhkpOPPYv2Y/edit?usp=sharing"",""งบพรบ!BL56"")"),0)</f>
        <v>0</v>
      </c>
      <c r="I56" s="151">
        <f ca="1">IFERROR(__xludf.DUMMYFUNCTION("IMPORTRANGE(""https://docs.google.com/spreadsheets/d/1-uDff_7J0KD5mKrp0Vvzr7lt3OU09vwQwhkpOPPYv2Y/edit?usp=sharing"",""งบพรบ!BM56"")"),0)</f>
        <v>0</v>
      </c>
      <c r="J56" s="151">
        <f t="shared" ca="1" si="27"/>
        <v>0</v>
      </c>
      <c r="K56" s="154">
        <f t="shared" ca="1" si="28"/>
        <v>0</v>
      </c>
      <c r="L56" s="151">
        <f ca="1">IFERROR(__xludf.DUMMYFUNCTION("IMPORTRANGE(""https://docs.google.com/spreadsheets/d/1-uDff_7J0KD5mKrp0Vvzr7lt3OU09vwQwhkpOPPYv2Y/edit?usp=sharing"",""งบพรบ!BN56"")"),0)</f>
        <v>0</v>
      </c>
      <c r="M56" s="68">
        <f t="shared" ca="1" si="29"/>
        <v>0</v>
      </c>
      <c r="N56" s="68">
        <f t="shared" ca="1" si="30"/>
        <v>0</v>
      </c>
      <c r="O56" s="67">
        <f ca="1">IFERROR(__xludf.DUMMYFUNCTION("IMPORTRANGE(""https://docs.google.com/spreadsheets/d/1-uDff_7J0KD5mKrp0Vvzr7lt3OU09vwQwhkpOPPYv2Y/edit?usp=sharing"",""งบพรบ!BO56"")"),0)</f>
        <v>0</v>
      </c>
      <c r="P56" s="67">
        <f t="shared" ca="1" si="31"/>
        <v>0</v>
      </c>
      <c r="Q56" s="68">
        <f t="shared" ca="1" si="32"/>
        <v>0</v>
      </c>
      <c r="R56" s="67">
        <f ca="1">IFERROR(__xludf.DUMMYFUNCTION("IMPORTRANGE(""https://docs.google.com/spreadsheets/d/11tr1B-Bhyr79v2bkwVh5h_fR-PStkgjlZtkrZpYurG0/edit?usp=sharing"",""ชลบุรี!Q117"")"),173660)</f>
        <v>173660</v>
      </c>
      <c r="S56" s="67">
        <f ca="1">IFERROR(__xludf.DUMMYFUNCTION("IMPORTRANGE(""https://docs.google.com/spreadsheets/d/11tr1B-Bhyr79v2bkwVh5h_fR-PStkgjlZtkrZpYurG0/edit?usp=sharing"",""ชลบุรี!R117"")"),173660)</f>
        <v>173660</v>
      </c>
      <c r="T56" s="67">
        <f ca="1">IFERROR(__xludf.DUMMYFUNCTION("IMPORTRANGE(""https://docs.google.com/spreadsheets/d/11tr1B-Bhyr79v2bkwVh5h_fR-PStkgjlZtkrZpYurG0/edit?usp=sharing"",""ชลบุรี!S117"")"),141120)</f>
        <v>141120</v>
      </c>
      <c r="U56" s="68">
        <f t="shared" ca="1" si="34"/>
        <v>81.262236554186345</v>
      </c>
      <c r="V56" s="68">
        <f t="shared" ca="1" si="35"/>
        <v>81.262236554186345</v>
      </c>
      <c r="W56" s="74">
        <f ca="1">IFERROR(__xludf.DUMMYFUNCTION("IMPORTRANGE(""https://docs.google.com/spreadsheets/d/11tr1B-Bhyr79v2bkwVh5h_fR-PStkgjlZtkrZpYurG0/edit?usp=sharing"",""ชลบุรี!I127"")"),10)</f>
        <v>10</v>
      </c>
      <c r="X56" s="74">
        <f ca="1">IFERROR(__xludf.DUMMYFUNCTION("IMPORTRANGE(""https://docs.google.com/spreadsheets/d/11tr1B-Bhyr79v2bkwVh5h_fR-PStkgjlZtkrZpYurG0/edit?usp=sharing"",""ชลบุรี!J127"")"),10)</f>
        <v>10</v>
      </c>
      <c r="Y56" s="79">
        <f t="shared" ca="1" si="37"/>
        <v>100</v>
      </c>
      <c r="Z56" s="74">
        <f ca="1">IFERROR(__xludf.DUMMYFUNCTION("IMPORTRANGE(""https://docs.google.com/spreadsheets/d/11tr1B-Bhyr79v2bkwVh5h_fR-PStkgjlZtkrZpYurG0/edit?usp=sharing"",""ชลบุรี!J128"")"),1)</f>
        <v>1</v>
      </c>
      <c r="AA56" s="74">
        <f ca="1">IFERROR(__xludf.DUMMYFUNCTION("IMPORTRANGE(""https://docs.google.com/spreadsheets/d/11tr1B-Bhyr79v2bkwVh5h_fR-PStkgjlZtkrZpYurG0/edit?usp=sharing"",""ชลบุรี!I129"")"),10)</f>
        <v>10</v>
      </c>
      <c r="AB56" s="74">
        <f ca="1">IFERROR(__xludf.DUMMYFUNCTION("IMPORTRANGE(""https://docs.google.com/spreadsheets/d/11tr1B-Bhyr79v2bkwVh5h_fR-PStkgjlZtkrZpYurG0/edit?usp=sharing"",""ชลบุรี!J129"")"),10)</f>
        <v>10</v>
      </c>
      <c r="AC56" s="79">
        <f t="shared" ca="1" si="39"/>
        <v>100</v>
      </c>
      <c r="AD56" s="152">
        <f ca="1">IFERROR(__xludf.DUMMYFUNCTION("IMPORTRANGE(""https://docs.google.com/spreadsheets/d/11tr1B-Bhyr79v2bkwVh5h_fR-PStkgjlZtkrZpYurG0/edit?usp=sharing"",""ชลบุรี!J130"")"),1)</f>
        <v>1</v>
      </c>
      <c r="AE56" s="74">
        <v>0</v>
      </c>
      <c r="AF56" s="74">
        <v>0</v>
      </c>
      <c r="AG56" s="79">
        <v>0</v>
      </c>
    </row>
    <row r="57" spans="1:33" ht="19.5" x14ac:dyDescent="0.3">
      <c r="A57" s="147">
        <v>5</v>
      </c>
      <c r="B57" s="148" t="s">
        <v>85</v>
      </c>
      <c r="C57" s="149">
        <f t="shared" ca="1" si="25"/>
        <v>0</v>
      </c>
      <c r="D57" s="150">
        <f t="shared" ca="1" si="50"/>
        <v>0</v>
      </c>
      <c r="E57" s="151">
        <f ca="1">IFERROR(__xludf.DUMMYFUNCTION("IMPORTRANGE(""https://docs.google.com/spreadsheets/d/1-uDff_7J0KD5mKrp0Vvzr7lt3OU09vwQwhkpOPPYv2Y/edit?usp=sharing"",""งบพรบ!BH57"")"),0)</f>
        <v>0</v>
      </c>
      <c r="F57" s="151">
        <f ca="1">IFERROR(__xludf.DUMMYFUNCTION("IMPORTRANGE(""https://docs.google.com/spreadsheets/d/1-uDff_7J0KD5mKrp0Vvzr7lt3OU09vwQwhkpOPPYv2Y/edit?usp=sharing"",""งบพรบ!BI57"")"),0)</f>
        <v>0</v>
      </c>
      <c r="G57" s="151">
        <f ca="1">IFERROR(__xludf.DUMMYFUNCTION("IMPORTRANGE(""https://docs.google.com/spreadsheets/d/1-uDff_7J0KD5mKrp0Vvzr7lt3OU09vwQwhkpOPPYv2Y/edit?usp=sharing"",""งบพรบ!BJ57"")"),0)</f>
        <v>0</v>
      </c>
      <c r="H57" s="151">
        <f ca="1">IFERROR(__xludf.DUMMYFUNCTION("IMPORTRANGE(""https://docs.google.com/spreadsheets/d/1-uDff_7J0KD5mKrp0Vvzr7lt3OU09vwQwhkpOPPYv2Y/edit?usp=sharing"",""งบพรบ!BL57"")"),0)</f>
        <v>0</v>
      </c>
      <c r="I57" s="151">
        <f ca="1">IFERROR(__xludf.DUMMYFUNCTION("IMPORTRANGE(""https://docs.google.com/spreadsheets/d/1-uDff_7J0KD5mKrp0Vvzr7lt3OU09vwQwhkpOPPYv2Y/edit?usp=sharing"",""งบพรบ!BM57"")"),0)</f>
        <v>0</v>
      </c>
      <c r="J57" s="151">
        <f t="shared" ca="1" si="27"/>
        <v>0</v>
      </c>
      <c r="K57" s="154">
        <f t="shared" ca="1" si="28"/>
        <v>0</v>
      </c>
      <c r="L57" s="151">
        <f ca="1">IFERROR(__xludf.DUMMYFUNCTION("IMPORTRANGE(""https://docs.google.com/spreadsheets/d/1-uDff_7J0KD5mKrp0Vvzr7lt3OU09vwQwhkpOPPYv2Y/edit?usp=sharing"",""งบพรบ!BN57"")"),0)</f>
        <v>0</v>
      </c>
      <c r="M57" s="68">
        <f t="shared" ca="1" si="29"/>
        <v>0</v>
      </c>
      <c r="N57" s="68">
        <f t="shared" ca="1" si="30"/>
        <v>0</v>
      </c>
      <c r="O57" s="67">
        <f ca="1">IFERROR(__xludf.DUMMYFUNCTION("IMPORTRANGE(""https://docs.google.com/spreadsheets/d/1-uDff_7J0KD5mKrp0Vvzr7lt3OU09vwQwhkpOPPYv2Y/edit?usp=sharing"",""งบพรบ!BO57"")"),0)</f>
        <v>0</v>
      </c>
      <c r="P57" s="67">
        <f t="shared" ca="1" si="31"/>
        <v>0</v>
      </c>
      <c r="Q57" s="68">
        <f t="shared" ca="1" si="32"/>
        <v>0</v>
      </c>
      <c r="R57" s="67">
        <f ca="1">IFERROR(__xludf.DUMMYFUNCTION("IMPORTRANGE(""https://docs.google.com/spreadsheets/d/1hh-FVnSX0vozXhGluamEcS54Dw9_zqW0N7qJUWgJ0Sw/edit?usp=sharing"",""ชัยนาท!Q117"")"),209360)</f>
        <v>209360</v>
      </c>
      <c r="S57" s="67">
        <f ca="1">IFERROR(__xludf.DUMMYFUNCTION("IMPORTRANGE(""https://docs.google.com/spreadsheets/d/1hh-FVnSX0vozXhGluamEcS54Dw9_zqW0N7qJUWgJ0Sw/edit?usp=sharing"",""ชัยนาท!R117"")"),209360)</f>
        <v>209360</v>
      </c>
      <c r="T57" s="67">
        <f ca="1">IFERROR(__xludf.DUMMYFUNCTION("IMPORTRANGE(""https://docs.google.com/spreadsheets/d/1hh-FVnSX0vozXhGluamEcS54Dw9_zqW0N7qJUWgJ0Sw/edit?usp=sharing"",""ชัยนาท!S117"")"),164205)</f>
        <v>164205</v>
      </c>
      <c r="U57" s="68">
        <f t="shared" ca="1" si="34"/>
        <v>78.431887657623236</v>
      </c>
      <c r="V57" s="68">
        <f t="shared" ca="1" si="35"/>
        <v>78.431887657623236</v>
      </c>
      <c r="W57" s="74">
        <f ca="1">IFERROR(__xludf.DUMMYFUNCTION("IMPORTRANGE(""https://docs.google.com/spreadsheets/d/1hh-FVnSX0vozXhGluamEcS54Dw9_zqW0N7qJUWgJ0Sw/edit?usp=sharing"",""ชัยนาท!I127"")"),20)</f>
        <v>20</v>
      </c>
      <c r="X57" s="74">
        <f ca="1">IFERROR(__xludf.DUMMYFUNCTION("IMPORTRANGE(""https://docs.google.com/spreadsheets/d/1hh-FVnSX0vozXhGluamEcS54Dw9_zqW0N7qJUWgJ0Sw/edit?usp=sharing"",""ชัยนาท!J127"")"),20)</f>
        <v>20</v>
      </c>
      <c r="Y57" s="79">
        <f t="shared" ca="1" si="37"/>
        <v>100</v>
      </c>
      <c r="Z57" s="74">
        <f ca="1">IFERROR(__xludf.DUMMYFUNCTION("IMPORTRANGE(""https://docs.google.com/spreadsheets/d/1hh-FVnSX0vozXhGluamEcS54Dw9_zqW0N7qJUWgJ0Sw/edit?usp=sharing"",""ชัยนาท!J128"")"),1)</f>
        <v>1</v>
      </c>
      <c r="AA57" s="74">
        <f ca="1">IFERROR(__xludf.DUMMYFUNCTION("IMPORTRANGE(""https://docs.google.com/spreadsheets/d/1hh-FVnSX0vozXhGluamEcS54Dw9_zqW0N7qJUWgJ0Sw/edit?usp=sharing"",""ชัยนาท!I129"")"),20)</f>
        <v>20</v>
      </c>
      <c r="AB57" s="74">
        <f ca="1">IFERROR(__xludf.DUMMYFUNCTION("IMPORTRANGE(""https://docs.google.com/spreadsheets/d/1hh-FVnSX0vozXhGluamEcS54Dw9_zqW0N7qJUWgJ0Sw/edit?usp=sharing"",""ชัยนาท!J129"")"),20)</f>
        <v>20</v>
      </c>
      <c r="AC57" s="79">
        <f t="shared" ca="1" si="39"/>
        <v>100</v>
      </c>
      <c r="AD57" s="152">
        <f ca="1">IFERROR(__xludf.DUMMYFUNCTION("IMPORTRANGE(""https://docs.google.com/spreadsheets/d/1hh-FVnSX0vozXhGluamEcS54Dw9_zqW0N7qJUWgJ0Sw/edit?usp=sharing"",""ชัยนาท!J130"")"),1)</f>
        <v>1</v>
      </c>
      <c r="AE57" s="74">
        <v>0</v>
      </c>
      <c r="AF57" s="74">
        <v>0</v>
      </c>
      <c r="AG57" s="79">
        <v>0</v>
      </c>
    </row>
    <row r="58" spans="1:33" ht="19.5" x14ac:dyDescent="0.3">
      <c r="A58" s="147">
        <v>6</v>
      </c>
      <c r="B58" s="148" t="s">
        <v>86</v>
      </c>
      <c r="C58" s="149">
        <f t="shared" ca="1" si="25"/>
        <v>0</v>
      </c>
      <c r="D58" s="150">
        <f t="shared" ca="1" si="50"/>
        <v>0</v>
      </c>
      <c r="E58" s="151">
        <f ca="1">IFERROR(__xludf.DUMMYFUNCTION("IMPORTRANGE(""https://docs.google.com/spreadsheets/d/1-uDff_7J0KD5mKrp0Vvzr7lt3OU09vwQwhkpOPPYv2Y/edit?usp=sharing"",""งบพรบ!BH58"")"),0)</f>
        <v>0</v>
      </c>
      <c r="F58" s="151">
        <f ca="1">IFERROR(__xludf.DUMMYFUNCTION("IMPORTRANGE(""https://docs.google.com/spreadsheets/d/1-uDff_7J0KD5mKrp0Vvzr7lt3OU09vwQwhkpOPPYv2Y/edit?usp=sharing"",""งบพรบ!BI58"")"),0)</f>
        <v>0</v>
      </c>
      <c r="G58" s="151">
        <f ca="1">IFERROR(__xludf.DUMMYFUNCTION("IMPORTRANGE(""https://docs.google.com/spreadsheets/d/1-uDff_7J0KD5mKrp0Vvzr7lt3OU09vwQwhkpOPPYv2Y/edit?usp=sharing"",""งบพรบ!BJ58"")"),0)</f>
        <v>0</v>
      </c>
      <c r="H58" s="151">
        <f ca="1">IFERROR(__xludf.DUMMYFUNCTION("IMPORTRANGE(""https://docs.google.com/spreadsheets/d/1-uDff_7J0KD5mKrp0Vvzr7lt3OU09vwQwhkpOPPYv2Y/edit?usp=sharing"",""งบพรบ!BL58"")"),0)</f>
        <v>0</v>
      </c>
      <c r="I58" s="151">
        <f ca="1">IFERROR(__xludf.DUMMYFUNCTION("IMPORTRANGE(""https://docs.google.com/spreadsheets/d/1-uDff_7J0KD5mKrp0Vvzr7lt3OU09vwQwhkpOPPYv2Y/edit?usp=sharing"",""งบพรบ!BM58"")"),0)</f>
        <v>0</v>
      </c>
      <c r="J58" s="151">
        <f t="shared" ca="1" si="27"/>
        <v>0</v>
      </c>
      <c r="K58" s="154">
        <f t="shared" ca="1" si="28"/>
        <v>0</v>
      </c>
      <c r="L58" s="151">
        <f ca="1">IFERROR(__xludf.DUMMYFUNCTION("IMPORTRANGE(""https://docs.google.com/spreadsheets/d/1-uDff_7J0KD5mKrp0Vvzr7lt3OU09vwQwhkpOPPYv2Y/edit?usp=sharing"",""งบพรบ!BN58"")"),0)</f>
        <v>0</v>
      </c>
      <c r="M58" s="68">
        <f t="shared" ca="1" si="29"/>
        <v>0</v>
      </c>
      <c r="N58" s="68">
        <f t="shared" ca="1" si="30"/>
        <v>0</v>
      </c>
      <c r="O58" s="67">
        <f ca="1">IFERROR(__xludf.DUMMYFUNCTION("IMPORTRANGE(""https://docs.google.com/spreadsheets/d/1-uDff_7J0KD5mKrp0Vvzr7lt3OU09vwQwhkpOPPYv2Y/edit?usp=sharing"",""งบพรบ!BO58"")"),0)</f>
        <v>0</v>
      </c>
      <c r="P58" s="67">
        <f t="shared" ca="1" si="31"/>
        <v>0</v>
      </c>
      <c r="Q58" s="68">
        <f t="shared" ca="1" si="32"/>
        <v>0</v>
      </c>
      <c r="R58" s="67">
        <f ca="1">IFERROR(__xludf.DUMMYFUNCTION("IMPORTRANGE(""https://docs.google.com/spreadsheets/d/1jkqa6GXxSacMcY1eN8AHjMNJ_7dDXMJVRLDlaFSOdPM/edit?usp=sharing"",""ตราด!Q117"")"),211520)</f>
        <v>211520</v>
      </c>
      <c r="S58" s="67">
        <f ca="1">IFERROR(__xludf.DUMMYFUNCTION("IMPORTRANGE(""https://docs.google.com/spreadsheets/d/1jkqa6GXxSacMcY1eN8AHjMNJ_7dDXMJVRLDlaFSOdPM/edit?usp=sharing"",""ตราด!R117"")"),190266)</f>
        <v>190266</v>
      </c>
      <c r="T58" s="67">
        <f ca="1">IFERROR(__xludf.DUMMYFUNCTION("IMPORTRANGE(""https://docs.google.com/spreadsheets/d/1jkqa6GXxSacMcY1eN8AHjMNJ_7dDXMJVRLDlaFSOdPM/edit?usp=sharing"",""ตราด!S117"")"),161946)</f>
        <v>161946</v>
      </c>
      <c r="U58" s="68">
        <f t="shared" ca="1" si="34"/>
        <v>76.562972768532532</v>
      </c>
      <c r="V58" s="68">
        <f t="shared" ca="1" si="35"/>
        <v>85.115575037053389</v>
      </c>
      <c r="W58" s="74">
        <f ca="1">IFERROR(__xludf.DUMMYFUNCTION("IMPORTRANGE(""https://docs.google.com/spreadsheets/d/1jkqa6GXxSacMcY1eN8AHjMNJ_7dDXMJVRLDlaFSOdPM/edit?usp=sharing"",""ตราด!I127"")"),20)</f>
        <v>20</v>
      </c>
      <c r="X58" s="74">
        <f ca="1">IFERROR(__xludf.DUMMYFUNCTION("IMPORTRANGE(""https://docs.google.com/spreadsheets/d/1jkqa6GXxSacMcY1eN8AHjMNJ_7dDXMJVRLDlaFSOdPM/edit?usp=sharing"",""ตราด!J127"")"),20)</f>
        <v>20</v>
      </c>
      <c r="Y58" s="79">
        <f t="shared" ca="1" si="37"/>
        <v>100</v>
      </c>
      <c r="Z58" s="74">
        <f ca="1">IFERROR(__xludf.DUMMYFUNCTION("IMPORTRANGE(""https://docs.google.com/spreadsheets/d/1jkqa6GXxSacMcY1eN8AHjMNJ_7dDXMJVRLDlaFSOdPM/edit?usp=sharing"",""ตราด!J128"")"),2)</f>
        <v>2</v>
      </c>
      <c r="AA58" s="74">
        <f ca="1">IFERROR(__xludf.DUMMYFUNCTION("IMPORTRANGE(""https://docs.google.com/spreadsheets/d/1jkqa6GXxSacMcY1eN8AHjMNJ_7dDXMJVRLDlaFSOdPM/edit?usp=sharing"",""ตราด!I129"")"),20)</f>
        <v>20</v>
      </c>
      <c r="AB58" s="74">
        <f ca="1">IFERROR(__xludf.DUMMYFUNCTION("IMPORTRANGE(""https://docs.google.com/spreadsheets/d/1jkqa6GXxSacMcY1eN8AHjMNJ_7dDXMJVRLDlaFSOdPM/edit?usp=sharing"",""ตราด!J129"")"),20)</f>
        <v>20</v>
      </c>
      <c r="AC58" s="79">
        <f t="shared" ca="1" si="39"/>
        <v>100</v>
      </c>
      <c r="AD58" s="152">
        <f ca="1">IFERROR(__xludf.DUMMYFUNCTION("IMPORTRANGE(""https://docs.google.com/spreadsheets/d/1jkqa6GXxSacMcY1eN8AHjMNJ_7dDXMJVRLDlaFSOdPM/edit?usp=sharing"",""ตราด!J130"")"),2)</f>
        <v>2</v>
      </c>
      <c r="AE58" s="74">
        <v>0</v>
      </c>
      <c r="AF58" s="74">
        <v>0</v>
      </c>
      <c r="AG58" s="79">
        <v>0</v>
      </c>
    </row>
    <row r="59" spans="1:33" ht="19.5" x14ac:dyDescent="0.3">
      <c r="A59" s="147">
        <v>7</v>
      </c>
      <c r="B59" s="148" t="s">
        <v>87</v>
      </c>
      <c r="C59" s="149">
        <f t="shared" ca="1" si="25"/>
        <v>0</v>
      </c>
      <c r="D59" s="150">
        <f t="shared" ca="1" si="50"/>
        <v>0</v>
      </c>
      <c r="E59" s="151">
        <f ca="1">IFERROR(__xludf.DUMMYFUNCTION("IMPORTRANGE(""https://docs.google.com/spreadsheets/d/1-uDff_7J0KD5mKrp0Vvzr7lt3OU09vwQwhkpOPPYv2Y/edit?usp=sharing"",""งบพรบ!BH59"")"),0)</f>
        <v>0</v>
      </c>
      <c r="F59" s="151">
        <f ca="1">IFERROR(__xludf.DUMMYFUNCTION("IMPORTRANGE(""https://docs.google.com/spreadsheets/d/1-uDff_7J0KD5mKrp0Vvzr7lt3OU09vwQwhkpOPPYv2Y/edit?usp=sharing"",""งบพรบ!BI59"")"),0)</f>
        <v>0</v>
      </c>
      <c r="G59" s="151">
        <f ca="1">IFERROR(__xludf.DUMMYFUNCTION("IMPORTRANGE(""https://docs.google.com/spreadsheets/d/1-uDff_7J0KD5mKrp0Vvzr7lt3OU09vwQwhkpOPPYv2Y/edit?usp=sharing"",""งบพรบ!BJ59"")"),0)</f>
        <v>0</v>
      </c>
      <c r="H59" s="151">
        <f ca="1">IFERROR(__xludf.DUMMYFUNCTION("IMPORTRANGE(""https://docs.google.com/spreadsheets/d/1-uDff_7J0KD5mKrp0Vvzr7lt3OU09vwQwhkpOPPYv2Y/edit?usp=sharing"",""งบพรบ!BL59"")"),0)</f>
        <v>0</v>
      </c>
      <c r="I59" s="151">
        <f ca="1">IFERROR(__xludf.DUMMYFUNCTION("IMPORTRANGE(""https://docs.google.com/spreadsheets/d/1-uDff_7J0KD5mKrp0Vvzr7lt3OU09vwQwhkpOPPYv2Y/edit?usp=sharing"",""งบพรบ!BM59"")"),0)</f>
        <v>0</v>
      </c>
      <c r="J59" s="151">
        <f t="shared" ca="1" si="27"/>
        <v>0</v>
      </c>
      <c r="K59" s="154">
        <f t="shared" ca="1" si="28"/>
        <v>0</v>
      </c>
      <c r="L59" s="151">
        <f ca="1">IFERROR(__xludf.DUMMYFUNCTION("IMPORTRANGE(""https://docs.google.com/spreadsheets/d/1-uDff_7J0KD5mKrp0Vvzr7lt3OU09vwQwhkpOPPYv2Y/edit?usp=sharing"",""งบพรบ!BN59"")"),0)</f>
        <v>0</v>
      </c>
      <c r="M59" s="68">
        <f t="shared" ca="1" si="29"/>
        <v>0</v>
      </c>
      <c r="N59" s="68">
        <f t="shared" ca="1" si="30"/>
        <v>0</v>
      </c>
      <c r="O59" s="67">
        <f ca="1">IFERROR(__xludf.DUMMYFUNCTION("IMPORTRANGE(""https://docs.google.com/spreadsheets/d/1-uDff_7J0KD5mKrp0Vvzr7lt3OU09vwQwhkpOPPYv2Y/edit?usp=sharing"",""งบพรบ!BO59"")"),0)</f>
        <v>0</v>
      </c>
      <c r="P59" s="67">
        <f t="shared" ca="1" si="31"/>
        <v>0</v>
      </c>
      <c r="Q59" s="68">
        <f t="shared" ca="1" si="32"/>
        <v>0</v>
      </c>
      <c r="R59" s="67">
        <f ca="1">IFERROR(__xludf.DUMMYFUNCTION("IMPORTRANGE(""https://docs.google.com/spreadsheets/d/18hSgUJ3VwClqi_qtULmmW3cLr0oe3OKaSYoKzdpTsYQ/edit?usp=sharing"",""นครนายก!Q117"")"),209360)</f>
        <v>209360</v>
      </c>
      <c r="S59" s="67">
        <f ca="1">IFERROR(__xludf.DUMMYFUNCTION("IMPORTRANGE(""https://docs.google.com/spreadsheets/d/18hSgUJ3VwClqi_qtULmmW3cLr0oe3OKaSYoKzdpTsYQ/edit?usp=sharing"",""นครนายก!R117"")"),209360)</f>
        <v>209360</v>
      </c>
      <c r="T59" s="67">
        <f ca="1">IFERROR(__xludf.DUMMYFUNCTION("IMPORTRANGE(""https://docs.google.com/spreadsheets/d/18hSgUJ3VwClqi_qtULmmW3cLr0oe3OKaSYoKzdpTsYQ/edit?usp=sharing"",""นครนายก!S117"")"),121180)</f>
        <v>121180</v>
      </c>
      <c r="U59" s="68">
        <f t="shared" ca="1" si="34"/>
        <v>57.881161635460451</v>
      </c>
      <c r="V59" s="68">
        <f t="shared" ca="1" si="35"/>
        <v>57.881161635460451</v>
      </c>
      <c r="W59" s="74">
        <f ca="1">IFERROR(__xludf.DUMMYFUNCTION("IMPORTRANGE(""https://docs.google.com/spreadsheets/d/18hSgUJ3VwClqi_qtULmmW3cLr0oe3OKaSYoKzdpTsYQ/edit?usp=sharing"",""นครนายก!I127"")"),20)</f>
        <v>20</v>
      </c>
      <c r="X59" s="74">
        <f ca="1">IFERROR(__xludf.DUMMYFUNCTION("IMPORTRANGE(""https://docs.google.com/spreadsheets/d/18hSgUJ3VwClqi_qtULmmW3cLr0oe3OKaSYoKzdpTsYQ/edit?usp=sharing"",""นครนายก!J127"")"),20)</f>
        <v>20</v>
      </c>
      <c r="Y59" s="79">
        <f t="shared" ca="1" si="37"/>
        <v>100</v>
      </c>
      <c r="Z59" s="74">
        <f ca="1">IFERROR(__xludf.DUMMYFUNCTION("IMPORTRANGE(""https://docs.google.com/spreadsheets/d/18hSgUJ3VwClqi_qtULmmW3cLr0oe3OKaSYoKzdpTsYQ/edit?usp=sharing"",""นครนายก!J128"")"),1)</f>
        <v>1</v>
      </c>
      <c r="AA59" s="74">
        <f ca="1">IFERROR(__xludf.DUMMYFUNCTION("IMPORTRANGE(""https://docs.google.com/spreadsheets/d/18hSgUJ3VwClqi_qtULmmW3cLr0oe3OKaSYoKzdpTsYQ/edit?usp=sharing"",""นครนายก!I129"")"),20)</f>
        <v>20</v>
      </c>
      <c r="AB59" s="74">
        <f ca="1">IFERROR(__xludf.DUMMYFUNCTION("IMPORTRANGE(""https://docs.google.com/spreadsheets/d/18hSgUJ3VwClqi_qtULmmW3cLr0oe3OKaSYoKzdpTsYQ/edit?usp=sharing"",""นครนายก!J129"")"),20)</f>
        <v>20</v>
      </c>
      <c r="AC59" s="79">
        <f t="shared" ca="1" si="39"/>
        <v>100</v>
      </c>
      <c r="AD59" s="152">
        <f ca="1">IFERROR(__xludf.DUMMYFUNCTION("IMPORTRANGE(""https://docs.google.com/spreadsheets/d/18hSgUJ3VwClqi_qtULmmW3cLr0oe3OKaSYoKzdpTsYQ/edit?usp=sharing"",""นครนายก!J130"")"),1)</f>
        <v>1</v>
      </c>
      <c r="AE59" s="74">
        <v>0</v>
      </c>
      <c r="AF59" s="74">
        <v>0</v>
      </c>
      <c r="AG59" s="79">
        <v>0</v>
      </c>
    </row>
    <row r="60" spans="1:33" ht="19.5" x14ac:dyDescent="0.3">
      <c r="A60" s="147">
        <v>8</v>
      </c>
      <c r="B60" s="148" t="s">
        <v>88</v>
      </c>
      <c r="C60" s="149">
        <f t="shared" ca="1" si="25"/>
        <v>0</v>
      </c>
      <c r="D60" s="150">
        <f t="shared" ca="1" si="50"/>
        <v>0</v>
      </c>
      <c r="E60" s="151">
        <f ca="1">IFERROR(__xludf.DUMMYFUNCTION("IMPORTRANGE(""https://docs.google.com/spreadsheets/d/1-uDff_7J0KD5mKrp0Vvzr7lt3OU09vwQwhkpOPPYv2Y/edit?usp=sharing"",""งบพรบ!BH60"")"),0)</f>
        <v>0</v>
      </c>
      <c r="F60" s="151">
        <f ca="1">IFERROR(__xludf.DUMMYFUNCTION("IMPORTRANGE(""https://docs.google.com/spreadsheets/d/1-uDff_7J0KD5mKrp0Vvzr7lt3OU09vwQwhkpOPPYv2Y/edit?usp=sharing"",""งบพรบ!BI60"")"),0)</f>
        <v>0</v>
      </c>
      <c r="G60" s="151">
        <f ca="1">IFERROR(__xludf.DUMMYFUNCTION("IMPORTRANGE(""https://docs.google.com/spreadsheets/d/1-uDff_7J0KD5mKrp0Vvzr7lt3OU09vwQwhkpOPPYv2Y/edit?usp=sharing"",""งบพรบ!BJ60"")"),0)</f>
        <v>0</v>
      </c>
      <c r="H60" s="151">
        <f ca="1">IFERROR(__xludf.DUMMYFUNCTION("IMPORTRANGE(""https://docs.google.com/spreadsheets/d/1-uDff_7J0KD5mKrp0Vvzr7lt3OU09vwQwhkpOPPYv2Y/edit?usp=sharing"",""งบพรบ!BL60"")"),0)</f>
        <v>0</v>
      </c>
      <c r="I60" s="151">
        <f ca="1">IFERROR(__xludf.DUMMYFUNCTION("IMPORTRANGE(""https://docs.google.com/spreadsheets/d/1-uDff_7J0KD5mKrp0Vvzr7lt3OU09vwQwhkpOPPYv2Y/edit?usp=sharing"",""งบพรบ!BM60"")"),0)</f>
        <v>0</v>
      </c>
      <c r="J60" s="151">
        <f t="shared" ca="1" si="27"/>
        <v>0</v>
      </c>
      <c r="K60" s="154">
        <f t="shared" ca="1" si="28"/>
        <v>0</v>
      </c>
      <c r="L60" s="151">
        <f ca="1">IFERROR(__xludf.DUMMYFUNCTION("IMPORTRANGE(""https://docs.google.com/spreadsheets/d/1-uDff_7J0KD5mKrp0Vvzr7lt3OU09vwQwhkpOPPYv2Y/edit?usp=sharing"",""งบพรบ!BN60"")"),0)</f>
        <v>0</v>
      </c>
      <c r="M60" s="68">
        <f t="shared" ca="1" si="29"/>
        <v>0</v>
      </c>
      <c r="N60" s="68">
        <f t="shared" ca="1" si="30"/>
        <v>0</v>
      </c>
      <c r="O60" s="67">
        <f ca="1">IFERROR(__xludf.DUMMYFUNCTION("IMPORTRANGE(""https://docs.google.com/spreadsheets/d/1-uDff_7J0KD5mKrp0Vvzr7lt3OU09vwQwhkpOPPYv2Y/edit?usp=sharing"",""งบพรบ!BO60"")"),0)</f>
        <v>0</v>
      </c>
      <c r="P60" s="67">
        <f t="shared" ca="1" si="31"/>
        <v>0</v>
      </c>
      <c r="Q60" s="68">
        <f t="shared" ca="1" si="32"/>
        <v>0</v>
      </c>
      <c r="R60" s="67">
        <f ca="1">IFERROR(__xludf.DUMMYFUNCTION("IMPORTRANGE(""https://docs.google.com/spreadsheets/d/1YTZo6WM2dQ6Ix6FSdnL5P7uVnVKu40sxZu975tgG10E/edit?usp=sharing"",""นครปฐม!Q117"")"),173660)</f>
        <v>173660</v>
      </c>
      <c r="S60" s="67">
        <f ca="1">IFERROR(__xludf.DUMMYFUNCTION("IMPORTRANGE(""https://docs.google.com/spreadsheets/d/1YTZo6WM2dQ6Ix6FSdnL5P7uVnVKu40sxZu975tgG10E/edit?usp=sharing"",""นครปฐม!R117"")"),173660)</f>
        <v>173660</v>
      </c>
      <c r="T60" s="67">
        <f ca="1">IFERROR(__xludf.DUMMYFUNCTION("IMPORTRANGE(""https://docs.google.com/spreadsheets/d/1YTZo6WM2dQ6Ix6FSdnL5P7uVnVKu40sxZu975tgG10E/edit?usp=sharing"",""นครปฐม!S117"")"),94653.36)</f>
        <v>94653.36</v>
      </c>
      <c r="U60" s="68">
        <f t="shared" ca="1" si="34"/>
        <v>54.50498675572959</v>
      </c>
      <c r="V60" s="68">
        <f t="shared" ca="1" si="35"/>
        <v>54.50498675572959</v>
      </c>
      <c r="W60" s="74">
        <f ca="1">IFERROR(__xludf.DUMMYFUNCTION("IMPORTRANGE(""https://docs.google.com/spreadsheets/d/1YTZo6WM2dQ6Ix6FSdnL5P7uVnVKu40sxZu975tgG10E/edit?usp=sharing"",""นครปฐม!I127"")"),10)</f>
        <v>10</v>
      </c>
      <c r="X60" s="74">
        <f ca="1">IFERROR(__xludf.DUMMYFUNCTION("IMPORTRANGE(""https://docs.google.com/spreadsheets/d/1YTZo6WM2dQ6Ix6FSdnL5P7uVnVKu40sxZu975tgG10E/edit?usp=sharing"",""นครปฐม!J127"")"),10)</f>
        <v>10</v>
      </c>
      <c r="Y60" s="79">
        <f t="shared" ca="1" si="37"/>
        <v>100</v>
      </c>
      <c r="Z60" s="74">
        <f ca="1">IFERROR(__xludf.DUMMYFUNCTION("IMPORTRANGE(""https://docs.google.com/spreadsheets/d/1YTZo6WM2dQ6Ix6FSdnL5P7uVnVKu40sxZu975tgG10E/edit?usp=sharing"",""นครปฐม!J128"")"),1)</f>
        <v>1</v>
      </c>
      <c r="AA60" s="74">
        <f ca="1">IFERROR(__xludf.DUMMYFUNCTION("IMPORTRANGE(""https://docs.google.com/spreadsheets/d/1YTZo6WM2dQ6Ix6FSdnL5P7uVnVKu40sxZu975tgG10E/edit?usp=sharing"",""นครปฐม!I129"")"),10)</f>
        <v>10</v>
      </c>
      <c r="AB60" s="74">
        <f ca="1">IFERROR(__xludf.DUMMYFUNCTION("IMPORTRANGE(""https://docs.google.com/spreadsheets/d/1YTZo6WM2dQ6Ix6FSdnL5P7uVnVKu40sxZu975tgG10E/edit?usp=sharing"",""นครปฐม!J129"")"),10)</f>
        <v>10</v>
      </c>
      <c r="AC60" s="79">
        <f t="shared" ca="1" si="39"/>
        <v>100</v>
      </c>
      <c r="AD60" s="152">
        <f ca="1">IFERROR(__xludf.DUMMYFUNCTION("IMPORTRANGE(""https://docs.google.com/spreadsheets/d/1YTZo6WM2dQ6Ix6FSdnL5P7uVnVKu40sxZu975tgG10E/edit?usp=sharing"",""นครปฐม!J130"")"),1)</f>
        <v>1</v>
      </c>
      <c r="AE60" s="74">
        <v>0</v>
      </c>
      <c r="AF60" s="74">
        <v>0</v>
      </c>
      <c r="AG60" s="79">
        <v>0</v>
      </c>
    </row>
    <row r="61" spans="1:33" ht="19.5" x14ac:dyDescent="0.3">
      <c r="A61" s="147">
        <v>9</v>
      </c>
      <c r="B61" s="148" t="s">
        <v>89</v>
      </c>
      <c r="C61" s="149">
        <f t="shared" ca="1" si="25"/>
        <v>0</v>
      </c>
      <c r="D61" s="150">
        <f t="shared" ca="1" si="50"/>
        <v>0</v>
      </c>
      <c r="E61" s="151">
        <f ca="1">IFERROR(__xludf.DUMMYFUNCTION("IMPORTRANGE(""https://docs.google.com/spreadsheets/d/1-uDff_7J0KD5mKrp0Vvzr7lt3OU09vwQwhkpOPPYv2Y/edit?usp=sharing"",""งบพรบ!BH61"")"),0)</f>
        <v>0</v>
      </c>
      <c r="F61" s="151">
        <f ca="1">IFERROR(__xludf.DUMMYFUNCTION("IMPORTRANGE(""https://docs.google.com/spreadsheets/d/1-uDff_7J0KD5mKrp0Vvzr7lt3OU09vwQwhkpOPPYv2Y/edit?usp=sharing"",""งบพรบ!BI61"")"),0)</f>
        <v>0</v>
      </c>
      <c r="G61" s="151">
        <f ca="1">IFERROR(__xludf.DUMMYFUNCTION("IMPORTRANGE(""https://docs.google.com/spreadsheets/d/1-uDff_7J0KD5mKrp0Vvzr7lt3OU09vwQwhkpOPPYv2Y/edit?usp=sharing"",""งบพรบ!BJ61"")"),0)</f>
        <v>0</v>
      </c>
      <c r="H61" s="151">
        <f ca="1">IFERROR(__xludf.DUMMYFUNCTION("IMPORTRANGE(""https://docs.google.com/spreadsheets/d/1-uDff_7J0KD5mKrp0Vvzr7lt3OU09vwQwhkpOPPYv2Y/edit?usp=sharing"",""งบพรบ!BL61"")"),0)</f>
        <v>0</v>
      </c>
      <c r="I61" s="151">
        <f ca="1">IFERROR(__xludf.DUMMYFUNCTION("IMPORTRANGE(""https://docs.google.com/spreadsheets/d/1-uDff_7J0KD5mKrp0Vvzr7lt3OU09vwQwhkpOPPYv2Y/edit?usp=sharing"",""งบพรบ!BM61"")"),0)</f>
        <v>0</v>
      </c>
      <c r="J61" s="151">
        <f t="shared" ca="1" si="27"/>
        <v>0</v>
      </c>
      <c r="K61" s="154">
        <f t="shared" ca="1" si="28"/>
        <v>0</v>
      </c>
      <c r="L61" s="151">
        <f ca="1">IFERROR(__xludf.DUMMYFUNCTION("IMPORTRANGE(""https://docs.google.com/spreadsheets/d/1-uDff_7J0KD5mKrp0Vvzr7lt3OU09vwQwhkpOPPYv2Y/edit?usp=sharing"",""งบพรบ!BN61"")"),0)</f>
        <v>0</v>
      </c>
      <c r="M61" s="68">
        <f t="shared" ca="1" si="29"/>
        <v>0</v>
      </c>
      <c r="N61" s="68">
        <f t="shared" ca="1" si="30"/>
        <v>0</v>
      </c>
      <c r="O61" s="67">
        <f ca="1">IFERROR(__xludf.DUMMYFUNCTION("IMPORTRANGE(""https://docs.google.com/spreadsheets/d/1-uDff_7J0KD5mKrp0Vvzr7lt3OU09vwQwhkpOPPYv2Y/edit?usp=sharing"",""งบพรบ!BO61"")"),0)</f>
        <v>0</v>
      </c>
      <c r="P61" s="67">
        <f t="shared" ca="1" si="31"/>
        <v>0</v>
      </c>
      <c r="Q61" s="68">
        <f t="shared" ca="1" si="32"/>
        <v>0</v>
      </c>
      <c r="R61" s="67">
        <f ca="1">IFERROR(__xludf.DUMMYFUNCTION("IMPORTRANGE(""https://docs.google.com/spreadsheets/d/1OYoGg4WDg5RIzwGeB10padOxJF9E_Vljuvvct_M7RDo/edit?usp=sharing"",""ปทุมธานี!Q117"")"),173660)</f>
        <v>173660</v>
      </c>
      <c r="S61" s="67">
        <f ca="1">IFERROR(__xludf.DUMMYFUNCTION("IMPORTRANGE(""https://docs.google.com/spreadsheets/d/1OYoGg4WDg5RIzwGeB10padOxJF9E_Vljuvvct_M7RDo/edit?usp=sharing"",""ปทุมธานี!R117"")"),173660)</f>
        <v>173660</v>
      </c>
      <c r="T61" s="67">
        <f ca="1">IFERROR(__xludf.DUMMYFUNCTION("IMPORTRANGE(""https://docs.google.com/spreadsheets/d/1OYoGg4WDg5RIzwGeB10padOxJF9E_Vljuvvct_M7RDo/edit?usp=sharing"",""ปทุมธานี!S117"")"),143325.01)</f>
        <v>143325.01</v>
      </c>
      <c r="U61" s="68">
        <f t="shared" ca="1" si="34"/>
        <v>82.531964758723944</v>
      </c>
      <c r="V61" s="68">
        <f t="shared" ca="1" si="35"/>
        <v>82.531964758723944</v>
      </c>
      <c r="W61" s="74">
        <f ca="1">IFERROR(__xludf.DUMMYFUNCTION("IMPORTRANGE(""https://docs.google.com/spreadsheets/d/1OYoGg4WDg5RIzwGeB10padOxJF9E_Vljuvvct_M7RDo/edit?usp=sharing"",""ปทุมธานี!I127"")"),10)</f>
        <v>10</v>
      </c>
      <c r="X61" s="74">
        <f ca="1">IFERROR(__xludf.DUMMYFUNCTION("IMPORTRANGE(""https://docs.google.com/spreadsheets/d/1OYoGg4WDg5RIzwGeB10padOxJF9E_Vljuvvct_M7RDo/edit?usp=sharing"",""ปทุมธานี!J127"")"),10)</f>
        <v>10</v>
      </c>
      <c r="Y61" s="79">
        <f t="shared" ca="1" si="37"/>
        <v>100</v>
      </c>
      <c r="Z61" s="74">
        <f ca="1">IFERROR(__xludf.DUMMYFUNCTION("IMPORTRANGE(""https://docs.google.com/spreadsheets/d/1OYoGg4WDg5RIzwGeB10padOxJF9E_Vljuvvct_M7RDo/edit?usp=sharing"",""ปทุมธานี!J128"")"),1)</f>
        <v>1</v>
      </c>
      <c r="AA61" s="74">
        <f ca="1">IFERROR(__xludf.DUMMYFUNCTION("IMPORTRANGE(""https://docs.google.com/spreadsheets/d/1OYoGg4WDg5RIzwGeB10padOxJF9E_Vljuvvct_M7RDo/edit?usp=sharing"",""ปทุมธานี!I129"")"),10)</f>
        <v>10</v>
      </c>
      <c r="AB61" s="74">
        <f ca="1">IFERROR(__xludf.DUMMYFUNCTION("IMPORTRANGE(""https://docs.google.com/spreadsheets/d/1OYoGg4WDg5RIzwGeB10padOxJF9E_Vljuvvct_M7RDo/edit?usp=sharing"",""ปทุมธานี!J129"")"),10)</f>
        <v>10</v>
      </c>
      <c r="AC61" s="79">
        <f t="shared" ca="1" si="39"/>
        <v>100</v>
      </c>
      <c r="AD61" s="152">
        <f ca="1">IFERROR(__xludf.DUMMYFUNCTION("IMPORTRANGE(""https://docs.google.com/spreadsheets/d/1OYoGg4WDg5RIzwGeB10padOxJF9E_Vljuvvct_M7RDo/edit?usp=sharing"",""ปทุมธานี!J130"")"),1)</f>
        <v>1</v>
      </c>
      <c r="AE61" s="74">
        <v>0</v>
      </c>
      <c r="AF61" s="74">
        <v>0</v>
      </c>
      <c r="AG61" s="79">
        <v>0</v>
      </c>
    </row>
    <row r="62" spans="1:33" ht="19.5" x14ac:dyDescent="0.3">
      <c r="A62" s="147">
        <v>10</v>
      </c>
      <c r="B62" s="148" t="s">
        <v>90</v>
      </c>
      <c r="C62" s="149">
        <f t="shared" ca="1" si="25"/>
        <v>0</v>
      </c>
      <c r="D62" s="150">
        <f t="shared" ca="1" si="50"/>
        <v>0</v>
      </c>
      <c r="E62" s="151">
        <f ca="1">IFERROR(__xludf.DUMMYFUNCTION("IMPORTRANGE(""https://docs.google.com/spreadsheets/d/1-uDff_7J0KD5mKrp0Vvzr7lt3OU09vwQwhkpOPPYv2Y/edit?usp=sharing"",""งบพรบ!BH62"")"),0)</f>
        <v>0</v>
      </c>
      <c r="F62" s="151">
        <f ca="1">IFERROR(__xludf.DUMMYFUNCTION("IMPORTRANGE(""https://docs.google.com/spreadsheets/d/1-uDff_7J0KD5mKrp0Vvzr7lt3OU09vwQwhkpOPPYv2Y/edit?usp=sharing"",""งบพรบ!BI62"")"),0)</f>
        <v>0</v>
      </c>
      <c r="G62" s="151">
        <f ca="1">IFERROR(__xludf.DUMMYFUNCTION("IMPORTRANGE(""https://docs.google.com/spreadsheets/d/1-uDff_7J0KD5mKrp0Vvzr7lt3OU09vwQwhkpOPPYv2Y/edit?usp=sharing"",""งบพรบ!BJ62"")"),0)</f>
        <v>0</v>
      </c>
      <c r="H62" s="151">
        <f ca="1">IFERROR(__xludf.DUMMYFUNCTION("IMPORTRANGE(""https://docs.google.com/spreadsheets/d/1-uDff_7J0KD5mKrp0Vvzr7lt3OU09vwQwhkpOPPYv2Y/edit?usp=sharing"",""งบพรบ!BL62"")"),0)</f>
        <v>0</v>
      </c>
      <c r="I62" s="151">
        <f ca="1">IFERROR(__xludf.DUMMYFUNCTION("IMPORTRANGE(""https://docs.google.com/spreadsheets/d/1-uDff_7J0KD5mKrp0Vvzr7lt3OU09vwQwhkpOPPYv2Y/edit?usp=sharing"",""งบพรบ!BM62"")"),0)</f>
        <v>0</v>
      </c>
      <c r="J62" s="151">
        <f t="shared" ca="1" si="27"/>
        <v>0</v>
      </c>
      <c r="K62" s="154">
        <f t="shared" ca="1" si="28"/>
        <v>0</v>
      </c>
      <c r="L62" s="151">
        <f ca="1">IFERROR(__xludf.DUMMYFUNCTION("IMPORTRANGE(""https://docs.google.com/spreadsheets/d/1-uDff_7J0KD5mKrp0Vvzr7lt3OU09vwQwhkpOPPYv2Y/edit?usp=sharing"",""งบพรบ!BN62"")"),0)</f>
        <v>0</v>
      </c>
      <c r="M62" s="68">
        <f t="shared" ca="1" si="29"/>
        <v>0</v>
      </c>
      <c r="N62" s="68">
        <f t="shared" ca="1" si="30"/>
        <v>0</v>
      </c>
      <c r="O62" s="67">
        <f ca="1">IFERROR(__xludf.DUMMYFUNCTION("IMPORTRANGE(""https://docs.google.com/spreadsheets/d/1-uDff_7J0KD5mKrp0Vvzr7lt3OU09vwQwhkpOPPYv2Y/edit?usp=sharing"",""งบพรบ!BO62"")"),0)</f>
        <v>0</v>
      </c>
      <c r="P62" s="67">
        <f t="shared" ca="1" si="31"/>
        <v>0</v>
      </c>
      <c r="Q62" s="68">
        <f t="shared" ca="1" si="32"/>
        <v>0</v>
      </c>
      <c r="R62" s="67">
        <f ca="1">IFERROR(__xludf.DUMMYFUNCTION("IMPORTRANGE(""https://docs.google.com/spreadsheets/d/1GbCIE4D4wk9FUozzqk7SxfDMxDVBwVmI5zcaVUSzKAc/edit?usp=sharing"",""ประจวบคีรีขันธ์!Q117"")"),177330)</f>
        <v>177330</v>
      </c>
      <c r="S62" s="67">
        <f ca="1">IFERROR(__xludf.DUMMYFUNCTION("IMPORTRANGE(""https://docs.google.com/spreadsheets/d/1GbCIE4D4wk9FUozzqk7SxfDMxDVBwVmI5zcaVUSzKAc/edit?usp=sharing"",""ประจวบคีรีขันธ์!R117"")"),177330)</f>
        <v>177330</v>
      </c>
      <c r="T62" s="67">
        <f ca="1">IFERROR(__xludf.DUMMYFUNCTION("IMPORTRANGE(""https://docs.google.com/spreadsheets/d/1GbCIE4D4wk9FUozzqk7SxfDMxDVBwVmI5zcaVUSzKAc/edit?usp=sharing"",""ประจวบคีรีขันธ์!S117"")"),126735)</f>
        <v>126735</v>
      </c>
      <c r="U62" s="68">
        <f t="shared" ca="1" si="34"/>
        <v>71.468448655049912</v>
      </c>
      <c r="V62" s="68">
        <f t="shared" ca="1" si="35"/>
        <v>71.468448655049912</v>
      </c>
      <c r="W62" s="74">
        <f ca="1">IFERROR(__xludf.DUMMYFUNCTION("IMPORTRANGE(""https://docs.google.com/spreadsheets/d/1GbCIE4D4wk9FUozzqk7SxfDMxDVBwVmI5zcaVUSzKAc/edit?usp=sharing"",""ประจวบคีรีขันธ์!I127"")"),11)</f>
        <v>11</v>
      </c>
      <c r="X62" s="74">
        <f ca="1">IFERROR(__xludf.DUMMYFUNCTION("IMPORTRANGE(""https://docs.google.com/spreadsheets/d/1GbCIE4D4wk9FUozzqk7SxfDMxDVBwVmI5zcaVUSzKAc/edit?usp=sharing"",""ประจวบคีรีขันธ์!J127"")"),11)</f>
        <v>11</v>
      </c>
      <c r="Y62" s="79">
        <f t="shared" ca="1" si="37"/>
        <v>100</v>
      </c>
      <c r="Z62" s="74">
        <f ca="1">IFERROR(__xludf.DUMMYFUNCTION("IMPORTRANGE(""https://docs.google.com/spreadsheets/d/1GbCIE4D4wk9FUozzqk7SxfDMxDVBwVmI5zcaVUSzKAc/edit?usp=sharing"",""ประจวบคีรีขันธ์!J128"")"),1)</f>
        <v>1</v>
      </c>
      <c r="AA62" s="74">
        <f ca="1">IFERROR(__xludf.DUMMYFUNCTION("IMPORTRANGE(""https://docs.google.com/spreadsheets/d/1GbCIE4D4wk9FUozzqk7SxfDMxDVBwVmI5zcaVUSzKAc/edit?usp=sharing"",""ประจวบคีรีขันธ์!I129"")"),11)</f>
        <v>11</v>
      </c>
      <c r="AB62" s="74">
        <f ca="1">IFERROR(__xludf.DUMMYFUNCTION("IMPORTRANGE(""https://docs.google.com/spreadsheets/d/1GbCIE4D4wk9FUozzqk7SxfDMxDVBwVmI5zcaVUSzKAc/edit?usp=sharing"",""ประจวบคีรีขันธ์!J129"")"),11)</f>
        <v>11</v>
      </c>
      <c r="AC62" s="79">
        <f t="shared" ca="1" si="39"/>
        <v>100</v>
      </c>
      <c r="AD62" s="152">
        <f ca="1">IFERROR(__xludf.DUMMYFUNCTION("IMPORTRANGE(""https://docs.google.com/spreadsheets/d/1GbCIE4D4wk9FUozzqk7SxfDMxDVBwVmI5zcaVUSzKAc/edit?usp=sharing"",""ประจวบคีรีขันธ์!J130"")"),1)</f>
        <v>1</v>
      </c>
      <c r="AE62" s="74">
        <v>0</v>
      </c>
      <c r="AF62" s="74">
        <v>0</v>
      </c>
      <c r="AG62" s="79">
        <v>0</v>
      </c>
    </row>
    <row r="63" spans="1:33" ht="19.5" x14ac:dyDescent="0.3">
      <c r="A63" s="147">
        <v>11</v>
      </c>
      <c r="B63" s="148" t="s">
        <v>91</v>
      </c>
      <c r="C63" s="149">
        <f t="shared" ca="1" si="25"/>
        <v>0</v>
      </c>
      <c r="D63" s="150">
        <f t="shared" ca="1" si="50"/>
        <v>0</v>
      </c>
      <c r="E63" s="151">
        <f ca="1">IFERROR(__xludf.DUMMYFUNCTION("IMPORTRANGE(""https://docs.google.com/spreadsheets/d/1-uDff_7J0KD5mKrp0Vvzr7lt3OU09vwQwhkpOPPYv2Y/edit?usp=sharing"",""งบพรบ!BH63"")"),0)</f>
        <v>0</v>
      </c>
      <c r="F63" s="151">
        <f ca="1">IFERROR(__xludf.DUMMYFUNCTION("IMPORTRANGE(""https://docs.google.com/spreadsheets/d/1-uDff_7J0KD5mKrp0Vvzr7lt3OU09vwQwhkpOPPYv2Y/edit?usp=sharing"",""งบพรบ!BI63"")"),0)</f>
        <v>0</v>
      </c>
      <c r="G63" s="151">
        <f ca="1">IFERROR(__xludf.DUMMYFUNCTION("IMPORTRANGE(""https://docs.google.com/spreadsheets/d/1-uDff_7J0KD5mKrp0Vvzr7lt3OU09vwQwhkpOPPYv2Y/edit?usp=sharing"",""งบพรบ!BJ63"")"),0)</f>
        <v>0</v>
      </c>
      <c r="H63" s="151">
        <f ca="1">IFERROR(__xludf.DUMMYFUNCTION("IMPORTRANGE(""https://docs.google.com/spreadsheets/d/1-uDff_7J0KD5mKrp0Vvzr7lt3OU09vwQwhkpOPPYv2Y/edit?usp=sharing"",""งบพรบ!BL63"")"),0)</f>
        <v>0</v>
      </c>
      <c r="I63" s="151">
        <f ca="1">IFERROR(__xludf.DUMMYFUNCTION("IMPORTRANGE(""https://docs.google.com/spreadsheets/d/1-uDff_7J0KD5mKrp0Vvzr7lt3OU09vwQwhkpOPPYv2Y/edit?usp=sharing"",""งบพรบ!BM63"")"),0)</f>
        <v>0</v>
      </c>
      <c r="J63" s="151">
        <f t="shared" ca="1" si="27"/>
        <v>0</v>
      </c>
      <c r="K63" s="154">
        <f t="shared" ca="1" si="28"/>
        <v>0</v>
      </c>
      <c r="L63" s="151">
        <f ca="1">IFERROR(__xludf.DUMMYFUNCTION("IMPORTRANGE(""https://docs.google.com/spreadsheets/d/1-uDff_7J0KD5mKrp0Vvzr7lt3OU09vwQwhkpOPPYv2Y/edit?usp=sharing"",""งบพรบ!BN63"")"),0)</f>
        <v>0</v>
      </c>
      <c r="M63" s="68">
        <f t="shared" ca="1" si="29"/>
        <v>0</v>
      </c>
      <c r="N63" s="68">
        <f t="shared" ca="1" si="30"/>
        <v>0</v>
      </c>
      <c r="O63" s="67">
        <f ca="1">IFERROR(__xludf.DUMMYFUNCTION("IMPORTRANGE(""https://docs.google.com/spreadsheets/d/1-uDff_7J0KD5mKrp0Vvzr7lt3OU09vwQwhkpOPPYv2Y/edit?usp=sharing"",""งบพรบ!BO63"")"),0)</f>
        <v>0</v>
      </c>
      <c r="P63" s="67">
        <f t="shared" ca="1" si="31"/>
        <v>0</v>
      </c>
      <c r="Q63" s="68">
        <f t="shared" ca="1" si="32"/>
        <v>0</v>
      </c>
      <c r="R63" s="67">
        <f ca="1">IFERROR(__xludf.DUMMYFUNCTION("IMPORTRANGE(""https://docs.google.com/spreadsheets/d/1vVf6wykvW_lAyu7Yo9L4hUTqHqIeP_qcVuxCtosJEbg/edit?usp=sharing"",""ปราจีนบุรี!Q117"")"),191460)</f>
        <v>191460</v>
      </c>
      <c r="S63" s="67">
        <f ca="1">IFERROR(__xludf.DUMMYFUNCTION("IMPORTRANGE(""https://docs.google.com/spreadsheets/d/1vVf6wykvW_lAyu7Yo9L4hUTqHqIeP_qcVuxCtosJEbg/edit?usp=sharing"",""ปราจีนบุรี!R117"")"),191460)</f>
        <v>191460</v>
      </c>
      <c r="T63" s="67">
        <f ca="1">IFERROR(__xludf.DUMMYFUNCTION("IMPORTRANGE(""https://docs.google.com/spreadsheets/d/1vVf6wykvW_lAyu7Yo9L4hUTqHqIeP_qcVuxCtosJEbg/edit?usp=sharing"",""ปราจีนบุรี!S117"")"),142775)</f>
        <v>142775</v>
      </c>
      <c r="U63" s="68">
        <f t="shared" ca="1" si="34"/>
        <v>74.57171210696751</v>
      </c>
      <c r="V63" s="68">
        <f t="shared" ca="1" si="35"/>
        <v>74.57171210696751</v>
      </c>
      <c r="W63" s="74">
        <f ca="1">IFERROR(__xludf.DUMMYFUNCTION("IMPORTRANGE(""https://docs.google.com/spreadsheets/d/1vVf6wykvW_lAyu7Yo9L4hUTqHqIeP_qcVuxCtosJEbg/edit?usp=sharing"",""ปราจีนบุรี!I127"")"),15)</f>
        <v>15</v>
      </c>
      <c r="X63" s="74">
        <f ca="1">IFERROR(__xludf.DUMMYFUNCTION("IMPORTRANGE(""https://docs.google.com/spreadsheets/d/1vVf6wykvW_lAyu7Yo9L4hUTqHqIeP_qcVuxCtosJEbg/edit?usp=sharing"",""ปราจีนบุรี!J127"")"),15)</f>
        <v>15</v>
      </c>
      <c r="Y63" s="79">
        <f t="shared" ca="1" si="37"/>
        <v>100</v>
      </c>
      <c r="Z63" s="74">
        <f ca="1">IFERROR(__xludf.DUMMYFUNCTION("IMPORTRANGE(""https://docs.google.com/spreadsheets/d/1vVf6wykvW_lAyu7Yo9L4hUTqHqIeP_qcVuxCtosJEbg/edit?usp=sharing"",""ปราจีนบุรี!J128"")"),1)</f>
        <v>1</v>
      </c>
      <c r="AA63" s="74">
        <f ca="1">IFERROR(__xludf.DUMMYFUNCTION("IMPORTRANGE(""https://docs.google.com/spreadsheets/d/1vVf6wykvW_lAyu7Yo9L4hUTqHqIeP_qcVuxCtosJEbg/edit?usp=sharing"",""ปราจีนบุรี!I129"")"),15)</f>
        <v>15</v>
      </c>
      <c r="AB63" s="74">
        <f ca="1">IFERROR(__xludf.DUMMYFUNCTION("IMPORTRANGE(""https://docs.google.com/spreadsheets/d/1vVf6wykvW_lAyu7Yo9L4hUTqHqIeP_qcVuxCtosJEbg/edit?usp=sharing"",""ปราจีนบุรี!J129"")"),15)</f>
        <v>15</v>
      </c>
      <c r="AC63" s="79">
        <f t="shared" ca="1" si="39"/>
        <v>100</v>
      </c>
      <c r="AD63" s="152">
        <f ca="1">IFERROR(__xludf.DUMMYFUNCTION("IMPORTRANGE(""https://docs.google.com/spreadsheets/d/1vVf6wykvW_lAyu7Yo9L4hUTqHqIeP_qcVuxCtosJEbg/edit?usp=sharing"",""ปราจีนบุรี!J130"")"),1)</f>
        <v>1</v>
      </c>
      <c r="AE63" s="74">
        <v>0</v>
      </c>
      <c r="AF63" s="74">
        <v>0</v>
      </c>
      <c r="AG63" s="79">
        <v>0</v>
      </c>
    </row>
    <row r="64" spans="1:33" ht="19.5" x14ac:dyDescent="0.3">
      <c r="A64" s="147">
        <v>12</v>
      </c>
      <c r="B64" s="148" t="s">
        <v>92</v>
      </c>
      <c r="C64" s="149">
        <f t="shared" ca="1" si="25"/>
        <v>0</v>
      </c>
      <c r="D64" s="150">
        <f t="shared" ca="1" si="50"/>
        <v>0</v>
      </c>
      <c r="E64" s="151">
        <f ca="1">IFERROR(__xludf.DUMMYFUNCTION("IMPORTRANGE(""https://docs.google.com/spreadsheets/d/1-uDff_7J0KD5mKrp0Vvzr7lt3OU09vwQwhkpOPPYv2Y/edit?usp=sharing"",""งบพรบ!BH64"")"),0)</f>
        <v>0</v>
      </c>
      <c r="F64" s="151">
        <f ca="1">IFERROR(__xludf.DUMMYFUNCTION("IMPORTRANGE(""https://docs.google.com/spreadsheets/d/1-uDff_7J0KD5mKrp0Vvzr7lt3OU09vwQwhkpOPPYv2Y/edit?usp=sharing"",""งบพรบ!BI64"")"),0)</f>
        <v>0</v>
      </c>
      <c r="G64" s="151">
        <f ca="1">IFERROR(__xludf.DUMMYFUNCTION("IMPORTRANGE(""https://docs.google.com/spreadsheets/d/1-uDff_7J0KD5mKrp0Vvzr7lt3OU09vwQwhkpOPPYv2Y/edit?usp=sharing"",""งบพรบ!BJ64"")"),0)</f>
        <v>0</v>
      </c>
      <c r="H64" s="151">
        <f ca="1">IFERROR(__xludf.DUMMYFUNCTION("IMPORTRANGE(""https://docs.google.com/spreadsheets/d/1-uDff_7J0KD5mKrp0Vvzr7lt3OU09vwQwhkpOPPYv2Y/edit?usp=sharing"",""งบพรบ!BL64"")"),0)</f>
        <v>0</v>
      </c>
      <c r="I64" s="151">
        <f ca="1">IFERROR(__xludf.DUMMYFUNCTION("IMPORTRANGE(""https://docs.google.com/spreadsheets/d/1-uDff_7J0KD5mKrp0Vvzr7lt3OU09vwQwhkpOPPYv2Y/edit?usp=sharing"",""งบพรบ!BM64"")"),0)</f>
        <v>0</v>
      </c>
      <c r="J64" s="151">
        <f t="shared" ca="1" si="27"/>
        <v>0</v>
      </c>
      <c r="K64" s="154">
        <f t="shared" ca="1" si="28"/>
        <v>0</v>
      </c>
      <c r="L64" s="151">
        <f ca="1">IFERROR(__xludf.DUMMYFUNCTION("IMPORTRANGE(""https://docs.google.com/spreadsheets/d/1-uDff_7J0KD5mKrp0Vvzr7lt3OU09vwQwhkpOPPYv2Y/edit?usp=sharing"",""งบพรบ!BN64"")"),0)</f>
        <v>0</v>
      </c>
      <c r="M64" s="68">
        <f t="shared" ca="1" si="29"/>
        <v>0</v>
      </c>
      <c r="N64" s="68">
        <f t="shared" ca="1" si="30"/>
        <v>0</v>
      </c>
      <c r="O64" s="67">
        <f ca="1">IFERROR(__xludf.DUMMYFUNCTION("IMPORTRANGE(""https://docs.google.com/spreadsheets/d/1-uDff_7J0KD5mKrp0Vvzr7lt3OU09vwQwhkpOPPYv2Y/edit?usp=sharing"",""งบพรบ!BO64"")"),0)</f>
        <v>0</v>
      </c>
      <c r="P64" s="67">
        <f t="shared" ca="1" si="31"/>
        <v>0</v>
      </c>
      <c r="Q64" s="68">
        <f t="shared" ca="1" si="32"/>
        <v>0</v>
      </c>
      <c r="R64" s="67">
        <f ca="1">IFERROR(__xludf.DUMMYFUNCTION("IMPORTRANGE(""https://docs.google.com/spreadsheets/d/1BIDqLLg5jk3v59G8NlR8rk5xfQDKne0sAvZHSj7TI6I/edit?usp=sharing"",""พระนครศรีอยุธยา!Q117"")"),346680)</f>
        <v>346680</v>
      </c>
      <c r="S64" s="67">
        <f ca="1">IFERROR(__xludf.DUMMYFUNCTION("IMPORTRANGE(""https://docs.google.com/spreadsheets/d/1BIDqLLg5jk3v59G8NlR8rk5xfQDKne0sAvZHSj7TI6I/edit?usp=sharing"",""พระนครศรีอยุธยา!R117"")"),346680)</f>
        <v>346680</v>
      </c>
      <c r="T64" s="67">
        <f ca="1">IFERROR(__xludf.DUMMYFUNCTION("IMPORTRANGE(""https://docs.google.com/spreadsheets/d/1BIDqLLg5jk3v59G8NlR8rk5xfQDKne0sAvZHSj7TI6I/edit?usp=sharing"",""พระนครศรีอยุธยา!S117"")"),293946.45)</f>
        <v>293946.45</v>
      </c>
      <c r="U64" s="68">
        <f t="shared" ca="1" si="34"/>
        <v>84.788984077535474</v>
      </c>
      <c r="V64" s="68">
        <f t="shared" ca="1" si="35"/>
        <v>84.788984077535474</v>
      </c>
      <c r="W64" s="74">
        <f ca="1">IFERROR(__xludf.DUMMYFUNCTION("IMPORTRANGE(""https://docs.google.com/spreadsheets/d/1BIDqLLg5jk3v59G8NlR8rk5xfQDKne0sAvZHSj7TI6I/edit?usp=sharing"",""พระนครศรีอยุธยา!I127"")"),70)</f>
        <v>70</v>
      </c>
      <c r="X64" s="74">
        <f ca="1">IFERROR(__xludf.DUMMYFUNCTION("IMPORTRANGE(""https://docs.google.com/spreadsheets/d/1BIDqLLg5jk3v59G8NlR8rk5xfQDKne0sAvZHSj7TI6I/edit?usp=sharing"",""พระนครศรีอยุธยา!J127"")"),70)</f>
        <v>70</v>
      </c>
      <c r="Y64" s="79">
        <f t="shared" ca="1" si="37"/>
        <v>100</v>
      </c>
      <c r="Z64" s="74">
        <f ca="1">IFERROR(__xludf.DUMMYFUNCTION("IMPORTRANGE(""https://docs.google.com/spreadsheets/d/1BIDqLLg5jk3v59G8NlR8rk5xfQDKne0sAvZHSj7TI6I/edit?usp=sharing"",""พระนครศรีอยุธยา!J128"")"),3)</f>
        <v>3</v>
      </c>
      <c r="AA64" s="74">
        <f ca="1">IFERROR(__xludf.DUMMYFUNCTION("IMPORTRANGE(""https://docs.google.com/spreadsheets/d/1BIDqLLg5jk3v59G8NlR8rk5xfQDKne0sAvZHSj7TI6I/edit?usp=sharing"",""พระนครศรีอยุธยา!I129"")"),30)</f>
        <v>30</v>
      </c>
      <c r="AB64" s="74">
        <f ca="1">IFERROR(__xludf.DUMMYFUNCTION("IMPORTRANGE(""https://docs.google.com/spreadsheets/d/1BIDqLLg5jk3v59G8NlR8rk5xfQDKne0sAvZHSj7TI6I/edit?usp=sharing"",""พระนครศรีอยุธยา!J129"")"),30)</f>
        <v>30</v>
      </c>
      <c r="AC64" s="79">
        <f t="shared" ca="1" si="39"/>
        <v>100</v>
      </c>
      <c r="AD64" s="152">
        <f ca="1">IFERROR(__xludf.DUMMYFUNCTION("IMPORTRANGE(""https://docs.google.com/spreadsheets/d/1BIDqLLg5jk3v59G8NlR8rk5xfQDKne0sAvZHSj7TI6I/edit?usp=sharing"",""พระนครศรีอยุธยา!J130"")"),2)</f>
        <v>2</v>
      </c>
      <c r="AE64" s="74">
        <v>0</v>
      </c>
      <c r="AF64" s="74">
        <v>0</v>
      </c>
      <c r="AG64" s="79">
        <v>0</v>
      </c>
    </row>
    <row r="65" spans="1:33" ht="19.5" x14ac:dyDescent="0.3">
      <c r="A65" s="147">
        <v>13</v>
      </c>
      <c r="B65" s="148" t="s">
        <v>93</v>
      </c>
      <c r="C65" s="149">
        <f t="shared" ca="1" si="25"/>
        <v>0</v>
      </c>
      <c r="D65" s="150">
        <f t="shared" ca="1" si="50"/>
        <v>0</v>
      </c>
      <c r="E65" s="151">
        <f ca="1">IFERROR(__xludf.DUMMYFUNCTION("IMPORTRANGE(""https://docs.google.com/spreadsheets/d/1-uDff_7J0KD5mKrp0Vvzr7lt3OU09vwQwhkpOPPYv2Y/edit?usp=sharing"",""งบพรบ!BH65"")"),0)</f>
        <v>0</v>
      </c>
      <c r="F65" s="151">
        <f ca="1">IFERROR(__xludf.DUMMYFUNCTION("IMPORTRANGE(""https://docs.google.com/spreadsheets/d/1-uDff_7J0KD5mKrp0Vvzr7lt3OU09vwQwhkpOPPYv2Y/edit?usp=sharing"",""งบพรบ!BI65"")"),0)</f>
        <v>0</v>
      </c>
      <c r="G65" s="151">
        <f ca="1">IFERROR(__xludf.DUMMYFUNCTION("IMPORTRANGE(""https://docs.google.com/spreadsheets/d/1-uDff_7J0KD5mKrp0Vvzr7lt3OU09vwQwhkpOPPYv2Y/edit?usp=sharing"",""งบพรบ!BJ65"")"),0)</f>
        <v>0</v>
      </c>
      <c r="H65" s="151">
        <f ca="1">IFERROR(__xludf.DUMMYFUNCTION("IMPORTRANGE(""https://docs.google.com/spreadsheets/d/1-uDff_7J0KD5mKrp0Vvzr7lt3OU09vwQwhkpOPPYv2Y/edit?usp=sharing"",""งบพรบ!BL65"")"),0)</f>
        <v>0</v>
      </c>
      <c r="I65" s="151">
        <f ca="1">IFERROR(__xludf.DUMMYFUNCTION("IMPORTRANGE(""https://docs.google.com/spreadsheets/d/1-uDff_7J0KD5mKrp0Vvzr7lt3OU09vwQwhkpOPPYv2Y/edit?usp=sharing"",""งบพรบ!BM65"")"),0)</f>
        <v>0</v>
      </c>
      <c r="J65" s="151">
        <f t="shared" ca="1" si="27"/>
        <v>0</v>
      </c>
      <c r="K65" s="154">
        <f t="shared" ca="1" si="28"/>
        <v>0</v>
      </c>
      <c r="L65" s="151">
        <f ca="1">IFERROR(__xludf.DUMMYFUNCTION("IMPORTRANGE(""https://docs.google.com/spreadsheets/d/1-uDff_7J0KD5mKrp0Vvzr7lt3OU09vwQwhkpOPPYv2Y/edit?usp=sharing"",""งบพรบ!BN65"")"),0)</f>
        <v>0</v>
      </c>
      <c r="M65" s="68">
        <f t="shared" ca="1" si="29"/>
        <v>0</v>
      </c>
      <c r="N65" s="68">
        <f t="shared" ca="1" si="30"/>
        <v>0</v>
      </c>
      <c r="O65" s="67">
        <f ca="1">IFERROR(__xludf.DUMMYFUNCTION("IMPORTRANGE(""https://docs.google.com/spreadsheets/d/1-uDff_7J0KD5mKrp0Vvzr7lt3OU09vwQwhkpOPPYv2Y/edit?usp=sharing"",""งบพรบ!BO65"")"),0)</f>
        <v>0</v>
      </c>
      <c r="P65" s="67">
        <f t="shared" ca="1" si="31"/>
        <v>0</v>
      </c>
      <c r="Q65" s="68">
        <f t="shared" ca="1" si="32"/>
        <v>0</v>
      </c>
      <c r="R65" s="67">
        <f ca="1">IFERROR(__xludf.DUMMYFUNCTION("IMPORTRANGE(""https://docs.google.com/spreadsheets/d/1YXvxf8Yu6_rV4hTBrwMqAcAnv6DfhUxh5emyM3CJp_w/edit?usp=sharing"",""เพชรบุรี!Q117"")"),249180)</f>
        <v>249180</v>
      </c>
      <c r="S65" s="67">
        <f ca="1">IFERROR(__xludf.DUMMYFUNCTION("IMPORTRANGE(""https://docs.google.com/spreadsheets/d/1YXvxf8Yu6_rV4hTBrwMqAcAnv6DfhUxh5emyM3CJp_w/edit?usp=sharing"",""เพชรบุรี!R117"")"),249180)</f>
        <v>249180</v>
      </c>
      <c r="T65" s="67">
        <f ca="1">IFERROR(__xludf.DUMMYFUNCTION("IMPORTRANGE(""https://docs.google.com/spreadsheets/d/1YXvxf8Yu6_rV4hTBrwMqAcAnv6DfhUxh5emyM3CJp_w/edit?usp=sharing"",""เพชรบุรี!S117"")"),173540)</f>
        <v>173540</v>
      </c>
      <c r="U65" s="68">
        <f t="shared" ca="1" si="34"/>
        <v>69.644433742675972</v>
      </c>
      <c r="V65" s="68">
        <f t="shared" ca="1" si="35"/>
        <v>69.644433742675972</v>
      </c>
      <c r="W65" s="74">
        <f ca="1">IFERROR(__xludf.DUMMYFUNCTION("IMPORTRANGE(""https://docs.google.com/spreadsheets/d/1YXvxf8Yu6_rV4hTBrwMqAcAnv6DfhUxh5emyM3CJp_w/edit?usp=sharing"",""เพชรบุรี!I127"")"),30)</f>
        <v>30</v>
      </c>
      <c r="X65" s="74">
        <f ca="1">IFERROR(__xludf.DUMMYFUNCTION("IMPORTRANGE(""https://docs.google.com/spreadsheets/d/1YXvxf8Yu6_rV4hTBrwMqAcAnv6DfhUxh5emyM3CJp_w/edit?usp=sharing"",""เพชรบุรี!J127"")"),30)</f>
        <v>30</v>
      </c>
      <c r="Y65" s="79">
        <f t="shared" ca="1" si="37"/>
        <v>100</v>
      </c>
      <c r="Z65" s="74">
        <f ca="1">IFERROR(__xludf.DUMMYFUNCTION("IMPORTRANGE(""https://docs.google.com/spreadsheets/d/1YXvxf8Yu6_rV4hTBrwMqAcAnv6DfhUxh5emyM3CJp_w/edit?usp=sharing"",""เพชรบุรี!J128"")"),3)</f>
        <v>3</v>
      </c>
      <c r="AA65" s="74">
        <f ca="1">IFERROR(__xludf.DUMMYFUNCTION("IMPORTRANGE(""https://docs.google.com/spreadsheets/d/1YXvxf8Yu6_rV4hTBrwMqAcAnv6DfhUxh5emyM3CJp_w/edit?usp=sharing"",""เพชรบุรี!I129"")"),30)</f>
        <v>30</v>
      </c>
      <c r="AB65" s="74">
        <f ca="1">IFERROR(__xludf.DUMMYFUNCTION("IMPORTRANGE(""https://docs.google.com/spreadsheets/d/1YXvxf8Yu6_rV4hTBrwMqAcAnv6DfhUxh5emyM3CJp_w/edit?usp=sharing"",""เพชรบุรี!J129"")"),30)</f>
        <v>30</v>
      </c>
      <c r="AC65" s="79">
        <f t="shared" ca="1" si="39"/>
        <v>100</v>
      </c>
      <c r="AD65" s="152">
        <f ca="1">IFERROR(__xludf.DUMMYFUNCTION("IMPORTRANGE(""https://docs.google.com/spreadsheets/d/1YXvxf8Yu6_rV4hTBrwMqAcAnv6DfhUxh5emyM3CJp_w/edit?usp=sharing"",""เพชรบุรี!J130"")"),3)</f>
        <v>3</v>
      </c>
      <c r="AE65" s="74">
        <v>0</v>
      </c>
      <c r="AF65" s="74">
        <v>0</v>
      </c>
      <c r="AG65" s="79">
        <v>0</v>
      </c>
    </row>
    <row r="66" spans="1:33" ht="19.5" x14ac:dyDescent="0.3">
      <c r="A66" s="147">
        <v>14</v>
      </c>
      <c r="B66" s="148" t="s">
        <v>94</v>
      </c>
      <c r="C66" s="149">
        <f t="shared" ca="1" si="25"/>
        <v>0</v>
      </c>
      <c r="D66" s="150">
        <f t="shared" ca="1" si="50"/>
        <v>0</v>
      </c>
      <c r="E66" s="151">
        <f ca="1">IFERROR(__xludf.DUMMYFUNCTION("IMPORTRANGE(""https://docs.google.com/spreadsheets/d/1-uDff_7J0KD5mKrp0Vvzr7lt3OU09vwQwhkpOPPYv2Y/edit?usp=sharing"",""งบพรบ!BH66"")"),0)</f>
        <v>0</v>
      </c>
      <c r="F66" s="151">
        <f ca="1">IFERROR(__xludf.DUMMYFUNCTION("IMPORTRANGE(""https://docs.google.com/spreadsheets/d/1-uDff_7J0KD5mKrp0Vvzr7lt3OU09vwQwhkpOPPYv2Y/edit?usp=sharing"",""งบพรบ!BI66"")"),0)</f>
        <v>0</v>
      </c>
      <c r="G66" s="151">
        <f ca="1">IFERROR(__xludf.DUMMYFUNCTION("IMPORTRANGE(""https://docs.google.com/spreadsheets/d/1-uDff_7J0KD5mKrp0Vvzr7lt3OU09vwQwhkpOPPYv2Y/edit?usp=sharing"",""งบพรบ!BJ66"")"),0)</f>
        <v>0</v>
      </c>
      <c r="H66" s="151">
        <f ca="1">IFERROR(__xludf.DUMMYFUNCTION("IMPORTRANGE(""https://docs.google.com/spreadsheets/d/1-uDff_7J0KD5mKrp0Vvzr7lt3OU09vwQwhkpOPPYv2Y/edit?usp=sharing"",""งบพรบ!BL66"")"),0)</f>
        <v>0</v>
      </c>
      <c r="I66" s="151">
        <f ca="1">IFERROR(__xludf.DUMMYFUNCTION("IMPORTRANGE(""https://docs.google.com/spreadsheets/d/1-uDff_7J0KD5mKrp0Vvzr7lt3OU09vwQwhkpOPPYv2Y/edit?usp=sharing"",""งบพรบ!BM66"")"),0)</f>
        <v>0</v>
      </c>
      <c r="J66" s="151">
        <f t="shared" ca="1" si="27"/>
        <v>0</v>
      </c>
      <c r="K66" s="154">
        <f t="shared" ca="1" si="28"/>
        <v>0</v>
      </c>
      <c r="L66" s="151">
        <f ca="1">IFERROR(__xludf.DUMMYFUNCTION("IMPORTRANGE(""https://docs.google.com/spreadsheets/d/1-uDff_7J0KD5mKrp0Vvzr7lt3OU09vwQwhkpOPPYv2Y/edit?usp=sharing"",""งบพรบ!BN66"")"),0)</f>
        <v>0</v>
      </c>
      <c r="M66" s="68">
        <f t="shared" ca="1" si="29"/>
        <v>0</v>
      </c>
      <c r="N66" s="68">
        <f t="shared" ca="1" si="30"/>
        <v>0</v>
      </c>
      <c r="O66" s="67">
        <f ca="1">IFERROR(__xludf.DUMMYFUNCTION("IMPORTRANGE(""https://docs.google.com/spreadsheets/d/1-uDff_7J0KD5mKrp0Vvzr7lt3OU09vwQwhkpOPPYv2Y/edit?usp=sharing"",""งบพรบ!BO66"")"),0)</f>
        <v>0</v>
      </c>
      <c r="P66" s="67">
        <f t="shared" ca="1" si="31"/>
        <v>0</v>
      </c>
      <c r="Q66" s="68">
        <f t="shared" ca="1" si="32"/>
        <v>0</v>
      </c>
      <c r="R66" s="67">
        <f ca="1">IFERROR(__xludf.DUMMYFUNCTION("IMPORTRANGE(""https://docs.google.com/spreadsheets/d/19KBlQQs7uwvsao6t2n-KvW3Ax8J8uRRfZPq1zPbXgKc/edit?usp=sharing"",""ระยอง!Q117"")"),209360)</f>
        <v>209360</v>
      </c>
      <c r="S66" s="67">
        <f ca="1">IFERROR(__xludf.DUMMYFUNCTION("IMPORTRANGE(""https://docs.google.com/spreadsheets/d/19KBlQQs7uwvsao6t2n-KvW3Ax8J8uRRfZPq1zPbXgKc/edit?usp=sharing"",""ระยอง!R117"")"),209360)</f>
        <v>209360</v>
      </c>
      <c r="T66" s="67">
        <f ca="1">IFERROR(__xludf.DUMMYFUNCTION("IMPORTRANGE(""https://docs.google.com/spreadsheets/d/19KBlQQs7uwvsao6t2n-KvW3Ax8J8uRRfZPq1zPbXgKc/edit?usp=sharing"",""ระยอง!S117"")"),130995)</f>
        <v>130995</v>
      </c>
      <c r="U66" s="68">
        <f t="shared" ca="1" si="34"/>
        <v>62.569258693160108</v>
      </c>
      <c r="V66" s="68">
        <f t="shared" ca="1" si="35"/>
        <v>62.569258693160108</v>
      </c>
      <c r="W66" s="74">
        <f ca="1">IFERROR(__xludf.DUMMYFUNCTION("IMPORTRANGE(""https://docs.google.com/spreadsheets/d/19KBlQQs7uwvsao6t2n-KvW3Ax8J8uRRfZPq1zPbXgKc/edit?usp=sharing"",""ระยอง!I127"")"),20)</f>
        <v>20</v>
      </c>
      <c r="X66" s="74">
        <f ca="1">IFERROR(__xludf.DUMMYFUNCTION("IMPORTRANGE(""https://docs.google.com/spreadsheets/d/19KBlQQs7uwvsao6t2n-KvW3Ax8J8uRRfZPq1zPbXgKc/edit?usp=sharing"",""ระยอง!J127"")"),20)</f>
        <v>20</v>
      </c>
      <c r="Y66" s="79">
        <f t="shared" ca="1" si="37"/>
        <v>100</v>
      </c>
      <c r="Z66" s="74">
        <f ca="1">IFERROR(__xludf.DUMMYFUNCTION("IMPORTRANGE(""https://docs.google.com/spreadsheets/d/19KBlQQs7uwvsao6t2n-KvW3Ax8J8uRRfZPq1zPbXgKc/edit?usp=sharing"",""ระยอง!J128"")"),1)</f>
        <v>1</v>
      </c>
      <c r="AA66" s="74">
        <f ca="1">IFERROR(__xludf.DUMMYFUNCTION("IMPORTRANGE(""https://docs.google.com/spreadsheets/d/19KBlQQs7uwvsao6t2n-KvW3Ax8J8uRRfZPq1zPbXgKc/edit?usp=sharing"",""ระยอง!I129"")"),20)</f>
        <v>20</v>
      </c>
      <c r="AB66" s="74">
        <f ca="1">IFERROR(__xludf.DUMMYFUNCTION("IMPORTRANGE(""https://docs.google.com/spreadsheets/d/19KBlQQs7uwvsao6t2n-KvW3Ax8J8uRRfZPq1zPbXgKc/edit?usp=sharing"",""ระยอง!J129"")"),20)</f>
        <v>20</v>
      </c>
      <c r="AC66" s="79">
        <f t="shared" ca="1" si="39"/>
        <v>100</v>
      </c>
      <c r="AD66" s="152">
        <f ca="1">IFERROR(__xludf.DUMMYFUNCTION("IMPORTRANGE(""https://docs.google.com/spreadsheets/d/19KBlQQs7uwvsao6t2n-KvW3Ax8J8uRRfZPq1zPbXgKc/edit?usp=sharing"",""ระยอง!J130"")"),1)</f>
        <v>1</v>
      </c>
      <c r="AE66" s="74">
        <v>0</v>
      </c>
      <c r="AF66" s="74">
        <v>0</v>
      </c>
      <c r="AG66" s="79">
        <v>0</v>
      </c>
    </row>
    <row r="67" spans="1:33" ht="19.5" x14ac:dyDescent="0.3">
      <c r="A67" s="147">
        <v>15</v>
      </c>
      <c r="B67" s="148" t="s">
        <v>95</v>
      </c>
      <c r="C67" s="149">
        <f t="shared" ca="1" si="25"/>
        <v>0</v>
      </c>
      <c r="D67" s="150">
        <f t="shared" ca="1" si="50"/>
        <v>0</v>
      </c>
      <c r="E67" s="151">
        <f ca="1">IFERROR(__xludf.DUMMYFUNCTION("IMPORTRANGE(""https://docs.google.com/spreadsheets/d/1-uDff_7J0KD5mKrp0Vvzr7lt3OU09vwQwhkpOPPYv2Y/edit?usp=sharing"",""งบพรบ!BH67"")"),0)</f>
        <v>0</v>
      </c>
      <c r="F67" s="151">
        <f ca="1">IFERROR(__xludf.DUMMYFUNCTION("IMPORTRANGE(""https://docs.google.com/spreadsheets/d/1-uDff_7J0KD5mKrp0Vvzr7lt3OU09vwQwhkpOPPYv2Y/edit?usp=sharing"",""งบพรบ!BI67"")"),0)</f>
        <v>0</v>
      </c>
      <c r="G67" s="151">
        <f ca="1">IFERROR(__xludf.DUMMYFUNCTION("IMPORTRANGE(""https://docs.google.com/spreadsheets/d/1-uDff_7J0KD5mKrp0Vvzr7lt3OU09vwQwhkpOPPYv2Y/edit?usp=sharing"",""งบพรบ!BJ67"")"),0)</f>
        <v>0</v>
      </c>
      <c r="H67" s="151">
        <f ca="1">IFERROR(__xludf.DUMMYFUNCTION("IMPORTRANGE(""https://docs.google.com/spreadsheets/d/1-uDff_7J0KD5mKrp0Vvzr7lt3OU09vwQwhkpOPPYv2Y/edit?usp=sharing"",""งบพรบ!BL67"")"),0)</f>
        <v>0</v>
      </c>
      <c r="I67" s="151">
        <f ca="1">IFERROR(__xludf.DUMMYFUNCTION("IMPORTRANGE(""https://docs.google.com/spreadsheets/d/1-uDff_7J0KD5mKrp0Vvzr7lt3OU09vwQwhkpOPPYv2Y/edit?usp=sharing"",""งบพรบ!BM67"")"),0)</f>
        <v>0</v>
      </c>
      <c r="J67" s="151">
        <f t="shared" ca="1" si="27"/>
        <v>0</v>
      </c>
      <c r="K67" s="154">
        <f t="shared" ca="1" si="28"/>
        <v>0</v>
      </c>
      <c r="L67" s="151">
        <f ca="1">IFERROR(__xludf.DUMMYFUNCTION("IMPORTRANGE(""https://docs.google.com/spreadsheets/d/1-uDff_7J0KD5mKrp0Vvzr7lt3OU09vwQwhkpOPPYv2Y/edit?usp=sharing"",""งบพรบ!BN67"")"),0)</f>
        <v>0</v>
      </c>
      <c r="M67" s="68">
        <f t="shared" ca="1" si="29"/>
        <v>0</v>
      </c>
      <c r="N67" s="68">
        <f t="shared" ca="1" si="30"/>
        <v>0</v>
      </c>
      <c r="O67" s="67">
        <f ca="1">IFERROR(__xludf.DUMMYFUNCTION("IMPORTRANGE(""https://docs.google.com/spreadsheets/d/1-uDff_7J0KD5mKrp0Vvzr7lt3OU09vwQwhkpOPPYv2Y/edit?usp=sharing"",""งบพรบ!BO67"")"),0)</f>
        <v>0</v>
      </c>
      <c r="P67" s="67">
        <f t="shared" ca="1" si="31"/>
        <v>0</v>
      </c>
      <c r="Q67" s="68">
        <f t="shared" ca="1" si="32"/>
        <v>0</v>
      </c>
      <c r="R67" s="67">
        <f ca="1">IFERROR(__xludf.DUMMYFUNCTION("IMPORTRANGE(""https://docs.google.com/spreadsheets/d/1jQ6P4QcrGM89YfqcC_PxOHGCMq5ezhucwJd8ci-NHng/edit?usp=sharing"",""ราชบุรี!Q117"")"),173660)</f>
        <v>173660</v>
      </c>
      <c r="S67" s="67">
        <f ca="1">IFERROR(__xludf.DUMMYFUNCTION("IMPORTRANGE(""https://docs.google.com/spreadsheets/d/1jQ6P4QcrGM89YfqcC_PxOHGCMq5ezhucwJd8ci-NHng/edit?usp=sharing"",""ราชบุรี!R117"")"),173660)</f>
        <v>173660</v>
      </c>
      <c r="T67" s="67">
        <f ca="1">IFERROR(__xludf.DUMMYFUNCTION("IMPORTRANGE(""https://docs.google.com/spreadsheets/d/1jQ6P4QcrGM89YfqcC_PxOHGCMq5ezhucwJd8ci-NHng/edit?usp=sharing"",""ราชบุรี!S117"")"),113386.67)</f>
        <v>113386.67</v>
      </c>
      <c r="U67" s="68">
        <f t="shared" ca="1" si="34"/>
        <v>65.292335598295523</v>
      </c>
      <c r="V67" s="68">
        <f t="shared" ca="1" si="35"/>
        <v>65.292335598295523</v>
      </c>
      <c r="W67" s="74">
        <f ca="1">IFERROR(__xludf.DUMMYFUNCTION("IMPORTRANGE(""https://docs.google.com/spreadsheets/d/1jQ6P4QcrGM89YfqcC_PxOHGCMq5ezhucwJd8ci-NHng/edit?usp=sharing"",""ราชบุรี!I127"")"),10)</f>
        <v>10</v>
      </c>
      <c r="X67" s="74">
        <f ca="1">IFERROR(__xludf.DUMMYFUNCTION("IMPORTRANGE(""https://docs.google.com/spreadsheets/d/1jQ6P4QcrGM89YfqcC_PxOHGCMq5ezhucwJd8ci-NHng/edit?usp=sharing"",""ราชบุรี!J127"")"),10)</f>
        <v>10</v>
      </c>
      <c r="Y67" s="79">
        <f t="shared" ca="1" si="37"/>
        <v>100</v>
      </c>
      <c r="Z67" s="74">
        <f ca="1">IFERROR(__xludf.DUMMYFUNCTION("IMPORTRANGE(""https://docs.google.com/spreadsheets/d/1jQ6P4QcrGM89YfqcC_PxOHGCMq5ezhucwJd8ci-NHng/edit?usp=sharing"",""ราชบุรี!J128"")"),1)</f>
        <v>1</v>
      </c>
      <c r="AA67" s="74">
        <f ca="1">IFERROR(__xludf.DUMMYFUNCTION("IMPORTRANGE(""https://docs.google.com/spreadsheets/d/1jQ6P4QcrGM89YfqcC_PxOHGCMq5ezhucwJd8ci-NHng/edit?usp=sharing"",""ราชบุรี!I129"")"),10)</f>
        <v>10</v>
      </c>
      <c r="AB67" s="74">
        <f ca="1">IFERROR(__xludf.DUMMYFUNCTION("IMPORTRANGE(""https://docs.google.com/spreadsheets/d/1jQ6P4QcrGM89YfqcC_PxOHGCMq5ezhucwJd8ci-NHng/edit?usp=sharing"",""ราชบุรี!J129"")"),10)</f>
        <v>10</v>
      </c>
      <c r="AC67" s="79">
        <f t="shared" ca="1" si="39"/>
        <v>100</v>
      </c>
      <c r="AD67" s="152">
        <f ca="1">IFERROR(__xludf.DUMMYFUNCTION("IMPORTRANGE(""https://docs.google.com/spreadsheets/d/1jQ6P4QcrGM89YfqcC_PxOHGCMq5ezhucwJd8ci-NHng/edit?usp=sharing"",""ราชบุรี!J130"")"),1)</f>
        <v>1</v>
      </c>
      <c r="AE67" s="74">
        <v>0</v>
      </c>
      <c r="AF67" s="74">
        <v>0</v>
      </c>
      <c r="AG67" s="79">
        <v>0</v>
      </c>
    </row>
    <row r="68" spans="1:33" ht="19.5" x14ac:dyDescent="0.3">
      <c r="A68" s="147">
        <v>16</v>
      </c>
      <c r="B68" s="148" t="s">
        <v>96</v>
      </c>
      <c r="C68" s="149">
        <f t="shared" ca="1" si="25"/>
        <v>0</v>
      </c>
      <c r="D68" s="150">
        <f t="shared" ca="1" si="50"/>
        <v>0</v>
      </c>
      <c r="E68" s="151">
        <f ca="1">IFERROR(__xludf.DUMMYFUNCTION("IMPORTRANGE(""https://docs.google.com/spreadsheets/d/1-uDff_7J0KD5mKrp0Vvzr7lt3OU09vwQwhkpOPPYv2Y/edit?usp=sharing"",""งบพรบ!BH68"")"),0)</f>
        <v>0</v>
      </c>
      <c r="F68" s="151">
        <f ca="1">IFERROR(__xludf.DUMMYFUNCTION("IMPORTRANGE(""https://docs.google.com/spreadsheets/d/1-uDff_7J0KD5mKrp0Vvzr7lt3OU09vwQwhkpOPPYv2Y/edit?usp=sharing"",""งบพรบ!BI68"")"),0)</f>
        <v>0</v>
      </c>
      <c r="G68" s="151">
        <f ca="1">IFERROR(__xludf.DUMMYFUNCTION("IMPORTRANGE(""https://docs.google.com/spreadsheets/d/1-uDff_7J0KD5mKrp0Vvzr7lt3OU09vwQwhkpOPPYv2Y/edit?usp=sharing"",""งบพรบ!BJ68"")"),0)</f>
        <v>0</v>
      </c>
      <c r="H68" s="151">
        <f ca="1">IFERROR(__xludf.DUMMYFUNCTION("IMPORTRANGE(""https://docs.google.com/spreadsheets/d/1-uDff_7J0KD5mKrp0Vvzr7lt3OU09vwQwhkpOPPYv2Y/edit?usp=sharing"",""งบพรบ!BL68"")"),0)</f>
        <v>0</v>
      </c>
      <c r="I68" s="151">
        <f ca="1">IFERROR(__xludf.DUMMYFUNCTION("IMPORTRANGE(""https://docs.google.com/spreadsheets/d/1-uDff_7J0KD5mKrp0Vvzr7lt3OU09vwQwhkpOPPYv2Y/edit?usp=sharing"",""งบพรบ!BM68"")"),0)</f>
        <v>0</v>
      </c>
      <c r="J68" s="151">
        <f t="shared" ca="1" si="27"/>
        <v>0</v>
      </c>
      <c r="K68" s="154">
        <f t="shared" ca="1" si="28"/>
        <v>0</v>
      </c>
      <c r="L68" s="151">
        <f ca="1">IFERROR(__xludf.DUMMYFUNCTION("IMPORTRANGE(""https://docs.google.com/spreadsheets/d/1-uDff_7J0KD5mKrp0Vvzr7lt3OU09vwQwhkpOPPYv2Y/edit?usp=sharing"",""งบพรบ!BN68"")"),0)</f>
        <v>0</v>
      </c>
      <c r="M68" s="68">
        <f t="shared" ca="1" si="29"/>
        <v>0</v>
      </c>
      <c r="N68" s="68">
        <f t="shared" ca="1" si="30"/>
        <v>0</v>
      </c>
      <c r="O68" s="67">
        <f ca="1">IFERROR(__xludf.DUMMYFUNCTION("IMPORTRANGE(""https://docs.google.com/spreadsheets/d/1-uDff_7J0KD5mKrp0Vvzr7lt3OU09vwQwhkpOPPYv2Y/edit?usp=sharing"",""งบพรบ!BO68"")"),0)</f>
        <v>0</v>
      </c>
      <c r="P68" s="67">
        <f t="shared" ca="1" si="31"/>
        <v>0</v>
      </c>
      <c r="Q68" s="68">
        <f t="shared" ca="1" si="32"/>
        <v>0</v>
      </c>
      <c r="R68" s="67">
        <f ca="1">IFERROR(__xludf.DUMMYFUNCTION("IMPORTRANGE(""https://docs.google.com/spreadsheets/d/1lufeA2cfFqM-elVq2hznhDzC6Pr7wkJ9ZG_sYNGCMCU/edit?usp=sharing"",""ลพบุรี!Q117"")"),310080)</f>
        <v>310080</v>
      </c>
      <c r="S68" s="67">
        <f ca="1">IFERROR(__xludf.DUMMYFUNCTION("IMPORTRANGE(""https://docs.google.com/spreadsheets/d/1lufeA2cfFqM-elVq2hznhDzC6Pr7wkJ9ZG_sYNGCMCU/edit?usp=sharing"",""ลพบุรี!R117"")"),310080)</f>
        <v>310080</v>
      </c>
      <c r="T68" s="67">
        <f ca="1">IFERROR(__xludf.DUMMYFUNCTION("IMPORTRANGE(""https://docs.google.com/spreadsheets/d/1lufeA2cfFqM-elVq2hznhDzC6Pr7wkJ9ZG_sYNGCMCU/edit?usp=sharing"",""ลพบุรี!S117"")"),250733)</f>
        <v>250733</v>
      </c>
      <c r="U68" s="68">
        <f t="shared" ca="1" si="34"/>
        <v>80.860745614035082</v>
      </c>
      <c r="V68" s="68">
        <f t="shared" ca="1" si="35"/>
        <v>80.860745614035082</v>
      </c>
      <c r="W68" s="78">
        <f ca="1">IFERROR(__xludf.DUMMYFUNCTION("IMPORTRANGE(""https://docs.google.com/spreadsheets/d/1lufeA2cfFqM-elVq2hznhDzC6Pr7wkJ9ZG_sYNGCMCU/edit?usp=sharing"",""ลพบุรี!I127"")"),55)</f>
        <v>55</v>
      </c>
      <c r="X68" s="78">
        <f ca="1">IFERROR(__xludf.DUMMYFUNCTION("IMPORTRANGE(""https://docs.google.com/spreadsheets/d/1lufeA2cfFqM-elVq2hznhDzC6Pr7wkJ9ZG_sYNGCMCU/edit?usp=sharing"",""ลพบุรี!J127"")"),55)</f>
        <v>55</v>
      </c>
      <c r="Y68" s="79">
        <f t="shared" ca="1" si="37"/>
        <v>100</v>
      </c>
      <c r="Z68" s="78">
        <f ca="1">IFERROR(__xludf.DUMMYFUNCTION("IMPORTRANGE(""https://docs.google.com/spreadsheets/d/1lufeA2cfFqM-elVq2hznhDzC6Pr7wkJ9ZG_sYNGCMCU/edit?usp=sharing"",""ลพบุรี!J128"")"),3)</f>
        <v>3</v>
      </c>
      <c r="AA68" s="78">
        <f ca="1">IFERROR(__xludf.DUMMYFUNCTION("IMPORTRANGE(""https://docs.google.com/spreadsheets/d/1lufeA2cfFqM-elVq2hznhDzC6Pr7wkJ9ZG_sYNGCMCU/edit?usp=sharing"",""ลพบุรี!I129"")"),30)</f>
        <v>30</v>
      </c>
      <c r="AB68" s="78">
        <f ca="1">IFERROR(__xludf.DUMMYFUNCTION("IMPORTRANGE(""https://docs.google.com/spreadsheets/d/1lufeA2cfFqM-elVq2hznhDzC6Pr7wkJ9ZG_sYNGCMCU/edit?usp=sharing"",""ลพบุรี!J129"")"),30)</f>
        <v>30</v>
      </c>
      <c r="AC68" s="79">
        <f t="shared" ca="1" si="39"/>
        <v>100</v>
      </c>
      <c r="AD68" s="152">
        <f ca="1">IFERROR(__xludf.DUMMYFUNCTION("IMPORTRANGE(""https://docs.google.com/spreadsheets/d/1lufeA2cfFqM-elVq2hznhDzC6Pr7wkJ9ZG_sYNGCMCU/edit?usp=sharing"",""ลพบุรี!J130"")"),2)</f>
        <v>2</v>
      </c>
      <c r="AE68" s="78">
        <v>0</v>
      </c>
      <c r="AF68" s="78">
        <v>0</v>
      </c>
      <c r="AG68" s="79">
        <v>0</v>
      </c>
    </row>
    <row r="69" spans="1:33" ht="19.5" x14ac:dyDescent="0.3">
      <c r="A69" s="147">
        <v>17</v>
      </c>
      <c r="B69" s="148" t="s">
        <v>97</v>
      </c>
      <c r="C69" s="149">
        <f t="shared" ca="1" si="25"/>
        <v>0</v>
      </c>
      <c r="D69" s="150">
        <f t="shared" ca="1" si="50"/>
        <v>0</v>
      </c>
      <c r="E69" s="151">
        <f ca="1">IFERROR(__xludf.DUMMYFUNCTION("IMPORTRANGE(""https://docs.google.com/spreadsheets/d/1-uDff_7J0KD5mKrp0Vvzr7lt3OU09vwQwhkpOPPYv2Y/edit?usp=sharing"",""งบพรบ!BH69"")"),0)</f>
        <v>0</v>
      </c>
      <c r="F69" s="151">
        <f ca="1">IFERROR(__xludf.DUMMYFUNCTION("IMPORTRANGE(""https://docs.google.com/spreadsheets/d/1-uDff_7J0KD5mKrp0Vvzr7lt3OU09vwQwhkpOPPYv2Y/edit?usp=sharing"",""งบพรบ!BI69"")"),0)</f>
        <v>0</v>
      </c>
      <c r="G69" s="151">
        <f ca="1">IFERROR(__xludf.DUMMYFUNCTION("IMPORTRANGE(""https://docs.google.com/spreadsheets/d/1-uDff_7J0KD5mKrp0Vvzr7lt3OU09vwQwhkpOPPYv2Y/edit?usp=sharing"",""งบพรบ!BJ69"")"),0)</f>
        <v>0</v>
      </c>
      <c r="H69" s="151">
        <f ca="1">IFERROR(__xludf.DUMMYFUNCTION("IMPORTRANGE(""https://docs.google.com/spreadsheets/d/1-uDff_7J0KD5mKrp0Vvzr7lt3OU09vwQwhkpOPPYv2Y/edit?usp=sharing"",""งบพรบ!BL69"")"),0)</f>
        <v>0</v>
      </c>
      <c r="I69" s="151">
        <f ca="1">IFERROR(__xludf.DUMMYFUNCTION("IMPORTRANGE(""https://docs.google.com/spreadsheets/d/1-uDff_7J0KD5mKrp0Vvzr7lt3OU09vwQwhkpOPPYv2Y/edit?usp=sharing"",""งบพรบ!BM69"")"),0)</f>
        <v>0</v>
      </c>
      <c r="J69" s="151">
        <f t="shared" ca="1" si="27"/>
        <v>0</v>
      </c>
      <c r="K69" s="154">
        <f t="shared" ca="1" si="28"/>
        <v>0</v>
      </c>
      <c r="L69" s="151">
        <f ca="1">IFERROR(__xludf.DUMMYFUNCTION("IMPORTRANGE(""https://docs.google.com/spreadsheets/d/1-uDff_7J0KD5mKrp0Vvzr7lt3OU09vwQwhkpOPPYv2Y/edit?usp=sharing"",""งบพรบ!BN69"")"),0)</f>
        <v>0</v>
      </c>
      <c r="M69" s="68">
        <f t="shared" ca="1" si="29"/>
        <v>0</v>
      </c>
      <c r="N69" s="68">
        <f t="shared" ca="1" si="30"/>
        <v>0</v>
      </c>
      <c r="O69" s="67">
        <f ca="1">IFERROR(__xludf.DUMMYFUNCTION("IMPORTRANGE(""https://docs.google.com/spreadsheets/d/1-uDff_7J0KD5mKrp0Vvzr7lt3OU09vwQwhkpOPPYv2Y/edit?usp=sharing"",""งบพรบ!BO69"")"),0)</f>
        <v>0</v>
      </c>
      <c r="P69" s="67">
        <f t="shared" ca="1" si="31"/>
        <v>0</v>
      </c>
      <c r="Q69" s="68">
        <f t="shared" ca="1" si="32"/>
        <v>0</v>
      </c>
      <c r="R69" s="67">
        <f ca="1">IFERROR(__xludf.DUMMYFUNCTION("IMPORTRANGE(""https://docs.google.com/spreadsheets/d/10oOiF7loTyfsTkbd4MpaIm0HQ9SwB7IYHdIUvt-U1Uc/edit?usp=sharing"",""สระแก้ว!Q117"")"),209360)</f>
        <v>209360</v>
      </c>
      <c r="S69" s="67">
        <f ca="1">IFERROR(__xludf.DUMMYFUNCTION("IMPORTRANGE(""https://docs.google.com/spreadsheets/d/10oOiF7loTyfsTkbd4MpaIm0HQ9SwB7IYHdIUvt-U1Uc/edit?usp=sharing"",""สระแก้ว!R117"")"),209360)</f>
        <v>209360</v>
      </c>
      <c r="T69" s="67">
        <f ca="1">IFERROR(__xludf.DUMMYFUNCTION("IMPORTRANGE(""https://docs.google.com/spreadsheets/d/10oOiF7loTyfsTkbd4MpaIm0HQ9SwB7IYHdIUvt-U1Uc/edit?usp=sharing"",""สระแก้ว!S117"")"),176040)</f>
        <v>176040</v>
      </c>
      <c r="U69" s="68">
        <f t="shared" ca="1" si="34"/>
        <v>84.084829957967145</v>
      </c>
      <c r="V69" s="68">
        <f t="shared" ca="1" si="35"/>
        <v>84.084829957967145</v>
      </c>
      <c r="W69" s="74">
        <f ca="1">IFERROR(__xludf.DUMMYFUNCTION("IMPORTRANGE(""https://docs.google.com/spreadsheets/d/10oOiF7loTyfsTkbd4MpaIm0HQ9SwB7IYHdIUvt-U1Uc/edit?usp=sharing"",""สระแก้ว!I127"")"),20)</f>
        <v>20</v>
      </c>
      <c r="X69" s="74">
        <f ca="1">IFERROR(__xludf.DUMMYFUNCTION("IMPORTRANGE(""https://docs.google.com/spreadsheets/d/10oOiF7loTyfsTkbd4MpaIm0HQ9SwB7IYHdIUvt-U1Uc/edit?usp=sharing"",""สระแก้ว!J127"")"),20)</f>
        <v>20</v>
      </c>
      <c r="Y69" s="79">
        <f t="shared" ca="1" si="37"/>
        <v>100</v>
      </c>
      <c r="Z69" s="74">
        <f ca="1">IFERROR(__xludf.DUMMYFUNCTION("IMPORTRANGE(""https://docs.google.com/spreadsheets/d/10oOiF7loTyfsTkbd4MpaIm0HQ9SwB7IYHdIUvt-U1Uc/edit?usp=sharing"",""สระแก้ว!J128"")"),1)</f>
        <v>1</v>
      </c>
      <c r="AA69" s="74">
        <f ca="1">IFERROR(__xludf.DUMMYFUNCTION("IMPORTRANGE(""https://docs.google.com/spreadsheets/d/10oOiF7loTyfsTkbd4MpaIm0HQ9SwB7IYHdIUvt-U1Uc/edit?usp=sharing"",""สระแก้ว!I129"")"),20)</f>
        <v>20</v>
      </c>
      <c r="AB69" s="74">
        <f ca="1">IFERROR(__xludf.DUMMYFUNCTION("IMPORTRANGE(""https://docs.google.com/spreadsheets/d/10oOiF7loTyfsTkbd4MpaIm0HQ9SwB7IYHdIUvt-U1Uc/edit?usp=sharing"",""สระแก้ว!J129"")"),20)</f>
        <v>20</v>
      </c>
      <c r="AC69" s="79">
        <f t="shared" ca="1" si="39"/>
        <v>100</v>
      </c>
      <c r="AD69" s="152">
        <f ca="1">IFERROR(__xludf.DUMMYFUNCTION("IMPORTRANGE(""https://docs.google.com/spreadsheets/d/10oOiF7loTyfsTkbd4MpaIm0HQ9SwB7IYHdIUvt-U1Uc/edit?usp=sharing"",""สระแก้ว!J130"")"),1)</f>
        <v>1</v>
      </c>
      <c r="AE69" s="74">
        <v>0</v>
      </c>
      <c r="AF69" s="74">
        <v>0</v>
      </c>
      <c r="AG69" s="79">
        <v>0</v>
      </c>
    </row>
    <row r="70" spans="1:33" ht="19.5" x14ac:dyDescent="0.3">
      <c r="A70" s="147">
        <v>18</v>
      </c>
      <c r="B70" s="148" t="s">
        <v>98</v>
      </c>
      <c r="C70" s="149">
        <f t="shared" ca="1" si="25"/>
        <v>0</v>
      </c>
      <c r="D70" s="150">
        <f t="shared" ca="1" si="50"/>
        <v>0</v>
      </c>
      <c r="E70" s="151">
        <f ca="1">IFERROR(__xludf.DUMMYFUNCTION("IMPORTRANGE(""https://docs.google.com/spreadsheets/d/1-uDff_7J0KD5mKrp0Vvzr7lt3OU09vwQwhkpOPPYv2Y/edit?usp=sharing"",""งบพรบ!BH70"")"),0)</f>
        <v>0</v>
      </c>
      <c r="F70" s="151">
        <f ca="1">IFERROR(__xludf.DUMMYFUNCTION("IMPORTRANGE(""https://docs.google.com/spreadsheets/d/1-uDff_7J0KD5mKrp0Vvzr7lt3OU09vwQwhkpOPPYv2Y/edit?usp=sharing"",""งบพรบ!BI70"")"),0)</f>
        <v>0</v>
      </c>
      <c r="G70" s="151">
        <f ca="1">IFERROR(__xludf.DUMMYFUNCTION("IMPORTRANGE(""https://docs.google.com/spreadsheets/d/1-uDff_7J0KD5mKrp0Vvzr7lt3OU09vwQwhkpOPPYv2Y/edit?usp=sharing"",""งบพรบ!BJ70"")"),0)</f>
        <v>0</v>
      </c>
      <c r="H70" s="151">
        <f ca="1">IFERROR(__xludf.DUMMYFUNCTION("IMPORTRANGE(""https://docs.google.com/spreadsheets/d/1-uDff_7J0KD5mKrp0Vvzr7lt3OU09vwQwhkpOPPYv2Y/edit?usp=sharing"",""งบพรบ!BL70"")"),0)</f>
        <v>0</v>
      </c>
      <c r="I70" s="151">
        <f ca="1">IFERROR(__xludf.DUMMYFUNCTION("IMPORTRANGE(""https://docs.google.com/spreadsheets/d/1-uDff_7J0KD5mKrp0Vvzr7lt3OU09vwQwhkpOPPYv2Y/edit?usp=sharing"",""งบพรบ!BM70"")"),0)</f>
        <v>0</v>
      </c>
      <c r="J70" s="151">
        <f t="shared" ca="1" si="27"/>
        <v>0</v>
      </c>
      <c r="K70" s="154">
        <f t="shared" ca="1" si="28"/>
        <v>0</v>
      </c>
      <c r="L70" s="151">
        <f ca="1">IFERROR(__xludf.DUMMYFUNCTION("IMPORTRANGE(""https://docs.google.com/spreadsheets/d/1-uDff_7J0KD5mKrp0Vvzr7lt3OU09vwQwhkpOPPYv2Y/edit?usp=sharing"",""งบพรบ!BN70"")"),0)</f>
        <v>0</v>
      </c>
      <c r="M70" s="68">
        <f t="shared" ca="1" si="29"/>
        <v>0</v>
      </c>
      <c r="N70" s="68">
        <f t="shared" ca="1" si="30"/>
        <v>0</v>
      </c>
      <c r="O70" s="67">
        <f ca="1">IFERROR(__xludf.DUMMYFUNCTION("IMPORTRANGE(""https://docs.google.com/spreadsheets/d/1-uDff_7J0KD5mKrp0Vvzr7lt3OU09vwQwhkpOPPYv2Y/edit?usp=sharing"",""งบพรบ!BO70"")"),0)</f>
        <v>0</v>
      </c>
      <c r="P70" s="67">
        <f t="shared" ca="1" si="31"/>
        <v>0</v>
      </c>
      <c r="Q70" s="68">
        <f t="shared" ca="1" si="32"/>
        <v>0</v>
      </c>
      <c r="R70" s="67">
        <f ca="1">IFERROR(__xludf.DUMMYFUNCTION("IMPORTRANGE(""https://docs.google.com/spreadsheets/d/1xmPlrr1QbdSIKvl1dWUl9K4PjAfSL9oeMr_37QVzcxc/edit?usp=sharing"",""สระบุรี!Q117"")"),173660)</f>
        <v>173660</v>
      </c>
      <c r="S70" s="67">
        <f ca="1">IFERROR(__xludf.DUMMYFUNCTION("IMPORTRANGE(""https://docs.google.com/spreadsheets/d/1xmPlrr1QbdSIKvl1dWUl9K4PjAfSL9oeMr_37QVzcxc/edit?usp=sharing"",""สระบุรี!R117"")"),173660)</f>
        <v>173660</v>
      </c>
      <c r="T70" s="67">
        <f ca="1">IFERROR(__xludf.DUMMYFUNCTION("IMPORTRANGE(""https://docs.google.com/spreadsheets/d/1xmPlrr1QbdSIKvl1dWUl9K4PjAfSL9oeMr_37QVzcxc/edit?usp=sharing"",""สระบุรี!S117"")"),122662)</f>
        <v>122662</v>
      </c>
      <c r="U70" s="68">
        <f t="shared" ca="1" si="34"/>
        <v>70.633421628469421</v>
      </c>
      <c r="V70" s="68">
        <f t="shared" ca="1" si="35"/>
        <v>70.633421628469421</v>
      </c>
      <c r="W70" s="74">
        <f ca="1">IFERROR(__xludf.DUMMYFUNCTION("IMPORTRANGE(""https://docs.google.com/spreadsheets/d/1xmPlrr1QbdSIKvl1dWUl9K4PjAfSL9oeMr_37QVzcxc/edit?usp=sharing"",""สระบุรี!I127"")"),10)</f>
        <v>10</v>
      </c>
      <c r="X70" s="74">
        <f ca="1">IFERROR(__xludf.DUMMYFUNCTION("IMPORTRANGE(""https://docs.google.com/spreadsheets/d/1xmPlrr1QbdSIKvl1dWUl9K4PjAfSL9oeMr_37QVzcxc/edit?usp=sharing"",""สระบุรี!J127"")"),10)</f>
        <v>10</v>
      </c>
      <c r="Y70" s="79">
        <f t="shared" ca="1" si="37"/>
        <v>100</v>
      </c>
      <c r="Z70" s="74">
        <f ca="1">IFERROR(__xludf.DUMMYFUNCTION("IMPORTRANGE(""https://docs.google.com/spreadsheets/d/1xmPlrr1QbdSIKvl1dWUl9K4PjAfSL9oeMr_37QVzcxc/edit?usp=sharing"",""สระบุรี!J128"")"),1)</f>
        <v>1</v>
      </c>
      <c r="AA70" s="74">
        <f ca="1">IFERROR(__xludf.DUMMYFUNCTION("IMPORTRANGE(""https://docs.google.com/spreadsheets/d/1xmPlrr1QbdSIKvl1dWUl9K4PjAfSL9oeMr_37QVzcxc/edit?usp=sharing"",""สระบุรี!I129"")"),10)</f>
        <v>10</v>
      </c>
      <c r="AB70" s="74">
        <f ca="1">IFERROR(__xludf.DUMMYFUNCTION("IMPORTRANGE(""https://docs.google.com/spreadsheets/d/1xmPlrr1QbdSIKvl1dWUl9K4PjAfSL9oeMr_37QVzcxc/edit?usp=sharing"",""สระบุรี!J129"")"),10)</f>
        <v>10</v>
      </c>
      <c r="AC70" s="79">
        <f t="shared" ca="1" si="39"/>
        <v>100</v>
      </c>
      <c r="AD70" s="152">
        <f ca="1">IFERROR(__xludf.DUMMYFUNCTION("IMPORTRANGE(""https://docs.google.com/spreadsheets/d/1xmPlrr1QbdSIKvl1dWUl9K4PjAfSL9oeMr_37QVzcxc/edit?usp=sharing"",""สระบุรี!J130"")"),1)</f>
        <v>1</v>
      </c>
      <c r="AE70" s="74">
        <v>0</v>
      </c>
      <c r="AF70" s="74">
        <v>0</v>
      </c>
      <c r="AG70" s="79">
        <v>0</v>
      </c>
    </row>
    <row r="71" spans="1:33" ht="19.5" x14ac:dyDescent="0.3">
      <c r="A71" s="147">
        <v>19</v>
      </c>
      <c r="B71" s="148" t="s">
        <v>99</v>
      </c>
      <c r="C71" s="149">
        <f t="shared" ca="1" si="25"/>
        <v>0</v>
      </c>
      <c r="D71" s="150">
        <f t="shared" ca="1" si="50"/>
        <v>0</v>
      </c>
      <c r="E71" s="151">
        <f ca="1">IFERROR(__xludf.DUMMYFUNCTION("IMPORTRANGE(""https://docs.google.com/spreadsheets/d/1-uDff_7J0KD5mKrp0Vvzr7lt3OU09vwQwhkpOPPYv2Y/edit?usp=sharing"",""งบพรบ!BH71"")"),0)</f>
        <v>0</v>
      </c>
      <c r="F71" s="151">
        <f ca="1">IFERROR(__xludf.DUMMYFUNCTION("IMPORTRANGE(""https://docs.google.com/spreadsheets/d/1-uDff_7J0KD5mKrp0Vvzr7lt3OU09vwQwhkpOPPYv2Y/edit?usp=sharing"",""งบพรบ!BI71"")"),0)</f>
        <v>0</v>
      </c>
      <c r="G71" s="151">
        <f ca="1">IFERROR(__xludf.DUMMYFUNCTION("IMPORTRANGE(""https://docs.google.com/spreadsheets/d/1-uDff_7J0KD5mKrp0Vvzr7lt3OU09vwQwhkpOPPYv2Y/edit?usp=sharing"",""งบพรบ!BJ71"")"),0)</f>
        <v>0</v>
      </c>
      <c r="H71" s="151">
        <f ca="1">IFERROR(__xludf.DUMMYFUNCTION("IMPORTRANGE(""https://docs.google.com/spreadsheets/d/1-uDff_7J0KD5mKrp0Vvzr7lt3OU09vwQwhkpOPPYv2Y/edit?usp=sharing"",""งบพรบ!BL71"")"),0)</f>
        <v>0</v>
      </c>
      <c r="I71" s="151">
        <f ca="1">IFERROR(__xludf.DUMMYFUNCTION("IMPORTRANGE(""https://docs.google.com/spreadsheets/d/1-uDff_7J0KD5mKrp0Vvzr7lt3OU09vwQwhkpOPPYv2Y/edit?usp=sharing"",""งบพรบ!BM71"")"),0)</f>
        <v>0</v>
      </c>
      <c r="J71" s="151">
        <f t="shared" ca="1" si="27"/>
        <v>0</v>
      </c>
      <c r="K71" s="154">
        <f t="shared" ca="1" si="28"/>
        <v>0</v>
      </c>
      <c r="L71" s="151">
        <f ca="1">IFERROR(__xludf.DUMMYFUNCTION("IMPORTRANGE(""https://docs.google.com/spreadsheets/d/1-uDff_7J0KD5mKrp0Vvzr7lt3OU09vwQwhkpOPPYv2Y/edit?usp=sharing"",""งบพรบ!BN71"")"),0)</f>
        <v>0</v>
      </c>
      <c r="M71" s="68">
        <f t="shared" ca="1" si="29"/>
        <v>0</v>
      </c>
      <c r="N71" s="68">
        <f t="shared" ca="1" si="30"/>
        <v>0</v>
      </c>
      <c r="O71" s="67">
        <f ca="1">IFERROR(__xludf.DUMMYFUNCTION("IMPORTRANGE(""https://docs.google.com/spreadsheets/d/1-uDff_7J0KD5mKrp0Vvzr7lt3OU09vwQwhkpOPPYv2Y/edit?usp=sharing"",""งบพรบ!BO71"")"),0)</f>
        <v>0</v>
      </c>
      <c r="P71" s="67">
        <f t="shared" ca="1" si="31"/>
        <v>0</v>
      </c>
      <c r="Q71" s="68">
        <f t="shared" ca="1" si="32"/>
        <v>0</v>
      </c>
      <c r="R71" s="67">
        <f ca="1">IFERROR(__xludf.DUMMYFUNCTION("IMPORTRANGE(""https://docs.google.com/spreadsheets/d/1j51vR6CYVGhABJpv6tkstgok82RLpXieLzW1yOY5rHw/edit?usp=sharing"",""สิงห์บุรี!Q117"")"),173660)</f>
        <v>173660</v>
      </c>
      <c r="S71" s="67">
        <f ca="1">IFERROR(__xludf.DUMMYFUNCTION("IMPORTRANGE(""https://docs.google.com/spreadsheets/d/1j51vR6CYVGhABJpv6tkstgok82RLpXieLzW1yOY5rHw/edit?usp=sharing"",""สิงห์บุรี!R117"")"),160660)</f>
        <v>160660</v>
      </c>
      <c r="T71" s="67">
        <f ca="1">IFERROR(__xludf.DUMMYFUNCTION("IMPORTRANGE(""https://docs.google.com/spreadsheets/d/1j51vR6CYVGhABJpv6tkstgok82RLpXieLzW1yOY5rHw/edit?usp=sharing"",""สิงห์บุรี!S117"")"),131654.5)</f>
        <v>131654.5</v>
      </c>
      <c r="U71" s="68">
        <f t="shared" ca="1" si="34"/>
        <v>75.811643441206954</v>
      </c>
      <c r="V71" s="68">
        <f t="shared" ca="1" si="35"/>
        <v>81.946035105191086</v>
      </c>
      <c r="W71" s="74">
        <f ca="1">IFERROR(__xludf.DUMMYFUNCTION("IMPORTRANGE(""https://docs.google.com/spreadsheets/d/1j51vR6CYVGhABJpv6tkstgok82RLpXieLzW1yOY5rHw/edit?usp=sharing"",""สิงห์บุรี!I127"")"),10)</f>
        <v>10</v>
      </c>
      <c r="X71" s="74">
        <f ca="1">IFERROR(__xludf.DUMMYFUNCTION("IMPORTRANGE(""https://docs.google.com/spreadsheets/d/1j51vR6CYVGhABJpv6tkstgok82RLpXieLzW1yOY5rHw/edit?usp=sharing"",""สิงห์บุรี!J127"")"),10)</f>
        <v>10</v>
      </c>
      <c r="Y71" s="79">
        <f t="shared" ca="1" si="37"/>
        <v>100</v>
      </c>
      <c r="Z71" s="74">
        <f ca="1">IFERROR(__xludf.DUMMYFUNCTION("IMPORTRANGE(""https://docs.google.com/spreadsheets/d/1j51vR6CYVGhABJpv6tkstgok82RLpXieLzW1yOY5rHw/edit?usp=sharing"",""สิงห์บุรี!J128"")"),1)</f>
        <v>1</v>
      </c>
      <c r="AA71" s="74">
        <f ca="1">IFERROR(__xludf.DUMMYFUNCTION("IMPORTRANGE(""https://docs.google.com/spreadsheets/d/1j51vR6CYVGhABJpv6tkstgok82RLpXieLzW1yOY5rHw/edit?usp=sharing"",""สิงห์บุรี!I129"")"),10)</f>
        <v>10</v>
      </c>
      <c r="AB71" s="74">
        <f ca="1">IFERROR(__xludf.DUMMYFUNCTION("IMPORTRANGE(""https://docs.google.com/spreadsheets/d/1j51vR6CYVGhABJpv6tkstgok82RLpXieLzW1yOY5rHw/edit?usp=sharing"",""สิงห์บุรี!J129"")"),10)</f>
        <v>10</v>
      </c>
      <c r="AC71" s="79">
        <f t="shared" ca="1" si="39"/>
        <v>100</v>
      </c>
      <c r="AD71" s="152">
        <f ca="1">IFERROR(__xludf.DUMMYFUNCTION("IMPORTRANGE(""https://docs.google.com/spreadsheets/d/1j51vR6CYVGhABJpv6tkstgok82RLpXieLzW1yOY5rHw/edit?usp=sharing"",""สิงห์บุรี!J130"")"),1)</f>
        <v>1</v>
      </c>
      <c r="AE71" s="74">
        <v>0</v>
      </c>
      <c r="AF71" s="74">
        <v>0</v>
      </c>
      <c r="AG71" s="79">
        <v>0</v>
      </c>
    </row>
    <row r="72" spans="1:33" ht="19.5" x14ac:dyDescent="0.3">
      <c r="A72" s="147">
        <v>20</v>
      </c>
      <c r="B72" s="148" t="s">
        <v>100</v>
      </c>
      <c r="C72" s="149">
        <f t="shared" ca="1" si="25"/>
        <v>0</v>
      </c>
      <c r="D72" s="150">
        <f t="shared" ca="1" si="50"/>
        <v>0</v>
      </c>
      <c r="E72" s="151">
        <f ca="1">IFERROR(__xludf.DUMMYFUNCTION("IMPORTRANGE(""https://docs.google.com/spreadsheets/d/1-uDff_7J0KD5mKrp0Vvzr7lt3OU09vwQwhkpOPPYv2Y/edit?usp=sharing"",""งบพรบ!BH72"")"),0)</f>
        <v>0</v>
      </c>
      <c r="F72" s="151">
        <f ca="1">IFERROR(__xludf.DUMMYFUNCTION("IMPORTRANGE(""https://docs.google.com/spreadsheets/d/1-uDff_7J0KD5mKrp0Vvzr7lt3OU09vwQwhkpOPPYv2Y/edit?usp=sharing"",""งบพรบ!BI72"")"),0)</f>
        <v>0</v>
      </c>
      <c r="G72" s="151">
        <f ca="1">IFERROR(__xludf.DUMMYFUNCTION("IMPORTRANGE(""https://docs.google.com/spreadsheets/d/1-uDff_7J0KD5mKrp0Vvzr7lt3OU09vwQwhkpOPPYv2Y/edit?usp=sharing"",""งบพรบ!BJ72"")"),0)</f>
        <v>0</v>
      </c>
      <c r="H72" s="151">
        <f ca="1">IFERROR(__xludf.DUMMYFUNCTION("IMPORTRANGE(""https://docs.google.com/spreadsheets/d/1-uDff_7J0KD5mKrp0Vvzr7lt3OU09vwQwhkpOPPYv2Y/edit?usp=sharing"",""งบพรบ!BL72"")"),0)</f>
        <v>0</v>
      </c>
      <c r="I72" s="151">
        <f ca="1">IFERROR(__xludf.DUMMYFUNCTION("IMPORTRANGE(""https://docs.google.com/spreadsheets/d/1-uDff_7J0KD5mKrp0Vvzr7lt3OU09vwQwhkpOPPYv2Y/edit?usp=sharing"",""งบพรบ!BM72"")"),0)</f>
        <v>0</v>
      </c>
      <c r="J72" s="151">
        <f t="shared" ca="1" si="27"/>
        <v>0</v>
      </c>
      <c r="K72" s="154">
        <f t="shared" ca="1" si="28"/>
        <v>0</v>
      </c>
      <c r="L72" s="151">
        <f ca="1">IFERROR(__xludf.DUMMYFUNCTION("IMPORTRANGE(""https://docs.google.com/spreadsheets/d/1-uDff_7J0KD5mKrp0Vvzr7lt3OU09vwQwhkpOPPYv2Y/edit?usp=sharing"",""งบพรบ!BN72"")"),0)</f>
        <v>0</v>
      </c>
      <c r="M72" s="68">
        <f t="shared" ca="1" si="29"/>
        <v>0</v>
      </c>
      <c r="N72" s="68">
        <f t="shared" ca="1" si="30"/>
        <v>0</v>
      </c>
      <c r="O72" s="67">
        <f ca="1">IFERROR(__xludf.DUMMYFUNCTION("IMPORTRANGE(""https://docs.google.com/spreadsheets/d/1-uDff_7J0KD5mKrp0Vvzr7lt3OU09vwQwhkpOPPYv2Y/edit?usp=sharing"",""งบพรบ!BO72"")"),0)</f>
        <v>0</v>
      </c>
      <c r="P72" s="67">
        <f t="shared" ca="1" si="31"/>
        <v>0</v>
      </c>
      <c r="Q72" s="68">
        <f t="shared" ca="1" si="32"/>
        <v>0</v>
      </c>
      <c r="R72" s="67">
        <f ca="1">IFERROR(__xludf.DUMMYFUNCTION("IMPORTRANGE(""https://docs.google.com/spreadsheets/d/1H1EalTWKUSzO4Z1-1CwzoDUaVffgrThEBe2sl74kKG0/edit?usp=sharing"",""สุพรรณบุรี!Q117"")"),209360)</f>
        <v>209360</v>
      </c>
      <c r="S72" s="67">
        <f ca="1">IFERROR(__xludf.DUMMYFUNCTION("IMPORTRANGE(""https://docs.google.com/spreadsheets/d/1H1EalTWKUSzO4Z1-1CwzoDUaVffgrThEBe2sl74kKG0/edit?usp=sharing"",""สุพรรณบุรี!R117"")"),209360)</f>
        <v>209360</v>
      </c>
      <c r="T72" s="67">
        <f ca="1">IFERROR(__xludf.DUMMYFUNCTION("IMPORTRANGE(""https://docs.google.com/spreadsheets/d/1H1EalTWKUSzO4Z1-1CwzoDUaVffgrThEBe2sl74kKG0/edit?usp=sharing"",""สุพรรณบุรี!S117"")"),179945)</f>
        <v>179945</v>
      </c>
      <c r="U72" s="68">
        <f t="shared" ca="1" si="34"/>
        <v>85.950038211692771</v>
      </c>
      <c r="V72" s="68">
        <f t="shared" ca="1" si="35"/>
        <v>85.950038211692771</v>
      </c>
      <c r="W72" s="74">
        <f ca="1">IFERROR(__xludf.DUMMYFUNCTION("IMPORTRANGE(""https://docs.google.com/spreadsheets/d/1H1EalTWKUSzO4Z1-1CwzoDUaVffgrThEBe2sl74kKG0/edit?usp=sharing"",""สุพรรณบุรี!I127"")"),20)</f>
        <v>20</v>
      </c>
      <c r="X72" s="74">
        <f ca="1">IFERROR(__xludf.DUMMYFUNCTION("IMPORTRANGE(""https://docs.google.com/spreadsheets/d/1H1EalTWKUSzO4Z1-1CwzoDUaVffgrThEBe2sl74kKG0/edit?usp=sharing"",""สุพรรณบุรี!J127"")"),20)</f>
        <v>20</v>
      </c>
      <c r="Y72" s="79">
        <f t="shared" ca="1" si="37"/>
        <v>100</v>
      </c>
      <c r="Z72" s="74">
        <f ca="1">IFERROR(__xludf.DUMMYFUNCTION("IMPORTRANGE(""https://docs.google.com/spreadsheets/d/1H1EalTWKUSzO4Z1-1CwzoDUaVffgrThEBe2sl74kKG0/edit?usp=sharing"",""สุพรรณบุรี!J128"")"),1)</f>
        <v>1</v>
      </c>
      <c r="AA72" s="74">
        <f ca="1">IFERROR(__xludf.DUMMYFUNCTION("IMPORTRANGE(""https://docs.google.com/spreadsheets/d/1H1EalTWKUSzO4Z1-1CwzoDUaVffgrThEBe2sl74kKG0/edit?usp=sharing"",""สุพรรณบุรี!I129"")"),20)</f>
        <v>20</v>
      </c>
      <c r="AB72" s="74">
        <f ca="1">IFERROR(__xludf.DUMMYFUNCTION("IMPORTRANGE(""https://docs.google.com/spreadsheets/d/1H1EalTWKUSzO4Z1-1CwzoDUaVffgrThEBe2sl74kKG0/edit?usp=sharing"",""สุพรรณบุรี!J129"")"),20)</f>
        <v>20</v>
      </c>
      <c r="AC72" s="79">
        <f t="shared" ca="1" si="39"/>
        <v>100</v>
      </c>
      <c r="AD72" s="152">
        <f ca="1">IFERROR(__xludf.DUMMYFUNCTION("IMPORTRANGE(""https://docs.google.com/spreadsheets/d/1H1EalTWKUSzO4Z1-1CwzoDUaVffgrThEBe2sl74kKG0/edit?usp=sharing"",""สุพรรณบุรี!J130"")"),1)</f>
        <v>1</v>
      </c>
      <c r="AE72" s="74">
        <v>0</v>
      </c>
      <c r="AF72" s="74">
        <v>0</v>
      </c>
      <c r="AG72" s="79">
        <v>0</v>
      </c>
    </row>
    <row r="73" spans="1:33" ht="19.5" x14ac:dyDescent="0.3">
      <c r="A73" s="155">
        <v>21</v>
      </c>
      <c r="B73" s="156" t="s">
        <v>101</v>
      </c>
      <c r="C73" s="157">
        <f t="shared" ca="1" si="25"/>
        <v>0</v>
      </c>
      <c r="D73" s="158">
        <f t="shared" ca="1" si="50"/>
        <v>0</v>
      </c>
      <c r="E73" s="159">
        <f ca="1">IFERROR(__xludf.DUMMYFUNCTION("IMPORTRANGE(""https://docs.google.com/spreadsheets/d/1-uDff_7J0KD5mKrp0Vvzr7lt3OU09vwQwhkpOPPYv2Y/edit?usp=sharing"",""งบพรบ!BH73"")"),0)</f>
        <v>0</v>
      </c>
      <c r="F73" s="159">
        <f ca="1">IFERROR(__xludf.DUMMYFUNCTION("IMPORTRANGE(""https://docs.google.com/spreadsheets/d/1-uDff_7J0KD5mKrp0Vvzr7lt3OU09vwQwhkpOPPYv2Y/edit?usp=sharing"",""งบพรบ!BI73"")"),0)</f>
        <v>0</v>
      </c>
      <c r="G73" s="159">
        <f ca="1">IFERROR(__xludf.DUMMYFUNCTION("IMPORTRANGE(""https://docs.google.com/spreadsheets/d/1-uDff_7J0KD5mKrp0Vvzr7lt3OU09vwQwhkpOPPYv2Y/edit?usp=sharing"",""งบพรบ!BJ73"")"),0)</f>
        <v>0</v>
      </c>
      <c r="H73" s="159">
        <f ca="1">IFERROR(__xludf.DUMMYFUNCTION("IMPORTRANGE(""https://docs.google.com/spreadsheets/d/1-uDff_7J0KD5mKrp0Vvzr7lt3OU09vwQwhkpOPPYv2Y/edit?usp=sharing"",""งบพรบ!BL73"")"),0)</f>
        <v>0</v>
      </c>
      <c r="I73" s="159">
        <f ca="1">IFERROR(__xludf.DUMMYFUNCTION("IMPORTRANGE(""https://docs.google.com/spreadsheets/d/1-uDff_7J0KD5mKrp0Vvzr7lt3OU09vwQwhkpOPPYv2Y/edit?usp=sharing"",""งบพรบ!BM73"")"),0)</f>
        <v>0</v>
      </c>
      <c r="J73" s="159">
        <f t="shared" ca="1" si="27"/>
        <v>0</v>
      </c>
      <c r="K73" s="160">
        <f t="shared" ca="1" si="28"/>
        <v>0</v>
      </c>
      <c r="L73" s="159">
        <f ca="1">IFERROR(__xludf.DUMMYFUNCTION("IMPORTRANGE(""https://docs.google.com/spreadsheets/d/1-uDff_7J0KD5mKrp0Vvzr7lt3OU09vwQwhkpOPPYv2Y/edit?usp=sharing"",""งบพรบ!BN73"")"),0)</f>
        <v>0</v>
      </c>
      <c r="M73" s="89">
        <f t="shared" ca="1" si="29"/>
        <v>0</v>
      </c>
      <c r="N73" s="89">
        <f t="shared" ca="1" si="30"/>
        <v>0</v>
      </c>
      <c r="O73" s="88">
        <f ca="1">IFERROR(__xludf.DUMMYFUNCTION("IMPORTRANGE(""https://docs.google.com/spreadsheets/d/1-uDff_7J0KD5mKrp0Vvzr7lt3OU09vwQwhkpOPPYv2Y/edit?usp=sharing"",""งบพรบ!BO73"")"),0)</f>
        <v>0</v>
      </c>
      <c r="P73" s="88">
        <f t="shared" ca="1" si="31"/>
        <v>0</v>
      </c>
      <c r="Q73" s="89">
        <f t="shared" ca="1" si="32"/>
        <v>0</v>
      </c>
      <c r="R73" s="88">
        <f ca="1">IFERROR(__xludf.DUMMYFUNCTION("IMPORTRANGE(""https://docs.google.com/spreadsheets/d/1BmIruG_sIrJLYao_Pdr7zVArWsfoBt2692TMi6x_854/edit?usp=sharing"",""อ่างทอง!Q117"")"),0)</f>
        <v>0</v>
      </c>
      <c r="S73" s="88">
        <f ca="1">IFERROR(__xludf.DUMMYFUNCTION("IMPORTRANGE(""https://docs.google.com/spreadsheets/d/1BmIruG_sIrJLYao_Pdr7zVArWsfoBt2692TMi6x_854/edit?usp=sharing"",""อ่างทอง!R117"")"),0)</f>
        <v>0</v>
      </c>
      <c r="T73" s="88">
        <f ca="1">IFERROR(__xludf.DUMMYFUNCTION("IMPORTRANGE(""https://docs.google.com/spreadsheets/d/1BmIruG_sIrJLYao_Pdr7zVArWsfoBt2692TMi6x_854/edit?usp=sharing"",""อ่างทอง!S117"")"),0)</f>
        <v>0</v>
      </c>
      <c r="U73" s="89">
        <f t="shared" ca="1" si="34"/>
        <v>0</v>
      </c>
      <c r="V73" s="89">
        <f t="shared" ca="1" si="35"/>
        <v>0</v>
      </c>
      <c r="W73" s="84">
        <f ca="1">IFERROR(__xludf.DUMMYFUNCTION("IMPORTRANGE(""https://docs.google.com/spreadsheets/d/1BmIruG_sIrJLYao_Pdr7zVArWsfoBt2692TMi6x_854/edit?usp=sharing"",""อ่างทอง!I127"")"),0)</f>
        <v>0</v>
      </c>
      <c r="X73" s="84">
        <f ca="1">IFERROR(__xludf.DUMMYFUNCTION("IMPORTRANGE(""https://docs.google.com/spreadsheets/d/1BmIruG_sIrJLYao_Pdr7zVArWsfoBt2692TMi6x_854/edit?usp=sharing"",""อ่างทอง!J127"")"),0)</f>
        <v>0</v>
      </c>
      <c r="Y73" s="91">
        <f t="shared" ca="1" si="37"/>
        <v>0</v>
      </c>
      <c r="Z73" s="84">
        <f ca="1">IFERROR(__xludf.DUMMYFUNCTION("IMPORTRANGE(""https://docs.google.com/spreadsheets/d/1BmIruG_sIrJLYao_Pdr7zVArWsfoBt2692TMi6x_854/edit?usp=sharing"",""อ่างทอง!J128"")"),0)</f>
        <v>0</v>
      </c>
      <c r="AA73" s="84">
        <f ca="1">IFERROR(__xludf.DUMMYFUNCTION("IMPORTRANGE(""https://docs.google.com/spreadsheets/d/1BmIruG_sIrJLYao_Pdr7zVArWsfoBt2692TMi6x_854/edit?usp=sharing"",""อ่างทอง!I129"")"),0)</f>
        <v>0</v>
      </c>
      <c r="AB73" s="84">
        <f ca="1">IFERROR(__xludf.DUMMYFUNCTION("IMPORTRANGE(""https://docs.google.com/spreadsheets/d/1BmIruG_sIrJLYao_Pdr7zVArWsfoBt2692TMi6x_854/edit?usp=sharing"",""อ่างทอง!J129"")"),0)</f>
        <v>0</v>
      </c>
      <c r="AC73" s="91">
        <f t="shared" ca="1" si="39"/>
        <v>0</v>
      </c>
      <c r="AD73" s="191">
        <f ca="1">IFERROR(__xludf.DUMMYFUNCTION("IMPORTRANGE(""https://docs.google.com/spreadsheets/d/1BmIruG_sIrJLYao_Pdr7zVArWsfoBt2692TMi6x_854/edit?usp=sharing"",""อ่างทอง!J130"")"),0)</f>
        <v>0</v>
      </c>
      <c r="AE73" s="84">
        <v>0</v>
      </c>
      <c r="AF73" s="84">
        <v>0</v>
      </c>
      <c r="AG73" s="91">
        <v>0</v>
      </c>
    </row>
    <row r="74" spans="1:33" ht="19.5" x14ac:dyDescent="0.3">
      <c r="A74" s="696" t="s">
        <v>102</v>
      </c>
      <c r="B74" s="662"/>
      <c r="C74" s="161">
        <f t="shared" ca="1" si="25"/>
        <v>351900</v>
      </c>
      <c r="D74" s="161">
        <f t="shared" ref="D74:I74" ca="1" si="51">SUM(D75:D88)</f>
        <v>0</v>
      </c>
      <c r="E74" s="161">
        <f t="shared" ca="1" si="51"/>
        <v>0</v>
      </c>
      <c r="F74" s="161">
        <f t="shared" ca="1" si="51"/>
        <v>0</v>
      </c>
      <c r="G74" s="161">
        <f t="shared" ca="1" si="51"/>
        <v>351900</v>
      </c>
      <c r="H74" s="161">
        <f t="shared" ca="1" si="51"/>
        <v>0</v>
      </c>
      <c r="I74" s="161">
        <f t="shared" ca="1" si="51"/>
        <v>295000</v>
      </c>
      <c r="J74" s="161">
        <f t="shared" ca="1" si="27"/>
        <v>295000</v>
      </c>
      <c r="K74" s="162">
        <f t="shared" ca="1" si="28"/>
        <v>83.830633702756458</v>
      </c>
      <c r="L74" s="161">
        <f ca="1">SUM(L75:L88)</f>
        <v>0</v>
      </c>
      <c r="M74" s="94">
        <f t="shared" ca="1" si="29"/>
        <v>0</v>
      </c>
      <c r="N74" s="94">
        <f t="shared" ca="1" si="30"/>
        <v>0</v>
      </c>
      <c r="O74" s="93">
        <f ca="1">SUM(O75:O88)</f>
        <v>295000</v>
      </c>
      <c r="P74" s="93">
        <f t="shared" ca="1" si="31"/>
        <v>83.830633702756458</v>
      </c>
      <c r="Q74" s="94">
        <f t="shared" ca="1" si="32"/>
        <v>100</v>
      </c>
      <c r="R74" s="93">
        <f t="shared" ref="R74:T74" ca="1" si="52">SUM(R75:R88)</f>
        <v>6161560</v>
      </c>
      <c r="S74" s="93">
        <f t="shared" ca="1" si="52"/>
        <v>6161560</v>
      </c>
      <c r="T74" s="93">
        <f t="shared" ca="1" si="52"/>
        <v>2161541.5500000003</v>
      </c>
      <c r="U74" s="94">
        <f t="shared" ca="1" si="34"/>
        <v>35.081076058660472</v>
      </c>
      <c r="V74" s="94">
        <f t="shared" ca="1" si="35"/>
        <v>35.081076058660472</v>
      </c>
      <c r="W74" s="52">
        <f t="shared" ref="W74:X74" ca="1" si="53">SUM(W75:W88)</f>
        <v>255</v>
      </c>
      <c r="X74" s="52">
        <f t="shared" ca="1" si="53"/>
        <v>255</v>
      </c>
      <c r="Y74" s="54">
        <f t="shared" ca="1" si="37"/>
        <v>100</v>
      </c>
      <c r="Z74" s="52">
        <f t="shared" ref="Z74:AB74" ca="1" si="54">SUM(Z75:Z88)</f>
        <v>16</v>
      </c>
      <c r="AA74" s="52">
        <f t="shared" ca="1" si="54"/>
        <v>225</v>
      </c>
      <c r="AB74" s="52">
        <f t="shared" ca="1" si="54"/>
        <v>225</v>
      </c>
      <c r="AC74" s="54">
        <f t="shared" ca="1" si="39"/>
        <v>100</v>
      </c>
      <c r="AD74" s="161">
        <f ca="1">SUM(AD75:AD88)</f>
        <v>15</v>
      </c>
      <c r="AE74" s="52">
        <v>0</v>
      </c>
      <c r="AF74" s="52">
        <v>0</v>
      </c>
      <c r="AG74" s="54">
        <v>0</v>
      </c>
    </row>
    <row r="75" spans="1:33" ht="19.5" x14ac:dyDescent="0.3">
      <c r="A75" s="147">
        <v>1</v>
      </c>
      <c r="B75" s="148" t="s">
        <v>103</v>
      </c>
      <c r="C75" s="149">
        <f t="shared" ca="1" si="25"/>
        <v>0</v>
      </c>
      <c r="D75" s="150">
        <f t="shared" ref="D75:D88" ca="1" si="55">+E75+F75</f>
        <v>0</v>
      </c>
      <c r="E75" s="151">
        <f ca="1">IFERROR(__xludf.DUMMYFUNCTION("IMPORTRANGE(""https://docs.google.com/spreadsheets/d/1-uDff_7J0KD5mKrp0Vvzr7lt3OU09vwQwhkpOPPYv2Y/edit?usp=sharing"",""งบพรบ!BH75"")"),0)</f>
        <v>0</v>
      </c>
      <c r="F75" s="151">
        <f ca="1">IFERROR(__xludf.DUMMYFUNCTION("IMPORTRANGE(""https://docs.google.com/spreadsheets/d/1-uDff_7J0KD5mKrp0Vvzr7lt3OU09vwQwhkpOPPYv2Y/edit?usp=sharing"",""งบพรบ!BI75"")"),0)</f>
        <v>0</v>
      </c>
      <c r="G75" s="151">
        <f ca="1">IFERROR(__xludf.DUMMYFUNCTION("IMPORTRANGE(""https://docs.google.com/spreadsheets/d/1-uDff_7J0KD5mKrp0Vvzr7lt3OU09vwQwhkpOPPYv2Y/edit?usp=sharing"",""งบพรบ!BJ75"")"),0)</f>
        <v>0</v>
      </c>
      <c r="H75" s="151">
        <f ca="1">IFERROR(__xludf.DUMMYFUNCTION("IMPORTRANGE(""https://docs.google.com/spreadsheets/d/1-uDff_7J0KD5mKrp0Vvzr7lt3OU09vwQwhkpOPPYv2Y/edit?usp=sharing"",""งบพรบ!BL75"")"),0)</f>
        <v>0</v>
      </c>
      <c r="I75" s="151">
        <f ca="1">IFERROR(__xludf.DUMMYFUNCTION("IMPORTRANGE(""https://docs.google.com/spreadsheets/d/1-uDff_7J0KD5mKrp0Vvzr7lt3OU09vwQwhkpOPPYv2Y/edit?usp=sharing"",""งบพรบ!BM75"")"),0)</f>
        <v>0</v>
      </c>
      <c r="J75" s="151">
        <f t="shared" ca="1" si="27"/>
        <v>0</v>
      </c>
      <c r="K75" s="154">
        <f t="shared" ca="1" si="28"/>
        <v>0</v>
      </c>
      <c r="L75" s="151">
        <f ca="1">IFERROR(__xludf.DUMMYFUNCTION("IMPORTRANGE(""https://docs.google.com/spreadsheets/d/1-uDff_7J0KD5mKrp0Vvzr7lt3OU09vwQwhkpOPPYv2Y/edit?usp=sharing"",""งบพรบ!BN75"")"),0)</f>
        <v>0</v>
      </c>
      <c r="M75" s="68">
        <f t="shared" ca="1" si="29"/>
        <v>0</v>
      </c>
      <c r="N75" s="68">
        <f t="shared" ca="1" si="30"/>
        <v>0</v>
      </c>
      <c r="O75" s="67">
        <f ca="1">IFERROR(__xludf.DUMMYFUNCTION("IMPORTRANGE(""https://docs.google.com/spreadsheets/d/1-uDff_7J0KD5mKrp0Vvzr7lt3OU09vwQwhkpOPPYv2Y/edit?usp=sharing"",""งบพรบ!BO75"")"),0)</f>
        <v>0</v>
      </c>
      <c r="P75" s="67">
        <f t="shared" ca="1" si="31"/>
        <v>0</v>
      </c>
      <c r="Q75" s="68">
        <f t="shared" ca="1" si="32"/>
        <v>0</v>
      </c>
      <c r="R75" s="67">
        <f ca="1">IFERROR(__xludf.DUMMYFUNCTION("IMPORTRANGE(""https://docs.google.com/spreadsheets/d/1kKUcYdkIfrgTSj8iHHHB2MD2FAtwyyocFgqGQn6ADyI/edit?usp=sharing"",""กระบี่!Q117"")"),191460)</f>
        <v>191460</v>
      </c>
      <c r="S75" s="67">
        <f ca="1">IFERROR(__xludf.DUMMYFUNCTION("IMPORTRANGE(""https://docs.google.com/spreadsheets/d/1kKUcYdkIfrgTSj8iHHHB2MD2FAtwyyocFgqGQn6ADyI/edit?usp=sharing"",""กระบี่!R117"")"),191460)</f>
        <v>191460</v>
      </c>
      <c r="T75" s="67">
        <f ca="1">IFERROR(__xludf.DUMMYFUNCTION("IMPORTRANGE(""https://docs.google.com/spreadsheets/d/1kKUcYdkIfrgTSj8iHHHB2MD2FAtwyyocFgqGQn6ADyI/edit?usp=sharing"",""กระบี่!S117"")"),154352.67)</f>
        <v>154352.67000000001</v>
      </c>
      <c r="U75" s="68">
        <f t="shared" ca="1" si="34"/>
        <v>80.618755875900987</v>
      </c>
      <c r="V75" s="68">
        <f t="shared" ca="1" si="35"/>
        <v>80.618755875900987</v>
      </c>
      <c r="W75" s="62">
        <f ca="1">IFERROR(__xludf.DUMMYFUNCTION("IMPORTRANGE(""https://docs.google.com/spreadsheets/d/1kKUcYdkIfrgTSj8iHHHB2MD2FAtwyyocFgqGQn6ADyI/edit?usp=sharing"",""กระบี่!I127"")"),15)</f>
        <v>15</v>
      </c>
      <c r="X75" s="62">
        <f ca="1">IFERROR(__xludf.DUMMYFUNCTION("IMPORTRANGE(""https://docs.google.com/spreadsheets/d/1kKUcYdkIfrgTSj8iHHHB2MD2FAtwyyocFgqGQn6ADyI/edit?usp=sharing"",""กระบี่!J127"")"),15)</f>
        <v>15</v>
      </c>
      <c r="Y75" s="69">
        <f t="shared" ca="1" si="37"/>
        <v>100</v>
      </c>
      <c r="Z75" s="62">
        <f ca="1">IFERROR(__xludf.DUMMYFUNCTION("IMPORTRANGE(""https://docs.google.com/spreadsheets/d/1kKUcYdkIfrgTSj8iHHHB2MD2FAtwyyocFgqGQn6ADyI/edit?usp=sharing"",""กระบี่!J128"")"),1)</f>
        <v>1</v>
      </c>
      <c r="AA75" s="62">
        <f ca="1">IFERROR(__xludf.DUMMYFUNCTION("IMPORTRANGE(""https://docs.google.com/spreadsheets/d/1kKUcYdkIfrgTSj8iHHHB2MD2FAtwyyocFgqGQn6ADyI/edit?usp=sharing"",""กระบี่!I129"")"),15)</f>
        <v>15</v>
      </c>
      <c r="AB75" s="62">
        <f ca="1">IFERROR(__xludf.DUMMYFUNCTION("IMPORTRANGE(""https://docs.google.com/spreadsheets/d/1kKUcYdkIfrgTSj8iHHHB2MD2FAtwyyocFgqGQn6ADyI/edit?usp=sharing"",""กระบี่!J129"")"),15)</f>
        <v>15</v>
      </c>
      <c r="AC75" s="69">
        <f t="shared" ca="1" si="39"/>
        <v>100</v>
      </c>
      <c r="AD75" s="152">
        <f ca="1">IFERROR(__xludf.DUMMYFUNCTION("IMPORTRANGE(""https://docs.google.com/spreadsheets/d/1kKUcYdkIfrgTSj8iHHHB2MD2FAtwyyocFgqGQn6ADyI/edit?usp=sharing"",""กระบี่!J130"")"),1)</f>
        <v>1</v>
      </c>
      <c r="AE75" s="62">
        <v>0</v>
      </c>
      <c r="AF75" s="62">
        <v>0</v>
      </c>
      <c r="AG75" s="69">
        <v>0</v>
      </c>
    </row>
    <row r="76" spans="1:33" ht="19.5" x14ac:dyDescent="0.3">
      <c r="A76" s="147">
        <v>2</v>
      </c>
      <c r="B76" s="148" t="s">
        <v>104</v>
      </c>
      <c r="C76" s="149">
        <f t="shared" ca="1" si="25"/>
        <v>0</v>
      </c>
      <c r="D76" s="150">
        <f t="shared" ca="1" si="55"/>
        <v>0</v>
      </c>
      <c r="E76" s="151">
        <f ca="1">IFERROR(__xludf.DUMMYFUNCTION("IMPORTRANGE(""https://docs.google.com/spreadsheets/d/1-uDff_7J0KD5mKrp0Vvzr7lt3OU09vwQwhkpOPPYv2Y/edit?usp=sharing"",""งบพรบ!BH76"")"),0)</f>
        <v>0</v>
      </c>
      <c r="F76" s="151">
        <f ca="1">IFERROR(__xludf.DUMMYFUNCTION("IMPORTRANGE(""https://docs.google.com/spreadsheets/d/1-uDff_7J0KD5mKrp0Vvzr7lt3OU09vwQwhkpOPPYv2Y/edit?usp=sharing"",""งบพรบ!BI76"")"),0)</f>
        <v>0</v>
      </c>
      <c r="G76" s="151">
        <f ca="1">IFERROR(__xludf.DUMMYFUNCTION("IMPORTRANGE(""https://docs.google.com/spreadsheets/d/1-uDff_7J0KD5mKrp0Vvzr7lt3OU09vwQwhkpOPPYv2Y/edit?usp=sharing"",""งบพรบ!BJ76"")"),0)</f>
        <v>0</v>
      </c>
      <c r="H76" s="151">
        <f ca="1">IFERROR(__xludf.DUMMYFUNCTION("IMPORTRANGE(""https://docs.google.com/spreadsheets/d/1-uDff_7J0KD5mKrp0Vvzr7lt3OU09vwQwhkpOPPYv2Y/edit?usp=sharing"",""งบพรบ!BL76"")"),0)</f>
        <v>0</v>
      </c>
      <c r="I76" s="151">
        <f ca="1">IFERROR(__xludf.DUMMYFUNCTION("IMPORTRANGE(""https://docs.google.com/spreadsheets/d/1-uDff_7J0KD5mKrp0Vvzr7lt3OU09vwQwhkpOPPYv2Y/edit?usp=sharing"",""งบพรบ!BM76"")"),0)</f>
        <v>0</v>
      </c>
      <c r="J76" s="151">
        <f t="shared" ca="1" si="27"/>
        <v>0</v>
      </c>
      <c r="K76" s="154">
        <f t="shared" ca="1" si="28"/>
        <v>0</v>
      </c>
      <c r="L76" s="151">
        <f ca="1">IFERROR(__xludf.DUMMYFUNCTION("IMPORTRANGE(""https://docs.google.com/spreadsheets/d/1-uDff_7J0KD5mKrp0Vvzr7lt3OU09vwQwhkpOPPYv2Y/edit?usp=sharing"",""งบพรบ!BN76"")"),0)</f>
        <v>0</v>
      </c>
      <c r="M76" s="68">
        <f t="shared" ca="1" si="29"/>
        <v>0</v>
      </c>
      <c r="N76" s="68">
        <f t="shared" ca="1" si="30"/>
        <v>0</v>
      </c>
      <c r="O76" s="67">
        <f ca="1">IFERROR(__xludf.DUMMYFUNCTION("IMPORTRANGE(""https://docs.google.com/spreadsheets/d/1-uDff_7J0KD5mKrp0Vvzr7lt3OU09vwQwhkpOPPYv2Y/edit?usp=sharing"",""งบพรบ!BO76"")"),0)</f>
        <v>0</v>
      </c>
      <c r="P76" s="67">
        <f t="shared" ca="1" si="31"/>
        <v>0</v>
      </c>
      <c r="Q76" s="68">
        <f t="shared" ca="1" si="32"/>
        <v>0</v>
      </c>
      <c r="R76" s="67">
        <f ca="1">IFERROR(__xludf.DUMMYFUNCTION("IMPORTRANGE(""https://docs.google.com/spreadsheets/d/1GwtLaSlNZkLk7iDqcyZz22giiy40b_usZZBXYciEN1U/edit?usp=sharing"",""ชุมพร!Q117"")"),209360)</f>
        <v>209360</v>
      </c>
      <c r="S76" s="67">
        <f ca="1">IFERROR(__xludf.DUMMYFUNCTION("IMPORTRANGE(""https://docs.google.com/spreadsheets/d/1GwtLaSlNZkLk7iDqcyZz22giiy40b_usZZBXYciEN1U/edit?usp=sharing"",""ชุมพร!R117"")"),209360)</f>
        <v>209360</v>
      </c>
      <c r="T76" s="67">
        <f ca="1">IFERROR(__xludf.DUMMYFUNCTION("IMPORTRANGE(""https://docs.google.com/spreadsheets/d/1GwtLaSlNZkLk7iDqcyZz22giiy40b_usZZBXYciEN1U/edit?usp=sharing"",""ชุมพร!S117"")"),180752)</f>
        <v>180752</v>
      </c>
      <c r="U76" s="68">
        <f t="shared" ca="1" si="34"/>
        <v>86.335498662590751</v>
      </c>
      <c r="V76" s="68">
        <f t="shared" ca="1" si="35"/>
        <v>86.335498662590751</v>
      </c>
      <c r="W76" s="74">
        <f ca="1">IFERROR(__xludf.DUMMYFUNCTION("IMPORTRANGE(""https://docs.google.com/spreadsheets/d/1GwtLaSlNZkLk7iDqcyZz22giiy40b_usZZBXYciEN1U/edit?usp=sharing"",""ชุมพร!I127"")"),20)</f>
        <v>20</v>
      </c>
      <c r="X76" s="74">
        <f ca="1">IFERROR(__xludf.DUMMYFUNCTION("IMPORTRANGE(""https://docs.google.com/spreadsheets/d/1GwtLaSlNZkLk7iDqcyZz22giiy40b_usZZBXYciEN1U/edit?usp=sharing"",""ชุมพร!J127"")"),20)</f>
        <v>20</v>
      </c>
      <c r="Y76" s="79">
        <f t="shared" ca="1" si="37"/>
        <v>100</v>
      </c>
      <c r="Z76" s="74">
        <f ca="1">IFERROR(__xludf.DUMMYFUNCTION("IMPORTRANGE(""https://docs.google.com/spreadsheets/d/1GwtLaSlNZkLk7iDqcyZz22giiy40b_usZZBXYciEN1U/edit?usp=sharing"",""ชุมพร!J128"")"),1)</f>
        <v>1</v>
      </c>
      <c r="AA76" s="74">
        <f ca="1">IFERROR(__xludf.DUMMYFUNCTION("IMPORTRANGE(""https://docs.google.com/spreadsheets/d/1GwtLaSlNZkLk7iDqcyZz22giiy40b_usZZBXYciEN1U/edit?usp=sharing"",""ชุมพร!I129"")"),20)</f>
        <v>20</v>
      </c>
      <c r="AB76" s="74">
        <f ca="1">IFERROR(__xludf.DUMMYFUNCTION("IMPORTRANGE(""https://docs.google.com/spreadsheets/d/1GwtLaSlNZkLk7iDqcyZz22giiy40b_usZZBXYciEN1U/edit?usp=sharing"",""ชุมพร!J129"")"),20)</f>
        <v>20</v>
      </c>
      <c r="AC76" s="79">
        <f t="shared" ca="1" si="39"/>
        <v>100</v>
      </c>
      <c r="AD76" s="152">
        <f ca="1">IFERROR(__xludf.DUMMYFUNCTION("IMPORTRANGE(""https://docs.google.com/spreadsheets/d/1GwtLaSlNZkLk7iDqcyZz22giiy40b_usZZBXYciEN1U/edit?usp=sharing"",""ชุมพร!J130"")"),1)</f>
        <v>1</v>
      </c>
      <c r="AE76" s="74">
        <v>0</v>
      </c>
      <c r="AF76" s="74">
        <v>0</v>
      </c>
      <c r="AG76" s="79">
        <v>0</v>
      </c>
    </row>
    <row r="77" spans="1:33" ht="19.5" x14ac:dyDescent="0.3">
      <c r="A77" s="147">
        <v>3</v>
      </c>
      <c r="B77" s="148" t="s">
        <v>105</v>
      </c>
      <c r="C77" s="149">
        <f t="shared" ca="1" si="25"/>
        <v>0</v>
      </c>
      <c r="D77" s="150">
        <f t="shared" ca="1" si="55"/>
        <v>0</v>
      </c>
      <c r="E77" s="151">
        <f ca="1">IFERROR(__xludf.DUMMYFUNCTION("IMPORTRANGE(""https://docs.google.com/spreadsheets/d/1-uDff_7J0KD5mKrp0Vvzr7lt3OU09vwQwhkpOPPYv2Y/edit?usp=sharing"",""งบพรบ!BH77"")"),0)</f>
        <v>0</v>
      </c>
      <c r="F77" s="151">
        <f ca="1">IFERROR(__xludf.DUMMYFUNCTION("IMPORTRANGE(""https://docs.google.com/spreadsheets/d/1-uDff_7J0KD5mKrp0Vvzr7lt3OU09vwQwhkpOPPYv2Y/edit?usp=sharing"",""งบพรบ!BI77"")"),0)</f>
        <v>0</v>
      </c>
      <c r="G77" s="151">
        <f ca="1">IFERROR(__xludf.DUMMYFUNCTION("IMPORTRANGE(""https://docs.google.com/spreadsheets/d/1-uDff_7J0KD5mKrp0Vvzr7lt3OU09vwQwhkpOPPYv2Y/edit?usp=sharing"",""งบพรบ!BJ77"")"),0)</f>
        <v>0</v>
      </c>
      <c r="H77" s="151">
        <f ca="1">IFERROR(__xludf.DUMMYFUNCTION("IMPORTRANGE(""https://docs.google.com/spreadsheets/d/1-uDff_7J0KD5mKrp0Vvzr7lt3OU09vwQwhkpOPPYv2Y/edit?usp=sharing"",""งบพรบ!BL77"")"),0)</f>
        <v>0</v>
      </c>
      <c r="I77" s="151">
        <f ca="1">IFERROR(__xludf.DUMMYFUNCTION("IMPORTRANGE(""https://docs.google.com/spreadsheets/d/1-uDff_7J0KD5mKrp0Vvzr7lt3OU09vwQwhkpOPPYv2Y/edit?usp=sharing"",""งบพรบ!BM77"")"),0)</f>
        <v>0</v>
      </c>
      <c r="J77" s="151">
        <f t="shared" ca="1" si="27"/>
        <v>0</v>
      </c>
      <c r="K77" s="154">
        <f t="shared" ca="1" si="28"/>
        <v>0</v>
      </c>
      <c r="L77" s="151">
        <f ca="1">IFERROR(__xludf.DUMMYFUNCTION("IMPORTRANGE(""https://docs.google.com/spreadsheets/d/1-uDff_7J0KD5mKrp0Vvzr7lt3OU09vwQwhkpOPPYv2Y/edit?usp=sharing"",""งบพรบ!BN77"")"),0)</f>
        <v>0</v>
      </c>
      <c r="M77" s="68">
        <f t="shared" ca="1" si="29"/>
        <v>0</v>
      </c>
      <c r="N77" s="68">
        <f t="shared" ca="1" si="30"/>
        <v>0</v>
      </c>
      <c r="O77" s="67">
        <f ca="1">IFERROR(__xludf.DUMMYFUNCTION("IMPORTRANGE(""https://docs.google.com/spreadsheets/d/1-uDff_7J0KD5mKrp0Vvzr7lt3OU09vwQwhkpOPPYv2Y/edit?usp=sharing"",""งบพรบ!BO77"")"),0)</f>
        <v>0</v>
      </c>
      <c r="P77" s="67">
        <f t="shared" ca="1" si="31"/>
        <v>0</v>
      </c>
      <c r="Q77" s="68">
        <f t="shared" ca="1" si="32"/>
        <v>0</v>
      </c>
      <c r="R77" s="67">
        <f ca="1">IFERROR(__xludf.DUMMYFUNCTION("IMPORTRANGE(""https://docs.google.com/spreadsheets/d/16pAz3pOhQEZBhvFNMa5KGgZS6iKWpsKX0pg6tQmwFpo/edit?usp=sharing"",""ตรัง!Q117"")"),191460)</f>
        <v>191460</v>
      </c>
      <c r="S77" s="67">
        <f ca="1">IFERROR(__xludf.DUMMYFUNCTION("IMPORTRANGE(""https://docs.google.com/spreadsheets/d/16pAz3pOhQEZBhvFNMa5KGgZS6iKWpsKX0pg6tQmwFpo/edit?usp=sharing"",""ตรัง!R117"")"),191460)</f>
        <v>191460</v>
      </c>
      <c r="T77" s="67">
        <f ca="1">IFERROR(__xludf.DUMMYFUNCTION("IMPORTRANGE(""https://docs.google.com/spreadsheets/d/16pAz3pOhQEZBhvFNMa5KGgZS6iKWpsKX0pg6tQmwFpo/edit?usp=sharing"",""ตรัง!S117"")"),131688.36)</f>
        <v>131688.35999999999</v>
      </c>
      <c r="U77" s="68">
        <f t="shared" ca="1" si="34"/>
        <v>68.781134440614224</v>
      </c>
      <c r="V77" s="68">
        <f t="shared" ca="1" si="35"/>
        <v>68.781134440614224</v>
      </c>
      <c r="W77" s="74">
        <f ca="1">IFERROR(__xludf.DUMMYFUNCTION("IMPORTRANGE(""https://docs.google.com/spreadsheets/d/16pAz3pOhQEZBhvFNMa5KGgZS6iKWpsKX0pg6tQmwFpo/edit?usp=sharing"",""ตรัง!I127"")"),15)</f>
        <v>15</v>
      </c>
      <c r="X77" s="74">
        <f ca="1">IFERROR(__xludf.DUMMYFUNCTION("IMPORTRANGE(""https://docs.google.com/spreadsheets/d/16pAz3pOhQEZBhvFNMa5KGgZS6iKWpsKX0pg6tQmwFpo/edit?usp=sharing"",""ตรัง!J127"")"),15)</f>
        <v>15</v>
      </c>
      <c r="Y77" s="79">
        <f t="shared" ca="1" si="37"/>
        <v>100</v>
      </c>
      <c r="Z77" s="74">
        <f ca="1">IFERROR(__xludf.DUMMYFUNCTION("IMPORTRANGE(""https://docs.google.com/spreadsheets/d/16pAz3pOhQEZBhvFNMa5KGgZS6iKWpsKX0pg6tQmwFpo/edit?usp=sharing"",""ตรัง!J128"")"),1)</f>
        <v>1</v>
      </c>
      <c r="AA77" s="74">
        <f ca="1">IFERROR(__xludf.DUMMYFUNCTION("IMPORTRANGE(""https://docs.google.com/spreadsheets/d/16pAz3pOhQEZBhvFNMa5KGgZS6iKWpsKX0pg6tQmwFpo/edit?usp=sharing"",""ตรัง!I129"")"),15)</f>
        <v>15</v>
      </c>
      <c r="AB77" s="74">
        <f ca="1">IFERROR(__xludf.DUMMYFUNCTION("IMPORTRANGE(""https://docs.google.com/spreadsheets/d/16pAz3pOhQEZBhvFNMa5KGgZS6iKWpsKX0pg6tQmwFpo/edit?usp=sharing"",""ตรัง!J129"")"),15)</f>
        <v>15</v>
      </c>
      <c r="AC77" s="79">
        <f t="shared" ca="1" si="39"/>
        <v>100</v>
      </c>
      <c r="AD77" s="152">
        <f ca="1">IFERROR(__xludf.DUMMYFUNCTION("IMPORTRANGE(""https://docs.google.com/spreadsheets/d/16pAz3pOhQEZBhvFNMa5KGgZS6iKWpsKX0pg6tQmwFpo/edit?usp=sharing"",""ตรัง!J130"")"),1)</f>
        <v>1</v>
      </c>
      <c r="AE77" s="74">
        <v>0</v>
      </c>
      <c r="AF77" s="74">
        <v>0</v>
      </c>
      <c r="AG77" s="79">
        <v>0</v>
      </c>
    </row>
    <row r="78" spans="1:33" ht="19.5" x14ac:dyDescent="0.3">
      <c r="A78" s="147">
        <v>4</v>
      </c>
      <c r="B78" s="148" t="s">
        <v>106</v>
      </c>
      <c r="C78" s="149">
        <f t="shared" ca="1" si="25"/>
        <v>0</v>
      </c>
      <c r="D78" s="150">
        <f t="shared" ca="1" si="55"/>
        <v>0</v>
      </c>
      <c r="E78" s="151">
        <f ca="1">IFERROR(__xludf.DUMMYFUNCTION("IMPORTRANGE(""https://docs.google.com/spreadsheets/d/1-uDff_7J0KD5mKrp0Vvzr7lt3OU09vwQwhkpOPPYv2Y/edit?usp=sharing"",""งบพรบ!BH78"")"),0)</f>
        <v>0</v>
      </c>
      <c r="F78" s="151">
        <f ca="1">IFERROR(__xludf.DUMMYFUNCTION("IMPORTRANGE(""https://docs.google.com/spreadsheets/d/1-uDff_7J0KD5mKrp0Vvzr7lt3OU09vwQwhkpOPPYv2Y/edit?usp=sharing"",""งบพรบ!BI78"")"),0)</f>
        <v>0</v>
      </c>
      <c r="G78" s="151">
        <f ca="1">IFERROR(__xludf.DUMMYFUNCTION("IMPORTRANGE(""https://docs.google.com/spreadsheets/d/1-uDff_7J0KD5mKrp0Vvzr7lt3OU09vwQwhkpOPPYv2Y/edit?usp=sharing"",""งบพรบ!BJ78"")"),0)</f>
        <v>0</v>
      </c>
      <c r="H78" s="151">
        <f ca="1">IFERROR(__xludf.DUMMYFUNCTION("IMPORTRANGE(""https://docs.google.com/spreadsheets/d/1-uDff_7J0KD5mKrp0Vvzr7lt3OU09vwQwhkpOPPYv2Y/edit?usp=sharing"",""งบพรบ!BL78"")"),0)</f>
        <v>0</v>
      </c>
      <c r="I78" s="151">
        <f ca="1">IFERROR(__xludf.DUMMYFUNCTION("IMPORTRANGE(""https://docs.google.com/spreadsheets/d/1-uDff_7J0KD5mKrp0Vvzr7lt3OU09vwQwhkpOPPYv2Y/edit?usp=sharing"",""งบพรบ!BM78"")"),0)</f>
        <v>0</v>
      </c>
      <c r="J78" s="151">
        <f t="shared" ca="1" si="27"/>
        <v>0</v>
      </c>
      <c r="K78" s="154">
        <f t="shared" ca="1" si="28"/>
        <v>0</v>
      </c>
      <c r="L78" s="151">
        <f ca="1">IFERROR(__xludf.DUMMYFUNCTION("IMPORTRANGE(""https://docs.google.com/spreadsheets/d/1-uDff_7J0KD5mKrp0Vvzr7lt3OU09vwQwhkpOPPYv2Y/edit?usp=sharing"",""งบพรบ!BN78"")"),0)</f>
        <v>0</v>
      </c>
      <c r="M78" s="68">
        <f t="shared" ca="1" si="29"/>
        <v>0</v>
      </c>
      <c r="N78" s="68">
        <f t="shared" ca="1" si="30"/>
        <v>0</v>
      </c>
      <c r="O78" s="67">
        <f ca="1">IFERROR(__xludf.DUMMYFUNCTION("IMPORTRANGE(""https://docs.google.com/spreadsheets/d/1-uDff_7J0KD5mKrp0Vvzr7lt3OU09vwQwhkpOPPYv2Y/edit?usp=sharing"",""งบพรบ!BO78"")"),0)</f>
        <v>0</v>
      </c>
      <c r="P78" s="67">
        <f t="shared" ca="1" si="31"/>
        <v>0</v>
      </c>
      <c r="Q78" s="68">
        <f t="shared" ca="1" si="32"/>
        <v>0</v>
      </c>
      <c r="R78" s="67">
        <f ca="1">IFERROR(__xludf.DUMMYFUNCTION("IMPORTRANGE(""https://docs.google.com/spreadsheets/d/1Dj4jcHCTV9JXKCaMoheSXS52JE63kDKyG7bPXnFogHk/edit?usp=sharing"",""นครศรีธรรมราช!Q117"")"),209360)</f>
        <v>209360</v>
      </c>
      <c r="S78" s="67">
        <f ca="1">IFERROR(__xludf.DUMMYFUNCTION("IMPORTRANGE(""https://docs.google.com/spreadsheets/d/1Dj4jcHCTV9JXKCaMoheSXS52JE63kDKyG7bPXnFogHk/edit?usp=sharing"",""นครศรีธรรมราช!R117"")"),209360)</f>
        <v>209360</v>
      </c>
      <c r="T78" s="67">
        <f ca="1">IFERROR(__xludf.DUMMYFUNCTION("IMPORTRANGE(""https://docs.google.com/spreadsheets/d/1Dj4jcHCTV9JXKCaMoheSXS52JE63kDKyG7bPXnFogHk/edit?usp=sharing"",""นครศรีธรรมราช!S117"")"),104436)</f>
        <v>104436</v>
      </c>
      <c r="U78" s="68">
        <f t="shared" ca="1" si="34"/>
        <v>49.883454337027132</v>
      </c>
      <c r="V78" s="68">
        <f t="shared" ca="1" si="35"/>
        <v>49.883454337027132</v>
      </c>
      <c r="W78" s="74">
        <f ca="1">IFERROR(__xludf.DUMMYFUNCTION("IMPORTRANGE(""https://docs.google.com/spreadsheets/d/1Dj4jcHCTV9JXKCaMoheSXS52JE63kDKyG7bPXnFogHk/edit?usp=sharing"",""นครศรีธรรมราช!I127"")"),20)</f>
        <v>20</v>
      </c>
      <c r="X78" s="74">
        <f ca="1">IFERROR(__xludf.DUMMYFUNCTION("IMPORTRANGE(""https://docs.google.com/spreadsheets/d/1Dj4jcHCTV9JXKCaMoheSXS52JE63kDKyG7bPXnFogHk/edit?usp=sharing"",""นครศรีธรรมราช!J127"")"),20)</f>
        <v>20</v>
      </c>
      <c r="Y78" s="79">
        <f t="shared" ca="1" si="37"/>
        <v>100</v>
      </c>
      <c r="Z78" s="74">
        <f ca="1">IFERROR(__xludf.DUMMYFUNCTION("IMPORTRANGE(""https://docs.google.com/spreadsheets/d/1Dj4jcHCTV9JXKCaMoheSXS52JE63kDKyG7bPXnFogHk/edit?usp=sharing"",""นครศรีธรรมราช!J128"")"),1)</f>
        <v>1</v>
      </c>
      <c r="AA78" s="74">
        <f ca="1">IFERROR(__xludf.DUMMYFUNCTION("IMPORTRANGE(""https://docs.google.com/spreadsheets/d/1Dj4jcHCTV9JXKCaMoheSXS52JE63kDKyG7bPXnFogHk/edit?usp=sharing"",""นครศรีธรรมราช!I129"")"),20)</f>
        <v>20</v>
      </c>
      <c r="AB78" s="74">
        <f ca="1">IFERROR(__xludf.DUMMYFUNCTION("IMPORTRANGE(""https://docs.google.com/spreadsheets/d/1Dj4jcHCTV9JXKCaMoheSXS52JE63kDKyG7bPXnFogHk/edit?usp=sharing"",""นครศรีธรรมราช!J129"")"),20)</f>
        <v>20</v>
      </c>
      <c r="AC78" s="79">
        <f t="shared" ca="1" si="39"/>
        <v>100</v>
      </c>
      <c r="AD78" s="152">
        <f ca="1">IFERROR(__xludf.DUMMYFUNCTION("IMPORTRANGE(""https://docs.google.com/spreadsheets/d/1Dj4jcHCTV9JXKCaMoheSXS52JE63kDKyG7bPXnFogHk/edit?usp=sharing"",""นครศรีธรรมราช!J130"")"),1)</f>
        <v>1</v>
      </c>
      <c r="AE78" s="74">
        <v>0</v>
      </c>
      <c r="AF78" s="74">
        <v>0</v>
      </c>
      <c r="AG78" s="79">
        <v>0</v>
      </c>
    </row>
    <row r="79" spans="1:33" ht="19.5" x14ac:dyDescent="0.3">
      <c r="A79" s="147">
        <v>5</v>
      </c>
      <c r="B79" s="148" t="s">
        <v>107</v>
      </c>
      <c r="C79" s="149">
        <f t="shared" ca="1" si="25"/>
        <v>0</v>
      </c>
      <c r="D79" s="150">
        <f t="shared" ca="1" si="55"/>
        <v>0</v>
      </c>
      <c r="E79" s="151">
        <f ca="1">IFERROR(__xludf.DUMMYFUNCTION("IMPORTRANGE(""https://docs.google.com/spreadsheets/d/1-uDff_7J0KD5mKrp0Vvzr7lt3OU09vwQwhkpOPPYv2Y/edit?usp=sharing"",""งบพรบ!BH79"")"),0)</f>
        <v>0</v>
      </c>
      <c r="F79" s="151">
        <f ca="1">IFERROR(__xludf.DUMMYFUNCTION("IMPORTRANGE(""https://docs.google.com/spreadsheets/d/1-uDff_7J0KD5mKrp0Vvzr7lt3OU09vwQwhkpOPPYv2Y/edit?usp=sharing"",""งบพรบ!BI79"")"),0)</f>
        <v>0</v>
      </c>
      <c r="G79" s="151">
        <f ca="1">IFERROR(__xludf.DUMMYFUNCTION("IMPORTRANGE(""https://docs.google.com/spreadsheets/d/1-uDff_7J0KD5mKrp0Vvzr7lt3OU09vwQwhkpOPPYv2Y/edit?usp=sharing"",""งบพรบ!BJ79"")"),0)</f>
        <v>0</v>
      </c>
      <c r="H79" s="151">
        <f ca="1">IFERROR(__xludf.DUMMYFUNCTION("IMPORTRANGE(""https://docs.google.com/spreadsheets/d/1-uDff_7J0KD5mKrp0Vvzr7lt3OU09vwQwhkpOPPYv2Y/edit?usp=sharing"",""งบพรบ!BL79"")"),0)</f>
        <v>0</v>
      </c>
      <c r="I79" s="151">
        <f ca="1">IFERROR(__xludf.DUMMYFUNCTION("IMPORTRANGE(""https://docs.google.com/spreadsheets/d/1-uDff_7J0KD5mKrp0Vvzr7lt3OU09vwQwhkpOPPYv2Y/edit?usp=sharing"",""งบพรบ!BM79"")"),0)</f>
        <v>0</v>
      </c>
      <c r="J79" s="151">
        <f t="shared" ca="1" si="27"/>
        <v>0</v>
      </c>
      <c r="K79" s="154">
        <f t="shared" ca="1" si="28"/>
        <v>0</v>
      </c>
      <c r="L79" s="151">
        <f ca="1">IFERROR(__xludf.DUMMYFUNCTION("IMPORTRANGE(""https://docs.google.com/spreadsheets/d/1-uDff_7J0KD5mKrp0Vvzr7lt3OU09vwQwhkpOPPYv2Y/edit?usp=sharing"",""งบพรบ!BN79"")"),0)</f>
        <v>0</v>
      </c>
      <c r="M79" s="68">
        <f t="shared" ca="1" si="29"/>
        <v>0</v>
      </c>
      <c r="N79" s="68">
        <f t="shared" ca="1" si="30"/>
        <v>0</v>
      </c>
      <c r="O79" s="67">
        <f ca="1">IFERROR(__xludf.DUMMYFUNCTION("IMPORTRANGE(""https://docs.google.com/spreadsheets/d/1-uDff_7J0KD5mKrp0Vvzr7lt3OU09vwQwhkpOPPYv2Y/edit?usp=sharing"",""งบพรบ!BO79"")"),0)</f>
        <v>0</v>
      </c>
      <c r="P79" s="67">
        <f t="shared" ca="1" si="31"/>
        <v>0</v>
      </c>
      <c r="Q79" s="68">
        <f t="shared" ca="1" si="32"/>
        <v>0</v>
      </c>
      <c r="R79" s="67">
        <f ca="1">IFERROR(__xludf.DUMMYFUNCTION("IMPORTRANGE(""https://docs.google.com/spreadsheets/d/1iodCdmuK2GR3jzUwk8tpccY2JHQQA-87DLOtJP-ooyU/edit?usp=sharing"",""นราธิวาส!Q117"")"),229220)</f>
        <v>229220</v>
      </c>
      <c r="S79" s="67">
        <f ca="1">IFERROR(__xludf.DUMMYFUNCTION("IMPORTRANGE(""https://docs.google.com/spreadsheets/d/1iodCdmuK2GR3jzUwk8tpccY2JHQQA-87DLOtJP-ooyU/edit?usp=sharing"",""นราธิวาส!R117"")"),229220)</f>
        <v>229220</v>
      </c>
      <c r="T79" s="67">
        <f ca="1">IFERROR(__xludf.DUMMYFUNCTION("IMPORTRANGE(""https://docs.google.com/spreadsheets/d/1iodCdmuK2GR3jzUwk8tpccY2JHQQA-87DLOtJP-ooyU/edit?usp=sharing"",""นราธิวาส!S117"")"),196535)</f>
        <v>196535</v>
      </c>
      <c r="U79" s="68">
        <f t="shared" ca="1" si="34"/>
        <v>85.740773056452312</v>
      </c>
      <c r="V79" s="68">
        <f t="shared" ca="1" si="35"/>
        <v>85.740773056452312</v>
      </c>
      <c r="W79" s="74">
        <f ca="1">IFERROR(__xludf.DUMMYFUNCTION("IMPORTRANGE(""https://docs.google.com/spreadsheets/d/1iodCdmuK2GR3jzUwk8tpccY2JHQQA-87DLOtJP-ooyU/edit?usp=sharing"",""นราธิวาส!I127"")"),25)</f>
        <v>25</v>
      </c>
      <c r="X79" s="74">
        <f ca="1">IFERROR(__xludf.DUMMYFUNCTION("IMPORTRANGE(""https://docs.google.com/spreadsheets/d/1iodCdmuK2GR3jzUwk8tpccY2JHQQA-87DLOtJP-ooyU/edit?usp=sharing"",""นราธิวาส!J127"")"),25)</f>
        <v>25</v>
      </c>
      <c r="Y79" s="79">
        <f t="shared" ca="1" si="37"/>
        <v>100</v>
      </c>
      <c r="Z79" s="74">
        <f ca="1">IFERROR(__xludf.DUMMYFUNCTION("IMPORTRANGE(""https://docs.google.com/spreadsheets/d/1iodCdmuK2GR3jzUwk8tpccY2JHQQA-87DLOtJP-ooyU/edit?usp=sharing"",""นราธิวาส!J128"")"),2)</f>
        <v>2</v>
      </c>
      <c r="AA79" s="74">
        <f ca="1">IFERROR(__xludf.DUMMYFUNCTION("IMPORTRANGE(""https://docs.google.com/spreadsheets/d/1iodCdmuK2GR3jzUwk8tpccY2JHQQA-87DLOtJP-ooyU/edit?usp=sharing"",""นราธิวาส!I129"")"),25)</f>
        <v>25</v>
      </c>
      <c r="AB79" s="74">
        <f ca="1">IFERROR(__xludf.DUMMYFUNCTION("IMPORTRANGE(""https://docs.google.com/spreadsheets/d/1iodCdmuK2GR3jzUwk8tpccY2JHQQA-87DLOtJP-ooyU/edit?usp=sharing"",""นราธิวาส!J129"")"),25)</f>
        <v>25</v>
      </c>
      <c r="AC79" s="79">
        <f t="shared" ca="1" si="39"/>
        <v>100</v>
      </c>
      <c r="AD79" s="152">
        <f ca="1">IFERROR(__xludf.DUMMYFUNCTION("IMPORTRANGE(""https://docs.google.com/spreadsheets/d/1iodCdmuK2GR3jzUwk8tpccY2JHQQA-87DLOtJP-ooyU/edit?usp=sharing"",""นราธิวาส!J130"")"),2)</f>
        <v>2</v>
      </c>
      <c r="AE79" s="74">
        <v>0</v>
      </c>
      <c r="AF79" s="74">
        <v>0</v>
      </c>
      <c r="AG79" s="79">
        <v>0</v>
      </c>
    </row>
    <row r="80" spans="1:33" ht="19.5" x14ac:dyDescent="0.3">
      <c r="A80" s="147">
        <v>6</v>
      </c>
      <c r="B80" s="148" t="s">
        <v>108</v>
      </c>
      <c r="C80" s="149">
        <f t="shared" ca="1" si="25"/>
        <v>351900</v>
      </c>
      <c r="D80" s="150">
        <f t="shared" ca="1" si="55"/>
        <v>0</v>
      </c>
      <c r="E80" s="151">
        <f ca="1">IFERROR(__xludf.DUMMYFUNCTION("IMPORTRANGE(""https://docs.google.com/spreadsheets/d/1-uDff_7J0KD5mKrp0Vvzr7lt3OU09vwQwhkpOPPYv2Y/edit?usp=sharing"",""งบพรบ!BH80"")"),0)</f>
        <v>0</v>
      </c>
      <c r="F80" s="151">
        <f ca="1">IFERROR(__xludf.DUMMYFUNCTION("IMPORTRANGE(""https://docs.google.com/spreadsheets/d/1-uDff_7J0KD5mKrp0Vvzr7lt3OU09vwQwhkpOPPYv2Y/edit?usp=sharing"",""งบพรบ!BI80"")"),0)</f>
        <v>0</v>
      </c>
      <c r="G80" s="151">
        <f ca="1">IFERROR(__xludf.DUMMYFUNCTION("IMPORTRANGE(""https://docs.google.com/spreadsheets/d/1-uDff_7J0KD5mKrp0Vvzr7lt3OU09vwQwhkpOPPYv2Y/edit?usp=sharing"",""งบพรบ!BJ80"")"),351900)</f>
        <v>351900</v>
      </c>
      <c r="H80" s="151">
        <f ca="1">IFERROR(__xludf.DUMMYFUNCTION("IMPORTRANGE(""https://docs.google.com/spreadsheets/d/1-uDff_7J0KD5mKrp0Vvzr7lt3OU09vwQwhkpOPPYv2Y/edit?usp=sharing"",""งบพรบ!BL80"")"),0)</f>
        <v>0</v>
      </c>
      <c r="I80" s="151">
        <f ca="1">IFERROR(__xludf.DUMMYFUNCTION("IMPORTRANGE(""https://docs.google.com/spreadsheets/d/1-uDff_7J0KD5mKrp0Vvzr7lt3OU09vwQwhkpOPPYv2Y/edit?usp=sharing"",""งบพรบ!BM80"")"),295000)</f>
        <v>295000</v>
      </c>
      <c r="J80" s="151">
        <f t="shared" ca="1" si="27"/>
        <v>295000</v>
      </c>
      <c r="K80" s="154">
        <f t="shared" ca="1" si="28"/>
        <v>83.830633702756458</v>
      </c>
      <c r="L80" s="151">
        <f ca="1">IFERROR(__xludf.DUMMYFUNCTION("IMPORTRANGE(""https://docs.google.com/spreadsheets/d/1-uDff_7J0KD5mKrp0Vvzr7lt3OU09vwQwhkpOPPYv2Y/edit?usp=sharing"",""งบพรบ!BN80"")"),0)</f>
        <v>0</v>
      </c>
      <c r="M80" s="68">
        <f t="shared" ca="1" si="29"/>
        <v>0</v>
      </c>
      <c r="N80" s="68">
        <f t="shared" ca="1" si="30"/>
        <v>0</v>
      </c>
      <c r="O80" s="67">
        <f ca="1">IFERROR(__xludf.DUMMYFUNCTION("IMPORTRANGE(""https://docs.google.com/spreadsheets/d/1-uDff_7J0KD5mKrp0Vvzr7lt3OU09vwQwhkpOPPYv2Y/edit?usp=sharing"",""งบพรบ!BO80"")"),295000)</f>
        <v>295000</v>
      </c>
      <c r="P80" s="67">
        <f t="shared" ca="1" si="31"/>
        <v>83.830633702756458</v>
      </c>
      <c r="Q80" s="68">
        <f t="shared" ca="1" si="32"/>
        <v>100</v>
      </c>
      <c r="R80" s="67">
        <f ca="1">IFERROR(__xludf.DUMMYFUNCTION("IMPORTRANGE(""https://docs.google.com/spreadsheets/d/1SDNX3JhDdYRuIOsj0Wh2M-Qa_eaXl0NbWmhAOTbfQAs/edit?usp=sharing"",""ปัตตานี!Q117"")"),173660)</f>
        <v>173660</v>
      </c>
      <c r="S80" s="67">
        <f ca="1">IFERROR(__xludf.DUMMYFUNCTION("IMPORTRANGE(""https://docs.google.com/spreadsheets/d/1SDNX3JhDdYRuIOsj0Wh2M-Qa_eaXl0NbWmhAOTbfQAs/edit?usp=sharing"",""ปัตตานี!R117"")"),173660)</f>
        <v>173660</v>
      </c>
      <c r="T80" s="67">
        <f ca="1">IFERROR(__xludf.DUMMYFUNCTION("IMPORTRANGE(""https://docs.google.com/spreadsheets/d/1SDNX3JhDdYRuIOsj0Wh2M-Qa_eaXl0NbWmhAOTbfQAs/edit?usp=sharing"",""ปัตตานี!S117"")"),132390)</f>
        <v>132390</v>
      </c>
      <c r="U80" s="68">
        <f t="shared" ca="1" si="34"/>
        <v>76.235172175515373</v>
      </c>
      <c r="V80" s="68">
        <f t="shared" ca="1" si="35"/>
        <v>76.235172175515373</v>
      </c>
      <c r="W80" s="74">
        <f ca="1">IFERROR(__xludf.DUMMYFUNCTION("IMPORTRANGE(""https://docs.google.com/spreadsheets/d/1SDNX3JhDdYRuIOsj0Wh2M-Qa_eaXl0NbWmhAOTbfQAs/edit?usp=sharing"",""ปัตตานี!I127"")"),10)</f>
        <v>10</v>
      </c>
      <c r="X80" s="74">
        <f ca="1">IFERROR(__xludf.DUMMYFUNCTION("IMPORTRANGE(""https://docs.google.com/spreadsheets/d/1SDNX3JhDdYRuIOsj0Wh2M-Qa_eaXl0NbWmhAOTbfQAs/edit?usp=sharing"",""ปัตตานี!J127"")"),10)</f>
        <v>10</v>
      </c>
      <c r="Y80" s="79">
        <f t="shared" ca="1" si="37"/>
        <v>100</v>
      </c>
      <c r="Z80" s="74">
        <f ca="1">IFERROR(__xludf.DUMMYFUNCTION("IMPORTRANGE(""https://docs.google.com/spreadsheets/d/1SDNX3JhDdYRuIOsj0Wh2M-Qa_eaXl0NbWmhAOTbfQAs/edit?usp=sharing"",""ปัตตานี!J128"")"),1)</f>
        <v>1</v>
      </c>
      <c r="AA80" s="74">
        <f ca="1">IFERROR(__xludf.DUMMYFUNCTION("IMPORTRANGE(""https://docs.google.com/spreadsheets/d/1SDNX3JhDdYRuIOsj0Wh2M-Qa_eaXl0NbWmhAOTbfQAs/edit?usp=sharing"",""ปัตตานี!I129"")"),10)</f>
        <v>10</v>
      </c>
      <c r="AB80" s="74">
        <f ca="1">IFERROR(__xludf.DUMMYFUNCTION("IMPORTRANGE(""https://docs.google.com/spreadsheets/d/1SDNX3JhDdYRuIOsj0Wh2M-Qa_eaXl0NbWmhAOTbfQAs/edit?usp=sharing"",""ปัตตานี!J129"")"),10)</f>
        <v>10</v>
      </c>
      <c r="AC80" s="79">
        <f t="shared" ca="1" si="39"/>
        <v>100</v>
      </c>
      <c r="AD80" s="152">
        <f ca="1">IFERROR(__xludf.DUMMYFUNCTION("IMPORTRANGE(""https://docs.google.com/spreadsheets/d/1SDNX3JhDdYRuIOsj0Wh2M-Qa_eaXl0NbWmhAOTbfQAs/edit?usp=sharing"",""ปัตตานี!J130"")"),1)</f>
        <v>1</v>
      </c>
      <c r="AE80" s="74">
        <v>0</v>
      </c>
      <c r="AF80" s="74">
        <v>0</v>
      </c>
      <c r="AG80" s="79">
        <v>0</v>
      </c>
    </row>
    <row r="81" spans="1:33" ht="19.5" x14ac:dyDescent="0.3">
      <c r="A81" s="147">
        <v>7</v>
      </c>
      <c r="B81" s="148" t="s">
        <v>109</v>
      </c>
      <c r="C81" s="149">
        <f t="shared" ca="1" si="25"/>
        <v>0</v>
      </c>
      <c r="D81" s="150">
        <f t="shared" ca="1" si="55"/>
        <v>0</v>
      </c>
      <c r="E81" s="151">
        <f ca="1">IFERROR(__xludf.DUMMYFUNCTION("IMPORTRANGE(""https://docs.google.com/spreadsheets/d/1-uDff_7J0KD5mKrp0Vvzr7lt3OU09vwQwhkpOPPYv2Y/edit?usp=sharing"",""งบพรบ!BH81"")"),0)</f>
        <v>0</v>
      </c>
      <c r="F81" s="151">
        <f ca="1">IFERROR(__xludf.DUMMYFUNCTION("IMPORTRANGE(""https://docs.google.com/spreadsheets/d/1-uDff_7J0KD5mKrp0Vvzr7lt3OU09vwQwhkpOPPYv2Y/edit?usp=sharing"",""งบพรบ!BI81"")"),0)</f>
        <v>0</v>
      </c>
      <c r="G81" s="151">
        <f ca="1">IFERROR(__xludf.DUMMYFUNCTION("IMPORTRANGE(""https://docs.google.com/spreadsheets/d/1-uDff_7J0KD5mKrp0Vvzr7lt3OU09vwQwhkpOPPYv2Y/edit?usp=sharing"",""งบพรบ!BJ81"")"),0)</f>
        <v>0</v>
      </c>
      <c r="H81" s="151">
        <f ca="1">IFERROR(__xludf.DUMMYFUNCTION("IMPORTRANGE(""https://docs.google.com/spreadsheets/d/1-uDff_7J0KD5mKrp0Vvzr7lt3OU09vwQwhkpOPPYv2Y/edit?usp=sharing"",""งบพรบ!BL81"")"),0)</f>
        <v>0</v>
      </c>
      <c r="I81" s="151">
        <f ca="1">IFERROR(__xludf.DUMMYFUNCTION("IMPORTRANGE(""https://docs.google.com/spreadsheets/d/1-uDff_7J0KD5mKrp0Vvzr7lt3OU09vwQwhkpOPPYv2Y/edit?usp=sharing"",""งบพรบ!BM81"")"),0)</f>
        <v>0</v>
      </c>
      <c r="J81" s="151">
        <f t="shared" ca="1" si="27"/>
        <v>0</v>
      </c>
      <c r="K81" s="154">
        <f t="shared" ca="1" si="28"/>
        <v>0</v>
      </c>
      <c r="L81" s="151">
        <f ca="1">IFERROR(__xludf.DUMMYFUNCTION("IMPORTRANGE(""https://docs.google.com/spreadsheets/d/1-uDff_7J0KD5mKrp0Vvzr7lt3OU09vwQwhkpOPPYv2Y/edit?usp=sharing"",""งบพรบ!BN81"")"),0)</f>
        <v>0</v>
      </c>
      <c r="M81" s="68">
        <f t="shared" ca="1" si="29"/>
        <v>0</v>
      </c>
      <c r="N81" s="68">
        <f t="shared" ca="1" si="30"/>
        <v>0</v>
      </c>
      <c r="O81" s="67">
        <f ca="1">IFERROR(__xludf.DUMMYFUNCTION("IMPORTRANGE(""https://docs.google.com/spreadsheets/d/1-uDff_7J0KD5mKrp0Vvzr7lt3OU09vwQwhkpOPPYv2Y/edit?usp=sharing"",""งบพรบ!BO81"")"),0)</f>
        <v>0</v>
      </c>
      <c r="P81" s="67">
        <f t="shared" ca="1" si="31"/>
        <v>0</v>
      </c>
      <c r="Q81" s="68">
        <f t="shared" ca="1" si="32"/>
        <v>0</v>
      </c>
      <c r="R81" s="67">
        <f ca="1">IFERROR(__xludf.DUMMYFUNCTION("IMPORTRANGE(""https://docs.google.com/spreadsheets/d/16JDLGguT8s5DsGCND1KcwHP_AWR_zDMTqLHPLJUKhaU/edit?usp=sharing"",""พังงา!Q117"")"),191460)</f>
        <v>191460</v>
      </c>
      <c r="S81" s="67">
        <f ca="1">IFERROR(__xludf.DUMMYFUNCTION("IMPORTRANGE(""https://docs.google.com/spreadsheets/d/16JDLGguT8s5DsGCND1KcwHP_AWR_zDMTqLHPLJUKhaU/edit?usp=sharing"",""พังงา!R117"")"),191460)</f>
        <v>191460</v>
      </c>
      <c r="T81" s="67">
        <f ca="1">IFERROR(__xludf.DUMMYFUNCTION("IMPORTRANGE(""https://docs.google.com/spreadsheets/d/16JDLGguT8s5DsGCND1KcwHP_AWR_zDMTqLHPLJUKhaU/edit?usp=sharing"",""พังงา!S117"")"),134874)</f>
        <v>134874</v>
      </c>
      <c r="U81" s="68">
        <f t="shared" ca="1" si="34"/>
        <v>70.445001566906924</v>
      </c>
      <c r="V81" s="68">
        <f t="shared" ca="1" si="35"/>
        <v>70.445001566906924</v>
      </c>
      <c r="W81" s="74">
        <f ca="1">IFERROR(__xludf.DUMMYFUNCTION("IMPORTRANGE(""https://docs.google.com/spreadsheets/d/16JDLGguT8s5DsGCND1KcwHP_AWR_zDMTqLHPLJUKhaU/edit?usp=sharing"",""พังงา!I127"")"),15)</f>
        <v>15</v>
      </c>
      <c r="X81" s="74">
        <f ca="1">IFERROR(__xludf.DUMMYFUNCTION("IMPORTRANGE(""https://docs.google.com/spreadsheets/d/16JDLGguT8s5DsGCND1KcwHP_AWR_zDMTqLHPLJUKhaU/edit?usp=sharing"",""พังงา!J127"")"),15)</f>
        <v>15</v>
      </c>
      <c r="Y81" s="79">
        <f t="shared" ca="1" si="37"/>
        <v>100</v>
      </c>
      <c r="Z81" s="74">
        <f ca="1">IFERROR(__xludf.DUMMYFUNCTION("IMPORTRANGE(""https://docs.google.com/spreadsheets/d/16JDLGguT8s5DsGCND1KcwHP_AWR_zDMTqLHPLJUKhaU/edit?usp=sharing"",""พังงา!J128"")"),1)</f>
        <v>1</v>
      </c>
      <c r="AA81" s="74">
        <f ca="1">IFERROR(__xludf.DUMMYFUNCTION("IMPORTRANGE(""https://docs.google.com/spreadsheets/d/16JDLGguT8s5DsGCND1KcwHP_AWR_zDMTqLHPLJUKhaU/edit?usp=sharing"",""พังงา!I129"")"),15)</f>
        <v>15</v>
      </c>
      <c r="AB81" s="74">
        <f ca="1">IFERROR(__xludf.DUMMYFUNCTION("IMPORTRANGE(""https://docs.google.com/spreadsheets/d/16JDLGguT8s5DsGCND1KcwHP_AWR_zDMTqLHPLJUKhaU/edit?usp=sharing"",""พังงา!J129"")"),15)</f>
        <v>15</v>
      </c>
      <c r="AC81" s="79">
        <f t="shared" ca="1" si="39"/>
        <v>100</v>
      </c>
      <c r="AD81" s="152">
        <f ca="1">IFERROR(__xludf.DUMMYFUNCTION("IMPORTRANGE(""https://docs.google.com/spreadsheets/d/16JDLGguT8s5DsGCND1KcwHP_AWR_zDMTqLHPLJUKhaU/edit?usp=sharing"",""พังงา!J130"")"),1)</f>
        <v>1</v>
      </c>
      <c r="AE81" s="74">
        <v>0</v>
      </c>
      <c r="AF81" s="74">
        <v>0</v>
      </c>
      <c r="AG81" s="79">
        <v>0</v>
      </c>
    </row>
    <row r="82" spans="1:33" ht="19.5" x14ac:dyDescent="0.3">
      <c r="A82" s="147">
        <v>8</v>
      </c>
      <c r="B82" s="148" t="s">
        <v>110</v>
      </c>
      <c r="C82" s="149">
        <f t="shared" ca="1" si="25"/>
        <v>0</v>
      </c>
      <c r="D82" s="150">
        <f t="shared" ca="1" si="55"/>
        <v>0</v>
      </c>
      <c r="E82" s="151">
        <f ca="1">IFERROR(__xludf.DUMMYFUNCTION("IMPORTRANGE(""https://docs.google.com/spreadsheets/d/1-uDff_7J0KD5mKrp0Vvzr7lt3OU09vwQwhkpOPPYv2Y/edit?usp=sharing"",""งบพรบ!BH82"")"),0)</f>
        <v>0</v>
      </c>
      <c r="F82" s="151">
        <f ca="1">IFERROR(__xludf.DUMMYFUNCTION("IMPORTRANGE(""https://docs.google.com/spreadsheets/d/1-uDff_7J0KD5mKrp0Vvzr7lt3OU09vwQwhkpOPPYv2Y/edit?usp=sharing"",""งบพรบ!BI82"")"),0)</f>
        <v>0</v>
      </c>
      <c r="G82" s="151">
        <f ca="1">IFERROR(__xludf.DUMMYFUNCTION("IMPORTRANGE(""https://docs.google.com/spreadsheets/d/1-uDff_7J0KD5mKrp0Vvzr7lt3OU09vwQwhkpOPPYv2Y/edit?usp=sharing"",""งบพรบ!BJ82"")"),0)</f>
        <v>0</v>
      </c>
      <c r="H82" s="151">
        <f ca="1">IFERROR(__xludf.DUMMYFUNCTION("IMPORTRANGE(""https://docs.google.com/spreadsheets/d/1-uDff_7J0KD5mKrp0Vvzr7lt3OU09vwQwhkpOPPYv2Y/edit?usp=sharing"",""งบพรบ!BL82"")"),0)</f>
        <v>0</v>
      </c>
      <c r="I82" s="151">
        <f ca="1">IFERROR(__xludf.DUMMYFUNCTION("IMPORTRANGE(""https://docs.google.com/spreadsheets/d/1-uDff_7J0KD5mKrp0Vvzr7lt3OU09vwQwhkpOPPYv2Y/edit?usp=sharing"",""งบพรบ!BM82"")"),0)</f>
        <v>0</v>
      </c>
      <c r="J82" s="151">
        <f t="shared" ca="1" si="27"/>
        <v>0</v>
      </c>
      <c r="K82" s="154">
        <f t="shared" ca="1" si="28"/>
        <v>0</v>
      </c>
      <c r="L82" s="151">
        <f ca="1">IFERROR(__xludf.DUMMYFUNCTION("IMPORTRANGE(""https://docs.google.com/spreadsheets/d/1-uDff_7J0KD5mKrp0Vvzr7lt3OU09vwQwhkpOPPYv2Y/edit?usp=sharing"",""งบพรบ!BN82"")"),0)</f>
        <v>0</v>
      </c>
      <c r="M82" s="68">
        <f t="shared" ca="1" si="29"/>
        <v>0</v>
      </c>
      <c r="N82" s="68">
        <f t="shared" ca="1" si="30"/>
        <v>0</v>
      </c>
      <c r="O82" s="67">
        <f ca="1">IFERROR(__xludf.DUMMYFUNCTION("IMPORTRANGE(""https://docs.google.com/spreadsheets/d/1-uDff_7J0KD5mKrp0Vvzr7lt3OU09vwQwhkpOPPYv2Y/edit?usp=sharing"",""งบพรบ!BO82"")"),0)</f>
        <v>0</v>
      </c>
      <c r="P82" s="67">
        <f t="shared" ca="1" si="31"/>
        <v>0</v>
      </c>
      <c r="Q82" s="68">
        <f t="shared" ca="1" si="32"/>
        <v>0</v>
      </c>
      <c r="R82" s="67">
        <f ca="1">IFERROR(__xludf.DUMMYFUNCTION("IMPORTRANGE(""https://docs.google.com/spreadsheets/d/17ht0gPKzzT3PObBL1XJkeRmntBXI7wGjpLV7QorqlTk/edit?usp=sharing"",""พัทลุง!Q117"")"),3541460)</f>
        <v>3541460</v>
      </c>
      <c r="S82" s="67">
        <f ca="1">IFERROR(__xludf.DUMMYFUNCTION("IMPORTRANGE(""https://docs.google.com/spreadsheets/d/17ht0gPKzzT3PObBL1XJkeRmntBXI7wGjpLV7QorqlTk/edit?usp=sharing"",""พัทลุง!R117"")"),3541460)</f>
        <v>3541460</v>
      </c>
      <c r="T82" s="67">
        <f ca="1">IFERROR(__xludf.DUMMYFUNCTION("IMPORTRANGE(""https://docs.google.com/spreadsheets/d/17ht0gPKzzT3PObBL1XJkeRmntBXI7wGjpLV7QorqlTk/edit?usp=sharing"",""พัทลุง!S117"")"),153267.08)</f>
        <v>153267.07999999999</v>
      </c>
      <c r="U82" s="68">
        <f t="shared" ca="1" si="34"/>
        <v>4.3277936218395796</v>
      </c>
      <c r="V82" s="68">
        <f t="shared" ca="1" si="35"/>
        <v>4.3277936218395796</v>
      </c>
      <c r="W82" s="74">
        <f ca="1">IFERROR(__xludf.DUMMYFUNCTION("IMPORTRANGE(""https://docs.google.com/spreadsheets/d/17ht0gPKzzT3PObBL1XJkeRmntBXI7wGjpLV7QorqlTk/edit?usp=sharing"",""พัทลุง!I127"")"),15)</f>
        <v>15</v>
      </c>
      <c r="X82" s="74">
        <f ca="1">IFERROR(__xludf.DUMMYFUNCTION("IMPORTRANGE(""https://docs.google.com/spreadsheets/d/17ht0gPKzzT3PObBL1XJkeRmntBXI7wGjpLV7QorqlTk/edit?usp=sharing"",""พัทลุง!J127"")"),15)</f>
        <v>15</v>
      </c>
      <c r="Y82" s="79">
        <f t="shared" ca="1" si="37"/>
        <v>100</v>
      </c>
      <c r="Z82" s="74">
        <f ca="1">IFERROR(__xludf.DUMMYFUNCTION("IMPORTRANGE(""https://docs.google.com/spreadsheets/d/17ht0gPKzzT3PObBL1XJkeRmntBXI7wGjpLV7QorqlTk/edit?usp=sharing"",""พัทลุง!J128"")"),1)</f>
        <v>1</v>
      </c>
      <c r="AA82" s="74">
        <f ca="1">IFERROR(__xludf.DUMMYFUNCTION("IMPORTRANGE(""https://docs.google.com/spreadsheets/d/17ht0gPKzzT3PObBL1XJkeRmntBXI7wGjpLV7QorqlTk/edit?usp=sharing"",""พัทลุง!I129"")"),15)</f>
        <v>15</v>
      </c>
      <c r="AB82" s="74">
        <f ca="1">IFERROR(__xludf.DUMMYFUNCTION("IMPORTRANGE(""https://docs.google.com/spreadsheets/d/17ht0gPKzzT3PObBL1XJkeRmntBXI7wGjpLV7QorqlTk/edit?usp=sharing"",""พัทลุง!J129"")"),15)</f>
        <v>15</v>
      </c>
      <c r="AC82" s="79">
        <f t="shared" ca="1" si="39"/>
        <v>100</v>
      </c>
      <c r="AD82" s="152">
        <f ca="1">IFERROR(__xludf.DUMMYFUNCTION("IMPORTRANGE(""https://docs.google.com/spreadsheets/d/17ht0gPKzzT3PObBL1XJkeRmntBXI7wGjpLV7QorqlTk/edit?usp=sharing"",""พัทลุง!J130"")"),1)</f>
        <v>1</v>
      </c>
      <c r="AE82" s="74">
        <v>0</v>
      </c>
      <c r="AF82" s="74">
        <v>0</v>
      </c>
      <c r="AG82" s="79">
        <v>0</v>
      </c>
    </row>
    <row r="83" spans="1:33" ht="19.5" x14ac:dyDescent="0.3">
      <c r="A83" s="147">
        <v>9</v>
      </c>
      <c r="B83" s="148" t="s">
        <v>111</v>
      </c>
      <c r="C83" s="149">
        <f t="shared" ca="1" si="25"/>
        <v>0</v>
      </c>
      <c r="D83" s="150">
        <f t="shared" ca="1" si="55"/>
        <v>0</v>
      </c>
      <c r="E83" s="151">
        <f ca="1">IFERROR(__xludf.DUMMYFUNCTION("IMPORTRANGE(""https://docs.google.com/spreadsheets/d/1-uDff_7J0KD5mKrp0Vvzr7lt3OU09vwQwhkpOPPYv2Y/edit?usp=sharing"",""งบพรบ!BH83"")"),0)</f>
        <v>0</v>
      </c>
      <c r="F83" s="151">
        <f ca="1">IFERROR(__xludf.DUMMYFUNCTION("IMPORTRANGE(""https://docs.google.com/spreadsheets/d/1-uDff_7J0KD5mKrp0Vvzr7lt3OU09vwQwhkpOPPYv2Y/edit?usp=sharing"",""งบพรบ!BI83"")"),0)</f>
        <v>0</v>
      </c>
      <c r="G83" s="151">
        <f ca="1">IFERROR(__xludf.DUMMYFUNCTION("IMPORTRANGE(""https://docs.google.com/spreadsheets/d/1-uDff_7J0KD5mKrp0Vvzr7lt3OU09vwQwhkpOPPYv2Y/edit?usp=sharing"",""งบพรบ!BJ83"")"),0)</f>
        <v>0</v>
      </c>
      <c r="H83" s="151">
        <f ca="1">IFERROR(__xludf.DUMMYFUNCTION("IMPORTRANGE(""https://docs.google.com/spreadsheets/d/1-uDff_7J0KD5mKrp0Vvzr7lt3OU09vwQwhkpOPPYv2Y/edit?usp=sharing"",""งบพรบ!BL83"")"),0)</f>
        <v>0</v>
      </c>
      <c r="I83" s="151">
        <f ca="1">IFERROR(__xludf.DUMMYFUNCTION("IMPORTRANGE(""https://docs.google.com/spreadsheets/d/1-uDff_7J0KD5mKrp0Vvzr7lt3OU09vwQwhkpOPPYv2Y/edit?usp=sharing"",""งบพรบ!BM83"")"),0)</f>
        <v>0</v>
      </c>
      <c r="J83" s="151">
        <f t="shared" ca="1" si="27"/>
        <v>0</v>
      </c>
      <c r="K83" s="154">
        <f t="shared" ca="1" si="28"/>
        <v>0</v>
      </c>
      <c r="L83" s="151">
        <f ca="1">IFERROR(__xludf.DUMMYFUNCTION("IMPORTRANGE(""https://docs.google.com/spreadsheets/d/1-uDff_7J0KD5mKrp0Vvzr7lt3OU09vwQwhkpOPPYv2Y/edit?usp=sharing"",""งบพรบ!BN83"")"),0)</f>
        <v>0</v>
      </c>
      <c r="M83" s="68">
        <f t="shared" ca="1" si="29"/>
        <v>0</v>
      </c>
      <c r="N83" s="68">
        <f t="shared" ca="1" si="30"/>
        <v>0</v>
      </c>
      <c r="O83" s="67">
        <f ca="1">IFERROR(__xludf.DUMMYFUNCTION("IMPORTRANGE(""https://docs.google.com/spreadsheets/d/1-uDff_7J0KD5mKrp0Vvzr7lt3OU09vwQwhkpOPPYv2Y/edit?usp=sharing"",""งบพรบ!BO83"")"),0)</f>
        <v>0</v>
      </c>
      <c r="P83" s="67">
        <f t="shared" ca="1" si="31"/>
        <v>0</v>
      </c>
      <c r="Q83" s="68">
        <f t="shared" ca="1" si="32"/>
        <v>0</v>
      </c>
      <c r="R83" s="67">
        <f ca="1">IFERROR(__xludf.DUMMYFUNCTION("IMPORTRANGE(""https://docs.google.com/spreadsheets/d/1rd4qoM1q_hsgaolqNGfrim9gbsoLxQsda4-vOz5x_BM/edit?usp=sharing"",""ภูเก็ต!Q117"")"),173660)</f>
        <v>173660</v>
      </c>
      <c r="S83" s="67">
        <f ca="1">IFERROR(__xludf.DUMMYFUNCTION("IMPORTRANGE(""https://docs.google.com/spreadsheets/d/1rd4qoM1q_hsgaolqNGfrim9gbsoLxQsda4-vOz5x_BM/edit?usp=sharing"",""ภูเก็ต!R117"")"),173660)</f>
        <v>173660</v>
      </c>
      <c r="T83" s="67">
        <f ca="1">IFERROR(__xludf.DUMMYFUNCTION("IMPORTRANGE(""https://docs.google.com/spreadsheets/d/1rd4qoM1q_hsgaolqNGfrim9gbsoLxQsda4-vOz5x_BM/edit?usp=sharing"",""ภูเก็ต!S117"")"),133073.23)</f>
        <v>133073.23000000001</v>
      </c>
      <c r="U83" s="68">
        <f t="shared" ca="1" si="34"/>
        <v>76.628601865714629</v>
      </c>
      <c r="V83" s="68">
        <f t="shared" ca="1" si="35"/>
        <v>76.628601865714629</v>
      </c>
      <c r="W83" s="74">
        <f ca="1">IFERROR(__xludf.DUMMYFUNCTION("IMPORTRANGE(""https://docs.google.com/spreadsheets/d/1rd4qoM1q_hsgaolqNGfrim9gbsoLxQsda4-vOz5x_BM/edit?usp=sharing"",""ภูเก็ต!I127"")"),10)</f>
        <v>10</v>
      </c>
      <c r="X83" s="74">
        <f ca="1">IFERROR(__xludf.DUMMYFUNCTION("IMPORTRANGE(""https://docs.google.com/spreadsheets/d/1rd4qoM1q_hsgaolqNGfrim9gbsoLxQsda4-vOz5x_BM/edit?usp=sharing"",""ภูเก็ต!J127"")"),10)</f>
        <v>10</v>
      </c>
      <c r="Y83" s="79">
        <f t="shared" ca="1" si="37"/>
        <v>100</v>
      </c>
      <c r="Z83" s="74">
        <f ca="1">IFERROR(__xludf.DUMMYFUNCTION("IMPORTRANGE(""https://docs.google.com/spreadsheets/d/1rd4qoM1q_hsgaolqNGfrim9gbsoLxQsda4-vOz5x_BM/edit?usp=sharing"",""ภูเก็ต!J128"")"),1)</f>
        <v>1</v>
      </c>
      <c r="AA83" s="74">
        <f ca="1">IFERROR(__xludf.DUMMYFUNCTION("IMPORTRANGE(""https://docs.google.com/spreadsheets/d/1rd4qoM1q_hsgaolqNGfrim9gbsoLxQsda4-vOz5x_BM/edit?usp=sharing"",""ภูเก็ต!I129"")"),10)</f>
        <v>10</v>
      </c>
      <c r="AB83" s="74">
        <f ca="1">IFERROR(__xludf.DUMMYFUNCTION("IMPORTRANGE(""https://docs.google.com/spreadsheets/d/1rd4qoM1q_hsgaolqNGfrim9gbsoLxQsda4-vOz5x_BM/edit?usp=sharing"",""ภูเก็ต!J129"")"),10)</f>
        <v>10</v>
      </c>
      <c r="AC83" s="79">
        <f t="shared" ca="1" si="39"/>
        <v>100</v>
      </c>
      <c r="AD83" s="152">
        <f ca="1">IFERROR(__xludf.DUMMYFUNCTION("IMPORTRANGE(""https://docs.google.com/spreadsheets/d/1rd4qoM1q_hsgaolqNGfrim9gbsoLxQsda4-vOz5x_BM/edit?usp=sharing"",""ภูเก็ต!J130"")"),1)</f>
        <v>1</v>
      </c>
      <c r="AE83" s="74">
        <v>0</v>
      </c>
      <c r="AF83" s="74">
        <v>0</v>
      </c>
      <c r="AG83" s="79">
        <v>0</v>
      </c>
    </row>
    <row r="84" spans="1:33" ht="19.5" x14ac:dyDescent="0.3">
      <c r="A84" s="147">
        <v>10</v>
      </c>
      <c r="B84" s="148" t="s">
        <v>112</v>
      </c>
      <c r="C84" s="149">
        <f t="shared" ca="1" si="25"/>
        <v>0</v>
      </c>
      <c r="D84" s="150">
        <f t="shared" ca="1" si="55"/>
        <v>0</v>
      </c>
      <c r="E84" s="151">
        <f ca="1">IFERROR(__xludf.DUMMYFUNCTION("IMPORTRANGE(""https://docs.google.com/spreadsheets/d/1-uDff_7J0KD5mKrp0Vvzr7lt3OU09vwQwhkpOPPYv2Y/edit?usp=sharing"",""งบพรบ!BH84"")"),0)</f>
        <v>0</v>
      </c>
      <c r="F84" s="151">
        <f ca="1">IFERROR(__xludf.DUMMYFUNCTION("IMPORTRANGE(""https://docs.google.com/spreadsheets/d/1-uDff_7J0KD5mKrp0Vvzr7lt3OU09vwQwhkpOPPYv2Y/edit?usp=sharing"",""งบพรบ!BI84"")"),0)</f>
        <v>0</v>
      </c>
      <c r="G84" s="151">
        <f ca="1">IFERROR(__xludf.DUMMYFUNCTION("IMPORTRANGE(""https://docs.google.com/spreadsheets/d/1-uDff_7J0KD5mKrp0Vvzr7lt3OU09vwQwhkpOPPYv2Y/edit?usp=sharing"",""งบพรบ!BJ84"")"),0)</f>
        <v>0</v>
      </c>
      <c r="H84" s="151">
        <f ca="1">IFERROR(__xludf.DUMMYFUNCTION("IMPORTRANGE(""https://docs.google.com/spreadsheets/d/1-uDff_7J0KD5mKrp0Vvzr7lt3OU09vwQwhkpOPPYv2Y/edit?usp=sharing"",""งบพรบ!BL84"")"),0)</f>
        <v>0</v>
      </c>
      <c r="I84" s="151">
        <f ca="1">IFERROR(__xludf.DUMMYFUNCTION("IMPORTRANGE(""https://docs.google.com/spreadsheets/d/1-uDff_7J0KD5mKrp0Vvzr7lt3OU09vwQwhkpOPPYv2Y/edit?usp=sharing"",""งบพรบ!BM84"")"),0)</f>
        <v>0</v>
      </c>
      <c r="J84" s="151">
        <f t="shared" ca="1" si="27"/>
        <v>0</v>
      </c>
      <c r="K84" s="154">
        <f t="shared" ca="1" si="28"/>
        <v>0</v>
      </c>
      <c r="L84" s="151">
        <f ca="1">IFERROR(__xludf.DUMMYFUNCTION("IMPORTRANGE(""https://docs.google.com/spreadsheets/d/1-uDff_7J0KD5mKrp0Vvzr7lt3OU09vwQwhkpOPPYv2Y/edit?usp=sharing"",""งบพรบ!BN84"")"),0)</f>
        <v>0</v>
      </c>
      <c r="M84" s="68">
        <f t="shared" ca="1" si="29"/>
        <v>0</v>
      </c>
      <c r="N84" s="68">
        <f t="shared" ca="1" si="30"/>
        <v>0</v>
      </c>
      <c r="O84" s="67">
        <f ca="1">IFERROR(__xludf.DUMMYFUNCTION("IMPORTRANGE(""https://docs.google.com/spreadsheets/d/1-uDff_7J0KD5mKrp0Vvzr7lt3OU09vwQwhkpOPPYv2Y/edit?usp=sharing"",""งบพรบ!BO84"")"),0)</f>
        <v>0</v>
      </c>
      <c r="P84" s="67">
        <f t="shared" ca="1" si="31"/>
        <v>0</v>
      </c>
      <c r="Q84" s="68">
        <f t="shared" ca="1" si="32"/>
        <v>0</v>
      </c>
      <c r="R84" s="67">
        <f ca="1">IFERROR(__xludf.DUMMYFUNCTION("IMPORTRANGE(""https://docs.google.com/spreadsheets/d/1woKwKjgoLssDvPcPeVyezB5izizAn4X1JDrys69n6xI/edit?usp=sharing"",""ยะลา!Q117"")"),191460)</f>
        <v>191460</v>
      </c>
      <c r="S84" s="67">
        <f ca="1">IFERROR(__xludf.DUMMYFUNCTION("IMPORTRANGE(""https://docs.google.com/spreadsheets/d/1woKwKjgoLssDvPcPeVyezB5izizAn4X1JDrys69n6xI/edit?usp=sharing"",""ยะลา!R117"")"),191460)</f>
        <v>191460</v>
      </c>
      <c r="T84" s="67">
        <f ca="1">IFERROR(__xludf.DUMMYFUNCTION("IMPORTRANGE(""https://docs.google.com/spreadsheets/d/1woKwKjgoLssDvPcPeVyezB5izizAn4X1JDrys69n6xI/edit?usp=sharing"",""ยะลา!S117"")"),160253.44)</f>
        <v>160253.44</v>
      </c>
      <c r="U84" s="68">
        <f t="shared" ca="1" si="34"/>
        <v>83.700741669278173</v>
      </c>
      <c r="V84" s="68">
        <f t="shared" ca="1" si="35"/>
        <v>83.700741669278173</v>
      </c>
      <c r="W84" s="74">
        <f ca="1">IFERROR(__xludf.DUMMYFUNCTION("IMPORTRANGE(""https://docs.google.com/spreadsheets/d/1woKwKjgoLssDvPcPeVyezB5izizAn4X1JDrys69n6xI/edit?usp=sharing"",""ยะลา!I127"")"),15)</f>
        <v>15</v>
      </c>
      <c r="X84" s="74">
        <f ca="1">IFERROR(__xludf.DUMMYFUNCTION("IMPORTRANGE(""https://docs.google.com/spreadsheets/d/1woKwKjgoLssDvPcPeVyezB5izizAn4X1JDrys69n6xI/edit?usp=sharing"",""ยะลา!J127"")"),15)</f>
        <v>15</v>
      </c>
      <c r="Y84" s="79">
        <f t="shared" ca="1" si="37"/>
        <v>100</v>
      </c>
      <c r="Z84" s="74">
        <f ca="1">IFERROR(__xludf.DUMMYFUNCTION("IMPORTRANGE(""https://docs.google.com/spreadsheets/d/1woKwKjgoLssDvPcPeVyezB5izizAn4X1JDrys69n6xI/edit?usp=sharing"",""ยะลา!J128"")"),1)</f>
        <v>1</v>
      </c>
      <c r="AA84" s="74">
        <f ca="1">IFERROR(__xludf.DUMMYFUNCTION("IMPORTRANGE(""https://docs.google.com/spreadsheets/d/1woKwKjgoLssDvPcPeVyezB5izizAn4X1JDrys69n6xI/edit?usp=sharing"",""ยะลา!I129"")"),15)</f>
        <v>15</v>
      </c>
      <c r="AB84" s="74">
        <f ca="1">IFERROR(__xludf.DUMMYFUNCTION("IMPORTRANGE(""https://docs.google.com/spreadsheets/d/1woKwKjgoLssDvPcPeVyezB5izizAn4X1JDrys69n6xI/edit?usp=sharing"",""ยะลา!J129"")"),15)</f>
        <v>15</v>
      </c>
      <c r="AC84" s="79">
        <f t="shared" ca="1" si="39"/>
        <v>100</v>
      </c>
      <c r="AD84" s="152">
        <f ca="1">IFERROR(__xludf.DUMMYFUNCTION("IMPORTRANGE(""https://docs.google.com/spreadsheets/d/1woKwKjgoLssDvPcPeVyezB5izizAn4X1JDrys69n6xI/edit?usp=sharing"",""ยะลา!J130"")"),1)</f>
        <v>1</v>
      </c>
      <c r="AE84" s="74">
        <v>0</v>
      </c>
      <c r="AF84" s="74">
        <v>0</v>
      </c>
      <c r="AG84" s="79">
        <v>0</v>
      </c>
    </row>
    <row r="85" spans="1:33" ht="19.5" x14ac:dyDescent="0.3">
      <c r="A85" s="147">
        <v>11</v>
      </c>
      <c r="B85" s="148" t="s">
        <v>113</v>
      </c>
      <c r="C85" s="149">
        <f t="shared" ca="1" si="25"/>
        <v>0</v>
      </c>
      <c r="D85" s="150">
        <f t="shared" ca="1" si="55"/>
        <v>0</v>
      </c>
      <c r="E85" s="151">
        <f ca="1">IFERROR(__xludf.DUMMYFUNCTION("IMPORTRANGE(""https://docs.google.com/spreadsheets/d/1-uDff_7J0KD5mKrp0Vvzr7lt3OU09vwQwhkpOPPYv2Y/edit?usp=sharing"",""งบพรบ!BH85"")"),0)</f>
        <v>0</v>
      </c>
      <c r="F85" s="151">
        <f ca="1">IFERROR(__xludf.DUMMYFUNCTION("IMPORTRANGE(""https://docs.google.com/spreadsheets/d/1-uDff_7J0KD5mKrp0Vvzr7lt3OU09vwQwhkpOPPYv2Y/edit?usp=sharing"",""งบพรบ!BI85"")"),0)</f>
        <v>0</v>
      </c>
      <c r="G85" s="151">
        <f ca="1">IFERROR(__xludf.DUMMYFUNCTION("IMPORTRANGE(""https://docs.google.com/spreadsheets/d/1-uDff_7J0KD5mKrp0Vvzr7lt3OU09vwQwhkpOPPYv2Y/edit?usp=sharing"",""งบพรบ!BJ85"")"),0)</f>
        <v>0</v>
      </c>
      <c r="H85" s="151">
        <f ca="1">IFERROR(__xludf.DUMMYFUNCTION("IMPORTRANGE(""https://docs.google.com/spreadsheets/d/1-uDff_7J0KD5mKrp0Vvzr7lt3OU09vwQwhkpOPPYv2Y/edit?usp=sharing"",""งบพรบ!BL85"")"),0)</f>
        <v>0</v>
      </c>
      <c r="I85" s="151">
        <f ca="1">IFERROR(__xludf.DUMMYFUNCTION("IMPORTRANGE(""https://docs.google.com/spreadsheets/d/1-uDff_7J0KD5mKrp0Vvzr7lt3OU09vwQwhkpOPPYv2Y/edit?usp=sharing"",""งบพรบ!BM85"")"),0)</f>
        <v>0</v>
      </c>
      <c r="J85" s="151">
        <f t="shared" ca="1" si="27"/>
        <v>0</v>
      </c>
      <c r="K85" s="154">
        <f t="shared" ca="1" si="28"/>
        <v>0</v>
      </c>
      <c r="L85" s="151">
        <f ca="1">IFERROR(__xludf.DUMMYFUNCTION("IMPORTRANGE(""https://docs.google.com/spreadsheets/d/1-uDff_7J0KD5mKrp0Vvzr7lt3OU09vwQwhkpOPPYv2Y/edit?usp=sharing"",""งบพรบ!BN85"")"),0)</f>
        <v>0</v>
      </c>
      <c r="M85" s="68">
        <f t="shared" ca="1" si="29"/>
        <v>0</v>
      </c>
      <c r="N85" s="68">
        <f t="shared" ca="1" si="30"/>
        <v>0</v>
      </c>
      <c r="O85" s="67">
        <f ca="1">IFERROR(__xludf.DUMMYFUNCTION("IMPORTRANGE(""https://docs.google.com/spreadsheets/d/1-uDff_7J0KD5mKrp0Vvzr7lt3OU09vwQwhkpOPPYv2Y/edit?usp=sharing"",""งบพรบ!BO85"")"),0)</f>
        <v>0</v>
      </c>
      <c r="P85" s="67">
        <f t="shared" ca="1" si="31"/>
        <v>0</v>
      </c>
      <c r="Q85" s="68">
        <f t="shared" ca="1" si="32"/>
        <v>0</v>
      </c>
      <c r="R85" s="67">
        <f ca="1">IFERROR(__xludf.DUMMYFUNCTION("IMPORTRANGE(""https://docs.google.com/spreadsheets/d/1qfrKjzMhm2HJfxQ-qVlJlJQ25Hne1d0khsySbZyGtPA/edit?usp=sharing"",""ระนอง!Q117"")"),191460)</f>
        <v>191460</v>
      </c>
      <c r="S85" s="67">
        <f ca="1">IFERROR(__xludf.DUMMYFUNCTION("IMPORTRANGE(""https://docs.google.com/spreadsheets/d/1qfrKjzMhm2HJfxQ-qVlJlJQ25Hne1d0khsySbZyGtPA/edit?usp=sharing"",""ระนอง!R117"")"),191460)</f>
        <v>191460</v>
      </c>
      <c r="T85" s="67">
        <f ca="1">IFERROR(__xludf.DUMMYFUNCTION("IMPORTRANGE(""https://docs.google.com/spreadsheets/d/1qfrKjzMhm2HJfxQ-qVlJlJQ25Hne1d0khsySbZyGtPA/edit?usp=sharing"",""ระนอง!S117"")"),153736)</f>
        <v>153736</v>
      </c>
      <c r="U85" s="68">
        <f t="shared" ca="1" si="34"/>
        <v>80.296667711271283</v>
      </c>
      <c r="V85" s="68">
        <f t="shared" ca="1" si="35"/>
        <v>80.296667711271283</v>
      </c>
      <c r="W85" s="74">
        <f ca="1">IFERROR(__xludf.DUMMYFUNCTION("IMPORTRANGE(""https://docs.google.com/spreadsheets/d/1qfrKjzMhm2HJfxQ-qVlJlJQ25Hne1d0khsySbZyGtPA/edit?usp=sharing"",""ระนอง!I127"")"),15)</f>
        <v>15</v>
      </c>
      <c r="X85" s="74">
        <f ca="1">IFERROR(__xludf.DUMMYFUNCTION("IMPORTRANGE(""https://docs.google.com/spreadsheets/d/1qfrKjzMhm2HJfxQ-qVlJlJQ25Hne1d0khsySbZyGtPA/edit?usp=sharing"",""ระนอง!J127"")"),15)</f>
        <v>15</v>
      </c>
      <c r="Y85" s="79">
        <f t="shared" ca="1" si="37"/>
        <v>100</v>
      </c>
      <c r="Z85" s="74">
        <f ca="1">IFERROR(__xludf.DUMMYFUNCTION("IMPORTRANGE(""https://docs.google.com/spreadsheets/d/1qfrKjzMhm2HJfxQ-qVlJlJQ25Hne1d0khsySbZyGtPA/edit?usp=sharing"",""ระนอง!J128"")"),1)</f>
        <v>1</v>
      </c>
      <c r="AA85" s="74">
        <f ca="1">IFERROR(__xludf.DUMMYFUNCTION("IMPORTRANGE(""https://docs.google.com/spreadsheets/d/1qfrKjzMhm2HJfxQ-qVlJlJQ25Hne1d0khsySbZyGtPA/edit?usp=sharing"",""ระนอง!I129"")"),15)</f>
        <v>15</v>
      </c>
      <c r="AB85" s="74">
        <f ca="1">IFERROR(__xludf.DUMMYFUNCTION("IMPORTRANGE(""https://docs.google.com/spreadsheets/d/1qfrKjzMhm2HJfxQ-qVlJlJQ25Hne1d0khsySbZyGtPA/edit?usp=sharing"",""ระนอง!J129"")"),15)</f>
        <v>15</v>
      </c>
      <c r="AC85" s="79">
        <f t="shared" ca="1" si="39"/>
        <v>100</v>
      </c>
      <c r="AD85" s="152">
        <f ca="1">IFERROR(__xludf.DUMMYFUNCTION("IMPORTRANGE(""https://docs.google.com/spreadsheets/d/1qfrKjzMhm2HJfxQ-qVlJlJQ25Hne1d0khsySbZyGtPA/edit?usp=sharing"",""ระนอง!J130"")"),1)</f>
        <v>1</v>
      </c>
      <c r="AE85" s="74">
        <v>0</v>
      </c>
      <c r="AF85" s="74">
        <v>0</v>
      </c>
      <c r="AG85" s="79">
        <v>0</v>
      </c>
    </row>
    <row r="86" spans="1:33" ht="19.5" x14ac:dyDescent="0.3">
      <c r="A86" s="147">
        <v>12</v>
      </c>
      <c r="B86" s="148" t="s">
        <v>114</v>
      </c>
      <c r="C86" s="149">
        <f t="shared" ca="1" si="25"/>
        <v>0</v>
      </c>
      <c r="D86" s="150">
        <f t="shared" ca="1" si="55"/>
        <v>0</v>
      </c>
      <c r="E86" s="151">
        <f ca="1">IFERROR(__xludf.DUMMYFUNCTION("IMPORTRANGE(""https://docs.google.com/spreadsheets/d/1-uDff_7J0KD5mKrp0Vvzr7lt3OU09vwQwhkpOPPYv2Y/edit?usp=sharing"",""งบพรบ!BH86"")"),0)</f>
        <v>0</v>
      </c>
      <c r="F86" s="151">
        <f ca="1">IFERROR(__xludf.DUMMYFUNCTION("IMPORTRANGE(""https://docs.google.com/spreadsheets/d/1-uDff_7J0KD5mKrp0Vvzr7lt3OU09vwQwhkpOPPYv2Y/edit?usp=sharing"",""งบพรบ!BI86"")"),0)</f>
        <v>0</v>
      </c>
      <c r="G86" s="151">
        <f ca="1">IFERROR(__xludf.DUMMYFUNCTION("IMPORTRANGE(""https://docs.google.com/spreadsheets/d/1-uDff_7J0KD5mKrp0Vvzr7lt3OU09vwQwhkpOPPYv2Y/edit?usp=sharing"",""งบพรบ!BJ86"")"),0)</f>
        <v>0</v>
      </c>
      <c r="H86" s="151">
        <f ca="1">IFERROR(__xludf.DUMMYFUNCTION("IMPORTRANGE(""https://docs.google.com/spreadsheets/d/1-uDff_7J0KD5mKrp0Vvzr7lt3OU09vwQwhkpOPPYv2Y/edit?usp=sharing"",""งบพรบ!BL86"")"),0)</f>
        <v>0</v>
      </c>
      <c r="I86" s="151">
        <f ca="1">IFERROR(__xludf.DUMMYFUNCTION("IMPORTRANGE(""https://docs.google.com/spreadsheets/d/1-uDff_7J0KD5mKrp0Vvzr7lt3OU09vwQwhkpOPPYv2Y/edit?usp=sharing"",""งบพรบ!BM86"")"),0)</f>
        <v>0</v>
      </c>
      <c r="J86" s="151">
        <f t="shared" ca="1" si="27"/>
        <v>0</v>
      </c>
      <c r="K86" s="154">
        <f t="shared" ca="1" si="28"/>
        <v>0</v>
      </c>
      <c r="L86" s="151">
        <f ca="1">IFERROR(__xludf.DUMMYFUNCTION("IMPORTRANGE(""https://docs.google.com/spreadsheets/d/1-uDff_7J0KD5mKrp0Vvzr7lt3OU09vwQwhkpOPPYv2Y/edit?usp=sharing"",""งบพรบ!BN86"")"),0)</f>
        <v>0</v>
      </c>
      <c r="M86" s="68">
        <f t="shared" ca="1" si="29"/>
        <v>0</v>
      </c>
      <c r="N86" s="68">
        <f t="shared" ca="1" si="30"/>
        <v>0</v>
      </c>
      <c r="O86" s="67">
        <f ca="1">IFERROR(__xludf.DUMMYFUNCTION("IMPORTRANGE(""https://docs.google.com/spreadsheets/d/1-uDff_7J0KD5mKrp0Vvzr7lt3OU09vwQwhkpOPPYv2Y/edit?usp=sharing"",""งบพรบ!BO86"")"),0)</f>
        <v>0</v>
      </c>
      <c r="P86" s="67">
        <f t="shared" ca="1" si="31"/>
        <v>0</v>
      </c>
      <c r="Q86" s="68">
        <f t="shared" ca="1" si="32"/>
        <v>0</v>
      </c>
      <c r="R86" s="67">
        <f ca="1">IFERROR(__xludf.DUMMYFUNCTION("IMPORTRANGE(""https://docs.google.com/spreadsheets/d/1IbSCnFOKpZsnFogBHJnL_isstZVaOMnFiIN0fGTPZZw/edit?usp=sharing"",""สงขลา!Q117"")"),209360)</f>
        <v>209360</v>
      </c>
      <c r="S86" s="67">
        <f ca="1">IFERROR(__xludf.DUMMYFUNCTION("IMPORTRANGE(""https://docs.google.com/spreadsheets/d/1IbSCnFOKpZsnFogBHJnL_isstZVaOMnFiIN0fGTPZZw/edit?usp=sharing"",""สงขลา!R117"")"),209360)</f>
        <v>209360</v>
      </c>
      <c r="T86" s="67">
        <f ca="1">IFERROR(__xludf.DUMMYFUNCTION("IMPORTRANGE(""https://docs.google.com/spreadsheets/d/1IbSCnFOKpZsnFogBHJnL_isstZVaOMnFiIN0fGTPZZw/edit?usp=sharing"",""สงขลา!S117"")"),171701.1)</f>
        <v>171701.1</v>
      </c>
      <c r="U86" s="68">
        <f t="shared" ca="1" si="34"/>
        <v>82.012371035536873</v>
      </c>
      <c r="V86" s="68">
        <f t="shared" ca="1" si="35"/>
        <v>82.012371035536873</v>
      </c>
      <c r="W86" s="74">
        <f ca="1">IFERROR(__xludf.DUMMYFUNCTION("IMPORTRANGE(""https://docs.google.com/spreadsheets/d/1IbSCnFOKpZsnFogBHJnL_isstZVaOMnFiIN0fGTPZZw/edit?usp=sharing"",""สงขลา!I127"")"),20)</f>
        <v>20</v>
      </c>
      <c r="X86" s="74">
        <f ca="1">IFERROR(__xludf.DUMMYFUNCTION("IMPORTRANGE(""https://docs.google.com/spreadsheets/d/1IbSCnFOKpZsnFogBHJnL_isstZVaOMnFiIN0fGTPZZw/edit?usp=sharing"",""สงขลา!J127"")"),20)</f>
        <v>20</v>
      </c>
      <c r="Y86" s="79">
        <f t="shared" ca="1" si="37"/>
        <v>100</v>
      </c>
      <c r="Z86" s="74">
        <f ca="1">IFERROR(__xludf.DUMMYFUNCTION("IMPORTRANGE(""https://docs.google.com/spreadsheets/d/1IbSCnFOKpZsnFogBHJnL_isstZVaOMnFiIN0fGTPZZw/edit?usp=sharing"",""สงขลา!J128"")"),1)</f>
        <v>1</v>
      </c>
      <c r="AA86" s="74">
        <f ca="1">IFERROR(__xludf.DUMMYFUNCTION("IMPORTRANGE(""https://docs.google.com/spreadsheets/d/1IbSCnFOKpZsnFogBHJnL_isstZVaOMnFiIN0fGTPZZw/edit?usp=sharing"",""สงขลา!I129"")"),20)</f>
        <v>20</v>
      </c>
      <c r="AB86" s="74">
        <f ca="1">IFERROR(__xludf.DUMMYFUNCTION("IMPORTRANGE(""https://docs.google.com/spreadsheets/d/1IbSCnFOKpZsnFogBHJnL_isstZVaOMnFiIN0fGTPZZw/edit?usp=sharing"",""สงขลา!J129"")"),20)</f>
        <v>20</v>
      </c>
      <c r="AC86" s="79">
        <f t="shared" ca="1" si="39"/>
        <v>100</v>
      </c>
      <c r="AD86" s="152">
        <f ca="1">IFERROR(__xludf.DUMMYFUNCTION("IMPORTRANGE(""https://docs.google.com/spreadsheets/d/1IbSCnFOKpZsnFogBHJnL_isstZVaOMnFiIN0fGTPZZw/edit?usp=sharing"",""สงขลา!J130"")"),1)</f>
        <v>1</v>
      </c>
      <c r="AE86" s="74">
        <v>0</v>
      </c>
      <c r="AF86" s="74">
        <v>0</v>
      </c>
      <c r="AG86" s="79">
        <v>0</v>
      </c>
    </row>
    <row r="87" spans="1:33" ht="19.5" x14ac:dyDescent="0.3">
      <c r="A87" s="147">
        <v>13</v>
      </c>
      <c r="B87" s="148" t="s">
        <v>115</v>
      </c>
      <c r="C87" s="149">
        <f t="shared" ca="1" si="25"/>
        <v>0</v>
      </c>
      <c r="D87" s="150">
        <f t="shared" ca="1" si="55"/>
        <v>0</v>
      </c>
      <c r="E87" s="151">
        <f ca="1">IFERROR(__xludf.DUMMYFUNCTION("IMPORTRANGE(""https://docs.google.com/spreadsheets/d/1-uDff_7J0KD5mKrp0Vvzr7lt3OU09vwQwhkpOPPYv2Y/edit?usp=sharing"",""งบพรบ!BH87"")"),0)</f>
        <v>0</v>
      </c>
      <c r="F87" s="151">
        <f ca="1">IFERROR(__xludf.DUMMYFUNCTION("IMPORTRANGE(""https://docs.google.com/spreadsheets/d/1-uDff_7J0KD5mKrp0Vvzr7lt3OU09vwQwhkpOPPYv2Y/edit?usp=sharing"",""งบพรบ!BI87"")"),0)</f>
        <v>0</v>
      </c>
      <c r="G87" s="151">
        <f ca="1">IFERROR(__xludf.DUMMYFUNCTION("IMPORTRANGE(""https://docs.google.com/spreadsheets/d/1-uDff_7J0KD5mKrp0Vvzr7lt3OU09vwQwhkpOPPYv2Y/edit?usp=sharing"",""งบพรบ!BJ87"")"),0)</f>
        <v>0</v>
      </c>
      <c r="H87" s="151">
        <f ca="1">IFERROR(__xludf.DUMMYFUNCTION("IMPORTRANGE(""https://docs.google.com/spreadsheets/d/1-uDff_7J0KD5mKrp0Vvzr7lt3OU09vwQwhkpOPPYv2Y/edit?usp=sharing"",""งบพรบ!BL87"")"),0)</f>
        <v>0</v>
      </c>
      <c r="I87" s="151">
        <f ca="1">IFERROR(__xludf.DUMMYFUNCTION("IMPORTRANGE(""https://docs.google.com/spreadsheets/d/1-uDff_7J0KD5mKrp0Vvzr7lt3OU09vwQwhkpOPPYv2Y/edit?usp=sharing"",""งบพรบ!BM87"")"),0)</f>
        <v>0</v>
      </c>
      <c r="J87" s="151">
        <f t="shared" ca="1" si="27"/>
        <v>0</v>
      </c>
      <c r="K87" s="154">
        <f t="shared" ca="1" si="28"/>
        <v>0</v>
      </c>
      <c r="L87" s="151">
        <f ca="1">IFERROR(__xludf.DUMMYFUNCTION("IMPORTRANGE(""https://docs.google.com/spreadsheets/d/1-uDff_7J0KD5mKrp0Vvzr7lt3OU09vwQwhkpOPPYv2Y/edit?usp=sharing"",""งบพรบ!BN87"")"),0)</f>
        <v>0</v>
      </c>
      <c r="M87" s="68">
        <f t="shared" ca="1" si="29"/>
        <v>0</v>
      </c>
      <c r="N87" s="68">
        <f t="shared" ca="1" si="30"/>
        <v>0</v>
      </c>
      <c r="O87" s="67">
        <f ca="1">IFERROR(__xludf.DUMMYFUNCTION("IMPORTRANGE(""https://docs.google.com/spreadsheets/d/1-uDff_7J0KD5mKrp0Vvzr7lt3OU09vwQwhkpOPPYv2Y/edit?usp=sharing"",""งบพรบ!BO87"")"),0)</f>
        <v>0</v>
      </c>
      <c r="P87" s="67">
        <f t="shared" ca="1" si="31"/>
        <v>0</v>
      </c>
      <c r="Q87" s="68">
        <f t="shared" ca="1" si="32"/>
        <v>0</v>
      </c>
      <c r="R87" s="67">
        <f ca="1">IFERROR(__xludf.DUMMYFUNCTION("IMPORTRANGE(""https://docs.google.com/spreadsheets/d/1q9nWasZJ-K8bFGvbE9n0qSRuKGA4Toe3Y89cKCiVtCU/edit?usp=sharing"",""สตูล!Q117"")"),173660)</f>
        <v>173660</v>
      </c>
      <c r="S87" s="67">
        <f ca="1">IFERROR(__xludf.DUMMYFUNCTION("IMPORTRANGE(""https://docs.google.com/spreadsheets/d/1q9nWasZJ-K8bFGvbE9n0qSRuKGA4Toe3Y89cKCiVtCU/edit?usp=sharing"",""สตูล!R117"")"),173660)</f>
        <v>173660</v>
      </c>
      <c r="T87" s="67">
        <f ca="1">IFERROR(__xludf.DUMMYFUNCTION("IMPORTRANGE(""https://docs.google.com/spreadsheets/d/1q9nWasZJ-K8bFGvbE9n0qSRuKGA4Toe3Y89cKCiVtCU/edit?usp=sharing"",""สตูล!S117"")"),117536)</f>
        <v>117536</v>
      </c>
      <c r="U87" s="68">
        <f t="shared" ca="1" si="34"/>
        <v>67.681676839801909</v>
      </c>
      <c r="V87" s="68">
        <f t="shared" ca="1" si="35"/>
        <v>67.681676839801909</v>
      </c>
      <c r="W87" s="74">
        <f ca="1">IFERROR(__xludf.DUMMYFUNCTION("IMPORTRANGE(""https://docs.google.com/spreadsheets/d/1q9nWasZJ-K8bFGvbE9n0qSRuKGA4Toe3Y89cKCiVtCU/edit?usp=sharing"",""สตูล!I127"")"),10)</f>
        <v>10</v>
      </c>
      <c r="X87" s="74">
        <f ca="1">IFERROR(__xludf.DUMMYFUNCTION("IMPORTRANGE(""https://docs.google.com/spreadsheets/d/1q9nWasZJ-K8bFGvbE9n0qSRuKGA4Toe3Y89cKCiVtCU/edit?usp=sharing"",""สตูล!J127"")"),10)</f>
        <v>10</v>
      </c>
      <c r="Y87" s="79">
        <f t="shared" ca="1" si="37"/>
        <v>100</v>
      </c>
      <c r="Z87" s="74">
        <f ca="1">IFERROR(__xludf.DUMMYFUNCTION("IMPORTRANGE(""https://docs.google.com/spreadsheets/d/1q9nWasZJ-K8bFGvbE9n0qSRuKGA4Toe3Y89cKCiVtCU/edit?usp=sharing"",""สตูล!J128"")"),1)</f>
        <v>1</v>
      </c>
      <c r="AA87" s="74">
        <f ca="1">IFERROR(__xludf.DUMMYFUNCTION("IMPORTRANGE(""https://docs.google.com/spreadsheets/d/1q9nWasZJ-K8bFGvbE9n0qSRuKGA4Toe3Y89cKCiVtCU/edit?usp=sharing"",""สตูล!I129"")"),10)</f>
        <v>10</v>
      </c>
      <c r="AB87" s="74">
        <f ca="1">IFERROR(__xludf.DUMMYFUNCTION("IMPORTRANGE(""https://docs.google.com/spreadsheets/d/1q9nWasZJ-K8bFGvbE9n0qSRuKGA4Toe3Y89cKCiVtCU/edit?usp=sharing"",""สตูล!J129"")"),10)</f>
        <v>10</v>
      </c>
      <c r="AC87" s="79">
        <f t="shared" ca="1" si="39"/>
        <v>100</v>
      </c>
      <c r="AD87" s="152">
        <f ca="1">IFERROR(__xludf.DUMMYFUNCTION("IMPORTRANGE(""https://docs.google.com/spreadsheets/d/1q9nWasZJ-K8bFGvbE9n0qSRuKGA4Toe3Y89cKCiVtCU/edit?usp=sharing"",""สตูล!J130"")"),1)</f>
        <v>1</v>
      </c>
      <c r="AE87" s="74">
        <v>0</v>
      </c>
      <c r="AF87" s="74">
        <v>0</v>
      </c>
      <c r="AG87" s="79">
        <v>0</v>
      </c>
    </row>
    <row r="88" spans="1:33" ht="19.5" x14ac:dyDescent="0.3">
      <c r="A88" s="155">
        <v>14</v>
      </c>
      <c r="B88" s="156" t="s">
        <v>116</v>
      </c>
      <c r="C88" s="157">
        <f t="shared" ca="1" si="25"/>
        <v>0</v>
      </c>
      <c r="D88" s="158">
        <f t="shared" ca="1" si="55"/>
        <v>0</v>
      </c>
      <c r="E88" s="159">
        <f ca="1">IFERROR(__xludf.DUMMYFUNCTION("IMPORTRANGE(""https://docs.google.com/spreadsheets/d/1-uDff_7J0KD5mKrp0Vvzr7lt3OU09vwQwhkpOPPYv2Y/edit?usp=sharing"",""งบพรบ!BH88"")"),0)</f>
        <v>0</v>
      </c>
      <c r="F88" s="159">
        <f ca="1">IFERROR(__xludf.DUMMYFUNCTION("IMPORTRANGE(""https://docs.google.com/spreadsheets/d/1-uDff_7J0KD5mKrp0Vvzr7lt3OU09vwQwhkpOPPYv2Y/edit?usp=sharing"",""งบพรบ!BI88"")"),0)</f>
        <v>0</v>
      </c>
      <c r="G88" s="159">
        <f ca="1">IFERROR(__xludf.DUMMYFUNCTION("IMPORTRANGE(""https://docs.google.com/spreadsheets/d/1-uDff_7J0KD5mKrp0Vvzr7lt3OU09vwQwhkpOPPYv2Y/edit?usp=sharing"",""งบพรบ!BJ88"")"),0)</f>
        <v>0</v>
      </c>
      <c r="H88" s="159">
        <f ca="1">IFERROR(__xludf.DUMMYFUNCTION("IMPORTRANGE(""https://docs.google.com/spreadsheets/d/1-uDff_7J0KD5mKrp0Vvzr7lt3OU09vwQwhkpOPPYv2Y/edit?usp=sharing"",""งบพรบ!BL88"")"),0)</f>
        <v>0</v>
      </c>
      <c r="I88" s="159">
        <f ca="1">IFERROR(__xludf.DUMMYFUNCTION("IMPORTRANGE(""https://docs.google.com/spreadsheets/d/1-uDff_7J0KD5mKrp0Vvzr7lt3OU09vwQwhkpOPPYv2Y/edit?usp=sharing"",""งบพรบ!BM88"")"),0)</f>
        <v>0</v>
      </c>
      <c r="J88" s="159">
        <f t="shared" ca="1" si="27"/>
        <v>0</v>
      </c>
      <c r="K88" s="160">
        <f t="shared" ca="1" si="28"/>
        <v>0</v>
      </c>
      <c r="L88" s="159">
        <f ca="1">IFERROR(__xludf.DUMMYFUNCTION("IMPORTRANGE(""https://docs.google.com/spreadsheets/d/1-uDff_7J0KD5mKrp0Vvzr7lt3OU09vwQwhkpOPPYv2Y/edit?usp=sharing"",""งบพรบ!BN88"")"),0)</f>
        <v>0</v>
      </c>
      <c r="M88" s="89">
        <f t="shared" ca="1" si="29"/>
        <v>0</v>
      </c>
      <c r="N88" s="89">
        <f t="shared" ca="1" si="30"/>
        <v>0</v>
      </c>
      <c r="O88" s="88">
        <f ca="1">IFERROR(__xludf.DUMMYFUNCTION("IMPORTRANGE(""https://docs.google.com/spreadsheets/d/1-uDff_7J0KD5mKrp0Vvzr7lt3OU09vwQwhkpOPPYv2Y/edit?usp=sharing"",""งบพรบ!BO88"")"),0)</f>
        <v>0</v>
      </c>
      <c r="P88" s="88">
        <f t="shared" ca="1" si="31"/>
        <v>0</v>
      </c>
      <c r="Q88" s="89">
        <f t="shared" ca="1" si="32"/>
        <v>0</v>
      </c>
      <c r="R88" s="88">
        <f ca="1">IFERROR(__xludf.DUMMYFUNCTION("IMPORTRANGE(""https://docs.google.com/spreadsheets/d/18T20gbkS_WBjdscyTOV05cvq_JqvqQ17C81mpxf7Ncs/edit?usp=sharing"",""สุราษฎร์ธานี!Q117"")"),284520)</f>
        <v>284520</v>
      </c>
      <c r="S88" s="88">
        <f ca="1">IFERROR(__xludf.DUMMYFUNCTION("IMPORTRANGE(""https://docs.google.com/spreadsheets/d/18T20gbkS_WBjdscyTOV05cvq_JqvqQ17C81mpxf7Ncs/edit?usp=sharing"",""สุราษฎร์ธานี!R117"")"),284520)</f>
        <v>284520</v>
      </c>
      <c r="T88" s="88">
        <f ca="1">IFERROR(__xludf.DUMMYFUNCTION("IMPORTRANGE(""https://docs.google.com/spreadsheets/d/18T20gbkS_WBjdscyTOV05cvq_JqvqQ17C81mpxf7Ncs/edit?usp=sharing"",""สุราษฎร์ธานี!S117"")"),236946.67)</f>
        <v>236946.67</v>
      </c>
      <c r="U88" s="89">
        <f t="shared" ca="1" si="34"/>
        <v>83.279442569942361</v>
      </c>
      <c r="V88" s="89">
        <f t="shared" ca="1" si="35"/>
        <v>83.279442569942361</v>
      </c>
      <c r="W88" s="84">
        <f ca="1">IFERROR(__xludf.DUMMYFUNCTION("IMPORTRANGE(""https://docs.google.com/spreadsheets/d/18T20gbkS_WBjdscyTOV05cvq_JqvqQ17C81mpxf7Ncs/edit?usp=sharing"",""สุราษฎร์ธานี!I127"")"),50)</f>
        <v>50</v>
      </c>
      <c r="X88" s="84">
        <f ca="1">IFERROR(__xludf.DUMMYFUNCTION("IMPORTRANGE(""https://docs.google.com/spreadsheets/d/18T20gbkS_WBjdscyTOV05cvq_JqvqQ17C81mpxf7Ncs/edit?usp=sharing"",""สุราษฎร์ธานี!J127"")"),50)</f>
        <v>50</v>
      </c>
      <c r="Y88" s="91">
        <f t="shared" ca="1" si="37"/>
        <v>100</v>
      </c>
      <c r="Z88" s="84">
        <f ca="1">IFERROR(__xludf.DUMMYFUNCTION("IMPORTRANGE(""https://docs.google.com/spreadsheets/d/18T20gbkS_WBjdscyTOV05cvq_JqvqQ17C81mpxf7Ncs/edit?usp=sharing"",""สุราษฎร์ธานี!J128"")"),2)</f>
        <v>2</v>
      </c>
      <c r="AA88" s="84">
        <f ca="1">IFERROR(__xludf.DUMMYFUNCTION("IMPORTRANGE(""https://docs.google.com/spreadsheets/d/18T20gbkS_WBjdscyTOV05cvq_JqvqQ17C81mpxf7Ncs/edit?usp=sharing"",""สุราษฎร์ธานี!I129"")"),20)</f>
        <v>20</v>
      </c>
      <c r="AB88" s="84">
        <f ca="1">IFERROR(__xludf.DUMMYFUNCTION("IMPORTRANGE(""https://docs.google.com/spreadsheets/d/18T20gbkS_WBjdscyTOV05cvq_JqvqQ17C81mpxf7Ncs/edit?usp=sharing"",""สุราษฎร์ธานี!J129"")"),20)</f>
        <v>20</v>
      </c>
      <c r="AC88" s="91">
        <f t="shared" ca="1" si="39"/>
        <v>100</v>
      </c>
      <c r="AD88" s="191">
        <f ca="1">IFERROR(__xludf.DUMMYFUNCTION("IMPORTRANGE(""https://docs.google.com/spreadsheets/d/18T20gbkS_WBjdscyTOV05cvq_JqvqQ17C81mpxf7Ncs/edit?usp=sharing"",""สุราษฎร์ธานี!J130"")"),1)</f>
        <v>1</v>
      </c>
      <c r="AE88" s="84">
        <v>0</v>
      </c>
      <c r="AF88" s="84">
        <v>0</v>
      </c>
      <c r="AG88" s="91">
        <v>0</v>
      </c>
    </row>
    <row r="89" spans="1:33" ht="19.5" x14ac:dyDescent="0.3">
      <c r="A89" s="698" t="s">
        <v>117</v>
      </c>
      <c r="B89" s="662"/>
      <c r="C89" s="39">
        <f t="shared" ref="C89:Q89" ca="1" si="56">SUM(C90:C108)</f>
        <v>452500</v>
      </c>
      <c r="D89" s="39">
        <f t="shared" ca="1" si="56"/>
        <v>452500</v>
      </c>
      <c r="E89" s="39">
        <f t="shared" ca="1" si="56"/>
        <v>203600</v>
      </c>
      <c r="F89" s="39">
        <f t="shared" ca="1" si="56"/>
        <v>248900</v>
      </c>
      <c r="G89" s="39">
        <f t="shared" ca="1" si="56"/>
        <v>0</v>
      </c>
      <c r="H89" s="39">
        <f t="shared" ca="1" si="56"/>
        <v>452500</v>
      </c>
      <c r="I89" s="39">
        <f t="shared" ca="1" si="56"/>
        <v>0</v>
      </c>
      <c r="J89" s="39">
        <f t="shared" ca="1" si="56"/>
        <v>234060</v>
      </c>
      <c r="K89" s="40">
        <f t="shared" ca="1" si="56"/>
        <v>6.7314917127071823</v>
      </c>
      <c r="L89" s="39">
        <f t="shared" ca="1" si="56"/>
        <v>234060</v>
      </c>
      <c r="M89" s="40">
        <f t="shared" ca="1" si="56"/>
        <v>6.7314917127071823</v>
      </c>
      <c r="N89" s="40">
        <f t="shared" ca="1" si="56"/>
        <v>112.23784652470871</v>
      </c>
      <c r="O89" s="39">
        <f t="shared" ca="1" si="56"/>
        <v>0</v>
      </c>
      <c r="P89" s="39">
        <f t="shared" ca="1" si="56"/>
        <v>0</v>
      </c>
      <c r="Q89" s="39">
        <f t="shared" ca="1" si="56"/>
        <v>0</v>
      </c>
      <c r="R89" s="39">
        <f t="shared" ref="R89:T89" ca="1" si="57">SUM(R90:R106)</f>
        <v>1607320</v>
      </c>
      <c r="S89" s="39">
        <f t="shared" ca="1" si="57"/>
        <v>1607320</v>
      </c>
      <c r="T89" s="39">
        <f t="shared" ca="1" si="57"/>
        <v>243443.68</v>
      </c>
      <c r="U89" s="39">
        <f t="shared" ca="1" si="34"/>
        <v>15.145937336684668</v>
      </c>
      <c r="V89" s="39">
        <f t="shared" ca="1" si="35"/>
        <v>15.145937336684668</v>
      </c>
      <c r="W89" s="39"/>
      <c r="X89" s="39"/>
      <c r="Y89" s="169"/>
      <c r="Z89" s="169"/>
      <c r="AA89" s="39"/>
      <c r="AB89" s="39"/>
      <c r="AC89" s="169"/>
      <c r="AD89" s="169"/>
      <c r="AE89" s="39"/>
      <c r="AF89" s="39"/>
      <c r="AG89" s="169"/>
    </row>
    <row r="90" spans="1:33" ht="19.5" x14ac:dyDescent="0.3">
      <c r="A90" s="102"/>
      <c r="B90" s="103" t="s">
        <v>118</v>
      </c>
      <c r="C90" s="170">
        <f t="shared" ref="C90:C108" ca="1" si="58">D90+G90</f>
        <v>0</v>
      </c>
      <c r="D90" s="171">
        <f t="shared" ref="D90:D108" ca="1" si="59">+E90+F90</f>
        <v>0</v>
      </c>
      <c r="E90" s="62">
        <f ca="1">IFERROR(__xludf.DUMMYFUNCTION("IMPORTRANGE(""https://docs.google.com/spreadsheets/d/1-uDff_7J0KD5mKrp0Vvzr7lt3OU09vwQwhkpOPPYv2Y/edit?usp=sharing"",""งบพรบ!BH90"")"),0)</f>
        <v>0</v>
      </c>
      <c r="F90" s="62">
        <f ca="1">IFERROR(__xludf.DUMMYFUNCTION("IMPORTRANGE(""https://docs.google.com/spreadsheets/d/1-uDff_7J0KD5mKrp0Vvzr7lt3OU09vwQwhkpOPPYv2Y/edit?usp=sharing"",""งบพรบ!BI90"")"),0)</f>
        <v>0</v>
      </c>
      <c r="G90" s="62">
        <f ca="1">IFERROR(__xludf.DUMMYFUNCTION("IMPORTRANGE(""https://docs.google.com/spreadsheets/d/1-uDff_7J0KD5mKrp0Vvzr7lt3OU09vwQwhkpOPPYv2Y/edit?usp=sharing"",""งบพรบ!BJ90"")"),0)</f>
        <v>0</v>
      </c>
      <c r="H90" s="62">
        <f ca="1">IFERROR(__xludf.DUMMYFUNCTION("IMPORTRANGE(""https://docs.google.com/spreadsheets/d/1-uDff_7J0KD5mKrp0Vvzr7lt3OU09vwQwhkpOPPYv2Y/edit?usp=sharing"",""งบพรบ!BL90"")"),0)</f>
        <v>0</v>
      </c>
      <c r="I90" s="62">
        <f ca="1">IFERROR(__xludf.DUMMYFUNCTION("IMPORTRANGE(""https://docs.google.com/spreadsheets/d/1-uDff_7J0KD5mKrp0Vvzr7lt3OU09vwQwhkpOPPYv2Y/edit?usp=sharing"",""งบพรบ!BM90"")"),0)</f>
        <v>0</v>
      </c>
      <c r="J90" s="62">
        <f t="shared" ref="J90:J108" ca="1" si="60">L90+O90</f>
        <v>0</v>
      </c>
      <c r="K90" s="104">
        <f t="shared" ref="K90:K108" ca="1" si="61">IF(C90&gt;0,J90*100/C90,0)</f>
        <v>0</v>
      </c>
      <c r="L90" s="62">
        <f ca="1">IFERROR(__xludf.DUMMYFUNCTION("IMPORTRANGE(""https://docs.google.com/spreadsheets/d/1-uDff_7J0KD5mKrp0Vvzr7lt3OU09vwQwhkpOPPYv2Y/edit?usp=sharing"",""งบพรบ!BN90"")"),0)</f>
        <v>0</v>
      </c>
      <c r="M90" s="65">
        <f t="shared" ref="M90:M108" ca="1" si="62">IF(D90&gt;0,L90*100/D90,0)</f>
        <v>0</v>
      </c>
      <c r="N90" s="65">
        <f t="shared" ref="N90:N108" ca="1" si="63">IF(H90&gt;0,L90*100/H90,0)</f>
        <v>0</v>
      </c>
      <c r="O90" s="66">
        <f ca="1">IFERROR(__xludf.DUMMYFUNCTION("IMPORTRANGE(""https://docs.google.com/spreadsheets/d/1-uDff_7J0KD5mKrp0Vvzr7lt3OU09vwQwhkpOPPYv2Y/edit?usp=sharing"",""งบพรบ!BO90"")"),0)</f>
        <v>0</v>
      </c>
      <c r="P90" s="66">
        <f t="shared" ref="P90:P108" ca="1" si="64">IF(G90&gt;0,O90*100/G90,0)</f>
        <v>0</v>
      </c>
      <c r="Q90" s="65">
        <f t="shared" ref="Q90:Q108" ca="1" si="65">IF(I90&gt;0,O90*100/I90,0)</f>
        <v>0</v>
      </c>
      <c r="R90" s="66">
        <v>0</v>
      </c>
      <c r="S90" s="66">
        <v>0</v>
      </c>
      <c r="T90" s="66">
        <v>0</v>
      </c>
      <c r="U90" s="65">
        <f t="shared" si="34"/>
        <v>0</v>
      </c>
      <c r="V90" s="65">
        <f t="shared" si="35"/>
        <v>0</v>
      </c>
      <c r="W90" s="62"/>
      <c r="X90" s="62"/>
      <c r="Y90" s="172"/>
      <c r="Z90" s="172"/>
      <c r="AA90" s="62"/>
      <c r="AB90" s="62"/>
      <c r="AC90" s="172"/>
      <c r="AD90" s="172"/>
      <c r="AE90" s="62"/>
      <c r="AF90" s="62"/>
      <c r="AG90" s="172"/>
    </row>
    <row r="91" spans="1:33" ht="19.5" x14ac:dyDescent="0.3">
      <c r="A91" s="105"/>
      <c r="B91" s="106" t="s">
        <v>119</v>
      </c>
      <c r="C91" s="173">
        <f t="shared" ca="1" si="58"/>
        <v>0</v>
      </c>
      <c r="D91" s="174">
        <f t="shared" ca="1" si="59"/>
        <v>0</v>
      </c>
      <c r="E91" s="74">
        <f ca="1">IFERROR(__xludf.DUMMYFUNCTION("IMPORTRANGE(""https://docs.google.com/spreadsheets/d/1-uDff_7J0KD5mKrp0Vvzr7lt3OU09vwQwhkpOPPYv2Y/edit?usp=sharing"",""งบพรบ!BH91"")"),0)</f>
        <v>0</v>
      </c>
      <c r="F91" s="74">
        <f ca="1">IFERROR(__xludf.DUMMYFUNCTION("IMPORTRANGE(""https://docs.google.com/spreadsheets/d/1-uDff_7J0KD5mKrp0Vvzr7lt3OU09vwQwhkpOPPYv2Y/edit?usp=sharing"",""งบพรบ!BI91"")"),0)</f>
        <v>0</v>
      </c>
      <c r="G91" s="74">
        <f ca="1">IFERROR(__xludf.DUMMYFUNCTION("IMPORTRANGE(""https://docs.google.com/spreadsheets/d/1-uDff_7J0KD5mKrp0Vvzr7lt3OU09vwQwhkpOPPYv2Y/edit?usp=sharing"",""งบพรบ!BJ91"")"),0)</f>
        <v>0</v>
      </c>
      <c r="H91" s="74">
        <f ca="1">IFERROR(__xludf.DUMMYFUNCTION("IMPORTRANGE(""https://docs.google.com/spreadsheets/d/1-uDff_7J0KD5mKrp0Vvzr7lt3OU09vwQwhkpOPPYv2Y/edit?usp=sharing"",""งบพรบ!BL91"")"),0)</f>
        <v>0</v>
      </c>
      <c r="I91" s="74">
        <f ca="1">IFERROR(__xludf.DUMMYFUNCTION("IMPORTRANGE(""https://docs.google.com/spreadsheets/d/1-uDff_7J0KD5mKrp0Vvzr7lt3OU09vwQwhkpOPPYv2Y/edit?usp=sharing"",""งบพรบ!BM91"")"),0)</f>
        <v>0</v>
      </c>
      <c r="J91" s="74">
        <f t="shared" ca="1" si="60"/>
        <v>0</v>
      </c>
      <c r="K91" s="75">
        <f t="shared" ca="1" si="61"/>
        <v>0</v>
      </c>
      <c r="L91" s="74">
        <f ca="1">IFERROR(__xludf.DUMMYFUNCTION("IMPORTRANGE(""https://docs.google.com/spreadsheets/d/1-uDff_7J0KD5mKrp0Vvzr7lt3OU09vwQwhkpOPPYv2Y/edit?usp=sharing"",""งบพรบ!BN91"")"),0)</f>
        <v>0</v>
      </c>
      <c r="M91" s="76">
        <f t="shared" ca="1" si="62"/>
        <v>0</v>
      </c>
      <c r="N91" s="76">
        <f t="shared" ca="1" si="63"/>
        <v>0</v>
      </c>
      <c r="O91" s="77">
        <f ca="1">IFERROR(__xludf.DUMMYFUNCTION("IMPORTRANGE(""https://docs.google.com/spreadsheets/d/1-uDff_7J0KD5mKrp0Vvzr7lt3OU09vwQwhkpOPPYv2Y/edit?usp=sharing"",""งบพรบ!BO91"")"),0)</f>
        <v>0</v>
      </c>
      <c r="P91" s="77">
        <f t="shared" ca="1" si="64"/>
        <v>0</v>
      </c>
      <c r="Q91" s="76">
        <f t="shared" ca="1" si="65"/>
        <v>0</v>
      </c>
      <c r="R91" s="77">
        <v>0</v>
      </c>
      <c r="S91" s="77">
        <v>0</v>
      </c>
      <c r="T91" s="77">
        <v>0</v>
      </c>
      <c r="U91" s="76">
        <f t="shared" si="34"/>
        <v>0</v>
      </c>
      <c r="V91" s="76">
        <f t="shared" si="35"/>
        <v>0</v>
      </c>
      <c r="W91" s="74"/>
      <c r="X91" s="74"/>
      <c r="Y91" s="175"/>
      <c r="Z91" s="175"/>
      <c r="AA91" s="74"/>
      <c r="AB91" s="74"/>
      <c r="AC91" s="175"/>
      <c r="AD91" s="175"/>
      <c r="AE91" s="74"/>
      <c r="AF91" s="74"/>
      <c r="AG91" s="175"/>
    </row>
    <row r="92" spans="1:33" ht="19.5" x14ac:dyDescent="0.3">
      <c r="A92" s="105"/>
      <c r="B92" s="106" t="s">
        <v>120</v>
      </c>
      <c r="C92" s="173">
        <f t="shared" ca="1" si="58"/>
        <v>0</v>
      </c>
      <c r="D92" s="174">
        <f t="shared" ca="1" si="59"/>
        <v>0</v>
      </c>
      <c r="E92" s="74">
        <f ca="1">IFERROR(__xludf.DUMMYFUNCTION("IMPORTRANGE(""https://docs.google.com/spreadsheets/d/1-uDff_7J0KD5mKrp0Vvzr7lt3OU09vwQwhkpOPPYv2Y/edit?usp=sharing"",""งบพรบ!BH92"")"),0)</f>
        <v>0</v>
      </c>
      <c r="F92" s="74">
        <f ca="1">IFERROR(__xludf.DUMMYFUNCTION("IMPORTRANGE(""https://docs.google.com/spreadsheets/d/1-uDff_7J0KD5mKrp0Vvzr7lt3OU09vwQwhkpOPPYv2Y/edit?usp=sharing"",""งบพรบ!BI92"")"),0)</f>
        <v>0</v>
      </c>
      <c r="G92" s="74">
        <f ca="1">IFERROR(__xludf.DUMMYFUNCTION("IMPORTRANGE(""https://docs.google.com/spreadsheets/d/1-uDff_7J0KD5mKrp0Vvzr7lt3OU09vwQwhkpOPPYv2Y/edit?usp=sharing"",""งบพรบ!BJ92"")"),0)</f>
        <v>0</v>
      </c>
      <c r="H92" s="74">
        <f ca="1">IFERROR(__xludf.DUMMYFUNCTION("IMPORTRANGE(""https://docs.google.com/spreadsheets/d/1-uDff_7J0KD5mKrp0Vvzr7lt3OU09vwQwhkpOPPYv2Y/edit?usp=sharing"",""งบพรบ!BL92"")"),0)</f>
        <v>0</v>
      </c>
      <c r="I92" s="74">
        <f ca="1">IFERROR(__xludf.DUMMYFUNCTION("IMPORTRANGE(""https://docs.google.com/spreadsheets/d/1-uDff_7J0KD5mKrp0Vvzr7lt3OU09vwQwhkpOPPYv2Y/edit?usp=sharing"",""งบพรบ!BM92"")"),0)</f>
        <v>0</v>
      </c>
      <c r="J92" s="74">
        <f t="shared" ca="1" si="60"/>
        <v>0</v>
      </c>
      <c r="K92" s="75">
        <f t="shared" ca="1" si="61"/>
        <v>0</v>
      </c>
      <c r="L92" s="74">
        <f ca="1">IFERROR(__xludf.DUMMYFUNCTION("IMPORTRANGE(""https://docs.google.com/spreadsheets/d/1-uDff_7J0KD5mKrp0Vvzr7lt3OU09vwQwhkpOPPYv2Y/edit?usp=sharing"",""งบพรบ!BN92"")"),0)</f>
        <v>0</v>
      </c>
      <c r="M92" s="76">
        <f t="shared" ca="1" si="62"/>
        <v>0</v>
      </c>
      <c r="N92" s="76">
        <f t="shared" ca="1" si="63"/>
        <v>0</v>
      </c>
      <c r="O92" s="77">
        <f ca="1">IFERROR(__xludf.DUMMYFUNCTION("IMPORTRANGE(""https://docs.google.com/spreadsheets/d/1-uDff_7J0KD5mKrp0Vvzr7lt3OU09vwQwhkpOPPYv2Y/edit?usp=sharing"",""งบพรบ!BO92"")"),0)</f>
        <v>0</v>
      </c>
      <c r="P92" s="77">
        <f t="shared" ca="1" si="64"/>
        <v>0</v>
      </c>
      <c r="Q92" s="76">
        <f t="shared" ca="1" si="65"/>
        <v>0</v>
      </c>
      <c r="R92" s="77">
        <v>0</v>
      </c>
      <c r="S92" s="77">
        <v>0</v>
      </c>
      <c r="T92" s="77">
        <v>0</v>
      </c>
      <c r="U92" s="76">
        <f t="shared" si="34"/>
        <v>0</v>
      </c>
      <c r="V92" s="76">
        <f t="shared" si="35"/>
        <v>0</v>
      </c>
      <c r="W92" s="74"/>
      <c r="X92" s="74"/>
      <c r="Y92" s="175"/>
      <c r="Z92" s="175"/>
      <c r="AA92" s="74"/>
      <c r="AB92" s="74"/>
      <c r="AC92" s="175"/>
      <c r="AD92" s="175"/>
      <c r="AE92" s="74"/>
      <c r="AF92" s="74"/>
      <c r="AG92" s="175"/>
    </row>
    <row r="93" spans="1:33" ht="19.5" x14ac:dyDescent="0.3">
      <c r="A93" s="105"/>
      <c r="B93" s="106" t="s">
        <v>121</v>
      </c>
      <c r="C93" s="173">
        <f t="shared" ca="1" si="58"/>
        <v>0</v>
      </c>
      <c r="D93" s="174">
        <f t="shared" ca="1" si="59"/>
        <v>0</v>
      </c>
      <c r="E93" s="74">
        <f ca="1">IFERROR(__xludf.DUMMYFUNCTION("IMPORTRANGE(""https://docs.google.com/spreadsheets/d/1-uDff_7J0KD5mKrp0Vvzr7lt3OU09vwQwhkpOPPYv2Y/edit?usp=sharing"",""งบพรบ!BH93"")"),0)</f>
        <v>0</v>
      </c>
      <c r="F93" s="74">
        <f ca="1">IFERROR(__xludf.DUMMYFUNCTION("IMPORTRANGE(""https://docs.google.com/spreadsheets/d/1-uDff_7J0KD5mKrp0Vvzr7lt3OU09vwQwhkpOPPYv2Y/edit?usp=sharing"",""งบพรบ!BI93"")"),0)</f>
        <v>0</v>
      </c>
      <c r="G93" s="74">
        <f ca="1">IFERROR(__xludf.DUMMYFUNCTION("IMPORTRANGE(""https://docs.google.com/spreadsheets/d/1-uDff_7J0KD5mKrp0Vvzr7lt3OU09vwQwhkpOPPYv2Y/edit?usp=sharing"",""งบพรบ!BJ93"")"),0)</f>
        <v>0</v>
      </c>
      <c r="H93" s="74">
        <f ca="1">IFERROR(__xludf.DUMMYFUNCTION("IMPORTRANGE(""https://docs.google.com/spreadsheets/d/1-uDff_7J0KD5mKrp0Vvzr7lt3OU09vwQwhkpOPPYv2Y/edit?usp=sharing"",""งบพรบ!BL93"")"),203600)</f>
        <v>203600</v>
      </c>
      <c r="I93" s="74">
        <f ca="1">IFERROR(__xludf.DUMMYFUNCTION("IMPORTRANGE(""https://docs.google.com/spreadsheets/d/1-uDff_7J0KD5mKrp0Vvzr7lt3OU09vwQwhkpOPPYv2Y/edit?usp=sharing"",""งบพรบ!BM93"")"),0)</f>
        <v>0</v>
      </c>
      <c r="J93" s="74">
        <f t="shared" ca="1" si="60"/>
        <v>203600</v>
      </c>
      <c r="K93" s="75">
        <f t="shared" ca="1" si="61"/>
        <v>0</v>
      </c>
      <c r="L93" s="74">
        <f ca="1">IFERROR(__xludf.DUMMYFUNCTION("IMPORTRANGE(""https://docs.google.com/spreadsheets/d/1-uDff_7J0KD5mKrp0Vvzr7lt3OU09vwQwhkpOPPYv2Y/edit?usp=sharing"",""งบพรบ!BN93"")"),203600)</f>
        <v>203600</v>
      </c>
      <c r="M93" s="76">
        <f t="shared" ca="1" si="62"/>
        <v>0</v>
      </c>
      <c r="N93" s="76">
        <f t="shared" ca="1" si="63"/>
        <v>100</v>
      </c>
      <c r="O93" s="77">
        <f ca="1">IFERROR(__xludf.DUMMYFUNCTION("IMPORTRANGE(""https://docs.google.com/spreadsheets/d/1-uDff_7J0KD5mKrp0Vvzr7lt3OU09vwQwhkpOPPYv2Y/edit?usp=sharing"",""งบพรบ!BO93"")"),0)</f>
        <v>0</v>
      </c>
      <c r="P93" s="77">
        <f t="shared" ca="1" si="64"/>
        <v>0</v>
      </c>
      <c r="Q93" s="76">
        <f t="shared" ca="1" si="65"/>
        <v>0</v>
      </c>
      <c r="R93" s="77">
        <v>0</v>
      </c>
      <c r="S93" s="77">
        <v>0</v>
      </c>
      <c r="T93" s="77">
        <v>0</v>
      </c>
      <c r="U93" s="76">
        <f t="shared" si="34"/>
        <v>0</v>
      </c>
      <c r="V93" s="76">
        <f t="shared" si="35"/>
        <v>0</v>
      </c>
      <c r="W93" s="74"/>
      <c r="X93" s="74"/>
      <c r="Y93" s="175"/>
      <c r="Z93" s="175"/>
      <c r="AA93" s="74"/>
      <c r="AB93" s="74"/>
      <c r="AC93" s="175"/>
      <c r="AD93" s="175"/>
      <c r="AE93" s="74"/>
      <c r="AF93" s="74"/>
      <c r="AG93" s="175"/>
    </row>
    <row r="94" spans="1:33" ht="19.5" x14ac:dyDescent="0.3">
      <c r="A94" s="105"/>
      <c r="B94" s="106" t="s">
        <v>122</v>
      </c>
      <c r="C94" s="173">
        <f t="shared" ca="1" si="58"/>
        <v>0</v>
      </c>
      <c r="D94" s="174">
        <f t="shared" ca="1" si="59"/>
        <v>0</v>
      </c>
      <c r="E94" s="74">
        <f ca="1">IFERROR(__xludf.DUMMYFUNCTION("IMPORTRANGE(""https://docs.google.com/spreadsheets/d/1-uDff_7J0KD5mKrp0Vvzr7lt3OU09vwQwhkpOPPYv2Y/edit?usp=sharing"",""งบพรบ!BH94"")"),0)</f>
        <v>0</v>
      </c>
      <c r="F94" s="74">
        <f ca="1">IFERROR(__xludf.DUMMYFUNCTION("IMPORTRANGE(""https://docs.google.com/spreadsheets/d/1-uDff_7J0KD5mKrp0Vvzr7lt3OU09vwQwhkpOPPYv2Y/edit?usp=sharing"",""งบพรบ!BI94"")"),0)</f>
        <v>0</v>
      </c>
      <c r="G94" s="74">
        <f ca="1">IFERROR(__xludf.DUMMYFUNCTION("IMPORTRANGE(""https://docs.google.com/spreadsheets/d/1-uDff_7J0KD5mKrp0Vvzr7lt3OU09vwQwhkpOPPYv2Y/edit?usp=sharing"",""งบพรบ!BJ94"")"),0)</f>
        <v>0</v>
      </c>
      <c r="H94" s="74">
        <f ca="1">IFERROR(__xludf.DUMMYFUNCTION("IMPORTRANGE(""https://docs.google.com/spreadsheets/d/1-uDff_7J0KD5mKrp0Vvzr7lt3OU09vwQwhkpOPPYv2Y/edit?usp=sharing"",""งบพรบ!BL94"")"),0)</f>
        <v>0</v>
      </c>
      <c r="I94" s="74">
        <f ca="1">IFERROR(__xludf.DUMMYFUNCTION("IMPORTRANGE(""https://docs.google.com/spreadsheets/d/1-uDff_7J0KD5mKrp0Vvzr7lt3OU09vwQwhkpOPPYv2Y/edit?usp=sharing"",""งบพรบ!BM94"")"),0)</f>
        <v>0</v>
      </c>
      <c r="J94" s="74">
        <f t="shared" ca="1" si="60"/>
        <v>0</v>
      </c>
      <c r="K94" s="75">
        <f t="shared" ca="1" si="61"/>
        <v>0</v>
      </c>
      <c r="L94" s="74">
        <f ca="1">IFERROR(__xludf.DUMMYFUNCTION("IMPORTRANGE(""https://docs.google.com/spreadsheets/d/1-uDff_7J0KD5mKrp0Vvzr7lt3OU09vwQwhkpOPPYv2Y/edit?usp=sharing"",""งบพรบ!BN94"")"),0)</f>
        <v>0</v>
      </c>
      <c r="M94" s="76">
        <f t="shared" ca="1" si="62"/>
        <v>0</v>
      </c>
      <c r="N94" s="76">
        <f t="shared" ca="1" si="63"/>
        <v>0</v>
      </c>
      <c r="O94" s="77">
        <f ca="1">IFERROR(__xludf.DUMMYFUNCTION("IMPORTRANGE(""https://docs.google.com/spreadsheets/d/1-uDff_7J0KD5mKrp0Vvzr7lt3OU09vwQwhkpOPPYv2Y/edit?usp=sharing"",""งบพรบ!BO94"")"),0)</f>
        <v>0</v>
      </c>
      <c r="P94" s="77">
        <f t="shared" ca="1" si="64"/>
        <v>0</v>
      </c>
      <c r="Q94" s="76">
        <f t="shared" ca="1" si="65"/>
        <v>0</v>
      </c>
      <c r="R94" s="77">
        <v>0</v>
      </c>
      <c r="S94" s="77">
        <v>0</v>
      </c>
      <c r="T94" s="77">
        <v>0</v>
      </c>
      <c r="U94" s="76">
        <f t="shared" si="34"/>
        <v>0</v>
      </c>
      <c r="V94" s="76">
        <f t="shared" si="35"/>
        <v>0</v>
      </c>
      <c r="W94" s="74"/>
      <c r="X94" s="74"/>
      <c r="Y94" s="175"/>
      <c r="Z94" s="175"/>
      <c r="AA94" s="74"/>
      <c r="AB94" s="74"/>
      <c r="AC94" s="175"/>
      <c r="AD94" s="175"/>
      <c r="AE94" s="74"/>
      <c r="AF94" s="74"/>
      <c r="AG94" s="175"/>
    </row>
    <row r="95" spans="1:33" ht="19.5" x14ac:dyDescent="0.3">
      <c r="A95" s="105"/>
      <c r="B95" s="106" t="s">
        <v>123</v>
      </c>
      <c r="C95" s="173">
        <f t="shared" ca="1" si="58"/>
        <v>0</v>
      </c>
      <c r="D95" s="174">
        <f t="shared" ca="1" si="59"/>
        <v>0</v>
      </c>
      <c r="E95" s="74">
        <f ca="1">IFERROR(__xludf.DUMMYFUNCTION("IMPORTRANGE(""https://docs.google.com/spreadsheets/d/1-uDff_7J0KD5mKrp0Vvzr7lt3OU09vwQwhkpOPPYv2Y/edit?usp=sharing"",""งบพรบ!BH95"")"),0)</f>
        <v>0</v>
      </c>
      <c r="F95" s="74">
        <f ca="1">IFERROR(__xludf.DUMMYFUNCTION("IMPORTRANGE(""https://docs.google.com/spreadsheets/d/1-uDff_7J0KD5mKrp0Vvzr7lt3OU09vwQwhkpOPPYv2Y/edit?usp=sharing"",""งบพรบ!BI95"")"),0)</f>
        <v>0</v>
      </c>
      <c r="G95" s="74">
        <f ca="1">IFERROR(__xludf.DUMMYFUNCTION("IMPORTRANGE(""https://docs.google.com/spreadsheets/d/1-uDff_7J0KD5mKrp0Vvzr7lt3OU09vwQwhkpOPPYv2Y/edit?usp=sharing"",""งบพรบ!BJ95"")"),0)</f>
        <v>0</v>
      </c>
      <c r="H95" s="74">
        <f ca="1">IFERROR(__xludf.DUMMYFUNCTION("IMPORTRANGE(""https://docs.google.com/spreadsheets/d/1-uDff_7J0KD5mKrp0Vvzr7lt3OU09vwQwhkpOPPYv2Y/edit?usp=sharing"",""งบพรบ!BL95"")"),0)</f>
        <v>0</v>
      </c>
      <c r="I95" s="74">
        <f ca="1">IFERROR(__xludf.DUMMYFUNCTION("IMPORTRANGE(""https://docs.google.com/spreadsheets/d/1-uDff_7J0KD5mKrp0Vvzr7lt3OU09vwQwhkpOPPYv2Y/edit?usp=sharing"",""งบพรบ!BM95"")"),0)</f>
        <v>0</v>
      </c>
      <c r="J95" s="74">
        <f t="shared" ca="1" si="60"/>
        <v>0</v>
      </c>
      <c r="K95" s="75">
        <f t="shared" ca="1" si="61"/>
        <v>0</v>
      </c>
      <c r="L95" s="74">
        <f ca="1">IFERROR(__xludf.DUMMYFUNCTION("IMPORTRANGE(""https://docs.google.com/spreadsheets/d/1-uDff_7J0KD5mKrp0Vvzr7lt3OU09vwQwhkpOPPYv2Y/edit?usp=sharing"",""งบพรบ!BN95"")"),0)</f>
        <v>0</v>
      </c>
      <c r="M95" s="76">
        <f t="shared" ca="1" si="62"/>
        <v>0</v>
      </c>
      <c r="N95" s="76">
        <f t="shared" ca="1" si="63"/>
        <v>0</v>
      </c>
      <c r="O95" s="77">
        <f ca="1">IFERROR(__xludf.DUMMYFUNCTION("IMPORTRANGE(""https://docs.google.com/spreadsheets/d/1-uDff_7J0KD5mKrp0Vvzr7lt3OU09vwQwhkpOPPYv2Y/edit?usp=sharing"",""งบพรบ!BO95"")"),0)</f>
        <v>0</v>
      </c>
      <c r="P95" s="77">
        <f t="shared" ca="1" si="64"/>
        <v>0</v>
      </c>
      <c r="Q95" s="76">
        <f t="shared" ca="1" si="65"/>
        <v>0</v>
      </c>
      <c r="R95" s="77">
        <v>0</v>
      </c>
      <c r="S95" s="77">
        <v>0</v>
      </c>
      <c r="T95" s="77">
        <v>0</v>
      </c>
      <c r="U95" s="76">
        <f t="shared" si="34"/>
        <v>0</v>
      </c>
      <c r="V95" s="76">
        <f t="shared" si="35"/>
        <v>0</v>
      </c>
      <c r="W95" s="74"/>
      <c r="X95" s="74"/>
      <c r="Y95" s="175"/>
      <c r="Z95" s="175"/>
      <c r="AA95" s="74"/>
      <c r="AB95" s="74"/>
      <c r="AC95" s="175"/>
      <c r="AD95" s="175"/>
      <c r="AE95" s="74"/>
      <c r="AF95" s="74"/>
      <c r="AG95" s="175"/>
    </row>
    <row r="96" spans="1:33" ht="19.5" x14ac:dyDescent="0.3">
      <c r="A96" s="105"/>
      <c r="B96" s="106" t="s">
        <v>124</v>
      </c>
      <c r="C96" s="173">
        <f t="shared" ca="1" si="58"/>
        <v>0</v>
      </c>
      <c r="D96" s="174">
        <f t="shared" ca="1" si="59"/>
        <v>0</v>
      </c>
      <c r="E96" s="74">
        <f ca="1">IFERROR(__xludf.DUMMYFUNCTION("IMPORTRANGE(""https://docs.google.com/spreadsheets/d/1-uDff_7J0KD5mKrp0Vvzr7lt3OU09vwQwhkpOPPYv2Y/edit?usp=sharing"",""งบพรบ!BH96"")"),0)</f>
        <v>0</v>
      </c>
      <c r="F96" s="74">
        <f ca="1">IFERROR(__xludf.DUMMYFUNCTION("IMPORTRANGE(""https://docs.google.com/spreadsheets/d/1-uDff_7J0KD5mKrp0Vvzr7lt3OU09vwQwhkpOPPYv2Y/edit?usp=sharing"",""งบพรบ!BI96"")"),0)</f>
        <v>0</v>
      </c>
      <c r="G96" s="74">
        <f ca="1">IFERROR(__xludf.DUMMYFUNCTION("IMPORTRANGE(""https://docs.google.com/spreadsheets/d/1-uDff_7J0KD5mKrp0Vvzr7lt3OU09vwQwhkpOPPYv2Y/edit?usp=sharing"",""งบพรบ!BJ96"")"),0)</f>
        <v>0</v>
      </c>
      <c r="H96" s="74">
        <f ca="1">IFERROR(__xludf.DUMMYFUNCTION("IMPORTRANGE(""https://docs.google.com/spreadsheets/d/1-uDff_7J0KD5mKrp0Vvzr7lt3OU09vwQwhkpOPPYv2Y/edit?usp=sharing"",""งบพรบ!BL96"")"),0)</f>
        <v>0</v>
      </c>
      <c r="I96" s="74">
        <f ca="1">IFERROR(__xludf.DUMMYFUNCTION("IMPORTRANGE(""https://docs.google.com/spreadsheets/d/1-uDff_7J0KD5mKrp0Vvzr7lt3OU09vwQwhkpOPPYv2Y/edit?usp=sharing"",""งบพรบ!BM96"")"),0)</f>
        <v>0</v>
      </c>
      <c r="J96" s="74">
        <f t="shared" ca="1" si="60"/>
        <v>0</v>
      </c>
      <c r="K96" s="75">
        <f t="shared" ca="1" si="61"/>
        <v>0</v>
      </c>
      <c r="L96" s="74">
        <f ca="1">IFERROR(__xludf.DUMMYFUNCTION("IMPORTRANGE(""https://docs.google.com/spreadsheets/d/1-uDff_7J0KD5mKrp0Vvzr7lt3OU09vwQwhkpOPPYv2Y/edit?usp=sharing"",""งบพรบ!BN96"")"),0)</f>
        <v>0</v>
      </c>
      <c r="M96" s="76">
        <f t="shared" ca="1" si="62"/>
        <v>0</v>
      </c>
      <c r="N96" s="76">
        <f t="shared" ca="1" si="63"/>
        <v>0</v>
      </c>
      <c r="O96" s="77">
        <f ca="1">IFERROR(__xludf.DUMMYFUNCTION("IMPORTRANGE(""https://docs.google.com/spreadsheets/d/1-uDff_7J0KD5mKrp0Vvzr7lt3OU09vwQwhkpOPPYv2Y/edit?usp=sharing"",""งบพรบ!BO96"")"),0)</f>
        <v>0</v>
      </c>
      <c r="P96" s="77">
        <f t="shared" ca="1" si="64"/>
        <v>0</v>
      </c>
      <c r="Q96" s="76">
        <f t="shared" ca="1" si="65"/>
        <v>0</v>
      </c>
      <c r="R96" s="77">
        <v>0</v>
      </c>
      <c r="S96" s="77">
        <v>0</v>
      </c>
      <c r="T96" s="77">
        <v>0</v>
      </c>
      <c r="U96" s="76">
        <f t="shared" si="34"/>
        <v>0</v>
      </c>
      <c r="V96" s="76">
        <f t="shared" si="35"/>
        <v>0</v>
      </c>
      <c r="W96" s="74"/>
      <c r="X96" s="74"/>
      <c r="Y96" s="175"/>
      <c r="Z96" s="175"/>
      <c r="AA96" s="74"/>
      <c r="AB96" s="74"/>
      <c r="AC96" s="175"/>
      <c r="AD96" s="175"/>
      <c r="AE96" s="74"/>
      <c r="AF96" s="74"/>
      <c r="AG96" s="175"/>
    </row>
    <row r="97" spans="1:33" ht="19.5" x14ac:dyDescent="0.3">
      <c r="A97" s="105"/>
      <c r="B97" s="106" t="s">
        <v>125</v>
      </c>
      <c r="C97" s="173">
        <f t="shared" ca="1" si="58"/>
        <v>0</v>
      </c>
      <c r="D97" s="174">
        <f t="shared" ca="1" si="59"/>
        <v>0</v>
      </c>
      <c r="E97" s="74">
        <f ca="1">IFERROR(__xludf.DUMMYFUNCTION("IMPORTRANGE(""https://docs.google.com/spreadsheets/d/1-uDff_7J0KD5mKrp0Vvzr7lt3OU09vwQwhkpOPPYv2Y/edit?usp=sharing"",""งบพรบ!BH97"")"),0)</f>
        <v>0</v>
      </c>
      <c r="F97" s="74">
        <f ca="1">IFERROR(__xludf.DUMMYFUNCTION("IMPORTRANGE(""https://docs.google.com/spreadsheets/d/1-uDff_7J0KD5mKrp0Vvzr7lt3OU09vwQwhkpOPPYv2Y/edit?usp=sharing"",""งบพรบ!BI97"")"),0)</f>
        <v>0</v>
      </c>
      <c r="G97" s="74">
        <f ca="1">IFERROR(__xludf.DUMMYFUNCTION("IMPORTRANGE(""https://docs.google.com/spreadsheets/d/1-uDff_7J0KD5mKrp0Vvzr7lt3OU09vwQwhkpOPPYv2Y/edit?usp=sharing"",""งบพรบ!BJ97"")"),0)</f>
        <v>0</v>
      </c>
      <c r="H97" s="74">
        <f ca="1">IFERROR(__xludf.DUMMYFUNCTION("IMPORTRANGE(""https://docs.google.com/spreadsheets/d/1-uDff_7J0KD5mKrp0Vvzr7lt3OU09vwQwhkpOPPYv2Y/edit?usp=sharing"",""งบพรบ!BL97"")"),0)</f>
        <v>0</v>
      </c>
      <c r="I97" s="74">
        <f ca="1">IFERROR(__xludf.DUMMYFUNCTION("IMPORTRANGE(""https://docs.google.com/spreadsheets/d/1-uDff_7J0KD5mKrp0Vvzr7lt3OU09vwQwhkpOPPYv2Y/edit?usp=sharing"",""งบพรบ!BM97"")"),0)</f>
        <v>0</v>
      </c>
      <c r="J97" s="74">
        <f t="shared" ca="1" si="60"/>
        <v>0</v>
      </c>
      <c r="K97" s="75">
        <f t="shared" ca="1" si="61"/>
        <v>0</v>
      </c>
      <c r="L97" s="74">
        <f ca="1">IFERROR(__xludf.DUMMYFUNCTION("IMPORTRANGE(""https://docs.google.com/spreadsheets/d/1-uDff_7J0KD5mKrp0Vvzr7lt3OU09vwQwhkpOPPYv2Y/edit?usp=sharing"",""งบพรบ!BN97"")"),0)</f>
        <v>0</v>
      </c>
      <c r="M97" s="76">
        <f t="shared" ca="1" si="62"/>
        <v>0</v>
      </c>
      <c r="N97" s="76">
        <f t="shared" ca="1" si="63"/>
        <v>0</v>
      </c>
      <c r="O97" s="77">
        <f ca="1">IFERROR(__xludf.DUMMYFUNCTION("IMPORTRANGE(""https://docs.google.com/spreadsheets/d/1-uDff_7J0KD5mKrp0Vvzr7lt3OU09vwQwhkpOPPYv2Y/edit?usp=sharing"",""งบพรบ!BO97"")"),0)</f>
        <v>0</v>
      </c>
      <c r="P97" s="77">
        <f t="shared" ca="1" si="64"/>
        <v>0</v>
      </c>
      <c r="Q97" s="76">
        <f t="shared" ca="1" si="65"/>
        <v>0</v>
      </c>
      <c r="R97" s="77">
        <v>0</v>
      </c>
      <c r="S97" s="77">
        <v>0</v>
      </c>
      <c r="T97" s="77">
        <v>0</v>
      </c>
      <c r="U97" s="76">
        <f t="shared" si="34"/>
        <v>0</v>
      </c>
      <c r="V97" s="76">
        <f t="shared" si="35"/>
        <v>0</v>
      </c>
      <c r="W97" s="74"/>
      <c r="X97" s="74"/>
      <c r="Y97" s="175"/>
      <c r="Z97" s="175"/>
      <c r="AA97" s="74"/>
      <c r="AB97" s="74"/>
      <c r="AC97" s="175"/>
      <c r="AD97" s="175"/>
      <c r="AE97" s="74"/>
      <c r="AF97" s="74"/>
      <c r="AG97" s="175"/>
    </row>
    <row r="98" spans="1:33" ht="19.5" x14ac:dyDescent="0.3">
      <c r="A98" s="105"/>
      <c r="B98" s="106" t="s">
        <v>126</v>
      </c>
      <c r="C98" s="173">
        <f t="shared" ca="1" si="58"/>
        <v>0</v>
      </c>
      <c r="D98" s="174">
        <f t="shared" ca="1" si="59"/>
        <v>0</v>
      </c>
      <c r="E98" s="74">
        <f ca="1">IFERROR(__xludf.DUMMYFUNCTION("IMPORTRANGE(""https://docs.google.com/spreadsheets/d/1-uDff_7J0KD5mKrp0Vvzr7lt3OU09vwQwhkpOPPYv2Y/edit?usp=sharing"",""งบพรบ!BH98"")"),0)</f>
        <v>0</v>
      </c>
      <c r="F98" s="74">
        <f ca="1">IFERROR(__xludf.DUMMYFUNCTION("IMPORTRANGE(""https://docs.google.com/spreadsheets/d/1-uDff_7J0KD5mKrp0Vvzr7lt3OU09vwQwhkpOPPYv2Y/edit?usp=sharing"",""งบพรบ!BI98"")"),0)</f>
        <v>0</v>
      </c>
      <c r="G98" s="74">
        <f ca="1">IFERROR(__xludf.DUMMYFUNCTION("IMPORTRANGE(""https://docs.google.com/spreadsheets/d/1-uDff_7J0KD5mKrp0Vvzr7lt3OU09vwQwhkpOPPYv2Y/edit?usp=sharing"",""งบพรบ!BJ98"")"),0)</f>
        <v>0</v>
      </c>
      <c r="H98" s="74">
        <f ca="1">IFERROR(__xludf.DUMMYFUNCTION("IMPORTRANGE(""https://docs.google.com/spreadsheets/d/1-uDff_7J0KD5mKrp0Vvzr7lt3OU09vwQwhkpOPPYv2Y/edit?usp=sharing"",""งบพรบ!BL98"")"),0)</f>
        <v>0</v>
      </c>
      <c r="I98" s="74">
        <f ca="1">IFERROR(__xludf.DUMMYFUNCTION("IMPORTRANGE(""https://docs.google.com/spreadsheets/d/1-uDff_7J0KD5mKrp0Vvzr7lt3OU09vwQwhkpOPPYv2Y/edit?usp=sharing"",""งบพรบ!BM98"")"),0)</f>
        <v>0</v>
      </c>
      <c r="J98" s="74">
        <f t="shared" ca="1" si="60"/>
        <v>0</v>
      </c>
      <c r="K98" s="75">
        <f t="shared" ca="1" si="61"/>
        <v>0</v>
      </c>
      <c r="L98" s="74">
        <f ca="1">IFERROR(__xludf.DUMMYFUNCTION("IMPORTRANGE(""https://docs.google.com/spreadsheets/d/1-uDff_7J0KD5mKrp0Vvzr7lt3OU09vwQwhkpOPPYv2Y/edit?usp=sharing"",""งบพรบ!BN98"")"),0)</f>
        <v>0</v>
      </c>
      <c r="M98" s="76">
        <f t="shared" ca="1" si="62"/>
        <v>0</v>
      </c>
      <c r="N98" s="76">
        <f t="shared" ca="1" si="63"/>
        <v>0</v>
      </c>
      <c r="O98" s="77">
        <f ca="1">IFERROR(__xludf.DUMMYFUNCTION("IMPORTRANGE(""https://docs.google.com/spreadsheets/d/1-uDff_7J0KD5mKrp0Vvzr7lt3OU09vwQwhkpOPPYv2Y/edit?usp=sharing"",""งบพรบ!BO98"")"),0)</f>
        <v>0</v>
      </c>
      <c r="P98" s="77">
        <f t="shared" ca="1" si="64"/>
        <v>0</v>
      </c>
      <c r="Q98" s="76">
        <f t="shared" ca="1" si="65"/>
        <v>0</v>
      </c>
      <c r="R98" s="77">
        <v>0</v>
      </c>
      <c r="S98" s="77">
        <v>0</v>
      </c>
      <c r="T98" s="77">
        <v>0</v>
      </c>
      <c r="U98" s="76">
        <f t="shared" si="34"/>
        <v>0</v>
      </c>
      <c r="V98" s="76">
        <f t="shared" si="35"/>
        <v>0</v>
      </c>
      <c r="W98" s="74"/>
      <c r="X98" s="74"/>
      <c r="Y98" s="175"/>
      <c r="Z98" s="175"/>
      <c r="AA98" s="74"/>
      <c r="AB98" s="74"/>
      <c r="AC98" s="175"/>
      <c r="AD98" s="175"/>
      <c r="AE98" s="74"/>
      <c r="AF98" s="74"/>
      <c r="AG98" s="175"/>
    </row>
    <row r="99" spans="1:33" ht="19.5" x14ac:dyDescent="0.3">
      <c r="A99" s="105"/>
      <c r="B99" s="106" t="s">
        <v>127</v>
      </c>
      <c r="C99" s="173">
        <f t="shared" ca="1" si="58"/>
        <v>0</v>
      </c>
      <c r="D99" s="174">
        <f t="shared" ca="1" si="59"/>
        <v>0</v>
      </c>
      <c r="E99" s="74">
        <f ca="1">IFERROR(__xludf.DUMMYFUNCTION("IMPORTRANGE(""https://docs.google.com/spreadsheets/d/1-uDff_7J0KD5mKrp0Vvzr7lt3OU09vwQwhkpOPPYv2Y/edit?usp=sharing"",""งบพรบ!BH99"")"),0)</f>
        <v>0</v>
      </c>
      <c r="F99" s="74">
        <f ca="1">IFERROR(__xludf.DUMMYFUNCTION("IMPORTRANGE(""https://docs.google.com/spreadsheets/d/1-uDff_7J0KD5mKrp0Vvzr7lt3OU09vwQwhkpOPPYv2Y/edit?usp=sharing"",""งบพรบ!BI99"")"),0)</f>
        <v>0</v>
      </c>
      <c r="G99" s="74">
        <f ca="1">IFERROR(__xludf.DUMMYFUNCTION("IMPORTRANGE(""https://docs.google.com/spreadsheets/d/1-uDff_7J0KD5mKrp0Vvzr7lt3OU09vwQwhkpOPPYv2Y/edit?usp=sharing"",""งบพรบ!BJ99"")"),0)</f>
        <v>0</v>
      </c>
      <c r="H99" s="74">
        <f ca="1">IFERROR(__xludf.DUMMYFUNCTION("IMPORTRANGE(""https://docs.google.com/spreadsheets/d/1-uDff_7J0KD5mKrp0Vvzr7lt3OU09vwQwhkpOPPYv2Y/edit?usp=sharing"",""งบพรบ!BL99"")"),0)</f>
        <v>0</v>
      </c>
      <c r="I99" s="74">
        <f ca="1">IFERROR(__xludf.DUMMYFUNCTION("IMPORTRANGE(""https://docs.google.com/spreadsheets/d/1-uDff_7J0KD5mKrp0Vvzr7lt3OU09vwQwhkpOPPYv2Y/edit?usp=sharing"",""งบพรบ!BM99"")"),0)</f>
        <v>0</v>
      </c>
      <c r="J99" s="74">
        <f t="shared" ca="1" si="60"/>
        <v>0</v>
      </c>
      <c r="K99" s="75">
        <f t="shared" ca="1" si="61"/>
        <v>0</v>
      </c>
      <c r="L99" s="74">
        <f ca="1">IFERROR(__xludf.DUMMYFUNCTION("IMPORTRANGE(""https://docs.google.com/spreadsheets/d/1-uDff_7J0KD5mKrp0Vvzr7lt3OU09vwQwhkpOPPYv2Y/edit?usp=sharing"",""งบพรบ!BN99"")"),0)</f>
        <v>0</v>
      </c>
      <c r="M99" s="76">
        <f t="shared" ca="1" si="62"/>
        <v>0</v>
      </c>
      <c r="N99" s="76">
        <f t="shared" ca="1" si="63"/>
        <v>0</v>
      </c>
      <c r="O99" s="77">
        <f ca="1">IFERROR(__xludf.DUMMYFUNCTION("IMPORTRANGE(""https://docs.google.com/spreadsheets/d/1-uDff_7J0KD5mKrp0Vvzr7lt3OU09vwQwhkpOPPYv2Y/edit?usp=sharing"",""งบพรบ!BO99"")"),0)</f>
        <v>0</v>
      </c>
      <c r="P99" s="77">
        <f t="shared" ca="1" si="64"/>
        <v>0</v>
      </c>
      <c r="Q99" s="76">
        <f t="shared" ca="1" si="65"/>
        <v>0</v>
      </c>
      <c r="R99" s="77">
        <v>0</v>
      </c>
      <c r="S99" s="77">
        <v>0</v>
      </c>
      <c r="T99" s="77">
        <v>0</v>
      </c>
      <c r="U99" s="76">
        <f t="shared" si="34"/>
        <v>0</v>
      </c>
      <c r="V99" s="76">
        <f t="shared" si="35"/>
        <v>0</v>
      </c>
      <c r="W99" s="74"/>
      <c r="X99" s="74"/>
      <c r="Y99" s="175"/>
      <c r="Z99" s="175"/>
      <c r="AA99" s="74"/>
      <c r="AB99" s="74"/>
      <c r="AC99" s="175"/>
      <c r="AD99" s="175"/>
      <c r="AE99" s="74"/>
      <c r="AF99" s="74"/>
      <c r="AG99" s="175"/>
    </row>
    <row r="100" spans="1:33" ht="19.5" x14ac:dyDescent="0.3">
      <c r="A100" s="105"/>
      <c r="B100" s="106" t="s">
        <v>128</v>
      </c>
      <c r="C100" s="173">
        <f t="shared" ca="1" si="58"/>
        <v>0</v>
      </c>
      <c r="D100" s="174">
        <f t="shared" ca="1" si="59"/>
        <v>0</v>
      </c>
      <c r="E100" s="74">
        <f ca="1">IFERROR(__xludf.DUMMYFUNCTION("IMPORTRANGE(""https://docs.google.com/spreadsheets/d/1-uDff_7J0KD5mKrp0Vvzr7lt3OU09vwQwhkpOPPYv2Y/edit?usp=sharing"",""งบพรบ!BH100"")"),0)</f>
        <v>0</v>
      </c>
      <c r="F100" s="74">
        <f ca="1">IFERROR(__xludf.DUMMYFUNCTION("IMPORTRANGE(""https://docs.google.com/spreadsheets/d/1-uDff_7J0KD5mKrp0Vvzr7lt3OU09vwQwhkpOPPYv2Y/edit?usp=sharing"",""งบพรบ!BI100"")"),0)</f>
        <v>0</v>
      </c>
      <c r="G100" s="74">
        <f ca="1">IFERROR(__xludf.DUMMYFUNCTION("IMPORTRANGE(""https://docs.google.com/spreadsheets/d/1-uDff_7J0KD5mKrp0Vvzr7lt3OU09vwQwhkpOPPYv2Y/edit?usp=sharing"",""งบพรบ!BJ100"")"),0)</f>
        <v>0</v>
      </c>
      <c r="H100" s="74">
        <f ca="1">IFERROR(__xludf.DUMMYFUNCTION("IMPORTRANGE(""https://docs.google.com/spreadsheets/d/1-uDff_7J0KD5mKrp0Vvzr7lt3OU09vwQwhkpOPPYv2Y/edit?usp=sharing"",""งบพรบ!BL100"")"),0)</f>
        <v>0</v>
      </c>
      <c r="I100" s="74">
        <f ca="1">IFERROR(__xludf.DUMMYFUNCTION("IMPORTRANGE(""https://docs.google.com/spreadsheets/d/1-uDff_7J0KD5mKrp0Vvzr7lt3OU09vwQwhkpOPPYv2Y/edit?usp=sharing"",""งบพรบ!BM100"")"),0)</f>
        <v>0</v>
      </c>
      <c r="J100" s="74">
        <f t="shared" ca="1" si="60"/>
        <v>0</v>
      </c>
      <c r="K100" s="75">
        <f t="shared" ca="1" si="61"/>
        <v>0</v>
      </c>
      <c r="L100" s="74">
        <f ca="1">IFERROR(__xludf.DUMMYFUNCTION("IMPORTRANGE(""https://docs.google.com/spreadsheets/d/1-uDff_7J0KD5mKrp0Vvzr7lt3OU09vwQwhkpOPPYv2Y/edit?usp=sharing"",""งบพรบ!BN100"")"),0)</f>
        <v>0</v>
      </c>
      <c r="M100" s="76">
        <f t="shared" ca="1" si="62"/>
        <v>0</v>
      </c>
      <c r="N100" s="76">
        <f t="shared" ca="1" si="63"/>
        <v>0</v>
      </c>
      <c r="O100" s="77">
        <f ca="1">IFERROR(__xludf.DUMMYFUNCTION("IMPORTRANGE(""https://docs.google.com/spreadsheets/d/1-uDff_7J0KD5mKrp0Vvzr7lt3OU09vwQwhkpOPPYv2Y/edit?usp=sharing"",""งบพรบ!BO100"")"),0)</f>
        <v>0</v>
      </c>
      <c r="P100" s="77">
        <f t="shared" ca="1" si="64"/>
        <v>0</v>
      </c>
      <c r="Q100" s="76">
        <f t="shared" ca="1" si="65"/>
        <v>0</v>
      </c>
      <c r="R100" s="77">
        <v>0</v>
      </c>
      <c r="S100" s="77">
        <v>0</v>
      </c>
      <c r="T100" s="77">
        <v>0</v>
      </c>
      <c r="U100" s="76">
        <f t="shared" si="34"/>
        <v>0</v>
      </c>
      <c r="V100" s="76">
        <f t="shared" si="35"/>
        <v>0</v>
      </c>
      <c r="W100" s="74"/>
      <c r="X100" s="74"/>
      <c r="Y100" s="175"/>
      <c r="Z100" s="175"/>
      <c r="AA100" s="74"/>
      <c r="AB100" s="74"/>
      <c r="AC100" s="175"/>
      <c r="AD100" s="175"/>
      <c r="AE100" s="74"/>
      <c r="AF100" s="74"/>
      <c r="AG100" s="175"/>
    </row>
    <row r="101" spans="1:33" ht="19.5" x14ac:dyDescent="0.3">
      <c r="A101" s="105"/>
      <c r="B101" s="106" t="s">
        <v>129</v>
      </c>
      <c r="C101" s="173">
        <f t="shared" ca="1" si="58"/>
        <v>452500</v>
      </c>
      <c r="D101" s="174">
        <f t="shared" ca="1" si="59"/>
        <v>452500</v>
      </c>
      <c r="E101" s="74">
        <f ca="1">IFERROR(__xludf.DUMMYFUNCTION("IMPORTRANGE(""https://docs.google.com/spreadsheets/d/1-uDff_7J0KD5mKrp0Vvzr7lt3OU09vwQwhkpOPPYv2Y/edit?usp=sharing"",""งบพรบ!BH101"")"),203600)</f>
        <v>203600</v>
      </c>
      <c r="F101" s="74">
        <f ca="1">IFERROR(__xludf.DUMMYFUNCTION("IMPORTRANGE(""https://docs.google.com/spreadsheets/d/1-uDff_7J0KD5mKrp0Vvzr7lt3OU09vwQwhkpOPPYv2Y/edit?usp=sharing"",""งบพรบ!BI101"")"),248900)</f>
        <v>248900</v>
      </c>
      <c r="G101" s="74">
        <f ca="1">IFERROR(__xludf.DUMMYFUNCTION("IMPORTRANGE(""https://docs.google.com/spreadsheets/d/1-uDff_7J0KD5mKrp0Vvzr7lt3OU09vwQwhkpOPPYv2Y/edit?usp=sharing"",""งบพรบ!BJ101"")"),0)</f>
        <v>0</v>
      </c>
      <c r="H101" s="74">
        <f ca="1">IFERROR(__xludf.DUMMYFUNCTION("IMPORTRANGE(""https://docs.google.com/spreadsheets/d/1-uDff_7J0KD5mKrp0Vvzr7lt3OU09vwQwhkpOPPYv2Y/edit?usp=sharing"",""งบพรบ!BL101"")"),248900)</f>
        <v>248900</v>
      </c>
      <c r="I101" s="74">
        <f ca="1">IFERROR(__xludf.DUMMYFUNCTION("IMPORTRANGE(""https://docs.google.com/spreadsheets/d/1-uDff_7J0KD5mKrp0Vvzr7lt3OU09vwQwhkpOPPYv2Y/edit?usp=sharing"",""งบพรบ!BM101"")"),0)</f>
        <v>0</v>
      </c>
      <c r="J101" s="74">
        <f t="shared" ca="1" si="60"/>
        <v>30460</v>
      </c>
      <c r="K101" s="75">
        <f t="shared" ca="1" si="61"/>
        <v>6.7314917127071823</v>
      </c>
      <c r="L101" s="74">
        <f ca="1">IFERROR(__xludf.DUMMYFUNCTION("IMPORTRANGE(""https://docs.google.com/spreadsheets/d/1-uDff_7J0KD5mKrp0Vvzr7lt3OU09vwQwhkpOPPYv2Y/edit?usp=sharing"",""งบพรบ!BN101"")"),30460)</f>
        <v>30460</v>
      </c>
      <c r="M101" s="76">
        <f t="shared" ca="1" si="62"/>
        <v>6.7314917127071823</v>
      </c>
      <c r="N101" s="76">
        <f t="shared" ca="1" si="63"/>
        <v>12.237846524708718</v>
      </c>
      <c r="O101" s="77">
        <f ca="1">IFERROR(__xludf.DUMMYFUNCTION("IMPORTRANGE(""https://docs.google.com/spreadsheets/d/1-uDff_7J0KD5mKrp0Vvzr7lt3OU09vwQwhkpOPPYv2Y/edit?usp=sharing"",""งบพรบ!BO101"")"),0)</f>
        <v>0</v>
      </c>
      <c r="P101" s="77">
        <f t="shared" ca="1" si="64"/>
        <v>0</v>
      </c>
      <c r="Q101" s="76">
        <f t="shared" ca="1" si="65"/>
        <v>0</v>
      </c>
      <c r="R101" s="77">
        <f ca="1">IFERROR(__xludf.DUMMYFUNCTION("IMPORTRANGE(""https://docs.google.com/spreadsheets/d/1ItG2mGa2ceCfYo0BwxsXqNm01IGEUdYcSSLTEv9YCik/edit?usp=sharing"",""เบิกจ่ายกองทุน!R92"")"),1607320)</f>
        <v>1607320</v>
      </c>
      <c r="S101" s="77">
        <f ca="1">IFERROR(__xludf.DUMMYFUNCTION("IMPORTRANGE(""https://docs.google.com/spreadsheets/d/1ItG2mGa2ceCfYo0BwxsXqNm01IGEUdYcSSLTEv9YCik/edit?usp=sharing"",""เบิกจ่ายกองทุน!S92"")"),1607320)</f>
        <v>1607320</v>
      </c>
      <c r="T101" s="77">
        <f ca="1">IFERROR(__xludf.DUMMYFUNCTION("IMPORTRANGE(""https://docs.google.com/spreadsheets/d/1ItG2mGa2ceCfYo0BwxsXqNm01IGEUdYcSSLTEv9YCik/edit?usp=sharing"",""เบิกจ่ายกองทุน!T92"")"),243443.68)</f>
        <v>243443.68</v>
      </c>
      <c r="U101" s="76">
        <f t="shared" ca="1" si="34"/>
        <v>15.145937336684668</v>
      </c>
      <c r="V101" s="76">
        <f t="shared" ca="1" si="35"/>
        <v>15.145937336684668</v>
      </c>
      <c r="W101" s="74"/>
      <c r="X101" s="74"/>
      <c r="Y101" s="175"/>
      <c r="Z101" s="175"/>
      <c r="AA101" s="74"/>
      <c r="AB101" s="74"/>
      <c r="AC101" s="175"/>
      <c r="AD101" s="175"/>
      <c r="AE101" s="74"/>
      <c r="AF101" s="74"/>
      <c r="AG101" s="175"/>
    </row>
    <row r="102" spans="1:33" ht="19.5" x14ac:dyDescent="0.3">
      <c r="A102" s="105"/>
      <c r="B102" s="106" t="s">
        <v>130</v>
      </c>
      <c r="C102" s="173">
        <f t="shared" ca="1" si="58"/>
        <v>0</v>
      </c>
      <c r="D102" s="174">
        <f t="shared" ca="1" si="59"/>
        <v>0</v>
      </c>
      <c r="E102" s="74">
        <f ca="1">IFERROR(__xludf.DUMMYFUNCTION("IMPORTRANGE(""https://docs.google.com/spreadsheets/d/1-uDff_7J0KD5mKrp0Vvzr7lt3OU09vwQwhkpOPPYv2Y/edit?usp=sharing"",""งบพรบ!BH102"")"),0)</f>
        <v>0</v>
      </c>
      <c r="F102" s="74">
        <f ca="1">IFERROR(__xludf.DUMMYFUNCTION("IMPORTRANGE(""https://docs.google.com/spreadsheets/d/1-uDff_7J0KD5mKrp0Vvzr7lt3OU09vwQwhkpOPPYv2Y/edit?usp=sharing"",""งบพรบ!BI102"")"),0)</f>
        <v>0</v>
      </c>
      <c r="G102" s="74">
        <f ca="1">IFERROR(__xludf.DUMMYFUNCTION("IMPORTRANGE(""https://docs.google.com/spreadsheets/d/1-uDff_7J0KD5mKrp0Vvzr7lt3OU09vwQwhkpOPPYv2Y/edit?usp=sharing"",""งบพรบ!BJ102"")"),0)</f>
        <v>0</v>
      </c>
      <c r="H102" s="74">
        <f ca="1">IFERROR(__xludf.DUMMYFUNCTION("IMPORTRANGE(""https://docs.google.com/spreadsheets/d/1-uDff_7J0KD5mKrp0Vvzr7lt3OU09vwQwhkpOPPYv2Y/edit?usp=sharing"",""งบพรบ!BL102"")"),0)</f>
        <v>0</v>
      </c>
      <c r="I102" s="74">
        <f ca="1">IFERROR(__xludf.DUMMYFUNCTION("IMPORTRANGE(""https://docs.google.com/spreadsheets/d/1-uDff_7J0KD5mKrp0Vvzr7lt3OU09vwQwhkpOPPYv2Y/edit?usp=sharing"",""งบพรบ!BM102"")"),0)</f>
        <v>0</v>
      </c>
      <c r="J102" s="74">
        <f t="shared" ca="1" si="60"/>
        <v>0</v>
      </c>
      <c r="K102" s="75">
        <f t="shared" ca="1" si="61"/>
        <v>0</v>
      </c>
      <c r="L102" s="74">
        <f ca="1">IFERROR(__xludf.DUMMYFUNCTION("IMPORTRANGE(""https://docs.google.com/spreadsheets/d/1-uDff_7J0KD5mKrp0Vvzr7lt3OU09vwQwhkpOPPYv2Y/edit?usp=sharing"",""งบพรบ!BN102"")"),0)</f>
        <v>0</v>
      </c>
      <c r="M102" s="76">
        <f t="shared" ca="1" si="62"/>
        <v>0</v>
      </c>
      <c r="N102" s="76">
        <f t="shared" ca="1" si="63"/>
        <v>0</v>
      </c>
      <c r="O102" s="77">
        <f ca="1">IFERROR(__xludf.DUMMYFUNCTION("IMPORTRANGE(""https://docs.google.com/spreadsheets/d/1-uDff_7J0KD5mKrp0Vvzr7lt3OU09vwQwhkpOPPYv2Y/edit?usp=sharing"",""งบพรบ!BO102"")"),0)</f>
        <v>0</v>
      </c>
      <c r="P102" s="77">
        <f t="shared" ca="1" si="64"/>
        <v>0</v>
      </c>
      <c r="Q102" s="76">
        <f t="shared" ca="1" si="65"/>
        <v>0</v>
      </c>
      <c r="R102" s="77">
        <v>0</v>
      </c>
      <c r="S102" s="77">
        <v>0</v>
      </c>
      <c r="T102" s="77">
        <v>0</v>
      </c>
      <c r="U102" s="76">
        <f t="shared" si="34"/>
        <v>0</v>
      </c>
      <c r="V102" s="76">
        <f t="shared" si="35"/>
        <v>0</v>
      </c>
      <c r="W102" s="74"/>
      <c r="X102" s="74"/>
      <c r="Y102" s="175"/>
      <c r="Z102" s="175"/>
      <c r="AA102" s="74"/>
      <c r="AB102" s="74"/>
      <c r="AC102" s="175"/>
      <c r="AD102" s="175"/>
      <c r="AE102" s="74"/>
      <c r="AF102" s="74"/>
      <c r="AG102" s="175"/>
    </row>
    <row r="103" spans="1:33" ht="19.5" x14ac:dyDescent="0.3">
      <c r="A103" s="105"/>
      <c r="B103" s="106" t="s">
        <v>131</v>
      </c>
      <c r="C103" s="173">
        <f t="shared" ca="1" si="58"/>
        <v>0</v>
      </c>
      <c r="D103" s="174">
        <f t="shared" ca="1" si="59"/>
        <v>0</v>
      </c>
      <c r="E103" s="74">
        <f ca="1">IFERROR(__xludf.DUMMYFUNCTION("IMPORTRANGE(""https://docs.google.com/spreadsheets/d/1-uDff_7J0KD5mKrp0Vvzr7lt3OU09vwQwhkpOPPYv2Y/edit?usp=sharing"",""งบพรบ!BH103"")"),0)</f>
        <v>0</v>
      </c>
      <c r="F103" s="74">
        <f ca="1">IFERROR(__xludf.DUMMYFUNCTION("IMPORTRANGE(""https://docs.google.com/spreadsheets/d/1-uDff_7J0KD5mKrp0Vvzr7lt3OU09vwQwhkpOPPYv2Y/edit?usp=sharing"",""งบพรบ!BI103"")"),0)</f>
        <v>0</v>
      </c>
      <c r="G103" s="74">
        <f ca="1">IFERROR(__xludf.DUMMYFUNCTION("IMPORTRANGE(""https://docs.google.com/spreadsheets/d/1-uDff_7J0KD5mKrp0Vvzr7lt3OU09vwQwhkpOPPYv2Y/edit?usp=sharing"",""งบพรบ!BJ103"")"),0)</f>
        <v>0</v>
      </c>
      <c r="H103" s="74">
        <f ca="1">IFERROR(__xludf.DUMMYFUNCTION("IMPORTRANGE(""https://docs.google.com/spreadsheets/d/1-uDff_7J0KD5mKrp0Vvzr7lt3OU09vwQwhkpOPPYv2Y/edit?usp=sharing"",""งบพรบ!BL103"")"),0)</f>
        <v>0</v>
      </c>
      <c r="I103" s="74">
        <f ca="1">IFERROR(__xludf.DUMMYFUNCTION("IMPORTRANGE(""https://docs.google.com/spreadsheets/d/1-uDff_7J0KD5mKrp0Vvzr7lt3OU09vwQwhkpOPPYv2Y/edit?usp=sharing"",""งบพรบ!BM103"")"),0)</f>
        <v>0</v>
      </c>
      <c r="J103" s="74">
        <f t="shared" ca="1" si="60"/>
        <v>0</v>
      </c>
      <c r="K103" s="75">
        <f t="shared" ca="1" si="61"/>
        <v>0</v>
      </c>
      <c r="L103" s="74">
        <f ca="1">IFERROR(__xludf.DUMMYFUNCTION("IMPORTRANGE(""https://docs.google.com/spreadsheets/d/1-uDff_7J0KD5mKrp0Vvzr7lt3OU09vwQwhkpOPPYv2Y/edit?usp=sharing"",""งบพรบ!BN103"")"),0)</f>
        <v>0</v>
      </c>
      <c r="M103" s="76">
        <f t="shared" ca="1" si="62"/>
        <v>0</v>
      </c>
      <c r="N103" s="76">
        <f t="shared" ca="1" si="63"/>
        <v>0</v>
      </c>
      <c r="O103" s="77">
        <f ca="1">IFERROR(__xludf.DUMMYFUNCTION("IMPORTRANGE(""https://docs.google.com/spreadsheets/d/1-uDff_7J0KD5mKrp0Vvzr7lt3OU09vwQwhkpOPPYv2Y/edit?usp=sharing"",""งบพรบ!BO103"")"),0)</f>
        <v>0</v>
      </c>
      <c r="P103" s="77">
        <f t="shared" ca="1" si="64"/>
        <v>0</v>
      </c>
      <c r="Q103" s="76">
        <f t="shared" ca="1" si="65"/>
        <v>0</v>
      </c>
      <c r="R103" s="107">
        <v>0</v>
      </c>
      <c r="S103" s="107">
        <v>0</v>
      </c>
      <c r="T103" s="107">
        <v>0</v>
      </c>
      <c r="U103" s="108">
        <f t="shared" si="34"/>
        <v>0</v>
      </c>
      <c r="V103" s="108">
        <f t="shared" si="35"/>
        <v>0</v>
      </c>
      <c r="W103" s="74"/>
      <c r="X103" s="74"/>
      <c r="Y103" s="175"/>
      <c r="Z103" s="175"/>
      <c r="AA103" s="74"/>
      <c r="AB103" s="74"/>
      <c r="AC103" s="175"/>
      <c r="AD103" s="175"/>
      <c r="AE103" s="74"/>
      <c r="AF103" s="74"/>
      <c r="AG103" s="175"/>
    </row>
    <row r="104" spans="1:33" ht="19.5" x14ac:dyDescent="0.3">
      <c r="A104" s="105"/>
      <c r="B104" s="106" t="s">
        <v>132</v>
      </c>
      <c r="C104" s="173">
        <f t="shared" ca="1" si="58"/>
        <v>0</v>
      </c>
      <c r="D104" s="174">
        <f t="shared" ca="1" si="59"/>
        <v>0</v>
      </c>
      <c r="E104" s="74">
        <f ca="1">IFERROR(__xludf.DUMMYFUNCTION("IMPORTRANGE(""https://docs.google.com/spreadsheets/d/1-uDff_7J0KD5mKrp0Vvzr7lt3OU09vwQwhkpOPPYv2Y/edit?usp=sharing"",""งบพรบ!BH104"")"),0)</f>
        <v>0</v>
      </c>
      <c r="F104" s="74">
        <f ca="1">IFERROR(__xludf.DUMMYFUNCTION("IMPORTRANGE(""https://docs.google.com/spreadsheets/d/1-uDff_7J0KD5mKrp0Vvzr7lt3OU09vwQwhkpOPPYv2Y/edit?usp=sharing"",""งบพรบ!BI104"")"),0)</f>
        <v>0</v>
      </c>
      <c r="G104" s="74">
        <f ca="1">IFERROR(__xludf.DUMMYFUNCTION("IMPORTRANGE(""https://docs.google.com/spreadsheets/d/1-uDff_7J0KD5mKrp0Vvzr7lt3OU09vwQwhkpOPPYv2Y/edit?usp=sharing"",""งบพรบ!BJ104"")"),0)</f>
        <v>0</v>
      </c>
      <c r="H104" s="74">
        <f ca="1">IFERROR(__xludf.DUMMYFUNCTION("IMPORTRANGE(""https://docs.google.com/spreadsheets/d/1-uDff_7J0KD5mKrp0Vvzr7lt3OU09vwQwhkpOPPYv2Y/edit?usp=sharing"",""งบพรบ!BL104"")"),0)</f>
        <v>0</v>
      </c>
      <c r="I104" s="74">
        <f ca="1">IFERROR(__xludf.DUMMYFUNCTION("IMPORTRANGE(""https://docs.google.com/spreadsheets/d/1-uDff_7J0KD5mKrp0Vvzr7lt3OU09vwQwhkpOPPYv2Y/edit?usp=sharing"",""งบพรบ!BM104"")"),0)</f>
        <v>0</v>
      </c>
      <c r="J104" s="74">
        <f t="shared" ca="1" si="60"/>
        <v>0</v>
      </c>
      <c r="K104" s="75">
        <f t="shared" ca="1" si="61"/>
        <v>0</v>
      </c>
      <c r="L104" s="74">
        <f ca="1">IFERROR(__xludf.DUMMYFUNCTION("IMPORTRANGE(""https://docs.google.com/spreadsheets/d/1-uDff_7J0KD5mKrp0Vvzr7lt3OU09vwQwhkpOPPYv2Y/edit?usp=sharing"",""งบพรบ!BN104"")"),0)</f>
        <v>0</v>
      </c>
      <c r="M104" s="76">
        <f t="shared" ca="1" si="62"/>
        <v>0</v>
      </c>
      <c r="N104" s="76">
        <f t="shared" ca="1" si="63"/>
        <v>0</v>
      </c>
      <c r="O104" s="77">
        <f ca="1">IFERROR(__xludf.DUMMYFUNCTION("IMPORTRANGE(""https://docs.google.com/spreadsheets/d/1-uDff_7J0KD5mKrp0Vvzr7lt3OU09vwQwhkpOPPYv2Y/edit?usp=sharing"",""งบพรบ!BO104"")"),0)</f>
        <v>0</v>
      </c>
      <c r="P104" s="77">
        <f t="shared" ca="1" si="64"/>
        <v>0</v>
      </c>
      <c r="Q104" s="76">
        <f t="shared" ca="1" si="65"/>
        <v>0</v>
      </c>
      <c r="R104" s="77">
        <v>0</v>
      </c>
      <c r="S104" s="77">
        <v>0</v>
      </c>
      <c r="T104" s="77">
        <v>0</v>
      </c>
      <c r="U104" s="76">
        <f t="shared" si="34"/>
        <v>0</v>
      </c>
      <c r="V104" s="76">
        <f t="shared" si="35"/>
        <v>0</v>
      </c>
      <c r="W104" s="74"/>
      <c r="X104" s="74"/>
      <c r="Y104" s="175"/>
      <c r="Z104" s="175"/>
      <c r="AA104" s="74"/>
      <c r="AB104" s="74"/>
      <c r="AC104" s="175"/>
      <c r="AD104" s="175"/>
      <c r="AE104" s="74"/>
      <c r="AF104" s="74"/>
      <c r="AG104" s="175"/>
    </row>
    <row r="105" spans="1:33" ht="19.5" x14ac:dyDescent="0.3">
      <c r="A105" s="105"/>
      <c r="B105" s="109" t="s">
        <v>133</v>
      </c>
      <c r="C105" s="173">
        <f t="shared" ca="1" si="58"/>
        <v>0</v>
      </c>
      <c r="D105" s="174">
        <f t="shared" ca="1" si="59"/>
        <v>0</v>
      </c>
      <c r="E105" s="74">
        <f ca="1">IFERROR(__xludf.DUMMYFUNCTION("IMPORTRANGE(""https://docs.google.com/spreadsheets/d/1-uDff_7J0KD5mKrp0Vvzr7lt3OU09vwQwhkpOPPYv2Y/edit?usp=sharing"",""งบพรบ!BH105"")"),0)</f>
        <v>0</v>
      </c>
      <c r="F105" s="74">
        <f ca="1">IFERROR(__xludf.DUMMYFUNCTION("IMPORTRANGE(""https://docs.google.com/spreadsheets/d/1-uDff_7J0KD5mKrp0Vvzr7lt3OU09vwQwhkpOPPYv2Y/edit?usp=sharing"",""งบพรบ!BI105"")"),0)</f>
        <v>0</v>
      </c>
      <c r="G105" s="74">
        <f ca="1">IFERROR(__xludf.DUMMYFUNCTION("IMPORTRANGE(""https://docs.google.com/spreadsheets/d/1-uDff_7J0KD5mKrp0Vvzr7lt3OU09vwQwhkpOPPYv2Y/edit?usp=sharing"",""งบพรบ!BJ105"")"),0)</f>
        <v>0</v>
      </c>
      <c r="H105" s="74">
        <f ca="1">IFERROR(__xludf.DUMMYFUNCTION("IMPORTRANGE(""https://docs.google.com/spreadsheets/d/1-uDff_7J0KD5mKrp0Vvzr7lt3OU09vwQwhkpOPPYv2Y/edit?usp=sharing"",""งบพรบ!BL105"")"),0)</f>
        <v>0</v>
      </c>
      <c r="I105" s="74">
        <f ca="1">IFERROR(__xludf.DUMMYFUNCTION("IMPORTRANGE(""https://docs.google.com/spreadsheets/d/1-uDff_7J0KD5mKrp0Vvzr7lt3OU09vwQwhkpOPPYv2Y/edit?usp=sharing"",""งบพรบ!BM105"")"),0)</f>
        <v>0</v>
      </c>
      <c r="J105" s="74">
        <f t="shared" ca="1" si="60"/>
        <v>0</v>
      </c>
      <c r="K105" s="75">
        <f t="shared" ca="1" si="61"/>
        <v>0</v>
      </c>
      <c r="L105" s="74">
        <f ca="1">IFERROR(__xludf.DUMMYFUNCTION("IMPORTRANGE(""https://docs.google.com/spreadsheets/d/1-uDff_7J0KD5mKrp0Vvzr7lt3OU09vwQwhkpOPPYv2Y/edit?usp=sharing"",""งบพรบ!BN105"")"),0)</f>
        <v>0</v>
      </c>
      <c r="M105" s="76">
        <f t="shared" ca="1" si="62"/>
        <v>0</v>
      </c>
      <c r="N105" s="76">
        <f t="shared" ca="1" si="63"/>
        <v>0</v>
      </c>
      <c r="O105" s="77">
        <f ca="1">IFERROR(__xludf.DUMMYFUNCTION("IMPORTRANGE(""https://docs.google.com/spreadsheets/d/1-uDff_7J0KD5mKrp0Vvzr7lt3OU09vwQwhkpOPPYv2Y/edit?usp=sharing"",""งบพรบ!BO105"")"),0)</f>
        <v>0</v>
      </c>
      <c r="P105" s="77">
        <f t="shared" ca="1" si="64"/>
        <v>0</v>
      </c>
      <c r="Q105" s="76">
        <f t="shared" ca="1" si="65"/>
        <v>0</v>
      </c>
      <c r="R105" s="110">
        <v>0</v>
      </c>
      <c r="S105" s="110">
        <v>0</v>
      </c>
      <c r="T105" s="110">
        <v>0</v>
      </c>
      <c r="U105" s="111">
        <f t="shared" si="34"/>
        <v>0</v>
      </c>
      <c r="V105" s="111">
        <f t="shared" si="35"/>
        <v>0</v>
      </c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</row>
    <row r="106" spans="1:33" ht="19.5" x14ac:dyDescent="0.3">
      <c r="A106" s="105"/>
      <c r="B106" s="109" t="s">
        <v>134</v>
      </c>
      <c r="C106" s="173">
        <f t="shared" ca="1" si="58"/>
        <v>0</v>
      </c>
      <c r="D106" s="174">
        <f t="shared" ca="1" si="59"/>
        <v>0</v>
      </c>
      <c r="E106" s="74">
        <f ca="1">IFERROR(__xludf.DUMMYFUNCTION("IMPORTRANGE(""https://docs.google.com/spreadsheets/d/1-uDff_7J0KD5mKrp0Vvzr7lt3OU09vwQwhkpOPPYv2Y/edit?usp=sharing"",""งบพรบ!BH106"")"),0)</f>
        <v>0</v>
      </c>
      <c r="F106" s="74">
        <f ca="1">IFERROR(__xludf.DUMMYFUNCTION("IMPORTRANGE(""https://docs.google.com/spreadsheets/d/1-uDff_7J0KD5mKrp0Vvzr7lt3OU09vwQwhkpOPPYv2Y/edit?usp=sharing"",""งบพรบ!BI106"")"),0)</f>
        <v>0</v>
      </c>
      <c r="G106" s="74">
        <f ca="1">IFERROR(__xludf.DUMMYFUNCTION("IMPORTRANGE(""https://docs.google.com/spreadsheets/d/1-uDff_7J0KD5mKrp0Vvzr7lt3OU09vwQwhkpOPPYv2Y/edit?usp=sharing"",""งบพรบ!BJ106"")"),0)</f>
        <v>0</v>
      </c>
      <c r="H106" s="74">
        <f ca="1">IFERROR(__xludf.DUMMYFUNCTION("IMPORTRANGE(""https://docs.google.com/spreadsheets/d/1-uDff_7J0KD5mKrp0Vvzr7lt3OU09vwQwhkpOPPYv2Y/edit?usp=sharing"",""งบพรบ!BL106"")"),0)</f>
        <v>0</v>
      </c>
      <c r="I106" s="74">
        <f ca="1">IFERROR(__xludf.DUMMYFUNCTION("IMPORTRANGE(""https://docs.google.com/spreadsheets/d/1-uDff_7J0KD5mKrp0Vvzr7lt3OU09vwQwhkpOPPYv2Y/edit?usp=sharing"",""งบพรบ!BM106"")"),0)</f>
        <v>0</v>
      </c>
      <c r="J106" s="74">
        <f t="shared" ca="1" si="60"/>
        <v>0</v>
      </c>
      <c r="K106" s="75">
        <f t="shared" ca="1" si="61"/>
        <v>0</v>
      </c>
      <c r="L106" s="74">
        <f ca="1">IFERROR(__xludf.DUMMYFUNCTION("IMPORTRANGE(""https://docs.google.com/spreadsheets/d/1-uDff_7J0KD5mKrp0Vvzr7lt3OU09vwQwhkpOPPYv2Y/edit?usp=sharing"",""งบพรบ!BN106"")"),0)</f>
        <v>0</v>
      </c>
      <c r="M106" s="76">
        <f t="shared" ca="1" si="62"/>
        <v>0</v>
      </c>
      <c r="N106" s="76">
        <f t="shared" ca="1" si="63"/>
        <v>0</v>
      </c>
      <c r="O106" s="77">
        <f ca="1">IFERROR(__xludf.DUMMYFUNCTION("IMPORTRANGE(""https://docs.google.com/spreadsheets/d/1-uDff_7J0KD5mKrp0Vvzr7lt3OU09vwQwhkpOPPYv2Y/edit?usp=sharing"",""งบพรบ!BO106"")"),0)</f>
        <v>0</v>
      </c>
      <c r="P106" s="77">
        <f t="shared" ca="1" si="64"/>
        <v>0</v>
      </c>
      <c r="Q106" s="76">
        <f t="shared" ca="1" si="65"/>
        <v>0</v>
      </c>
      <c r="R106" s="77">
        <v>0</v>
      </c>
      <c r="S106" s="77">
        <v>0</v>
      </c>
      <c r="T106" s="77">
        <v>0</v>
      </c>
      <c r="U106" s="76">
        <f t="shared" si="34"/>
        <v>0</v>
      </c>
      <c r="V106" s="76">
        <f t="shared" si="35"/>
        <v>0</v>
      </c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</row>
    <row r="107" spans="1:33" ht="19.5" x14ac:dyDescent="0.3">
      <c r="A107" s="105"/>
      <c r="B107" s="109" t="s">
        <v>26</v>
      </c>
      <c r="C107" s="173">
        <f t="shared" ca="1" si="58"/>
        <v>0</v>
      </c>
      <c r="D107" s="174">
        <f t="shared" ca="1" si="59"/>
        <v>0</v>
      </c>
      <c r="E107" s="74">
        <f ca="1">IFERROR(__xludf.DUMMYFUNCTION("IMPORTRANGE(""https://docs.google.com/spreadsheets/d/1-uDff_7J0KD5mKrp0Vvzr7lt3OU09vwQwhkpOPPYv2Y/edit?usp=sharing"",""งบพรบ!BH107"")"),0)</f>
        <v>0</v>
      </c>
      <c r="F107" s="74">
        <f ca="1">IFERROR(__xludf.DUMMYFUNCTION("IMPORTRANGE(""https://docs.google.com/spreadsheets/d/1-uDff_7J0KD5mKrp0Vvzr7lt3OU09vwQwhkpOPPYv2Y/edit?usp=sharing"",""งบพรบ!BI107"")"),0)</f>
        <v>0</v>
      </c>
      <c r="G107" s="74">
        <f ca="1">IFERROR(__xludf.DUMMYFUNCTION("IMPORTRANGE(""https://docs.google.com/spreadsheets/d/1-uDff_7J0KD5mKrp0Vvzr7lt3OU09vwQwhkpOPPYv2Y/edit?usp=sharing"",""งบพรบ!BJ107"")"),0)</f>
        <v>0</v>
      </c>
      <c r="H107" s="74">
        <f ca="1">IFERROR(__xludf.DUMMYFUNCTION("IMPORTRANGE(""https://docs.google.com/spreadsheets/d/1-uDff_7J0KD5mKrp0Vvzr7lt3OU09vwQwhkpOPPYv2Y/edit?usp=sharing"",""งบพรบ!BL107"")"),0)</f>
        <v>0</v>
      </c>
      <c r="I107" s="74">
        <f ca="1">IFERROR(__xludf.DUMMYFUNCTION("IMPORTRANGE(""https://docs.google.com/spreadsheets/d/1-uDff_7J0KD5mKrp0Vvzr7lt3OU09vwQwhkpOPPYv2Y/edit?usp=sharing"",""งบพรบ!BM107"")"),0)</f>
        <v>0</v>
      </c>
      <c r="J107" s="74">
        <f t="shared" ca="1" si="60"/>
        <v>0</v>
      </c>
      <c r="K107" s="75">
        <f t="shared" ca="1" si="61"/>
        <v>0</v>
      </c>
      <c r="L107" s="74">
        <f ca="1">IFERROR(__xludf.DUMMYFUNCTION("IMPORTRANGE(""https://docs.google.com/spreadsheets/d/1-uDff_7J0KD5mKrp0Vvzr7lt3OU09vwQwhkpOPPYv2Y/edit?usp=sharing"",""งบพรบ!BN107"")"),0)</f>
        <v>0</v>
      </c>
      <c r="M107" s="76">
        <f t="shared" ca="1" si="62"/>
        <v>0</v>
      </c>
      <c r="N107" s="76">
        <f t="shared" ca="1" si="63"/>
        <v>0</v>
      </c>
      <c r="O107" s="77">
        <f ca="1">IFERROR(__xludf.DUMMYFUNCTION("IMPORTRANGE(""https://docs.google.com/spreadsheets/d/1-uDff_7J0KD5mKrp0Vvzr7lt3OU09vwQwhkpOPPYv2Y/edit?usp=sharing"",""งบพรบ!BO107"")"),0)</f>
        <v>0</v>
      </c>
      <c r="P107" s="77">
        <f t="shared" ca="1" si="64"/>
        <v>0</v>
      </c>
      <c r="Q107" s="76">
        <f t="shared" ca="1" si="65"/>
        <v>0</v>
      </c>
      <c r="R107" s="77">
        <v>0</v>
      </c>
      <c r="S107" s="77">
        <v>0</v>
      </c>
      <c r="T107" s="77">
        <v>0</v>
      </c>
      <c r="U107" s="76">
        <f t="shared" si="34"/>
        <v>0</v>
      </c>
      <c r="V107" s="76">
        <f t="shared" si="35"/>
        <v>0</v>
      </c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</row>
    <row r="108" spans="1:33" ht="19.5" x14ac:dyDescent="0.3">
      <c r="A108" s="112"/>
      <c r="B108" s="113" t="s">
        <v>135</v>
      </c>
      <c r="C108" s="193">
        <f t="shared" ca="1" si="58"/>
        <v>0</v>
      </c>
      <c r="D108" s="194">
        <f t="shared" ca="1" si="59"/>
        <v>0</v>
      </c>
      <c r="E108" s="84">
        <f ca="1">IFERROR(__xludf.DUMMYFUNCTION("IMPORTRANGE(""https://docs.google.com/spreadsheets/d/1-uDff_7J0KD5mKrp0Vvzr7lt3OU09vwQwhkpOPPYv2Y/edit?usp=sharing"",""งบพรบ!BH108"")"),0)</f>
        <v>0</v>
      </c>
      <c r="F108" s="84">
        <f ca="1">IFERROR(__xludf.DUMMYFUNCTION("IMPORTRANGE(""https://docs.google.com/spreadsheets/d/1-uDff_7J0KD5mKrp0Vvzr7lt3OU09vwQwhkpOPPYv2Y/edit?usp=sharing"",""งบพรบ!BI108"")"),0)</f>
        <v>0</v>
      </c>
      <c r="G108" s="84">
        <f ca="1">IFERROR(__xludf.DUMMYFUNCTION("IMPORTRANGE(""https://docs.google.com/spreadsheets/d/1-uDff_7J0KD5mKrp0Vvzr7lt3OU09vwQwhkpOPPYv2Y/edit?usp=sharing"",""งบพรบ!BJ108"")"),0)</f>
        <v>0</v>
      </c>
      <c r="H108" s="84">
        <f ca="1">IFERROR(__xludf.DUMMYFUNCTION("IMPORTRANGE(""https://docs.google.com/spreadsheets/d/1-uDff_7J0KD5mKrp0Vvzr7lt3OU09vwQwhkpOPPYv2Y/edit?usp=sharing"",""งบพรบ!BL108"")"),0)</f>
        <v>0</v>
      </c>
      <c r="I108" s="84">
        <f ca="1">IFERROR(__xludf.DUMMYFUNCTION("IMPORTRANGE(""https://docs.google.com/spreadsheets/d/1-uDff_7J0KD5mKrp0Vvzr7lt3OU09vwQwhkpOPPYv2Y/edit?usp=sharing"",""งบพรบ!BM108"")"),0)</f>
        <v>0</v>
      </c>
      <c r="J108" s="84">
        <f t="shared" ca="1" si="60"/>
        <v>0</v>
      </c>
      <c r="K108" s="85">
        <f t="shared" ca="1" si="61"/>
        <v>0</v>
      </c>
      <c r="L108" s="84">
        <f ca="1">IFERROR(__xludf.DUMMYFUNCTION("IMPORTRANGE(""https://docs.google.com/spreadsheets/d/1-uDff_7J0KD5mKrp0Vvzr7lt3OU09vwQwhkpOPPYv2Y/edit?usp=sharing"",""งบพรบ!BN108"")"),0)</f>
        <v>0</v>
      </c>
      <c r="M108" s="86">
        <f t="shared" ca="1" si="62"/>
        <v>0</v>
      </c>
      <c r="N108" s="86">
        <f t="shared" ca="1" si="63"/>
        <v>0</v>
      </c>
      <c r="O108" s="87">
        <f ca="1">IFERROR(__xludf.DUMMYFUNCTION("IMPORTRANGE(""https://docs.google.com/spreadsheets/d/1-uDff_7J0KD5mKrp0Vvzr7lt3OU09vwQwhkpOPPYv2Y/edit?usp=sharing"",""งบพรบ!BO108"")"),0)</f>
        <v>0</v>
      </c>
      <c r="P108" s="87">
        <f t="shared" ca="1" si="64"/>
        <v>0</v>
      </c>
      <c r="Q108" s="86">
        <f t="shared" ca="1" si="65"/>
        <v>0</v>
      </c>
      <c r="R108" s="87">
        <v>0</v>
      </c>
      <c r="S108" s="87">
        <v>0</v>
      </c>
      <c r="T108" s="87">
        <v>0</v>
      </c>
      <c r="U108" s="86">
        <f t="shared" si="34"/>
        <v>0</v>
      </c>
      <c r="V108" s="86">
        <f t="shared" si="35"/>
        <v>0</v>
      </c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</row>
  </sheetData>
  <mergeCells count="35">
    <mergeCell ref="H5:H6"/>
    <mergeCell ref="I5:I6"/>
    <mergeCell ref="J5:K5"/>
    <mergeCell ref="L5:N5"/>
    <mergeCell ref="A52:B52"/>
    <mergeCell ref="A74:B74"/>
    <mergeCell ref="A89:B89"/>
    <mergeCell ref="D5:D6"/>
    <mergeCell ref="E5:E6"/>
    <mergeCell ref="A2:B6"/>
    <mergeCell ref="C5:C6"/>
    <mergeCell ref="A7:B7"/>
    <mergeCell ref="A13:B13"/>
    <mergeCell ref="A31:B31"/>
    <mergeCell ref="X5:Y5"/>
    <mergeCell ref="AE3:AG4"/>
    <mergeCell ref="AF5:AG5"/>
    <mergeCell ref="C2:V2"/>
    <mergeCell ref="W2:AG2"/>
    <mergeCell ref="R3:V3"/>
    <mergeCell ref="AA3:AD4"/>
    <mergeCell ref="V4:V6"/>
    <mergeCell ref="O5:Q5"/>
    <mergeCell ref="AB5:AC5"/>
    <mergeCell ref="R4:R6"/>
    <mergeCell ref="S4:S6"/>
    <mergeCell ref="T4:T6"/>
    <mergeCell ref="U4:U6"/>
    <mergeCell ref="F5:F6"/>
    <mergeCell ref="G5:G6"/>
    <mergeCell ref="C3:Q3"/>
    <mergeCell ref="C4:G4"/>
    <mergeCell ref="H4:I4"/>
    <mergeCell ref="J4:Q4"/>
    <mergeCell ref="W3:Z4"/>
  </mergeCells>
  <conditionalFormatting sqref="K14:K30 K32:K51 K53:K73 K75:K88 K90:K108">
    <cfRule type="colorScale" priority="4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Q14:Q30 Q32:Q51 Q53:Q73 Q75:Q88">
    <cfRule type="colorScale" priority="2">
      <colorScale>
        <cfvo type="formula" val="21.67"/>
        <cfvo type="formula" val="43.33"/>
        <cfvo type="formula" val="86.66"/>
        <color rgb="FFFF0000"/>
        <color rgb="FFFFFF00"/>
        <color rgb="FF38761D"/>
      </colorScale>
    </cfRule>
  </conditionalFormatting>
  <conditionalFormatting sqref="U14:U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Y14:Y88 AC14:AC88">
    <cfRule type="colorScale" priority="3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  <outlinePr summaryBelow="0" summaryRight="0"/>
  </sheetPr>
  <dimension ref="A1:AL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23" width="13.85546875" customWidth="1"/>
    <col min="24" max="25" width="11.42578125" customWidth="1"/>
    <col min="26" max="29" width="10.140625" customWidth="1"/>
    <col min="30" max="30" width="11.42578125" customWidth="1"/>
    <col min="31" max="35" width="10.140625" customWidth="1"/>
    <col min="36" max="36" width="12.5703125" customWidth="1"/>
    <col min="37" max="38" width="10.14062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30" customHeight="1" x14ac:dyDescent="0.2">
      <c r="A2" s="657" t="s">
        <v>1</v>
      </c>
      <c r="B2" s="658"/>
      <c r="C2" s="669" t="s">
        <v>147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70" t="s">
        <v>148</v>
      </c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7"/>
    </row>
    <row r="3" spans="1:38" ht="30" customHeight="1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45" t="s">
        <v>5</v>
      </c>
      <c r="S3" s="646"/>
      <c r="T3" s="646"/>
      <c r="U3" s="646"/>
      <c r="V3" s="647"/>
      <c r="W3" s="707" t="s">
        <v>29</v>
      </c>
      <c r="X3" s="646"/>
      <c r="Y3" s="646"/>
      <c r="Z3" s="646"/>
      <c r="AA3" s="646"/>
      <c r="AB3" s="646"/>
      <c r="AC3" s="646"/>
      <c r="AD3" s="646"/>
      <c r="AE3" s="646"/>
      <c r="AF3" s="646"/>
      <c r="AG3" s="646"/>
      <c r="AH3" s="646"/>
      <c r="AI3" s="646"/>
      <c r="AJ3" s="646"/>
      <c r="AK3" s="646"/>
      <c r="AL3" s="647"/>
    </row>
    <row r="4" spans="1:38" ht="30" customHeight="1" x14ac:dyDescent="0.2">
      <c r="A4" s="659"/>
      <c r="B4" s="660"/>
      <c r="C4" s="677" t="s">
        <v>8</v>
      </c>
      <c r="D4" s="646"/>
      <c r="E4" s="646"/>
      <c r="F4" s="646"/>
      <c r="G4" s="647"/>
      <c r="H4" s="678" t="s">
        <v>9</v>
      </c>
      <c r="I4" s="647"/>
      <c r="J4" s="676" t="s">
        <v>10</v>
      </c>
      <c r="K4" s="646"/>
      <c r="L4" s="646"/>
      <c r="M4" s="646"/>
      <c r="N4" s="646"/>
      <c r="O4" s="646"/>
      <c r="P4" s="646"/>
      <c r="Q4" s="647"/>
      <c r="R4" s="648" t="s">
        <v>11</v>
      </c>
      <c r="S4" s="651" t="s">
        <v>12</v>
      </c>
      <c r="T4" s="652" t="s">
        <v>13</v>
      </c>
      <c r="U4" s="652" t="s">
        <v>14</v>
      </c>
      <c r="V4" s="652" t="s">
        <v>15</v>
      </c>
      <c r="W4" s="706" t="s">
        <v>149</v>
      </c>
      <c r="X4" s="672" t="s">
        <v>150</v>
      </c>
      <c r="Y4" s="646"/>
      <c r="Z4" s="646"/>
      <c r="AA4" s="646"/>
      <c r="AB4" s="646"/>
      <c r="AC4" s="647"/>
      <c r="AD4" s="672" t="s">
        <v>151</v>
      </c>
      <c r="AE4" s="646"/>
      <c r="AF4" s="646"/>
      <c r="AG4" s="646"/>
      <c r="AH4" s="646"/>
      <c r="AI4" s="647"/>
      <c r="AJ4" s="672" t="s">
        <v>152</v>
      </c>
      <c r="AK4" s="646"/>
      <c r="AL4" s="647"/>
    </row>
    <row r="5" spans="1:38" ht="30" customHeight="1" x14ac:dyDescent="0.2">
      <c r="A5" s="659"/>
      <c r="B5" s="660"/>
      <c r="C5" s="679" t="s">
        <v>20</v>
      </c>
      <c r="D5" s="680" t="s">
        <v>21</v>
      </c>
      <c r="E5" s="681" t="s">
        <v>22</v>
      </c>
      <c r="F5" s="682" t="s">
        <v>23</v>
      </c>
      <c r="G5" s="683" t="s">
        <v>24</v>
      </c>
      <c r="H5" s="651" t="s">
        <v>25</v>
      </c>
      <c r="I5" s="651" t="s">
        <v>26</v>
      </c>
      <c r="J5" s="653" t="s">
        <v>27</v>
      </c>
      <c r="K5" s="647"/>
      <c r="L5" s="653" t="s">
        <v>25</v>
      </c>
      <c r="M5" s="646"/>
      <c r="N5" s="647"/>
      <c r="O5" s="654" t="s">
        <v>26</v>
      </c>
      <c r="P5" s="646"/>
      <c r="Q5" s="647"/>
      <c r="R5" s="649"/>
      <c r="S5" s="649"/>
      <c r="T5" s="649"/>
      <c r="U5" s="649"/>
      <c r="V5" s="649"/>
      <c r="W5" s="649"/>
      <c r="X5" s="655" t="s">
        <v>28</v>
      </c>
      <c r="Y5" s="647"/>
      <c r="Z5" s="656" t="s">
        <v>29</v>
      </c>
      <c r="AA5" s="647"/>
      <c r="AB5" s="656" t="s">
        <v>29</v>
      </c>
      <c r="AC5" s="647"/>
      <c r="AD5" s="655" t="s">
        <v>28</v>
      </c>
      <c r="AE5" s="647"/>
      <c r="AF5" s="656" t="s">
        <v>29</v>
      </c>
      <c r="AG5" s="647"/>
      <c r="AH5" s="656" t="s">
        <v>29</v>
      </c>
      <c r="AI5" s="647"/>
      <c r="AJ5" s="7" t="s">
        <v>28</v>
      </c>
      <c r="AK5" s="656" t="s">
        <v>29</v>
      </c>
      <c r="AL5" s="647"/>
    </row>
    <row r="6" spans="1:38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650"/>
      <c r="S6" s="650"/>
      <c r="T6" s="650"/>
      <c r="U6" s="650"/>
      <c r="V6" s="650"/>
      <c r="W6" s="650"/>
      <c r="X6" s="7" t="s">
        <v>35</v>
      </c>
      <c r="Y6" s="7" t="s">
        <v>146</v>
      </c>
      <c r="Z6" s="15" t="s">
        <v>35</v>
      </c>
      <c r="AA6" s="14" t="s">
        <v>31</v>
      </c>
      <c r="AB6" s="14" t="s">
        <v>146</v>
      </c>
      <c r="AC6" s="14" t="s">
        <v>31</v>
      </c>
      <c r="AD6" s="7" t="s">
        <v>35</v>
      </c>
      <c r="AE6" s="7" t="s">
        <v>146</v>
      </c>
      <c r="AF6" s="15" t="s">
        <v>35</v>
      </c>
      <c r="AG6" s="14" t="s">
        <v>31</v>
      </c>
      <c r="AH6" s="14" t="s">
        <v>146</v>
      </c>
      <c r="AI6" s="14" t="s">
        <v>31</v>
      </c>
      <c r="AJ6" s="7" t="s">
        <v>153</v>
      </c>
      <c r="AK6" s="15" t="s">
        <v>153</v>
      </c>
      <c r="AL6" s="14" t="s">
        <v>31</v>
      </c>
    </row>
    <row r="7" spans="1:38" ht="24" customHeight="1" x14ac:dyDescent="0.3">
      <c r="A7" s="694" t="s">
        <v>38</v>
      </c>
      <c r="B7" s="647"/>
      <c r="C7" s="126">
        <f t="shared" ref="C7:C9" ca="1" si="0">D7+G7</f>
        <v>3675200</v>
      </c>
      <c r="D7" s="127">
        <f t="shared" ref="D7:E7" ca="1" si="1">D8+D9+D12</f>
        <v>3675200</v>
      </c>
      <c r="E7" s="128">
        <f t="shared" ca="1" si="1"/>
        <v>1653800</v>
      </c>
      <c r="F7" s="129">
        <f ca="1">F8+F9</f>
        <v>2021400</v>
      </c>
      <c r="G7" s="130">
        <f t="shared" ref="G7:I7" ca="1" si="2">G8+G9+G12</f>
        <v>0</v>
      </c>
      <c r="H7" s="131">
        <f t="shared" ca="1" si="2"/>
        <v>3675200</v>
      </c>
      <c r="I7" s="131">
        <f t="shared" ca="1" si="2"/>
        <v>0</v>
      </c>
      <c r="J7" s="132">
        <f t="shared" ref="J7:J9" ca="1" si="3">L7+O7</f>
        <v>3286844.19</v>
      </c>
      <c r="K7" s="133">
        <f t="shared" ref="K7:K9" ca="1" si="4">IF(C7&gt;0,J7*100/C7,0)</f>
        <v>89.433070037004782</v>
      </c>
      <c r="L7" s="132">
        <f ca="1">L8+L9+L12</f>
        <v>3286844.19</v>
      </c>
      <c r="M7" s="27">
        <f t="shared" ref="M7:M9" ca="1" si="5">IF(D7&gt;0,L7*100/D7,0)</f>
        <v>89.433070037004782</v>
      </c>
      <c r="N7" s="27">
        <f t="shared" ref="N7:N9" ca="1" si="6">IF(H7&gt;0,L7*100/H7,0)</f>
        <v>89.433070037004782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5325200</v>
      </c>
      <c r="S7" s="26">
        <f t="shared" ca="1" si="9"/>
        <v>5325200</v>
      </c>
      <c r="T7" s="26">
        <f t="shared" ca="1" si="9"/>
        <v>680668.52</v>
      </c>
      <c r="U7" s="27">
        <f t="shared" ref="U7:U9" ca="1" si="10">IF(R7&gt;0,T7*100/R7,0)</f>
        <v>12.782027341696086</v>
      </c>
      <c r="V7" s="27">
        <f t="shared" ref="V7:V9" ca="1" si="11">IF(S7&gt;0,T7*100/S7,0)</f>
        <v>12.782027341696086</v>
      </c>
      <c r="W7" s="29">
        <f t="shared" ref="W7:Z7" ca="1" si="12">W8</f>
        <v>1</v>
      </c>
      <c r="X7" s="28">
        <f t="shared" ca="1" si="12"/>
        <v>270</v>
      </c>
      <c r="Y7" s="28">
        <f t="shared" ca="1" si="12"/>
        <v>27</v>
      </c>
      <c r="Z7" s="29">
        <f t="shared" ca="1" si="12"/>
        <v>220</v>
      </c>
      <c r="AA7" s="30">
        <f t="shared" ref="AA7:AA8" ca="1" si="13">IF(X7&gt;0,Z7*100/X7,0)</f>
        <v>81.481481481481481</v>
      </c>
      <c r="AB7" s="29">
        <f ca="1">AB8</f>
        <v>21</v>
      </c>
      <c r="AC7" s="30">
        <f t="shared" ref="AC7:AC8" ca="1" si="14">IF(Y7&gt;0,AB7*100/Y7,0)</f>
        <v>77.777777777777771</v>
      </c>
      <c r="AD7" s="28">
        <f t="shared" ref="AD7:AF7" ca="1" si="15">AD8</f>
        <v>1070</v>
      </c>
      <c r="AE7" s="28">
        <f t="shared" ca="1" si="15"/>
        <v>107</v>
      </c>
      <c r="AF7" s="29">
        <f t="shared" ca="1" si="15"/>
        <v>900</v>
      </c>
      <c r="AG7" s="30">
        <f t="shared" ref="AG7:AG8" ca="1" si="16">IF(AD7&gt;0,AF7*100/AD7,0)</f>
        <v>84.112149532710276</v>
      </c>
      <c r="AH7" s="29">
        <f ca="1">AH8</f>
        <v>85</v>
      </c>
      <c r="AI7" s="30">
        <f t="shared" ref="AI7:AI8" ca="1" si="17">IF(AE7&gt;0,AH7*100/AE7,0)</f>
        <v>79.439252336448604</v>
      </c>
      <c r="AJ7" s="28">
        <f t="shared" ref="AJ7:AK7" ca="1" si="18">AJ8</f>
        <v>27</v>
      </c>
      <c r="AK7" s="29">
        <f t="shared" ca="1" si="18"/>
        <v>0</v>
      </c>
      <c r="AL7" s="30">
        <f t="shared" ref="AL7:AL8" ca="1" si="19">IF(AJ7&gt;0,AK7*100/AJ7,0)</f>
        <v>0</v>
      </c>
    </row>
    <row r="8" spans="1:38" ht="28.5" customHeight="1" x14ac:dyDescent="0.3">
      <c r="A8" s="134" t="s">
        <v>39</v>
      </c>
      <c r="B8" s="135"/>
      <c r="C8" s="136">
        <f t="shared" ca="1" si="0"/>
        <v>3363200</v>
      </c>
      <c r="D8" s="136">
        <f t="shared" ref="D8:I8" ca="1" si="20">+D13+D31+D52+D74</f>
        <v>3363200</v>
      </c>
      <c r="E8" s="136">
        <f t="shared" ca="1" si="20"/>
        <v>1561000</v>
      </c>
      <c r="F8" s="136">
        <f t="shared" ca="1" si="20"/>
        <v>1802200</v>
      </c>
      <c r="G8" s="136">
        <f t="shared" ca="1" si="20"/>
        <v>0</v>
      </c>
      <c r="H8" s="136">
        <f t="shared" ca="1" si="20"/>
        <v>3183200</v>
      </c>
      <c r="I8" s="136">
        <f t="shared" ca="1" si="20"/>
        <v>0</v>
      </c>
      <c r="J8" s="136">
        <f t="shared" ca="1" si="3"/>
        <v>2811924.55</v>
      </c>
      <c r="K8" s="137">
        <f t="shared" ca="1" si="4"/>
        <v>83.608603413415793</v>
      </c>
      <c r="L8" s="136">
        <f ca="1">+L13+L31+L52+L74</f>
        <v>2811924.55</v>
      </c>
      <c r="M8" s="37">
        <f t="shared" ca="1" si="5"/>
        <v>83.608603413415793</v>
      </c>
      <c r="N8" s="37">
        <f t="shared" ca="1" si="6"/>
        <v>88.336408331238999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21">+R13+R31+R52+R74</f>
        <v>5085005</v>
      </c>
      <c r="S8" s="36">
        <f t="shared" ca="1" si="21"/>
        <v>5085005</v>
      </c>
      <c r="T8" s="36">
        <f t="shared" ca="1" si="21"/>
        <v>631268.5</v>
      </c>
      <c r="U8" s="37">
        <f t="shared" ca="1" si="10"/>
        <v>12.414314243545483</v>
      </c>
      <c r="V8" s="37">
        <f t="shared" ca="1" si="11"/>
        <v>12.414314243545483</v>
      </c>
      <c r="W8" s="32">
        <f t="shared" ref="W8:Z8" ca="1" si="22">+W13+W31+W52+W74</f>
        <v>1</v>
      </c>
      <c r="X8" s="32">
        <f t="shared" ca="1" si="22"/>
        <v>270</v>
      </c>
      <c r="Y8" s="32">
        <f t="shared" ca="1" si="22"/>
        <v>27</v>
      </c>
      <c r="Z8" s="32">
        <f t="shared" ca="1" si="22"/>
        <v>220</v>
      </c>
      <c r="AA8" s="34">
        <f t="shared" ca="1" si="13"/>
        <v>81.481481481481481</v>
      </c>
      <c r="AB8" s="32">
        <f ca="1">+AB13+AB31+AB52+AB74</f>
        <v>21</v>
      </c>
      <c r="AC8" s="34">
        <f t="shared" ca="1" si="14"/>
        <v>77.777777777777771</v>
      </c>
      <c r="AD8" s="32">
        <f t="shared" ref="AD8:AF8" ca="1" si="23">+AD13+AD31+AD52+AD74</f>
        <v>1070</v>
      </c>
      <c r="AE8" s="32">
        <f t="shared" ca="1" si="23"/>
        <v>107</v>
      </c>
      <c r="AF8" s="32">
        <f t="shared" ca="1" si="23"/>
        <v>900</v>
      </c>
      <c r="AG8" s="34">
        <f t="shared" ca="1" si="16"/>
        <v>84.112149532710276</v>
      </c>
      <c r="AH8" s="32">
        <f ca="1">+AH13+AH31+AH52+AH74</f>
        <v>85</v>
      </c>
      <c r="AI8" s="34">
        <f t="shared" ca="1" si="17"/>
        <v>79.439252336448604</v>
      </c>
      <c r="AJ8" s="32">
        <f t="shared" ref="AJ8:AK8" ca="1" si="24">+AJ13+AJ31+AJ52+AJ74</f>
        <v>27</v>
      </c>
      <c r="AK8" s="32">
        <f t="shared" ca="1" si="24"/>
        <v>0</v>
      </c>
      <c r="AL8" s="34">
        <f t="shared" ca="1" si="19"/>
        <v>0</v>
      </c>
    </row>
    <row r="9" spans="1:38" ht="28.5" customHeight="1" x14ac:dyDescent="0.3">
      <c r="A9" s="38" t="s">
        <v>40</v>
      </c>
      <c r="B9" s="138"/>
      <c r="C9" s="139">
        <f t="shared" ca="1" si="0"/>
        <v>312000</v>
      </c>
      <c r="D9" s="139">
        <f t="shared" ref="D9:I9" ca="1" si="25">+D89</f>
        <v>312000</v>
      </c>
      <c r="E9" s="139">
        <f t="shared" ca="1" si="25"/>
        <v>92800</v>
      </c>
      <c r="F9" s="139">
        <f t="shared" ca="1" si="25"/>
        <v>219200</v>
      </c>
      <c r="G9" s="139">
        <f t="shared" ca="1" si="25"/>
        <v>0</v>
      </c>
      <c r="H9" s="139">
        <f t="shared" ca="1" si="25"/>
        <v>492000</v>
      </c>
      <c r="I9" s="139">
        <f t="shared" ca="1" si="25"/>
        <v>0</v>
      </c>
      <c r="J9" s="139">
        <f t="shared" ca="1" si="3"/>
        <v>474919.64</v>
      </c>
      <c r="K9" s="140">
        <f t="shared" ca="1" si="4"/>
        <v>152.21783333333335</v>
      </c>
      <c r="L9" s="139">
        <f ca="1">+L89</f>
        <v>474919.64</v>
      </c>
      <c r="M9" s="44">
        <f t="shared" ca="1" si="5"/>
        <v>152.21783333333335</v>
      </c>
      <c r="N9" s="44">
        <f t="shared" ca="1" si="6"/>
        <v>96.528382113821138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6">+R89</f>
        <v>240195</v>
      </c>
      <c r="S9" s="43">
        <f t="shared" ca="1" si="26"/>
        <v>240195</v>
      </c>
      <c r="T9" s="43">
        <f t="shared" ca="1" si="26"/>
        <v>49400.02</v>
      </c>
      <c r="U9" s="44">
        <f t="shared" ca="1" si="10"/>
        <v>20.566631278752681</v>
      </c>
      <c r="V9" s="44">
        <f t="shared" ca="1" si="11"/>
        <v>20.566631278752681</v>
      </c>
      <c r="W9" s="39"/>
      <c r="X9" s="39"/>
      <c r="Y9" s="39"/>
      <c r="Z9" s="39"/>
      <c r="AA9" s="41"/>
      <c r="AB9" s="39"/>
      <c r="AC9" s="41"/>
      <c r="AD9" s="39"/>
      <c r="AE9" s="39"/>
      <c r="AF9" s="39"/>
      <c r="AG9" s="41"/>
      <c r="AH9" s="39"/>
      <c r="AI9" s="41"/>
      <c r="AJ9" s="39"/>
      <c r="AK9" s="39"/>
      <c r="AL9" s="41"/>
    </row>
    <row r="10" spans="1:38" ht="28.5" hidden="1" customHeight="1" x14ac:dyDescent="0.3">
      <c r="A10" s="141"/>
      <c r="B10" s="142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46"/>
      <c r="Z10" s="46"/>
      <c r="AA10" s="48"/>
      <c r="AB10" s="46"/>
      <c r="AC10" s="48"/>
      <c r="AD10" s="46"/>
      <c r="AE10" s="46"/>
      <c r="AF10" s="46"/>
      <c r="AG10" s="48"/>
      <c r="AH10" s="46"/>
      <c r="AI10" s="48"/>
      <c r="AJ10" s="46"/>
      <c r="AK10" s="46"/>
      <c r="AL10" s="48"/>
    </row>
    <row r="11" spans="1:38" ht="28.5" hidden="1" customHeight="1" x14ac:dyDescent="0.3">
      <c r="A11" s="141"/>
      <c r="B11" s="142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46"/>
      <c r="Z11" s="46"/>
      <c r="AA11" s="48"/>
      <c r="AB11" s="46"/>
      <c r="AC11" s="48"/>
      <c r="AD11" s="46"/>
      <c r="AE11" s="46"/>
      <c r="AF11" s="46"/>
      <c r="AG11" s="48"/>
      <c r="AH11" s="46"/>
      <c r="AI11" s="48"/>
      <c r="AJ11" s="46"/>
      <c r="AK11" s="46"/>
      <c r="AL11" s="48"/>
    </row>
    <row r="12" spans="1:38" ht="28.5" hidden="1" customHeight="1" x14ac:dyDescent="0.3">
      <c r="A12" s="141"/>
      <c r="B12" s="142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46"/>
      <c r="Z12" s="46"/>
      <c r="AA12" s="48"/>
      <c r="AB12" s="46"/>
      <c r="AC12" s="48"/>
      <c r="AD12" s="46"/>
      <c r="AE12" s="46"/>
      <c r="AF12" s="46"/>
      <c r="AG12" s="48"/>
      <c r="AH12" s="46"/>
      <c r="AI12" s="48"/>
      <c r="AJ12" s="46"/>
      <c r="AK12" s="46"/>
      <c r="AL12" s="48"/>
    </row>
    <row r="13" spans="1:38" ht="28.5" customHeight="1" x14ac:dyDescent="0.3">
      <c r="A13" s="695" t="s">
        <v>41</v>
      </c>
      <c r="B13" s="647"/>
      <c r="C13" s="145">
        <f t="shared" ref="C13:C88" ca="1" si="27">D13+G13</f>
        <v>1202200</v>
      </c>
      <c r="D13" s="145">
        <f t="shared" ref="D13:I13" ca="1" si="28">SUM(D14:D30)</f>
        <v>1202200</v>
      </c>
      <c r="E13" s="145">
        <f t="shared" ca="1" si="28"/>
        <v>500700</v>
      </c>
      <c r="F13" s="145">
        <f t="shared" ca="1" si="28"/>
        <v>701500</v>
      </c>
      <c r="G13" s="145">
        <f t="shared" ca="1" si="28"/>
        <v>0</v>
      </c>
      <c r="H13" s="145">
        <f t="shared" ca="1" si="28"/>
        <v>1147200</v>
      </c>
      <c r="I13" s="145">
        <f t="shared" ca="1" si="28"/>
        <v>0</v>
      </c>
      <c r="J13" s="145">
        <f t="shared" ref="J13:J88" ca="1" si="29">L13+O13</f>
        <v>961507.65</v>
      </c>
      <c r="K13" s="146">
        <f t="shared" ref="K13:K88" ca="1" si="30">IF(C13&gt;0,J13*100/C13,0)</f>
        <v>79.979009316253538</v>
      </c>
      <c r="L13" s="145">
        <f ca="1">SUM(L14:L30)</f>
        <v>961507.65</v>
      </c>
      <c r="M13" s="57">
        <f t="shared" ref="M13:M88" ca="1" si="31">IF(D13&gt;0,L13*100/D13,0)</f>
        <v>79.979009316253538</v>
      </c>
      <c r="N13" s="57">
        <f t="shared" ref="N13:N88" ca="1" si="32">IF(H13&gt;0,L13*100/H13,0)</f>
        <v>83.813428347280336</v>
      </c>
      <c r="O13" s="56">
        <f ca="1">SUM(O14:O30)</f>
        <v>0</v>
      </c>
      <c r="P13" s="56">
        <f t="shared" ref="P13:P88" ca="1" si="33">IF(G13&gt;0,O13*100/G13,0)</f>
        <v>0</v>
      </c>
      <c r="Q13" s="57">
        <f t="shared" ref="Q13:Q88" ca="1" si="34">IF(I13&gt;0,O13*100/I13,0)</f>
        <v>0</v>
      </c>
      <c r="R13" s="56">
        <f t="shared" ref="R13:T13" ca="1" si="35">SUM(R14:R30)</f>
        <v>2451300</v>
      </c>
      <c r="S13" s="56">
        <f t="shared" ca="1" si="35"/>
        <v>2451300</v>
      </c>
      <c r="T13" s="56">
        <f t="shared" ca="1" si="35"/>
        <v>210326</v>
      </c>
      <c r="U13" s="57">
        <f t="shared" ref="U13:U108" ca="1" si="36">IF(R13&gt;0,T13*100/R13,0)</f>
        <v>8.5801819442744662</v>
      </c>
      <c r="V13" s="57">
        <f t="shared" ref="V13:V108" ca="1" si="37">IF(S13&gt;0,T13*100/S13,0)</f>
        <v>8.5801819442744662</v>
      </c>
      <c r="W13" s="52">
        <f t="shared" ref="W13:Z13" ca="1" si="38">SUM(W14:W30)</f>
        <v>1</v>
      </c>
      <c r="X13" s="52">
        <f t="shared" ca="1" si="38"/>
        <v>150</v>
      </c>
      <c r="Y13" s="52">
        <f t="shared" ca="1" si="38"/>
        <v>15</v>
      </c>
      <c r="Z13" s="52">
        <f t="shared" ca="1" si="38"/>
        <v>100</v>
      </c>
      <c r="AA13" s="54">
        <f t="shared" ref="AA13:AA88" ca="1" si="39">IF(X13&gt;0,Z13*100/X13,0)</f>
        <v>66.666666666666671</v>
      </c>
      <c r="AB13" s="52">
        <f ca="1">SUM(AB14:AB30)</f>
        <v>10</v>
      </c>
      <c r="AC13" s="54">
        <f t="shared" ref="AC13:AC88" ca="1" si="40">IF(Y13&gt;0,AB13*100/Y13,0)</f>
        <v>66.666666666666671</v>
      </c>
      <c r="AD13" s="52">
        <f t="shared" ref="AD13:AF13" ca="1" si="41">SUM(AD14:AD30)</f>
        <v>400</v>
      </c>
      <c r="AE13" s="52">
        <f t="shared" ca="1" si="41"/>
        <v>40</v>
      </c>
      <c r="AF13" s="52">
        <f t="shared" ca="1" si="41"/>
        <v>320</v>
      </c>
      <c r="AG13" s="54">
        <f t="shared" ref="AG13:AG88" ca="1" si="42">IF(AD13&gt;0,AF13*100/AD13,0)</f>
        <v>80</v>
      </c>
      <c r="AH13" s="52">
        <f ca="1">SUM(AH14:AH30)</f>
        <v>27</v>
      </c>
      <c r="AI13" s="54">
        <f t="shared" ref="AI13:AI88" ca="1" si="43">IF(AE13&gt;0,AH13*100/AE13,0)</f>
        <v>67.5</v>
      </c>
      <c r="AJ13" s="52">
        <f t="shared" ref="AJ13:AK13" ca="1" si="44">SUM(AJ14:AJ30)</f>
        <v>15</v>
      </c>
      <c r="AK13" s="52">
        <f t="shared" ca="1" si="44"/>
        <v>0</v>
      </c>
      <c r="AL13" s="54">
        <f t="shared" ref="AL13:AL88" ca="1" si="45">IF(AJ13&gt;0,AK13*100/AJ13,0)</f>
        <v>0</v>
      </c>
    </row>
    <row r="14" spans="1:38" ht="24" customHeight="1" x14ac:dyDescent="0.3">
      <c r="A14" s="147">
        <v>1</v>
      </c>
      <c r="B14" s="148" t="s">
        <v>42</v>
      </c>
      <c r="C14" s="149">
        <f t="shared" ca="1" si="27"/>
        <v>0</v>
      </c>
      <c r="D14" s="150">
        <f t="shared" ref="D14:D30" ca="1" si="46">+E14+F14</f>
        <v>0</v>
      </c>
      <c r="E14" s="151">
        <f ca="1">IFERROR(__xludf.DUMMYFUNCTION("IMPORTRANGE(""https://docs.google.com/spreadsheets/d/1-uDff_7J0KD5mKrp0Vvzr7lt3OU09vwQwhkpOPPYv2Y/edit?usp=sharing"",""งบพรบ!BR14"")"),0)</f>
        <v>0</v>
      </c>
      <c r="F14" s="151">
        <f ca="1">IFERROR(__xludf.DUMMYFUNCTION("IMPORTRANGE(""https://docs.google.com/spreadsheets/d/1-uDff_7J0KD5mKrp0Vvzr7lt3OU09vwQwhkpOPPYv2Y/edit?usp=sharing"",""งบพรบ!BS14"")"),0)</f>
        <v>0</v>
      </c>
      <c r="G14" s="152">
        <f ca="1">IFERROR(__xludf.DUMMYFUNCTION("IMPORTRANGE(""https://docs.google.com/spreadsheets/d/1-uDff_7J0KD5mKrp0Vvzr7lt3OU09vwQwhkpOPPYv2Y/edit?usp=sharing"",""งบพรบ!BT14"")"),0)</f>
        <v>0</v>
      </c>
      <c r="H14" s="152">
        <f ca="1">IFERROR(__xludf.DUMMYFUNCTION("IMPORTRANGE(""https://docs.google.com/spreadsheets/d/1-uDff_7J0KD5mKrp0Vvzr7lt3OU09vwQwhkpOPPYv2Y/edit?usp=sharing"",""งบพรบ!BV14"")"),0)</f>
        <v>0</v>
      </c>
      <c r="I14" s="152">
        <f ca="1">IFERROR(__xludf.DUMMYFUNCTION("IMPORTRANGE(""https://docs.google.com/spreadsheets/d/1-uDff_7J0KD5mKrp0Vvzr7lt3OU09vwQwhkpOPPYv2Y/edit?usp=sharing"",""งบพรบ!BW14"")"),0)</f>
        <v>0</v>
      </c>
      <c r="J14" s="152">
        <f t="shared" ca="1" si="29"/>
        <v>0</v>
      </c>
      <c r="K14" s="153">
        <f t="shared" ca="1" si="30"/>
        <v>0</v>
      </c>
      <c r="L14" s="152">
        <f ca="1">IFERROR(__xludf.DUMMYFUNCTION("IMPORTRANGE(""https://docs.google.com/spreadsheets/d/1-uDff_7J0KD5mKrp0Vvzr7lt3OU09vwQwhkpOPPYv2Y/edit?usp=sharing"",""งบพรบ!BX14"")"),0)</f>
        <v>0</v>
      </c>
      <c r="M14" s="68">
        <f t="shared" ca="1" si="31"/>
        <v>0</v>
      </c>
      <c r="N14" s="68">
        <f t="shared" ca="1" si="32"/>
        <v>0</v>
      </c>
      <c r="O14" s="67">
        <f ca="1">IFERROR(__xludf.DUMMYFUNCTION("IMPORTRANGE(""https://docs.google.com/spreadsheets/d/1-uDff_7J0KD5mKrp0Vvzr7lt3OU09vwQwhkpOPPYv2Y/edit?usp=sharing"",""งบพรบ!BY14"")"),0)</f>
        <v>0</v>
      </c>
      <c r="P14" s="67">
        <f t="shared" ca="1" si="33"/>
        <v>0</v>
      </c>
      <c r="Q14" s="68">
        <f t="shared" ca="1" si="34"/>
        <v>0</v>
      </c>
      <c r="R14" s="67">
        <f ca="1">IFERROR(__xludf.DUMMYFUNCTION("IMPORTRANGE(""https://docs.google.com/spreadsheets/d/1jTcq05yEiRwXcBMLjiodW9e4biSGYWAHcDj22rKWQ3s/edit?usp=sharing"",""กำแพงเพชร!Q139"")"),0)</f>
        <v>0</v>
      </c>
      <c r="S14" s="67">
        <f ca="1">IFERROR(__xludf.DUMMYFUNCTION("IMPORTRANGE(""https://docs.google.com/spreadsheets/d/1jTcq05yEiRwXcBMLjiodW9e4biSGYWAHcDj22rKWQ3s/edit?usp=sharing"",""กำแพงเพชร!R139"")"),0)</f>
        <v>0</v>
      </c>
      <c r="T14" s="67">
        <f ca="1">IFERROR(__xludf.DUMMYFUNCTION("IMPORTRANGE(""https://docs.google.com/spreadsheets/d/1jTcq05yEiRwXcBMLjiodW9e4biSGYWAHcDj22rKWQ3s/edit?usp=sharing"",""กำแพงเพชร!S139"")"),0)</f>
        <v>0</v>
      </c>
      <c r="U14" s="68">
        <f t="shared" ca="1" si="36"/>
        <v>0</v>
      </c>
      <c r="V14" s="68">
        <f t="shared" ca="1" si="37"/>
        <v>0</v>
      </c>
      <c r="W14" s="63">
        <f ca="1">IFERROR(__xludf.DUMMYFUNCTION("IMPORTRANGE(""https://docs.google.com/spreadsheets/d/1jTcq05yEiRwXcBMLjiodW9e4biSGYWAHcDj22rKWQ3s/edit?usp=sharing"",""กำแพงเพชร!J149"")"),0)</f>
        <v>0</v>
      </c>
      <c r="X14" s="63">
        <f ca="1">IFERROR(__xludf.DUMMYFUNCTION("IMPORTRANGE(""https://docs.google.com/spreadsheets/d/1jTcq05yEiRwXcBMLjiodW9e4biSGYWAHcDj22rKWQ3s/edit?usp=sharing"",""กำแพงเพชร!I150"")"),0)</f>
        <v>0</v>
      </c>
      <c r="Y14" s="63">
        <f ca="1">IFERROR(__xludf.DUMMYFUNCTION("IMPORTRANGE(""https://docs.google.com/spreadsheets/d/1jTcq05yEiRwXcBMLjiodW9e4biSGYWAHcDj22rKWQ3s/edit?usp=sharing"",""กำแพงเพชร!I151"")"),0)</f>
        <v>0</v>
      </c>
      <c r="Z14" s="63">
        <f ca="1">IFERROR(__xludf.DUMMYFUNCTION("IMPORTRANGE(""https://docs.google.com/spreadsheets/d/1jTcq05yEiRwXcBMLjiodW9e4biSGYWAHcDj22rKWQ3s/edit?usp=sharing"",""กำแพงเพชร!J150"")"),0)</f>
        <v>0</v>
      </c>
      <c r="AA14" s="69">
        <f t="shared" ca="1" si="39"/>
        <v>0</v>
      </c>
      <c r="AB14" s="63">
        <f ca="1">IFERROR(__xludf.DUMMYFUNCTION("IMPORTRANGE(""https://docs.google.com/spreadsheets/d/1jTcq05yEiRwXcBMLjiodW9e4biSGYWAHcDj22rKWQ3s/edit?usp=sharing"",""กำแพงเพชร!J151"")"),0)</f>
        <v>0</v>
      </c>
      <c r="AC14" s="69">
        <f t="shared" ca="1" si="40"/>
        <v>0</v>
      </c>
      <c r="AD14" s="63">
        <f ca="1">IFERROR(__xludf.DUMMYFUNCTION("IMPORTRANGE(""https://docs.google.com/spreadsheets/d/1jTcq05yEiRwXcBMLjiodW9e4biSGYWAHcDj22rKWQ3s/edit?usp=sharing"",""กำแพงเพชร!I152"")"),0)</f>
        <v>0</v>
      </c>
      <c r="AE14" s="63">
        <f ca="1">IFERROR(__xludf.DUMMYFUNCTION("IMPORTRANGE(""https://docs.google.com/spreadsheets/d/1jTcq05yEiRwXcBMLjiodW9e4biSGYWAHcDj22rKWQ3s/edit?usp=sharing"",""กำแพงเพชร!I153"")"),0)</f>
        <v>0</v>
      </c>
      <c r="AF14" s="63">
        <f ca="1">IFERROR(__xludf.DUMMYFUNCTION("IMPORTRANGE(""https://docs.google.com/spreadsheets/d/1jTcq05yEiRwXcBMLjiodW9e4biSGYWAHcDj22rKWQ3s/edit?usp=sharing"",""กำแพงเพชร!J152"")"),0)</f>
        <v>0</v>
      </c>
      <c r="AG14" s="69">
        <f t="shared" ca="1" si="42"/>
        <v>0</v>
      </c>
      <c r="AH14" s="63">
        <f ca="1">IFERROR(__xludf.DUMMYFUNCTION("IMPORTRANGE(""https://docs.google.com/spreadsheets/d/1jTcq05yEiRwXcBMLjiodW9e4biSGYWAHcDj22rKWQ3s/edit?usp=sharing"",""กำแพงเพชร!J153"")"),0)</f>
        <v>0</v>
      </c>
      <c r="AI14" s="69">
        <f t="shared" ca="1" si="43"/>
        <v>0</v>
      </c>
      <c r="AJ14" s="63">
        <f ca="1">IFERROR(__xludf.DUMMYFUNCTION("IMPORTRANGE(""https://docs.google.com/spreadsheets/d/1jTcq05yEiRwXcBMLjiodW9e4biSGYWAHcDj22rKWQ3s/edit?usp=sharing"",""กำแพงเพชร!I154"")"),0)</f>
        <v>0</v>
      </c>
      <c r="AK14" s="63">
        <f ca="1">IFERROR(__xludf.DUMMYFUNCTION("IMPORTRANGE(""https://docs.google.com/spreadsheets/d/1jTcq05yEiRwXcBMLjiodW9e4biSGYWAHcDj22rKWQ3s/edit?usp=sharing"",""กำแพงเพชร!J154"")"),0)</f>
        <v>0</v>
      </c>
      <c r="AL14" s="69">
        <f t="shared" ca="1" si="45"/>
        <v>0</v>
      </c>
    </row>
    <row r="15" spans="1:38" ht="24" customHeight="1" x14ac:dyDescent="0.3">
      <c r="A15" s="147">
        <v>2</v>
      </c>
      <c r="B15" s="148" t="s">
        <v>43</v>
      </c>
      <c r="C15" s="149">
        <f t="shared" ca="1" si="27"/>
        <v>116300</v>
      </c>
      <c r="D15" s="150">
        <f t="shared" ca="1" si="46"/>
        <v>116300</v>
      </c>
      <c r="E15" s="151">
        <f ca="1">IFERROR(__xludf.DUMMYFUNCTION("IMPORTRANGE(""https://docs.google.com/spreadsheets/d/1-uDff_7J0KD5mKrp0Vvzr7lt3OU09vwQwhkpOPPYv2Y/edit?usp=sharing"",""งบพรบ!BR15"")"),0)</f>
        <v>0</v>
      </c>
      <c r="F15" s="151">
        <f ca="1">IFERROR(__xludf.DUMMYFUNCTION("IMPORTRANGE(""https://docs.google.com/spreadsheets/d/1-uDff_7J0KD5mKrp0Vvzr7lt3OU09vwQwhkpOPPYv2Y/edit?usp=sharing"",""งบพรบ!BS15"")"),116300)</f>
        <v>116300</v>
      </c>
      <c r="G15" s="151">
        <f ca="1">IFERROR(__xludf.DUMMYFUNCTION("IMPORTRANGE(""https://docs.google.com/spreadsheets/d/1-uDff_7J0KD5mKrp0Vvzr7lt3OU09vwQwhkpOPPYv2Y/edit?usp=sharing"",""งบพรบ!BT15"")"),0)</f>
        <v>0</v>
      </c>
      <c r="H15" s="151">
        <f ca="1">IFERROR(__xludf.DUMMYFUNCTION("IMPORTRANGE(""https://docs.google.com/spreadsheets/d/1-uDff_7J0KD5mKrp0Vvzr7lt3OU09vwQwhkpOPPYv2Y/edit?usp=sharing"",""งบพรบ!BV15"")"),111300)</f>
        <v>111300</v>
      </c>
      <c r="I15" s="151">
        <f ca="1">IFERROR(__xludf.DUMMYFUNCTION("IMPORTRANGE(""https://docs.google.com/spreadsheets/d/1-uDff_7J0KD5mKrp0Vvzr7lt3OU09vwQwhkpOPPYv2Y/edit?usp=sharing"",""งบพรบ!BW15"")"),0)</f>
        <v>0</v>
      </c>
      <c r="J15" s="151">
        <f t="shared" ca="1" si="29"/>
        <v>58700</v>
      </c>
      <c r="K15" s="154">
        <f t="shared" ca="1" si="30"/>
        <v>50.472914875322445</v>
      </c>
      <c r="L15" s="151">
        <f ca="1">IFERROR(__xludf.DUMMYFUNCTION("IMPORTRANGE(""https://docs.google.com/spreadsheets/d/1-uDff_7J0KD5mKrp0Vvzr7lt3OU09vwQwhkpOPPYv2Y/edit?usp=sharing"",""งบพรบ!BX15"")"),58700)</f>
        <v>58700</v>
      </c>
      <c r="M15" s="68">
        <f t="shared" ca="1" si="31"/>
        <v>50.472914875322445</v>
      </c>
      <c r="N15" s="68">
        <f t="shared" ca="1" si="32"/>
        <v>52.740341419586706</v>
      </c>
      <c r="O15" s="67">
        <f ca="1">IFERROR(__xludf.DUMMYFUNCTION("IMPORTRANGE(""https://docs.google.com/spreadsheets/d/1-uDff_7J0KD5mKrp0Vvzr7lt3OU09vwQwhkpOPPYv2Y/edit?usp=sharing"",""งบพรบ!BY15"")"),0)</f>
        <v>0</v>
      </c>
      <c r="P15" s="67">
        <f t="shared" ca="1" si="33"/>
        <v>0</v>
      </c>
      <c r="Q15" s="68">
        <f t="shared" ca="1" si="34"/>
        <v>0</v>
      </c>
      <c r="R15" s="67">
        <f ca="1">IFERROR(__xludf.DUMMYFUNCTION("IMPORTRANGE(""https://docs.google.com/spreadsheets/d/1KS0zmDSZPk8KnTAbGN-Xk6MtX1YRZD0ldgdt20K4CRk/edit?usp=sharing"",""เชียงราย!Q139"")"),439860)</f>
        <v>439860</v>
      </c>
      <c r="S15" s="67">
        <f ca="1">IFERROR(__xludf.DUMMYFUNCTION("IMPORTRANGE(""https://docs.google.com/spreadsheets/d/1KS0zmDSZPk8KnTAbGN-Xk6MtX1YRZD0ldgdt20K4CRk/edit?usp=sharing"",""เชียงราย!R139"")"),439860)</f>
        <v>439860</v>
      </c>
      <c r="T15" s="67">
        <f ca="1">IFERROR(__xludf.DUMMYFUNCTION("IMPORTRANGE(""https://docs.google.com/spreadsheets/d/1KS0zmDSZPk8KnTAbGN-Xk6MtX1YRZD0ldgdt20K4CRk/edit?usp=sharing"",""เชียงราย!S139"")"),43825)</f>
        <v>43825</v>
      </c>
      <c r="U15" s="68">
        <f t="shared" ca="1" si="36"/>
        <v>9.9633974446414761</v>
      </c>
      <c r="V15" s="68">
        <f t="shared" ca="1" si="37"/>
        <v>9.9633974446414761</v>
      </c>
      <c r="W15" s="78">
        <f ca="1">IFERROR(__xludf.DUMMYFUNCTION("IMPORTRANGE(""https://docs.google.com/spreadsheets/d/1KS0zmDSZPk8KnTAbGN-Xk6MtX1YRZD0ldgdt20K4CRk/edit?usp=sharing"",""เชียงราย!J149"")"),1)</f>
        <v>1</v>
      </c>
      <c r="X15" s="78">
        <f ca="1">IFERROR(__xludf.DUMMYFUNCTION("IMPORTRANGE(""https://docs.google.com/spreadsheets/d/1KS0zmDSZPk8KnTAbGN-Xk6MtX1YRZD0ldgdt20K4CRk/edit?usp=sharing"",""เชียงราย!I150"")"),30)</f>
        <v>30</v>
      </c>
      <c r="Y15" s="78">
        <f ca="1">IFERROR(__xludf.DUMMYFUNCTION("IMPORTRANGE(""https://docs.google.com/spreadsheets/d/1KS0zmDSZPk8KnTAbGN-Xk6MtX1YRZD0ldgdt20K4CRk/edit?usp=sharing"",""เชียงราย!I151"")"),3)</f>
        <v>3</v>
      </c>
      <c r="Z15" s="78">
        <f ca="1">IFERROR(__xludf.DUMMYFUNCTION("IMPORTRANGE(""https://docs.google.com/spreadsheets/d/1KS0zmDSZPk8KnTAbGN-Xk6MtX1YRZD0ldgdt20K4CRk/edit?usp=sharing"",""เชียงราย!J150"")"),0)</f>
        <v>0</v>
      </c>
      <c r="AA15" s="79">
        <f t="shared" ca="1" si="39"/>
        <v>0</v>
      </c>
      <c r="AB15" s="78">
        <f ca="1">IFERROR(__xludf.DUMMYFUNCTION("IMPORTRANGE(""https://docs.google.com/spreadsheets/d/1KS0zmDSZPk8KnTAbGN-Xk6MtX1YRZD0ldgdt20K4CRk/edit?usp=sharing"",""เชียงราย!J151"")"),0)</f>
        <v>0</v>
      </c>
      <c r="AC15" s="79">
        <f t="shared" ca="1" si="40"/>
        <v>0</v>
      </c>
      <c r="AD15" s="78">
        <f ca="1">IFERROR(__xludf.DUMMYFUNCTION("IMPORTRANGE(""https://docs.google.com/spreadsheets/d/1KS0zmDSZPk8KnTAbGN-Xk6MtX1YRZD0ldgdt20K4CRk/edit?usp=sharing"",""เชียงราย!I152"")"),80)</f>
        <v>80</v>
      </c>
      <c r="AE15" s="78">
        <f ca="1">IFERROR(__xludf.DUMMYFUNCTION("IMPORTRANGE(""https://docs.google.com/spreadsheets/d/1KS0zmDSZPk8KnTAbGN-Xk6MtX1YRZD0ldgdt20K4CRk/edit?usp=sharing"",""เชียงราย!I153"")"),8)</f>
        <v>8</v>
      </c>
      <c r="AF15" s="78">
        <f ca="1">IFERROR(__xludf.DUMMYFUNCTION("IMPORTRANGE(""https://docs.google.com/spreadsheets/d/1KS0zmDSZPk8KnTAbGN-Xk6MtX1YRZD0ldgdt20K4CRk/edit?usp=sharing"",""เชียงราย!J152"")"),50)</f>
        <v>50</v>
      </c>
      <c r="AG15" s="79">
        <f t="shared" ca="1" si="42"/>
        <v>62.5</v>
      </c>
      <c r="AH15" s="78">
        <f ca="1">IFERROR(__xludf.DUMMYFUNCTION("IMPORTRANGE(""https://docs.google.com/spreadsheets/d/1KS0zmDSZPk8KnTAbGN-Xk6MtX1YRZD0ldgdt20K4CRk/edit?usp=sharing"",""เชียงราย!J153"")"),0)</f>
        <v>0</v>
      </c>
      <c r="AI15" s="79">
        <f t="shared" ca="1" si="43"/>
        <v>0</v>
      </c>
      <c r="AJ15" s="78">
        <f ca="1">IFERROR(__xludf.DUMMYFUNCTION("IMPORTRANGE(""https://docs.google.com/spreadsheets/d/1KS0zmDSZPk8KnTAbGN-Xk6MtX1YRZD0ldgdt20K4CRk/edit?usp=sharing"",""เชียงราย!I154"")"),3)</f>
        <v>3</v>
      </c>
      <c r="AK15" s="78">
        <f ca="1">IFERROR(__xludf.DUMMYFUNCTION("IMPORTRANGE(""https://docs.google.com/spreadsheets/d/1KS0zmDSZPk8KnTAbGN-Xk6MtX1YRZD0ldgdt20K4CRk/edit?usp=sharing"",""เชียงราย!J154"")"),0)</f>
        <v>0</v>
      </c>
      <c r="AL15" s="79">
        <f t="shared" ca="1" si="45"/>
        <v>0</v>
      </c>
    </row>
    <row r="16" spans="1:38" ht="24" customHeight="1" x14ac:dyDescent="0.3">
      <c r="A16" s="147">
        <v>3</v>
      </c>
      <c r="B16" s="148" t="s">
        <v>44</v>
      </c>
      <c r="C16" s="149">
        <f t="shared" ca="1" si="27"/>
        <v>137700</v>
      </c>
      <c r="D16" s="150">
        <f t="shared" ca="1" si="46"/>
        <v>137700</v>
      </c>
      <c r="E16" s="151">
        <f ca="1">IFERROR(__xludf.DUMMYFUNCTION("IMPORTRANGE(""https://docs.google.com/spreadsheets/d/1-uDff_7J0KD5mKrp0Vvzr7lt3OU09vwQwhkpOPPYv2Y/edit?usp=sharing"",""งบพรบ!BR16"")"),87800)</f>
        <v>87800</v>
      </c>
      <c r="F16" s="151">
        <f ca="1">IFERROR(__xludf.DUMMYFUNCTION("IMPORTRANGE(""https://docs.google.com/spreadsheets/d/1-uDff_7J0KD5mKrp0Vvzr7lt3OU09vwQwhkpOPPYv2Y/edit?usp=sharing"",""งบพรบ!BS16"")"),49900)</f>
        <v>49900</v>
      </c>
      <c r="G16" s="151">
        <f ca="1">IFERROR(__xludf.DUMMYFUNCTION("IMPORTRANGE(""https://docs.google.com/spreadsheets/d/1-uDff_7J0KD5mKrp0Vvzr7lt3OU09vwQwhkpOPPYv2Y/edit?usp=sharing"",""งบพรบ!BT16"")"),0)</f>
        <v>0</v>
      </c>
      <c r="H16" s="151">
        <f ca="1">IFERROR(__xludf.DUMMYFUNCTION("IMPORTRANGE(""https://docs.google.com/spreadsheets/d/1-uDff_7J0KD5mKrp0Vvzr7lt3OU09vwQwhkpOPPYv2Y/edit?usp=sharing"",""งบพรบ!BV16"")"),132700)</f>
        <v>132700</v>
      </c>
      <c r="I16" s="151">
        <f ca="1">IFERROR(__xludf.DUMMYFUNCTION("IMPORTRANGE(""https://docs.google.com/spreadsheets/d/1-uDff_7J0KD5mKrp0Vvzr7lt3OU09vwQwhkpOPPYv2Y/edit?usp=sharing"",""งบพรบ!BW16"")"),0)</f>
        <v>0</v>
      </c>
      <c r="J16" s="151">
        <f t="shared" ca="1" si="29"/>
        <v>108806</v>
      </c>
      <c r="K16" s="154">
        <f t="shared" ca="1" si="30"/>
        <v>79.016702977487284</v>
      </c>
      <c r="L16" s="151">
        <f ca="1">IFERROR(__xludf.DUMMYFUNCTION("IMPORTRANGE(""https://docs.google.com/spreadsheets/d/1-uDff_7J0KD5mKrp0Vvzr7lt3OU09vwQwhkpOPPYv2Y/edit?usp=sharing"",""งบพรบ!BX16"")"),108806)</f>
        <v>108806</v>
      </c>
      <c r="M16" s="68">
        <f t="shared" ca="1" si="31"/>
        <v>79.016702977487284</v>
      </c>
      <c r="N16" s="68">
        <f t="shared" ca="1" si="32"/>
        <v>81.993971363978901</v>
      </c>
      <c r="O16" s="67">
        <f ca="1">IFERROR(__xludf.DUMMYFUNCTION("IMPORTRANGE(""https://docs.google.com/spreadsheets/d/1-uDff_7J0KD5mKrp0Vvzr7lt3OU09vwQwhkpOPPYv2Y/edit?usp=sharing"",""งบพรบ!BY16"")"),0)</f>
        <v>0</v>
      </c>
      <c r="P16" s="67">
        <f t="shared" ca="1" si="33"/>
        <v>0</v>
      </c>
      <c r="Q16" s="68">
        <f t="shared" ca="1" si="34"/>
        <v>0</v>
      </c>
      <c r="R16" s="67">
        <f ca="1">IFERROR(__xludf.DUMMYFUNCTION("IMPORTRANGE(""https://docs.google.com/spreadsheets/d/1rEDxBtusbi64tE0zunoIbsTVV16HeL0oJ6trHQeQ7K8/edit?usp=sharing"",""เชียงใหม่!Q139"")"),174860)</f>
        <v>174860</v>
      </c>
      <c r="S16" s="67">
        <f ca="1">IFERROR(__xludf.DUMMYFUNCTION("IMPORTRANGE(""https://docs.google.com/spreadsheets/d/1rEDxBtusbi64tE0zunoIbsTVV16HeL0oJ6trHQeQ7K8/edit?usp=sharing"",""เชียงใหม่!R139"")"),174860)</f>
        <v>174860</v>
      </c>
      <c r="T16" s="67">
        <f ca="1">IFERROR(__xludf.DUMMYFUNCTION("IMPORTRANGE(""https://docs.google.com/spreadsheets/d/1rEDxBtusbi64tE0zunoIbsTVV16HeL0oJ6trHQeQ7K8/edit?usp=sharing"",""เชียงใหม่!S139"")"),22950)</f>
        <v>22950</v>
      </c>
      <c r="U16" s="68">
        <f t="shared" ca="1" si="36"/>
        <v>13.12478554271989</v>
      </c>
      <c r="V16" s="68">
        <f t="shared" ca="1" si="37"/>
        <v>13.12478554271989</v>
      </c>
      <c r="W16" s="78">
        <f ca="1">IFERROR(__xludf.DUMMYFUNCTION("IMPORTRANGE(""https://docs.google.com/spreadsheets/d/1rEDxBtusbi64tE0zunoIbsTVV16HeL0oJ6trHQeQ7K8/edit?usp=sharing"",""เชียงใหม่!J149"")"),0)</f>
        <v>0</v>
      </c>
      <c r="X16" s="78">
        <f ca="1">IFERROR(__xludf.DUMMYFUNCTION("IMPORTRANGE(""https://docs.google.com/spreadsheets/d/1rEDxBtusbi64tE0zunoIbsTVV16HeL0oJ6trHQeQ7K8/edit?usp=sharing"",""เชียงใหม่!I150"")"),10)</f>
        <v>10</v>
      </c>
      <c r="Y16" s="78">
        <f ca="1">IFERROR(__xludf.DUMMYFUNCTION("IMPORTRANGE(""https://docs.google.com/spreadsheets/d/1rEDxBtusbi64tE0zunoIbsTVV16HeL0oJ6trHQeQ7K8/edit?usp=sharing"",""เชียงใหม่!I151"")"),1)</f>
        <v>1</v>
      </c>
      <c r="Z16" s="78">
        <f ca="1">IFERROR(__xludf.DUMMYFUNCTION("IMPORTRANGE(""https://docs.google.com/spreadsheets/d/1rEDxBtusbi64tE0zunoIbsTVV16HeL0oJ6trHQeQ7K8/edit?usp=sharing"",""เชียงใหม่!J150"")"),10)</f>
        <v>10</v>
      </c>
      <c r="AA16" s="79">
        <f t="shared" ca="1" si="39"/>
        <v>100</v>
      </c>
      <c r="AB16" s="78">
        <f ca="1">IFERROR(__xludf.DUMMYFUNCTION("IMPORTRANGE(""https://docs.google.com/spreadsheets/d/1rEDxBtusbi64tE0zunoIbsTVV16HeL0oJ6trHQeQ7K8/edit?usp=sharing"",""เชียงใหม่!J151"")"),1)</f>
        <v>1</v>
      </c>
      <c r="AC16" s="79">
        <f t="shared" ca="1" si="40"/>
        <v>100</v>
      </c>
      <c r="AD16" s="78">
        <f ca="1">IFERROR(__xludf.DUMMYFUNCTION("IMPORTRANGE(""https://docs.google.com/spreadsheets/d/1rEDxBtusbi64tE0zunoIbsTVV16HeL0oJ6trHQeQ7K8/edit?usp=sharing"",""เชียงใหม่!I152"")"),20)</f>
        <v>20</v>
      </c>
      <c r="AE16" s="78">
        <f ca="1">IFERROR(__xludf.DUMMYFUNCTION("IMPORTRANGE(""https://docs.google.com/spreadsheets/d/1rEDxBtusbi64tE0zunoIbsTVV16HeL0oJ6trHQeQ7K8/edit?usp=sharing"",""เชียงใหม่!I153"")"),2)</f>
        <v>2</v>
      </c>
      <c r="AF16" s="78">
        <f ca="1">IFERROR(__xludf.DUMMYFUNCTION("IMPORTRANGE(""https://docs.google.com/spreadsheets/d/1rEDxBtusbi64tE0zunoIbsTVV16HeL0oJ6trHQeQ7K8/edit?usp=sharing"",""เชียงใหม่!J152"")"),20)</f>
        <v>20</v>
      </c>
      <c r="AG16" s="79">
        <f t="shared" ca="1" si="42"/>
        <v>100</v>
      </c>
      <c r="AH16" s="78">
        <f ca="1">IFERROR(__xludf.DUMMYFUNCTION("IMPORTRANGE(""https://docs.google.com/spreadsheets/d/1rEDxBtusbi64tE0zunoIbsTVV16HeL0oJ6trHQeQ7K8/edit?usp=sharing"",""เชียงใหม่!J153"")"),2)</f>
        <v>2</v>
      </c>
      <c r="AI16" s="79">
        <f t="shared" ca="1" si="43"/>
        <v>100</v>
      </c>
      <c r="AJ16" s="78">
        <f ca="1">IFERROR(__xludf.DUMMYFUNCTION("IMPORTRANGE(""https://docs.google.com/spreadsheets/d/1rEDxBtusbi64tE0zunoIbsTVV16HeL0oJ6trHQeQ7K8/edit?usp=sharing"",""เชียงใหม่!I154"")"),1)</f>
        <v>1</v>
      </c>
      <c r="AK16" s="78">
        <f ca="1">IFERROR(__xludf.DUMMYFUNCTION("IMPORTRANGE(""https://docs.google.com/spreadsheets/d/1rEDxBtusbi64tE0zunoIbsTVV16HeL0oJ6trHQeQ7K8/edit?usp=sharing"",""เชียงใหม่!J154"")"),0)</f>
        <v>0</v>
      </c>
      <c r="AL16" s="79">
        <f t="shared" ca="1" si="45"/>
        <v>0</v>
      </c>
    </row>
    <row r="17" spans="1:38" ht="24" customHeight="1" x14ac:dyDescent="0.3">
      <c r="A17" s="147">
        <v>4</v>
      </c>
      <c r="B17" s="148" t="s">
        <v>45</v>
      </c>
      <c r="C17" s="149">
        <f t="shared" ca="1" si="27"/>
        <v>115700</v>
      </c>
      <c r="D17" s="150">
        <f t="shared" ca="1" si="46"/>
        <v>115700</v>
      </c>
      <c r="E17" s="151">
        <f ca="1">IFERROR(__xludf.DUMMYFUNCTION("IMPORTRANGE(""https://docs.google.com/spreadsheets/d/1-uDff_7J0KD5mKrp0Vvzr7lt3OU09vwQwhkpOPPYv2Y/edit?usp=sharing"",""งบพรบ!BR17"")"),84100)</f>
        <v>84100</v>
      </c>
      <c r="F17" s="151">
        <f ca="1">IFERROR(__xludf.DUMMYFUNCTION("IMPORTRANGE(""https://docs.google.com/spreadsheets/d/1-uDff_7J0KD5mKrp0Vvzr7lt3OU09vwQwhkpOPPYv2Y/edit?usp=sharing"",""งบพรบ!BS17"")"),31600)</f>
        <v>31600</v>
      </c>
      <c r="G17" s="151">
        <f ca="1">IFERROR(__xludf.DUMMYFUNCTION("IMPORTRANGE(""https://docs.google.com/spreadsheets/d/1-uDff_7J0KD5mKrp0Vvzr7lt3OU09vwQwhkpOPPYv2Y/edit?usp=sharing"",""งบพรบ!BT17"")"),0)</f>
        <v>0</v>
      </c>
      <c r="H17" s="151">
        <f ca="1">IFERROR(__xludf.DUMMYFUNCTION("IMPORTRANGE(""https://docs.google.com/spreadsheets/d/1-uDff_7J0KD5mKrp0Vvzr7lt3OU09vwQwhkpOPPYv2Y/edit?usp=sharing"",""งบพรบ!BV17"")"),110700)</f>
        <v>110700</v>
      </c>
      <c r="I17" s="151">
        <f ca="1">IFERROR(__xludf.DUMMYFUNCTION("IMPORTRANGE(""https://docs.google.com/spreadsheets/d/1-uDff_7J0KD5mKrp0Vvzr7lt3OU09vwQwhkpOPPYv2Y/edit?usp=sharing"",""งบพรบ!BW17"")"),0)</f>
        <v>0</v>
      </c>
      <c r="J17" s="151">
        <f t="shared" ca="1" si="29"/>
        <v>110700</v>
      </c>
      <c r="K17" s="154">
        <f t="shared" ca="1" si="30"/>
        <v>95.678478824546247</v>
      </c>
      <c r="L17" s="151">
        <f ca="1">IFERROR(__xludf.DUMMYFUNCTION("IMPORTRANGE(""https://docs.google.com/spreadsheets/d/1-uDff_7J0KD5mKrp0Vvzr7lt3OU09vwQwhkpOPPYv2Y/edit?usp=sharing"",""งบพรบ!BX17"")"),110700)</f>
        <v>110700</v>
      </c>
      <c r="M17" s="68">
        <f t="shared" ca="1" si="31"/>
        <v>95.678478824546247</v>
      </c>
      <c r="N17" s="68">
        <f t="shared" ca="1" si="32"/>
        <v>100</v>
      </c>
      <c r="O17" s="67">
        <f ca="1">IFERROR(__xludf.DUMMYFUNCTION("IMPORTRANGE(""https://docs.google.com/spreadsheets/d/1-uDff_7J0KD5mKrp0Vvzr7lt3OU09vwQwhkpOPPYv2Y/edit?usp=sharing"",""งบพรบ!BY17"")"),0)</f>
        <v>0</v>
      </c>
      <c r="P17" s="67">
        <f t="shared" ca="1" si="33"/>
        <v>0</v>
      </c>
      <c r="Q17" s="68">
        <f t="shared" ca="1" si="34"/>
        <v>0</v>
      </c>
      <c r="R17" s="67">
        <f ca="1">IFERROR(__xludf.DUMMYFUNCTION("IMPORTRANGE(""https://docs.google.com/spreadsheets/d/1W6MnUbDkMi6xHnHko_XkFDO9kkuL6Wqyc-6OCDFjW9I/edit?usp=sharing"",""ตาก!Q139"")"),44860)</f>
        <v>44860</v>
      </c>
      <c r="S17" s="67">
        <f ca="1">IFERROR(__xludf.DUMMYFUNCTION("IMPORTRANGE(""https://docs.google.com/spreadsheets/d/1W6MnUbDkMi6xHnHko_XkFDO9kkuL6Wqyc-6OCDFjW9I/edit?usp=sharing"",""ตาก!R139"")"),44860)</f>
        <v>44860</v>
      </c>
      <c r="T17" s="67">
        <f ca="1">IFERROR(__xludf.DUMMYFUNCTION("IMPORTRANGE(""https://docs.google.com/spreadsheets/d/1W6MnUbDkMi6xHnHko_XkFDO9kkuL6Wqyc-6OCDFjW9I/edit?usp=sharing"",""ตาก!S139"")"),9043)</f>
        <v>9043</v>
      </c>
      <c r="U17" s="68">
        <f t="shared" ca="1" si="36"/>
        <v>20.158270173874275</v>
      </c>
      <c r="V17" s="68">
        <f t="shared" ca="1" si="37"/>
        <v>20.158270173874275</v>
      </c>
      <c r="W17" s="78">
        <f ca="1">IFERROR(__xludf.DUMMYFUNCTION("IMPORTRANGE(""https://docs.google.com/spreadsheets/d/1W6MnUbDkMi6xHnHko_XkFDO9kkuL6Wqyc-6OCDFjW9I/edit?usp=sharing"",""ตาก!J149"")"),0)</f>
        <v>0</v>
      </c>
      <c r="X17" s="78">
        <f ca="1">IFERROR(__xludf.DUMMYFUNCTION("IMPORTRANGE(""https://docs.google.com/spreadsheets/d/1W6MnUbDkMi6xHnHko_XkFDO9kkuL6Wqyc-6OCDFjW9I/edit?usp=sharing"",""ตาก!I150"")"),0)</f>
        <v>0</v>
      </c>
      <c r="Y17" s="78">
        <f ca="1">IFERROR(__xludf.DUMMYFUNCTION("IMPORTRANGE(""https://docs.google.com/spreadsheets/d/1W6MnUbDkMi6xHnHko_XkFDO9kkuL6Wqyc-6OCDFjW9I/edit?usp=sharing"",""ตาก!I151"")"),0)</f>
        <v>0</v>
      </c>
      <c r="Z17" s="78">
        <f ca="1">IFERROR(__xludf.DUMMYFUNCTION("IMPORTRANGE(""https://docs.google.com/spreadsheets/d/1W6MnUbDkMi6xHnHko_XkFDO9kkuL6Wqyc-6OCDFjW9I/edit?usp=sharing"",""ตาก!J150"")"),0)</f>
        <v>0</v>
      </c>
      <c r="AA17" s="79">
        <f t="shared" ca="1" si="39"/>
        <v>0</v>
      </c>
      <c r="AB17" s="78">
        <f ca="1">IFERROR(__xludf.DUMMYFUNCTION("IMPORTRANGE(""https://docs.google.com/spreadsheets/d/1W6MnUbDkMi6xHnHko_XkFDO9kkuL6Wqyc-6OCDFjW9I/edit?usp=sharing"",""ตาก!J151"")"),0)</f>
        <v>0</v>
      </c>
      <c r="AC17" s="79">
        <f t="shared" ca="1" si="40"/>
        <v>0</v>
      </c>
      <c r="AD17" s="78">
        <f ca="1">IFERROR(__xludf.DUMMYFUNCTION("IMPORTRANGE(""https://docs.google.com/spreadsheets/d/1W6MnUbDkMi6xHnHko_XkFDO9kkuL6Wqyc-6OCDFjW9I/edit?usp=sharing"",""ตาก!I152"")"),20)</f>
        <v>20</v>
      </c>
      <c r="AE17" s="78">
        <f ca="1">IFERROR(__xludf.DUMMYFUNCTION("IMPORTRANGE(""https://docs.google.com/spreadsheets/d/1W6MnUbDkMi6xHnHko_XkFDO9kkuL6Wqyc-6OCDFjW9I/edit?usp=sharing"",""ตาก!I153"")"),2)</f>
        <v>2</v>
      </c>
      <c r="AF17" s="78">
        <f ca="1">IFERROR(__xludf.DUMMYFUNCTION("IMPORTRANGE(""https://docs.google.com/spreadsheets/d/1W6MnUbDkMi6xHnHko_XkFDO9kkuL6Wqyc-6OCDFjW9I/edit?usp=sharing"",""ตาก!J152"")"),20)</f>
        <v>20</v>
      </c>
      <c r="AG17" s="79">
        <f t="shared" ca="1" si="42"/>
        <v>100</v>
      </c>
      <c r="AH17" s="78">
        <f ca="1">IFERROR(__xludf.DUMMYFUNCTION("IMPORTRANGE(""https://docs.google.com/spreadsheets/d/1W6MnUbDkMi6xHnHko_XkFDO9kkuL6Wqyc-6OCDFjW9I/edit?usp=sharing"",""ตาก!J153"")"),2)</f>
        <v>2</v>
      </c>
      <c r="AI17" s="79">
        <f t="shared" ca="1" si="43"/>
        <v>100</v>
      </c>
      <c r="AJ17" s="78">
        <f ca="1">IFERROR(__xludf.DUMMYFUNCTION("IMPORTRANGE(""https://docs.google.com/spreadsheets/d/1W6MnUbDkMi6xHnHko_XkFDO9kkuL6Wqyc-6OCDFjW9I/edit?usp=sharing"",""ตาก!I154"")"),0)</f>
        <v>0</v>
      </c>
      <c r="AK17" s="78">
        <f ca="1">IFERROR(__xludf.DUMMYFUNCTION("IMPORTRANGE(""https://docs.google.com/spreadsheets/d/1W6MnUbDkMi6xHnHko_XkFDO9kkuL6Wqyc-6OCDFjW9I/edit?usp=sharing"",""ตาก!J154"")"),0)</f>
        <v>0</v>
      </c>
      <c r="AL17" s="79">
        <f t="shared" ca="1" si="45"/>
        <v>0</v>
      </c>
    </row>
    <row r="18" spans="1:38" ht="24" customHeight="1" x14ac:dyDescent="0.3">
      <c r="A18" s="147">
        <v>5</v>
      </c>
      <c r="B18" s="148" t="s">
        <v>46</v>
      </c>
      <c r="C18" s="149">
        <f t="shared" ca="1" si="27"/>
        <v>31600</v>
      </c>
      <c r="D18" s="150">
        <f t="shared" ca="1" si="46"/>
        <v>31600</v>
      </c>
      <c r="E18" s="151">
        <f ca="1">IFERROR(__xludf.DUMMYFUNCTION("IMPORTRANGE(""https://docs.google.com/spreadsheets/d/1-uDff_7J0KD5mKrp0Vvzr7lt3OU09vwQwhkpOPPYv2Y/edit?usp=sharing"",""งบพรบ!BR18"")"),0)</f>
        <v>0</v>
      </c>
      <c r="F18" s="151">
        <f ca="1">IFERROR(__xludf.DUMMYFUNCTION("IMPORTRANGE(""https://docs.google.com/spreadsheets/d/1-uDff_7J0KD5mKrp0Vvzr7lt3OU09vwQwhkpOPPYv2Y/edit?usp=sharing"",""งบพรบ!BS18"")"),31600)</f>
        <v>31600</v>
      </c>
      <c r="G18" s="151">
        <f ca="1">IFERROR(__xludf.DUMMYFUNCTION("IMPORTRANGE(""https://docs.google.com/spreadsheets/d/1-uDff_7J0KD5mKrp0Vvzr7lt3OU09vwQwhkpOPPYv2Y/edit?usp=sharing"",""งบพรบ!BT18"")"),0)</f>
        <v>0</v>
      </c>
      <c r="H18" s="151">
        <f ca="1">IFERROR(__xludf.DUMMYFUNCTION("IMPORTRANGE(""https://docs.google.com/spreadsheets/d/1-uDff_7J0KD5mKrp0Vvzr7lt3OU09vwQwhkpOPPYv2Y/edit?usp=sharing"",""งบพรบ!BV18"")"),26600)</f>
        <v>26600</v>
      </c>
      <c r="I18" s="151">
        <f ca="1">IFERROR(__xludf.DUMMYFUNCTION("IMPORTRANGE(""https://docs.google.com/spreadsheets/d/1-uDff_7J0KD5mKrp0Vvzr7lt3OU09vwQwhkpOPPYv2Y/edit?usp=sharing"",""งบพรบ!BW18"")"),0)</f>
        <v>0</v>
      </c>
      <c r="J18" s="151">
        <f t="shared" ca="1" si="29"/>
        <v>23900</v>
      </c>
      <c r="K18" s="154">
        <f t="shared" ca="1" si="30"/>
        <v>75.632911392405063</v>
      </c>
      <c r="L18" s="151">
        <f ca="1">IFERROR(__xludf.DUMMYFUNCTION("IMPORTRANGE(""https://docs.google.com/spreadsheets/d/1-uDff_7J0KD5mKrp0Vvzr7lt3OU09vwQwhkpOPPYv2Y/edit?usp=sharing"",""งบพรบ!BX18"")"),23900)</f>
        <v>23900</v>
      </c>
      <c r="M18" s="68">
        <f t="shared" ca="1" si="31"/>
        <v>75.632911392405063</v>
      </c>
      <c r="N18" s="68">
        <f t="shared" ca="1" si="32"/>
        <v>89.849624060150376</v>
      </c>
      <c r="O18" s="67">
        <f ca="1">IFERROR(__xludf.DUMMYFUNCTION("IMPORTRANGE(""https://docs.google.com/spreadsheets/d/1-uDff_7J0KD5mKrp0Vvzr7lt3OU09vwQwhkpOPPYv2Y/edit?usp=sharing"",""งบพรบ!BY18"")"),0)</f>
        <v>0</v>
      </c>
      <c r="P18" s="67">
        <f t="shared" ca="1" si="33"/>
        <v>0</v>
      </c>
      <c r="Q18" s="68">
        <f t="shared" ca="1" si="34"/>
        <v>0</v>
      </c>
      <c r="R18" s="67">
        <f ca="1">IFERROR(__xludf.DUMMYFUNCTION("IMPORTRANGE(""https://docs.google.com/spreadsheets/d/1IQAWArduLkta9LpYo4a_ULsyqdta6-6aDDiwpUnQT6c/edit?usp=sharing"",""นครสวรรค์!Q139"")"),44860)</f>
        <v>44860</v>
      </c>
      <c r="S18" s="67">
        <f ca="1">IFERROR(__xludf.DUMMYFUNCTION("IMPORTRANGE(""https://docs.google.com/spreadsheets/d/1IQAWArduLkta9LpYo4a_ULsyqdta6-6aDDiwpUnQT6c/edit?usp=sharing"",""นครสวรรค์!R139"")"),44860)</f>
        <v>44860</v>
      </c>
      <c r="T18" s="67">
        <f ca="1">IFERROR(__xludf.DUMMYFUNCTION("IMPORTRANGE(""https://docs.google.com/spreadsheets/d/1IQAWArduLkta9LpYo4a_ULsyqdta6-6aDDiwpUnQT6c/edit?usp=sharing"",""นครสวรรค์!S139"")"),31818)</f>
        <v>31818</v>
      </c>
      <c r="U18" s="68">
        <f t="shared" ca="1" si="36"/>
        <v>70.927329469460545</v>
      </c>
      <c r="V18" s="68">
        <f t="shared" ca="1" si="37"/>
        <v>70.927329469460545</v>
      </c>
      <c r="W18" s="78">
        <f ca="1">IFERROR(__xludf.DUMMYFUNCTION("IMPORTRANGE(""https://docs.google.com/spreadsheets/d/1IQAWArduLkta9LpYo4a_ULsyqdta6-6aDDiwpUnQT6c/edit?usp=sharing"",""นครสวรรค์!J149"")"),0)</f>
        <v>0</v>
      </c>
      <c r="X18" s="78">
        <f ca="1">IFERROR(__xludf.DUMMYFUNCTION("IMPORTRANGE(""https://docs.google.com/spreadsheets/d/1IQAWArduLkta9LpYo4a_ULsyqdta6-6aDDiwpUnQT6c/edit?usp=sharing"",""นครสวรรค์!I150"")"),0)</f>
        <v>0</v>
      </c>
      <c r="Y18" s="78">
        <f ca="1">IFERROR(__xludf.DUMMYFUNCTION("IMPORTRANGE(""https://docs.google.com/spreadsheets/d/1IQAWArduLkta9LpYo4a_ULsyqdta6-6aDDiwpUnQT6c/edit?usp=sharing"",""นครสวรรค์!I151"")"),0)</f>
        <v>0</v>
      </c>
      <c r="Z18" s="78">
        <f ca="1">IFERROR(__xludf.DUMMYFUNCTION("IMPORTRANGE(""https://docs.google.com/spreadsheets/d/1IQAWArduLkta9LpYo4a_ULsyqdta6-6aDDiwpUnQT6c/edit?usp=sharing"",""นครสวรรค์!J150"")"),0)</f>
        <v>0</v>
      </c>
      <c r="AA18" s="79">
        <f t="shared" ca="1" si="39"/>
        <v>0</v>
      </c>
      <c r="AB18" s="78">
        <f ca="1">IFERROR(__xludf.DUMMYFUNCTION("IMPORTRANGE(""https://docs.google.com/spreadsheets/d/1IQAWArduLkta9LpYo4a_ULsyqdta6-6aDDiwpUnQT6c/edit?usp=sharing"",""นครสวรรค์!J151"")"),0)</f>
        <v>0</v>
      </c>
      <c r="AC18" s="79">
        <f t="shared" ca="1" si="40"/>
        <v>0</v>
      </c>
      <c r="AD18" s="78">
        <f ca="1">IFERROR(__xludf.DUMMYFUNCTION("IMPORTRANGE(""https://docs.google.com/spreadsheets/d/1IQAWArduLkta9LpYo4a_ULsyqdta6-6aDDiwpUnQT6c/edit?usp=sharing"",""นครสวรรค์!I152"")"),20)</f>
        <v>20</v>
      </c>
      <c r="AE18" s="78">
        <f ca="1">IFERROR(__xludf.DUMMYFUNCTION("IMPORTRANGE(""https://docs.google.com/spreadsheets/d/1IQAWArduLkta9LpYo4a_ULsyqdta6-6aDDiwpUnQT6c/edit?usp=sharing"",""นครสวรรค์!I153"")"),2)</f>
        <v>2</v>
      </c>
      <c r="AF18" s="78">
        <f ca="1">IFERROR(__xludf.DUMMYFUNCTION("IMPORTRANGE(""https://docs.google.com/spreadsheets/d/1IQAWArduLkta9LpYo4a_ULsyqdta6-6aDDiwpUnQT6c/edit?usp=sharing"",""นครสวรรค์!J152"")"),20)</f>
        <v>20</v>
      </c>
      <c r="AG18" s="79">
        <f t="shared" ca="1" si="42"/>
        <v>100</v>
      </c>
      <c r="AH18" s="78">
        <f ca="1">IFERROR(__xludf.DUMMYFUNCTION("IMPORTRANGE(""https://docs.google.com/spreadsheets/d/1IQAWArduLkta9LpYo4a_ULsyqdta6-6aDDiwpUnQT6c/edit?usp=sharing"",""นครสวรรค์!J153"")"),2)</f>
        <v>2</v>
      </c>
      <c r="AI18" s="79">
        <f t="shared" ca="1" si="43"/>
        <v>100</v>
      </c>
      <c r="AJ18" s="78">
        <f ca="1">IFERROR(__xludf.DUMMYFUNCTION("IMPORTRANGE(""https://docs.google.com/spreadsheets/d/1IQAWArduLkta9LpYo4a_ULsyqdta6-6aDDiwpUnQT6c/edit?usp=sharing"",""นครสวรรค์!I154"")"),0)</f>
        <v>0</v>
      </c>
      <c r="AK18" s="78">
        <f ca="1">IFERROR(__xludf.DUMMYFUNCTION("IMPORTRANGE(""https://docs.google.com/spreadsheets/d/1IQAWArduLkta9LpYo4a_ULsyqdta6-6aDDiwpUnQT6c/edit?usp=sharing"",""นครสวรรค์!J154"")"),0)</f>
        <v>0</v>
      </c>
      <c r="AL18" s="79">
        <f t="shared" ca="1" si="45"/>
        <v>0</v>
      </c>
    </row>
    <row r="19" spans="1:38" ht="24" customHeight="1" x14ac:dyDescent="0.3">
      <c r="A19" s="147">
        <v>6</v>
      </c>
      <c r="B19" s="148" t="s">
        <v>47</v>
      </c>
      <c r="C19" s="149">
        <f t="shared" ca="1" si="27"/>
        <v>83100</v>
      </c>
      <c r="D19" s="150">
        <f t="shared" ca="1" si="46"/>
        <v>83100</v>
      </c>
      <c r="E19" s="151">
        <f ca="1">IFERROR(__xludf.DUMMYFUNCTION("IMPORTRANGE(""https://docs.google.com/spreadsheets/d/1-uDff_7J0KD5mKrp0Vvzr7lt3OU09vwQwhkpOPPYv2Y/edit?usp=sharing"",""งบพรบ!BR19"")"),0)</f>
        <v>0</v>
      </c>
      <c r="F19" s="151">
        <f ca="1">IFERROR(__xludf.DUMMYFUNCTION("IMPORTRANGE(""https://docs.google.com/spreadsheets/d/1-uDff_7J0KD5mKrp0Vvzr7lt3OU09vwQwhkpOPPYv2Y/edit?usp=sharing"",""งบพรบ!BS19"")"),83100)</f>
        <v>83100</v>
      </c>
      <c r="G19" s="151">
        <f ca="1">IFERROR(__xludf.DUMMYFUNCTION("IMPORTRANGE(""https://docs.google.com/spreadsheets/d/1-uDff_7J0KD5mKrp0Vvzr7lt3OU09vwQwhkpOPPYv2Y/edit?usp=sharing"",""งบพรบ!BT19"")"),0)</f>
        <v>0</v>
      </c>
      <c r="H19" s="151">
        <f ca="1">IFERROR(__xludf.DUMMYFUNCTION("IMPORTRANGE(""https://docs.google.com/spreadsheets/d/1-uDff_7J0KD5mKrp0Vvzr7lt3OU09vwQwhkpOPPYv2Y/edit?usp=sharing"",""งบพรบ!BV19"")"),78100)</f>
        <v>78100</v>
      </c>
      <c r="I19" s="151">
        <f ca="1">IFERROR(__xludf.DUMMYFUNCTION("IMPORTRANGE(""https://docs.google.com/spreadsheets/d/1-uDff_7J0KD5mKrp0Vvzr7lt3OU09vwQwhkpOPPYv2Y/edit?usp=sharing"",""งบพรบ!BW19"")"),0)</f>
        <v>0</v>
      </c>
      <c r="J19" s="151">
        <f t="shared" ca="1" si="29"/>
        <v>38090</v>
      </c>
      <c r="K19" s="154">
        <f t="shared" ca="1" si="30"/>
        <v>45.836341756919374</v>
      </c>
      <c r="L19" s="151">
        <f ca="1">IFERROR(__xludf.DUMMYFUNCTION("IMPORTRANGE(""https://docs.google.com/spreadsheets/d/1-uDff_7J0KD5mKrp0Vvzr7lt3OU09vwQwhkpOPPYv2Y/edit?usp=sharing"",""งบพรบ!BX19"")"),38090)</f>
        <v>38090</v>
      </c>
      <c r="M19" s="68">
        <f t="shared" ca="1" si="31"/>
        <v>45.836341756919374</v>
      </c>
      <c r="N19" s="68">
        <f t="shared" ca="1" si="32"/>
        <v>48.770806658130603</v>
      </c>
      <c r="O19" s="67">
        <f ca="1">IFERROR(__xludf.DUMMYFUNCTION("IMPORTRANGE(""https://docs.google.com/spreadsheets/d/1-uDff_7J0KD5mKrp0Vvzr7lt3OU09vwQwhkpOPPYv2Y/edit?usp=sharing"",""งบพรบ!BY19"")"),0)</f>
        <v>0</v>
      </c>
      <c r="P19" s="67">
        <f t="shared" ca="1" si="33"/>
        <v>0</v>
      </c>
      <c r="Q19" s="68">
        <f t="shared" ca="1" si="34"/>
        <v>0</v>
      </c>
      <c r="R19" s="67">
        <f ca="1">IFERROR(__xludf.DUMMYFUNCTION("IMPORTRANGE(""https://docs.google.com/spreadsheets/d/10s13Sk5xrltsiR-Zkbmk5DwIaDIKO8XlbJAfqyT7Gvg/edit?usp=sharing"",""น่าน!Q139"")"),309860)</f>
        <v>309860</v>
      </c>
      <c r="S19" s="67">
        <f ca="1">IFERROR(__xludf.DUMMYFUNCTION("IMPORTRANGE(""https://docs.google.com/spreadsheets/d/10s13Sk5xrltsiR-Zkbmk5DwIaDIKO8XlbJAfqyT7Gvg/edit?usp=sharing"",""น่าน!R139"")"),309860)</f>
        <v>309860</v>
      </c>
      <c r="T19" s="67">
        <f ca="1">IFERROR(__xludf.DUMMYFUNCTION("IMPORTRANGE(""https://docs.google.com/spreadsheets/d/10s13Sk5xrltsiR-Zkbmk5DwIaDIKO8XlbJAfqyT7Gvg/edit?usp=sharing"",""น่าน!S139"")"),24460)</f>
        <v>24460</v>
      </c>
      <c r="U19" s="68">
        <f t="shared" ca="1" si="36"/>
        <v>7.8938875621248306</v>
      </c>
      <c r="V19" s="68">
        <f t="shared" ca="1" si="37"/>
        <v>7.8938875621248306</v>
      </c>
      <c r="W19" s="78">
        <f ca="1">IFERROR(__xludf.DUMMYFUNCTION("IMPORTRANGE(""https://docs.google.com/spreadsheets/d/10s13Sk5xrltsiR-Zkbmk5DwIaDIKO8XlbJAfqyT7Gvg/edit?usp=sharing"",""น่าน!J149"")"),0)</f>
        <v>0</v>
      </c>
      <c r="X19" s="78">
        <f ca="1">IFERROR(__xludf.DUMMYFUNCTION("IMPORTRANGE(""https://docs.google.com/spreadsheets/d/10s13Sk5xrltsiR-Zkbmk5DwIaDIKO8XlbJAfqyT7Gvg/edit?usp=sharing"",""น่าน!I150"")"),20)</f>
        <v>20</v>
      </c>
      <c r="Y19" s="78">
        <f ca="1">IFERROR(__xludf.DUMMYFUNCTION("IMPORTRANGE(""https://docs.google.com/spreadsheets/d/10s13Sk5xrltsiR-Zkbmk5DwIaDIKO8XlbJAfqyT7Gvg/edit?usp=sharing"",""น่าน!I151"")"),2)</f>
        <v>2</v>
      </c>
      <c r="Z19" s="78">
        <f ca="1">IFERROR(__xludf.DUMMYFUNCTION("IMPORTRANGE(""https://docs.google.com/spreadsheets/d/10s13Sk5xrltsiR-Zkbmk5DwIaDIKO8XlbJAfqyT7Gvg/edit?usp=sharing"",""น่าน!J150"")"),20)</f>
        <v>20</v>
      </c>
      <c r="AA19" s="79">
        <f t="shared" ca="1" si="39"/>
        <v>100</v>
      </c>
      <c r="AB19" s="78">
        <f ca="1">IFERROR(__xludf.DUMMYFUNCTION("IMPORTRANGE(""https://docs.google.com/spreadsheets/d/10s13Sk5xrltsiR-Zkbmk5DwIaDIKO8XlbJAfqyT7Gvg/edit?usp=sharing"",""น่าน!J151"")"),2)</f>
        <v>2</v>
      </c>
      <c r="AC19" s="79">
        <f t="shared" ca="1" si="40"/>
        <v>100</v>
      </c>
      <c r="AD19" s="78">
        <f ca="1">IFERROR(__xludf.DUMMYFUNCTION("IMPORTRANGE(""https://docs.google.com/spreadsheets/d/10s13Sk5xrltsiR-Zkbmk5DwIaDIKO8XlbJAfqyT7Gvg/edit?usp=sharing"",""น่าน!I152"")"),50)</f>
        <v>50</v>
      </c>
      <c r="AE19" s="78">
        <f ca="1">IFERROR(__xludf.DUMMYFUNCTION("IMPORTRANGE(""https://docs.google.com/spreadsheets/d/10s13Sk5xrltsiR-Zkbmk5DwIaDIKO8XlbJAfqyT7Gvg/edit?usp=sharing"",""น่าน!I153"")"),5)</f>
        <v>5</v>
      </c>
      <c r="AF19" s="78">
        <f ca="1">IFERROR(__xludf.DUMMYFUNCTION("IMPORTRANGE(""https://docs.google.com/spreadsheets/d/10s13Sk5xrltsiR-Zkbmk5DwIaDIKO8XlbJAfqyT7Gvg/edit?usp=sharing"",""น่าน!J152"")"),0)</f>
        <v>0</v>
      </c>
      <c r="AG19" s="79">
        <f t="shared" ca="1" si="42"/>
        <v>0</v>
      </c>
      <c r="AH19" s="78">
        <f ca="1">IFERROR(__xludf.DUMMYFUNCTION("IMPORTRANGE(""https://docs.google.com/spreadsheets/d/10s13Sk5xrltsiR-Zkbmk5DwIaDIKO8XlbJAfqyT7Gvg/edit?usp=sharing"",""น่าน!J153"")"),0)</f>
        <v>0</v>
      </c>
      <c r="AI19" s="79">
        <f t="shared" ca="1" si="43"/>
        <v>0</v>
      </c>
      <c r="AJ19" s="78">
        <f ca="1">IFERROR(__xludf.DUMMYFUNCTION("IMPORTRANGE(""https://docs.google.com/spreadsheets/d/10s13Sk5xrltsiR-Zkbmk5DwIaDIKO8XlbJAfqyT7Gvg/edit?usp=sharing"",""น่าน!I154"")"),2)</f>
        <v>2</v>
      </c>
      <c r="AK19" s="78">
        <f ca="1">IFERROR(__xludf.DUMMYFUNCTION("IMPORTRANGE(""https://docs.google.com/spreadsheets/d/10s13Sk5xrltsiR-Zkbmk5DwIaDIKO8XlbJAfqyT7Gvg/edit?usp=sharing"",""น่าน!J154"")"),0)</f>
        <v>0</v>
      </c>
      <c r="AL19" s="79">
        <f t="shared" ca="1" si="45"/>
        <v>0</v>
      </c>
    </row>
    <row r="20" spans="1:38" ht="24" customHeight="1" x14ac:dyDescent="0.3">
      <c r="A20" s="147">
        <v>7</v>
      </c>
      <c r="B20" s="148" t="s">
        <v>48</v>
      </c>
      <c r="C20" s="149">
        <f t="shared" ca="1" si="27"/>
        <v>74800</v>
      </c>
      <c r="D20" s="150">
        <f t="shared" ca="1" si="46"/>
        <v>74800</v>
      </c>
      <c r="E20" s="151">
        <f ca="1">IFERROR(__xludf.DUMMYFUNCTION("IMPORTRANGE(""https://docs.google.com/spreadsheets/d/1-uDff_7J0KD5mKrp0Vvzr7lt3OU09vwQwhkpOPPYv2Y/edit?usp=sharing"",""งบพรบ!BR20"")"),0)</f>
        <v>0</v>
      </c>
      <c r="F20" s="151">
        <f ca="1">IFERROR(__xludf.DUMMYFUNCTION("IMPORTRANGE(""https://docs.google.com/spreadsheets/d/1-uDff_7J0KD5mKrp0Vvzr7lt3OU09vwQwhkpOPPYv2Y/edit?usp=sharing"",""งบพรบ!BS20"")"),74800)</f>
        <v>74800</v>
      </c>
      <c r="G20" s="151">
        <f ca="1">IFERROR(__xludf.DUMMYFUNCTION("IMPORTRANGE(""https://docs.google.com/spreadsheets/d/1-uDff_7J0KD5mKrp0Vvzr7lt3OU09vwQwhkpOPPYv2Y/edit?usp=sharing"",""งบพรบ!BT20"")"),0)</f>
        <v>0</v>
      </c>
      <c r="H20" s="151">
        <f ca="1">IFERROR(__xludf.DUMMYFUNCTION("IMPORTRANGE(""https://docs.google.com/spreadsheets/d/1-uDff_7J0KD5mKrp0Vvzr7lt3OU09vwQwhkpOPPYv2Y/edit?usp=sharing"",""งบพรบ!BV20"")"),69800)</f>
        <v>69800</v>
      </c>
      <c r="I20" s="151">
        <f ca="1">IFERROR(__xludf.DUMMYFUNCTION("IMPORTRANGE(""https://docs.google.com/spreadsheets/d/1-uDff_7J0KD5mKrp0Vvzr7lt3OU09vwQwhkpOPPYv2Y/edit?usp=sharing"",""งบพรบ!BW20"")"),0)</f>
        <v>0</v>
      </c>
      <c r="J20" s="151">
        <f t="shared" ca="1" si="29"/>
        <v>66650</v>
      </c>
      <c r="K20" s="154">
        <f t="shared" ca="1" si="30"/>
        <v>89.104278074866315</v>
      </c>
      <c r="L20" s="151">
        <f ca="1">IFERROR(__xludf.DUMMYFUNCTION("IMPORTRANGE(""https://docs.google.com/spreadsheets/d/1-uDff_7J0KD5mKrp0Vvzr7lt3OU09vwQwhkpOPPYv2Y/edit?usp=sharing"",""งบพรบ!BX20"")"),66650)</f>
        <v>66650</v>
      </c>
      <c r="M20" s="68">
        <f t="shared" ca="1" si="31"/>
        <v>89.104278074866315</v>
      </c>
      <c r="N20" s="68">
        <f t="shared" ca="1" si="32"/>
        <v>95.487106017191977</v>
      </c>
      <c r="O20" s="67">
        <f ca="1">IFERROR(__xludf.DUMMYFUNCTION("IMPORTRANGE(""https://docs.google.com/spreadsheets/d/1-uDff_7J0KD5mKrp0Vvzr7lt3OU09vwQwhkpOPPYv2Y/edit?usp=sharing"",""งบพรบ!BY20"")"),0)</f>
        <v>0</v>
      </c>
      <c r="P20" s="67">
        <f t="shared" ca="1" si="33"/>
        <v>0</v>
      </c>
      <c r="Q20" s="68">
        <f t="shared" ca="1" si="34"/>
        <v>0</v>
      </c>
      <c r="R20" s="67">
        <f ca="1">IFERROR(__xludf.DUMMYFUNCTION("IMPORTRANGE(""https://docs.google.com/spreadsheets/d/1uu4nAn4Dbi1XREnLKKotUANlKXa7yCgRcgq8HEzQYW8/edit?usp=sharing"",""พะเยา!Q139"")"),304860)</f>
        <v>304860</v>
      </c>
      <c r="S20" s="67">
        <f ca="1">IFERROR(__xludf.DUMMYFUNCTION("IMPORTRANGE(""https://docs.google.com/spreadsheets/d/1uu4nAn4Dbi1XREnLKKotUANlKXa7yCgRcgq8HEzQYW8/edit?usp=sharing"",""พะเยา!R139"")"),304860)</f>
        <v>304860</v>
      </c>
      <c r="T20" s="67">
        <f ca="1">IFERROR(__xludf.DUMMYFUNCTION("IMPORTRANGE(""https://docs.google.com/spreadsheets/d/1uu4nAn4Dbi1XREnLKKotUANlKXa7yCgRcgq8HEzQYW8/edit?usp=sharing"",""พะเยา!S139"")"),25795)</f>
        <v>25795</v>
      </c>
      <c r="U20" s="68">
        <f t="shared" ca="1" si="36"/>
        <v>8.4612609066456734</v>
      </c>
      <c r="V20" s="68">
        <f t="shared" ca="1" si="37"/>
        <v>8.4612609066456734</v>
      </c>
      <c r="W20" s="78">
        <f ca="1">IFERROR(__xludf.DUMMYFUNCTION("IMPORTRANGE(""https://docs.google.com/spreadsheets/d/1uu4nAn4Dbi1XREnLKKotUANlKXa7yCgRcgq8HEzQYW8/edit?usp=sharing"",""พะเยา!J149"")"),0)</f>
        <v>0</v>
      </c>
      <c r="X20" s="78">
        <f ca="1">IFERROR(__xludf.DUMMYFUNCTION("IMPORTRANGE(""https://docs.google.com/spreadsheets/d/1uu4nAn4Dbi1XREnLKKotUANlKXa7yCgRcgq8HEzQYW8/edit?usp=sharing"",""พะเยา!I150"")"),20)</f>
        <v>20</v>
      </c>
      <c r="Y20" s="78">
        <f ca="1">IFERROR(__xludf.DUMMYFUNCTION("IMPORTRANGE(""https://docs.google.com/spreadsheets/d/1uu4nAn4Dbi1XREnLKKotUANlKXa7yCgRcgq8HEzQYW8/edit?usp=sharing"",""พะเยา!I151"")"),2)</f>
        <v>2</v>
      </c>
      <c r="Z20" s="78">
        <f ca="1">IFERROR(__xludf.DUMMYFUNCTION("IMPORTRANGE(""https://docs.google.com/spreadsheets/d/1uu4nAn4Dbi1XREnLKKotUANlKXa7yCgRcgq8HEzQYW8/edit?usp=sharing"",""พะเยา!J150"")"),20)</f>
        <v>20</v>
      </c>
      <c r="AA20" s="79">
        <f t="shared" ca="1" si="39"/>
        <v>100</v>
      </c>
      <c r="AB20" s="78">
        <f ca="1">IFERROR(__xludf.DUMMYFUNCTION("IMPORTRANGE(""https://docs.google.com/spreadsheets/d/1uu4nAn4Dbi1XREnLKKotUANlKXa7yCgRcgq8HEzQYW8/edit?usp=sharing"",""พะเยา!J151"")"),2)</f>
        <v>2</v>
      </c>
      <c r="AC20" s="79">
        <f t="shared" ca="1" si="40"/>
        <v>100</v>
      </c>
      <c r="AD20" s="78">
        <f ca="1">IFERROR(__xludf.DUMMYFUNCTION("IMPORTRANGE(""https://docs.google.com/spreadsheets/d/1uu4nAn4Dbi1XREnLKKotUANlKXa7yCgRcgq8HEzQYW8/edit?usp=sharing"",""พะเยา!I152"")"),40)</f>
        <v>40</v>
      </c>
      <c r="AE20" s="78">
        <f ca="1">IFERROR(__xludf.DUMMYFUNCTION("IMPORTRANGE(""https://docs.google.com/spreadsheets/d/1uu4nAn4Dbi1XREnLKKotUANlKXa7yCgRcgq8HEzQYW8/edit?usp=sharing"",""พะเยา!I153"")"),4)</f>
        <v>4</v>
      </c>
      <c r="AF20" s="78">
        <f ca="1">IFERROR(__xludf.DUMMYFUNCTION("IMPORTRANGE(""https://docs.google.com/spreadsheets/d/1uu4nAn4Dbi1XREnLKKotUANlKXa7yCgRcgq8HEzQYW8/edit?usp=sharing"",""พะเยา!J152"")"),40)</f>
        <v>40</v>
      </c>
      <c r="AG20" s="79">
        <f t="shared" ca="1" si="42"/>
        <v>100</v>
      </c>
      <c r="AH20" s="78">
        <f ca="1">IFERROR(__xludf.DUMMYFUNCTION("IMPORTRANGE(""https://docs.google.com/spreadsheets/d/1uu4nAn4Dbi1XREnLKKotUANlKXa7yCgRcgq8HEzQYW8/edit?usp=sharing"",""พะเยา!J153"")"),4)</f>
        <v>4</v>
      </c>
      <c r="AI20" s="79">
        <f t="shared" ca="1" si="43"/>
        <v>100</v>
      </c>
      <c r="AJ20" s="78">
        <f ca="1">IFERROR(__xludf.DUMMYFUNCTION("IMPORTRANGE(""https://docs.google.com/spreadsheets/d/1uu4nAn4Dbi1XREnLKKotUANlKXa7yCgRcgq8HEzQYW8/edit?usp=sharing"",""พะเยา!I154"")"),2)</f>
        <v>2</v>
      </c>
      <c r="AK20" s="78">
        <f ca="1">IFERROR(__xludf.DUMMYFUNCTION("IMPORTRANGE(""https://docs.google.com/spreadsheets/d/1uu4nAn4Dbi1XREnLKKotUANlKXa7yCgRcgq8HEzQYW8/edit?usp=sharing"",""พะเยา!J154"")"),0)</f>
        <v>0</v>
      </c>
      <c r="AL20" s="79">
        <f t="shared" ca="1" si="45"/>
        <v>0</v>
      </c>
    </row>
    <row r="21" spans="1:38" ht="24" customHeight="1" x14ac:dyDescent="0.3">
      <c r="A21" s="147">
        <v>8</v>
      </c>
      <c r="B21" s="148" t="s">
        <v>49</v>
      </c>
      <c r="C21" s="149">
        <f t="shared" ca="1" si="27"/>
        <v>0</v>
      </c>
      <c r="D21" s="150">
        <f t="shared" ca="1" si="46"/>
        <v>0</v>
      </c>
      <c r="E21" s="151">
        <f ca="1">IFERROR(__xludf.DUMMYFUNCTION("IMPORTRANGE(""https://docs.google.com/spreadsheets/d/1-uDff_7J0KD5mKrp0Vvzr7lt3OU09vwQwhkpOPPYv2Y/edit?usp=sharing"",""งบพรบ!BR21"")"),0)</f>
        <v>0</v>
      </c>
      <c r="F21" s="151">
        <f ca="1">IFERROR(__xludf.DUMMYFUNCTION("IMPORTRANGE(""https://docs.google.com/spreadsheets/d/1-uDff_7J0KD5mKrp0Vvzr7lt3OU09vwQwhkpOPPYv2Y/edit?usp=sharing"",""งบพรบ!BS21"")"),0)</f>
        <v>0</v>
      </c>
      <c r="G21" s="151">
        <f ca="1">IFERROR(__xludf.DUMMYFUNCTION("IMPORTRANGE(""https://docs.google.com/spreadsheets/d/1-uDff_7J0KD5mKrp0Vvzr7lt3OU09vwQwhkpOPPYv2Y/edit?usp=sharing"",""งบพรบ!BT21"")"),0)</f>
        <v>0</v>
      </c>
      <c r="H21" s="151">
        <f ca="1">IFERROR(__xludf.DUMMYFUNCTION("IMPORTRANGE(""https://docs.google.com/spreadsheets/d/1-uDff_7J0KD5mKrp0Vvzr7lt3OU09vwQwhkpOPPYv2Y/edit?usp=sharing"",""งบพรบ!BV21"")"),0)</f>
        <v>0</v>
      </c>
      <c r="I21" s="151">
        <f ca="1">IFERROR(__xludf.DUMMYFUNCTION("IMPORTRANGE(""https://docs.google.com/spreadsheets/d/1-uDff_7J0KD5mKrp0Vvzr7lt3OU09vwQwhkpOPPYv2Y/edit?usp=sharing"",""งบพรบ!BW21"")"),0)</f>
        <v>0</v>
      </c>
      <c r="J21" s="151">
        <f t="shared" ca="1" si="29"/>
        <v>0</v>
      </c>
      <c r="K21" s="154">
        <f t="shared" ca="1" si="30"/>
        <v>0</v>
      </c>
      <c r="L21" s="151">
        <f ca="1">IFERROR(__xludf.DUMMYFUNCTION("IMPORTRANGE(""https://docs.google.com/spreadsheets/d/1-uDff_7J0KD5mKrp0Vvzr7lt3OU09vwQwhkpOPPYv2Y/edit?usp=sharing"",""งบพรบ!BX21"")"),0)</f>
        <v>0</v>
      </c>
      <c r="M21" s="68">
        <f t="shared" ca="1" si="31"/>
        <v>0</v>
      </c>
      <c r="N21" s="68">
        <f t="shared" ca="1" si="32"/>
        <v>0</v>
      </c>
      <c r="O21" s="67">
        <f ca="1">IFERROR(__xludf.DUMMYFUNCTION("IMPORTRANGE(""https://docs.google.com/spreadsheets/d/1-uDff_7J0KD5mKrp0Vvzr7lt3OU09vwQwhkpOPPYv2Y/edit?usp=sharing"",""งบพรบ!BY21"")"),0)</f>
        <v>0</v>
      </c>
      <c r="P21" s="67">
        <f t="shared" ca="1" si="33"/>
        <v>0</v>
      </c>
      <c r="Q21" s="68">
        <f t="shared" ca="1" si="34"/>
        <v>0</v>
      </c>
      <c r="R21" s="67">
        <f ca="1">IFERROR(__xludf.DUMMYFUNCTION("IMPORTRANGE(""https://docs.google.com/spreadsheets/d/1xfJKIQxVOaPDIICqsflNlLu3JacTDk1FP9RH4phX7mI/edit?usp=sharing"",""พิจิตร!Q139"")"),0)</f>
        <v>0</v>
      </c>
      <c r="S21" s="67">
        <f ca="1">IFERROR(__xludf.DUMMYFUNCTION("IMPORTRANGE(""https://docs.google.com/spreadsheets/d/1xfJKIQxVOaPDIICqsflNlLu3JacTDk1FP9RH4phX7mI/edit?usp=sharing"",""พิจิตร!R139"")"),0)</f>
        <v>0</v>
      </c>
      <c r="T21" s="67">
        <f ca="1">IFERROR(__xludf.DUMMYFUNCTION("IMPORTRANGE(""https://docs.google.com/spreadsheets/d/1xfJKIQxVOaPDIICqsflNlLu3JacTDk1FP9RH4phX7mI/edit?usp=sharing"",""พิจิตร!S139"")"),0)</f>
        <v>0</v>
      </c>
      <c r="U21" s="68">
        <f t="shared" ca="1" si="36"/>
        <v>0</v>
      </c>
      <c r="V21" s="68">
        <f t="shared" ca="1" si="37"/>
        <v>0</v>
      </c>
      <c r="W21" s="78">
        <f ca="1">IFERROR(__xludf.DUMMYFUNCTION("IMPORTRANGE(""https://docs.google.com/spreadsheets/d/1xfJKIQxVOaPDIICqsflNlLu3JacTDk1FP9RH4phX7mI/edit?usp=sharing"",""พิจิตร!J149"")"),0)</f>
        <v>0</v>
      </c>
      <c r="X21" s="78">
        <f ca="1">IFERROR(__xludf.DUMMYFUNCTION("IMPORTRANGE(""https://docs.google.com/spreadsheets/d/1xfJKIQxVOaPDIICqsflNlLu3JacTDk1FP9RH4phX7mI/edit?usp=sharing"",""พิจิตร!I150"")"),0)</f>
        <v>0</v>
      </c>
      <c r="Y21" s="78">
        <f ca="1">IFERROR(__xludf.DUMMYFUNCTION("IMPORTRANGE(""https://docs.google.com/spreadsheets/d/1xfJKIQxVOaPDIICqsflNlLu3JacTDk1FP9RH4phX7mI/edit?usp=sharing"",""พิจิตร!I151"")"),0)</f>
        <v>0</v>
      </c>
      <c r="Z21" s="78">
        <f ca="1">IFERROR(__xludf.DUMMYFUNCTION("IMPORTRANGE(""https://docs.google.com/spreadsheets/d/1xfJKIQxVOaPDIICqsflNlLu3JacTDk1FP9RH4phX7mI/edit?usp=sharing"",""พิจิตร!J150"")"),0)</f>
        <v>0</v>
      </c>
      <c r="AA21" s="79">
        <f t="shared" ca="1" si="39"/>
        <v>0</v>
      </c>
      <c r="AB21" s="78">
        <f ca="1">IFERROR(__xludf.DUMMYFUNCTION("IMPORTRANGE(""https://docs.google.com/spreadsheets/d/1xfJKIQxVOaPDIICqsflNlLu3JacTDk1FP9RH4phX7mI/edit?usp=sharing"",""พิจิตร!J151"")"),0)</f>
        <v>0</v>
      </c>
      <c r="AC21" s="79">
        <f t="shared" ca="1" si="40"/>
        <v>0</v>
      </c>
      <c r="AD21" s="78">
        <f ca="1">IFERROR(__xludf.DUMMYFUNCTION("IMPORTRANGE(""https://docs.google.com/spreadsheets/d/1xfJKIQxVOaPDIICqsflNlLu3JacTDk1FP9RH4phX7mI/edit?usp=sharing"",""พิจิตร!I152"")"),0)</f>
        <v>0</v>
      </c>
      <c r="AE21" s="78">
        <f ca="1">IFERROR(__xludf.DUMMYFUNCTION("IMPORTRANGE(""https://docs.google.com/spreadsheets/d/1xfJKIQxVOaPDIICqsflNlLu3JacTDk1FP9RH4phX7mI/edit?usp=sharing"",""พิจิตร!I153"")"),0)</f>
        <v>0</v>
      </c>
      <c r="AF21" s="78">
        <f ca="1">IFERROR(__xludf.DUMMYFUNCTION("IMPORTRANGE(""https://docs.google.com/spreadsheets/d/1xfJKIQxVOaPDIICqsflNlLu3JacTDk1FP9RH4phX7mI/edit?usp=sharing"",""พิจิตร!J152"")"),0)</f>
        <v>0</v>
      </c>
      <c r="AG21" s="79">
        <f t="shared" ca="1" si="42"/>
        <v>0</v>
      </c>
      <c r="AH21" s="78">
        <f ca="1">IFERROR(__xludf.DUMMYFUNCTION("IMPORTRANGE(""https://docs.google.com/spreadsheets/d/1xfJKIQxVOaPDIICqsflNlLu3JacTDk1FP9RH4phX7mI/edit?usp=sharing"",""พิจิตร!J153"")"),0)</f>
        <v>0</v>
      </c>
      <c r="AI21" s="79">
        <f t="shared" ca="1" si="43"/>
        <v>0</v>
      </c>
      <c r="AJ21" s="78">
        <f ca="1">IFERROR(__xludf.DUMMYFUNCTION("IMPORTRANGE(""https://docs.google.com/spreadsheets/d/1xfJKIQxVOaPDIICqsflNlLu3JacTDk1FP9RH4phX7mI/edit?usp=sharing"",""พิจิตร!I154"")"),0)</f>
        <v>0</v>
      </c>
      <c r="AK21" s="78">
        <f ca="1">IFERROR(__xludf.DUMMYFUNCTION("IMPORTRANGE(""https://docs.google.com/spreadsheets/d/1xfJKIQxVOaPDIICqsflNlLu3JacTDk1FP9RH4phX7mI/edit?usp=sharing"",""พิจิตร!J154"")"),0)</f>
        <v>0</v>
      </c>
      <c r="AL21" s="79">
        <f t="shared" ca="1" si="45"/>
        <v>0</v>
      </c>
    </row>
    <row r="22" spans="1:38" ht="24" customHeight="1" x14ac:dyDescent="0.3">
      <c r="A22" s="147">
        <v>9</v>
      </c>
      <c r="B22" s="148" t="s">
        <v>50</v>
      </c>
      <c r="C22" s="149">
        <f t="shared" ca="1" si="27"/>
        <v>0</v>
      </c>
      <c r="D22" s="150">
        <f t="shared" ca="1" si="46"/>
        <v>0</v>
      </c>
      <c r="E22" s="151">
        <f ca="1">IFERROR(__xludf.DUMMYFUNCTION("IMPORTRANGE(""https://docs.google.com/spreadsheets/d/1-uDff_7J0KD5mKrp0Vvzr7lt3OU09vwQwhkpOPPYv2Y/edit?usp=sharing"",""งบพรบ!BR22"")"),0)</f>
        <v>0</v>
      </c>
      <c r="F22" s="151">
        <f ca="1">IFERROR(__xludf.DUMMYFUNCTION("IMPORTRANGE(""https://docs.google.com/spreadsheets/d/1-uDff_7J0KD5mKrp0Vvzr7lt3OU09vwQwhkpOPPYv2Y/edit?usp=sharing"",""งบพรบ!BS22"")"),0)</f>
        <v>0</v>
      </c>
      <c r="G22" s="151">
        <f ca="1">IFERROR(__xludf.DUMMYFUNCTION("IMPORTRANGE(""https://docs.google.com/spreadsheets/d/1-uDff_7J0KD5mKrp0Vvzr7lt3OU09vwQwhkpOPPYv2Y/edit?usp=sharing"",""งบพรบ!BT22"")"),0)</f>
        <v>0</v>
      </c>
      <c r="H22" s="151">
        <f ca="1">IFERROR(__xludf.DUMMYFUNCTION("IMPORTRANGE(""https://docs.google.com/spreadsheets/d/1-uDff_7J0KD5mKrp0Vvzr7lt3OU09vwQwhkpOPPYv2Y/edit?usp=sharing"",""งบพรบ!BV22"")"),0)</f>
        <v>0</v>
      </c>
      <c r="I22" s="151">
        <f ca="1">IFERROR(__xludf.DUMMYFUNCTION("IMPORTRANGE(""https://docs.google.com/spreadsheets/d/1-uDff_7J0KD5mKrp0Vvzr7lt3OU09vwQwhkpOPPYv2Y/edit?usp=sharing"",""งบพรบ!BW22"")"),0)</f>
        <v>0</v>
      </c>
      <c r="J22" s="151">
        <f t="shared" ca="1" si="29"/>
        <v>0</v>
      </c>
      <c r="K22" s="154">
        <f t="shared" ca="1" si="30"/>
        <v>0</v>
      </c>
      <c r="L22" s="151">
        <f ca="1">IFERROR(__xludf.DUMMYFUNCTION("IMPORTRANGE(""https://docs.google.com/spreadsheets/d/1-uDff_7J0KD5mKrp0Vvzr7lt3OU09vwQwhkpOPPYv2Y/edit?usp=sharing"",""งบพรบ!BX22"")"),0)</f>
        <v>0</v>
      </c>
      <c r="M22" s="68">
        <f t="shared" ca="1" si="31"/>
        <v>0</v>
      </c>
      <c r="N22" s="68">
        <f t="shared" ca="1" si="32"/>
        <v>0</v>
      </c>
      <c r="O22" s="67">
        <f ca="1">IFERROR(__xludf.DUMMYFUNCTION("IMPORTRANGE(""https://docs.google.com/spreadsheets/d/1-uDff_7J0KD5mKrp0Vvzr7lt3OU09vwQwhkpOPPYv2Y/edit?usp=sharing"",""งบพรบ!BY22"")"),0)</f>
        <v>0</v>
      </c>
      <c r="P22" s="67">
        <f t="shared" ca="1" si="33"/>
        <v>0</v>
      </c>
      <c r="Q22" s="68">
        <f t="shared" ca="1" si="34"/>
        <v>0</v>
      </c>
      <c r="R22" s="67">
        <f ca="1">IFERROR(__xludf.DUMMYFUNCTION("IMPORTRANGE(""https://docs.google.com/spreadsheets/d/1JtRfZkJMHtEhI5RdRHxYUG4FIZHqKDpNyIuN7A1Q0_k/edit?usp=sharing"",""พิษณุโลก!Q139"")"),0)</f>
        <v>0</v>
      </c>
      <c r="S22" s="67">
        <f ca="1">IFERROR(__xludf.DUMMYFUNCTION("IMPORTRANGE(""https://docs.google.com/spreadsheets/d/1JtRfZkJMHtEhI5RdRHxYUG4FIZHqKDpNyIuN7A1Q0_k/edit?usp=sharing"",""พิษณุโลก!R139"")"),0)</f>
        <v>0</v>
      </c>
      <c r="T22" s="67">
        <f ca="1">IFERROR(__xludf.DUMMYFUNCTION("IMPORTRANGE(""https://docs.google.com/spreadsheets/d/1JtRfZkJMHtEhI5RdRHxYUG4FIZHqKDpNyIuN7A1Q0_k/edit?usp=sharing"",""พิษณุโลก!S139"")"),0)</f>
        <v>0</v>
      </c>
      <c r="U22" s="68">
        <f t="shared" ca="1" si="36"/>
        <v>0</v>
      </c>
      <c r="V22" s="68">
        <f t="shared" ca="1" si="37"/>
        <v>0</v>
      </c>
      <c r="W22" s="78">
        <f ca="1">IFERROR(__xludf.DUMMYFUNCTION("IMPORTRANGE(""https://docs.google.com/spreadsheets/d/1JtRfZkJMHtEhI5RdRHxYUG4FIZHqKDpNyIuN7A1Q0_k/edit?usp=sharing"",""พิษณุโลก!J149"")"),0)</f>
        <v>0</v>
      </c>
      <c r="X22" s="78">
        <f ca="1">IFERROR(__xludf.DUMMYFUNCTION("IMPORTRANGE(""https://docs.google.com/spreadsheets/d/1JtRfZkJMHtEhI5RdRHxYUG4FIZHqKDpNyIuN7A1Q0_k/edit?usp=sharing"",""พิษณุโลก!I150"")"),0)</f>
        <v>0</v>
      </c>
      <c r="Y22" s="78">
        <f ca="1">IFERROR(__xludf.DUMMYFUNCTION("IMPORTRANGE(""https://docs.google.com/spreadsheets/d/1JtRfZkJMHtEhI5RdRHxYUG4FIZHqKDpNyIuN7A1Q0_k/edit?usp=sharing"",""พิษณุโลก!I151"")"),0)</f>
        <v>0</v>
      </c>
      <c r="Z22" s="78">
        <f ca="1">IFERROR(__xludf.DUMMYFUNCTION("IMPORTRANGE(""https://docs.google.com/spreadsheets/d/1JtRfZkJMHtEhI5RdRHxYUG4FIZHqKDpNyIuN7A1Q0_k/edit?usp=sharing"",""พิษณุโลก!J150"")"),0)</f>
        <v>0</v>
      </c>
      <c r="AA22" s="79">
        <f t="shared" ca="1" si="39"/>
        <v>0</v>
      </c>
      <c r="AB22" s="78">
        <f ca="1">IFERROR(__xludf.DUMMYFUNCTION("IMPORTRANGE(""https://docs.google.com/spreadsheets/d/1JtRfZkJMHtEhI5RdRHxYUG4FIZHqKDpNyIuN7A1Q0_k/edit?usp=sharing"",""พิษณุโลก!J151"")"),0)</f>
        <v>0</v>
      </c>
      <c r="AC22" s="79">
        <f t="shared" ca="1" si="40"/>
        <v>0</v>
      </c>
      <c r="AD22" s="78">
        <f ca="1">IFERROR(__xludf.DUMMYFUNCTION("IMPORTRANGE(""https://docs.google.com/spreadsheets/d/1JtRfZkJMHtEhI5RdRHxYUG4FIZHqKDpNyIuN7A1Q0_k/edit?usp=sharing"",""พิษณุโลก!I152"")"),0)</f>
        <v>0</v>
      </c>
      <c r="AE22" s="78">
        <f ca="1">IFERROR(__xludf.DUMMYFUNCTION("IMPORTRANGE(""https://docs.google.com/spreadsheets/d/1JtRfZkJMHtEhI5RdRHxYUG4FIZHqKDpNyIuN7A1Q0_k/edit?usp=sharing"",""พิษณุโลก!I153"")"),0)</f>
        <v>0</v>
      </c>
      <c r="AF22" s="78">
        <f ca="1">IFERROR(__xludf.DUMMYFUNCTION("IMPORTRANGE(""https://docs.google.com/spreadsheets/d/1JtRfZkJMHtEhI5RdRHxYUG4FIZHqKDpNyIuN7A1Q0_k/edit?usp=sharing"",""พิษณุโลก!J152"")"),0)</f>
        <v>0</v>
      </c>
      <c r="AG22" s="79">
        <f t="shared" ca="1" si="42"/>
        <v>0</v>
      </c>
      <c r="AH22" s="78">
        <f ca="1">IFERROR(__xludf.DUMMYFUNCTION("IMPORTRANGE(""https://docs.google.com/spreadsheets/d/1JtRfZkJMHtEhI5RdRHxYUG4FIZHqKDpNyIuN7A1Q0_k/edit?usp=sharing"",""พิษณุโลก!J153"")"),0)</f>
        <v>0</v>
      </c>
      <c r="AI22" s="79">
        <f t="shared" ca="1" si="43"/>
        <v>0</v>
      </c>
      <c r="AJ22" s="78">
        <f ca="1">IFERROR(__xludf.DUMMYFUNCTION("IMPORTRANGE(""https://docs.google.com/spreadsheets/d/1JtRfZkJMHtEhI5RdRHxYUG4FIZHqKDpNyIuN7A1Q0_k/edit?usp=sharing"",""พิษณุโลก!I154"")"),0)</f>
        <v>0</v>
      </c>
      <c r="AK22" s="78">
        <f ca="1">IFERROR(__xludf.DUMMYFUNCTION("IMPORTRANGE(""https://docs.google.com/spreadsheets/d/1JtRfZkJMHtEhI5RdRHxYUG4FIZHqKDpNyIuN7A1Q0_k/edit?usp=sharing"",""พิษณุโลก!J154"")"),0)</f>
        <v>0</v>
      </c>
      <c r="AL22" s="79">
        <f t="shared" ca="1" si="45"/>
        <v>0</v>
      </c>
    </row>
    <row r="23" spans="1:38" ht="24" customHeight="1" x14ac:dyDescent="0.3">
      <c r="A23" s="147">
        <v>10</v>
      </c>
      <c r="B23" s="148" t="s">
        <v>51</v>
      </c>
      <c r="C23" s="149">
        <f t="shared" ca="1" si="27"/>
        <v>23300</v>
      </c>
      <c r="D23" s="150">
        <f t="shared" ca="1" si="46"/>
        <v>23300</v>
      </c>
      <c r="E23" s="151">
        <f ca="1">IFERROR(__xludf.DUMMYFUNCTION("IMPORTRANGE(""https://docs.google.com/spreadsheets/d/1-uDff_7J0KD5mKrp0Vvzr7lt3OU09vwQwhkpOPPYv2Y/edit?usp=sharing"",""งบพรบ!BR23"")"),0)</f>
        <v>0</v>
      </c>
      <c r="F23" s="151">
        <f ca="1">IFERROR(__xludf.DUMMYFUNCTION("IMPORTRANGE(""https://docs.google.com/spreadsheets/d/1-uDff_7J0KD5mKrp0Vvzr7lt3OU09vwQwhkpOPPYv2Y/edit?usp=sharing"",""งบพรบ!BS23"")"),23300)</f>
        <v>23300</v>
      </c>
      <c r="G23" s="151">
        <f ca="1">IFERROR(__xludf.DUMMYFUNCTION("IMPORTRANGE(""https://docs.google.com/spreadsheets/d/1-uDff_7J0KD5mKrp0Vvzr7lt3OU09vwQwhkpOPPYv2Y/edit?usp=sharing"",""งบพรบ!BT23"")"),0)</f>
        <v>0</v>
      </c>
      <c r="H23" s="151">
        <f ca="1">IFERROR(__xludf.DUMMYFUNCTION("IMPORTRANGE(""https://docs.google.com/spreadsheets/d/1-uDff_7J0KD5mKrp0Vvzr7lt3OU09vwQwhkpOPPYv2Y/edit?usp=sharing"",""งบพรบ!BV23"")"),18300)</f>
        <v>18300</v>
      </c>
      <c r="I23" s="151">
        <f ca="1">IFERROR(__xludf.DUMMYFUNCTION("IMPORTRANGE(""https://docs.google.com/spreadsheets/d/1-uDff_7J0KD5mKrp0Vvzr7lt3OU09vwQwhkpOPPYv2Y/edit?usp=sharing"",""งบพรบ!BW23"")"),0)</f>
        <v>0</v>
      </c>
      <c r="J23" s="151">
        <f t="shared" ca="1" si="29"/>
        <v>18300</v>
      </c>
      <c r="K23" s="154">
        <f t="shared" ca="1" si="30"/>
        <v>78.540772532188839</v>
      </c>
      <c r="L23" s="151">
        <f ca="1">IFERROR(__xludf.DUMMYFUNCTION("IMPORTRANGE(""https://docs.google.com/spreadsheets/d/1-uDff_7J0KD5mKrp0Vvzr7lt3OU09vwQwhkpOPPYv2Y/edit?usp=sharing"",""งบพรบ!BX23"")"),18300)</f>
        <v>18300</v>
      </c>
      <c r="M23" s="68">
        <f t="shared" ca="1" si="31"/>
        <v>78.540772532188839</v>
      </c>
      <c r="N23" s="68">
        <f t="shared" ca="1" si="32"/>
        <v>100</v>
      </c>
      <c r="O23" s="67">
        <f ca="1">IFERROR(__xludf.DUMMYFUNCTION("IMPORTRANGE(""https://docs.google.com/spreadsheets/d/1-uDff_7J0KD5mKrp0Vvzr7lt3OU09vwQwhkpOPPYv2Y/edit?usp=sharing"",""งบพรบ!BY23"")"),0)</f>
        <v>0</v>
      </c>
      <c r="P23" s="67">
        <f t="shared" ca="1" si="33"/>
        <v>0</v>
      </c>
      <c r="Q23" s="68">
        <f t="shared" ca="1" si="34"/>
        <v>0</v>
      </c>
      <c r="R23" s="67">
        <f ca="1">IFERROR(__xludf.DUMMYFUNCTION("IMPORTRANGE(""https://docs.google.com/spreadsheets/d/1xlcVZWUNn6SuWm0c307h32SiGkd9BaeQWlAktfD3KO8/edit?usp=sharing"",""เพชรบูรณ์!Q139"")"),33700)</f>
        <v>33700</v>
      </c>
      <c r="S23" s="67">
        <f ca="1">IFERROR(__xludf.DUMMYFUNCTION("IMPORTRANGE(""https://docs.google.com/spreadsheets/d/1xlcVZWUNn6SuWm0c307h32SiGkd9BaeQWlAktfD3KO8/edit?usp=sharing"",""เพชรบูรณ์!R139"")"),33700)</f>
        <v>33700</v>
      </c>
      <c r="T23" s="67">
        <f ca="1">IFERROR(__xludf.DUMMYFUNCTION("IMPORTRANGE(""https://docs.google.com/spreadsheets/d/1xlcVZWUNn6SuWm0c307h32SiGkd9BaeQWlAktfD3KO8/edit?usp=sharing"",""เพชรบูรณ์!S139"")"),33700)</f>
        <v>33700</v>
      </c>
      <c r="U23" s="68">
        <f t="shared" ca="1" si="36"/>
        <v>100</v>
      </c>
      <c r="V23" s="68">
        <f t="shared" ca="1" si="37"/>
        <v>100</v>
      </c>
      <c r="W23" s="78">
        <f ca="1">IFERROR(__xludf.DUMMYFUNCTION("IMPORTRANGE(""https://docs.google.com/spreadsheets/d/1xlcVZWUNn6SuWm0c307h32SiGkd9BaeQWlAktfD3KO8/edit?usp=sharing"",""เพชรบูรณ์!J149"")"),0)</f>
        <v>0</v>
      </c>
      <c r="X23" s="78">
        <f ca="1">IFERROR(__xludf.DUMMYFUNCTION("IMPORTRANGE(""https://docs.google.com/spreadsheets/d/1xlcVZWUNn6SuWm0c307h32SiGkd9BaeQWlAktfD3KO8/edit?usp=sharing"",""เพชรบูรณ์!I150"")"),0)</f>
        <v>0</v>
      </c>
      <c r="Y23" s="78">
        <f ca="1">IFERROR(__xludf.DUMMYFUNCTION("IMPORTRANGE(""https://docs.google.com/spreadsheets/d/1xlcVZWUNn6SuWm0c307h32SiGkd9BaeQWlAktfD3KO8/edit?usp=sharing"",""เพชรบูรณ์!I151"")"),0)</f>
        <v>0</v>
      </c>
      <c r="Z23" s="78">
        <f ca="1">IFERROR(__xludf.DUMMYFUNCTION("IMPORTRANGE(""https://docs.google.com/spreadsheets/d/1xlcVZWUNn6SuWm0c307h32SiGkd9BaeQWlAktfD3KO8/edit?usp=sharing"",""เพชรบูรณ์!J150"")"),0)</f>
        <v>0</v>
      </c>
      <c r="AA23" s="79">
        <f t="shared" ca="1" si="39"/>
        <v>0</v>
      </c>
      <c r="AB23" s="78">
        <f ca="1">IFERROR(__xludf.DUMMYFUNCTION("IMPORTRANGE(""https://docs.google.com/spreadsheets/d/1xlcVZWUNn6SuWm0c307h32SiGkd9BaeQWlAktfD3KO8/edit?usp=sharing"",""เพชรบูรณ์!J151"")"),0)</f>
        <v>0</v>
      </c>
      <c r="AC23" s="79">
        <f t="shared" ca="1" si="40"/>
        <v>0</v>
      </c>
      <c r="AD23" s="78">
        <f ca="1">IFERROR(__xludf.DUMMYFUNCTION("IMPORTRANGE(""https://docs.google.com/spreadsheets/d/1xlcVZWUNn6SuWm0c307h32SiGkd9BaeQWlAktfD3KO8/edit?usp=sharing"",""เพชรบูรณ์!I152"")"),10)</f>
        <v>10</v>
      </c>
      <c r="AE23" s="78">
        <f ca="1">IFERROR(__xludf.DUMMYFUNCTION("IMPORTRANGE(""https://docs.google.com/spreadsheets/d/1xlcVZWUNn6SuWm0c307h32SiGkd9BaeQWlAktfD3KO8/edit?usp=sharing"",""เพชรบูรณ์!I153"")"),1)</f>
        <v>1</v>
      </c>
      <c r="AF23" s="78">
        <f ca="1">IFERROR(__xludf.DUMMYFUNCTION("IMPORTRANGE(""https://docs.google.com/spreadsheets/d/1xlcVZWUNn6SuWm0c307h32SiGkd9BaeQWlAktfD3KO8/edit?usp=sharing"",""เพชรบูรณ์!J152"")"),10)</f>
        <v>10</v>
      </c>
      <c r="AG23" s="79">
        <f t="shared" ca="1" si="42"/>
        <v>100</v>
      </c>
      <c r="AH23" s="78">
        <f ca="1">IFERROR(__xludf.DUMMYFUNCTION("IMPORTRANGE(""https://docs.google.com/spreadsheets/d/1xlcVZWUNn6SuWm0c307h32SiGkd9BaeQWlAktfD3KO8/edit?usp=sharing"",""เพชรบูรณ์!J153"")"),1)</f>
        <v>1</v>
      </c>
      <c r="AI23" s="79">
        <f t="shared" ca="1" si="43"/>
        <v>100</v>
      </c>
      <c r="AJ23" s="78">
        <f ca="1">IFERROR(__xludf.DUMMYFUNCTION("IMPORTRANGE(""https://docs.google.com/spreadsheets/d/1xlcVZWUNn6SuWm0c307h32SiGkd9BaeQWlAktfD3KO8/edit?usp=sharing"",""เพชรบูรณ์!I154"")"),0)</f>
        <v>0</v>
      </c>
      <c r="AK23" s="78">
        <f ca="1">IFERROR(__xludf.DUMMYFUNCTION("IMPORTRANGE(""https://docs.google.com/spreadsheets/d/1xlcVZWUNn6SuWm0c307h32SiGkd9BaeQWlAktfD3KO8/edit?usp=sharing"",""เพชรบูรณ์!J154"")"),0)</f>
        <v>0</v>
      </c>
      <c r="AL23" s="79">
        <f t="shared" ca="1" si="45"/>
        <v>0</v>
      </c>
    </row>
    <row r="24" spans="1:38" ht="24" customHeight="1" x14ac:dyDescent="0.3">
      <c r="A24" s="147">
        <v>11</v>
      </c>
      <c r="B24" s="148" t="s">
        <v>52</v>
      </c>
      <c r="C24" s="149">
        <f t="shared" ca="1" si="27"/>
        <v>164700</v>
      </c>
      <c r="D24" s="150">
        <f t="shared" ca="1" si="46"/>
        <v>164700</v>
      </c>
      <c r="E24" s="151">
        <f ca="1">IFERROR(__xludf.DUMMYFUNCTION("IMPORTRANGE(""https://docs.google.com/spreadsheets/d/1-uDff_7J0KD5mKrp0Vvzr7lt3OU09vwQwhkpOPPYv2Y/edit?usp=sharing"",""งบพรบ!BR24"")"),81600)</f>
        <v>81600</v>
      </c>
      <c r="F24" s="151">
        <f ca="1">IFERROR(__xludf.DUMMYFUNCTION("IMPORTRANGE(""https://docs.google.com/spreadsheets/d/1-uDff_7J0KD5mKrp0Vvzr7lt3OU09vwQwhkpOPPYv2Y/edit?usp=sharing"",""งบพรบ!BS24"")"),83100)</f>
        <v>83100</v>
      </c>
      <c r="G24" s="151">
        <f ca="1">IFERROR(__xludf.DUMMYFUNCTION("IMPORTRANGE(""https://docs.google.com/spreadsheets/d/1-uDff_7J0KD5mKrp0Vvzr7lt3OU09vwQwhkpOPPYv2Y/edit?usp=sharing"",""งบพรบ!BT24"")"),0)</f>
        <v>0</v>
      </c>
      <c r="H24" s="151">
        <f ca="1">IFERROR(__xludf.DUMMYFUNCTION("IMPORTRANGE(""https://docs.google.com/spreadsheets/d/1-uDff_7J0KD5mKrp0Vvzr7lt3OU09vwQwhkpOPPYv2Y/edit?usp=sharing"",""งบพรบ!BV24"")"),159700)</f>
        <v>159700</v>
      </c>
      <c r="I24" s="151">
        <f ca="1">IFERROR(__xludf.DUMMYFUNCTION("IMPORTRANGE(""https://docs.google.com/spreadsheets/d/1-uDff_7J0KD5mKrp0Vvzr7lt3OU09vwQwhkpOPPYv2Y/edit?usp=sharing"",""งบพรบ!BW24"")"),0)</f>
        <v>0</v>
      </c>
      <c r="J24" s="151">
        <f t="shared" ca="1" si="29"/>
        <v>155407.04000000001</v>
      </c>
      <c r="K24" s="154">
        <f t="shared" ca="1" si="30"/>
        <v>94.357644201578623</v>
      </c>
      <c r="L24" s="151">
        <f ca="1">IFERROR(__xludf.DUMMYFUNCTION("IMPORTRANGE(""https://docs.google.com/spreadsheets/d/1-uDff_7J0KD5mKrp0Vvzr7lt3OU09vwQwhkpOPPYv2Y/edit?usp=sharing"",""งบพรบ!BX24"")"),155407.04)</f>
        <v>155407.04000000001</v>
      </c>
      <c r="M24" s="68">
        <f t="shared" ca="1" si="31"/>
        <v>94.357644201578623</v>
      </c>
      <c r="N24" s="68">
        <f t="shared" ca="1" si="32"/>
        <v>97.311859737006884</v>
      </c>
      <c r="O24" s="67">
        <f ca="1">IFERROR(__xludf.DUMMYFUNCTION("IMPORTRANGE(""https://docs.google.com/spreadsheets/d/1-uDff_7J0KD5mKrp0Vvzr7lt3OU09vwQwhkpOPPYv2Y/edit?usp=sharing"",""งบพรบ!BY24"")"),0)</f>
        <v>0</v>
      </c>
      <c r="P24" s="67">
        <f t="shared" ca="1" si="33"/>
        <v>0</v>
      </c>
      <c r="Q24" s="68">
        <f t="shared" ca="1" si="34"/>
        <v>0</v>
      </c>
      <c r="R24" s="67">
        <f ca="1">IFERROR(__xludf.DUMMYFUNCTION("IMPORTRANGE(""https://docs.google.com/spreadsheets/d/1lOVebEIsI9qjGXl6EX66luk7wiuP2tBaryw-wKvv4e0/edit?usp=sharing"",""แพร่!Q139"")"),178860)</f>
        <v>178860</v>
      </c>
      <c r="S24" s="67">
        <f ca="1">IFERROR(__xludf.DUMMYFUNCTION("IMPORTRANGE(""https://docs.google.com/spreadsheets/d/1lOVebEIsI9qjGXl6EX66luk7wiuP2tBaryw-wKvv4e0/edit?usp=sharing"",""แพร่!R139"")"),178860)</f>
        <v>178860</v>
      </c>
      <c r="T24" s="67">
        <f ca="1">IFERROR(__xludf.DUMMYFUNCTION("IMPORTRANGE(""https://docs.google.com/spreadsheets/d/1lOVebEIsI9qjGXl6EX66luk7wiuP2tBaryw-wKvv4e0/edit?usp=sharing"",""แพร่!S139"")"),0)</f>
        <v>0</v>
      </c>
      <c r="U24" s="68">
        <f t="shared" ca="1" si="36"/>
        <v>0</v>
      </c>
      <c r="V24" s="68">
        <f t="shared" ca="1" si="37"/>
        <v>0</v>
      </c>
      <c r="W24" s="78">
        <f ca="1">IFERROR(__xludf.DUMMYFUNCTION("IMPORTRANGE(""https://docs.google.com/spreadsheets/d/1lOVebEIsI9qjGXl6EX66luk7wiuP2tBaryw-wKvv4e0/edit?usp=sharing"",""แพร่!J149"")"),0)</f>
        <v>0</v>
      </c>
      <c r="X24" s="78">
        <f ca="1">IFERROR(__xludf.DUMMYFUNCTION("IMPORTRANGE(""https://docs.google.com/spreadsheets/d/1lOVebEIsI9qjGXl6EX66luk7wiuP2tBaryw-wKvv4e0/edit?usp=sharing"",""แพร่!I150"")"),10)</f>
        <v>10</v>
      </c>
      <c r="Y24" s="78">
        <f ca="1">IFERROR(__xludf.DUMMYFUNCTION("IMPORTRANGE(""https://docs.google.com/spreadsheets/d/1lOVebEIsI9qjGXl6EX66luk7wiuP2tBaryw-wKvv4e0/edit?usp=sharing"",""แพร่!I151"")"),1)</f>
        <v>1</v>
      </c>
      <c r="Z24" s="78">
        <f ca="1">IFERROR(__xludf.DUMMYFUNCTION("IMPORTRANGE(""https://docs.google.com/spreadsheets/d/1lOVebEIsI9qjGXl6EX66luk7wiuP2tBaryw-wKvv4e0/edit?usp=sharing"",""แพร่!J150"")"),10)</f>
        <v>10</v>
      </c>
      <c r="AA24" s="79">
        <f t="shared" ca="1" si="39"/>
        <v>100</v>
      </c>
      <c r="AB24" s="78">
        <f ca="1">IFERROR(__xludf.DUMMYFUNCTION("IMPORTRANGE(""https://docs.google.com/spreadsheets/d/1lOVebEIsI9qjGXl6EX66luk7wiuP2tBaryw-wKvv4e0/edit?usp=sharing"",""แพร่!J151"")"),1)</f>
        <v>1</v>
      </c>
      <c r="AC24" s="79">
        <f t="shared" ca="1" si="40"/>
        <v>100</v>
      </c>
      <c r="AD24" s="78">
        <f ca="1">IFERROR(__xludf.DUMMYFUNCTION("IMPORTRANGE(""https://docs.google.com/spreadsheets/d/1lOVebEIsI9qjGXl6EX66luk7wiuP2tBaryw-wKvv4e0/edit?usp=sharing"",""แพร่!I152"")"),60)</f>
        <v>60</v>
      </c>
      <c r="AE24" s="78">
        <f ca="1">IFERROR(__xludf.DUMMYFUNCTION("IMPORTRANGE(""https://docs.google.com/spreadsheets/d/1lOVebEIsI9qjGXl6EX66luk7wiuP2tBaryw-wKvv4e0/edit?usp=sharing"",""แพร่!I153"")"),6)</f>
        <v>6</v>
      </c>
      <c r="AF24" s="78">
        <f ca="1">IFERROR(__xludf.DUMMYFUNCTION("IMPORTRANGE(""https://docs.google.com/spreadsheets/d/1lOVebEIsI9qjGXl6EX66luk7wiuP2tBaryw-wKvv4e0/edit?usp=sharing"",""แพร่!J152"")"),60)</f>
        <v>60</v>
      </c>
      <c r="AG24" s="79">
        <f t="shared" ca="1" si="42"/>
        <v>100</v>
      </c>
      <c r="AH24" s="78">
        <f ca="1">IFERROR(__xludf.DUMMYFUNCTION("IMPORTRANGE(""https://docs.google.com/spreadsheets/d/1lOVebEIsI9qjGXl6EX66luk7wiuP2tBaryw-wKvv4e0/edit?usp=sharing"",""แพร่!J153"")"),6)</f>
        <v>6</v>
      </c>
      <c r="AI24" s="79">
        <f t="shared" ca="1" si="43"/>
        <v>100</v>
      </c>
      <c r="AJ24" s="78">
        <f ca="1">IFERROR(__xludf.DUMMYFUNCTION("IMPORTRANGE(""https://docs.google.com/spreadsheets/d/1lOVebEIsI9qjGXl6EX66luk7wiuP2tBaryw-wKvv4e0/edit?usp=sharing"",""แพร่!I154"")"),1)</f>
        <v>1</v>
      </c>
      <c r="AK24" s="78">
        <f ca="1">IFERROR(__xludf.DUMMYFUNCTION("IMPORTRANGE(""https://docs.google.com/spreadsheets/d/1lOVebEIsI9qjGXl6EX66luk7wiuP2tBaryw-wKvv4e0/edit?usp=sharing"",""แพร่!J154"")"),0)</f>
        <v>0</v>
      </c>
      <c r="AL24" s="79">
        <f t="shared" ca="1" si="45"/>
        <v>0</v>
      </c>
    </row>
    <row r="25" spans="1:38" ht="24" customHeight="1" x14ac:dyDescent="0.3">
      <c r="A25" s="147">
        <v>12</v>
      </c>
      <c r="B25" s="148" t="s">
        <v>53</v>
      </c>
      <c r="C25" s="149">
        <f t="shared" ca="1" si="27"/>
        <v>0</v>
      </c>
      <c r="D25" s="150">
        <f t="shared" ca="1" si="46"/>
        <v>0</v>
      </c>
      <c r="E25" s="151">
        <f ca="1">IFERROR(__xludf.DUMMYFUNCTION("IMPORTRANGE(""https://docs.google.com/spreadsheets/d/1-uDff_7J0KD5mKrp0Vvzr7lt3OU09vwQwhkpOPPYv2Y/edit?usp=sharing"",""งบพรบ!BR25"")"),0)</f>
        <v>0</v>
      </c>
      <c r="F25" s="151">
        <f ca="1">IFERROR(__xludf.DUMMYFUNCTION("IMPORTRANGE(""https://docs.google.com/spreadsheets/d/1-uDff_7J0KD5mKrp0Vvzr7lt3OU09vwQwhkpOPPYv2Y/edit?usp=sharing"",""งบพรบ!BS25"")"),0)</f>
        <v>0</v>
      </c>
      <c r="G25" s="151">
        <f ca="1">IFERROR(__xludf.DUMMYFUNCTION("IMPORTRANGE(""https://docs.google.com/spreadsheets/d/1-uDff_7J0KD5mKrp0Vvzr7lt3OU09vwQwhkpOPPYv2Y/edit?usp=sharing"",""งบพรบ!BT25"")"),0)</f>
        <v>0</v>
      </c>
      <c r="H25" s="151">
        <f ca="1">IFERROR(__xludf.DUMMYFUNCTION("IMPORTRANGE(""https://docs.google.com/spreadsheets/d/1-uDff_7J0KD5mKrp0Vvzr7lt3OU09vwQwhkpOPPYv2Y/edit?usp=sharing"",""งบพรบ!BV25"")"),0)</f>
        <v>0</v>
      </c>
      <c r="I25" s="151">
        <f ca="1">IFERROR(__xludf.DUMMYFUNCTION("IMPORTRANGE(""https://docs.google.com/spreadsheets/d/1-uDff_7J0KD5mKrp0Vvzr7lt3OU09vwQwhkpOPPYv2Y/edit?usp=sharing"",""งบพรบ!BW25"")"),0)</f>
        <v>0</v>
      </c>
      <c r="J25" s="151">
        <f t="shared" ca="1" si="29"/>
        <v>0</v>
      </c>
      <c r="K25" s="154">
        <f t="shared" ca="1" si="30"/>
        <v>0</v>
      </c>
      <c r="L25" s="151">
        <f ca="1">IFERROR(__xludf.DUMMYFUNCTION("IMPORTRANGE(""https://docs.google.com/spreadsheets/d/1-uDff_7J0KD5mKrp0Vvzr7lt3OU09vwQwhkpOPPYv2Y/edit?usp=sharing"",""งบพรบ!BX25"")"),0)</f>
        <v>0</v>
      </c>
      <c r="M25" s="68">
        <f t="shared" ca="1" si="31"/>
        <v>0</v>
      </c>
      <c r="N25" s="68">
        <f t="shared" ca="1" si="32"/>
        <v>0</v>
      </c>
      <c r="O25" s="67">
        <f ca="1">IFERROR(__xludf.DUMMYFUNCTION("IMPORTRANGE(""https://docs.google.com/spreadsheets/d/1-uDff_7J0KD5mKrp0Vvzr7lt3OU09vwQwhkpOPPYv2Y/edit?usp=sharing"",""งบพรบ!BY25"")"),0)</f>
        <v>0</v>
      </c>
      <c r="P25" s="67">
        <f t="shared" ca="1" si="33"/>
        <v>0</v>
      </c>
      <c r="Q25" s="68">
        <f t="shared" ca="1" si="34"/>
        <v>0</v>
      </c>
      <c r="R25" s="67">
        <f ca="1">IFERROR(__xludf.DUMMYFUNCTION("IMPORTRANGE(""https://docs.google.com/spreadsheets/d/1dQrvX0vEcN7Gu0fnZ0B5S90AeR19zth4XlExFBeExMY/edit?usp=sharing"",""แม่ฮ่องสอน!Q139"")"),0)</f>
        <v>0</v>
      </c>
      <c r="S25" s="67">
        <f ca="1">IFERROR(__xludf.DUMMYFUNCTION("IMPORTRANGE(""https://docs.google.com/spreadsheets/d/1dQrvX0vEcN7Gu0fnZ0B5S90AeR19zth4XlExFBeExMY/edit?usp=sharing"",""แม่ฮ่องสอน!R139"")"),0)</f>
        <v>0</v>
      </c>
      <c r="T25" s="67">
        <f ca="1">IFERROR(__xludf.DUMMYFUNCTION("IMPORTRANGE(""https://docs.google.com/spreadsheets/d/1dQrvX0vEcN7Gu0fnZ0B5S90AeR19zth4XlExFBeExMY/edit?usp=sharing"",""แม่ฮ่องสอน!S139"")"),0)</f>
        <v>0</v>
      </c>
      <c r="U25" s="68">
        <f t="shared" ca="1" si="36"/>
        <v>0</v>
      </c>
      <c r="V25" s="68">
        <f t="shared" ca="1" si="37"/>
        <v>0</v>
      </c>
      <c r="W25" s="78">
        <f ca="1">IFERROR(__xludf.DUMMYFUNCTION("IMPORTRANGE(""https://docs.google.com/spreadsheets/d/1dQrvX0vEcN7Gu0fnZ0B5S90AeR19zth4XlExFBeExMY/edit?usp=sharing"",""แม่ฮ่องสอน!J149"")"),0)</f>
        <v>0</v>
      </c>
      <c r="X25" s="78">
        <f ca="1">IFERROR(__xludf.DUMMYFUNCTION("IMPORTRANGE(""https://docs.google.com/spreadsheets/d/1dQrvX0vEcN7Gu0fnZ0B5S90AeR19zth4XlExFBeExMY/edit?usp=sharing"",""แม่ฮ่องสอน!I150"")"),0)</f>
        <v>0</v>
      </c>
      <c r="Y25" s="78">
        <f ca="1">IFERROR(__xludf.DUMMYFUNCTION("IMPORTRANGE(""https://docs.google.com/spreadsheets/d/1dQrvX0vEcN7Gu0fnZ0B5S90AeR19zth4XlExFBeExMY/edit?usp=sharing"",""แม่ฮ่องสอน!I151"")"),0)</f>
        <v>0</v>
      </c>
      <c r="Z25" s="78">
        <f ca="1">IFERROR(__xludf.DUMMYFUNCTION("IMPORTRANGE(""https://docs.google.com/spreadsheets/d/1dQrvX0vEcN7Gu0fnZ0B5S90AeR19zth4XlExFBeExMY/edit?usp=sharing"",""แม่ฮ่องสอน!J150"")"),0)</f>
        <v>0</v>
      </c>
      <c r="AA25" s="79">
        <f t="shared" ca="1" si="39"/>
        <v>0</v>
      </c>
      <c r="AB25" s="78">
        <f ca="1">IFERROR(__xludf.DUMMYFUNCTION("IMPORTRANGE(""https://docs.google.com/spreadsheets/d/1dQrvX0vEcN7Gu0fnZ0B5S90AeR19zth4XlExFBeExMY/edit?usp=sharing"",""แม่ฮ่องสอน!J151"")"),0)</f>
        <v>0</v>
      </c>
      <c r="AC25" s="79">
        <f t="shared" ca="1" si="40"/>
        <v>0</v>
      </c>
      <c r="AD25" s="78">
        <f ca="1">IFERROR(__xludf.DUMMYFUNCTION("IMPORTRANGE(""https://docs.google.com/spreadsheets/d/1dQrvX0vEcN7Gu0fnZ0B5S90AeR19zth4XlExFBeExMY/edit?usp=sharing"",""แม่ฮ่องสอน!I152"")"),0)</f>
        <v>0</v>
      </c>
      <c r="AE25" s="78">
        <f ca="1">IFERROR(__xludf.DUMMYFUNCTION("IMPORTRANGE(""https://docs.google.com/spreadsheets/d/1dQrvX0vEcN7Gu0fnZ0B5S90AeR19zth4XlExFBeExMY/edit?usp=sharing"",""แม่ฮ่องสอน!I153"")"),0)</f>
        <v>0</v>
      </c>
      <c r="AF25" s="78">
        <f ca="1">IFERROR(__xludf.DUMMYFUNCTION("IMPORTRANGE(""https://docs.google.com/spreadsheets/d/1dQrvX0vEcN7Gu0fnZ0B5S90AeR19zth4XlExFBeExMY/edit?usp=sharing"",""แม่ฮ่องสอน!J152"")"),0)</f>
        <v>0</v>
      </c>
      <c r="AG25" s="79">
        <f t="shared" ca="1" si="42"/>
        <v>0</v>
      </c>
      <c r="AH25" s="78">
        <f ca="1">IFERROR(__xludf.DUMMYFUNCTION("IMPORTRANGE(""https://docs.google.com/spreadsheets/d/1dQrvX0vEcN7Gu0fnZ0B5S90AeR19zth4XlExFBeExMY/edit?usp=sharing"",""แม่ฮ่องสอน!J153"")"),0)</f>
        <v>0</v>
      </c>
      <c r="AI25" s="79">
        <f t="shared" ca="1" si="43"/>
        <v>0</v>
      </c>
      <c r="AJ25" s="78">
        <f ca="1">IFERROR(__xludf.DUMMYFUNCTION("IMPORTRANGE(""https://docs.google.com/spreadsheets/d/1dQrvX0vEcN7Gu0fnZ0B5S90AeR19zth4XlExFBeExMY/edit?usp=sharing"",""แม่ฮ่องสอน!I154"")"),0)</f>
        <v>0</v>
      </c>
      <c r="AK25" s="78">
        <f ca="1">IFERROR(__xludf.DUMMYFUNCTION("IMPORTRANGE(""https://docs.google.com/spreadsheets/d/1dQrvX0vEcN7Gu0fnZ0B5S90AeR19zth4XlExFBeExMY/edit?usp=sharing"",""แม่ฮ่องสอน!J154"")"),0)</f>
        <v>0</v>
      </c>
      <c r="AL25" s="79">
        <f t="shared" ca="1" si="45"/>
        <v>0</v>
      </c>
    </row>
    <row r="26" spans="1:38" ht="24" customHeight="1" x14ac:dyDescent="0.3">
      <c r="A26" s="147">
        <v>13</v>
      </c>
      <c r="B26" s="148" t="s">
        <v>54</v>
      </c>
      <c r="C26" s="149">
        <f t="shared" ca="1" si="27"/>
        <v>164700</v>
      </c>
      <c r="D26" s="150">
        <f t="shared" ca="1" si="46"/>
        <v>164700</v>
      </c>
      <c r="E26" s="151">
        <f ca="1">IFERROR(__xludf.DUMMYFUNCTION("IMPORTRANGE(""https://docs.google.com/spreadsheets/d/1-uDff_7J0KD5mKrp0Vvzr7lt3OU09vwQwhkpOPPYv2Y/edit?usp=sharing"",""งบพรบ!BR26"")"),81600)</f>
        <v>81600</v>
      </c>
      <c r="F26" s="151">
        <f ca="1">IFERROR(__xludf.DUMMYFUNCTION("IMPORTRANGE(""https://docs.google.com/spreadsheets/d/1-uDff_7J0KD5mKrp0Vvzr7lt3OU09vwQwhkpOPPYv2Y/edit?usp=sharing"",""งบพรบ!BS26"")"),83100)</f>
        <v>83100</v>
      </c>
      <c r="G26" s="151">
        <f ca="1">IFERROR(__xludf.DUMMYFUNCTION("IMPORTRANGE(""https://docs.google.com/spreadsheets/d/1-uDff_7J0KD5mKrp0Vvzr7lt3OU09vwQwhkpOPPYv2Y/edit?usp=sharing"",""งบพรบ!BT26"")"),0)</f>
        <v>0</v>
      </c>
      <c r="H26" s="151">
        <f ca="1">IFERROR(__xludf.DUMMYFUNCTION("IMPORTRANGE(""https://docs.google.com/spreadsheets/d/1-uDff_7J0KD5mKrp0Vvzr7lt3OU09vwQwhkpOPPYv2Y/edit?usp=sharing"",""งบพรบ!BV26"")"),159700)</f>
        <v>159700</v>
      </c>
      <c r="I26" s="151">
        <f ca="1">IFERROR(__xludf.DUMMYFUNCTION("IMPORTRANGE(""https://docs.google.com/spreadsheets/d/1-uDff_7J0KD5mKrp0Vvzr7lt3OU09vwQwhkpOPPYv2Y/edit?usp=sharing"",""งบพรบ!BW26"")"),0)</f>
        <v>0</v>
      </c>
      <c r="J26" s="151">
        <f t="shared" ca="1" si="29"/>
        <v>150031.07999999999</v>
      </c>
      <c r="K26" s="154">
        <f t="shared" ca="1" si="30"/>
        <v>91.093551912568302</v>
      </c>
      <c r="L26" s="151">
        <f ca="1">IFERROR(__xludf.DUMMYFUNCTION("IMPORTRANGE(""https://docs.google.com/spreadsheets/d/1-uDff_7J0KD5mKrp0Vvzr7lt3OU09vwQwhkpOPPYv2Y/edit?usp=sharing"",""งบพรบ!BX26"")"),150031.08)</f>
        <v>150031.07999999999</v>
      </c>
      <c r="M26" s="68">
        <f t="shared" ca="1" si="31"/>
        <v>91.093551912568302</v>
      </c>
      <c r="N26" s="68">
        <f t="shared" ca="1" si="32"/>
        <v>93.945572949279892</v>
      </c>
      <c r="O26" s="67">
        <f ca="1">IFERROR(__xludf.DUMMYFUNCTION("IMPORTRANGE(""https://docs.google.com/spreadsheets/d/1-uDff_7J0KD5mKrp0Vvzr7lt3OU09vwQwhkpOPPYv2Y/edit?usp=sharing"",""งบพรบ!BY26"")"),0)</f>
        <v>0</v>
      </c>
      <c r="P26" s="67">
        <f t="shared" ca="1" si="33"/>
        <v>0</v>
      </c>
      <c r="Q26" s="68">
        <f t="shared" ca="1" si="34"/>
        <v>0</v>
      </c>
      <c r="R26" s="67">
        <f ca="1">IFERROR(__xludf.DUMMYFUNCTION("IMPORTRANGE(""https://docs.google.com/spreadsheets/d/1DY4XTNNwjluuxqdfdn6qvOSlMRrZqUtmYcZR0ttFiG4/edit?usp=sharing"",""ลำปาง!Q139"")"),434860)</f>
        <v>434860</v>
      </c>
      <c r="S26" s="67">
        <f ca="1">IFERROR(__xludf.DUMMYFUNCTION("IMPORTRANGE(""https://docs.google.com/spreadsheets/d/1DY4XTNNwjluuxqdfdn6qvOSlMRrZqUtmYcZR0ttFiG4/edit?usp=sharing"",""ลำปาง!R139"")"),434860)</f>
        <v>434860</v>
      </c>
      <c r="T26" s="67">
        <f ca="1">IFERROR(__xludf.DUMMYFUNCTION("IMPORTRANGE(""https://docs.google.com/spreadsheets/d/1DY4XTNNwjluuxqdfdn6qvOSlMRrZqUtmYcZR0ttFiG4/edit?usp=sharing"",""ลำปาง!S139"")"),8430)</f>
        <v>8430</v>
      </c>
      <c r="U26" s="68">
        <f t="shared" ca="1" si="36"/>
        <v>1.9385549372211746</v>
      </c>
      <c r="V26" s="68">
        <f t="shared" ca="1" si="37"/>
        <v>1.9385549372211746</v>
      </c>
      <c r="W26" s="78">
        <f ca="1">IFERROR(__xludf.DUMMYFUNCTION("IMPORTRANGE(""https://docs.google.com/spreadsheets/d/1DY4XTNNwjluuxqdfdn6qvOSlMRrZqUtmYcZR0ttFiG4/edit?usp=sharing"",""ลำปาง!J149"")"),0)</f>
        <v>0</v>
      </c>
      <c r="X26" s="78">
        <f ca="1">IFERROR(__xludf.DUMMYFUNCTION("IMPORTRANGE(""https://docs.google.com/spreadsheets/d/1DY4XTNNwjluuxqdfdn6qvOSlMRrZqUtmYcZR0ttFiG4/edit?usp=sharing"",""ลำปาง!I150"")"),30)</f>
        <v>30</v>
      </c>
      <c r="Y26" s="78">
        <f ca="1">IFERROR(__xludf.DUMMYFUNCTION("IMPORTRANGE(""https://docs.google.com/spreadsheets/d/1DY4XTNNwjluuxqdfdn6qvOSlMRrZqUtmYcZR0ttFiG4/edit?usp=sharing"",""ลำปาง!I151"")"),3)</f>
        <v>3</v>
      </c>
      <c r="Z26" s="78">
        <f ca="1">IFERROR(__xludf.DUMMYFUNCTION("IMPORTRANGE(""https://docs.google.com/spreadsheets/d/1DY4XTNNwjluuxqdfdn6qvOSlMRrZqUtmYcZR0ttFiG4/edit?usp=sharing"",""ลำปาง!J150"")"),30)</f>
        <v>30</v>
      </c>
      <c r="AA26" s="79">
        <f t="shared" ca="1" si="39"/>
        <v>100</v>
      </c>
      <c r="AB26" s="78">
        <f ca="1">IFERROR(__xludf.DUMMYFUNCTION("IMPORTRANGE(""https://docs.google.com/spreadsheets/d/1DY4XTNNwjluuxqdfdn6qvOSlMRrZqUtmYcZR0ttFiG4/edit?usp=sharing"",""ลำปาง!J151"")"),3)</f>
        <v>3</v>
      </c>
      <c r="AC26" s="79">
        <f t="shared" ca="1" si="40"/>
        <v>100</v>
      </c>
      <c r="AD26" s="78">
        <f ca="1">IFERROR(__xludf.DUMMYFUNCTION("IMPORTRANGE(""https://docs.google.com/spreadsheets/d/1DY4XTNNwjluuxqdfdn6qvOSlMRrZqUtmYcZR0ttFiG4/edit?usp=sharing"",""ลำปาง!I152"")"),40)</f>
        <v>40</v>
      </c>
      <c r="AE26" s="78">
        <f ca="1">IFERROR(__xludf.DUMMYFUNCTION("IMPORTRANGE(""https://docs.google.com/spreadsheets/d/1DY4XTNNwjluuxqdfdn6qvOSlMRrZqUtmYcZR0ttFiG4/edit?usp=sharing"",""ลำปาง!I153"")"),4)</f>
        <v>4</v>
      </c>
      <c r="AF26" s="78">
        <f ca="1">IFERROR(__xludf.DUMMYFUNCTION("IMPORTRANGE(""https://docs.google.com/spreadsheets/d/1DY4XTNNwjluuxqdfdn6qvOSlMRrZqUtmYcZR0ttFiG4/edit?usp=sharing"",""ลำปาง!J152"")"),40)</f>
        <v>40</v>
      </c>
      <c r="AG26" s="79">
        <f t="shared" ca="1" si="42"/>
        <v>100</v>
      </c>
      <c r="AH26" s="78">
        <f ca="1">IFERROR(__xludf.DUMMYFUNCTION("IMPORTRANGE(""https://docs.google.com/spreadsheets/d/1DY4XTNNwjluuxqdfdn6qvOSlMRrZqUtmYcZR0ttFiG4/edit?usp=sharing"",""ลำปาง!J153"")"),4)</f>
        <v>4</v>
      </c>
      <c r="AI26" s="79">
        <f t="shared" ca="1" si="43"/>
        <v>100</v>
      </c>
      <c r="AJ26" s="78">
        <f ca="1">IFERROR(__xludf.DUMMYFUNCTION("IMPORTRANGE(""https://docs.google.com/spreadsheets/d/1DY4XTNNwjluuxqdfdn6qvOSlMRrZqUtmYcZR0ttFiG4/edit?usp=sharing"",""ลำปาง!I154"")"),3)</f>
        <v>3</v>
      </c>
      <c r="AK26" s="78">
        <f ca="1">IFERROR(__xludf.DUMMYFUNCTION("IMPORTRANGE(""https://docs.google.com/spreadsheets/d/1DY4XTNNwjluuxqdfdn6qvOSlMRrZqUtmYcZR0ttFiG4/edit?usp=sharing"",""ลำปาง!J154"")"),0)</f>
        <v>0</v>
      </c>
      <c r="AL26" s="79">
        <f t="shared" ca="1" si="45"/>
        <v>0</v>
      </c>
    </row>
    <row r="27" spans="1:38" ht="24" customHeight="1" x14ac:dyDescent="0.3">
      <c r="A27" s="147">
        <v>14</v>
      </c>
      <c r="B27" s="148" t="s">
        <v>55</v>
      </c>
      <c r="C27" s="149">
        <f t="shared" ca="1" si="27"/>
        <v>0</v>
      </c>
      <c r="D27" s="150">
        <f t="shared" ca="1" si="46"/>
        <v>0</v>
      </c>
      <c r="E27" s="151">
        <f ca="1">IFERROR(__xludf.DUMMYFUNCTION("IMPORTRANGE(""https://docs.google.com/spreadsheets/d/1-uDff_7J0KD5mKrp0Vvzr7lt3OU09vwQwhkpOPPYv2Y/edit?usp=sharing"",""งบพรบ!BR27"")"),0)</f>
        <v>0</v>
      </c>
      <c r="F27" s="151">
        <f ca="1">IFERROR(__xludf.DUMMYFUNCTION("IMPORTRANGE(""https://docs.google.com/spreadsheets/d/1-uDff_7J0KD5mKrp0Vvzr7lt3OU09vwQwhkpOPPYv2Y/edit?usp=sharing"",""งบพรบ!BS27"")"),0)</f>
        <v>0</v>
      </c>
      <c r="G27" s="151">
        <f ca="1">IFERROR(__xludf.DUMMYFUNCTION("IMPORTRANGE(""https://docs.google.com/spreadsheets/d/1-uDff_7J0KD5mKrp0Vvzr7lt3OU09vwQwhkpOPPYv2Y/edit?usp=sharing"",""งบพรบ!BT27"")"),0)</f>
        <v>0</v>
      </c>
      <c r="H27" s="151">
        <f ca="1">IFERROR(__xludf.DUMMYFUNCTION("IMPORTRANGE(""https://docs.google.com/spreadsheets/d/1-uDff_7J0KD5mKrp0Vvzr7lt3OU09vwQwhkpOPPYv2Y/edit?usp=sharing"",""งบพรบ!BV27"")"),0)</f>
        <v>0</v>
      </c>
      <c r="I27" s="151">
        <f ca="1">IFERROR(__xludf.DUMMYFUNCTION("IMPORTRANGE(""https://docs.google.com/spreadsheets/d/1-uDff_7J0KD5mKrp0Vvzr7lt3OU09vwQwhkpOPPYv2Y/edit?usp=sharing"",""งบพรบ!BW27"")"),0)</f>
        <v>0</v>
      </c>
      <c r="J27" s="151">
        <f t="shared" ca="1" si="29"/>
        <v>0</v>
      </c>
      <c r="K27" s="154">
        <f t="shared" ca="1" si="30"/>
        <v>0</v>
      </c>
      <c r="L27" s="151">
        <f ca="1">IFERROR(__xludf.DUMMYFUNCTION("IMPORTRANGE(""https://docs.google.com/spreadsheets/d/1-uDff_7J0KD5mKrp0Vvzr7lt3OU09vwQwhkpOPPYv2Y/edit?usp=sharing"",""งบพรบ!BX27"")"),0)</f>
        <v>0</v>
      </c>
      <c r="M27" s="68">
        <f t="shared" ca="1" si="31"/>
        <v>0</v>
      </c>
      <c r="N27" s="68">
        <f t="shared" ca="1" si="32"/>
        <v>0</v>
      </c>
      <c r="O27" s="67">
        <f ca="1">IFERROR(__xludf.DUMMYFUNCTION("IMPORTRANGE(""https://docs.google.com/spreadsheets/d/1-uDff_7J0KD5mKrp0Vvzr7lt3OU09vwQwhkpOPPYv2Y/edit?usp=sharing"",""งบพรบ!BY27"")"),0)</f>
        <v>0</v>
      </c>
      <c r="P27" s="67">
        <f t="shared" ca="1" si="33"/>
        <v>0</v>
      </c>
      <c r="Q27" s="68">
        <f t="shared" ca="1" si="34"/>
        <v>0</v>
      </c>
      <c r="R27" s="67">
        <f ca="1">IFERROR(__xludf.DUMMYFUNCTION("IMPORTRANGE(""https://docs.google.com/spreadsheets/d/1ICwG78r0OFT8biBlxnBF8r7she7gNSzOvJ958PWT09c/edit?usp=sharing"",""ลำพูน!Q139"")"),0)</f>
        <v>0</v>
      </c>
      <c r="S27" s="67">
        <f ca="1">IFERROR(__xludf.DUMMYFUNCTION("IMPORTRANGE(""https://docs.google.com/spreadsheets/d/1ICwG78r0OFT8biBlxnBF8r7she7gNSzOvJ958PWT09c/edit?usp=sharing"",""ลำพูน!R139"")"),0)</f>
        <v>0</v>
      </c>
      <c r="T27" s="67">
        <f ca="1">IFERROR(__xludf.DUMMYFUNCTION("IMPORTRANGE(""https://docs.google.com/spreadsheets/d/1ICwG78r0OFT8biBlxnBF8r7she7gNSzOvJ958PWT09c/edit?usp=sharing"",""ลำพูน!S139"")"),0)</f>
        <v>0</v>
      </c>
      <c r="U27" s="68">
        <f t="shared" ca="1" si="36"/>
        <v>0</v>
      </c>
      <c r="V27" s="68">
        <f t="shared" ca="1" si="37"/>
        <v>0</v>
      </c>
      <c r="W27" s="78">
        <f ca="1">IFERROR(__xludf.DUMMYFUNCTION("IMPORTRANGE(""https://docs.google.com/spreadsheets/d/1ICwG78r0OFT8biBlxnBF8r7she7gNSzOvJ958PWT09c/edit?usp=sharing"",""ลำพูน!J149"")"),0)</f>
        <v>0</v>
      </c>
      <c r="X27" s="78">
        <f ca="1">IFERROR(__xludf.DUMMYFUNCTION("IMPORTRANGE(""https://docs.google.com/spreadsheets/d/1ICwG78r0OFT8biBlxnBF8r7she7gNSzOvJ958PWT09c/edit?usp=sharing"",""ลำพูน!I150"")"),0)</f>
        <v>0</v>
      </c>
      <c r="Y27" s="78">
        <f ca="1">IFERROR(__xludf.DUMMYFUNCTION("IMPORTRANGE(""https://docs.google.com/spreadsheets/d/1ICwG78r0OFT8biBlxnBF8r7she7gNSzOvJ958PWT09c/edit?usp=sharing"",""ลำพูน!I151"")"),0)</f>
        <v>0</v>
      </c>
      <c r="Z27" s="78">
        <f ca="1">IFERROR(__xludf.DUMMYFUNCTION("IMPORTRANGE(""https://docs.google.com/spreadsheets/d/1ICwG78r0OFT8biBlxnBF8r7she7gNSzOvJ958PWT09c/edit?usp=sharing"",""ลำพูน!J150"")"),0)</f>
        <v>0</v>
      </c>
      <c r="AA27" s="79">
        <f t="shared" ca="1" si="39"/>
        <v>0</v>
      </c>
      <c r="AB27" s="78">
        <f ca="1">IFERROR(__xludf.DUMMYFUNCTION("IMPORTRANGE(""https://docs.google.com/spreadsheets/d/1ICwG78r0OFT8biBlxnBF8r7she7gNSzOvJ958PWT09c/edit?usp=sharing"",""ลำพูน!J151"")"),0)</f>
        <v>0</v>
      </c>
      <c r="AC27" s="79">
        <f t="shared" ca="1" si="40"/>
        <v>0</v>
      </c>
      <c r="AD27" s="78">
        <f ca="1">IFERROR(__xludf.DUMMYFUNCTION("IMPORTRANGE(""https://docs.google.com/spreadsheets/d/1ICwG78r0OFT8biBlxnBF8r7she7gNSzOvJ958PWT09c/edit?usp=sharing"",""ลำพูน!I152"")"),0)</f>
        <v>0</v>
      </c>
      <c r="AE27" s="78">
        <f ca="1">IFERROR(__xludf.DUMMYFUNCTION("IMPORTRANGE(""https://docs.google.com/spreadsheets/d/1ICwG78r0OFT8biBlxnBF8r7she7gNSzOvJ958PWT09c/edit?usp=sharing"",""ลำพูน!I153"")"),0)</f>
        <v>0</v>
      </c>
      <c r="AF27" s="78">
        <f ca="1">IFERROR(__xludf.DUMMYFUNCTION("IMPORTRANGE(""https://docs.google.com/spreadsheets/d/1ICwG78r0OFT8biBlxnBF8r7she7gNSzOvJ958PWT09c/edit?usp=sharing"",""ลำพูน!J152"")"),0)</f>
        <v>0</v>
      </c>
      <c r="AG27" s="79">
        <f t="shared" ca="1" si="42"/>
        <v>0</v>
      </c>
      <c r="AH27" s="78">
        <f ca="1">IFERROR(__xludf.DUMMYFUNCTION("IMPORTRANGE(""https://docs.google.com/spreadsheets/d/1ICwG78r0OFT8biBlxnBF8r7she7gNSzOvJ958PWT09c/edit?usp=sharing"",""ลำพูน!J153"")"),0)</f>
        <v>0</v>
      </c>
      <c r="AI27" s="79">
        <f t="shared" ca="1" si="43"/>
        <v>0</v>
      </c>
      <c r="AJ27" s="78">
        <f ca="1">IFERROR(__xludf.DUMMYFUNCTION("IMPORTRANGE(""https://docs.google.com/spreadsheets/d/1ICwG78r0OFT8biBlxnBF8r7she7gNSzOvJ958PWT09c/edit?usp=sharing"",""ลำพูน!I154"")"),0)</f>
        <v>0</v>
      </c>
      <c r="AK27" s="78">
        <f ca="1">IFERROR(__xludf.DUMMYFUNCTION("IMPORTRANGE(""https://docs.google.com/spreadsheets/d/1ICwG78r0OFT8biBlxnBF8r7she7gNSzOvJ958PWT09c/edit?usp=sharing"",""ลำพูน!J154"")"),0)</f>
        <v>0</v>
      </c>
      <c r="AL27" s="79">
        <f t="shared" ca="1" si="45"/>
        <v>0</v>
      </c>
    </row>
    <row r="28" spans="1:38" ht="24" customHeight="1" x14ac:dyDescent="0.3">
      <c r="A28" s="147">
        <v>15</v>
      </c>
      <c r="B28" s="148" t="s">
        <v>56</v>
      </c>
      <c r="C28" s="149">
        <f t="shared" ca="1" si="27"/>
        <v>0</v>
      </c>
      <c r="D28" s="150">
        <f t="shared" ca="1" si="46"/>
        <v>0</v>
      </c>
      <c r="E28" s="151">
        <f ca="1">IFERROR(__xludf.DUMMYFUNCTION("IMPORTRANGE(""https://docs.google.com/spreadsheets/d/1-uDff_7J0KD5mKrp0Vvzr7lt3OU09vwQwhkpOPPYv2Y/edit?usp=sharing"",""งบพรบ!BR28"")"),0)</f>
        <v>0</v>
      </c>
      <c r="F28" s="151">
        <f ca="1">IFERROR(__xludf.DUMMYFUNCTION("IMPORTRANGE(""https://docs.google.com/spreadsheets/d/1-uDff_7J0KD5mKrp0Vvzr7lt3OU09vwQwhkpOPPYv2Y/edit?usp=sharing"",""งบพรบ!BS28"")"),0)</f>
        <v>0</v>
      </c>
      <c r="G28" s="151">
        <f ca="1">IFERROR(__xludf.DUMMYFUNCTION("IMPORTRANGE(""https://docs.google.com/spreadsheets/d/1-uDff_7J0KD5mKrp0Vvzr7lt3OU09vwQwhkpOPPYv2Y/edit?usp=sharing"",""งบพรบ!BT28"")"),0)</f>
        <v>0</v>
      </c>
      <c r="H28" s="151">
        <f ca="1">IFERROR(__xludf.DUMMYFUNCTION("IMPORTRANGE(""https://docs.google.com/spreadsheets/d/1-uDff_7J0KD5mKrp0Vvzr7lt3OU09vwQwhkpOPPYv2Y/edit?usp=sharing"",""งบพรบ!BV28"")"),0)</f>
        <v>0</v>
      </c>
      <c r="I28" s="151">
        <f ca="1">IFERROR(__xludf.DUMMYFUNCTION("IMPORTRANGE(""https://docs.google.com/spreadsheets/d/1-uDff_7J0KD5mKrp0Vvzr7lt3OU09vwQwhkpOPPYv2Y/edit?usp=sharing"",""งบพรบ!BW28"")"),0)</f>
        <v>0</v>
      </c>
      <c r="J28" s="151">
        <f t="shared" ca="1" si="29"/>
        <v>0</v>
      </c>
      <c r="K28" s="154">
        <f t="shared" ca="1" si="30"/>
        <v>0</v>
      </c>
      <c r="L28" s="151">
        <f ca="1">IFERROR(__xludf.DUMMYFUNCTION("IMPORTRANGE(""https://docs.google.com/spreadsheets/d/1-uDff_7J0KD5mKrp0Vvzr7lt3OU09vwQwhkpOPPYv2Y/edit?usp=sharing"",""งบพรบ!BX28"")"),0)</f>
        <v>0</v>
      </c>
      <c r="M28" s="68">
        <f t="shared" ca="1" si="31"/>
        <v>0</v>
      </c>
      <c r="N28" s="68">
        <f t="shared" ca="1" si="32"/>
        <v>0</v>
      </c>
      <c r="O28" s="67">
        <f ca="1">IFERROR(__xludf.DUMMYFUNCTION("IMPORTRANGE(""https://docs.google.com/spreadsheets/d/1-uDff_7J0KD5mKrp0Vvzr7lt3OU09vwQwhkpOPPYv2Y/edit?usp=sharing"",""งบพรบ!BY28"")"),0)</f>
        <v>0</v>
      </c>
      <c r="P28" s="67">
        <f t="shared" ca="1" si="33"/>
        <v>0</v>
      </c>
      <c r="Q28" s="68">
        <f t="shared" ca="1" si="34"/>
        <v>0</v>
      </c>
      <c r="R28" s="67">
        <f ca="1">IFERROR(__xludf.DUMMYFUNCTION("IMPORTRANGE(""https://docs.google.com/spreadsheets/d/1B0f2xJpZUC6Z0xXnqKlZtEPzsf6L84eP1r1Q15seqRM/edit?usp=sharing"",""สุโขทัย!Q139"")"),0)</f>
        <v>0</v>
      </c>
      <c r="S28" s="67">
        <f ca="1">IFERROR(__xludf.DUMMYFUNCTION("IMPORTRANGE(""https://docs.google.com/spreadsheets/d/1B0f2xJpZUC6Z0xXnqKlZtEPzsf6L84eP1r1Q15seqRM/edit?usp=sharing"",""สุโขทัย!R139"")"),0)</f>
        <v>0</v>
      </c>
      <c r="T28" s="67">
        <f ca="1">IFERROR(__xludf.DUMMYFUNCTION("IMPORTRANGE(""https://docs.google.com/spreadsheets/d/1B0f2xJpZUC6Z0xXnqKlZtEPzsf6L84eP1r1Q15seqRM/edit?usp=sharing"",""สุโขทัย!S139"")"),0)</f>
        <v>0</v>
      </c>
      <c r="U28" s="68">
        <f t="shared" ca="1" si="36"/>
        <v>0</v>
      </c>
      <c r="V28" s="68">
        <f t="shared" ca="1" si="37"/>
        <v>0</v>
      </c>
      <c r="W28" s="78">
        <f ca="1">IFERROR(__xludf.DUMMYFUNCTION("IMPORTRANGE(""https://docs.google.com/spreadsheets/d/1B0f2xJpZUC6Z0xXnqKlZtEPzsf6L84eP1r1Q15seqRM/edit?usp=sharing"",""สุโขทัย!J149"")"),0)</f>
        <v>0</v>
      </c>
      <c r="X28" s="78">
        <f ca="1">IFERROR(__xludf.DUMMYFUNCTION("IMPORTRANGE(""https://docs.google.com/spreadsheets/d/1B0f2xJpZUC6Z0xXnqKlZtEPzsf6L84eP1r1Q15seqRM/edit?usp=sharing"",""สุโขทัย!I150"")"),0)</f>
        <v>0</v>
      </c>
      <c r="Y28" s="78">
        <f ca="1">IFERROR(__xludf.DUMMYFUNCTION("IMPORTRANGE(""https://docs.google.com/spreadsheets/d/1B0f2xJpZUC6Z0xXnqKlZtEPzsf6L84eP1r1Q15seqRM/edit?usp=sharing"",""สุโขทัย!I151"")"),0)</f>
        <v>0</v>
      </c>
      <c r="Z28" s="78">
        <f ca="1">IFERROR(__xludf.DUMMYFUNCTION("IMPORTRANGE(""https://docs.google.com/spreadsheets/d/1B0f2xJpZUC6Z0xXnqKlZtEPzsf6L84eP1r1Q15seqRM/edit?usp=sharing"",""สุโขทัย!J150"")"),0)</f>
        <v>0</v>
      </c>
      <c r="AA28" s="79">
        <f t="shared" ca="1" si="39"/>
        <v>0</v>
      </c>
      <c r="AB28" s="78">
        <f ca="1">IFERROR(__xludf.DUMMYFUNCTION("IMPORTRANGE(""https://docs.google.com/spreadsheets/d/1B0f2xJpZUC6Z0xXnqKlZtEPzsf6L84eP1r1Q15seqRM/edit?usp=sharing"",""สุโขทัย!J151"")"),0)</f>
        <v>0</v>
      </c>
      <c r="AC28" s="79">
        <f t="shared" ca="1" si="40"/>
        <v>0</v>
      </c>
      <c r="AD28" s="78">
        <f ca="1">IFERROR(__xludf.DUMMYFUNCTION("IMPORTRANGE(""https://docs.google.com/spreadsheets/d/1B0f2xJpZUC6Z0xXnqKlZtEPzsf6L84eP1r1Q15seqRM/edit?usp=sharing"",""สุโขทัย!I152"")"),0)</f>
        <v>0</v>
      </c>
      <c r="AE28" s="78">
        <f ca="1">IFERROR(__xludf.DUMMYFUNCTION("IMPORTRANGE(""https://docs.google.com/spreadsheets/d/1B0f2xJpZUC6Z0xXnqKlZtEPzsf6L84eP1r1Q15seqRM/edit?usp=sharing"",""สุโขทัย!I153"")"),0)</f>
        <v>0</v>
      </c>
      <c r="AF28" s="78">
        <f ca="1">IFERROR(__xludf.DUMMYFUNCTION("IMPORTRANGE(""https://docs.google.com/spreadsheets/d/1B0f2xJpZUC6Z0xXnqKlZtEPzsf6L84eP1r1Q15seqRM/edit?usp=sharing"",""สุโขทัย!J152"")"),0)</f>
        <v>0</v>
      </c>
      <c r="AG28" s="79">
        <f t="shared" ca="1" si="42"/>
        <v>0</v>
      </c>
      <c r="AH28" s="78">
        <f ca="1">IFERROR(__xludf.DUMMYFUNCTION("IMPORTRANGE(""https://docs.google.com/spreadsheets/d/1B0f2xJpZUC6Z0xXnqKlZtEPzsf6L84eP1r1Q15seqRM/edit?usp=sharing"",""สุโขทัย!J153"")"),0)</f>
        <v>0</v>
      </c>
      <c r="AI28" s="79">
        <f t="shared" ca="1" si="43"/>
        <v>0</v>
      </c>
      <c r="AJ28" s="78">
        <f ca="1">IFERROR(__xludf.DUMMYFUNCTION("IMPORTRANGE(""https://docs.google.com/spreadsheets/d/1B0f2xJpZUC6Z0xXnqKlZtEPzsf6L84eP1r1Q15seqRM/edit?usp=sharing"",""สุโขทัย!I154"")"),0)</f>
        <v>0</v>
      </c>
      <c r="AK28" s="78">
        <f ca="1">IFERROR(__xludf.DUMMYFUNCTION("IMPORTRANGE(""https://docs.google.com/spreadsheets/d/1B0f2xJpZUC6Z0xXnqKlZtEPzsf6L84eP1r1Q15seqRM/edit?usp=sharing"",""สุโขทัย!J154"")"),0)</f>
        <v>0</v>
      </c>
      <c r="AL28" s="79">
        <f t="shared" ca="1" si="45"/>
        <v>0</v>
      </c>
    </row>
    <row r="29" spans="1:38" ht="24" customHeight="1" x14ac:dyDescent="0.3">
      <c r="A29" s="147">
        <v>16</v>
      </c>
      <c r="B29" s="148" t="s">
        <v>57</v>
      </c>
      <c r="C29" s="149">
        <f t="shared" ca="1" si="27"/>
        <v>136400</v>
      </c>
      <c r="D29" s="150">
        <f t="shared" ca="1" si="46"/>
        <v>136400</v>
      </c>
      <c r="E29" s="151">
        <f ca="1">IFERROR(__xludf.DUMMYFUNCTION("IMPORTRANGE(""https://docs.google.com/spreadsheets/d/1-uDff_7J0KD5mKrp0Vvzr7lt3OU09vwQwhkpOPPYv2Y/edit?usp=sharing"",""งบพรบ!BR29"")"),86500)</f>
        <v>86500</v>
      </c>
      <c r="F29" s="151">
        <f ca="1">IFERROR(__xludf.DUMMYFUNCTION("IMPORTRANGE(""https://docs.google.com/spreadsheets/d/1-uDff_7J0KD5mKrp0Vvzr7lt3OU09vwQwhkpOPPYv2Y/edit?usp=sharing"",""งบพรบ!BS29"")"),49900)</f>
        <v>49900</v>
      </c>
      <c r="G29" s="151">
        <f ca="1">IFERROR(__xludf.DUMMYFUNCTION("IMPORTRANGE(""https://docs.google.com/spreadsheets/d/1-uDff_7J0KD5mKrp0Vvzr7lt3OU09vwQwhkpOPPYv2Y/edit?usp=sharing"",""งบพรบ!BT29"")"),0)</f>
        <v>0</v>
      </c>
      <c r="H29" s="151">
        <f ca="1">IFERROR(__xludf.DUMMYFUNCTION("IMPORTRANGE(""https://docs.google.com/spreadsheets/d/1-uDff_7J0KD5mKrp0Vvzr7lt3OU09vwQwhkpOPPYv2Y/edit?usp=sharing"",""งบพรบ!BV29"")"),131400)</f>
        <v>131400</v>
      </c>
      <c r="I29" s="151">
        <f ca="1">IFERROR(__xludf.DUMMYFUNCTION("IMPORTRANGE(""https://docs.google.com/spreadsheets/d/1-uDff_7J0KD5mKrp0Vvzr7lt3OU09vwQwhkpOPPYv2Y/edit?usp=sharing"",""งบพรบ!BW29"")"),0)</f>
        <v>0</v>
      </c>
      <c r="J29" s="151">
        <f t="shared" ca="1" si="29"/>
        <v>114277.63</v>
      </c>
      <c r="K29" s="154">
        <f t="shared" ca="1" si="30"/>
        <v>83.78125366568915</v>
      </c>
      <c r="L29" s="151">
        <f ca="1">IFERROR(__xludf.DUMMYFUNCTION("IMPORTRANGE(""https://docs.google.com/spreadsheets/d/1-uDff_7J0KD5mKrp0Vvzr7lt3OU09vwQwhkpOPPYv2Y/edit?usp=sharing"",""งบพรบ!BX29"")"),114277.63)</f>
        <v>114277.63</v>
      </c>
      <c r="M29" s="68">
        <f t="shared" ca="1" si="31"/>
        <v>83.78125366568915</v>
      </c>
      <c r="N29" s="68">
        <f t="shared" ca="1" si="32"/>
        <v>86.969277016742765</v>
      </c>
      <c r="O29" s="67">
        <f ca="1">IFERROR(__xludf.DUMMYFUNCTION("IMPORTRANGE(""https://docs.google.com/spreadsheets/d/1-uDff_7J0KD5mKrp0Vvzr7lt3OU09vwQwhkpOPPYv2Y/edit?usp=sharing"",""งบพรบ!BY29"")"),0)</f>
        <v>0</v>
      </c>
      <c r="P29" s="67">
        <f t="shared" ca="1" si="33"/>
        <v>0</v>
      </c>
      <c r="Q29" s="68">
        <f t="shared" ca="1" si="34"/>
        <v>0</v>
      </c>
      <c r="R29" s="67">
        <f ca="1">IFERROR(__xludf.DUMMYFUNCTION("IMPORTRANGE(""https://docs.google.com/spreadsheets/d/1v0b9pFQCsKUVExMei7AgY2yQkdeNQvtOssygGsXbiKo/edit?usp=sharing"",""อุตรดิตถ์!Q139"")"),174860)</f>
        <v>174860</v>
      </c>
      <c r="S29" s="67">
        <f ca="1">IFERROR(__xludf.DUMMYFUNCTION("IMPORTRANGE(""https://docs.google.com/spreadsheets/d/1v0b9pFQCsKUVExMei7AgY2yQkdeNQvtOssygGsXbiKo/edit?usp=sharing"",""อุตรดิตถ์!R139"")"),174860)</f>
        <v>174860</v>
      </c>
      <c r="T29" s="67">
        <f ca="1">IFERROR(__xludf.DUMMYFUNCTION("IMPORTRANGE(""https://docs.google.com/spreadsheets/d/1v0b9pFQCsKUVExMei7AgY2yQkdeNQvtOssygGsXbiKo/edit?usp=sharing"",""อุตรดิตถ์!S139"")"),10305)</f>
        <v>10305</v>
      </c>
      <c r="U29" s="68">
        <f t="shared" ca="1" si="36"/>
        <v>5.8932860574173622</v>
      </c>
      <c r="V29" s="68">
        <f t="shared" ca="1" si="37"/>
        <v>5.8932860574173622</v>
      </c>
      <c r="W29" s="78">
        <f ca="1">IFERROR(__xludf.DUMMYFUNCTION("IMPORTRANGE(""https://docs.google.com/spreadsheets/d/1v0b9pFQCsKUVExMei7AgY2yQkdeNQvtOssygGsXbiKo/edit?usp=sharing"",""อุตรดิตถ์!J149"")"),0)</f>
        <v>0</v>
      </c>
      <c r="X29" s="78">
        <f ca="1">IFERROR(__xludf.DUMMYFUNCTION("IMPORTRANGE(""https://docs.google.com/spreadsheets/d/1v0b9pFQCsKUVExMei7AgY2yQkdeNQvtOssygGsXbiKo/edit?usp=sharing"",""อุตรดิตถ์!I150"")"),10)</f>
        <v>10</v>
      </c>
      <c r="Y29" s="78">
        <f ca="1">IFERROR(__xludf.DUMMYFUNCTION("IMPORTRANGE(""https://docs.google.com/spreadsheets/d/1v0b9pFQCsKUVExMei7AgY2yQkdeNQvtOssygGsXbiKo/edit?usp=sharing"",""อุตรดิตถ์!I151"")"),1)</f>
        <v>1</v>
      </c>
      <c r="Z29" s="78">
        <f ca="1">IFERROR(__xludf.DUMMYFUNCTION("IMPORTRANGE(""https://docs.google.com/spreadsheets/d/1v0b9pFQCsKUVExMei7AgY2yQkdeNQvtOssygGsXbiKo/edit?usp=sharing"",""อุตรดิตถ์!J150"")"),10)</f>
        <v>10</v>
      </c>
      <c r="AA29" s="79">
        <f t="shared" ca="1" si="39"/>
        <v>100</v>
      </c>
      <c r="AB29" s="78">
        <f ca="1">IFERROR(__xludf.DUMMYFUNCTION("IMPORTRANGE(""https://docs.google.com/spreadsheets/d/1v0b9pFQCsKUVExMei7AgY2yQkdeNQvtOssygGsXbiKo/edit?usp=sharing"",""อุตรดิตถ์!J151"")"),1)</f>
        <v>1</v>
      </c>
      <c r="AC29" s="79">
        <f t="shared" ca="1" si="40"/>
        <v>100</v>
      </c>
      <c r="AD29" s="78">
        <f ca="1">IFERROR(__xludf.DUMMYFUNCTION("IMPORTRANGE(""https://docs.google.com/spreadsheets/d/1v0b9pFQCsKUVExMei7AgY2yQkdeNQvtOssygGsXbiKo/edit?usp=sharing"",""อุตรดิตถ์!I152"")"),20)</f>
        <v>20</v>
      </c>
      <c r="AE29" s="78">
        <f ca="1">IFERROR(__xludf.DUMMYFUNCTION("IMPORTRANGE(""https://docs.google.com/spreadsheets/d/1v0b9pFQCsKUVExMei7AgY2yQkdeNQvtOssygGsXbiKo/edit?usp=sharing"",""อุตรดิตถ์!I153"")"),2)</f>
        <v>2</v>
      </c>
      <c r="AF29" s="78">
        <f ca="1">IFERROR(__xludf.DUMMYFUNCTION("IMPORTRANGE(""https://docs.google.com/spreadsheets/d/1v0b9pFQCsKUVExMei7AgY2yQkdeNQvtOssygGsXbiKo/edit?usp=sharing"",""อุตรดิตถ์!J152"")"),20)</f>
        <v>20</v>
      </c>
      <c r="AG29" s="79">
        <f t="shared" ca="1" si="42"/>
        <v>100</v>
      </c>
      <c r="AH29" s="78">
        <f ca="1">IFERROR(__xludf.DUMMYFUNCTION("IMPORTRANGE(""https://docs.google.com/spreadsheets/d/1v0b9pFQCsKUVExMei7AgY2yQkdeNQvtOssygGsXbiKo/edit?usp=sharing"",""อุตรดิตถ์!J153"")"),2)</f>
        <v>2</v>
      </c>
      <c r="AI29" s="79">
        <f t="shared" ca="1" si="43"/>
        <v>100</v>
      </c>
      <c r="AJ29" s="78">
        <f ca="1">IFERROR(__xludf.DUMMYFUNCTION("IMPORTRANGE(""https://docs.google.com/spreadsheets/d/1v0b9pFQCsKUVExMei7AgY2yQkdeNQvtOssygGsXbiKo/edit?usp=sharing"",""อุตรดิตถ์!I154"")"),1)</f>
        <v>1</v>
      </c>
      <c r="AK29" s="78">
        <f ca="1">IFERROR(__xludf.DUMMYFUNCTION("IMPORTRANGE(""https://docs.google.com/spreadsheets/d/1v0b9pFQCsKUVExMei7AgY2yQkdeNQvtOssygGsXbiKo/edit?usp=sharing"",""อุตรดิตถ์!J154"")"),0)</f>
        <v>0</v>
      </c>
      <c r="AL29" s="79">
        <f t="shared" ca="1" si="45"/>
        <v>0</v>
      </c>
    </row>
    <row r="30" spans="1:38" ht="24" customHeight="1" x14ac:dyDescent="0.3">
      <c r="A30" s="155">
        <v>17</v>
      </c>
      <c r="B30" s="156" t="s">
        <v>58</v>
      </c>
      <c r="C30" s="157">
        <f t="shared" ca="1" si="27"/>
        <v>153900</v>
      </c>
      <c r="D30" s="158">
        <f t="shared" ca="1" si="46"/>
        <v>153900</v>
      </c>
      <c r="E30" s="159">
        <f ca="1">IFERROR(__xludf.DUMMYFUNCTION("IMPORTRANGE(""https://docs.google.com/spreadsheets/d/1-uDff_7J0KD5mKrp0Vvzr7lt3OU09vwQwhkpOPPYv2Y/edit?usp=sharing"",""งบพรบ!BR30"")"),79100)</f>
        <v>79100</v>
      </c>
      <c r="F30" s="159">
        <f ca="1">IFERROR(__xludf.DUMMYFUNCTION("IMPORTRANGE(""https://docs.google.com/spreadsheets/d/1-uDff_7J0KD5mKrp0Vvzr7lt3OU09vwQwhkpOPPYv2Y/edit?usp=sharing"",""งบพรบ!BS30"")"),74800)</f>
        <v>74800</v>
      </c>
      <c r="G30" s="159">
        <f ca="1">IFERROR(__xludf.DUMMYFUNCTION("IMPORTRANGE(""https://docs.google.com/spreadsheets/d/1-uDff_7J0KD5mKrp0Vvzr7lt3OU09vwQwhkpOPPYv2Y/edit?usp=sharing"",""งบพรบ!BT30"")"),0)</f>
        <v>0</v>
      </c>
      <c r="H30" s="159">
        <f ca="1">IFERROR(__xludf.DUMMYFUNCTION("IMPORTRANGE(""https://docs.google.com/spreadsheets/d/1-uDff_7J0KD5mKrp0Vvzr7lt3OU09vwQwhkpOPPYv2Y/edit?usp=sharing"",""งบพรบ!BV30"")"),148900)</f>
        <v>148900</v>
      </c>
      <c r="I30" s="159">
        <f ca="1">IFERROR(__xludf.DUMMYFUNCTION("IMPORTRANGE(""https://docs.google.com/spreadsheets/d/1-uDff_7J0KD5mKrp0Vvzr7lt3OU09vwQwhkpOPPYv2Y/edit?usp=sharing"",""งบพรบ!BW30"")"),0)</f>
        <v>0</v>
      </c>
      <c r="J30" s="159">
        <f t="shared" ca="1" si="29"/>
        <v>116645.9</v>
      </c>
      <c r="K30" s="160">
        <f t="shared" ca="1" si="30"/>
        <v>75.793307342430154</v>
      </c>
      <c r="L30" s="159">
        <f ca="1">IFERROR(__xludf.DUMMYFUNCTION("IMPORTRANGE(""https://docs.google.com/spreadsheets/d/1-uDff_7J0KD5mKrp0Vvzr7lt3OU09vwQwhkpOPPYv2Y/edit?usp=sharing"",""งบพรบ!BX30"")"),116645.9)</f>
        <v>116645.9</v>
      </c>
      <c r="M30" s="89">
        <f t="shared" ca="1" si="31"/>
        <v>75.793307342430154</v>
      </c>
      <c r="N30" s="89">
        <f t="shared" ca="1" si="32"/>
        <v>78.338415043653455</v>
      </c>
      <c r="O30" s="88">
        <f ca="1">IFERROR(__xludf.DUMMYFUNCTION("IMPORTRANGE(""https://docs.google.com/spreadsheets/d/1-uDff_7J0KD5mKrp0Vvzr7lt3OU09vwQwhkpOPPYv2Y/edit?usp=sharing"",""งบพรบ!BY30"")"),0)</f>
        <v>0</v>
      </c>
      <c r="P30" s="88">
        <f t="shared" ca="1" si="33"/>
        <v>0</v>
      </c>
      <c r="Q30" s="89">
        <f t="shared" ca="1" si="34"/>
        <v>0</v>
      </c>
      <c r="R30" s="88">
        <f ca="1">IFERROR(__xludf.DUMMYFUNCTION("IMPORTRANGE(""https://docs.google.com/spreadsheets/d/1UsNK1e-WWiCo2PvGqdNfdme4m17_Ezd3J69EeeiQPD0/edit?usp=sharing"",""อุทัยธานี!Q139"")"),309860)</f>
        <v>309860</v>
      </c>
      <c r="S30" s="88">
        <f ca="1">IFERROR(__xludf.DUMMYFUNCTION("IMPORTRANGE(""https://docs.google.com/spreadsheets/d/1UsNK1e-WWiCo2PvGqdNfdme4m17_Ezd3J69EeeiQPD0/edit?usp=sharing"",""อุทัยธานี!R139"")"),309860)</f>
        <v>309860</v>
      </c>
      <c r="T30" s="88">
        <f ca="1">IFERROR(__xludf.DUMMYFUNCTION("IMPORTRANGE(""https://docs.google.com/spreadsheets/d/1UsNK1e-WWiCo2PvGqdNfdme4m17_Ezd3J69EeeiQPD0/edit?usp=sharing"",""อุทัยธานี!S139"")"),0)</f>
        <v>0</v>
      </c>
      <c r="U30" s="89">
        <f t="shared" ca="1" si="36"/>
        <v>0</v>
      </c>
      <c r="V30" s="89">
        <f t="shared" ca="1" si="37"/>
        <v>0</v>
      </c>
      <c r="W30" s="90">
        <f ca="1">IFERROR(__xludf.DUMMYFUNCTION("IMPORTRANGE(""https://docs.google.com/spreadsheets/d/1UsNK1e-WWiCo2PvGqdNfdme4m17_Ezd3J69EeeiQPD0/edit?usp=sharing"",""อุทัยธานี!J149"")"),0)</f>
        <v>0</v>
      </c>
      <c r="X30" s="90">
        <f ca="1">IFERROR(__xludf.DUMMYFUNCTION("IMPORTRANGE(""https://docs.google.com/spreadsheets/d/1UsNK1e-WWiCo2PvGqdNfdme4m17_Ezd3J69EeeiQPD0/edit?usp=sharing"",""อุทัยธานี!I150"")"),20)</f>
        <v>20</v>
      </c>
      <c r="Y30" s="90">
        <f ca="1">IFERROR(__xludf.DUMMYFUNCTION("IMPORTRANGE(""https://docs.google.com/spreadsheets/d/1UsNK1e-WWiCo2PvGqdNfdme4m17_Ezd3J69EeeiQPD0/edit?usp=sharing"",""อุทัยธานี!I151"")"),2)</f>
        <v>2</v>
      </c>
      <c r="Z30" s="90">
        <f ca="1">IFERROR(__xludf.DUMMYFUNCTION("IMPORTRANGE(""https://docs.google.com/spreadsheets/d/1UsNK1e-WWiCo2PvGqdNfdme4m17_Ezd3J69EeeiQPD0/edit?usp=sharing"",""อุทัยธานี!J150"")"),0)</f>
        <v>0</v>
      </c>
      <c r="AA30" s="91">
        <f t="shared" ca="1" si="39"/>
        <v>0</v>
      </c>
      <c r="AB30" s="90">
        <f ca="1">IFERROR(__xludf.DUMMYFUNCTION("IMPORTRANGE(""https://docs.google.com/spreadsheets/d/1UsNK1e-WWiCo2PvGqdNfdme4m17_Ezd3J69EeeiQPD0/edit?usp=sharing"",""อุทัยธานี!J151"")"),0)</f>
        <v>0</v>
      </c>
      <c r="AC30" s="91">
        <f t="shared" ca="1" si="40"/>
        <v>0</v>
      </c>
      <c r="AD30" s="90">
        <f ca="1">IFERROR(__xludf.DUMMYFUNCTION("IMPORTRANGE(""https://docs.google.com/spreadsheets/d/1UsNK1e-WWiCo2PvGqdNfdme4m17_Ezd3J69EeeiQPD0/edit?usp=sharing"",""อุทัยธานี!I152"")"),40)</f>
        <v>40</v>
      </c>
      <c r="AE30" s="90">
        <f ca="1">IFERROR(__xludf.DUMMYFUNCTION("IMPORTRANGE(""https://docs.google.com/spreadsheets/d/1UsNK1e-WWiCo2PvGqdNfdme4m17_Ezd3J69EeeiQPD0/edit?usp=sharing"",""อุทัยธานี!I153"")"),4)</f>
        <v>4</v>
      </c>
      <c r="AF30" s="90">
        <f ca="1">IFERROR(__xludf.DUMMYFUNCTION("IMPORTRANGE(""https://docs.google.com/spreadsheets/d/1UsNK1e-WWiCo2PvGqdNfdme4m17_Ezd3J69EeeiQPD0/edit?usp=sharing"",""อุทัยธานี!J152"")"),40)</f>
        <v>40</v>
      </c>
      <c r="AG30" s="91">
        <f t="shared" ca="1" si="42"/>
        <v>100</v>
      </c>
      <c r="AH30" s="90">
        <f ca="1">IFERROR(__xludf.DUMMYFUNCTION("IMPORTRANGE(""https://docs.google.com/spreadsheets/d/1UsNK1e-WWiCo2PvGqdNfdme4m17_Ezd3J69EeeiQPD0/edit?usp=sharing"",""อุทัยธานี!J153"")"),4)</f>
        <v>4</v>
      </c>
      <c r="AI30" s="91">
        <f t="shared" ca="1" si="43"/>
        <v>100</v>
      </c>
      <c r="AJ30" s="90">
        <f ca="1">IFERROR(__xludf.DUMMYFUNCTION("IMPORTRANGE(""https://docs.google.com/spreadsheets/d/1UsNK1e-WWiCo2PvGqdNfdme4m17_Ezd3J69EeeiQPD0/edit?usp=sharing"",""อุทัยธานี!I154"")"),2)</f>
        <v>2</v>
      </c>
      <c r="AK30" s="90">
        <f ca="1">IFERROR(__xludf.DUMMYFUNCTION("IMPORTRANGE(""https://docs.google.com/spreadsheets/d/1UsNK1e-WWiCo2PvGqdNfdme4m17_Ezd3J69EeeiQPD0/edit?usp=sharing"",""อุทัยธานี!J154"")"),0)</f>
        <v>0</v>
      </c>
      <c r="AL30" s="91">
        <f t="shared" ca="1" si="45"/>
        <v>0</v>
      </c>
    </row>
    <row r="31" spans="1:38" ht="21" customHeight="1" x14ac:dyDescent="0.3">
      <c r="A31" s="696" t="s">
        <v>59</v>
      </c>
      <c r="B31" s="662"/>
      <c r="C31" s="161">
        <f t="shared" ca="1" si="27"/>
        <v>772800</v>
      </c>
      <c r="D31" s="161">
        <f t="shared" ref="D31:I31" ca="1" si="47">SUM(D32:D51)</f>
        <v>772800</v>
      </c>
      <c r="E31" s="161">
        <f t="shared" ca="1" si="47"/>
        <v>340500</v>
      </c>
      <c r="F31" s="161">
        <f t="shared" ca="1" si="47"/>
        <v>432300</v>
      </c>
      <c r="G31" s="161">
        <f t="shared" ca="1" si="47"/>
        <v>0</v>
      </c>
      <c r="H31" s="161">
        <f t="shared" ca="1" si="47"/>
        <v>717800</v>
      </c>
      <c r="I31" s="161">
        <f t="shared" ca="1" si="47"/>
        <v>0</v>
      </c>
      <c r="J31" s="161">
        <f t="shared" ca="1" si="29"/>
        <v>651498</v>
      </c>
      <c r="K31" s="162">
        <f t="shared" ca="1" si="30"/>
        <v>84.303571428571431</v>
      </c>
      <c r="L31" s="161">
        <f ca="1">SUM(L32:L51)</f>
        <v>651498</v>
      </c>
      <c r="M31" s="94">
        <f t="shared" ca="1" si="31"/>
        <v>84.303571428571431</v>
      </c>
      <c r="N31" s="94">
        <f t="shared" ca="1" si="32"/>
        <v>90.763165227082752</v>
      </c>
      <c r="O31" s="93">
        <f ca="1">SUM(O32:O51)</f>
        <v>0</v>
      </c>
      <c r="P31" s="93">
        <f t="shared" ca="1" si="33"/>
        <v>0</v>
      </c>
      <c r="Q31" s="94">
        <f t="shared" ca="1" si="34"/>
        <v>0</v>
      </c>
      <c r="R31" s="93">
        <f t="shared" ref="R31:T31" ca="1" si="48">SUM(R32:R51)</f>
        <v>732610</v>
      </c>
      <c r="S31" s="93">
        <f t="shared" ca="1" si="48"/>
        <v>732610</v>
      </c>
      <c r="T31" s="93">
        <f t="shared" ca="1" si="48"/>
        <v>218542.5</v>
      </c>
      <c r="U31" s="94">
        <f t="shared" ca="1" si="36"/>
        <v>29.830673891975266</v>
      </c>
      <c r="V31" s="94">
        <f t="shared" ca="1" si="37"/>
        <v>29.830673891975266</v>
      </c>
      <c r="W31" s="52">
        <f t="shared" ref="W31:Z31" ca="1" si="49">SUM(W32:W51)</f>
        <v>0</v>
      </c>
      <c r="X31" s="52">
        <f t="shared" ca="1" si="49"/>
        <v>20</v>
      </c>
      <c r="Y31" s="52">
        <f t="shared" ca="1" si="49"/>
        <v>2</v>
      </c>
      <c r="Z31" s="52">
        <f t="shared" ca="1" si="49"/>
        <v>30</v>
      </c>
      <c r="AA31" s="54">
        <f t="shared" ca="1" si="39"/>
        <v>150</v>
      </c>
      <c r="AB31" s="52">
        <f ca="1">SUM(AB32:AB51)</f>
        <v>2</v>
      </c>
      <c r="AC31" s="54">
        <f t="shared" ca="1" si="40"/>
        <v>100</v>
      </c>
      <c r="AD31" s="52">
        <f t="shared" ref="AD31:AF31" ca="1" si="50">SUM(AD32:AD51)</f>
        <v>290</v>
      </c>
      <c r="AE31" s="52">
        <f t="shared" ca="1" si="50"/>
        <v>29</v>
      </c>
      <c r="AF31" s="52">
        <f t="shared" ca="1" si="50"/>
        <v>290</v>
      </c>
      <c r="AG31" s="54">
        <f t="shared" ca="1" si="42"/>
        <v>100</v>
      </c>
      <c r="AH31" s="52">
        <f ca="1">SUM(AH32:AH51)</f>
        <v>29</v>
      </c>
      <c r="AI31" s="54">
        <f t="shared" ca="1" si="43"/>
        <v>100</v>
      </c>
      <c r="AJ31" s="52">
        <f t="shared" ref="AJ31:AK31" ca="1" si="51">SUM(AJ32:AJ51)</f>
        <v>2</v>
      </c>
      <c r="AK31" s="52">
        <f t="shared" ca="1" si="51"/>
        <v>0</v>
      </c>
      <c r="AL31" s="54">
        <f t="shared" ca="1" si="45"/>
        <v>0</v>
      </c>
    </row>
    <row r="32" spans="1:38" ht="21" customHeight="1" x14ac:dyDescent="0.3">
      <c r="A32" s="147">
        <v>1</v>
      </c>
      <c r="B32" s="148" t="s">
        <v>60</v>
      </c>
      <c r="C32" s="149">
        <f t="shared" ca="1" si="27"/>
        <v>0</v>
      </c>
      <c r="D32" s="150">
        <f t="shared" ref="D32:D51" ca="1" si="52">+E32+F32</f>
        <v>0</v>
      </c>
      <c r="E32" s="151">
        <f ca="1">IFERROR(__xludf.DUMMYFUNCTION("IMPORTRANGE(""https://docs.google.com/spreadsheets/d/1-uDff_7J0KD5mKrp0Vvzr7lt3OU09vwQwhkpOPPYv2Y/edit?usp=sharing"",""งบพรบ!BR32"")"),0)</f>
        <v>0</v>
      </c>
      <c r="F32" s="151">
        <f ca="1">IFERROR(__xludf.DUMMYFUNCTION("IMPORTRANGE(""https://docs.google.com/spreadsheets/d/1-uDff_7J0KD5mKrp0Vvzr7lt3OU09vwQwhkpOPPYv2Y/edit?usp=sharing"",""งบพรบ!BS32"")"),0)</f>
        <v>0</v>
      </c>
      <c r="G32" s="152">
        <f ca="1">IFERROR(__xludf.DUMMYFUNCTION("IMPORTRANGE(""https://docs.google.com/spreadsheets/d/1-uDff_7J0KD5mKrp0Vvzr7lt3OU09vwQwhkpOPPYv2Y/edit?usp=sharing"",""งบพรบ!BT32"")"),0)</f>
        <v>0</v>
      </c>
      <c r="H32" s="152">
        <f ca="1">IFERROR(__xludf.DUMMYFUNCTION("IMPORTRANGE(""https://docs.google.com/spreadsheets/d/1-uDff_7J0KD5mKrp0Vvzr7lt3OU09vwQwhkpOPPYv2Y/edit?usp=sharing"",""งบพรบ!BV32"")"),0)</f>
        <v>0</v>
      </c>
      <c r="I32" s="152">
        <f ca="1">IFERROR(__xludf.DUMMYFUNCTION("IMPORTRANGE(""https://docs.google.com/spreadsheets/d/1-uDff_7J0KD5mKrp0Vvzr7lt3OU09vwQwhkpOPPYv2Y/edit?usp=sharing"",""งบพรบ!BW32"")"),0)</f>
        <v>0</v>
      </c>
      <c r="J32" s="152">
        <f t="shared" ca="1" si="29"/>
        <v>0</v>
      </c>
      <c r="K32" s="153">
        <f t="shared" ca="1" si="30"/>
        <v>0</v>
      </c>
      <c r="L32" s="152">
        <f ca="1">IFERROR(__xludf.DUMMYFUNCTION("IMPORTRANGE(""https://docs.google.com/spreadsheets/d/1-uDff_7J0KD5mKrp0Vvzr7lt3OU09vwQwhkpOPPYv2Y/edit?usp=sharing"",""งบพรบ!BX32"")"),0)</f>
        <v>0</v>
      </c>
      <c r="M32" s="68">
        <f t="shared" ca="1" si="31"/>
        <v>0</v>
      </c>
      <c r="N32" s="68">
        <f t="shared" ca="1" si="32"/>
        <v>0</v>
      </c>
      <c r="O32" s="67">
        <f ca="1">IFERROR(__xludf.DUMMYFUNCTION("IMPORTRANGE(""https://docs.google.com/spreadsheets/d/1-uDff_7J0KD5mKrp0Vvzr7lt3OU09vwQwhkpOPPYv2Y/edit?usp=sharing"",""งบพรบ!BY32"")"),0)</f>
        <v>0</v>
      </c>
      <c r="P32" s="67">
        <f t="shared" ca="1" si="33"/>
        <v>0</v>
      </c>
      <c r="Q32" s="68">
        <f t="shared" ca="1" si="34"/>
        <v>0</v>
      </c>
      <c r="R32" s="67">
        <f ca="1">IFERROR(__xludf.DUMMYFUNCTION("IMPORTRANGE(""https://docs.google.com/spreadsheets/d/1yhBcrRPreicbMKl9Bu_Snb2-OcQAF62RKfhTLhJ2eAA/edit?usp=sharing"",""กาฬสินธุ์!Q139"")"),0)</f>
        <v>0</v>
      </c>
      <c r="S32" s="67">
        <f ca="1">IFERROR(__xludf.DUMMYFUNCTION("IMPORTRANGE(""https://docs.google.com/spreadsheets/d/1yhBcrRPreicbMKl9Bu_Snb2-OcQAF62RKfhTLhJ2eAA/edit?usp=sharing"",""กาฬสินธุ์!R139"")"),0)</f>
        <v>0</v>
      </c>
      <c r="T32" s="67">
        <f ca="1">IFERROR(__xludf.DUMMYFUNCTION("IMPORTRANGE(""https://docs.google.com/spreadsheets/d/1yhBcrRPreicbMKl9Bu_Snb2-OcQAF62RKfhTLhJ2eAA/edit?usp=sharing"",""กาฬสินธุ์!S139"")"),0)</f>
        <v>0</v>
      </c>
      <c r="U32" s="68">
        <f t="shared" ca="1" si="36"/>
        <v>0</v>
      </c>
      <c r="V32" s="68">
        <f t="shared" ca="1" si="37"/>
        <v>0</v>
      </c>
      <c r="W32" s="63">
        <f ca="1">IFERROR(__xludf.DUMMYFUNCTION("IMPORTRANGE(""https://docs.google.com/spreadsheets/d/1yhBcrRPreicbMKl9Bu_Snb2-OcQAF62RKfhTLhJ2eAA/edit?usp=sharing"",""กาฬสินธุ์!J149"")"),0)</f>
        <v>0</v>
      </c>
      <c r="X32" s="63">
        <f ca="1">IFERROR(__xludf.DUMMYFUNCTION("IMPORTRANGE(""https://docs.google.com/spreadsheets/d/1yhBcrRPreicbMKl9Bu_Snb2-OcQAF62RKfhTLhJ2eAA/edit?usp=sharing"",""กาฬสินธุ์!I150"")"),0)</f>
        <v>0</v>
      </c>
      <c r="Y32" s="63">
        <f ca="1">IFERROR(__xludf.DUMMYFUNCTION("IMPORTRANGE(""https://docs.google.com/spreadsheets/d/1yhBcrRPreicbMKl9Bu_Snb2-OcQAF62RKfhTLhJ2eAA/edit?usp=sharing"",""กาฬสินธุ์!I151"")"),0)</f>
        <v>0</v>
      </c>
      <c r="Z32" s="63">
        <f ca="1">IFERROR(__xludf.DUMMYFUNCTION("IMPORTRANGE(""https://docs.google.com/spreadsheets/d/1yhBcrRPreicbMKl9Bu_Snb2-OcQAF62RKfhTLhJ2eAA/edit?usp=sharing"",""กาฬสินธุ์!J150"")"),0)</f>
        <v>0</v>
      </c>
      <c r="AA32" s="69">
        <f t="shared" ca="1" si="39"/>
        <v>0</v>
      </c>
      <c r="AB32" s="63">
        <f ca="1">IFERROR(__xludf.DUMMYFUNCTION("IMPORTRANGE(""https://docs.google.com/spreadsheets/d/1yhBcrRPreicbMKl9Bu_Snb2-OcQAF62RKfhTLhJ2eAA/edit?usp=sharing"",""กาฬสินธุ์!J151"")"),0)</f>
        <v>0</v>
      </c>
      <c r="AC32" s="69">
        <f t="shared" ca="1" si="40"/>
        <v>0</v>
      </c>
      <c r="AD32" s="63">
        <f ca="1">IFERROR(__xludf.DUMMYFUNCTION("IMPORTRANGE(""https://docs.google.com/spreadsheets/d/1yhBcrRPreicbMKl9Bu_Snb2-OcQAF62RKfhTLhJ2eAA/edit?usp=sharing"",""กาฬสินธุ์!I152"")"),0)</f>
        <v>0</v>
      </c>
      <c r="AE32" s="63">
        <f ca="1">IFERROR(__xludf.DUMMYFUNCTION("IMPORTRANGE(""https://docs.google.com/spreadsheets/d/1yhBcrRPreicbMKl9Bu_Snb2-OcQAF62RKfhTLhJ2eAA/edit?usp=sharing"",""กาฬสินธุ์!I153"")"),0)</f>
        <v>0</v>
      </c>
      <c r="AF32" s="63">
        <f ca="1">IFERROR(__xludf.DUMMYFUNCTION("IMPORTRANGE(""https://docs.google.com/spreadsheets/d/1yhBcrRPreicbMKl9Bu_Snb2-OcQAF62RKfhTLhJ2eAA/edit?usp=sharing"",""กาฬสินธุ์!J152"")"),0)</f>
        <v>0</v>
      </c>
      <c r="AG32" s="69">
        <f t="shared" ca="1" si="42"/>
        <v>0</v>
      </c>
      <c r="AH32" s="63">
        <f ca="1">IFERROR(__xludf.DUMMYFUNCTION("IMPORTRANGE(""https://docs.google.com/spreadsheets/d/1yhBcrRPreicbMKl9Bu_Snb2-OcQAF62RKfhTLhJ2eAA/edit?usp=sharing"",""กาฬสินธุ์!J153"")"),0)</f>
        <v>0</v>
      </c>
      <c r="AI32" s="69">
        <f t="shared" ca="1" si="43"/>
        <v>0</v>
      </c>
      <c r="AJ32" s="63">
        <f ca="1">IFERROR(__xludf.DUMMYFUNCTION("IMPORTRANGE(""https://docs.google.com/spreadsheets/d/1yhBcrRPreicbMKl9Bu_Snb2-OcQAF62RKfhTLhJ2eAA/edit?usp=sharing"",""กาฬสินธุ์!I154"")"),0)</f>
        <v>0</v>
      </c>
      <c r="AK32" s="63">
        <f ca="1">IFERROR(__xludf.DUMMYFUNCTION("IMPORTRANGE(""https://docs.google.com/spreadsheets/d/1yhBcrRPreicbMKl9Bu_Snb2-OcQAF62RKfhTLhJ2eAA/edit?usp=sharing"",""กาฬสินธุ์!J154"")"),0)</f>
        <v>0</v>
      </c>
      <c r="AL32" s="69">
        <f t="shared" ca="1" si="45"/>
        <v>0</v>
      </c>
    </row>
    <row r="33" spans="1:38" ht="21" customHeight="1" x14ac:dyDescent="0.3">
      <c r="A33" s="147">
        <v>2</v>
      </c>
      <c r="B33" s="148" t="s">
        <v>61</v>
      </c>
      <c r="C33" s="149">
        <f t="shared" ca="1" si="27"/>
        <v>23300</v>
      </c>
      <c r="D33" s="150">
        <f t="shared" ca="1" si="52"/>
        <v>23300</v>
      </c>
      <c r="E33" s="151">
        <f ca="1">IFERROR(__xludf.DUMMYFUNCTION("IMPORTRANGE(""https://docs.google.com/spreadsheets/d/1-uDff_7J0KD5mKrp0Vvzr7lt3OU09vwQwhkpOPPYv2Y/edit?usp=sharing"",""งบพรบ!BR33"")"),0)</f>
        <v>0</v>
      </c>
      <c r="F33" s="151">
        <f ca="1">IFERROR(__xludf.DUMMYFUNCTION("IMPORTRANGE(""https://docs.google.com/spreadsheets/d/1-uDff_7J0KD5mKrp0Vvzr7lt3OU09vwQwhkpOPPYv2Y/edit?usp=sharing"",""งบพรบ!BS33"")"),23300)</f>
        <v>23300</v>
      </c>
      <c r="G33" s="151">
        <f ca="1">IFERROR(__xludf.DUMMYFUNCTION("IMPORTRANGE(""https://docs.google.com/spreadsheets/d/1-uDff_7J0KD5mKrp0Vvzr7lt3OU09vwQwhkpOPPYv2Y/edit?usp=sharing"",""งบพรบ!BT33"")"),0)</f>
        <v>0</v>
      </c>
      <c r="H33" s="151">
        <f ca="1">IFERROR(__xludf.DUMMYFUNCTION("IMPORTRANGE(""https://docs.google.com/spreadsheets/d/1-uDff_7J0KD5mKrp0Vvzr7lt3OU09vwQwhkpOPPYv2Y/edit?usp=sharing"",""งบพรบ!BV33"")"),18300)</f>
        <v>18300</v>
      </c>
      <c r="I33" s="151">
        <f ca="1">IFERROR(__xludf.DUMMYFUNCTION("IMPORTRANGE(""https://docs.google.com/spreadsheets/d/1-uDff_7J0KD5mKrp0Vvzr7lt3OU09vwQwhkpOPPYv2Y/edit?usp=sharing"",""งบพรบ!BW33"")"),0)</f>
        <v>0</v>
      </c>
      <c r="J33" s="151">
        <f t="shared" ca="1" si="29"/>
        <v>16180</v>
      </c>
      <c r="K33" s="154">
        <f t="shared" ca="1" si="30"/>
        <v>69.442060085836914</v>
      </c>
      <c r="L33" s="151">
        <f ca="1">IFERROR(__xludf.DUMMYFUNCTION("IMPORTRANGE(""https://docs.google.com/spreadsheets/d/1-uDff_7J0KD5mKrp0Vvzr7lt3OU09vwQwhkpOPPYv2Y/edit?usp=sharing"",""งบพรบ!BX33"")"),16180)</f>
        <v>16180</v>
      </c>
      <c r="M33" s="68">
        <f t="shared" ca="1" si="31"/>
        <v>69.442060085836914</v>
      </c>
      <c r="N33" s="68">
        <f t="shared" ca="1" si="32"/>
        <v>88.415300546448094</v>
      </c>
      <c r="O33" s="67">
        <f ca="1">IFERROR(__xludf.DUMMYFUNCTION("IMPORTRANGE(""https://docs.google.com/spreadsheets/d/1-uDff_7J0KD5mKrp0Vvzr7lt3OU09vwQwhkpOPPYv2Y/edit?usp=sharing"",""งบพรบ!BY33"")"),0)</f>
        <v>0</v>
      </c>
      <c r="P33" s="67">
        <f t="shared" ca="1" si="33"/>
        <v>0</v>
      </c>
      <c r="Q33" s="68">
        <f t="shared" ca="1" si="34"/>
        <v>0</v>
      </c>
      <c r="R33" s="67">
        <f ca="1">IFERROR(__xludf.DUMMYFUNCTION("IMPORTRANGE(""https://docs.google.com/spreadsheets/d/1aHkj4IaQMThhwWwevcOymEh837vdxeC_PycurhTbGFA/edit?usp=sharing"",""ขอนแก่น!Q139"")"),39860)</f>
        <v>39860</v>
      </c>
      <c r="S33" s="67">
        <f ca="1">IFERROR(__xludf.DUMMYFUNCTION("IMPORTRANGE(""https://docs.google.com/spreadsheets/d/1aHkj4IaQMThhwWwevcOymEh837vdxeC_PycurhTbGFA/edit?usp=sharing"",""ขอนแก่น!R139"")"),39860)</f>
        <v>39860</v>
      </c>
      <c r="T33" s="67">
        <f ca="1">IFERROR(__xludf.DUMMYFUNCTION("IMPORTRANGE(""https://docs.google.com/spreadsheets/d/1aHkj4IaQMThhwWwevcOymEh837vdxeC_PycurhTbGFA/edit?usp=sharing"",""ขอนแก่น!S139"")"),17065)</f>
        <v>17065</v>
      </c>
      <c r="U33" s="68">
        <f t="shared" ca="1" si="36"/>
        <v>42.812343201204214</v>
      </c>
      <c r="V33" s="68">
        <f t="shared" ca="1" si="37"/>
        <v>42.812343201204214</v>
      </c>
      <c r="W33" s="78">
        <f ca="1">IFERROR(__xludf.DUMMYFUNCTION("IMPORTRANGE(""https://docs.google.com/spreadsheets/d/1aHkj4IaQMThhwWwevcOymEh837vdxeC_PycurhTbGFA/edit?usp=sharing"",""ขอนแก่น!J149"")"),0)</f>
        <v>0</v>
      </c>
      <c r="X33" s="78">
        <f ca="1">IFERROR(__xludf.DUMMYFUNCTION("IMPORTRANGE(""https://docs.google.com/spreadsheets/d/1aHkj4IaQMThhwWwevcOymEh837vdxeC_PycurhTbGFA/edit?usp=sharing"",""ขอนแก่น!I150"")"),0)</f>
        <v>0</v>
      </c>
      <c r="Y33" s="78">
        <f ca="1">IFERROR(__xludf.DUMMYFUNCTION("IMPORTRANGE(""https://docs.google.com/spreadsheets/d/1aHkj4IaQMThhwWwevcOymEh837vdxeC_PycurhTbGFA/edit?usp=sharing"",""ขอนแก่น!I151"")"),0)</f>
        <v>0</v>
      </c>
      <c r="Z33" s="78">
        <f ca="1">IFERROR(__xludf.DUMMYFUNCTION("IMPORTRANGE(""https://docs.google.com/spreadsheets/d/1aHkj4IaQMThhwWwevcOymEh837vdxeC_PycurhTbGFA/edit?usp=sharing"",""ขอนแก่น!J150"")"),0)</f>
        <v>0</v>
      </c>
      <c r="AA33" s="79">
        <f t="shared" ca="1" si="39"/>
        <v>0</v>
      </c>
      <c r="AB33" s="78">
        <f ca="1">IFERROR(__xludf.DUMMYFUNCTION("IMPORTRANGE(""https://docs.google.com/spreadsheets/d/1aHkj4IaQMThhwWwevcOymEh837vdxeC_PycurhTbGFA/edit?usp=sharing"",""ขอนแก่น!J151"")"),0)</f>
        <v>0</v>
      </c>
      <c r="AC33" s="79">
        <f t="shared" ca="1" si="40"/>
        <v>0</v>
      </c>
      <c r="AD33" s="78">
        <f ca="1">IFERROR(__xludf.DUMMYFUNCTION("IMPORTRANGE(""https://docs.google.com/spreadsheets/d/1aHkj4IaQMThhwWwevcOymEh837vdxeC_PycurhTbGFA/edit?usp=sharing"",""ขอนแก่น!I152"")"),10)</f>
        <v>10</v>
      </c>
      <c r="AE33" s="78">
        <f ca="1">IFERROR(__xludf.DUMMYFUNCTION("IMPORTRANGE(""https://docs.google.com/spreadsheets/d/1aHkj4IaQMThhwWwevcOymEh837vdxeC_PycurhTbGFA/edit?usp=sharing"",""ขอนแก่น!I153"")"),1)</f>
        <v>1</v>
      </c>
      <c r="AF33" s="78">
        <f ca="1">IFERROR(__xludf.DUMMYFUNCTION("IMPORTRANGE(""https://docs.google.com/spreadsheets/d/1aHkj4IaQMThhwWwevcOymEh837vdxeC_PycurhTbGFA/edit?usp=sharing"",""ขอนแก่น!J152"")"),10)</f>
        <v>10</v>
      </c>
      <c r="AG33" s="79">
        <f t="shared" ca="1" si="42"/>
        <v>100</v>
      </c>
      <c r="AH33" s="78">
        <f ca="1">IFERROR(__xludf.DUMMYFUNCTION("IMPORTRANGE(""https://docs.google.com/spreadsheets/d/1aHkj4IaQMThhwWwevcOymEh837vdxeC_PycurhTbGFA/edit?usp=sharing"",""ขอนแก่น!J153"")"),1)</f>
        <v>1</v>
      </c>
      <c r="AI33" s="79">
        <f t="shared" ca="1" si="43"/>
        <v>100</v>
      </c>
      <c r="AJ33" s="78">
        <f ca="1">IFERROR(__xludf.DUMMYFUNCTION("IMPORTRANGE(""https://docs.google.com/spreadsheets/d/1aHkj4IaQMThhwWwevcOymEh837vdxeC_PycurhTbGFA/edit?usp=sharing"",""ขอนแก่น!I154"")"),0)</f>
        <v>0</v>
      </c>
      <c r="AK33" s="78">
        <f ca="1">IFERROR(__xludf.DUMMYFUNCTION("IMPORTRANGE(""https://docs.google.com/spreadsheets/d/1aHkj4IaQMThhwWwevcOymEh837vdxeC_PycurhTbGFA/edit?usp=sharing"",""ขอนแก่น!J154"")"),0)</f>
        <v>0</v>
      </c>
      <c r="AL33" s="79">
        <f t="shared" ca="1" si="45"/>
        <v>0</v>
      </c>
    </row>
    <row r="34" spans="1:38" ht="21" customHeight="1" x14ac:dyDescent="0.3">
      <c r="A34" s="147">
        <v>3</v>
      </c>
      <c r="B34" s="148" t="s">
        <v>62</v>
      </c>
      <c r="C34" s="149">
        <f t="shared" ca="1" si="27"/>
        <v>0</v>
      </c>
      <c r="D34" s="150">
        <f t="shared" ca="1" si="52"/>
        <v>0</v>
      </c>
      <c r="E34" s="151">
        <f ca="1">IFERROR(__xludf.DUMMYFUNCTION("IMPORTRANGE(""https://docs.google.com/spreadsheets/d/1-uDff_7J0KD5mKrp0Vvzr7lt3OU09vwQwhkpOPPYv2Y/edit?usp=sharing"",""งบพรบ!BR34"")"),0)</f>
        <v>0</v>
      </c>
      <c r="F34" s="151">
        <f ca="1">IFERROR(__xludf.DUMMYFUNCTION("IMPORTRANGE(""https://docs.google.com/spreadsheets/d/1-uDff_7J0KD5mKrp0Vvzr7lt3OU09vwQwhkpOPPYv2Y/edit?usp=sharing"",""งบพรบ!BS34"")"),0)</f>
        <v>0</v>
      </c>
      <c r="G34" s="151">
        <f ca="1">IFERROR(__xludf.DUMMYFUNCTION("IMPORTRANGE(""https://docs.google.com/spreadsheets/d/1-uDff_7J0KD5mKrp0Vvzr7lt3OU09vwQwhkpOPPYv2Y/edit?usp=sharing"",""งบพรบ!BT34"")"),0)</f>
        <v>0</v>
      </c>
      <c r="H34" s="151">
        <f ca="1">IFERROR(__xludf.DUMMYFUNCTION("IMPORTRANGE(""https://docs.google.com/spreadsheets/d/1-uDff_7J0KD5mKrp0Vvzr7lt3OU09vwQwhkpOPPYv2Y/edit?usp=sharing"",""งบพรบ!BV34"")"),0)</f>
        <v>0</v>
      </c>
      <c r="I34" s="151">
        <f ca="1">IFERROR(__xludf.DUMMYFUNCTION("IMPORTRANGE(""https://docs.google.com/spreadsheets/d/1-uDff_7J0KD5mKrp0Vvzr7lt3OU09vwQwhkpOPPYv2Y/edit?usp=sharing"",""งบพรบ!BW34"")"),0)</f>
        <v>0</v>
      </c>
      <c r="J34" s="151">
        <f t="shared" ca="1" si="29"/>
        <v>0</v>
      </c>
      <c r="K34" s="154">
        <f t="shared" ca="1" si="30"/>
        <v>0</v>
      </c>
      <c r="L34" s="151">
        <f ca="1">IFERROR(__xludf.DUMMYFUNCTION("IMPORTRANGE(""https://docs.google.com/spreadsheets/d/1-uDff_7J0KD5mKrp0Vvzr7lt3OU09vwQwhkpOPPYv2Y/edit?usp=sharing"",""งบพรบ!BX34"")"),0)</f>
        <v>0</v>
      </c>
      <c r="M34" s="68">
        <f t="shared" ca="1" si="31"/>
        <v>0</v>
      </c>
      <c r="N34" s="68">
        <f t="shared" ca="1" si="32"/>
        <v>0</v>
      </c>
      <c r="O34" s="67">
        <f ca="1">IFERROR(__xludf.DUMMYFUNCTION("IMPORTRANGE(""https://docs.google.com/spreadsheets/d/1-uDff_7J0KD5mKrp0Vvzr7lt3OU09vwQwhkpOPPYv2Y/edit?usp=sharing"",""งบพรบ!BY34"")"),0)</f>
        <v>0</v>
      </c>
      <c r="P34" s="67">
        <f t="shared" ca="1" si="33"/>
        <v>0</v>
      </c>
      <c r="Q34" s="68">
        <f t="shared" ca="1" si="34"/>
        <v>0</v>
      </c>
      <c r="R34" s="67">
        <f ca="1">IFERROR(__xludf.DUMMYFUNCTION("IMPORTRANGE(""https://docs.google.com/spreadsheets/d/1FvTu2DsIWUjP6WCWra38Bkj_oOl_sOMf14r5Fg5srxU/edit?usp=sharing"",""ชัยภูมิ!Q139"")"),0)</f>
        <v>0</v>
      </c>
      <c r="S34" s="67">
        <f ca="1">IFERROR(__xludf.DUMMYFUNCTION("IMPORTRANGE(""https://docs.google.com/spreadsheets/d/1FvTu2DsIWUjP6WCWra38Bkj_oOl_sOMf14r5Fg5srxU/edit?usp=sharing"",""ชัยภูมิ!R139"")"),0)</f>
        <v>0</v>
      </c>
      <c r="T34" s="67">
        <f ca="1">IFERROR(__xludf.DUMMYFUNCTION("IMPORTRANGE(""https://docs.google.com/spreadsheets/d/1FvTu2DsIWUjP6WCWra38Bkj_oOl_sOMf14r5Fg5srxU/edit?usp=sharing"",""ชัยภูมิ!S139"")"),0)</f>
        <v>0</v>
      </c>
      <c r="U34" s="68">
        <f t="shared" ca="1" si="36"/>
        <v>0</v>
      </c>
      <c r="V34" s="68">
        <f t="shared" ca="1" si="37"/>
        <v>0</v>
      </c>
      <c r="W34" s="78">
        <f ca="1">IFERROR(__xludf.DUMMYFUNCTION("IMPORTRANGE(""https://docs.google.com/spreadsheets/d/1FvTu2DsIWUjP6WCWra38Bkj_oOl_sOMf14r5Fg5srxU/edit?usp=sharing"",""ชัยภูมิ!J149"")"),0)</f>
        <v>0</v>
      </c>
      <c r="X34" s="78">
        <f ca="1">IFERROR(__xludf.DUMMYFUNCTION("IMPORTRANGE(""https://docs.google.com/spreadsheets/d/1FvTu2DsIWUjP6WCWra38Bkj_oOl_sOMf14r5Fg5srxU/edit?usp=sharing"",""ชัยภูมิ!I150"")"),0)</f>
        <v>0</v>
      </c>
      <c r="Y34" s="78">
        <f ca="1">IFERROR(__xludf.DUMMYFUNCTION("IMPORTRANGE(""https://docs.google.com/spreadsheets/d/1FvTu2DsIWUjP6WCWra38Bkj_oOl_sOMf14r5Fg5srxU/edit?usp=sharing"",""ชัยภูมิ!I151"")"),0)</f>
        <v>0</v>
      </c>
      <c r="Z34" s="78">
        <f ca="1">IFERROR(__xludf.DUMMYFUNCTION("IMPORTRANGE(""https://docs.google.com/spreadsheets/d/1FvTu2DsIWUjP6WCWra38Bkj_oOl_sOMf14r5Fg5srxU/edit?usp=sharing"",""ชัยภูมิ!J150"")"),0)</f>
        <v>0</v>
      </c>
      <c r="AA34" s="79">
        <f t="shared" ca="1" si="39"/>
        <v>0</v>
      </c>
      <c r="AB34" s="78">
        <f ca="1">IFERROR(__xludf.DUMMYFUNCTION("IMPORTRANGE(""https://docs.google.com/spreadsheets/d/1FvTu2DsIWUjP6WCWra38Bkj_oOl_sOMf14r5Fg5srxU/edit?usp=sharing"",""ชัยภูมิ!J151"")"),0)</f>
        <v>0</v>
      </c>
      <c r="AC34" s="79">
        <f t="shared" ca="1" si="40"/>
        <v>0</v>
      </c>
      <c r="AD34" s="78">
        <f ca="1">IFERROR(__xludf.DUMMYFUNCTION("IMPORTRANGE(""https://docs.google.com/spreadsheets/d/1FvTu2DsIWUjP6WCWra38Bkj_oOl_sOMf14r5Fg5srxU/edit?usp=sharing"",""ชัยภูมิ!I152"")"),0)</f>
        <v>0</v>
      </c>
      <c r="AE34" s="78">
        <f ca="1">IFERROR(__xludf.DUMMYFUNCTION("IMPORTRANGE(""https://docs.google.com/spreadsheets/d/1FvTu2DsIWUjP6WCWra38Bkj_oOl_sOMf14r5Fg5srxU/edit?usp=sharing"",""ชัยภูมิ!I153"")"),0)</f>
        <v>0</v>
      </c>
      <c r="AF34" s="78">
        <f ca="1">IFERROR(__xludf.DUMMYFUNCTION("IMPORTRANGE(""https://docs.google.com/spreadsheets/d/1FvTu2DsIWUjP6WCWra38Bkj_oOl_sOMf14r5Fg5srxU/edit?usp=sharing"",""ชัยภูมิ!J152"")"),0)</f>
        <v>0</v>
      </c>
      <c r="AG34" s="79">
        <f t="shared" ca="1" si="42"/>
        <v>0</v>
      </c>
      <c r="AH34" s="78">
        <f ca="1">IFERROR(__xludf.DUMMYFUNCTION("IMPORTRANGE(""https://docs.google.com/spreadsheets/d/1FvTu2DsIWUjP6WCWra38Bkj_oOl_sOMf14r5Fg5srxU/edit?usp=sharing"",""ชัยภูมิ!J153"")"),0)</f>
        <v>0</v>
      </c>
      <c r="AI34" s="79">
        <f t="shared" ca="1" si="43"/>
        <v>0</v>
      </c>
      <c r="AJ34" s="78">
        <f ca="1">IFERROR(__xludf.DUMMYFUNCTION("IMPORTRANGE(""https://docs.google.com/spreadsheets/d/1FvTu2DsIWUjP6WCWra38Bkj_oOl_sOMf14r5Fg5srxU/edit?usp=sharing"",""ชัยภูมิ!I154"")"),0)</f>
        <v>0</v>
      </c>
      <c r="AK34" s="78">
        <f ca="1">IFERROR(__xludf.DUMMYFUNCTION("IMPORTRANGE(""https://docs.google.com/spreadsheets/d/1FvTu2DsIWUjP6WCWra38Bkj_oOl_sOMf14r5Fg5srxU/edit?usp=sharing"",""ชัยภูมิ!J154"")"),0)</f>
        <v>0</v>
      </c>
      <c r="AL34" s="79">
        <f t="shared" ca="1" si="45"/>
        <v>0</v>
      </c>
    </row>
    <row r="35" spans="1:38" ht="21" customHeight="1" x14ac:dyDescent="0.3">
      <c r="A35" s="147">
        <v>4</v>
      </c>
      <c r="B35" s="148" t="s">
        <v>63</v>
      </c>
      <c r="C35" s="149">
        <f t="shared" ca="1" si="27"/>
        <v>106200</v>
      </c>
      <c r="D35" s="150">
        <f t="shared" ca="1" si="52"/>
        <v>106200</v>
      </c>
      <c r="E35" s="151">
        <f ca="1">IFERROR(__xludf.DUMMYFUNCTION("IMPORTRANGE(""https://docs.google.com/spreadsheets/d/1-uDff_7J0KD5mKrp0Vvzr7lt3OU09vwQwhkpOPPYv2Y/edit?usp=sharing"",""งบพรบ!BR35"")"),82900)</f>
        <v>82900</v>
      </c>
      <c r="F35" s="151">
        <f ca="1">IFERROR(__xludf.DUMMYFUNCTION("IMPORTRANGE(""https://docs.google.com/spreadsheets/d/1-uDff_7J0KD5mKrp0Vvzr7lt3OU09vwQwhkpOPPYv2Y/edit?usp=sharing"",""งบพรบ!BS35"")"),23300)</f>
        <v>23300</v>
      </c>
      <c r="G35" s="151">
        <f ca="1">IFERROR(__xludf.DUMMYFUNCTION("IMPORTRANGE(""https://docs.google.com/spreadsheets/d/1-uDff_7J0KD5mKrp0Vvzr7lt3OU09vwQwhkpOPPYv2Y/edit?usp=sharing"",""งบพรบ!BT35"")"),0)</f>
        <v>0</v>
      </c>
      <c r="H35" s="151">
        <f ca="1">IFERROR(__xludf.DUMMYFUNCTION("IMPORTRANGE(""https://docs.google.com/spreadsheets/d/1-uDff_7J0KD5mKrp0Vvzr7lt3OU09vwQwhkpOPPYv2Y/edit?usp=sharing"",""งบพรบ!BV35"")"),101200)</f>
        <v>101200</v>
      </c>
      <c r="I35" s="151">
        <f ca="1">IFERROR(__xludf.DUMMYFUNCTION("IMPORTRANGE(""https://docs.google.com/spreadsheets/d/1-uDff_7J0KD5mKrp0Vvzr7lt3OU09vwQwhkpOPPYv2Y/edit?usp=sharing"",""งบพรบ!BW35"")"),0)</f>
        <v>0</v>
      </c>
      <c r="J35" s="151">
        <f t="shared" ca="1" si="29"/>
        <v>98658.5</v>
      </c>
      <c r="K35" s="154">
        <f t="shared" ca="1" si="30"/>
        <v>92.898775894538602</v>
      </c>
      <c r="L35" s="151">
        <f ca="1">IFERROR(__xludf.DUMMYFUNCTION("IMPORTRANGE(""https://docs.google.com/spreadsheets/d/1-uDff_7J0KD5mKrp0Vvzr7lt3OU09vwQwhkpOPPYv2Y/edit?usp=sharing"",""งบพรบ!BX35"")"),98658.5)</f>
        <v>98658.5</v>
      </c>
      <c r="M35" s="68">
        <f t="shared" ca="1" si="31"/>
        <v>92.898775894538602</v>
      </c>
      <c r="N35" s="68">
        <f t="shared" ca="1" si="32"/>
        <v>97.48863636363636</v>
      </c>
      <c r="O35" s="67">
        <f ca="1">IFERROR(__xludf.DUMMYFUNCTION("IMPORTRANGE(""https://docs.google.com/spreadsheets/d/1-uDff_7J0KD5mKrp0Vvzr7lt3OU09vwQwhkpOPPYv2Y/edit?usp=sharing"",""งบพรบ!BY35"")"),0)</f>
        <v>0</v>
      </c>
      <c r="P35" s="67">
        <f t="shared" ca="1" si="33"/>
        <v>0</v>
      </c>
      <c r="Q35" s="68">
        <f t="shared" ca="1" si="34"/>
        <v>0</v>
      </c>
      <c r="R35" s="67">
        <f ca="1">IFERROR(__xludf.DUMMYFUNCTION("IMPORTRANGE(""https://docs.google.com/spreadsheets/d/1XVB7oCJ3pr-vBUdflwPQ8Z2LlzhnCvZaaYjAfP-647E/edit?usp=sharing"",""นครพนม!Q139"")"),39860)</f>
        <v>39860</v>
      </c>
      <c r="S35" s="67">
        <f ca="1">IFERROR(__xludf.DUMMYFUNCTION("IMPORTRANGE(""https://docs.google.com/spreadsheets/d/1XVB7oCJ3pr-vBUdflwPQ8Z2LlzhnCvZaaYjAfP-647E/edit?usp=sharing"",""นครพนม!R139"")"),39860)</f>
        <v>39860</v>
      </c>
      <c r="T35" s="67">
        <f ca="1">IFERROR(__xludf.DUMMYFUNCTION("IMPORTRANGE(""https://docs.google.com/spreadsheets/d/1XVB7oCJ3pr-vBUdflwPQ8Z2LlzhnCvZaaYjAfP-647E/edit?usp=sharing"",""นครพนม!S139"")"),12610.5)</f>
        <v>12610.5</v>
      </c>
      <c r="U35" s="68">
        <f t="shared" ca="1" si="36"/>
        <v>31.636979427997993</v>
      </c>
      <c r="V35" s="68">
        <f t="shared" ca="1" si="37"/>
        <v>31.636979427997993</v>
      </c>
      <c r="W35" s="78">
        <f ca="1">IFERROR(__xludf.DUMMYFUNCTION("IMPORTRANGE(""https://docs.google.com/spreadsheets/d/1XVB7oCJ3pr-vBUdflwPQ8Z2LlzhnCvZaaYjAfP-647E/edit?usp=sharing"",""นครพนม!J149"")"),0)</f>
        <v>0</v>
      </c>
      <c r="X35" s="78">
        <f ca="1">IFERROR(__xludf.DUMMYFUNCTION("IMPORTRANGE(""https://docs.google.com/spreadsheets/d/1XVB7oCJ3pr-vBUdflwPQ8Z2LlzhnCvZaaYjAfP-647E/edit?usp=sharing"",""นครพนม!I150"")"),0)</f>
        <v>0</v>
      </c>
      <c r="Y35" s="78">
        <f ca="1">IFERROR(__xludf.DUMMYFUNCTION("IMPORTRANGE(""https://docs.google.com/spreadsheets/d/1XVB7oCJ3pr-vBUdflwPQ8Z2LlzhnCvZaaYjAfP-647E/edit?usp=sharing"",""นครพนม!I151"")"),0)</f>
        <v>0</v>
      </c>
      <c r="Z35" s="78">
        <f ca="1">IFERROR(__xludf.DUMMYFUNCTION("IMPORTRANGE(""https://docs.google.com/spreadsheets/d/1XVB7oCJ3pr-vBUdflwPQ8Z2LlzhnCvZaaYjAfP-647E/edit?usp=sharing"",""นครพนม!J150"")"),0)</f>
        <v>0</v>
      </c>
      <c r="AA35" s="79">
        <f t="shared" ca="1" si="39"/>
        <v>0</v>
      </c>
      <c r="AB35" s="78">
        <f ca="1">IFERROR(__xludf.DUMMYFUNCTION("IMPORTRANGE(""https://docs.google.com/spreadsheets/d/1XVB7oCJ3pr-vBUdflwPQ8Z2LlzhnCvZaaYjAfP-647E/edit?usp=sharing"",""นครพนม!J151"")"),0)</f>
        <v>0</v>
      </c>
      <c r="AC35" s="79">
        <f t="shared" ca="1" si="40"/>
        <v>0</v>
      </c>
      <c r="AD35" s="78">
        <f ca="1">IFERROR(__xludf.DUMMYFUNCTION("IMPORTRANGE(""https://docs.google.com/spreadsheets/d/1XVB7oCJ3pr-vBUdflwPQ8Z2LlzhnCvZaaYjAfP-647E/edit?usp=sharing"",""นครพนม!I152"")"),10)</f>
        <v>10</v>
      </c>
      <c r="AE35" s="78">
        <f ca="1">IFERROR(__xludf.DUMMYFUNCTION("IMPORTRANGE(""https://docs.google.com/spreadsheets/d/1XVB7oCJ3pr-vBUdflwPQ8Z2LlzhnCvZaaYjAfP-647E/edit?usp=sharing"",""นครพนม!I153"")"),1)</f>
        <v>1</v>
      </c>
      <c r="AF35" s="78">
        <f ca="1">IFERROR(__xludf.DUMMYFUNCTION("IMPORTRANGE(""https://docs.google.com/spreadsheets/d/1XVB7oCJ3pr-vBUdflwPQ8Z2LlzhnCvZaaYjAfP-647E/edit?usp=sharing"",""นครพนม!J152"")"),10)</f>
        <v>10</v>
      </c>
      <c r="AG35" s="79">
        <f t="shared" ca="1" si="42"/>
        <v>100</v>
      </c>
      <c r="AH35" s="78">
        <f ca="1">IFERROR(__xludf.DUMMYFUNCTION("IMPORTRANGE(""https://docs.google.com/spreadsheets/d/1XVB7oCJ3pr-vBUdflwPQ8Z2LlzhnCvZaaYjAfP-647E/edit?usp=sharing"",""นครพนม!J153"")"),1)</f>
        <v>1</v>
      </c>
      <c r="AI35" s="79">
        <f t="shared" ca="1" si="43"/>
        <v>100</v>
      </c>
      <c r="AJ35" s="78">
        <f ca="1">IFERROR(__xludf.DUMMYFUNCTION("IMPORTRANGE(""https://docs.google.com/spreadsheets/d/1XVB7oCJ3pr-vBUdflwPQ8Z2LlzhnCvZaaYjAfP-647E/edit?usp=sharing"",""นครพนม!I154"")"),0)</f>
        <v>0</v>
      </c>
      <c r="AK35" s="78">
        <f ca="1">IFERROR(__xludf.DUMMYFUNCTION("IMPORTRANGE(""https://docs.google.com/spreadsheets/d/1XVB7oCJ3pr-vBUdflwPQ8Z2LlzhnCvZaaYjAfP-647E/edit?usp=sharing"",""นครพนม!J154"")"),0)</f>
        <v>0</v>
      </c>
      <c r="AL35" s="79">
        <f t="shared" ca="1" si="45"/>
        <v>0</v>
      </c>
    </row>
    <row r="36" spans="1:38" ht="21" customHeight="1" x14ac:dyDescent="0.3">
      <c r="A36" s="147">
        <v>5</v>
      </c>
      <c r="B36" s="148" t="s">
        <v>64</v>
      </c>
      <c r="C36" s="149">
        <f t="shared" ca="1" si="27"/>
        <v>91400</v>
      </c>
      <c r="D36" s="150">
        <f t="shared" ca="1" si="52"/>
        <v>91400</v>
      </c>
      <c r="E36" s="151">
        <f ca="1">IFERROR(__xludf.DUMMYFUNCTION("IMPORTRANGE(""https://docs.google.com/spreadsheets/d/1-uDff_7J0KD5mKrp0Vvzr7lt3OU09vwQwhkpOPPYv2Y/edit?usp=sharing"",""งบพรบ!BR36"")"),0)</f>
        <v>0</v>
      </c>
      <c r="F36" s="151">
        <f ca="1">IFERROR(__xludf.DUMMYFUNCTION("IMPORTRANGE(""https://docs.google.com/spreadsheets/d/1-uDff_7J0KD5mKrp0Vvzr7lt3OU09vwQwhkpOPPYv2Y/edit?usp=sharing"",""งบพรบ!BS36"")"),91400)</f>
        <v>91400</v>
      </c>
      <c r="G36" s="151">
        <f ca="1">IFERROR(__xludf.DUMMYFUNCTION("IMPORTRANGE(""https://docs.google.com/spreadsheets/d/1-uDff_7J0KD5mKrp0Vvzr7lt3OU09vwQwhkpOPPYv2Y/edit?usp=sharing"",""งบพรบ!BT36"")"),0)</f>
        <v>0</v>
      </c>
      <c r="H36" s="151">
        <f ca="1">IFERROR(__xludf.DUMMYFUNCTION("IMPORTRANGE(""https://docs.google.com/spreadsheets/d/1-uDff_7J0KD5mKrp0Vvzr7lt3OU09vwQwhkpOPPYv2Y/edit?usp=sharing"",""งบพรบ!BV36"")"),86400)</f>
        <v>86400</v>
      </c>
      <c r="I36" s="151">
        <f ca="1">IFERROR(__xludf.DUMMYFUNCTION("IMPORTRANGE(""https://docs.google.com/spreadsheets/d/1-uDff_7J0KD5mKrp0Vvzr7lt3OU09vwQwhkpOPPYv2Y/edit?usp=sharing"",""งบพรบ!BW36"")"),0)</f>
        <v>0</v>
      </c>
      <c r="J36" s="151">
        <f t="shared" ca="1" si="29"/>
        <v>46070</v>
      </c>
      <c r="K36" s="154">
        <f t="shared" ca="1" si="30"/>
        <v>50.404814004376369</v>
      </c>
      <c r="L36" s="151">
        <f ca="1">IFERROR(__xludf.DUMMYFUNCTION("IMPORTRANGE(""https://docs.google.com/spreadsheets/d/1-uDff_7J0KD5mKrp0Vvzr7lt3OU09vwQwhkpOPPYv2Y/edit?usp=sharing"",""งบพรบ!BX36"")"),46070)</f>
        <v>46070</v>
      </c>
      <c r="M36" s="68">
        <f t="shared" ca="1" si="31"/>
        <v>50.404814004376369</v>
      </c>
      <c r="N36" s="68">
        <f t="shared" ca="1" si="32"/>
        <v>53.32175925925926</v>
      </c>
      <c r="O36" s="67">
        <f ca="1">IFERROR(__xludf.DUMMYFUNCTION("IMPORTRANGE(""https://docs.google.com/spreadsheets/d/1-uDff_7J0KD5mKrp0Vvzr7lt3OU09vwQwhkpOPPYv2Y/edit?usp=sharing"",""งบพรบ!BY36"")"),0)</f>
        <v>0</v>
      </c>
      <c r="P36" s="67">
        <f t="shared" ca="1" si="33"/>
        <v>0</v>
      </c>
      <c r="Q36" s="68">
        <f t="shared" ca="1" si="34"/>
        <v>0</v>
      </c>
      <c r="R36" s="67">
        <f ca="1">IFERROR(__xludf.DUMMYFUNCTION("IMPORTRANGE(""https://docs.google.com/spreadsheets/d/1Mnpb-8PYAgn85W6KOTD40hc_Xc55CaLfHoGAbrZ8tls/edit?usp=sharing"",""นครราชสีมา!Q139"")"),309360)</f>
        <v>309360</v>
      </c>
      <c r="S36" s="67">
        <f ca="1">IFERROR(__xludf.DUMMYFUNCTION("IMPORTRANGE(""https://docs.google.com/spreadsheets/d/1Mnpb-8PYAgn85W6KOTD40hc_Xc55CaLfHoGAbrZ8tls/edit?usp=sharing"",""นครราชสีมา!R139"")"),309360)</f>
        <v>309360</v>
      </c>
      <c r="T36" s="67">
        <f ca="1">IFERROR(__xludf.DUMMYFUNCTION("IMPORTRANGE(""https://docs.google.com/spreadsheets/d/1Mnpb-8PYAgn85W6KOTD40hc_Xc55CaLfHoGAbrZ8tls/edit?usp=sharing"",""นครราชสีมา!S139"")"),0)</f>
        <v>0</v>
      </c>
      <c r="U36" s="68">
        <f t="shared" ca="1" si="36"/>
        <v>0</v>
      </c>
      <c r="V36" s="68">
        <f t="shared" ca="1" si="37"/>
        <v>0</v>
      </c>
      <c r="W36" s="78">
        <f ca="1">IFERROR(__xludf.DUMMYFUNCTION("IMPORTRANGE(""https://docs.google.com/spreadsheets/d/1Mnpb-8PYAgn85W6KOTD40hc_Xc55CaLfHoGAbrZ8tls/edit?usp=sharing"",""นครราชสีมา!J149"")"),0)</f>
        <v>0</v>
      </c>
      <c r="X36" s="78">
        <f ca="1">IFERROR(__xludf.DUMMYFUNCTION("IMPORTRANGE(""https://docs.google.com/spreadsheets/d/1Mnpb-8PYAgn85W6KOTD40hc_Xc55CaLfHoGAbrZ8tls/edit?usp=sharing"",""นครราชสีมา!I150"")"),20)</f>
        <v>20</v>
      </c>
      <c r="Y36" s="78">
        <f ca="1">IFERROR(__xludf.DUMMYFUNCTION("IMPORTRANGE(""https://docs.google.com/spreadsheets/d/1Mnpb-8PYAgn85W6KOTD40hc_Xc55CaLfHoGAbrZ8tls/edit?usp=sharing"",""นครราชสีมา!I151"")"),2)</f>
        <v>2</v>
      </c>
      <c r="Z36" s="78">
        <f ca="1">IFERROR(__xludf.DUMMYFUNCTION("IMPORTRANGE(""https://docs.google.com/spreadsheets/d/1Mnpb-8PYAgn85W6KOTD40hc_Xc55CaLfHoGAbrZ8tls/edit?usp=sharing"",""นครราชสีมา!J150"")"),20)</f>
        <v>20</v>
      </c>
      <c r="AA36" s="79">
        <f t="shared" ca="1" si="39"/>
        <v>100</v>
      </c>
      <c r="AB36" s="78">
        <f ca="1">IFERROR(__xludf.DUMMYFUNCTION("IMPORTRANGE(""https://docs.google.com/spreadsheets/d/1Mnpb-8PYAgn85W6KOTD40hc_Xc55CaLfHoGAbrZ8tls/edit?usp=sharing"",""นครราชสีมา!J151"")"),2)</f>
        <v>2</v>
      </c>
      <c r="AC36" s="79">
        <f t="shared" ca="1" si="40"/>
        <v>100</v>
      </c>
      <c r="AD36" s="78">
        <f ca="1">IFERROR(__xludf.DUMMYFUNCTION("IMPORTRANGE(""https://docs.google.com/spreadsheets/d/1Mnpb-8PYAgn85W6KOTD40hc_Xc55CaLfHoGAbrZ8tls/edit?usp=sharing"",""นครราชสีมา!I152"")"),60)</f>
        <v>60</v>
      </c>
      <c r="AE36" s="78">
        <f ca="1">IFERROR(__xludf.DUMMYFUNCTION("IMPORTRANGE(""https://docs.google.com/spreadsheets/d/1Mnpb-8PYAgn85W6KOTD40hc_Xc55CaLfHoGAbrZ8tls/edit?usp=sharing"",""นครราชสีมา!I153"")"),6)</f>
        <v>6</v>
      </c>
      <c r="AF36" s="78">
        <f ca="1">IFERROR(__xludf.DUMMYFUNCTION("IMPORTRANGE(""https://docs.google.com/spreadsheets/d/1Mnpb-8PYAgn85W6KOTD40hc_Xc55CaLfHoGAbrZ8tls/edit?usp=sharing"",""นครราชสีมา!J152"")"),60)</f>
        <v>60</v>
      </c>
      <c r="AG36" s="79">
        <f t="shared" ca="1" si="42"/>
        <v>100</v>
      </c>
      <c r="AH36" s="78">
        <f ca="1">IFERROR(__xludf.DUMMYFUNCTION("IMPORTRANGE(""https://docs.google.com/spreadsheets/d/1Mnpb-8PYAgn85W6KOTD40hc_Xc55CaLfHoGAbrZ8tls/edit?usp=sharing"",""นครราชสีมา!J153"")"),6)</f>
        <v>6</v>
      </c>
      <c r="AI36" s="79">
        <f t="shared" ca="1" si="43"/>
        <v>100</v>
      </c>
      <c r="AJ36" s="78">
        <f ca="1">IFERROR(__xludf.DUMMYFUNCTION("IMPORTRANGE(""https://docs.google.com/spreadsheets/d/1Mnpb-8PYAgn85W6KOTD40hc_Xc55CaLfHoGAbrZ8tls/edit?usp=sharing"",""นครราชสีมา!I154"")"),2)</f>
        <v>2</v>
      </c>
      <c r="AK36" s="78">
        <f ca="1">IFERROR(__xludf.DUMMYFUNCTION("IMPORTRANGE(""https://docs.google.com/spreadsheets/d/1Mnpb-8PYAgn85W6KOTD40hc_Xc55CaLfHoGAbrZ8tls/edit?usp=sharing"",""นครราชสีมา!J154"")"),0)</f>
        <v>0</v>
      </c>
      <c r="AL36" s="79">
        <f t="shared" ca="1" si="45"/>
        <v>0</v>
      </c>
    </row>
    <row r="37" spans="1:38" ht="21" customHeight="1" x14ac:dyDescent="0.3">
      <c r="A37" s="147">
        <v>6</v>
      </c>
      <c r="B37" s="148" t="s">
        <v>65</v>
      </c>
      <c r="C37" s="149">
        <f t="shared" ca="1" si="27"/>
        <v>23300</v>
      </c>
      <c r="D37" s="150">
        <f t="shared" ca="1" si="52"/>
        <v>23300</v>
      </c>
      <c r="E37" s="151">
        <f ca="1">IFERROR(__xludf.DUMMYFUNCTION("IMPORTRANGE(""https://docs.google.com/spreadsheets/d/1-uDff_7J0KD5mKrp0Vvzr7lt3OU09vwQwhkpOPPYv2Y/edit?usp=sharing"",""งบพรบ!BR37"")"),0)</f>
        <v>0</v>
      </c>
      <c r="F37" s="151">
        <f ca="1">IFERROR(__xludf.DUMMYFUNCTION("IMPORTRANGE(""https://docs.google.com/spreadsheets/d/1-uDff_7J0KD5mKrp0Vvzr7lt3OU09vwQwhkpOPPYv2Y/edit?usp=sharing"",""งบพรบ!BS37"")"),23300)</f>
        <v>23300</v>
      </c>
      <c r="G37" s="151">
        <f ca="1">IFERROR(__xludf.DUMMYFUNCTION("IMPORTRANGE(""https://docs.google.com/spreadsheets/d/1-uDff_7J0KD5mKrp0Vvzr7lt3OU09vwQwhkpOPPYv2Y/edit?usp=sharing"",""งบพรบ!BT37"")"),0)</f>
        <v>0</v>
      </c>
      <c r="H37" s="151">
        <f ca="1">IFERROR(__xludf.DUMMYFUNCTION("IMPORTRANGE(""https://docs.google.com/spreadsheets/d/1-uDff_7J0KD5mKrp0Vvzr7lt3OU09vwQwhkpOPPYv2Y/edit?usp=sharing"",""งบพรบ!BV37"")"),18300)</f>
        <v>18300</v>
      </c>
      <c r="I37" s="151">
        <f ca="1">IFERROR(__xludf.DUMMYFUNCTION("IMPORTRANGE(""https://docs.google.com/spreadsheets/d/1-uDff_7J0KD5mKrp0Vvzr7lt3OU09vwQwhkpOPPYv2Y/edit?usp=sharing"",""งบพรบ!BW37"")"),0)</f>
        <v>0</v>
      </c>
      <c r="J37" s="151">
        <f t="shared" ca="1" si="29"/>
        <v>18290</v>
      </c>
      <c r="K37" s="154">
        <f t="shared" ca="1" si="30"/>
        <v>78.497854077253223</v>
      </c>
      <c r="L37" s="151">
        <f ca="1">IFERROR(__xludf.DUMMYFUNCTION("IMPORTRANGE(""https://docs.google.com/spreadsheets/d/1-uDff_7J0KD5mKrp0Vvzr7lt3OU09vwQwhkpOPPYv2Y/edit?usp=sharing"",""งบพรบ!BX37"")"),18290)</f>
        <v>18290</v>
      </c>
      <c r="M37" s="68">
        <f t="shared" ca="1" si="31"/>
        <v>78.497854077253223</v>
      </c>
      <c r="N37" s="68">
        <f t="shared" ca="1" si="32"/>
        <v>99.945355191256837</v>
      </c>
      <c r="O37" s="67">
        <f ca="1">IFERROR(__xludf.DUMMYFUNCTION("IMPORTRANGE(""https://docs.google.com/spreadsheets/d/1-uDff_7J0KD5mKrp0Vvzr7lt3OU09vwQwhkpOPPYv2Y/edit?usp=sharing"",""งบพรบ!BY37"")"),0)</f>
        <v>0</v>
      </c>
      <c r="P37" s="67">
        <f t="shared" ca="1" si="33"/>
        <v>0</v>
      </c>
      <c r="Q37" s="68">
        <f t="shared" ca="1" si="34"/>
        <v>0</v>
      </c>
      <c r="R37" s="67">
        <f ca="1">IFERROR(__xludf.DUMMYFUNCTION("IMPORTRANGE(""https://docs.google.com/spreadsheets/d/1xoDLGBv9CYbyosIhki0kTq6IpYNj-gpjxfobnaDiut0/edit?usp=sharing"",""บึงกาฬ!Q139"")"),39860)</f>
        <v>39860</v>
      </c>
      <c r="S37" s="67">
        <f ca="1">IFERROR(__xludf.DUMMYFUNCTION("IMPORTRANGE(""https://docs.google.com/spreadsheets/d/1xoDLGBv9CYbyosIhki0kTq6IpYNj-gpjxfobnaDiut0/edit?usp=sharing"",""บึงกาฬ!R139"")"),39860)</f>
        <v>39860</v>
      </c>
      <c r="T37" s="67">
        <f ca="1">IFERROR(__xludf.DUMMYFUNCTION("IMPORTRANGE(""https://docs.google.com/spreadsheets/d/1xoDLGBv9CYbyosIhki0kTq6IpYNj-gpjxfobnaDiut0/edit?usp=sharing"",""บึงกาฬ!S139"")"),36232)</f>
        <v>36232</v>
      </c>
      <c r="U37" s="68">
        <f t="shared" ca="1" si="36"/>
        <v>90.898143502257909</v>
      </c>
      <c r="V37" s="68">
        <f t="shared" ca="1" si="37"/>
        <v>90.898143502257909</v>
      </c>
      <c r="W37" s="78">
        <f ca="1">IFERROR(__xludf.DUMMYFUNCTION("IMPORTRANGE(""https://docs.google.com/spreadsheets/d/1xoDLGBv9CYbyosIhki0kTq6IpYNj-gpjxfobnaDiut0/edit?usp=sharing"",""บึงกาฬ!J149"")"),0)</f>
        <v>0</v>
      </c>
      <c r="X37" s="78">
        <f ca="1">IFERROR(__xludf.DUMMYFUNCTION("IMPORTRANGE(""https://docs.google.com/spreadsheets/d/1xoDLGBv9CYbyosIhki0kTq6IpYNj-gpjxfobnaDiut0/edit?usp=sharing"",""บึงกาฬ!I150"")"),0)</f>
        <v>0</v>
      </c>
      <c r="Y37" s="78">
        <f ca="1">IFERROR(__xludf.DUMMYFUNCTION("IMPORTRANGE(""https://docs.google.com/spreadsheets/d/1xoDLGBv9CYbyosIhki0kTq6IpYNj-gpjxfobnaDiut0/edit?usp=sharing"",""บึงกาฬ!I151"")"),0)</f>
        <v>0</v>
      </c>
      <c r="Z37" s="78">
        <f ca="1">IFERROR(__xludf.DUMMYFUNCTION("IMPORTRANGE(""https://docs.google.com/spreadsheets/d/1xoDLGBv9CYbyosIhki0kTq6IpYNj-gpjxfobnaDiut0/edit?usp=sharing"",""บึงกาฬ!J150"")"),0)</f>
        <v>0</v>
      </c>
      <c r="AA37" s="79">
        <f t="shared" ca="1" si="39"/>
        <v>0</v>
      </c>
      <c r="AB37" s="78">
        <f ca="1">IFERROR(__xludf.DUMMYFUNCTION("IMPORTRANGE(""https://docs.google.com/spreadsheets/d/1xoDLGBv9CYbyosIhki0kTq6IpYNj-gpjxfobnaDiut0/edit?usp=sharing"",""บึงกาฬ!J151"")"),0)</f>
        <v>0</v>
      </c>
      <c r="AC37" s="79">
        <f t="shared" ca="1" si="40"/>
        <v>0</v>
      </c>
      <c r="AD37" s="78">
        <f ca="1">IFERROR(__xludf.DUMMYFUNCTION("IMPORTRANGE(""https://docs.google.com/spreadsheets/d/1xoDLGBv9CYbyosIhki0kTq6IpYNj-gpjxfobnaDiut0/edit?usp=sharing"",""บึงกาฬ!I152"")"),10)</f>
        <v>10</v>
      </c>
      <c r="AE37" s="78">
        <f ca="1">IFERROR(__xludf.DUMMYFUNCTION("IMPORTRANGE(""https://docs.google.com/spreadsheets/d/1xoDLGBv9CYbyosIhki0kTq6IpYNj-gpjxfobnaDiut0/edit?usp=sharing"",""บึงกาฬ!I153"")"),1)</f>
        <v>1</v>
      </c>
      <c r="AF37" s="78">
        <f ca="1">IFERROR(__xludf.DUMMYFUNCTION("IMPORTRANGE(""https://docs.google.com/spreadsheets/d/1xoDLGBv9CYbyosIhki0kTq6IpYNj-gpjxfobnaDiut0/edit?usp=sharing"",""บึงกาฬ!J152"")"),10)</f>
        <v>10</v>
      </c>
      <c r="AG37" s="79">
        <f t="shared" ca="1" si="42"/>
        <v>100</v>
      </c>
      <c r="AH37" s="78">
        <f ca="1">IFERROR(__xludf.DUMMYFUNCTION("IMPORTRANGE(""https://docs.google.com/spreadsheets/d/1xoDLGBv9CYbyosIhki0kTq6IpYNj-gpjxfobnaDiut0/edit?usp=sharing"",""บึงกาฬ!J153"")"),1)</f>
        <v>1</v>
      </c>
      <c r="AI37" s="79">
        <f t="shared" ca="1" si="43"/>
        <v>100</v>
      </c>
      <c r="AJ37" s="78">
        <f ca="1">IFERROR(__xludf.DUMMYFUNCTION("IMPORTRANGE(""https://docs.google.com/spreadsheets/d/1xoDLGBv9CYbyosIhki0kTq6IpYNj-gpjxfobnaDiut0/edit?usp=sharing"",""บึงกาฬ!I154"")"),0)</f>
        <v>0</v>
      </c>
      <c r="AK37" s="78">
        <f ca="1">IFERROR(__xludf.DUMMYFUNCTION("IMPORTRANGE(""https://docs.google.com/spreadsheets/d/1xoDLGBv9CYbyosIhki0kTq6IpYNj-gpjxfobnaDiut0/edit?usp=sharing"",""บึงกาฬ!J154"")"),0)</f>
        <v>0</v>
      </c>
      <c r="AL37" s="79">
        <f t="shared" ca="1" si="45"/>
        <v>0</v>
      </c>
    </row>
    <row r="38" spans="1:38" ht="21" customHeight="1" x14ac:dyDescent="0.3">
      <c r="A38" s="147">
        <v>7</v>
      </c>
      <c r="B38" s="148" t="s">
        <v>66</v>
      </c>
      <c r="C38" s="149">
        <f t="shared" ca="1" si="27"/>
        <v>0</v>
      </c>
      <c r="D38" s="150">
        <f t="shared" ca="1" si="52"/>
        <v>0</v>
      </c>
      <c r="E38" s="151">
        <f ca="1">IFERROR(__xludf.DUMMYFUNCTION("IMPORTRANGE(""https://docs.google.com/spreadsheets/d/1-uDff_7J0KD5mKrp0Vvzr7lt3OU09vwQwhkpOPPYv2Y/edit?usp=sharing"",""งบพรบ!BR38"")"),0)</f>
        <v>0</v>
      </c>
      <c r="F38" s="151">
        <f ca="1">IFERROR(__xludf.DUMMYFUNCTION("IMPORTRANGE(""https://docs.google.com/spreadsheets/d/1-uDff_7J0KD5mKrp0Vvzr7lt3OU09vwQwhkpOPPYv2Y/edit?usp=sharing"",""งบพรบ!BS38"")"),0)</f>
        <v>0</v>
      </c>
      <c r="G38" s="151">
        <f ca="1">IFERROR(__xludf.DUMMYFUNCTION("IMPORTRANGE(""https://docs.google.com/spreadsheets/d/1-uDff_7J0KD5mKrp0Vvzr7lt3OU09vwQwhkpOPPYv2Y/edit?usp=sharing"",""งบพรบ!BT38"")"),0)</f>
        <v>0</v>
      </c>
      <c r="H38" s="151">
        <f ca="1">IFERROR(__xludf.DUMMYFUNCTION("IMPORTRANGE(""https://docs.google.com/spreadsheets/d/1-uDff_7J0KD5mKrp0Vvzr7lt3OU09vwQwhkpOPPYv2Y/edit?usp=sharing"",""งบพรบ!BV38"")"),0)</f>
        <v>0</v>
      </c>
      <c r="I38" s="151">
        <f ca="1">IFERROR(__xludf.DUMMYFUNCTION("IMPORTRANGE(""https://docs.google.com/spreadsheets/d/1-uDff_7J0KD5mKrp0Vvzr7lt3OU09vwQwhkpOPPYv2Y/edit?usp=sharing"",""งบพรบ!BW38"")"),0)</f>
        <v>0</v>
      </c>
      <c r="J38" s="151">
        <f t="shared" ca="1" si="29"/>
        <v>0</v>
      </c>
      <c r="K38" s="154">
        <f t="shared" ca="1" si="30"/>
        <v>0</v>
      </c>
      <c r="L38" s="151">
        <f ca="1">IFERROR(__xludf.DUMMYFUNCTION("IMPORTRANGE(""https://docs.google.com/spreadsheets/d/1-uDff_7J0KD5mKrp0Vvzr7lt3OU09vwQwhkpOPPYv2Y/edit?usp=sharing"",""งบพรบ!BX38"")"),0)</f>
        <v>0</v>
      </c>
      <c r="M38" s="68">
        <f t="shared" ca="1" si="31"/>
        <v>0</v>
      </c>
      <c r="N38" s="68">
        <f t="shared" ca="1" si="32"/>
        <v>0</v>
      </c>
      <c r="O38" s="67">
        <f ca="1">IFERROR(__xludf.DUMMYFUNCTION("IMPORTRANGE(""https://docs.google.com/spreadsheets/d/1-uDff_7J0KD5mKrp0Vvzr7lt3OU09vwQwhkpOPPYv2Y/edit?usp=sharing"",""งบพรบ!BY38"")"),0)</f>
        <v>0</v>
      </c>
      <c r="P38" s="67">
        <f t="shared" ca="1" si="33"/>
        <v>0</v>
      </c>
      <c r="Q38" s="68">
        <f t="shared" ca="1" si="34"/>
        <v>0</v>
      </c>
      <c r="R38" s="67">
        <f ca="1">IFERROR(__xludf.DUMMYFUNCTION("IMPORTRANGE(""https://docs.google.com/spreadsheets/d/1MMPq-JyI6DSgQETxuSiXkesP-P7JHuemnE6QJIa-Nlw/edit?usp=sharing"",""บุรีรัมย์!Q139"")"),0)</f>
        <v>0</v>
      </c>
      <c r="S38" s="67">
        <f ca="1">IFERROR(__xludf.DUMMYFUNCTION("IMPORTRANGE(""https://docs.google.com/spreadsheets/d/1MMPq-JyI6DSgQETxuSiXkesP-P7JHuemnE6QJIa-Nlw/edit?usp=sharing"",""บุรีรัมย์!R139"")"),0)</f>
        <v>0</v>
      </c>
      <c r="T38" s="67">
        <f ca="1">IFERROR(__xludf.DUMMYFUNCTION("IMPORTRANGE(""https://docs.google.com/spreadsheets/d/1MMPq-JyI6DSgQETxuSiXkesP-P7JHuemnE6QJIa-Nlw/edit?usp=sharing"",""บุรีรัมย์!S139"")"),0)</f>
        <v>0</v>
      </c>
      <c r="U38" s="68">
        <f t="shared" ca="1" si="36"/>
        <v>0</v>
      </c>
      <c r="V38" s="68">
        <f t="shared" ca="1" si="37"/>
        <v>0</v>
      </c>
      <c r="W38" s="78">
        <f ca="1">IFERROR(__xludf.DUMMYFUNCTION("IMPORTRANGE(""https://docs.google.com/spreadsheets/d/1MMPq-JyI6DSgQETxuSiXkesP-P7JHuemnE6QJIa-Nlw/edit?usp=sharing"",""บุรีรัมย์!J149"")"),0)</f>
        <v>0</v>
      </c>
      <c r="X38" s="78">
        <f ca="1">IFERROR(__xludf.DUMMYFUNCTION("IMPORTRANGE(""https://docs.google.com/spreadsheets/d/1MMPq-JyI6DSgQETxuSiXkesP-P7JHuemnE6QJIa-Nlw/edit?usp=sharing"",""บุรีรัมย์!I150"")"),0)</f>
        <v>0</v>
      </c>
      <c r="Y38" s="78">
        <f ca="1">IFERROR(__xludf.DUMMYFUNCTION("IMPORTRANGE(""https://docs.google.com/spreadsheets/d/1MMPq-JyI6DSgQETxuSiXkesP-P7JHuemnE6QJIa-Nlw/edit?usp=sharing"",""บุรีรัมย์!I151"")"),0)</f>
        <v>0</v>
      </c>
      <c r="Z38" s="78">
        <f ca="1">IFERROR(__xludf.DUMMYFUNCTION("IMPORTRANGE(""https://docs.google.com/spreadsheets/d/1MMPq-JyI6DSgQETxuSiXkesP-P7JHuemnE6QJIa-Nlw/edit?usp=sharing"",""บุรีรัมย์!J150"")"),0)</f>
        <v>0</v>
      </c>
      <c r="AA38" s="79">
        <f t="shared" ca="1" si="39"/>
        <v>0</v>
      </c>
      <c r="AB38" s="78">
        <f ca="1">IFERROR(__xludf.DUMMYFUNCTION("IMPORTRANGE(""https://docs.google.com/spreadsheets/d/1MMPq-JyI6DSgQETxuSiXkesP-P7JHuemnE6QJIa-Nlw/edit?usp=sharing"",""บุรีรัมย์!J151"")"),0)</f>
        <v>0</v>
      </c>
      <c r="AC38" s="79">
        <f t="shared" ca="1" si="40"/>
        <v>0</v>
      </c>
      <c r="AD38" s="78">
        <f ca="1">IFERROR(__xludf.DUMMYFUNCTION("IMPORTRANGE(""https://docs.google.com/spreadsheets/d/1MMPq-JyI6DSgQETxuSiXkesP-P7JHuemnE6QJIa-Nlw/edit?usp=sharing"",""บุรีรัมย์!I152"")"),0)</f>
        <v>0</v>
      </c>
      <c r="AE38" s="78">
        <f ca="1">IFERROR(__xludf.DUMMYFUNCTION("IMPORTRANGE(""https://docs.google.com/spreadsheets/d/1MMPq-JyI6DSgQETxuSiXkesP-P7JHuemnE6QJIa-Nlw/edit?usp=sharing"",""บุรีรัมย์!I153"")"),0)</f>
        <v>0</v>
      </c>
      <c r="AF38" s="78">
        <f ca="1">IFERROR(__xludf.DUMMYFUNCTION("IMPORTRANGE(""https://docs.google.com/spreadsheets/d/1MMPq-JyI6DSgQETxuSiXkesP-P7JHuemnE6QJIa-Nlw/edit?usp=sharing"",""บุรีรัมย์!J152"")"),0)</f>
        <v>0</v>
      </c>
      <c r="AG38" s="79">
        <f t="shared" ca="1" si="42"/>
        <v>0</v>
      </c>
      <c r="AH38" s="78">
        <f ca="1">IFERROR(__xludf.DUMMYFUNCTION("IMPORTRANGE(""https://docs.google.com/spreadsheets/d/1MMPq-JyI6DSgQETxuSiXkesP-P7JHuemnE6QJIa-Nlw/edit?usp=sharing"",""บุรีรัมย์!J153"")"),0)</f>
        <v>0</v>
      </c>
      <c r="AI38" s="79">
        <f t="shared" ca="1" si="43"/>
        <v>0</v>
      </c>
      <c r="AJ38" s="78">
        <f ca="1">IFERROR(__xludf.DUMMYFUNCTION("IMPORTRANGE(""https://docs.google.com/spreadsheets/d/1MMPq-JyI6DSgQETxuSiXkesP-P7JHuemnE6QJIa-Nlw/edit?usp=sharing"",""บุรีรัมย์!I154"")"),0)</f>
        <v>0</v>
      </c>
      <c r="AK38" s="78">
        <f ca="1">IFERROR(__xludf.DUMMYFUNCTION("IMPORTRANGE(""https://docs.google.com/spreadsheets/d/1MMPq-JyI6DSgQETxuSiXkesP-P7JHuemnE6QJIa-Nlw/edit?usp=sharing"",""บุรีรัมย์!J154"")"),0)</f>
        <v>0</v>
      </c>
      <c r="AL38" s="79">
        <f t="shared" ca="1" si="45"/>
        <v>0</v>
      </c>
    </row>
    <row r="39" spans="1:38" ht="21" customHeight="1" x14ac:dyDescent="0.3">
      <c r="A39" s="147">
        <v>8</v>
      </c>
      <c r="B39" s="148" t="s">
        <v>67</v>
      </c>
      <c r="C39" s="149">
        <f t="shared" ca="1" si="27"/>
        <v>48200</v>
      </c>
      <c r="D39" s="150">
        <f t="shared" ca="1" si="52"/>
        <v>48200</v>
      </c>
      <c r="E39" s="151">
        <f ca="1">IFERROR(__xludf.DUMMYFUNCTION("IMPORTRANGE(""https://docs.google.com/spreadsheets/d/1-uDff_7J0KD5mKrp0Vvzr7lt3OU09vwQwhkpOPPYv2Y/edit?usp=sharing"",""งบพรบ!BR39"")"),0)</f>
        <v>0</v>
      </c>
      <c r="F39" s="151">
        <f ca="1">IFERROR(__xludf.DUMMYFUNCTION("IMPORTRANGE(""https://docs.google.com/spreadsheets/d/1-uDff_7J0KD5mKrp0Vvzr7lt3OU09vwQwhkpOPPYv2Y/edit?usp=sharing"",""งบพรบ!BS39"")"),48200)</f>
        <v>48200</v>
      </c>
      <c r="G39" s="151">
        <f ca="1">IFERROR(__xludf.DUMMYFUNCTION("IMPORTRANGE(""https://docs.google.com/spreadsheets/d/1-uDff_7J0KD5mKrp0Vvzr7lt3OU09vwQwhkpOPPYv2Y/edit?usp=sharing"",""งบพรบ!BT39"")"),0)</f>
        <v>0</v>
      </c>
      <c r="H39" s="151">
        <f ca="1">IFERROR(__xludf.DUMMYFUNCTION("IMPORTRANGE(""https://docs.google.com/spreadsheets/d/1-uDff_7J0KD5mKrp0Vvzr7lt3OU09vwQwhkpOPPYv2Y/edit?usp=sharing"",""งบพรบ!BV39"")"),43200)</f>
        <v>43200</v>
      </c>
      <c r="I39" s="151">
        <f ca="1">IFERROR(__xludf.DUMMYFUNCTION("IMPORTRANGE(""https://docs.google.com/spreadsheets/d/1-uDff_7J0KD5mKrp0Vvzr7lt3OU09vwQwhkpOPPYv2Y/edit?usp=sharing"",""งบพรบ!BW39"")"),0)</f>
        <v>0</v>
      </c>
      <c r="J39" s="151">
        <f t="shared" ca="1" si="29"/>
        <v>31769</v>
      </c>
      <c r="K39" s="154">
        <f t="shared" ca="1" si="30"/>
        <v>65.910788381742734</v>
      </c>
      <c r="L39" s="151">
        <f ca="1">IFERROR(__xludf.DUMMYFUNCTION("IMPORTRANGE(""https://docs.google.com/spreadsheets/d/1-uDff_7J0KD5mKrp0Vvzr7lt3OU09vwQwhkpOPPYv2Y/edit?usp=sharing"",""งบพรบ!BX39"")"),31769)</f>
        <v>31769</v>
      </c>
      <c r="M39" s="68">
        <f t="shared" ca="1" si="31"/>
        <v>65.910788381742734</v>
      </c>
      <c r="N39" s="68">
        <f t="shared" ca="1" si="32"/>
        <v>73.539351851851848</v>
      </c>
      <c r="O39" s="67">
        <f ca="1">IFERROR(__xludf.DUMMYFUNCTION("IMPORTRANGE(""https://docs.google.com/spreadsheets/d/1-uDff_7J0KD5mKrp0Vvzr7lt3OU09vwQwhkpOPPYv2Y/edit?usp=sharing"",""งบพรบ!BY39"")"),0)</f>
        <v>0</v>
      </c>
      <c r="P39" s="67">
        <f t="shared" ca="1" si="33"/>
        <v>0</v>
      </c>
      <c r="Q39" s="68">
        <f t="shared" ca="1" si="34"/>
        <v>0</v>
      </c>
      <c r="R39" s="67">
        <f ca="1">IFERROR(__xludf.DUMMYFUNCTION("IMPORTRANGE(""https://docs.google.com/spreadsheets/d/1l6IZ8xUPgMrESzcTYwhA1k_tPjeQjJPTqlm8Gd9eU5g/edit?usp=sharing"",""มหาสารคาม!Q139"")"),39510)</f>
        <v>39510</v>
      </c>
      <c r="S39" s="67">
        <f ca="1">IFERROR(__xludf.DUMMYFUNCTION("IMPORTRANGE(""https://docs.google.com/spreadsheets/d/1l6IZ8xUPgMrESzcTYwhA1k_tPjeQjJPTqlm8Gd9eU5g/edit?usp=sharing"",""มหาสารคาม!R139"")"),39510)</f>
        <v>39510</v>
      </c>
      <c r="T39" s="67">
        <f ca="1">IFERROR(__xludf.DUMMYFUNCTION("IMPORTRANGE(""https://docs.google.com/spreadsheets/d/1l6IZ8xUPgMrESzcTYwhA1k_tPjeQjJPTqlm8Gd9eU5g/edit?usp=sharing"",""มหาสารคาม!S139"")"),34245)</f>
        <v>34245</v>
      </c>
      <c r="U39" s="68">
        <f t="shared" ca="1" si="36"/>
        <v>86.674259681093389</v>
      </c>
      <c r="V39" s="68">
        <f t="shared" ca="1" si="37"/>
        <v>86.674259681093389</v>
      </c>
      <c r="W39" s="78">
        <f ca="1">IFERROR(__xludf.DUMMYFUNCTION("IMPORTRANGE(""https://docs.google.com/spreadsheets/d/1l6IZ8xUPgMrESzcTYwhA1k_tPjeQjJPTqlm8Gd9eU5g/edit?usp=sharing"",""มหาสารคาม!J149"")"),0)</f>
        <v>0</v>
      </c>
      <c r="X39" s="78">
        <f ca="1">IFERROR(__xludf.DUMMYFUNCTION("IMPORTRANGE(""https://docs.google.com/spreadsheets/d/1l6IZ8xUPgMrESzcTYwhA1k_tPjeQjJPTqlm8Gd9eU5g/edit?usp=sharing"",""มหาสารคาม!I150"")"),0)</f>
        <v>0</v>
      </c>
      <c r="Y39" s="78">
        <f ca="1">IFERROR(__xludf.DUMMYFUNCTION("IMPORTRANGE(""https://docs.google.com/spreadsheets/d/1l6IZ8xUPgMrESzcTYwhA1k_tPjeQjJPTqlm8Gd9eU5g/edit?usp=sharing"",""มหาสารคาม!I151"")"),0)</f>
        <v>0</v>
      </c>
      <c r="Z39" s="78">
        <f ca="1">IFERROR(__xludf.DUMMYFUNCTION("IMPORTRANGE(""https://docs.google.com/spreadsheets/d/1l6IZ8xUPgMrESzcTYwhA1k_tPjeQjJPTqlm8Gd9eU5g/edit?usp=sharing"",""มหาสารคาม!J150"")"),0)</f>
        <v>0</v>
      </c>
      <c r="AA39" s="79">
        <f t="shared" ca="1" si="39"/>
        <v>0</v>
      </c>
      <c r="AB39" s="78">
        <f ca="1">IFERROR(__xludf.DUMMYFUNCTION("IMPORTRANGE(""https://docs.google.com/spreadsheets/d/1l6IZ8xUPgMrESzcTYwhA1k_tPjeQjJPTqlm8Gd9eU5g/edit?usp=sharing"",""มหาสารคาม!J151"")"),0)</f>
        <v>0</v>
      </c>
      <c r="AC39" s="79">
        <f t="shared" ca="1" si="40"/>
        <v>0</v>
      </c>
      <c r="AD39" s="78">
        <f ca="1">IFERROR(__xludf.DUMMYFUNCTION("IMPORTRANGE(""https://docs.google.com/spreadsheets/d/1l6IZ8xUPgMrESzcTYwhA1k_tPjeQjJPTqlm8Gd9eU5g/edit?usp=sharing"",""มหาสารคาม!I152"")"),40)</f>
        <v>40</v>
      </c>
      <c r="AE39" s="78">
        <f ca="1">IFERROR(__xludf.DUMMYFUNCTION("IMPORTRANGE(""https://docs.google.com/spreadsheets/d/1l6IZ8xUPgMrESzcTYwhA1k_tPjeQjJPTqlm8Gd9eU5g/edit?usp=sharing"",""มหาสารคาม!I153"")"),4)</f>
        <v>4</v>
      </c>
      <c r="AF39" s="78">
        <f ca="1">IFERROR(__xludf.DUMMYFUNCTION("IMPORTRANGE(""https://docs.google.com/spreadsheets/d/1l6IZ8xUPgMrESzcTYwhA1k_tPjeQjJPTqlm8Gd9eU5g/edit?usp=sharing"",""มหาสารคาม!J152"")"),40)</f>
        <v>40</v>
      </c>
      <c r="AG39" s="79">
        <f t="shared" ca="1" si="42"/>
        <v>100</v>
      </c>
      <c r="AH39" s="78">
        <f ca="1">IFERROR(__xludf.DUMMYFUNCTION("IMPORTRANGE(""https://docs.google.com/spreadsheets/d/1l6IZ8xUPgMrESzcTYwhA1k_tPjeQjJPTqlm8Gd9eU5g/edit?usp=sharing"",""มหาสารคาม!J153"")"),4)</f>
        <v>4</v>
      </c>
      <c r="AI39" s="79">
        <f t="shared" ca="1" si="43"/>
        <v>100</v>
      </c>
      <c r="AJ39" s="78">
        <f ca="1">IFERROR(__xludf.DUMMYFUNCTION("IMPORTRANGE(""https://docs.google.com/spreadsheets/d/1l6IZ8xUPgMrESzcTYwhA1k_tPjeQjJPTqlm8Gd9eU5g/edit?usp=sharing"",""มหาสารคาม!I154"")"),0)</f>
        <v>0</v>
      </c>
      <c r="AK39" s="78">
        <f ca="1">IFERROR(__xludf.DUMMYFUNCTION("IMPORTRANGE(""https://docs.google.com/spreadsheets/d/1l6IZ8xUPgMrESzcTYwhA1k_tPjeQjJPTqlm8Gd9eU5g/edit?usp=sharing"",""มหาสารคาม!J154"")"),0)</f>
        <v>0</v>
      </c>
      <c r="AL39" s="79">
        <f t="shared" ca="1" si="45"/>
        <v>0</v>
      </c>
    </row>
    <row r="40" spans="1:38" ht="21" customHeight="1" x14ac:dyDescent="0.3">
      <c r="A40" s="147">
        <v>9</v>
      </c>
      <c r="B40" s="148" t="s">
        <v>68</v>
      </c>
      <c r="C40" s="149">
        <f t="shared" ca="1" si="27"/>
        <v>31600</v>
      </c>
      <c r="D40" s="150">
        <f t="shared" ca="1" si="52"/>
        <v>31600</v>
      </c>
      <c r="E40" s="151">
        <f ca="1">IFERROR(__xludf.DUMMYFUNCTION("IMPORTRANGE(""https://docs.google.com/spreadsheets/d/1-uDff_7J0KD5mKrp0Vvzr7lt3OU09vwQwhkpOPPYv2Y/edit?usp=sharing"",""งบพรบ!BR40"")"),0)</f>
        <v>0</v>
      </c>
      <c r="F40" s="151">
        <f ca="1">IFERROR(__xludf.DUMMYFUNCTION("IMPORTRANGE(""https://docs.google.com/spreadsheets/d/1-uDff_7J0KD5mKrp0Vvzr7lt3OU09vwQwhkpOPPYv2Y/edit?usp=sharing"",""งบพรบ!BS40"")"),31600)</f>
        <v>31600</v>
      </c>
      <c r="G40" s="151">
        <f ca="1">IFERROR(__xludf.DUMMYFUNCTION("IMPORTRANGE(""https://docs.google.com/spreadsheets/d/1-uDff_7J0KD5mKrp0Vvzr7lt3OU09vwQwhkpOPPYv2Y/edit?usp=sharing"",""งบพรบ!BT40"")"),0)</f>
        <v>0</v>
      </c>
      <c r="H40" s="151">
        <f ca="1">IFERROR(__xludf.DUMMYFUNCTION("IMPORTRANGE(""https://docs.google.com/spreadsheets/d/1-uDff_7J0KD5mKrp0Vvzr7lt3OU09vwQwhkpOPPYv2Y/edit?usp=sharing"",""งบพรบ!BV40"")"),26600)</f>
        <v>26600</v>
      </c>
      <c r="I40" s="151">
        <f ca="1">IFERROR(__xludf.DUMMYFUNCTION("IMPORTRANGE(""https://docs.google.com/spreadsheets/d/1-uDff_7J0KD5mKrp0Vvzr7lt3OU09vwQwhkpOPPYv2Y/edit?usp=sharing"",""งบพรบ!BW40"")"),0)</f>
        <v>0</v>
      </c>
      <c r="J40" s="151">
        <f t="shared" ca="1" si="29"/>
        <v>26600</v>
      </c>
      <c r="K40" s="154">
        <f t="shared" ca="1" si="30"/>
        <v>84.177215189873422</v>
      </c>
      <c r="L40" s="151">
        <f ca="1">IFERROR(__xludf.DUMMYFUNCTION("IMPORTRANGE(""https://docs.google.com/spreadsheets/d/1-uDff_7J0KD5mKrp0Vvzr7lt3OU09vwQwhkpOPPYv2Y/edit?usp=sharing"",""งบพรบ!BX40"")"),26600)</f>
        <v>26600</v>
      </c>
      <c r="M40" s="68">
        <f t="shared" ca="1" si="31"/>
        <v>84.177215189873422</v>
      </c>
      <c r="N40" s="68">
        <f t="shared" ca="1" si="32"/>
        <v>100</v>
      </c>
      <c r="O40" s="67">
        <f ca="1">IFERROR(__xludf.DUMMYFUNCTION("IMPORTRANGE(""https://docs.google.com/spreadsheets/d/1-uDff_7J0KD5mKrp0Vvzr7lt3OU09vwQwhkpOPPYv2Y/edit?usp=sharing"",""งบพรบ!BY40"")"),0)</f>
        <v>0</v>
      </c>
      <c r="P40" s="67">
        <f t="shared" ca="1" si="33"/>
        <v>0</v>
      </c>
      <c r="Q40" s="68">
        <f t="shared" ca="1" si="34"/>
        <v>0</v>
      </c>
      <c r="R40" s="67">
        <f ca="1">IFERROR(__xludf.DUMMYFUNCTION("IMPORTRANGE(""https://docs.google.com/spreadsheets/d/1uB74YLqNjWX6FObjekfB2NtSYigTQyR2rq9u4Ub2Sq4/edit?usp=sharing"",""มุกดาหาร!Q139"")"),44860)</f>
        <v>44860</v>
      </c>
      <c r="S40" s="67">
        <f ca="1">IFERROR(__xludf.DUMMYFUNCTION("IMPORTRANGE(""https://docs.google.com/spreadsheets/d/1uB74YLqNjWX6FObjekfB2NtSYigTQyR2rq9u4Ub2Sq4/edit?usp=sharing"",""มุกดาหาร!R139"")"),44860)</f>
        <v>44860</v>
      </c>
      <c r="T40" s="67">
        <f ca="1">IFERROR(__xludf.DUMMYFUNCTION("IMPORTRANGE(""https://docs.google.com/spreadsheets/d/1uB74YLqNjWX6FObjekfB2NtSYigTQyR2rq9u4Ub2Sq4/edit?usp=sharing"",""มุกดาหาร!S139"")"),11720)</f>
        <v>11720</v>
      </c>
      <c r="U40" s="68">
        <f t="shared" ca="1" si="36"/>
        <v>26.125724476148015</v>
      </c>
      <c r="V40" s="68">
        <f t="shared" ca="1" si="37"/>
        <v>26.125724476148015</v>
      </c>
      <c r="W40" s="78">
        <f ca="1">IFERROR(__xludf.DUMMYFUNCTION("IMPORTRANGE(""https://docs.google.com/spreadsheets/d/1uB74YLqNjWX6FObjekfB2NtSYigTQyR2rq9u4Ub2Sq4/edit?usp=sharing"",""มุกดาหาร!J149"")"),0)</f>
        <v>0</v>
      </c>
      <c r="X40" s="78">
        <f ca="1">IFERROR(__xludf.DUMMYFUNCTION("IMPORTRANGE(""https://docs.google.com/spreadsheets/d/1uB74YLqNjWX6FObjekfB2NtSYigTQyR2rq9u4Ub2Sq4/edit?usp=sharing"",""มุกดาหาร!I150"")"),0)</f>
        <v>0</v>
      </c>
      <c r="Y40" s="78">
        <f ca="1">IFERROR(__xludf.DUMMYFUNCTION("IMPORTRANGE(""https://docs.google.com/spreadsheets/d/1uB74YLqNjWX6FObjekfB2NtSYigTQyR2rq9u4Ub2Sq4/edit?usp=sharing"",""มุกดาหาร!I151"")"),0)</f>
        <v>0</v>
      </c>
      <c r="Z40" s="78">
        <f ca="1">IFERROR(__xludf.DUMMYFUNCTION("IMPORTRANGE(""https://docs.google.com/spreadsheets/d/1uB74YLqNjWX6FObjekfB2NtSYigTQyR2rq9u4Ub2Sq4/edit?usp=sharing"",""มุกดาหาร!J150"")"),10)</f>
        <v>10</v>
      </c>
      <c r="AA40" s="79">
        <f t="shared" ca="1" si="39"/>
        <v>0</v>
      </c>
      <c r="AB40" s="78">
        <f ca="1">IFERROR(__xludf.DUMMYFUNCTION("IMPORTRANGE(""https://docs.google.com/spreadsheets/d/1uB74YLqNjWX6FObjekfB2NtSYigTQyR2rq9u4Ub2Sq4/edit?usp=sharing"",""มุกดาหาร!J151"")"),0)</f>
        <v>0</v>
      </c>
      <c r="AC40" s="79">
        <f t="shared" ca="1" si="40"/>
        <v>0</v>
      </c>
      <c r="AD40" s="78">
        <f ca="1">IFERROR(__xludf.DUMMYFUNCTION("IMPORTRANGE(""https://docs.google.com/spreadsheets/d/1uB74YLqNjWX6FObjekfB2NtSYigTQyR2rq9u4Ub2Sq4/edit?usp=sharing"",""มุกดาหาร!I152"")"),20)</f>
        <v>20</v>
      </c>
      <c r="AE40" s="78">
        <f ca="1">IFERROR(__xludf.DUMMYFUNCTION("IMPORTRANGE(""https://docs.google.com/spreadsheets/d/1uB74YLqNjWX6FObjekfB2NtSYigTQyR2rq9u4Ub2Sq4/edit?usp=sharing"",""มุกดาหาร!I153"")"),2)</f>
        <v>2</v>
      </c>
      <c r="AF40" s="78">
        <f ca="1">IFERROR(__xludf.DUMMYFUNCTION("IMPORTRANGE(""https://docs.google.com/spreadsheets/d/1uB74YLqNjWX6FObjekfB2NtSYigTQyR2rq9u4Ub2Sq4/edit?usp=sharing"",""มุกดาหาร!J152"")"),20)</f>
        <v>20</v>
      </c>
      <c r="AG40" s="79">
        <f t="shared" ca="1" si="42"/>
        <v>100</v>
      </c>
      <c r="AH40" s="78">
        <f ca="1">IFERROR(__xludf.DUMMYFUNCTION("IMPORTRANGE(""https://docs.google.com/spreadsheets/d/1uB74YLqNjWX6FObjekfB2NtSYigTQyR2rq9u4Ub2Sq4/edit?usp=sharing"",""มุกดาหาร!J153"")"),2)</f>
        <v>2</v>
      </c>
      <c r="AI40" s="79">
        <f t="shared" ca="1" si="43"/>
        <v>100</v>
      </c>
      <c r="AJ40" s="78">
        <f ca="1">IFERROR(__xludf.DUMMYFUNCTION("IMPORTRANGE(""https://docs.google.com/spreadsheets/d/1uB74YLqNjWX6FObjekfB2NtSYigTQyR2rq9u4Ub2Sq4/edit?usp=sharing"",""มุกดาหาร!I154"")"),0)</f>
        <v>0</v>
      </c>
      <c r="AK40" s="78">
        <f ca="1">IFERROR(__xludf.DUMMYFUNCTION("IMPORTRANGE(""https://docs.google.com/spreadsheets/d/1uB74YLqNjWX6FObjekfB2NtSYigTQyR2rq9u4Ub2Sq4/edit?usp=sharing"",""มุกดาหาร!J154"")"),0)</f>
        <v>0</v>
      </c>
      <c r="AL40" s="79">
        <f t="shared" ca="1" si="45"/>
        <v>0</v>
      </c>
    </row>
    <row r="41" spans="1:38" ht="21" customHeight="1" x14ac:dyDescent="0.3">
      <c r="A41" s="147">
        <v>10</v>
      </c>
      <c r="B41" s="148" t="s">
        <v>69</v>
      </c>
      <c r="C41" s="149">
        <f t="shared" ca="1" si="27"/>
        <v>31600</v>
      </c>
      <c r="D41" s="150">
        <f t="shared" ca="1" si="52"/>
        <v>31600</v>
      </c>
      <c r="E41" s="151">
        <f ca="1">IFERROR(__xludf.DUMMYFUNCTION("IMPORTRANGE(""https://docs.google.com/spreadsheets/d/1-uDff_7J0KD5mKrp0Vvzr7lt3OU09vwQwhkpOPPYv2Y/edit?usp=sharing"",""งบพรบ!BR41"")"),0)</f>
        <v>0</v>
      </c>
      <c r="F41" s="151">
        <f ca="1">IFERROR(__xludf.DUMMYFUNCTION("IMPORTRANGE(""https://docs.google.com/spreadsheets/d/1-uDff_7J0KD5mKrp0Vvzr7lt3OU09vwQwhkpOPPYv2Y/edit?usp=sharing"",""งบพรบ!BS41"")"),31600)</f>
        <v>31600</v>
      </c>
      <c r="G41" s="151">
        <f ca="1">IFERROR(__xludf.DUMMYFUNCTION("IMPORTRANGE(""https://docs.google.com/spreadsheets/d/1-uDff_7J0KD5mKrp0Vvzr7lt3OU09vwQwhkpOPPYv2Y/edit?usp=sharing"",""งบพรบ!BT41"")"),0)</f>
        <v>0</v>
      </c>
      <c r="H41" s="151">
        <f ca="1">IFERROR(__xludf.DUMMYFUNCTION("IMPORTRANGE(""https://docs.google.com/spreadsheets/d/1-uDff_7J0KD5mKrp0Vvzr7lt3OU09vwQwhkpOPPYv2Y/edit?usp=sharing"",""งบพรบ!BV41"")"),26600)</f>
        <v>26600</v>
      </c>
      <c r="I41" s="151">
        <f ca="1">IFERROR(__xludf.DUMMYFUNCTION("IMPORTRANGE(""https://docs.google.com/spreadsheets/d/1-uDff_7J0KD5mKrp0Vvzr7lt3OU09vwQwhkpOPPYv2Y/edit?usp=sharing"",""งบพรบ!BW41"")"),0)</f>
        <v>0</v>
      </c>
      <c r="J41" s="151">
        <f t="shared" ca="1" si="29"/>
        <v>26600</v>
      </c>
      <c r="K41" s="154">
        <f t="shared" ca="1" si="30"/>
        <v>84.177215189873422</v>
      </c>
      <c r="L41" s="151">
        <f ca="1">IFERROR(__xludf.DUMMYFUNCTION("IMPORTRANGE(""https://docs.google.com/spreadsheets/d/1-uDff_7J0KD5mKrp0Vvzr7lt3OU09vwQwhkpOPPYv2Y/edit?usp=sharing"",""งบพรบ!BX41"")"),26600)</f>
        <v>26600</v>
      </c>
      <c r="M41" s="68">
        <f t="shared" ca="1" si="31"/>
        <v>84.177215189873422</v>
      </c>
      <c r="N41" s="68">
        <f t="shared" ca="1" si="32"/>
        <v>100</v>
      </c>
      <c r="O41" s="67">
        <f ca="1">IFERROR(__xludf.DUMMYFUNCTION("IMPORTRANGE(""https://docs.google.com/spreadsheets/d/1-uDff_7J0KD5mKrp0Vvzr7lt3OU09vwQwhkpOPPYv2Y/edit?usp=sharing"",""งบพรบ!BY41"")"),0)</f>
        <v>0</v>
      </c>
      <c r="P41" s="67">
        <f t="shared" ca="1" si="33"/>
        <v>0</v>
      </c>
      <c r="Q41" s="68">
        <f t="shared" ca="1" si="34"/>
        <v>0</v>
      </c>
      <c r="R41" s="67">
        <f ca="1">IFERROR(__xludf.DUMMYFUNCTION("IMPORTRANGE(""https://docs.google.com/spreadsheets/d/1NexK3geCPxCTO1fzNF8dPec7yZyUx3OaWkFBC9HsQOo/edit?usp=sharing"",""ยโสธร!Q139"")"),44860)</f>
        <v>44860</v>
      </c>
      <c r="S41" s="67">
        <f ca="1">IFERROR(__xludf.DUMMYFUNCTION("IMPORTRANGE(""https://docs.google.com/spreadsheets/d/1NexK3geCPxCTO1fzNF8dPec7yZyUx3OaWkFBC9HsQOo/edit?usp=sharing"",""ยโสธร!R139"")"),44860)</f>
        <v>44860</v>
      </c>
      <c r="T41" s="67">
        <f ca="1">IFERROR(__xludf.DUMMYFUNCTION("IMPORTRANGE(""https://docs.google.com/spreadsheets/d/1NexK3geCPxCTO1fzNF8dPec7yZyUx3OaWkFBC9HsQOo/edit?usp=sharing"",""ยโสธร!S139"")"),22400)</f>
        <v>22400</v>
      </c>
      <c r="U41" s="68">
        <f t="shared" ca="1" si="36"/>
        <v>49.933125278644674</v>
      </c>
      <c r="V41" s="68">
        <f t="shared" ca="1" si="37"/>
        <v>49.933125278644674</v>
      </c>
      <c r="W41" s="78">
        <f ca="1">IFERROR(__xludf.DUMMYFUNCTION("IMPORTRANGE(""https://docs.google.com/spreadsheets/d/1NexK3geCPxCTO1fzNF8dPec7yZyUx3OaWkFBC9HsQOo/edit?usp=sharing"",""ยโสธร!J149"")"),0)</f>
        <v>0</v>
      </c>
      <c r="X41" s="78">
        <f ca="1">IFERROR(__xludf.DUMMYFUNCTION("IMPORTRANGE(""https://docs.google.com/spreadsheets/d/1NexK3geCPxCTO1fzNF8dPec7yZyUx3OaWkFBC9HsQOo/edit?usp=sharing"",""ยโสธร!I150"")"),0)</f>
        <v>0</v>
      </c>
      <c r="Y41" s="78">
        <f ca="1">IFERROR(__xludf.DUMMYFUNCTION("IMPORTRANGE(""https://docs.google.com/spreadsheets/d/1NexK3geCPxCTO1fzNF8dPec7yZyUx3OaWkFBC9HsQOo/edit?usp=sharing"",""ยโสธร!I151"")"),0)</f>
        <v>0</v>
      </c>
      <c r="Z41" s="78">
        <f ca="1">IFERROR(__xludf.DUMMYFUNCTION("IMPORTRANGE(""https://docs.google.com/spreadsheets/d/1NexK3geCPxCTO1fzNF8dPec7yZyUx3OaWkFBC9HsQOo/edit?usp=sharing"",""ยโสธร!J150"")"),0)</f>
        <v>0</v>
      </c>
      <c r="AA41" s="79">
        <f t="shared" ca="1" si="39"/>
        <v>0</v>
      </c>
      <c r="AB41" s="78">
        <f ca="1">IFERROR(__xludf.DUMMYFUNCTION("IMPORTRANGE(""https://docs.google.com/spreadsheets/d/1NexK3geCPxCTO1fzNF8dPec7yZyUx3OaWkFBC9HsQOo/edit?usp=sharing"",""ยโสธร!J151"")"),0)</f>
        <v>0</v>
      </c>
      <c r="AC41" s="79">
        <f t="shared" ca="1" si="40"/>
        <v>0</v>
      </c>
      <c r="AD41" s="78">
        <f ca="1">IFERROR(__xludf.DUMMYFUNCTION("IMPORTRANGE(""https://docs.google.com/spreadsheets/d/1NexK3geCPxCTO1fzNF8dPec7yZyUx3OaWkFBC9HsQOo/edit?usp=sharing"",""ยโสธร!I152"")"),20)</f>
        <v>20</v>
      </c>
      <c r="AE41" s="78">
        <f ca="1">IFERROR(__xludf.DUMMYFUNCTION("IMPORTRANGE(""https://docs.google.com/spreadsheets/d/1NexK3geCPxCTO1fzNF8dPec7yZyUx3OaWkFBC9HsQOo/edit?usp=sharing"",""ยโสธร!I153"")"),2)</f>
        <v>2</v>
      </c>
      <c r="AF41" s="78">
        <f ca="1">IFERROR(__xludf.DUMMYFUNCTION("IMPORTRANGE(""https://docs.google.com/spreadsheets/d/1NexK3geCPxCTO1fzNF8dPec7yZyUx3OaWkFBC9HsQOo/edit?usp=sharing"",""ยโสธร!J152"")"),20)</f>
        <v>20</v>
      </c>
      <c r="AG41" s="79">
        <f t="shared" ca="1" si="42"/>
        <v>100</v>
      </c>
      <c r="AH41" s="78">
        <f ca="1">IFERROR(__xludf.DUMMYFUNCTION("IMPORTRANGE(""https://docs.google.com/spreadsheets/d/1NexK3geCPxCTO1fzNF8dPec7yZyUx3OaWkFBC9HsQOo/edit?usp=sharing"",""ยโสธร!J153"")"),2)</f>
        <v>2</v>
      </c>
      <c r="AI41" s="79">
        <f t="shared" ca="1" si="43"/>
        <v>100</v>
      </c>
      <c r="AJ41" s="78">
        <f ca="1">IFERROR(__xludf.DUMMYFUNCTION("IMPORTRANGE(""https://docs.google.com/spreadsheets/d/1NexK3geCPxCTO1fzNF8dPec7yZyUx3OaWkFBC9HsQOo/edit?usp=sharing"",""ยโสธร!I154"")"),0)</f>
        <v>0</v>
      </c>
      <c r="AK41" s="78">
        <f ca="1">IFERROR(__xludf.DUMMYFUNCTION("IMPORTRANGE(""https://docs.google.com/spreadsheets/d/1NexK3geCPxCTO1fzNF8dPec7yZyUx3OaWkFBC9HsQOo/edit?usp=sharing"",""ยโสธร!J154"")"),0)</f>
        <v>0</v>
      </c>
      <c r="AL41" s="79">
        <f t="shared" ca="1" si="45"/>
        <v>0</v>
      </c>
    </row>
    <row r="42" spans="1:38" ht="21" customHeight="1" x14ac:dyDescent="0.3">
      <c r="A42" s="147">
        <v>11</v>
      </c>
      <c r="B42" s="148" t="s">
        <v>70</v>
      </c>
      <c r="C42" s="149">
        <f t="shared" ca="1" si="27"/>
        <v>0</v>
      </c>
      <c r="D42" s="150">
        <f t="shared" ca="1" si="52"/>
        <v>0</v>
      </c>
      <c r="E42" s="151">
        <f ca="1">IFERROR(__xludf.DUMMYFUNCTION("IMPORTRANGE(""https://docs.google.com/spreadsheets/d/1-uDff_7J0KD5mKrp0Vvzr7lt3OU09vwQwhkpOPPYv2Y/edit?usp=sharing"",""งบพรบ!BR42"")"),0)</f>
        <v>0</v>
      </c>
      <c r="F42" s="151">
        <f ca="1">IFERROR(__xludf.DUMMYFUNCTION("IMPORTRANGE(""https://docs.google.com/spreadsheets/d/1-uDff_7J0KD5mKrp0Vvzr7lt3OU09vwQwhkpOPPYv2Y/edit?usp=sharing"",""งบพรบ!BS42"")"),0)</f>
        <v>0</v>
      </c>
      <c r="G42" s="151">
        <f ca="1">IFERROR(__xludf.DUMMYFUNCTION("IMPORTRANGE(""https://docs.google.com/spreadsheets/d/1-uDff_7J0KD5mKrp0Vvzr7lt3OU09vwQwhkpOPPYv2Y/edit?usp=sharing"",""งบพรบ!BT42"")"),0)</f>
        <v>0</v>
      </c>
      <c r="H42" s="151">
        <f ca="1">IFERROR(__xludf.DUMMYFUNCTION("IMPORTRANGE(""https://docs.google.com/spreadsheets/d/1-uDff_7J0KD5mKrp0Vvzr7lt3OU09vwQwhkpOPPYv2Y/edit?usp=sharing"",""งบพรบ!BV42"")"),0)</f>
        <v>0</v>
      </c>
      <c r="I42" s="151">
        <f ca="1">IFERROR(__xludf.DUMMYFUNCTION("IMPORTRANGE(""https://docs.google.com/spreadsheets/d/1-uDff_7J0KD5mKrp0Vvzr7lt3OU09vwQwhkpOPPYv2Y/edit?usp=sharing"",""งบพรบ!BW42"")"),0)</f>
        <v>0</v>
      </c>
      <c r="J42" s="151">
        <f t="shared" ca="1" si="29"/>
        <v>0</v>
      </c>
      <c r="K42" s="154">
        <f t="shared" ca="1" si="30"/>
        <v>0</v>
      </c>
      <c r="L42" s="151">
        <f ca="1">IFERROR(__xludf.DUMMYFUNCTION("IMPORTRANGE(""https://docs.google.com/spreadsheets/d/1-uDff_7J0KD5mKrp0Vvzr7lt3OU09vwQwhkpOPPYv2Y/edit?usp=sharing"",""งบพรบ!BX42"")"),0)</f>
        <v>0</v>
      </c>
      <c r="M42" s="68">
        <f t="shared" ca="1" si="31"/>
        <v>0</v>
      </c>
      <c r="N42" s="68">
        <f t="shared" ca="1" si="32"/>
        <v>0</v>
      </c>
      <c r="O42" s="67">
        <f ca="1">IFERROR(__xludf.DUMMYFUNCTION("IMPORTRANGE(""https://docs.google.com/spreadsheets/d/1-uDff_7J0KD5mKrp0Vvzr7lt3OU09vwQwhkpOPPYv2Y/edit?usp=sharing"",""งบพรบ!BY42"")"),0)</f>
        <v>0</v>
      </c>
      <c r="P42" s="67">
        <f t="shared" ca="1" si="33"/>
        <v>0</v>
      </c>
      <c r="Q42" s="68">
        <f t="shared" ca="1" si="34"/>
        <v>0</v>
      </c>
      <c r="R42" s="67">
        <f ca="1">IFERROR(__xludf.DUMMYFUNCTION("IMPORTRANGE(""https://docs.google.com/spreadsheets/d/1v_cJrbBlyqmnHPReHk44g9NrMRdENNlSy_E_c5M9fIg/edit?usp=sharing"",""ร้อยเอ็ด!Q139"")"),0)</f>
        <v>0</v>
      </c>
      <c r="S42" s="67">
        <f ca="1">IFERROR(__xludf.DUMMYFUNCTION("IMPORTRANGE(""https://docs.google.com/spreadsheets/d/1v_cJrbBlyqmnHPReHk44g9NrMRdENNlSy_E_c5M9fIg/edit?usp=sharing"",""ร้อยเอ็ด!R139"")"),0)</f>
        <v>0</v>
      </c>
      <c r="T42" s="67">
        <f ca="1">IFERROR(__xludf.DUMMYFUNCTION("IMPORTRANGE(""https://docs.google.com/spreadsheets/d/1v_cJrbBlyqmnHPReHk44g9NrMRdENNlSy_E_c5M9fIg/edit?usp=sharing"",""ร้อยเอ็ด!S139"")"),0)</f>
        <v>0</v>
      </c>
      <c r="U42" s="68">
        <f t="shared" ca="1" si="36"/>
        <v>0</v>
      </c>
      <c r="V42" s="68">
        <f t="shared" ca="1" si="37"/>
        <v>0</v>
      </c>
      <c r="W42" s="78">
        <f ca="1">IFERROR(__xludf.DUMMYFUNCTION("IMPORTRANGE(""https://docs.google.com/spreadsheets/d/1v_cJrbBlyqmnHPReHk44g9NrMRdENNlSy_E_c5M9fIg/edit?usp=sharing"",""ร้อยเอ็ด!J149"")"),0)</f>
        <v>0</v>
      </c>
      <c r="X42" s="78">
        <f ca="1">IFERROR(__xludf.DUMMYFUNCTION("IMPORTRANGE(""https://docs.google.com/spreadsheets/d/1v_cJrbBlyqmnHPReHk44g9NrMRdENNlSy_E_c5M9fIg/edit?usp=sharing"",""ร้อยเอ็ด!I150"")"),0)</f>
        <v>0</v>
      </c>
      <c r="Y42" s="78">
        <f ca="1">IFERROR(__xludf.DUMMYFUNCTION("IMPORTRANGE(""https://docs.google.com/spreadsheets/d/1v_cJrbBlyqmnHPReHk44g9NrMRdENNlSy_E_c5M9fIg/edit?usp=sharing"",""ร้อยเอ็ด!I151"")"),0)</f>
        <v>0</v>
      </c>
      <c r="Z42" s="78">
        <f ca="1">IFERROR(__xludf.DUMMYFUNCTION("IMPORTRANGE(""https://docs.google.com/spreadsheets/d/1v_cJrbBlyqmnHPReHk44g9NrMRdENNlSy_E_c5M9fIg/edit?usp=sharing"",""ร้อยเอ็ด!J150"")"),0)</f>
        <v>0</v>
      </c>
      <c r="AA42" s="79">
        <f t="shared" ca="1" si="39"/>
        <v>0</v>
      </c>
      <c r="AB42" s="78">
        <f ca="1">IFERROR(__xludf.DUMMYFUNCTION("IMPORTRANGE(""https://docs.google.com/spreadsheets/d/1v_cJrbBlyqmnHPReHk44g9NrMRdENNlSy_E_c5M9fIg/edit?usp=sharing"",""ร้อยเอ็ด!J151"")"),0)</f>
        <v>0</v>
      </c>
      <c r="AC42" s="79">
        <f t="shared" ca="1" si="40"/>
        <v>0</v>
      </c>
      <c r="AD42" s="78">
        <f ca="1">IFERROR(__xludf.DUMMYFUNCTION("IMPORTRANGE(""https://docs.google.com/spreadsheets/d/1v_cJrbBlyqmnHPReHk44g9NrMRdENNlSy_E_c5M9fIg/edit?usp=sharing"",""ร้อยเอ็ด!I152"")"),0)</f>
        <v>0</v>
      </c>
      <c r="AE42" s="78">
        <f ca="1">IFERROR(__xludf.DUMMYFUNCTION("IMPORTRANGE(""https://docs.google.com/spreadsheets/d/1v_cJrbBlyqmnHPReHk44g9NrMRdENNlSy_E_c5M9fIg/edit?usp=sharing"",""ร้อยเอ็ด!I153"")"),0)</f>
        <v>0</v>
      </c>
      <c r="AF42" s="78">
        <f ca="1">IFERROR(__xludf.DUMMYFUNCTION("IMPORTRANGE(""https://docs.google.com/spreadsheets/d/1v_cJrbBlyqmnHPReHk44g9NrMRdENNlSy_E_c5M9fIg/edit?usp=sharing"",""ร้อยเอ็ด!J152"")"),0)</f>
        <v>0</v>
      </c>
      <c r="AG42" s="79">
        <f t="shared" ca="1" si="42"/>
        <v>0</v>
      </c>
      <c r="AH42" s="78">
        <f ca="1">IFERROR(__xludf.DUMMYFUNCTION("IMPORTRANGE(""https://docs.google.com/spreadsheets/d/1v_cJrbBlyqmnHPReHk44g9NrMRdENNlSy_E_c5M9fIg/edit?usp=sharing"",""ร้อยเอ็ด!J153"")"),0)</f>
        <v>0</v>
      </c>
      <c r="AI42" s="79">
        <f t="shared" ca="1" si="43"/>
        <v>0</v>
      </c>
      <c r="AJ42" s="78">
        <f ca="1">IFERROR(__xludf.DUMMYFUNCTION("IMPORTRANGE(""https://docs.google.com/spreadsheets/d/1v_cJrbBlyqmnHPReHk44g9NrMRdENNlSy_E_c5M9fIg/edit?usp=sharing"",""ร้อยเอ็ด!I154"")"),0)</f>
        <v>0</v>
      </c>
      <c r="AK42" s="78">
        <f ca="1">IFERROR(__xludf.DUMMYFUNCTION("IMPORTRANGE(""https://docs.google.com/spreadsheets/d/1v_cJrbBlyqmnHPReHk44g9NrMRdENNlSy_E_c5M9fIg/edit?usp=sharing"",""ร้อยเอ็ด!J154"")"),0)</f>
        <v>0</v>
      </c>
      <c r="AL42" s="79">
        <f t="shared" ca="1" si="45"/>
        <v>0</v>
      </c>
    </row>
    <row r="43" spans="1:38" ht="21" customHeight="1" x14ac:dyDescent="0.3">
      <c r="A43" s="147">
        <v>12</v>
      </c>
      <c r="B43" s="148" t="s">
        <v>71</v>
      </c>
      <c r="C43" s="149">
        <f t="shared" ca="1" si="27"/>
        <v>117600</v>
      </c>
      <c r="D43" s="150">
        <f t="shared" ca="1" si="52"/>
        <v>117600</v>
      </c>
      <c r="E43" s="151">
        <f ca="1">IFERROR(__xludf.DUMMYFUNCTION("IMPORTRANGE(""https://docs.google.com/spreadsheets/d/1-uDff_7J0KD5mKrp0Vvzr7lt3OU09vwQwhkpOPPYv2Y/edit?usp=sharing"",""งบพรบ!BR43"")"),86000)</f>
        <v>86000</v>
      </c>
      <c r="F43" s="151">
        <f ca="1">IFERROR(__xludf.DUMMYFUNCTION("IMPORTRANGE(""https://docs.google.com/spreadsheets/d/1-uDff_7J0KD5mKrp0Vvzr7lt3OU09vwQwhkpOPPYv2Y/edit?usp=sharing"",""งบพรบ!BS43"")"),31600)</f>
        <v>31600</v>
      </c>
      <c r="G43" s="151">
        <f ca="1">IFERROR(__xludf.DUMMYFUNCTION("IMPORTRANGE(""https://docs.google.com/spreadsheets/d/1-uDff_7J0KD5mKrp0Vvzr7lt3OU09vwQwhkpOPPYv2Y/edit?usp=sharing"",""งบพรบ!BT43"")"),0)</f>
        <v>0</v>
      </c>
      <c r="H43" s="151">
        <f ca="1">IFERROR(__xludf.DUMMYFUNCTION("IMPORTRANGE(""https://docs.google.com/spreadsheets/d/1-uDff_7J0KD5mKrp0Vvzr7lt3OU09vwQwhkpOPPYv2Y/edit?usp=sharing"",""งบพรบ!BV43"")"),112600)</f>
        <v>112600</v>
      </c>
      <c r="I43" s="151">
        <f ca="1">IFERROR(__xludf.DUMMYFUNCTION("IMPORTRANGE(""https://docs.google.com/spreadsheets/d/1-uDff_7J0KD5mKrp0Vvzr7lt3OU09vwQwhkpOPPYv2Y/edit?usp=sharing"",""งบพรบ!BW43"")"),0)</f>
        <v>0</v>
      </c>
      <c r="J43" s="151">
        <f t="shared" ca="1" si="29"/>
        <v>110600</v>
      </c>
      <c r="K43" s="154">
        <f t="shared" ca="1" si="30"/>
        <v>94.047619047619051</v>
      </c>
      <c r="L43" s="151">
        <f ca="1">IFERROR(__xludf.DUMMYFUNCTION("IMPORTRANGE(""https://docs.google.com/spreadsheets/d/1-uDff_7J0KD5mKrp0Vvzr7lt3OU09vwQwhkpOPPYv2Y/edit?usp=sharing"",""งบพรบ!BX43"")"),110600)</f>
        <v>110600</v>
      </c>
      <c r="M43" s="68">
        <f t="shared" ca="1" si="31"/>
        <v>94.047619047619051</v>
      </c>
      <c r="N43" s="68">
        <f t="shared" ca="1" si="32"/>
        <v>98.223801065719357</v>
      </c>
      <c r="O43" s="67">
        <f ca="1">IFERROR(__xludf.DUMMYFUNCTION("IMPORTRANGE(""https://docs.google.com/spreadsheets/d/1-uDff_7J0KD5mKrp0Vvzr7lt3OU09vwQwhkpOPPYv2Y/edit?usp=sharing"",""งบพรบ!BY43"")"),0)</f>
        <v>0</v>
      </c>
      <c r="P43" s="67">
        <f t="shared" ca="1" si="33"/>
        <v>0</v>
      </c>
      <c r="Q43" s="68">
        <f t="shared" ca="1" si="34"/>
        <v>0</v>
      </c>
      <c r="R43" s="67">
        <f ca="1">IFERROR(__xludf.DUMMYFUNCTION("IMPORTRANGE(""https://docs.google.com/spreadsheets/d/1Ul4RCpCX66NxYADU1QpwAPjOmBzW64SsT11s1wzXw_c/edit?usp=sharing"",""เลย!Q139"")"),44860)</f>
        <v>44860</v>
      </c>
      <c r="S43" s="67">
        <f ca="1">IFERROR(__xludf.DUMMYFUNCTION("IMPORTRANGE(""https://docs.google.com/spreadsheets/d/1Ul4RCpCX66NxYADU1QpwAPjOmBzW64SsT11s1wzXw_c/edit?usp=sharing"",""เลย!R139"")"),44860)</f>
        <v>44860</v>
      </c>
      <c r="T43" s="67">
        <f ca="1">IFERROR(__xludf.DUMMYFUNCTION("IMPORTRANGE(""https://docs.google.com/spreadsheets/d/1Ul4RCpCX66NxYADU1QpwAPjOmBzW64SsT11s1wzXw_c/edit?usp=sharing"",""เลย!S139"")"),0)</f>
        <v>0</v>
      </c>
      <c r="U43" s="68">
        <f t="shared" ca="1" si="36"/>
        <v>0</v>
      </c>
      <c r="V43" s="68">
        <f t="shared" ca="1" si="37"/>
        <v>0</v>
      </c>
      <c r="W43" s="78">
        <f ca="1">IFERROR(__xludf.DUMMYFUNCTION("IMPORTRANGE(""https://docs.google.com/spreadsheets/d/1Ul4RCpCX66NxYADU1QpwAPjOmBzW64SsT11s1wzXw_c/edit?usp=sharing"",""เลย!J149"")"),0)</f>
        <v>0</v>
      </c>
      <c r="X43" s="78">
        <f ca="1">IFERROR(__xludf.DUMMYFUNCTION("IMPORTRANGE(""https://docs.google.com/spreadsheets/d/1Ul4RCpCX66NxYADU1QpwAPjOmBzW64SsT11s1wzXw_c/edit?usp=sharing"",""เลย!I150"")"),0)</f>
        <v>0</v>
      </c>
      <c r="Y43" s="78">
        <f ca="1">IFERROR(__xludf.DUMMYFUNCTION("IMPORTRANGE(""https://docs.google.com/spreadsheets/d/1Ul4RCpCX66NxYADU1QpwAPjOmBzW64SsT11s1wzXw_c/edit?usp=sharing"",""เลย!I151"")"),0)</f>
        <v>0</v>
      </c>
      <c r="Z43" s="78">
        <f ca="1">IFERROR(__xludf.DUMMYFUNCTION("IMPORTRANGE(""https://docs.google.com/spreadsheets/d/1Ul4RCpCX66NxYADU1QpwAPjOmBzW64SsT11s1wzXw_c/edit?usp=sharing"",""เลย!J150"")"),0)</f>
        <v>0</v>
      </c>
      <c r="AA43" s="79">
        <f t="shared" ca="1" si="39"/>
        <v>0</v>
      </c>
      <c r="AB43" s="78">
        <f ca="1">IFERROR(__xludf.DUMMYFUNCTION("IMPORTRANGE(""https://docs.google.com/spreadsheets/d/1Ul4RCpCX66NxYADU1QpwAPjOmBzW64SsT11s1wzXw_c/edit?usp=sharing"",""เลย!J151"")"),0)</f>
        <v>0</v>
      </c>
      <c r="AC43" s="79">
        <f t="shared" ca="1" si="40"/>
        <v>0</v>
      </c>
      <c r="AD43" s="78">
        <f ca="1">IFERROR(__xludf.DUMMYFUNCTION("IMPORTRANGE(""https://docs.google.com/spreadsheets/d/1Ul4RCpCX66NxYADU1QpwAPjOmBzW64SsT11s1wzXw_c/edit?usp=sharing"",""เลย!I152"")"),20)</f>
        <v>20</v>
      </c>
      <c r="AE43" s="78">
        <f ca="1">IFERROR(__xludf.DUMMYFUNCTION("IMPORTRANGE(""https://docs.google.com/spreadsheets/d/1Ul4RCpCX66NxYADU1QpwAPjOmBzW64SsT11s1wzXw_c/edit?usp=sharing"",""เลย!I153"")"),2)</f>
        <v>2</v>
      </c>
      <c r="AF43" s="78">
        <f ca="1">IFERROR(__xludf.DUMMYFUNCTION("IMPORTRANGE(""https://docs.google.com/spreadsheets/d/1Ul4RCpCX66NxYADU1QpwAPjOmBzW64SsT11s1wzXw_c/edit?usp=sharing"",""เลย!J152"")"),20)</f>
        <v>20</v>
      </c>
      <c r="AG43" s="79">
        <f t="shared" ca="1" si="42"/>
        <v>100</v>
      </c>
      <c r="AH43" s="78">
        <f ca="1">IFERROR(__xludf.DUMMYFUNCTION("IMPORTRANGE(""https://docs.google.com/spreadsheets/d/1Ul4RCpCX66NxYADU1QpwAPjOmBzW64SsT11s1wzXw_c/edit?usp=sharing"",""เลย!J153"")"),2)</f>
        <v>2</v>
      </c>
      <c r="AI43" s="79">
        <f t="shared" ca="1" si="43"/>
        <v>100</v>
      </c>
      <c r="AJ43" s="78">
        <f ca="1">IFERROR(__xludf.DUMMYFUNCTION("IMPORTRANGE(""https://docs.google.com/spreadsheets/d/1Ul4RCpCX66NxYADU1QpwAPjOmBzW64SsT11s1wzXw_c/edit?usp=sharing"",""เลย!I154"")"),0)</f>
        <v>0</v>
      </c>
      <c r="AK43" s="78">
        <f ca="1">IFERROR(__xludf.DUMMYFUNCTION("IMPORTRANGE(""https://docs.google.com/spreadsheets/d/1Ul4RCpCX66NxYADU1QpwAPjOmBzW64SsT11s1wzXw_c/edit?usp=sharing"",""เลย!J154"")"),0)</f>
        <v>0</v>
      </c>
      <c r="AL43" s="79">
        <f t="shared" ca="1" si="45"/>
        <v>0</v>
      </c>
    </row>
    <row r="44" spans="1:38" ht="21" customHeight="1" x14ac:dyDescent="0.3">
      <c r="A44" s="147">
        <v>13</v>
      </c>
      <c r="B44" s="148" t="s">
        <v>72</v>
      </c>
      <c r="C44" s="149">
        <f t="shared" ca="1" si="27"/>
        <v>0</v>
      </c>
      <c r="D44" s="150">
        <f t="shared" ca="1" si="52"/>
        <v>0</v>
      </c>
      <c r="E44" s="151">
        <f ca="1">IFERROR(__xludf.DUMMYFUNCTION("IMPORTRANGE(""https://docs.google.com/spreadsheets/d/1-uDff_7J0KD5mKrp0Vvzr7lt3OU09vwQwhkpOPPYv2Y/edit?usp=sharing"",""งบพรบ!BR44"")"),0)</f>
        <v>0</v>
      </c>
      <c r="F44" s="151">
        <f ca="1">IFERROR(__xludf.DUMMYFUNCTION("IMPORTRANGE(""https://docs.google.com/spreadsheets/d/1-uDff_7J0KD5mKrp0Vvzr7lt3OU09vwQwhkpOPPYv2Y/edit?usp=sharing"",""งบพรบ!BS44"")"),0)</f>
        <v>0</v>
      </c>
      <c r="G44" s="151">
        <f ca="1">IFERROR(__xludf.DUMMYFUNCTION("IMPORTRANGE(""https://docs.google.com/spreadsheets/d/1-uDff_7J0KD5mKrp0Vvzr7lt3OU09vwQwhkpOPPYv2Y/edit?usp=sharing"",""งบพรบ!BT44"")"),0)</f>
        <v>0</v>
      </c>
      <c r="H44" s="151">
        <f ca="1">IFERROR(__xludf.DUMMYFUNCTION("IMPORTRANGE(""https://docs.google.com/spreadsheets/d/1-uDff_7J0KD5mKrp0Vvzr7lt3OU09vwQwhkpOPPYv2Y/edit?usp=sharing"",""งบพรบ!BV44"")"),0)</f>
        <v>0</v>
      </c>
      <c r="I44" s="151">
        <f ca="1">IFERROR(__xludf.DUMMYFUNCTION("IMPORTRANGE(""https://docs.google.com/spreadsheets/d/1-uDff_7J0KD5mKrp0Vvzr7lt3OU09vwQwhkpOPPYv2Y/edit?usp=sharing"",""งบพรบ!BW44"")"),0)</f>
        <v>0</v>
      </c>
      <c r="J44" s="151">
        <f t="shared" ca="1" si="29"/>
        <v>0</v>
      </c>
      <c r="K44" s="154">
        <f t="shared" ca="1" si="30"/>
        <v>0</v>
      </c>
      <c r="L44" s="151">
        <f ca="1">IFERROR(__xludf.DUMMYFUNCTION("IMPORTRANGE(""https://docs.google.com/spreadsheets/d/1-uDff_7J0KD5mKrp0Vvzr7lt3OU09vwQwhkpOPPYv2Y/edit?usp=sharing"",""งบพรบ!BX44"")"),0)</f>
        <v>0</v>
      </c>
      <c r="M44" s="68">
        <f t="shared" ca="1" si="31"/>
        <v>0</v>
      </c>
      <c r="N44" s="68">
        <f t="shared" ca="1" si="32"/>
        <v>0</v>
      </c>
      <c r="O44" s="67">
        <f ca="1">IFERROR(__xludf.DUMMYFUNCTION("IMPORTRANGE(""https://docs.google.com/spreadsheets/d/1-uDff_7J0KD5mKrp0Vvzr7lt3OU09vwQwhkpOPPYv2Y/edit?usp=sharing"",""งบพรบ!BY44"")"),0)</f>
        <v>0</v>
      </c>
      <c r="P44" s="67">
        <f t="shared" ca="1" si="33"/>
        <v>0</v>
      </c>
      <c r="Q44" s="68">
        <f t="shared" ca="1" si="34"/>
        <v>0</v>
      </c>
      <c r="R44" s="67">
        <f ca="1">IFERROR(__xludf.DUMMYFUNCTION("IMPORTRANGE(""https://docs.google.com/spreadsheets/d/1bRrNKwbHDVktQG10isr5vbWRtt5spIZPpkOSWgbT5ug/edit?usp=sharing"",""ศรีสะเกษ!Q139"")"),0)</f>
        <v>0</v>
      </c>
      <c r="S44" s="67">
        <f ca="1">IFERROR(__xludf.DUMMYFUNCTION("IMPORTRANGE(""https://docs.google.com/spreadsheets/d/1bRrNKwbHDVktQG10isr5vbWRtt5spIZPpkOSWgbT5ug/edit?usp=sharing"",""ศรีสะเกษ!R139"")"),0)</f>
        <v>0</v>
      </c>
      <c r="T44" s="67">
        <f ca="1">IFERROR(__xludf.DUMMYFUNCTION("IMPORTRANGE(""https://docs.google.com/spreadsheets/d/1bRrNKwbHDVktQG10isr5vbWRtt5spIZPpkOSWgbT5ug/edit?usp=sharing"",""ศรีสะเกษ!S139"")"),0)</f>
        <v>0</v>
      </c>
      <c r="U44" s="68">
        <f t="shared" ca="1" si="36"/>
        <v>0</v>
      </c>
      <c r="V44" s="68">
        <f t="shared" ca="1" si="37"/>
        <v>0</v>
      </c>
      <c r="W44" s="78">
        <f ca="1">IFERROR(__xludf.DUMMYFUNCTION("IMPORTRANGE(""https://docs.google.com/spreadsheets/d/1bRrNKwbHDVktQG10isr5vbWRtt5spIZPpkOSWgbT5ug/edit?usp=sharing"",""ศรีสะเกษ!J149"")"),0)</f>
        <v>0</v>
      </c>
      <c r="X44" s="78">
        <f ca="1">IFERROR(__xludf.DUMMYFUNCTION("IMPORTRANGE(""https://docs.google.com/spreadsheets/d/1bRrNKwbHDVktQG10isr5vbWRtt5spIZPpkOSWgbT5ug/edit?usp=sharing"",""ศรีสะเกษ!I150"")"),0)</f>
        <v>0</v>
      </c>
      <c r="Y44" s="78">
        <f ca="1">IFERROR(__xludf.DUMMYFUNCTION("IMPORTRANGE(""https://docs.google.com/spreadsheets/d/1bRrNKwbHDVktQG10isr5vbWRtt5spIZPpkOSWgbT5ug/edit?usp=sharing"",""ศรีสะเกษ!I151"")"),0)</f>
        <v>0</v>
      </c>
      <c r="Z44" s="78">
        <f ca="1">IFERROR(__xludf.DUMMYFUNCTION("IMPORTRANGE(""https://docs.google.com/spreadsheets/d/1bRrNKwbHDVktQG10isr5vbWRtt5spIZPpkOSWgbT5ug/edit?usp=sharing"",""ศรีสะเกษ!J150"")"),0)</f>
        <v>0</v>
      </c>
      <c r="AA44" s="79">
        <f t="shared" ca="1" si="39"/>
        <v>0</v>
      </c>
      <c r="AB44" s="78">
        <f ca="1">IFERROR(__xludf.DUMMYFUNCTION("IMPORTRANGE(""https://docs.google.com/spreadsheets/d/1bRrNKwbHDVktQG10isr5vbWRtt5spIZPpkOSWgbT5ug/edit?usp=sharing"",""ศรีสะเกษ!J151"")"),0)</f>
        <v>0</v>
      </c>
      <c r="AC44" s="79">
        <f t="shared" ca="1" si="40"/>
        <v>0</v>
      </c>
      <c r="AD44" s="78">
        <f ca="1">IFERROR(__xludf.DUMMYFUNCTION("IMPORTRANGE(""https://docs.google.com/spreadsheets/d/1bRrNKwbHDVktQG10isr5vbWRtt5spIZPpkOSWgbT5ug/edit?usp=sharing"",""ศรีสะเกษ!I152"")"),0)</f>
        <v>0</v>
      </c>
      <c r="AE44" s="78">
        <f ca="1">IFERROR(__xludf.DUMMYFUNCTION("IMPORTRANGE(""https://docs.google.com/spreadsheets/d/1bRrNKwbHDVktQG10isr5vbWRtt5spIZPpkOSWgbT5ug/edit?usp=sharing"",""ศรีสะเกษ!I153"")"),0)</f>
        <v>0</v>
      </c>
      <c r="AF44" s="78">
        <f ca="1">IFERROR(__xludf.DUMMYFUNCTION("IMPORTRANGE(""https://docs.google.com/spreadsheets/d/1bRrNKwbHDVktQG10isr5vbWRtt5spIZPpkOSWgbT5ug/edit?usp=sharing"",""ศรีสะเกษ!J152"")"),0)</f>
        <v>0</v>
      </c>
      <c r="AG44" s="79">
        <f t="shared" ca="1" si="42"/>
        <v>0</v>
      </c>
      <c r="AH44" s="78">
        <f ca="1">IFERROR(__xludf.DUMMYFUNCTION("IMPORTRANGE(""https://docs.google.com/spreadsheets/d/1bRrNKwbHDVktQG10isr5vbWRtt5spIZPpkOSWgbT5ug/edit?usp=sharing"",""ศรีสะเกษ!J153"")"),0)</f>
        <v>0</v>
      </c>
      <c r="AI44" s="79">
        <f t="shared" ca="1" si="43"/>
        <v>0</v>
      </c>
      <c r="AJ44" s="78">
        <f ca="1">IFERROR(__xludf.DUMMYFUNCTION("IMPORTRANGE(""https://docs.google.com/spreadsheets/d/1bRrNKwbHDVktQG10isr5vbWRtt5spIZPpkOSWgbT5ug/edit?usp=sharing"",""ศรีสะเกษ!I154"")"),0)</f>
        <v>0</v>
      </c>
      <c r="AK44" s="78">
        <f ca="1">IFERROR(__xludf.DUMMYFUNCTION("IMPORTRANGE(""https://docs.google.com/spreadsheets/d/1bRrNKwbHDVktQG10isr5vbWRtt5spIZPpkOSWgbT5ug/edit?usp=sharing"",""ศรีสะเกษ!J154"")"),0)</f>
        <v>0</v>
      </c>
      <c r="AL44" s="79">
        <f t="shared" ca="1" si="45"/>
        <v>0</v>
      </c>
    </row>
    <row r="45" spans="1:38" ht="21" customHeight="1" x14ac:dyDescent="0.3">
      <c r="A45" s="147">
        <v>14</v>
      </c>
      <c r="B45" s="148" t="s">
        <v>73</v>
      </c>
      <c r="C45" s="149">
        <f t="shared" ca="1" si="27"/>
        <v>48200</v>
      </c>
      <c r="D45" s="150">
        <f t="shared" ca="1" si="52"/>
        <v>48200</v>
      </c>
      <c r="E45" s="151">
        <f ca="1">IFERROR(__xludf.DUMMYFUNCTION("IMPORTRANGE(""https://docs.google.com/spreadsheets/d/1-uDff_7J0KD5mKrp0Vvzr7lt3OU09vwQwhkpOPPYv2Y/edit?usp=sharing"",""งบพรบ!BR45"")"),0)</f>
        <v>0</v>
      </c>
      <c r="F45" s="151">
        <f ca="1">IFERROR(__xludf.DUMMYFUNCTION("IMPORTRANGE(""https://docs.google.com/spreadsheets/d/1-uDff_7J0KD5mKrp0Vvzr7lt3OU09vwQwhkpOPPYv2Y/edit?usp=sharing"",""งบพรบ!BS45"")"),48200)</f>
        <v>48200</v>
      </c>
      <c r="G45" s="151">
        <f ca="1">IFERROR(__xludf.DUMMYFUNCTION("IMPORTRANGE(""https://docs.google.com/spreadsheets/d/1-uDff_7J0KD5mKrp0Vvzr7lt3OU09vwQwhkpOPPYv2Y/edit?usp=sharing"",""งบพรบ!BT45"")"),0)</f>
        <v>0</v>
      </c>
      <c r="H45" s="151">
        <f ca="1">IFERROR(__xludf.DUMMYFUNCTION("IMPORTRANGE(""https://docs.google.com/spreadsheets/d/1-uDff_7J0KD5mKrp0Vvzr7lt3OU09vwQwhkpOPPYv2Y/edit?usp=sharing"",""งบพรบ!BV45"")"),43200)</f>
        <v>43200</v>
      </c>
      <c r="I45" s="151">
        <f ca="1">IFERROR(__xludf.DUMMYFUNCTION("IMPORTRANGE(""https://docs.google.com/spreadsheets/d/1-uDff_7J0KD5mKrp0Vvzr7lt3OU09vwQwhkpOPPYv2Y/edit?usp=sharing"",""งบพรบ!BW45"")"),0)</f>
        <v>0</v>
      </c>
      <c r="J45" s="151">
        <f t="shared" ca="1" si="29"/>
        <v>43200</v>
      </c>
      <c r="K45" s="154">
        <f t="shared" ca="1" si="30"/>
        <v>89.626556016597505</v>
      </c>
      <c r="L45" s="151">
        <f ca="1">IFERROR(__xludf.DUMMYFUNCTION("IMPORTRANGE(""https://docs.google.com/spreadsheets/d/1-uDff_7J0KD5mKrp0Vvzr7lt3OU09vwQwhkpOPPYv2Y/edit?usp=sharing"",""งบพรบ!BX45"")"),43200)</f>
        <v>43200</v>
      </c>
      <c r="M45" s="68">
        <f t="shared" ca="1" si="31"/>
        <v>89.626556016597505</v>
      </c>
      <c r="N45" s="68">
        <f t="shared" ca="1" si="32"/>
        <v>100</v>
      </c>
      <c r="O45" s="67">
        <f ca="1">IFERROR(__xludf.DUMMYFUNCTION("IMPORTRANGE(""https://docs.google.com/spreadsheets/d/1-uDff_7J0KD5mKrp0Vvzr7lt3OU09vwQwhkpOPPYv2Y/edit?usp=sharing"",""งบพรบ!BY45"")"),0)</f>
        <v>0</v>
      </c>
      <c r="P45" s="67">
        <f t="shared" ca="1" si="33"/>
        <v>0</v>
      </c>
      <c r="Q45" s="68">
        <f t="shared" ca="1" si="34"/>
        <v>0</v>
      </c>
      <c r="R45" s="67">
        <f ca="1">IFERROR(__xludf.DUMMYFUNCTION("IMPORTRANGE(""https://docs.google.com/spreadsheets/d/17P34_Ow5kFBfdQD0qspb2UuPX5zpi6WMrQzslghyvrI/edit?usp=sharing"",""สกลนคร!Q139"")"),44860)</f>
        <v>44860</v>
      </c>
      <c r="S45" s="67">
        <f ca="1">IFERROR(__xludf.DUMMYFUNCTION("IMPORTRANGE(""https://docs.google.com/spreadsheets/d/17P34_Ow5kFBfdQD0qspb2UuPX5zpi6WMrQzslghyvrI/edit?usp=sharing"",""สกลนคร!R139"")"),44860)</f>
        <v>44860</v>
      </c>
      <c r="T45" s="67">
        <f ca="1">IFERROR(__xludf.DUMMYFUNCTION("IMPORTRANGE(""https://docs.google.com/spreadsheets/d/17P34_Ow5kFBfdQD0qspb2UuPX5zpi6WMrQzslghyvrI/edit?usp=sharing"",""สกลนคร!S139"")"),19180)</f>
        <v>19180</v>
      </c>
      <c r="U45" s="68">
        <f t="shared" ca="1" si="36"/>
        <v>42.755238519839502</v>
      </c>
      <c r="V45" s="68">
        <f t="shared" ca="1" si="37"/>
        <v>42.755238519839502</v>
      </c>
      <c r="W45" s="78">
        <f ca="1">IFERROR(__xludf.DUMMYFUNCTION("IMPORTRANGE(""https://docs.google.com/spreadsheets/d/17P34_Ow5kFBfdQD0qspb2UuPX5zpi6WMrQzslghyvrI/edit?usp=sharing"",""สกลนคร!J149"")"),0)</f>
        <v>0</v>
      </c>
      <c r="X45" s="78">
        <f ca="1">IFERROR(__xludf.DUMMYFUNCTION("IMPORTRANGE(""https://docs.google.com/spreadsheets/d/17P34_Ow5kFBfdQD0qspb2UuPX5zpi6WMrQzslghyvrI/edit?usp=sharing"",""สกลนคร!I150"")"),0)</f>
        <v>0</v>
      </c>
      <c r="Y45" s="78">
        <f ca="1">IFERROR(__xludf.DUMMYFUNCTION("IMPORTRANGE(""https://docs.google.com/spreadsheets/d/17P34_Ow5kFBfdQD0qspb2UuPX5zpi6WMrQzslghyvrI/edit?usp=sharing"",""สกลนคร!I151"")"),0)</f>
        <v>0</v>
      </c>
      <c r="Z45" s="78">
        <f ca="1">IFERROR(__xludf.DUMMYFUNCTION("IMPORTRANGE(""https://docs.google.com/spreadsheets/d/17P34_Ow5kFBfdQD0qspb2UuPX5zpi6WMrQzslghyvrI/edit?usp=sharing"",""สกลนคร!J150"")"),0)</f>
        <v>0</v>
      </c>
      <c r="AA45" s="79">
        <f t="shared" ca="1" si="39"/>
        <v>0</v>
      </c>
      <c r="AB45" s="78">
        <f ca="1">IFERROR(__xludf.DUMMYFUNCTION("IMPORTRANGE(""https://docs.google.com/spreadsheets/d/17P34_Ow5kFBfdQD0qspb2UuPX5zpi6WMrQzslghyvrI/edit?usp=sharing"",""สกลนคร!J151"")"),0)</f>
        <v>0</v>
      </c>
      <c r="AC45" s="79">
        <f t="shared" ca="1" si="40"/>
        <v>0</v>
      </c>
      <c r="AD45" s="78">
        <f ca="1">IFERROR(__xludf.DUMMYFUNCTION("IMPORTRANGE(""https://docs.google.com/spreadsheets/d/17P34_Ow5kFBfdQD0qspb2UuPX5zpi6WMrQzslghyvrI/edit?usp=sharing"",""สกลนคร!I152"")"),40)</f>
        <v>40</v>
      </c>
      <c r="AE45" s="78">
        <f ca="1">IFERROR(__xludf.DUMMYFUNCTION("IMPORTRANGE(""https://docs.google.com/spreadsheets/d/17P34_Ow5kFBfdQD0qspb2UuPX5zpi6WMrQzslghyvrI/edit?usp=sharing"",""สกลนคร!I153"")"),4)</f>
        <v>4</v>
      </c>
      <c r="AF45" s="78">
        <f ca="1">IFERROR(__xludf.DUMMYFUNCTION("IMPORTRANGE(""https://docs.google.com/spreadsheets/d/17P34_Ow5kFBfdQD0qspb2UuPX5zpi6WMrQzslghyvrI/edit?usp=sharing"",""สกลนคร!J152"")"),40)</f>
        <v>40</v>
      </c>
      <c r="AG45" s="79">
        <f t="shared" ca="1" si="42"/>
        <v>100</v>
      </c>
      <c r="AH45" s="78">
        <f ca="1">IFERROR(__xludf.DUMMYFUNCTION("IMPORTRANGE(""https://docs.google.com/spreadsheets/d/17P34_Ow5kFBfdQD0qspb2UuPX5zpi6WMrQzslghyvrI/edit?usp=sharing"",""สกลนคร!J153"")"),4)</f>
        <v>4</v>
      </c>
      <c r="AI45" s="79">
        <f t="shared" ca="1" si="43"/>
        <v>100</v>
      </c>
      <c r="AJ45" s="78">
        <f ca="1">IFERROR(__xludf.DUMMYFUNCTION("IMPORTRANGE(""https://docs.google.com/spreadsheets/d/17P34_Ow5kFBfdQD0qspb2UuPX5zpi6WMrQzslghyvrI/edit?usp=sharing"",""สกลนคร!I154"")"),0)</f>
        <v>0</v>
      </c>
      <c r="AK45" s="78">
        <f ca="1">IFERROR(__xludf.DUMMYFUNCTION("IMPORTRANGE(""https://docs.google.com/spreadsheets/d/17P34_Ow5kFBfdQD0qspb2UuPX5zpi6WMrQzslghyvrI/edit?usp=sharing"",""สกลนคร!J154"")"),0)</f>
        <v>0</v>
      </c>
      <c r="AL45" s="79">
        <f t="shared" ca="1" si="45"/>
        <v>0</v>
      </c>
    </row>
    <row r="46" spans="1:38" ht="21" customHeight="1" x14ac:dyDescent="0.3">
      <c r="A46" s="147">
        <v>15</v>
      </c>
      <c r="B46" s="148" t="s">
        <v>74</v>
      </c>
      <c r="C46" s="149">
        <f t="shared" ca="1" si="27"/>
        <v>0</v>
      </c>
      <c r="D46" s="150">
        <f t="shared" ca="1" si="52"/>
        <v>0</v>
      </c>
      <c r="E46" s="151">
        <f ca="1">IFERROR(__xludf.DUMMYFUNCTION("IMPORTRANGE(""https://docs.google.com/spreadsheets/d/1-uDff_7J0KD5mKrp0Vvzr7lt3OU09vwQwhkpOPPYv2Y/edit?usp=sharing"",""งบพรบ!BR46"")"),0)</f>
        <v>0</v>
      </c>
      <c r="F46" s="151">
        <f ca="1">IFERROR(__xludf.DUMMYFUNCTION("IMPORTRANGE(""https://docs.google.com/spreadsheets/d/1-uDff_7J0KD5mKrp0Vvzr7lt3OU09vwQwhkpOPPYv2Y/edit?usp=sharing"",""งบพรบ!BS46"")"),0)</f>
        <v>0</v>
      </c>
      <c r="G46" s="151">
        <f ca="1">IFERROR(__xludf.DUMMYFUNCTION("IMPORTRANGE(""https://docs.google.com/spreadsheets/d/1-uDff_7J0KD5mKrp0Vvzr7lt3OU09vwQwhkpOPPYv2Y/edit?usp=sharing"",""งบพรบ!BT46"")"),0)</f>
        <v>0</v>
      </c>
      <c r="H46" s="151">
        <f ca="1">IFERROR(__xludf.DUMMYFUNCTION("IMPORTRANGE(""https://docs.google.com/spreadsheets/d/1-uDff_7J0KD5mKrp0Vvzr7lt3OU09vwQwhkpOPPYv2Y/edit?usp=sharing"",""งบพรบ!BV46"")"),0)</f>
        <v>0</v>
      </c>
      <c r="I46" s="151">
        <f ca="1">IFERROR(__xludf.DUMMYFUNCTION("IMPORTRANGE(""https://docs.google.com/spreadsheets/d/1-uDff_7J0KD5mKrp0Vvzr7lt3OU09vwQwhkpOPPYv2Y/edit?usp=sharing"",""งบพรบ!BW46"")"),0)</f>
        <v>0</v>
      </c>
      <c r="J46" s="151">
        <f t="shared" ca="1" si="29"/>
        <v>0</v>
      </c>
      <c r="K46" s="154">
        <f t="shared" ca="1" si="30"/>
        <v>0</v>
      </c>
      <c r="L46" s="151">
        <f ca="1">IFERROR(__xludf.DUMMYFUNCTION("IMPORTRANGE(""https://docs.google.com/spreadsheets/d/1-uDff_7J0KD5mKrp0Vvzr7lt3OU09vwQwhkpOPPYv2Y/edit?usp=sharing"",""งบพรบ!BX46"")"),0)</f>
        <v>0</v>
      </c>
      <c r="M46" s="68">
        <f t="shared" ca="1" si="31"/>
        <v>0</v>
      </c>
      <c r="N46" s="68">
        <f t="shared" ca="1" si="32"/>
        <v>0</v>
      </c>
      <c r="O46" s="67">
        <f ca="1">IFERROR(__xludf.DUMMYFUNCTION("IMPORTRANGE(""https://docs.google.com/spreadsheets/d/1-uDff_7J0KD5mKrp0Vvzr7lt3OU09vwQwhkpOPPYv2Y/edit?usp=sharing"",""งบพรบ!BY46"")"),0)</f>
        <v>0</v>
      </c>
      <c r="P46" s="67">
        <f t="shared" ca="1" si="33"/>
        <v>0</v>
      </c>
      <c r="Q46" s="68">
        <f t="shared" ca="1" si="34"/>
        <v>0</v>
      </c>
      <c r="R46" s="67">
        <f ca="1">IFERROR(__xludf.DUMMYFUNCTION("IMPORTRANGE(""https://docs.google.com/spreadsheets/d/1yswqbM3-AEpThF3ZSUa1AcmHnmRTF1vlJ1CZGcJ8YuU/edit?usp=sharing"",""สุรินทร์!Q139"")"),0)</f>
        <v>0</v>
      </c>
      <c r="S46" s="67">
        <f ca="1">IFERROR(__xludf.DUMMYFUNCTION("IMPORTRANGE(""https://docs.google.com/spreadsheets/d/1yswqbM3-AEpThF3ZSUa1AcmHnmRTF1vlJ1CZGcJ8YuU/edit?usp=sharing"",""สุรินทร์!R139"")"),0)</f>
        <v>0</v>
      </c>
      <c r="T46" s="67">
        <f ca="1">IFERROR(__xludf.DUMMYFUNCTION("IMPORTRANGE(""https://docs.google.com/spreadsheets/d/1yswqbM3-AEpThF3ZSUa1AcmHnmRTF1vlJ1CZGcJ8YuU/edit?usp=sharing"",""สุรินทร์!S139"")"),0)</f>
        <v>0</v>
      </c>
      <c r="U46" s="68">
        <f t="shared" ca="1" si="36"/>
        <v>0</v>
      </c>
      <c r="V46" s="68">
        <f t="shared" ca="1" si="37"/>
        <v>0</v>
      </c>
      <c r="W46" s="78">
        <f ca="1">IFERROR(__xludf.DUMMYFUNCTION("IMPORTRANGE(""https://docs.google.com/spreadsheets/d/1yswqbM3-AEpThF3ZSUa1AcmHnmRTF1vlJ1CZGcJ8YuU/edit?usp=sharing"",""สุรินทร์!J149"")"),0)</f>
        <v>0</v>
      </c>
      <c r="X46" s="78">
        <f ca="1">IFERROR(__xludf.DUMMYFUNCTION("IMPORTRANGE(""https://docs.google.com/spreadsheets/d/1yswqbM3-AEpThF3ZSUa1AcmHnmRTF1vlJ1CZGcJ8YuU/edit?usp=sharing"",""สุรินทร์!I150"")"),0)</f>
        <v>0</v>
      </c>
      <c r="Y46" s="78">
        <f ca="1">IFERROR(__xludf.DUMMYFUNCTION("IMPORTRANGE(""https://docs.google.com/spreadsheets/d/1yswqbM3-AEpThF3ZSUa1AcmHnmRTF1vlJ1CZGcJ8YuU/edit?usp=sharing"",""สุรินทร์!I151"")"),0)</f>
        <v>0</v>
      </c>
      <c r="Z46" s="78">
        <f ca="1">IFERROR(__xludf.DUMMYFUNCTION("IMPORTRANGE(""https://docs.google.com/spreadsheets/d/1yswqbM3-AEpThF3ZSUa1AcmHnmRTF1vlJ1CZGcJ8YuU/edit?usp=sharing"",""สุรินทร์!J150"")"),0)</f>
        <v>0</v>
      </c>
      <c r="AA46" s="79">
        <f t="shared" ca="1" si="39"/>
        <v>0</v>
      </c>
      <c r="AB46" s="78">
        <f ca="1">IFERROR(__xludf.DUMMYFUNCTION("IMPORTRANGE(""https://docs.google.com/spreadsheets/d/1yswqbM3-AEpThF3ZSUa1AcmHnmRTF1vlJ1CZGcJ8YuU/edit?usp=sharing"",""สุรินทร์!J151"")"),0)</f>
        <v>0</v>
      </c>
      <c r="AC46" s="79">
        <f t="shared" ca="1" si="40"/>
        <v>0</v>
      </c>
      <c r="AD46" s="78">
        <f ca="1">IFERROR(__xludf.DUMMYFUNCTION("IMPORTRANGE(""https://docs.google.com/spreadsheets/d/1yswqbM3-AEpThF3ZSUa1AcmHnmRTF1vlJ1CZGcJ8YuU/edit?usp=sharing"",""สุรินทร์!I152"")"),0)</f>
        <v>0</v>
      </c>
      <c r="AE46" s="78">
        <f ca="1">IFERROR(__xludf.DUMMYFUNCTION("IMPORTRANGE(""https://docs.google.com/spreadsheets/d/1yswqbM3-AEpThF3ZSUa1AcmHnmRTF1vlJ1CZGcJ8YuU/edit?usp=sharing"",""สุรินทร์!I153"")"),0)</f>
        <v>0</v>
      </c>
      <c r="AF46" s="78">
        <f ca="1">IFERROR(__xludf.DUMMYFUNCTION("IMPORTRANGE(""https://docs.google.com/spreadsheets/d/1yswqbM3-AEpThF3ZSUa1AcmHnmRTF1vlJ1CZGcJ8YuU/edit?usp=sharing"",""สุรินทร์!J152"")"),0)</f>
        <v>0</v>
      </c>
      <c r="AG46" s="79">
        <f t="shared" ca="1" si="42"/>
        <v>0</v>
      </c>
      <c r="AH46" s="78">
        <f ca="1">IFERROR(__xludf.DUMMYFUNCTION("IMPORTRANGE(""https://docs.google.com/spreadsheets/d/1yswqbM3-AEpThF3ZSUa1AcmHnmRTF1vlJ1CZGcJ8YuU/edit?usp=sharing"",""สุรินทร์!J153"")"),0)</f>
        <v>0</v>
      </c>
      <c r="AI46" s="79">
        <f t="shared" ca="1" si="43"/>
        <v>0</v>
      </c>
      <c r="AJ46" s="78">
        <f ca="1">IFERROR(__xludf.DUMMYFUNCTION("IMPORTRANGE(""https://docs.google.com/spreadsheets/d/1yswqbM3-AEpThF3ZSUa1AcmHnmRTF1vlJ1CZGcJ8YuU/edit?usp=sharing"",""สุรินทร์!I154"")"),0)</f>
        <v>0</v>
      </c>
      <c r="AK46" s="78">
        <f ca="1">IFERROR(__xludf.DUMMYFUNCTION("IMPORTRANGE(""https://docs.google.com/spreadsheets/d/1yswqbM3-AEpThF3ZSUa1AcmHnmRTF1vlJ1CZGcJ8YuU/edit?usp=sharing"",""สุรินทร์!J154"")"),0)</f>
        <v>0</v>
      </c>
      <c r="AL46" s="79">
        <f t="shared" ca="1" si="45"/>
        <v>0</v>
      </c>
    </row>
    <row r="47" spans="1:38" ht="21" customHeight="1" x14ac:dyDescent="0.3">
      <c r="A47" s="147">
        <v>16</v>
      </c>
      <c r="B47" s="148" t="s">
        <v>75</v>
      </c>
      <c r="C47" s="149">
        <f t="shared" ca="1" si="27"/>
        <v>137600</v>
      </c>
      <c r="D47" s="150">
        <f t="shared" ca="1" si="52"/>
        <v>137600</v>
      </c>
      <c r="E47" s="151">
        <f ca="1">IFERROR(__xludf.DUMMYFUNCTION("IMPORTRANGE(""https://docs.google.com/spreadsheets/d/1-uDff_7J0KD5mKrp0Vvzr7lt3OU09vwQwhkpOPPYv2Y/edit?usp=sharing"",""งบพรบ!BR47"")"),81100)</f>
        <v>81100</v>
      </c>
      <c r="F47" s="151">
        <f ca="1">IFERROR(__xludf.DUMMYFUNCTION("IMPORTRANGE(""https://docs.google.com/spreadsheets/d/1-uDff_7J0KD5mKrp0Vvzr7lt3OU09vwQwhkpOPPYv2Y/edit?usp=sharing"",""งบพรบ!BS47"")"),56500)</f>
        <v>56500</v>
      </c>
      <c r="G47" s="151">
        <f ca="1">IFERROR(__xludf.DUMMYFUNCTION("IMPORTRANGE(""https://docs.google.com/spreadsheets/d/1-uDff_7J0KD5mKrp0Vvzr7lt3OU09vwQwhkpOPPYv2Y/edit?usp=sharing"",""งบพรบ!BT47"")"),0)</f>
        <v>0</v>
      </c>
      <c r="H47" s="151">
        <f ca="1">IFERROR(__xludf.DUMMYFUNCTION("IMPORTRANGE(""https://docs.google.com/spreadsheets/d/1-uDff_7J0KD5mKrp0Vvzr7lt3OU09vwQwhkpOPPYv2Y/edit?usp=sharing"",""งบพรบ!BV47"")"),132600)</f>
        <v>132600</v>
      </c>
      <c r="I47" s="151">
        <f ca="1">IFERROR(__xludf.DUMMYFUNCTION("IMPORTRANGE(""https://docs.google.com/spreadsheets/d/1-uDff_7J0KD5mKrp0Vvzr7lt3OU09vwQwhkpOPPYv2Y/edit?usp=sharing"",""งบพรบ!BW47"")"),0)</f>
        <v>0</v>
      </c>
      <c r="J47" s="151">
        <f t="shared" ca="1" si="29"/>
        <v>126425.8</v>
      </c>
      <c r="K47" s="154">
        <f t="shared" ca="1" si="30"/>
        <v>91.87921511627907</v>
      </c>
      <c r="L47" s="151">
        <f ca="1">IFERROR(__xludf.DUMMYFUNCTION("IMPORTRANGE(""https://docs.google.com/spreadsheets/d/1-uDff_7J0KD5mKrp0Vvzr7lt3OU09vwQwhkpOPPYv2Y/edit?usp=sharing"",""งบพรบ!BX47"")"),126425.8)</f>
        <v>126425.8</v>
      </c>
      <c r="M47" s="68">
        <f t="shared" ca="1" si="31"/>
        <v>91.87921511627907</v>
      </c>
      <c r="N47" s="68">
        <f t="shared" ca="1" si="32"/>
        <v>95.343740573152331</v>
      </c>
      <c r="O47" s="67">
        <f ca="1">IFERROR(__xludf.DUMMYFUNCTION("IMPORTRANGE(""https://docs.google.com/spreadsheets/d/1-uDff_7J0KD5mKrp0Vvzr7lt3OU09vwQwhkpOPPYv2Y/edit?usp=sharing"",""งบพรบ!BY47"")"),0)</f>
        <v>0</v>
      </c>
      <c r="P47" s="67">
        <f t="shared" ca="1" si="33"/>
        <v>0</v>
      </c>
      <c r="Q47" s="68">
        <f t="shared" ca="1" si="34"/>
        <v>0</v>
      </c>
      <c r="R47" s="67">
        <f ca="1">IFERROR(__xludf.DUMMYFUNCTION("IMPORTRANGE(""https://docs.google.com/spreadsheets/d/13JHU_EFbsQOUQ0JSQ3dWy1VTRosIWcDq6Nc99z2qzdc/edit?usp=sharing"",""หนองคาย!Q139"")"),44860)</f>
        <v>44860</v>
      </c>
      <c r="S47" s="67">
        <f ca="1">IFERROR(__xludf.DUMMYFUNCTION("IMPORTRANGE(""https://docs.google.com/spreadsheets/d/13JHU_EFbsQOUQ0JSQ3dWy1VTRosIWcDq6Nc99z2qzdc/edit?usp=sharing"",""หนองคาย!R139"")"),44860)</f>
        <v>44860</v>
      </c>
      <c r="T47" s="67">
        <f ca="1">IFERROR(__xludf.DUMMYFUNCTION("IMPORTRANGE(""https://docs.google.com/spreadsheets/d/13JHU_EFbsQOUQ0JSQ3dWy1VTRosIWcDq6Nc99z2qzdc/edit?usp=sharing"",""หนองคาย!S139"")"),38070)</f>
        <v>38070</v>
      </c>
      <c r="U47" s="68">
        <f t="shared" ca="1" si="36"/>
        <v>84.86402139991084</v>
      </c>
      <c r="V47" s="68">
        <f t="shared" ca="1" si="37"/>
        <v>84.86402139991084</v>
      </c>
      <c r="W47" s="78">
        <f ca="1">IFERROR(__xludf.DUMMYFUNCTION("IMPORTRANGE(""https://docs.google.com/spreadsheets/d/13JHU_EFbsQOUQ0JSQ3dWy1VTRosIWcDq6Nc99z2qzdc/edit?usp=sharing"",""หนองคาย!J149"")"),0)</f>
        <v>0</v>
      </c>
      <c r="X47" s="78">
        <f ca="1">IFERROR(__xludf.DUMMYFUNCTION("IMPORTRANGE(""https://docs.google.com/spreadsheets/d/13JHU_EFbsQOUQ0JSQ3dWy1VTRosIWcDq6Nc99z2qzdc/edit?usp=sharing"",""หนองคาย!I150"")"),0)</f>
        <v>0</v>
      </c>
      <c r="Y47" s="78">
        <f ca="1">IFERROR(__xludf.DUMMYFUNCTION("IMPORTRANGE(""https://docs.google.com/spreadsheets/d/13JHU_EFbsQOUQ0JSQ3dWy1VTRosIWcDq6Nc99z2qzdc/edit?usp=sharing"",""หนองคาย!I151"")"),0)</f>
        <v>0</v>
      </c>
      <c r="Z47" s="78">
        <f ca="1">IFERROR(__xludf.DUMMYFUNCTION("IMPORTRANGE(""https://docs.google.com/spreadsheets/d/13JHU_EFbsQOUQ0JSQ3dWy1VTRosIWcDq6Nc99z2qzdc/edit?usp=sharing"",""หนองคาย!J150"")"),0)</f>
        <v>0</v>
      </c>
      <c r="AA47" s="79">
        <f t="shared" ca="1" si="39"/>
        <v>0</v>
      </c>
      <c r="AB47" s="78">
        <f ca="1">IFERROR(__xludf.DUMMYFUNCTION("IMPORTRANGE(""https://docs.google.com/spreadsheets/d/13JHU_EFbsQOUQ0JSQ3dWy1VTRosIWcDq6Nc99z2qzdc/edit?usp=sharing"",""หนองคาย!J151"")"),0)</f>
        <v>0</v>
      </c>
      <c r="AC47" s="79">
        <f t="shared" ca="1" si="40"/>
        <v>0</v>
      </c>
      <c r="AD47" s="78">
        <f ca="1">IFERROR(__xludf.DUMMYFUNCTION("IMPORTRANGE(""https://docs.google.com/spreadsheets/d/13JHU_EFbsQOUQ0JSQ3dWy1VTRosIWcDq6Nc99z2qzdc/edit?usp=sharing"",""หนองคาย!I152"")"),50)</f>
        <v>50</v>
      </c>
      <c r="AE47" s="78">
        <f ca="1">IFERROR(__xludf.DUMMYFUNCTION("IMPORTRANGE(""https://docs.google.com/spreadsheets/d/13JHU_EFbsQOUQ0JSQ3dWy1VTRosIWcDq6Nc99z2qzdc/edit?usp=sharing"",""หนองคาย!I153"")"),5)</f>
        <v>5</v>
      </c>
      <c r="AF47" s="78">
        <f ca="1">IFERROR(__xludf.DUMMYFUNCTION("IMPORTRANGE(""https://docs.google.com/spreadsheets/d/13JHU_EFbsQOUQ0JSQ3dWy1VTRosIWcDq6Nc99z2qzdc/edit?usp=sharing"",""หนองคาย!J152"")"),50)</f>
        <v>50</v>
      </c>
      <c r="AG47" s="79">
        <f t="shared" ca="1" si="42"/>
        <v>100</v>
      </c>
      <c r="AH47" s="78">
        <f ca="1">IFERROR(__xludf.DUMMYFUNCTION("IMPORTRANGE(""https://docs.google.com/spreadsheets/d/13JHU_EFbsQOUQ0JSQ3dWy1VTRosIWcDq6Nc99z2qzdc/edit?usp=sharing"",""หนองคาย!J153"")"),5)</f>
        <v>5</v>
      </c>
      <c r="AI47" s="79">
        <f t="shared" ca="1" si="43"/>
        <v>100</v>
      </c>
      <c r="AJ47" s="78">
        <f ca="1">IFERROR(__xludf.DUMMYFUNCTION("IMPORTRANGE(""https://docs.google.com/spreadsheets/d/13JHU_EFbsQOUQ0JSQ3dWy1VTRosIWcDq6Nc99z2qzdc/edit?usp=sharing"",""หนองคาย!I154"")"),0)</f>
        <v>0</v>
      </c>
      <c r="AK47" s="78">
        <f ca="1">IFERROR(__xludf.DUMMYFUNCTION("IMPORTRANGE(""https://docs.google.com/spreadsheets/d/13JHU_EFbsQOUQ0JSQ3dWy1VTRosIWcDq6Nc99z2qzdc/edit?usp=sharing"",""หนองคาย!J154"")"),0)</f>
        <v>0</v>
      </c>
      <c r="AL47" s="79">
        <f t="shared" ca="1" si="45"/>
        <v>0</v>
      </c>
    </row>
    <row r="48" spans="1:38" ht="21" customHeight="1" x14ac:dyDescent="0.3">
      <c r="A48" s="147">
        <v>17</v>
      </c>
      <c r="B48" s="148" t="s">
        <v>76</v>
      </c>
      <c r="C48" s="149">
        <f t="shared" ca="1" si="27"/>
        <v>0</v>
      </c>
      <c r="D48" s="150">
        <f t="shared" ca="1" si="52"/>
        <v>0</v>
      </c>
      <c r="E48" s="151">
        <f ca="1">IFERROR(__xludf.DUMMYFUNCTION("IMPORTRANGE(""https://docs.google.com/spreadsheets/d/1-uDff_7J0KD5mKrp0Vvzr7lt3OU09vwQwhkpOPPYv2Y/edit?usp=sharing"",""งบพรบ!BR48"")"),0)</f>
        <v>0</v>
      </c>
      <c r="F48" s="151">
        <f ca="1">IFERROR(__xludf.DUMMYFUNCTION("IMPORTRANGE(""https://docs.google.com/spreadsheets/d/1-uDff_7J0KD5mKrp0Vvzr7lt3OU09vwQwhkpOPPYv2Y/edit?usp=sharing"",""งบพรบ!BS48"")"),0)</f>
        <v>0</v>
      </c>
      <c r="G48" s="151">
        <f ca="1">IFERROR(__xludf.DUMMYFUNCTION("IMPORTRANGE(""https://docs.google.com/spreadsheets/d/1-uDff_7J0KD5mKrp0Vvzr7lt3OU09vwQwhkpOPPYv2Y/edit?usp=sharing"",""งบพรบ!BT48"")"),0)</f>
        <v>0</v>
      </c>
      <c r="H48" s="151">
        <f ca="1">IFERROR(__xludf.DUMMYFUNCTION("IMPORTRANGE(""https://docs.google.com/spreadsheets/d/1-uDff_7J0KD5mKrp0Vvzr7lt3OU09vwQwhkpOPPYv2Y/edit?usp=sharing"",""งบพรบ!BV48"")"),0)</f>
        <v>0</v>
      </c>
      <c r="I48" s="151">
        <f ca="1">IFERROR(__xludf.DUMMYFUNCTION("IMPORTRANGE(""https://docs.google.com/spreadsheets/d/1-uDff_7J0KD5mKrp0Vvzr7lt3OU09vwQwhkpOPPYv2Y/edit?usp=sharing"",""งบพรบ!BW48"")"),0)</f>
        <v>0</v>
      </c>
      <c r="J48" s="151">
        <f t="shared" ca="1" si="29"/>
        <v>0</v>
      </c>
      <c r="K48" s="154">
        <f t="shared" ca="1" si="30"/>
        <v>0</v>
      </c>
      <c r="L48" s="151">
        <f ca="1">IFERROR(__xludf.DUMMYFUNCTION("IMPORTRANGE(""https://docs.google.com/spreadsheets/d/1-uDff_7J0KD5mKrp0Vvzr7lt3OU09vwQwhkpOPPYv2Y/edit?usp=sharing"",""งบพรบ!BX48"")"),0)</f>
        <v>0</v>
      </c>
      <c r="M48" s="68">
        <f t="shared" ca="1" si="31"/>
        <v>0</v>
      </c>
      <c r="N48" s="68">
        <f t="shared" ca="1" si="32"/>
        <v>0</v>
      </c>
      <c r="O48" s="67">
        <f ca="1">IFERROR(__xludf.DUMMYFUNCTION("IMPORTRANGE(""https://docs.google.com/spreadsheets/d/1-uDff_7J0KD5mKrp0Vvzr7lt3OU09vwQwhkpOPPYv2Y/edit?usp=sharing"",""งบพรบ!BY48"")"),0)</f>
        <v>0</v>
      </c>
      <c r="P48" s="67">
        <f t="shared" ca="1" si="33"/>
        <v>0</v>
      </c>
      <c r="Q48" s="68">
        <f t="shared" ca="1" si="34"/>
        <v>0</v>
      </c>
      <c r="R48" s="67">
        <f ca="1">IFERROR(__xludf.DUMMYFUNCTION("IMPORTRANGE(""https://docs.google.com/spreadsheets/d/1Hx73zIEgVdDZZaYSTc46Dqv64atFhpr3GelxLbaIN8A/edit?usp=sharing"",""หนองบัวลำภู!Q139"")"),0)</f>
        <v>0</v>
      </c>
      <c r="S48" s="67">
        <f ca="1">IFERROR(__xludf.DUMMYFUNCTION("IMPORTRANGE(""https://docs.google.com/spreadsheets/d/1Hx73zIEgVdDZZaYSTc46Dqv64atFhpr3GelxLbaIN8A/edit?usp=sharing"",""หนองบัวลำภู!R139"")"),0)</f>
        <v>0</v>
      </c>
      <c r="T48" s="67">
        <f ca="1">IFERROR(__xludf.DUMMYFUNCTION("IMPORTRANGE(""https://docs.google.com/spreadsheets/d/1Hx73zIEgVdDZZaYSTc46Dqv64atFhpr3GelxLbaIN8A/edit?usp=sharing"",""หนองบัวลำภู!S139"")"),0)</f>
        <v>0</v>
      </c>
      <c r="U48" s="68">
        <f t="shared" ca="1" si="36"/>
        <v>0</v>
      </c>
      <c r="V48" s="68">
        <f t="shared" ca="1" si="37"/>
        <v>0</v>
      </c>
      <c r="W48" s="78">
        <f ca="1">IFERROR(__xludf.DUMMYFUNCTION("IMPORTRANGE(""https://docs.google.com/spreadsheets/d/1Hx73zIEgVdDZZaYSTc46Dqv64atFhpr3GelxLbaIN8A/edit?usp=sharing"",""หนองบัวลำภู!J149"")"),0)</f>
        <v>0</v>
      </c>
      <c r="X48" s="78">
        <f ca="1">IFERROR(__xludf.DUMMYFUNCTION("IMPORTRANGE(""https://docs.google.com/spreadsheets/d/1Hx73zIEgVdDZZaYSTc46Dqv64atFhpr3GelxLbaIN8A/edit?usp=sharing"",""หนองบัวลำภู!I150"")"),0)</f>
        <v>0</v>
      </c>
      <c r="Y48" s="78">
        <f ca="1">IFERROR(__xludf.DUMMYFUNCTION("IMPORTRANGE(""https://docs.google.com/spreadsheets/d/1Hx73zIEgVdDZZaYSTc46Dqv64atFhpr3GelxLbaIN8A/edit?usp=sharing"",""หนองบัวลำภู!I151"")"),0)</f>
        <v>0</v>
      </c>
      <c r="Z48" s="78">
        <f ca="1">IFERROR(__xludf.DUMMYFUNCTION("IMPORTRANGE(""https://docs.google.com/spreadsheets/d/1Hx73zIEgVdDZZaYSTc46Dqv64atFhpr3GelxLbaIN8A/edit?usp=sharing"",""หนองบัวลำภู!J150"")"),0)</f>
        <v>0</v>
      </c>
      <c r="AA48" s="79">
        <f t="shared" ca="1" si="39"/>
        <v>0</v>
      </c>
      <c r="AB48" s="78">
        <f ca="1">IFERROR(__xludf.DUMMYFUNCTION("IMPORTRANGE(""https://docs.google.com/spreadsheets/d/1Hx73zIEgVdDZZaYSTc46Dqv64atFhpr3GelxLbaIN8A/edit?usp=sharing"",""หนองบัวลำภู!J151"")"),0)</f>
        <v>0</v>
      </c>
      <c r="AC48" s="79">
        <f t="shared" ca="1" si="40"/>
        <v>0</v>
      </c>
      <c r="AD48" s="78">
        <f ca="1">IFERROR(__xludf.DUMMYFUNCTION("IMPORTRANGE(""https://docs.google.com/spreadsheets/d/1Hx73zIEgVdDZZaYSTc46Dqv64atFhpr3GelxLbaIN8A/edit?usp=sharing"",""หนองบัวลำภู!I152"")"),0)</f>
        <v>0</v>
      </c>
      <c r="AE48" s="78">
        <f ca="1">IFERROR(__xludf.DUMMYFUNCTION("IMPORTRANGE(""https://docs.google.com/spreadsheets/d/1Hx73zIEgVdDZZaYSTc46Dqv64atFhpr3GelxLbaIN8A/edit?usp=sharing"",""หนองบัวลำภู!I153"")"),0)</f>
        <v>0</v>
      </c>
      <c r="AF48" s="78">
        <f ca="1">IFERROR(__xludf.DUMMYFUNCTION("IMPORTRANGE(""https://docs.google.com/spreadsheets/d/1Hx73zIEgVdDZZaYSTc46Dqv64atFhpr3GelxLbaIN8A/edit?usp=sharing"",""หนองบัวลำภู!J152"")"),0)</f>
        <v>0</v>
      </c>
      <c r="AG48" s="79">
        <f t="shared" ca="1" si="42"/>
        <v>0</v>
      </c>
      <c r="AH48" s="78">
        <f ca="1">IFERROR(__xludf.DUMMYFUNCTION("IMPORTRANGE(""https://docs.google.com/spreadsheets/d/1Hx73zIEgVdDZZaYSTc46Dqv64atFhpr3GelxLbaIN8A/edit?usp=sharing"",""หนองบัวลำภู!J153"")"),0)</f>
        <v>0</v>
      </c>
      <c r="AI48" s="79">
        <f t="shared" ca="1" si="43"/>
        <v>0</v>
      </c>
      <c r="AJ48" s="78">
        <f ca="1">IFERROR(__xludf.DUMMYFUNCTION("IMPORTRANGE(""https://docs.google.com/spreadsheets/d/1Hx73zIEgVdDZZaYSTc46Dqv64atFhpr3GelxLbaIN8A/edit?usp=sharing"",""หนองบัวลำภู!I154"")"),0)</f>
        <v>0</v>
      </c>
      <c r="AK48" s="78">
        <f ca="1">IFERROR(__xludf.DUMMYFUNCTION("IMPORTRANGE(""https://docs.google.com/spreadsheets/d/1Hx73zIEgVdDZZaYSTc46Dqv64atFhpr3GelxLbaIN8A/edit?usp=sharing"",""หนองบัวลำภู!J154"")"),0)</f>
        <v>0</v>
      </c>
      <c r="AL48" s="79">
        <f t="shared" ca="1" si="45"/>
        <v>0</v>
      </c>
    </row>
    <row r="49" spans="1:38" ht="21" customHeight="1" x14ac:dyDescent="0.3">
      <c r="A49" s="147">
        <v>18</v>
      </c>
      <c r="B49" s="148" t="s">
        <v>77</v>
      </c>
      <c r="C49" s="149">
        <f t="shared" ca="1" si="27"/>
        <v>0</v>
      </c>
      <c r="D49" s="150">
        <f t="shared" ca="1" si="52"/>
        <v>0</v>
      </c>
      <c r="E49" s="151">
        <f ca="1">IFERROR(__xludf.DUMMYFUNCTION("IMPORTRANGE(""https://docs.google.com/spreadsheets/d/1-uDff_7J0KD5mKrp0Vvzr7lt3OU09vwQwhkpOPPYv2Y/edit?usp=sharing"",""งบพรบ!BR49"")"),0)</f>
        <v>0</v>
      </c>
      <c r="F49" s="151">
        <f ca="1">IFERROR(__xludf.DUMMYFUNCTION("IMPORTRANGE(""https://docs.google.com/spreadsheets/d/1-uDff_7J0KD5mKrp0Vvzr7lt3OU09vwQwhkpOPPYv2Y/edit?usp=sharing"",""งบพรบ!BS49"")"),0)</f>
        <v>0</v>
      </c>
      <c r="G49" s="151">
        <f ca="1">IFERROR(__xludf.DUMMYFUNCTION("IMPORTRANGE(""https://docs.google.com/spreadsheets/d/1-uDff_7J0KD5mKrp0Vvzr7lt3OU09vwQwhkpOPPYv2Y/edit?usp=sharing"",""งบพรบ!BT49"")"),0)</f>
        <v>0</v>
      </c>
      <c r="H49" s="151">
        <f ca="1">IFERROR(__xludf.DUMMYFUNCTION("IMPORTRANGE(""https://docs.google.com/spreadsheets/d/1-uDff_7J0KD5mKrp0Vvzr7lt3OU09vwQwhkpOPPYv2Y/edit?usp=sharing"",""งบพรบ!BV49"")"),0)</f>
        <v>0</v>
      </c>
      <c r="I49" s="151">
        <f ca="1">IFERROR(__xludf.DUMMYFUNCTION("IMPORTRANGE(""https://docs.google.com/spreadsheets/d/1-uDff_7J0KD5mKrp0Vvzr7lt3OU09vwQwhkpOPPYv2Y/edit?usp=sharing"",""งบพรบ!BW49"")"),0)</f>
        <v>0</v>
      </c>
      <c r="J49" s="151">
        <f t="shared" ca="1" si="29"/>
        <v>0</v>
      </c>
      <c r="K49" s="154">
        <f t="shared" ca="1" si="30"/>
        <v>0</v>
      </c>
      <c r="L49" s="151">
        <f ca="1">IFERROR(__xludf.DUMMYFUNCTION("IMPORTRANGE(""https://docs.google.com/spreadsheets/d/1-uDff_7J0KD5mKrp0Vvzr7lt3OU09vwQwhkpOPPYv2Y/edit?usp=sharing"",""งบพรบ!BX49"")"),0)</f>
        <v>0</v>
      </c>
      <c r="M49" s="68">
        <f t="shared" ca="1" si="31"/>
        <v>0</v>
      </c>
      <c r="N49" s="68">
        <f t="shared" ca="1" si="32"/>
        <v>0</v>
      </c>
      <c r="O49" s="67">
        <f ca="1">IFERROR(__xludf.DUMMYFUNCTION("IMPORTRANGE(""https://docs.google.com/spreadsheets/d/1-uDff_7J0KD5mKrp0Vvzr7lt3OU09vwQwhkpOPPYv2Y/edit?usp=sharing"",""งบพรบ!BY49"")"),0)</f>
        <v>0</v>
      </c>
      <c r="P49" s="67">
        <f t="shared" ca="1" si="33"/>
        <v>0</v>
      </c>
      <c r="Q49" s="68">
        <f t="shared" ca="1" si="34"/>
        <v>0</v>
      </c>
      <c r="R49" s="67">
        <f ca="1">IFERROR(__xludf.DUMMYFUNCTION("IMPORTRANGE(""https://docs.google.com/spreadsheets/d/1lFxr3ctmjFN90yc-xV6jrQ9Ty8BKYVBWnAZ15wcNIJc/edit?usp=sharing"",""อำนาจเจริญ!Q139"")"),0)</f>
        <v>0</v>
      </c>
      <c r="S49" s="67">
        <f ca="1">IFERROR(__xludf.DUMMYFUNCTION("IMPORTRANGE(""https://docs.google.com/spreadsheets/d/1lFxr3ctmjFN90yc-xV6jrQ9Ty8BKYVBWnAZ15wcNIJc/edit?usp=sharing"",""อำนาจเจริญ!R139"")"),0)</f>
        <v>0</v>
      </c>
      <c r="T49" s="67">
        <f ca="1">IFERROR(__xludf.DUMMYFUNCTION("IMPORTRANGE(""https://docs.google.com/spreadsheets/d/1lFxr3ctmjFN90yc-xV6jrQ9Ty8BKYVBWnAZ15wcNIJc/edit?usp=sharing"",""อำนาจเจริญ!S139"")"),0)</f>
        <v>0</v>
      </c>
      <c r="U49" s="68">
        <f t="shared" ca="1" si="36"/>
        <v>0</v>
      </c>
      <c r="V49" s="68">
        <f t="shared" ca="1" si="37"/>
        <v>0</v>
      </c>
      <c r="W49" s="78">
        <f ca="1">IFERROR(__xludf.DUMMYFUNCTION("IMPORTRANGE(""https://docs.google.com/spreadsheets/d/1lFxr3ctmjFN90yc-xV6jrQ9Ty8BKYVBWnAZ15wcNIJc/edit?usp=sharing"",""อำนาจเจริญ!J149"")"),0)</f>
        <v>0</v>
      </c>
      <c r="X49" s="78">
        <f ca="1">IFERROR(__xludf.DUMMYFUNCTION("IMPORTRANGE(""https://docs.google.com/spreadsheets/d/1lFxr3ctmjFN90yc-xV6jrQ9Ty8BKYVBWnAZ15wcNIJc/edit?usp=sharing"",""อำนาจเจริญ!I150"")"),0)</f>
        <v>0</v>
      </c>
      <c r="Y49" s="78">
        <f ca="1">IFERROR(__xludf.DUMMYFUNCTION("IMPORTRANGE(""https://docs.google.com/spreadsheets/d/1lFxr3ctmjFN90yc-xV6jrQ9Ty8BKYVBWnAZ15wcNIJc/edit?usp=sharing"",""อำนาจเจริญ!I151"")"),0)</f>
        <v>0</v>
      </c>
      <c r="Z49" s="78">
        <f ca="1">IFERROR(__xludf.DUMMYFUNCTION("IMPORTRANGE(""https://docs.google.com/spreadsheets/d/1lFxr3ctmjFN90yc-xV6jrQ9Ty8BKYVBWnAZ15wcNIJc/edit?usp=sharing"",""อำนาจเจริญ!J150"")"),0)</f>
        <v>0</v>
      </c>
      <c r="AA49" s="79">
        <f t="shared" ca="1" si="39"/>
        <v>0</v>
      </c>
      <c r="AB49" s="78">
        <f ca="1">IFERROR(__xludf.DUMMYFUNCTION("IMPORTRANGE(""https://docs.google.com/spreadsheets/d/1lFxr3ctmjFN90yc-xV6jrQ9Ty8BKYVBWnAZ15wcNIJc/edit?usp=sharing"",""อำนาจเจริญ!J151"")"),0)</f>
        <v>0</v>
      </c>
      <c r="AC49" s="79">
        <f t="shared" ca="1" si="40"/>
        <v>0</v>
      </c>
      <c r="AD49" s="78">
        <f ca="1">IFERROR(__xludf.DUMMYFUNCTION("IMPORTRANGE(""https://docs.google.com/spreadsheets/d/1lFxr3ctmjFN90yc-xV6jrQ9Ty8BKYVBWnAZ15wcNIJc/edit?usp=sharing"",""อำนาจเจริญ!I152"")"),0)</f>
        <v>0</v>
      </c>
      <c r="AE49" s="78">
        <f ca="1">IFERROR(__xludf.DUMMYFUNCTION("IMPORTRANGE(""https://docs.google.com/spreadsheets/d/1lFxr3ctmjFN90yc-xV6jrQ9Ty8BKYVBWnAZ15wcNIJc/edit?usp=sharing"",""อำนาจเจริญ!I153"")"),0)</f>
        <v>0</v>
      </c>
      <c r="AF49" s="78">
        <f ca="1">IFERROR(__xludf.DUMMYFUNCTION("IMPORTRANGE(""https://docs.google.com/spreadsheets/d/1lFxr3ctmjFN90yc-xV6jrQ9Ty8BKYVBWnAZ15wcNIJc/edit?usp=sharing"",""อำนาจเจริญ!J152"")"),0)</f>
        <v>0</v>
      </c>
      <c r="AG49" s="79">
        <f t="shared" ca="1" si="42"/>
        <v>0</v>
      </c>
      <c r="AH49" s="78">
        <f ca="1">IFERROR(__xludf.DUMMYFUNCTION("IMPORTRANGE(""https://docs.google.com/spreadsheets/d/1lFxr3ctmjFN90yc-xV6jrQ9Ty8BKYVBWnAZ15wcNIJc/edit?usp=sharing"",""อำนาจเจริญ!J153"")"),0)</f>
        <v>0</v>
      </c>
      <c r="AI49" s="79">
        <f t="shared" ca="1" si="43"/>
        <v>0</v>
      </c>
      <c r="AJ49" s="78">
        <f ca="1">IFERROR(__xludf.DUMMYFUNCTION("IMPORTRANGE(""https://docs.google.com/spreadsheets/d/1lFxr3ctmjFN90yc-xV6jrQ9Ty8BKYVBWnAZ15wcNIJc/edit?usp=sharing"",""อำนาจเจริญ!I154"")"),0)</f>
        <v>0</v>
      </c>
      <c r="AK49" s="78">
        <f ca="1">IFERROR(__xludf.DUMMYFUNCTION("IMPORTRANGE(""https://docs.google.com/spreadsheets/d/1lFxr3ctmjFN90yc-xV6jrQ9Ty8BKYVBWnAZ15wcNIJc/edit?usp=sharing"",""อำนาจเจริญ!J154"")"),0)</f>
        <v>0</v>
      </c>
      <c r="AL49" s="79">
        <f t="shared" ca="1" si="45"/>
        <v>0</v>
      </c>
    </row>
    <row r="50" spans="1:38" ht="21" customHeight="1" x14ac:dyDescent="0.3">
      <c r="A50" s="147">
        <v>19</v>
      </c>
      <c r="B50" s="148" t="s">
        <v>78</v>
      </c>
      <c r="C50" s="149">
        <f t="shared" ca="1" si="27"/>
        <v>0</v>
      </c>
      <c r="D50" s="150">
        <f t="shared" ca="1" si="52"/>
        <v>0</v>
      </c>
      <c r="E50" s="151">
        <f ca="1">IFERROR(__xludf.DUMMYFUNCTION("IMPORTRANGE(""https://docs.google.com/spreadsheets/d/1-uDff_7J0KD5mKrp0Vvzr7lt3OU09vwQwhkpOPPYv2Y/edit?usp=sharing"",""งบพรบ!BR50"")"),0)</f>
        <v>0</v>
      </c>
      <c r="F50" s="151">
        <f ca="1">IFERROR(__xludf.DUMMYFUNCTION("IMPORTRANGE(""https://docs.google.com/spreadsheets/d/1-uDff_7J0KD5mKrp0Vvzr7lt3OU09vwQwhkpOPPYv2Y/edit?usp=sharing"",""งบพรบ!BS50"")"),0)</f>
        <v>0</v>
      </c>
      <c r="G50" s="151">
        <f ca="1">IFERROR(__xludf.DUMMYFUNCTION("IMPORTRANGE(""https://docs.google.com/spreadsheets/d/1-uDff_7J0KD5mKrp0Vvzr7lt3OU09vwQwhkpOPPYv2Y/edit?usp=sharing"",""งบพรบ!BT50"")"),0)</f>
        <v>0</v>
      </c>
      <c r="H50" s="151">
        <f ca="1">IFERROR(__xludf.DUMMYFUNCTION("IMPORTRANGE(""https://docs.google.com/spreadsheets/d/1-uDff_7J0KD5mKrp0Vvzr7lt3OU09vwQwhkpOPPYv2Y/edit?usp=sharing"",""งบพรบ!BV50"")"),0)</f>
        <v>0</v>
      </c>
      <c r="I50" s="151">
        <f ca="1">IFERROR(__xludf.DUMMYFUNCTION("IMPORTRANGE(""https://docs.google.com/spreadsheets/d/1-uDff_7J0KD5mKrp0Vvzr7lt3OU09vwQwhkpOPPYv2Y/edit?usp=sharing"",""งบพรบ!BW50"")"),0)</f>
        <v>0</v>
      </c>
      <c r="J50" s="151">
        <f t="shared" ca="1" si="29"/>
        <v>0</v>
      </c>
      <c r="K50" s="154">
        <f t="shared" ca="1" si="30"/>
        <v>0</v>
      </c>
      <c r="L50" s="151">
        <f ca="1">IFERROR(__xludf.DUMMYFUNCTION("IMPORTRANGE(""https://docs.google.com/spreadsheets/d/1-uDff_7J0KD5mKrp0Vvzr7lt3OU09vwQwhkpOPPYv2Y/edit?usp=sharing"",""งบพรบ!BX50"")"),0)</f>
        <v>0</v>
      </c>
      <c r="M50" s="68">
        <f t="shared" ca="1" si="31"/>
        <v>0</v>
      </c>
      <c r="N50" s="68">
        <f t="shared" ca="1" si="32"/>
        <v>0</v>
      </c>
      <c r="O50" s="67">
        <f ca="1">IFERROR(__xludf.DUMMYFUNCTION("IMPORTRANGE(""https://docs.google.com/spreadsheets/d/1-uDff_7J0KD5mKrp0Vvzr7lt3OU09vwQwhkpOPPYv2Y/edit?usp=sharing"",""งบพรบ!BY50"")"),0)</f>
        <v>0</v>
      </c>
      <c r="P50" s="67">
        <f t="shared" ca="1" si="33"/>
        <v>0</v>
      </c>
      <c r="Q50" s="68">
        <f t="shared" ca="1" si="34"/>
        <v>0</v>
      </c>
      <c r="R50" s="67">
        <f ca="1">IFERROR(__xludf.DUMMYFUNCTION("IMPORTRANGE(""https://docs.google.com/spreadsheets/d/1gF7RJpRnL-1oyjyeWxs5SFWEH7y8ahOZsQlyp2A2e-A/edit?usp=sharing"",""อุดรธานี!Q139"")"),0)</f>
        <v>0</v>
      </c>
      <c r="S50" s="67">
        <f ca="1">IFERROR(__xludf.DUMMYFUNCTION("IMPORTRANGE(""https://docs.google.com/spreadsheets/d/1gF7RJpRnL-1oyjyeWxs5SFWEH7y8ahOZsQlyp2A2e-A/edit?usp=sharing"",""อุดรธานี!R139"")"),0)</f>
        <v>0</v>
      </c>
      <c r="T50" s="67">
        <f ca="1">IFERROR(__xludf.DUMMYFUNCTION("IMPORTRANGE(""https://docs.google.com/spreadsheets/d/1gF7RJpRnL-1oyjyeWxs5SFWEH7y8ahOZsQlyp2A2e-A/edit?usp=sharing"",""อุดรธานี!S139"")"),0)</f>
        <v>0</v>
      </c>
      <c r="U50" s="68">
        <f t="shared" ca="1" si="36"/>
        <v>0</v>
      </c>
      <c r="V50" s="68">
        <f t="shared" ca="1" si="37"/>
        <v>0</v>
      </c>
      <c r="W50" s="78">
        <f ca="1">IFERROR(__xludf.DUMMYFUNCTION("IMPORTRANGE(""https://docs.google.com/spreadsheets/d/1gF7RJpRnL-1oyjyeWxs5SFWEH7y8ahOZsQlyp2A2e-A/edit?usp=sharing"",""อุดรธานี!J149"")"),0)</f>
        <v>0</v>
      </c>
      <c r="X50" s="78">
        <f ca="1">IFERROR(__xludf.DUMMYFUNCTION("IMPORTRANGE(""https://docs.google.com/spreadsheets/d/1gF7RJpRnL-1oyjyeWxs5SFWEH7y8ahOZsQlyp2A2e-A/edit?usp=sharing"",""อุดรธานี!I150"")"),0)</f>
        <v>0</v>
      </c>
      <c r="Y50" s="78">
        <f ca="1">IFERROR(__xludf.DUMMYFUNCTION("IMPORTRANGE(""https://docs.google.com/spreadsheets/d/1gF7RJpRnL-1oyjyeWxs5SFWEH7y8ahOZsQlyp2A2e-A/edit?usp=sharing"",""อุดรธานี!I151"")"),0)</f>
        <v>0</v>
      </c>
      <c r="Z50" s="78">
        <f ca="1">IFERROR(__xludf.DUMMYFUNCTION("IMPORTRANGE(""https://docs.google.com/spreadsheets/d/1gF7RJpRnL-1oyjyeWxs5SFWEH7y8ahOZsQlyp2A2e-A/edit?usp=sharing"",""อุดรธานี!J150"")"),0)</f>
        <v>0</v>
      </c>
      <c r="AA50" s="79">
        <f t="shared" ca="1" si="39"/>
        <v>0</v>
      </c>
      <c r="AB50" s="78">
        <f ca="1">IFERROR(__xludf.DUMMYFUNCTION("IMPORTRANGE(""https://docs.google.com/spreadsheets/d/1gF7RJpRnL-1oyjyeWxs5SFWEH7y8ahOZsQlyp2A2e-A/edit?usp=sharing"",""อุดรธานี!J151"")"),0)</f>
        <v>0</v>
      </c>
      <c r="AC50" s="79">
        <f t="shared" ca="1" si="40"/>
        <v>0</v>
      </c>
      <c r="AD50" s="78">
        <f ca="1">IFERROR(__xludf.DUMMYFUNCTION("IMPORTRANGE(""https://docs.google.com/spreadsheets/d/1gF7RJpRnL-1oyjyeWxs5SFWEH7y8ahOZsQlyp2A2e-A/edit?usp=sharing"",""อุดรธานี!I152"")"),0)</f>
        <v>0</v>
      </c>
      <c r="AE50" s="78">
        <f ca="1">IFERROR(__xludf.DUMMYFUNCTION("IMPORTRANGE(""https://docs.google.com/spreadsheets/d/1gF7RJpRnL-1oyjyeWxs5SFWEH7y8ahOZsQlyp2A2e-A/edit?usp=sharing"",""อุดรธานี!I153"")"),0)</f>
        <v>0</v>
      </c>
      <c r="AF50" s="78">
        <f ca="1">IFERROR(__xludf.DUMMYFUNCTION("IMPORTRANGE(""https://docs.google.com/spreadsheets/d/1gF7RJpRnL-1oyjyeWxs5SFWEH7y8ahOZsQlyp2A2e-A/edit?usp=sharing"",""อุดรธานี!J152"")"),0)</f>
        <v>0</v>
      </c>
      <c r="AG50" s="79">
        <f t="shared" ca="1" si="42"/>
        <v>0</v>
      </c>
      <c r="AH50" s="78">
        <f ca="1">IFERROR(__xludf.DUMMYFUNCTION("IMPORTRANGE(""https://docs.google.com/spreadsheets/d/1gF7RJpRnL-1oyjyeWxs5SFWEH7y8ahOZsQlyp2A2e-A/edit?usp=sharing"",""อุดรธานี!J153"")"),0)</f>
        <v>0</v>
      </c>
      <c r="AI50" s="79">
        <f t="shared" ca="1" si="43"/>
        <v>0</v>
      </c>
      <c r="AJ50" s="78">
        <f ca="1">IFERROR(__xludf.DUMMYFUNCTION("IMPORTRANGE(""https://docs.google.com/spreadsheets/d/1gF7RJpRnL-1oyjyeWxs5SFWEH7y8ahOZsQlyp2A2e-A/edit?usp=sharing"",""อุดรธานี!I154"")"),0)</f>
        <v>0</v>
      </c>
      <c r="AK50" s="78">
        <f ca="1">IFERROR(__xludf.DUMMYFUNCTION("IMPORTRANGE(""https://docs.google.com/spreadsheets/d/1gF7RJpRnL-1oyjyeWxs5SFWEH7y8ahOZsQlyp2A2e-A/edit?usp=sharing"",""อุดรธานี!J154"")"),0)</f>
        <v>0</v>
      </c>
      <c r="AL50" s="79">
        <f t="shared" ca="1" si="45"/>
        <v>0</v>
      </c>
    </row>
    <row r="51" spans="1:38" ht="21" customHeight="1" x14ac:dyDescent="0.3">
      <c r="A51" s="163">
        <v>20</v>
      </c>
      <c r="B51" s="164" t="s">
        <v>79</v>
      </c>
      <c r="C51" s="165">
        <f t="shared" ca="1" si="27"/>
        <v>113800</v>
      </c>
      <c r="D51" s="166">
        <f t="shared" ca="1" si="52"/>
        <v>113800</v>
      </c>
      <c r="E51" s="167">
        <f ca="1">IFERROR(__xludf.DUMMYFUNCTION("IMPORTRANGE(""https://docs.google.com/spreadsheets/d/1-uDff_7J0KD5mKrp0Vvzr7lt3OU09vwQwhkpOPPYv2Y/edit?usp=sharing"",""งบพรบ!BR51"")"),90500)</f>
        <v>90500</v>
      </c>
      <c r="F51" s="167">
        <f ca="1">IFERROR(__xludf.DUMMYFUNCTION("IMPORTRANGE(""https://docs.google.com/spreadsheets/d/1-uDff_7J0KD5mKrp0Vvzr7lt3OU09vwQwhkpOPPYv2Y/edit?usp=sharing"",""งบพรบ!BS51"")"),23300)</f>
        <v>23300</v>
      </c>
      <c r="G51" s="167">
        <f ca="1">IFERROR(__xludf.DUMMYFUNCTION("IMPORTRANGE(""https://docs.google.com/spreadsheets/d/1-uDff_7J0KD5mKrp0Vvzr7lt3OU09vwQwhkpOPPYv2Y/edit?usp=sharing"",""งบพรบ!BT51"")"),0)</f>
        <v>0</v>
      </c>
      <c r="H51" s="167">
        <f ca="1">IFERROR(__xludf.DUMMYFUNCTION("IMPORTRANGE(""https://docs.google.com/spreadsheets/d/1-uDff_7J0KD5mKrp0Vvzr7lt3OU09vwQwhkpOPPYv2Y/edit?usp=sharing"",""งบพรบ!BV51"")"),108800)</f>
        <v>108800</v>
      </c>
      <c r="I51" s="167">
        <f ca="1">IFERROR(__xludf.DUMMYFUNCTION("IMPORTRANGE(""https://docs.google.com/spreadsheets/d/1-uDff_7J0KD5mKrp0Vvzr7lt3OU09vwQwhkpOPPYv2Y/edit?usp=sharing"",""งบพรบ!BW51"")"),0)</f>
        <v>0</v>
      </c>
      <c r="J51" s="167">
        <f t="shared" ca="1" si="29"/>
        <v>107104.7</v>
      </c>
      <c r="K51" s="168">
        <f t="shared" ca="1" si="30"/>
        <v>94.116608084358518</v>
      </c>
      <c r="L51" s="167">
        <f ca="1">IFERROR(__xludf.DUMMYFUNCTION("IMPORTRANGE(""https://docs.google.com/spreadsheets/d/1-uDff_7J0KD5mKrp0Vvzr7lt3OU09vwQwhkpOPPYv2Y/edit?usp=sharing"",""งบพรบ!BX51"")"),107104.7)</f>
        <v>107104.7</v>
      </c>
      <c r="M51" s="97">
        <f t="shared" ca="1" si="31"/>
        <v>94.116608084358518</v>
      </c>
      <c r="N51" s="97">
        <f t="shared" ca="1" si="32"/>
        <v>98.44181985294118</v>
      </c>
      <c r="O51" s="96">
        <f ca="1">IFERROR(__xludf.DUMMYFUNCTION("IMPORTRANGE(""https://docs.google.com/spreadsheets/d/1-uDff_7J0KD5mKrp0Vvzr7lt3OU09vwQwhkpOPPYv2Y/edit?usp=sharing"",""งบพรบ!BY51"")"),0)</f>
        <v>0</v>
      </c>
      <c r="P51" s="96">
        <f t="shared" ca="1" si="33"/>
        <v>0</v>
      </c>
      <c r="Q51" s="97">
        <f t="shared" ca="1" si="34"/>
        <v>0</v>
      </c>
      <c r="R51" s="96">
        <f ca="1">IFERROR(__xludf.DUMMYFUNCTION("IMPORTRANGE(""https://docs.google.com/spreadsheets/d/1kfLP0j3INXRa8bTDpcEmoWewMBV61jlFlfzczfjWIgc/edit?usp=sharing"",""อุบลราชธานี!Q139"")"),39860)</f>
        <v>39860</v>
      </c>
      <c r="S51" s="96">
        <f ca="1">IFERROR(__xludf.DUMMYFUNCTION("IMPORTRANGE(""https://docs.google.com/spreadsheets/d/1kfLP0j3INXRa8bTDpcEmoWewMBV61jlFlfzczfjWIgc/edit?usp=sharing"",""อุบลราชธานี!R139"")"),39860)</f>
        <v>39860</v>
      </c>
      <c r="T51" s="96">
        <f ca="1">IFERROR(__xludf.DUMMYFUNCTION("IMPORTRANGE(""https://docs.google.com/spreadsheets/d/1kfLP0j3INXRa8bTDpcEmoWewMBV61jlFlfzczfjWIgc/edit?usp=sharing"",""อุบลราชธานี!S139"")"),27020)</f>
        <v>27020</v>
      </c>
      <c r="U51" s="97">
        <f t="shared" ca="1" si="36"/>
        <v>67.787255393878581</v>
      </c>
      <c r="V51" s="97">
        <f t="shared" ca="1" si="37"/>
        <v>67.787255393878581</v>
      </c>
      <c r="W51" s="90">
        <f ca="1">IFERROR(__xludf.DUMMYFUNCTION("IMPORTRANGE(""https://docs.google.com/spreadsheets/d/1kfLP0j3INXRa8bTDpcEmoWewMBV61jlFlfzczfjWIgc/edit?usp=sharing"",""อุบลราชธานี!J149"")"),0)</f>
        <v>0</v>
      </c>
      <c r="X51" s="90">
        <f ca="1">IFERROR(__xludf.DUMMYFUNCTION("IMPORTRANGE(""https://docs.google.com/spreadsheets/d/1kfLP0j3INXRa8bTDpcEmoWewMBV61jlFlfzczfjWIgc/edit?usp=sharing"",""อุบลราชธานี!I150"")"),0)</f>
        <v>0</v>
      </c>
      <c r="Y51" s="90">
        <f ca="1">IFERROR(__xludf.DUMMYFUNCTION("IMPORTRANGE(""https://docs.google.com/spreadsheets/d/1kfLP0j3INXRa8bTDpcEmoWewMBV61jlFlfzczfjWIgc/edit?usp=sharing"",""อุบลราชธานี!I151"")"),0)</f>
        <v>0</v>
      </c>
      <c r="Z51" s="90">
        <f ca="1">IFERROR(__xludf.DUMMYFUNCTION("IMPORTRANGE(""https://docs.google.com/spreadsheets/d/1kfLP0j3INXRa8bTDpcEmoWewMBV61jlFlfzczfjWIgc/edit?usp=sharing"",""อุบลราชธานี!J150"")"),0)</f>
        <v>0</v>
      </c>
      <c r="AA51" s="91">
        <f t="shared" ca="1" si="39"/>
        <v>0</v>
      </c>
      <c r="AB51" s="90">
        <f ca="1">IFERROR(__xludf.DUMMYFUNCTION("IMPORTRANGE(""https://docs.google.com/spreadsheets/d/1kfLP0j3INXRa8bTDpcEmoWewMBV61jlFlfzczfjWIgc/edit?usp=sharing"",""อุบลราชธานี!J151"")"),0)</f>
        <v>0</v>
      </c>
      <c r="AC51" s="91">
        <f t="shared" ca="1" si="40"/>
        <v>0</v>
      </c>
      <c r="AD51" s="90">
        <f ca="1">IFERROR(__xludf.DUMMYFUNCTION("IMPORTRANGE(""https://docs.google.com/spreadsheets/d/1kfLP0j3INXRa8bTDpcEmoWewMBV61jlFlfzczfjWIgc/edit?usp=sharing"",""อุบลราชธานี!I152"")"),10)</f>
        <v>10</v>
      </c>
      <c r="AE51" s="90">
        <f ca="1">IFERROR(__xludf.DUMMYFUNCTION("IMPORTRANGE(""https://docs.google.com/spreadsheets/d/1kfLP0j3INXRa8bTDpcEmoWewMBV61jlFlfzczfjWIgc/edit?usp=sharing"",""อุบลราชธานี!I153"")"),1)</f>
        <v>1</v>
      </c>
      <c r="AF51" s="90">
        <f ca="1">IFERROR(__xludf.DUMMYFUNCTION("IMPORTRANGE(""https://docs.google.com/spreadsheets/d/1kfLP0j3INXRa8bTDpcEmoWewMBV61jlFlfzczfjWIgc/edit?usp=sharing"",""อุบลราชธานี!J152"")"),10)</f>
        <v>10</v>
      </c>
      <c r="AG51" s="91">
        <f t="shared" ca="1" si="42"/>
        <v>100</v>
      </c>
      <c r="AH51" s="90">
        <f ca="1">IFERROR(__xludf.DUMMYFUNCTION("IMPORTRANGE(""https://docs.google.com/spreadsheets/d/1kfLP0j3INXRa8bTDpcEmoWewMBV61jlFlfzczfjWIgc/edit?usp=sharing"",""อุบลราชธานี!J153"")"),1)</f>
        <v>1</v>
      </c>
      <c r="AI51" s="91">
        <f t="shared" ca="1" si="43"/>
        <v>100</v>
      </c>
      <c r="AJ51" s="90">
        <f ca="1">IFERROR(__xludf.DUMMYFUNCTION("IMPORTRANGE(""https://docs.google.com/spreadsheets/d/1kfLP0j3INXRa8bTDpcEmoWewMBV61jlFlfzczfjWIgc/edit?usp=sharing"",""อุบลราชธานี!I154"")"),0)</f>
        <v>0</v>
      </c>
      <c r="AK51" s="90">
        <f ca="1">IFERROR(__xludf.DUMMYFUNCTION("IMPORTRANGE(""https://docs.google.com/spreadsheets/d/1kfLP0j3INXRa8bTDpcEmoWewMBV61jlFlfzczfjWIgc/edit?usp=sharing"",""อุบลราชธานี!J154"")"),0)</f>
        <v>0</v>
      </c>
      <c r="AL51" s="91">
        <f t="shared" ca="1" si="45"/>
        <v>0</v>
      </c>
    </row>
    <row r="52" spans="1:38" ht="21" customHeight="1" x14ac:dyDescent="0.3">
      <c r="A52" s="697" t="s">
        <v>80</v>
      </c>
      <c r="B52" s="647"/>
      <c r="C52" s="145">
        <f t="shared" ca="1" si="27"/>
        <v>791100</v>
      </c>
      <c r="D52" s="145">
        <f t="shared" ref="D52:I52" ca="1" si="53">SUM(D53:D73)</f>
        <v>791100</v>
      </c>
      <c r="E52" s="145">
        <f t="shared" ca="1" si="53"/>
        <v>465200</v>
      </c>
      <c r="F52" s="145">
        <f t="shared" ca="1" si="53"/>
        <v>325900</v>
      </c>
      <c r="G52" s="145">
        <f t="shared" ca="1" si="53"/>
        <v>0</v>
      </c>
      <c r="H52" s="145">
        <f t="shared" ca="1" si="53"/>
        <v>756100</v>
      </c>
      <c r="I52" s="145">
        <f t="shared" ca="1" si="53"/>
        <v>0</v>
      </c>
      <c r="J52" s="145">
        <f t="shared" ca="1" si="29"/>
        <v>717868.40999999992</v>
      </c>
      <c r="K52" s="146">
        <f t="shared" ca="1" si="30"/>
        <v>90.743067880166834</v>
      </c>
      <c r="L52" s="145">
        <f ca="1">SUM(L53:L73)</f>
        <v>717868.40999999992</v>
      </c>
      <c r="M52" s="57">
        <f t="shared" ca="1" si="31"/>
        <v>90.743067880166834</v>
      </c>
      <c r="N52" s="57">
        <f t="shared" ca="1" si="32"/>
        <v>94.943580214257352</v>
      </c>
      <c r="O52" s="56">
        <f ca="1">SUM(O53:O73)</f>
        <v>0</v>
      </c>
      <c r="P52" s="56">
        <f t="shared" ca="1" si="33"/>
        <v>0</v>
      </c>
      <c r="Q52" s="57">
        <f t="shared" ca="1" si="34"/>
        <v>0</v>
      </c>
      <c r="R52" s="56">
        <f t="shared" ref="R52:T52" ca="1" si="54">SUM(R53:R73)</f>
        <v>942075</v>
      </c>
      <c r="S52" s="56">
        <f t="shared" ca="1" si="54"/>
        <v>942075</v>
      </c>
      <c r="T52" s="56">
        <f t="shared" ca="1" si="54"/>
        <v>78550</v>
      </c>
      <c r="U52" s="57">
        <f t="shared" ca="1" si="36"/>
        <v>8.337977337260833</v>
      </c>
      <c r="V52" s="57">
        <f t="shared" ca="1" si="37"/>
        <v>8.337977337260833</v>
      </c>
      <c r="W52" s="52">
        <f t="shared" ref="W52:Z52" ca="1" si="55">SUM(W53:W73)</f>
        <v>0</v>
      </c>
      <c r="X52" s="52">
        <f t="shared" ca="1" si="55"/>
        <v>50</v>
      </c>
      <c r="Y52" s="52">
        <f t="shared" ca="1" si="55"/>
        <v>5</v>
      </c>
      <c r="Z52" s="52">
        <f t="shared" ca="1" si="55"/>
        <v>40</v>
      </c>
      <c r="AA52" s="54">
        <f t="shared" ca="1" si="39"/>
        <v>80</v>
      </c>
      <c r="AB52" s="52">
        <f ca="1">SUM(AB53:AB73)</f>
        <v>4</v>
      </c>
      <c r="AC52" s="54">
        <f t="shared" ca="1" si="40"/>
        <v>80</v>
      </c>
      <c r="AD52" s="52">
        <f t="shared" ref="AD52:AF52" ca="1" si="56">SUM(AD53:AD73)</f>
        <v>180</v>
      </c>
      <c r="AE52" s="52">
        <f t="shared" ca="1" si="56"/>
        <v>18</v>
      </c>
      <c r="AF52" s="52">
        <f t="shared" ca="1" si="56"/>
        <v>130</v>
      </c>
      <c r="AG52" s="54">
        <f t="shared" ca="1" si="42"/>
        <v>72.222222222222229</v>
      </c>
      <c r="AH52" s="52">
        <f ca="1">SUM(AH53:AH73)</f>
        <v>13</v>
      </c>
      <c r="AI52" s="54">
        <f t="shared" ca="1" si="43"/>
        <v>72.222222222222229</v>
      </c>
      <c r="AJ52" s="52">
        <f t="shared" ref="AJ52:AK52" ca="1" si="57">SUM(AJ53:AJ73)</f>
        <v>5</v>
      </c>
      <c r="AK52" s="52">
        <f t="shared" ca="1" si="57"/>
        <v>0</v>
      </c>
      <c r="AL52" s="54">
        <f t="shared" ca="1" si="45"/>
        <v>0</v>
      </c>
    </row>
    <row r="53" spans="1:38" ht="21" customHeight="1" x14ac:dyDescent="0.3">
      <c r="A53" s="147">
        <v>1</v>
      </c>
      <c r="B53" s="148" t="s">
        <v>81</v>
      </c>
      <c r="C53" s="149">
        <f t="shared" ca="1" si="27"/>
        <v>119900</v>
      </c>
      <c r="D53" s="150">
        <f t="shared" ref="D53:D73" ca="1" si="58">+E53+F53</f>
        <v>119900</v>
      </c>
      <c r="E53" s="151">
        <f ca="1">IFERROR(__xludf.DUMMYFUNCTION("IMPORTRANGE(""https://docs.google.com/spreadsheets/d/1-uDff_7J0KD5mKrp0Vvzr7lt3OU09vwQwhkpOPPYv2Y/edit?usp=sharing"",""งบพรบ!BR53"")"),88300)</f>
        <v>88300</v>
      </c>
      <c r="F53" s="151">
        <f ca="1">IFERROR(__xludf.DUMMYFUNCTION("IMPORTRANGE(""https://docs.google.com/spreadsheets/d/1-uDff_7J0KD5mKrp0Vvzr7lt3OU09vwQwhkpOPPYv2Y/edit?usp=sharing"",""งบพรบ!BS53"")"),31600)</f>
        <v>31600</v>
      </c>
      <c r="G53" s="152">
        <f ca="1">IFERROR(__xludf.DUMMYFUNCTION("IMPORTRANGE(""https://docs.google.com/spreadsheets/d/1-uDff_7J0KD5mKrp0Vvzr7lt3OU09vwQwhkpOPPYv2Y/edit?usp=sharing"",""งบพรบ!BT53"")"),0)</f>
        <v>0</v>
      </c>
      <c r="H53" s="152">
        <f ca="1">IFERROR(__xludf.DUMMYFUNCTION("IMPORTRANGE(""https://docs.google.com/spreadsheets/d/1-uDff_7J0KD5mKrp0Vvzr7lt3OU09vwQwhkpOPPYv2Y/edit?usp=sharing"",""งบพรบ!BV53"")"),114900)</f>
        <v>114900</v>
      </c>
      <c r="I53" s="152">
        <f ca="1">IFERROR(__xludf.DUMMYFUNCTION("IMPORTRANGE(""https://docs.google.com/spreadsheets/d/1-uDff_7J0KD5mKrp0Vvzr7lt3OU09vwQwhkpOPPYv2Y/edit?usp=sharing"",""งบพรบ!BW53"")"),0)</f>
        <v>0</v>
      </c>
      <c r="J53" s="152">
        <f t="shared" ca="1" si="29"/>
        <v>113875</v>
      </c>
      <c r="K53" s="153">
        <f t="shared" ca="1" si="30"/>
        <v>94.974979149291073</v>
      </c>
      <c r="L53" s="152">
        <f ca="1">IFERROR(__xludf.DUMMYFUNCTION("IMPORTRANGE(""https://docs.google.com/spreadsheets/d/1-uDff_7J0KD5mKrp0Vvzr7lt3OU09vwQwhkpOPPYv2Y/edit?usp=sharing"",""งบพรบ!BX53"")"),113875)</f>
        <v>113875</v>
      </c>
      <c r="M53" s="68">
        <f t="shared" ca="1" si="31"/>
        <v>94.974979149291073</v>
      </c>
      <c r="N53" s="68">
        <f t="shared" ca="1" si="32"/>
        <v>99.107919930374237</v>
      </c>
      <c r="O53" s="67">
        <f ca="1">IFERROR(__xludf.DUMMYFUNCTION("IMPORTRANGE(""https://docs.google.com/spreadsheets/d/1-uDff_7J0KD5mKrp0Vvzr7lt3OU09vwQwhkpOPPYv2Y/edit?usp=sharing"",""งบพรบ!BY53"")"),0)</f>
        <v>0</v>
      </c>
      <c r="P53" s="67">
        <f t="shared" ca="1" si="33"/>
        <v>0</v>
      </c>
      <c r="Q53" s="68">
        <f t="shared" ca="1" si="34"/>
        <v>0</v>
      </c>
      <c r="R53" s="67">
        <f ca="1">IFERROR(__xludf.DUMMYFUNCTION("IMPORTRANGE(""https://docs.google.com/spreadsheets/d/13wPX838HrBrQMCywv1BsuMkt4PEKTChp52zj44s2izQ/edit?usp=sharing"",""กาญจนบุรี!Q139"")"),39860)</f>
        <v>39860</v>
      </c>
      <c r="S53" s="67">
        <f ca="1">IFERROR(__xludf.DUMMYFUNCTION("IMPORTRANGE(""https://docs.google.com/spreadsheets/d/13wPX838HrBrQMCywv1BsuMkt4PEKTChp52zj44s2izQ/edit?usp=sharing"",""กาญจนบุรี!R139"")"),39860)</f>
        <v>39860</v>
      </c>
      <c r="T53" s="67">
        <f ca="1">IFERROR(__xludf.DUMMYFUNCTION("IMPORTRANGE(""https://docs.google.com/spreadsheets/d/13wPX838HrBrQMCywv1BsuMkt4PEKTChp52zj44s2izQ/edit?usp=sharing"",""กาญจนบุรี!S139"")"),21180)</f>
        <v>21180</v>
      </c>
      <c r="U53" s="68">
        <f t="shared" ca="1" si="36"/>
        <v>53.135975915704968</v>
      </c>
      <c r="V53" s="68">
        <f t="shared" ca="1" si="37"/>
        <v>53.135975915704968</v>
      </c>
      <c r="W53" s="63">
        <f ca="1">IFERROR(__xludf.DUMMYFUNCTION("IMPORTRANGE(""https://docs.google.com/spreadsheets/d/13wPX838HrBrQMCywv1BsuMkt4PEKTChp52zj44s2izQ/edit?usp=sharing"",""กาญจนบุรี!J149"")"),0)</f>
        <v>0</v>
      </c>
      <c r="X53" s="63">
        <f ca="1">IFERROR(__xludf.DUMMYFUNCTION("IMPORTRANGE(""https://docs.google.com/spreadsheets/d/13wPX838HrBrQMCywv1BsuMkt4PEKTChp52zj44s2izQ/edit?usp=sharing"",""กาญจนบุรี!I150"")"),0)</f>
        <v>0</v>
      </c>
      <c r="Y53" s="63">
        <f ca="1">IFERROR(__xludf.DUMMYFUNCTION("IMPORTRANGE(""https://docs.google.com/spreadsheets/d/13wPX838HrBrQMCywv1BsuMkt4PEKTChp52zj44s2izQ/edit?usp=sharing"",""กาญจนบุรี!I151"")"),0)</f>
        <v>0</v>
      </c>
      <c r="Z53" s="63">
        <f ca="1">IFERROR(__xludf.DUMMYFUNCTION("IMPORTRANGE(""https://docs.google.com/spreadsheets/d/13wPX838HrBrQMCywv1BsuMkt4PEKTChp52zj44s2izQ/edit?usp=sharing"",""กาญจนบุรี!J150"")"),0)</f>
        <v>0</v>
      </c>
      <c r="AA53" s="69">
        <f t="shared" ca="1" si="39"/>
        <v>0</v>
      </c>
      <c r="AB53" s="63">
        <f ca="1">IFERROR(__xludf.DUMMYFUNCTION("IMPORTRANGE(""https://docs.google.com/spreadsheets/d/13wPX838HrBrQMCywv1BsuMkt4PEKTChp52zj44s2izQ/edit?usp=sharing"",""กาญจนบุรี!J151"")"),0)</f>
        <v>0</v>
      </c>
      <c r="AC53" s="69">
        <f t="shared" ca="1" si="40"/>
        <v>0</v>
      </c>
      <c r="AD53" s="63">
        <f ca="1">IFERROR(__xludf.DUMMYFUNCTION("IMPORTRANGE(""https://docs.google.com/spreadsheets/d/13wPX838HrBrQMCywv1BsuMkt4PEKTChp52zj44s2izQ/edit?usp=sharing"",""กาญจนบุรี!I152"")"),20)</f>
        <v>20</v>
      </c>
      <c r="AE53" s="63">
        <f ca="1">IFERROR(__xludf.DUMMYFUNCTION("IMPORTRANGE(""https://docs.google.com/spreadsheets/d/13wPX838HrBrQMCywv1BsuMkt4PEKTChp52zj44s2izQ/edit?usp=sharing"",""กาญจนบุรี!I153"")"),2)</f>
        <v>2</v>
      </c>
      <c r="AF53" s="63">
        <f ca="1">IFERROR(__xludf.DUMMYFUNCTION("IMPORTRANGE(""https://docs.google.com/spreadsheets/d/13wPX838HrBrQMCywv1BsuMkt4PEKTChp52zj44s2izQ/edit?usp=sharing"",""กาญจนบุรี!J152"")"),20)</f>
        <v>20</v>
      </c>
      <c r="AG53" s="69">
        <f t="shared" ca="1" si="42"/>
        <v>100</v>
      </c>
      <c r="AH53" s="63">
        <f ca="1">IFERROR(__xludf.DUMMYFUNCTION("IMPORTRANGE(""https://docs.google.com/spreadsheets/d/13wPX838HrBrQMCywv1BsuMkt4PEKTChp52zj44s2izQ/edit?usp=sharing"",""กาญจนบุรี!J153"")"),2)</f>
        <v>2</v>
      </c>
      <c r="AI53" s="69">
        <f t="shared" ca="1" si="43"/>
        <v>100</v>
      </c>
      <c r="AJ53" s="63">
        <f ca="1">IFERROR(__xludf.DUMMYFUNCTION("IMPORTRANGE(""https://docs.google.com/spreadsheets/d/13wPX838HrBrQMCywv1BsuMkt4PEKTChp52zj44s2izQ/edit?usp=sharing"",""กาญจนบุรี!I154"")"),0)</f>
        <v>0</v>
      </c>
      <c r="AK53" s="63">
        <f ca="1">IFERROR(__xludf.DUMMYFUNCTION("IMPORTRANGE(""https://docs.google.com/spreadsheets/d/13wPX838HrBrQMCywv1BsuMkt4PEKTChp52zj44s2izQ/edit?usp=sharing"",""กาญจนบุรี!J154"")"),0)</f>
        <v>0</v>
      </c>
      <c r="AL53" s="69">
        <f t="shared" ca="1" si="45"/>
        <v>0</v>
      </c>
    </row>
    <row r="54" spans="1:38" ht="21" customHeight="1" x14ac:dyDescent="0.3">
      <c r="A54" s="147">
        <v>2</v>
      </c>
      <c r="B54" s="148" t="s">
        <v>82</v>
      </c>
      <c r="C54" s="149">
        <f t="shared" ca="1" si="27"/>
        <v>0</v>
      </c>
      <c r="D54" s="150">
        <f t="shared" ca="1" si="58"/>
        <v>0</v>
      </c>
      <c r="E54" s="151">
        <f ca="1">IFERROR(__xludf.DUMMYFUNCTION("IMPORTRANGE(""https://docs.google.com/spreadsheets/d/1-uDff_7J0KD5mKrp0Vvzr7lt3OU09vwQwhkpOPPYv2Y/edit?usp=sharing"",""งบพรบ!BR54"")"),0)</f>
        <v>0</v>
      </c>
      <c r="F54" s="151">
        <f ca="1">IFERROR(__xludf.DUMMYFUNCTION("IMPORTRANGE(""https://docs.google.com/spreadsheets/d/1-uDff_7J0KD5mKrp0Vvzr7lt3OU09vwQwhkpOPPYv2Y/edit?usp=sharing"",""งบพรบ!BS54"")"),0)</f>
        <v>0</v>
      </c>
      <c r="G54" s="151">
        <f ca="1">IFERROR(__xludf.DUMMYFUNCTION("IMPORTRANGE(""https://docs.google.com/spreadsheets/d/1-uDff_7J0KD5mKrp0Vvzr7lt3OU09vwQwhkpOPPYv2Y/edit?usp=sharing"",""งบพรบ!BT54"")"),0)</f>
        <v>0</v>
      </c>
      <c r="H54" s="151">
        <f ca="1">IFERROR(__xludf.DUMMYFUNCTION("IMPORTRANGE(""https://docs.google.com/spreadsheets/d/1-uDff_7J0KD5mKrp0Vvzr7lt3OU09vwQwhkpOPPYv2Y/edit?usp=sharing"",""งบพรบ!BV54"")"),0)</f>
        <v>0</v>
      </c>
      <c r="I54" s="151">
        <f ca="1">IFERROR(__xludf.DUMMYFUNCTION("IMPORTRANGE(""https://docs.google.com/spreadsheets/d/1-uDff_7J0KD5mKrp0Vvzr7lt3OU09vwQwhkpOPPYv2Y/edit?usp=sharing"",""งบพรบ!BW54"")"),0)</f>
        <v>0</v>
      </c>
      <c r="J54" s="151">
        <f t="shared" ca="1" si="29"/>
        <v>0</v>
      </c>
      <c r="K54" s="154">
        <f t="shared" ca="1" si="30"/>
        <v>0</v>
      </c>
      <c r="L54" s="151">
        <f ca="1">IFERROR(__xludf.DUMMYFUNCTION("IMPORTRANGE(""https://docs.google.com/spreadsheets/d/1-uDff_7J0KD5mKrp0Vvzr7lt3OU09vwQwhkpOPPYv2Y/edit?usp=sharing"",""งบพรบ!BX54"")"),0)</f>
        <v>0</v>
      </c>
      <c r="M54" s="68">
        <f t="shared" ca="1" si="31"/>
        <v>0</v>
      </c>
      <c r="N54" s="68">
        <f t="shared" ca="1" si="32"/>
        <v>0</v>
      </c>
      <c r="O54" s="67">
        <f ca="1">IFERROR(__xludf.DUMMYFUNCTION("IMPORTRANGE(""https://docs.google.com/spreadsheets/d/1-uDff_7J0KD5mKrp0Vvzr7lt3OU09vwQwhkpOPPYv2Y/edit?usp=sharing"",""งบพรบ!BY54"")"),0)</f>
        <v>0</v>
      </c>
      <c r="P54" s="67">
        <f t="shared" ca="1" si="33"/>
        <v>0</v>
      </c>
      <c r="Q54" s="68">
        <f t="shared" ca="1" si="34"/>
        <v>0</v>
      </c>
      <c r="R54" s="67">
        <f ca="1">IFERROR(__xludf.DUMMYFUNCTION("IMPORTRANGE(""https://docs.google.com/spreadsheets/d/1ddFKvqj1W1NEiWytbGlB1zMx_ykJDVtmfEQ-6-lIUBA/edit?usp=sharing"",""จันทบุรี!Q139"")"),0)</f>
        <v>0</v>
      </c>
      <c r="S54" s="67">
        <f ca="1">IFERROR(__xludf.DUMMYFUNCTION("IMPORTRANGE(""https://docs.google.com/spreadsheets/d/1ddFKvqj1W1NEiWytbGlB1zMx_ykJDVtmfEQ-6-lIUBA/edit?usp=sharing"",""จันทบุรี!R139"")"),0)</f>
        <v>0</v>
      </c>
      <c r="T54" s="67">
        <f ca="1">IFERROR(__xludf.DUMMYFUNCTION("IMPORTRANGE(""https://docs.google.com/spreadsheets/d/1ddFKvqj1W1NEiWytbGlB1zMx_ykJDVtmfEQ-6-lIUBA/edit?usp=sharing"",""จันทบุรี!S139"")"),0)</f>
        <v>0</v>
      </c>
      <c r="U54" s="68">
        <f t="shared" ca="1" si="36"/>
        <v>0</v>
      </c>
      <c r="V54" s="68">
        <f t="shared" ca="1" si="37"/>
        <v>0</v>
      </c>
      <c r="W54" s="78">
        <f ca="1">IFERROR(__xludf.DUMMYFUNCTION("IMPORTRANGE(""https://docs.google.com/spreadsheets/d/1ddFKvqj1W1NEiWytbGlB1zMx_ykJDVtmfEQ-6-lIUBA/edit?usp=sharing"",""จันทบุรี!J149"")"),0)</f>
        <v>0</v>
      </c>
      <c r="X54" s="78">
        <f ca="1">IFERROR(__xludf.DUMMYFUNCTION("IMPORTRANGE(""https://docs.google.com/spreadsheets/d/1ddFKvqj1W1NEiWytbGlB1zMx_ykJDVtmfEQ-6-lIUBA/edit?usp=sharing"",""จันทบุรี!I150"")"),0)</f>
        <v>0</v>
      </c>
      <c r="Y54" s="78">
        <f ca="1">IFERROR(__xludf.DUMMYFUNCTION("IMPORTRANGE(""https://docs.google.com/spreadsheets/d/1ddFKvqj1W1NEiWytbGlB1zMx_ykJDVtmfEQ-6-lIUBA/edit?usp=sharing"",""จันทบุรี!I151"")"),0)</f>
        <v>0</v>
      </c>
      <c r="Z54" s="78">
        <f ca="1">IFERROR(__xludf.DUMMYFUNCTION("IMPORTRANGE(""https://docs.google.com/spreadsheets/d/1ddFKvqj1W1NEiWytbGlB1zMx_ykJDVtmfEQ-6-lIUBA/edit?usp=sharing"",""จันทบุรี!J150"")"),0)</f>
        <v>0</v>
      </c>
      <c r="AA54" s="79">
        <f t="shared" ca="1" si="39"/>
        <v>0</v>
      </c>
      <c r="AB54" s="78">
        <f ca="1">IFERROR(__xludf.DUMMYFUNCTION("IMPORTRANGE(""https://docs.google.com/spreadsheets/d/1ddFKvqj1W1NEiWytbGlB1zMx_ykJDVtmfEQ-6-lIUBA/edit?usp=sharing"",""จันทบุรี!J151"")"),0)</f>
        <v>0</v>
      </c>
      <c r="AC54" s="79">
        <f t="shared" ca="1" si="40"/>
        <v>0</v>
      </c>
      <c r="AD54" s="78">
        <f ca="1">IFERROR(__xludf.DUMMYFUNCTION("IMPORTRANGE(""https://docs.google.com/spreadsheets/d/1ddFKvqj1W1NEiWytbGlB1zMx_ykJDVtmfEQ-6-lIUBA/edit?usp=sharing"",""จันทบุรี!I152"")"),0)</f>
        <v>0</v>
      </c>
      <c r="AE54" s="78">
        <f ca="1">IFERROR(__xludf.DUMMYFUNCTION("IMPORTRANGE(""https://docs.google.com/spreadsheets/d/1ddFKvqj1W1NEiWytbGlB1zMx_ykJDVtmfEQ-6-lIUBA/edit?usp=sharing"",""จันทบุรี!I153"")"),0)</f>
        <v>0</v>
      </c>
      <c r="AF54" s="78">
        <f ca="1">IFERROR(__xludf.DUMMYFUNCTION("IMPORTRANGE(""https://docs.google.com/spreadsheets/d/1ddFKvqj1W1NEiWytbGlB1zMx_ykJDVtmfEQ-6-lIUBA/edit?usp=sharing"",""จันทบุรี!J152"")"),0)</f>
        <v>0</v>
      </c>
      <c r="AG54" s="79">
        <f t="shared" ca="1" si="42"/>
        <v>0</v>
      </c>
      <c r="AH54" s="78">
        <f ca="1">IFERROR(__xludf.DUMMYFUNCTION("IMPORTRANGE(""https://docs.google.com/spreadsheets/d/1ddFKvqj1W1NEiWytbGlB1zMx_ykJDVtmfEQ-6-lIUBA/edit?usp=sharing"",""จันทบุรี!J153"")"),0)</f>
        <v>0</v>
      </c>
      <c r="AI54" s="79">
        <f t="shared" ca="1" si="43"/>
        <v>0</v>
      </c>
      <c r="AJ54" s="78">
        <f ca="1">IFERROR(__xludf.DUMMYFUNCTION("IMPORTRANGE(""https://docs.google.com/spreadsheets/d/1ddFKvqj1W1NEiWytbGlB1zMx_ykJDVtmfEQ-6-lIUBA/edit?usp=sharing"",""จันทบุรี!I154"")"),0)</f>
        <v>0</v>
      </c>
      <c r="AK54" s="78">
        <f ca="1">IFERROR(__xludf.DUMMYFUNCTION("IMPORTRANGE(""https://docs.google.com/spreadsheets/d/1ddFKvqj1W1NEiWytbGlB1zMx_ykJDVtmfEQ-6-lIUBA/edit?usp=sharing"",""จันทบุรี!J154"")"),0)</f>
        <v>0</v>
      </c>
      <c r="AL54" s="79">
        <f t="shared" ca="1" si="45"/>
        <v>0</v>
      </c>
    </row>
    <row r="55" spans="1:38" ht="21" customHeight="1" x14ac:dyDescent="0.3">
      <c r="A55" s="147">
        <v>3</v>
      </c>
      <c r="B55" s="148" t="s">
        <v>83</v>
      </c>
      <c r="C55" s="149">
        <f t="shared" ca="1" si="27"/>
        <v>170500</v>
      </c>
      <c r="D55" s="150">
        <f t="shared" ca="1" si="58"/>
        <v>170500</v>
      </c>
      <c r="E55" s="151">
        <f ca="1">IFERROR(__xludf.DUMMYFUNCTION("IMPORTRANGE(""https://docs.google.com/spreadsheets/d/1-uDff_7J0KD5mKrp0Vvzr7lt3OU09vwQwhkpOPPYv2Y/edit?usp=sharing"",""งบพรบ!BR55"")"),79100)</f>
        <v>79100</v>
      </c>
      <c r="F55" s="151">
        <f ca="1">IFERROR(__xludf.DUMMYFUNCTION("IMPORTRANGE(""https://docs.google.com/spreadsheets/d/1-uDff_7J0KD5mKrp0Vvzr7lt3OU09vwQwhkpOPPYv2Y/edit?usp=sharing"",""งบพรบ!BS55"")"),91400)</f>
        <v>91400</v>
      </c>
      <c r="G55" s="151">
        <f ca="1">IFERROR(__xludf.DUMMYFUNCTION("IMPORTRANGE(""https://docs.google.com/spreadsheets/d/1-uDff_7J0KD5mKrp0Vvzr7lt3OU09vwQwhkpOPPYv2Y/edit?usp=sharing"",""งบพรบ!BT55"")"),0)</f>
        <v>0</v>
      </c>
      <c r="H55" s="151">
        <f ca="1">IFERROR(__xludf.DUMMYFUNCTION("IMPORTRANGE(""https://docs.google.com/spreadsheets/d/1-uDff_7J0KD5mKrp0Vvzr7lt3OU09vwQwhkpOPPYv2Y/edit?usp=sharing"",""งบพรบ!BV55"")"),165500)</f>
        <v>165500</v>
      </c>
      <c r="I55" s="151">
        <f ca="1">IFERROR(__xludf.DUMMYFUNCTION("IMPORTRANGE(""https://docs.google.com/spreadsheets/d/1-uDff_7J0KD5mKrp0Vvzr7lt3OU09vwQwhkpOPPYv2Y/edit?usp=sharing"",""งบพรบ!BW55"")"),0)</f>
        <v>0</v>
      </c>
      <c r="J55" s="151">
        <f t="shared" ca="1" si="29"/>
        <v>165002.21</v>
      </c>
      <c r="K55" s="154">
        <f t="shared" ca="1" si="30"/>
        <v>96.775489736070384</v>
      </c>
      <c r="L55" s="151">
        <f ca="1">IFERROR(__xludf.DUMMYFUNCTION("IMPORTRANGE(""https://docs.google.com/spreadsheets/d/1-uDff_7J0KD5mKrp0Vvzr7lt3OU09vwQwhkpOPPYv2Y/edit?usp=sharing"",""งบพรบ!BX55"")"),165002.21)</f>
        <v>165002.21</v>
      </c>
      <c r="M55" s="68">
        <f t="shared" ca="1" si="31"/>
        <v>96.775489736070384</v>
      </c>
      <c r="N55" s="68">
        <f t="shared" ca="1" si="32"/>
        <v>99.699220543806646</v>
      </c>
      <c r="O55" s="67">
        <f ca="1">IFERROR(__xludf.DUMMYFUNCTION("IMPORTRANGE(""https://docs.google.com/spreadsheets/d/1-uDff_7J0KD5mKrp0Vvzr7lt3OU09vwQwhkpOPPYv2Y/edit?usp=sharing"",""งบพรบ!BY55"")"),0)</f>
        <v>0</v>
      </c>
      <c r="P55" s="67">
        <f t="shared" ca="1" si="33"/>
        <v>0</v>
      </c>
      <c r="Q55" s="68">
        <f t="shared" ca="1" si="34"/>
        <v>0</v>
      </c>
      <c r="R55" s="67">
        <f ca="1">IFERROR(__xludf.DUMMYFUNCTION("IMPORTRANGE(""https://docs.google.com/spreadsheets/d/1T1PQvRODqOBZk8BRht_U031fIS1beLA0Ub2CEytj2q0/edit?usp=sharing"",""ฉะเชิงเทรา!Q139"")"),439860)</f>
        <v>439860</v>
      </c>
      <c r="S55" s="67">
        <f ca="1">IFERROR(__xludf.DUMMYFUNCTION("IMPORTRANGE(""https://docs.google.com/spreadsheets/d/1T1PQvRODqOBZk8BRht_U031fIS1beLA0Ub2CEytj2q0/edit?usp=sharing"",""ฉะเชิงเทรา!R139"")"),439860)</f>
        <v>439860</v>
      </c>
      <c r="T55" s="67">
        <f ca="1">IFERROR(__xludf.DUMMYFUNCTION("IMPORTRANGE(""https://docs.google.com/spreadsheets/d/1T1PQvRODqOBZk8BRht_U031fIS1beLA0Ub2CEytj2q0/edit?usp=sharing"",""ฉะเชิงเทรา!S139"")"),41090)</f>
        <v>41090</v>
      </c>
      <c r="U55" s="68">
        <f t="shared" ca="1" si="36"/>
        <v>9.3416086936752603</v>
      </c>
      <c r="V55" s="68">
        <f t="shared" ca="1" si="37"/>
        <v>9.3416086936752603</v>
      </c>
      <c r="W55" s="78">
        <f ca="1">IFERROR(__xludf.DUMMYFUNCTION("IMPORTRANGE(""https://docs.google.com/spreadsheets/d/1T1PQvRODqOBZk8BRht_U031fIS1beLA0Ub2CEytj2q0/edit?usp=sharing"",""ฉะเชิงเทรา!J149"")"),0)</f>
        <v>0</v>
      </c>
      <c r="X55" s="78">
        <f ca="1">IFERROR(__xludf.DUMMYFUNCTION("IMPORTRANGE(""https://docs.google.com/spreadsheets/d/1T1PQvRODqOBZk8BRht_U031fIS1beLA0Ub2CEytj2q0/edit?usp=sharing"",""ฉะเชิงเทรา!I150"")"),30)</f>
        <v>30</v>
      </c>
      <c r="Y55" s="78">
        <f ca="1">IFERROR(__xludf.DUMMYFUNCTION("IMPORTRANGE(""https://docs.google.com/spreadsheets/d/1T1PQvRODqOBZk8BRht_U031fIS1beLA0Ub2CEytj2q0/edit?usp=sharing"",""ฉะเชิงเทรา!I151"")"),3)</f>
        <v>3</v>
      </c>
      <c r="Z55" s="78">
        <f ca="1">IFERROR(__xludf.DUMMYFUNCTION("IMPORTRANGE(""https://docs.google.com/spreadsheets/d/1T1PQvRODqOBZk8BRht_U031fIS1beLA0Ub2CEytj2q0/edit?usp=sharing"",""ฉะเชิงเทรา!J150"")"),30)</f>
        <v>30</v>
      </c>
      <c r="AA55" s="79">
        <f t="shared" ca="1" si="39"/>
        <v>100</v>
      </c>
      <c r="AB55" s="78">
        <f ca="1">IFERROR(__xludf.DUMMYFUNCTION("IMPORTRANGE(""https://docs.google.com/spreadsheets/d/1T1PQvRODqOBZk8BRht_U031fIS1beLA0Ub2CEytj2q0/edit?usp=sharing"",""ฉะเชิงเทรา!J151"")"),3)</f>
        <v>3</v>
      </c>
      <c r="AC55" s="79">
        <f t="shared" ca="1" si="40"/>
        <v>100</v>
      </c>
      <c r="AD55" s="78">
        <f ca="1">IFERROR(__xludf.DUMMYFUNCTION("IMPORTRANGE(""https://docs.google.com/spreadsheets/d/1T1PQvRODqOBZk8BRht_U031fIS1beLA0Ub2CEytj2q0/edit?usp=sharing"",""ฉะเชิงเทรา!I152"")"),50)</f>
        <v>50</v>
      </c>
      <c r="AE55" s="78">
        <f ca="1">IFERROR(__xludf.DUMMYFUNCTION("IMPORTRANGE(""https://docs.google.com/spreadsheets/d/1T1PQvRODqOBZk8BRht_U031fIS1beLA0Ub2CEytj2q0/edit?usp=sharing"",""ฉะเชิงเทรา!I153"")"),5)</f>
        <v>5</v>
      </c>
      <c r="AF55" s="78">
        <f ca="1">IFERROR(__xludf.DUMMYFUNCTION("IMPORTRANGE(""https://docs.google.com/spreadsheets/d/1T1PQvRODqOBZk8BRht_U031fIS1beLA0Ub2CEytj2q0/edit?usp=sharing"",""ฉะเชิงเทรา!J152"")"),50)</f>
        <v>50</v>
      </c>
      <c r="AG55" s="79">
        <f t="shared" ca="1" si="42"/>
        <v>100</v>
      </c>
      <c r="AH55" s="78">
        <f ca="1">IFERROR(__xludf.DUMMYFUNCTION("IMPORTRANGE(""https://docs.google.com/spreadsheets/d/1T1PQvRODqOBZk8BRht_U031fIS1beLA0Ub2CEytj2q0/edit?usp=sharing"",""ฉะเชิงเทรา!J153"")"),5)</f>
        <v>5</v>
      </c>
      <c r="AI55" s="79">
        <f t="shared" ca="1" si="43"/>
        <v>100</v>
      </c>
      <c r="AJ55" s="78">
        <f ca="1">IFERROR(__xludf.DUMMYFUNCTION("IMPORTRANGE(""https://docs.google.com/spreadsheets/d/1T1PQvRODqOBZk8BRht_U031fIS1beLA0Ub2CEytj2q0/edit?usp=sharing"",""ฉะเชิงเทรา!I154"")"),3)</f>
        <v>3</v>
      </c>
      <c r="AK55" s="78">
        <f ca="1">IFERROR(__xludf.DUMMYFUNCTION("IMPORTRANGE(""https://docs.google.com/spreadsheets/d/1T1PQvRODqOBZk8BRht_U031fIS1beLA0Ub2CEytj2q0/edit?usp=sharing"",""ฉะเชิงเทรา!J154"")"),0)</f>
        <v>0</v>
      </c>
      <c r="AL55" s="79">
        <f t="shared" ca="1" si="45"/>
        <v>0</v>
      </c>
    </row>
    <row r="56" spans="1:38" ht="21" customHeight="1" x14ac:dyDescent="0.3">
      <c r="A56" s="147">
        <v>4</v>
      </c>
      <c r="B56" s="148" t="s">
        <v>84</v>
      </c>
      <c r="C56" s="149">
        <f t="shared" ca="1" si="27"/>
        <v>95500</v>
      </c>
      <c r="D56" s="150">
        <f t="shared" ca="1" si="58"/>
        <v>95500</v>
      </c>
      <c r="E56" s="151">
        <f ca="1">IFERROR(__xludf.DUMMYFUNCTION("IMPORTRANGE(""https://docs.google.com/spreadsheets/d/1-uDff_7J0KD5mKrp0Vvzr7lt3OU09vwQwhkpOPPYv2Y/edit?usp=sharing"",""งบพรบ!BR56"")"),72200)</f>
        <v>72200</v>
      </c>
      <c r="F56" s="151">
        <f ca="1">IFERROR(__xludf.DUMMYFUNCTION("IMPORTRANGE(""https://docs.google.com/spreadsheets/d/1-uDff_7J0KD5mKrp0Vvzr7lt3OU09vwQwhkpOPPYv2Y/edit?usp=sharing"",""งบพรบ!BS56"")"),23300)</f>
        <v>23300</v>
      </c>
      <c r="G56" s="151">
        <f ca="1">IFERROR(__xludf.DUMMYFUNCTION("IMPORTRANGE(""https://docs.google.com/spreadsheets/d/1-uDff_7J0KD5mKrp0Vvzr7lt3OU09vwQwhkpOPPYv2Y/edit?usp=sharing"",""งบพรบ!BT56"")"),0)</f>
        <v>0</v>
      </c>
      <c r="H56" s="151">
        <f ca="1">IFERROR(__xludf.DUMMYFUNCTION("IMPORTRANGE(""https://docs.google.com/spreadsheets/d/1-uDff_7J0KD5mKrp0Vvzr7lt3OU09vwQwhkpOPPYv2Y/edit?usp=sharing"",""งบพรบ!BV56"")"),90500)</f>
        <v>90500</v>
      </c>
      <c r="I56" s="151">
        <f ca="1">IFERROR(__xludf.DUMMYFUNCTION("IMPORTRANGE(""https://docs.google.com/spreadsheets/d/1-uDff_7J0KD5mKrp0Vvzr7lt3OU09vwQwhkpOPPYv2Y/edit?usp=sharing"",""งบพรบ!BW56"")"),0)</f>
        <v>0</v>
      </c>
      <c r="J56" s="151">
        <f t="shared" ca="1" si="29"/>
        <v>87540</v>
      </c>
      <c r="K56" s="154">
        <f t="shared" ca="1" si="30"/>
        <v>91.66492146596859</v>
      </c>
      <c r="L56" s="151">
        <f ca="1">IFERROR(__xludf.DUMMYFUNCTION("IMPORTRANGE(""https://docs.google.com/spreadsheets/d/1-uDff_7J0KD5mKrp0Vvzr7lt3OU09vwQwhkpOPPYv2Y/edit?usp=sharing"",""งบพรบ!BX56"")"),87540)</f>
        <v>87540</v>
      </c>
      <c r="M56" s="68">
        <f t="shared" ca="1" si="31"/>
        <v>91.66492146596859</v>
      </c>
      <c r="N56" s="68">
        <f t="shared" ca="1" si="32"/>
        <v>96.729281767955797</v>
      </c>
      <c r="O56" s="67">
        <f ca="1">IFERROR(__xludf.DUMMYFUNCTION("IMPORTRANGE(""https://docs.google.com/spreadsheets/d/1-uDff_7J0KD5mKrp0Vvzr7lt3OU09vwQwhkpOPPYv2Y/edit?usp=sharing"",""งบพรบ!BY56"")"),0)</f>
        <v>0</v>
      </c>
      <c r="P56" s="67">
        <f t="shared" ca="1" si="33"/>
        <v>0</v>
      </c>
      <c r="Q56" s="68">
        <f t="shared" ca="1" si="34"/>
        <v>0</v>
      </c>
      <c r="R56" s="67">
        <f ca="1">IFERROR(__xludf.DUMMYFUNCTION("IMPORTRANGE(""https://docs.google.com/spreadsheets/d/11tr1B-Bhyr79v2bkwVh5h_fR-PStkgjlZtkrZpYurG0/edit?usp=sharing"",""ชลบุรี!Q139"")"),39860)</f>
        <v>39860</v>
      </c>
      <c r="S56" s="67">
        <f ca="1">IFERROR(__xludf.DUMMYFUNCTION("IMPORTRANGE(""https://docs.google.com/spreadsheets/d/11tr1B-Bhyr79v2bkwVh5h_fR-PStkgjlZtkrZpYurG0/edit?usp=sharing"",""ชลบุรี!R139"")"),39860)</f>
        <v>39860</v>
      </c>
      <c r="T56" s="67">
        <f ca="1">IFERROR(__xludf.DUMMYFUNCTION("IMPORTRANGE(""https://docs.google.com/spreadsheets/d/11tr1B-Bhyr79v2bkwVh5h_fR-PStkgjlZtkrZpYurG0/edit?usp=sharing"",""ชลบุรี!S139"")"),3290)</f>
        <v>3290</v>
      </c>
      <c r="U56" s="68">
        <f t="shared" ca="1" si="36"/>
        <v>8.2538886101354745</v>
      </c>
      <c r="V56" s="68">
        <f t="shared" ca="1" si="37"/>
        <v>8.2538886101354745</v>
      </c>
      <c r="W56" s="78">
        <f ca="1">IFERROR(__xludf.DUMMYFUNCTION("IMPORTRANGE(""https://docs.google.com/spreadsheets/d/11tr1B-Bhyr79v2bkwVh5h_fR-PStkgjlZtkrZpYurG0/edit?usp=sharing"",""ชลบุรี!J149"")"),0)</f>
        <v>0</v>
      </c>
      <c r="X56" s="78">
        <f ca="1">IFERROR(__xludf.DUMMYFUNCTION("IMPORTRANGE(""https://docs.google.com/spreadsheets/d/11tr1B-Bhyr79v2bkwVh5h_fR-PStkgjlZtkrZpYurG0/edit?usp=sharing"",""ชลบุรี!I150"")"),0)</f>
        <v>0</v>
      </c>
      <c r="Y56" s="78">
        <f ca="1">IFERROR(__xludf.DUMMYFUNCTION("IMPORTRANGE(""https://docs.google.com/spreadsheets/d/11tr1B-Bhyr79v2bkwVh5h_fR-PStkgjlZtkrZpYurG0/edit?usp=sharing"",""ชลบุรี!I151"")"),0)</f>
        <v>0</v>
      </c>
      <c r="Z56" s="78">
        <f ca="1">IFERROR(__xludf.DUMMYFUNCTION("IMPORTRANGE(""https://docs.google.com/spreadsheets/d/11tr1B-Bhyr79v2bkwVh5h_fR-PStkgjlZtkrZpYurG0/edit?usp=sharing"",""ชลบุรี!J150"")"),0)</f>
        <v>0</v>
      </c>
      <c r="AA56" s="79">
        <f t="shared" ca="1" si="39"/>
        <v>0</v>
      </c>
      <c r="AB56" s="78">
        <f ca="1">IFERROR(__xludf.DUMMYFUNCTION("IMPORTRANGE(""https://docs.google.com/spreadsheets/d/11tr1B-Bhyr79v2bkwVh5h_fR-PStkgjlZtkrZpYurG0/edit?usp=sharing"",""ชลบุรี!J151"")"),0)</f>
        <v>0</v>
      </c>
      <c r="AC56" s="79">
        <f t="shared" ca="1" si="40"/>
        <v>0</v>
      </c>
      <c r="AD56" s="78">
        <f ca="1">IFERROR(__xludf.DUMMYFUNCTION("IMPORTRANGE(""https://docs.google.com/spreadsheets/d/11tr1B-Bhyr79v2bkwVh5h_fR-PStkgjlZtkrZpYurG0/edit?usp=sharing"",""ชลบุรี!I152"")"),10)</f>
        <v>10</v>
      </c>
      <c r="AE56" s="78">
        <f ca="1">IFERROR(__xludf.DUMMYFUNCTION("IMPORTRANGE(""https://docs.google.com/spreadsheets/d/11tr1B-Bhyr79v2bkwVh5h_fR-PStkgjlZtkrZpYurG0/edit?usp=sharing"",""ชลบุรี!I153"")"),1)</f>
        <v>1</v>
      </c>
      <c r="AF56" s="78">
        <f ca="1">IFERROR(__xludf.DUMMYFUNCTION("IMPORTRANGE(""https://docs.google.com/spreadsheets/d/11tr1B-Bhyr79v2bkwVh5h_fR-PStkgjlZtkrZpYurG0/edit?usp=sharing"",""ชลบุรี!J152"")"),10)</f>
        <v>10</v>
      </c>
      <c r="AG56" s="79">
        <f t="shared" ca="1" si="42"/>
        <v>100</v>
      </c>
      <c r="AH56" s="78">
        <f ca="1">IFERROR(__xludf.DUMMYFUNCTION("IMPORTRANGE(""https://docs.google.com/spreadsheets/d/11tr1B-Bhyr79v2bkwVh5h_fR-PStkgjlZtkrZpYurG0/edit?usp=sharing"",""ชลบุรี!J153"")"),1)</f>
        <v>1</v>
      </c>
      <c r="AI56" s="79">
        <f t="shared" ca="1" si="43"/>
        <v>100</v>
      </c>
      <c r="AJ56" s="78">
        <f ca="1">IFERROR(__xludf.DUMMYFUNCTION("IMPORTRANGE(""https://docs.google.com/spreadsheets/d/11tr1B-Bhyr79v2bkwVh5h_fR-PStkgjlZtkrZpYurG0/edit?usp=sharing"",""ชลบุรี!I154"")"),0)</f>
        <v>0</v>
      </c>
      <c r="AK56" s="78">
        <f ca="1">IFERROR(__xludf.DUMMYFUNCTION("IMPORTRANGE(""https://docs.google.com/spreadsheets/d/11tr1B-Bhyr79v2bkwVh5h_fR-PStkgjlZtkrZpYurG0/edit?usp=sharing"",""ชลบุรี!J154"")"),0)</f>
        <v>0</v>
      </c>
      <c r="AL56" s="79">
        <f t="shared" ca="1" si="45"/>
        <v>0</v>
      </c>
    </row>
    <row r="57" spans="1:38" ht="21" customHeight="1" x14ac:dyDescent="0.3">
      <c r="A57" s="147">
        <v>5</v>
      </c>
      <c r="B57" s="148" t="s">
        <v>85</v>
      </c>
      <c r="C57" s="149">
        <f t="shared" ca="1" si="27"/>
        <v>0</v>
      </c>
      <c r="D57" s="150">
        <f t="shared" ca="1" si="58"/>
        <v>0</v>
      </c>
      <c r="E57" s="151">
        <f ca="1">IFERROR(__xludf.DUMMYFUNCTION("IMPORTRANGE(""https://docs.google.com/spreadsheets/d/1-uDff_7J0KD5mKrp0Vvzr7lt3OU09vwQwhkpOPPYv2Y/edit?usp=sharing"",""งบพรบ!BR57"")"),0)</f>
        <v>0</v>
      </c>
      <c r="F57" s="151">
        <f ca="1">IFERROR(__xludf.DUMMYFUNCTION("IMPORTRANGE(""https://docs.google.com/spreadsheets/d/1-uDff_7J0KD5mKrp0Vvzr7lt3OU09vwQwhkpOPPYv2Y/edit?usp=sharing"",""งบพรบ!BS57"")"),0)</f>
        <v>0</v>
      </c>
      <c r="G57" s="151">
        <f ca="1">IFERROR(__xludf.DUMMYFUNCTION("IMPORTRANGE(""https://docs.google.com/spreadsheets/d/1-uDff_7J0KD5mKrp0Vvzr7lt3OU09vwQwhkpOPPYv2Y/edit?usp=sharing"",""งบพรบ!BT57"")"),0)</f>
        <v>0</v>
      </c>
      <c r="H57" s="151">
        <f ca="1">IFERROR(__xludf.DUMMYFUNCTION("IMPORTRANGE(""https://docs.google.com/spreadsheets/d/1-uDff_7J0KD5mKrp0Vvzr7lt3OU09vwQwhkpOPPYv2Y/edit?usp=sharing"",""งบพรบ!BV57"")"),0)</f>
        <v>0</v>
      </c>
      <c r="I57" s="151">
        <f ca="1">IFERROR(__xludf.DUMMYFUNCTION("IMPORTRANGE(""https://docs.google.com/spreadsheets/d/1-uDff_7J0KD5mKrp0Vvzr7lt3OU09vwQwhkpOPPYv2Y/edit?usp=sharing"",""งบพรบ!BW57"")"),0)</f>
        <v>0</v>
      </c>
      <c r="J57" s="151">
        <f t="shared" ca="1" si="29"/>
        <v>0</v>
      </c>
      <c r="K57" s="154">
        <f t="shared" ca="1" si="30"/>
        <v>0</v>
      </c>
      <c r="L57" s="151">
        <f ca="1">IFERROR(__xludf.DUMMYFUNCTION("IMPORTRANGE(""https://docs.google.com/spreadsheets/d/1-uDff_7J0KD5mKrp0Vvzr7lt3OU09vwQwhkpOPPYv2Y/edit?usp=sharing"",""งบพรบ!BX57"")"),0)</f>
        <v>0</v>
      </c>
      <c r="M57" s="68">
        <f t="shared" ca="1" si="31"/>
        <v>0</v>
      </c>
      <c r="N57" s="68">
        <f t="shared" ca="1" si="32"/>
        <v>0</v>
      </c>
      <c r="O57" s="67">
        <f ca="1">IFERROR(__xludf.DUMMYFUNCTION("IMPORTRANGE(""https://docs.google.com/spreadsheets/d/1-uDff_7J0KD5mKrp0Vvzr7lt3OU09vwQwhkpOPPYv2Y/edit?usp=sharing"",""งบพรบ!BY57"")"),0)</f>
        <v>0</v>
      </c>
      <c r="P57" s="67">
        <f t="shared" ca="1" si="33"/>
        <v>0</v>
      </c>
      <c r="Q57" s="68">
        <f t="shared" ca="1" si="34"/>
        <v>0</v>
      </c>
      <c r="R57" s="67">
        <f ca="1">IFERROR(__xludf.DUMMYFUNCTION("IMPORTRANGE(""https://docs.google.com/spreadsheets/d/1hh-FVnSX0vozXhGluamEcS54Dw9_zqW0N7qJUWgJ0Sw/edit?usp=sharing"",""ชัยนาท!Q139"")"),0)</f>
        <v>0</v>
      </c>
      <c r="S57" s="67">
        <f ca="1">IFERROR(__xludf.DUMMYFUNCTION("IMPORTRANGE(""https://docs.google.com/spreadsheets/d/1hh-FVnSX0vozXhGluamEcS54Dw9_zqW0N7qJUWgJ0Sw/edit?usp=sharing"",""ชัยนาท!R139"")"),0)</f>
        <v>0</v>
      </c>
      <c r="T57" s="67">
        <f ca="1">IFERROR(__xludf.DUMMYFUNCTION("IMPORTRANGE(""https://docs.google.com/spreadsheets/d/1hh-FVnSX0vozXhGluamEcS54Dw9_zqW0N7qJUWgJ0Sw/edit?usp=sharing"",""ชัยนาท!S139"")"),0)</f>
        <v>0</v>
      </c>
      <c r="U57" s="68">
        <f t="shared" ca="1" si="36"/>
        <v>0</v>
      </c>
      <c r="V57" s="68">
        <f t="shared" ca="1" si="37"/>
        <v>0</v>
      </c>
      <c r="W57" s="78">
        <f ca="1">IFERROR(__xludf.DUMMYFUNCTION("IMPORTRANGE(""https://docs.google.com/spreadsheets/d/1hh-FVnSX0vozXhGluamEcS54Dw9_zqW0N7qJUWgJ0Sw/edit?usp=sharing"",""ชัยนาท!J149"")"),0)</f>
        <v>0</v>
      </c>
      <c r="X57" s="78">
        <f ca="1">IFERROR(__xludf.DUMMYFUNCTION("IMPORTRANGE(""https://docs.google.com/spreadsheets/d/1hh-FVnSX0vozXhGluamEcS54Dw9_zqW0N7qJUWgJ0Sw/edit?usp=sharing"",""ชัยนาท!I150"")"),0)</f>
        <v>0</v>
      </c>
      <c r="Y57" s="78">
        <f ca="1">IFERROR(__xludf.DUMMYFUNCTION("IMPORTRANGE(""https://docs.google.com/spreadsheets/d/1hh-FVnSX0vozXhGluamEcS54Dw9_zqW0N7qJUWgJ0Sw/edit?usp=sharing"",""ชัยนาท!I151"")"),0)</f>
        <v>0</v>
      </c>
      <c r="Z57" s="78">
        <f ca="1">IFERROR(__xludf.DUMMYFUNCTION("IMPORTRANGE(""https://docs.google.com/spreadsheets/d/1hh-FVnSX0vozXhGluamEcS54Dw9_zqW0N7qJUWgJ0Sw/edit?usp=sharing"",""ชัยนาท!J150"")"),0)</f>
        <v>0</v>
      </c>
      <c r="AA57" s="79">
        <f t="shared" ca="1" si="39"/>
        <v>0</v>
      </c>
      <c r="AB57" s="78">
        <f ca="1">IFERROR(__xludf.DUMMYFUNCTION("IMPORTRANGE(""https://docs.google.com/spreadsheets/d/1hh-FVnSX0vozXhGluamEcS54Dw9_zqW0N7qJUWgJ0Sw/edit?usp=sharing"",""ชัยนาท!J151"")"),0)</f>
        <v>0</v>
      </c>
      <c r="AC57" s="79">
        <f t="shared" ca="1" si="40"/>
        <v>0</v>
      </c>
      <c r="AD57" s="78">
        <f ca="1">IFERROR(__xludf.DUMMYFUNCTION("IMPORTRANGE(""https://docs.google.com/spreadsheets/d/1hh-FVnSX0vozXhGluamEcS54Dw9_zqW0N7qJUWgJ0Sw/edit?usp=sharing"",""ชัยนาท!I152"")"),0)</f>
        <v>0</v>
      </c>
      <c r="AE57" s="78">
        <f ca="1">IFERROR(__xludf.DUMMYFUNCTION("IMPORTRANGE(""https://docs.google.com/spreadsheets/d/1hh-FVnSX0vozXhGluamEcS54Dw9_zqW0N7qJUWgJ0Sw/edit?usp=sharing"",""ชัยนาท!I153"")"),0)</f>
        <v>0</v>
      </c>
      <c r="AF57" s="78">
        <f ca="1">IFERROR(__xludf.DUMMYFUNCTION("IMPORTRANGE(""https://docs.google.com/spreadsheets/d/1hh-FVnSX0vozXhGluamEcS54Dw9_zqW0N7qJUWgJ0Sw/edit?usp=sharing"",""ชัยนาท!J152"")"),0)</f>
        <v>0</v>
      </c>
      <c r="AG57" s="79">
        <f t="shared" ca="1" si="42"/>
        <v>0</v>
      </c>
      <c r="AH57" s="78">
        <f ca="1">IFERROR(__xludf.DUMMYFUNCTION("IMPORTRANGE(""https://docs.google.com/spreadsheets/d/1hh-FVnSX0vozXhGluamEcS54Dw9_zqW0N7qJUWgJ0Sw/edit?usp=sharing"",""ชัยนาท!J153"")"),0)</f>
        <v>0</v>
      </c>
      <c r="AI57" s="79">
        <f t="shared" ca="1" si="43"/>
        <v>0</v>
      </c>
      <c r="AJ57" s="78">
        <f ca="1">IFERROR(__xludf.DUMMYFUNCTION("IMPORTRANGE(""https://docs.google.com/spreadsheets/d/1hh-FVnSX0vozXhGluamEcS54Dw9_zqW0N7qJUWgJ0Sw/edit?usp=sharing"",""ชัยนาท!I154"")"),0)</f>
        <v>0</v>
      </c>
      <c r="AK57" s="78">
        <f ca="1">IFERROR(__xludf.DUMMYFUNCTION("IMPORTRANGE(""https://docs.google.com/spreadsheets/d/1hh-FVnSX0vozXhGluamEcS54Dw9_zqW0N7qJUWgJ0Sw/edit?usp=sharing"",""ชัยนาท!J154"")"),0)</f>
        <v>0</v>
      </c>
      <c r="AL57" s="79">
        <f t="shared" ca="1" si="45"/>
        <v>0</v>
      </c>
    </row>
    <row r="58" spans="1:38" ht="21" customHeight="1" x14ac:dyDescent="0.3">
      <c r="A58" s="147">
        <v>6</v>
      </c>
      <c r="B58" s="148" t="s">
        <v>86</v>
      </c>
      <c r="C58" s="149">
        <f t="shared" ca="1" si="27"/>
        <v>0</v>
      </c>
      <c r="D58" s="150">
        <f t="shared" ca="1" si="58"/>
        <v>0</v>
      </c>
      <c r="E58" s="151">
        <f ca="1">IFERROR(__xludf.DUMMYFUNCTION("IMPORTRANGE(""https://docs.google.com/spreadsheets/d/1-uDff_7J0KD5mKrp0Vvzr7lt3OU09vwQwhkpOPPYv2Y/edit?usp=sharing"",""งบพรบ!BR58"")"),0)</f>
        <v>0</v>
      </c>
      <c r="F58" s="151">
        <f ca="1">IFERROR(__xludf.DUMMYFUNCTION("IMPORTRANGE(""https://docs.google.com/spreadsheets/d/1-uDff_7J0KD5mKrp0Vvzr7lt3OU09vwQwhkpOPPYv2Y/edit?usp=sharing"",""งบพรบ!BS58"")"),0)</f>
        <v>0</v>
      </c>
      <c r="G58" s="151">
        <f ca="1">IFERROR(__xludf.DUMMYFUNCTION("IMPORTRANGE(""https://docs.google.com/spreadsheets/d/1-uDff_7J0KD5mKrp0Vvzr7lt3OU09vwQwhkpOPPYv2Y/edit?usp=sharing"",""งบพรบ!BT58"")"),0)</f>
        <v>0</v>
      </c>
      <c r="H58" s="151">
        <f ca="1">IFERROR(__xludf.DUMMYFUNCTION("IMPORTRANGE(""https://docs.google.com/spreadsheets/d/1-uDff_7J0KD5mKrp0Vvzr7lt3OU09vwQwhkpOPPYv2Y/edit?usp=sharing"",""งบพรบ!BV58"")"),0)</f>
        <v>0</v>
      </c>
      <c r="I58" s="151">
        <f ca="1">IFERROR(__xludf.DUMMYFUNCTION("IMPORTRANGE(""https://docs.google.com/spreadsheets/d/1-uDff_7J0KD5mKrp0Vvzr7lt3OU09vwQwhkpOPPYv2Y/edit?usp=sharing"",""งบพรบ!BW58"")"),0)</f>
        <v>0</v>
      </c>
      <c r="J58" s="151">
        <f t="shared" ca="1" si="29"/>
        <v>0</v>
      </c>
      <c r="K58" s="154">
        <f t="shared" ca="1" si="30"/>
        <v>0</v>
      </c>
      <c r="L58" s="151">
        <f ca="1">IFERROR(__xludf.DUMMYFUNCTION("IMPORTRANGE(""https://docs.google.com/spreadsheets/d/1-uDff_7J0KD5mKrp0Vvzr7lt3OU09vwQwhkpOPPYv2Y/edit?usp=sharing"",""งบพรบ!BX58"")"),0)</f>
        <v>0</v>
      </c>
      <c r="M58" s="68">
        <f t="shared" ca="1" si="31"/>
        <v>0</v>
      </c>
      <c r="N58" s="68">
        <f t="shared" ca="1" si="32"/>
        <v>0</v>
      </c>
      <c r="O58" s="67">
        <f ca="1">IFERROR(__xludf.DUMMYFUNCTION("IMPORTRANGE(""https://docs.google.com/spreadsheets/d/1-uDff_7J0KD5mKrp0Vvzr7lt3OU09vwQwhkpOPPYv2Y/edit?usp=sharing"",""งบพรบ!BY58"")"),0)</f>
        <v>0</v>
      </c>
      <c r="P58" s="67">
        <f t="shared" ca="1" si="33"/>
        <v>0</v>
      </c>
      <c r="Q58" s="68">
        <f t="shared" ca="1" si="34"/>
        <v>0</v>
      </c>
      <c r="R58" s="67">
        <f ca="1">IFERROR(__xludf.DUMMYFUNCTION("IMPORTRANGE(""https://docs.google.com/spreadsheets/d/1jkqa6GXxSacMcY1eN8AHjMNJ_7dDXMJVRLDlaFSOdPM/edit?usp=sharing"",""ตราด!Q139"")"),0)</f>
        <v>0</v>
      </c>
      <c r="S58" s="67">
        <f ca="1">IFERROR(__xludf.DUMMYFUNCTION("IMPORTRANGE(""https://docs.google.com/spreadsheets/d/1jkqa6GXxSacMcY1eN8AHjMNJ_7dDXMJVRLDlaFSOdPM/edit?usp=sharing"",""ตราด!R139"")"),0)</f>
        <v>0</v>
      </c>
      <c r="T58" s="67">
        <f ca="1">IFERROR(__xludf.DUMMYFUNCTION("IMPORTRANGE(""https://docs.google.com/spreadsheets/d/1jkqa6GXxSacMcY1eN8AHjMNJ_7dDXMJVRLDlaFSOdPM/edit?usp=sharing"",""ตราด!S139"")"),0)</f>
        <v>0</v>
      </c>
      <c r="U58" s="68">
        <f t="shared" ca="1" si="36"/>
        <v>0</v>
      </c>
      <c r="V58" s="68">
        <f t="shared" ca="1" si="37"/>
        <v>0</v>
      </c>
      <c r="W58" s="78">
        <f ca="1">IFERROR(__xludf.DUMMYFUNCTION("IMPORTRANGE(""https://docs.google.com/spreadsheets/d/1jkqa6GXxSacMcY1eN8AHjMNJ_7dDXMJVRLDlaFSOdPM/edit?usp=sharing"",""ตราด!J149"")"),0)</f>
        <v>0</v>
      </c>
      <c r="X58" s="78">
        <f ca="1">IFERROR(__xludf.DUMMYFUNCTION("IMPORTRANGE(""https://docs.google.com/spreadsheets/d/1jkqa6GXxSacMcY1eN8AHjMNJ_7dDXMJVRLDlaFSOdPM/edit?usp=sharing"",""ตราด!I150"")"),0)</f>
        <v>0</v>
      </c>
      <c r="Y58" s="78">
        <f ca="1">IFERROR(__xludf.DUMMYFUNCTION("IMPORTRANGE(""https://docs.google.com/spreadsheets/d/1jkqa6GXxSacMcY1eN8AHjMNJ_7dDXMJVRLDlaFSOdPM/edit?usp=sharing"",""ตราด!I151"")"),0)</f>
        <v>0</v>
      </c>
      <c r="Z58" s="78">
        <f ca="1">IFERROR(__xludf.DUMMYFUNCTION("IMPORTRANGE(""https://docs.google.com/spreadsheets/d/1jkqa6GXxSacMcY1eN8AHjMNJ_7dDXMJVRLDlaFSOdPM/edit?usp=sharing"",""ตราด!J150"")"),0)</f>
        <v>0</v>
      </c>
      <c r="AA58" s="79">
        <f t="shared" ca="1" si="39"/>
        <v>0</v>
      </c>
      <c r="AB58" s="78">
        <f ca="1">IFERROR(__xludf.DUMMYFUNCTION("IMPORTRANGE(""https://docs.google.com/spreadsheets/d/1jkqa6GXxSacMcY1eN8AHjMNJ_7dDXMJVRLDlaFSOdPM/edit?usp=sharing"",""ตราด!J151"")"),0)</f>
        <v>0</v>
      </c>
      <c r="AC58" s="79">
        <f t="shared" ca="1" si="40"/>
        <v>0</v>
      </c>
      <c r="AD58" s="78">
        <f ca="1">IFERROR(__xludf.DUMMYFUNCTION("IMPORTRANGE(""https://docs.google.com/spreadsheets/d/1jkqa6GXxSacMcY1eN8AHjMNJ_7dDXMJVRLDlaFSOdPM/edit?usp=sharing"",""ตราด!I152"")"),0)</f>
        <v>0</v>
      </c>
      <c r="AE58" s="78">
        <f ca="1">IFERROR(__xludf.DUMMYFUNCTION("IMPORTRANGE(""https://docs.google.com/spreadsheets/d/1jkqa6GXxSacMcY1eN8AHjMNJ_7dDXMJVRLDlaFSOdPM/edit?usp=sharing"",""ตราด!I153"")"),0)</f>
        <v>0</v>
      </c>
      <c r="AF58" s="78">
        <f ca="1">IFERROR(__xludf.DUMMYFUNCTION("IMPORTRANGE(""https://docs.google.com/spreadsheets/d/1jkqa6GXxSacMcY1eN8AHjMNJ_7dDXMJVRLDlaFSOdPM/edit?usp=sharing"",""ตราด!J152"")"),0)</f>
        <v>0</v>
      </c>
      <c r="AG58" s="79">
        <f t="shared" ca="1" si="42"/>
        <v>0</v>
      </c>
      <c r="AH58" s="78">
        <f ca="1">IFERROR(__xludf.DUMMYFUNCTION("IMPORTRANGE(""https://docs.google.com/spreadsheets/d/1jkqa6GXxSacMcY1eN8AHjMNJ_7dDXMJVRLDlaFSOdPM/edit?usp=sharing"",""ตราด!J153"")"),0)</f>
        <v>0</v>
      </c>
      <c r="AI58" s="79">
        <f t="shared" ca="1" si="43"/>
        <v>0</v>
      </c>
      <c r="AJ58" s="78">
        <f ca="1">IFERROR(__xludf.DUMMYFUNCTION("IMPORTRANGE(""https://docs.google.com/spreadsheets/d/1jkqa6GXxSacMcY1eN8AHjMNJ_7dDXMJVRLDlaFSOdPM/edit?usp=sharing"",""ตราด!I154"")"),0)</f>
        <v>0</v>
      </c>
      <c r="AK58" s="78">
        <f ca="1">IFERROR(__xludf.DUMMYFUNCTION("IMPORTRANGE(""https://docs.google.com/spreadsheets/d/1jkqa6GXxSacMcY1eN8AHjMNJ_7dDXMJVRLDlaFSOdPM/edit?usp=sharing"",""ตราด!J154"")"),0)</f>
        <v>0</v>
      </c>
      <c r="AL58" s="79">
        <f t="shared" ca="1" si="45"/>
        <v>0</v>
      </c>
    </row>
    <row r="59" spans="1:38" ht="21" customHeight="1" x14ac:dyDescent="0.3">
      <c r="A59" s="147">
        <v>7</v>
      </c>
      <c r="B59" s="148" t="s">
        <v>87</v>
      </c>
      <c r="C59" s="149">
        <f t="shared" ca="1" si="27"/>
        <v>0</v>
      </c>
      <c r="D59" s="150">
        <f t="shared" ca="1" si="58"/>
        <v>0</v>
      </c>
      <c r="E59" s="151">
        <f ca="1">IFERROR(__xludf.DUMMYFUNCTION("IMPORTRANGE(""https://docs.google.com/spreadsheets/d/1-uDff_7J0KD5mKrp0Vvzr7lt3OU09vwQwhkpOPPYv2Y/edit?usp=sharing"",""งบพรบ!BR59"")"),0)</f>
        <v>0</v>
      </c>
      <c r="F59" s="151">
        <f ca="1">IFERROR(__xludf.DUMMYFUNCTION("IMPORTRANGE(""https://docs.google.com/spreadsheets/d/1-uDff_7J0KD5mKrp0Vvzr7lt3OU09vwQwhkpOPPYv2Y/edit?usp=sharing"",""งบพรบ!BS59"")"),0)</f>
        <v>0</v>
      </c>
      <c r="G59" s="151">
        <f ca="1">IFERROR(__xludf.DUMMYFUNCTION("IMPORTRANGE(""https://docs.google.com/spreadsheets/d/1-uDff_7J0KD5mKrp0Vvzr7lt3OU09vwQwhkpOPPYv2Y/edit?usp=sharing"",""งบพรบ!BT59"")"),0)</f>
        <v>0</v>
      </c>
      <c r="H59" s="151">
        <f ca="1">IFERROR(__xludf.DUMMYFUNCTION("IMPORTRANGE(""https://docs.google.com/spreadsheets/d/1-uDff_7J0KD5mKrp0Vvzr7lt3OU09vwQwhkpOPPYv2Y/edit?usp=sharing"",""งบพรบ!BV59"")"),0)</f>
        <v>0</v>
      </c>
      <c r="I59" s="151">
        <f ca="1">IFERROR(__xludf.DUMMYFUNCTION("IMPORTRANGE(""https://docs.google.com/spreadsheets/d/1-uDff_7J0KD5mKrp0Vvzr7lt3OU09vwQwhkpOPPYv2Y/edit?usp=sharing"",""งบพรบ!BW59"")"),0)</f>
        <v>0</v>
      </c>
      <c r="J59" s="151">
        <f t="shared" ca="1" si="29"/>
        <v>0</v>
      </c>
      <c r="K59" s="154">
        <f t="shared" ca="1" si="30"/>
        <v>0</v>
      </c>
      <c r="L59" s="151">
        <f ca="1">IFERROR(__xludf.DUMMYFUNCTION("IMPORTRANGE(""https://docs.google.com/spreadsheets/d/1-uDff_7J0KD5mKrp0Vvzr7lt3OU09vwQwhkpOPPYv2Y/edit?usp=sharing"",""งบพรบ!BX59"")"),0)</f>
        <v>0</v>
      </c>
      <c r="M59" s="68">
        <f t="shared" ca="1" si="31"/>
        <v>0</v>
      </c>
      <c r="N59" s="68">
        <f t="shared" ca="1" si="32"/>
        <v>0</v>
      </c>
      <c r="O59" s="67">
        <f ca="1">IFERROR(__xludf.DUMMYFUNCTION("IMPORTRANGE(""https://docs.google.com/spreadsheets/d/1-uDff_7J0KD5mKrp0Vvzr7lt3OU09vwQwhkpOPPYv2Y/edit?usp=sharing"",""งบพรบ!BY59"")"),0)</f>
        <v>0</v>
      </c>
      <c r="P59" s="67">
        <f t="shared" ca="1" si="33"/>
        <v>0</v>
      </c>
      <c r="Q59" s="68">
        <f t="shared" ca="1" si="34"/>
        <v>0</v>
      </c>
      <c r="R59" s="67">
        <f ca="1">IFERROR(__xludf.DUMMYFUNCTION("IMPORTRANGE(""https://docs.google.com/spreadsheets/d/18hSgUJ3VwClqi_qtULmmW3cLr0oe3OKaSYoKzdpTsYQ/edit?usp=sharing"",""นครนายก!Q139"")"),0)</f>
        <v>0</v>
      </c>
      <c r="S59" s="67">
        <f ca="1">IFERROR(__xludf.DUMMYFUNCTION("IMPORTRANGE(""https://docs.google.com/spreadsheets/d/18hSgUJ3VwClqi_qtULmmW3cLr0oe3OKaSYoKzdpTsYQ/edit?usp=sharing"",""นครนายก!R139"")"),0)</f>
        <v>0</v>
      </c>
      <c r="T59" s="67">
        <f ca="1">IFERROR(__xludf.DUMMYFUNCTION("IMPORTRANGE(""https://docs.google.com/spreadsheets/d/18hSgUJ3VwClqi_qtULmmW3cLr0oe3OKaSYoKzdpTsYQ/edit?usp=sharing"",""นครนายก!S139"")"),0)</f>
        <v>0</v>
      </c>
      <c r="U59" s="68">
        <f t="shared" ca="1" si="36"/>
        <v>0</v>
      </c>
      <c r="V59" s="68">
        <f t="shared" ca="1" si="37"/>
        <v>0</v>
      </c>
      <c r="W59" s="78">
        <f ca="1">IFERROR(__xludf.DUMMYFUNCTION("IMPORTRANGE(""https://docs.google.com/spreadsheets/d/18hSgUJ3VwClqi_qtULmmW3cLr0oe3OKaSYoKzdpTsYQ/edit?usp=sharing"",""นครนายก!J149"")"),0)</f>
        <v>0</v>
      </c>
      <c r="X59" s="78">
        <f ca="1">IFERROR(__xludf.DUMMYFUNCTION("IMPORTRANGE(""https://docs.google.com/spreadsheets/d/18hSgUJ3VwClqi_qtULmmW3cLr0oe3OKaSYoKzdpTsYQ/edit?usp=sharing"",""นครนายก!I150"")"),0)</f>
        <v>0</v>
      </c>
      <c r="Y59" s="78">
        <f ca="1">IFERROR(__xludf.DUMMYFUNCTION("IMPORTRANGE(""https://docs.google.com/spreadsheets/d/18hSgUJ3VwClqi_qtULmmW3cLr0oe3OKaSYoKzdpTsYQ/edit?usp=sharing"",""นครนายก!I151"")"),0)</f>
        <v>0</v>
      </c>
      <c r="Z59" s="78">
        <f ca="1">IFERROR(__xludf.DUMMYFUNCTION("IMPORTRANGE(""https://docs.google.com/spreadsheets/d/18hSgUJ3VwClqi_qtULmmW3cLr0oe3OKaSYoKzdpTsYQ/edit?usp=sharing"",""นครนายก!J150"")"),0)</f>
        <v>0</v>
      </c>
      <c r="AA59" s="79">
        <f t="shared" ca="1" si="39"/>
        <v>0</v>
      </c>
      <c r="AB59" s="78">
        <f ca="1">IFERROR(__xludf.DUMMYFUNCTION("IMPORTRANGE(""https://docs.google.com/spreadsheets/d/18hSgUJ3VwClqi_qtULmmW3cLr0oe3OKaSYoKzdpTsYQ/edit?usp=sharing"",""นครนายก!J151"")"),0)</f>
        <v>0</v>
      </c>
      <c r="AC59" s="79">
        <f t="shared" ca="1" si="40"/>
        <v>0</v>
      </c>
      <c r="AD59" s="78">
        <f ca="1">IFERROR(__xludf.DUMMYFUNCTION("IMPORTRANGE(""https://docs.google.com/spreadsheets/d/18hSgUJ3VwClqi_qtULmmW3cLr0oe3OKaSYoKzdpTsYQ/edit?usp=sharing"",""นครนายก!I152"")"),0)</f>
        <v>0</v>
      </c>
      <c r="AE59" s="78">
        <f ca="1">IFERROR(__xludf.DUMMYFUNCTION("IMPORTRANGE(""https://docs.google.com/spreadsheets/d/18hSgUJ3VwClqi_qtULmmW3cLr0oe3OKaSYoKzdpTsYQ/edit?usp=sharing"",""นครนายก!I153"")"),0)</f>
        <v>0</v>
      </c>
      <c r="AF59" s="78">
        <f ca="1">IFERROR(__xludf.DUMMYFUNCTION("IMPORTRANGE(""https://docs.google.com/spreadsheets/d/18hSgUJ3VwClqi_qtULmmW3cLr0oe3OKaSYoKzdpTsYQ/edit?usp=sharing"",""นครนายก!J152"")"),0)</f>
        <v>0</v>
      </c>
      <c r="AG59" s="79">
        <f t="shared" ca="1" si="42"/>
        <v>0</v>
      </c>
      <c r="AH59" s="78">
        <f ca="1">IFERROR(__xludf.DUMMYFUNCTION("IMPORTRANGE(""https://docs.google.com/spreadsheets/d/18hSgUJ3VwClqi_qtULmmW3cLr0oe3OKaSYoKzdpTsYQ/edit?usp=sharing"",""นครนายก!J153"")"),0)</f>
        <v>0</v>
      </c>
      <c r="AI59" s="79">
        <f t="shared" ca="1" si="43"/>
        <v>0</v>
      </c>
      <c r="AJ59" s="78">
        <f ca="1">IFERROR(__xludf.DUMMYFUNCTION("IMPORTRANGE(""https://docs.google.com/spreadsheets/d/18hSgUJ3VwClqi_qtULmmW3cLr0oe3OKaSYoKzdpTsYQ/edit?usp=sharing"",""นครนายก!I154"")"),0)</f>
        <v>0</v>
      </c>
      <c r="AK59" s="78">
        <f ca="1">IFERROR(__xludf.DUMMYFUNCTION("IMPORTRANGE(""https://docs.google.com/spreadsheets/d/18hSgUJ3VwClqi_qtULmmW3cLr0oe3OKaSYoKzdpTsYQ/edit?usp=sharing"",""นครนายก!J154"")"),0)</f>
        <v>0</v>
      </c>
      <c r="AL59" s="79">
        <f t="shared" ca="1" si="45"/>
        <v>0</v>
      </c>
    </row>
    <row r="60" spans="1:38" ht="21" customHeight="1" x14ac:dyDescent="0.3">
      <c r="A60" s="147">
        <v>8</v>
      </c>
      <c r="B60" s="148" t="s">
        <v>88</v>
      </c>
      <c r="C60" s="149">
        <f t="shared" ca="1" si="27"/>
        <v>0</v>
      </c>
      <c r="D60" s="150">
        <f t="shared" ca="1" si="58"/>
        <v>0</v>
      </c>
      <c r="E60" s="151">
        <f ca="1">IFERROR(__xludf.DUMMYFUNCTION("IMPORTRANGE(""https://docs.google.com/spreadsheets/d/1-uDff_7J0KD5mKrp0Vvzr7lt3OU09vwQwhkpOPPYv2Y/edit?usp=sharing"",""งบพรบ!BR60"")"),0)</f>
        <v>0</v>
      </c>
      <c r="F60" s="151">
        <f ca="1">IFERROR(__xludf.DUMMYFUNCTION("IMPORTRANGE(""https://docs.google.com/spreadsheets/d/1-uDff_7J0KD5mKrp0Vvzr7lt3OU09vwQwhkpOPPYv2Y/edit?usp=sharing"",""งบพรบ!BS60"")"),0)</f>
        <v>0</v>
      </c>
      <c r="G60" s="151">
        <f ca="1">IFERROR(__xludf.DUMMYFUNCTION("IMPORTRANGE(""https://docs.google.com/spreadsheets/d/1-uDff_7J0KD5mKrp0Vvzr7lt3OU09vwQwhkpOPPYv2Y/edit?usp=sharing"",""งบพรบ!BT60"")"),0)</f>
        <v>0</v>
      </c>
      <c r="H60" s="151">
        <f ca="1">IFERROR(__xludf.DUMMYFUNCTION("IMPORTRANGE(""https://docs.google.com/spreadsheets/d/1-uDff_7J0KD5mKrp0Vvzr7lt3OU09vwQwhkpOPPYv2Y/edit?usp=sharing"",""งบพรบ!BV60"")"),0)</f>
        <v>0</v>
      </c>
      <c r="I60" s="151">
        <f ca="1">IFERROR(__xludf.DUMMYFUNCTION("IMPORTRANGE(""https://docs.google.com/spreadsheets/d/1-uDff_7J0KD5mKrp0Vvzr7lt3OU09vwQwhkpOPPYv2Y/edit?usp=sharing"",""งบพรบ!BW60"")"),0)</f>
        <v>0</v>
      </c>
      <c r="J60" s="151">
        <f t="shared" ca="1" si="29"/>
        <v>0</v>
      </c>
      <c r="K60" s="154">
        <f t="shared" ca="1" si="30"/>
        <v>0</v>
      </c>
      <c r="L60" s="151">
        <f ca="1">IFERROR(__xludf.DUMMYFUNCTION("IMPORTRANGE(""https://docs.google.com/spreadsheets/d/1-uDff_7J0KD5mKrp0Vvzr7lt3OU09vwQwhkpOPPYv2Y/edit?usp=sharing"",""งบพรบ!BX60"")"),0)</f>
        <v>0</v>
      </c>
      <c r="M60" s="68">
        <f t="shared" ca="1" si="31"/>
        <v>0</v>
      </c>
      <c r="N60" s="68">
        <f t="shared" ca="1" si="32"/>
        <v>0</v>
      </c>
      <c r="O60" s="67">
        <f ca="1">IFERROR(__xludf.DUMMYFUNCTION("IMPORTRANGE(""https://docs.google.com/spreadsheets/d/1-uDff_7J0KD5mKrp0Vvzr7lt3OU09vwQwhkpOPPYv2Y/edit?usp=sharing"",""งบพรบ!BY60"")"),0)</f>
        <v>0</v>
      </c>
      <c r="P60" s="67">
        <f t="shared" ca="1" si="33"/>
        <v>0</v>
      </c>
      <c r="Q60" s="68">
        <f t="shared" ca="1" si="34"/>
        <v>0</v>
      </c>
      <c r="R60" s="67">
        <f ca="1">IFERROR(__xludf.DUMMYFUNCTION("IMPORTRANGE(""https://docs.google.com/spreadsheets/d/1YTZo6WM2dQ6Ix6FSdnL5P7uVnVKu40sxZu975tgG10E/edit?usp=sharing"",""นครปฐม!Q139"")"),0)</f>
        <v>0</v>
      </c>
      <c r="S60" s="67">
        <f ca="1">IFERROR(__xludf.DUMMYFUNCTION("IMPORTRANGE(""https://docs.google.com/spreadsheets/d/1YTZo6WM2dQ6Ix6FSdnL5P7uVnVKu40sxZu975tgG10E/edit?usp=sharing"",""นครปฐม!R139"")"),0)</f>
        <v>0</v>
      </c>
      <c r="T60" s="67">
        <f ca="1">IFERROR(__xludf.DUMMYFUNCTION("IMPORTRANGE(""https://docs.google.com/spreadsheets/d/1YTZo6WM2dQ6Ix6FSdnL5P7uVnVKu40sxZu975tgG10E/edit?usp=sharing"",""นครปฐม!S139"")"),0)</f>
        <v>0</v>
      </c>
      <c r="U60" s="68">
        <f t="shared" ca="1" si="36"/>
        <v>0</v>
      </c>
      <c r="V60" s="68">
        <f t="shared" ca="1" si="37"/>
        <v>0</v>
      </c>
      <c r="W60" s="78">
        <f ca="1">IFERROR(__xludf.DUMMYFUNCTION("IMPORTRANGE(""https://docs.google.com/spreadsheets/d/1YTZo6WM2dQ6Ix6FSdnL5P7uVnVKu40sxZu975tgG10E/edit?usp=sharing"",""นครปฐม!J149"")"),0)</f>
        <v>0</v>
      </c>
      <c r="X60" s="78">
        <f ca="1">IFERROR(__xludf.DUMMYFUNCTION("IMPORTRANGE(""https://docs.google.com/spreadsheets/d/1YTZo6WM2dQ6Ix6FSdnL5P7uVnVKu40sxZu975tgG10E/edit?usp=sharing"",""นครปฐม!I150"")"),0)</f>
        <v>0</v>
      </c>
      <c r="Y60" s="78">
        <f ca="1">IFERROR(__xludf.DUMMYFUNCTION("IMPORTRANGE(""https://docs.google.com/spreadsheets/d/1YTZo6WM2dQ6Ix6FSdnL5P7uVnVKu40sxZu975tgG10E/edit?usp=sharing"",""นครปฐม!I151"")"),0)</f>
        <v>0</v>
      </c>
      <c r="Z60" s="78">
        <f ca="1">IFERROR(__xludf.DUMMYFUNCTION("IMPORTRANGE(""https://docs.google.com/spreadsheets/d/1YTZo6WM2dQ6Ix6FSdnL5P7uVnVKu40sxZu975tgG10E/edit?usp=sharing"",""นครปฐม!J150"")"),0)</f>
        <v>0</v>
      </c>
      <c r="AA60" s="79">
        <f t="shared" ca="1" si="39"/>
        <v>0</v>
      </c>
      <c r="AB60" s="78">
        <f ca="1">IFERROR(__xludf.DUMMYFUNCTION("IMPORTRANGE(""https://docs.google.com/spreadsheets/d/1YTZo6WM2dQ6Ix6FSdnL5P7uVnVKu40sxZu975tgG10E/edit?usp=sharing"",""นครปฐม!J151"")"),0)</f>
        <v>0</v>
      </c>
      <c r="AC60" s="79">
        <f t="shared" ca="1" si="40"/>
        <v>0</v>
      </c>
      <c r="AD60" s="78">
        <f ca="1">IFERROR(__xludf.DUMMYFUNCTION("IMPORTRANGE(""https://docs.google.com/spreadsheets/d/1YTZo6WM2dQ6Ix6FSdnL5P7uVnVKu40sxZu975tgG10E/edit?usp=sharing"",""นครปฐม!I152"")"),0)</f>
        <v>0</v>
      </c>
      <c r="AE60" s="78">
        <f ca="1">IFERROR(__xludf.DUMMYFUNCTION("IMPORTRANGE(""https://docs.google.com/spreadsheets/d/1YTZo6WM2dQ6Ix6FSdnL5P7uVnVKu40sxZu975tgG10E/edit?usp=sharing"",""นครปฐม!I153"")"),0)</f>
        <v>0</v>
      </c>
      <c r="AF60" s="78">
        <f ca="1">IFERROR(__xludf.DUMMYFUNCTION("IMPORTRANGE(""https://docs.google.com/spreadsheets/d/1YTZo6WM2dQ6Ix6FSdnL5P7uVnVKu40sxZu975tgG10E/edit?usp=sharing"",""นครปฐม!J152"")"),0)</f>
        <v>0</v>
      </c>
      <c r="AG60" s="79">
        <f t="shared" ca="1" si="42"/>
        <v>0</v>
      </c>
      <c r="AH60" s="78">
        <f ca="1">IFERROR(__xludf.DUMMYFUNCTION("IMPORTRANGE(""https://docs.google.com/spreadsheets/d/1YTZo6WM2dQ6Ix6FSdnL5P7uVnVKu40sxZu975tgG10E/edit?usp=sharing"",""นครปฐม!J153"")"),0)</f>
        <v>0</v>
      </c>
      <c r="AI60" s="79">
        <f t="shared" ca="1" si="43"/>
        <v>0</v>
      </c>
      <c r="AJ60" s="78">
        <f ca="1">IFERROR(__xludf.DUMMYFUNCTION("IMPORTRANGE(""https://docs.google.com/spreadsheets/d/1YTZo6WM2dQ6Ix6FSdnL5P7uVnVKu40sxZu975tgG10E/edit?usp=sharing"",""นครปฐม!I154"")"),0)</f>
        <v>0</v>
      </c>
      <c r="AK60" s="78">
        <f ca="1">IFERROR(__xludf.DUMMYFUNCTION("IMPORTRANGE(""https://docs.google.com/spreadsheets/d/1YTZo6WM2dQ6Ix6FSdnL5P7uVnVKu40sxZu975tgG10E/edit?usp=sharing"",""นครปฐม!J154"")"),0)</f>
        <v>0</v>
      </c>
      <c r="AL60" s="79">
        <f t="shared" ca="1" si="45"/>
        <v>0</v>
      </c>
    </row>
    <row r="61" spans="1:38" ht="21" customHeight="1" x14ac:dyDescent="0.3">
      <c r="A61" s="147">
        <v>9</v>
      </c>
      <c r="B61" s="148" t="s">
        <v>89</v>
      </c>
      <c r="C61" s="149">
        <f t="shared" ca="1" si="27"/>
        <v>0</v>
      </c>
      <c r="D61" s="150">
        <f t="shared" ca="1" si="58"/>
        <v>0</v>
      </c>
      <c r="E61" s="151">
        <f ca="1">IFERROR(__xludf.DUMMYFUNCTION("IMPORTRANGE(""https://docs.google.com/spreadsheets/d/1-uDff_7J0KD5mKrp0Vvzr7lt3OU09vwQwhkpOPPYv2Y/edit?usp=sharing"",""งบพรบ!BR61"")"),0)</f>
        <v>0</v>
      </c>
      <c r="F61" s="151">
        <f ca="1">IFERROR(__xludf.DUMMYFUNCTION("IMPORTRANGE(""https://docs.google.com/spreadsheets/d/1-uDff_7J0KD5mKrp0Vvzr7lt3OU09vwQwhkpOPPYv2Y/edit?usp=sharing"",""งบพรบ!BS61"")"),0)</f>
        <v>0</v>
      </c>
      <c r="G61" s="151">
        <f ca="1">IFERROR(__xludf.DUMMYFUNCTION("IMPORTRANGE(""https://docs.google.com/spreadsheets/d/1-uDff_7J0KD5mKrp0Vvzr7lt3OU09vwQwhkpOPPYv2Y/edit?usp=sharing"",""งบพรบ!BT61"")"),0)</f>
        <v>0</v>
      </c>
      <c r="H61" s="151">
        <f ca="1">IFERROR(__xludf.DUMMYFUNCTION("IMPORTRANGE(""https://docs.google.com/spreadsheets/d/1-uDff_7J0KD5mKrp0Vvzr7lt3OU09vwQwhkpOPPYv2Y/edit?usp=sharing"",""งบพรบ!BV61"")"),0)</f>
        <v>0</v>
      </c>
      <c r="I61" s="151">
        <f ca="1">IFERROR(__xludf.DUMMYFUNCTION("IMPORTRANGE(""https://docs.google.com/spreadsheets/d/1-uDff_7J0KD5mKrp0Vvzr7lt3OU09vwQwhkpOPPYv2Y/edit?usp=sharing"",""งบพรบ!BW61"")"),0)</f>
        <v>0</v>
      </c>
      <c r="J61" s="151">
        <f t="shared" ca="1" si="29"/>
        <v>0</v>
      </c>
      <c r="K61" s="154">
        <f t="shared" ca="1" si="30"/>
        <v>0</v>
      </c>
      <c r="L61" s="151">
        <f ca="1">IFERROR(__xludf.DUMMYFUNCTION("IMPORTRANGE(""https://docs.google.com/spreadsheets/d/1-uDff_7J0KD5mKrp0Vvzr7lt3OU09vwQwhkpOPPYv2Y/edit?usp=sharing"",""งบพรบ!BX61"")"),0)</f>
        <v>0</v>
      </c>
      <c r="M61" s="68">
        <f t="shared" ca="1" si="31"/>
        <v>0</v>
      </c>
      <c r="N61" s="68">
        <f t="shared" ca="1" si="32"/>
        <v>0</v>
      </c>
      <c r="O61" s="67">
        <f ca="1">IFERROR(__xludf.DUMMYFUNCTION("IMPORTRANGE(""https://docs.google.com/spreadsheets/d/1-uDff_7J0KD5mKrp0Vvzr7lt3OU09vwQwhkpOPPYv2Y/edit?usp=sharing"",""งบพรบ!BY61"")"),0)</f>
        <v>0</v>
      </c>
      <c r="P61" s="67">
        <f t="shared" ca="1" si="33"/>
        <v>0</v>
      </c>
      <c r="Q61" s="68">
        <f t="shared" ca="1" si="34"/>
        <v>0</v>
      </c>
      <c r="R61" s="67">
        <f ca="1">IFERROR(__xludf.DUMMYFUNCTION("IMPORTRANGE(""https://docs.google.com/spreadsheets/d/1OYoGg4WDg5RIzwGeB10padOxJF9E_Vljuvvct_M7RDo/edit?usp=sharing"",""ปทุมธานี!Q139"")"),0)</f>
        <v>0</v>
      </c>
      <c r="S61" s="67">
        <f ca="1">IFERROR(__xludf.DUMMYFUNCTION("IMPORTRANGE(""https://docs.google.com/spreadsheets/d/1OYoGg4WDg5RIzwGeB10padOxJF9E_Vljuvvct_M7RDo/edit?usp=sharing"",""ปทุมธานี!R139"")"),0)</f>
        <v>0</v>
      </c>
      <c r="T61" s="67">
        <f ca="1">IFERROR(__xludf.DUMMYFUNCTION("IMPORTRANGE(""https://docs.google.com/spreadsheets/d/1OYoGg4WDg5RIzwGeB10padOxJF9E_Vljuvvct_M7RDo/edit?usp=sharing"",""ปทุมธานี!S139"")"),0)</f>
        <v>0</v>
      </c>
      <c r="U61" s="68">
        <f t="shared" ca="1" si="36"/>
        <v>0</v>
      </c>
      <c r="V61" s="68">
        <f t="shared" ca="1" si="37"/>
        <v>0</v>
      </c>
      <c r="W61" s="78">
        <f ca="1">IFERROR(__xludf.DUMMYFUNCTION("IMPORTRANGE(""https://docs.google.com/spreadsheets/d/1OYoGg4WDg5RIzwGeB10padOxJF9E_Vljuvvct_M7RDo/edit?usp=sharing"",""ปทุมธานี!J149"")"),0)</f>
        <v>0</v>
      </c>
      <c r="X61" s="78">
        <f ca="1">IFERROR(__xludf.DUMMYFUNCTION("IMPORTRANGE(""https://docs.google.com/spreadsheets/d/1OYoGg4WDg5RIzwGeB10padOxJF9E_Vljuvvct_M7RDo/edit?usp=sharing"",""ปทุมธานี!I150"")"),0)</f>
        <v>0</v>
      </c>
      <c r="Y61" s="78">
        <f ca="1">IFERROR(__xludf.DUMMYFUNCTION("IMPORTRANGE(""https://docs.google.com/spreadsheets/d/1OYoGg4WDg5RIzwGeB10padOxJF9E_Vljuvvct_M7RDo/edit?usp=sharing"",""ปทุมธานี!I151"")"),0)</f>
        <v>0</v>
      </c>
      <c r="Z61" s="78">
        <f ca="1">IFERROR(__xludf.DUMMYFUNCTION("IMPORTRANGE(""https://docs.google.com/spreadsheets/d/1OYoGg4WDg5RIzwGeB10padOxJF9E_Vljuvvct_M7RDo/edit?usp=sharing"",""ปทุมธานี!J150"")"),0)</f>
        <v>0</v>
      </c>
      <c r="AA61" s="79">
        <f t="shared" ca="1" si="39"/>
        <v>0</v>
      </c>
      <c r="AB61" s="78">
        <f ca="1">IFERROR(__xludf.DUMMYFUNCTION("IMPORTRANGE(""https://docs.google.com/spreadsheets/d/1OYoGg4WDg5RIzwGeB10padOxJF9E_Vljuvvct_M7RDo/edit?usp=sharing"",""ปทุมธานี!J151"")"),0)</f>
        <v>0</v>
      </c>
      <c r="AC61" s="79">
        <f t="shared" ca="1" si="40"/>
        <v>0</v>
      </c>
      <c r="AD61" s="78">
        <f ca="1">IFERROR(__xludf.DUMMYFUNCTION("IMPORTRANGE(""https://docs.google.com/spreadsheets/d/1OYoGg4WDg5RIzwGeB10padOxJF9E_Vljuvvct_M7RDo/edit?usp=sharing"",""ปทุมธานี!I152"")"),0)</f>
        <v>0</v>
      </c>
      <c r="AE61" s="78">
        <f ca="1">IFERROR(__xludf.DUMMYFUNCTION("IMPORTRANGE(""https://docs.google.com/spreadsheets/d/1OYoGg4WDg5RIzwGeB10padOxJF9E_Vljuvvct_M7RDo/edit?usp=sharing"",""ปทุมธานี!I153"")"),0)</f>
        <v>0</v>
      </c>
      <c r="AF61" s="78">
        <f ca="1">IFERROR(__xludf.DUMMYFUNCTION("IMPORTRANGE(""https://docs.google.com/spreadsheets/d/1OYoGg4WDg5RIzwGeB10padOxJF9E_Vljuvvct_M7RDo/edit?usp=sharing"",""ปทุมธานี!J152"")"),0)</f>
        <v>0</v>
      </c>
      <c r="AG61" s="79">
        <f t="shared" ca="1" si="42"/>
        <v>0</v>
      </c>
      <c r="AH61" s="78">
        <f ca="1">IFERROR(__xludf.DUMMYFUNCTION("IMPORTRANGE(""https://docs.google.com/spreadsheets/d/1OYoGg4WDg5RIzwGeB10padOxJF9E_Vljuvvct_M7RDo/edit?usp=sharing"",""ปทุมธานี!J153"")"),0)</f>
        <v>0</v>
      </c>
      <c r="AI61" s="79">
        <f t="shared" ca="1" si="43"/>
        <v>0</v>
      </c>
      <c r="AJ61" s="78">
        <f ca="1">IFERROR(__xludf.DUMMYFUNCTION("IMPORTRANGE(""https://docs.google.com/spreadsheets/d/1OYoGg4WDg5RIzwGeB10padOxJF9E_Vljuvvct_M7RDo/edit?usp=sharing"",""ปทุมธานี!I154"")"),0)</f>
        <v>0</v>
      </c>
      <c r="AK61" s="78">
        <f ca="1">IFERROR(__xludf.DUMMYFUNCTION("IMPORTRANGE(""https://docs.google.com/spreadsheets/d/1OYoGg4WDg5RIzwGeB10padOxJF9E_Vljuvvct_M7RDo/edit?usp=sharing"",""ปทุมธานี!J154"")"),0)</f>
        <v>0</v>
      </c>
      <c r="AL61" s="79">
        <f t="shared" ca="1" si="45"/>
        <v>0</v>
      </c>
    </row>
    <row r="62" spans="1:38" ht="21" customHeight="1" x14ac:dyDescent="0.3">
      <c r="A62" s="147">
        <v>10</v>
      </c>
      <c r="B62" s="148" t="s">
        <v>90</v>
      </c>
      <c r="C62" s="149">
        <f t="shared" ca="1" si="27"/>
        <v>0</v>
      </c>
      <c r="D62" s="150">
        <f t="shared" ca="1" si="58"/>
        <v>0</v>
      </c>
      <c r="E62" s="151">
        <f ca="1">IFERROR(__xludf.DUMMYFUNCTION("IMPORTRANGE(""https://docs.google.com/spreadsheets/d/1-uDff_7J0KD5mKrp0Vvzr7lt3OU09vwQwhkpOPPYv2Y/edit?usp=sharing"",""งบพรบ!BR62"")"),0)</f>
        <v>0</v>
      </c>
      <c r="F62" s="151">
        <f ca="1">IFERROR(__xludf.DUMMYFUNCTION("IMPORTRANGE(""https://docs.google.com/spreadsheets/d/1-uDff_7J0KD5mKrp0Vvzr7lt3OU09vwQwhkpOPPYv2Y/edit?usp=sharing"",""งบพรบ!BS62"")"),0)</f>
        <v>0</v>
      </c>
      <c r="G62" s="151">
        <f ca="1">IFERROR(__xludf.DUMMYFUNCTION("IMPORTRANGE(""https://docs.google.com/spreadsheets/d/1-uDff_7J0KD5mKrp0Vvzr7lt3OU09vwQwhkpOPPYv2Y/edit?usp=sharing"",""งบพรบ!BT62"")"),0)</f>
        <v>0</v>
      </c>
      <c r="H62" s="151">
        <f ca="1">IFERROR(__xludf.DUMMYFUNCTION("IMPORTRANGE(""https://docs.google.com/spreadsheets/d/1-uDff_7J0KD5mKrp0Vvzr7lt3OU09vwQwhkpOPPYv2Y/edit?usp=sharing"",""งบพรบ!BV62"")"),0)</f>
        <v>0</v>
      </c>
      <c r="I62" s="151">
        <f ca="1">IFERROR(__xludf.DUMMYFUNCTION("IMPORTRANGE(""https://docs.google.com/spreadsheets/d/1-uDff_7J0KD5mKrp0Vvzr7lt3OU09vwQwhkpOPPYv2Y/edit?usp=sharing"",""งบพรบ!BW62"")"),0)</f>
        <v>0</v>
      </c>
      <c r="J62" s="151">
        <f t="shared" ca="1" si="29"/>
        <v>0</v>
      </c>
      <c r="K62" s="154">
        <f t="shared" ca="1" si="30"/>
        <v>0</v>
      </c>
      <c r="L62" s="151">
        <f ca="1">IFERROR(__xludf.DUMMYFUNCTION("IMPORTRANGE(""https://docs.google.com/spreadsheets/d/1-uDff_7J0KD5mKrp0Vvzr7lt3OU09vwQwhkpOPPYv2Y/edit?usp=sharing"",""งบพรบ!BX62"")"),0)</f>
        <v>0</v>
      </c>
      <c r="M62" s="68">
        <f t="shared" ca="1" si="31"/>
        <v>0</v>
      </c>
      <c r="N62" s="68">
        <f t="shared" ca="1" si="32"/>
        <v>0</v>
      </c>
      <c r="O62" s="67">
        <f ca="1">IFERROR(__xludf.DUMMYFUNCTION("IMPORTRANGE(""https://docs.google.com/spreadsheets/d/1-uDff_7J0KD5mKrp0Vvzr7lt3OU09vwQwhkpOPPYv2Y/edit?usp=sharing"",""งบพรบ!BY62"")"),0)</f>
        <v>0</v>
      </c>
      <c r="P62" s="67">
        <f t="shared" ca="1" si="33"/>
        <v>0</v>
      </c>
      <c r="Q62" s="68">
        <f t="shared" ca="1" si="34"/>
        <v>0</v>
      </c>
      <c r="R62" s="67">
        <f ca="1">IFERROR(__xludf.DUMMYFUNCTION("IMPORTRANGE(""https://docs.google.com/spreadsheets/d/1GbCIE4D4wk9FUozzqk7SxfDMxDVBwVmI5zcaVUSzKAc/edit?usp=sharing"",""ประจวบคีรีขันธ์!Q139"")"),0)</f>
        <v>0</v>
      </c>
      <c r="S62" s="67">
        <f ca="1">IFERROR(__xludf.DUMMYFUNCTION("IMPORTRANGE(""https://docs.google.com/spreadsheets/d/1GbCIE4D4wk9FUozzqk7SxfDMxDVBwVmI5zcaVUSzKAc/edit?usp=sharing"",""ประจวบคีรีขันธ์!R139"")"),0)</f>
        <v>0</v>
      </c>
      <c r="T62" s="67">
        <f ca="1">IFERROR(__xludf.DUMMYFUNCTION("IMPORTRANGE(""https://docs.google.com/spreadsheets/d/1GbCIE4D4wk9FUozzqk7SxfDMxDVBwVmI5zcaVUSzKAc/edit?usp=sharing"",""ประจวบคีรีขันธ์!S139"")"),0)</f>
        <v>0</v>
      </c>
      <c r="U62" s="68">
        <f t="shared" ca="1" si="36"/>
        <v>0</v>
      </c>
      <c r="V62" s="68">
        <f t="shared" ca="1" si="37"/>
        <v>0</v>
      </c>
      <c r="W62" s="78">
        <f ca="1">IFERROR(__xludf.DUMMYFUNCTION("IMPORTRANGE(""https://docs.google.com/spreadsheets/d/1GbCIE4D4wk9FUozzqk7SxfDMxDVBwVmI5zcaVUSzKAc/edit?usp=sharing"",""ประจวบคีรีขันธ์!J149"")"),0)</f>
        <v>0</v>
      </c>
      <c r="X62" s="78">
        <f ca="1">IFERROR(__xludf.DUMMYFUNCTION("IMPORTRANGE(""https://docs.google.com/spreadsheets/d/1GbCIE4D4wk9FUozzqk7SxfDMxDVBwVmI5zcaVUSzKAc/edit?usp=sharing"",""ประจวบคีรีขันธ์!I150"")"),0)</f>
        <v>0</v>
      </c>
      <c r="Y62" s="78">
        <f ca="1">IFERROR(__xludf.DUMMYFUNCTION("IMPORTRANGE(""https://docs.google.com/spreadsheets/d/1GbCIE4D4wk9FUozzqk7SxfDMxDVBwVmI5zcaVUSzKAc/edit?usp=sharing"",""ประจวบคีรีขันธ์!I151"")"),0)</f>
        <v>0</v>
      </c>
      <c r="Z62" s="78">
        <f ca="1">IFERROR(__xludf.DUMMYFUNCTION("IMPORTRANGE(""https://docs.google.com/spreadsheets/d/1GbCIE4D4wk9FUozzqk7SxfDMxDVBwVmI5zcaVUSzKAc/edit?usp=sharing"",""ประจวบคีรีขันธ์!J150"")"),0)</f>
        <v>0</v>
      </c>
      <c r="AA62" s="79">
        <f t="shared" ca="1" si="39"/>
        <v>0</v>
      </c>
      <c r="AB62" s="78">
        <f ca="1">IFERROR(__xludf.DUMMYFUNCTION("IMPORTRANGE(""https://docs.google.com/spreadsheets/d/1GbCIE4D4wk9FUozzqk7SxfDMxDVBwVmI5zcaVUSzKAc/edit?usp=sharing"",""ประจวบคีรีขันธ์!J151"")"),0)</f>
        <v>0</v>
      </c>
      <c r="AC62" s="79">
        <f t="shared" ca="1" si="40"/>
        <v>0</v>
      </c>
      <c r="AD62" s="78">
        <f ca="1">IFERROR(__xludf.DUMMYFUNCTION("IMPORTRANGE(""https://docs.google.com/spreadsheets/d/1GbCIE4D4wk9FUozzqk7SxfDMxDVBwVmI5zcaVUSzKAc/edit?usp=sharing"",""ประจวบคีรีขันธ์!I152"")"),0)</f>
        <v>0</v>
      </c>
      <c r="AE62" s="78">
        <f ca="1">IFERROR(__xludf.DUMMYFUNCTION("IMPORTRANGE(""https://docs.google.com/spreadsheets/d/1GbCIE4D4wk9FUozzqk7SxfDMxDVBwVmI5zcaVUSzKAc/edit?usp=sharing"",""ประจวบคีรีขันธ์!I153"")"),0)</f>
        <v>0</v>
      </c>
      <c r="AF62" s="78">
        <f ca="1">IFERROR(__xludf.DUMMYFUNCTION("IMPORTRANGE(""https://docs.google.com/spreadsheets/d/1GbCIE4D4wk9FUozzqk7SxfDMxDVBwVmI5zcaVUSzKAc/edit?usp=sharing"",""ประจวบคีรีขันธ์!J152"")"),0)</f>
        <v>0</v>
      </c>
      <c r="AG62" s="79">
        <f t="shared" ca="1" si="42"/>
        <v>0</v>
      </c>
      <c r="AH62" s="78">
        <f ca="1">IFERROR(__xludf.DUMMYFUNCTION("IMPORTRANGE(""https://docs.google.com/spreadsheets/d/1GbCIE4D4wk9FUozzqk7SxfDMxDVBwVmI5zcaVUSzKAc/edit?usp=sharing"",""ประจวบคีรีขันธ์!J153"")"),0)</f>
        <v>0</v>
      </c>
      <c r="AI62" s="79">
        <f t="shared" ca="1" si="43"/>
        <v>0</v>
      </c>
      <c r="AJ62" s="78">
        <f ca="1">IFERROR(__xludf.DUMMYFUNCTION("IMPORTRANGE(""https://docs.google.com/spreadsheets/d/1GbCIE4D4wk9FUozzqk7SxfDMxDVBwVmI5zcaVUSzKAc/edit?usp=sharing"",""ประจวบคีรีขันธ์!I154"")"),0)</f>
        <v>0</v>
      </c>
      <c r="AK62" s="78">
        <f ca="1">IFERROR(__xludf.DUMMYFUNCTION("IMPORTRANGE(""https://docs.google.com/spreadsheets/d/1GbCIE4D4wk9FUozzqk7SxfDMxDVBwVmI5zcaVUSzKAc/edit?usp=sharing"",""ประจวบคีรีขันธ์!J154"")"),0)</f>
        <v>0</v>
      </c>
      <c r="AL62" s="79">
        <f t="shared" ca="1" si="45"/>
        <v>0</v>
      </c>
    </row>
    <row r="63" spans="1:38" ht="21" customHeight="1" x14ac:dyDescent="0.3">
      <c r="A63" s="147">
        <v>11</v>
      </c>
      <c r="B63" s="148" t="s">
        <v>91</v>
      </c>
      <c r="C63" s="149">
        <f t="shared" ca="1" si="27"/>
        <v>56500</v>
      </c>
      <c r="D63" s="150">
        <f t="shared" ca="1" si="58"/>
        <v>56500</v>
      </c>
      <c r="E63" s="151">
        <f ca="1">IFERROR(__xludf.DUMMYFUNCTION("IMPORTRANGE(""https://docs.google.com/spreadsheets/d/1-uDff_7J0KD5mKrp0Vvzr7lt3OU09vwQwhkpOPPYv2Y/edit?usp=sharing"",""งบพรบ!BR63"")"),0)</f>
        <v>0</v>
      </c>
      <c r="F63" s="151">
        <f ca="1">IFERROR(__xludf.DUMMYFUNCTION("IMPORTRANGE(""https://docs.google.com/spreadsheets/d/1-uDff_7J0KD5mKrp0Vvzr7lt3OU09vwQwhkpOPPYv2Y/edit?usp=sharing"",""งบพรบ!BS63"")"),56500)</f>
        <v>56500</v>
      </c>
      <c r="G63" s="151">
        <f ca="1">IFERROR(__xludf.DUMMYFUNCTION("IMPORTRANGE(""https://docs.google.com/spreadsheets/d/1-uDff_7J0KD5mKrp0Vvzr7lt3OU09vwQwhkpOPPYv2Y/edit?usp=sharing"",""งบพรบ!BT63"")"),0)</f>
        <v>0</v>
      </c>
      <c r="H63" s="151">
        <f ca="1">IFERROR(__xludf.DUMMYFUNCTION("IMPORTRANGE(""https://docs.google.com/spreadsheets/d/1-uDff_7J0KD5mKrp0Vvzr7lt3OU09vwQwhkpOPPYv2Y/edit?usp=sharing"",""งบพรบ!BV63"")"),51500)</f>
        <v>51500</v>
      </c>
      <c r="I63" s="151">
        <f ca="1">IFERROR(__xludf.DUMMYFUNCTION("IMPORTRANGE(""https://docs.google.com/spreadsheets/d/1-uDff_7J0KD5mKrp0Vvzr7lt3OU09vwQwhkpOPPYv2Y/edit?usp=sharing"",""งบพรบ!BW63"")"),0)</f>
        <v>0</v>
      </c>
      <c r="J63" s="151">
        <f t="shared" ca="1" si="29"/>
        <v>51500</v>
      </c>
      <c r="K63" s="154">
        <f t="shared" ca="1" si="30"/>
        <v>91.150442477876112</v>
      </c>
      <c r="L63" s="151">
        <f ca="1">IFERROR(__xludf.DUMMYFUNCTION("IMPORTRANGE(""https://docs.google.com/spreadsheets/d/1-uDff_7J0KD5mKrp0Vvzr7lt3OU09vwQwhkpOPPYv2Y/edit?usp=sharing"",""งบพรบ!BX63"")"),51500)</f>
        <v>51500</v>
      </c>
      <c r="M63" s="68">
        <f t="shared" ca="1" si="31"/>
        <v>91.150442477876112</v>
      </c>
      <c r="N63" s="68">
        <f t="shared" ca="1" si="32"/>
        <v>100</v>
      </c>
      <c r="O63" s="67">
        <f ca="1">IFERROR(__xludf.DUMMYFUNCTION("IMPORTRANGE(""https://docs.google.com/spreadsheets/d/1-uDff_7J0KD5mKrp0Vvzr7lt3OU09vwQwhkpOPPYv2Y/edit?usp=sharing"",""งบพรบ!BY63"")"),0)</f>
        <v>0</v>
      </c>
      <c r="P63" s="67">
        <f t="shared" ca="1" si="33"/>
        <v>0</v>
      </c>
      <c r="Q63" s="68">
        <f t="shared" ca="1" si="34"/>
        <v>0</v>
      </c>
      <c r="R63" s="67">
        <f ca="1">IFERROR(__xludf.DUMMYFUNCTION("IMPORTRANGE(""https://docs.google.com/spreadsheets/d/1vVf6wykvW_lAyu7Yo9L4hUTqHqIeP_qcVuxCtosJEbg/edit?usp=sharing"",""ปราจีนบุรี!Q139"")"),44860)</f>
        <v>44860</v>
      </c>
      <c r="S63" s="67">
        <f ca="1">IFERROR(__xludf.DUMMYFUNCTION("IMPORTRANGE(""https://docs.google.com/spreadsheets/d/1vVf6wykvW_lAyu7Yo9L4hUTqHqIeP_qcVuxCtosJEbg/edit?usp=sharing"",""ปราจีนบุรี!R139"")"),44860)</f>
        <v>44860</v>
      </c>
      <c r="T63" s="67">
        <f ca="1">IFERROR(__xludf.DUMMYFUNCTION("IMPORTRANGE(""https://docs.google.com/spreadsheets/d/1vVf6wykvW_lAyu7Yo9L4hUTqHqIeP_qcVuxCtosJEbg/edit?usp=sharing"",""ปราจีนบุรี!S139"")"),6570)</f>
        <v>6570</v>
      </c>
      <c r="U63" s="68">
        <f t="shared" ca="1" si="36"/>
        <v>14.645563976816764</v>
      </c>
      <c r="V63" s="68">
        <f t="shared" ca="1" si="37"/>
        <v>14.645563976816764</v>
      </c>
      <c r="W63" s="78">
        <f ca="1">IFERROR(__xludf.DUMMYFUNCTION("IMPORTRANGE(""https://docs.google.com/spreadsheets/d/1vVf6wykvW_lAyu7Yo9L4hUTqHqIeP_qcVuxCtosJEbg/edit?usp=sharing"",""ปราจีนบุรี!J149"")"),0)</f>
        <v>0</v>
      </c>
      <c r="X63" s="78">
        <f ca="1">IFERROR(__xludf.DUMMYFUNCTION("IMPORTRANGE(""https://docs.google.com/spreadsheets/d/1vVf6wykvW_lAyu7Yo9L4hUTqHqIeP_qcVuxCtosJEbg/edit?usp=sharing"",""ปราจีนบุรี!I150"")"),0)</f>
        <v>0</v>
      </c>
      <c r="Y63" s="78">
        <f ca="1">IFERROR(__xludf.DUMMYFUNCTION("IMPORTRANGE(""https://docs.google.com/spreadsheets/d/1vVf6wykvW_lAyu7Yo9L4hUTqHqIeP_qcVuxCtosJEbg/edit?usp=sharing"",""ปราจีนบุรี!I151"")"),0)</f>
        <v>0</v>
      </c>
      <c r="Z63" s="78">
        <f ca="1">IFERROR(__xludf.DUMMYFUNCTION("IMPORTRANGE(""https://docs.google.com/spreadsheets/d/1vVf6wykvW_lAyu7Yo9L4hUTqHqIeP_qcVuxCtosJEbg/edit?usp=sharing"",""ปราจีนบุรี!J150"")"),0)</f>
        <v>0</v>
      </c>
      <c r="AA63" s="79">
        <f t="shared" ca="1" si="39"/>
        <v>0</v>
      </c>
      <c r="AB63" s="78">
        <f ca="1">IFERROR(__xludf.DUMMYFUNCTION("IMPORTRANGE(""https://docs.google.com/spreadsheets/d/1vVf6wykvW_lAyu7Yo9L4hUTqHqIeP_qcVuxCtosJEbg/edit?usp=sharing"",""ปราจีนบุรี!J151"")"),0)</f>
        <v>0</v>
      </c>
      <c r="AC63" s="79">
        <f t="shared" ca="1" si="40"/>
        <v>0</v>
      </c>
      <c r="AD63" s="78">
        <f ca="1">IFERROR(__xludf.DUMMYFUNCTION("IMPORTRANGE(""https://docs.google.com/spreadsheets/d/1vVf6wykvW_lAyu7Yo9L4hUTqHqIeP_qcVuxCtosJEbg/edit?usp=sharing"",""ปราจีนบุรี!I152"")"),50)</f>
        <v>50</v>
      </c>
      <c r="AE63" s="78">
        <f ca="1">IFERROR(__xludf.DUMMYFUNCTION("IMPORTRANGE(""https://docs.google.com/spreadsheets/d/1vVf6wykvW_lAyu7Yo9L4hUTqHqIeP_qcVuxCtosJEbg/edit?usp=sharing"",""ปราจีนบุรี!I153"")"),5)</f>
        <v>5</v>
      </c>
      <c r="AF63" s="78">
        <f ca="1">IFERROR(__xludf.DUMMYFUNCTION("IMPORTRANGE(""https://docs.google.com/spreadsheets/d/1vVf6wykvW_lAyu7Yo9L4hUTqHqIeP_qcVuxCtosJEbg/edit?usp=sharing"",""ปราจีนบุรี!J152"")"),0)</f>
        <v>0</v>
      </c>
      <c r="AG63" s="79">
        <f t="shared" ca="1" si="42"/>
        <v>0</v>
      </c>
      <c r="AH63" s="78">
        <f ca="1">IFERROR(__xludf.DUMMYFUNCTION("IMPORTRANGE(""https://docs.google.com/spreadsheets/d/1vVf6wykvW_lAyu7Yo9L4hUTqHqIeP_qcVuxCtosJEbg/edit?usp=sharing"",""ปราจีนบุรี!J153"")"),0)</f>
        <v>0</v>
      </c>
      <c r="AI63" s="79">
        <f t="shared" ca="1" si="43"/>
        <v>0</v>
      </c>
      <c r="AJ63" s="78">
        <f ca="1">IFERROR(__xludf.DUMMYFUNCTION("IMPORTRANGE(""https://docs.google.com/spreadsheets/d/1vVf6wykvW_lAyu7Yo9L4hUTqHqIeP_qcVuxCtosJEbg/edit?usp=sharing"",""ปราจีนบุรี!I154"")"),0)</f>
        <v>0</v>
      </c>
      <c r="AK63" s="78">
        <f ca="1">IFERROR(__xludf.DUMMYFUNCTION("IMPORTRANGE(""https://docs.google.com/spreadsheets/d/1vVf6wykvW_lAyu7Yo9L4hUTqHqIeP_qcVuxCtosJEbg/edit?usp=sharing"",""ปราจีนบุรี!J154"")"),0)</f>
        <v>0</v>
      </c>
      <c r="AL63" s="79">
        <f t="shared" ca="1" si="45"/>
        <v>0</v>
      </c>
    </row>
    <row r="64" spans="1:38" ht="21" customHeight="1" x14ac:dyDescent="0.3">
      <c r="A64" s="147">
        <v>12</v>
      </c>
      <c r="B64" s="148" t="s">
        <v>92</v>
      </c>
      <c r="C64" s="149">
        <f t="shared" ca="1" si="27"/>
        <v>0</v>
      </c>
      <c r="D64" s="150">
        <f t="shared" ca="1" si="58"/>
        <v>0</v>
      </c>
      <c r="E64" s="151">
        <f ca="1">IFERROR(__xludf.DUMMYFUNCTION("IMPORTRANGE(""https://docs.google.com/spreadsheets/d/1-uDff_7J0KD5mKrp0Vvzr7lt3OU09vwQwhkpOPPYv2Y/edit?usp=sharing"",""งบพรบ!BR64"")"),0)</f>
        <v>0</v>
      </c>
      <c r="F64" s="151">
        <f ca="1">IFERROR(__xludf.DUMMYFUNCTION("IMPORTRANGE(""https://docs.google.com/spreadsheets/d/1-uDff_7J0KD5mKrp0Vvzr7lt3OU09vwQwhkpOPPYv2Y/edit?usp=sharing"",""งบพรบ!BS64"")"),0)</f>
        <v>0</v>
      </c>
      <c r="G64" s="151">
        <f ca="1">IFERROR(__xludf.DUMMYFUNCTION("IMPORTRANGE(""https://docs.google.com/spreadsheets/d/1-uDff_7J0KD5mKrp0Vvzr7lt3OU09vwQwhkpOPPYv2Y/edit?usp=sharing"",""งบพรบ!BT64"")"),0)</f>
        <v>0</v>
      </c>
      <c r="H64" s="151">
        <f ca="1">IFERROR(__xludf.DUMMYFUNCTION("IMPORTRANGE(""https://docs.google.com/spreadsheets/d/1-uDff_7J0KD5mKrp0Vvzr7lt3OU09vwQwhkpOPPYv2Y/edit?usp=sharing"",""งบพรบ!BV64"")"),0)</f>
        <v>0</v>
      </c>
      <c r="I64" s="151">
        <f ca="1">IFERROR(__xludf.DUMMYFUNCTION("IMPORTRANGE(""https://docs.google.com/spreadsheets/d/1-uDff_7J0KD5mKrp0Vvzr7lt3OU09vwQwhkpOPPYv2Y/edit?usp=sharing"",""งบพรบ!BW64"")"),0)</f>
        <v>0</v>
      </c>
      <c r="J64" s="151">
        <f t="shared" ca="1" si="29"/>
        <v>0</v>
      </c>
      <c r="K64" s="154">
        <f t="shared" ca="1" si="30"/>
        <v>0</v>
      </c>
      <c r="L64" s="151">
        <f ca="1">IFERROR(__xludf.DUMMYFUNCTION("IMPORTRANGE(""https://docs.google.com/spreadsheets/d/1-uDff_7J0KD5mKrp0Vvzr7lt3OU09vwQwhkpOPPYv2Y/edit?usp=sharing"",""งบพรบ!BX64"")"),0)</f>
        <v>0</v>
      </c>
      <c r="M64" s="68">
        <f t="shared" ca="1" si="31"/>
        <v>0</v>
      </c>
      <c r="N64" s="68">
        <f t="shared" ca="1" si="32"/>
        <v>0</v>
      </c>
      <c r="O64" s="67">
        <f ca="1">IFERROR(__xludf.DUMMYFUNCTION("IMPORTRANGE(""https://docs.google.com/spreadsheets/d/1-uDff_7J0KD5mKrp0Vvzr7lt3OU09vwQwhkpOPPYv2Y/edit?usp=sharing"",""งบพรบ!BY64"")"),0)</f>
        <v>0</v>
      </c>
      <c r="P64" s="67">
        <f t="shared" ca="1" si="33"/>
        <v>0</v>
      </c>
      <c r="Q64" s="68">
        <f t="shared" ca="1" si="34"/>
        <v>0</v>
      </c>
      <c r="R64" s="67">
        <f ca="1">IFERROR(__xludf.DUMMYFUNCTION("IMPORTRANGE(""https://docs.google.com/spreadsheets/d/1BIDqLLg5jk3v59G8NlR8rk5xfQDKne0sAvZHSj7TI6I/edit?usp=sharing"",""พระนครศรีอยุธยา!Q139"")"),0)</f>
        <v>0</v>
      </c>
      <c r="S64" s="67">
        <f ca="1">IFERROR(__xludf.DUMMYFUNCTION("IMPORTRANGE(""https://docs.google.com/spreadsheets/d/1BIDqLLg5jk3v59G8NlR8rk5xfQDKne0sAvZHSj7TI6I/edit?usp=sharing"",""พระนครศรีอยุธยา!R139"")"),0)</f>
        <v>0</v>
      </c>
      <c r="T64" s="67">
        <f ca="1">IFERROR(__xludf.DUMMYFUNCTION("IMPORTRANGE(""https://docs.google.com/spreadsheets/d/1BIDqLLg5jk3v59G8NlR8rk5xfQDKne0sAvZHSj7TI6I/edit?usp=sharing"",""พระนครศรีอยุธยา!S139"")"),0)</f>
        <v>0</v>
      </c>
      <c r="U64" s="68">
        <f t="shared" ca="1" si="36"/>
        <v>0</v>
      </c>
      <c r="V64" s="68">
        <f t="shared" ca="1" si="37"/>
        <v>0</v>
      </c>
      <c r="W64" s="78">
        <f ca="1">IFERROR(__xludf.DUMMYFUNCTION("IMPORTRANGE(""https://docs.google.com/spreadsheets/d/1BIDqLLg5jk3v59G8NlR8rk5xfQDKne0sAvZHSj7TI6I/edit?usp=sharing"",""พระนครศรีอยุธยา!J149"")"),0)</f>
        <v>0</v>
      </c>
      <c r="X64" s="78">
        <f ca="1">IFERROR(__xludf.DUMMYFUNCTION("IMPORTRANGE(""https://docs.google.com/spreadsheets/d/1BIDqLLg5jk3v59G8NlR8rk5xfQDKne0sAvZHSj7TI6I/edit?usp=sharing"",""พระนครศรีอยุธยา!I150"")"),0)</f>
        <v>0</v>
      </c>
      <c r="Y64" s="78">
        <f ca="1">IFERROR(__xludf.DUMMYFUNCTION("IMPORTRANGE(""https://docs.google.com/spreadsheets/d/1BIDqLLg5jk3v59G8NlR8rk5xfQDKne0sAvZHSj7TI6I/edit?usp=sharing"",""พระนครศรีอยุธยา!I151"")"),0)</f>
        <v>0</v>
      </c>
      <c r="Z64" s="78">
        <f ca="1">IFERROR(__xludf.DUMMYFUNCTION("IMPORTRANGE(""https://docs.google.com/spreadsheets/d/1BIDqLLg5jk3v59G8NlR8rk5xfQDKne0sAvZHSj7TI6I/edit?usp=sharing"",""พระนครศรีอยุธยา!J150"")"),0)</f>
        <v>0</v>
      </c>
      <c r="AA64" s="79">
        <f t="shared" ca="1" si="39"/>
        <v>0</v>
      </c>
      <c r="AB64" s="78">
        <f ca="1">IFERROR(__xludf.DUMMYFUNCTION("IMPORTRANGE(""https://docs.google.com/spreadsheets/d/1BIDqLLg5jk3v59G8NlR8rk5xfQDKne0sAvZHSj7TI6I/edit?usp=sharing"",""พระนครศรีอยุธยา!J151"")"),0)</f>
        <v>0</v>
      </c>
      <c r="AC64" s="79">
        <f t="shared" ca="1" si="40"/>
        <v>0</v>
      </c>
      <c r="AD64" s="78">
        <f ca="1">IFERROR(__xludf.DUMMYFUNCTION("IMPORTRANGE(""https://docs.google.com/spreadsheets/d/1BIDqLLg5jk3v59G8NlR8rk5xfQDKne0sAvZHSj7TI6I/edit?usp=sharing"",""พระนครศรีอยุธยา!I152"")"),0)</f>
        <v>0</v>
      </c>
      <c r="AE64" s="78">
        <f ca="1">IFERROR(__xludf.DUMMYFUNCTION("IMPORTRANGE(""https://docs.google.com/spreadsheets/d/1BIDqLLg5jk3v59G8NlR8rk5xfQDKne0sAvZHSj7TI6I/edit?usp=sharing"",""พระนครศรีอยุธยา!I153"")"),0)</f>
        <v>0</v>
      </c>
      <c r="AF64" s="78">
        <f ca="1">IFERROR(__xludf.DUMMYFUNCTION("IMPORTRANGE(""https://docs.google.com/spreadsheets/d/1BIDqLLg5jk3v59G8NlR8rk5xfQDKne0sAvZHSj7TI6I/edit?usp=sharing"",""พระนครศรีอยุธยา!J152"")"),0)</f>
        <v>0</v>
      </c>
      <c r="AG64" s="79">
        <f t="shared" ca="1" si="42"/>
        <v>0</v>
      </c>
      <c r="AH64" s="78">
        <f ca="1">IFERROR(__xludf.DUMMYFUNCTION("IMPORTRANGE(""https://docs.google.com/spreadsheets/d/1BIDqLLg5jk3v59G8NlR8rk5xfQDKne0sAvZHSj7TI6I/edit?usp=sharing"",""พระนครศรีอยุธยา!J153"")"),0)</f>
        <v>0</v>
      </c>
      <c r="AI64" s="79">
        <f t="shared" ca="1" si="43"/>
        <v>0</v>
      </c>
      <c r="AJ64" s="78">
        <f ca="1">IFERROR(__xludf.DUMMYFUNCTION("IMPORTRANGE(""https://docs.google.com/spreadsheets/d/1BIDqLLg5jk3v59G8NlR8rk5xfQDKne0sAvZHSj7TI6I/edit?usp=sharing"",""พระนครศรีอยุธยา!I154"")"),0)</f>
        <v>0</v>
      </c>
      <c r="AK64" s="78">
        <f ca="1">IFERROR(__xludf.DUMMYFUNCTION("IMPORTRANGE(""https://docs.google.com/spreadsheets/d/1BIDqLLg5jk3v59G8NlR8rk5xfQDKne0sAvZHSj7TI6I/edit?usp=sharing"",""พระนครศรีอยุธยา!J154"")"),0)</f>
        <v>0</v>
      </c>
      <c r="AL64" s="79">
        <f t="shared" ca="1" si="45"/>
        <v>0</v>
      </c>
    </row>
    <row r="65" spans="1:38" ht="21" customHeight="1" x14ac:dyDescent="0.3">
      <c r="A65" s="147">
        <v>13</v>
      </c>
      <c r="B65" s="148" t="s">
        <v>93</v>
      </c>
      <c r="C65" s="149">
        <f t="shared" ca="1" si="27"/>
        <v>115300</v>
      </c>
      <c r="D65" s="150">
        <f t="shared" ca="1" si="58"/>
        <v>115300</v>
      </c>
      <c r="E65" s="151">
        <f ca="1">IFERROR(__xludf.DUMMYFUNCTION("IMPORTRANGE(""https://docs.google.com/spreadsheets/d/1-uDff_7J0KD5mKrp0Vvzr7lt3OU09vwQwhkpOPPYv2Y/edit?usp=sharing"",""งบพรบ!BR65"")"),73700)</f>
        <v>73700</v>
      </c>
      <c r="F65" s="151">
        <f ca="1">IFERROR(__xludf.DUMMYFUNCTION("IMPORTRANGE(""https://docs.google.com/spreadsheets/d/1-uDff_7J0KD5mKrp0Vvzr7lt3OU09vwQwhkpOPPYv2Y/edit?usp=sharing"",""งบพรบ!BS65"")"),41600)</f>
        <v>41600</v>
      </c>
      <c r="G65" s="151">
        <f ca="1">IFERROR(__xludf.DUMMYFUNCTION("IMPORTRANGE(""https://docs.google.com/spreadsheets/d/1-uDff_7J0KD5mKrp0Vvzr7lt3OU09vwQwhkpOPPYv2Y/edit?usp=sharing"",""งบพรบ!BT65"")"),0)</f>
        <v>0</v>
      </c>
      <c r="H65" s="151">
        <f ca="1">IFERROR(__xludf.DUMMYFUNCTION("IMPORTRANGE(""https://docs.google.com/spreadsheets/d/1-uDff_7J0KD5mKrp0Vvzr7lt3OU09vwQwhkpOPPYv2Y/edit?usp=sharing"",""งบพรบ!BV65"")"),110300)</f>
        <v>110300</v>
      </c>
      <c r="I65" s="151">
        <f ca="1">IFERROR(__xludf.DUMMYFUNCTION("IMPORTRANGE(""https://docs.google.com/spreadsheets/d/1-uDff_7J0KD5mKrp0Vvzr7lt3OU09vwQwhkpOPPYv2Y/edit?usp=sharing"",""งบพรบ!BW65"")"),0)</f>
        <v>0</v>
      </c>
      <c r="J65" s="151">
        <f t="shared" ca="1" si="29"/>
        <v>103238.22</v>
      </c>
      <c r="K65" s="154">
        <f t="shared" ca="1" si="30"/>
        <v>89.538785776235912</v>
      </c>
      <c r="L65" s="151">
        <f ca="1">IFERROR(__xludf.DUMMYFUNCTION("IMPORTRANGE(""https://docs.google.com/spreadsheets/d/1-uDff_7J0KD5mKrp0Vvzr7lt3OU09vwQwhkpOPPYv2Y/edit?usp=sharing"",""งบพรบ!BX65"")"),103238.22)</f>
        <v>103238.22</v>
      </c>
      <c r="M65" s="68">
        <f t="shared" ca="1" si="31"/>
        <v>89.538785776235912</v>
      </c>
      <c r="N65" s="68">
        <f t="shared" ca="1" si="32"/>
        <v>93.597660924750684</v>
      </c>
      <c r="O65" s="67">
        <f ca="1">IFERROR(__xludf.DUMMYFUNCTION("IMPORTRANGE(""https://docs.google.com/spreadsheets/d/1-uDff_7J0KD5mKrp0Vvzr7lt3OU09vwQwhkpOPPYv2Y/edit?usp=sharing"",""งบพรบ!BY65"")"),0)</f>
        <v>0</v>
      </c>
      <c r="P65" s="67">
        <f t="shared" ca="1" si="33"/>
        <v>0</v>
      </c>
      <c r="Q65" s="68">
        <f t="shared" ca="1" si="34"/>
        <v>0</v>
      </c>
      <c r="R65" s="67">
        <f ca="1">IFERROR(__xludf.DUMMYFUNCTION("IMPORTRANGE(""https://docs.google.com/spreadsheets/d/1YXvxf8Yu6_rV4hTBrwMqAcAnv6DfhUxh5emyM3CJp_w/edit?usp=sharing"",""เพชรบุรี!Q139"")"),169860)</f>
        <v>169860</v>
      </c>
      <c r="S65" s="67">
        <f ca="1">IFERROR(__xludf.DUMMYFUNCTION("IMPORTRANGE(""https://docs.google.com/spreadsheets/d/1YXvxf8Yu6_rV4hTBrwMqAcAnv6DfhUxh5emyM3CJp_w/edit?usp=sharing"",""เพชรบุรี!R139"")"),169860)</f>
        <v>169860</v>
      </c>
      <c r="T65" s="67">
        <f ca="1">IFERROR(__xludf.DUMMYFUNCTION("IMPORTRANGE(""https://docs.google.com/spreadsheets/d/1YXvxf8Yu6_rV4hTBrwMqAcAnv6DfhUxh5emyM3CJp_w/edit?usp=sharing"",""เพชรบุรี!S139"")"),0)</f>
        <v>0</v>
      </c>
      <c r="U65" s="68">
        <f t="shared" ca="1" si="36"/>
        <v>0</v>
      </c>
      <c r="V65" s="68">
        <f t="shared" ca="1" si="37"/>
        <v>0</v>
      </c>
      <c r="W65" s="78">
        <f ca="1">IFERROR(__xludf.DUMMYFUNCTION("IMPORTRANGE(""https://docs.google.com/spreadsheets/d/1YXvxf8Yu6_rV4hTBrwMqAcAnv6DfhUxh5emyM3CJp_w/edit?usp=sharing"",""เพชรบุรี!J149"")"),0)</f>
        <v>0</v>
      </c>
      <c r="X65" s="78">
        <f ca="1">IFERROR(__xludf.DUMMYFUNCTION("IMPORTRANGE(""https://docs.google.com/spreadsheets/d/1YXvxf8Yu6_rV4hTBrwMqAcAnv6DfhUxh5emyM3CJp_w/edit?usp=sharing"",""เพชรบุรี!I150"")"),10)</f>
        <v>10</v>
      </c>
      <c r="Y65" s="78">
        <f ca="1">IFERROR(__xludf.DUMMYFUNCTION("IMPORTRANGE(""https://docs.google.com/spreadsheets/d/1YXvxf8Yu6_rV4hTBrwMqAcAnv6DfhUxh5emyM3CJp_w/edit?usp=sharing"",""เพชรบุรี!I151"")"),1)</f>
        <v>1</v>
      </c>
      <c r="Z65" s="78">
        <f ca="1">IFERROR(__xludf.DUMMYFUNCTION("IMPORTRANGE(""https://docs.google.com/spreadsheets/d/1YXvxf8Yu6_rV4hTBrwMqAcAnv6DfhUxh5emyM3CJp_w/edit?usp=sharing"",""เพชรบุรี!J150"")"),10)</f>
        <v>10</v>
      </c>
      <c r="AA65" s="79">
        <f t="shared" ca="1" si="39"/>
        <v>100</v>
      </c>
      <c r="AB65" s="78">
        <f ca="1">IFERROR(__xludf.DUMMYFUNCTION("IMPORTRANGE(""https://docs.google.com/spreadsheets/d/1YXvxf8Yu6_rV4hTBrwMqAcAnv6DfhUxh5emyM3CJp_w/edit?usp=sharing"",""เพชรบุรี!J151"")"),1)</f>
        <v>1</v>
      </c>
      <c r="AC65" s="79">
        <f t="shared" ca="1" si="40"/>
        <v>100</v>
      </c>
      <c r="AD65" s="78">
        <f ca="1">IFERROR(__xludf.DUMMYFUNCTION("IMPORTRANGE(""https://docs.google.com/spreadsheets/d/1YXvxf8Yu6_rV4hTBrwMqAcAnv6DfhUxh5emyM3CJp_w/edit?usp=sharing"",""เพชรบุรี!I152"")"),10)</f>
        <v>10</v>
      </c>
      <c r="AE65" s="78">
        <f ca="1">IFERROR(__xludf.DUMMYFUNCTION("IMPORTRANGE(""https://docs.google.com/spreadsheets/d/1YXvxf8Yu6_rV4hTBrwMqAcAnv6DfhUxh5emyM3CJp_w/edit?usp=sharing"",""เพชรบุรี!I153"")"),1)</f>
        <v>1</v>
      </c>
      <c r="AF65" s="78">
        <f ca="1">IFERROR(__xludf.DUMMYFUNCTION("IMPORTRANGE(""https://docs.google.com/spreadsheets/d/1YXvxf8Yu6_rV4hTBrwMqAcAnv6DfhUxh5emyM3CJp_w/edit?usp=sharing"",""เพชรบุรี!J152"")"),10)</f>
        <v>10</v>
      </c>
      <c r="AG65" s="79">
        <f t="shared" ca="1" si="42"/>
        <v>100</v>
      </c>
      <c r="AH65" s="78">
        <f ca="1">IFERROR(__xludf.DUMMYFUNCTION("IMPORTRANGE(""https://docs.google.com/spreadsheets/d/1YXvxf8Yu6_rV4hTBrwMqAcAnv6DfhUxh5emyM3CJp_w/edit?usp=sharing"",""เพชรบุรี!J153"")"),1)</f>
        <v>1</v>
      </c>
      <c r="AI65" s="79">
        <f t="shared" ca="1" si="43"/>
        <v>100</v>
      </c>
      <c r="AJ65" s="78">
        <f ca="1">IFERROR(__xludf.DUMMYFUNCTION("IMPORTRANGE(""https://docs.google.com/spreadsheets/d/1YXvxf8Yu6_rV4hTBrwMqAcAnv6DfhUxh5emyM3CJp_w/edit?usp=sharing"",""เพชรบุรี!I154"")"),1)</f>
        <v>1</v>
      </c>
      <c r="AK65" s="78">
        <f ca="1">IFERROR(__xludf.DUMMYFUNCTION("IMPORTRANGE(""https://docs.google.com/spreadsheets/d/1YXvxf8Yu6_rV4hTBrwMqAcAnv6DfhUxh5emyM3CJp_w/edit?usp=sharing"",""เพชรบุรี!J154"")"),0)</f>
        <v>0</v>
      </c>
      <c r="AL65" s="79">
        <f t="shared" ca="1" si="45"/>
        <v>0</v>
      </c>
    </row>
    <row r="66" spans="1:38" ht="21" customHeight="1" x14ac:dyDescent="0.3">
      <c r="A66" s="147">
        <v>14</v>
      </c>
      <c r="B66" s="148" t="s">
        <v>94</v>
      </c>
      <c r="C66" s="149">
        <f t="shared" ca="1" si="27"/>
        <v>0</v>
      </c>
      <c r="D66" s="150">
        <f t="shared" ca="1" si="58"/>
        <v>0</v>
      </c>
      <c r="E66" s="151">
        <f ca="1">IFERROR(__xludf.DUMMYFUNCTION("IMPORTRANGE(""https://docs.google.com/spreadsheets/d/1-uDff_7J0KD5mKrp0Vvzr7lt3OU09vwQwhkpOPPYv2Y/edit?usp=sharing"",""งบพรบ!BR66"")"),0)</f>
        <v>0</v>
      </c>
      <c r="F66" s="151">
        <f ca="1">IFERROR(__xludf.DUMMYFUNCTION("IMPORTRANGE(""https://docs.google.com/spreadsheets/d/1-uDff_7J0KD5mKrp0Vvzr7lt3OU09vwQwhkpOPPYv2Y/edit?usp=sharing"",""งบพรบ!BS66"")"),0)</f>
        <v>0</v>
      </c>
      <c r="G66" s="151">
        <f ca="1">IFERROR(__xludf.DUMMYFUNCTION("IMPORTRANGE(""https://docs.google.com/spreadsheets/d/1-uDff_7J0KD5mKrp0Vvzr7lt3OU09vwQwhkpOPPYv2Y/edit?usp=sharing"",""งบพรบ!BT66"")"),0)</f>
        <v>0</v>
      </c>
      <c r="H66" s="151">
        <f ca="1">IFERROR(__xludf.DUMMYFUNCTION("IMPORTRANGE(""https://docs.google.com/spreadsheets/d/1-uDff_7J0KD5mKrp0Vvzr7lt3OU09vwQwhkpOPPYv2Y/edit?usp=sharing"",""งบพรบ!BV66"")"),0)</f>
        <v>0</v>
      </c>
      <c r="I66" s="151">
        <f ca="1">IFERROR(__xludf.DUMMYFUNCTION("IMPORTRANGE(""https://docs.google.com/spreadsheets/d/1-uDff_7J0KD5mKrp0Vvzr7lt3OU09vwQwhkpOPPYv2Y/edit?usp=sharing"",""งบพรบ!BW66"")"),0)</f>
        <v>0</v>
      </c>
      <c r="J66" s="151">
        <f t="shared" ca="1" si="29"/>
        <v>0</v>
      </c>
      <c r="K66" s="154">
        <f t="shared" ca="1" si="30"/>
        <v>0</v>
      </c>
      <c r="L66" s="151">
        <f ca="1">IFERROR(__xludf.DUMMYFUNCTION("IMPORTRANGE(""https://docs.google.com/spreadsheets/d/1-uDff_7J0KD5mKrp0Vvzr7lt3OU09vwQwhkpOPPYv2Y/edit?usp=sharing"",""งบพรบ!BX66"")"),0)</f>
        <v>0</v>
      </c>
      <c r="M66" s="68">
        <f t="shared" ca="1" si="31"/>
        <v>0</v>
      </c>
      <c r="N66" s="68">
        <f t="shared" ca="1" si="32"/>
        <v>0</v>
      </c>
      <c r="O66" s="67">
        <f ca="1">IFERROR(__xludf.DUMMYFUNCTION("IMPORTRANGE(""https://docs.google.com/spreadsheets/d/1-uDff_7J0KD5mKrp0Vvzr7lt3OU09vwQwhkpOPPYv2Y/edit?usp=sharing"",""งบพรบ!BY66"")"),0)</f>
        <v>0</v>
      </c>
      <c r="P66" s="67">
        <f t="shared" ca="1" si="33"/>
        <v>0</v>
      </c>
      <c r="Q66" s="68">
        <f t="shared" ca="1" si="34"/>
        <v>0</v>
      </c>
      <c r="R66" s="67">
        <f ca="1">IFERROR(__xludf.DUMMYFUNCTION("IMPORTRANGE(""https://docs.google.com/spreadsheets/d/19KBlQQs7uwvsao6t2n-KvW3Ax8J8uRRfZPq1zPbXgKc/edit?usp=sharing"",""ระยอง!Q139"")"),0)</f>
        <v>0</v>
      </c>
      <c r="S66" s="67">
        <f ca="1">IFERROR(__xludf.DUMMYFUNCTION("IMPORTRANGE(""https://docs.google.com/spreadsheets/d/19KBlQQs7uwvsao6t2n-KvW3Ax8J8uRRfZPq1zPbXgKc/edit?usp=sharing"",""ระยอง!R139"")"),0)</f>
        <v>0</v>
      </c>
      <c r="T66" s="67">
        <f ca="1">IFERROR(__xludf.DUMMYFUNCTION("IMPORTRANGE(""https://docs.google.com/spreadsheets/d/19KBlQQs7uwvsao6t2n-KvW3Ax8J8uRRfZPq1zPbXgKc/edit?usp=sharing"",""ระยอง!S139"")"),0)</f>
        <v>0</v>
      </c>
      <c r="U66" s="68">
        <f t="shared" ca="1" si="36"/>
        <v>0</v>
      </c>
      <c r="V66" s="68">
        <f t="shared" ca="1" si="37"/>
        <v>0</v>
      </c>
      <c r="W66" s="78">
        <f ca="1">IFERROR(__xludf.DUMMYFUNCTION("IMPORTRANGE(""https://docs.google.com/spreadsheets/d/19KBlQQs7uwvsao6t2n-KvW3Ax8J8uRRfZPq1zPbXgKc/edit?usp=sharing"",""ระยอง!J149"")"),0)</f>
        <v>0</v>
      </c>
      <c r="X66" s="78">
        <f ca="1">IFERROR(__xludf.DUMMYFUNCTION("IMPORTRANGE(""https://docs.google.com/spreadsheets/d/19KBlQQs7uwvsao6t2n-KvW3Ax8J8uRRfZPq1zPbXgKc/edit?usp=sharing"",""ระยอง!I150"")"),0)</f>
        <v>0</v>
      </c>
      <c r="Y66" s="78">
        <f ca="1">IFERROR(__xludf.DUMMYFUNCTION("IMPORTRANGE(""https://docs.google.com/spreadsheets/d/19KBlQQs7uwvsao6t2n-KvW3Ax8J8uRRfZPq1zPbXgKc/edit?usp=sharing"",""ระยอง!I151"")"),0)</f>
        <v>0</v>
      </c>
      <c r="Z66" s="78">
        <f ca="1">IFERROR(__xludf.DUMMYFUNCTION("IMPORTRANGE(""https://docs.google.com/spreadsheets/d/19KBlQQs7uwvsao6t2n-KvW3Ax8J8uRRfZPq1zPbXgKc/edit?usp=sharing"",""ระยอง!J150"")"),0)</f>
        <v>0</v>
      </c>
      <c r="AA66" s="79">
        <f t="shared" ca="1" si="39"/>
        <v>0</v>
      </c>
      <c r="AB66" s="78">
        <f ca="1">IFERROR(__xludf.DUMMYFUNCTION("IMPORTRANGE(""https://docs.google.com/spreadsheets/d/19KBlQQs7uwvsao6t2n-KvW3Ax8J8uRRfZPq1zPbXgKc/edit?usp=sharing"",""ระยอง!J151"")"),0)</f>
        <v>0</v>
      </c>
      <c r="AC66" s="79">
        <f t="shared" ca="1" si="40"/>
        <v>0</v>
      </c>
      <c r="AD66" s="78">
        <f ca="1">IFERROR(__xludf.DUMMYFUNCTION("IMPORTRANGE(""https://docs.google.com/spreadsheets/d/19KBlQQs7uwvsao6t2n-KvW3Ax8J8uRRfZPq1zPbXgKc/edit?usp=sharing"",""ระยอง!I152"")"),0)</f>
        <v>0</v>
      </c>
      <c r="AE66" s="78">
        <f ca="1">IFERROR(__xludf.DUMMYFUNCTION("IMPORTRANGE(""https://docs.google.com/spreadsheets/d/19KBlQQs7uwvsao6t2n-KvW3Ax8J8uRRfZPq1zPbXgKc/edit?usp=sharing"",""ระยอง!I153"")"),0)</f>
        <v>0</v>
      </c>
      <c r="AF66" s="78">
        <f ca="1">IFERROR(__xludf.DUMMYFUNCTION("IMPORTRANGE(""https://docs.google.com/spreadsheets/d/19KBlQQs7uwvsao6t2n-KvW3Ax8J8uRRfZPq1zPbXgKc/edit?usp=sharing"",""ระยอง!J152"")"),0)</f>
        <v>0</v>
      </c>
      <c r="AG66" s="79">
        <f t="shared" ca="1" si="42"/>
        <v>0</v>
      </c>
      <c r="AH66" s="78">
        <f ca="1">IFERROR(__xludf.DUMMYFUNCTION("IMPORTRANGE(""https://docs.google.com/spreadsheets/d/19KBlQQs7uwvsao6t2n-KvW3Ax8J8uRRfZPq1zPbXgKc/edit?usp=sharing"",""ระยอง!J153"")"),0)</f>
        <v>0</v>
      </c>
      <c r="AI66" s="79">
        <f t="shared" ca="1" si="43"/>
        <v>0</v>
      </c>
      <c r="AJ66" s="78">
        <f ca="1">IFERROR(__xludf.DUMMYFUNCTION("IMPORTRANGE(""https://docs.google.com/spreadsheets/d/19KBlQQs7uwvsao6t2n-KvW3Ax8J8uRRfZPq1zPbXgKc/edit?usp=sharing"",""ระยอง!I154"")"),0)</f>
        <v>0</v>
      </c>
      <c r="AK66" s="78">
        <f ca="1">IFERROR(__xludf.DUMMYFUNCTION("IMPORTRANGE(""https://docs.google.com/spreadsheets/d/19KBlQQs7uwvsao6t2n-KvW3Ax8J8uRRfZPq1zPbXgKc/edit?usp=sharing"",""ระยอง!J154"")"),0)</f>
        <v>0</v>
      </c>
      <c r="AL66" s="79">
        <f t="shared" ca="1" si="45"/>
        <v>0</v>
      </c>
    </row>
    <row r="67" spans="1:38" ht="21" customHeight="1" x14ac:dyDescent="0.3">
      <c r="A67" s="147">
        <v>15</v>
      </c>
      <c r="B67" s="148" t="s">
        <v>95</v>
      </c>
      <c r="C67" s="149">
        <f t="shared" ca="1" si="27"/>
        <v>135400</v>
      </c>
      <c r="D67" s="150">
        <f t="shared" ca="1" si="58"/>
        <v>135400</v>
      </c>
      <c r="E67" s="151">
        <f ca="1">IFERROR(__xludf.DUMMYFUNCTION("IMPORTRANGE(""https://docs.google.com/spreadsheets/d/1-uDff_7J0KD5mKrp0Vvzr7lt3OU09vwQwhkpOPPYv2Y/edit?usp=sharing"",""งบพรบ!BR67"")"),77200)</f>
        <v>77200</v>
      </c>
      <c r="F67" s="151">
        <f ca="1">IFERROR(__xludf.DUMMYFUNCTION("IMPORTRANGE(""https://docs.google.com/spreadsheets/d/1-uDff_7J0KD5mKrp0Vvzr7lt3OU09vwQwhkpOPPYv2Y/edit?usp=sharing"",""งบพรบ!BS67"")"),58200)</f>
        <v>58200</v>
      </c>
      <c r="G67" s="151">
        <f ca="1">IFERROR(__xludf.DUMMYFUNCTION("IMPORTRANGE(""https://docs.google.com/spreadsheets/d/1-uDff_7J0KD5mKrp0Vvzr7lt3OU09vwQwhkpOPPYv2Y/edit?usp=sharing"",""งบพรบ!BT67"")"),0)</f>
        <v>0</v>
      </c>
      <c r="H67" s="151">
        <f ca="1">IFERROR(__xludf.DUMMYFUNCTION("IMPORTRANGE(""https://docs.google.com/spreadsheets/d/1-uDff_7J0KD5mKrp0Vvzr7lt3OU09vwQwhkpOPPYv2Y/edit?usp=sharing"",""งบพรบ!BV67"")"),130400)</f>
        <v>130400</v>
      </c>
      <c r="I67" s="151">
        <f ca="1">IFERROR(__xludf.DUMMYFUNCTION("IMPORTRANGE(""https://docs.google.com/spreadsheets/d/1-uDff_7J0KD5mKrp0Vvzr7lt3OU09vwQwhkpOPPYv2Y/edit?usp=sharing"",""งบพรบ!BW67"")"),0)</f>
        <v>0</v>
      </c>
      <c r="J67" s="151">
        <f t="shared" ca="1" si="29"/>
        <v>109179</v>
      </c>
      <c r="K67" s="154">
        <f t="shared" ca="1" si="30"/>
        <v>80.634416543574588</v>
      </c>
      <c r="L67" s="151">
        <f ca="1">IFERROR(__xludf.DUMMYFUNCTION("IMPORTRANGE(""https://docs.google.com/spreadsheets/d/1-uDff_7J0KD5mKrp0Vvzr7lt3OU09vwQwhkpOPPYv2Y/edit?usp=sharing"",""งบพรบ!BX67"")"),109179)</f>
        <v>109179</v>
      </c>
      <c r="M67" s="68">
        <f t="shared" ca="1" si="31"/>
        <v>80.634416543574588</v>
      </c>
      <c r="N67" s="68">
        <f t="shared" ca="1" si="32"/>
        <v>83.726226993865026</v>
      </c>
      <c r="O67" s="67">
        <f ca="1">IFERROR(__xludf.DUMMYFUNCTION("IMPORTRANGE(""https://docs.google.com/spreadsheets/d/1-uDff_7J0KD5mKrp0Vvzr7lt3OU09vwQwhkpOPPYv2Y/edit?usp=sharing"",""งบพรบ!BY67"")"),0)</f>
        <v>0</v>
      </c>
      <c r="P67" s="67">
        <f t="shared" ca="1" si="33"/>
        <v>0</v>
      </c>
      <c r="Q67" s="68">
        <f t="shared" ca="1" si="34"/>
        <v>0</v>
      </c>
      <c r="R67" s="67">
        <f ca="1">IFERROR(__xludf.DUMMYFUNCTION("IMPORTRANGE(""https://docs.google.com/spreadsheets/d/1jQ6P4QcrGM89YfqcC_PxOHGCMq5ezhucwJd8ci-NHng/edit?usp=sharing"",""ราชบุรี!Q139"")"),167915)</f>
        <v>167915</v>
      </c>
      <c r="S67" s="67">
        <f ca="1">IFERROR(__xludf.DUMMYFUNCTION("IMPORTRANGE(""https://docs.google.com/spreadsheets/d/1jQ6P4QcrGM89YfqcC_PxOHGCMq5ezhucwJd8ci-NHng/edit?usp=sharing"",""ราชบุรี!R139"")"),167915)</f>
        <v>167915</v>
      </c>
      <c r="T67" s="67">
        <f ca="1">IFERROR(__xludf.DUMMYFUNCTION("IMPORTRANGE(""https://docs.google.com/spreadsheets/d/1jQ6P4QcrGM89YfqcC_PxOHGCMq5ezhucwJd8ci-NHng/edit?usp=sharing"",""ราชบุรี!S139"")"),6420)</f>
        <v>6420</v>
      </c>
      <c r="U67" s="68">
        <f t="shared" ca="1" si="36"/>
        <v>3.8233630110472561</v>
      </c>
      <c r="V67" s="68">
        <f t="shared" ca="1" si="37"/>
        <v>3.8233630110472561</v>
      </c>
      <c r="W67" s="78">
        <f ca="1">IFERROR(__xludf.DUMMYFUNCTION("IMPORTRANGE(""https://docs.google.com/spreadsheets/d/1jQ6P4QcrGM89YfqcC_PxOHGCMq5ezhucwJd8ci-NHng/edit?usp=sharing"",""ราชบุรี!J149"")"),0)</f>
        <v>0</v>
      </c>
      <c r="X67" s="78">
        <f ca="1">IFERROR(__xludf.DUMMYFUNCTION("IMPORTRANGE(""https://docs.google.com/spreadsheets/d/1jQ6P4QcrGM89YfqcC_PxOHGCMq5ezhucwJd8ci-NHng/edit?usp=sharing"",""ราชบุรี!I150"")"),10)</f>
        <v>10</v>
      </c>
      <c r="Y67" s="78">
        <f ca="1">IFERROR(__xludf.DUMMYFUNCTION("IMPORTRANGE(""https://docs.google.com/spreadsheets/d/1jQ6P4QcrGM89YfqcC_PxOHGCMq5ezhucwJd8ci-NHng/edit?usp=sharing"",""ราชบุรี!I151"")"),1)</f>
        <v>1</v>
      </c>
      <c r="Z67" s="78">
        <f ca="1">IFERROR(__xludf.DUMMYFUNCTION("IMPORTRANGE(""https://docs.google.com/spreadsheets/d/1jQ6P4QcrGM89YfqcC_PxOHGCMq5ezhucwJd8ci-NHng/edit?usp=sharing"",""ราชบุรี!J150"")"),0)</f>
        <v>0</v>
      </c>
      <c r="AA67" s="79">
        <f t="shared" ca="1" si="39"/>
        <v>0</v>
      </c>
      <c r="AB67" s="78">
        <f ca="1">IFERROR(__xludf.DUMMYFUNCTION("IMPORTRANGE(""https://docs.google.com/spreadsheets/d/1jQ6P4QcrGM89YfqcC_PxOHGCMq5ezhucwJd8ci-NHng/edit?usp=sharing"",""ราชบุรี!J151"")"),0)</f>
        <v>0</v>
      </c>
      <c r="AC67" s="79">
        <f t="shared" ca="1" si="40"/>
        <v>0</v>
      </c>
      <c r="AD67" s="78">
        <f ca="1">IFERROR(__xludf.DUMMYFUNCTION("IMPORTRANGE(""https://docs.google.com/spreadsheets/d/1jQ6P4QcrGM89YfqcC_PxOHGCMq5ezhucwJd8ci-NHng/edit?usp=sharing"",""ราชบุรี!I152"")"),30)</f>
        <v>30</v>
      </c>
      <c r="AE67" s="78">
        <f ca="1">IFERROR(__xludf.DUMMYFUNCTION("IMPORTRANGE(""https://docs.google.com/spreadsheets/d/1jQ6P4QcrGM89YfqcC_PxOHGCMq5ezhucwJd8ci-NHng/edit?usp=sharing"",""ราชบุรี!I153"")"),3)</f>
        <v>3</v>
      </c>
      <c r="AF67" s="78">
        <f ca="1">IFERROR(__xludf.DUMMYFUNCTION("IMPORTRANGE(""https://docs.google.com/spreadsheets/d/1jQ6P4QcrGM89YfqcC_PxOHGCMq5ezhucwJd8ci-NHng/edit?usp=sharing"",""ราชบุรี!J152"")"),30)</f>
        <v>30</v>
      </c>
      <c r="AG67" s="79">
        <f t="shared" ca="1" si="42"/>
        <v>100</v>
      </c>
      <c r="AH67" s="78">
        <f ca="1">IFERROR(__xludf.DUMMYFUNCTION("IMPORTRANGE(""https://docs.google.com/spreadsheets/d/1jQ6P4QcrGM89YfqcC_PxOHGCMq5ezhucwJd8ci-NHng/edit?usp=sharing"",""ราชบุรี!J153"")"),3)</f>
        <v>3</v>
      </c>
      <c r="AI67" s="79">
        <f t="shared" ca="1" si="43"/>
        <v>100</v>
      </c>
      <c r="AJ67" s="78">
        <f ca="1">IFERROR(__xludf.DUMMYFUNCTION("IMPORTRANGE(""https://docs.google.com/spreadsheets/d/1jQ6P4QcrGM89YfqcC_PxOHGCMq5ezhucwJd8ci-NHng/edit?usp=sharing"",""ราชบุรี!I154"")"),1)</f>
        <v>1</v>
      </c>
      <c r="AK67" s="78">
        <f ca="1">IFERROR(__xludf.DUMMYFUNCTION("IMPORTRANGE(""https://docs.google.com/spreadsheets/d/1jQ6P4QcrGM89YfqcC_PxOHGCMq5ezhucwJd8ci-NHng/edit?usp=sharing"",""ราชบุรี!J154"")"),0)</f>
        <v>0</v>
      </c>
      <c r="AL67" s="79">
        <f t="shared" ca="1" si="45"/>
        <v>0</v>
      </c>
    </row>
    <row r="68" spans="1:38" ht="24" customHeight="1" x14ac:dyDescent="0.3">
      <c r="A68" s="147">
        <v>16</v>
      </c>
      <c r="B68" s="148" t="s">
        <v>96</v>
      </c>
      <c r="C68" s="149">
        <f t="shared" ca="1" si="27"/>
        <v>0</v>
      </c>
      <c r="D68" s="150">
        <f t="shared" ca="1" si="58"/>
        <v>0</v>
      </c>
      <c r="E68" s="151">
        <f ca="1">IFERROR(__xludf.DUMMYFUNCTION("IMPORTRANGE(""https://docs.google.com/spreadsheets/d/1-uDff_7J0KD5mKrp0Vvzr7lt3OU09vwQwhkpOPPYv2Y/edit?usp=sharing"",""งบพรบ!BR68"")"),0)</f>
        <v>0</v>
      </c>
      <c r="F68" s="151">
        <f ca="1">IFERROR(__xludf.DUMMYFUNCTION("IMPORTRANGE(""https://docs.google.com/spreadsheets/d/1-uDff_7J0KD5mKrp0Vvzr7lt3OU09vwQwhkpOPPYv2Y/edit?usp=sharing"",""งบพรบ!BS68"")"),0)</f>
        <v>0</v>
      </c>
      <c r="G68" s="151">
        <f ca="1">IFERROR(__xludf.DUMMYFUNCTION("IMPORTRANGE(""https://docs.google.com/spreadsheets/d/1-uDff_7J0KD5mKrp0Vvzr7lt3OU09vwQwhkpOPPYv2Y/edit?usp=sharing"",""งบพรบ!BT68"")"),0)</f>
        <v>0</v>
      </c>
      <c r="H68" s="151">
        <f ca="1">IFERROR(__xludf.DUMMYFUNCTION("IMPORTRANGE(""https://docs.google.com/spreadsheets/d/1-uDff_7J0KD5mKrp0Vvzr7lt3OU09vwQwhkpOPPYv2Y/edit?usp=sharing"",""งบพรบ!BV68"")"),0)</f>
        <v>0</v>
      </c>
      <c r="I68" s="151">
        <f ca="1">IFERROR(__xludf.DUMMYFUNCTION("IMPORTRANGE(""https://docs.google.com/spreadsheets/d/1-uDff_7J0KD5mKrp0Vvzr7lt3OU09vwQwhkpOPPYv2Y/edit?usp=sharing"",""งบพรบ!BW68"")"),0)</f>
        <v>0</v>
      </c>
      <c r="J68" s="151">
        <f t="shared" ca="1" si="29"/>
        <v>0</v>
      </c>
      <c r="K68" s="154">
        <f t="shared" ca="1" si="30"/>
        <v>0</v>
      </c>
      <c r="L68" s="151">
        <f ca="1">IFERROR(__xludf.DUMMYFUNCTION("IMPORTRANGE(""https://docs.google.com/spreadsheets/d/1-uDff_7J0KD5mKrp0Vvzr7lt3OU09vwQwhkpOPPYv2Y/edit?usp=sharing"",""งบพรบ!BX68"")"),0)</f>
        <v>0</v>
      </c>
      <c r="M68" s="68">
        <f t="shared" ca="1" si="31"/>
        <v>0</v>
      </c>
      <c r="N68" s="68">
        <f t="shared" ca="1" si="32"/>
        <v>0</v>
      </c>
      <c r="O68" s="67">
        <f ca="1">IFERROR(__xludf.DUMMYFUNCTION("IMPORTRANGE(""https://docs.google.com/spreadsheets/d/1-uDff_7J0KD5mKrp0Vvzr7lt3OU09vwQwhkpOPPYv2Y/edit?usp=sharing"",""งบพรบ!BY68"")"),0)</f>
        <v>0</v>
      </c>
      <c r="P68" s="67">
        <f t="shared" ca="1" si="33"/>
        <v>0</v>
      </c>
      <c r="Q68" s="68">
        <f t="shared" ca="1" si="34"/>
        <v>0</v>
      </c>
      <c r="R68" s="67">
        <f ca="1">IFERROR(__xludf.DUMMYFUNCTION("IMPORTRANGE(""https://docs.google.com/spreadsheets/d/1lufeA2cfFqM-elVq2hznhDzC6Pr7wkJ9ZG_sYNGCMCU/edit?usp=sharing"",""ลพบุรี!Q139"")"),0)</f>
        <v>0</v>
      </c>
      <c r="S68" s="67">
        <f ca="1">IFERROR(__xludf.DUMMYFUNCTION("IMPORTRANGE(""https://docs.google.com/spreadsheets/d/1lufeA2cfFqM-elVq2hznhDzC6Pr7wkJ9ZG_sYNGCMCU/edit?usp=sharing"",""ลพบุรี!R139"")"),0)</f>
        <v>0</v>
      </c>
      <c r="T68" s="67">
        <f ca="1">IFERROR(__xludf.DUMMYFUNCTION("IMPORTRANGE(""https://docs.google.com/spreadsheets/d/1lufeA2cfFqM-elVq2hznhDzC6Pr7wkJ9ZG_sYNGCMCU/edit?usp=sharing"",""ลพบุรี!S139"")"),0)</f>
        <v>0</v>
      </c>
      <c r="U68" s="68">
        <f t="shared" ca="1" si="36"/>
        <v>0</v>
      </c>
      <c r="V68" s="68">
        <f t="shared" ca="1" si="37"/>
        <v>0</v>
      </c>
      <c r="W68" s="78">
        <f ca="1">IFERROR(__xludf.DUMMYFUNCTION("IMPORTRANGE(""https://docs.google.com/spreadsheets/d/1lufeA2cfFqM-elVq2hznhDzC6Pr7wkJ9ZG_sYNGCMCU/edit?usp=sharing"",""ลพบุรี!J149"")"),0)</f>
        <v>0</v>
      </c>
      <c r="X68" s="78">
        <f ca="1">IFERROR(__xludf.DUMMYFUNCTION("IMPORTRANGE(""https://docs.google.com/spreadsheets/d/1lufeA2cfFqM-elVq2hznhDzC6Pr7wkJ9ZG_sYNGCMCU/edit?usp=sharing"",""ลพบุรี!I150"")"),0)</f>
        <v>0</v>
      </c>
      <c r="Y68" s="78">
        <f ca="1">IFERROR(__xludf.DUMMYFUNCTION("IMPORTRANGE(""https://docs.google.com/spreadsheets/d/1lufeA2cfFqM-elVq2hznhDzC6Pr7wkJ9ZG_sYNGCMCU/edit?usp=sharing"",""ลพบุรี!I151"")"),0)</f>
        <v>0</v>
      </c>
      <c r="Z68" s="78">
        <f ca="1">IFERROR(__xludf.DUMMYFUNCTION("IMPORTRANGE(""https://docs.google.com/spreadsheets/d/1lufeA2cfFqM-elVq2hznhDzC6Pr7wkJ9ZG_sYNGCMCU/edit?usp=sharing"",""ลพบุรี!J150"")"),0)</f>
        <v>0</v>
      </c>
      <c r="AA68" s="79">
        <f t="shared" ca="1" si="39"/>
        <v>0</v>
      </c>
      <c r="AB68" s="78">
        <f ca="1">IFERROR(__xludf.DUMMYFUNCTION("IMPORTRANGE(""https://docs.google.com/spreadsheets/d/1lufeA2cfFqM-elVq2hznhDzC6Pr7wkJ9ZG_sYNGCMCU/edit?usp=sharing"",""ลพบุรี!J151"")"),0)</f>
        <v>0</v>
      </c>
      <c r="AC68" s="79">
        <f t="shared" ca="1" si="40"/>
        <v>0</v>
      </c>
      <c r="AD68" s="78">
        <f ca="1">IFERROR(__xludf.DUMMYFUNCTION("IMPORTRANGE(""https://docs.google.com/spreadsheets/d/1lufeA2cfFqM-elVq2hznhDzC6Pr7wkJ9ZG_sYNGCMCU/edit?usp=sharing"",""ลพบุรี!I152"")"),0)</f>
        <v>0</v>
      </c>
      <c r="AE68" s="78">
        <f ca="1">IFERROR(__xludf.DUMMYFUNCTION("IMPORTRANGE(""https://docs.google.com/spreadsheets/d/1lufeA2cfFqM-elVq2hznhDzC6Pr7wkJ9ZG_sYNGCMCU/edit?usp=sharing"",""ลพบุรี!I153"")"),0)</f>
        <v>0</v>
      </c>
      <c r="AF68" s="78">
        <f ca="1">IFERROR(__xludf.DUMMYFUNCTION("IMPORTRANGE(""https://docs.google.com/spreadsheets/d/1lufeA2cfFqM-elVq2hznhDzC6Pr7wkJ9ZG_sYNGCMCU/edit?usp=sharing"",""ลพบุรี!J152"")"),0)</f>
        <v>0</v>
      </c>
      <c r="AG68" s="79">
        <f t="shared" ca="1" si="42"/>
        <v>0</v>
      </c>
      <c r="AH68" s="78">
        <f ca="1">IFERROR(__xludf.DUMMYFUNCTION("IMPORTRANGE(""https://docs.google.com/spreadsheets/d/1lufeA2cfFqM-elVq2hznhDzC6Pr7wkJ9ZG_sYNGCMCU/edit?usp=sharing"",""ลพบุรี!J153"")"),0)</f>
        <v>0</v>
      </c>
      <c r="AI68" s="79">
        <f t="shared" ca="1" si="43"/>
        <v>0</v>
      </c>
      <c r="AJ68" s="78">
        <f ca="1">IFERROR(__xludf.DUMMYFUNCTION("IMPORTRANGE(""https://docs.google.com/spreadsheets/d/1lufeA2cfFqM-elVq2hznhDzC6Pr7wkJ9ZG_sYNGCMCU/edit?usp=sharing"",""ลพบุรี!I154"")"),0)</f>
        <v>0</v>
      </c>
      <c r="AK68" s="78">
        <f ca="1">IFERROR(__xludf.DUMMYFUNCTION("IMPORTRANGE(""https://docs.google.com/spreadsheets/d/1lufeA2cfFqM-elVq2hznhDzC6Pr7wkJ9ZG_sYNGCMCU/edit?usp=sharing"",""ลพบุรี!J154"")"),0)</f>
        <v>0</v>
      </c>
      <c r="AL68" s="79">
        <f t="shared" ca="1" si="45"/>
        <v>0</v>
      </c>
    </row>
    <row r="69" spans="1:38" ht="21" customHeight="1" x14ac:dyDescent="0.3">
      <c r="A69" s="147">
        <v>17</v>
      </c>
      <c r="B69" s="148" t="s">
        <v>97</v>
      </c>
      <c r="C69" s="149">
        <f t="shared" ca="1" si="27"/>
        <v>0</v>
      </c>
      <c r="D69" s="150">
        <f t="shared" ca="1" si="58"/>
        <v>0</v>
      </c>
      <c r="E69" s="151">
        <f ca="1">IFERROR(__xludf.DUMMYFUNCTION("IMPORTRANGE(""https://docs.google.com/spreadsheets/d/1-uDff_7J0KD5mKrp0Vvzr7lt3OU09vwQwhkpOPPYv2Y/edit?usp=sharing"",""งบพรบ!BR69"")"),0)</f>
        <v>0</v>
      </c>
      <c r="F69" s="151">
        <f ca="1">IFERROR(__xludf.DUMMYFUNCTION("IMPORTRANGE(""https://docs.google.com/spreadsheets/d/1-uDff_7J0KD5mKrp0Vvzr7lt3OU09vwQwhkpOPPYv2Y/edit?usp=sharing"",""งบพรบ!BS69"")"),0)</f>
        <v>0</v>
      </c>
      <c r="G69" s="151">
        <f ca="1">IFERROR(__xludf.DUMMYFUNCTION("IMPORTRANGE(""https://docs.google.com/spreadsheets/d/1-uDff_7J0KD5mKrp0Vvzr7lt3OU09vwQwhkpOPPYv2Y/edit?usp=sharing"",""งบพรบ!BT69"")"),0)</f>
        <v>0</v>
      </c>
      <c r="H69" s="151">
        <f ca="1">IFERROR(__xludf.DUMMYFUNCTION("IMPORTRANGE(""https://docs.google.com/spreadsheets/d/1-uDff_7J0KD5mKrp0Vvzr7lt3OU09vwQwhkpOPPYv2Y/edit?usp=sharing"",""งบพรบ!BV69"")"),0)</f>
        <v>0</v>
      </c>
      <c r="I69" s="151">
        <f ca="1">IFERROR(__xludf.DUMMYFUNCTION("IMPORTRANGE(""https://docs.google.com/spreadsheets/d/1-uDff_7J0KD5mKrp0Vvzr7lt3OU09vwQwhkpOPPYv2Y/edit?usp=sharing"",""งบพรบ!BW69"")"),0)</f>
        <v>0</v>
      </c>
      <c r="J69" s="151">
        <f t="shared" ca="1" si="29"/>
        <v>0</v>
      </c>
      <c r="K69" s="154">
        <f t="shared" ca="1" si="30"/>
        <v>0</v>
      </c>
      <c r="L69" s="151">
        <f ca="1">IFERROR(__xludf.DUMMYFUNCTION("IMPORTRANGE(""https://docs.google.com/spreadsheets/d/1-uDff_7J0KD5mKrp0Vvzr7lt3OU09vwQwhkpOPPYv2Y/edit?usp=sharing"",""งบพรบ!BX69"")"),0)</f>
        <v>0</v>
      </c>
      <c r="M69" s="68">
        <f t="shared" ca="1" si="31"/>
        <v>0</v>
      </c>
      <c r="N69" s="68">
        <f t="shared" ca="1" si="32"/>
        <v>0</v>
      </c>
      <c r="O69" s="67">
        <f ca="1">IFERROR(__xludf.DUMMYFUNCTION("IMPORTRANGE(""https://docs.google.com/spreadsheets/d/1-uDff_7J0KD5mKrp0Vvzr7lt3OU09vwQwhkpOPPYv2Y/edit?usp=sharing"",""งบพรบ!BY69"")"),0)</f>
        <v>0</v>
      </c>
      <c r="P69" s="67">
        <f t="shared" ca="1" si="33"/>
        <v>0</v>
      </c>
      <c r="Q69" s="68">
        <f t="shared" ca="1" si="34"/>
        <v>0</v>
      </c>
      <c r="R69" s="67">
        <f ca="1">IFERROR(__xludf.DUMMYFUNCTION("IMPORTRANGE(""https://docs.google.com/spreadsheets/d/10oOiF7loTyfsTkbd4MpaIm0HQ9SwB7IYHdIUvt-U1Uc/edit?usp=sharing"",""สระแก้ว!Q139"")"),0)</f>
        <v>0</v>
      </c>
      <c r="S69" s="67">
        <f ca="1">IFERROR(__xludf.DUMMYFUNCTION("IMPORTRANGE(""https://docs.google.com/spreadsheets/d/10oOiF7loTyfsTkbd4MpaIm0HQ9SwB7IYHdIUvt-U1Uc/edit?usp=sharing"",""สระแก้ว!R139"")"),0)</f>
        <v>0</v>
      </c>
      <c r="T69" s="67">
        <f ca="1">IFERROR(__xludf.DUMMYFUNCTION("IMPORTRANGE(""https://docs.google.com/spreadsheets/d/10oOiF7loTyfsTkbd4MpaIm0HQ9SwB7IYHdIUvt-U1Uc/edit?usp=sharing"",""สระแก้ว!S139"")"),0)</f>
        <v>0</v>
      </c>
      <c r="U69" s="68">
        <f t="shared" ca="1" si="36"/>
        <v>0</v>
      </c>
      <c r="V69" s="68">
        <f t="shared" ca="1" si="37"/>
        <v>0</v>
      </c>
      <c r="W69" s="78">
        <f ca="1">IFERROR(__xludf.DUMMYFUNCTION("IMPORTRANGE(""https://docs.google.com/spreadsheets/d/10oOiF7loTyfsTkbd4MpaIm0HQ9SwB7IYHdIUvt-U1Uc/edit?usp=sharing"",""สระแก้ว!J149"")"),0)</f>
        <v>0</v>
      </c>
      <c r="X69" s="78">
        <f ca="1">IFERROR(__xludf.DUMMYFUNCTION("IMPORTRANGE(""https://docs.google.com/spreadsheets/d/10oOiF7loTyfsTkbd4MpaIm0HQ9SwB7IYHdIUvt-U1Uc/edit?usp=sharing"",""สระแก้ว!I150"")"),0)</f>
        <v>0</v>
      </c>
      <c r="Y69" s="78">
        <f ca="1">IFERROR(__xludf.DUMMYFUNCTION("IMPORTRANGE(""https://docs.google.com/spreadsheets/d/10oOiF7loTyfsTkbd4MpaIm0HQ9SwB7IYHdIUvt-U1Uc/edit?usp=sharing"",""สระแก้ว!I151"")"),0)</f>
        <v>0</v>
      </c>
      <c r="Z69" s="78">
        <f ca="1">IFERROR(__xludf.DUMMYFUNCTION("IMPORTRANGE(""https://docs.google.com/spreadsheets/d/10oOiF7loTyfsTkbd4MpaIm0HQ9SwB7IYHdIUvt-U1Uc/edit?usp=sharing"",""สระแก้ว!J150"")"),0)</f>
        <v>0</v>
      </c>
      <c r="AA69" s="79">
        <f t="shared" ca="1" si="39"/>
        <v>0</v>
      </c>
      <c r="AB69" s="78">
        <f ca="1">IFERROR(__xludf.DUMMYFUNCTION("IMPORTRANGE(""https://docs.google.com/spreadsheets/d/10oOiF7loTyfsTkbd4MpaIm0HQ9SwB7IYHdIUvt-U1Uc/edit?usp=sharing"",""สระแก้ว!J151"")"),0)</f>
        <v>0</v>
      </c>
      <c r="AC69" s="79">
        <f t="shared" ca="1" si="40"/>
        <v>0</v>
      </c>
      <c r="AD69" s="78">
        <f ca="1">IFERROR(__xludf.DUMMYFUNCTION("IMPORTRANGE(""https://docs.google.com/spreadsheets/d/10oOiF7loTyfsTkbd4MpaIm0HQ9SwB7IYHdIUvt-U1Uc/edit?usp=sharing"",""สระแก้ว!I152"")"),0)</f>
        <v>0</v>
      </c>
      <c r="AE69" s="78">
        <f ca="1">IFERROR(__xludf.DUMMYFUNCTION("IMPORTRANGE(""https://docs.google.com/spreadsheets/d/10oOiF7loTyfsTkbd4MpaIm0HQ9SwB7IYHdIUvt-U1Uc/edit?usp=sharing"",""สระแก้ว!I153"")"),0)</f>
        <v>0</v>
      </c>
      <c r="AF69" s="78">
        <f ca="1">IFERROR(__xludf.DUMMYFUNCTION("IMPORTRANGE(""https://docs.google.com/spreadsheets/d/10oOiF7loTyfsTkbd4MpaIm0HQ9SwB7IYHdIUvt-U1Uc/edit?usp=sharing"",""สระแก้ว!J152"")"),0)</f>
        <v>0</v>
      </c>
      <c r="AG69" s="79">
        <f t="shared" ca="1" si="42"/>
        <v>0</v>
      </c>
      <c r="AH69" s="78">
        <f ca="1">IFERROR(__xludf.DUMMYFUNCTION("IMPORTRANGE(""https://docs.google.com/spreadsheets/d/10oOiF7loTyfsTkbd4MpaIm0HQ9SwB7IYHdIUvt-U1Uc/edit?usp=sharing"",""สระแก้ว!J153"")"),0)</f>
        <v>0</v>
      </c>
      <c r="AI69" s="79">
        <f t="shared" ca="1" si="43"/>
        <v>0</v>
      </c>
      <c r="AJ69" s="78">
        <f ca="1">IFERROR(__xludf.DUMMYFUNCTION("IMPORTRANGE(""https://docs.google.com/spreadsheets/d/10oOiF7loTyfsTkbd4MpaIm0HQ9SwB7IYHdIUvt-U1Uc/edit?usp=sharing"",""สระแก้ว!I154"")"),0)</f>
        <v>0</v>
      </c>
      <c r="AK69" s="78">
        <f ca="1">IFERROR(__xludf.DUMMYFUNCTION("IMPORTRANGE(""https://docs.google.com/spreadsheets/d/10oOiF7loTyfsTkbd4MpaIm0HQ9SwB7IYHdIUvt-U1Uc/edit?usp=sharing"",""สระแก้ว!J154"")"),0)</f>
        <v>0</v>
      </c>
      <c r="AL69" s="79">
        <f t="shared" ca="1" si="45"/>
        <v>0</v>
      </c>
    </row>
    <row r="70" spans="1:38" ht="21" customHeight="1" x14ac:dyDescent="0.3">
      <c r="A70" s="147">
        <v>18</v>
      </c>
      <c r="B70" s="148" t="s">
        <v>98</v>
      </c>
      <c r="C70" s="149">
        <f t="shared" ca="1" si="27"/>
        <v>98000</v>
      </c>
      <c r="D70" s="150">
        <f t="shared" ca="1" si="58"/>
        <v>98000</v>
      </c>
      <c r="E70" s="151">
        <f ca="1">IFERROR(__xludf.DUMMYFUNCTION("IMPORTRANGE(""https://docs.google.com/spreadsheets/d/1-uDff_7J0KD5mKrp0Vvzr7lt3OU09vwQwhkpOPPYv2Y/edit?usp=sharing"",""งบพรบ!BR70"")"),74700)</f>
        <v>74700</v>
      </c>
      <c r="F70" s="151">
        <f ca="1">IFERROR(__xludf.DUMMYFUNCTION("IMPORTRANGE(""https://docs.google.com/spreadsheets/d/1-uDff_7J0KD5mKrp0Vvzr7lt3OU09vwQwhkpOPPYv2Y/edit?usp=sharing"",""งบพรบ!BS70"")"),23300)</f>
        <v>23300</v>
      </c>
      <c r="G70" s="151">
        <f ca="1">IFERROR(__xludf.DUMMYFUNCTION("IMPORTRANGE(""https://docs.google.com/spreadsheets/d/1-uDff_7J0KD5mKrp0Vvzr7lt3OU09vwQwhkpOPPYv2Y/edit?usp=sharing"",""งบพรบ!BT70"")"),0)</f>
        <v>0</v>
      </c>
      <c r="H70" s="151">
        <f ca="1">IFERROR(__xludf.DUMMYFUNCTION("IMPORTRANGE(""https://docs.google.com/spreadsheets/d/1-uDff_7J0KD5mKrp0Vvzr7lt3OU09vwQwhkpOPPYv2Y/edit?usp=sharing"",""งบพรบ!BV70"")"),93000)</f>
        <v>93000</v>
      </c>
      <c r="I70" s="151">
        <f ca="1">IFERROR(__xludf.DUMMYFUNCTION("IMPORTRANGE(""https://docs.google.com/spreadsheets/d/1-uDff_7J0KD5mKrp0Vvzr7lt3OU09vwQwhkpOPPYv2Y/edit?usp=sharing"",""งบพรบ!BW70"")"),0)</f>
        <v>0</v>
      </c>
      <c r="J70" s="151">
        <f t="shared" ca="1" si="29"/>
        <v>87533.98</v>
      </c>
      <c r="K70" s="154">
        <f t="shared" ca="1" si="30"/>
        <v>89.320387755102047</v>
      </c>
      <c r="L70" s="151">
        <f ca="1">IFERROR(__xludf.DUMMYFUNCTION("IMPORTRANGE(""https://docs.google.com/spreadsheets/d/1-uDff_7J0KD5mKrp0Vvzr7lt3OU09vwQwhkpOPPYv2Y/edit?usp=sharing"",""งบพรบ!BX70"")"),87533.98)</f>
        <v>87533.98</v>
      </c>
      <c r="M70" s="68">
        <f t="shared" ca="1" si="31"/>
        <v>89.320387755102047</v>
      </c>
      <c r="N70" s="68">
        <f t="shared" ca="1" si="32"/>
        <v>94.12255913978494</v>
      </c>
      <c r="O70" s="67">
        <f ca="1">IFERROR(__xludf.DUMMYFUNCTION("IMPORTRANGE(""https://docs.google.com/spreadsheets/d/1-uDff_7J0KD5mKrp0Vvzr7lt3OU09vwQwhkpOPPYv2Y/edit?usp=sharing"",""งบพรบ!BY70"")"),0)</f>
        <v>0</v>
      </c>
      <c r="P70" s="67">
        <f t="shared" ca="1" si="33"/>
        <v>0</v>
      </c>
      <c r="Q70" s="68">
        <f t="shared" ca="1" si="34"/>
        <v>0</v>
      </c>
      <c r="R70" s="67">
        <f ca="1">IFERROR(__xludf.DUMMYFUNCTION("IMPORTRANGE(""https://docs.google.com/spreadsheets/d/1xmPlrr1QbdSIKvl1dWUl9K4PjAfSL9oeMr_37QVzcxc/edit?usp=sharing"",""สระบุรี!Q139"")"),39860)</f>
        <v>39860</v>
      </c>
      <c r="S70" s="67">
        <f ca="1">IFERROR(__xludf.DUMMYFUNCTION("IMPORTRANGE(""https://docs.google.com/spreadsheets/d/1xmPlrr1QbdSIKvl1dWUl9K4PjAfSL9oeMr_37QVzcxc/edit?usp=sharing"",""สระบุรี!R139"")"),39860)</f>
        <v>39860</v>
      </c>
      <c r="T70" s="67">
        <f ca="1">IFERROR(__xludf.DUMMYFUNCTION("IMPORTRANGE(""https://docs.google.com/spreadsheets/d/1xmPlrr1QbdSIKvl1dWUl9K4PjAfSL9oeMr_37QVzcxc/edit?usp=sharing"",""สระบุรี!S139"")"),0)</f>
        <v>0</v>
      </c>
      <c r="U70" s="68">
        <f t="shared" ca="1" si="36"/>
        <v>0</v>
      </c>
      <c r="V70" s="68">
        <f t="shared" ca="1" si="37"/>
        <v>0</v>
      </c>
      <c r="W70" s="78">
        <f ca="1">IFERROR(__xludf.DUMMYFUNCTION("IMPORTRANGE(""https://docs.google.com/spreadsheets/d/1xmPlrr1QbdSIKvl1dWUl9K4PjAfSL9oeMr_37QVzcxc/edit?usp=sharing"",""สระบุรี!J149"")"),0)</f>
        <v>0</v>
      </c>
      <c r="X70" s="78">
        <f ca="1">IFERROR(__xludf.DUMMYFUNCTION("IMPORTRANGE(""https://docs.google.com/spreadsheets/d/1xmPlrr1QbdSIKvl1dWUl9K4PjAfSL9oeMr_37QVzcxc/edit?usp=sharing"",""สระบุรี!I150"")"),0)</f>
        <v>0</v>
      </c>
      <c r="Y70" s="78">
        <f ca="1">IFERROR(__xludf.DUMMYFUNCTION("IMPORTRANGE(""https://docs.google.com/spreadsheets/d/1xmPlrr1QbdSIKvl1dWUl9K4PjAfSL9oeMr_37QVzcxc/edit?usp=sharing"",""สระบุรี!I151"")"),0)</f>
        <v>0</v>
      </c>
      <c r="Z70" s="78" t="str">
        <f ca="1">IFERROR(__xludf.DUMMYFUNCTION("IMPORTRANGE(""https://docs.google.com/spreadsheets/d/1xmPlrr1QbdSIKvl1dWUl9K4PjAfSL9oeMr_37QVzcxc/edit?usp=sharing"",""สระบุรี!J150"")"),"")</f>
        <v/>
      </c>
      <c r="AA70" s="79">
        <f t="shared" ca="1" si="39"/>
        <v>0</v>
      </c>
      <c r="AB70" s="78">
        <f ca="1">IFERROR(__xludf.DUMMYFUNCTION("IMPORTRANGE(""https://docs.google.com/spreadsheets/d/1xmPlrr1QbdSIKvl1dWUl9K4PjAfSL9oeMr_37QVzcxc/edit?usp=sharing"",""สระบุรี!J151"")"),0)</f>
        <v>0</v>
      </c>
      <c r="AC70" s="79">
        <f t="shared" ca="1" si="40"/>
        <v>0</v>
      </c>
      <c r="AD70" s="78">
        <f ca="1">IFERROR(__xludf.DUMMYFUNCTION("IMPORTRANGE(""https://docs.google.com/spreadsheets/d/1xmPlrr1QbdSIKvl1dWUl9K4PjAfSL9oeMr_37QVzcxc/edit?usp=sharing"",""สระบุรี!I152"")"),10)</f>
        <v>10</v>
      </c>
      <c r="AE70" s="78">
        <f ca="1">IFERROR(__xludf.DUMMYFUNCTION("IMPORTRANGE(""https://docs.google.com/spreadsheets/d/1xmPlrr1QbdSIKvl1dWUl9K4PjAfSL9oeMr_37QVzcxc/edit?usp=sharing"",""สระบุรี!I153"")"),1)</f>
        <v>1</v>
      </c>
      <c r="AF70" s="78">
        <f ca="1">IFERROR(__xludf.DUMMYFUNCTION("IMPORTRANGE(""https://docs.google.com/spreadsheets/d/1xmPlrr1QbdSIKvl1dWUl9K4PjAfSL9oeMr_37QVzcxc/edit?usp=sharing"",""สระบุรี!J152"")"),10)</f>
        <v>10</v>
      </c>
      <c r="AG70" s="79">
        <f t="shared" ca="1" si="42"/>
        <v>100</v>
      </c>
      <c r="AH70" s="78">
        <f ca="1">IFERROR(__xludf.DUMMYFUNCTION("IMPORTRANGE(""https://docs.google.com/spreadsheets/d/1xmPlrr1QbdSIKvl1dWUl9K4PjAfSL9oeMr_37QVzcxc/edit?usp=sharing"",""สระบุรี!J153"")"),1)</f>
        <v>1</v>
      </c>
      <c r="AI70" s="79">
        <f t="shared" ca="1" si="43"/>
        <v>100</v>
      </c>
      <c r="AJ70" s="78">
        <f ca="1">IFERROR(__xludf.DUMMYFUNCTION("IMPORTRANGE(""https://docs.google.com/spreadsheets/d/1xmPlrr1QbdSIKvl1dWUl9K4PjAfSL9oeMr_37QVzcxc/edit?usp=sharing"",""สระบุรี!I154"")"),0)</f>
        <v>0</v>
      </c>
      <c r="AK70" s="78">
        <f ca="1">IFERROR(__xludf.DUMMYFUNCTION("IMPORTRANGE(""https://docs.google.com/spreadsheets/d/1xmPlrr1QbdSIKvl1dWUl9K4PjAfSL9oeMr_37QVzcxc/edit?usp=sharing"",""สระบุรี!J154"")"),0)</f>
        <v>0</v>
      </c>
      <c r="AL70" s="79">
        <f t="shared" ca="1" si="45"/>
        <v>0</v>
      </c>
    </row>
    <row r="71" spans="1:38" ht="21" customHeight="1" x14ac:dyDescent="0.3">
      <c r="A71" s="147">
        <v>19</v>
      </c>
      <c r="B71" s="148" t="s">
        <v>99</v>
      </c>
      <c r="C71" s="149">
        <f t="shared" ca="1" si="27"/>
        <v>0</v>
      </c>
      <c r="D71" s="150">
        <f t="shared" ca="1" si="58"/>
        <v>0</v>
      </c>
      <c r="E71" s="151">
        <f ca="1">IFERROR(__xludf.DUMMYFUNCTION("IMPORTRANGE(""https://docs.google.com/spreadsheets/d/1-uDff_7J0KD5mKrp0Vvzr7lt3OU09vwQwhkpOPPYv2Y/edit?usp=sharing"",""งบพรบ!BR71"")"),0)</f>
        <v>0</v>
      </c>
      <c r="F71" s="151">
        <f ca="1">IFERROR(__xludf.DUMMYFUNCTION("IMPORTRANGE(""https://docs.google.com/spreadsheets/d/1-uDff_7J0KD5mKrp0Vvzr7lt3OU09vwQwhkpOPPYv2Y/edit?usp=sharing"",""งบพรบ!BS71"")"),0)</f>
        <v>0</v>
      </c>
      <c r="G71" s="151">
        <f ca="1">IFERROR(__xludf.DUMMYFUNCTION("IMPORTRANGE(""https://docs.google.com/spreadsheets/d/1-uDff_7J0KD5mKrp0Vvzr7lt3OU09vwQwhkpOPPYv2Y/edit?usp=sharing"",""งบพรบ!BT71"")"),0)</f>
        <v>0</v>
      </c>
      <c r="H71" s="151">
        <f ca="1">IFERROR(__xludf.DUMMYFUNCTION("IMPORTRANGE(""https://docs.google.com/spreadsheets/d/1-uDff_7J0KD5mKrp0Vvzr7lt3OU09vwQwhkpOPPYv2Y/edit?usp=sharing"",""งบพรบ!BV71"")"),0)</f>
        <v>0</v>
      </c>
      <c r="I71" s="151">
        <f ca="1">IFERROR(__xludf.DUMMYFUNCTION("IMPORTRANGE(""https://docs.google.com/spreadsheets/d/1-uDff_7J0KD5mKrp0Vvzr7lt3OU09vwQwhkpOPPYv2Y/edit?usp=sharing"",""งบพรบ!BW71"")"),0)</f>
        <v>0</v>
      </c>
      <c r="J71" s="151">
        <f t="shared" ca="1" si="29"/>
        <v>0</v>
      </c>
      <c r="K71" s="154">
        <f t="shared" ca="1" si="30"/>
        <v>0</v>
      </c>
      <c r="L71" s="151">
        <f ca="1">IFERROR(__xludf.DUMMYFUNCTION("IMPORTRANGE(""https://docs.google.com/spreadsheets/d/1-uDff_7J0KD5mKrp0Vvzr7lt3OU09vwQwhkpOPPYv2Y/edit?usp=sharing"",""งบพรบ!BX71"")"),0)</f>
        <v>0</v>
      </c>
      <c r="M71" s="68">
        <f t="shared" ca="1" si="31"/>
        <v>0</v>
      </c>
      <c r="N71" s="68">
        <f t="shared" ca="1" si="32"/>
        <v>0</v>
      </c>
      <c r="O71" s="67">
        <f ca="1">IFERROR(__xludf.DUMMYFUNCTION("IMPORTRANGE(""https://docs.google.com/spreadsheets/d/1-uDff_7J0KD5mKrp0Vvzr7lt3OU09vwQwhkpOPPYv2Y/edit?usp=sharing"",""งบพรบ!BY71"")"),0)</f>
        <v>0</v>
      </c>
      <c r="P71" s="67">
        <f t="shared" ca="1" si="33"/>
        <v>0</v>
      </c>
      <c r="Q71" s="68">
        <f t="shared" ca="1" si="34"/>
        <v>0</v>
      </c>
      <c r="R71" s="67">
        <f ca="1">IFERROR(__xludf.DUMMYFUNCTION("IMPORTRANGE(""https://docs.google.com/spreadsheets/d/1j51vR6CYVGhABJpv6tkstgok82RLpXieLzW1yOY5rHw/edit?usp=sharing"",""สิงห์บุรี!Q139"")"),0)</f>
        <v>0</v>
      </c>
      <c r="S71" s="67">
        <f ca="1">IFERROR(__xludf.DUMMYFUNCTION("IMPORTRANGE(""https://docs.google.com/spreadsheets/d/1j51vR6CYVGhABJpv6tkstgok82RLpXieLzW1yOY5rHw/edit?usp=sharing"",""สิงห์บุรี!R139"")"),0)</f>
        <v>0</v>
      </c>
      <c r="T71" s="67">
        <f ca="1">IFERROR(__xludf.DUMMYFUNCTION("IMPORTRANGE(""https://docs.google.com/spreadsheets/d/1j51vR6CYVGhABJpv6tkstgok82RLpXieLzW1yOY5rHw/edit?usp=sharing"",""สิงห์บุรี!S139"")"),0)</f>
        <v>0</v>
      </c>
      <c r="U71" s="68">
        <f t="shared" ca="1" si="36"/>
        <v>0</v>
      </c>
      <c r="V71" s="68">
        <f t="shared" ca="1" si="37"/>
        <v>0</v>
      </c>
      <c r="W71" s="78">
        <f ca="1">IFERROR(__xludf.DUMMYFUNCTION("IMPORTRANGE(""https://docs.google.com/spreadsheets/d/1j51vR6CYVGhABJpv6tkstgok82RLpXieLzW1yOY5rHw/edit?usp=sharing"",""สิงห์บุรี!J149"")"),0)</f>
        <v>0</v>
      </c>
      <c r="X71" s="78">
        <f ca="1">IFERROR(__xludf.DUMMYFUNCTION("IMPORTRANGE(""https://docs.google.com/spreadsheets/d/1j51vR6CYVGhABJpv6tkstgok82RLpXieLzW1yOY5rHw/edit?usp=sharing"",""สิงห์บุรี!I150"")"),0)</f>
        <v>0</v>
      </c>
      <c r="Y71" s="78">
        <f ca="1">IFERROR(__xludf.DUMMYFUNCTION("IMPORTRANGE(""https://docs.google.com/spreadsheets/d/1j51vR6CYVGhABJpv6tkstgok82RLpXieLzW1yOY5rHw/edit?usp=sharing"",""สิงห์บุรี!I151"")"),0)</f>
        <v>0</v>
      </c>
      <c r="Z71" s="78">
        <f ca="1">IFERROR(__xludf.DUMMYFUNCTION("IMPORTRANGE(""https://docs.google.com/spreadsheets/d/1j51vR6CYVGhABJpv6tkstgok82RLpXieLzW1yOY5rHw/edit?usp=sharing"",""สิงห์บุรี!J150"")"),0)</f>
        <v>0</v>
      </c>
      <c r="AA71" s="79">
        <f t="shared" ca="1" si="39"/>
        <v>0</v>
      </c>
      <c r="AB71" s="78">
        <f ca="1">IFERROR(__xludf.DUMMYFUNCTION("IMPORTRANGE(""https://docs.google.com/spreadsheets/d/1j51vR6CYVGhABJpv6tkstgok82RLpXieLzW1yOY5rHw/edit?usp=sharing"",""สิงห์บุรี!J151"")"),0)</f>
        <v>0</v>
      </c>
      <c r="AC71" s="79">
        <f t="shared" ca="1" si="40"/>
        <v>0</v>
      </c>
      <c r="AD71" s="78">
        <f ca="1">IFERROR(__xludf.DUMMYFUNCTION("IMPORTRANGE(""https://docs.google.com/spreadsheets/d/1j51vR6CYVGhABJpv6tkstgok82RLpXieLzW1yOY5rHw/edit?usp=sharing"",""สิงห์บุรี!I152"")"),0)</f>
        <v>0</v>
      </c>
      <c r="AE71" s="78">
        <f ca="1">IFERROR(__xludf.DUMMYFUNCTION("IMPORTRANGE(""https://docs.google.com/spreadsheets/d/1j51vR6CYVGhABJpv6tkstgok82RLpXieLzW1yOY5rHw/edit?usp=sharing"",""สิงห์บุรี!I153"")"),0)</f>
        <v>0</v>
      </c>
      <c r="AF71" s="78">
        <f ca="1">IFERROR(__xludf.DUMMYFUNCTION("IMPORTRANGE(""https://docs.google.com/spreadsheets/d/1j51vR6CYVGhABJpv6tkstgok82RLpXieLzW1yOY5rHw/edit?usp=sharing"",""สิงห์บุรี!J152"")"),0)</f>
        <v>0</v>
      </c>
      <c r="AG71" s="79">
        <f t="shared" ca="1" si="42"/>
        <v>0</v>
      </c>
      <c r="AH71" s="78">
        <f ca="1">IFERROR(__xludf.DUMMYFUNCTION("IMPORTRANGE(""https://docs.google.com/spreadsheets/d/1j51vR6CYVGhABJpv6tkstgok82RLpXieLzW1yOY5rHw/edit?usp=sharing"",""สิงห์บุรี!J153"")"),0)</f>
        <v>0</v>
      </c>
      <c r="AI71" s="79">
        <f t="shared" ca="1" si="43"/>
        <v>0</v>
      </c>
      <c r="AJ71" s="78">
        <f ca="1">IFERROR(__xludf.DUMMYFUNCTION("IMPORTRANGE(""https://docs.google.com/spreadsheets/d/1j51vR6CYVGhABJpv6tkstgok82RLpXieLzW1yOY5rHw/edit?usp=sharing"",""สิงห์บุรี!I154"")"),0)</f>
        <v>0</v>
      </c>
      <c r="AK71" s="78">
        <f ca="1">IFERROR(__xludf.DUMMYFUNCTION("IMPORTRANGE(""https://docs.google.com/spreadsheets/d/1j51vR6CYVGhABJpv6tkstgok82RLpXieLzW1yOY5rHw/edit?usp=sharing"",""สิงห์บุรี!J154"")"),0)</f>
        <v>0</v>
      </c>
      <c r="AL71" s="79">
        <f t="shared" ca="1" si="45"/>
        <v>0</v>
      </c>
    </row>
    <row r="72" spans="1:38" ht="21" customHeight="1" x14ac:dyDescent="0.3">
      <c r="A72" s="147">
        <v>20</v>
      </c>
      <c r="B72" s="148" t="s">
        <v>100</v>
      </c>
      <c r="C72" s="149">
        <f t="shared" ca="1" si="27"/>
        <v>0</v>
      </c>
      <c r="D72" s="150">
        <f t="shared" ca="1" si="58"/>
        <v>0</v>
      </c>
      <c r="E72" s="151">
        <f ca="1">IFERROR(__xludf.DUMMYFUNCTION("IMPORTRANGE(""https://docs.google.com/spreadsheets/d/1-uDff_7J0KD5mKrp0Vvzr7lt3OU09vwQwhkpOPPYv2Y/edit?usp=sharing"",""งบพรบ!BR72"")"),0)</f>
        <v>0</v>
      </c>
      <c r="F72" s="151">
        <f ca="1">IFERROR(__xludf.DUMMYFUNCTION("IMPORTRANGE(""https://docs.google.com/spreadsheets/d/1-uDff_7J0KD5mKrp0Vvzr7lt3OU09vwQwhkpOPPYv2Y/edit?usp=sharing"",""งบพรบ!BS72"")"),0)</f>
        <v>0</v>
      </c>
      <c r="G72" s="151">
        <f ca="1">IFERROR(__xludf.DUMMYFUNCTION("IMPORTRANGE(""https://docs.google.com/spreadsheets/d/1-uDff_7J0KD5mKrp0Vvzr7lt3OU09vwQwhkpOPPYv2Y/edit?usp=sharing"",""งบพรบ!BT72"")"),0)</f>
        <v>0</v>
      </c>
      <c r="H72" s="151">
        <f ca="1">IFERROR(__xludf.DUMMYFUNCTION("IMPORTRANGE(""https://docs.google.com/spreadsheets/d/1-uDff_7J0KD5mKrp0Vvzr7lt3OU09vwQwhkpOPPYv2Y/edit?usp=sharing"",""งบพรบ!BV72"")"),0)</f>
        <v>0</v>
      </c>
      <c r="I72" s="151">
        <f ca="1">IFERROR(__xludf.DUMMYFUNCTION("IMPORTRANGE(""https://docs.google.com/spreadsheets/d/1-uDff_7J0KD5mKrp0Vvzr7lt3OU09vwQwhkpOPPYv2Y/edit?usp=sharing"",""งบพรบ!BW72"")"),0)</f>
        <v>0</v>
      </c>
      <c r="J72" s="151">
        <f t="shared" ca="1" si="29"/>
        <v>0</v>
      </c>
      <c r="K72" s="154">
        <f t="shared" ca="1" si="30"/>
        <v>0</v>
      </c>
      <c r="L72" s="151">
        <f ca="1">IFERROR(__xludf.DUMMYFUNCTION("IMPORTRANGE(""https://docs.google.com/spreadsheets/d/1-uDff_7J0KD5mKrp0Vvzr7lt3OU09vwQwhkpOPPYv2Y/edit?usp=sharing"",""งบพรบ!BX72"")"),0)</f>
        <v>0</v>
      </c>
      <c r="M72" s="68">
        <f t="shared" ca="1" si="31"/>
        <v>0</v>
      </c>
      <c r="N72" s="68">
        <f t="shared" ca="1" si="32"/>
        <v>0</v>
      </c>
      <c r="O72" s="67">
        <f ca="1">IFERROR(__xludf.DUMMYFUNCTION("IMPORTRANGE(""https://docs.google.com/spreadsheets/d/1-uDff_7J0KD5mKrp0Vvzr7lt3OU09vwQwhkpOPPYv2Y/edit?usp=sharing"",""งบพรบ!BY72"")"),0)</f>
        <v>0</v>
      </c>
      <c r="P72" s="67">
        <f t="shared" ca="1" si="33"/>
        <v>0</v>
      </c>
      <c r="Q72" s="68">
        <f t="shared" ca="1" si="34"/>
        <v>0</v>
      </c>
      <c r="R72" s="67">
        <f ca="1">IFERROR(__xludf.DUMMYFUNCTION("IMPORTRANGE(""https://docs.google.com/spreadsheets/d/1H1EalTWKUSzO4Z1-1CwzoDUaVffgrThEBe2sl74kKG0/edit?usp=sharing"",""สุพรรณบุรี!Q139"")"),0)</f>
        <v>0</v>
      </c>
      <c r="S72" s="67">
        <f ca="1">IFERROR(__xludf.DUMMYFUNCTION("IMPORTRANGE(""https://docs.google.com/spreadsheets/d/1H1EalTWKUSzO4Z1-1CwzoDUaVffgrThEBe2sl74kKG0/edit?usp=sharing"",""สุพรรณบุรี!R139"")"),0)</f>
        <v>0</v>
      </c>
      <c r="T72" s="67">
        <f ca="1">IFERROR(__xludf.DUMMYFUNCTION("IMPORTRANGE(""https://docs.google.com/spreadsheets/d/1H1EalTWKUSzO4Z1-1CwzoDUaVffgrThEBe2sl74kKG0/edit?usp=sharing"",""สุพรรณบุรี!S139"")"),0)</f>
        <v>0</v>
      </c>
      <c r="U72" s="68">
        <f t="shared" ca="1" si="36"/>
        <v>0</v>
      </c>
      <c r="V72" s="68">
        <f t="shared" ca="1" si="37"/>
        <v>0</v>
      </c>
      <c r="W72" s="78">
        <f ca="1">IFERROR(__xludf.DUMMYFUNCTION("IMPORTRANGE(""https://docs.google.com/spreadsheets/d/1H1EalTWKUSzO4Z1-1CwzoDUaVffgrThEBe2sl74kKG0/edit?usp=sharing"",""สุพรรณบุรี!J149"")"),0)</f>
        <v>0</v>
      </c>
      <c r="X72" s="78">
        <f ca="1">IFERROR(__xludf.DUMMYFUNCTION("IMPORTRANGE(""https://docs.google.com/spreadsheets/d/1H1EalTWKUSzO4Z1-1CwzoDUaVffgrThEBe2sl74kKG0/edit?usp=sharing"",""สุพรรณบุรี!I150"")"),0)</f>
        <v>0</v>
      </c>
      <c r="Y72" s="78">
        <f ca="1">IFERROR(__xludf.DUMMYFUNCTION("IMPORTRANGE(""https://docs.google.com/spreadsheets/d/1H1EalTWKUSzO4Z1-1CwzoDUaVffgrThEBe2sl74kKG0/edit?usp=sharing"",""สุพรรณบุรี!I151"")"),0)</f>
        <v>0</v>
      </c>
      <c r="Z72" s="78">
        <f ca="1">IFERROR(__xludf.DUMMYFUNCTION("IMPORTRANGE(""https://docs.google.com/spreadsheets/d/1H1EalTWKUSzO4Z1-1CwzoDUaVffgrThEBe2sl74kKG0/edit?usp=sharing"",""สุพรรณบุรี!J150"")"),0)</f>
        <v>0</v>
      </c>
      <c r="AA72" s="79">
        <f t="shared" ca="1" si="39"/>
        <v>0</v>
      </c>
      <c r="AB72" s="78">
        <f ca="1">IFERROR(__xludf.DUMMYFUNCTION("IMPORTRANGE(""https://docs.google.com/spreadsheets/d/1H1EalTWKUSzO4Z1-1CwzoDUaVffgrThEBe2sl74kKG0/edit?usp=sharing"",""สุพรรณบุรี!J151"")"),0)</f>
        <v>0</v>
      </c>
      <c r="AC72" s="79">
        <f t="shared" ca="1" si="40"/>
        <v>0</v>
      </c>
      <c r="AD72" s="78">
        <f ca="1">IFERROR(__xludf.DUMMYFUNCTION("IMPORTRANGE(""https://docs.google.com/spreadsheets/d/1H1EalTWKUSzO4Z1-1CwzoDUaVffgrThEBe2sl74kKG0/edit?usp=sharing"",""สุพรรณบุรี!I152"")"),0)</f>
        <v>0</v>
      </c>
      <c r="AE72" s="78">
        <f ca="1">IFERROR(__xludf.DUMMYFUNCTION("IMPORTRANGE(""https://docs.google.com/spreadsheets/d/1H1EalTWKUSzO4Z1-1CwzoDUaVffgrThEBe2sl74kKG0/edit?usp=sharing"",""สุพรรณบุรี!I153"")"),0)</f>
        <v>0</v>
      </c>
      <c r="AF72" s="78">
        <f ca="1">IFERROR(__xludf.DUMMYFUNCTION("IMPORTRANGE(""https://docs.google.com/spreadsheets/d/1H1EalTWKUSzO4Z1-1CwzoDUaVffgrThEBe2sl74kKG0/edit?usp=sharing"",""สุพรรณบุรี!J152"")"),0)</f>
        <v>0</v>
      </c>
      <c r="AG72" s="79">
        <f t="shared" ca="1" si="42"/>
        <v>0</v>
      </c>
      <c r="AH72" s="78">
        <f ca="1">IFERROR(__xludf.DUMMYFUNCTION("IMPORTRANGE(""https://docs.google.com/spreadsheets/d/1H1EalTWKUSzO4Z1-1CwzoDUaVffgrThEBe2sl74kKG0/edit?usp=sharing"",""สุพรรณบุรี!J153"")"),0)</f>
        <v>0</v>
      </c>
      <c r="AI72" s="79">
        <f t="shared" ca="1" si="43"/>
        <v>0</v>
      </c>
      <c r="AJ72" s="78">
        <f ca="1">IFERROR(__xludf.DUMMYFUNCTION("IMPORTRANGE(""https://docs.google.com/spreadsheets/d/1H1EalTWKUSzO4Z1-1CwzoDUaVffgrThEBe2sl74kKG0/edit?usp=sharing"",""สุพรรณบุรี!I154"")"),0)</f>
        <v>0</v>
      </c>
      <c r="AK72" s="78">
        <f ca="1">IFERROR(__xludf.DUMMYFUNCTION("IMPORTRANGE(""https://docs.google.com/spreadsheets/d/1H1EalTWKUSzO4Z1-1CwzoDUaVffgrThEBe2sl74kKG0/edit?usp=sharing"",""สุพรรณบุรี!J154"")"),0)</f>
        <v>0</v>
      </c>
      <c r="AL72" s="79">
        <f t="shared" ca="1" si="45"/>
        <v>0</v>
      </c>
    </row>
    <row r="73" spans="1:38" ht="21" customHeight="1" x14ac:dyDescent="0.3">
      <c r="A73" s="155">
        <v>21</v>
      </c>
      <c r="B73" s="156" t="s">
        <v>101</v>
      </c>
      <c r="C73" s="157">
        <f t="shared" ca="1" si="27"/>
        <v>0</v>
      </c>
      <c r="D73" s="158">
        <f t="shared" ca="1" si="58"/>
        <v>0</v>
      </c>
      <c r="E73" s="159">
        <f ca="1">IFERROR(__xludf.DUMMYFUNCTION("IMPORTRANGE(""https://docs.google.com/spreadsheets/d/1-uDff_7J0KD5mKrp0Vvzr7lt3OU09vwQwhkpOPPYv2Y/edit?usp=sharing"",""งบพรบ!BR73"")"),0)</f>
        <v>0</v>
      </c>
      <c r="F73" s="159">
        <f ca="1">IFERROR(__xludf.DUMMYFUNCTION("IMPORTRANGE(""https://docs.google.com/spreadsheets/d/1-uDff_7J0KD5mKrp0Vvzr7lt3OU09vwQwhkpOPPYv2Y/edit?usp=sharing"",""งบพรบ!BS73"")"),0)</f>
        <v>0</v>
      </c>
      <c r="G73" s="159">
        <f ca="1">IFERROR(__xludf.DUMMYFUNCTION("IMPORTRANGE(""https://docs.google.com/spreadsheets/d/1-uDff_7J0KD5mKrp0Vvzr7lt3OU09vwQwhkpOPPYv2Y/edit?usp=sharing"",""งบพรบ!BT73"")"),0)</f>
        <v>0</v>
      </c>
      <c r="H73" s="159">
        <f ca="1">IFERROR(__xludf.DUMMYFUNCTION("IMPORTRANGE(""https://docs.google.com/spreadsheets/d/1-uDff_7J0KD5mKrp0Vvzr7lt3OU09vwQwhkpOPPYv2Y/edit?usp=sharing"",""งบพรบ!BV73"")"),0)</f>
        <v>0</v>
      </c>
      <c r="I73" s="159">
        <f ca="1">IFERROR(__xludf.DUMMYFUNCTION("IMPORTRANGE(""https://docs.google.com/spreadsheets/d/1-uDff_7J0KD5mKrp0Vvzr7lt3OU09vwQwhkpOPPYv2Y/edit?usp=sharing"",""งบพรบ!BW73"")"),0)</f>
        <v>0</v>
      </c>
      <c r="J73" s="159">
        <f t="shared" ca="1" si="29"/>
        <v>0</v>
      </c>
      <c r="K73" s="160">
        <f t="shared" ca="1" si="30"/>
        <v>0</v>
      </c>
      <c r="L73" s="159">
        <f ca="1">IFERROR(__xludf.DUMMYFUNCTION("IMPORTRANGE(""https://docs.google.com/spreadsheets/d/1-uDff_7J0KD5mKrp0Vvzr7lt3OU09vwQwhkpOPPYv2Y/edit?usp=sharing"",""งบพรบ!BX73"")"),0)</f>
        <v>0</v>
      </c>
      <c r="M73" s="89">
        <f t="shared" ca="1" si="31"/>
        <v>0</v>
      </c>
      <c r="N73" s="89">
        <f t="shared" ca="1" si="32"/>
        <v>0</v>
      </c>
      <c r="O73" s="88">
        <f ca="1">IFERROR(__xludf.DUMMYFUNCTION("IMPORTRANGE(""https://docs.google.com/spreadsheets/d/1-uDff_7J0KD5mKrp0Vvzr7lt3OU09vwQwhkpOPPYv2Y/edit?usp=sharing"",""งบพรบ!BY73"")"),0)</f>
        <v>0</v>
      </c>
      <c r="P73" s="88">
        <f t="shared" ca="1" si="33"/>
        <v>0</v>
      </c>
      <c r="Q73" s="89">
        <f t="shared" ca="1" si="34"/>
        <v>0</v>
      </c>
      <c r="R73" s="88">
        <f ca="1">IFERROR(__xludf.DUMMYFUNCTION("IMPORTRANGE(""https://docs.google.com/spreadsheets/d/1BmIruG_sIrJLYao_Pdr7zVArWsfoBt2692TMi6x_854/edit?usp=sharing"",""อ่างทอง!Q139"")"),0)</f>
        <v>0</v>
      </c>
      <c r="S73" s="88">
        <f ca="1">IFERROR(__xludf.DUMMYFUNCTION("IMPORTRANGE(""https://docs.google.com/spreadsheets/d/1BmIruG_sIrJLYao_Pdr7zVArWsfoBt2692TMi6x_854/edit?usp=sharing"",""อ่างทอง!R139"")"),0)</f>
        <v>0</v>
      </c>
      <c r="T73" s="88">
        <f ca="1">IFERROR(__xludf.DUMMYFUNCTION("IMPORTRANGE(""https://docs.google.com/spreadsheets/d/1BmIruG_sIrJLYao_Pdr7zVArWsfoBt2692TMi6x_854/edit?usp=sharing"",""อ่างทอง!S139"")"),0)</f>
        <v>0</v>
      </c>
      <c r="U73" s="89">
        <f t="shared" ca="1" si="36"/>
        <v>0</v>
      </c>
      <c r="V73" s="89">
        <f t="shared" ca="1" si="37"/>
        <v>0</v>
      </c>
      <c r="W73" s="90">
        <f ca="1">IFERROR(__xludf.DUMMYFUNCTION("IMPORTRANGE(""https://docs.google.com/spreadsheets/d/1BmIruG_sIrJLYao_Pdr7zVArWsfoBt2692TMi6x_854/edit?usp=sharing"",""อ่างทอง!J149"")"),0)</f>
        <v>0</v>
      </c>
      <c r="X73" s="90">
        <f ca="1">IFERROR(__xludf.DUMMYFUNCTION("IMPORTRANGE(""https://docs.google.com/spreadsheets/d/1BmIruG_sIrJLYao_Pdr7zVArWsfoBt2692TMi6x_854/edit?usp=sharing"",""อ่างทอง!I150"")"),0)</f>
        <v>0</v>
      </c>
      <c r="Y73" s="90">
        <f ca="1">IFERROR(__xludf.DUMMYFUNCTION("IMPORTRANGE(""https://docs.google.com/spreadsheets/d/1BmIruG_sIrJLYao_Pdr7zVArWsfoBt2692TMi6x_854/edit?usp=sharing"",""อ่างทอง!I151"")"),0)</f>
        <v>0</v>
      </c>
      <c r="Z73" s="90">
        <f ca="1">IFERROR(__xludf.DUMMYFUNCTION("IMPORTRANGE(""https://docs.google.com/spreadsheets/d/1BmIruG_sIrJLYao_Pdr7zVArWsfoBt2692TMi6x_854/edit?usp=sharing"",""อ่างทอง!J150"")"),0)</f>
        <v>0</v>
      </c>
      <c r="AA73" s="91">
        <f t="shared" ca="1" si="39"/>
        <v>0</v>
      </c>
      <c r="AB73" s="90">
        <f ca="1">IFERROR(__xludf.DUMMYFUNCTION("IMPORTRANGE(""https://docs.google.com/spreadsheets/d/1BmIruG_sIrJLYao_Pdr7zVArWsfoBt2692TMi6x_854/edit?usp=sharing"",""อ่างทอง!J151"")"),0)</f>
        <v>0</v>
      </c>
      <c r="AC73" s="91">
        <f t="shared" ca="1" si="40"/>
        <v>0</v>
      </c>
      <c r="AD73" s="90">
        <f ca="1">IFERROR(__xludf.DUMMYFUNCTION("IMPORTRANGE(""https://docs.google.com/spreadsheets/d/1BmIruG_sIrJLYao_Pdr7zVArWsfoBt2692TMi6x_854/edit?usp=sharing"",""อ่างทอง!I152"")"),0)</f>
        <v>0</v>
      </c>
      <c r="AE73" s="90">
        <f ca="1">IFERROR(__xludf.DUMMYFUNCTION("IMPORTRANGE(""https://docs.google.com/spreadsheets/d/1BmIruG_sIrJLYao_Pdr7zVArWsfoBt2692TMi6x_854/edit?usp=sharing"",""อ่างทอง!I153"")"),0)</f>
        <v>0</v>
      </c>
      <c r="AF73" s="90">
        <f ca="1">IFERROR(__xludf.DUMMYFUNCTION("IMPORTRANGE(""https://docs.google.com/spreadsheets/d/1BmIruG_sIrJLYao_Pdr7zVArWsfoBt2692TMi6x_854/edit?usp=sharing"",""อ่างทอง!J152"")"),0)</f>
        <v>0</v>
      </c>
      <c r="AG73" s="91">
        <f t="shared" ca="1" si="42"/>
        <v>0</v>
      </c>
      <c r="AH73" s="90">
        <f ca="1">IFERROR(__xludf.DUMMYFUNCTION("IMPORTRANGE(""https://docs.google.com/spreadsheets/d/1BmIruG_sIrJLYao_Pdr7zVArWsfoBt2692TMi6x_854/edit?usp=sharing"",""อ่างทอง!J153"")"),0)</f>
        <v>0</v>
      </c>
      <c r="AI73" s="91">
        <f t="shared" ca="1" si="43"/>
        <v>0</v>
      </c>
      <c r="AJ73" s="90">
        <f ca="1">IFERROR(__xludf.DUMMYFUNCTION("IMPORTRANGE(""https://docs.google.com/spreadsheets/d/1BmIruG_sIrJLYao_Pdr7zVArWsfoBt2692TMi6x_854/edit?usp=sharing"",""อ่างทอง!I154"")"),0)</f>
        <v>0</v>
      </c>
      <c r="AK73" s="90">
        <f ca="1">IFERROR(__xludf.DUMMYFUNCTION("IMPORTRANGE(""https://docs.google.com/spreadsheets/d/1BmIruG_sIrJLYao_Pdr7zVArWsfoBt2692TMi6x_854/edit?usp=sharing"",""อ่างทอง!J154"")"),0)</f>
        <v>0</v>
      </c>
      <c r="AL73" s="91">
        <f t="shared" ca="1" si="45"/>
        <v>0</v>
      </c>
    </row>
    <row r="74" spans="1:38" ht="21" customHeight="1" x14ac:dyDescent="0.3">
      <c r="A74" s="696" t="s">
        <v>102</v>
      </c>
      <c r="B74" s="662"/>
      <c r="C74" s="161">
        <f t="shared" ca="1" si="27"/>
        <v>597100</v>
      </c>
      <c r="D74" s="161">
        <f t="shared" ref="D74:I74" ca="1" si="59">SUM(D75:D88)</f>
        <v>597100</v>
      </c>
      <c r="E74" s="161">
        <f t="shared" ca="1" si="59"/>
        <v>254600</v>
      </c>
      <c r="F74" s="161">
        <f t="shared" ca="1" si="59"/>
        <v>342500</v>
      </c>
      <c r="G74" s="161">
        <f t="shared" ca="1" si="59"/>
        <v>0</v>
      </c>
      <c r="H74" s="161">
        <f t="shared" ca="1" si="59"/>
        <v>562100</v>
      </c>
      <c r="I74" s="161">
        <f t="shared" ca="1" si="59"/>
        <v>0</v>
      </c>
      <c r="J74" s="161">
        <f t="shared" ca="1" si="29"/>
        <v>481050.49</v>
      </c>
      <c r="K74" s="162">
        <f t="shared" ca="1" si="30"/>
        <v>80.56447663707921</v>
      </c>
      <c r="L74" s="161">
        <f ca="1">SUM(L75:L88)</f>
        <v>481050.49</v>
      </c>
      <c r="M74" s="94">
        <f t="shared" ca="1" si="31"/>
        <v>80.56447663707921</v>
      </c>
      <c r="N74" s="94">
        <f t="shared" ca="1" si="32"/>
        <v>85.580944671766588</v>
      </c>
      <c r="O74" s="93">
        <f ca="1">SUM(O75:O88)</f>
        <v>0</v>
      </c>
      <c r="P74" s="93">
        <f t="shared" ca="1" si="33"/>
        <v>0</v>
      </c>
      <c r="Q74" s="94">
        <f t="shared" ca="1" si="34"/>
        <v>0</v>
      </c>
      <c r="R74" s="93">
        <f t="shared" ref="R74:T74" ca="1" si="60">SUM(R75:R88)</f>
        <v>959020</v>
      </c>
      <c r="S74" s="93">
        <f t="shared" ca="1" si="60"/>
        <v>959020</v>
      </c>
      <c r="T74" s="93">
        <f t="shared" ca="1" si="60"/>
        <v>123850</v>
      </c>
      <c r="U74" s="94">
        <f t="shared" ca="1" si="36"/>
        <v>12.914224937957499</v>
      </c>
      <c r="V74" s="94">
        <f t="shared" ca="1" si="37"/>
        <v>12.914224937957499</v>
      </c>
      <c r="W74" s="52">
        <f t="shared" ref="W74:Z74" ca="1" si="61">SUM(W75:W88)</f>
        <v>0</v>
      </c>
      <c r="X74" s="52">
        <f t="shared" ca="1" si="61"/>
        <v>50</v>
      </c>
      <c r="Y74" s="52">
        <f t="shared" ca="1" si="61"/>
        <v>5</v>
      </c>
      <c r="Z74" s="52">
        <f t="shared" ca="1" si="61"/>
        <v>50</v>
      </c>
      <c r="AA74" s="54">
        <f t="shared" ca="1" si="39"/>
        <v>100</v>
      </c>
      <c r="AB74" s="52">
        <f ca="1">SUM(AB75:AB88)</f>
        <v>5</v>
      </c>
      <c r="AC74" s="54">
        <f t="shared" ca="1" si="40"/>
        <v>100</v>
      </c>
      <c r="AD74" s="52">
        <f t="shared" ref="AD74:AF74" ca="1" si="62">SUM(AD75:AD88)</f>
        <v>200</v>
      </c>
      <c r="AE74" s="52">
        <f t="shared" ca="1" si="62"/>
        <v>20</v>
      </c>
      <c r="AF74" s="52">
        <f t="shared" ca="1" si="62"/>
        <v>160</v>
      </c>
      <c r="AG74" s="54">
        <f t="shared" ca="1" si="42"/>
        <v>80</v>
      </c>
      <c r="AH74" s="52">
        <f ca="1">SUM(AH75:AH88)</f>
        <v>16</v>
      </c>
      <c r="AI74" s="54">
        <f t="shared" ca="1" si="43"/>
        <v>80</v>
      </c>
      <c r="AJ74" s="52">
        <f t="shared" ref="AJ74:AK74" ca="1" si="63">SUM(AJ75:AJ88)</f>
        <v>5</v>
      </c>
      <c r="AK74" s="52">
        <f t="shared" ca="1" si="63"/>
        <v>0</v>
      </c>
      <c r="AL74" s="54">
        <f t="shared" ca="1" si="45"/>
        <v>0</v>
      </c>
    </row>
    <row r="75" spans="1:38" ht="21" customHeight="1" x14ac:dyDescent="0.3">
      <c r="A75" s="147">
        <v>1</v>
      </c>
      <c r="B75" s="148" t="s">
        <v>103</v>
      </c>
      <c r="C75" s="149">
        <f t="shared" ca="1" si="27"/>
        <v>0</v>
      </c>
      <c r="D75" s="150">
        <f t="shared" ref="D75:D88" ca="1" si="64">+E75+F75</f>
        <v>0</v>
      </c>
      <c r="E75" s="151">
        <f ca="1">IFERROR(__xludf.DUMMYFUNCTION("IMPORTRANGE(""https://docs.google.com/spreadsheets/d/1-uDff_7J0KD5mKrp0Vvzr7lt3OU09vwQwhkpOPPYv2Y/edit?usp=sharing"",""งบพรบ!BR75"")"),0)</f>
        <v>0</v>
      </c>
      <c r="F75" s="151">
        <f ca="1">IFERROR(__xludf.DUMMYFUNCTION("IMPORTRANGE(""https://docs.google.com/spreadsheets/d/1-uDff_7J0KD5mKrp0Vvzr7lt3OU09vwQwhkpOPPYv2Y/edit?usp=sharing"",""งบพรบ!BS75"")"),0)</f>
        <v>0</v>
      </c>
      <c r="G75" s="151">
        <f ca="1">IFERROR(__xludf.DUMMYFUNCTION("IMPORTRANGE(""https://docs.google.com/spreadsheets/d/1-uDff_7J0KD5mKrp0Vvzr7lt3OU09vwQwhkpOPPYv2Y/edit?usp=sharing"",""งบพรบ!BT75"")"),0)</f>
        <v>0</v>
      </c>
      <c r="H75" s="151">
        <f ca="1">IFERROR(__xludf.DUMMYFUNCTION("IMPORTRANGE(""https://docs.google.com/spreadsheets/d/1-uDff_7J0KD5mKrp0Vvzr7lt3OU09vwQwhkpOPPYv2Y/edit?usp=sharing"",""งบพรบ!BV75"")"),0)</f>
        <v>0</v>
      </c>
      <c r="I75" s="151">
        <f ca="1">IFERROR(__xludf.DUMMYFUNCTION("IMPORTRANGE(""https://docs.google.com/spreadsheets/d/1-uDff_7J0KD5mKrp0Vvzr7lt3OU09vwQwhkpOPPYv2Y/edit?usp=sharing"",""งบพรบ!BW75"")"),0)</f>
        <v>0</v>
      </c>
      <c r="J75" s="151">
        <f t="shared" ca="1" si="29"/>
        <v>0</v>
      </c>
      <c r="K75" s="154">
        <f t="shared" ca="1" si="30"/>
        <v>0</v>
      </c>
      <c r="L75" s="151">
        <f ca="1">IFERROR(__xludf.DUMMYFUNCTION("IMPORTRANGE(""https://docs.google.com/spreadsheets/d/1-uDff_7J0KD5mKrp0Vvzr7lt3OU09vwQwhkpOPPYv2Y/edit?usp=sharing"",""งบพรบ!BX75"")"),0)</f>
        <v>0</v>
      </c>
      <c r="M75" s="68">
        <f t="shared" ca="1" si="31"/>
        <v>0</v>
      </c>
      <c r="N75" s="68">
        <f t="shared" ca="1" si="32"/>
        <v>0</v>
      </c>
      <c r="O75" s="67">
        <f ca="1">IFERROR(__xludf.DUMMYFUNCTION("IMPORTRANGE(""https://docs.google.com/spreadsheets/d/1-uDff_7J0KD5mKrp0Vvzr7lt3OU09vwQwhkpOPPYv2Y/edit?usp=sharing"",""งบพรบ!BY75"")"),0)</f>
        <v>0</v>
      </c>
      <c r="P75" s="67">
        <f t="shared" ca="1" si="33"/>
        <v>0</v>
      </c>
      <c r="Q75" s="68">
        <f t="shared" ca="1" si="34"/>
        <v>0</v>
      </c>
      <c r="R75" s="67">
        <f ca="1">IFERROR(__xludf.DUMMYFUNCTION("IMPORTRANGE(""https://docs.google.com/spreadsheets/d/1kKUcYdkIfrgTSj8iHHHB2MD2FAtwyyocFgqGQn6ADyI/edit?usp=sharing"",""กระบี่!Q139"")"),0)</f>
        <v>0</v>
      </c>
      <c r="S75" s="67">
        <f ca="1">IFERROR(__xludf.DUMMYFUNCTION("IMPORTRANGE(""https://docs.google.com/spreadsheets/d/1kKUcYdkIfrgTSj8iHHHB2MD2FAtwyyocFgqGQn6ADyI/edit?usp=sharing"",""กระบี่!R139"")"),0)</f>
        <v>0</v>
      </c>
      <c r="T75" s="67">
        <f ca="1">IFERROR(__xludf.DUMMYFUNCTION("IMPORTRANGE(""https://docs.google.com/spreadsheets/d/1kKUcYdkIfrgTSj8iHHHB2MD2FAtwyyocFgqGQn6ADyI/edit?usp=sharing"",""กระบี่!S139"")"),0)</f>
        <v>0</v>
      </c>
      <c r="U75" s="68">
        <f t="shared" ca="1" si="36"/>
        <v>0</v>
      </c>
      <c r="V75" s="68">
        <f t="shared" ca="1" si="37"/>
        <v>0</v>
      </c>
      <c r="W75" s="63">
        <f ca="1">IFERROR(__xludf.DUMMYFUNCTION("IMPORTRANGE(""https://docs.google.com/spreadsheets/d/1kKUcYdkIfrgTSj8iHHHB2MD2FAtwyyocFgqGQn6ADyI/edit?usp=sharing"",""กระบี่!J149"")"),0)</f>
        <v>0</v>
      </c>
      <c r="X75" s="63">
        <f ca="1">IFERROR(__xludf.DUMMYFUNCTION("IMPORTRANGE(""https://docs.google.com/spreadsheets/d/1kKUcYdkIfrgTSj8iHHHB2MD2FAtwyyocFgqGQn6ADyI/edit?usp=sharing"",""กระบี่!I150"")"),0)</f>
        <v>0</v>
      </c>
      <c r="Y75" s="63">
        <f ca="1">IFERROR(__xludf.DUMMYFUNCTION("IMPORTRANGE(""https://docs.google.com/spreadsheets/d/1kKUcYdkIfrgTSj8iHHHB2MD2FAtwyyocFgqGQn6ADyI/edit?usp=sharing"",""กระบี่!I151"")"),0)</f>
        <v>0</v>
      </c>
      <c r="Z75" s="63">
        <f ca="1">IFERROR(__xludf.DUMMYFUNCTION("IMPORTRANGE(""https://docs.google.com/spreadsheets/d/1kKUcYdkIfrgTSj8iHHHB2MD2FAtwyyocFgqGQn6ADyI/edit?usp=sharing"",""กระบี่!J150"")"),0)</f>
        <v>0</v>
      </c>
      <c r="AA75" s="69">
        <f t="shared" ca="1" si="39"/>
        <v>0</v>
      </c>
      <c r="AB75" s="63">
        <f ca="1">IFERROR(__xludf.DUMMYFUNCTION("IMPORTRANGE(""https://docs.google.com/spreadsheets/d/1kKUcYdkIfrgTSj8iHHHB2MD2FAtwyyocFgqGQn6ADyI/edit?usp=sharing"",""กระบี่!J151"")"),0)</f>
        <v>0</v>
      </c>
      <c r="AC75" s="69">
        <f t="shared" ca="1" si="40"/>
        <v>0</v>
      </c>
      <c r="AD75" s="63">
        <f ca="1">IFERROR(__xludf.DUMMYFUNCTION("IMPORTRANGE(""https://docs.google.com/spreadsheets/d/1kKUcYdkIfrgTSj8iHHHB2MD2FAtwyyocFgqGQn6ADyI/edit?usp=sharing"",""กระบี่!I152"")"),0)</f>
        <v>0</v>
      </c>
      <c r="AE75" s="63">
        <f ca="1">IFERROR(__xludf.DUMMYFUNCTION("IMPORTRANGE(""https://docs.google.com/spreadsheets/d/1kKUcYdkIfrgTSj8iHHHB2MD2FAtwyyocFgqGQn6ADyI/edit?usp=sharing"",""กระบี่!I153"")"),0)</f>
        <v>0</v>
      </c>
      <c r="AF75" s="63">
        <f ca="1">IFERROR(__xludf.DUMMYFUNCTION("IMPORTRANGE(""https://docs.google.com/spreadsheets/d/1kKUcYdkIfrgTSj8iHHHB2MD2FAtwyyocFgqGQn6ADyI/edit?usp=sharing"",""กระบี่!J152"")"),0)</f>
        <v>0</v>
      </c>
      <c r="AG75" s="69">
        <f t="shared" ca="1" si="42"/>
        <v>0</v>
      </c>
      <c r="AH75" s="63">
        <f ca="1">IFERROR(__xludf.DUMMYFUNCTION("IMPORTRANGE(""https://docs.google.com/spreadsheets/d/1kKUcYdkIfrgTSj8iHHHB2MD2FAtwyyocFgqGQn6ADyI/edit?usp=sharing"",""กระบี่!J153"")"),0)</f>
        <v>0</v>
      </c>
      <c r="AI75" s="69">
        <f t="shared" ca="1" si="43"/>
        <v>0</v>
      </c>
      <c r="AJ75" s="63">
        <f ca="1">IFERROR(__xludf.DUMMYFUNCTION("IMPORTRANGE(""https://docs.google.com/spreadsheets/d/1kKUcYdkIfrgTSj8iHHHB2MD2FAtwyyocFgqGQn6ADyI/edit?usp=sharing"",""กระบี่!I154"")"),0)</f>
        <v>0</v>
      </c>
      <c r="AK75" s="63">
        <f ca="1">IFERROR(__xludf.DUMMYFUNCTION("IMPORTRANGE(""https://docs.google.com/spreadsheets/d/1kKUcYdkIfrgTSj8iHHHB2MD2FAtwyyocFgqGQn6ADyI/edit?usp=sharing"",""กระบี่!J154"")"),0)</f>
        <v>0</v>
      </c>
      <c r="AL75" s="69">
        <f t="shared" ca="1" si="45"/>
        <v>0</v>
      </c>
    </row>
    <row r="76" spans="1:38" ht="21" customHeight="1" x14ac:dyDescent="0.3">
      <c r="A76" s="147">
        <v>2</v>
      </c>
      <c r="B76" s="148" t="s">
        <v>104</v>
      </c>
      <c r="C76" s="149">
        <f t="shared" ca="1" si="27"/>
        <v>111200</v>
      </c>
      <c r="D76" s="150">
        <f t="shared" ca="1" si="64"/>
        <v>111200</v>
      </c>
      <c r="E76" s="151">
        <f ca="1">IFERROR(__xludf.DUMMYFUNCTION("IMPORTRANGE(""https://docs.google.com/spreadsheets/d/1-uDff_7J0KD5mKrp0Vvzr7lt3OU09vwQwhkpOPPYv2Y/edit?usp=sharing"",""งบพรบ!BR76"")"),79600)</f>
        <v>79600</v>
      </c>
      <c r="F76" s="151">
        <f ca="1">IFERROR(__xludf.DUMMYFUNCTION("IMPORTRANGE(""https://docs.google.com/spreadsheets/d/1-uDff_7J0KD5mKrp0Vvzr7lt3OU09vwQwhkpOPPYv2Y/edit?usp=sharing"",""งบพรบ!BS76"")"),31600)</f>
        <v>31600</v>
      </c>
      <c r="G76" s="151">
        <f ca="1">IFERROR(__xludf.DUMMYFUNCTION("IMPORTRANGE(""https://docs.google.com/spreadsheets/d/1-uDff_7J0KD5mKrp0Vvzr7lt3OU09vwQwhkpOPPYv2Y/edit?usp=sharing"",""งบพรบ!BT76"")"),0)</f>
        <v>0</v>
      </c>
      <c r="H76" s="151">
        <f ca="1">IFERROR(__xludf.DUMMYFUNCTION("IMPORTRANGE(""https://docs.google.com/spreadsheets/d/1-uDff_7J0KD5mKrp0Vvzr7lt3OU09vwQwhkpOPPYv2Y/edit?usp=sharing"",""งบพรบ!BV76"")"),106200)</f>
        <v>106200</v>
      </c>
      <c r="I76" s="151">
        <f ca="1">IFERROR(__xludf.DUMMYFUNCTION("IMPORTRANGE(""https://docs.google.com/spreadsheets/d/1-uDff_7J0KD5mKrp0Vvzr7lt3OU09vwQwhkpOPPYv2Y/edit?usp=sharing"",""งบพรบ!BW76"")"),0)</f>
        <v>0</v>
      </c>
      <c r="J76" s="151">
        <f t="shared" ca="1" si="29"/>
        <v>103145</v>
      </c>
      <c r="K76" s="154">
        <f t="shared" ca="1" si="30"/>
        <v>92.756294964028783</v>
      </c>
      <c r="L76" s="151">
        <f ca="1">IFERROR(__xludf.DUMMYFUNCTION("IMPORTRANGE(""https://docs.google.com/spreadsheets/d/1-uDff_7J0KD5mKrp0Vvzr7lt3OU09vwQwhkpOPPYv2Y/edit?usp=sharing"",""งบพรบ!BX76"")"),103145)</f>
        <v>103145</v>
      </c>
      <c r="M76" s="68">
        <f t="shared" ca="1" si="31"/>
        <v>92.756294964028783</v>
      </c>
      <c r="N76" s="68">
        <f t="shared" ca="1" si="32"/>
        <v>97.123352165725052</v>
      </c>
      <c r="O76" s="67">
        <f ca="1">IFERROR(__xludf.DUMMYFUNCTION("IMPORTRANGE(""https://docs.google.com/spreadsheets/d/1-uDff_7J0KD5mKrp0Vvzr7lt3OU09vwQwhkpOPPYv2Y/edit?usp=sharing"",""งบพรบ!BY76"")"),0)</f>
        <v>0</v>
      </c>
      <c r="P76" s="67">
        <f t="shared" ca="1" si="33"/>
        <v>0</v>
      </c>
      <c r="Q76" s="68">
        <f t="shared" ca="1" si="34"/>
        <v>0</v>
      </c>
      <c r="R76" s="67">
        <f ca="1">IFERROR(__xludf.DUMMYFUNCTION("IMPORTRANGE(""https://docs.google.com/spreadsheets/d/1GwtLaSlNZkLk7iDqcyZz22giiy40b_usZZBXYciEN1U/edit?usp=sharing"",""ชุมพร!Q139"")"),44860)</f>
        <v>44860</v>
      </c>
      <c r="S76" s="67">
        <f ca="1">IFERROR(__xludf.DUMMYFUNCTION("IMPORTRANGE(""https://docs.google.com/spreadsheets/d/1GwtLaSlNZkLk7iDqcyZz22giiy40b_usZZBXYciEN1U/edit?usp=sharing"",""ชุมพร!R139"")"),44860)</f>
        <v>44860</v>
      </c>
      <c r="T76" s="67">
        <f ca="1">IFERROR(__xludf.DUMMYFUNCTION("IMPORTRANGE(""https://docs.google.com/spreadsheets/d/1GwtLaSlNZkLk7iDqcyZz22giiy40b_usZZBXYciEN1U/edit?usp=sharing"",""ชุมพร!S139"")"),10850)</f>
        <v>10850</v>
      </c>
      <c r="U76" s="68">
        <f t="shared" ca="1" si="36"/>
        <v>24.186357556843515</v>
      </c>
      <c r="V76" s="68">
        <f t="shared" ca="1" si="37"/>
        <v>24.186357556843515</v>
      </c>
      <c r="W76" s="78">
        <f ca="1">IFERROR(__xludf.DUMMYFUNCTION("IMPORTRANGE(""https://docs.google.com/spreadsheets/d/1GwtLaSlNZkLk7iDqcyZz22giiy40b_usZZBXYciEN1U/edit?usp=sharing"",""ชุมพร!J149"")"),0)</f>
        <v>0</v>
      </c>
      <c r="X76" s="78">
        <f ca="1">IFERROR(__xludf.DUMMYFUNCTION("IMPORTRANGE(""https://docs.google.com/spreadsheets/d/1GwtLaSlNZkLk7iDqcyZz22giiy40b_usZZBXYciEN1U/edit?usp=sharing"",""ชุมพร!I150"")"),0)</f>
        <v>0</v>
      </c>
      <c r="Y76" s="78">
        <f ca="1">IFERROR(__xludf.DUMMYFUNCTION("IMPORTRANGE(""https://docs.google.com/spreadsheets/d/1GwtLaSlNZkLk7iDqcyZz22giiy40b_usZZBXYciEN1U/edit?usp=sharing"",""ชุมพร!I151"")"),0)</f>
        <v>0</v>
      </c>
      <c r="Z76" s="78">
        <f ca="1">IFERROR(__xludf.DUMMYFUNCTION("IMPORTRANGE(""https://docs.google.com/spreadsheets/d/1GwtLaSlNZkLk7iDqcyZz22giiy40b_usZZBXYciEN1U/edit?usp=sharing"",""ชุมพร!J150"")"),0)</f>
        <v>0</v>
      </c>
      <c r="AA76" s="79">
        <f t="shared" ca="1" si="39"/>
        <v>0</v>
      </c>
      <c r="AB76" s="78">
        <f ca="1">IFERROR(__xludf.DUMMYFUNCTION("IMPORTRANGE(""https://docs.google.com/spreadsheets/d/1GwtLaSlNZkLk7iDqcyZz22giiy40b_usZZBXYciEN1U/edit?usp=sharing"",""ชุมพร!J151"")"),0)</f>
        <v>0</v>
      </c>
      <c r="AC76" s="79">
        <f t="shared" ca="1" si="40"/>
        <v>0</v>
      </c>
      <c r="AD76" s="78">
        <f ca="1">IFERROR(__xludf.DUMMYFUNCTION("IMPORTRANGE(""https://docs.google.com/spreadsheets/d/1GwtLaSlNZkLk7iDqcyZz22giiy40b_usZZBXYciEN1U/edit?usp=sharing"",""ชุมพร!I152"")"),20)</f>
        <v>20</v>
      </c>
      <c r="AE76" s="78">
        <f ca="1">IFERROR(__xludf.DUMMYFUNCTION("IMPORTRANGE(""https://docs.google.com/spreadsheets/d/1GwtLaSlNZkLk7iDqcyZz22giiy40b_usZZBXYciEN1U/edit?usp=sharing"",""ชุมพร!I153"")"),2)</f>
        <v>2</v>
      </c>
      <c r="AF76" s="78">
        <f ca="1">IFERROR(__xludf.DUMMYFUNCTION("IMPORTRANGE(""https://docs.google.com/spreadsheets/d/1GwtLaSlNZkLk7iDqcyZz22giiy40b_usZZBXYciEN1U/edit?usp=sharing"",""ชุมพร!J152"")"),20)</f>
        <v>20</v>
      </c>
      <c r="AG76" s="79">
        <f t="shared" ca="1" si="42"/>
        <v>100</v>
      </c>
      <c r="AH76" s="78">
        <f ca="1">IFERROR(__xludf.DUMMYFUNCTION("IMPORTRANGE(""https://docs.google.com/spreadsheets/d/1GwtLaSlNZkLk7iDqcyZz22giiy40b_usZZBXYciEN1U/edit?usp=sharing"",""ชุมพร!J153"")"),2)</f>
        <v>2</v>
      </c>
      <c r="AI76" s="79">
        <f t="shared" ca="1" si="43"/>
        <v>100</v>
      </c>
      <c r="AJ76" s="78">
        <f ca="1">IFERROR(__xludf.DUMMYFUNCTION("IMPORTRANGE(""https://docs.google.com/spreadsheets/d/1GwtLaSlNZkLk7iDqcyZz22giiy40b_usZZBXYciEN1U/edit?usp=sharing"",""ชุมพร!I154"")"),0)</f>
        <v>0</v>
      </c>
      <c r="AK76" s="78">
        <f ca="1">IFERROR(__xludf.DUMMYFUNCTION("IMPORTRANGE(""https://docs.google.com/spreadsheets/d/1GwtLaSlNZkLk7iDqcyZz22giiy40b_usZZBXYciEN1U/edit?usp=sharing"",""ชุมพร!J154"")"),0)</f>
        <v>0</v>
      </c>
      <c r="AL76" s="79">
        <f t="shared" ca="1" si="45"/>
        <v>0</v>
      </c>
    </row>
    <row r="77" spans="1:38" ht="21" customHeight="1" x14ac:dyDescent="0.3">
      <c r="A77" s="147">
        <v>3</v>
      </c>
      <c r="B77" s="148" t="s">
        <v>105</v>
      </c>
      <c r="C77" s="149">
        <f t="shared" ca="1" si="27"/>
        <v>137700</v>
      </c>
      <c r="D77" s="150">
        <f t="shared" ca="1" si="64"/>
        <v>137700</v>
      </c>
      <c r="E77" s="151">
        <f ca="1">IFERROR(__xludf.DUMMYFUNCTION("IMPORTRANGE(""https://docs.google.com/spreadsheets/d/1-uDff_7J0KD5mKrp0Vvzr7lt3OU09vwQwhkpOPPYv2Y/edit?usp=sharing"",""งบพรบ!BR77"")"),87800)</f>
        <v>87800</v>
      </c>
      <c r="F77" s="151">
        <f ca="1">IFERROR(__xludf.DUMMYFUNCTION("IMPORTRANGE(""https://docs.google.com/spreadsheets/d/1-uDff_7J0KD5mKrp0Vvzr7lt3OU09vwQwhkpOPPYv2Y/edit?usp=sharing"",""งบพรบ!BS77"")"),49900)</f>
        <v>49900</v>
      </c>
      <c r="G77" s="151">
        <f ca="1">IFERROR(__xludf.DUMMYFUNCTION("IMPORTRANGE(""https://docs.google.com/spreadsheets/d/1-uDff_7J0KD5mKrp0Vvzr7lt3OU09vwQwhkpOPPYv2Y/edit?usp=sharing"",""งบพรบ!BT77"")"),0)</f>
        <v>0</v>
      </c>
      <c r="H77" s="151">
        <f ca="1">IFERROR(__xludf.DUMMYFUNCTION("IMPORTRANGE(""https://docs.google.com/spreadsheets/d/1-uDff_7J0KD5mKrp0Vvzr7lt3OU09vwQwhkpOPPYv2Y/edit?usp=sharing"",""งบพรบ!BV77"")"),132700)</f>
        <v>132700</v>
      </c>
      <c r="I77" s="151">
        <f ca="1">IFERROR(__xludf.DUMMYFUNCTION("IMPORTRANGE(""https://docs.google.com/spreadsheets/d/1-uDff_7J0KD5mKrp0Vvzr7lt3OU09vwQwhkpOPPYv2Y/edit?usp=sharing"",""งบพรบ!BW77"")"),0)</f>
        <v>0</v>
      </c>
      <c r="J77" s="151">
        <f t="shared" ca="1" si="29"/>
        <v>116260.49</v>
      </c>
      <c r="K77" s="154">
        <f t="shared" ca="1" si="30"/>
        <v>84.430275962236749</v>
      </c>
      <c r="L77" s="151">
        <f ca="1">IFERROR(__xludf.DUMMYFUNCTION("IMPORTRANGE(""https://docs.google.com/spreadsheets/d/1-uDff_7J0KD5mKrp0Vvzr7lt3OU09vwQwhkpOPPYv2Y/edit?usp=sharing"",""งบพรบ!BX77"")"),116260.49)</f>
        <v>116260.49</v>
      </c>
      <c r="M77" s="68">
        <f t="shared" ca="1" si="31"/>
        <v>84.430275962236749</v>
      </c>
      <c r="N77" s="68">
        <f t="shared" ca="1" si="32"/>
        <v>87.611522230595327</v>
      </c>
      <c r="O77" s="67">
        <f ca="1">IFERROR(__xludf.DUMMYFUNCTION("IMPORTRANGE(""https://docs.google.com/spreadsheets/d/1-uDff_7J0KD5mKrp0Vvzr7lt3OU09vwQwhkpOPPYv2Y/edit?usp=sharing"",""งบพรบ!BY77"")"),0)</f>
        <v>0</v>
      </c>
      <c r="P77" s="67">
        <f t="shared" ca="1" si="33"/>
        <v>0</v>
      </c>
      <c r="Q77" s="68">
        <f t="shared" ca="1" si="34"/>
        <v>0</v>
      </c>
      <c r="R77" s="67">
        <f ca="1">IFERROR(__xludf.DUMMYFUNCTION("IMPORTRANGE(""https://docs.google.com/spreadsheets/d/16pAz3pOhQEZBhvFNMa5KGgZS6iKWpsKX0pg6tQmwFpo/edit?usp=sharing"",""ตรัง!Q139"")"),174860)</f>
        <v>174860</v>
      </c>
      <c r="S77" s="67">
        <f ca="1">IFERROR(__xludf.DUMMYFUNCTION("IMPORTRANGE(""https://docs.google.com/spreadsheets/d/16pAz3pOhQEZBhvFNMa5KGgZS6iKWpsKX0pg6tQmwFpo/edit?usp=sharing"",""ตรัง!R139"")"),174860)</f>
        <v>174860</v>
      </c>
      <c r="T77" s="67">
        <f ca="1">IFERROR(__xludf.DUMMYFUNCTION("IMPORTRANGE(""https://docs.google.com/spreadsheets/d/16pAz3pOhQEZBhvFNMa5KGgZS6iKWpsKX0pg6tQmwFpo/edit?usp=sharing"",""ตรัง!S139"")"),10120)</f>
        <v>10120</v>
      </c>
      <c r="U77" s="68">
        <f t="shared" ca="1" si="36"/>
        <v>5.7874871325631938</v>
      </c>
      <c r="V77" s="68">
        <f t="shared" ca="1" si="37"/>
        <v>5.7874871325631938</v>
      </c>
      <c r="W77" s="78">
        <f ca="1">IFERROR(__xludf.DUMMYFUNCTION("IMPORTRANGE(""https://docs.google.com/spreadsheets/d/16pAz3pOhQEZBhvFNMa5KGgZS6iKWpsKX0pg6tQmwFpo/edit?usp=sharing"",""ตรัง!J149"")"),0)</f>
        <v>0</v>
      </c>
      <c r="X77" s="78">
        <f ca="1">IFERROR(__xludf.DUMMYFUNCTION("IMPORTRANGE(""https://docs.google.com/spreadsheets/d/16pAz3pOhQEZBhvFNMa5KGgZS6iKWpsKX0pg6tQmwFpo/edit?usp=sharing"",""ตรัง!I150"")"),10)</f>
        <v>10</v>
      </c>
      <c r="Y77" s="78">
        <f ca="1">IFERROR(__xludf.DUMMYFUNCTION("IMPORTRANGE(""https://docs.google.com/spreadsheets/d/16pAz3pOhQEZBhvFNMa5KGgZS6iKWpsKX0pg6tQmwFpo/edit?usp=sharing"",""ตรัง!I151"")"),1)</f>
        <v>1</v>
      </c>
      <c r="Z77" s="78">
        <f ca="1">IFERROR(__xludf.DUMMYFUNCTION("IMPORTRANGE(""https://docs.google.com/spreadsheets/d/16pAz3pOhQEZBhvFNMa5KGgZS6iKWpsKX0pg6tQmwFpo/edit?usp=sharing"",""ตรัง!J150"")"),10)</f>
        <v>10</v>
      </c>
      <c r="AA77" s="79">
        <f t="shared" ca="1" si="39"/>
        <v>100</v>
      </c>
      <c r="AB77" s="78">
        <f ca="1">IFERROR(__xludf.DUMMYFUNCTION("IMPORTRANGE(""https://docs.google.com/spreadsheets/d/16pAz3pOhQEZBhvFNMa5KGgZS6iKWpsKX0pg6tQmwFpo/edit?usp=sharing"",""ตรัง!J151"")"),1)</f>
        <v>1</v>
      </c>
      <c r="AC77" s="79">
        <f t="shared" ca="1" si="40"/>
        <v>100</v>
      </c>
      <c r="AD77" s="78">
        <f ca="1">IFERROR(__xludf.DUMMYFUNCTION("IMPORTRANGE(""https://docs.google.com/spreadsheets/d/16pAz3pOhQEZBhvFNMa5KGgZS6iKWpsKX0pg6tQmwFpo/edit?usp=sharing"",""ตรัง!I152"")"),20)</f>
        <v>20</v>
      </c>
      <c r="AE77" s="78">
        <f ca="1">IFERROR(__xludf.DUMMYFUNCTION("IMPORTRANGE(""https://docs.google.com/spreadsheets/d/16pAz3pOhQEZBhvFNMa5KGgZS6iKWpsKX0pg6tQmwFpo/edit?usp=sharing"",""ตรัง!I153"")"),2)</f>
        <v>2</v>
      </c>
      <c r="AF77" s="78">
        <f ca="1">IFERROR(__xludf.DUMMYFUNCTION("IMPORTRANGE(""https://docs.google.com/spreadsheets/d/16pAz3pOhQEZBhvFNMa5KGgZS6iKWpsKX0pg6tQmwFpo/edit?usp=sharing"",""ตรัง!J152"")"),20)</f>
        <v>20</v>
      </c>
      <c r="AG77" s="79">
        <f t="shared" ca="1" si="42"/>
        <v>100</v>
      </c>
      <c r="AH77" s="78">
        <f ca="1">IFERROR(__xludf.DUMMYFUNCTION("IMPORTRANGE(""https://docs.google.com/spreadsheets/d/16pAz3pOhQEZBhvFNMa5KGgZS6iKWpsKX0pg6tQmwFpo/edit?usp=sharing"",""ตรัง!J153"")"),2)</f>
        <v>2</v>
      </c>
      <c r="AI77" s="79">
        <f t="shared" ca="1" si="43"/>
        <v>100</v>
      </c>
      <c r="AJ77" s="78">
        <f ca="1">IFERROR(__xludf.DUMMYFUNCTION("IMPORTRANGE(""https://docs.google.com/spreadsheets/d/16pAz3pOhQEZBhvFNMa5KGgZS6iKWpsKX0pg6tQmwFpo/edit?usp=sharing"",""ตรัง!I154"")"),1)</f>
        <v>1</v>
      </c>
      <c r="AK77" s="78">
        <f ca="1">IFERROR(__xludf.DUMMYFUNCTION("IMPORTRANGE(""https://docs.google.com/spreadsheets/d/16pAz3pOhQEZBhvFNMa5KGgZS6iKWpsKX0pg6tQmwFpo/edit?usp=sharing"",""ตรัง!J154"")"),0)</f>
        <v>0</v>
      </c>
      <c r="AL77" s="79">
        <f t="shared" ca="1" si="45"/>
        <v>0</v>
      </c>
    </row>
    <row r="78" spans="1:38" ht="21" customHeight="1" x14ac:dyDescent="0.3">
      <c r="A78" s="147">
        <v>4</v>
      </c>
      <c r="B78" s="148" t="s">
        <v>106</v>
      </c>
      <c r="C78" s="149">
        <f t="shared" ca="1" si="27"/>
        <v>135400</v>
      </c>
      <c r="D78" s="150">
        <f t="shared" ca="1" si="64"/>
        <v>135400</v>
      </c>
      <c r="E78" s="151">
        <f ca="1">IFERROR(__xludf.DUMMYFUNCTION("IMPORTRANGE(""https://docs.google.com/spreadsheets/d/1-uDff_7J0KD5mKrp0Vvzr7lt3OU09vwQwhkpOPPYv2Y/edit?usp=sharing"",""งบพรบ!BR78"")"),87200)</f>
        <v>87200</v>
      </c>
      <c r="F78" s="151">
        <f ca="1">IFERROR(__xludf.DUMMYFUNCTION("IMPORTRANGE(""https://docs.google.com/spreadsheets/d/1-uDff_7J0KD5mKrp0Vvzr7lt3OU09vwQwhkpOPPYv2Y/edit?usp=sharing"",""งบพรบ!BS78"")"),48200)</f>
        <v>48200</v>
      </c>
      <c r="G78" s="151">
        <f ca="1">IFERROR(__xludf.DUMMYFUNCTION("IMPORTRANGE(""https://docs.google.com/spreadsheets/d/1-uDff_7J0KD5mKrp0Vvzr7lt3OU09vwQwhkpOPPYv2Y/edit?usp=sharing"",""งบพรบ!BT78"")"),0)</f>
        <v>0</v>
      </c>
      <c r="H78" s="151">
        <f ca="1">IFERROR(__xludf.DUMMYFUNCTION("IMPORTRANGE(""https://docs.google.com/spreadsheets/d/1-uDff_7J0KD5mKrp0Vvzr7lt3OU09vwQwhkpOPPYv2Y/edit?usp=sharing"",""งบพรบ!BV78"")"),130400)</f>
        <v>130400</v>
      </c>
      <c r="I78" s="151">
        <f ca="1">IFERROR(__xludf.DUMMYFUNCTION("IMPORTRANGE(""https://docs.google.com/spreadsheets/d/1-uDff_7J0KD5mKrp0Vvzr7lt3OU09vwQwhkpOPPYv2Y/edit?usp=sharing"",""งบพรบ!BW78"")"),0)</f>
        <v>0</v>
      </c>
      <c r="J78" s="151">
        <f t="shared" ca="1" si="29"/>
        <v>76241</v>
      </c>
      <c r="K78" s="154">
        <f t="shared" ca="1" si="30"/>
        <v>56.307976366322009</v>
      </c>
      <c r="L78" s="151">
        <f ca="1">IFERROR(__xludf.DUMMYFUNCTION("IMPORTRANGE(""https://docs.google.com/spreadsheets/d/1-uDff_7J0KD5mKrp0Vvzr7lt3OU09vwQwhkpOPPYv2Y/edit?usp=sharing"",""งบพรบ!BX78"")"),76241)</f>
        <v>76241</v>
      </c>
      <c r="M78" s="68">
        <f t="shared" ca="1" si="31"/>
        <v>56.307976366322009</v>
      </c>
      <c r="N78" s="68">
        <f t="shared" ca="1" si="32"/>
        <v>58.467024539877301</v>
      </c>
      <c r="O78" s="67">
        <f ca="1">IFERROR(__xludf.DUMMYFUNCTION("IMPORTRANGE(""https://docs.google.com/spreadsheets/d/1-uDff_7J0KD5mKrp0Vvzr7lt3OU09vwQwhkpOPPYv2Y/edit?usp=sharing"",""งบพรบ!BY78"")"),0)</f>
        <v>0</v>
      </c>
      <c r="P78" s="67">
        <f t="shared" ca="1" si="33"/>
        <v>0</v>
      </c>
      <c r="Q78" s="68">
        <f t="shared" ca="1" si="34"/>
        <v>0</v>
      </c>
      <c r="R78" s="67">
        <f ca="1">IFERROR(__xludf.DUMMYFUNCTION("IMPORTRANGE(""https://docs.google.com/spreadsheets/d/1Dj4jcHCTV9JXKCaMoheSXS52JE63kDKyG7bPXnFogHk/edit?usp=sharing"",""นครศรีธรรมราช!Q139"")"),44860)</f>
        <v>44860</v>
      </c>
      <c r="S78" s="67">
        <f ca="1">IFERROR(__xludf.DUMMYFUNCTION("IMPORTRANGE(""https://docs.google.com/spreadsheets/d/1Dj4jcHCTV9JXKCaMoheSXS52JE63kDKyG7bPXnFogHk/edit?usp=sharing"",""นครศรีธรรมราช!R139"")"),44860)</f>
        <v>44860</v>
      </c>
      <c r="T78" s="67">
        <f ca="1">IFERROR(__xludf.DUMMYFUNCTION("IMPORTRANGE(""https://docs.google.com/spreadsheets/d/1Dj4jcHCTV9JXKCaMoheSXS52JE63kDKyG7bPXnFogHk/edit?usp=sharing"",""นครศรีธรรมราช!S139"")"),26000)</f>
        <v>26000</v>
      </c>
      <c r="U78" s="68">
        <f t="shared" ca="1" si="36"/>
        <v>57.958091841283995</v>
      </c>
      <c r="V78" s="68">
        <f t="shared" ca="1" si="37"/>
        <v>57.958091841283995</v>
      </c>
      <c r="W78" s="78">
        <f ca="1">IFERROR(__xludf.DUMMYFUNCTION("IMPORTRANGE(""https://docs.google.com/spreadsheets/d/1Dj4jcHCTV9JXKCaMoheSXS52JE63kDKyG7bPXnFogHk/edit?usp=sharing"",""นครศรีธรรมราช!J149"")"),0)</f>
        <v>0</v>
      </c>
      <c r="X78" s="78">
        <f ca="1">IFERROR(__xludf.DUMMYFUNCTION("IMPORTRANGE(""https://docs.google.com/spreadsheets/d/1Dj4jcHCTV9JXKCaMoheSXS52JE63kDKyG7bPXnFogHk/edit?usp=sharing"",""นครศรีธรรมราช!I150"")"),0)</f>
        <v>0</v>
      </c>
      <c r="Y78" s="78">
        <f ca="1">IFERROR(__xludf.DUMMYFUNCTION("IMPORTRANGE(""https://docs.google.com/spreadsheets/d/1Dj4jcHCTV9JXKCaMoheSXS52JE63kDKyG7bPXnFogHk/edit?usp=sharing"",""นครศรีธรรมราช!I151"")"),0)</f>
        <v>0</v>
      </c>
      <c r="Z78" s="78">
        <f ca="1">IFERROR(__xludf.DUMMYFUNCTION("IMPORTRANGE(""https://docs.google.com/spreadsheets/d/1Dj4jcHCTV9JXKCaMoheSXS52JE63kDKyG7bPXnFogHk/edit?usp=sharing"",""นครศรีธรรมราช!J150"")"),0)</f>
        <v>0</v>
      </c>
      <c r="AA78" s="79">
        <f t="shared" ca="1" si="39"/>
        <v>0</v>
      </c>
      <c r="AB78" s="78">
        <f ca="1">IFERROR(__xludf.DUMMYFUNCTION("IMPORTRANGE(""https://docs.google.com/spreadsheets/d/1Dj4jcHCTV9JXKCaMoheSXS52JE63kDKyG7bPXnFogHk/edit?usp=sharing"",""นครศรีธรรมราช!J151"")"),0)</f>
        <v>0</v>
      </c>
      <c r="AC78" s="79">
        <f t="shared" ca="1" si="40"/>
        <v>0</v>
      </c>
      <c r="AD78" s="78">
        <f ca="1">IFERROR(__xludf.DUMMYFUNCTION("IMPORTRANGE(""https://docs.google.com/spreadsheets/d/1Dj4jcHCTV9JXKCaMoheSXS52JE63kDKyG7bPXnFogHk/edit?usp=sharing"",""นครศรีธรรมราช!I152"")"),40)</f>
        <v>40</v>
      </c>
      <c r="AE78" s="78">
        <f ca="1">IFERROR(__xludf.DUMMYFUNCTION("IMPORTRANGE(""https://docs.google.com/spreadsheets/d/1Dj4jcHCTV9JXKCaMoheSXS52JE63kDKyG7bPXnFogHk/edit?usp=sharing"",""นครศรีธรรมราช!I153"")"),4)</f>
        <v>4</v>
      </c>
      <c r="AF78" s="78">
        <f ca="1">IFERROR(__xludf.DUMMYFUNCTION("IMPORTRANGE(""https://docs.google.com/spreadsheets/d/1Dj4jcHCTV9JXKCaMoheSXS52JE63kDKyG7bPXnFogHk/edit?usp=sharing"",""นครศรีธรรมราช!J152"")"),0)</f>
        <v>0</v>
      </c>
      <c r="AG78" s="79">
        <f t="shared" ca="1" si="42"/>
        <v>0</v>
      </c>
      <c r="AH78" s="78">
        <f ca="1">IFERROR(__xludf.DUMMYFUNCTION("IMPORTRANGE(""https://docs.google.com/spreadsheets/d/1Dj4jcHCTV9JXKCaMoheSXS52JE63kDKyG7bPXnFogHk/edit?usp=sharing"",""นครศรีธรรมราช!J153"")"),0)</f>
        <v>0</v>
      </c>
      <c r="AI78" s="79">
        <f t="shared" ca="1" si="43"/>
        <v>0</v>
      </c>
      <c r="AJ78" s="78">
        <f ca="1">IFERROR(__xludf.DUMMYFUNCTION("IMPORTRANGE(""https://docs.google.com/spreadsheets/d/1Dj4jcHCTV9JXKCaMoheSXS52JE63kDKyG7bPXnFogHk/edit?usp=sharing"",""นครศรีธรรมราช!I154"")"),0)</f>
        <v>0</v>
      </c>
      <c r="AK78" s="78">
        <f ca="1">IFERROR(__xludf.DUMMYFUNCTION("IMPORTRANGE(""https://docs.google.com/spreadsheets/d/1Dj4jcHCTV9JXKCaMoheSXS52JE63kDKyG7bPXnFogHk/edit?usp=sharing"",""นครศรีธรรมราช!J154"")"),0)</f>
        <v>0</v>
      </c>
      <c r="AL78" s="79">
        <f t="shared" ca="1" si="45"/>
        <v>0</v>
      </c>
    </row>
    <row r="79" spans="1:38" ht="21" customHeight="1" x14ac:dyDescent="0.3">
      <c r="A79" s="147">
        <v>5</v>
      </c>
      <c r="B79" s="148" t="s">
        <v>107</v>
      </c>
      <c r="C79" s="149">
        <f t="shared" ca="1" si="27"/>
        <v>0</v>
      </c>
      <c r="D79" s="150">
        <f t="shared" ca="1" si="64"/>
        <v>0</v>
      </c>
      <c r="E79" s="151">
        <f ca="1">IFERROR(__xludf.DUMMYFUNCTION("IMPORTRANGE(""https://docs.google.com/spreadsheets/d/1-uDff_7J0KD5mKrp0Vvzr7lt3OU09vwQwhkpOPPYv2Y/edit?usp=sharing"",""งบพรบ!BR79"")"),0)</f>
        <v>0</v>
      </c>
      <c r="F79" s="151">
        <f ca="1">IFERROR(__xludf.DUMMYFUNCTION("IMPORTRANGE(""https://docs.google.com/spreadsheets/d/1-uDff_7J0KD5mKrp0Vvzr7lt3OU09vwQwhkpOPPYv2Y/edit?usp=sharing"",""งบพรบ!BS79"")"),0)</f>
        <v>0</v>
      </c>
      <c r="G79" s="151">
        <f ca="1">IFERROR(__xludf.DUMMYFUNCTION("IMPORTRANGE(""https://docs.google.com/spreadsheets/d/1-uDff_7J0KD5mKrp0Vvzr7lt3OU09vwQwhkpOPPYv2Y/edit?usp=sharing"",""งบพรบ!BT79"")"),0)</f>
        <v>0</v>
      </c>
      <c r="H79" s="151">
        <f ca="1">IFERROR(__xludf.DUMMYFUNCTION("IMPORTRANGE(""https://docs.google.com/spreadsheets/d/1-uDff_7J0KD5mKrp0Vvzr7lt3OU09vwQwhkpOPPYv2Y/edit?usp=sharing"",""งบพรบ!BV79"")"),0)</f>
        <v>0</v>
      </c>
      <c r="I79" s="151">
        <f ca="1">IFERROR(__xludf.DUMMYFUNCTION("IMPORTRANGE(""https://docs.google.com/spreadsheets/d/1-uDff_7J0KD5mKrp0Vvzr7lt3OU09vwQwhkpOPPYv2Y/edit?usp=sharing"",""งบพรบ!BW79"")"),0)</f>
        <v>0</v>
      </c>
      <c r="J79" s="151">
        <f t="shared" ca="1" si="29"/>
        <v>0</v>
      </c>
      <c r="K79" s="154">
        <f t="shared" ca="1" si="30"/>
        <v>0</v>
      </c>
      <c r="L79" s="151">
        <f ca="1">IFERROR(__xludf.DUMMYFUNCTION("IMPORTRANGE(""https://docs.google.com/spreadsheets/d/1-uDff_7J0KD5mKrp0Vvzr7lt3OU09vwQwhkpOPPYv2Y/edit?usp=sharing"",""งบพรบ!BX79"")"),0)</f>
        <v>0</v>
      </c>
      <c r="M79" s="68">
        <f t="shared" ca="1" si="31"/>
        <v>0</v>
      </c>
      <c r="N79" s="68">
        <f t="shared" ca="1" si="32"/>
        <v>0</v>
      </c>
      <c r="O79" s="67">
        <f ca="1">IFERROR(__xludf.DUMMYFUNCTION("IMPORTRANGE(""https://docs.google.com/spreadsheets/d/1-uDff_7J0KD5mKrp0Vvzr7lt3OU09vwQwhkpOPPYv2Y/edit?usp=sharing"",""งบพรบ!BY79"")"),0)</f>
        <v>0</v>
      </c>
      <c r="P79" s="67">
        <f t="shared" ca="1" si="33"/>
        <v>0</v>
      </c>
      <c r="Q79" s="68">
        <f t="shared" ca="1" si="34"/>
        <v>0</v>
      </c>
      <c r="R79" s="67">
        <f ca="1">IFERROR(__xludf.DUMMYFUNCTION("IMPORTRANGE(""https://docs.google.com/spreadsheets/d/1iodCdmuK2GR3jzUwk8tpccY2JHQQA-87DLOtJP-ooyU/edit?usp=sharing"",""นราธิวาส!Q139"")"),0)</f>
        <v>0</v>
      </c>
      <c r="S79" s="67">
        <f ca="1">IFERROR(__xludf.DUMMYFUNCTION("IMPORTRANGE(""https://docs.google.com/spreadsheets/d/1iodCdmuK2GR3jzUwk8tpccY2JHQQA-87DLOtJP-ooyU/edit?usp=sharing"",""นราธิวาส!R139"")"),0)</f>
        <v>0</v>
      </c>
      <c r="T79" s="67">
        <f ca="1">IFERROR(__xludf.DUMMYFUNCTION("IMPORTRANGE(""https://docs.google.com/spreadsheets/d/1iodCdmuK2GR3jzUwk8tpccY2JHQQA-87DLOtJP-ooyU/edit?usp=sharing"",""นราธิวาส!S139"")"),0)</f>
        <v>0</v>
      </c>
      <c r="U79" s="68">
        <f t="shared" ca="1" si="36"/>
        <v>0</v>
      </c>
      <c r="V79" s="68">
        <f t="shared" ca="1" si="37"/>
        <v>0</v>
      </c>
      <c r="W79" s="78">
        <f ca="1">IFERROR(__xludf.DUMMYFUNCTION("IMPORTRANGE(""https://docs.google.com/spreadsheets/d/1iodCdmuK2GR3jzUwk8tpccY2JHQQA-87DLOtJP-ooyU/edit?usp=sharing"",""นราธิวาส!J149"")"),0)</f>
        <v>0</v>
      </c>
      <c r="X79" s="78">
        <f ca="1">IFERROR(__xludf.DUMMYFUNCTION("IMPORTRANGE(""https://docs.google.com/spreadsheets/d/1iodCdmuK2GR3jzUwk8tpccY2JHQQA-87DLOtJP-ooyU/edit?usp=sharing"",""นราธิวาส!I150"")"),0)</f>
        <v>0</v>
      </c>
      <c r="Y79" s="78">
        <f ca="1">IFERROR(__xludf.DUMMYFUNCTION("IMPORTRANGE(""https://docs.google.com/spreadsheets/d/1iodCdmuK2GR3jzUwk8tpccY2JHQQA-87DLOtJP-ooyU/edit?usp=sharing"",""นราธิวาส!I151"")"),0)</f>
        <v>0</v>
      </c>
      <c r="Z79" s="78">
        <f ca="1">IFERROR(__xludf.DUMMYFUNCTION("IMPORTRANGE(""https://docs.google.com/spreadsheets/d/1iodCdmuK2GR3jzUwk8tpccY2JHQQA-87DLOtJP-ooyU/edit?usp=sharing"",""นราธิวาส!J150"")"),0)</f>
        <v>0</v>
      </c>
      <c r="AA79" s="79">
        <f t="shared" ca="1" si="39"/>
        <v>0</v>
      </c>
      <c r="AB79" s="78">
        <f ca="1">IFERROR(__xludf.DUMMYFUNCTION("IMPORTRANGE(""https://docs.google.com/spreadsheets/d/1iodCdmuK2GR3jzUwk8tpccY2JHQQA-87DLOtJP-ooyU/edit?usp=sharing"",""นราธิวาส!J151"")"),0)</f>
        <v>0</v>
      </c>
      <c r="AC79" s="79">
        <f t="shared" ca="1" si="40"/>
        <v>0</v>
      </c>
      <c r="AD79" s="78">
        <f ca="1">IFERROR(__xludf.DUMMYFUNCTION("IMPORTRANGE(""https://docs.google.com/spreadsheets/d/1iodCdmuK2GR3jzUwk8tpccY2JHQQA-87DLOtJP-ooyU/edit?usp=sharing"",""นราธิวาส!I152"")"),0)</f>
        <v>0</v>
      </c>
      <c r="AE79" s="78">
        <f ca="1">IFERROR(__xludf.DUMMYFUNCTION("IMPORTRANGE(""https://docs.google.com/spreadsheets/d/1iodCdmuK2GR3jzUwk8tpccY2JHQQA-87DLOtJP-ooyU/edit?usp=sharing"",""นราธิวาส!I153"")"),0)</f>
        <v>0</v>
      </c>
      <c r="AF79" s="78">
        <f ca="1">IFERROR(__xludf.DUMMYFUNCTION("IMPORTRANGE(""https://docs.google.com/spreadsheets/d/1iodCdmuK2GR3jzUwk8tpccY2JHQQA-87DLOtJP-ooyU/edit?usp=sharing"",""นราธิวาส!J152"")"),0)</f>
        <v>0</v>
      </c>
      <c r="AG79" s="79">
        <f t="shared" ca="1" si="42"/>
        <v>0</v>
      </c>
      <c r="AH79" s="78">
        <f ca="1">IFERROR(__xludf.DUMMYFUNCTION("IMPORTRANGE(""https://docs.google.com/spreadsheets/d/1iodCdmuK2GR3jzUwk8tpccY2JHQQA-87DLOtJP-ooyU/edit?usp=sharing"",""นราธิวาส!J153"")"),0)</f>
        <v>0</v>
      </c>
      <c r="AI79" s="79">
        <f t="shared" ca="1" si="43"/>
        <v>0</v>
      </c>
      <c r="AJ79" s="78">
        <f ca="1">IFERROR(__xludf.DUMMYFUNCTION("IMPORTRANGE(""https://docs.google.com/spreadsheets/d/1iodCdmuK2GR3jzUwk8tpccY2JHQQA-87DLOtJP-ooyU/edit?usp=sharing"",""นราธิวาส!I154"")"),0)</f>
        <v>0</v>
      </c>
      <c r="AK79" s="78">
        <f ca="1">IFERROR(__xludf.DUMMYFUNCTION("IMPORTRANGE(""https://docs.google.com/spreadsheets/d/1iodCdmuK2GR3jzUwk8tpccY2JHQQA-87DLOtJP-ooyU/edit?usp=sharing"",""นราธิวาส!J154"")"),0)</f>
        <v>0</v>
      </c>
      <c r="AL79" s="79">
        <f t="shared" ca="1" si="45"/>
        <v>0</v>
      </c>
    </row>
    <row r="80" spans="1:38" ht="21" customHeight="1" x14ac:dyDescent="0.3">
      <c r="A80" s="147">
        <v>6</v>
      </c>
      <c r="B80" s="148" t="s">
        <v>108</v>
      </c>
      <c r="C80" s="149">
        <f t="shared" ca="1" si="27"/>
        <v>0</v>
      </c>
      <c r="D80" s="150">
        <f t="shared" ca="1" si="64"/>
        <v>0</v>
      </c>
      <c r="E80" s="151">
        <f ca="1">IFERROR(__xludf.DUMMYFUNCTION("IMPORTRANGE(""https://docs.google.com/spreadsheets/d/1-uDff_7J0KD5mKrp0Vvzr7lt3OU09vwQwhkpOPPYv2Y/edit?usp=sharing"",""งบพรบ!BR80"")"),0)</f>
        <v>0</v>
      </c>
      <c r="F80" s="151">
        <f ca="1">IFERROR(__xludf.DUMMYFUNCTION("IMPORTRANGE(""https://docs.google.com/spreadsheets/d/1-uDff_7J0KD5mKrp0Vvzr7lt3OU09vwQwhkpOPPYv2Y/edit?usp=sharing"",""งบพรบ!BS80"")"),0)</f>
        <v>0</v>
      </c>
      <c r="G80" s="151">
        <f ca="1">IFERROR(__xludf.DUMMYFUNCTION("IMPORTRANGE(""https://docs.google.com/spreadsheets/d/1-uDff_7J0KD5mKrp0Vvzr7lt3OU09vwQwhkpOPPYv2Y/edit?usp=sharing"",""งบพรบ!BT80"")"),0)</f>
        <v>0</v>
      </c>
      <c r="H80" s="151">
        <f ca="1">IFERROR(__xludf.DUMMYFUNCTION("IMPORTRANGE(""https://docs.google.com/spreadsheets/d/1-uDff_7J0KD5mKrp0Vvzr7lt3OU09vwQwhkpOPPYv2Y/edit?usp=sharing"",""งบพรบ!BV80"")"),0)</f>
        <v>0</v>
      </c>
      <c r="I80" s="151">
        <f ca="1">IFERROR(__xludf.DUMMYFUNCTION("IMPORTRANGE(""https://docs.google.com/spreadsheets/d/1-uDff_7J0KD5mKrp0Vvzr7lt3OU09vwQwhkpOPPYv2Y/edit?usp=sharing"",""งบพรบ!BW80"")"),0)</f>
        <v>0</v>
      </c>
      <c r="J80" s="151">
        <f t="shared" ca="1" si="29"/>
        <v>0</v>
      </c>
      <c r="K80" s="154">
        <f t="shared" ca="1" si="30"/>
        <v>0</v>
      </c>
      <c r="L80" s="151">
        <f ca="1">IFERROR(__xludf.DUMMYFUNCTION("IMPORTRANGE(""https://docs.google.com/spreadsheets/d/1-uDff_7J0KD5mKrp0Vvzr7lt3OU09vwQwhkpOPPYv2Y/edit?usp=sharing"",""งบพรบ!BX80"")"),0)</f>
        <v>0</v>
      </c>
      <c r="M80" s="68">
        <f t="shared" ca="1" si="31"/>
        <v>0</v>
      </c>
      <c r="N80" s="68">
        <f t="shared" ca="1" si="32"/>
        <v>0</v>
      </c>
      <c r="O80" s="67">
        <f ca="1">IFERROR(__xludf.DUMMYFUNCTION("IMPORTRANGE(""https://docs.google.com/spreadsheets/d/1-uDff_7J0KD5mKrp0Vvzr7lt3OU09vwQwhkpOPPYv2Y/edit?usp=sharing"",""งบพรบ!BY80"")"),0)</f>
        <v>0</v>
      </c>
      <c r="P80" s="67">
        <f t="shared" ca="1" si="33"/>
        <v>0</v>
      </c>
      <c r="Q80" s="68">
        <f t="shared" ca="1" si="34"/>
        <v>0</v>
      </c>
      <c r="R80" s="67">
        <f ca="1">IFERROR(__xludf.DUMMYFUNCTION("IMPORTRANGE(""https://docs.google.com/spreadsheets/d/1SDNX3JhDdYRuIOsj0Wh2M-Qa_eaXl0NbWmhAOTbfQAs/edit?usp=sharing"",""ปัตตานี!Q139"")"),0)</f>
        <v>0</v>
      </c>
      <c r="S80" s="67">
        <f ca="1">IFERROR(__xludf.DUMMYFUNCTION("IMPORTRANGE(""https://docs.google.com/spreadsheets/d/1SDNX3JhDdYRuIOsj0Wh2M-Qa_eaXl0NbWmhAOTbfQAs/edit?usp=sharing"",""ปัตตานี!R139"")"),0)</f>
        <v>0</v>
      </c>
      <c r="T80" s="67">
        <f ca="1">IFERROR(__xludf.DUMMYFUNCTION("IMPORTRANGE(""https://docs.google.com/spreadsheets/d/1SDNX3JhDdYRuIOsj0Wh2M-Qa_eaXl0NbWmhAOTbfQAs/edit?usp=sharing"",""ปัตตานี!S139"")"),0)</f>
        <v>0</v>
      </c>
      <c r="U80" s="68">
        <f t="shared" ca="1" si="36"/>
        <v>0</v>
      </c>
      <c r="V80" s="68">
        <f t="shared" ca="1" si="37"/>
        <v>0</v>
      </c>
      <c r="W80" s="78">
        <f ca="1">IFERROR(__xludf.DUMMYFUNCTION("IMPORTRANGE(""https://docs.google.com/spreadsheets/d/1SDNX3JhDdYRuIOsj0Wh2M-Qa_eaXl0NbWmhAOTbfQAs/edit?usp=sharing"",""ปัตตานี!J149"")"),0)</f>
        <v>0</v>
      </c>
      <c r="X80" s="78">
        <f ca="1">IFERROR(__xludf.DUMMYFUNCTION("IMPORTRANGE(""https://docs.google.com/spreadsheets/d/1SDNX3JhDdYRuIOsj0Wh2M-Qa_eaXl0NbWmhAOTbfQAs/edit?usp=sharing"",""ปัตตานี!I150"")"),0)</f>
        <v>0</v>
      </c>
      <c r="Y80" s="78">
        <f ca="1">IFERROR(__xludf.DUMMYFUNCTION("IMPORTRANGE(""https://docs.google.com/spreadsheets/d/1SDNX3JhDdYRuIOsj0Wh2M-Qa_eaXl0NbWmhAOTbfQAs/edit?usp=sharing"",""ปัตตานี!I151"")"),0)</f>
        <v>0</v>
      </c>
      <c r="Z80" s="78">
        <f ca="1">IFERROR(__xludf.DUMMYFUNCTION("IMPORTRANGE(""https://docs.google.com/spreadsheets/d/1SDNX3JhDdYRuIOsj0Wh2M-Qa_eaXl0NbWmhAOTbfQAs/edit?usp=sharing"",""ปัตตานี!J150"")"),0)</f>
        <v>0</v>
      </c>
      <c r="AA80" s="79">
        <f t="shared" ca="1" si="39"/>
        <v>0</v>
      </c>
      <c r="AB80" s="78">
        <f ca="1">IFERROR(__xludf.DUMMYFUNCTION("IMPORTRANGE(""https://docs.google.com/spreadsheets/d/1SDNX3JhDdYRuIOsj0Wh2M-Qa_eaXl0NbWmhAOTbfQAs/edit?usp=sharing"",""ปัตตานี!J151"")"),0)</f>
        <v>0</v>
      </c>
      <c r="AC80" s="79">
        <f t="shared" ca="1" si="40"/>
        <v>0</v>
      </c>
      <c r="AD80" s="78">
        <f ca="1">IFERROR(__xludf.DUMMYFUNCTION("IMPORTRANGE(""https://docs.google.com/spreadsheets/d/1SDNX3JhDdYRuIOsj0Wh2M-Qa_eaXl0NbWmhAOTbfQAs/edit?usp=sharing"",""ปัตตานี!I152"")"),0)</f>
        <v>0</v>
      </c>
      <c r="AE80" s="78">
        <f ca="1">IFERROR(__xludf.DUMMYFUNCTION("IMPORTRANGE(""https://docs.google.com/spreadsheets/d/1SDNX3JhDdYRuIOsj0Wh2M-Qa_eaXl0NbWmhAOTbfQAs/edit?usp=sharing"",""ปัตตานี!I153"")"),0)</f>
        <v>0</v>
      </c>
      <c r="AF80" s="78">
        <f ca="1">IFERROR(__xludf.DUMMYFUNCTION("IMPORTRANGE(""https://docs.google.com/spreadsheets/d/1SDNX3JhDdYRuIOsj0Wh2M-Qa_eaXl0NbWmhAOTbfQAs/edit?usp=sharing"",""ปัตตานี!J152"")"),0)</f>
        <v>0</v>
      </c>
      <c r="AG80" s="79">
        <f t="shared" ca="1" si="42"/>
        <v>0</v>
      </c>
      <c r="AH80" s="78">
        <f ca="1">IFERROR(__xludf.DUMMYFUNCTION("IMPORTRANGE(""https://docs.google.com/spreadsheets/d/1SDNX3JhDdYRuIOsj0Wh2M-Qa_eaXl0NbWmhAOTbfQAs/edit?usp=sharing"",""ปัตตานี!J153"")"),0)</f>
        <v>0</v>
      </c>
      <c r="AI80" s="79">
        <f t="shared" ca="1" si="43"/>
        <v>0</v>
      </c>
      <c r="AJ80" s="78">
        <f ca="1">IFERROR(__xludf.DUMMYFUNCTION("IMPORTRANGE(""https://docs.google.com/spreadsheets/d/1SDNX3JhDdYRuIOsj0Wh2M-Qa_eaXl0NbWmhAOTbfQAs/edit?usp=sharing"",""ปัตตานี!I154"")"),0)</f>
        <v>0</v>
      </c>
      <c r="AK80" s="78">
        <f ca="1">IFERROR(__xludf.DUMMYFUNCTION("IMPORTRANGE(""https://docs.google.com/spreadsheets/d/1SDNX3JhDdYRuIOsj0Wh2M-Qa_eaXl0NbWmhAOTbfQAs/edit?usp=sharing"",""ปัตตานี!J154"")"),0)</f>
        <v>0</v>
      </c>
      <c r="AL80" s="79">
        <f t="shared" ca="1" si="45"/>
        <v>0</v>
      </c>
    </row>
    <row r="81" spans="1:38" ht="21" customHeight="1" x14ac:dyDescent="0.3">
      <c r="A81" s="147">
        <v>7</v>
      </c>
      <c r="B81" s="148" t="s">
        <v>109</v>
      </c>
      <c r="C81" s="149">
        <f t="shared" ca="1" si="27"/>
        <v>0</v>
      </c>
      <c r="D81" s="150">
        <f t="shared" ca="1" si="64"/>
        <v>0</v>
      </c>
      <c r="E81" s="151">
        <f ca="1">IFERROR(__xludf.DUMMYFUNCTION("IMPORTRANGE(""https://docs.google.com/spreadsheets/d/1-uDff_7J0KD5mKrp0Vvzr7lt3OU09vwQwhkpOPPYv2Y/edit?usp=sharing"",""งบพรบ!BR81"")"),0)</f>
        <v>0</v>
      </c>
      <c r="F81" s="151">
        <f ca="1">IFERROR(__xludf.DUMMYFUNCTION("IMPORTRANGE(""https://docs.google.com/spreadsheets/d/1-uDff_7J0KD5mKrp0Vvzr7lt3OU09vwQwhkpOPPYv2Y/edit?usp=sharing"",""งบพรบ!BS81"")"),0)</f>
        <v>0</v>
      </c>
      <c r="G81" s="151">
        <f ca="1">IFERROR(__xludf.DUMMYFUNCTION("IMPORTRANGE(""https://docs.google.com/spreadsheets/d/1-uDff_7J0KD5mKrp0Vvzr7lt3OU09vwQwhkpOPPYv2Y/edit?usp=sharing"",""งบพรบ!BT81"")"),0)</f>
        <v>0</v>
      </c>
      <c r="H81" s="151">
        <f ca="1">IFERROR(__xludf.DUMMYFUNCTION("IMPORTRANGE(""https://docs.google.com/spreadsheets/d/1-uDff_7J0KD5mKrp0Vvzr7lt3OU09vwQwhkpOPPYv2Y/edit?usp=sharing"",""งบพรบ!BV81"")"),0)</f>
        <v>0</v>
      </c>
      <c r="I81" s="151">
        <f ca="1">IFERROR(__xludf.DUMMYFUNCTION("IMPORTRANGE(""https://docs.google.com/spreadsheets/d/1-uDff_7J0KD5mKrp0Vvzr7lt3OU09vwQwhkpOPPYv2Y/edit?usp=sharing"",""งบพรบ!BW81"")"),0)</f>
        <v>0</v>
      </c>
      <c r="J81" s="151">
        <f t="shared" ca="1" si="29"/>
        <v>0</v>
      </c>
      <c r="K81" s="154">
        <f t="shared" ca="1" si="30"/>
        <v>0</v>
      </c>
      <c r="L81" s="151">
        <f ca="1">IFERROR(__xludf.DUMMYFUNCTION("IMPORTRANGE(""https://docs.google.com/spreadsheets/d/1-uDff_7J0KD5mKrp0Vvzr7lt3OU09vwQwhkpOPPYv2Y/edit?usp=sharing"",""งบพรบ!BX81"")"),0)</f>
        <v>0</v>
      </c>
      <c r="M81" s="68">
        <f t="shared" ca="1" si="31"/>
        <v>0</v>
      </c>
      <c r="N81" s="68">
        <f t="shared" ca="1" si="32"/>
        <v>0</v>
      </c>
      <c r="O81" s="67">
        <f ca="1">IFERROR(__xludf.DUMMYFUNCTION("IMPORTRANGE(""https://docs.google.com/spreadsheets/d/1-uDff_7J0KD5mKrp0Vvzr7lt3OU09vwQwhkpOPPYv2Y/edit?usp=sharing"",""งบพรบ!BY81"")"),0)</f>
        <v>0</v>
      </c>
      <c r="P81" s="67">
        <f t="shared" ca="1" si="33"/>
        <v>0</v>
      </c>
      <c r="Q81" s="68">
        <f t="shared" ca="1" si="34"/>
        <v>0</v>
      </c>
      <c r="R81" s="67">
        <f ca="1">IFERROR(__xludf.DUMMYFUNCTION("IMPORTRANGE(""https://docs.google.com/spreadsheets/d/16JDLGguT8s5DsGCND1KcwHP_AWR_zDMTqLHPLJUKhaU/edit?usp=sharing"",""พังงา!Q139"")"),0)</f>
        <v>0</v>
      </c>
      <c r="S81" s="67">
        <f ca="1">IFERROR(__xludf.DUMMYFUNCTION("IMPORTRANGE(""https://docs.google.com/spreadsheets/d/16JDLGguT8s5DsGCND1KcwHP_AWR_zDMTqLHPLJUKhaU/edit?usp=sharing"",""พังงา!R139"")"),0)</f>
        <v>0</v>
      </c>
      <c r="T81" s="67">
        <f ca="1">IFERROR(__xludf.DUMMYFUNCTION("IMPORTRANGE(""https://docs.google.com/spreadsheets/d/16JDLGguT8s5DsGCND1KcwHP_AWR_zDMTqLHPLJUKhaU/edit?usp=sharing"",""พังงา!S139"")"),0)</f>
        <v>0</v>
      </c>
      <c r="U81" s="68">
        <f t="shared" ca="1" si="36"/>
        <v>0</v>
      </c>
      <c r="V81" s="68">
        <f t="shared" ca="1" si="37"/>
        <v>0</v>
      </c>
      <c r="W81" s="78">
        <f ca="1">IFERROR(__xludf.DUMMYFUNCTION("IMPORTRANGE(""https://docs.google.com/spreadsheets/d/16JDLGguT8s5DsGCND1KcwHP_AWR_zDMTqLHPLJUKhaU/edit?usp=sharing"",""พังงา!J149"")"),0)</f>
        <v>0</v>
      </c>
      <c r="X81" s="78">
        <f ca="1">IFERROR(__xludf.DUMMYFUNCTION("IMPORTRANGE(""https://docs.google.com/spreadsheets/d/16JDLGguT8s5DsGCND1KcwHP_AWR_zDMTqLHPLJUKhaU/edit?usp=sharing"",""พังงา!I150"")"),0)</f>
        <v>0</v>
      </c>
      <c r="Y81" s="78">
        <f ca="1">IFERROR(__xludf.DUMMYFUNCTION("IMPORTRANGE(""https://docs.google.com/spreadsheets/d/16JDLGguT8s5DsGCND1KcwHP_AWR_zDMTqLHPLJUKhaU/edit?usp=sharing"",""พังงา!I151"")"),0)</f>
        <v>0</v>
      </c>
      <c r="Z81" s="78">
        <f ca="1">IFERROR(__xludf.DUMMYFUNCTION("IMPORTRANGE(""https://docs.google.com/spreadsheets/d/16JDLGguT8s5DsGCND1KcwHP_AWR_zDMTqLHPLJUKhaU/edit?usp=sharing"",""พังงา!J150"")"),0)</f>
        <v>0</v>
      </c>
      <c r="AA81" s="79">
        <f t="shared" ca="1" si="39"/>
        <v>0</v>
      </c>
      <c r="AB81" s="78">
        <f ca="1">IFERROR(__xludf.DUMMYFUNCTION("IMPORTRANGE(""https://docs.google.com/spreadsheets/d/16JDLGguT8s5DsGCND1KcwHP_AWR_zDMTqLHPLJUKhaU/edit?usp=sharing"",""พังงา!J151"")"),0)</f>
        <v>0</v>
      </c>
      <c r="AC81" s="79">
        <f t="shared" ca="1" si="40"/>
        <v>0</v>
      </c>
      <c r="AD81" s="78">
        <f ca="1">IFERROR(__xludf.DUMMYFUNCTION("IMPORTRANGE(""https://docs.google.com/spreadsheets/d/16JDLGguT8s5DsGCND1KcwHP_AWR_zDMTqLHPLJUKhaU/edit?usp=sharing"",""พังงา!I152"")"),0)</f>
        <v>0</v>
      </c>
      <c r="AE81" s="78">
        <f ca="1">IFERROR(__xludf.DUMMYFUNCTION("IMPORTRANGE(""https://docs.google.com/spreadsheets/d/16JDLGguT8s5DsGCND1KcwHP_AWR_zDMTqLHPLJUKhaU/edit?usp=sharing"",""พังงา!I153"")"),0)</f>
        <v>0</v>
      </c>
      <c r="AF81" s="78">
        <f ca="1">IFERROR(__xludf.DUMMYFUNCTION("IMPORTRANGE(""https://docs.google.com/spreadsheets/d/16JDLGguT8s5DsGCND1KcwHP_AWR_zDMTqLHPLJUKhaU/edit?usp=sharing"",""พังงา!J152"")"),0)</f>
        <v>0</v>
      </c>
      <c r="AG81" s="79">
        <f t="shared" ca="1" si="42"/>
        <v>0</v>
      </c>
      <c r="AH81" s="78">
        <f ca="1">IFERROR(__xludf.DUMMYFUNCTION("IMPORTRANGE(""https://docs.google.com/spreadsheets/d/16JDLGguT8s5DsGCND1KcwHP_AWR_zDMTqLHPLJUKhaU/edit?usp=sharing"",""พังงา!J153"")"),0)</f>
        <v>0</v>
      </c>
      <c r="AI81" s="79">
        <f t="shared" ca="1" si="43"/>
        <v>0</v>
      </c>
      <c r="AJ81" s="78">
        <f ca="1">IFERROR(__xludf.DUMMYFUNCTION("IMPORTRANGE(""https://docs.google.com/spreadsheets/d/16JDLGguT8s5DsGCND1KcwHP_AWR_zDMTqLHPLJUKhaU/edit?usp=sharing"",""พังงา!I154"")"),0)</f>
        <v>0</v>
      </c>
      <c r="AK81" s="78">
        <f ca="1">IFERROR(__xludf.DUMMYFUNCTION("IMPORTRANGE(""https://docs.google.com/spreadsheets/d/16JDLGguT8s5DsGCND1KcwHP_AWR_zDMTqLHPLJUKhaU/edit?usp=sharing"",""พังงา!J154"")"),0)</f>
        <v>0</v>
      </c>
      <c r="AL81" s="79">
        <f t="shared" ca="1" si="45"/>
        <v>0</v>
      </c>
    </row>
    <row r="82" spans="1:38" ht="21" customHeight="1" x14ac:dyDescent="0.3">
      <c r="A82" s="147">
        <v>8</v>
      </c>
      <c r="B82" s="148" t="s">
        <v>110</v>
      </c>
      <c r="C82" s="149">
        <f t="shared" ca="1" si="27"/>
        <v>91400</v>
      </c>
      <c r="D82" s="150">
        <f t="shared" ca="1" si="64"/>
        <v>91400</v>
      </c>
      <c r="E82" s="151">
        <f ca="1">IFERROR(__xludf.DUMMYFUNCTION("IMPORTRANGE(""https://docs.google.com/spreadsheets/d/1-uDff_7J0KD5mKrp0Vvzr7lt3OU09vwQwhkpOPPYv2Y/edit?usp=sharing"",""งบพรบ!BR82"")"),0)</f>
        <v>0</v>
      </c>
      <c r="F82" s="151">
        <f ca="1">IFERROR(__xludf.DUMMYFUNCTION("IMPORTRANGE(""https://docs.google.com/spreadsheets/d/1-uDff_7J0KD5mKrp0Vvzr7lt3OU09vwQwhkpOPPYv2Y/edit?usp=sharing"",""งบพรบ!BS82"")"),91400)</f>
        <v>91400</v>
      </c>
      <c r="G82" s="151">
        <f ca="1">IFERROR(__xludf.DUMMYFUNCTION("IMPORTRANGE(""https://docs.google.com/spreadsheets/d/1-uDff_7J0KD5mKrp0Vvzr7lt3OU09vwQwhkpOPPYv2Y/edit?usp=sharing"",""งบพรบ!BT82"")"),0)</f>
        <v>0</v>
      </c>
      <c r="H82" s="151">
        <f ca="1">IFERROR(__xludf.DUMMYFUNCTION("IMPORTRANGE(""https://docs.google.com/spreadsheets/d/1-uDff_7J0KD5mKrp0Vvzr7lt3OU09vwQwhkpOPPYv2Y/edit?usp=sharing"",""งบพรบ!BV82"")"),86400)</f>
        <v>86400</v>
      </c>
      <c r="I82" s="151">
        <f ca="1">IFERROR(__xludf.DUMMYFUNCTION("IMPORTRANGE(""https://docs.google.com/spreadsheets/d/1-uDff_7J0KD5mKrp0Vvzr7lt3OU09vwQwhkpOPPYv2Y/edit?usp=sharing"",""งบพรบ!BW82"")"),0)</f>
        <v>0</v>
      </c>
      <c r="J82" s="151">
        <f t="shared" ca="1" si="29"/>
        <v>83544</v>
      </c>
      <c r="K82" s="154">
        <f t="shared" ca="1" si="30"/>
        <v>91.404814004376362</v>
      </c>
      <c r="L82" s="151">
        <f ca="1">IFERROR(__xludf.DUMMYFUNCTION("IMPORTRANGE(""https://docs.google.com/spreadsheets/d/1-uDff_7J0KD5mKrp0Vvzr7lt3OU09vwQwhkpOPPYv2Y/edit?usp=sharing"",""งบพรบ!BX82"")"),83544)</f>
        <v>83544</v>
      </c>
      <c r="M82" s="68">
        <f t="shared" ca="1" si="31"/>
        <v>91.404814004376362</v>
      </c>
      <c r="N82" s="68">
        <f t="shared" ca="1" si="32"/>
        <v>96.694444444444443</v>
      </c>
      <c r="O82" s="67">
        <f ca="1">IFERROR(__xludf.DUMMYFUNCTION("IMPORTRANGE(""https://docs.google.com/spreadsheets/d/1-uDff_7J0KD5mKrp0Vvzr7lt3OU09vwQwhkpOPPYv2Y/edit?usp=sharing"",""งบพรบ!BY82"")"),0)</f>
        <v>0</v>
      </c>
      <c r="P82" s="67">
        <f t="shared" ca="1" si="33"/>
        <v>0</v>
      </c>
      <c r="Q82" s="68">
        <f t="shared" ca="1" si="34"/>
        <v>0</v>
      </c>
      <c r="R82" s="67">
        <f ca="1">IFERROR(__xludf.DUMMYFUNCTION("IMPORTRANGE(""https://docs.google.com/spreadsheets/d/17ht0gPKzzT3PObBL1XJkeRmntBXI7wGjpLV7QorqlTk/edit?usp=sharing"",""พัทลุง!Q139"")"),309860)</f>
        <v>309860</v>
      </c>
      <c r="S82" s="67">
        <f ca="1">IFERROR(__xludf.DUMMYFUNCTION("IMPORTRANGE(""https://docs.google.com/spreadsheets/d/17ht0gPKzzT3PObBL1XJkeRmntBXI7wGjpLV7QorqlTk/edit?usp=sharing"",""พัทลุง!R139"")"),309860)</f>
        <v>309860</v>
      </c>
      <c r="T82" s="67">
        <f ca="1">IFERROR(__xludf.DUMMYFUNCTION("IMPORTRANGE(""https://docs.google.com/spreadsheets/d/17ht0gPKzzT3PObBL1XJkeRmntBXI7wGjpLV7QorqlTk/edit?usp=sharing"",""พัทลุง!S139"")"),24970)</f>
        <v>24970</v>
      </c>
      <c r="U82" s="68">
        <f t="shared" ca="1" si="36"/>
        <v>8.0584780223326664</v>
      </c>
      <c r="V82" s="68">
        <f t="shared" ca="1" si="37"/>
        <v>8.0584780223326664</v>
      </c>
      <c r="W82" s="78">
        <f ca="1">IFERROR(__xludf.DUMMYFUNCTION("IMPORTRANGE(""https://docs.google.com/spreadsheets/d/17ht0gPKzzT3PObBL1XJkeRmntBXI7wGjpLV7QorqlTk/edit?usp=sharing"",""พัทลุง!J149"")"),0)</f>
        <v>0</v>
      </c>
      <c r="X82" s="78">
        <f ca="1">IFERROR(__xludf.DUMMYFUNCTION("IMPORTRANGE(""https://docs.google.com/spreadsheets/d/17ht0gPKzzT3PObBL1XJkeRmntBXI7wGjpLV7QorqlTk/edit?usp=sharing"",""พัทลุง!I150"")"),20)</f>
        <v>20</v>
      </c>
      <c r="Y82" s="78">
        <f ca="1">IFERROR(__xludf.DUMMYFUNCTION("IMPORTRANGE(""https://docs.google.com/spreadsheets/d/17ht0gPKzzT3PObBL1XJkeRmntBXI7wGjpLV7QorqlTk/edit?usp=sharing"",""พัทลุง!I151"")"),2)</f>
        <v>2</v>
      </c>
      <c r="Z82" s="78">
        <f ca="1">IFERROR(__xludf.DUMMYFUNCTION("IMPORTRANGE(""https://docs.google.com/spreadsheets/d/17ht0gPKzzT3PObBL1XJkeRmntBXI7wGjpLV7QorqlTk/edit?usp=sharing"",""พัทลุง!J150"")"),20)</f>
        <v>20</v>
      </c>
      <c r="AA82" s="79">
        <f t="shared" ca="1" si="39"/>
        <v>100</v>
      </c>
      <c r="AB82" s="78">
        <f ca="1">IFERROR(__xludf.DUMMYFUNCTION("IMPORTRANGE(""https://docs.google.com/spreadsheets/d/17ht0gPKzzT3PObBL1XJkeRmntBXI7wGjpLV7QorqlTk/edit?usp=sharing"",""พัทลุง!J151"")"),2)</f>
        <v>2</v>
      </c>
      <c r="AC82" s="79">
        <f t="shared" ca="1" si="40"/>
        <v>100</v>
      </c>
      <c r="AD82" s="78">
        <f ca="1">IFERROR(__xludf.DUMMYFUNCTION("IMPORTRANGE(""https://docs.google.com/spreadsheets/d/17ht0gPKzzT3PObBL1XJkeRmntBXI7wGjpLV7QorqlTk/edit?usp=sharing"",""พัทลุง!I152"")"),60)</f>
        <v>60</v>
      </c>
      <c r="AE82" s="78">
        <f ca="1">IFERROR(__xludf.DUMMYFUNCTION("IMPORTRANGE(""https://docs.google.com/spreadsheets/d/17ht0gPKzzT3PObBL1XJkeRmntBXI7wGjpLV7QorqlTk/edit?usp=sharing"",""พัทลุง!I153"")"),6)</f>
        <v>6</v>
      </c>
      <c r="AF82" s="78">
        <f ca="1">IFERROR(__xludf.DUMMYFUNCTION("IMPORTRANGE(""https://docs.google.com/spreadsheets/d/17ht0gPKzzT3PObBL1XJkeRmntBXI7wGjpLV7QorqlTk/edit?usp=sharing"",""พัทลุง!J152"")"),60)</f>
        <v>60</v>
      </c>
      <c r="AG82" s="79">
        <f t="shared" ca="1" si="42"/>
        <v>100</v>
      </c>
      <c r="AH82" s="78">
        <f ca="1">IFERROR(__xludf.DUMMYFUNCTION("IMPORTRANGE(""https://docs.google.com/spreadsheets/d/17ht0gPKzzT3PObBL1XJkeRmntBXI7wGjpLV7QorqlTk/edit?usp=sharing"",""พัทลุง!J153"")"),6)</f>
        <v>6</v>
      </c>
      <c r="AI82" s="79">
        <f t="shared" ca="1" si="43"/>
        <v>100</v>
      </c>
      <c r="AJ82" s="78">
        <f ca="1">IFERROR(__xludf.DUMMYFUNCTION("IMPORTRANGE(""https://docs.google.com/spreadsheets/d/17ht0gPKzzT3PObBL1XJkeRmntBXI7wGjpLV7QorqlTk/edit?usp=sharing"",""พัทลุง!I154"")"),2)</f>
        <v>2</v>
      </c>
      <c r="AK82" s="78">
        <f ca="1">IFERROR(__xludf.DUMMYFUNCTION("IMPORTRANGE(""https://docs.google.com/spreadsheets/d/17ht0gPKzzT3PObBL1XJkeRmntBXI7wGjpLV7QorqlTk/edit?usp=sharing"",""พัทลุง!J154"")"),0)</f>
        <v>0</v>
      </c>
      <c r="AL82" s="79">
        <f t="shared" ca="1" si="45"/>
        <v>0</v>
      </c>
    </row>
    <row r="83" spans="1:38" ht="21" customHeight="1" x14ac:dyDescent="0.3">
      <c r="A83" s="147">
        <v>9</v>
      </c>
      <c r="B83" s="148" t="s">
        <v>111</v>
      </c>
      <c r="C83" s="149">
        <f t="shared" ca="1" si="27"/>
        <v>0</v>
      </c>
      <c r="D83" s="150">
        <f t="shared" ca="1" si="64"/>
        <v>0</v>
      </c>
      <c r="E83" s="151">
        <f ca="1">IFERROR(__xludf.DUMMYFUNCTION("IMPORTRANGE(""https://docs.google.com/spreadsheets/d/1-uDff_7J0KD5mKrp0Vvzr7lt3OU09vwQwhkpOPPYv2Y/edit?usp=sharing"",""งบพรบ!BR83"")"),0)</f>
        <v>0</v>
      </c>
      <c r="F83" s="151">
        <f ca="1">IFERROR(__xludf.DUMMYFUNCTION("IMPORTRANGE(""https://docs.google.com/spreadsheets/d/1-uDff_7J0KD5mKrp0Vvzr7lt3OU09vwQwhkpOPPYv2Y/edit?usp=sharing"",""งบพรบ!BS83"")"),0)</f>
        <v>0</v>
      </c>
      <c r="G83" s="151">
        <f ca="1">IFERROR(__xludf.DUMMYFUNCTION("IMPORTRANGE(""https://docs.google.com/spreadsheets/d/1-uDff_7J0KD5mKrp0Vvzr7lt3OU09vwQwhkpOPPYv2Y/edit?usp=sharing"",""งบพรบ!BT83"")"),0)</f>
        <v>0</v>
      </c>
      <c r="H83" s="151">
        <f ca="1">IFERROR(__xludf.DUMMYFUNCTION("IMPORTRANGE(""https://docs.google.com/spreadsheets/d/1-uDff_7J0KD5mKrp0Vvzr7lt3OU09vwQwhkpOPPYv2Y/edit?usp=sharing"",""งบพรบ!BV83"")"),0)</f>
        <v>0</v>
      </c>
      <c r="I83" s="151">
        <f ca="1">IFERROR(__xludf.DUMMYFUNCTION("IMPORTRANGE(""https://docs.google.com/spreadsheets/d/1-uDff_7J0KD5mKrp0Vvzr7lt3OU09vwQwhkpOPPYv2Y/edit?usp=sharing"",""งบพรบ!BW83"")"),0)</f>
        <v>0</v>
      </c>
      <c r="J83" s="151">
        <f t="shared" ca="1" si="29"/>
        <v>0</v>
      </c>
      <c r="K83" s="154">
        <f t="shared" ca="1" si="30"/>
        <v>0</v>
      </c>
      <c r="L83" s="151">
        <f ca="1">IFERROR(__xludf.DUMMYFUNCTION("IMPORTRANGE(""https://docs.google.com/spreadsheets/d/1-uDff_7J0KD5mKrp0Vvzr7lt3OU09vwQwhkpOPPYv2Y/edit?usp=sharing"",""งบพรบ!BX83"")"),0)</f>
        <v>0</v>
      </c>
      <c r="M83" s="68">
        <f t="shared" ca="1" si="31"/>
        <v>0</v>
      </c>
      <c r="N83" s="68">
        <f t="shared" ca="1" si="32"/>
        <v>0</v>
      </c>
      <c r="O83" s="67">
        <f ca="1">IFERROR(__xludf.DUMMYFUNCTION("IMPORTRANGE(""https://docs.google.com/spreadsheets/d/1-uDff_7J0KD5mKrp0Vvzr7lt3OU09vwQwhkpOPPYv2Y/edit?usp=sharing"",""งบพรบ!BY83"")"),0)</f>
        <v>0</v>
      </c>
      <c r="P83" s="67">
        <f t="shared" ca="1" si="33"/>
        <v>0</v>
      </c>
      <c r="Q83" s="68">
        <f t="shared" ca="1" si="34"/>
        <v>0</v>
      </c>
      <c r="R83" s="67">
        <f ca="1">IFERROR(__xludf.DUMMYFUNCTION("IMPORTRANGE(""https://docs.google.com/spreadsheets/d/1rd4qoM1q_hsgaolqNGfrim9gbsoLxQsda4-vOz5x_BM/edit?usp=sharing"",""ภูเก็ต!Q139"")"),0)</f>
        <v>0</v>
      </c>
      <c r="S83" s="67">
        <f ca="1">IFERROR(__xludf.DUMMYFUNCTION("IMPORTRANGE(""https://docs.google.com/spreadsheets/d/1rd4qoM1q_hsgaolqNGfrim9gbsoLxQsda4-vOz5x_BM/edit?usp=sharing"",""ภูเก็ต!R139"")"),0)</f>
        <v>0</v>
      </c>
      <c r="T83" s="67">
        <f ca="1">IFERROR(__xludf.DUMMYFUNCTION("IMPORTRANGE(""https://docs.google.com/spreadsheets/d/1rd4qoM1q_hsgaolqNGfrim9gbsoLxQsda4-vOz5x_BM/edit?usp=sharing"",""ภูเก็ต!S139"")"),0)</f>
        <v>0</v>
      </c>
      <c r="U83" s="68">
        <f t="shared" ca="1" si="36"/>
        <v>0</v>
      </c>
      <c r="V83" s="68">
        <f t="shared" ca="1" si="37"/>
        <v>0</v>
      </c>
      <c r="W83" s="78">
        <f ca="1">IFERROR(__xludf.DUMMYFUNCTION("IMPORTRANGE(""https://docs.google.com/spreadsheets/d/1rd4qoM1q_hsgaolqNGfrim9gbsoLxQsda4-vOz5x_BM/edit?usp=sharing"",""ภูเก็ต!J149"")"),0)</f>
        <v>0</v>
      </c>
      <c r="X83" s="78">
        <f ca="1">IFERROR(__xludf.DUMMYFUNCTION("IMPORTRANGE(""https://docs.google.com/spreadsheets/d/1rd4qoM1q_hsgaolqNGfrim9gbsoLxQsda4-vOz5x_BM/edit?usp=sharing"",""ภูเก็ต!I150"")"),0)</f>
        <v>0</v>
      </c>
      <c r="Y83" s="78">
        <f ca="1">IFERROR(__xludf.DUMMYFUNCTION("IMPORTRANGE(""https://docs.google.com/spreadsheets/d/1rd4qoM1q_hsgaolqNGfrim9gbsoLxQsda4-vOz5x_BM/edit?usp=sharing"",""ภูเก็ต!I151"")"),0)</f>
        <v>0</v>
      </c>
      <c r="Z83" s="78">
        <f ca="1">IFERROR(__xludf.DUMMYFUNCTION("IMPORTRANGE(""https://docs.google.com/spreadsheets/d/1rd4qoM1q_hsgaolqNGfrim9gbsoLxQsda4-vOz5x_BM/edit?usp=sharing"",""ภูเก็ต!J150"")"),0)</f>
        <v>0</v>
      </c>
      <c r="AA83" s="79">
        <f t="shared" ca="1" si="39"/>
        <v>0</v>
      </c>
      <c r="AB83" s="78">
        <f ca="1">IFERROR(__xludf.DUMMYFUNCTION("IMPORTRANGE(""https://docs.google.com/spreadsheets/d/1rd4qoM1q_hsgaolqNGfrim9gbsoLxQsda4-vOz5x_BM/edit?usp=sharing"",""ภูเก็ต!J151"")"),0)</f>
        <v>0</v>
      </c>
      <c r="AC83" s="79">
        <f t="shared" ca="1" si="40"/>
        <v>0</v>
      </c>
      <c r="AD83" s="78">
        <f ca="1">IFERROR(__xludf.DUMMYFUNCTION("IMPORTRANGE(""https://docs.google.com/spreadsheets/d/1rd4qoM1q_hsgaolqNGfrim9gbsoLxQsda4-vOz5x_BM/edit?usp=sharing"",""ภูเก็ต!I152"")"),0)</f>
        <v>0</v>
      </c>
      <c r="AE83" s="78">
        <f ca="1">IFERROR(__xludf.DUMMYFUNCTION("IMPORTRANGE(""https://docs.google.com/spreadsheets/d/1rd4qoM1q_hsgaolqNGfrim9gbsoLxQsda4-vOz5x_BM/edit?usp=sharing"",""ภูเก็ต!I153"")"),0)</f>
        <v>0</v>
      </c>
      <c r="AF83" s="78">
        <f ca="1">IFERROR(__xludf.DUMMYFUNCTION("IMPORTRANGE(""https://docs.google.com/spreadsheets/d/1rd4qoM1q_hsgaolqNGfrim9gbsoLxQsda4-vOz5x_BM/edit?usp=sharing"",""ภูเก็ต!J152"")"),0)</f>
        <v>0</v>
      </c>
      <c r="AG83" s="79">
        <f t="shared" ca="1" si="42"/>
        <v>0</v>
      </c>
      <c r="AH83" s="78">
        <f ca="1">IFERROR(__xludf.DUMMYFUNCTION("IMPORTRANGE(""https://docs.google.com/spreadsheets/d/1rd4qoM1q_hsgaolqNGfrim9gbsoLxQsda4-vOz5x_BM/edit?usp=sharing"",""ภูเก็ต!J153"")"),0)</f>
        <v>0</v>
      </c>
      <c r="AI83" s="79">
        <f t="shared" ca="1" si="43"/>
        <v>0</v>
      </c>
      <c r="AJ83" s="78">
        <f ca="1">IFERROR(__xludf.DUMMYFUNCTION("IMPORTRANGE(""https://docs.google.com/spreadsheets/d/1rd4qoM1q_hsgaolqNGfrim9gbsoLxQsda4-vOz5x_BM/edit?usp=sharing"",""ภูเก็ต!I154"")"),0)</f>
        <v>0</v>
      </c>
      <c r="AK83" s="78">
        <f ca="1">IFERROR(__xludf.DUMMYFUNCTION("IMPORTRANGE(""https://docs.google.com/spreadsheets/d/1rd4qoM1q_hsgaolqNGfrim9gbsoLxQsda4-vOz5x_BM/edit?usp=sharing"",""ภูเก็ต!J154"")"),0)</f>
        <v>0</v>
      </c>
      <c r="AL83" s="79">
        <f t="shared" ca="1" si="45"/>
        <v>0</v>
      </c>
    </row>
    <row r="84" spans="1:38" ht="21" customHeight="1" x14ac:dyDescent="0.3">
      <c r="A84" s="147">
        <v>10</v>
      </c>
      <c r="B84" s="148" t="s">
        <v>112</v>
      </c>
      <c r="C84" s="149">
        <f t="shared" ca="1" si="27"/>
        <v>0</v>
      </c>
      <c r="D84" s="150">
        <f t="shared" ca="1" si="64"/>
        <v>0</v>
      </c>
      <c r="E84" s="151">
        <f ca="1">IFERROR(__xludf.DUMMYFUNCTION("IMPORTRANGE(""https://docs.google.com/spreadsheets/d/1-uDff_7J0KD5mKrp0Vvzr7lt3OU09vwQwhkpOPPYv2Y/edit?usp=sharing"",""งบพรบ!BR84"")"),0)</f>
        <v>0</v>
      </c>
      <c r="F84" s="151">
        <f ca="1">IFERROR(__xludf.DUMMYFUNCTION("IMPORTRANGE(""https://docs.google.com/spreadsheets/d/1-uDff_7J0KD5mKrp0Vvzr7lt3OU09vwQwhkpOPPYv2Y/edit?usp=sharing"",""งบพรบ!BS84"")"),0)</f>
        <v>0</v>
      </c>
      <c r="G84" s="151">
        <f ca="1">IFERROR(__xludf.DUMMYFUNCTION("IMPORTRANGE(""https://docs.google.com/spreadsheets/d/1-uDff_7J0KD5mKrp0Vvzr7lt3OU09vwQwhkpOPPYv2Y/edit?usp=sharing"",""งบพรบ!BT84"")"),0)</f>
        <v>0</v>
      </c>
      <c r="H84" s="151">
        <f ca="1">IFERROR(__xludf.DUMMYFUNCTION("IMPORTRANGE(""https://docs.google.com/spreadsheets/d/1-uDff_7J0KD5mKrp0Vvzr7lt3OU09vwQwhkpOPPYv2Y/edit?usp=sharing"",""งบพรบ!BV84"")"),0)</f>
        <v>0</v>
      </c>
      <c r="I84" s="151">
        <f ca="1">IFERROR(__xludf.DUMMYFUNCTION("IMPORTRANGE(""https://docs.google.com/spreadsheets/d/1-uDff_7J0KD5mKrp0Vvzr7lt3OU09vwQwhkpOPPYv2Y/edit?usp=sharing"",""งบพรบ!BW84"")"),0)</f>
        <v>0</v>
      </c>
      <c r="J84" s="151">
        <f t="shared" ca="1" si="29"/>
        <v>0</v>
      </c>
      <c r="K84" s="154">
        <f t="shared" ca="1" si="30"/>
        <v>0</v>
      </c>
      <c r="L84" s="151">
        <f ca="1">IFERROR(__xludf.DUMMYFUNCTION("IMPORTRANGE(""https://docs.google.com/spreadsheets/d/1-uDff_7J0KD5mKrp0Vvzr7lt3OU09vwQwhkpOPPYv2Y/edit?usp=sharing"",""งบพรบ!BX84"")"),0)</f>
        <v>0</v>
      </c>
      <c r="M84" s="68">
        <f t="shared" ca="1" si="31"/>
        <v>0</v>
      </c>
      <c r="N84" s="68">
        <f t="shared" ca="1" si="32"/>
        <v>0</v>
      </c>
      <c r="O84" s="67">
        <f ca="1">IFERROR(__xludf.DUMMYFUNCTION("IMPORTRANGE(""https://docs.google.com/spreadsheets/d/1-uDff_7J0KD5mKrp0Vvzr7lt3OU09vwQwhkpOPPYv2Y/edit?usp=sharing"",""งบพรบ!BY84"")"),0)</f>
        <v>0</v>
      </c>
      <c r="P84" s="67">
        <f t="shared" ca="1" si="33"/>
        <v>0</v>
      </c>
      <c r="Q84" s="68">
        <f t="shared" ca="1" si="34"/>
        <v>0</v>
      </c>
      <c r="R84" s="67">
        <f ca="1">IFERROR(__xludf.DUMMYFUNCTION("IMPORTRANGE(""https://docs.google.com/spreadsheets/d/1woKwKjgoLssDvPcPeVyezB5izizAn4X1JDrys69n6xI/edit?usp=sharing"",""ยะลา!Q139"")"),0)</f>
        <v>0</v>
      </c>
      <c r="S84" s="67">
        <f ca="1">IFERROR(__xludf.DUMMYFUNCTION("IMPORTRANGE(""https://docs.google.com/spreadsheets/d/1woKwKjgoLssDvPcPeVyezB5izizAn4X1JDrys69n6xI/edit?usp=sharing"",""ยะลา!R139"")"),0)</f>
        <v>0</v>
      </c>
      <c r="T84" s="67">
        <f ca="1">IFERROR(__xludf.DUMMYFUNCTION("IMPORTRANGE(""https://docs.google.com/spreadsheets/d/1woKwKjgoLssDvPcPeVyezB5izizAn4X1JDrys69n6xI/edit?usp=sharing"",""ยะลา!S139"")"),0)</f>
        <v>0</v>
      </c>
      <c r="U84" s="68">
        <f t="shared" ca="1" si="36"/>
        <v>0</v>
      </c>
      <c r="V84" s="68">
        <f t="shared" ca="1" si="37"/>
        <v>0</v>
      </c>
      <c r="W84" s="78">
        <f ca="1">IFERROR(__xludf.DUMMYFUNCTION("IMPORTRANGE(""https://docs.google.com/spreadsheets/d/1woKwKjgoLssDvPcPeVyezB5izizAn4X1JDrys69n6xI/edit?usp=sharing"",""ยะลา!J149"")"),0)</f>
        <v>0</v>
      </c>
      <c r="X84" s="78">
        <f ca="1">IFERROR(__xludf.DUMMYFUNCTION("IMPORTRANGE(""https://docs.google.com/spreadsheets/d/1woKwKjgoLssDvPcPeVyezB5izizAn4X1JDrys69n6xI/edit?usp=sharing"",""ยะลา!I150"")"),0)</f>
        <v>0</v>
      </c>
      <c r="Y84" s="78">
        <f ca="1">IFERROR(__xludf.DUMMYFUNCTION("IMPORTRANGE(""https://docs.google.com/spreadsheets/d/1woKwKjgoLssDvPcPeVyezB5izizAn4X1JDrys69n6xI/edit?usp=sharing"",""ยะลา!I151"")"),0)</f>
        <v>0</v>
      </c>
      <c r="Z84" s="78">
        <f ca="1">IFERROR(__xludf.DUMMYFUNCTION("IMPORTRANGE(""https://docs.google.com/spreadsheets/d/1woKwKjgoLssDvPcPeVyezB5izizAn4X1JDrys69n6xI/edit?usp=sharing"",""ยะลา!J150"")"),0)</f>
        <v>0</v>
      </c>
      <c r="AA84" s="79">
        <f t="shared" ca="1" si="39"/>
        <v>0</v>
      </c>
      <c r="AB84" s="78">
        <f ca="1">IFERROR(__xludf.DUMMYFUNCTION("IMPORTRANGE(""https://docs.google.com/spreadsheets/d/1woKwKjgoLssDvPcPeVyezB5izizAn4X1JDrys69n6xI/edit?usp=sharing"",""ยะลา!J151"")"),0)</f>
        <v>0</v>
      </c>
      <c r="AC84" s="79">
        <f t="shared" ca="1" si="40"/>
        <v>0</v>
      </c>
      <c r="AD84" s="78">
        <f ca="1">IFERROR(__xludf.DUMMYFUNCTION("IMPORTRANGE(""https://docs.google.com/spreadsheets/d/1woKwKjgoLssDvPcPeVyezB5izizAn4X1JDrys69n6xI/edit?usp=sharing"",""ยะลา!I152"")"),0)</f>
        <v>0</v>
      </c>
      <c r="AE84" s="78">
        <f ca="1">IFERROR(__xludf.DUMMYFUNCTION("IMPORTRANGE(""https://docs.google.com/spreadsheets/d/1woKwKjgoLssDvPcPeVyezB5izizAn4X1JDrys69n6xI/edit?usp=sharing"",""ยะลา!I153"")"),0)</f>
        <v>0</v>
      </c>
      <c r="AF84" s="78">
        <f ca="1">IFERROR(__xludf.DUMMYFUNCTION("IMPORTRANGE(""https://docs.google.com/spreadsheets/d/1woKwKjgoLssDvPcPeVyezB5izizAn4X1JDrys69n6xI/edit?usp=sharing"",""ยะลา!J152"")"),0)</f>
        <v>0</v>
      </c>
      <c r="AG84" s="79">
        <f t="shared" ca="1" si="42"/>
        <v>0</v>
      </c>
      <c r="AH84" s="78">
        <f ca="1">IFERROR(__xludf.DUMMYFUNCTION("IMPORTRANGE(""https://docs.google.com/spreadsheets/d/1woKwKjgoLssDvPcPeVyezB5izizAn4X1JDrys69n6xI/edit?usp=sharing"",""ยะลา!J153"")"),0)</f>
        <v>0</v>
      </c>
      <c r="AI84" s="79">
        <f t="shared" ca="1" si="43"/>
        <v>0</v>
      </c>
      <c r="AJ84" s="78">
        <f ca="1">IFERROR(__xludf.DUMMYFUNCTION("IMPORTRANGE(""https://docs.google.com/spreadsheets/d/1woKwKjgoLssDvPcPeVyezB5izizAn4X1JDrys69n6xI/edit?usp=sharing"",""ยะลา!I154"")"),0)</f>
        <v>0</v>
      </c>
      <c r="AK84" s="78">
        <f ca="1">IFERROR(__xludf.DUMMYFUNCTION("IMPORTRANGE(""https://docs.google.com/spreadsheets/d/1woKwKjgoLssDvPcPeVyezB5izizAn4X1JDrys69n6xI/edit?usp=sharing"",""ยะลา!J154"")"),0)</f>
        <v>0</v>
      </c>
      <c r="AL84" s="79">
        <f t="shared" ca="1" si="45"/>
        <v>0</v>
      </c>
    </row>
    <row r="85" spans="1:38" ht="21" customHeight="1" x14ac:dyDescent="0.3">
      <c r="A85" s="147">
        <v>11</v>
      </c>
      <c r="B85" s="148" t="s">
        <v>113</v>
      </c>
      <c r="C85" s="149">
        <f t="shared" ca="1" si="27"/>
        <v>66500</v>
      </c>
      <c r="D85" s="150">
        <f t="shared" ca="1" si="64"/>
        <v>66500</v>
      </c>
      <c r="E85" s="151">
        <f ca="1">IFERROR(__xludf.DUMMYFUNCTION("IMPORTRANGE(""https://docs.google.com/spreadsheets/d/1-uDff_7J0KD5mKrp0Vvzr7lt3OU09vwQwhkpOPPYv2Y/edit?usp=sharing"",""งบพรบ!BR85"")"),0)</f>
        <v>0</v>
      </c>
      <c r="F85" s="151">
        <f ca="1">IFERROR(__xludf.DUMMYFUNCTION("IMPORTRANGE(""https://docs.google.com/spreadsheets/d/1-uDff_7J0KD5mKrp0Vvzr7lt3OU09vwQwhkpOPPYv2Y/edit?usp=sharing"",""งบพรบ!BS85"")"),66500)</f>
        <v>66500</v>
      </c>
      <c r="G85" s="151">
        <f ca="1">IFERROR(__xludf.DUMMYFUNCTION("IMPORTRANGE(""https://docs.google.com/spreadsheets/d/1-uDff_7J0KD5mKrp0Vvzr7lt3OU09vwQwhkpOPPYv2Y/edit?usp=sharing"",""งบพรบ!BT85"")"),0)</f>
        <v>0</v>
      </c>
      <c r="H85" s="151">
        <f ca="1">IFERROR(__xludf.DUMMYFUNCTION("IMPORTRANGE(""https://docs.google.com/spreadsheets/d/1-uDff_7J0KD5mKrp0Vvzr7lt3OU09vwQwhkpOPPYv2Y/edit?usp=sharing"",""งบพรบ!BV85"")"),61500)</f>
        <v>61500</v>
      </c>
      <c r="I85" s="151">
        <f ca="1">IFERROR(__xludf.DUMMYFUNCTION("IMPORTRANGE(""https://docs.google.com/spreadsheets/d/1-uDff_7J0KD5mKrp0Vvzr7lt3OU09vwQwhkpOPPYv2Y/edit?usp=sharing"",""งบพรบ!BW85"")"),0)</f>
        <v>0</v>
      </c>
      <c r="J85" s="151">
        <f t="shared" ca="1" si="29"/>
        <v>61500</v>
      </c>
      <c r="K85" s="154">
        <f t="shared" ca="1" si="30"/>
        <v>92.481203007518801</v>
      </c>
      <c r="L85" s="151">
        <f ca="1">IFERROR(__xludf.DUMMYFUNCTION("IMPORTRANGE(""https://docs.google.com/spreadsheets/d/1-uDff_7J0KD5mKrp0Vvzr7lt3OU09vwQwhkpOPPYv2Y/edit?usp=sharing"",""งบพรบ!BX85"")"),61500)</f>
        <v>61500</v>
      </c>
      <c r="M85" s="68">
        <f t="shared" ca="1" si="31"/>
        <v>92.481203007518801</v>
      </c>
      <c r="N85" s="68">
        <f t="shared" ca="1" si="32"/>
        <v>100</v>
      </c>
      <c r="O85" s="67">
        <f ca="1">IFERROR(__xludf.DUMMYFUNCTION("IMPORTRANGE(""https://docs.google.com/spreadsheets/d/1-uDff_7J0KD5mKrp0Vvzr7lt3OU09vwQwhkpOPPYv2Y/edit?usp=sharing"",""งบพรบ!BY85"")"),0)</f>
        <v>0</v>
      </c>
      <c r="P85" s="67">
        <f t="shared" ca="1" si="33"/>
        <v>0</v>
      </c>
      <c r="Q85" s="68">
        <f t="shared" ca="1" si="34"/>
        <v>0</v>
      </c>
      <c r="R85" s="67">
        <f ca="1">IFERROR(__xludf.DUMMYFUNCTION("IMPORTRANGE(""https://docs.google.com/spreadsheets/d/1qfrKjzMhm2HJfxQ-qVlJlJQ25Hne1d0khsySbZyGtPA/edit?usp=sharing"",""ระนอง!Q139"")"),304860)</f>
        <v>304860</v>
      </c>
      <c r="S85" s="67">
        <f ca="1">IFERROR(__xludf.DUMMYFUNCTION("IMPORTRANGE(""https://docs.google.com/spreadsheets/d/1qfrKjzMhm2HJfxQ-qVlJlJQ25Hne1d0khsySbZyGtPA/edit?usp=sharing"",""ระนอง!R139"")"),304860)</f>
        <v>304860</v>
      </c>
      <c r="T85" s="67">
        <f ca="1">IFERROR(__xludf.DUMMYFUNCTION("IMPORTRANGE(""https://docs.google.com/spreadsheets/d/1qfrKjzMhm2HJfxQ-qVlJlJQ25Hne1d0khsySbZyGtPA/edit?usp=sharing"",""ระนอง!S139"")"),17530)</f>
        <v>17530</v>
      </c>
      <c r="U85" s="68">
        <f t="shared" ca="1" si="36"/>
        <v>5.7501804106803123</v>
      </c>
      <c r="V85" s="68">
        <f t="shared" ca="1" si="37"/>
        <v>5.7501804106803123</v>
      </c>
      <c r="W85" s="78">
        <f ca="1">IFERROR(__xludf.DUMMYFUNCTION("IMPORTRANGE(""https://docs.google.com/spreadsheets/d/1qfrKjzMhm2HJfxQ-qVlJlJQ25Hne1d0khsySbZyGtPA/edit?usp=sharing"",""ระนอง!J149"")"),0)</f>
        <v>0</v>
      </c>
      <c r="X85" s="78">
        <f ca="1">IFERROR(__xludf.DUMMYFUNCTION("IMPORTRANGE(""https://docs.google.com/spreadsheets/d/1qfrKjzMhm2HJfxQ-qVlJlJQ25Hne1d0khsySbZyGtPA/edit?usp=sharing"",""ระนอง!I150"")"),20)</f>
        <v>20</v>
      </c>
      <c r="Y85" s="78">
        <f ca="1">IFERROR(__xludf.DUMMYFUNCTION("IMPORTRANGE(""https://docs.google.com/spreadsheets/d/1qfrKjzMhm2HJfxQ-qVlJlJQ25Hne1d0khsySbZyGtPA/edit?usp=sharing"",""ระนอง!I151"")"),2)</f>
        <v>2</v>
      </c>
      <c r="Z85" s="78">
        <f ca="1">IFERROR(__xludf.DUMMYFUNCTION("IMPORTRANGE(""https://docs.google.com/spreadsheets/d/1qfrKjzMhm2HJfxQ-qVlJlJQ25Hne1d0khsySbZyGtPA/edit?usp=sharing"",""ระนอง!J150"")"),20)</f>
        <v>20</v>
      </c>
      <c r="AA85" s="79">
        <f t="shared" ca="1" si="39"/>
        <v>100</v>
      </c>
      <c r="AB85" s="78">
        <f ca="1">IFERROR(__xludf.DUMMYFUNCTION("IMPORTRANGE(""https://docs.google.com/spreadsheets/d/1qfrKjzMhm2HJfxQ-qVlJlJQ25Hne1d0khsySbZyGtPA/edit?usp=sharing"",""ระนอง!J151"")"),2)</f>
        <v>2</v>
      </c>
      <c r="AC85" s="79">
        <f t="shared" ca="1" si="40"/>
        <v>100</v>
      </c>
      <c r="AD85" s="78">
        <f ca="1">IFERROR(__xludf.DUMMYFUNCTION("IMPORTRANGE(""https://docs.google.com/spreadsheets/d/1qfrKjzMhm2HJfxQ-qVlJlJQ25Hne1d0khsySbZyGtPA/edit?usp=sharing"",""ระนอง!I152"")"),30)</f>
        <v>30</v>
      </c>
      <c r="AE85" s="78">
        <f ca="1">IFERROR(__xludf.DUMMYFUNCTION("IMPORTRANGE(""https://docs.google.com/spreadsheets/d/1qfrKjzMhm2HJfxQ-qVlJlJQ25Hne1d0khsySbZyGtPA/edit?usp=sharing"",""ระนอง!I153"")"),3)</f>
        <v>3</v>
      </c>
      <c r="AF85" s="78">
        <f ca="1">IFERROR(__xludf.DUMMYFUNCTION("IMPORTRANGE(""https://docs.google.com/spreadsheets/d/1qfrKjzMhm2HJfxQ-qVlJlJQ25Hne1d0khsySbZyGtPA/edit?usp=sharing"",""ระนอง!J152"")"),30)</f>
        <v>30</v>
      </c>
      <c r="AG85" s="79">
        <f t="shared" ca="1" si="42"/>
        <v>100</v>
      </c>
      <c r="AH85" s="78">
        <f ca="1">IFERROR(__xludf.DUMMYFUNCTION("IMPORTRANGE(""https://docs.google.com/spreadsheets/d/1qfrKjzMhm2HJfxQ-qVlJlJQ25Hne1d0khsySbZyGtPA/edit?usp=sharing"",""ระนอง!J153"")"),3)</f>
        <v>3</v>
      </c>
      <c r="AI85" s="79">
        <f t="shared" ca="1" si="43"/>
        <v>100</v>
      </c>
      <c r="AJ85" s="78">
        <f ca="1">IFERROR(__xludf.DUMMYFUNCTION("IMPORTRANGE(""https://docs.google.com/spreadsheets/d/1qfrKjzMhm2HJfxQ-qVlJlJQ25Hne1d0khsySbZyGtPA/edit?usp=sharing"",""ระนอง!I154"")"),2)</f>
        <v>2</v>
      </c>
      <c r="AK85" s="78">
        <f ca="1">IFERROR(__xludf.DUMMYFUNCTION("IMPORTRANGE(""https://docs.google.com/spreadsheets/d/1qfrKjzMhm2HJfxQ-qVlJlJQ25Hne1d0khsySbZyGtPA/edit?usp=sharing"",""ระนอง!J154"")"),0)</f>
        <v>0</v>
      </c>
      <c r="AL85" s="79">
        <f t="shared" ca="1" si="45"/>
        <v>0</v>
      </c>
    </row>
    <row r="86" spans="1:38" ht="24" customHeight="1" x14ac:dyDescent="0.3">
      <c r="A86" s="147">
        <v>12</v>
      </c>
      <c r="B86" s="148" t="s">
        <v>114</v>
      </c>
      <c r="C86" s="149">
        <f t="shared" ca="1" si="27"/>
        <v>23300</v>
      </c>
      <c r="D86" s="150">
        <f t="shared" ca="1" si="64"/>
        <v>23300</v>
      </c>
      <c r="E86" s="151">
        <f ca="1">IFERROR(__xludf.DUMMYFUNCTION("IMPORTRANGE(""https://docs.google.com/spreadsheets/d/1-uDff_7J0KD5mKrp0Vvzr7lt3OU09vwQwhkpOPPYv2Y/edit?usp=sharing"",""งบพรบ!BR86"")"),0)</f>
        <v>0</v>
      </c>
      <c r="F86" s="151">
        <f ca="1">IFERROR(__xludf.DUMMYFUNCTION("IMPORTRANGE(""https://docs.google.com/spreadsheets/d/1-uDff_7J0KD5mKrp0Vvzr7lt3OU09vwQwhkpOPPYv2Y/edit?usp=sharing"",""งบพรบ!BS86"")"),23300)</f>
        <v>23300</v>
      </c>
      <c r="G86" s="151">
        <f ca="1">IFERROR(__xludf.DUMMYFUNCTION("IMPORTRANGE(""https://docs.google.com/spreadsheets/d/1-uDff_7J0KD5mKrp0Vvzr7lt3OU09vwQwhkpOPPYv2Y/edit?usp=sharing"",""งบพรบ!BT86"")"),0)</f>
        <v>0</v>
      </c>
      <c r="H86" s="151">
        <f ca="1">IFERROR(__xludf.DUMMYFUNCTION("IMPORTRANGE(""https://docs.google.com/spreadsheets/d/1-uDff_7J0KD5mKrp0Vvzr7lt3OU09vwQwhkpOPPYv2Y/edit?usp=sharing"",""งบพรบ!BV86"")"),18300)</f>
        <v>18300</v>
      </c>
      <c r="I86" s="151">
        <f ca="1">IFERROR(__xludf.DUMMYFUNCTION("IMPORTRANGE(""https://docs.google.com/spreadsheets/d/1-uDff_7J0KD5mKrp0Vvzr7lt3OU09vwQwhkpOPPYv2Y/edit?usp=sharing"",""งบพรบ!BW86"")"),0)</f>
        <v>0</v>
      </c>
      <c r="J86" s="151">
        <f t="shared" ca="1" si="29"/>
        <v>13760</v>
      </c>
      <c r="K86" s="154">
        <f t="shared" ca="1" si="30"/>
        <v>59.055793991416309</v>
      </c>
      <c r="L86" s="151">
        <f ca="1">IFERROR(__xludf.DUMMYFUNCTION("IMPORTRANGE(""https://docs.google.com/spreadsheets/d/1-uDff_7J0KD5mKrp0Vvzr7lt3OU09vwQwhkpOPPYv2Y/edit?usp=sharing"",""งบพรบ!BX86"")"),13760)</f>
        <v>13760</v>
      </c>
      <c r="M86" s="68">
        <f t="shared" ca="1" si="31"/>
        <v>59.055793991416309</v>
      </c>
      <c r="N86" s="68">
        <f t="shared" ca="1" si="32"/>
        <v>75.191256830601091</v>
      </c>
      <c r="O86" s="67">
        <f ca="1">IFERROR(__xludf.DUMMYFUNCTION("IMPORTRANGE(""https://docs.google.com/spreadsheets/d/1-uDff_7J0KD5mKrp0Vvzr7lt3OU09vwQwhkpOPPYv2Y/edit?usp=sharing"",""งบพรบ!BY86"")"),0)</f>
        <v>0</v>
      </c>
      <c r="P86" s="67">
        <f t="shared" ca="1" si="33"/>
        <v>0</v>
      </c>
      <c r="Q86" s="68">
        <f t="shared" ca="1" si="34"/>
        <v>0</v>
      </c>
      <c r="R86" s="67">
        <f ca="1">IFERROR(__xludf.DUMMYFUNCTION("IMPORTRANGE(""https://docs.google.com/spreadsheets/d/1IbSCnFOKpZsnFogBHJnL_isstZVaOMnFiIN0fGTPZZw/edit?usp=sharing"",""สงขลา!Q139"")"),39860)</f>
        <v>39860</v>
      </c>
      <c r="S86" s="67">
        <f ca="1">IFERROR(__xludf.DUMMYFUNCTION("IMPORTRANGE(""https://docs.google.com/spreadsheets/d/1IbSCnFOKpZsnFogBHJnL_isstZVaOMnFiIN0fGTPZZw/edit?usp=sharing"",""สงขลา!R139"")"),39860)</f>
        <v>39860</v>
      </c>
      <c r="T86" s="67">
        <f ca="1">IFERROR(__xludf.DUMMYFUNCTION("IMPORTRANGE(""https://docs.google.com/spreadsheets/d/1IbSCnFOKpZsnFogBHJnL_isstZVaOMnFiIN0fGTPZZw/edit?usp=sharing"",""สงขลา!S139"")"),16300)</f>
        <v>16300</v>
      </c>
      <c r="U86" s="68">
        <f t="shared" ca="1" si="36"/>
        <v>40.893125940792771</v>
      </c>
      <c r="V86" s="68">
        <f t="shared" ca="1" si="37"/>
        <v>40.893125940792771</v>
      </c>
      <c r="W86" s="78">
        <f ca="1">IFERROR(__xludf.DUMMYFUNCTION("IMPORTRANGE(""https://docs.google.com/spreadsheets/d/1IbSCnFOKpZsnFogBHJnL_isstZVaOMnFiIN0fGTPZZw/edit?usp=sharing"",""สงขลา!J149"")"),0)</f>
        <v>0</v>
      </c>
      <c r="X86" s="78">
        <f ca="1">IFERROR(__xludf.DUMMYFUNCTION("IMPORTRANGE(""https://docs.google.com/spreadsheets/d/1IbSCnFOKpZsnFogBHJnL_isstZVaOMnFiIN0fGTPZZw/edit?usp=sharing"",""สงขลา!I150"")"),0)</f>
        <v>0</v>
      </c>
      <c r="Y86" s="78">
        <f ca="1">IFERROR(__xludf.DUMMYFUNCTION("IMPORTRANGE(""https://docs.google.com/spreadsheets/d/1IbSCnFOKpZsnFogBHJnL_isstZVaOMnFiIN0fGTPZZw/edit?usp=sharing"",""สงขลา!I151"")"),0)</f>
        <v>0</v>
      </c>
      <c r="Z86" s="78">
        <f ca="1">IFERROR(__xludf.DUMMYFUNCTION("IMPORTRANGE(""https://docs.google.com/spreadsheets/d/1IbSCnFOKpZsnFogBHJnL_isstZVaOMnFiIN0fGTPZZw/edit?usp=sharing"",""สงขลา!J150"")"),0)</f>
        <v>0</v>
      </c>
      <c r="AA86" s="79">
        <f t="shared" ca="1" si="39"/>
        <v>0</v>
      </c>
      <c r="AB86" s="78">
        <f ca="1">IFERROR(__xludf.DUMMYFUNCTION("IMPORTRANGE(""https://docs.google.com/spreadsheets/d/1IbSCnFOKpZsnFogBHJnL_isstZVaOMnFiIN0fGTPZZw/edit?usp=sharing"",""สงขลา!J151"")"),0)</f>
        <v>0</v>
      </c>
      <c r="AC86" s="79">
        <f t="shared" ca="1" si="40"/>
        <v>0</v>
      </c>
      <c r="AD86" s="78">
        <f ca="1">IFERROR(__xludf.DUMMYFUNCTION("IMPORTRANGE(""https://docs.google.com/spreadsheets/d/1IbSCnFOKpZsnFogBHJnL_isstZVaOMnFiIN0fGTPZZw/edit?usp=sharing"",""สงขลา!I152"")"),10)</f>
        <v>10</v>
      </c>
      <c r="AE86" s="78">
        <f ca="1">IFERROR(__xludf.DUMMYFUNCTION("IMPORTRANGE(""https://docs.google.com/spreadsheets/d/1IbSCnFOKpZsnFogBHJnL_isstZVaOMnFiIN0fGTPZZw/edit?usp=sharing"",""สงขลา!I153"")"),1)</f>
        <v>1</v>
      </c>
      <c r="AF86" s="78">
        <f ca="1">IFERROR(__xludf.DUMMYFUNCTION("IMPORTRANGE(""https://docs.google.com/spreadsheets/d/1IbSCnFOKpZsnFogBHJnL_isstZVaOMnFiIN0fGTPZZw/edit?usp=sharing"",""สงขลา!J152"")"),10)</f>
        <v>10</v>
      </c>
      <c r="AG86" s="79">
        <f t="shared" ca="1" si="42"/>
        <v>100</v>
      </c>
      <c r="AH86" s="78">
        <f ca="1">IFERROR(__xludf.DUMMYFUNCTION("IMPORTRANGE(""https://docs.google.com/spreadsheets/d/1IbSCnFOKpZsnFogBHJnL_isstZVaOMnFiIN0fGTPZZw/edit?usp=sharing"",""สงขลา!J153"")"),1)</f>
        <v>1</v>
      </c>
      <c r="AI86" s="79">
        <f t="shared" ca="1" si="43"/>
        <v>100</v>
      </c>
      <c r="AJ86" s="78">
        <f ca="1">IFERROR(__xludf.DUMMYFUNCTION("IMPORTRANGE(""https://docs.google.com/spreadsheets/d/1IbSCnFOKpZsnFogBHJnL_isstZVaOMnFiIN0fGTPZZw/edit?usp=sharing"",""สงขลา!I154"")"),0)</f>
        <v>0</v>
      </c>
      <c r="AK86" s="78">
        <f ca="1">IFERROR(__xludf.DUMMYFUNCTION("IMPORTRANGE(""https://docs.google.com/spreadsheets/d/1IbSCnFOKpZsnFogBHJnL_isstZVaOMnFiIN0fGTPZZw/edit?usp=sharing"",""สงขลา!J154"")"),0)</f>
        <v>0</v>
      </c>
      <c r="AL86" s="79">
        <f t="shared" ca="1" si="45"/>
        <v>0</v>
      </c>
    </row>
    <row r="87" spans="1:38" ht="24" customHeight="1" x14ac:dyDescent="0.3">
      <c r="A87" s="147">
        <v>13</v>
      </c>
      <c r="B87" s="148" t="s">
        <v>115</v>
      </c>
      <c r="C87" s="149">
        <f t="shared" ca="1" si="27"/>
        <v>0</v>
      </c>
      <c r="D87" s="150">
        <f t="shared" ca="1" si="64"/>
        <v>0</v>
      </c>
      <c r="E87" s="151">
        <f ca="1">IFERROR(__xludf.DUMMYFUNCTION("IMPORTRANGE(""https://docs.google.com/spreadsheets/d/1-uDff_7J0KD5mKrp0Vvzr7lt3OU09vwQwhkpOPPYv2Y/edit?usp=sharing"",""งบพรบ!BR87"")"),0)</f>
        <v>0</v>
      </c>
      <c r="F87" s="151">
        <f ca="1">IFERROR(__xludf.DUMMYFUNCTION("IMPORTRANGE(""https://docs.google.com/spreadsheets/d/1-uDff_7J0KD5mKrp0Vvzr7lt3OU09vwQwhkpOPPYv2Y/edit?usp=sharing"",""งบพรบ!BS87"")"),0)</f>
        <v>0</v>
      </c>
      <c r="G87" s="151">
        <f ca="1">IFERROR(__xludf.DUMMYFUNCTION("IMPORTRANGE(""https://docs.google.com/spreadsheets/d/1-uDff_7J0KD5mKrp0Vvzr7lt3OU09vwQwhkpOPPYv2Y/edit?usp=sharing"",""งบพรบ!BT87"")"),0)</f>
        <v>0</v>
      </c>
      <c r="H87" s="151">
        <f ca="1">IFERROR(__xludf.DUMMYFUNCTION("IMPORTRANGE(""https://docs.google.com/spreadsheets/d/1-uDff_7J0KD5mKrp0Vvzr7lt3OU09vwQwhkpOPPYv2Y/edit?usp=sharing"",""งบพรบ!BV87"")"),0)</f>
        <v>0</v>
      </c>
      <c r="I87" s="151">
        <f ca="1">IFERROR(__xludf.DUMMYFUNCTION("IMPORTRANGE(""https://docs.google.com/spreadsheets/d/1-uDff_7J0KD5mKrp0Vvzr7lt3OU09vwQwhkpOPPYv2Y/edit?usp=sharing"",""งบพรบ!BW87"")"),0)</f>
        <v>0</v>
      </c>
      <c r="J87" s="151">
        <f t="shared" ca="1" si="29"/>
        <v>0</v>
      </c>
      <c r="K87" s="154">
        <f t="shared" ca="1" si="30"/>
        <v>0</v>
      </c>
      <c r="L87" s="151">
        <f ca="1">IFERROR(__xludf.DUMMYFUNCTION("IMPORTRANGE(""https://docs.google.com/spreadsheets/d/1-uDff_7J0KD5mKrp0Vvzr7lt3OU09vwQwhkpOPPYv2Y/edit?usp=sharing"",""งบพรบ!BX87"")"),0)</f>
        <v>0</v>
      </c>
      <c r="M87" s="68">
        <f t="shared" ca="1" si="31"/>
        <v>0</v>
      </c>
      <c r="N87" s="68">
        <f t="shared" ca="1" si="32"/>
        <v>0</v>
      </c>
      <c r="O87" s="67">
        <f ca="1">IFERROR(__xludf.DUMMYFUNCTION("IMPORTRANGE(""https://docs.google.com/spreadsheets/d/1-uDff_7J0KD5mKrp0Vvzr7lt3OU09vwQwhkpOPPYv2Y/edit?usp=sharing"",""งบพรบ!BY87"")"),0)</f>
        <v>0</v>
      </c>
      <c r="P87" s="67">
        <f t="shared" ca="1" si="33"/>
        <v>0</v>
      </c>
      <c r="Q87" s="68">
        <f t="shared" ca="1" si="34"/>
        <v>0</v>
      </c>
      <c r="R87" s="67">
        <f ca="1">IFERROR(__xludf.DUMMYFUNCTION("IMPORTRANGE(""https://docs.google.com/spreadsheets/d/1q9nWasZJ-K8bFGvbE9n0qSRuKGA4Toe3Y89cKCiVtCU/edit?usp=sharing"",""สตูล!Q139"")"),0)</f>
        <v>0</v>
      </c>
      <c r="S87" s="67">
        <f ca="1">IFERROR(__xludf.DUMMYFUNCTION("IMPORTRANGE(""https://docs.google.com/spreadsheets/d/1q9nWasZJ-K8bFGvbE9n0qSRuKGA4Toe3Y89cKCiVtCU/edit?usp=sharing"",""สตูล!R139"")"),0)</f>
        <v>0</v>
      </c>
      <c r="T87" s="67">
        <f ca="1">IFERROR(__xludf.DUMMYFUNCTION("IMPORTRANGE(""https://docs.google.com/spreadsheets/d/1q9nWasZJ-K8bFGvbE9n0qSRuKGA4Toe3Y89cKCiVtCU/edit?usp=sharing"",""สตูล!S139"")"),0)</f>
        <v>0</v>
      </c>
      <c r="U87" s="68">
        <f t="shared" ca="1" si="36"/>
        <v>0</v>
      </c>
      <c r="V87" s="68">
        <f t="shared" ca="1" si="37"/>
        <v>0</v>
      </c>
      <c r="W87" s="78">
        <f ca="1">IFERROR(__xludf.DUMMYFUNCTION("IMPORTRANGE(""https://docs.google.com/spreadsheets/d/1q9nWasZJ-K8bFGvbE9n0qSRuKGA4Toe3Y89cKCiVtCU/edit?usp=sharing"",""สตูล!J149"")"),0)</f>
        <v>0</v>
      </c>
      <c r="X87" s="78">
        <f ca="1">IFERROR(__xludf.DUMMYFUNCTION("IMPORTRANGE(""https://docs.google.com/spreadsheets/d/1q9nWasZJ-K8bFGvbE9n0qSRuKGA4Toe3Y89cKCiVtCU/edit?usp=sharing"",""สตูล!I150"")"),0)</f>
        <v>0</v>
      </c>
      <c r="Y87" s="78">
        <f ca="1">IFERROR(__xludf.DUMMYFUNCTION("IMPORTRANGE(""https://docs.google.com/spreadsheets/d/1q9nWasZJ-K8bFGvbE9n0qSRuKGA4Toe3Y89cKCiVtCU/edit?usp=sharing"",""สตูล!I151"")"),0)</f>
        <v>0</v>
      </c>
      <c r="Z87" s="78">
        <f ca="1">IFERROR(__xludf.DUMMYFUNCTION("IMPORTRANGE(""https://docs.google.com/spreadsheets/d/1q9nWasZJ-K8bFGvbE9n0qSRuKGA4Toe3Y89cKCiVtCU/edit?usp=sharing"",""สตูล!J150"")"),0)</f>
        <v>0</v>
      </c>
      <c r="AA87" s="79">
        <f t="shared" ca="1" si="39"/>
        <v>0</v>
      </c>
      <c r="AB87" s="78">
        <f ca="1">IFERROR(__xludf.DUMMYFUNCTION("IMPORTRANGE(""https://docs.google.com/spreadsheets/d/1q9nWasZJ-K8bFGvbE9n0qSRuKGA4Toe3Y89cKCiVtCU/edit?usp=sharing"",""สตูล!J151"")"),0)</f>
        <v>0</v>
      </c>
      <c r="AC87" s="79">
        <f t="shared" ca="1" si="40"/>
        <v>0</v>
      </c>
      <c r="AD87" s="78">
        <f ca="1">IFERROR(__xludf.DUMMYFUNCTION("IMPORTRANGE(""https://docs.google.com/spreadsheets/d/1q9nWasZJ-K8bFGvbE9n0qSRuKGA4Toe3Y89cKCiVtCU/edit?usp=sharing"",""สตูล!I152"")"),0)</f>
        <v>0</v>
      </c>
      <c r="AE87" s="78">
        <f ca="1">IFERROR(__xludf.DUMMYFUNCTION("IMPORTRANGE(""https://docs.google.com/spreadsheets/d/1q9nWasZJ-K8bFGvbE9n0qSRuKGA4Toe3Y89cKCiVtCU/edit?usp=sharing"",""สตูล!I153"")"),0)</f>
        <v>0</v>
      </c>
      <c r="AF87" s="78">
        <f ca="1">IFERROR(__xludf.DUMMYFUNCTION("IMPORTRANGE(""https://docs.google.com/spreadsheets/d/1q9nWasZJ-K8bFGvbE9n0qSRuKGA4Toe3Y89cKCiVtCU/edit?usp=sharing"",""สตูล!J152"")"),0)</f>
        <v>0</v>
      </c>
      <c r="AG87" s="79">
        <f t="shared" ca="1" si="42"/>
        <v>0</v>
      </c>
      <c r="AH87" s="78">
        <f ca="1">IFERROR(__xludf.DUMMYFUNCTION("IMPORTRANGE(""https://docs.google.com/spreadsheets/d/1q9nWasZJ-K8bFGvbE9n0qSRuKGA4Toe3Y89cKCiVtCU/edit?usp=sharing"",""สตูล!J153"")"),0)</f>
        <v>0</v>
      </c>
      <c r="AI87" s="79">
        <f t="shared" ca="1" si="43"/>
        <v>0</v>
      </c>
      <c r="AJ87" s="78">
        <f ca="1">IFERROR(__xludf.DUMMYFUNCTION("IMPORTRANGE(""https://docs.google.com/spreadsheets/d/1q9nWasZJ-K8bFGvbE9n0qSRuKGA4Toe3Y89cKCiVtCU/edit?usp=sharing"",""สตูล!I154"")"),0)</f>
        <v>0</v>
      </c>
      <c r="AK87" s="78">
        <f ca="1">IFERROR(__xludf.DUMMYFUNCTION("IMPORTRANGE(""https://docs.google.com/spreadsheets/d/1q9nWasZJ-K8bFGvbE9n0qSRuKGA4Toe3Y89cKCiVtCU/edit?usp=sharing"",""สตูล!J154"")"),0)</f>
        <v>0</v>
      </c>
      <c r="AL87" s="79">
        <f t="shared" ca="1" si="45"/>
        <v>0</v>
      </c>
    </row>
    <row r="88" spans="1:38" ht="24" customHeight="1" x14ac:dyDescent="0.3">
      <c r="A88" s="155">
        <v>14</v>
      </c>
      <c r="B88" s="156" t="s">
        <v>116</v>
      </c>
      <c r="C88" s="157">
        <f t="shared" ca="1" si="27"/>
        <v>31600</v>
      </c>
      <c r="D88" s="158">
        <f t="shared" ca="1" si="64"/>
        <v>31600</v>
      </c>
      <c r="E88" s="159">
        <f ca="1">IFERROR(__xludf.DUMMYFUNCTION("IMPORTRANGE(""https://docs.google.com/spreadsheets/d/1-uDff_7J0KD5mKrp0Vvzr7lt3OU09vwQwhkpOPPYv2Y/edit?usp=sharing"",""งบพรบ!BR88"")"),0)</f>
        <v>0</v>
      </c>
      <c r="F88" s="159">
        <f ca="1">IFERROR(__xludf.DUMMYFUNCTION("IMPORTRANGE(""https://docs.google.com/spreadsheets/d/1-uDff_7J0KD5mKrp0Vvzr7lt3OU09vwQwhkpOPPYv2Y/edit?usp=sharing"",""งบพรบ!BS88"")"),31600)</f>
        <v>31600</v>
      </c>
      <c r="G88" s="159">
        <f ca="1">IFERROR(__xludf.DUMMYFUNCTION("IMPORTRANGE(""https://docs.google.com/spreadsheets/d/1-uDff_7J0KD5mKrp0Vvzr7lt3OU09vwQwhkpOPPYv2Y/edit?usp=sharing"",""งบพรบ!BT88"")"),0)</f>
        <v>0</v>
      </c>
      <c r="H88" s="159">
        <f ca="1">IFERROR(__xludf.DUMMYFUNCTION("IMPORTRANGE(""https://docs.google.com/spreadsheets/d/1-uDff_7J0KD5mKrp0Vvzr7lt3OU09vwQwhkpOPPYv2Y/edit?usp=sharing"",""งบพรบ!BV88"")"),26600)</f>
        <v>26600</v>
      </c>
      <c r="I88" s="159">
        <f ca="1">IFERROR(__xludf.DUMMYFUNCTION("IMPORTRANGE(""https://docs.google.com/spreadsheets/d/1-uDff_7J0KD5mKrp0Vvzr7lt3OU09vwQwhkpOPPYv2Y/edit?usp=sharing"",""งบพรบ!BW88"")"),0)</f>
        <v>0</v>
      </c>
      <c r="J88" s="159">
        <f t="shared" ca="1" si="29"/>
        <v>26600</v>
      </c>
      <c r="K88" s="160">
        <f t="shared" ca="1" si="30"/>
        <v>84.177215189873422</v>
      </c>
      <c r="L88" s="159">
        <f ca="1">IFERROR(__xludf.DUMMYFUNCTION("IMPORTRANGE(""https://docs.google.com/spreadsheets/d/1-uDff_7J0KD5mKrp0Vvzr7lt3OU09vwQwhkpOPPYv2Y/edit?usp=sharing"",""งบพรบ!BX88"")"),26600)</f>
        <v>26600</v>
      </c>
      <c r="M88" s="89">
        <f t="shared" ca="1" si="31"/>
        <v>84.177215189873422</v>
      </c>
      <c r="N88" s="89">
        <f t="shared" ca="1" si="32"/>
        <v>100</v>
      </c>
      <c r="O88" s="88">
        <f ca="1">IFERROR(__xludf.DUMMYFUNCTION("IMPORTRANGE(""https://docs.google.com/spreadsheets/d/1-uDff_7J0KD5mKrp0Vvzr7lt3OU09vwQwhkpOPPYv2Y/edit?usp=sharing"",""งบพรบ!BY88"")"),0)</f>
        <v>0</v>
      </c>
      <c r="P88" s="88">
        <f t="shared" ca="1" si="33"/>
        <v>0</v>
      </c>
      <c r="Q88" s="89">
        <f t="shared" ca="1" si="34"/>
        <v>0</v>
      </c>
      <c r="R88" s="88">
        <f ca="1">IFERROR(__xludf.DUMMYFUNCTION("IMPORTRANGE(""https://docs.google.com/spreadsheets/d/18T20gbkS_WBjdscyTOV05cvq_JqvqQ17C81mpxf7Ncs/edit?usp=sharing"",""สุราษฎร์ธานี!Q139"")"),39860)</f>
        <v>39860</v>
      </c>
      <c r="S88" s="88">
        <f ca="1">IFERROR(__xludf.DUMMYFUNCTION("IMPORTRANGE(""https://docs.google.com/spreadsheets/d/18T20gbkS_WBjdscyTOV05cvq_JqvqQ17C81mpxf7Ncs/edit?usp=sharing"",""สุราษฎร์ธานี!R139"")"),39860)</f>
        <v>39860</v>
      </c>
      <c r="T88" s="88">
        <f ca="1">IFERROR(__xludf.DUMMYFUNCTION("IMPORTRANGE(""https://docs.google.com/spreadsheets/d/18T20gbkS_WBjdscyTOV05cvq_JqvqQ17C81mpxf7Ncs/edit?usp=sharing"",""สุราษฎร์ธานี!S139"")"),18080)</f>
        <v>18080</v>
      </c>
      <c r="U88" s="89">
        <f t="shared" ca="1" si="36"/>
        <v>45.358755644756648</v>
      </c>
      <c r="V88" s="89">
        <f t="shared" ca="1" si="37"/>
        <v>45.358755644756648</v>
      </c>
      <c r="W88" s="90">
        <f ca="1">IFERROR(__xludf.DUMMYFUNCTION("IMPORTRANGE(""https://docs.google.com/spreadsheets/d/18T20gbkS_WBjdscyTOV05cvq_JqvqQ17C81mpxf7Ncs/edit?usp=sharing"",""สุราษฎร์ธานี!J149"")"),0)</f>
        <v>0</v>
      </c>
      <c r="X88" s="90">
        <f ca="1">IFERROR(__xludf.DUMMYFUNCTION("IMPORTRANGE(""https://docs.google.com/spreadsheets/d/18T20gbkS_WBjdscyTOV05cvq_JqvqQ17C81mpxf7Ncs/edit?usp=sharing"",""สุราษฎร์ธานี!I150"")"),0)</f>
        <v>0</v>
      </c>
      <c r="Y88" s="90">
        <f ca="1">IFERROR(__xludf.DUMMYFUNCTION("IMPORTRANGE(""https://docs.google.com/spreadsheets/d/18T20gbkS_WBjdscyTOV05cvq_JqvqQ17C81mpxf7Ncs/edit?usp=sharing"",""สุราษฎร์ธานี!I151"")"),0)</f>
        <v>0</v>
      </c>
      <c r="Z88" s="90">
        <f ca="1">IFERROR(__xludf.DUMMYFUNCTION("IMPORTRANGE(""https://docs.google.com/spreadsheets/d/18T20gbkS_WBjdscyTOV05cvq_JqvqQ17C81mpxf7Ncs/edit?usp=sharing"",""สุราษฎร์ธานี!J150"")"),0)</f>
        <v>0</v>
      </c>
      <c r="AA88" s="91">
        <f t="shared" ca="1" si="39"/>
        <v>0</v>
      </c>
      <c r="AB88" s="90">
        <f ca="1">IFERROR(__xludf.DUMMYFUNCTION("IMPORTRANGE(""https://docs.google.com/spreadsheets/d/18T20gbkS_WBjdscyTOV05cvq_JqvqQ17C81mpxf7Ncs/edit?usp=sharing"",""สุราษฎร์ธานี!J151"")"),0)</f>
        <v>0</v>
      </c>
      <c r="AC88" s="91">
        <f t="shared" ca="1" si="40"/>
        <v>0</v>
      </c>
      <c r="AD88" s="90">
        <f ca="1">IFERROR(__xludf.DUMMYFUNCTION("IMPORTRANGE(""https://docs.google.com/spreadsheets/d/18T20gbkS_WBjdscyTOV05cvq_JqvqQ17C81mpxf7Ncs/edit?usp=sharing"",""สุราษฎร์ธานี!I152"")"),20)</f>
        <v>20</v>
      </c>
      <c r="AE88" s="90">
        <f ca="1">IFERROR(__xludf.DUMMYFUNCTION("IMPORTRANGE(""https://docs.google.com/spreadsheets/d/18T20gbkS_WBjdscyTOV05cvq_JqvqQ17C81mpxf7Ncs/edit?usp=sharing"",""สุราษฎร์ธานี!I153"")"),2)</f>
        <v>2</v>
      </c>
      <c r="AF88" s="90">
        <f ca="1">IFERROR(__xludf.DUMMYFUNCTION("IMPORTRANGE(""https://docs.google.com/spreadsheets/d/18T20gbkS_WBjdscyTOV05cvq_JqvqQ17C81mpxf7Ncs/edit?usp=sharing"",""สุราษฎร์ธานี!J152"")"),20)</f>
        <v>20</v>
      </c>
      <c r="AG88" s="91">
        <f t="shared" ca="1" si="42"/>
        <v>100</v>
      </c>
      <c r="AH88" s="90">
        <f ca="1">IFERROR(__xludf.DUMMYFUNCTION("IMPORTRANGE(""https://docs.google.com/spreadsheets/d/18T20gbkS_WBjdscyTOV05cvq_JqvqQ17C81mpxf7Ncs/edit?usp=sharing"",""สุราษฎร์ธานี!J153"")"),2)</f>
        <v>2</v>
      </c>
      <c r="AI88" s="91">
        <f t="shared" ca="1" si="43"/>
        <v>100</v>
      </c>
      <c r="AJ88" s="90">
        <f ca="1">IFERROR(__xludf.DUMMYFUNCTION("IMPORTRANGE(""https://docs.google.com/spreadsheets/d/18T20gbkS_WBjdscyTOV05cvq_JqvqQ17C81mpxf7Ncs/edit?usp=sharing"",""สุราษฎร์ธานี!I154"")"),0)</f>
        <v>0</v>
      </c>
      <c r="AK88" s="90">
        <f ca="1">IFERROR(__xludf.DUMMYFUNCTION("IMPORTRANGE(""https://docs.google.com/spreadsheets/d/18T20gbkS_WBjdscyTOV05cvq_JqvqQ17C81mpxf7Ncs/edit?usp=sharing"",""สุราษฎร์ธานี!J154"")"),0)</f>
        <v>0</v>
      </c>
      <c r="AL88" s="91">
        <f t="shared" ca="1" si="45"/>
        <v>0</v>
      </c>
    </row>
    <row r="89" spans="1:38" ht="21" customHeight="1" x14ac:dyDescent="0.3">
      <c r="A89" s="698" t="s">
        <v>117</v>
      </c>
      <c r="B89" s="662"/>
      <c r="C89" s="39">
        <f t="shared" ref="C89:Q89" ca="1" si="65">SUM(C90:C108)</f>
        <v>312000</v>
      </c>
      <c r="D89" s="39">
        <f t="shared" ca="1" si="65"/>
        <v>312000</v>
      </c>
      <c r="E89" s="39">
        <f t="shared" ca="1" si="65"/>
        <v>92800</v>
      </c>
      <c r="F89" s="39">
        <f t="shared" ca="1" si="65"/>
        <v>219200</v>
      </c>
      <c r="G89" s="39">
        <f t="shared" ca="1" si="65"/>
        <v>0</v>
      </c>
      <c r="H89" s="39">
        <f t="shared" ca="1" si="65"/>
        <v>492000</v>
      </c>
      <c r="I89" s="39">
        <f t="shared" ca="1" si="65"/>
        <v>0</v>
      </c>
      <c r="J89" s="39">
        <f t="shared" ca="1" si="65"/>
        <v>474919.64</v>
      </c>
      <c r="K89" s="40">
        <f t="shared" ca="1" si="65"/>
        <v>174.32465328467154</v>
      </c>
      <c r="L89" s="39">
        <f t="shared" ca="1" si="65"/>
        <v>474919.64</v>
      </c>
      <c r="M89" s="40">
        <f t="shared" ca="1" si="65"/>
        <v>174.32465328467154</v>
      </c>
      <c r="N89" s="40">
        <f t="shared" ca="1" si="65"/>
        <v>195.72135270541082</v>
      </c>
      <c r="O89" s="39">
        <f t="shared" ca="1" si="65"/>
        <v>0</v>
      </c>
      <c r="P89" s="39">
        <f t="shared" ca="1" si="65"/>
        <v>0</v>
      </c>
      <c r="Q89" s="39">
        <f t="shared" ca="1" si="65"/>
        <v>0</v>
      </c>
      <c r="R89" s="39">
        <f t="shared" ref="R89:T89" ca="1" si="66">SUM(R90:R106)</f>
        <v>240195</v>
      </c>
      <c r="S89" s="39">
        <f t="shared" ca="1" si="66"/>
        <v>240195</v>
      </c>
      <c r="T89" s="39">
        <f t="shared" ca="1" si="66"/>
        <v>49400.02</v>
      </c>
      <c r="U89" s="39">
        <f t="shared" ca="1" si="36"/>
        <v>20.566631278752681</v>
      </c>
      <c r="V89" s="39">
        <f t="shared" ca="1" si="37"/>
        <v>20.566631278752681</v>
      </c>
      <c r="W89" s="39"/>
      <c r="X89" s="39"/>
      <c r="Y89" s="39"/>
      <c r="Z89" s="39"/>
      <c r="AA89" s="41"/>
      <c r="AB89" s="41"/>
      <c r="AC89" s="41"/>
      <c r="AD89" s="39"/>
      <c r="AE89" s="39"/>
      <c r="AF89" s="41"/>
      <c r="AG89" s="41"/>
      <c r="AH89" s="41"/>
      <c r="AI89" s="41"/>
      <c r="AJ89" s="39"/>
      <c r="AK89" s="39"/>
      <c r="AL89" s="41"/>
    </row>
    <row r="90" spans="1:38" ht="24" customHeight="1" x14ac:dyDescent="0.3">
      <c r="A90" s="102"/>
      <c r="B90" s="103" t="s">
        <v>118</v>
      </c>
      <c r="C90" s="170">
        <f t="shared" ref="C90:C108" ca="1" si="67">D90+G90</f>
        <v>0</v>
      </c>
      <c r="D90" s="171">
        <f t="shared" ref="D90:D108" ca="1" si="68">+E90+F90</f>
        <v>0</v>
      </c>
      <c r="E90" s="62">
        <f ca="1">IFERROR(__xludf.DUMMYFUNCTION("IMPORTRANGE(""https://docs.google.com/spreadsheets/d/1-uDff_7J0KD5mKrp0Vvzr7lt3OU09vwQwhkpOPPYv2Y/edit?usp=sharing"",""งบพรบ!BR90"")"),0)</f>
        <v>0</v>
      </c>
      <c r="F90" s="62">
        <f ca="1">IFERROR(__xludf.DUMMYFUNCTION("IMPORTRANGE(""https://docs.google.com/spreadsheets/d/1-uDff_7J0KD5mKrp0Vvzr7lt3OU09vwQwhkpOPPYv2Y/edit?usp=sharing"",""งบพรบ!BS90"")"),0)</f>
        <v>0</v>
      </c>
      <c r="G90" s="62">
        <f ca="1">IFERROR(__xludf.DUMMYFUNCTION("IMPORTRANGE(""https://docs.google.com/spreadsheets/d/1-uDff_7J0KD5mKrp0Vvzr7lt3OU09vwQwhkpOPPYv2Y/edit?usp=sharing"",""งบพรบ!BT90"")"),0)</f>
        <v>0</v>
      </c>
      <c r="H90" s="62">
        <f ca="1">IFERROR(__xludf.DUMMYFUNCTION("IMPORTRANGE(""https://docs.google.com/spreadsheets/d/1-uDff_7J0KD5mKrp0Vvzr7lt3OU09vwQwhkpOPPYv2Y/edit?usp=sharing"",""งบพรบ!BV90"")"),0)</f>
        <v>0</v>
      </c>
      <c r="I90" s="62">
        <f ca="1">IFERROR(__xludf.DUMMYFUNCTION("IMPORTRANGE(""https://docs.google.com/spreadsheets/d/1-uDff_7J0KD5mKrp0Vvzr7lt3OU09vwQwhkpOPPYv2Y/edit?usp=sharing"",""งบพรบ!BW90"")"),0)</f>
        <v>0</v>
      </c>
      <c r="J90" s="62">
        <f t="shared" ref="J90:J108" ca="1" si="69">L90+O90</f>
        <v>0</v>
      </c>
      <c r="K90" s="104">
        <f t="shared" ref="K90:K108" ca="1" si="70">IF(C90&gt;0,J90*100/C90,0)</f>
        <v>0</v>
      </c>
      <c r="L90" s="62">
        <f ca="1">IFERROR(__xludf.DUMMYFUNCTION("IMPORTRANGE(""https://docs.google.com/spreadsheets/d/1-uDff_7J0KD5mKrp0Vvzr7lt3OU09vwQwhkpOPPYv2Y/edit?usp=sharing"",""งบพรบ!BX90"")"),0)</f>
        <v>0</v>
      </c>
      <c r="M90" s="65">
        <f t="shared" ref="M90:M108" ca="1" si="71">IF(D90&gt;0,L90*100/D90,0)</f>
        <v>0</v>
      </c>
      <c r="N90" s="65">
        <f t="shared" ref="N90:N108" ca="1" si="72">IF(H90&gt;0,L90*100/H90,0)</f>
        <v>0</v>
      </c>
      <c r="O90" s="66">
        <f ca="1">IFERROR(__xludf.DUMMYFUNCTION("IMPORTRANGE(""https://docs.google.com/spreadsheets/d/1-uDff_7J0KD5mKrp0Vvzr7lt3OU09vwQwhkpOPPYv2Y/edit?usp=sharing"",""งบพรบ!BY90"")"),0)</f>
        <v>0</v>
      </c>
      <c r="P90" s="66">
        <f t="shared" ref="P90:P108" ca="1" si="73">IF(G90&gt;0,O90*100/G90,0)</f>
        <v>0</v>
      </c>
      <c r="Q90" s="65">
        <f t="shared" ref="Q90:Q108" ca="1" si="74">IF(I90&gt;0,O90*100/I90,0)</f>
        <v>0</v>
      </c>
      <c r="R90" s="66">
        <v>0</v>
      </c>
      <c r="S90" s="66">
        <v>0</v>
      </c>
      <c r="T90" s="66">
        <v>0</v>
      </c>
      <c r="U90" s="65">
        <f t="shared" si="36"/>
        <v>0</v>
      </c>
      <c r="V90" s="65">
        <f t="shared" si="37"/>
        <v>0</v>
      </c>
      <c r="W90" s="62"/>
      <c r="X90" s="62"/>
      <c r="Y90" s="62"/>
      <c r="Z90" s="62"/>
      <c r="AA90" s="65"/>
      <c r="AB90" s="65"/>
      <c r="AC90" s="65"/>
      <c r="AD90" s="62"/>
      <c r="AE90" s="62"/>
      <c r="AF90" s="65"/>
      <c r="AG90" s="65"/>
      <c r="AH90" s="65"/>
      <c r="AI90" s="65"/>
      <c r="AJ90" s="62"/>
      <c r="AK90" s="62"/>
      <c r="AL90" s="65"/>
    </row>
    <row r="91" spans="1:38" ht="24" customHeight="1" x14ac:dyDescent="0.3">
      <c r="A91" s="105"/>
      <c r="B91" s="106" t="s">
        <v>119</v>
      </c>
      <c r="C91" s="173">
        <f t="shared" ca="1" si="67"/>
        <v>0</v>
      </c>
      <c r="D91" s="174">
        <f t="shared" ca="1" si="68"/>
        <v>0</v>
      </c>
      <c r="E91" s="74">
        <f ca="1">IFERROR(__xludf.DUMMYFUNCTION("IMPORTRANGE(""https://docs.google.com/spreadsheets/d/1-uDff_7J0KD5mKrp0Vvzr7lt3OU09vwQwhkpOPPYv2Y/edit?usp=sharing"",""งบพรบ!BR91"")"),0)</f>
        <v>0</v>
      </c>
      <c r="F91" s="74">
        <f ca="1">IFERROR(__xludf.DUMMYFUNCTION("IMPORTRANGE(""https://docs.google.com/spreadsheets/d/1-uDff_7J0KD5mKrp0Vvzr7lt3OU09vwQwhkpOPPYv2Y/edit?usp=sharing"",""งบพรบ!BS91"")"),0)</f>
        <v>0</v>
      </c>
      <c r="G91" s="74">
        <f ca="1">IFERROR(__xludf.DUMMYFUNCTION("IMPORTRANGE(""https://docs.google.com/spreadsheets/d/1-uDff_7J0KD5mKrp0Vvzr7lt3OU09vwQwhkpOPPYv2Y/edit?usp=sharing"",""งบพรบ!BT91"")"),0)</f>
        <v>0</v>
      </c>
      <c r="H91" s="74">
        <f ca="1">IFERROR(__xludf.DUMMYFUNCTION("IMPORTRANGE(""https://docs.google.com/spreadsheets/d/1-uDff_7J0KD5mKrp0Vvzr7lt3OU09vwQwhkpOPPYv2Y/edit?usp=sharing"",""งบพรบ!BV91"")"),0)</f>
        <v>0</v>
      </c>
      <c r="I91" s="74">
        <f ca="1">IFERROR(__xludf.DUMMYFUNCTION("IMPORTRANGE(""https://docs.google.com/spreadsheets/d/1-uDff_7J0KD5mKrp0Vvzr7lt3OU09vwQwhkpOPPYv2Y/edit?usp=sharing"",""งบพรบ!BW91"")"),0)</f>
        <v>0</v>
      </c>
      <c r="J91" s="74">
        <f t="shared" ca="1" si="69"/>
        <v>0</v>
      </c>
      <c r="K91" s="75">
        <f t="shared" ca="1" si="70"/>
        <v>0</v>
      </c>
      <c r="L91" s="74">
        <f ca="1">IFERROR(__xludf.DUMMYFUNCTION("IMPORTRANGE(""https://docs.google.com/spreadsheets/d/1-uDff_7J0KD5mKrp0Vvzr7lt3OU09vwQwhkpOPPYv2Y/edit?usp=sharing"",""งบพรบ!BX91"")"),0)</f>
        <v>0</v>
      </c>
      <c r="M91" s="76">
        <f t="shared" ca="1" si="71"/>
        <v>0</v>
      </c>
      <c r="N91" s="76">
        <f t="shared" ca="1" si="72"/>
        <v>0</v>
      </c>
      <c r="O91" s="77">
        <f ca="1">IFERROR(__xludf.DUMMYFUNCTION("IMPORTRANGE(""https://docs.google.com/spreadsheets/d/1-uDff_7J0KD5mKrp0Vvzr7lt3OU09vwQwhkpOPPYv2Y/edit?usp=sharing"",""งบพรบ!BY91"")"),0)</f>
        <v>0</v>
      </c>
      <c r="P91" s="77">
        <f t="shared" ca="1" si="73"/>
        <v>0</v>
      </c>
      <c r="Q91" s="76">
        <f t="shared" ca="1" si="74"/>
        <v>0</v>
      </c>
      <c r="R91" s="77">
        <v>0</v>
      </c>
      <c r="S91" s="77">
        <v>0</v>
      </c>
      <c r="T91" s="77">
        <v>0</v>
      </c>
      <c r="U91" s="76">
        <f t="shared" si="36"/>
        <v>0</v>
      </c>
      <c r="V91" s="76">
        <f t="shared" si="37"/>
        <v>0</v>
      </c>
      <c r="W91" s="74"/>
      <c r="X91" s="74"/>
      <c r="Y91" s="74"/>
      <c r="Z91" s="74"/>
      <c r="AA91" s="76"/>
      <c r="AB91" s="76"/>
      <c r="AC91" s="76"/>
      <c r="AD91" s="74"/>
      <c r="AE91" s="74"/>
      <c r="AF91" s="76"/>
      <c r="AG91" s="76"/>
      <c r="AH91" s="76"/>
      <c r="AI91" s="76"/>
      <c r="AJ91" s="74"/>
      <c r="AK91" s="74"/>
      <c r="AL91" s="76"/>
    </row>
    <row r="92" spans="1:38" ht="24" customHeight="1" x14ac:dyDescent="0.3">
      <c r="A92" s="105"/>
      <c r="B92" s="106" t="s">
        <v>120</v>
      </c>
      <c r="C92" s="173">
        <f t="shared" ca="1" si="67"/>
        <v>0</v>
      </c>
      <c r="D92" s="174">
        <f t="shared" ca="1" si="68"/>
        <v>0</v>
      </c>
      <c r="E92" s="74">
        <f ca="1">IFERROR(__xludf.DUMMYFUNCTION("IMPORTRANGE(""https://docs.google.com/spreadsheets/d/1-uDff_7J0KD5mKrp0Vvzr7lt3OU09vwQwhkpOPPYv2Y/edit?usp=sharing"",""งบพรบ!BR92"")"),0)</f>
        <v>0</v>
      </c>
      <c r="F92" s="74">
        <f ca="1">IFERROR(__xludf.DUMMYFUNCTION("IMPORTRANGE(""https://docs.google.com/spreadsheets/d/1-uDff_7J0KD5mKrp0Vvzr7lt3OU09vwQwhkpOPPYv2Y/edit?usp=sharing"",""งบพรบ!BS92"")"),0)</f>
        <v>0</v>
      </c>
      <c r="G92" s="74">
        <f ca="1">IFERROR(__xludf.DUMMYFUNCTION("IMPORTRANGE(""https://docs.google.com/spreadsheets/d/1-uDff_7J0KD5mKrp0Vvzr7lt3OU09vwQwhkpOPPYv2Y/edit?usp=sharing"",""งบพรบ!BT92"")"),0)</f>
        <v>0</v>
      </c>
      <c r="H92" s="74">
        <f ca="1">IFERROR(__xludf.DUMMYFUNCTION("IMPORTRANGE(""https://docs.google.com/spreadsheets/d/1-uDff_7J0KD5mKrp0Vvzr7lt3OU09vwQwhkpOPPYv2Y/edit?usp=sharing"",""งบพรบ!BV92"")"),0)</f>
        <v>0</v>
      </c>
      <c r="I92" s="74">
        <f ca="1">IFERROR(__xludf.DUMMYFUNCTION("IMPORTRANGE(""https://docs.google.com/spreadsheets/d/1-uDff_7J0KD5mKrp0Vvzr7lt3OU09vwQwhkpOPPYv2Y/edit?usp=sharing"",""งบพรบ!BW92"")"),0)</f>
        <v>0</v>
      </c>
      <c r="J92" s="74">
        <f t="shared" ca="1" si="69"/>
        <v>0</v>
      </c>
      <c r="K92" s="75">
        <f t="shared" ca="1" si="70"/>
        <v>0</v>
      </c>
      <c r="L92" s="74">
        <f ca="1">IFERROR(__xludf.DUMMYFUNCTION("IMPORTRANGE(""https://docs.google.com/spreadsheets/d/1-uDff_7J0KD5mKrp0Vvzr7lt3OU09vwQwhkpOPPYv2Y/edit?usp=sharing"",""งบพรบ!BX92"")"),0)</f>
        <v>0</v>
      </c>
      <c r="M92" s="76">
        <f t="shared" ca="1" si="71"/>
        <v>0</v>
      </c>
      <c r="N92" s="76">
        <f t="shared" ca="1" si="72"/>
        <v>0</v>
      </c>
      <c r="O92" s="77">
        <f ca="1">IFERROR(__xludf.DUMMYFUNCTION("IMPORTRANGE(""https://docs.google.com/spreadsheets/d/1-uDff_7J0KD5mKrp0Vvzr7lt3OU09vwQwhkpOPPYv2Y/edit?usp=sharing"",""งบพรบ!BY92"")"),0)</f>
        <v>0</v>
      </c>
      <c r="P92" s="77">
        <f t="shared" ca="1" si="73"/>
        <v>0</v>
      </c>
      <c r="Q92" s="76">
        <f t="shared" ca="1" si="74"/>
        <v>0</v>
      </c>
      <c r="R92" s="77">
        <v>0</v>
      </c>
      <c r="S92" s="77">
        <v>0</v>
      </c>
      <c r="T92" s="77">
        <v>0</v>
      </c>
      <c r="U92" s="76">
        <f t="shared" si="36"/>
        <v>0</v>
      </c>
      <c r="V92" s="76">
        <f t="shared" si="37"/>
        <v>0</v>
      </c>
      <c r="W92" s="74"/>
      <c r="X92" s="74"/>
      <c r="Y92" s="74"/>
      <c r="Z92" s="74"/>
      <c r="AA92" s="76"/>
      <c r="AB92" s="76"/>
      <c r="AC92" s="76"/>
      <c r="AD92" s="74"/>
      <c r="AE92" s="74"/>
      <c r="AF92" s="76"/>
      <c r="AG92" s="76"/>
      <c r="AH92" s="76"/>
      <c r="AI92" s="76"/>
      <c r="AJ92" s="74"/>
      <c r="AK92" s="74"/>
      <c r="AL92" s="76"/>
    </row>
    <row r="93" spans="1:38" ht="24" customHeight="1" x14ac:dyDescent="0.3">
      <c r="A93" s="105"/>
      <c r="B93" s="106" t="s">
        <v>121</v>
      </c>
      <c r="C93" s="173">
        <f t="shared" ca="1" si="67"/>
        <v>0</v>
      </c>
      <c r="D93" s="174">
        <f t="shared" ca="1" si="68"/>
        <v>0</v>
      </c>
      <c r="E93" s="74">
        <f ca="1">IFERROR(__xludf.DUMMYFUNCTION("IMPORTRANGE(""https://docs.google.com/spreadsheets/d/1-uDff_7J0KD5mKrp0Vvzr7lt3OU09vwQwhkpOPPYv2Y/edit?usp=sharing"",""งบพรบ!BR93"")"),0)</f>
        <v>0</v>
      </c>
      <c r="F93" s="74">
        <f ca="1">IFERROR(__xludf.DUMMYFUNCTION("IMPORTRANGE(""https://docs.google.com/spreadsheets/d/1-uDff_7J0KD5mKrp0Vvzr7lt3OU09vwQwhkpOPPYv2Y/edit?usp=sharing"",""งบพรบ!BS93"")"),0)</f>
        <v>0</v>
      </c>
      <c r="G93" s="74">
        <f ca="1">IFERROR(__xludf.DUMMYFUNCTION("IMPORTRANGE(""https://docs.google.com/spreadsheets/d/1-uDff_7J0KD5mKrp0Vvzr7lt3OU09vwQwhkpOPPYv2Y/edit?usp=sharing"",""งบพรบ!BT93"")"),0)</f>
        <v>0</v>
      </c>
      <c r="H93" s="74">
        <f ca="1">IFERROR(__xludf.DUMMYFUNCTION("IMPORTRANGE(""https://docs.google.com/spreadsheets/d/1-uDff_7J0KD5mKrp0Vvzr7lt3OU09vwQwhkpOPPYv2Y/edit?usp=sharing"",""งบพรบ!BV93"")"),92800)</f>
        <v>92800</v>
      </c>
      <c r="I93" s="74">
        <f ca="1">IFERROR(__xludf.DUMMYFUNCTION("IMPORTRANGE(""https://docs.google.com/spreadsheets/d/1-uDff_7J0KD5mKrp0Vvzr7lt3OU09vwQwhkpOPPYv2Y/edit?usp=sharing"",""งบพรบ!BW93"")"),0)</f>
        <v>0</v>
      </c>
      <c r="J93" s="74">
        <f t="shared" ca="1" si="69"/>
        <v>92800</v>
      </c>
      <c r="K93" s="75">
        <f t="shared" ca="1" si="70"/>
        <v>0</v>
      </c>
      <c r="L93" s="74">
        <f ca="1">IFERROR(__xludf.DUMMYFUNCTION("IMPORTRANGE(""https://docs.google.com/spreadsheets/d/1-uDff_7J0KD5mKrp0Vvzr7lt3OU09vwQwhkpOPPYv2Y/edit?usp=sharing"",""งบพรบ!BX93"")"),92800)</f>
        <v>92800</v>
      </c>
      <c r="M93" s="76">
        <f t="shared" ca="1" si="71"/>
        <v>0</v>
      </c>
      <c r="N93" s="76">
        <f t="shared" ca="1" si="72"/>
        <v>100</v>
      </c>
      <c r="O93" s="77">
        <f ca="1">IFERROR(__xludf.DUMMYFUNCTION("IMPORTRANGE(""https://docs.google.com/spreadsheets/d/1-uDff_7J0KD5mKrp0Vvzr7lt3OU09vwQwhkpOPPYv2Y/edit?usp=sharing"",""งบพรบ!BY93"")"),0)</f>
        <v>0</v>
      </c>
      <c r="P93" s="77">
        <f t="shared" ca="1" si="73"/>
        <v>0</v>
      </c>
      <c r="Q93" s="76">
        <f t="shared" ca="1" si="74"/>
        <v>0</v>
      </c>
      <c r="R93" s="77">
        <v>0</v>
      </c>
      <c r="S93" s="77">
        <v>0</v>
      </c>
      <c r="T93" s="77">
        <v>0</v>
      </c>
      <c r="U93" s="76">
        <f t="shared" si="36"/>
        <v>0</v>
      </c>
      <c r="V93" s="76">
        <f t="shared" si="37"/>
        <v>0</v>
      </c>
      <c r="W93" s="74"/>
      <c r="X93" s="74"/>
      <c r="Y93" s="74"/>
      <c r="Z93" s="74"/>
      <c r="AA93" s="76"/>
      <c r="AB93" s="76"/>
      <c r="AC93" s="76"/>
      <c r="AD93" s="74"/>
      <c r="AE93" s="74"/>
      <c r="AF93" s="76"/>
      <c r="AG93" s="76"/>
      <c r="AH93" s="76"/>
      <c r="AI93" s="76"/>
      <c r="AJ93" s="74"/>
      <c r="AK93" s="74"/>
      <c r="AL93" s="76"/>
    </row>
    <row r="94" spans="1:38" ht="24" customHeight="1" x14ac:dyDescent="0.3">
      <c r="A94" s="105"/>
      <c r="B94" s="106" t="s">
        <v>122</v>
      </c>
      <c r="C94" s="173">
        <f t="shared" ca="1" si="67"/>
        <v>0</v>
      </c>
      <c r="D94" s="174">
        <f t="shared" ca="1" si="68"/>
        <v>0</v>
      </c>
      <c r="E94" s="74">
        <f ca="1">IFERROR(__xludf.DUMMYFUNCTION("IMPORTRANGE(""https://docs.google.com/spreadsheets/d/1-uDff_7J0KD5mKrp0Vvzr7lt3OU09vwQwhkpOPPYv2Y/edit?usp=sharing"",""งบพรบ!BR94"")"),0)</f>
        <v>0</v>
      </c>
      <c r="F94" s="74">
        <f ca="1">IFERROR(__xludf.DUMMYFUNCTION("IMPORTRANGE(""https://docs.google.com/spreadsheets/d/1-uDff_7J0KD5mKrp0Vvzr7lt3OU09vwQwhkpOPPYv2Y/edit?usp=sharing"",""งบพรบ!BS94"")"),0)</f>
        <v>0</v>
      </c>
      <c r="G94" s="74">
        <f ca="1">IFERROR(__xludf.DUMMYFUNCTION("IMPORTRANGE(""https://docs.google.com/spreadsheets/d/1-uDff_7J0KD5mKrp0Vvzr7lt3OU09vwQwhkpOPPYv2Y/edit?usp=sharing"",""งบพรบ!BT94"")"),0)</f>
        <v>0</v>
      </c>
      <c r="H94" s="74">
        <f ca="1">IFERROR(__xludf.DUMMYFUNCTION("IMPORTRANGE(""https://docs.google.com/spreadsheets/d/1-uDff_7J0KD5mKrp0Vvzr7lt3OU09vwQwhkpOPPYv2Y/edit?usp=sharing"",""งบพรบ!BV94"")"),0)</f>
        <v>0</v>
      </c>
      <c r="I94" s="74">
        <f ca="1">IFERROR(__xludf.DUMMYFUNCTION("IMPORTRANGE(""https://docs.google.com/spreadsheets/d/1-uDff_7J0KD5mKrp0Vvzr7lt3OU09vwQwhkpOPPYv2Y/edit?usp=sharing"",""งบพรบ!BW94"")"),0)</f>
        <v>0</v>
      </c>
      <c r="J94" s="74">
        <f t="shared" ca="1" si="69"/>
        <v>0</v>
      </c>
      <c r="K94" s="75">
        <f t="shared" ca="1" si="70"/>
        <v>0</v>
      </c>
      <c r="L94" s="74">
        <f ca="1">IFERROR(__xludf.DUMMYFUNCTION("IMPORTRANGE(""https://docs.google.com/spreadsheets/d/1-uDff_7J0KD5mKrp0Vvzr7lt3OU09vwQwhkpOPPYv2Y/edit?usp=sharing"",""งบพรบ!BX94"")"),0)</f>
        <v>0</v>
      </c>
      <c r="M94" s="76">
        <f t="shared" ca="1" si="71"/>
        <v>0</v>
      </c>
      <c r="N94" s="76">
        <f t="shared" ca="1" si="72"/>
        <v>0</v>
      </c>
      <c r="O94" s="77">
        <f ca="1">IFERROR(__xludf.DUMMYFUNCTION("IMPORTRANGE(""https://docs.google.com/spreadsheets/d/1-uDff_7J0KD5mKrp0Vvzr7lt3OU09vwQwhkpOPPYv2Y/edit?usp=sharing"",""งบพรบ!BY94"")"),0)</f>
        <v>0</v>
      </c>
      <c r="P94" s="77">
        <f t="shared" ca="1" si="73"/>
        <v>0</v>
      </c>
      <c r="Q94" s="76">
        <f t="shared" ca="1" si="74"/>
        <v>0</v>
      </c>
      <c r="R94" s="77">
        <v>0</v>
      </c>
      <c r="S94" s="77">
        <v>0</v>
      </c>
      <c r="T94" s="77">
        <v>0</v>
      </c>
      <c r="U94" s="76">
        <f t="shared" si="36"/>
        <v>0</v>
      </c>
      <c r="V94" s="76">
        <f t="shared" si="37"/>
        <v>0</v>
      </c>
      <c r="W94" s="74"/>
      <c r="X94" s="74"/>
      <c r="Y94" s="74"/>
      <c r="Z94" s="74"/>
      <c r="AA94" s="76"/>
      <c r="AB94" s="76"/>
      <c r="AC94" s="76"/>
      <c r="AD94" s="74"/>
      <c r="AE94" s="74"/>
      <c r="AF94" s="76"/>
      <c r="AG94" s="76"/>
      <c r="AH94" s="76"/>
      <c r="AI94" s="76"/>
      <c r="AJ94" s="74"/>
      <c r="AK94" s="74"/>
      <c r="AL94" s="76"/>
    </row>
    <row r="95" spans="1:38" ht="24" customHeight="1" x14ac:dyDescent="0.3">
      <c r="A95" s="105"/>
      <c r="B95" s="106" t="s">
        <v>123</v>
      </c>
      <c r="C95" s="173">
        <f t="shared" ca="1" si="67"/>
        <v>0</v>
      </c>
      <c r="D95" s="174">
        <f t="shared" ca="1" si="68"/>
        <v>0</v>
      </c>
      <c r="E95" s="74">
        <f ca="1">IFERROR(__xludf.DUMMYFUNCTION("IMPORTRANGE(""https://docs.google.com/spreadsheets/d/1-uDff_7J0KD5mKrp0Vvzr7lt3OU09vwQwhkpOPPYv2Y/edit?usp=sharing"",""งบพรบ!BR95"")"),0)</f>
        <v>0</v>
      </c>
      <c r="F95" s="74">
        <f ca="1">IFERROR(__xludf.DUMMYFUNCTION("IMPORTRANGE(""https://docs.google.com/spreadsheets/d/1-uDff_7J0KD5mKrp0Vvzr7lt3OU09vwQwhkpOPPYv2Y/edit?usp=sharing"",""งบพรบ!BS95"")"),0)</f>
        <v>0</v>
      </c>
      <c r="G95" s="74">
        <f ca="1">IFERROR(__xludf.DUMMYFUNCTION("IMPORTRANGE(""https://docs.google.com/spreadsheets/d/1-uDff_7J0KD5mKrp0Vvzr7lt3OU09vwQwhkpOPPYv2Y/edit?usp=sharing"",""งบพรบ!BT95"")"),0)</f>
        <v>0</v>
      </c>
      <c r="H95" s="74">
        <f ca="1">IFERROR(__xludf.DUMMYFUNCTION("IMPORTRANGE(""https://docs.google.com/spreadsheets/d/1-uDff_7J0KD5mKrp0Vvzr7lt3OU09vwQwhkpOPPYv2Y/edit?usp=sharing"",""งบพรบ!BV95"")"),0)</f>
        <v>0</v>
      </c>
      <c r="I95" s="74">
        <f ca="1">IFERROR(__xludf.DUMMYFUNCTION("IMPORTRANGE(""https://docs.google.com/spreadsheets/d/1-uDff_7J0KD5mKrp0Vvzr7lt3OU09vwQwhkpOPPYv2Y/edit?usp=sharing"",""งบพรบ!BW95"")"),0)</f>
        <v>0</v>
      </c>
      <c r="J95" s="74">
        <f t="shared" ca="1" si="69"/>
        <v>0</v>
      </c>
      <c r="K95" s="75">
        <f t="shared" ca="1" si="70"/>
        <v>0</v>
      </c>
      <c r="L95" s="74">
        <f ca="1">IFERROR(__xludf.DUMMYFUNCTION("IMPORTRANGE(""https://docs.google.com/spreadsheets/d/1-uDff_7J0KD5mKrp0Vvzr7lt3OU09vwQwhkpOPPYv2Y/edit?usp=sharing"",""งบพรบ!BX95"")"),0)</f>
        <v>0</v>
      </c>
      <c r="M95" s="76">
        <f t="shared" ca="1" si="71"/>
        <v>0</v>
      </c>
      <c r="N95" s="76">
        <f t="shared" ca="1" si="72"/>
        <v>0</v>
      </c>
      <c r="O95" s="77">
        <f ca="1">IFERROR(__xludf.DUMMYFUNCTION("IMPORTRANGE(""https://docs.google.com/spreadsheets/d/1-uDff_7J0KD5mKrp0Vvzr7lt3OU09vwQwhkpOPPYv2Y/edit?usp=sharing"",""งบพรบ!BY95"")"),0)</f>
        <v>0</v>
      </c>
      <c r="P95" s="77">
        <f t="shared" ca="1" si="73"/>
        <v>0</v>
      </c>
      <c r="Q95" s="76">
        <f t="shared" ca="1" si="74"/>
        <v>0</v>
      </c>
      <c r="R95" s="77">
        <v>0</v>
      </c>
      <c r="S95" s="77">
        <v>0</v>
      </c>
      <c r="T95" s="77">
        <v>0</v>
      </c>
      <c r="U95" s="76">
        <f t="shared" si="36"/>
        <v>0</v>
      </c>
      <c r="V95" s="76">
        <f t="shared" si="37"/>
        <v>0</v>
      </c>
      <c r="W95" s="74"/>
      <c r="X95" s="74"/>
      <c r="Y95" s="74"/>
      <c r="Z95" s="74"/>
      <c r="AA95" s="76"/>
      <c r="AB95" s="76"/>
      <c r="AC95" s="76"/>
      <c r="AD95" s="74"/>
      <c r="AE95" s="74"/>
      <c r="AF95" s="76"/>
      <c r="AG95" s="76"/>
      <c r="AH95" s="76"/>
      <c r="AI95" s="76"/>
      <c r="AJ95" s="74"/>
      <c r="AK95" s="74"/>
      <c r="AL95" s="76"/>
    </row>
    <row r="96" spans="1:38" ht="24" customHeight="1" x14ac:dyDescent="0.3">
      <c r="A96" s="105"/>
      <c r="B96" s="106" t="s">
        <v>124</v>
      </c>
      <c r="C96" s="173">
        <f t="shared" ca="1" si="67"/>
        <v>0</v>
      </c>
      <c r="D96" s="174">
        <f t="shared" ca="1" si="68"/>
        <v>0</v>
      </c>
      <c r="E96" s="74">
        <f ca="1">IFERROR(__xludf.DUMMYFUNCTION("IMPORTRANGE(""https://docs.google.com/spreadsheets/d/1-uDff_7J0KD5mKrp0Vvzr7lt3OU09vwQwhkpOPPYv2Y/edit?usp=sharing"",""งบพรบ!BR96"")"),0)</f>
        <v>0</v>
      </c>
      <c r="F96" s="74">
        <f ca="1">IFERROR(__xludf.DUMMYFUNCTION("IMPORTRANGE(""https://docs.google.com/spreadsheets/d/1-uDff_7J0KD5mKrp0Vvzr7lt3OU09vwQwhkpOPPYv2Y/edit?usp=sharing"",""งบพรบ!BS96"")"),0)</f>
        <v>0</v>
      </c>
      <c r="G96" s="74">
        <f ca="1">IFERROR(__xludf.DUMMYFUNCTION("IMPORTRANGE(""https://docs.google.com/spreadsheets/d/1-uDff_7J0KD5mKrp0Vvzr7lt3OU09vwQwhkpOPPYv2Y/edit?usp=sharing"",""งบพรบ!BT96"")"),0)</f>
        <v>0</v>
      </c>
      <c r="H96" s="74">
        <f ca="1">IFERROR(__xludf.DUMMYFUNCTION("IMPORTRANGE(""https://docs.google.com/spreadsheets/d/1-uDff_7J0KD5mKrp0Vvzr7lt3OU09vwQwhkpOPPYv2Y/edit?usp=sharing"",""งบพรบ!BV96"")"),0)</f>
        <v>0</v>
      </c>
      <c r="I96" s="74">
        <f ca="1">IFERROR(__xludf.DUMMYFUNCTION("IMPORTRANGE(""https://docs.google.com/spreadsheets/d/1-uDff_7J0KD5mKrp0Vvzr7lt3OU09vwQwhkpOPPYv2Y/edit?usp=sharing"",""งบพรบ!BW96"")"),0)</f>
        <v>0</v>
      </c>
      <c r="J96" s="74">
        <f t="shared" ca="1" si="69"/>
        <v>0</v>
      </c>
      <c r="K96" s="75">
        <f t="shared" ca="1" si="70"/>
        <v>0</v>
      </c>
      <c r="L96" s="74">
        <f ca="1">IFERROR(__xludf.DUMMYFUNCTION("IMPORTRANGE(""https://docs.google.com/spreadsheets/d/1-uDff_7J0KD5mKrp0Vvzr7lt3OU09vwQwhkpOPPYv2Y/edit?usp=sharing"",""งบพรบ!BX96"")"),0)</f>
        <v>0</v>
      </c>
      <c r="M96" s="76">
        <f t="shared" ca="1" si="71"/>
        <v>0</v>
      </c>
      <c r="N96" s="76">
        <f t="shared" ca="1" si="72"/>
        <v>0</v>
      </c>
      <c r="O96" s="77">
        <f ca="1">IFERROR(__xludf.DUMMYFUNCTION("IMPORTRANGE(""https://docs.google.com/spreadsheets/d/1-uDff_7J0KD5mKrp0Vvzr7lt3OU09vwQwhkpOPPYv2Y/edit?usp=sharing"",""งบพรบ!BY96"")"),0)</f>
        <v>0</v>
      </c>
      <c r="P96" s="77">
        <f t="shared" ca="1" si="73"/>
        <v>0</v>
      </c>
      <c r="Q96" s="76">
        <f t="shared" ca="1" si="74"/>
        <v>0</v>
      </c>
      <c r="R96" s="77">
        <v>0</v>
      </c>
      <c r="S96" s="77">
        <v>0</v>
      </c>
      <c r="T96" s="77">
        <v>0</v>
      </c>
      <c r="U96" s="76">
        <f t="shared" si="36"/>
        <v>0</v>
      </c>
      <c r="V96" s="76">
        <f t="shared" si="37"/>
        <v>0</v>
      </c>
      <c r="W96" s="74"/>
      <c r="X96" s="74"/>
      <c r="Y96" s="74"/>
      <c r="Z96" s="74"/>
      <c r="AA96" s="76"/>
      <c r="AB96" s="76"/>
      <c r="AC96" s="76"/>
      <c r="AD96" s="74"/>
      <c r="AE96" s="74"/>
      <c r="AF96" s="76"/>
      <c r="AG96" s="76"/>
      <c r="AH96" s="76"/>
      <c r="AI96" s="76"/>
      <c r="AJ96" s="74"/>
      <c r="AK96" s="74"/>
      <c r="AL96" s="76"/>
    </row>
    <row r="97" spans="1:38" ht="24" customHeight="1" x14ac:dyDescent="0.3">
      <c r="A97" s="105"/>
      <c r="B97" s="106" t="s">
        <v>125</v>
      </c>
      <c r="C97" s="173">
        <f t="shared" ca="1" si="67"/>
        <v>0</v>
      </c>
      <c r="D97" s="174">
        <f t="shared" ca="1" si="68"/>
        <v>0</v>
      </c>
      <c r="E97" s="74">
        <f ca="1">IFERROR(__xludf.DUMMYFUNCTION("IMPORTRANGE(""https://docs.google.com/spreadsheets/d/1-uDff_7J0KD5mKrp0Vvzr7lt3OU09vwQwhkpOPPYv2Y/edit?usp=sharing"",""งบพรบ!BR97"")"),0)</f>
        <v>0</v>
      </c>
      <c r="F97" s="74">
        <f ca="1">IFERROR(__xludf.DUMMYFUNCTION("IMPORTRANGE(""https://docs.google.com/spreadsheets/d/1-uDff_7J0KD5mKrp0Vvzr7lt3OU09vwQwhkpOPPYv2Y/edit?usp=sharing"",""งบพรบ!BS97"")"),0)</f>
        <v>0</v>
      </c>
      <c r="G97" s="74">
        <f ca="1">IFERROR(__xludf.DUMMYFUNCTION("IMPORTRANGE(""https://docs.google.com/spreadsheets/d/1-uDff_7J0KD5mKrp0Vvzr7lt3OU09vwQwhkpOPPYv2Y/edit?usp=sharing"",""งบพรบ!BT97"")"),0)</f>
        <v>0</v>
      </c>
      <c r="H97" s="74">
        <f ca="1">IFERROR(__xludf.DUMMYFUNCTION("IMPORTRANGE(""https://docs.google.com/spreadsheets/d/1-uDff_7J0KD5mKrp0Vvzr7lt3OU09vwQwhkpOPPYv2Y/edit?usp=sharing"",""งบพรบ!BV97"")"),0)</f>
        <v>0</v>
      </c>
      <c r="I97" s="74">
        <f ca="1">IFERROR(__xludf.DUMMYFUNCTION("IMPORTRANGE(""https://docs.google.com/spreadsheets/d/1-uDff_7J0KD5mKrp0Vvzr7lt3OU09vwQwhkpOPPYv2Y/edit?usp=sharing"",""งบพรบ!BW97"")"),0)</f>
        <v>0</v>
      </c>
      <c r="J97" s="74">
        <f t="shared" ca="1" si="69"/>
        <v>0</v>
      </c>
      <c r="K97" s="75">
        <f t="shared" ca="1" si="70"/>
        <v>0</v>
      </c>
      <c r="L97" s="74">
        <f ca="1">IFERROR(__xludf.DUMMYFUNCTION("IMPORTRANGE(""https://docs.google.com/spreadsheets/d/1-uDff_7J0KD5mKrp0Vvzr7lt3OU09vwQwhkpOPPYv2Y/edit?usp=sharing"",""งบพรบ!BX97"")"),0)</f>
        <v>0</v>
      </c>
      <c r="M97" s="76">
        <f t="shared" ca="1" si="71"/>
        <v>0</v>
      </c>
      <c r="N97" s="76">
        <f t="shared" ca="1" si="72"/>
        <v>0</v>
      </c>
      <c r="O97" s="77">
        <f ca="1">IFERROR(__xludf.DUMMYFUNCTION("IMPORTRANGE(""https://docs.google.com/spreadsheets/d/1-uDff_7J0KD5mKrp0Vvzr7lt3OU09vwQwhkpOPPYv2Y/edit?usp=sharing"",""งบพรบ!BY97"")"),0)</f>
        <v>0</v>
      </c>
      <c r="P97" s="77">
        <f t="shared" ca="1" si="73"/>
        <v>0</v>
      </c>
      <c r="Q97" s="76">
        <f t="shared" ca="1" si="74"/>
        <v>0</v>
      </c>
      <c r="R97" s="77">
        <v>0</v>
      </c>
      <c r="S97" s="77">
        <v>0</v>
      </c>
      <c r="T97" s="77">
        <v>0</v>
      </c>
      <c r="U97" s="76">
        <f t="shared" si="36"/>
        <v>0</v>
      </c>
      <c r="V97" s="76">
        <f t="shared" si="37"/>
        <v>0</v>
      </c>
      <c r="W97" s="74"/>
      <c r="X97" s="74"/>
      <c r="Y97" s="74"/>
      <c r="Z97" s="74"/>
      <c r="AA97" s="76"/>
      <c r="AB97" s="76"/>
      <c r="AC97" s="76"/>
      <c r="AD97" s="74"/>
      <c r="AE97" s="74"/>
      <c r="AF97" s="76"/>
      <c r="AG97" s="76"/>
      <c r="AH97" s="76"/>
      <c r="AI97" s="76"/>
      <c r="AJ97" s="74"/>
      <c r="AK97" s="74"/>
      <c r="AL97" s="76"/>
    </row>
    <row r="98" spans="1:38" ht="24" customHeight="1" x14ac:dyDescent="0.3">
      <c r="A98" s="105"/>
      <c r="B98" s="106" t="s">
        <v>126</v>
      </c>
      <c r="C98" s="173">
        <f t="shared" ca="1" si="67"/>
        <v>0</v>
      </c>
      <c r="D98" s="174">
        <f t="shared" ca="1" si="68"/>
        <v>0</v>
      </c>
      <c r="E98" s="74">
        <f ca="1">IFERROR(__xludf.DUMMYFUNCTION("IMPORTRANGE(""https://docs.google.com/spreadsheets/d/1-uDff_7J0KD5mKrp0Vvzr7lt3OU09vwQwhkpOPPYv2Y/edit?usp=sharing"",""งบพรบ!BR98"")"),0)</f>
        <v>0</v>
      </c>
      <c r="F98" s="74">
        <f ca="1">IFERROR(__xludf.DUMMYFUNCTION("IMPORTRANGE(""https://docs.google.com/spreadsheets/d/1-uDff_7J0KD5mKrp0Vvzr7lt3OU09vwQwhkpOPPYv2Y/edit?usp=sharing"",""งบพรบ!BS98"")"),0)</f>
        <v>0</v>
      </c>
      <c r="G98" s="74">
        <f ca="1">IFERROR(__xludf.DUMMYFUNCTION("IMPORTRANGE(""https://docs.google.com/spreadsheets/d/1-uDff_7J0KD5mKrp0Vvzr7lt3OU09vwQwhkpOPPYv2Y/edit?usp=sharing"",""งบพรบ!BT98"")"),0)</f>
        <v>0</v>
      </c>
      <c r="H98" s="74">
        <f ca="1">IFERROR(__xludf.DUMMYFUNCTION("IMPORTRANGE(""https://docs.google.com/spreadsheets/d/1-uDff_7J0KD5mKrp0Vvzr7lt3OU09vwQwhkpOPPYv2Y/edit?usp=sharing"",""งบพรบ!BV98"")"),0)</f>
        <v>0</v>
      </c>
      <c r="I98" s="74">
        <f ca="1">IFERROR(__xludf.DUMMYFUNCTION("IMPORTRANGE(""https://docs.google.com/spreadsheets/d/1-uDff_7J0KD5mKrp0Vvzr7lt3OU09vwQwhkpOPPYv2Y/edit?usp=sharing"",""งบพรบ!BW98"")"),0)</f>
        <v>0</v>
      </c>
      <c r="J98" s="74">
        <f t="shared" ca="1" si="69"/>
        <v>0</v>
      </c>
      <c r="K98" s="75">
        <f t="shared" ca="1" si="70"/>
        <v>0</v>
      </c>
      <c r="L98" s="74">
        <f ca="1">IFERROR(__xludf.DUMMYFUNCTION("IMPORTRANGE(""https://docs.google.com/spreadsheets/d/1-uDff_7J0KD5mKrp0Vvzr7lt3OU09vwQwhkpOPPYv2Y/edit?usp=sharing"",""งบพรบ!BX98"")"),0)</f>
        <v>0</v>
      </c>
      <c r="M98" s="76">
        <f t="shared" ca="1" si="71"/>
        <v>0</v>
      </c>
      <c r="N98" s="76">
        <f t="shared" ca="1" si="72"/>
        <v>0</v>
      </c>
      <c r="O98" s="77">
        <f ca="1">IFERROR(__xludf.DUMMYFUNCTION("IMPORTRANGE(""https://docs.google.com/spreadsheets/d/1-uDff_7J0KD5mKrp0Vvzr7lt3OU09vwQwhkpOPPYv2Y/edit?usp=sharing"",""งบพรบ!BY98"")"),0)</f>
        <v>0</v>
      </c>
      <c r="P98" s="77">
        <f t="shared" ca="1" si="73"/>
        <v>0</v>
      </c>
      <c r="Q98" s="76">
        <f t="shared" ca="1" si="74"/>
        <v>0</v>
      </c>
      <c r="R98" s="77">
        <v>0</v>
      </c>
      <c r="S98" s="77">
        <v>0</v>
      </c>
      <c r="T98" s="77">
        <v>0</v>
      </c>
      <c r="U98" s="76">
        <f t="shared" si="36"/>
        <v>0</v>
      </c>
      <c r="V98" s="76">
        <f t="shared" si="37"/>
        <v>0</v>
      </c>
      <c r="W98" s="74"/>
      <c r="X98" s="74"/>
      <c r="Y98" s="74"/>
      <c r="Z98" s="74"/>
      <c r="AA98" s="76"/>
      <c r="AB98" s="76"/>
      <c r="AC98" s="76"/>
      <c r="AD98" s="74"/>
      <c r="AE98" s="74"/>
      <c r="AF98" s="76"/>
      <c r="AG98" s="76"/>
      <c r="AH98" s="76"/>
      <c r="AI98" s="76"/>
      <c r="AJ98" s="74"/>
      <c r="AK98" s="74"/>
      <c r="AL98" s="76"/>
    </row>
    <row r="99" spans="1:38" ht="24" customHeight="1" x14ac:dyDescent="0.3">
      <c r="A99" s="105"/>
      <c r="B99" s="106" t="s">
        <v>127</v>
      </c>
      <c r="C99" s="173">
        <f t="shared" ca="1" si="67"/>
        <v>0</v>
      </c>
      <c r="D99" s="174">
        <f t="shared" ca="1" si="68"/>
        <v>0</v>
      </c>
      <c r="E99" s="74">
        <f ca="1">IFERROR(__xludf.DUMMYFUNCTION("IMPORTRANGE(""https://docs.google.com/spreadsheets/d/1-uDff_7J0KD5mKrp0Vvzr7lt3OU09vwQwhkpOPPYv2Y/edit?usp=sharing"",""งบพรบ!BR99"")"),0)</f>
        <v>0</v>
      </c>
      <c r="F99" s="74">
        <f ca="1">IFERROR(__xludf.DUMMYFUNCTION("IMPORTRANGE(""https://docs.google.com/spreadsheets/d/1-uDff_7J0KD5mKrp0Vvzr7lt3OU09vwQwhkpOPPYv2Y/edit?usp=sharing"",""งบพรบ!BS99"")"),0)</f>
        <v>0</v>
      </c>
      <c r="G99" s="74">
        <f ca="1">IFERROR(__xludf.DUMMYFUNCTION("IMPORTRANGE(""https://docs.google.com/spreadsheets/d/1-uDff_7J0KD5mKrp0Vvzr7lt3OU09vwQwhkpOPPYv2Y/edit?usp=sharing"",""งบพรบ!BT99"")"),0)</f>
        <v>0</v>
      </c>
      <c r="H99" s="74">
        <f ca="1">IFERROR(__xludf.DUMMYFUNCTION("IMPORTRANGE(""https://docs.google.com/spreadsheets/d/1-uDff_7J0KD5mKrp0Vvzr7lt3OU09vwQwhkpOPPYv2Y/edit?usp=sharing"",""งบพรบ!BV99"")"),0)</f>
        <v>0</v>
      </c>
      <c r="I99" s="74">
        <f ca="1">IFERROR(__xludf.DUMMYFUNCTION("IMPORTRANGE(""https://docs.google.com/spreadsheets/d/1-uDff_7J0KD5mKrp0Vvzr7lt3OU09vwQwhkpOPPYv2Y/edit?usp=sharing"",""งบพรบ!BW99"")"),0)</f>
        <v>0</v>
      </c>
      <c r="J99" s="74">
        <f t="shared" ca="1" si="69"/>
        <v>0</v>
      </c>
      <c r="K99" s="75">
        <f t="shared" ca="1" si="70"/>
        <v>0</v>
      </c>
      <c r="L99" s="74">
        <f ca="1">IFERROR(__xludf.DUMMYFUNCTION("IMPORTRANGE(""https://docs.google.com/spreadsheets/d/1-uDff_7J0KD5mKrp0Vvzr7lt3OU09vwQwhkpOPPYv2Y/edit?usp=sharing"",""งบพรบ!BX99"")"),0)</f>
        <v>0</v>
      </c>
      <c r="M99" s="76">
        <f t="shared" ca="1" si="71"/>
        <v>0</v>
      </c>
      <c r="N99" s="76">
        <f t="shared" ca="1" si="72"/>
        <v>0</v>
      </c>
      <c r="O99" s="77">
        <f ca="1">IFERROR(__xludf.DUMMYFUNCTION("IMPORTRANGE(""https://docs.google.com/spreadsheets/d/1-uDff_7J0KD5mKrp0Vvzr7lt3OU09vwQwhkpOPPYv2Y/edit?usp=sharing"",""งบพรบ!BY99"")"),0)</f>
        <v>0</v>
      </c>
      <c r="P99" s="77">
        <f t="shared" ca="1" si="73"/>
        <v>0</v>
      </c>
      <c r="Q99" s="76">
        <f t="shared" ca="1" si="74"/>
        <v>0</v>
      </c>
      <c r="R99" s="77">
        <v>0</v>
      </c>
      <c r="S99" s="77">
        <v>0</v>
      </c>
      <c r="T99" s="77">
        <v>0</v>
      </c>
      <c r="U99" s="76">
        <f t="shared" si="36"/>
        <v>0</v>
      </c>
      <c r="V99" s="76">
        <f t="shared" si="37"/>
        <v>0</v>
      </c>
      <c r="W99" s="74"/>
      <c r="X99" s="74"/>
      <c r="Y99" s="74"/>
      <c r="Z99" s="74"/>
      <c r="AA99" s="76"/>
      <c r="AB99" s="76"/>
      <c r="AC99" s="76"/>
      <c r="AD99" s="74"/>
      <c r="AE99" s="74"/>
      <c r="AF99" s="76"/>
      <c r="AG99" s="76"/>
      <c r="AH99" s="76"/>
      <c r="AI99" s="76"/>
      <c r="AJ99" s="74"/>
      <c r="AK99" s="74"/>
      <c r="AL99" s="76"/>
    </row>
    <row r="100" spans="1:38" ht="24" customHeight="1" x14ac:dyDescent="0.3">
      <c r="A100" s="105"/>
      <c r="B100" s="106" t="s">
        <v>128</v>
      </c>
      <c r="C100" s="173">
        <f t="shared" ca="1" si="67"/>
        <v>0</v>
      </c>
      <c r="D100" s="174">
        <f t="shared" ca="1" si="68"/>
        <v>0</v>
      </c>
      <c r="E100" s="74">
        <f ca="1">IFERROR(__xludf.DUMMYFUNCTION("IMPORTRANGE(""https://docs.google.com/spreadsheets/d/1-uDff_7J0KD5mKrp0Vvzr7lt3OU09vwQwhkpOPPYv2Y/edit?usp=sharing"",""งบพรบ!BR100"")"),0)</f>
        <v>0</v>
      </c>
      <c r="F100" s="74">
        <f ca="1">IFERROR(__xludf.DUMMYFUNCTION("IMPORTRANGE(""https://docs.google.com/spreadsheets/d/1-uDff_7J0KD5mKrp0Vvzr7lt3OU09vwQwhkpOPPYv2Y/edit?usp=sharing"",""งบพรบ!BS100"")"),0)</f>
        <v>0</v>
      </c>
      <c r="G100" s="74">
        <f ca="1">IFERROR(__xludf.DUMMYFUNCTION("IMPORTRANGE(""https://docs.google.com/spreadsheets/d/1-uDff_7J0KD5mKrp0Vvzr7lt3OU09vwQwhkpOPPYv2Y/edit?usp=sharing"",""งบพรบ!BT100"")"),0)</f>
        <v>0</v>
      </c>
      <c r="H100" s="74">
        <f ca="1">IFERROR(__xludf.DUMMYFUNCTION("IMPORTRANGE(""https://docs.google.com/spreadsheets/d/1-uDff_7J0KD5mKrp0Vvzr7lt3OU09vwQwhkpOPPYv2Y/edit?usp=sharing"",""งบพรบ!BV100"")"),0)</f>
        <v>0</v>
      </c>
      <c r="I100" s="74">
        <f ca="1">IFERROR(__xludf.DUMMYFUNCTION("IMPORTRANGE(""https://docs.google.com/spreadsheets/d/1-uDff_7J0KD5mKrp0Vvzr7lt3OU09vwQwhkpOPPYv2Y/edit?usp=sharing"",""งบพรบ!BW100"")"),0)</f>
        <v>0</v>
      </c>
      <c r="J100" s="74">
        <f t="shared" ca="1" si="69"/>
        <v>0</v>
      </c>
      <c r="K100" s="75">
        <f t="shared" ca="1" si="70"/>
        <v>0</v>
      </c>
      <c r="L100" s="74">
        <f ca="1">IFERROR(__xludf.DUMMYFUNCTION("IMPORTRANGE(""https://docs.google.com/spreadsheets/d/1-uDff_7J0KD5mKrp0Vvzr7lt3OU09vwQwhkpOPPYv2Y/edit?usp=sharing"",""งบพรบ!BX100"")"),0)</f>
        <v>0</v>
      </c>
      <c r="M100" s="76">
        <f t="shared" ca="1" si="71"/>
        <v>0</v>
      </c>
      <c r="N100" s="76">
        <f t="shared" ca="1" si="72"/>
        <v>0</v>
      </c>
      <c r="O100" s="77">
        <f ca="1">IFERROR(__xludf.DUMMYFUNCTION("IMPORTRANGE(""https://docs.google.com/spreadsheets/d/1-uDff_7J0KD5mKrp0Vvzr7lt3OU09vwQwhkpOPPYv2Y/edit?usp=sharing"",""งบพรบ!BY100"")"),0)</f>
        <v>0</v>
      </c>
      <c r="P100" s="77">
        <f t="shared" ca="1" si="73"/>
        <v>0</v>
      </c>
      <c r="Q100" s="76">
        <f t="shared" ca="1" si="74"/>
        <v>0</v>
      </c>
      <c r="R100" s="77">
        <v>0</v>
      </c>
      <c r="S100" s="77">
        <v>0</v>
      </c>
      <c r="T100" s="77">
        <v>0</v>
      </c>
      <c r="U100" s="76">
        <f t="shared" si="36"/>
        <v>0</v>
      </c>
      <c r="V100" s="76">
        <f t="shared" si="37"/>
        <v>0</v>
      </c>
      <c r="W100" s="74"/>
      <c r="X100" s="74"/>
      <c r="Y100" s="74"/>
      <c r="Z100" s="74"/>
      <c r="AA100" s="76"/>
      <c r="AB100" s="76"/>
      <c r="AC100" s="76"/>
      <c r="AD100" s="74"/>
      <c r="AE100" s="74"/>
      <c r="AF100" s="76"/>
      <c r="AG100" s="76"/>
      <c r="AH100" s="76"/>
      <c r="AI100" s="76"/>
      <c r="AJ100" s="74"/>
      <c r="AK100" s="74"/>
      <c r="AL100" s="76"/>
    </row>
    <row r="101" spans="1:38" ht="24" customHeight="1" x14ac:dyDescent="0.3">
      <c r="A101" s="105"/>
      <c r="B101" s="106" t="s">
        <v>129</v>
      </c>
      <c r="C101" s="173">
        <f t="shared" ca="1" si="67"/>
        <v>219200</v>
      </c>
      <c r="D101" s="174">
        <f t="shared" ca="1" si="68"/>
        <v>219200</v>
      </c>
      <c r="E101" s="74">
        <f ca="1">IFERROR(__xludf.DUMMYFUNCTION("IMPORTRANGE(""https://docs.google.com/spreadsheets/d/1-uDff_7J0KD5mKrp0Vvzr7lt3OU09vwQwhkpOPPYv2Y/edit?usp=sharing"",""งบพรบ!BR101"")"),0)</f>
        <v>0</v>
      </c>
      <c r="F101" s="74">
        <f ca="1">IFERROR(__xludf.DUMMYFUNCTION("IMPORTRANGE(""https://docs.google.com/spreadsheets/d/1-uDff_7J0KD5mKrp0Vvzr7lt3OU09vwQwhkpOPPYv2Y/edit?usp=sharing"",""งบพรบ!BS101"")"),219200)</f>
        <v>219200</v>
      </c>
      <c r="G101" s="74">
        <f ca="1">IFERROR(__xludf.DUMMYFUNCTION("IMPORTRANGE(""https://docs.google.com/spreadsheets/d/1-uDff_7J0KD5mKrp0Vvzr7lt3OU09vwQwhkpOPPYv2Y/edit?usp=sharing"",""งบพรบ!BT101"")"),0)</f>
        <v>0</v>
      </c>
      <c r="H101" s="74">
        <f ca="1">IFERROR(__xludf.DUMMYFUNCTION("IMPORTRANGE(""https://docs.google.com/spreadsheets/d/1-uDff_7J0KD5mKrp0Vvzr7lt3OU09vwQwhkpOPPYv2Y/edit?usp=sharing"",""งบพรบ!BV101"")"),399200)</f>
        <v>399200</v>
      </c>
      <c r="I101" s="74">
        <f ca="1">IFERROR(__xludf.DUMMYFUNCTION("IMPORTRANGE(""https://docs.google.com/spreadsheets/d/1-uDff_7J0KD5mKrp0Vvzr7lt3OU09vwQwhkpOPPYv2Y/edit?usp=sharing"",""งบพรบ!BW101"")"),0)</f>
        <v>0</v>
      </c>
      <c r="J101" s="74">
        <f t="shared" ca="1" si="69"/>
        <v>382119.64</v>
      </c>
      <c r="K101" s="75">
        <f t="shared" ca="1" si="70"/>
        <v>174.32465328467154</v>
      </c>
      <c r="L101" s="74">
        <f ca="1">IFERROR(__xludf.DUMMYFUNCTION("IMPORTRANGE(""https://docs.google.com/spreadsheets/d/1-uDff_7J0KD5mKrp0Vvzr7lt3OU09vwQwhkpOPPYv2Y/edit?usp=sharing"",""งบพรบ!BX101"")"),382119.64)</f>
        <v>382119.64</v>
      </c>
      <c r="M101" s="76">
        <f t="shared" ca="1" si="71"/>
        <v>174.32465328467154</v>
      </c>
      <c r="N101" s="76">
        <f t="shared" ca="1" si="72"/>
        <v>95.721352705410823</v>
      </c>
      <c r="O101" s="77">
        <f ca="1">IFERROR(__xludf.DUMMYFUNCTION("IMPORTRANGE(""https://docs.google.com/spreadsheets/d/1-uDff_7J0KD5mKrp0Vvzr7lt3OU09vwQwhkpOPPYv2Y/edit?usp=sharing"",""งบพรบ!BY101"")"),0)</f>
        <v>0</v>
      </c>
      <c r="P101" s="77">
        <f t="shared" ca="1" si="73"/>
        <v>0</v>
      </c>
      <c r="Q101" s="76">
        <f t="shared" ca="1" si="74"/>
        <v>0</v>
      </c>
      <c r="R101" s="77">
        <f ca="1">IFERROR(__xludf.DUMMYFUNCTION("IMPORTRANGE(""https://docs.google.com/spreadsheets/d/1ItG2mGa2ceCfYo0BwxsXqNm01IGEUdYcSSLTEv9YCik/edit?usp=sharing"",""เบิกจ่ายกองทุน!CC92"")"),240195)</f>
        <v>240195</v>
      </c>
      <c r="S101" s="77">
        <f ca="1">IFERROR(__xludf.DUMMYFUNCTION("IMPORTRANGE(""https://docs.google.com/spreadsheets/d/1ItG2mGa2ceCfYo0BwxsXqNm01IGEUdYcSSLTEv9YCik/edit?usp=sharing"",""เบิกจ่ายกองทุน!CD92"")"),240195)</f>
        <v>240195</v>
      </c>
      <c r="T101" s="77">
        <f ca="1">IFERROR(__xludf.DUMMYFUNCTION("IMPORTRANGE(""https://docs.google.com/spreadsheets/d/1ItG2mGa2ceCfYo0BwxsXqNm01IGEUdYcSSLTEv9YCik/edit?usp=sharing"",""เบิกจ่ายกองทุน!CE92"")"),49400.02)</f>
        <v>49400.02</v>
      </c>
      <c r="U101" s="76">
        <f t="shared" ca="1" si="36"/>
        <v>20.566631278752681</v>
      </c>
      <c r="V101" s="76">
        <f t="shared" ca="1" si="37"/>
        <v>20.566631278752681</v>
      </c>
      <c r="W101" s="74"/>
      <c r="X101" s="74"/>
      <c r="Y101" s="74"/>
      <c r="Z101" s="74"/>
      <c r="AA101" s="76"/>
      <c r="AB101" s="76"/>
      <c r="AC101" s="76"/>
      <c r="AD101" s="74"/>
      <c r="AE101" s="74"/>
      <c r="AF101" s="76"/>
      <c r="AG101" s="76"/>
      <c r="AH101" s="76"/>
      <c r="AI101" s="76"/>
      <c r="AJ101" s="74"/>
      <c r="AK101" s="74"/>
      <c r="AL101" s="76"/>
    </row>
    <row r="102" spans="1:38" ht="24" customHeight="1" x14ac:dyDescent="0.3">
      <c r="A102" s="105"/>
      <c r="B102" s="106" t="s">
        <v>130</v>
      </c>
      <c r="C102" s="173">
        <f t="shared" ca="1" si="67"/>
        <v>0</v>
      </c>
      <c r="D102" s="174">
        <f t="shared" ca="1" si="68"/>
        <v>0</v>
      </c>
      <c r="E102" s="74">
        <f ca="1">IFERROR(__xludf.DUMMYFUNCTION("IMPORTRANGE(""https://docs.google.com/spreadsheets/d/1-uDff_7J0KD5mKrp0Vvzr7lt3OU09vwQwhkpOPPYv2Y/edit?usp=sharing"",""งบพรบ!BR102"")"),0)</f>
        <v>0</v>
      </c>
      <c r="F102" s="74">
        <f ca="1">IFERROR(__xludf.DUMMYFUNCTION("IMPORTRANGE(""https://docs.google.com/spreadsheets/d/1-uDff_7J0KD5mKrp0Vvzr7lt3OU09vwQwhkpOPPYv2Y/edit?usp=sharing"",""งบพรบ!BS102"")"),0)</f>
        <v>0</v>
      </c>
      <c r="G102" s="74">
        <f ca="1">IFERROR(__xludf.DUMMYFUNCTION("IMPORTRANGE(""https://docs.google.com/spreadsheets/d/1-uDff_7J0KD5mKrp0Vvzr7lt3OU09vwQwhkpOPPYv2Y/edit?usp=sharing"",""งบพรบ!BT102"")"),0)</f>
        <v>0</v>
      </c>
      <c r="H102" s="74">
        <f ca="1">IFERROR(__xludf.DUMMYFUNCTION("IMPORTRANGE(""https://docs.google.com/spreadsheets/d/1-uDff_7J0KD5mKrp0Vvzr7lt3OU09vwQwhkpOPPYv2Y/edit?usp=sharing"",""งบพรบ!BV102"")"),0)</f>
        <v>0</v>
      </c>
      <c r="I102" s="74">
        <f ca="1">IFERROR(__xludf.DUMMYFUNCTION("IMPORTRANGE(""https://docs.google.com/spreadsheets/d/1-uDff_7J0KD5mKrp0Vvzr7lt3OU09vwQwhkpOPPYv2Y/edit?usp=sharing"",""งบพรบ!BW102"")"),0)</f>
        <v>0</v>
      </c>
      <c r="J102" s="74">
        <f t="shared" ca="1" si="69"/>
        <v>0</v>
      </c>
      <c r="K102" s="75">
        <f t="shared" ca="1" si="70"/>
        <v>0</v>
      </c>
      <c r="L102" s="74">
        <f ca="1">IFERROR(__xludf.DUMMYFUNCTION("IMPORTRANGE(""https://docs.google.com/spreadsheets/d/1-uDff_7J0KD5mKrp0Vvzr7lt3OU09vwQwhkpOPPYv2Y/edit?usp=sharing"",""งบพรบ!BX102"")"),0)</f>
        <v>0</v>
      </c>
      <c r="M102" s="76">
        <f t="shared" ca="1" si="71"/>
        <v>0</v>
      </c>
      <c r="N102" s="76">
        <f t="shared" ca="1" si="72"/>
        <v>0</v>
      </c>
      <c r="O102" s="77">
        <f ca="1">IFERROR(__xludf.DUMMYFUNCTION("IMPORTRANGE(""https://docs.google.com/spreadsheets/d/1-uDff_7J0KD5mKrp0Vvzr7lt3OU09vwQwhkpOPPYv2Y/edit?usp=sharing"",""งบพรบ!BY102"")"),0)</f>
        <v>0</v>
      </c>
      <c r="P102" s="77">
        <f t="shared" ca="1" si="73"/>
        <v>0</v>
      </c>
      <c r="Q102" s="76">
        <f t="shared" ca="1" si="74"/>
        <v>0</v>
      </c>
      <c r="R102" s="77">
        <v>0</v>
      </c>
      <c r="S102" s="77">
        <v>0</v>
      </c>
      <c r="T102" s="77">
        <v>0</v>
      </c>
      <c r="U102" s="76">
        <f t="shared" si="36"/>
        <v>0</v>
      </c>
      <c r="V102" s="76">
        <f t="shared" si="37"/>
        <v>0</v>
      </c>
      <c r="W102" s="74"/>
      <c r="X102" s="74"/>
      <c r="Y102" s="74"/>
      <c r="Z102" s="74"/>
      <c r="AA102" s="76"/>
      <c r="AB102" s="76"/>
      <c r="AC102" s="76"/>
      <c r="AD102" s="74"/>
      <c r="AE102" s="74"/>
      <c r="AF102" s="76"/>
      <c r="AG102" s="76"/>
      <c r="AH102" s="76"/>
      <c r="AI102" s="76"/>
      <c r="AJ102" s="74"/>
      <c r="AK102" s="74"/>
      <c r="AL102" s="76"/>
    </row>
    <row r="103" spans="1:38" ht="24" customHeight="1" x14ac:dyDescent="0.3">
      <c r="A103" s="105"/>
      <c r="B103" s="106" t="s">
        <v>131</v>
      </c>
      <c r="C103" s="173">
        <f t="shared" ca="1" si="67"/>
        <v>0</v>
      </c>
      <c r="D103" s="174">
        <f t="shared" ca="1" si="68"/>
        <v>0</v>
      </c>
      <c r="E103" s="74">
        <f ca="1">IFERROR(__xludf.DUMMYFUNCTION("IMPORTRANGE(""https://docs.google.com/spreadsheets/d/1-uDff_7J0KD5mKrp0Vvzr7lt3OU09vwQwhkpOPPYv2Y/edit?usp=sharing"",""งบพรบ!BR103"")"),0)</f>
        <v>0</v>
      </c>
      <c r="F103" s="74">
        <f ca="1">IFERROR(__xludf.DUMMYFUNCTION("IMPORTRANGE(""https://docs.google.com/spreadsheets/d/1-uDff_7J0KD5mKrp0Vvzr7lt3OU09vwQwhkpOPPYv2Y/edit?usp=sharing"",""งบพรบ!BS103"")"),0)</f>
        <v>0</v>
      </c>
      <c r="G103" s="74">
        <f ca="1">IFERROR(__xludf.DUMMYFUNCTION("IMPORTRANGE(""https://docs.google.com/spreadsheets/d/1-uDff_7J0KD5mKrp0Vvzr7lt3OU09vwQwhkpOPPYv2Y/edit?usp=sharing"",""งบพรบ!BT103"")"),0)</f>
        <v>0</v>
      </c>
      <c r="H103" s="74">
        <f ca="1">IFERROR(__xludf.DUMMYFUNCTION("IMPORTRANGE(""https://docs.google.com/spreadsheets/d/1-uDff_7J0KD5mKrp0Vvzr7lt3OU09vwQwhkpOPPYv2Y/edit?usp=sharing"",""งบพรบ!BV103"")"),0)</f>
        <v>0</v>
      </c>
      <c r="I103" s="74">
        <f ca="1">IFERROR(__xludf.DUMMYFUNCTION("IMPORTRANGE(""https://docs.google.com/spreadsheets/d/1-uDff_7J0KD5mKrp0Vvzr7lt3OU09vwQwhkpOPPYv2Y/edit?usp=sharing"",""งบพรบ!BW103"")"),0)</f>
        <v>0</v>
      </c>
      <c r="J103" s="74">
        <f t="shared" ca="1" si="69"/>
        <v>0</v>
      </c>
      <c r="K103" s="75">
        <f t="shared" ca="1" si="70"/>
        <v>0</v>
      </c>
      <c r="L103" s="74">
        <f ca="1">IFERROR(__xludf.DUMMYFUNCTION("IMPORTRANGE(""https://docs.google.com/spreadsheets/d/1-uDff_7J0KD5mKrp0Vvzr7lt3OU09vwQwhkpOPPYv2Y/edit?usp=sharing"",""งบพรบ!BX103"")"),0)</f>
        <v>0</v>
      </c>
      <c r="M103" s="76">
        <f t="shared" ca="1" si="71"/>
        <v>0</v>
      </c>
      <c r="N103" s="76">
        <f t="shared" ca="1" si="72"/>
        <v>0</v>
      </c>
      <c r="O103" s="77">
        <f ca="1">IFERROR(__xludf.DUMMYFUNCTION("IMPORTRANGE(""https://docs.google.com/spreadsheets/d/1-uDff_7J0KD5mKrp0Vvzr7lt3OU09vwQwhkpOPPYv2Y/edit?usp=sharing"",""งบพรบ!BY103"")"),0)</f>
        <v>0</v>
      </c>
      <c r="P103" s="77">
        <f t="shared" ca="1" si="73"/>
        <v>0</v>
      </c>
      <c r="Q103" s="76">
        <f t="shared" ca="1" si="74"/>
        <v>0</v>
      </c>
      <c r="R103" s="107">
        <v>0</v>
      </c>
      <c r="S103" s="107">
        <v>0</v>
      </c>
      <c r="T103" s="107">
        <v>0</v>
      </c>
      <c r="U103" s="108">
        <f t="shared" si="36"/>
        <v>0</v>
      </c>
      <c r="V103" s="108">
        <f t="shared" si="37"/>
        <v>0</v>
      </c>
      <c r="W103" s="74"/>
      <c r="X103" s="74"/>
      <c r="Y103" s="74"/>
      <c r="Z103" s="74"/>
      <c r="AA103" s="76"/>
      <c r="AB103" s="76"/>
      <c r="AC103" s="76"/>
      <c r="AD103" s="74"/>
      <c r="AE103" s="74"/>
      <c r="AF103" s="76"/>
      <c r="AG103" s="76"/>
      <c r="AH103" s="76"/>
      <c r="AI103" s="76"/>
      <c r="AJ103" s="74"/>
      <c r="AK103" s="74"/>
      <c r="AL103" s="76"/>
    </row>
    <row r="104" spans="1:38" ht="24" customHeight="1" x14ac:dyDescent="0.3">
      <c r="A104" s="105"/>
      <c r="B104" s="106" t="s">
        <v>132</v>
      </c>
      <c r="C104" s="173">
        <f t="shared" ca="1" si="67"/>
        <v>92800</v>
      </c>
      <c r="D104" s="174">
        <f t="shared" ca="1" si="68"/>
        <v>92800</v>
      </c>
      <c r="E104" s="74">
        <f ca="1">IFERROR(__xludf.DUMMYFUNCTION("IMPORTRANGE(""https://docs.google.com/spreadsheets/d/1-uDff_7J0KD5mKrp0Vvzr7lt3OU09vwQwhkpOPPYv2Y/edit?usp=sharing"",""งบพรบ!BR104"")"),92800)</f>
        <v>92800</v>
      </c>
      <c r="F104" s="74">
        <f ca="1">IFERROR(__xludf.DUMMYFUNCTION("IMPORTRANGE(""https://docs.google.com/spreadsheets/d/1-uDff_7J0KD5mKrp0Vvzr7lt3OU09vwQwhkpOPPYv2Y/edit?usp=sharing"",""งบพรบ!BS104"")"),0)</f>
        <v>0</v>
      </c>
      <c r="G104" s="74">
        <f ca="1">IFERROR(__xludf.DUMMYFUNCTION("IMPORTRANGE(""https://docs.google.com/spreadsheets/d/1-uDff_7J0KD5mKrp0Vvzr7lt3OU09vwQwhkpOPPYv2Y/edit?usp=sharing"",""งบพรบ!BT104"")"),0)</f>
        <v>0</v>
      </c>
      <c r="H104" s="74">
        <f ca="1">IFERROR(__xludf.DUMMYFUNCTION("IMPORTRANGE(""https://docs.google.com/spreadsheets/d/1-uDff_7J0KD5mKrp0Vvzr7lt3OU09vwQwhkpOPPYv2Y/edit?usp=sharing"",""งบพรบ!BV104"")"),0)</f>
        <v>0</v>
      </c>
      <c r="I104" s="74">
        <f ca="1">IFERROR(__xludf.DUMMYFUNCTION("IMPORTRANGE(""https://docs.google.com/spreadsheets/d/1-uDff_7J0KD5mKrp0Vvzr7lt3OU09vwQwhkpOPPYv2Y/edit?usp=sharing"",""งบพรบ!BW104"")"),0)</f>
        <v>0</v>
      </c>
      <c r="J104" s="74">
        <f t="shared" ca="1" si="69"/>
        <v>0</v>
      </c>
      <c r="K104" s="75">
        <f t="shared" ca="1" si="70"/>
        <v>0</v>
      </c>
      <c r="L104" s="74">
        <f ca="1">IFERROR(__xludf.DUMMYFUNCTION("IMPORTRANGE(""https://docs.google.com/spreadsheets/d/1-uDff_7J0KD5mKrp0Vvzr7lt3OU09vwQwhkpOPPYv2Y/edit?usp=sharing"",""งบพรบ!BX104"")"),0)</f>
        <v>0</v>
      </c>
      <c r="M104" s="76">
        <f t="shared" ca="1" si="71"/>
        <v>0</v>
      </c>
      <c r="N104" s="76">
        <f t="shared" ca="1" si="72"/>
        <v>0</v>
      </c>
      <c r="O104" s="77">
        <f ca="1">IFERROR(__xludf.DUMMYFUNCTION("IMPORTRANGE(""https://docs.google.com/spreadsheets/d/1-uDff_7J0KD5mKrp0Vvzr7lt3OU09vwQwhkpOPPYv2Y/edit?usp=sharing"",""งบพรบ!BY104"")"),0)</f>
        <v>0</v>
      </c>
      <c r="P104" s="77">
        <f t="shared" ca="1" si="73"/>
        <v>0</v>
      </c>
      <c r="Q104" s="76">
        <f t="shared" ca="1" si="74"/>
        <v>0</v>
      </c>
      <c r="R104" s="77">
        <v>0</v>
      </c>
      <c r="S104" s="77">
        <v>0</v>
      </c>
      <c r="T104" s="77">
        <v>0</v>
      </c>
      <c r="U104" s="76">
        <f t="shared" si="36"/>
        <v>0</v>
      </c>
      <c r="V104" s="76">
        <f t="shared" si="37"/>
        <v>0</v>
      </c>
      <c r="W104" s="74"/>
      <c r="X104" s="74"/>
      <c r="Y104" s="74"/>
      <c r="Z104" s="74"/>
      <c r="AA104" s="76"/>
      <c r="AB104" s="76"/>
      <c r="AC104" s="76"/>
      <c r="AD104" s="74"/>
      <c r="AE104" s="74"/>
      <c r="AF104" s="76"/>
      <c r="AG104" s="76"/>
      <c r="AH104" s="76"/>
      <c r="AI104" s="76"/>
      <c r="AJ104" s="74"/>
      <c r="AK104" s="74"/>
      <c r="AL104" s="76"/>
    </row>
    <row r="105" spans="1:38" ht="24" customHeight="1" x14ac:dyDescent="0.3">
      <c r="A105" s="105"/>
      <c r="B105" s="109" t="s">
        <v>133</v>
      </c>
      <c r="C105" s="173">
        <f t="shared" ca="1" si="67"/>
        <v>0</v>
      </c>
      <c r="D105" s="174">
        <f t="shared" ca="1" si="68"/>
        <v>0</v>
      </c>
      <c r="E105" s="74">
        <f ca="1">IFERROR(__xludf.DUMMYFUNCTION("IMPORTRANGE(""https://docs.google.com/spreadsheets/d/1-uDff_7J0KD5mKrp0Vvzr7lt3OU09vwQwhkpOPPYv2Y/edit?usp=sharing"",""งบพรบ!BR105"")"),0)</f>
        <v>0</v>
      </c>
      <c r="F105" s="74">
        <f ca="1">IFERROR(__xludf.DUMMYFUNCTION("IMPORTRANGE(""https://docs.google.com/spreadsheets/d/1-uDff_7J0KD5mKrp0Vvzr7lt3OU09vwQwhkpOPPYv2Y/edit?usp=sharing"",""งบพรบ!BS105"")"),0)</f>
        <v>0</v>
      </c>
      <c r="G105" s="74">
        <f ca="1">IFERROR(__xludf.DUMMYFUNCTION("IMPORTRANGE(""https://docs.google.com/spreadsheets/d/1-uDff_7J0KD5mKrp0Vvzr7lt3OU09vwQwhkpOPPYv2Y/edit?usp=sharing"",""งบพรบ!BT105"")"),0)</f>
        <v>0</v>
      </c>
      <c r="H105" s="74">
        <f ca="1">IFERROR(__xludf.DUMMYFUNCTION("IMPORTRANGE(""https://docs.google.com/spreadsheets/d/1-uDff_7J0KD5mKrp0Vvzr7lt3OU09vwQwhkpOPPYv2Y/edit?usp=sharing"",""งบพรบ!BV105"")"),0)</f>
        <v>0</v>
      </c>
      <c r="I105" s="74">
        <f ca="1">IFERROR(__xludf.DUMMYFUNCTION("IMPORTRANGE(""https://docs.google.com/spreadsheets/d/1-uDff_7J0KD5mKrp0Vvzr7lt3OU09vwQwhkpOPPYv2Y/edit?usp=sharing"",""งบพรบ!BW105"")"),0)</f>
        <v>0</v>
      </c>
      <c r="J105" s="74">
        <f t="shared" ca="1" si="69"/>
        <v>0</v>
      </c>
      <c r="K105" s="75">
        <f t="shared" ca="1" si="70"/>
        <v>0</v>
      </c>
      <c r="L105" s="74">
        <f ca="1">IFERROR(__xludf.DUMMYFUNCTION("IMPORTRANGE(""https://docs.google.com/spreadsheets/d/1-uDff_7J0KD5mKrp0Vvzr7lt3OU09vwQwhkpOPPYv2Y/edit?usp=sharing"",""งบพรบ!BX105"")"),0)</f>
        <v>0</v>
      </c>
      <c r="M105" s="76">
        <f t="shared" ca="1" si="71"/>
        <v>0</v>
      </c>
      <c r="N105" s="76">
        <f t="shared" ca="1" si="72"/>
        <v>0</v>
      </c>
      <c r="O105" s="77">
        <f ca="1">IFERROR(__xludf.DUMMYFUNCTION("IMPORTRANGE(""https://docs.google.com/spreadsheets/d/1-uDff_7J0KD5mKrp0Vvzr7lt3OU09vwQwhkpOPPYv2Y/edit?usp=sharing"",""งบพรบ!BY105"")"),0)</f>
        <v>0</v>
      </c>
      <c r="P105" s="77">
        <f t="shared" ca="1" si="73"/>
        <v>0</v>
      </c>
      <c r="Q105" s="76">
        <f t="shared" ca="1" si="74"/>
        <v>0</v>
      </c>
      <c r="R105" s="110">
        <v>0</v>
      </c>
      <c r="S105" s="110">
        <v>0</v>
      </c>
      <c r="T105" s="110">
        <v>0</v>
      </c>
      <c r="U105" s="111">
        <f t="shared" si="36"/>
        <v>0</v>
      </c>
      <c r="V105" s="111">
        <f t="shared" si="37"/>
        <v>0</v>
      </c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</row>
    <row r="106" spans="1:38" ht="24" customHeight="1" x14ac:dyDescent="0.3">
      <c r="A106" s="105"/>
      <c r="B106" s="109" t="s">
        <v>134</v>
      </c>
      <c r="C106" s="173">
        <f t="shared" ca="1" si="67"/>
        <v>0</v>
      </c>
      <c r="D106" s="174">
        <f t="shared" ca="1" si="68"/>
        <v>0</v>
      </c>
      <c r="E106" s="74">
        <f ca="1">IFERROR(__xludf.DUMMYFUNCTION("IMPORTRANGE(""https://docs.google.com/spreadsheets/d/1-uDff_7J0KD5mKrp0Vvzr7lt3OU09vwQwhkpOPPYv2Y/edit?usp=sharing"",""งบพรบ!BR106"")"),0)</f>
        <v>0</v>
      </c>
      <c r="F106" s="74">
        <f ca="1">IFERROR(__xludf.DUMMYFUNCTION("IMPORTRANGE(""https://docs.google.com/spreadsheets/d/1-uDff_7J0KD5mKrp0Vvzr7lt3OU09vwQwhkpOPPYv2Y/edit?usp=sharing"",""งบพรบ!BS106"")"),0)</f>
        <v>0</v>
      </c>
      <c r="G106" s="74">
        <f ca="1">IFERROR(__xludf.DUMMYFUNCTION("IMPORTRANGE(""https://docs.google.com/spreadsheets/d/1-uDff_7J0KD5mKrp0Vvzr7lt3OU09vwQwhkpOPPYv2Y/edit?usp=sharing"",""งบพรบ!BT106"")"),0)</f>
        <v>0</v>
      </c>
      <c r="H106" s="74">
        <f ca="1">IFERROR(__xludf.DUMMYFUNCTION("IMPORTRANGE(""https://docs.google.com/spreadsheets/d/1-uDff_7J0KD5mKrp0Vvzr7lt3OU09vwQwhkpOPPYv2Y/edit?usp=sharing"",""งบพรบ!BV106"")"),0)</f>
        <v>0</v>
      </c>
      <c r="I106" s="74">
        <f ca="1">IFERROR(__xludf.DUMMYFUNCTION("IMPORTRANGE(""https://docs.google.com/spreadsheets/d/1-uDff_7J0KD5mKrp0Vvzr7lt3OU09vwQwhkpOPPYv2Y/edit?usp=sharing"",""งบพรบ!BW106"")"),0)</f>
        <v>0</v>
      </c>
      <c r="J106" s="74">
        <f t="shared" ca="1" si="69"/>
        <v>0</v>
      </c>
      <c r="K106" s="75">
        <f t="shared" ca="1" si="70"/>
        <v>0</v>
      </c>
      <c r="L106" s="74">
        <f ca="1">IFERROR(__xludf.DUMMYFUNCTION("IMPORTRANGE(""https://docs.google.com/spreadsheets/d/1-uDff_7J0KD5mKrp0Vvzr7lt3OU09vwQwhkpOPPYv2Y/edit?usp=sharing"",""งบพรบ!BX106"")"),0)</f>
        <v>0</v>
      </c>
      <c r="M106" s="76">
        <f t="shared" ca="1" si="71"/>
        <v>0</v>
      </c>
      <c r="N106" s="76">
        <f t="shared" ca="1" si="72"/>
        <v>0</v>
      </c>
      <c r="O106" s="77">
        <f ca="1">IFERROR(__xludf.DUMMYFUNCTION("IMPORTRANGE(""https://docs.google.com/spreadsheets/d/1-uDff_7J0KD5mKrp0Vvzr7lt3OU09vwQwhkpOPPYv2Y/edit?usp=sharing"",""งบพรบ!BY106"")"),0)</f>
        <v>0</v>
      </c>
      <c r="P106" s="77">
        <f t="shared" ca="1" si="73"/>
        <v>0</v>
      </c>
      <c r="Q106" s="76">
        <f t="shared" ca="1" si="74"/>
        <v>0</v>
      </c>
      <c r="R106" s="77">
        <v>0</v>
      </c>
      <c r="S106" s="77">
        <v>0</v>
      </c>
      <c r="T106" s="77">
        <v>0</v>
      </c>
      <c r="U106" s="76">
        <f t="shared" si="36"/>
        <v>0</v>
      </c>
      <c r="V106" s="76">
        <f t="shared" si="37"/>
        <v>0</v>
      </c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</row>
    <row r="107" spans="1:38" ht="24" customHeight="1" x14ac:dyDescent="0.3">
      <c r="A107" s="105"/>
      <c r="B107" s="109" t="s">
        <v>26</v>
      </c>
      <c r="C107" s="173">
        <f t="shared" ca="1" si="67"/>
        <v>0</v>
      </c>
      <c r="D107" s="174">
        <f t="shared" ca="1" si="68"/>
        <v>0</v>
      </c>
      <c r="E107" s="74">
        <f ca="1">IFERROR(__xludf.DUMMYFUNCTION("IMPORTRANGE(""https://docs.google.com/spreadsheets/d/1-uDff_7J0KD5mKrp0Vvzr7lt3OU09vwQwhkpOPPYv2Y/edit?usp=sharing"",""งบพรบ!BR107"")"),0)</f>
        <v>0</v>
      </c>
      <c r="F107" s="74">
        <f ca="1">IFERROR(__xludf.DUMMYFUNCTION("IMPORTRANGE(""https://docs.google.com/spreadsheets/d/1-uDff_7J0KD5mKrp0Vvzr7lt3OU09vwQwhkpOPPYv2Y/edit?usp=sharing"",""งบพรบ!BS107"")"),0)</f>
        <v>0</v>
      </c>
      <c r="G107" s="74">
        <f ca="1">IFERROR(__xludf.DUMMYFUNCTION("IMPORTRANGE(""https://docs.google.com/spreadsheets/d/1-uDff_7J0KD5mKrp0Vvzr7lt3OU09vwQwhkpOPPYv2Y/edit?usp=sharing"",""งบพรบ!BT107"")"),0)</f>
        <v>0</v>
      </c>
      <c r="H107" s="74">
        <f ca="1">IFERROR(__xludf.DUMMYFUNCTION("IMPORTRANGE(""https://docs.google.com/spreadsheets/d/1-uDff_7J0KD5mKrp0Vvzr7lt3OU09vwQwhkpOPPYv2Y/edit?usp=sharing"",""งบพรบ!BV107"")"),0)</f>
        <v>0</v>
      </c>
      <c r="I107" s="74">
        <f ca="1">IFERROR(__xludf.DUMMYFUNCTION("IMPORTRANGE(""https://docs.google.com/spreadsheets/d/1-uDff_7J0KD5mKrp0Vvzr7lt3OU09vwQwhkpOPPYv2Y/edit?usp=sharing"",""งบพรบ!BW107"")"),0)</f>
        <v>0</v>
      </c>
      <c r="J107" s="74">
        <f t="shared" ca="1" si="69"/>
        <v>0</v>
      </c>
      <c r="K107" s="75">
        <f t="shared" ca="1" si="70"/>
        <v>0</v>
      </c>
      <c r="L107" s="74">
        <f ca="1">IFERROR(__xludf.DUMMYFUNCTION("IMPORTRANGE(""https://docs.google.com/spreadsheets/d/1-uDff_7J0KD5mKrp0Vvzr7lt3OU09vwQwhkpOPPYv2Y/edit?usp=sharing"",""งบพรบ!BX107"")"),0)</f>
        <v>0</v>
      </c>
      <c r="M107" s="76">
        <f t="shared" ca="1" si="71"/>
        <v>0</v>
      </c>
      <c r="N107" s="76">
        <f t="shared" ca="1" si="72"/>
        <v>0</v>
      </c>
      <c r="O107" s="77">
        <f ca="1">IFERROR(__xludf.DUMMYFUNCTION("IMPORTRANGE(""https://docs.google.com/spreadsheets/d/1-uDff_7J0KD5mKrp0Vvzr7lt3OU09vwQwhkpOPPYv2Y/edit?usp=sharing"",""งบพรบ!BY107"")"),0)</f>
        <v>0</v>
      </c>
      <c r="P107" s="77">
        <f t="shared" ca="1" si="73"/>
        <v>0</v>
      </c>
      <c r="Q107" s="76">
        <f t="shared" ca="1" si="74"/>
        <v>0</v>
      </c>
      <c r="R107" s="77">
        <v>0</v>
      </c>
      <c r="S107" s="77">
        <v>0</v>
      </c>
      <c r="T107" s="77">
        <v>0</v>
      </c>
      <c r="U107" s="76">
        <f t="shared" si="36"/>
        <v>0</v>
      </c>
      <c r="V107" s="76">
        <f t="shared" si="37"/>
        <v>0</v>
      </c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</row>
    <row r="108" spans="1:38" ht="24" customHeight="1" x14ac:dyDescent="0.3">
      <c r="A108" s="112"/>
      <c r="B108" s="113" t="s">
        <v>135</v>
      </c>
      <c r="C108" s="193">
        <f t="shared" ca="1" si="67"/>
        <v>0</v>
      </c>
      <c r="D108" s="194">
        <f t="shared" ca="1" si="68"/>
        <v>0</v>
      </c>
      <c r="E108" s="84">
        <f ca="1">IFERROR(__xludf.DUMMYFUNCTION("IMPORTRANGE(""https://docs.google.com/spreadsheets/d/1-uDff_7J0KD5mKrp0Vvzr7lt3OU09vwQwhkpOPPYv2Y/edit?usp=sharing"",""งบพรบ!BR108"")"),0)</f>
        <v>0</v>
      </c>
      <c r="F108" s="84">
        <f ca="1">IFERROR(__xludf.DUMMYFUNCTION("IMPORTRANGE(""https://docs.google.com/spreadsheets/d/1-uDff_7J0KD5mKrp0Vvzr7lt3OU09vwQwhkpOPPYv2Y/edit?usp=sharing"",""งบพรบ!BS108"")"),0)</f>
        <v>0</v>
      </c>
      <c r="G108" s="84">
        <f ca="1">IFERROR(__xludf.DUMMYFUNCTION("IMPORTRANGE(""https://docs.google.com/spreadsheets/d/1-uDff_7J0KD5mKrp0Vvzr7lt3OU09vwQwhkpOPPYv2Y/edit?usp=sharing"",""งบพรบ!BT108"")"),0)</f>
        <v>0</v>
      </c>
      <c r="H108" s="84">
        <f ca="1">IFERROR(__xludf.DUMMYFUNCTION("IMPORTRANGE(""https://docs.google.com/spreadsheets/d/1-uDff_7J0KD5mKrp0Vvzr7lt3OU09vwQwhkpOPPYv2Y/edit?usp=sharing"",""งบพรบ!BV108"")"),0)</f>
        <v>0</v>
      </c>
      <c r="I108" s="84">
        <f ca="1">IFERROR(__xludf.DUMMYFUNCTION("IMPORTRANGE(""https://docs.google.com/spreadsheets/d/1-uDff_7J0KD5mKrp0Vvzr7lt3OU09vwQwhkpOPPYv2Y/edit?usp=sharing"",""งบพรบ!BW108"")"),0)</f>
        <v>0</v>
      </c>
      <c r="J108" s="84">
        <f t="shared" ca="1" si="69"/>
        <v>0</v>
      </c>
      <c r="K108" s="85">
        <f t="shared" ca="1" si="70"/>
        <v>0</v>
      </c>
      <c r="L108" s="84">
        <f ca="1">IFERROR(__xludf.DUMMYFUNCTION("IMPORTRANGE(""https://docs.google.com/spreadsheets/d/1-uDff_7J0KD5mKrp0Vvzr7lt3OU09vwQwhkpOPPYv2Y/edit?usp=sharing"",""งบพรบ!BX108"")"),0)</f>
        <v>0</v>
      </c>
      <c r="M108" s="86">
        <f t="shared" ca="1" si="71"/>
        <v>0</v>
      </c>
      <c r="N108" s="86">
        <f t="shared" ca="1" si="72"/>
        <v>0</v>
      </c>
      <c r="O108" s="87">
        <f ca="1">IFERROR(__xludf.DUMMYFUNCTION("IMPORTRANGE(""https://docs.google.com/spreadsheets/d/1-uDff_7J0KD5mKrp0Vvzr7lt3OU09vwQwhkpOPPYv2Y/edit?usp=sharing"",""งบพรบ!BY108"")"),0)</f>
        <v>0</v>
      </c>
      <c r="P108" s="87">
        <f t="shared" ca="1" si="73"/>
        <v>0</v>
      </c>
      <c r="Q108" s="86">
        <f t="shared" ca="1" si="74"/>
        <v>0</v>
      </c>
      <c r="R108" s="87">
        <v>0</v>
      </c>
      <c r="S108" s="87">
        <v>0</v>
      </c>
      <c r="T108" s="87">
        <v>0</v>
      </c>
      <c r="U108" s="86">
        <f t="shared" si="36"/>
        <v>0</v>
      </c>
      <c r="V108" s="86">
        <f t="shared" si="37"/>
        <v>0</v>
      </c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</row>
  </sheetData>
  <mergeCells count="41">
    <mergeCell ref="A89:B89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U4:U6"/>
    <mergeCell ref="C2:V2"/>
    <mergeCell ref="W2:AL2"/>
    <mergeCell ref="C3:Q3"/>
    <mergeCell ref="R3:V3"/>
    <mergeCell ref="W3:AL3"/>
    <mergeCell ref="C4:G4"/>
    <mergeCell ref="AJ4:AL4"/>
    <mergeCell ref="I5:I6"/>
    <mergeCell ref="J5:K5"/>
    <mergeCell ref="L5:N5"/>
    <mergeCell ref="O5:Q5"/>
    <mergeCell ref="AH5:AI5"/>
    <mergeCell ref="AK5:AL5"/>
    <mergeCell ref="F5:F6"/>
    <mergeCell ref="G5:G6"/>
    <mergeCell ref="H4:I4"/>
    <mergeCell ref="J4:Q4"/>
    <mergeCell ref="R4:R6"/>
    <mergeCell ref="S4:S6"/>
    <mergeCell ref="T4:T6"/>
    <mergeCell ref="H5:H6"/>
    <mergeCell ref="X4:AC4"/>
    <mergeCell ref="AD4:AI4"/>
    <mergeCell ref="V4:V6"/>
    <mergeCell ref="W4:W6"/>
    <mergeCell ref="X5:Y5"/>
    <mergeCell ref="Z5:AA5"/>
    <mergeCell ref="AB5:AC5"/>
    <mergeCell ref="AD5:AE5"/>
    <mergeCell ref="AF5:AG5"/>
  </mergeCells>
  <conditionalFormatting sqref="K14:K30 K32:K51 K53:K73 K75:K88">
    <cfRule type="colorScale" priority="5">
      <colorScale>
        <cfvo type="percent" val="22"/>
        <cfvo type="percent" val="44"/>
        <cfvo type="percent" val="88"/>
        <color rgb="FFFF0000"/>
        <color rgb="FFFFFF00"/>
        <color rgb="FF38761D"/>
      </colorScale>
    </cfRule>
  </conditionalFormatting>
  <conditionalFormatting sqref="U14:U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AA14:AA30 AC14:AC30 AG14:AG30 AI14:AI30 AL14:AL30 AA32:AA51 AC32:AC51 AG32:AG51 AI32:AI51 AL32:AL51 AA53:AA73 AC53:AC73 AG53:AG73 AI53:AI73 AL53:AL73 AA75:AA88 AC75:AC88 AG75:AG88 AI75:AI88 AL75:AL88">
    <cfRule type="colorScale" priority="6">
      <colorScale>
        <cfvo type="percent" val="0"/>
        <cfvo type="percent" val="50"/>
        <cfvo type="percent" val="100"/>
        <color rgb="FFFF0000"/>
        <color rgb="FFFFFF00"/>
        <color rgb="FF38761D"/>
      </colorScale>
    </cfRule>
  </conditionalFormatting>
  <conditionalFormatting sqref="AF14:AF19">
    <cfRule type="expression" dxfId="2" priority="3">
      <formula>"af&gt;ae"</formula>
    </cfRule>
    <cfRule type="expression" dxfId="1" priority="4">
      <formula>"af=ad"</formula>
    </cfRule>
  </conditionalFormatting>
  <conditionalFormatting sqref="AG15">
    <cfRule type="expression" dxfId="0" priority="2">
      <formula>"less than value of ae column"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FF00"/>
    <outlinePr summaryBelow="0" summaryRight="0"/>
  </sheetPr>
  <dimension ref="A1:AE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31" width="14.42578125" customWidth="1"/>
  </cols>
  <sheetData>
    <row r="1" spans="1:31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2"/>
      <c r="Y1" s="4"/>
      <c r="Z1" s="4"/>
      <c r="AA1" s="4"/>
      <c r="AB1" s="4"/>
      <c r="AC1" s="4"/>
      <c r="AD1" s="4"/>
      <c r="AE1" s="4"/>
    </row>
    <row r="2" spans="1:31" ht="30" customHeight="1" x14ac:dyDescent="0.2">
      <c r="A2" s="657" t="s">
        <v>1</v>
      </c>
      <c r="B2" s="658"/>
      <c r="C2" s="669" t="s">
        <v>154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70" t="s">
        <v>155</v>
      </c>
      <c r="X2" s="646"/>
      <c r="Y2" s="646"/>
      <c r="Z2" s="646"/>
      <c r="AA2" s="646"/>
      <c r="AB2" s="646"/>
      <c r="AC2" s="646"/>
      <c r="AD2" s="646"/>
      <c r="AE2" s="647"/>
    </row>
    <row r="3" spans="1:31" ht="30" customHeight="1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09" t="s">
        <v>5</v>
      </c>
      <c r="S3" s="646"/>
      <c r="T3" s="646"/>
      <c r="U3" s="646"/>
      <c r="V3" s="647"/>
      <c r="W3" s="708" t="s">
        <v>156</v>
      </c>
      <c r="X3" s="674"/>
      <c r="Y3" s="658"/>
      <c r="Z3" s="708" t="s">
        <v>157</v>
      </c>
      <c r="AA3" s="674"/>
      <c r="AB3" s="658"/>
      <c r="AC3" s="708" t="s">
        <v>158</v>
      </c>
      <c r="AD3" s="674"/>
      <c r="AE3" s="658"/>
    </row>
    <row r="4" spans="1:31" ht="30" customHeight="1" x14ac:dyDescent="0.2">
      <c r="A4" s="659"/>
      <c r="B4" s="660"/>
      <c r="C4" s="677" t="s">
        <v>8</v>
      </c>
      <c r="D4" s="646"/>
      <c r="E4" s="646"/>
      <c r="F4" s="646"/>
      <c r="G4" s="647"/>
      <c r="H4" s="678" t="s">
        <v>9</v>
      </c>
      <c r="I4" s="647"/>
      <c r="J4" s="676" t="s">
        <v>10</v>
      </c>
      <c r="K4" s="646"/>
      <c r="L4" s="646"/>
      <c r="M4" s="646"/>
      <c r="N4" s="646"/>
      <c r="O4" s="646"/>
      <c r="P4" s="646"/>
      <c r="Q4" s="647"/>
      <c r="R4" s="711" t="s">
        <v>11</v>
      </c>
      <c r="S4" s="703" t="s">
        <v>12</v>
      </c>
      <c r="T4" s="710" t="s">
        <v>13</v>
      </c>
      <c r="U4" s="710" t="s">
        <v>14</v>
      </c>
      <c r="V4" s="710" t="s">
        <v>15</v>
      </c>
      <c r="W4" s="661"/>
      <c r="X4" s="675"/>
      <c r="Y4" s="662"/>
      <c r="Z4" s="661"/>
      <c r="AA4" s="675"/>
      <c r="AB4" s="662"/>
      <c r="AC4" s="661"/>
      <c r="AD4" s="675"/>
      <c r="AE4" s="662"/>
    </row>
    <row r="5" spans="1:31" ht="30" customHeight="1" x14ac:dyDescent="0.2">
      <c r="A5" s="659"/>
      <c r="B5" s="660"/>
      <c r="C5" s="679" t="s">
        <v>20</v>
      </c>
      <c r="D5" s="680" t="s">
        <v>21</v>
      </c>
      <c r="E5" s="681" t="s">
        <v>22</v>
      </c>
      <c r="F5" s="682" t="s">
        <v>23</v>
      </c>
      <c r="G5" s="683" t="s">
        <v>24</v>
      </c>
      <c r="H5" s="651" t="s">
        <v>25</v>
      </c>
      <c r="I5" s="651" t="s">
        <v>26</v>
      </c>
      <c r="J5" s="653" t="s">
        <v>27</v>
      </c>
      <c r="K5" s="647"/>
      <c r="L5" s="653" t="s">
        <v>25</v>
      </c>
      <c r="M5" s="646"/>
      <c r="N5" s="647"/>
      <c r="O5" s="654" t="s">
        <v>26</v>
      </c>
      <c r="P5" s="646"/>
      <c r="Q5" s="647"/>
      <c r="R5" s="649"/>
      <c r="S5" s="649"/>
      <c r="T5" s="649"/>
      <c r="U5" s="649"/>
      <c r="V5" s="649"/>
      <c r="W5" s="7" t="s">
        <v>28</v>
      </c>
      <c r="X5" s="656" t="s">
        <v>29</v>
      </c>
      <c r="Y5" s="647"/>
      <c r="Z5" s="7" t="s">
        <v>28</v>
      </c>
      <c r="AA5" s="656" t="s">
        <v>29</v>
      </c>
      <c r="AB5" s="647"/>
      <c r="AC5" s="7" t="s">
        <v>28</v>
      </c>
      <c r="AD5" s="656" t="s">
        <v>29</v>
      </c>
      <c r="AE5" s="647"/>
    </row>
    <row r="6" spans="1:31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650"/>
      <c r="S6" s="650"/>
      <c r="T6" s="650"/>
      <c r="U6" s="650"/>
      <c r="V6" s="650"/>
      <c r="W6" s="7" t="s">
        <v>35</v>
      </c>
      <c r="X6" s="15" t="s">
        <v>35</v>
      </c>
      <c r="Y6" s="14" t="s">
        <v>31</v>
      </c>
      <c r="Z6" s="7" t="s">
        <v>35</v>
      </c>
      <c r="AA6" s="15" t="s">
        <v>35</v>
      </c>
      <c r="AB6" s="14" t="s">
        <v>31</v>
      </c>
      <c r="AC6" s="7" t="s">
        <v>35</v>
      </c>
      <c r="AD6" s="15" t="s">
        <v>35</v>
      </c>
      <c r="AE6" s="14" t="s">
        <v>31</v>
      </c>
    </row>
    <row r="7" spans="1:31" ht="24" customHeight="1" x14ac:dyDescent="0.3">
      <c r="A7" s="663" t="s">
        <v>38</v>
      </c>
      <c r="B7" s="647"/>
      <c r="C7" s="126">
        <f t="shared" ref="C7:C9" ca="1" si="0">D7+G7</f>
        <v>5111200</v>
      </c>
      <c r="D7" s="127">
        <f t="shared" ref="D7:E7" ca="1" si="1">D8+D9+D12</f>
        <v>5111200</v>
      </c>
      <c r="E7" s="128">
        <f t="shared" ca="1" si="1"/>
        <v>2300000</v>
      </c>
      <c r="F7" s="129">
        <f ca="1">F8+F9</f>
        <v>2811200</v>
      </c>
      <c r="G7" s="130">
        <f t="shared" ref="G7:I7" ca="1" si="2">G8+G9+G12</f>
        <v>0</v>
      </c>
      <c r="H7" s="131">
        <f t="shared" ca="1" si="2"/>
        <v>5111200</v>
      </c>
      <c r="I7" s="131">
        <f t="shared" ca="1" si="2"/>
        <v>0</v>
      </c>
      <c r="J7" s="132">
        <f t="shared" ref="J7:J9" ca="1" si="3">L7+O7</f>
        <v>4090586.04</v>
      </c>
      <c r="K7" s="133">
        <f t="shared" ref="K7:K9" ca="1" si="4">IF(C7&gt;0,J7*100/C7,0)</f>
        <v>80.031813272812641</v>
      </c>
      <c r="L7" s="132">
        <f ca="1">L8+L9+L12</f>
        <v>4090586.04</v>
      </c>
      <c r="M7" s="27">
        <f t="shared" ref="M7:M9" ca="1" si="5">IF(D7&gt;0,L7*100/D7,0)</f>
        <v>80.031813272812641</v>
      </c>
      <c r="N7" s="27">
        <f t="shared" ref="N7:N9" ca="1" si="6">IF(H7&gt;0,L7*100/H7,0)</f>
        <v>80.031813272812641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2379400</v>
      </c>
      <c r="S7" s="26">
        <f t="shared" ca="1" si="9"/>
        <v>2379400</v>
      </c>
      <c r="T7" s="26">
        <f t="shared" ca="1" si="9"/>
        <v>94090</v>
      </c>
      <c r="U7" s="27">
        <f t="shared" ref="U7:U9" ca="1" si="10">IF(R7&gt;0,T7*100/R7,0)</f>
        <v>3.9543582415735061</v>
      </c>
      <c r="V7" s="27">
        <f t="shared" ref="V7:V9" ca="1" si="11">IF(S7&gt;0,T7*100/S7,0)</f>
        <v>3.9543582415735061</v>
      </c>
      <c r="W7" s="28">
        <f t="shared" ref="W7:X7" ca="1" si="12">W8</f>
        <v>500</v>
      </c>
      <c r="X7" s="29">
        <f t="shared" ca="1" si="12"/>
        <v>552</v>
      </c>
      <c r="Y7" s="30">
        <f t="shared" ref="Y7:Y8" ca="1" si="13">IF(W7&gt;0,X7*100/W7,0)</f>
        <v>110.4</v>
      </c>
      <c r="Z7" s="28">
        <f t="shared" ref="Z7:AA7" ca="1" si="14">Z9</f>
        <v>500</v>
      </c>
      <c r="AA7" s="29">
        <f t="shared" ca="1" si="14"/>
        <v>401</v>
      </c>
      <c r="AB7" s="30">
        <f t="shared" ref="AB7:AB9" ca="1" si="15">IF(Z7&gt;0,AA7*100/Z7,0)</f>
        <v>80.2</v>
      </c>
      <c r="AC7" s="28">
        <f t="shared" ref="AC7:AD7" ca="1" si="16">AC9</f>
        <v>1500</v>
      </c>
      <c r="AD7" s="29">
        <f t="shared" ca="1" si="16"/>
        <v>827</v>
      </c>
      <c r="AE7" s="30">
        <f t="shared" ref="AE7:AE9" ca="1" si="17">IF(AC7&gt;0,AD7*100/AC7,0)</f>
        <v>55.133333333333333</v>
      </c>
    </row>
    <row r="8" spans="1:31" ht="28.5" customHeight="1" x14ac:dyDescent="0.3">
      <c r="A8" s="31" t="s">
        <v>39</v>
      </c>
      <c r="B8" s="31"/>
      <c r="C8" s="136">
        <f t="shared" ca="1" si="0"/>
        <v>256000</v>
      </c>
      <c r="D8" s="136">
        <f t="shared" ref="D8:I8" ca="1" si="18">+D13+D31+D52+D74</f>
        <v>256000</v>
      </c>
      <c r="E8" s="136">
        <f t="shared" ca="1" si="18"/>
        <v>0</v>
      </c>
      <c r="F8" s="136">
        <f t="shared" ca="1" si="18"/>
        <v>256000</v>
      </c>
      <c r="G8" s="136">
        <f t="shared" ca="1" si="18"/>
        <v>0</v>
      </c>
      <c r="H8" s="136">
        <f t="shared" ca="1" si="18"/>
        <v>1164919</v>
      </c>
      <c r="I8" s="136">
        <f t="shared" ca="1" si="18"/>
        <v>0</v>
      </c>
      <c r="J8" s="136">
        <f t="shared" ca="1" si="3"/>
        <v>926635.27</v>
      </c>
      <c r="K8" s="137">
        <f t="shared" ca="1" si="4"/>
        <v>361.96690234375001</v>
      </c>
      <c r="L8" s="136">
        <f ca="1">+L13+L31+L52+L74</f>
        <v>926635.27</v>
      </c>
      <c r="M8" s="37">
        <f t="shared" ca="1" si="5"/>
        <v>361.96690234375001</v>
      </c>
      <c r="N8" s="37">
        <f t="shared" ca="1" si="6"/>
        <v>79.545038753767429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19">+R13+R31+R52+R74</f>
        <v>0</v>
      </c>
      <c r="S8" s="36">
        <f t="shared" ca="1" si="19"/>
        <v>0</v>
      </c>
      <c r="T8" s="36">
        <f t="shared" ca="1" si="19"/>
        <v>0</v>
      </c>
      <c r="U8" s="37">
        <f t="shared" ca="1" si="10"/>
        <v>0</v>
      </c>
      <c r="V8" s="37">
        <f t="shared" ca="1" si="11"/>
        <v>0</v>
      </c>
      <c r="W8" s="32">
        <f t="shared" ref="W8:X8" ca="1" si="20">+W13+W31+W52+W74</f>
        <v>500</v>
      </c>
      <c r="X8" s="32">
        <f t="shared" ca="1" si="20"/>
        <v>552</v>
      </c>
      <c r="Y8" s="34">
        <f t="shared" ca="1" si="13"/>
        <v>110.4</v>
      </c>
      <c r="Z8" s="32">
        <f t="shared" ref="Z8:AA8" si="21">+Z13+Z31+Z52+Z74</f>
        <v>0</v>
      </c>
      <c r="AA8" s="32">
        <f t="shared" si="21"/>
        <v>0</v>
      </c>
      <c r="AB8" s="34">
        <f t="shared" si="15"/>
        <v>0</v>
      </c>
      <c r="AC8" s="32">
        <f t="shared" ref="AC8:AD8" si="22">+AC13+AC31+AC52+AC74</f>
        <v>0</v>
      </c>
      <c r="AD8" s="32">
        <f t="shared" si="22"/>
        <v>0</v>
      </c>
      <c r="AE8" s="34">
        <f t="shared" si="17"/>
        <v>0</v>
      </c>
    </row>
    <row r="9" spans="1:31" ht="28.5" customHeight="1" x14ac:dyDescent="0.3">
      <c r="A9" s="38" t="s">
        <v>40</v>
      </c>
      <c r="B9" s="38"/>
      <c r="C9" s="139">
        <f t="shared" ca="1" si="0"/>
        <v>4855200</v>
      </c>
      <c r="D9" s="139">
        <f t="shared" ref="D9:I9" ca="1" si="23">+D89</f>
        <v>4855200</v>
      </c>
      <c r="E9" s="139">
        <f t="shared" ca="1" si="23"/>
        <v>2300000</v>
      </c>
      <c r="F9" s="139">
        <f t="shared" ca="1" si="23"/>
        <v>2555200</v>
      </c>
      <c r="G9" s="139">
        <f t="shared" ca="1" si="23"/>
        <v>0</v>
      </c>
      <c r="H9" s="139">
        <f t="shared" ca="1" si="23"/>
        <v>3946281</v>
      </c>
      <c r="I9" s="139">
        <f t="shared" ca="1" si="23"/>
        <v>0</v>
      </c>
      <c r="J9" s="139">
        <f t="shared" ca="1" si="3"/>
        <v>3163950.77</v>
      </c>
      <c r="K9" s="140">
        <f t="shared" ca="1" si="4"/>
        <v>65.166229403526117</v>
      </c>
      <c r="L9" s="139">
        <f ca="1">+L89</f>
        <v>3163950.77</v>
      </c>
      <c r="M9" s="44">
        <f t="shared" ca="1" si="5"/>
        <v>65.166229403526117</v>
      </c>
      <c r="N9" s="44">
        <f t="shared" ca="1" si="6"/>
        <v>80.175506255129832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4">+R89</f>
        <v>2379400</v>
      </c>
      <c r="S9" s="43">
        <f t="shared" ca="1" si="24"/>
        <v>2379400</v>
      </c>
      <c r="T9" s="43">
        <f t="shared" ca="1" si="24"/>
        <v>94090</v>
      </c>
      <c r="U9" s="44">
        <f t="shared" ca="1" si="10"/>
        <v>3.9543582415735061</v>
      </c>
      <c r="V9" s="44">
        <f t="shared" ca="1" si="11"/>
        <v>3.9543582415735061</v>
      </c>
      <c r="W9" s="39"/>
      <c r="X9" s="39"/>
      <c r="Y9" s="41"/>
      <c r="Z9" s="39">
        <f ca="1">IFERROR(__xludf.DUMMYFUNCTION("IMPORTRANGE(""https://docs.google.com/spreadsheets/d/1W-HhGofCdyidljablT5AVQ143BAUWsE-bKbHVeok6Og/edit?usp=sharing"",""ทั้งประเทศ!I168"")"),500)</f>
        <v>500</v>
      </c>
      <c r="AA9" s="39">
        <f ca="1">IFERROR(__xludf.DUMMYFUNCTION("IMPORTRANGE(""https://docs.google.com/spreadsheets/d/1W-HhGofCdyidljablT5AVQ143BAUWsE-bKbHVeok6Og/edit?usp=sharing"",""ทั้งประเทศ!J168"")"),401)</f>
        <v>401</v>
      </c>
      <c r="AB9" s="41">
        <f t="shared" ca="1" si="15"/>
        <v>80.2</v>
      </c>
      <c r="AC9" s="39">
        <f ca="1">IFERROR(__xludf.DUMMYFUNCTION("IMPORTRANGE(""https://docs.google.com/spreadsheets/d/1W-HhGofCdyidljablT5AVQ143BAUWsE-bKbHVeok6Og/edit?usp=sharing"",""ทั้งประเทศ!I169"")"),1500)</f>
        <v>1500</v>
      </c>
      <c r="AD9" s="39">
        <f ca="1">IFERROR(__xludf.DUMMYFUNCTION("IMPORTRANGE(""https://docs.google.com/spreadsheets/d/1W-HhGofCdyidljablT5AVQ143BAUWsE-bKbHVeok6Og/edit?usp=sharing"",""ทั้งประเทศ!J169"")"),827)</f>
        <v>827</v>
      </c>
      <c r="AE9" s="41">
        <f t="shared" ca="1" si="17"/>
        <v>55.133333333333333</v>
      </c>
    </row>
    <row r="10" spans="1:31" ht="28.5" hidden="1" customHeight="1" x14ac:dyDescent="0.3">
      <c r="A10" s="45"/>
      <c r="B10" s="45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195"/>
      <c r="S10" s="195"/>
      <c r="T10" s="195"/>
      <c r="U10" s="196"/>
      <c r="V10" s="196"/>
      <c r="W10" s="46"/>
      <c r="X10" s="46"/>
      <c r="Y10" s="48"/>
      <c r="Z10" s="46"/>
      <c r="AA10" s="46"/>
      <c r="AB10" s="48"/>
      <c r="AC10" s="46"/>
      <c r="AD10" s="46"/>
      <c r="AE10" s="48"/>
    </row>
    <row r="11" spans="1:31" ht="28.5" hidden="1" customHeight="1" x14ac:dyDescent="0.3">
      <c r="A11" s="45"/>
      <c r="B11" s="45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195"/>
      <c r="S11" s="195"/>
      <c r="T11" s="195"/>
      <c r="U11" s="196"/>
      <c r="V11" s="196"/>
      <c r="W11" s="46"/>
      <c r="X11" s="46"/>
      <c r="Y11" s="48"/>
      <c r="Z11" s="46"/>
      <c r="AA11" s="46"/>
      <c r="AB11" s="48"/>
      <c r="AC11" s="46"/>
      <c r="AD11" s="46"/>
      <c r="AE11" s="48"/>
    </row>
    <row r="12" spans="1:31" ht="28.5" hidden="1" customHeight="1" x14ac:dyDescent="0.3">
      <c r="A12" s="45"/>
      <c r="B12" s="45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195"/>
      <c r="S12" s="195"/>
      <c r="T12" s="195"/>
      <c r="U12" s="196"/>
      <c r="V12" s="196"/>
      <c r="W12" s="46"/>
      <c r="X12" s="46"/>
      <c r="Y12" s="48"/>
      <c r="Z12" s="46"/>
      <c r="AA12" s="46"/>
      <c r="AB12" s="48"/>
      <c r="AC12" s="46"/>
      <c r="AD12" s="46"/>
      <c r="AE12" s="48"/>
    </row>
    <row r="13" spans="1:31" ht="28.5" customHeight="1" x14ac:dyDescent="0.3">
      <c r="A13" s="664" t="s">
        <v>41</v>
      </c>
      <c r="B13" s="647"/>
      <c r="C13" s="145">
        <f t="shared" ref="C13:C88" ca="1" si="25">D13+G13</f>
        <v>167000</v>
      </c>
      <c r="D13" s="145">
        <f t="shared" ref="D13:I13" ca="1" si="26">SUM(D14:D30)</f>
        <v>167000</v>
      </c>
      <c r="E13" s="145">
        <f t="shared" ca="1" si="26"/>
        <v>0</v>
      </c>
      <c r="F13" s="145">
        <f t="shared" ca="1" si="26"/>
        <v>167000</v>
      </c>
      <c r="G13" s="145">
        <f t="shared" ca="1" si="26"/>
        <v>0</v>
      </c>
      <c r="H13" s="145">
        <f t="shared" ca="1" si="26"/>
        <v>257096</v>
      </c>
      <c r="I13" s="145">
        <f t="shared" ca="1" si="26"/>
        <v>0</v>
      </c>
      <c r="J13" s="145">
        <f t="shared" ref="J13:J88" ca="1" si="27">L13+O13</f>
        <v>178683.27000000002</v>
      </c>
      <c r="K13" s="146">
        <f t="shared" ref="K13:K88" ca="1" si="28">IF(C13&gt;0,J13*100/C13,0)</f>
        <v>106.99597005988024</v>
      </c>
      <c r="L13" s="145">
        <f ca="1">SUM(L14:L30)</f>
        <v>178683.27000000002</v>
      </c>
      <c r="M13" s="57">
        <f t="shared" ref="M13:M88" ca="1" si="29">IF(D13&gt;0,L13*100/D13,0)</f>
        <v>106.99597005988024</v>
      </c>
      <c r="N13" s="57">
        <f t="shared" ref="N13:N88" ca="1" si="30">IF(H13&gt;0,L13*100/H13,0)</f>
        <v>69.500602887637299</v>
      </c>
      <c r="O13" s="56">
        <f ca="1">SUM(O14:O30)</f>
        <v>0</v>
      </c>
      <c r="P13" s="56">
        <f t="shared" ref="P13:P88" ca="1" si="31">IF(G13&gt;0,O13*100/G13,0)</f>
        <v>0</v>
      </c>
      <c r="Q13" s="57">
        <f t="shared" ref="Q13:Q88" ca="1" si="32">IF(I13&gt;0,O13*100/I13,0)</f>
        <v>0</v>
      </c>
      <c r="R13" s="56">
        <f t="shared" ref="R13:T13" ca="1" si="33">SUM(R14:R30)</f>
        <v>0</v>
      </c>
      <c r="S13" s="56">
        <f t="shared" ca="1" si="33"/>
        <v>0</v>
      </c>
      <c r="T13" s="56">
        <f t="shared" ca="1" si="33"/>
        <v>0</v>
      </c>
      <c r="U13" s="57">
        <f t="shared" ref="U13:U108" ca="1" si="34">IF(R13&gt;0,T13*100/R13,0)</f>
        <v>0</v>
      </c>
      <c r="V13" s="57">
        <f t="shared" ref="V13:V108" ca="1" si="35">IF(S13&gt;0,T13*100/S13,0)</f>
        <v>0</v>
      </c>
      <c r="W13" s="52">
        <f t="shared" ref="W13:X13" ca="1" si="36">SUM(W14:W30)</f>
        <v>210</v>
      </c>
      <c r="X13" s="52">
        <f t="shared" ca="1" si="36"/>
        <v>239</v>
      </c>
      <c r="Y13" s="54">
        <f t="shared" ref="Y13:Y88" ca="1" si="37">IF(W13&gt;0,X13*100/W13,0)</f>
        <v>113.80952380952381</v>
      </c>
      <c r="Z13" s="52"/>
      <c r="AA13" s="52"/>
      <c r="AB13" s="54"/>
      <c r="AC13" s="52"/>
      <c r="AD13" s="52"/>
      <c r="AE13" s="54"/>
    </row>
    <row r="14" spans="1:31" ht="24" customHeight="1" x14ac:dyDescent="0.3">
      <c r="A14" s="58">
        <v>1</v>
      </c>
      <c r="B14" s="59" t="s">
        <v>42</v>
      </c>
      <c r="C14" s="149">
        <f t="shared" ca="1" si="25"/>
        <v>0</v>
      </c>
      <c r="D14" s="150">
        <f t="shared" ref="D14:D30" ca="1" si="38">+E14+F14</f>
        <v>0</v>
      </c>
      <c r="E14" s="151">
        <f ca="1">IFERROR(__xludf.DUMMYFUNCTION("IMPORTRANGE(""https://docs.google.com/spreadsheets/d/1-uDff_7J0KD5mKrp0Vvzr7lt3OU09vwQwhkpOPPYv2Y/edit?usp=sharing"",""งบพรบ!CB14"")"),0)</f>
        <v>0</v>
      </c>
      <c r="F14" s="151">
        <f ca="1">IFERROR(__xludf.DUMMYFUNCTION("IMPORTRANGE(""https://docs.google.com/spreadsheets/d/1-uDff_7J0KD5mKrp0Vvzr7lt3OU09vwQwhkpOPPYv2Y/edit?usp=sharing"",""งบพรบ!CC14"")"),0)</f>
        <v>0</v>
      </c>
      <c r="G14" s="152">
        <f ca="1">IFERROR(__xludf.DUMMYFUNCTION("IMPORTRANGE(""https://docs.google.com/spreadsheets/d/1-uDff_7J0KD5mKrp0Vvzr7lt3OU09vwQwhkpOPPYv2Y/edit?usp=sharing"",""งบพรบ!CD14"")"),0)</f>
        <v>0</v>
      </c>
      <c r="H14" s="152">
        <f ca="1">IFERROR(__xludf.DUMMYFUNCTION("IMPORTRANGE(""https://docs.google.com/spreadsheets/d/1-uDff_7J0KD5mKrp0Vvzr7lt3OU09vwQwhkpOPPYv2Y/edit?usp=sharing"",""งบพรบ!CF14"")"),1392)</f>
        <v>1392</v>
      </c>
      <c r="I14" s="152">
        <f ca="1">IFERROR(__xludf.DUMMYFUNCTION("IMPORTRANGE(""https://docs.google.com/spreadsheets/d/1-uDff_7J0KD5mKrp0Vvzr7lt3OU09vwQwhkpOPPYv2Y/edit?usp=sharing"",""งบพรบ!CG14"")"),0)</f>
        <v>0</v>
      </c>
      <c r="J14" s="152">
        <f t="shared" ca="1" si="27"/>
        <v>0</v>
      </c>
      <c r="K14" s="153">
        <f t="shared" ca="1" si="28"/>
        <v>0</v>
      </c>
      <c r="L14" s="152">
        <f ca="1">IFERROR(__xludf.DUMMYFUNCTION("IMPORTRANGE(""https://docs.google.com/spreadsheets/d/1-uDff_7J0KD5mKrp0Vvzr7lt3OU09vwQwhkpOPPYv2Y/edit?usp=sharing"",""งบพรบ!CH14"")"),0)</f>
        <v>0</v>
      </c>
      <c r="M14" s="68">
        <f t="shared" ca="1" si="29"/>
        <v>0</v>
      </c>
      <c r="N14" s="68">
        <f t="shared" ca="1" si="30"/>
        <v>0</v>
      </c>
      <c r="O14" s="67">
        <f ca="1">IFERROR(__xludf.DUMMYFUNCTION("IMPORTRANGE(""https://docs.google.com/spreadsheets/d/1-uDff_7J0KD5mKrp0Vvzr7lt3OU09vwQwhkpOPPYv2Y/edit?usp=sharing"",""งบพรบ!CI14"")"),0)</f>
        <v>0</v>
      </c>
      <c r="P14" s="67">
        <f t="shared" ca="1" si="31"/>
        <v>0</v>
      </c>
      <c r="Q14" s="68">
        <f t="shared" ca="1" si="32"/>
        <v>0</v>
      </c>
      <c r="R14" s="197">
        <f ca="1">IFERROR(__xludf.DUMMYFUNCTION("IMPORTRANGE(""https://docs.google.com/spreadsheets/d/1jTcq05yEiRwXcBMLjiodW9e4biSGYWAHcDj22rKWQ3s/edit?usp=sharing"",""กำแพงเพชร!Q157"")"),0)</f>
        <v>0</v>
      </c>
      <c r="S14" s="67">
        <f ca="1">IFERROR(__xludf.DUMMYFUNCTION("IMPORTRANGE(""https://docs.google.com/spreadsheets/d/1jTcq05yEiRwXcBMLjiodW9e4biSGYWAHcDj22rKWQ3s/edit?usp=sharing"",""กำแพงเพชร!R157"")"),0)</f>
        <v>0</v>
      </c>
      <c r="T14" s="67">
        <f ca="1">IFERROR(__xludf.DUMMYFUNCTION("IMPORTRANGE(""https://docs.google.com/spreadsheets/d/1jTcq05yEiRwXcBMLjiodW9e4biSGYWAHcDj22rKWQ3s/edit?usp=sharing"",""กำแพงเพชร!S157"")"),0)</f>
        <v>0</v>
      </c>
      <c r="U14" s="68">
        <f t="shared" ca="1" si="34"/>
        <v>0</v>
      </c>
      <c r="V14" s="68">
        <f t="shared" ca="1" si="35"/>
        <v>0</v>
      </c>
      <c r="W14" s="63">
        <f ca="1">IFERROR(__xludf.DUMMYFUNCTION("IMPORTRANGE(""https://docs.google.com/spreadsheets/d/1jTcq05yEiRwXcBMLjiodW9e4biSGYWAHcDj22rKWQ3s/edit?usp=sharing"",""กำแพงเพชร!I167"")"),0)</f>
        <v>0</v>
      </c>
      <c r="X14" s="63">
        <f ca="1">IFERROR(__xludf.DUMMYFUNCTION("IMPORTRANGE(""https://docs.google.com/spreadsheets/d/1jTcq05yEiRwXcBMLjiodW9e4biSGYWAHcDj22rKWQ3s/edit?usp=sharing"",""กำแพงเพชร!J167"")"),0)</f>
        <v>0</v>
      </c>
      <c r="Y14" s="69">
        <f t="shared" ca="1" si="37"/>
        <v>0</v>
      </c>
      <c r="Z14" s="63"/>
      <c r="AA14" s="63"/>
      <c r="AB14" s="69"/>
      <c r="AC14" s="63"/>
      <c r="AD14" s="63"/>
      <c r="AE14" s="69"/>
    </row>
    <row r="15" spans="1:31" ht="24" customHeight="1" x14ac:dyDescent="0.3">
      <c r="A15" s="70">
        <v>2</v>
      </c>
      <c r="B15" s="71" t="s">
        <v>43</v>
      </c>
      <c r="C15" s="149">
        <f t="shared" ca="1" si="25"/>
        <v>4500</v>
      </c>
      <c r="D15" s="150">
        <f t="shared" ca="1" si="38"/>
        <v>4500</v>
      </c>
      <c r="E15" s="151">
        <f ca="1">IFERROR(__xludf.DUMMYFUNCTION("IMPORTRANGE(""https://docs.google.com/spreadsheets/d/1-uDff_7J0KD5mKrp0Vvzr7lt3OU09vwQwhkpOPPYv2Y/edit?usp=sharing"",""งบพรบ!CB15"")"),0)</f>
        <v>0</v>
      </c>
      <c r="F15" s="151">
        <f ca="1">IFERROR(__xludf.DUMMYFUNCTION("IMPORTRANGE(""https://docs.google.com/spreadsheets/d/1-uDff_7J0KD5mKrp0Vvzr7lt3OU09vwQwhkpOPPYv2Y/edit?usp=sharing"",""งบพรบ!CC15"")"),4500)</f>
        <v>4500</v>
      </c>
      <c r="G15" s="151">
        <f ca="1">IFERROR(__xludf.DUMMYFUNCTION("IMPORTRANGE(""https://docs.google.com/spreadsheets/d/1-uDff_7J0KD5mKrp0Vvzr7lt3OU09vwQwhkpOPPYv2Y/edit?usp=sharing"",""งบพรบ!CD15"")"),0)</f>
        <v>0</v>
      </c>
      <c r="H15" s="151">
        <f ca="1">IFERROR(__xludf.DUMMYFUNCTION("IMPORTRANGE(""https://docs.google.com/spreadsheets/d/1-uDff_7J0KD5mKrp0Vvzr7lt3OU09vwQwhkpOPPYv2Y/edit?usp=sharing"",""งบพรบ!CF15"")"),2250)</f>
        <v>2250</v>
      </c>
      <c r="I15" s="151">
        <f ca="1">IFERROR(__xludf.DUMMYFUNCTION("IMPORTRANGE(""https://docs.google.com/spreadsheets/d/1-uDff_7J0KD5mKrp0Vvzr7lt3OU09vwQwhkpOPPYv2Y/edit?usp=sharing"",""งบพรบ!CG15"")"),0)</f>
        <v>0</v>
      </c>
      <c r="J15" s="151">
        <f t="shared" ca="1" si="27"/>
        <v>1380</v>
      </c>
      <c r="K15" s="154">
        <f t="shared" ca="1" si="28"/>
        <v>30.666666666666668</v>
      </c>
      <c r="L15" s="151">
        <f ca="1">IFERROR(__xludf.DUMMYFUNCTION("IMPORTRANGE(""https://docs.google.com/spreadsheets/d/1-uDff_7J0KD5mKrp0Vvzr7lt3OU09vwQwhkpOPPYv2Y/edit?usp=sharing"",""งบพรบ!CH15"")"),1380)</f>
        <v>1380</v>
      </c>
      <c r="M15" s="68">
        <f t="shared" ca="1" si="29"/>
        <v>30.666666666666668</v>
      </c>
      <c r="N15" s="68">
        <f t="shared" ca="1" si="30"/>
        <v>61.333333333333336</v>
      </c>
      <c r="O15" s="67">
        <f ca="1">IFERROR(__xludf.DUMMYFUNCTION("IMPORTRANGE(""https://docs.google.com/spreadsheets/d/1-uDff_7J0KD5mKrp0Vvzr7lt3OU09vwQwhkpOPPYv2Y/edit?usp=sharing"",""งบพรบ!CI15"")"),0)</f>
        <v>0</v>
      </c>
      <c r="P15" s="67">
        <f t="shared" ca="1" si="31"/>
        <v>0</v>
      </c>
      <c r="Q15" s="68">
        <f t="shared" ca="1" si="32"/>
        <v>0</v>
      </c>
      <c r="R15" s="197">
        <f ca="1">IFERROR(__xludf.DUMMYFUNCTION("IMPORTRANGE(""https://docs.google.com/spreadsheets/d/1KS0zmDSZPk8KnTAbGN-Xk6MtX1YRZD0ldgdt20K4CRk/edit?usp=sharing"",""เชียงราย!Q157"")"),0)</f>
        <v>0</v>
      </c>
      <c r="S15" s="67">
        <f ca="1">IFERROR(__xludf.DUMMYFUNCTION("IMPORTRANGE(""https://docs.google.com/spreadsheets/d/1KS0zmDSZPk8KnTAbGN-Xk6MtX1YRZD0ldgdt20K4CRk/edit?usp=sharing"",""เชียงราย!R157"")"),0)</f>
        <v>0</v>
      </c>
      <c r="T15" s="67">
        <f ca="1">IFERROR(__xludf.DUMMYFUNCTION("IMPORTRANGE(""https://docs.google.com/spreadsheets/d/1KS0zmDSZPk8KnTAbGN-Xk6MtX1YRZD0ldgdt20K4CRk/edit?usp=sharing"",""เชียงราย!S157"")"),0)</f>
        <v>0</v>
      </c>
      <c r="U15" s="68">
        <f t="shared" ca="1" si="34"/>
        <v>0</v>
      </c>
      <c r="V15" s="68">
        <f t="shared" ca="1" si="35"/>
        <v>0</v>
      </c>
      <c r="W15" s="78">
        <f ca="1">IFERROR(__xludf.DUMMYFUNCTION("IMPORTRANGE(""https://docs.google.com/spreadsheets/d/1KS0zmDSZPk8KnTAbGN-Xk6MtX1YRZD0ldgdt20K4CRk/edit?usp=sharing"",""เชียงราย!I167"")"),15)</f>
        <v>15</v>
      </c>
      <c r="X15" s="78">
        <f ca="1">IFERROR(__xludf.DUMMYFUNCTION("IMPORTRANGE(""https://docs.google.com/spreadsheets/d/1KS0zmDSZPk8KnTAbGN-Xk6MtX1YRZD0ldgdt20K4CRk/edit?usp=sharing"",""เชียงราย!J167"")"),17)</f>
        <v>17</v>
      </c>
      <c r="Y15" s="79">
        <f t="shared" ca="1" si="37"/>
        <v>113.33333333333333</v>
      </c>
      <c r="Z15" s="78"/>
      <c r="AA15" s="78"/>
      <c r="AB15" s="79"/>
      <c r="AC15" s="78"/>
      <c r="AD15" s="78"/>
      <c r="AE15" s="79"/>
    </row>
    <row r="16" spans="1:31" ht="24" customHeight="1" x14ac:dyDescent="0.3">
      <c r="A16" s="70">
        <v>3</v>
      </c>
      <c r="B16" s="71" t="s">
        <v>44</v>
      </c>
      <c r="C16" s="149">
        <f t="shared" ca="1" si="25"/>
        <v>0</v>
      </c>
      <c r="D16" s="150">
        <f t="shared" ca="1" si="38"/>
        <v>0</v>
      </c>
      <c r="E16" s="151">
        <f ca="1">IFERROR(__xludf.DUMMYFUNCTION("IMPORTRANGE(""https://docs.google.com/spreadsheets/d/1-uDff_7J0KD5mKrp0Vvzr7lt3OU09vwQwhkpOPPYv2Y/edit?usp=sharing"",""งบพรบ!CB16"")"),0)</f>
        <v>0</v>
      </c>
      <c r="F16" s="151">
        <f ca="1">IFERROR(__xludf.DUMMYFUNCTION("IMPORTRANGE(""https://docs.google.com/spreadsheets/d/1-uDff_7J0KD5mKrp0Vvzr7lt3OU09vwQwhkpOPPYv2Y/edit?usp=sharing"",""งบพรบ!CC16"")"),0)</f>
        <v>0</v>
      </c>
      <c r="G16" s="151">
        <f ca="1">IFERROR(__xludf.DUMMYFUNCTION("IMPORTRANGE(""https://docs.google.com/spreadsheets/d/1-uDff_7J0KD5mKrp0Vvzr7lt3OU09vwQwhkpOPPYv2Y/edit?usp=sharing"",""งบพรบ!CD16"")"),0)</f>
        <v>0</v>
      </c>
      <c r="H16" s="151">
        <f ca="1">IFERROR(__xludf.DUMMYFUNCTION("IMPORTRANGE(""https://docs.google.com/spreadsheets/d/1-uDff_7J0KD5mKrp0Vvzr7lt3OU09vwQwhkpOPPYv2Y/edit?usp=sharing"",""งบพรบ!CF16"")"),3152)</f>
        <v>3152</v>
      </c>
      <c r="I16" s="151">
        <f ca="1">IFERROR(__xludf.DUMMYFUNCTION("IMPORTRANGE(""https://docs.google.com/spreadsheets/d/1-uDff_7J0KD5mKrp0Vvzr7lt3OU09vwQwhkpOPPYv2Y/edit?usp=sharing"",""งบพรบ!CG16"")"),0)</f>
        <v>0</v>
      </c>
      <c r="J16" s="151">
        <f t="shared" ca="1" si="27"/>
        <v>3152</v>
      </c>
      <c r="K16" s="154">
        <f t="shared" ca="1" si="28"/>
        <v>0</v>
      </c>
      <c r="L16" s="151">
        <f ca="1">IFERROR(__xludf.DUMMYFUNCTION("IMPORTRANGE(""https://docs.google.com/spreadsheets/d/1-uDff_7J0KD5mKrp0Vvzr7lt3OU09vwQwhkpOPPYv2Y/edit?usp=sharing"",""งบพรบ!CH16"")"),3152)</f>
        <v>3152</v>
      </c>
      <c r="M16" s="68">
        <f t="shared" ca="1" si="29"/>
        <v>0</v>
      </c>
      <c r="N16" s="68">
        <f t="shared" ca="1" si="30"/>
        <v>100</v>
      </c>
      <c r="O16" s="67">
        <f ca="1">IFERROR(__xludf.DUMMYFUNCTION("IMPORTRANGE(""https://docs.google.com/spreadsheets/d/1-uDff_7J0KD5mKrp0Vvzr7lt3OU09vwQwhkpOPPYv2Y/edit?usp=sharing"",""งบพรบ!CI16"")"),0)</f>
        <v>0</v>
      </c>
      <c r="P16" s="67">
        <f t="shared" ca="1" si="31"/>
        <v>0</v>
      </c>
      <c r="Q16" s="68">
        <f t="shared" ca="1" si="32"/>
        <v>0</v>
      </c>
      <c r="R16" s="197">
        <f ca="1">IFERROR(__xludf.DUMMYFUNCTION("IMPORTRANGE(""https://docs.google.com/spreadsheets/d/1rEDxBtusbi64tE0zunoIbsTVV16HeL0oJ6trHQeQ7K8/edit?usp=sharing"",""เชียงใหม่!Q157"")"),0)</f>
        <v>0</v>
      </c>
      <c r="S16" s="67">
        <f ca="1">IFERROR(__xludf.DUMMYFUNCTION("IMPORTRANGE(""https://docs.google.com/spreadsheets/d/1rEDxBtusbi64tE0zunoIbsTVV16HeL0oJ6trHQeQ7K8/edit?usp=sharing"",""เชียงใหม่!R157"")"),0)</f>
        <v>0</v>
      </c>
      <c r="T16" s="67">
        <f ca="1">IFERROR(__xludf.DUMMYFUNCTION("IMPORTRANGE(""https://docs.google.com/spreadsheets/d/1rEDxBtusbi64tE0zunoIbsTVV16HeL0oJ6trHQeQ7K8/edit?usp=sharing"",""เชียงใหม่!S157"")"),0)</f>
        <v>0</v>
      </c>
      <c r="U16" s="68">
        <f t="shared" ca="1" si="34"/>
        <v>0</v>
      </c>
      <c r="V16" s="68">
        <f t="shared" ca="1" si="35"/>
        <v>0</v>
      </c>
      <c r="W16" s="78">
        <f ca="1">IFERROR(__xludf.DUMMYFUNCTION("IMPORTRANGE(""https://docs.google.com/spreadsheets/d/1rEDxBtusbi64tE0zunoIbsTVV16HeL0oJ6trHQeQ7K8/edit?usp=sharing"",""เชียงใหม่!I167"")"),0)</f>
        <v>0</v>
      </c>
      <c r="X16" s="78">
        <f ca="1">IFERROR(__xludf.DUMMYFUNCTION("IMPORTRANGE(""https://docs.google.com/spreadsheets/d/1rEDxBtusbi64tE0zunoIbsTVV16HeL0oJ6trHQeQ7K8/edit?usp=sharing"",""เชียงใหม่!J167"")"),0)</f>
        <v>0</v>
      </c>
      <c r="Y16" s="79">
        <f t="shared" ca="1" si="37"/>
        <v>0</v>
      </c>
      <c r="Z16" s="78"/>
      <c r="AA16" s="78"/>
      <c r="AB16" s="79"/>
      <c r="AC16" s="78"/>
      <c r="AD16" s="78"/>
      <c r="AE16" s="79"/>
    </row>
    <row r="17" spans="1:31" ht="24" customHeight="1" x14ac:dyDescent="0.3">
      <c r="A17" s="70">
        <v>4</v>
      </c>
      <c r="B17" s="71" t="s">
        <v>45</v>
      </c>
      <c r="C17" s="149">
        <f t="shared" ca="1" si="25"/>
        <v>4500</v>
      </c>
      <c r="D17" s="150">
        <f t="shared" ca="1" si="38"/>
        <v>4500</v>
      </c>
      <c r="E17" s="151">
        <f ca="1">IFERROR(__xludf.DUMMYFUNCTION("IMPORTRANGE(""https://docs.google.com/spreadsheets/d/1-uDff_7J0KD5mKrp0Vvzr7lt3OU09vwQwhkpOPPYv2Y/edit?usp=sharing"",""งบพรบ!CB17"")"),0)</f>
        <v>0</v>
      </c>
      <c r="F17" s="151">
        <f ca="1">IFERROR(__xludf.DUMMYFUNCTION("IMPORTRANGE(""https://docs.google.com/spreadsheets/d/1-uDff_7J0KD5mKrp0Vvzr7lt3OU09vwQwhkpOPPYv2Y/edit?usp=sharing"",""งบพรบ!CC17"")"),4500)</f>
        <v>4500</v>
      </c>
      <c r="G17" s="151">
        <f ca="1">IFERROR(__xludf.DUMMYFUNCTION("IMPORTRANGE(""https://docs.google.com/spreadsheets/d/1-uDff_7J0KD5mKrp0Vvzr7lt3OU09vwQwhkpOPPYv2Y/edit?usp=sharing"",""งบพรบ!CD17"")"),0)</f>
        <v>0</v>
      </c>
      <c r="H17" s="151">
        <f ca="1">IFERROR(__xludf.DUMMYFUNCTION("IMPORTRANGE(""https://docs.google.com/spreadsheets/d/1-uDff_7J0KD5mKrp0Vvzr7lt3OU09vwQwhkpOPPYv2Y/edit?usp=sharing"",""งบพรบ!CF17"")"),3450)</f>
        <v>3450</v>
      </c>
      <c r="I17" s="151">
        <f ca="1">IFERROR(__xludf.DUMMYFUNCTION("IMPORTRANGE(""https://docs.google.com/spreadsheets/d/1-uDff_7J0KD5mKrp0Vvzr7lt3OU09vwQwhkpOPPYv2Y/edit?usp=sharing"",""งบพรบ!CG17"")"),0)</f>
        <v>0</v>
      </c>
      <c r="J17" s="151">
        <f t="shared" ca="1" si="27"/>
        <v>3274</v>
      </c>
      <c r="K17" s="154">
        <f t="shared" ca="1" si="28"/>
        <v>72.75555555555556</v>
      </c>
      <c r="L17" s="151">
        <f ca="1">IFERROR(__xludf.DUMMYFUNCTION("IMPORTRANGE(""https://docs.google.com/spreadsheets/d/1-uDff_7J0KD5mKrp0Vvzr7lt3OU09vwQwhkpOPPYv2Y/edit?usp=sharing"",""งบพรบ!CH17"")"),3274)</f>
        <v>3274</v>
      </c>
      <c r="M17" s="68">
        <f t="shared" ca="1" si="29"/>
        <v>72.75555555555556</v>
      </c>
      <c r="N17" s="68">
        <f t="shared" ca="1" si="30"/>
        <v>94.898550724637687</v>
      </c>
      <c r="O17" s="67">
        <f ca="1">IFERROR(__xludf.DUMMYFUNCTION("IMPORTRANGE(""https://docs.google.com/spreadsheets/d/1-uDff_7J0KD5mKrp0Vvzr7lt3OU09vwQwhkpOPPYv2Y/edit?usp=sharing"",""งบพรบ!CI17"")"),0)</f>
        <v>0</v>
      </c>
      <c r="P17" s="67">
        <f t="shared" ca="1" si="31"/>
        <v>0</v>
      </c>
      <c r="Q17" s="68">
        <f t="shared" ca="1" si="32"/>
        <v>0</v>
      </c>
      <c r="R17" s="197">
        <f ca="1">IFERROR(__xludf.DUMMYFUNCTION("IMPORTRANGE(""https://docs.google.com/spreadsheets/d/1W6MnUbDkMi6xHnHko_XkFDO9kkuL6Wqyc-6OCDFjW9I/edit?usp=sharing"",""ตาก!Q157"")"),0)</f>
        <v>0</v>
      </c>
      <c r="S17" s="67">
        <f ca="1">IFERROR(__xludf.DUMMYFUNCTION("IMPORTRANGE(""https://docs.google.com/spreadsheets/d/1W6MnUbDkMi6xHnHko_XkFDO9kkuL6Wqyc-6OCDFjW9I/edit?usp=sharing"",""ตาก!R157"")"),0)</f>
        <v>0</v>
      </c>
      <c r="T17" s="67">
        <f ca="1">IFERROR(__xludf.DUMMYFUNCTION("IMPORTRANGE(""https://docs.google.com/spreadsheets/d/1W6MnUbDkMi6xHnHko_XkFDO9kkuL6Wqyc-6OCDFjW9I/edit?usp=sharing"",""ตาก!S157"")"),0)</f>
        <v>0</v>
      </c>
      <c r="U17" s="68">
        <f t="shared" ca="1" si="34"/>
        <v>0</v>
      </c>
      <c r="V17" s="68">
        <f t="shared" ca="1" si="35"/>
        <v>0</v>
      </c>
      <c r="W17" s="78">
        <f ca="1">IFERROR(__xludf.DUMMYFUNCTION("IMPORTRANGE(""https://docs.google.com/spreadsheets/d/1W6MnUbDkMi6xHnHko_XkFDO9kkuL6Wqyc-6OCDFjW9I/edit?usp=sharing"",""ตาก!I167"")"),15)</f>
        <v>15</v>
      </c>
      <c r="X17" s="78">
        <f ca="1">IFERROR(__xludf.DUMMYFUNCTION("IMPORTRANGE(""https://docs.google.com/spreadsheets/d/1W6MnUbDkMi6xHnHko_XkFDO9kkuL6Wqyc-6OCDFjW9I/edit?usp=sharing"",""ตาก!J167"")"),24)</f>
        <v>24</v>
      </c>
      <c r="Y17" s="79">
        <f t="shared" ca="1" si="37"/>
        <v>160</v>
      </c>
      <c r="Z17" s="78"/>
      <c r="AA17" s="78"/>
      <c r="AB17" s="79"/>
      <c r="AC17" s="78"/>
      <c r="AD17" s="78"/>
      <c r="AE17" s="79"/>
    </row>
    <row r="18" spans="1:31" ht="24" customHeight="1" x14ac:dyDescent="0.3">
      <c r="A18" s="70">
        <v>5</v>
      </c>
      <c r="B18" s="71" t="s">
        <v>46</v>
      </c>
      <c r="C18" s="149">
        <f t="shared" ca="1" si="25"/>
        <v>4500</v>
      </c>
      <c r="D18" s="150">
        <f t="shared" ca="1" si="38"/>
        <v>4500</v>
      </c>
      <c r="E18" s="151">
        <f ca="1">IFERROR(__xludf.DUMMYFUNCTION("IMPORTRANGE(""https://docs.google.com/spreadsheets/d/1-uDff_7J0KD5mKrp0Vvzr7lt3OU09vwQwhkpOPPYv2Y/edit?usp=sharing"",""งบพรบ!CB18"")"),0)</f>
        <v>0</v>
      </c>
      <c r="F18" s="151">
        <f ca="1">IFERROR(__xludf.DUMMYFUNCTION("IMPORTRANGE(""https://docs.google.com/spreadsheets/d/1-uDff_7J0KD5mKrp0Vvzr7lt3OU09vwQwhkpOPPYv2Y/edit?usp=sharing"",""งบพรบ!CC18"")"),4500)</f>
        <v>4500</v>
      </c>
      <c r="G18" s="151">
        <f ca="1">IFERROR(__xludf.DUMMYFUNCTION("IMPORTRANGE(""https://docs.google.com/spreadsheets/d/1-uDff_7J0KD5mKrp0Vvzr7lt3OU09vwQwhkpOPPYv2Y/edit?usp=sharing"",""งบพรบ!CD18"")"),0)</f>
        <v>0</v>
      </c>
      <c r="H18" s="151">
        <f ca="1">IFERROR(__xludf.DUMMYFUNCTION("IMPORTRANGE(""https://docs.google.com/spreadsheets/d/1-uDff_7J0KD5mKrp0Vvzr7lt3OU09vwQwhkpOPPYv2Y/edit?usp=sharing"",""งบพรบ!CF18"")"),6730)</f>
        <v>6730</v>
      </c>
      <c r="I18" s="151">
        <f ca="1">IFERROR(__xludf.DUMMYFUNCTION("IMPORTRANGE(""https://docs.google.com/spreadsheets/d/1-uDff_7J0KD5mKrp0Vvzr7lt3OU09vwQwhkpOPPYv2Y/edit?usp=sharing"",""งบพรบ!CG18"")"),0)</f>
        <v>0</v>
      </c>
      <c r="J18" s="151">
        <f t="shared" ca="1" si="27"/>
        <v>4672</v>
      </c>
      <c r="K18" s="154">
        <f t="shared" ca="1" si="28"/>
        <v>103.82222222222222</v>
      </c>
      <c r="L18" s="151">
        <f ca="1">IFERROR(__xludf.DUMMYFUNCTION("IMPORTRANGE(""https://docs.google.com/spreadsheets/d/1-uDff_7J0KD5mKrp0Vvzr7lt3OU09vwQwhkpOPPYv2Y/edit?usp=sharing"",""งบพรบ!CH18"")"),4672)</f>
        <v>4672</v>
      </c>
      <c r="M18" s="68">
        <f t="shared" ca="1" si="29"/>
        <v>103.82222222222222</v>
      </c>
      <c r="N18" s="68">
        <f t="shared" ca="1" si="30"/>
        <v>69.420505200594349</v>
      </c>
      <c r="O18" s="67">
        <f ca="1">IFERROR(__xludf.DUMMYFUNCTION("IMPORTRANGE(""https://docs.google.com/spreadsheets/d/1-uDff_7J0KD5mKrp0Vvzr7lt3OU09vwQwhkpOPPYv2Y/edit?usp=sharing"",""งบพรบ!CI18"")"),0)</f>
        <v>0</v>
      </c>
      <c r="P18" s="67">
        <f t="shared" ca="1" si="31"/>
        <v>0</v>
      </c>
      <c r="Q18" s="68">
        <f t="shared" ca="1" si="32"/>
        <v>0</v>
      </c>
      <c r="R18" s="197">
        <f ca="1">IFERROR(__xludf.DUMMYFUNCTION("IMPORTRANGE(""https://docs.google.com/spreadsheets/d/1IQAWArduLkta9LpYo4a_ULsyqdta6-6aDDiwpUnQT6c/edit?usp=sharing"",""นครสวรรค์!Q157"")"),0)</f>
        <v>0</v>
      </c>
      <c r="S18" s="67">
        <f ca="1">IFERROR(__xludf.DUMMYFUNCTION("IMPORTRANGE(""https://docs.google.com/spreadsheets/d/1IQAWArduLkta9LpYo4a_ULsyqdta6-6aDDiwpUnQT6c/edit?usp=sharing"",""นครสวรรค์!R157"")"),0)</f>
        <v>0</v>
      </c>
      <c r="T18" s="67">
        <f ca="1">IFERROR(__xludf.DUMMYFUNCTION("IMPORTRANGE(""https://docs.google.com/spreadsheets/d/1IQAWArduLkta9LpYo4a_ULsyqdta6-6aDDiwpUnQT6c/edit?usp=sharing"",""นครสวรรค์!S157"")"),0)</f>
        <v>0</v>
      </c>
      <c r="U18" s="68">
        <f t="shared" ca="1" si="34"/>
        <v>0</v>
      </c>
      <c r="V18" s="68">
        <f t="shared" ca="1" si="35"/>
        <v>0</v>
      </c>
      <c r="W18" s="78">
        <f ca="1">IFERROR(__xludf.DUMMYFUNCTION("IMPORTRANGE(""https://docs.google.com/spreadsheets/d/1IQAWArduLkta9LpYo4a_ULsyqdta6-6aDDiwpUnQT6c/edit?usp=sharing"",""นครสวรรค์!I167"")"),15)</f>
        <v>15</v>
      </c>
      <c r="X18" s="78">
        <f ca="1">IFERROR(__xludf.DUMMYFUNCTION("IMPORTRANGE(""https://docs.google.com/spreadsheets/d/1IQAWArduLkta9LpYo4a_ULsyqdta6-6aDDiwpUnQT6c/edit?usp=sharing"",""นครสวรรค์!J167"")"),32)</f>
        <v>32</v>
      </c>
      <c r="Y18" s="79">
        <f t="shared" ca="1" si="37"/>
        <v>213.33333333333334</v>
      </c>
      <c r="Z18" s="78"/>
      <c r="AA18" s="78"/>
      <c r="AB18" s="79"/>
      <c r="AC18" s="78"/>
      <c r="AD18" s="78"/>
      <c r="AE18" s="79"/>
    </row>
    <row r="19" spans="1:31" ht="24" customHeight="1" x14ac:dyDescent="0.3">
      <c r="A19" s="70">
        <v>6</v>
      </c>
      <c r="B19" s="71" t="s">
        <v>47</v>
      </c>
      <c r="C19" s="149">
        <f t="shared" ca="1" si="25"/>
        <v>0</v>
      </c>
      <c r="D19" s="150">
        <f t="shared" ca="1" si="38"/>
        <v>0</v>
      </c>
      <c r="E19" s="151">
        <f ca="1">IFERROR(__xludf.DUMMYFUNCTION("IMPORTRANGE(""https://docs.google.com/spreadsheets/d/1-uDff_7J0KD5mKrp0Vvzr7lt3OU09vwQwhkpOPPYv2Y/edit?usp=sharing"",""งบพรบ!CB19"")"),0)</f>
        <v>0</v>
      </c>
      <c r="F19" s="151">
        <f ca="1">IFERROR(__xludf.DUMMYFUNCTION("IMPORTRANGE(""https://docs.google.com/spreadsheets/d/1-uDff_7J0KD5mKrp0Vvzr7lt3OU09vwQwhkpOPPYv2Y/edit?usp=sharing"",""งบพรบ!CC19"")"),0)</f>
        <v>0</v>
      </c>
      <c r="G19" s="151">
        <f ca="1">IFERROR(__xludf.DUMMYFUNCTION("IMPORTRANGE(""https://docs.google.com/spreadsheets/d/1-uDff_7J0KD5mKrp0Vvzr7lt3OU09vwQwhkpOPPYv2Y/edit?usp=sharing"",""งบพรบ!CD19"")"),0)</f>
        <v>0</v>
      </c>
      <c r="H19" s="151">
        <f ca="1">IFERROR(__xludf.DUMMYFUNCTION("IMPORTRANGE(""https://docs.google.com/spreadsheets/d/1-uDff_7J0KD5mKrp0Vvzr7lt3OU09vwQwhkpOPPYv2Y/edit?usp=sharing"",""งบพรบ!CF19"")"),2080)</f>
        <v>2080</v>
      </c>
      <c r="I19" s="151">
        <f ca="1">IFERROR(__xludf.DUMMYFUNCTION("IMPORTRANGE(""https://docs.google.com/spreadsheets/d/1-uDff_7J0KD5mKrp0Vvzr7lt3OU09vwQwhkpOPPYv2Y/edit?usp=sharing"",""งบพรบ!CG19"")"),0)</f>
        <v>0</v>
      </c>
      <c r="J19" s="151">
        <f t="shared" ca="1" si="27"/>
        <v>0</v>
      </c>
      <c r="K19" s="154">
        <f t="shared" ca="1" si="28"/>
        <v>0</v>
      </c>
      <c r="L19" s="151">
        <f ca="1">IFERROR(__xludf.DUMMYFUNCTION("IMPORTRANGE(""https://docs.google.com/spreadsheets/d/1-uDff_7J0KD5mKrp0Vvzr7lt3OU09vwQwhkpOPPYv2Y/edit?usp=sharing"",""งบพรบ!CH19"")"),0)</f>
        <v>0</v>
      </c>
      <c r="M19" s="68">
        <f t="shared" ca="1" si="29"/>
        <v>0</v>
      </c>
      <c r="N19" s="68">
        <f t="shared" ca="1" si="30"/>
        <v>0</v>
      </c>
      <c r="O19" s="67">
        <f ca="1">IFERROR(__xludf.DUMMYFUNCTION("IMPORTRANGE(""https://docs.google.com/spreadsheets/d/1-uDff_7J0KD5mKrp0Vvzr7lt3OU09vwQwhkpOPPYv2Y/edit?usp=sharing"",""งบพรบ!CI19"")"),0)</f>
        <v>0</v>
      </c>
      <c r="P19" s="67">
        <f t="shared" ca="1" si="31"/>
        <v>0</v>
      </c>
      <c r="Q19" s="68">
        <f t="shared" ca="1" si="32"/>
        <v>0</v>
      </c>
      <c r="R19" s="197">
        <f ca="1">IFERROR(__xludf.DUMMYFUNCTION("IMPORTRANGE(""https://docs.google.com/spreadsheets/d/10s13Sk5xrltsiR-Zkbmk5DwIaDIKO8XlbJAfqyT7Gvg/edit?usp=sharing"",""น่าน!Q157"")"),0)</f>
        <v>0</v>
      </c>
      <c r="S19" s="67">
        <f ca="1">IFERROR(__xludf.DUMMYFUNCTION("IMPORTRANGE(""https://docs.google.com/spreadsheets/d/10s13Sk5xrltsiR-Zkbmk5DwIaDIKO8XlbJAfqyT7Gvg/edit?usp=sharing"",""น่าน!R157"")"),0)</f>
        <v>0</v>
      </c>
      <c r="T19" s="67">
        <f ca="1">IFERROR(__xludf.DUMMYFUNCTION("IMPORTRANGE(""https://docs.google.com/spreadsheets/d/10s13Sk5xrltsiR-Zkbmk5DwIaDIKO8XlbJAfqyT7Gvg/edit?usp=sharing"",""น่าน!S157"")"),0)</f>
        <v>0</v>
      </c>
      <c r="U19" s="68">
        <f t="shared" ca="1" si="34"/>
        <v>0</v>
      </c>
      <c r="V19" s="68">
        <f t="shared" ca="1" si="35"/>
        <v>0</v>
      </c>
      <c r="W19" s="78">
        <f ca="1">IFERROR(__xludf.DUMMYFUNCTION("IMPORTRANGE(""https://docs.google.com/spreadsheets/d/10s13Sk5xrltsiR-Zkbmk5DwIaDIKO8XlbJAfqyT7Gvg/edit?usp=sharing"",""น่าน!I167"")"),0)</f>
        <v>0</v>
      </c>
      <c r="X19" s="78">
        <f ca="1">IFERROR(__xludf.DUMMYFUNCTION("IMPORTRANGE(""https://docs.google.com/spreadsheets/d/10s13Sk5xrltsiR-Zkbmk5DwIaDIKO8XlbJAfqyT7Gvg/edit?usp=sharing"",""น่าน!J167"")"),0)</f>
        <v>0</v>
      </c>
      <c r="Y19" s="79">
        <f t="shared" ca="1" si="37"/>
        <v>0</v>
      </c>
      <c r="Z19" s="78"/>
      <c r="AA19" s="78"/>
      <c r="AB19" s="79"/>
      <c r="AC19" s="78"/>
      <c r="AD19" s="78"/>
      <c r="AE19" s="79"/>
    </row>
    <row r="20" spans="1:31" ht="24" customHeight="1" x14ac:dyDescent="0.3">
      <c r="A20" s="70">
        <v>7</v>
      </c>
      <c r="B20" s="71" t="s">
        <v>48</v>
      </c>
      <c r="C20" s="149">
        <f t="shared" ca="1" si="25"/>
        <v>4500</v>
      </c>
      <c r="D20" s="150">
        <f t="shared" ca="1" si="38"/>
        <v>4500</v>
      </c>
      <c r="E20" s="151">
        <f ca="1">IFERROR(__xludf.DUMMYFUNCTION("IMPORTRANGE(""https://docs.google.com/spreadsheets/d/1-uDff_7J0KD5mKrp0Vvzr7lt3OU09vwQwhkpOPPYv2Y/edit?usp=sharing"",""งบพรบ!CB20"")"),0)</f>
        <v>0</v>
      </c>
      <c r="F20" s="151">
        <f ca="1">IFERROR(__xludf.DUMMYFUNCTION("IMPORTRANGE(""https://docs.google.com/spreadsheets/d/1-uDff_7J0KD5mKrp0Vvzr7lt3OU09vwQwhkpOPPYv2Y/edit?usp=sharing"",""งบพรบ!CC20"")"),4500)</f>
        <v>4500</v>
      </c>
      <c r="G20" s="151">
        <f ca="1">IFERROR(__xludf.DUMMYFUNCTION("IMPORTRANGE(""https://docs.google.com/spreadsheets/d/1-uDff_7J0KD5mKrp0Vvzr7lt3OU09vwQwhkpOPPYv2Y/edit?usp=sharing"",""งบพรบ!CD20"")"),0)</f>
        <v>0</v>
      </c>
      <c r="H20" s="151">
        <f ca="1">IFERROR(__xludf.DUMMYFUNCTION("IMPORTRANGE(""https://docs.google.com/spreadsheets/d/1-uDff_7J0KD5mKrp0Vvzr7lt3OU09vwQwhkpOPPYv2Y/edit?usp=sharing"",""งบพรบ!CF20"")"),4410)</f>
        <v>4410</v>
      </c>
      <c r="I20" s="151">
        <f ca="1">IFERROR(__xludf.DUMMYFUNCTION("IMPORTRANGE(""https://docs.google.com/spreadsheets/d/1-uDff_7J0KD5mKrp0Vvzr7lt3OU09vwQwhkpOPPYv2Y/edit?usp=sharing"",""งบพรบ!CG20"")"),0)</f>
        <v>0</v>
      </c>
      <c r="J20" s="151">
        <f t="shared" ca="1" si="27"/>
        <v>3516</v>
      </c>
      <c r="K20" s="154">
        <f t="shared" ca="1" si="28"/>
        <v>78.13333333333334</v>
      </c>
      <c r="L20" s="151">
        <f ca="1">IFERROR(__xludf.DUMMYFUNCTION("IMPORTRANGE(""https://docs.google.com/spreadsheets/d/1-uDff_7J0KD5mKrp0Vvzr7lt3OU09vwQwhkpOPPYv2Y/edit?usp=sharing"",""งบพรบ!CH20"")"),3516)</f>
        <v>3516</v>
      </c>
      <c r="M20" s="68">
        <f t="shared" ca="1" si="29"/>
        <v>78.13333333333334</v>
      </c>
      <c r="N20" s="68">
        <f t="shared" ca="1" si="30"/>
        <v>79.72789115646259</v>
      </c>
      <c r="O20" s="67">
        <f ca="1">IFERROR(__xludf.DUMMYFUNCTION("IMPORTRANGE(""https://docs.google.com/spreadsheets/d/1-uDff_7J0KD5mKrp0Vvzr7lt3OU09vwQwhkpOPPYv2Y/edit?usp=sharing"",""งบพรบ!CI20"")"),0)</f>
        <v>0</v>
      </c>
      <c r="P20" s="67">
        <f t="shared" ca="1" si="31"/>
        <v>0</v>
      </c>
      <c r="Q20" s="68">
        <f t="shared" ca="1" si="32"/>
        <v>0</v>
      </c>
      <c r="R20" s="197">
        <f ca="1">IFERROR(__xludf.DUMMYFUNCTION("IMPORTRANGE(""https://docs.google.com/spreadsheets/d/1uu4nAn4Dbi1XREnLKKotUANlKXa7yCgRcgq8HEzQYW8/edit?usp=sharing"",""พะเยา!Q157"")"),0)</f>
        <v>0</v>
      </c>
      <c r="S20" s="67">
        <f ca="1">IFERROR(__xludf.DUMMYFUNCTION("IMPORTRANGE(""https://docs.google.com/spreadsheets/d/1uu4nAn4Dbi1XREnLKKotUANlKXa7yCgRcgq8HEzQYW8/edit?usp=sharing"",""พะเยา!R157"")"),0)</f>
        <v>0</v>
      </c>
      <c r="T20" s="67">
        <f ca="1">IFERROR(__xludf.DUMMYFUNCTION("IMPORTRANGE(""https://docs.google.com/spreadsheets/d/1uu4nAn4Dbi1XREnLKKotUANlKXa7yCgRcgq8HEzQYW8/edit?usp=sharing"",""พะเยา!S157"")"),0)</f>
        <v>0</v>
      </c>
      <c r="U20" s="68">
        <f t="shared" ca="1" si="34"/>
        <v>0</v>
      </c>
      <c r="V20" s="68">
        <f t="shared" ca="1" si="35"/>
        <v>0</v>
      </c>
      <c r="W20" s="78">
        <f ca="1">IFERROR(__xludf.DUMMYFUNCTION("IMPORTRANGE(""https://docs.google.com/spreadsheets/d/1uu4nAn4Dbi1XREnLKKotUANlKXa7yCgRcgq8HEzQYW8/edit?usp=sharing"",""พะเยา!I167"")"),15)</f>
        <v>15</v>
      </c>
      <c r="X20" s="78">
        <f ca="1">IFERROR(__xludf.DUMMYFUNCTION("IMPORTRANGE(""https://docs.google.com/spreadsheets/d/1uu4nAn4Dbi1XREnLKKotUANlKXa7yCgRcgq8HEzQYW8/edit?usp=sharing"",""พะเยา!J167"")"),15)</f>
        <v>15</v>
      </c>
      <c r="Y20" s="79">
        <f t="shared" ca="1" si="37"/>
        <v>100</v>
      </c>
      <c r="Z20" s="78"/>
      <c r="AA20" s="78"/>
      <c r="AB20" s="79"/>
      <c r="AC20" s="78"/>
      <c r="AD20" s="78"/>
      <c r="AE20" s="79"/>
    </row>
    <row r="21" spans="1:31" ht="24" customHeight="1" x14ac:dyDescent="0.3">
      <c r="A21" s="70">
        <v>8</v>
      </c>
      <c r="B21" s="71" t="s">
        <v>49</v>
      </c>
      <c r="C21" s="149">
        <f t="shared" ca="1" si="25"/>
        <v>0</v>
      </c>
      <c r="D21" s="150">
        <f t="shared" ca="1" si="38"/>
        <v>0</v>
      </c>
      <c r="E21" s="151">
        <f ca="1">IFERROR(__xludf.DUMMYFUNCTION("IMPORTRANGE(""https://docs.google.com/spreadsheets/d/1-uDff_7J0KD5mKrp0Vvzr7lt3OU09vwQwhkpOPPYv2Y/edit?usp=sharing"",""งบพรบ!CB21"")"),0)</f>
        <v>0</v>
      </c>
      <c r="F21" s="151">
        <f ca="1">IFERROR(__xludf.DUMMYFUNCTION("IMPORTRANGE(""https://docs.google.com/spreadsheets/d/1-uDff_7J0KD5mKrp0Vvzr7lt3OU09vwQwhkpOPPYv2Y/edit?usp=sharing"",""งบพรบ!CC21"")"),0)</f>
        <v>0</v>
      </c>
      <c r="G21" s="151">
        <f ca="1">IFERROR(__xludf.DUMMYFUNCTION("IMPORTRANGE(""https://docs.google.com/spreadsheets/d/1-uDff_7J0KD5mKrp0Vvzr7lt3OU09vwQwhkpOPPYv2Y/edit?usp=sharing"",""งบพรบ!CD21"")"),0)</f>
        <v>0</v>
      </c>
      <c r="H21" s="151">
        <f ca="1">IFERROR(__xludf.DUMMYFUNCTION("IMPORTRANGE(""https://docs.google.com/spreadsheets/d/1-uDff_7J0KD5mKrp0Vvzr7lt3OU09vwQwhkpOPPYv2Y/edit?usp=sharing"",""งบพรบ!CF21"")"),1796)</f>
        <v>1796</v>
      </c>
      <c r="I21" s="151">
        <f ca="1">IFERROR(__xludf.DUMMYFUNCTION("IMPORTRANGE(""https://docs.google.com/spreadsheets/d/1-uDff_7J0KD5mKrp0Vvzr7lt3OU09vwQwhkpOPPYv2Y/edit?usp=sharing"",""งบพรบ!CG21"")"),0)</f>
        <v>0</v>
      </c>
      <c r="J21" s="151">
        <f t="shared" ca="1" si="27"/>
        <v>1796</v>
      </c>
      <c r="K21" s="154">
        <f t="shared" ca="1" si="28"/>
        <v>0</v>
      </c>
      <c r="L21" s="151">
        <f ca="1">IFERROR(__xludf.DUMMYFUNCTION("IMPORTRANGE(""https://docs.google.com/spreadsheets/d/1-uDff_7J0KD5mKrp0Vvzr7lt3OU09vwQwhkpOPPYv2Y/edit?usp=sharing"",""งบพรบ!CH21"")"),1796)</f>
        <v>1796</v>
      </c>
      <c r="M21" s="68">
        <f t="shared" ca="1" si="29"/>
        <v>0</v>
      </c>
      <c r="N21" s="68">
        <f t="shared" ca="1" si="30"/>
        <v>100</v>
      </c>
      <c r="O21" s="67">
        <f ca="1">IFERROR(__xludf.DUMMYFUNCTION("IMPORTRANGE(""https://docs.google.com/spreadsheets/d/1-uDff_7J0KD5mKrp0Vvzr7lt3OU09vwQwhkpOPPYv2Y/edit?usp=sharing"",""งบพรบ!CI21"")"),0)</f>
        <v>0</v>
      </c>
      <c r="P21" s="67">
        <f t="shared" ca="1" si="31"/>
        <v>0</v>
      </c>
      <c r="Q21" s="68">
        <f t="shared" ca="1" si="32"/>
        <v>0</v>
      </c>
      <c r="R21" s="197">
        <f ca="1">IFERROR(__xludf.DUMMYFUNCTION("IMPORTRANGE(""https://docs.google.com/spreadsheets/d/1xfJKIQxVOaPDIICqsflNlLu3JacTDk1FP9RH4phX7mI/edit?usp=sharing"",""พิจิตร!Q157"")"),0)</f>
        <v>0</v>
      </c>
      <c r="S21" s="67">
        <f ca="1">IFERROR(__xludf.DUMMYFUNCTION("IMPORTRANGE(""https://docs.google.com/spreadsheets/d/1xfJKIQxVOaPDIICqsflNlLu3JacTDk1FP9RH4phX7mI/edit?usp=sharing"",""พิจิตร!R157"")"),0)</f>
        <v>0</v>
      </c>
      <c r="T21" s="67">
        <f ca="1">IFERROR(__xludf.DUMMYFUNCTION("IMPORTRANGE(""https://docs.google.com/spreadsheets/d/1xfJKIQxVOaPDIICqsflNlLu3JacTDk1FP9RH4phX7mI/edit?usp=sharing"",""พิจิตร!S157"")"),0)</f>
        <v>0</v>
      </c>
      <c r="U21" s="68">
        <f t="shared" ca="1" si="34"/>
        <v>0</v>
      </c>
      <c r="V21" s="68">
        <f t="shared" ca="1" si="35"/>
        <v>0</v>
      </c>
      <c r="W21" s="78">
        <f ca="1">IFERROR(__xludf.DUMMYFUNCTION("IMPORTRANGE(""https://docs.google.com/spreadsheets/d/1xfJKIQxVOaPDIICqsflNlLu3JacTDk1FP9RH4phX7mI/edit?usp=sharing"",""พิจิตร!I167"")"),0)</f>
        <v>0</v>
      </c>
      <c r="X21" s="78">
        <f ca="1">IFERROR(__xludf.DUMMYFUNCTION("IMPORTRANGE(""https://docs.google.com/spreadsheets/d/1xfJKIQxVOaPDIICqsflNlLu3JacTDk1FP9RH4phX7mI/edit?usp=sharing"",""พิจิตร!J167"")"),0)</f>
        <v>0</v>
      </c>
      <c r="Y21" s="79">
        <f t="shared" ca="1" si="37"/>
        <v>0</v>
      </c>
      <c r="Z21" s="78"/>
      <c r="AA21" s="78"/>
      <c r="AB21" s="79"/>
      <c r="AC21" s="78"/>
      <c r="AD21" s="78"/>
      <c r="AE21" s="79"/>
    </row>
    <row r="22" spans="1:31" ht="24" customHeight="1" x14ac:dyDescent="0.3">
      <c r="A22" s="70">
        <v>9</v>
      </c>
      <c r="B22" s="71" t="s">
        <v>50</v>
      </c>
      <c r="C22" s="149">
        <f t="shared" ca="1" si="25"/>
        <v>0</v>
      </c>
      <c r="D22" s="150">
        <f t="shared" ca="1" si="38"/>
        <v>0</v>
      </c>
      <c r="E22" s="151">
        <f ca="1">IFERROR(__xludf.DUMMYFUNCTION("IMPORTRANGE(""https://docs.google.com/spreadsheets/d/1-uDff_7J0KD5mKrp0Vvzr7lt3OU09vwQwhkpOPPYv2Y/edit?usp=sharing"",""งบพรบ!CB22"")"),0)</f>
        <v>0</v>
      </c>
      <c r="F22" s="151">
        <f ca="1">IFERROR(__xludf.DUMMYFUNCTION("IMPORTRANGE(""https://docs.google.com/spreadsheets/d/1-uDff_7J0KD5mKrp0Vvzr7lt3OU09vwQwhkpOPPYv2Y/edit?usp=sharing"",""งบพรบ!CC22"")"),0)</f>
        <v>0</v>
      </c>
      <c r="G22" s="151">
        <f ca="1">IFERROR(__xludf.DUMMYFUNCTION("IMPORTRANGE(""https://docs.google.com/spreadsheets/d/1-uDff_7J0KD5mKrp0Vvzr7lt3OU09vwQwhkpOPPYv2Y/edit?usp=sharing"",""งบพรบ!CD22"")"),0)</f>
        <v>0</v>
      </c>
      <c r="H22" s="151">
        <f ca="1">IFERROR(__xludf.DUMMYFUNCTION("IMPORTRANGE(""https://docs.google.com/spreadsheets/d/1-uDff_7J0KD5mKrp0Vvzr7lt3OU09vwQwhkpOPPYv2Y/edit?usp=sharing"",""งบพรบ!CF22"")"),1040)</f>
        <v>1040</v>
      </c>
      <c r="I22" s="151">
        <f ca="1">IFERROR(__xludf.DUMMYFUNCTION("IMPORTRANGE(""https://docs.google.com/spreadsheets/d/1-uDff_7J0KD5mKrp0Vvzr7lt3OU09vwQwhkpOPPYv2Y/edit?usp=sharing"",""งบพรบ!CG22"")"),0)</f>
        <v>0</v>
      </c>
      <c r="J22" s="151">
        <f t="shared" ca="1" si="27"/>
        <v>680</v>
      </c>
      <c r="K22" s="154">
        <f t="shared" ca="1" si="28"/>
        <v>0</v>
      </c>
      <c r="L22" s="151">
        <f ca="1">IFERROR(__xludf.DUMMYFUNCTION("IMPORTRANGE(""https://docs.google.com/spreadsheets/d/1-uDff_7J0KD5mKrp0Vvzr7lt3OU09vwQwhkpOPPYv2Y/edit?usp=sharing"",""งบพรบ!CH22"")"),680)</f>
        <v>680</v>
      </c>
      <c r="M22" s="68">
        <f t="shared" ca="1" si="29"/>
        <v>0</v>
      </c>
      <c r="N22" s="68">
        <f t="shared" ca="1" si="30"/>
        <v>65.384615384615387</v>
      </c>
      <c r="O22" s="67">
        <f ca="1">IFERROR(__xludf.DUMMYFUNCTION("IMPORTRANGE(""https://docs.google.com/spreadsheets/d/1-uDff_7J0KD5mKrp0Vvzr7lt3OU09vwQwhkpOPPYv2Y/edit?usp=sharing"",""งบพรบ!CI22"")"),0)</f>
        <v>0</v>
      </c>
      <c r="P22" s="67">
        <f t="shared" ca="1" si="31"/>
        <v>0</v>
      </c>
      <c r="Q22" s="68">
        <f t="shared" ca="1" si="32"/>
        <v>0</v>
      </c>
      <c r="R22" s="197">
        <f ca="1">IFERROR(__xludf.DUMMYFUNCTION("IMPORTRANGE(""https://docs.google.com/spreadsheets/d/1JtRfZkJMHtEhI5RdRHxYUG4FIZHqKDpNyIuN7A1Q0_k/edit?usp=sharing"",""พิษณุโลก!Q157"")"),0)</f>
        <v>0</v>
      </c>
      <c r="S22" s="67">
        <f ca="1">IFERROR(__xludf.DUMMYFUNCTION("IMPORTRANGE(""https://docs.google.com/spreadsheets/d/1JtRfZkJMHtEhI5RdRHxYUG4FIZHqKDpNyIuN7A1Q0_k/edit?usp=sharing"",""พิษณุโลก!R157"")"),0)</f>
        <v>0</v>
      </c>
      <c r="T22" s="67">
        <f ca="1">IFERROR(__xludf.DUMMYFUNCTION("IMPORTRANGE(""https://docs.google.com/spreadsheets/d/1JtRfZkJMHtEhI5RdRHxYUG4FIZHqKDpNyIuN7A1Q0_k/edit?usp=sharing"",""พิษณุโลก!S157"")"),0)</f>
        <v>0</v>
      </c>
      <c r="U22" s="68">
        <f t="shared" ca="1" si="34"/>
        <v>0</v>
      </c>
      <c r="V22" s="68">
        <f t="shared" ca="1" si="35"/>
        <v>0</v>
      </c>
      <c r="W22" s="78">
        <f ca="1">IFERROR(__xludf.DUMMYFUNCTION("IMPORTRANGE(""https://docs.google.com/spreadsheets/d/1JtRfZkJMHtEhI5RdRHxYUG4FIZHqKDpNyIuN7A1Q0_k/edit?usp=sharing"",""พิษณุโลก!I167"")"),0)</f>
        <v>0</v>
      </c>
      <c r="X22" s="78">
        <f ca="1">IFERROR(__xludf.DUMMYFUNCTION("IMPORTRANGE(""https://docs.google.com/spreadsheets/d/1JtRfZkJMHtEhI5RdRHxYUG4FIZHqKDpNyIuN7A1Q0_k/edit?usp=sharing"",""พิษณุโลก!J167"")"),0)</f>
        <v>0</v>
      </c>
      <c r="Y22" s="79">
        <f t="shared" ca="1" si="37"/>
        <v>0</v>
      </c>
      <c r="Z22" s="78"/>
      <c r="AA22" s="78"/>
      <c r="AB22" s="79"/>
      <c r="AC22" s="78"/>
      <c r="AD22" s="78"/>
      <c r="AE22" s="79"/>
    </row>
    <row r="23" spans="1:31" ht="24" customHeight="1" x14ac:dyDescent="0.3">
      <c r="A23" s="70">
        <v>10</v>
      </c>
      <c r="B23" s="71" t="s">
        <v>51</v>
      </c>
      <c r="C23" s="149">
        <f t="shared" ca="1" si="25"/>
        <v>9000</v>
      </c>
      <c r="D23" s="150">
        <f t="shared" ca="1" si="38"/>
        <v>9000</v>
      </c>
      <c r="E23" s="151">
        <f ca="1">IFERROR(__xludf.DUMMYFUNCTION("IMPORTRANGE(""https://docs.google.com/spreadsheets/d/1-uDff_7J0KD5mKrp0Vvzr7lt3OU09vwQwhkpOPPYv2Y/edit?usp=sharing"",""งบพรบ!CB23"")"),0)</f>
        <v>0</v>
      </c>
      <c r="F23" s="151">
        <f ca="1">IFERROR(__xludf.DUMMYFUNCTION("IMPORTRANGE(""https://docs.google.com/spreadsheets/d/1-uDff_7J0KD5mKrp0Vvzr7lt3OU09vwQwhkpOPPYv2Y/edit?usp=sharing"",""งบพรบ!CC23"")"),9000)</f>
        <v>9000</v>
      </c>
      <c r="G23" s="151">
        <f ca="1">IFERROR(__xludf.DUMMYFUNCTION("IMPORTRANGE(""https://docs.google.com/spreadsheets/d/1-uDff_7J0KD5mKrp0Vvzr7lt3OU09vwQwhkpOPPYv2Y/edit?usp=sharing"",""งบพรบ!CD23"")"),0)</f>
        <v>0</v>
      </c>
      <c r="H23" s="151">
        <f ca="1">IFERROR(__xludf.DUMMYFUNCTION("IMPORTRANGE(""https://docs.google.com/spreadsheets/d/1-uDff_7J0KD5mKrp0Vvzr7lt3OU09vwQwhkpOPPYv2Y/edit?usp=sharing"",""งบพรบ!CF23"")"),4500)</f>
        <v>4500</v>
      </c>
      <c r="I23" s="151">
        <f ca="1">IFERROR(__xludf.DUMMYFUNCTION("IMPORTRANGE(""https://docs.google.com/spreadsheets/d/1-uDff_7J0KD5mKrp0Vvzr7lt3OU09vwQwhkpOPPYv2Y/edit?usp=sharing"",""งบพรบ!CG23"")"),0)</f>
        <v>0</v>
      </c>
      <c r="J23" s="151">
        <f t="shared" ca="1" si="27"/>
        <v>0</v>
      </c>
      <c r="K23" s="154">
        <f t="shared" ca="1" si="28"/>
        <v>0</v>
      </c>
      <c r="L23" s="151">
        <f ca="1">IFERROR(__xludf.DUMMYFUNCTION("IMPORTRANGE(""https://docs.google.com/spreadsheets/d/1-uDff_7J0KD5mKrp0Vvzr7lt3OU09vwQwhkpOPPYv2Y/edit?usp=sharing"",""งบพรบ!CH23"")"),0)</f>
        <v>0</v>
      </c>
      <c r="M23" s="68">
        <f t="shared" ca="1" si="29"/>
        <v>0</v>
      </c>
      <c r="N23" s="68">
        <f t="shared" ca="1" si="30"/>
        <v>0</v>
      </c>
      <c r="O23" s="67">
        <f ca="1">IFERROR(__xludf.DUMMYFUNCTION("IMPORTRANGE(""https://docs.google.com/spreadsheets/d/1-uDff_7J0KD5mKrp0Vvzr7lt3OU09vwQwhkpOPPYv2Y/edit?usp=sharing"",""งบพรบ!CI23"")"),0)</f>
        <v>0</v>
      </c>
      <c r="P23" s="67">
        <f t="shared" ca="1" si="31"/>
        <v>0</v>
      </c>
      <c r="Q23" s="68">
        <f t="shared" ca="1" si="32"/>
        <v>0</v>
      </c>
      <c r="R23" s="197">
        <f ca="1">IFERROR(__xludf.DUMMYFUNCTION("IMPORTRANGE(""https://docs.google.com/spreadsheets/d/1xlcVZWUNn6SuWm0c307h32SiGkd9BaeQWlAktfD3KO8/edit?usp=sharing"",""เพชรบูรณ์!Q157"")"),0)</f>
        <v>0</v>
      </c>
      <c r="S23" s="67">
        <f ca="1">IFERROR(__xludf.DUMMYFUNCTION("IMPORTRANGE(""https://docs.google.com/spreadsheets/d/1xlcVZWUNn6SuWm0c307h32SiGkd9BaeQWlAktfD3KO8/edit?usp=sharing"",""เพชรบูรณ์!R157"")"),0)</f>
        <v>0</v>
      </c>
      <c r="T23" s="67">
        <f ca="1">IFERROR(__xludf.DUMMYFUNCTION("IMPORTRANGE(""https://docs.google.com/spreadsheets/d/1xlcVZWUNn6SuWm0c307h32SiGkd9BaeQWlAktfD3KO8/edit?usp=sharing"",""เพชรบูรณ์!S157"")"),0)</f>
        <v>0</v>
      </c>
      <c r="U23" s="68">
        <f t="shared" ca="1" si="34"/>
        <v>0</v>
      </c>
      <c r="V23" s="68">
        <f t="shared" ca="1" si="35"/>
        <v>0</v>
      </c>
      <c r="W23" s="78">
        <f ca="1">IFERROR(__xludf.DUMMYFUNCTION("IMPORTRANGE(""https://docs.google.com/spreadsheets/d/1xlcVZWUNn6SuWm0c307h32SiGkd9BaeQWlAktfD3KO8/edit?usp=sharing"",""เพชรบูรณ์!I167"")"),30)</f>
        <v>30</v>
      </c>
      <c r="X23" s="78">
        <f ca="1">IFERROR(__xludf.DUMMYFUNCTION("IMPORTRANGE(""https://docs.google.com/spreadsheets/d/1xlcVZWUNn6SuWm0c307h32SiGkd9BaeQWlAktfD3KO8/edit?usp=sharing"",""เพชรบูรณ์!J167"")"),30)</f>
        <v>30</v>
      </c>
      <c r="Y23" s="79">
        <f t="shared" ca="1" si="37"/>
        <v>100</v>
      </c>
      <c r="Z23" s="78"/>
      <c r="AA23" s="78"/>
      <c r="AB23" s="79"/>
      <c r="AC23" s="78"/>
      <c r="AD23" s="78"/>
      <c r="AE23" s="79"/>
    </row>
    <row r="24" spans="1:31" ht="24" customHeight="1" x14ac:dyDescent="0.3">
      <c r="A24" s="70">
        <v>11</v>
      </c>
      <c r="B24" s="71" t="s">
        <v>52</v>
      </c>
      <c r="C24" s="149">
        <f t="shared" ca="1" si="25"/>
        <v>0</v>
      </c>
      <c r="D24" s="150">
        <f t="shared" ca="1" si="38"/>
        <v>0</v>
      </c>
      <c r="E24" s="151">
        <f ca="1">IFERROR(__xludf.DUMMYFUNCTION("IMPORTRANGE(""https://docs.google.com/spreadsheets/d/1-uDff_7J0KD5mKrp0Vvzr7lt3OU09vwQwhkpOPPYv2Y/edit?usp=sharing"",""งบพรบ!CB24"")"),0)</f>
        <v>0</v>
      </c>
      <c r="F24" s="151">
        <f ca="1">IFERROR(__xludf.DUMMYFUNCTION("IMPORTRANGE(""https://docs.google.com/spreadsheets/d/1-uDff_7J0KD5mKrp0Vvzr7lt3OU09vwQwhkpOPPYv2Y/edit?usp=sharing"",""งบพรบ!CC24"")"),0)</f>
        <v>0</v>
      </c>
      <c r="G24" s="151">
        <f ca="1">IFERROR(__xludf.DUMMYFUNCTION("IMPORTRANGE(""https://docs.google.com/spreadsheets/d/1-uDff_7J0KD5mKrp0Vvzr7lt3OU09vwQwhkpOPPYv2Y/edit?usp=sharing"",""งบพรบ!CD24"")"),0)</f>
        <v>0</v>
      </c>
      <c r="H24" s="151">
        <f ca="1">IFERROR(__xludf.DUMMYFUNCTION("IMPORTRANGE(""https://docs.google.com/spreadsheets/d/1-uDff_7J0KD5mKrp0Vvzr7lt3OU09vwQwhkpOPPYv2Y/edit?usp=sharing"",""งบพรบ!CF24"")"),1360)</f>
        <v>1360</v>
      </c>
      <c r="I24" s="151">
        <f ca="1">IFERROR(__xludf.DUMMYFUNCTION("IMPORTRANGE(""https://docs.google.com/spreadsheets/d/1-uDff_7J0KD5mKrp0Vvzr7lt3OU09vwQwhkpOPPYv2Y/edit?usp=sharing"",""งบพรบ!CG24"")"),0)</f>
        <v>0</v>
      </c>
      <c r="J24" s="151">
        <f t="shared" ca="1" si="27"/>
        <v>1360</v>
      </c>
      <c r="K24" s="154">
        <f t="shared" ca="1" si="28"/>
        <v>0</v>
      </c>
      <c r="L24" s="151">
        <f ca="1">IFERROR(__xludf.DUMMYFUNCTION("IMPORTRANGE(""https://docs.google.com/spreadsheets/d/1-uDff_7J0KD5mKrp0Vvzr7lt3OU09vwQwhkpOPPYv2Y/edit?usp=sharing"",""งบพรบ!CH24"")"),1360)</f>
        <v>1360</v>
      </c>
      <c r="M24" s="68">
        <f t="shared" ca="1" si="29"/>
        <v>0</v>
      </c>
      <c r="N24" s="68">
        <f t="shared" ca="1" si="30"/>
        <v>100</v>
      </c>
      <c r="O24" s="67">
        <f ca="1">IFERROR(__xludf.DUMMYFUNCTION("IMPORTRANGE(""https://docs.google.com/spreadsheets/d/1-uDff_7J0KD5mKrp0Vvzr7lt3OU09vwQwhkpOPPYv2Y/edit?usp=sharing"",""งบพรบ!CI24"")"),0)</f>
        <v>0</v>
      </c>
      <c r="P24" s="67">
        <f t="shared" ca="1" si="31"/>
        <v>0</v>
      </c>
      <c r="Q24" s="68">
        <f t="shared" ca="1" si="32"/>
        <v>0</v>
      </c>
      <c r="R24" s="197">
        <f ca="1">IFERROR(__xludf.DUMMYFUNCTION("IMPORTRANGE(""https://docs.google.com/spreadsheets/d/1lOVebEIsI9qjGXl6EX66luk7wiuP2tBaryw-wKvv4e0/edit?usp=sharing"",""แพร่!Q157"")"),0)</f>
        <v>0</v>
      </c>
      <c r="S24" s="67">
        <f ca="1">IFERROR(__xludf.DUMMYFUNCTION("IMPORTRANGE(""https://docs.google.com/spreadsheets/d/1lOVebEIsI9qjGXl6EX66luk7wiuP2tBaryw-wKvv4e0/edit?usp=sharing"",""แพร่!R157"")"),0)</f>
        <v>0</v>
      </c>
      <c r="T24" s="67">
        <f ca="1">IFERROR(__xludf.DUMMYFUNCTION("IMPORTRANGE(""https://docs.google.com/spreadsheets/d/1lOVebEIsI9qjGXl6EX66luk7wiuP2tBaryw-wKvv4e0/edit?usp=sharing"",""แพร่!S157"")"),0)</f>
        <v>0</v>
      </c>
      <c r="U24" s="68">
        <f t="shared" ca="1" si="34"/>
        <v>0</v>
      </c>
      <c r="V24" s="68">
        <f t="shared" ca="1" si="35"/>
        <v>0</v>
      </c>
      <c r="W24" s="78">
        <f ca="1">IFERROR(__xludf.DUMMYFUNCTION("IMPORTRANGE(""https://docs.google.com/spreadsheets/d/1lOVebEIsI9qjGXl6EX66luk7wiuP2tBaryw-wKvv4e0/edit?usp=sharing"",""แพร่!I167"")"),0)</f>
        <v>0</v>
      </c>
      <c r="X24" s="78">
        <f ca="1">IFERROR(__xludf.DUMMYFUNCTION("IMPORTRANGE(""https://docs.google.com/spreadsheets/d/1lOVebEIsI9qjGXl6EX66luk7wiuP2tBaryw-wKvv4e0/edit?usp=sharing"",""แพร่!J167"")"),0)</f>
        <v>0</v>
      </c>
      <c r="Y24" s="79">
        <f t="shared" ca="1" si="37"/>
        <v>0</v>
      </c>
      <c r="Z24" s="78"/>
      <c r="AA24" s="78"/>
      <c r="AB24" s="79"/>
      <c r="AC24" s="78"/>
      <c r="AD24" s="78"/>
      <c r="AE24" s="79"/>
    </row>
    <row r="25" spans="1:31" ht="24" customHeight="1" x14ac:dyDescent="0.3">
      <c r="A25" s="70">
        <v>12</v>
      </c>
      <c r="B25" s="71" t="s">
        <v>53</v>
      </c>
      <c r="C25" s="149">
        <f t="shared" ca="1" si="25"/>
        <v>4500</v>
      </c>
      <c r="D25" s="150">
        <f t="shared" ca="1" si="38"/>
        <v>4500</v>
      </c>
      <c r="E25" s="151">
        <f ca="1">IFERROR(__xludf.DUMMYFUNCTION("IMPORTRANGE(""https://docs.google.com/spreadsheets/d/1-uDff_7J0KD5mKrp0Vvzr7lt3OU09vwQwhkpOPPYv2Y/edit?usp=sharing"",""งบพรบ!CB25"")"),0)</f>
        <v>0</v>
      </c>
      <c r="F25" s="151">
        <f ca="1">IFERROR(__xludf.DUMMYFUNCTION("IMPORTRANGE(""https://docs.google.com/spreadsheets/d/1-uDff_7J0KD5mKrp0Vvzr7lt3OU09vwQwhkpOPPYv2Y/edit?usp=sharing"",""งบพรบ!CC25"")"),4500)</f>
        <v>4500</v>
      </c>
      <c r="G25" s="151">
        <f ca="1">IFERROR(__xludf.DUMMYFUNCTION("IMPORTRANGE(""https://docs.google.com/spreadsheets/d/1-uDff_7J0KD5mKrp0Vvzr7lt3OU09vwQwhkpOPPYv2Y/edit?usp=sharing"",""งบพรบ!CD25"")"),0)</f>
        <v>0</v>
      </c>
      <c r="H25" s="151">
        <f ca="1">IFERROR(__xludf.DUMMYFUNCTION("IMPORTRANGE(""https://docs.google.com/spreadsheets/d/1-uDff_7J0KD5mKrp0Vvzr7lt3OU09vwQwhkpOPPYv2Y/edit?usp=sharing"",""งบพรบ!CF25"")"),5610)</f>
        <v>5610</v>
      </c>
      <c r="I25" s="151">
        <f ca="1">IFERROR(__xludf.DUMMYFUNCTION("IMPORTRANGE(""https://docs.google.com/spreadsheets/d/1-uDff_7J0KD5mKrp0Vvzr7lt3OU09vwQwhkpOPPYv2Y/edit?usp=sharing"",""งบพรบ!CG25"")"),0)</f>
        <v>0</v>
      </c>
      <c r="J25" s="151">
        <f t="shared" ca="1" si="27"/>
        <v>5174</v>
      </c>
      <c r="K25" s="154">
        <f t="shared" ca="1" si="28"/>
        <v>114.97777777777777</v>
      </c>
      <c r="L25" s="151">
        <f ca="1">IFERROR(__xludf.DUMMYFUNCTION("IMPORTRANGE(""https://docs.google.com/spreadsheets/d/1-uDff_7J0KD5mKrp0Vvzr7lt3OU09vwQwhkpOPPYv2Y/edit?usp=sharing"",""งบพรบ!CH25"")"),5174)</f>
        <v>5174</v>
      </c>
      <c r="M25" s="68">
        <f t="shared" ca="1" si="29"/>
        <v>114.97777777777777</v>
      </c>
      <c r="N25" s="68">
        <f t="shared" ca="1" si="30"/>
        <v>92.228163992869881</v>
      </c>
      <c r="O25" s="67">
        <f ca="1">IFERROR(__xludf.DUMMYFUNCTION("IMPORTRANGE(""https://docs.google.com/spreadsheets/d/1-uDff_7J0KD5mKrp0Vvzr7lt3OU09vwQwhkpOPPYv2Y/edit?usp=sharing"",""งบพรบ!CI25"")"),0)</f>
        <v>0</v>
      </c>
      <c r="P25" s="67">
        <f t="shared" ca="1" si="31"/>
        <v>0</v>
      </c>
      <c r="Q25" s="68">
        <f t="shared" ca="1" si="32"/>
        <v>0</v>
      </c>
      <c r="R25" s="197">
        <f ca="1">IFERROR(__xludf.DUMMYFUNCTION("IMPORTRANGE(""https://docs.google.com/spreadsheets/d/1dQrvX0vEcN7Gu0fnZ0B5S90AeR19zth4XlExFBeExMY/edit?usp=sharing"",""แม่ฮ่องสอน!Q157"")"),0)</f>
        <v>0</v>
      </c>
      <c r="S25" s="67">
        <f ca="1">IFERROR(__xludf.DUMMYFUNCTION("IMPORTRANGE(""https://docs.google.com/spreadsheets/d/1dQrvX0vEcN7Gu0fnZ0B5S90AeR19zth4XlExFBeExMY/edit?usp=sharing"",""แม่ฮ่องสอน!R157"")"),0)</f>
        <v>0</v>
      </c>
      <c r="T25" s="67">
        <f ca="1">IFERROR(__xludf.DUMMYFUNCTION("IMPORTRANGE(""https://docs.google.com/spreadsheets/d/1dQrvX0vEcN7Gu0fnZ0B5S90AeR19zth4XlExFBeExMY/edit?usp=sharing"",""แม่ฮ่องสอน!S157"")"),0)</f>
        <v>0</v>
      </c>
      <c r="U25" s="68">
        <f t="shared" ca="1" si="34"/>
        <v>0</v>
      </c>
      <c r="V25" s="68">
        <f t="shared" ca="1" si="35"/>
        <v>0</v>
      </c>
      <c r="W25" s="78">
        <f ca="1">IFERROR(__xludf.DUMMYFUNCTION("IMPORTRANGE(""https://docs.google.com/spreadsheets/d/1dQrvX0vEcN7Gu0fnZ0B5S90AeR19zth4XlExFBeExMY/edit?usp=sharing"",""แม่ฮ่องสอน!I167"")"),15)</f>
        <v>15</v>
      </c>
      <c r="X25" s="78">
        <f ca="1">IFERROR(__xludf.DUMMYFUNCTION("IMPORTRANGE(""https://docs.google.com/spreadsheets/d/1dQrvX0vEcN7Gu0fnZ0B5S90AeR19zth4XlExFBeExMY/edit?usp=sharing"",""แม่ฮ่องสอน!J167"")"),15)</f>
        <v>15</v>
      </c>
      <c r="Y25" s="79">
        <f t="shared" ca="1" si="37"/>
        <v>100</v>
      </c>
      <c r="Z25" s="78"/>
      <c r="AA25" s="78"/>
      <c r="AB25" s="79"/>
      <c r="AC25" s="78"/>
      <c r="AD25" s="78"/>
      <c r="AE25" s="79"/>
    </row>
    <row r="26" spans="1:31" ht="24" customHeight="1" x14ac:dyDescent="0.3">
      <c r="A26" s="70">
        <v>13</v>
      </c>
      <c r="B26" s="71" t="s">
        <v>54</v>
      </c>
      <c r="C26" s="149">
        <f t="shared" ca="1" si="25"/>
        <v>0</v>
      </c>
      <c r="D26" s="150">
        <f t="shared" ca="1" si="38"/>
        <v>0</v>
      </c>
      <c r="E26" s="151">
        <f ca="1">IFERROR(__xludf.DUMMYFUNCTION("IMPORTRANGE(""https://docs.google.com/spreadsheets/d/1-uDff_7J0KD5mKrp0Vvzr7lt3OU09vwQwhkpOPPYv2Y/edit?usp=sharing"",""งบพรบ!CB26"")"),0)</f>
        <v>0</v>
      </c>
      <c r="F26" s="151">
        <f ca="1">IFERROR(__xludf.DUMMYFUNCTION("IMPORTRANGE(""https://docs.google.com/spreadsheets/d/1-uDff_7J0KD5mKrp0Vvzr7lt3OU09vwQwhkpOPPYv2Y/edit?usp=sharing"",""งบพรบ!CC26"")"),0)</f>
        <v>0</v>
      </c>
      <c r="G26" s="151">
        <f ca="1">IFERROR(__xludf.DUMMYFUNCTION("IMPORTRANGE(""https://docs.google.com/spreadsheets/d/1-uDff_7J0KD5mKrp0Vvzr7lt3OU09vwQwhkpOPPYv2Y/edit?usp=sharing"",""งบพรบ!CD26"")"),0)</f>
        <v>0</v>
      </c>
      <c r="H26" s="151">
        <f ca="1">IFERROR(__xludf.DUMMYFUNCTION("IMPORTRANGE(""https://docs.google.com/spreadsheets/d/1-uDff_7J0KD5mKrp0Vvzr7lt3OU09vwQwhkpOPPYv2Y/edit?usp=sharing"",""งบพรบ!CF26"")"),2480)</f>
        <v>2480</v>
      </c>
      <c r="I26" s="151">
        <f ca="1">IFERROR(__xludf.DUMMYFUNCTION("IMPORTRANGE(""https://docs.google.com/spreadsheets/d/1-uDff_7J0KD5mKrp0Vvzr7lt3OU09vwQwhkpOPPYv2Y/edit?usp=sharing"",""งบพรบ!CG26"")"),0)</f>
        <v>0</v>
      </c>
      <c r="J26" s="151">
        <f t="shared" ca="1" si="27"/>
        <v>2480</v>
      </c>
      <c r="K26" s="154">
        <f t="shared" ca="1" si="28"/>
        <v>0</v>
      </c>
      <c r="L26" s="151">
        <f ca="1">IFERROR(__xludf.DUMMYFUNCTION("IMPORTRANGE(""https://docs.google.com/spreadsheets/d/1-uDff_7J0KD5mKrp0Vvzr7lt3OU09vwQwhkpOPPYv2Y/edit?usp=sharing"",""งบพรบ!CH26"")"),2480)</f>
        <v>2480</v>
      </c>
      <c r="M26" s="68">
        <f t="shared" ca="1" si="29"/>
        <v>0</v>
      </c>
      <c r="N26" s="68">
        <f t="shared" ca="1" si="30"/>
        <v>100</v>
      </c>
      <c r="O26" s="67">
        <f ca="1">IFERROR(__xludf.DUMMYFUNCTION("IMPORTRANGE(""https://docs.google.com/spreadsheets/d/1-uDff_7J0KD5mKrp0Vvzr7lt3OU09vwQwhkpOPPYv2Y/edit?usp=sharing"",""งบพรบ!CI26"")"),0)</f>
        <v>0</v>
      </c>
      <c r="P26" s="67">
        <f t="shared" ca="1" si="31"/>
        <v>0</v>
      </c>
      <c r="Q26" s="68">
        <f t="shared" ca="1" si="32"/>
        <v>0</v>
      </c>
      <c r="R26" s="197">
        <f ca="1">IFERROR(__xludf.DUMMYFUNCTION("IMPORTRANGE(""https://docs.google.com/spreadsheets/d/1DY4XTNNwjluuxqdfdn6qvOSlMRrZqUtmYcZR0ttFiG4/edit?usp=sharing"",""ลำปาง!Q157"")"),0)</f>
        <v>0</v>
      </c>
      <c r="S26" s="67">
        <f ca="1">IFERROR(__xludf.DUMMYFUNCTION("IMPORTRANGE(""https://docs.google.com/spreadsheets/d/1DY4XTNNwjluuxqdfdn6qvOSlMRrZqUtmYcZR0ttFiG4/edit?usp=sharing"",""ลำปาง!R157"")"),0)</f>
        <v>0</v>
      </c>
      <c r="T26" s="67">
        <f ca="1">IFERROR(__xludf.DUMMYFUNCTION("IMPORTRANGE(""https://docs.google.com/spreadsheets/d/1DY4XTNNwjluuxqdfdn6qvOSlMRrZqUtmYcZR0ttFiG4/edit?usp=sharing"",""ลำปาง!S157"")"),0)</f>
        <v>0</v>
      </c>
      <c r="U26" s="68">
        <f t="shared" ca="1" si="34"/>
        <v>0</v>
      </c>
      <c r="V26" s="68">
        <f t="shared" ca="1" si="35"/>
        <v>0</v>
      </c>
      <c r="W26" s="78">
        <f ca="1">IFERROR(__xludf.DUMMYFUNCTION("IMPORTRANGE(""https://docs.google.com/spreadsheets/d/1DY4XTNNwjluuxqdfdn6qvOSlMRrZqUtmYcZR0ttFiG4/edit?usp=sharing"",""ลำปาง!I167"")"),0)</f>
        <v>0</v>
      </c>
      <c r="X26" s="78">
        <f ca="1">IFERROR(__xludf.DUMMYFUNCTION("IMPORTRANGE(""https://docs.google.com/spreadsheets/d/1DY4XTNNwjluuxqdfdn6qvOSlMRrZqUtmYcZR0ttFiG4/edit?usp=sharing"",""ลำปาง!J167"")"),0)</f>
        <v>0</v>
      </c>
      <c r="Y26" s="79">
        <f t="shared" ca="1" si="37"/>
        <v>0</v>
      </c>
      <c r="Z26" s="78"/>
      <c r="AA26" s="78"/>
      <c r="AB26" s="79"/>
      <c r="AC26" s="78"/>
      <c r="AD26" s="78"/>
      <c r="AE26" s="79"/>
    </row>
    <row r="27" spans="1:31" ht="24" customHeight="1" x14ac:dyDescent="0.3">
      <c r="A27" s="70">
        <v>14</v>
      </c>
      <c r="B27" s="71" t="s">
        <v>55</v>
      </c>
      <c r="C27" s="149">
        <f t="shared" ca="1" si="25"/>
        <v>4500</v>
      </c>
      <c r="D27" s="150">
        <f t="shared" ca="1" si="38"/>
        <v>4500</v>
      </c>
      <c r="E27" s="151">
        <f ca="1">IFERROR(__xludf.DUMMYFUNCTION("IMPORTRANGE(""https://docs.google.com/spreadsheets/d/1-uDff_7J0KD5mKrp0Vvzr7lt3OU09vwQwhkpOPPYv2Y/edit?usp=sharing"",""งบพรบ!CB27"")"),0)</f>
        <v>0</v>
      </c>
      <c r="F27" s="151">
        <f ca="1">IFERROR(__xludf.DUMMYFUNCTION("IMPORTRANGE(""https://docs.google.com/spreadsheets/d/1-uDff_7J0KD5mKrp0Vvzr7lt3OU09vwQwhkpOPPYv2Y/edit?usp=sharing"",""งบพรบ!CC27"")"),4500)</f>
        <v>4500</v>
      </c>
      <c r="G27" s="151">
        <f ca="1">IFERROR(__xludf.DUMMYFUNCTION("IMPORTRANGE(""https://docs.google.com/spreadsheets/d/1-uDff_7J0KD5mKrp0Vvzr7lt3OU09vwQwhkpOPPYv2Y/edit?usp=sharing"",""งบพรบ!CD27"")"),0)</f>
        <v>0</v>
      </c>
      <c r="H27" s="151">
        <f ca="1">IFERROR(__xludf.DUMMYFUNCTION("IMPORTRANGE(""https://docs.google.com/spreadsheets/d/1-uDff_7J0KD5mKrp0Vvzr7lt3OU09vwQwhkpOPPYv2Y/edit?usp=sharing"",""งบพรบ!CF27"")"),3770)</f>
        <v>3770</v>
      </c>
      <c r="I27" s="151">
        <f ca="1">IFERROR(__xludf.DUMMYFUNCTION("IMPORTRANGE(""https://docs.google.com/spreadsheets/d/1-uDff_7J0KD5mKrp0Vvzr7lt3OU09vwQwhkpOPPYv2Y/edit?usp=sharing"",""งบพรบ!CG27"")"),0)</f>
        <v>0</v>
      </c>
      <c r="J27" s="151">
        <f t="shared" ca="1" si="27"/>
        <v>3770</v>
      </c>
      <c r="K27" s="154">
        <f t="shared" ca="1" si="28"/>
        <v>83.777777777777771</v>
      </c>
      <c r="L27" s="151">
        <f ca="1">IFERROR(__xludf.DUMMYFUNCTION("IMPORTRANGE(""https://docs.google.com/spreadsheets/d/1-uDff_7J0KD5mKrp0Vvzr7lt3OU09vwQwhkpOPPYv2Y/edit?usp=sharing"",""งบพรบ!CH27"")"),3770)</f>
        <v>3770</v>
      </c>
      <c r="M27" s="68">
        <f t="shared" ca="1" si="29"/>
        <v>83.777777777777771</v>
      </c>
      <c r="N27" s="68">
        <f t="shared" ca="1" si="30"/>
        <v>100</v>
      </c>
      <c r="O27" s="67">
        <f ca="1">IFERROR(__xludf.DUMMYFUNCTION("IMPORTRANGE(""https://docs.google.com/spreadsheets/d/1-uDff_7J0KD5mKrp0Vvzr7lt3OU09vwQwhkpOPPYv2Y/edit?usp=sharing"",""งบพรบ!CI27"")"),0)</f>
        <v>0</v>
      </c>
      <c r="P27" s="67">
        <f t="shared" ca="1" si="31"/>
        <v>0</v>
      </c>
      <c r="Q27" s="68">
        <f t="shared" ca="1" si="32"/>
        <v>0</v>
      </c>
      <c r="R27" s="197">
        <f ca="1">IFERROR(__xludf.DUMMYFUNCTION("IMPORTRANGE(""https://docs.google.com/spreadsheets/d/1ICwG78r0OFT8biBlxnBF8r7she7gNSzOvJ958PWT09c/edit?usp=sharing"",""ลำพูน!Q157"")"),0)</f>
        <v>0</v>
      </c>
      <c r="S27" s="67">
        <f ca="1">IFERROR(__xludf.DUMMYFUNCTION("IMPORTRANGE(""https://docs.google.com/spreadsheets/d/1ICwG78r0OFT8biBlxnBF8r7she7gNSzOvJ958PWT09c/edit?usp=sharing"",""ลำพูน!R157"")"),0)</f>
        <v>0</v>
      </c>
      <c r="T27" s="67">
        <f ca="1">IFERROR(__xludf.DUMMYFUNCTION("IMPORTRANGE(""https://docs.google.com/spreadsheets/d/1ICwG78r0OFT8biBlxnBF8r7she7gNSzOvJ958PWT09c/edit?usp=sharing"",""ลำพูน!S157"")"),0)</f>
        <v>0</v>
      </c>
      <c r="U27" s="68">
        <f t="shared" ca="1" si="34"/>
        <v>0</v>
      </c>
      <c r="V27" s="68">
        <f t="shared" ca="1" si="35"/>
        <v>0</v>
      </c>
      <c r="W27" s="78">
        <f ca="1">IFERROR(__xludf.DUMMYFUNCTION("IMPORTRANGE(""https://docs.google.com/spreadsheets/d/1ICwG78r0OFT8biBlxnBF8r7she7gNSzOvJ958PWT09c/edit?usp=sharing"",""ลำพูน!I167"")"),15)</f>
        <v>15</v>
      </c>
      <c r="X27" s="78">
        <f ca="1">IFERROR(__xludf.DUMMYFUNCTION("IMPORTRANGE(""https://docs.google.com/spreadsheets/d/1ICwG78r0OFT8biBlxnBF8r7she7gNSzOvJ958PWT09c/edit?usp=sharing"",""ลำพูน!J167"")"),16)</f>
        <v>16</v>
      </c>
      <c r="Y27" s="79">
        <f t="shared" ca="1" si="37"/>
        <v>106.66666666666667</v>
      </c>
      <c r="Z27" s="78"/>
      <c r="AA27" s="78"/>
      <c r="AB27" s="79"/>
      <c r="AC27" s="78"/>
      <c r="AD27" s="78"/>
      <c r="AE27" s="79"/>
    </row>
    <row r="28" spans="1:31" ht="24" customHeight="1" x14ac:dyDescent="0.3">
      <c r="A28" s="70">
        <v>15</v>
      </c>
      <c r="B28" s="71" t="s">
        <v>56</v>
      </c>
      <c r="C28" s="149">
        <f t="shared" ca="1" si="25"/>
        <v>126500</v>
      </c>
      <c r="D28" s="150">
        <f t="shared" ca="1" si="38"/>
        <v>126500</v>
      </c>
      <c r="E28" s="151">
        <f ca="1">IFERROR(__xludf.DUMMYFUNCTION("IMPORTRANGE(""https://docs.google.com/spreadsheets/d/1-uDff_7J0KD5mKrp0Vvzr7lt3OU09vwQwhkpOPPYv2Y/edit?usp=sharing"",""งบพรบ!CB28"")"),0)</f>
        <v>0</v>
      </c>
      <c r="F28" s="151">
        <f ca="1">IFERROR(__xludf.DUMMYFUNCTION("IMPORTRANGE(""https://docs.google.com/spreadsheets/d/1-uDff_7J0KD5mKrp0Vvzr7lt3OU09vwQwhkpOPPYv2Y/edit?usp=sharing"",""งบพรบ!CC28"")"),126500)</f>
        <v>126500</v>
      </c>
      <c r="G28" s="151">
        <f ca="1">IFERROR(__xludf.DUMMYFUNCTION("IMPORTRANGE(""https://docs.google.com/spreadsheets/d/1-uDff_7J0KD5mKrp0Vvzr7lt3OU09vwQwhkpOPPYv2Y/edit?usp=sharing"",""งบพรบ!CD28"")"),0)</f>
        <v>0</v>
      </c>
      <c r="H28" s="151">
        <f ca="1">IFERROR(__xludf.DUMMYFUNCTION("IMPORTRANGE(""https://docs.google.com/spreadsheets/d/1-uDff_7J0KD5mKrp0Vvzr7lt3OU09vwQwhkpOPPYv2Y/edit?usp=sharing"",""งบพรบ!CF28"")"),115250)</f>
        <v>115250</v>
      </c>
      <c r="I28" s="151">
        <f ca="1">IFERROR(__xludf.DUMMYFUNCTION("IMPORTRANGE(""https://docs.google.com/spreadsheets/d/1-uDff_7J0KD5mKrp0Vvzr7lt3OU09vwQwhkpOPPYv2Y/edit?usp=sharing"",""งบพรบ!CG28"")"),0)</f>
        <v>0</v>
      </c>
      <c r="J28" s="151">
        <f t="shared" ca="1" si="27"/>
        <v>67173.27</v>
      </c>
      <c r="K28" s="154">
        <f t="shared" ca="1" si="28"/>
        <v>53.101399209486168</v>
      </c>
      <c r="L28" s="151">
        <f ca="1">IFERROR(__xludf.DUMMYFUNCTION("IMPORTRANGE(""https://docs.google.com/spreadsheets/d/1-uDff_7J0KD5mKrp0Vvzr7lt3OU09vwQwhkpOPPYv2Y/edit?usp=sharing"",""งบพรบ!CH28"")"),67173.27)</f>
        <v>67173.27</v>
      </c>
      <c r="M28" s="68">
        <f t="shared" ca="1" si="29"/>
        <v>53.101399209486168</v>
      </c>
      <c r="N28" s="68">
        <f t="shared" ca="1" si="30"/>
        <v>58.284832971800434</v>
      </c>
      <c r="O28" s="67">
        <f ca="1">IFERROR(__xludf.DUMMYFUNCTION("IMPORTRANGE(""https://docs.google.com/spreadsheets/d/1-uDff_7J0KD5mKrp0Vvzr7lt3OU09vwQwhkpOPPYv2Y/edit?usp=sharing"",""งบพรบ!CI28"")"),0)</f>
        <v>0</v>
      </c>
      <c r="P28" s="67">
        <f t="shared" ca="1" si="31"/>
        <v>0</v>
      </c>
      <c r="Q28" s="68">
        <f t="shared" ca="1" si="32"/>
        <v>0</v>
      </c>
      <c r="R28" s="197">
        <f ca="1">IFERROR(__xludf.DUMMYFUNCTION("IMPORTRANGE(""https://docs.google.com/spreadsheets/d/1B0f2xJpZUC6Z0xXnqKlZtEPzsf6L84eP1r1Q15seqRM/edit?usp=sharing"",""สุโขทัย!Q157"")"),0)</f>
        <v>0</v>
      </c>
      <c r="S28" s="67">
        <f ca="1">IFERROR(__xludf.DUMMYFUNCTION("IMPORTRANGE(""https://docs.google.com/spreadsheets/d/1B0f2xJpZUC6Z0xXnqKlZtEPzsf6L84eP1r1Q15seqRM/edit?usp=sharing"",""สุโขทัย!R157"")"),0)</f>
        <v>0</v>
      </c>
      <c r="T28" s="67">
        <f ca="1">IFERROR(__xludf.DUMMYFUNCTION("IMPORTRANGE(""https://docs.google.com/spreadsheets/d/1B0f2xJpZUC6Z0xXnqKlZtEPzsf6L84eP1r1Q15seqRM/edit?usp=sharing"",""สุโขทัย!S157"")"),0)</f>
        <v>0</v>
      </c>
      <c r="U28" s="68">
        <f t="shared" ca="1" si="34"/>
        <v>0</v>
      </c>
      <c r="V28" s="68">
        <f t="shared" ca="1" si="35"/>
        <v>0</v>
      </c>
      <c r="W28" s="78">
        <f ca="1">IFERROR(__xludf.DUMMYFUNCTION("IMPORTRANGE(""https://docs.google.com/spreadsheets/d/1B0f2xJpZUC6Z0xXnqKlZtEPzsf6L84eP1r1Q15seqRM/edit?usp=sharing"",""สุโขทัย!I167"")"),75)</f>
        <v>75</v>
      </c>
      <c r="X28" s="78">
        <f ca="1">IFERROR(__xludf.DUMMYFUNCTION("IMPORTRANGE(""https://docs.google.com/spreadsheets/d/1B0f2xJpZUC6Z0xXnqKlZtEPzsf6L84eP1r1Q15seqRM/edit?usp=sharing"",""สุโขทัย!J167"")"),75)</f>
        <v>75</v>
      </c>
      <c r="Y28" s="79">
        <f t="shared" ca="1" si="37"/>
        <v>100</v>
      </c>
      <c r="Z28" s="78"/>
      <c r="AA28" s="78"/>
      <c r="AB28" s="79"/>
      <c r="AC28" s="78"/>
      <c r="AD28" s="78"/>
      <c r="AE28" s="79"/>
    </row>
    <row r="29" spans="1:31" ht="24" customHeight="1" x14ac:dyDescent="0.3">
      <c r="A29" s="70">
        <v>16</v>
      </c>
      <c r="B29" s="71" t="s">
        <v>57</v>
      </c>
      <c r="C29" s="149">
        <f t="shared" ca="1" si="25"/>
        <v>0</v>
      </c>
      <c r="D29" s="150">
        <f t="shared" ca="1" si="38"/>
        <v>0</v>
      </c>
      <c r="E29" s="151">
        <f ca="1">IFERROR(__xludf.DUMMYFUNCTION("IMPORTRANGE(""https://docs.google.com/spreadsheets/d/1-uDff_7J0KD5mKrp0Vvzr7lt3OU09vwQwhkpOPPYv2Y/edit?usp=sharing"",""งบพรบ!CB29"")"),0)</f>
        <v>0</v>
      </c>
      <c r="F29" s="151">
        <f ca="1">IFERROR(__xludf.DUMMYFUNCTION("IMPORTRANGE(""https://docs.google.com/spreadsheets/d/1-uDff_7J0KD5mKrp0Vvzr7lt3OU09vwQwhkpOPPYv2Y/edit?usp=sharing"",""งบพรบ!CC29"")"),0)</f>
        <v>0</v>
      </c>
      <c r="G29" s="151">
        <f ca="1">IFERROR(__xludf.DUMMYFUNCTION("IMPORTRANGE(""https://docs.google.com/spreadsheets/d/1-uDff_7J0KD5mKrp0Vvzr7lt3OU09vwQwhkpOPPYv2Y/edit?usp=sharing"",""งบพรบ!CD29"")"),0)</f>
        <v>0</v>
      </c>
      <c r="H29" s="151">
        <f ca="1">IFERROR(__xludf.DUMMYFUNCTION("IMPORTRANGE(""https://docs.google.com/spreadsheets/d/1-uDff_7J0KD5mKrp0Vvzr7lt3OU09vwQwhkpOPPYv2Y/edit?usp=sharing"",""งบพรบ!CF29"")"),856)</f>
        <v>856</v>
      </c>
      <c r="I29" s="151">
        <f ca="1">IFERROR(__xludf.DUMMYFUNCTION("IMPORTRANGE(""https://docs.google.com/spreadsheets/d/1-uDff_7J0KD5mKrp0Vvzr7lt3OU09vwQwhkpOPPYv2Y/edit?usp=sharing"",""งบพรบ!CG29"")"),0)</f>
        <v>0</v>
      </c>
      <c r="J29" s="151">
        <f t="shared" ca="1" si="27"/>
        <v>856</v>
      </c>
      <c r="K29" s="154">
        <f t="shared" ca="1" si="28"/>
        <v>0</v>
      </c>
      <c r="L29" s="151">
        <f ca="1">IFERROR(__xludf.DUMMYFUNCTION("IMPORTRANGE(""https://docs.google.com/spreadsheets/d/1-uDff_7J0KD5mKrp0Vvzr7lt3OU09vwQwhkpOPPYv2Y/edit?usp=sharing"",""งบพรบ!CH29"")"),856)</f>
        <v>856</v>
      </c>
      <c r="M29" s="68">
        <f t="shared" ca="1" si="29"/>
        <v>0</v>
      </c>
      <c r="N29" s="68">
        <f t="shared" ca="1" si="30"/>
        <v>100</v>
      </c>
      <c r="O29" s="67">
        <f ca="1">IFERROR(__xludf.DUMMYFUNCTION("IMPORTRANGE(""https://docs.google.com/spreadsheets/d/1-uDff_7J0KD5mKrp0Vvzr7lt3OU09vwQwhkpOPPYv2Y/edit?usp=sharing"",""งบพรบ!CI29"")"),0)</f>
        <v>0</v>
      </c>
      <c r="P29" s="67">
        <f t="shared" ca="1" si="31"/>
        <v>0</v>
      </c>
      <c r="Q29" s="68">
        <f t="shared" ca="1" si="32"/>
        <v>0</v>
      </c>
      <c r="R29" s="197">
        <f ca="1">IFERROR(__xludf.DUMMYFUNCTION("IMPORTRANGE(""https://docs.google.com/spreadsheets/d/1v0b9pFQCsKUVExMei7AgY2yQkdeNQvtOssygGsXbiKo/edit?usp=sharing"",""อุตรดิตถ์!Q157"")"),0)</f>
        <v>0</v>
      </c>
      <c r="S29" s="67">
        <f ca="1">IFERROR(__xludf.DUMMYFUNCTION("IMPORTRANGE(""https://docs.google.com/spreadsheets/d/1v0b9pFQCsKUVExMei7AgY2yQkdeNQvtOssygGsXbiKo/edit?usp=sharing"",""อุตรดิตถ์!R157"")"),0)</f>
        <v>0</v>
      </c>
      <c r="T29" s="67">
        <f ca="1">IFERROR(__xludf.DUMMYFUNCTION("IMPORTRANGE(""https://docs.google.com/spreadsheets/d/1v0b9pFQCsKUVExMei7AgY2yQkdeNQvtOssygGsXbiKo/edit?usp=sharing"",""อุตรดิตถ์!S157"")"),0)</f>
        <v>0</v>
      </c>
      <c r="U29" s="68">
        <f t="shared" ca="1" si="34"/>
        <v>0</v>
      </c>
      <c r="V29" s="68">
        <f t="shared" ca="1" si="35"/>
        <v>0</v>
      </c>
      <c r="W29" s="78">
        <f ca="1">IFERROR(__xludf.DUMMYFUNCTION("IMPORTRANGE(""https://docs.google.com/spreadsheets/d/1v0b9pFQCsKUVExMei7AgY2yQkdeNQvtOssygGsXbiKo/edit?usp=sharing"",""อุตรดิตถ์!I167"")"),0)</f>
        <v>0</v>
      </c>
      <c r="X29" s="78">
        <f ca="1">IFERROR(__xludf.DUMMYFUNCTION("IMPORTRANGE(""https://docs.google.com/spreadsheets/d/1v0b9pFQCsKUVExMei7AgY2yQkdeNQvtOssygGsXbiKo/edit?usp=sharing"",""อุตรดิตถ์!J167"")"),0)</f>
        <v>0</v>
      </c>
      <c r="Y29" s="79">
        <f t="shared" ca="1" si="37"/>
        <v>0</v>
      </c>
      <c r="Z29" s="78"/>
      <c r="AA29" s="78"/>
      <c r="AB29" s="79"/>
      <c r="AC29" s="78"/>
      <c r="AD29" s="78"/>
      <c r="AE29" s="79"/>
    </row>
    <row r="30" spans="1:31" ht="24" customHeight="1" x14ac:dyDescent="0.3">
      <c r="A30" s="80">
        <v>17</v>
      </c>
      <c r="B30" s="81" t="s">
        <v>58</v>
      </c>
      <c r="C30" s="157">
        <f t="shared" ca="1" si="25"/>
        <v>4500</v>
      </c>
      <c r="D30" s="158">
        <f t="shared" ca="1" si="38"/>
        <v>4500</v>
      </c>
      <c r="E30" s="159">
        <f ca="1">IFERROR(__xludf.DUMMYFUNCTION("IMPORTRANGE(""https://docs.google.com/spreadsheets/d/1-uDff_7J0KD5mKrp0Vvzr7lt3OU09vwQwhkpOPPYv2Y/edit?usp=sharing"",""งบพรบ!CB30"")"),0)</f>
        <v>0</v>
      </c>
      <c r="F30" s="159">
        <f ca="1">IFERROR(__xludf.DUMMYFUNCTION("IMPORTRANGE(""https://docs.google.com/spreadsheets/d/1-uDff_7J0KD5mKrp0Vvzr7lt3OU09vwQwhkpOPPYv2Y/edit?usp=sharing"",""งบพรบ!CC30"")"),4500)</f>
        <v>4500</v>
      </c>
      <c r="G30" s="159">
        <f ca="1">IFERROR(__xludf.DUMMYFUNCTION("IMPORTRANGE(""https://docs.google.com/spreadsheets/d/1-uDff_7J0KD5mKrp0Vvzr7lt3OU09vwQwhkpOPPYv2Y/edit?usp=sharing"",""งบพรบ!CD30"")"),0)</f>
        <v>0</v>
      </c>
      <c r="H30" s="159">
        <f ca="1">IFERROR(__xludf.DUMMYFUNCTION("IMPORTRANGE(""https://docs.google.com/spreadsheets/d/1-uDff_7J0KD5mKrp0Vvzr7lt3OU09vwQwhkpOPPYv2Y/edit?usp=sharing"",""งบพรบ!CF30"")"),96970)</f>
        <v>96970</v>
      </c>
      <c r="I30" s="159">
        <f ca="1">IFERROR(__xludf.DUMMYFUNCTION("IMPORTRANGE(""https://docs.google.com/spreadsheets/d/1-uDff_7J0KD5mKrp0Vvzr7lt3OU09vwQwhkpOPPYv2Y/edit?usp=sharing"",""งบพรบ!CG30"")"),0)</f>
        <v>0</v>
      </c>
      <c r="J30" s="159">
        <f t="shared" ca="1" si="27"/>
        <v>79400</v>
      </c>
      <c r="K30" s="160">
        <f t="shared" ca="1" si="28"/>
        <v>1764.4444444444443</v>
      </c>
      <c r="L30" s="159">
        <f ca="1">IFERROR(__xludf.DUMMYFUNCTION("IMPORTRANGE(""https://docs.google.com/spreadsheets/d/1-uDff_7J0KD5mKrp0Vvzr7lt3OU09vwQwhkpOPPYv2Y/edit?usp=sharing"",""งบพรบ!CH30"")"),79400)</f>
        <v>79400</v>
      </c>
      <c r="M30" s="89">
        <f t="shared" ca="1" si="29"/>
        <v>1764.4444444444443</v>
      </c>
      <c r="N30" s="89">
        <f t="shared" ca="1" si="30"/>
        <v>81.880994121893366</v>
      </c>
      <c r="O30" s="88">
        <f ca="1">IFERROR(__xludf.DUMMYFUNCTION("IMPORTRANGE(""https://docs.google.com/spreadsheets/d/1-uDff_7J0KD5mKrp0Vvzr7lt3OU09vwQwhkpOPPYv2Y/edit?usp=sharing"",""งบพรบ!CI30"")"),0)</f>
        <v>0</v>
      </c>
      <c r="P30" s="88">
        <f t="shared" ca="1" si="31"/>
        <v>0</v>
      </c>
      <c r="Q30" s="89">
        <f t="shared" ca="1" si="32"/>
        <v>0</v>
      </c>
      <c r="R30" s="198">
        <f ca="1">IFERROR(__xludf.DUMMYFUNCTION("IMPORTRANGE(""https://docs.google.com/spreadsheets/d/1UsNK1e-WWiCo2PvGqdNfdme4m17_Ezd3J69EeeiQPD0/edit?usp=sharing"",""อุทัยธานี!Q157"")"),0)</f>
        <v>0</v>
      </c>
      <c r="S30" s="88">
        <f ca="1">IFERROR(__xludf.DUMMYFUNCTION("IMPORTRANGE(""https://docs.google.com/spreadsheets/d/1UsNK1e-WWiCo2PvGqdNfdme4m17_Ezd3J69EeeiQPD0/edit?usp=sharing"",""อุทัยธานี!R157"")"),0)</f>
        <v>0</v>
      </c>
      <c r="T30" s="88">
        <f ca="1">IFERROR(__xludf.DUMMYFUNCTION("IMPORTRANGE(""https://docs.google.com/spreadsheets/d/1UsNK1e-WWiCo2PvGqdNfdme4m17_Ezd3J69EeeiQPD0/edit?usp=sharing"",""อุทัยธานี!S157"")"),0)</f>
        <v>0</v>
      </c>
      <c r="U30" s="89">
        <f t="shared" ca="1" si="34"/>
        <v>0</v>
      </c>
      <c r="V30" s="89">
        <f t="shared" ca="1" si="35"/>
        <v>0</v>
      </c>
      <c r="W30" s="90">
        <f ca="1">IFERROR(__xludf.DUMMYFUNCTION("IMPORTRANGE(""https://docs.google.com/spreadsheets/d/1UsNK1e-WWiCo2PvGqdNfdme4m17_Ezd3J69EeeiQPD0/edit?usp=sharing"",""อุทัยธานี!I167"")"),15)</f>
        <v>15</v>
      </c>
      <c r="X30" s="90">
        <f ca="1">IFERROR(__xludf.DUMMYFUNCTION("IMPORTRANGE(""https://docs.google.com/spreadsheets/d/1UsNK1e-WWiCo2PvGqdNfdme4m17_Ezd3J69EeeiQPD0/edit?usp=sharing"",""อุทัยธานี!J167"")"),15)</f>
        <v>15</v>
      </c>
      <c r="Y30" s="91">
        <f t="shared" ca="1" si="37"/>
        <v>100</v>
      </c>
      <c r="Z30" s="90"/>
      <c r="AA30" s="90"/>
      <c r="AB30" s="91"/>
      <c r="AC30" s="90"/>
      <c r="AD30" s="90"/>
      <c r="AE30" s="91"/>
    </row>
    <row r="31" spans="1:31" ht="21" customHeight="1" x14ac:dyDescent="0.3">
      <c r="A31" s="665" t="s">
        <v>59</v>
      </c>
      <c r="B31" s="666"/>
      <c r="C31" s="161">
        <f t="shared" ca="1" si="25"/>
        <v>33000</v>
      </c>
      <c r="D31" s="161">
        <f t="shared" ref="D31:I31" ca="1" si="39">SUM(D32:D51)</f>
        <v>33000</v>
      </c>
      <c r="E31" s="161">
        <f t="shared" ca="1" si="39"/>
        <v>0</v>
      </c>
      <c r="F31" s="161">
        <f t="shared" ca="1" si="39"/>
        <v>33000</v>
      </c>
      <c r="G31" s="161">
        <f t="shared" ca="1" si="39"/>
        <v>0</v>
      </c>
      <c r="H31" s="161">
        <f t="shared" ca="1" si="39"/>
        <v>65168</v>
      </c>
      <c r="I31" s="161">
        <f t="shared" ca="1" si="39"/>
        <v>0</v>
      </c>
      <c r="J31" s="161">
        <f t="shared" ca="1" si="27"/>
        <v>63312</v>
      </c>
      <c r="K31" s="162">
        <f t="shared" ca="1" si="28"/>
        <v>191.85454545454544</v>
      </c>
      <c r="L31" s="161">
        <f ca="1">SUM(L32:L51)</f>
        <v>63312</v>
      </c>
      <c r="M31" s="94">
        <f t="shared" ca="1" si="29"/>
        <v>191.85454545454544</v>
      </c>
      <c r="N31" s="94">
        <f t="shared" ca="1" si="30"/>
        <v>97.151976430149773</v>
      </c>
      <c r="O31" s="93">
        <f ca="1">SUM(O32:O51)</f>
        <v>0</v>
      </c>
      <c r="P31" s="93">
        <f t="shared" ca="1" si="31"/>
        <v>0</v>
      </c>
      <c r="Q31" s="94">
        <f t="shared" ca="1" si="32"/>
        <v>0</v>
      </c>
      <c r="R31" s="199">
        <f t="shared" ref="R31:T31" ca="1" si="40">SUM(R32:R51)</f>
        <v>0</v>
      </c>
      <c r="S31" s="93">
        <f t="shared" ca="1" si="40"/>
        <v>0</v>
      </c>
      <c r="T31" s="93">
        <f t="shared" ca="1" si="40"/>
        <v>0</v>
      </c>
      <c r="U31" s="94">
        <f t="shared" ca="1" si="34"/>
        <v>0</v>
      </c>
      <c r="V31" s="94">
        <f t="shared" ca="1" si="35"/>
        <v>0</v>
      </c>
      <c r="W31" s="52">
        <f t="shared" ref="W31:X31" ca="1" si="41">SUM(W32:W51)</f>
        <v>110</v>
      </c>
      <c r="X31" s="52">
        <f t="shared" ca="1" si="41"/>
        <v>115</v>
      </c>
      <c r="Y31" s="54">
        <f t="shared" ca="1" si="37"/>
        <v>104.54545454545455</v>
      </c>
      <c r="Z31" s="52"/>
      <c r="AA31" s="52"/>
      <c r="AB31" s="54"/>
      <c r="AC31" s="52"/>
      <c r="AD31" s="52"/>
      <c r="AE31" s="54"/>
    </row>
    <row r="32" spans="1:31" ht="21" customHeight="1" x14ac:dyDescent="0.3">
      <c r="A32" s="58">
        <v>1</v>
      </c>
      <c r="B32" s="59" t="s">
        <v>60</v>
      </c>
      <c r="C32" s="149">
        <f t="shared" ca="1" si="25"/>
        <v>4500</v>
      </c>
      <c r="D32" s="150">
        <f t="shared" ref="D32:D51" ca="1" si="42">+E32+F32</f>
        <v>4500</v>
      </c>
      <c r="E32" s="151">
        <f ca="1">IFERROR(__xludf.DUMMYFUNCTION("IMPORTRANGE(""https://docs.google.com/spreadsheets/d/1-uDff_7J0KD5mKrp0Vvzr7lt3OU09vwQwhkpOPPYv2Y/edit?usp=sharing"",""งบพรบ!CB32"")"),0)</f>
        <v>0</v>
      </c>
      <c r="F32" s="151">
        <f ca="1">IFERROR(__xludf.DUMMYFUNCTION("IMPORTRANGE(""https://docs.google.com/spreadsheets/d/1-uDff_7J0KD5mKrp0Vvzr7lt3OU09vwQwhkpOPPYv2Y/edit?usp=sharing"",""งบพรบ!CC32"")"),4500)</f>
        <v>4500</v>
      </c>
      <c r="G32" s="152">
        <f ca="1">IFERROR(__xludf.DUMMYFUNCTION("IMPORTRANGE(""https://docs.google.com/spreadsheets/d/1-uDff_7J0KD5mKrp0Vvzr7lt3OU09vwQwhkpOPPYv2Y/edit?usp=sharing"",""งบพรบ!CD32"")"),0)</f>
        <v>0</v>
      </c>
      <c r="H32" s="152">
        <f ca="1">IFERROR(__xludf.DUMMYFUNCTION("IMPORTRANGE(""https://docs.google.com/spreadsheets/d/1-uDff_7J0KD5mKrp0Vvzr7lt3OU09vwQwhkpOPPYv2Y/edit?usp=sharing"",""งบพรบ!CF32"")"),8358)</f>
        <v>8358</v>
      </c>
      <c r="I32" s="152">
        <f ca="1">IFERROR(__xludf.DUMMYFUNCTION("IMPORTRANGE(""https://docs.google.com/spreadsheets/d/1-uDff_7J0KD5mKrp0Vvzr7lt3OU09vwQwhkpOPPYv2Y/edit?usp=sharing"",""งบพรบ!CG32"")"),0)</f>
        <v>0</v>
      </c>
      <c r="J32" s="152">
        <f t="shared" ca="1" si="27"/>
        <v>8358</v>
      </c>
      <c r="K32" s="153">
        <f t="shared" ca="1" si="28"/>
        <v>185.73333333333332</v>
      </c>
      <c r="L32" s="152">
        <f ca="1">IFERROR(__xludf.DUMMYFUNCTION("IMPORTRANGE(""https://docs.google.com/spreadsheets/d/1-uDff_7J0KD5mKrp0Vvzr7lt3OU09vwQwhkpOPPYv2Y/edit?usp=sharing"",""งบพรบ!CH32"")"),8358)</f>
        <v>8358</v>
      </c>
      <c r="M32" s="68">
        <f t="shared" ca="1" si="29"/>
        <v>185.73333333333332</v>
      </c>
      <c r="N32" s="68">
        <f t="shared" ca="1" si="30"/>
        <v>100</v>
      </c>
      <c r="O32" s="67">
        <f ca="1">IFERROR(__xludf.DUMMYFUNCTION("IMPORTRANGE(""https://docs.google.com/spreadsheets/d/1-uDff_7J0KD5mKrp0Vvzr7lt3OU09vwQwhkpOPPYv2Y/edit?usp=sharing"",""งบพรบ!CI32"")"),0)</f>
        <v>0</v>
      </c>
      <c r="P32" s="67">
        <f t="shared" ca="1" si="31"/>
        <v>0</v>
      </c>
      <c r="Q32" s="68">
        <f t="shared" ca="1" si="32"/>
        <v>0</v>
      </c>
      <c r="R32" s="197">
        <f ca="1">IFERROR(__xludf.DUMMYFUNCTION("IMPORTRANGE(""https://docs.google.com/spreadsheets/d/1yhBcrRPreicbMKl9Bu_Snb2-OcQAF62RKfhTLhJ2eAA/edit?usp=sharing"",""กาฬสินธุ์!Q157"")"),0)</f>
        <v>0</v>
      </c>
      <c r="S32" s="67">
        <f ca="1">IFERROR(__xludf.DUMMYFUNCTION("IMPORTRANGE(""https://docs.google.com/spreadsheets/d/1yhBcrRPreicbMKl9Bu_Snb2-OcQAF62RKfhTLhJ2eAA/edit?usp=sharing"",""กาฬสินธุ์!R157"")"),0)</f>
        <v>0</v>
      </c>
      <c r="T32" s="67">
        <f ca="1">IFERROR(__xludf.DUMMYFUNCTION("IMPORTRANGE(""https://docs.google.com/spreadsheets/d/1yhBcrRPreicbMKl9Bu_Snb2-OcQAF62RKfhTLhJ2eAA/edit?usp=sharing"",""กาฬสินธุ์!S157"")"),0)</f>
        <v>0</v>
      </c>
      <c r="U32" s="68">
        <f t="shared" ca="1" si="34"/>
        <v>0</v>
      </c>
      <c r="V32" s="68">
        <f t="shared" ca="1" si="35"/>
        <v>0</v>
      </c>
      <c r="W32" s="63">
        <f ca="1">IFERROR(__xludf.DUMMYFUNCTION("IMPORTRANGE(""https://docs.google.com/spreadsheets/d/1yhBcrRPreicbMKl9Bu_Snb2-OcQAF62RKfhTLhJ2eAA/edit?usp=sharing"",""กาฬสินธุ์!I167"")"),15)</f>
        <v>15</v>
      </c>
      <c r="X32" s="63">
        <f ca="1">IFERROR(__xludf.DUMMYFUNCTION("IMPORTRANGE(""https://docs.google.com/spreadsheets/d/1yhBcrRPreicbMKl9Bu_Snb2-OcQAF62RKfhTLhJ2eAA/edit?usp=sharing"",""กาฬสินธุ์!J167"")"),15)</f>
        <v>15</v>
      </c>
      <c r="Y32" s="69">
        <f t="shared" ca="1" si="37"/>
        <v>100</v>
      </c>
      <c r="Z32" s="63"/>
      <c r="AA32" s="63"/>
      <c r="AB32" s="69"/>
      <c r="AC32" s="63"/>
      <c r="AD32" s="63"/>
      <c r="AE32" s="69"/>
    </row>
    <row r="33" spans="1:31" ht="21" customHeight="1" x14ac:dyDescent="0.3">
      <c r="A33" s="70">
        <v>2</v>
      </c>
      <c r="B33" s="71" t="s">
        <v>61</v>
      </c>
      <c r="C33" s="149">
        <f t="shared" ca="1" si="25"/>
        <v>0</v>
      </c>
      <c r="D33" s="150">
        <f t="shared" ca="1" si="42"/>
        <v>0</v>
      </c>
      <c r="E33" s="151">
        <f ca="1">IFERROR(__xludf.DUMMYFUNCTION("IMPORTRANGE(""https://docs.google.com/spreadsheets/d/1-uDff_7J0KD5mKrp0Vvzr7lt3OU09vwQwhkpOPPYv2Y/edit?usp=sharing"",""งบพรบ!CB33"")"),0)</f>
        <v>0</v>
      </c>
      <c r="F33" s="151">
        <f ca="1">IFERROR(__xludf.DUMMYFUNCTION("IMPORTRANGE(""https://docs.google.com/spreadsheets/d/1-uDff_7J0KD5mKrp0Vvzr7lt3OU09vwQwhkpOPPYv2Y/edit?usp=sharing"",""งบพรบ!CC33"")"),0)</f>
        <v>0</v>
      </c>
      <c r="G33" s="151">
        <f ca="1">IFERROR(__xludf.DUMMYFUNCTION("IMPORTRANGE(""https://docs.google.com/spreadsheets/d/1-uDff_7J0KD5mKrp0Vvzr7lt3OU09vwQwhkpOPPYv2Y/edit?usp=sharing"",""งบพรบ!CD33"")"),0)</f>
        <v>0</v>
      </c>
      <c r="H33" s="151">
        <f ca="1">IFERROR(__xludf.DUMMYFUNCTION("IMPORTRANGE(""https://docs.google.com/spreadsheets/d/1-uDff_7J0KD5mKrp0Vvzr7lt3OU09vwQwhkpOPPYv2Y/edit?usp=sharing"",""งบพรบ!CF33"")"),0)</f>
        <v>0</v>
      </c>
      <c r="I33" s="151">
        <f ca="1">IFERROR(__xludf.DUMMYFUNCTION("IMPORTRANGE(""https://docs.google.com/spreadsheets/d/1-uDff_7J0KD5mKrp0Vvzr7lt3OU09vwQwhkpOPPYv2Y/edit?usp=sharing"",""งบพรบ!CG33"")"),0)</f>
        <v>0</v>
      </c>
      <c r="J33" s="151">
        <f t="shared" ca="1" si="27"/>
        <v>0</v>
      </c>
      <c r="K33" s="154">
        <f t="shared" ca="1" si="28"/>
        <v>0</v>
      </c>
      <c r="L33" s="151">
        <f ca="1">IFERROR(__xludf.DUMMYFUNCTION("IMPORTRANGE(""https://docs.google.com/spreadsheets/d/1-uDff_7J0KD5mKrp0Vvzr7lt3OU09vwQwhkpOPPYv2Y/edit?usp=sharing"",""งบพรบ!CH33"")"),0)</f>
        <v>0</v>
      </c>
      <c r="M33" s="68">
        <f t="shared" ca="1" si="29"/>
        <v>0</v>
      </c>
      <c r="N33" s="68">
        <f t="shared" ca="1" si="30"/>
        <v>0</v>
      </c>
      <c r="O33" s="67">
        <f ca="1">IFERROR(__xludf.DUMMYFUNCTION("IMPORTRANGE(""https://docs.google.com/spreadsheets/d/1-uDff_7J0KD5mKrp0Vvzr7lt3OU09vwQwhkpOPPYv2Y/edit?usp=sharing"",""งบพรบ!CI33"")"),0)</f>
        <v>0</v>
      </c>
      <c r="P33" s="67">
        <f t="shared" ca="1" si="31"/>
        <v>0</v>
      </c>
      <c r="Q33" s="68">
        <f t="shared" ca="1" si="32"/>
        <v>0</v>
      </c>
      <c r="R33" s="197">
        <f ca="1">IFERROR(__xludf.DUMMYFUNCTION("IMPORTRANGE(""https://docs.google.com/spreadsheets/d/1aHkj4IaQMThhwWwevcOymEh837vdxeC_PycurhTbGFA/edit?usp=sharing"",""ขอนแก่น!Q157"")"),0)</f>
        <v>0</v>
      </c>
      <c r="S33" s="67">
        <f ca="1">IFERROR(__xludf.DUMMYFUNCTION("IMPORTRANGE(""https://docs.google.com/spreadsheets/d/1aHkj4IaQMThhwWwevcOymEh837vdxeC_PycurhTbGFA/edit?usp=sharing"",""ขอนแก่น!R157"")"),0)</f>
        <v>0</v>
      </c>
      <c r="T33" s="67">
        <f ca="1">IFERROR(__xludf.DUMMYFUNCTION("IMPORTRANGE(""https://docs.google.com/spreadsheets/d/1aHkj4IaQMThhwWwevcOymEh837vdxeC_PycurhTbGFA/edit?usp=sharing"",""ขอนแก่น!S157"")"),0)</f>
        <v>0</v>
      </c>
      <c r="U33" s="68">
        <f t="shared" ca="1" si="34"/>
        <v>0</v>
      </c>
      <c r="V33" s="68">
        <f t="shared" ca="1" si="35"/>
        <v>0</v>
      </c>
      <c r="W33" s="78">
        <f ca="1">IFERROR(__xludf.DUMMYFUNCTION("IMPORTRANGE(""https://docs.google.com/spreadsheets/d/1aHkj4IaQMThhwWwevcOymEh837vdxeC_PycurhTbGFA/edit?usp=sharing"",""ขอนแก่น!I167"")"),0)</f>
        <v>0</v>
      </c>
      <c r="X33" s="78">
        <f ca="1">IFERROR(__xludf.DUMMYFUNCTION("IMPORTRANGE(""https://docs.google.com/spreadsheets/d/1aHkj4IaQMThhwWwevcOymEh837vdxeC_PycurhTbGFA/edit?usp=sharing"",""ขอนแก่น!J167"")"),0)</f>
        <v>0</v>
      </c>
      <c r="Y33" s="79">
        <f t="shared" ca="1" si="37"/>
        <v>0</v>
      </c>
      <c r="Z33" s="78"/>
      <c r="AA33" s="78"/>
      <c r="AB33" s="79"/>
      <c r="AC33" s="78"/>
      <c r="AD33" s="78"/>
      <c r="AE33" s="79"/>
    </row>
    <row r="34" spans="1:31" ht="21" customHeight="1" x14ac:dyDescent="0.3">
      <c r="A34" s="70">
        <v>3</v>
      </c>
      <c r="B34" s="71" t="s">
        <v>62</v>
      </c>
      <c r="C34" s="149">
        <f t="shared" ca="1" si="25"/>
        <v>0</v>
      </c>
      <c r="D34" s="150">
        <f t="shared" ca="1" si="42"/>
        <v>0</v>
      </c>
      <c r="E34" s="151">
        <f ca="1">IFERROR(__xludf.DUMMYFUNCTION("IMPORTRANGE(""https://docs.google.com/spreadsheets/d/1-uDff_7J0KD5mKrp0Vvzr7lt3OU09vwQwhkpOPPYv2Y/edit?usp=sharing"",""งบพรบ!CB34"")"),0)</f>
        <v>0</v>
      </c>
      <c r="F34" s="151">
        <f ca="1">IFERROR(__xludf.DUMMYFUNCTION("IMPORTRANGE(""https://docs.google.com/spreadsheets/d/1-uDff_7J0KD5mKrp0Vvzr7lt3OU09vwQwhkpOPPYv2Y/edit?usp=sharing"",""งบพรบ!CC34"")"),0)</f>
        <v>0</v>
      </c>
      <c r="G34" s="151">
        <f ca="1">IFERROR(__xludf.DUMMYFUNCTION("IMPORTRANGE(""https://docs.google.com/spreadsheets/d/1-uDff_7J0KD5mKrp0Vvzr7lt3OU09vwQwhkpOPPYv2Y/edit?usp=sharing"",""งบพรบ!CD34"")"),0)</f>
        <v>0</v>
      </c>
      <c r="H34" s="151">
        <f ca="1">IFERROR(__xludf.DUMMYFUNCTION("IMPORTRANGE(""https://docs.google.com/spreadsheets/d/1-uDff_7J0KD5mKrp0Vvzr7lt3OU09vwQwhkpOPPYv2Y/edit?usp=sharing"",""งบพรบ!CF34"")"),3360)</f>
        <v>3360</v>
      </c>
      <c r="I34" s="151">
        <f ca="1">IFERROR(__xludf.DUMMYFUNCTION("IMPORTRANGE(""https://docs.google.com/spreadsheets/d/1-uDff_7J0KD5mKrp0Vvzr7lt3OU09vwQwhkpOPPYv2Y/edit?usp=sharing"",""งบพรบ!CG34"")"),0)</f>
        <v>0</v>
      </c>
      <c r="J34" s="151">
        <f t="shared" ca="1" si="27"/>
        <v>3360</v>
      </c>
      <c r="K34" s="154">
        <f t="shared" ca="1" si="28"/>
        <v>0</v>
      </c>
      <c r="L34" s="151">
        <f ca="1">IFERROR(__xludf.DUMMYFUNCTION("IMPORTRANGE(""https://docs.google.com/spreadsheets/d/1-uDff_7J0KD5mKrp0Vvzr7lt3OU09vwQwhkpOPPYv2Y/edit?usp=sharing"",""งบพรบ!CH34"")"),3360)</f>
        <v>3360</v>
      </c>
      <c r="M34" s="68">
        <f t="shared" ca="1" si="29"/>
        <v>0</v>
      </c>
      <c r="N34" s="68">
        <f t="shared" ca="1" si="30"/>
        <v>100</v>
      </c>
      <c r="O34" s="67">
        <f ca="1">IFERROR(__xludf.DUMMYFUNCTION("IMPORTRANGE(""https://docs.google.com/spreadsheets/d/1-uDff_7J0KD5mKrp0Vvzr7lt3OU09vwQwhkpOPPYv2Y/edit?usp=sharing"",""งบพรบ!CI34"")"),0)</f>
        <v>0</v>
      </c>
      <c r="P34" s="67">
        <f t="shared" ca="1" si="31"/>
        <v>0</v>
      </c>
      <c r="Q34" s="68">
        <f t="shared" ca="1" si="32"/>
        <v>0</v>
      </c>
      <c r="R34" s="197">
        <f ca="1">IFERROR(__xludf.DUMMYFUNCTION("IMPORTRANGE(""https://docs.google.com/spreadsheets/d/1FvTu2DsIWUjP6WCWra38Bkj_oOl_sOMf14r5Fg5srxU/edit?usp=sharing"",""ชัยภูมิ!Q157"")"),0)</f>
        <v>0</v>
      </c>
      <c r="S34" s="67">
        <f ca="1">IFERROR(__xludf.DUMMYFUNCTION("IMPORTRANGE(""https://docs.google.com/spreadsheets/d/1FvTu2DsIWUjP6WCWra38Bkj_oOl_sOMf14r5Fg5srxU/edit?usp=sharing"",""ชัยภูมิ!R157"")"),0)</f>
        <v>0</v>
      </c>
      <c r="T34" s="67">
        <f ca="1">IFERROR(__xludf.DUMMYFUNCTION("IMPORTRANGE(""https://docs.google.com/spreadsheets/d/1FvTu2DsIWUjP6WCWra38Bkj_oOl_sOMf14r5Fg5srxU/edit?usp=sharing"",""ชัยภูมิ!S157"")"),0)</f>
        <v>0</v>
      </c>
      <c r="U34" s="68">
        <f t="shared" ca="1" si="34"/>
        <v>0</v>
      </c>
      <c r="V34" s="68">
        <f t="shared" ca="1" si="35"/>
        <v>0</v>
      </c>
      <c r="W34" s="78">
        <f ca="1">IFERROR(__xludf.DUMMYFUNCTION("IMPORTRANGE(""https://docs.google.com/spreadsheets/d/1FvTu2DsIWUjP6WCWra38Bkj_oOl_sOMf14r5Fg5srxU/edit?usp=sharing"",""ชัยภูมิ!I167"")"),0)</f>
        <v>0</v>
      </c>
      <c r="X34" s="78">
        <f ca="1">IFERROR(__xludf.DUMMYFUNCTION("IMPORTRANGE(""https://docs.google.com/spreadsheets/d/1FvTu2DsIWUjP6WCWra38Bkj_oOl_sOMf14r5Fg5srxU/edit?usp=sharing"",""ชัยภูมิ!J167"")"),0)</f>
        <v>0</v>
      </c>
      <c r="Y34" s="79">
        <f t="shared" ca="1" si="37"/>
        <v>0</v>
      </c>
      <c r="Z34" s="78"/>
      <c r="AA34" s="78"/>
      <c r="AB34" s="79"/>
      <c r="AC34" s="78"/>
      <c r="AD34" s="78"/>
      <c r="AE34" s="79"/>
    </row>
    <row r="35" spans="1:31" ht="21" customHeight="1" x14ac:dyDescent="0.3">
      <c r="A35" s="70">
        <v>4</v>
      </c>
      <c r="B35" s="71" t="s">
        <v>63</v>
      </c>
      <c r="C35" s="149">
        <f t="shared" ca="1" si="25"/>
        <v>0</v>
      </c>
      <c r="D35" s="150">
        <f t="shared" ca="1" si="42"/>
        <v>0</v>
      </c>
      <c r="E35" s="151">
        <f ca="1">IFERROR(__xludf.DUMMYFUNCTION("IMPORTRANGE(""https://docs.google.com/spreadsheets/d/1-uDff_7J0KD5mKrp0Vvzr7lt3OU09vwQwhkpOPPYv2Y/edit?usp=sharing"",""งบพรบ!CB35"")"),0)</f>
        <v>0</v>
      </c>
      <c r="F35" s="151">
        <f ca="1">IFERROR(__xludf.DUMMYFUNCTION("IMPORTRANGE(""https://docs.google.com/spreadsheets/d/1-uDff_7J0KD5mKrp0Vvzr7lt3OU09vwQwhkpOPPYv2Y/edit?usp=sharing"",""งบพรบ!CC35"")"),0)</f>
        <v>0</v>
      </c>
      <c r="G35" s="151">
        <f ca="1">IFERROR(__xludf.DUMMYFUNCTION("IMPORTRANGE(""https://docs.google.com/spreadsheets/d/1-uDff_7J0KD5mKrp0Vvzr7lt3OU09vwQwhkpOPPYv2Y/edit?usp=sharing"",""งบพรบ!CD35"")"),0)</f>
        <v>0</v>
      </c>
      <c r="H35" s="151">
        <f ca="1">IFERROR(__xludf.DUMMYFUNCTION("IMPORTRANGE(""https://docs.google.com/spreadsheets/d/1-uDff_7J0KD5mKrp0Vvzr7lt3OU09vwQwhkpOPPYv2Y/edit?usp=sharing"",""งบพรบ!CF35"")"),0)</f>
        <v>0</v>
      </c>
      <c r="I35" s="151">
        <f ca="1">IFERROR(__xludf.DUMMYFUNCTION("IMPORTRANGE(""https://docs.google.com/spreadsheets/d/1-uDff_7J0KD5mKrp0Vvzr7lt3OU09vwQwhkpOPPYv2Y/edit?usp=sharing"",""งบพรบ!CG35"")"),0)</f>
        <v>0</v>
      </c>
      <c r="J35" s="151">
        <f t="shared" ca="1" si="27"/>
        <v>0</v>
      </c>
      <c r="K35" s="154">
        <f t="shared" ca="1" si="28"/>
        <v>0</v>
      </c>
      <c r="L35" s="151">
        <f ca="1">IFERROR(__xludf.DUMMYFUNCTION("IMPORTRANGE(""https://docs.google.com/spreadsheets/d/1-uDff_7J0KD5mKrp0Vvzr7lt3OU09vwQwhkpOPPYv2Y/edit?usp=sharing"",""งบพรบ!CH35"")"),0)</f>
        <v>0</v>
      </c>
      <c r="M35" s="68">
        <f t="shared" ca="1" si="29"/>
        <v>0</v>
      </c>
      <c r="N35" s="68">
        <f t="shared" ca="1" si="30"/>
        <v>0</v>
      </c>
      <c r="O35" s="67">
        <f ca="1">IFERROR(__xludf.DUMMYFUNCTION("IMPORTRANGE(""https://docs.google.com/spreadsheets/d/1-uDff_7J0KD5mKrp0Vvzr7lt3OU09vwQwhkpOPPYv2Y/edit?usp=sharing"",""งบพรบ!CI35"")"),0)</f>
        <v>0</v>
      </c>
      <c r="P35" s="67">
        <f t="shared" ca="1" si="31"/>
        <v>0</v>
      </c>
      <c r="Q35" s="68">
        <f t="shared" ca="1" si="32"/>
        <v>0</v>
      </c>
      <c r="R35" s="197">
        <f ca="1">IFERROR(__xludf.DUMMYFUNCTION("IMPORTRANGE(""https://docs.google.com/spreadsheets/d/1XVB7oCJ3pr-vBUdflwPQ8Z2LlzhnCvZaaYjAfP-647E/edit?usp=sharing"",""นครพนม!Q157"")"),0)</f>
        <v>0</v>
      </c>
      <c r="S35" s="67">
        <f ca="1">IFERROR(__xludf.DUMMYFUNCTION("IMPORTRANGE(""https://docs.google.com/spreadsheets/d/1XVB7oCJ3pr-vBUdflwPQ8Z2LlzhnCvZaaYjAfP-647E/edit?usp=sharing"",""นครพนม!R157"")"),0)</f>
        <v>0</v>
      </c>
      <c r="T35" s="67">
        <f ca="1">IFERROR(__xludf.DUMMYFUNCTION("IMPORTRANGE(""https://docs.google.com/spreadsheets/d/1XVB7oCJ3pr-vBUdflwPQ8Z2LlzhnCvZaaYjAfP-647E/edit?usp=sharing"",""นครพนม!S157"")"),0)</f>
        <v>0</v>
      </c>
      <c r="U35" s="68">
        <f t="shared" ca="1" si="34"/>
        <v>0</v>
      </c>
      <c r="V35" s="68">
        <f t="shared" ca="1" si="35"/>
        <v>0</v>
      </c>
      <c r="W35" s="78">
        <f ca="1">IFERROR(__xludf.DUMMYFUNCTION("IMPORTRANGE(""https://docs.google.com/spreadsheets/d/1XVB7oCJ3pr-vBUdflwPQ8Z2LlzhnCvZaaYjAfP-647E/edit?usp=sharing"",""นครพนม!I167"")"),0)</f>
        <v>0</v>
      </c>
      <c r="X35" s="78">
        <f ca="1">IFERROR(__xludf.DUMMYFUNCTION("IMPORTRANGE(""https://docs.google.com/spreadsheets/d/1XVB7oCJ3pr-vBUdflwPQ8Z2LlzhnCvZaaYjAfP-647E/edit?usp=sharing"",""นครพนม!J167"")"),0)</f>
        <v>0</v>
      </c>
      <c r="Y35" s="79">
        <f t="shared" ca="1" si="37"/>
        <v>0</v>
      </c>
      <c r="Z35" s="78"/>
      <c r="AA35" s="78"/>
      <c r="AB35" s="79"/>
      <c r="AC35" s="78"/>
      <c r="AD35" s="78"/>
      <c r="AE35" s="79"/>
    </row>
    <row r="36" spans="1:31" ht="21" customHeight="1" x14ac:dyDescent="0.3">
      <c r="A36" s="70">
        <v>5</v>
      </c>
      <c r="B36" s="71" t="s">
        <v>64</v>
      </c>
      <c r="C36" s="149">
        <f t="shared" ca="1" si="25"/>
        <v>4500</v>
      </c>
      <c r="D36" s="150">
        <f t="shared" ca="1" si="42"/>
        <v>4500</v>
      </c>
      <c r="E36" s="151">
        <f ca="1">IFERROR(__xludf.DUMMYFUNCTION("IMPORTRANGE(""https://docs.google.com/spreadsheets/d/1-uDff_7J0KD5mKrp0Vvzr7lt3OU09vwQwhkpOPPYv2Y/edit?usp=sharing"",""งบพรบ!CB36"")"),0)</f>
        <v>0</v>
      </c>
      <c r="F36" s="151">
        <f ca="1">IFERROR(__xludf.DUMMYFUNCTION("IMPORTRANGE(""https://docs.google.com/spreadsheets/d/1-uDff_7J0KD5mKrp0Vvzr7lt3OU09vwQwhkpOPPYv2Y/edit?usp=sharing"",""งบพรบ!CC36"")"),4500)</f>
        <v>4500</v>
      </c>
      <c r="G36" s="151">
        <f ca="1">IFERROR(__xludf.DUMMYFUNCTION("IMPORTRANGE(""https://docs.google.com/spreadsheets/d/1-uDff_7J0KD5mKrp0Vvzr7lt3OU09vwQwhkpOPPYv2Y/edit?usp=sharing"",""งบพรบ!CD36"")"),0)</f>
        <v>0</v>
      </c>
      <c r="H36" s="151">
        <f ca="1">IFERROR(__xludf.DUMMYFUNCTION("IMPORTRANGE(""https://docs.google.com/spreadsheets/d/1-uDff_7J0KD5mKrp0Vvzr7lt3OU09vwQwhkpOPPYv2Y/edit?usp=sharing"",""งบพรบ!CF36"")"),6410)</f>
        <v>6410</v>
      </c>
      <c r="I36" s="151">
        <f ca="1">IFERROR(__xludf.DUMMYFUNCTION("IMPORTRANGE(""https://docs.google.com/spreadsheets/d/1-uDff_7J0KD5mKrp0Vvzr7lt3OU09vwQwhkpOPPYv2Y/edit?usp=sharing"",""งบพรบ!CG36"")"),0)</f>
        <v>0</v>
      </c>
      <c r="J36" s="151">
        <f t="shared" ca="1" si="27"/>
        <v>5520</v>
      </c>
      <c r="K36" s="154">
        <f t="shared" ca="1" si="28"/>
        <v>122.66666666666667</v>
      </c>
      <c r="L36" s="151">
        <f ca="1">IFERROR(__xludf.DUMMYFUNCTION("IMPORTRANGE(""https://docs.google.com/spreadsheets/d/1-uDff_7J0KD5mKrp0Vvzr7lt3OU09vwQwhkpOPPYv2Y/edit?usp=sharing"",""งบพรบ!CH36"")"),5520)</f>
        <v>5520</v>
      </c>
      <c r="M36" s="68">
        <f t="shared" ca="1" si="29"/>
        <v>122.66666666666667</v>
      </c>
      <c r="N36" s="68">
        <f t="shared" ca="1" si="30"/>
        <v>86.115444617784718</v>
      </c>
      <c r="O36" s="67">
        <f ca="1">IFERROR(__xludf.DUMMYFUNCTION("IMPORTRANGE(""https://docs.google.com/spreadsheets/d/1-uDff_7J0KD5mKrp0Vvzr7lt3OU09vwQwhkpOPPYv2Y/edit?usp=sharing"",""งบพรบ!CI36"")"),0)</f>
        <v>0</v>
      </c>
      <c r="P36" s="67">
        <f t="shared" ca="1" si="31"/>
        <v>0</v>
      </c>
      <c r="Q36" s="68">
        <f t="shared" ca="1" si="32"/>
        <v>0</v>
      </c>
      <c r="R36" s="197">
        <f ca="1">IFERROR(__xludf.DUMMYFUNCTION("IMPORTRANGE(""https://docs.google.com/spreadsheets/d/1Mnpb-8PYAgn85W6KOTD40hc_Xc55CaLfHoGAbrZ8tls/edit?usp=sharing"",""นครราชสีมา!Q157"")"),0)</f>
        <v>0</v>
      </c>
      <c r="S36" s="67">
        <f ca="1">IFERROR(__xludf.DUMMYFUNCTION("IMPORTRANGE(""https://docs.google.com/spreadsheets/d/1Mnpb-8PYAgn85W6KOTD40hc_Xc55CaLfHoGAbrZ8tls/edit?usp=sharing"",""นครราชสีมา!R157"")"),0)</f>
        <v>0</v>
      </c>
      <c r="T36" s="67">
        <f ca="1">IFERROR(__xludf.DUMMYFUNCTION("IMPORTRANGE(""https://docs.google.com/spreadsheets/d/1Mnpb-8PYAgn85W6KOTD40hc_Xc55CaLfHoGAbrZ8tls/edit?usp=sharing"",""นครราชสีมา!S157"")"),0)</f>
        <v>0</v>
      </c>
      <c r="U36" s="68">
        <f t="shared" ca="1" si="34"/>
        <v>0</v>
      </c>
      <c r="V36" s="68">
        <f t="shared" ca="1" si="35"/>
        <v>0</v>
      </c>
      <c r="W36" s="78">
        <f ca="1">IFERROR(__xludf.DUMMYFUNCTION("IMPORTRANGE(""https://docs.google.com/spreadsheets/d/1Mnpb-8PYAgn85W6KOTD40hc_Xc55CaLfHoGAbrZ8tls/edit?usp=sharing"",""นครราชสีมา!I167"")"),15)</f>
        <v>15</v>
      </c>
      <c r="X36" s="78">
        <f ca="1">IFERROR(__xludf.DUMMYFUNCTION("IMPORTRANGE(""https://docs.google.com/spreadsheets/d/1Mnpb-8PYAgn85W6KOTD40hc_Xc55CaLfHoGAbrZ8tls/edit?usp=sharing"",""นครราชสีมา!J167"")"),15)</f>
        <v>15</v>
      </c>
      <c r="Y36" s="79">
        <f t="shared" ca="1" si="37"/>
        <v>100</v>
      </c>
      <c r="Z36" s="78"/>
      <c r="AA36" s="78"/>
      <c r="AB36" s="79"/>
      <c r="AC36" s="78"/>
      <c r="AD36" s="78"/>
      <c r="AE36" s="79"/>
    </row>
    <row r="37" spans="1:31" ht="21" customHeight="1" x14ac:dyDescent="0.3">
      <c r="A37" s="70">
        <v>6</v>
      </c>
      <c r="B37" s="71" t="s">
        <v>65</v>
      </c>
      <c r="C37" s="149">
        <f t="shared" ca="1" si="25"/>
        <v>6000</v>
      </c>
      <c r="D37" s="150">
        <f t="shared" ca="1" si="42"/>
        <v>6000</v>
      </c>
      <c r="E37" s="151">
        <f ca="1">IFERROR(__xludf.DUMMYFUNCTION("IMPORTRANGE(""https://docs.google.com/spreadsheets/d/1-uDff_7J0KD5mKrp0Vvzr7lt3OU09vwQwhkpOPPYv2Y/edit?usp=sharing"",""งบพรบ!CB37"")"),0)</f>
        <v>0</v>
      </c>
      <c r="F37" s="151">
        <f ca="1">IFERROR(__xludf.DUMMYFUNCTION("IMPORTRANGE(""https://docs.google.com/spreadsheets/d/1-uDff_7J0KD5mKrp0Vvzr7lt3OU09vwQwhkpOPPYv2Y/edit?usp=sharing"",""งบพรบ!CC37"")"),6000)</f>
        <v>6000</v>
      </c>
      <c r="G37" s="151">
        <f ca="1">IFERROR(__xludf.DUMMYFUNCTION("IMPORTRANGE(""https://docs.google.com/spreadsheets/d/1-uDff_7J0KD5mKrp0Vvzr7lt3OU09vwQwhkpOPPYv2Y/edit?usp=sharing"",""งบพรบ!CD37"")"),0)</f>
        <v>0</v>
      </c>
      <c r="H37" s="151">
        <f ca="1">IFERROR(__xludf.DUMMYFUNCTION("IMPORTRANGE(""https://docs.google.com/spreadsheets/d/1-uDff_7J0KD5mKrp0Vvzr7lt3OU09vwQwhkpOPPYv2Y/edit?usp=sharing"",""งบพรบ!CF37"")"),8120)</f>
        <v>8120</v>
      </c>
      <c r="I37" s="151">
        <f ca="1">IFERROR(__xludf.DUMMYFUNCTION("IMPORTRANGE(""https://docs.google.com/spreadsheets/d/1-uDff_7J0KD5mKrp0Vvzr7lt3OU09vwQwhkpOPPYv2Y/edit?usp=sharing"",""งบพรบ!CG37"")"),0)</f>
        <v>0</v>
      </c>
      <c r="J37" s="151">
        <f t="shared" ca="1" si="27"/>
        <v>8120</v>
      </c>
      <c r="K37" s="154">
        <f t="shared" ca="1" si="28"/>
        <v>135.33333333333334</v>
      </c>
      <c r="L37" s="151">
        <f ca="1">IFERROR(__xludf.DUMMYFUNCTION("IMPORTRANGE(""https://docs.google.com/spreadsheets/d/1-uDff_7J0KD5mKrp0Vvzr7lt3OU09vwQwhkpOPPYv2Y/edit?usp=sharing"",""งบพรบ!CH37"")"),8120)</f>
        <v>8120</v>
      </c>
      <c r="M37" s="68">
        <f t="shared" ca="1" si="29"/>
        <v>135.33333333333334</v>
      </c>
      <c r="N37" s="68">
        <f t="shared" ca="1" si="30"/>
        <v>100</v>
      </c>
      <c r="O37" s="67">
        <f ca="1">IFERROR(__xludf.DUMMYFUNCTION("IMPORTRANGE(""https://docs.google.com/spreadsheets/d/1-uDff_7J0KD5mKrp0Vvzr7lt3OU09vwQwhkpOPPYv2Y/edit?usp=sharing"",""งบพรบ!CI37"")"),0)</f>
        <v>0</v>
      </c>
      <c r="P37" s="67">
        <f t="shared" ca="1" si="31"/>
        <v>0</v>
      </c>
      <c r="Q37" s="68">
        <f t="shared" ca="1" si="32"/>
        <v>0</v>
      </c>
      <c r="R37" s="197">
        <f ca="1">IFERROR(__xludf.DUMMYFUNCTION("IMPORTRANGE(""https://docs.google.com/spreadsheets/d/1xoDLGBv9CYbyosIhki0kTq6IpYNj-gpjxfobnaDiut0/edit?usp=sharing"",""บึงกาฬ!Q157"")"),0)</f>
        <v>0</v>
      </c>
      <c r="S37" s="67">
        <f ca="1">IFERROR(__xludf.DUMMYFUNCTION("IMPORTRANGE(""https://docs.google.com/spreadsheets/d/1xoDLGBv9CYbyosIhki0kTq6IpYNj-gpjxfobnaDiut0/edit?usp=sharing"",""บึงกาฬ!R157"")"),0)</f>
        <v>0</v>
      </c>
      <c r="T37" s="67">
        <f ca="1">IFERROR(__xludf.DUMMYFUNCTION("IMPORTRANGE(""https://docs.google.com/spreadsheets/d/1xoDLGBv9CYbyosIhki0kTq6IpYNj-gpjxfobnaDiut0/edit?usp=sharing"",""บึงกาฬ!S157"")"),0)</f>
        <v>0</v>
      </c>
      <c r="U37" s="68">
        <f t="shared" ca="1" si="34"/>
        <v>0</v>
      </c>
      <c r="V37" s="68">
        <f t="shared" ca="1" si="35"/>
        <v>0</v>
      </c>
      <c r="W37" s="78">
        <f ca="1">IFERROR(__xludf.DUMMYFUNCTION("IMPORTRANGE(""https://docs.google.com/spreadsheets/d/1xoDLGBv9CYbyosIhki0kTq6IpYNj-gpjxfobnaDiut0/edit?usp=sharing"",""บึงกาฬ!I167"")"),20)</f>
        <v>20</v>
      </c>
      <c r="X37" s="78">
        <f ca="1">IFERROR(__xludf.DUMMYFUNCTION("IMPORTRANGE(""https://docs.google.com/spreadsheets/d/1xoDLGBv9CYbyosIhki0kTq6IpYNj-gpjxfobnaDiut0/edit?usp=sharing"",""บึงกาฬ!J167"")"),20)</f>
        <v>20</v>
      </c>
      <c r="Y37" s="79">
        <f t="shared" ca="1" si="37"/>
        <v>100</v>
      </c>
      <c r="Z37" s="78"/>
      <c r="AA37" s="78"/>
      <c r="AB37" s="79"/>
      <c r="AC37" s="78"/>
      <c r="AD37" s="78"/>
      <c r="AE37" s="79"/>
    </row>
    <row r="38" spans="1:31" ht="21" customHeight="1" x14ac:dyDescent="0.3">
      <c r="A38" s="70">
        <v>7</v>
      </c>
      <c r="B38" s="71" t="s">
        <v>66</v>
      </c>
      <c r="C38" s="149">
        <f t="shared" ca="1" si="25"/>
        <v>4500</v>
      </c>
      <c r="D38" s="150">
        <f t="shared" ca="1" si="42"/>
        <v>4500</v>
      </c>
      <c r="E38" s="151">
        <f ca="1">IFERROR(__xludf.DUMMYFUNCTION("IMPORTRANGE(""https://docs.google.com/spreadsheets/d/1-uDff_7J0KD5mKrp0Vvzr7lt3OU09vwQwhkpOPPYv2Y/edit?usp=sharing"",""งบพรบ!CB38"")"),0)</f>
        <v>0</v>
      </c>
      <c r="F38" s="151">
        <f ca="1">IFERROR(__xludf.DUMMYFUNCTION("IMPORTRANGE(""https://docs.google.com/spreadsheets/d/1-uDff_7J0KD5mKrp0Vvzr7lt3OU09vwQwhkpOPPYv2Y/edit?usp=sharing"",""งบพรบ!CC38"")"),4500)</f>
        <v>4500</v>
      </c>
      <c r="G38" s="151">
        <f ca="1">IFERROR(__xludf.DUMMYFUNCTION("IMPORTRANGE(""https://docs.google.com/spreadsheets/d/1-uDff_7J0KD5mKrp0Vvzr7lt3OU09vwQwhkpOPPYv2Y/edit?usp=sharing"",""งบพรบ!CD38"")"),0)</f>
        <v>0</v>
      </c>
      <c r="H38" s="151">
        <f ca="1">IFERROR(__xludf.DUMMYFUNCTION("IMPORTRANGE(""https://docs.google.com/spreadsheets/d/1-uDff_7J0KD5mKrp0Vvzr7lt3OU09vwQwhkpOPPYv2Y/edit?usp=sharing"",""งบพรบ!CF38"")"),6938)</f>
        <v>6938</v>
      </c>
      <c r="I38" s="151">
        <f ca="1">IFERROR(__xludf.DUMMYFUNCTION("IMPORTRANGE(""https://docs.google.com/spreadsheets/d/1-uDff_7J0KD5mKrp0Vvzr7lt3OU09vwQwhkpOPPYv2Y/edit?usp=sharing"",""งบพรบ!CG38"")"),0)</f>
        <v>0</v>
      </c>
      <c r="J38" s="151">
        <f t="shared" ca="1" si="27"/>
        <v>6938</v>
      </c>
      <c r="K38" s="154">
        <f t="shared" ca="1" si="28"/>
        <v>154.17777777777778</v>
      </c>
      <c r="L38" s="151">
        <f ca="1">IFERROR(__xludf.DUMMYFUNCTION("IMPORTRANGE(""https://docs.google.com/spreadsheets/d/1-uDff_7J0KD5mKrp0Vvzr7lt3OU09vwQwhkpOPPYv2Y/edit?usp=sharing"",""งบพรบ!CH38"")"),6938)</f>
        <v>6938</v>
      </c>
      <c r="M38" s="68">
        <f t="shared" ca="1" si="29"/>
        <v>154.17777777777778</v>
      </c>
      <c r="N38" s="68">
        <f t="shared" ca="1" si="30"/>
        <v>100</v>
      </c>
      <c r="O38" s="67">
        <f ca="1">IFERROR(__xludf.DUMMYFUNCTION("IMPORTRANGE(""https://docs.google.com/spreadsheets/d/1-uDff_7J0KD5mKrp0Vvzr7lt3OU09vwQwhkpOPPYv2Y/edit?usp=sharing"",""งบพรบ!CI38"")"),0)</f>
        <v>0</v>
      </c>
      <c r="P38" s="67">
        <f t="shared" ca="1" si="31"/>
        <v>0</v>
      </c>
      <c r="Q38" s="68">
        <f t="shared" ca="1" si="32"/>
        <v>0</v>
      </c>
      <c r="R38" s="197">
        <f ca="1">IFERROR(__xludf.DUMMYFUNCTION("IMPORTRANGE(""https://docs.google.com/spreadsheets/d/1MMPq-JyI6DSgQETxuSiXkesP-P7JHuemnE6QJIa-Nlw/edit?usp=sharing"",""บุรีรัมย์!Q157"")"),0)</f>
        <v>0</v>
      </c>
      <c r="S38" s="67">
        <f ca="1">IFERROR(__xludf.DUMMYFUNCTION("IMPORTRANGE(""https://docs.google.com/spreadsheets/d/1MMPq-JyI6DSgQETxuSiXkesP-P7JHuemnE6QJIa-Nlw/edit?usp=sharing"",""บุรีรัมย์!R157"")"),0)</f>
        <v>0</v>
      </c>
      <c r="T38" s="67">
        <f ca="1">IFERROR(__xludf.DUMMYFUNCTION("IMPORTRANGE(""https://docs.google.com/spreadsheets/d/1MMPq-JyI6DSgQETxuSiXkesP-P7JHuemnE6QJIa-Nlw/edit?usp=sharing"",""บุรีรัมย์!S157"")"),0)</f>
        <v>0</v>
      </c>
      <c r="U38" s="68">
        <f t="shared" ca="1" si="34"/>
        <v>0</v>
      </c>
      <c r="V38" s="68">
        <f t="shared" ca="1" si="35"/>
        <v>0</v>
      </c>
      <c r="W38" s="78">
        <f ca="1">IFERROR(__xludf.DUMMYFUNCTION("IMPORTRANGE(""https://docs.google.com/spreadsheets/d/1MMPq-JyI6DSgQETxuSiXkesP-P7JHuemnE6QJIa-Nlw/edit?usp=sharing"",""บุรีรัมย์!I167"")"),15)</f>
        <v>15</v>
      </c>
      <c r="X38" s="78">
        <f ca="1">IFERROR(__xludf.DUMMYFUNCTION("IMPORTRANGE(""https://docs.google.com/spreadsheets/d/1MMPq-JyI6DSgQETxuSiXkesP-P7JHuemnE6QJIa-Nlw/edit?usp=sharing"",""บุรีรัมย์!J167"")"),20)</f>
        <v>20</v>
      </c>
      <c r="Y38" s="79">
        <f t="shared" ca="1" si="37"/>
        <v>133.33333333333334</v>
      </c>
      <c r="Z38" s="78"/>
      <c r="AA38" s="78"/>
      <c r="AB38" s="79"/>
      <c r="AC38" s="78"/>
      <c r="AD38" s="78"/>
      <c r="AE38" s="79"/>
    </row>
    <row r="39" spans="1:31" ht="21" customHeight="1" x14ac:dyDescent="0.3">
      <c r="A39" s="70">
        <v>8</v>
      </c>
      <c r="B39" s="71" t="s">
        <v>67</v>
      </c>
      <c r="C39" s="149">
        <f t="shared" ca="1" si="25"/>
        <v>0</v>
      </c>
      <c r="D39" s="150">
        <f t="shared" ca="1" si="42"/>
        <v>0</v>
      </c>
      <c r="E39" s="151">
        <f ca="1">IFERROR(__xludf.DUMMYFUNCTION("IMPORTRANGE(""https://docs.google.com/spreadsheets/d/1-uDff_7J0KD5mKrp0Vvzr7lt3OU09vwQwhkpOPPYv2Y/edit?usp=sharing"",""งบพรบ!CB39"")"),0)</f>
        <v>0</v>
      </c>
      <c r="F39" s="151">
        <f ca="1">IFERROR(__xludf.DUMMYFUNCTION("IMPORTRANGE(""https://docs.google.com/spreadsheets/d/1-uDff_7J0KD5mKrp0Vvzr7lt3OU09vwQwhkpOPPYv2Y/edit?usp=sharing"",""งบพรบ!CC39"")"),0)</f>
        <v>0</v>
      </c>
      <c r="G39" s="151">
        <f ca="1">IFERROR(__xludf.DUMMYFUNCTION("IMPORTRANGE(""https://docs.google.com/spreadsheets/d/1-uDff_7J0KD5mKrp0Vvzr7lt3OU09vwQwhkpOPPYv2Y/edit?usp=sharing"",""งบพรบ!CD39"")"),0)</f>
        <v>0</v>
      </c>
      <c r="H39" s="151">
        <f ca="1">IFERROR(__xludf.DUMMYFUNCTION("IMPORTRANGE(""https://docs.google.com/spreadsheets/d/1-uDff_7J0KD5mKrp0Vvzr7lt3OU09vwQwhkpOPPYv2Y/edit?usp=sharing"",""งบพรบ!CF39"")"),3840)</f>
        <v>3840</v>
      </c>
      <c r="I39" s="151">
        <f ca="1">IFERROR(__xludf.DUMMYFUNCTION("IMPORTRANGE(""https://docs.google.com/spreadsheets/d/1-uDff_7J0KD5mKrp0Vvzr7lt3OU09vwQwhkpOPPYv2Y/edit?usp=sharing"",""งบพรบ!CG39"")"),0)</f>
        <v>0</v>
      </c>
      <c r="J39" s="151">
        <f t="shared" ca="1" si="27"/>
        <v>3840</v>
      </c>
      <c r="K39" s="154">
        <f t="shared" ca="1" si="28"/>
        <v>0</v>
      </c>
      <c r="L39" s="151">
        <f ca="1">IFERROR(__xludf.DUMMYFUNCTION("IMPORTRANGE(""https://docs.google.com/spreadsheets/d/1-uDff_7J0KD5mKrp0Vvzr7lt3OU09vwQwhkpOPPYv2Y/edit?usp=sharing"",""งบพรบ!CH39"")"),3840)</f>
        <v>3840</v>
      </c>
      <c r="M39" s="68">
        <f t="shared" ca="1" si="29"/>
        <v>0</v>
      </c>
      <c r="N39" s="68">
        <f t="shared" ca="1" si="30"/>
        <v>100</v>
      </c>
      <c r="O39" s="67">
        <f ca="1">IFERROR(__xludf.DUMMYFUNCTION("IMPORTRANGE(""https://docs.google.com/spreadsheets/d/1-uDff_7J0KD5mKrp0Vvzr7lt3OU09vwQwhkpOPPYv2Y/edit?usp=sharing"",""งบพรบ!CI39"")"),0)</f>
        <v>0</v>
      </c>
      <c r="P39" s="67">
        <f t="shared" ca="1" si="31"/>
        <v>0</v>
      </c>
      <c r="Q39" s="68">
        <f t="shared" ca="1" si="32"/>
        <v>0</v>
      </c>
      <c r="R39" s="197">
        <f ca="1">IFERROR(__xludf.DUMMYFUNCTION("IMPORTRANGE(""https://docs.google.com/spreadsheets/d/1l6IZ8xUPgMrESzcTYwhA1k_tPjeQjJPTqlm8Gd9eU5g/edit?usp=sharing"",""มหาสารคาม!Q157"")"),0)</f>
        <v>0</v>
      </c>
      <c r="S39" s="67">
        <f ca="1">IFERROR(__xludf.DUMMYFUNCTION("IMPORTRANGE(""https://docs.google.com/spreadsheets/d/1l6IZ8xUPgMrESzcTYwhA1k_tPjeQjJPTqlm8Gd9eU5g/edit?usp=sharing"",""มหาสารคาม!R157"")"),0)</f>
        <v>0</v>
      </c>
      <c r="T39" s="67">
        <f ca="1">IFERROR(__xludf.DUMMYFUNCTION("IMPORTRANGE(""https://docs.google.com/spreadsheets/d/1l6IZ8xUPgMrESzcTYwhA1k_tPjeQjJPTqlm8Gd9eU5g/edit?usp=sharing"",""มหาสารคาม!S157"")"),0)</f>
        <v>0</v>
      </c>
      <c r="U39" s="68">
        <f t="shared" ca="1" si="34"/>
        <v>0</v>
      </c>
      <c r="V39" s="68">
        <f t="shared" ca="1" si="35"/>
        <v>0</v>
      </c>
      <c r="W39" s="78">
        <f ca="1">IFERROR(__xludf.DUMMYFUNCTION("IMPORTRANGE(""https://docs.google.com/spreadsheets/d/1l6IZ8xUPgMrESzcTYwhA1k_tPjeQjJPTqlm8Gd9eU5g/edit?usp=sharing"",""มหาสารคาม!I167"")"),0)</f>
        <v>0</v>
      </c>
      <c r="X39" s="78">
        <f ca="1">IFERROR(__xludf.DUMMYFUNCTION("IMPORTRANGE(""https://docs.google.com/spreadsheets/d/1l6IZ8xUPgMrESzcTYwhA1k_tPjeQjJPTqlm8Gd9eU5g/edit?usp=sharing"",""มหาสารคาม!J167"")"),0)</f>
        <v>0</v>
      </c>
      <c r="Y39" s="79">
        <f t="shared" ca="1" si="37"/>
        <v>0</v>
      </c>
      <c r="Z39" s="78"/>
      <c r="AA39" s="78"/>
      <c r="AB39" s="79"/>
      <c r="AC39" s="78"/>
      <c r="AD39" s="78"/>
      <c r="AE39" s="79"/>
    </row>
    <row r="40" spans="1:31" ht="21" customHeight="1" x14ac:dyDescent="0.3">
      <c r="A40" s="70">
        <v>9</v>
      </c>
      <c r="B40" s="71" t="s">
        <v>68</v>
      </c>
      <c r="C40" s="149">
        <f t="shared" ca="1" si="25"/>
        <v>0</v>
      </c>
      <c r="D40" s="150">
        <f t="shared" ca="1" si="42"/>
        <v>0</v>
      </c>
      <c r="E40" s="151">
        <f ca="1">IFERROR(__xludf.DUMMYFUNCTION("IMPORTRANGE(""https://docs.google.com/spreadsheets/d/1-uDff_7J0KD5mKrp0Vvzr7lt3OU09vwQwhkpOPPYv2Y/edit?usp=sharing"",""งบพรบ!CB40"")"),0)</f>
        <v>0</v>
      </c>
      <c r="F40" s="151">
        <f ca="1">IFERROR(__xludf.DUMMYFUNCTION("IMPORTRANGE(""https://docs.google.com/spreadsheets/d/1-uDff_7J0KD5mKrp0Vvzr7lt3OU09vwQwhkpOPPYv2Y/edit?usp=sharing"",""งบพรบ!CC40"")"),0)</f>
        <v>0</v>
      </c>
      <c r="G40" s="151">
        <f ca="1">IFERROR(__xludf.DUMMYFUNCTION("IMPORTRANGE(""https://docs.google.com/spreadsheets/d/1-uDff_7J0KD5mKrp0Vvzr7lt3OU09vwQwhkpOPPYv2Y/edit?usp=sharing"",""งบพรบ!CD40"")"),0)</f>
        <v>0</v>
      </c>
      <c r="H40" s="151">
        <f ca="1">IFERROR(__xludf.DUMMYFUNCTION("IMPORTRANGE(""https://docs.google.com/spreadsheets/d/1-uDff_7J0KD5mKrp0Vvzr7lt3OU09vwQwhkpOPPYv2Y/edit?usp=sharing"",""งบพรบ!CF40"")"),0)</f>
        <v>0</v>
      </c>
      <c r="I40" s="151">
        <f ca="1">IFERROR(__xludf.DUMMYFUNCTION("IMPORTRANGE(""https://docs.google.com/spreadsheets/d/1-uDff_7J0KD5mKrp0Vvzr7lt3OU09vwQwhkpOPPYv2Y/edit?usp=sharing"",""งบพรบ!CG40"")"),0)</f>
        <v>0</v>
      </c>
      <c r="J40" s="151">
        <f t="shared" ca="1" si="27"/>
        <v>0</v>
      </c>
      <c r="K40" s="154">
        <f t="shared" ca="1" si="28"/>
        <v>0</v>
      </c>
      <c r="L40" s="151">
        <f ca="1">IFERROR(__xludf.DUMMYFUNCTION("IMPORTRANGE(""https://docs.google.com/spreadsheets/d/1-uDff_7J0KD5mKrp0Vvzr7lt3OU09vwQwhkpOPPYv2Y/edit?usp=sharing"",""งบพรบ!CH40"")"),0)</f>
        <v>0</v>
      </c>
      <c r="M40" s="68">
        <f t="shared" ca="1" si="29"/>
        <v>0</v>
      </c>
      <c r="N40" s="68">
        <f t="shared" ca="1" si="30"/>
        <v>0</v>
      </c>
      <c r="O40" s="67">
        <f ca="1">IFERROR(__xludf.DUMMYFUNCTION("IMPORTRANGE(""https://docs.google.com/spreadsheets/d/1-uDff_7J0KD5mKrp0Vvzr7lt3OU09vwQwhkpOPPYv2Y/edit?usp=sharing"",""งบพรบ!CI40"")"),0)</f>
        <v>0</v>
      </c>
      <c r="P40" s="67">
        <f t="shared" ca="1" si="31"/>
        <v>0</v>
      </c>
      <c r="Q40" s="68">
        <f t="shared" ca="1" si="32"/>
        <v>0</v>
      </c>
      <c r="R40" s="197">
        <f ca="1">IFERROR(__xludf.DUMMYFUNCTION("IMPORTRANGE(""https://docs.google.com/spreadsheets/d/1uB74YLqNjWX6FObjekfB2NtSYigTQyR2rq9u4Ub2Sq4/edit?usp=sharing"",""มุกดาหาร!Q157"")"),0)</f>
        <v>0</v>
      </c>
      <c r="S40" s="67">
        <f ca="1">IFERROR(__xludf.DUMMYFUNCTION("IMPORTRANGE(""https://docs.google.com/spreadsheets/d/1uB74YLqNjWX6FObjekfB2NtSYigTQyR2rq9u4Ub2Sq4/edit?usp=sharing"",""มุกดาหาร!R157"")"),0)</f>
        <v>0</v>
      </c>
      <c r="T40" s="67">
        <f ca="1">IFERROR(__xludf.DUMMYFUNCTION("IMPORTRANGE(""https://docs.google.com/spreadsheets/d/1uB74YLqNjWX6FObjekfB2NtSYigTQyR2rq9u4Ub2Sq4/edit?usp=sharing"",""มุกดาหาร!S157"")"),0)</f>
        <v>0</v>
      </c>
      <c r="U40" s="68">
        <f t="shared" ca="1" si="34"/>
        <v>0</v>
      </c>
      <c r="V40" s="68">
        <f t="shared" ca="1" si="35"/>
        <v>0</v>
      </c>
      <c r="W40" s="78">
        <f ca="1">IFERROR(__xludf.DUMMYFUNCTION("IMPORTRANGE(""https://docs.google.com/spreadsheets/d/1uB74YLqNjWX6FObjekfB2NtSYigTQyR2rq9u4Ub2Sq4/edit?usp=sharing"",""มุกดาหาร!I167"")"),0)</f>
        <v>0</v>
      </c>
      <c r="X40" s="78">
        <f ca="1">IFERROR(__xludf.DUMMYFUNCTION("IMPORTRANGE(""https://docs.google.com/spreadsheets/d/1uB74YLqNjWX6FObjekfB2NtSYigTQyR2rq9u4Ub2Sq4/edit?usp=sharing"",""มุกดาหาร!J167"")"),0)</f>
        <v>0</v>
      </c>
      <c r="Y40" s="79">
        <f t="shared" ca="1" si="37"/>
        <v>0</v>
      </c>
      <c r="Z40" s="78"/>
      <c r="AA40" s="78"/>
      <c r="AB40" s="79"/>
      <c r="AC40" s="78"/>
      <c r="AD40" s="78"/>
      <c r="AE40" s="79"/>
    </row>
    <row r="41" spans="1:31" ht="21" customHeight="1" x14ac:dyDescent="0.3">
      <c r="A41" s="70">
        <v>10</v>
      </c>
      <c r="B41" s="71" t="s">
        <v>69</v>
      </c>
      <c r="C41" s="149">
        <f t="shared" ca="1" si="25"/>
        <v>0</v>
      </c>
      <c r="D41" s="150">
        <f t="shared" ca="1" si="42"/>
        <v>0</v>
      </c>
      <c r="E41" s="151">
        <f ca="1">IFERROR(__xludf.DUMMYFUNCTION("IMPORTRANGE(""https://docs.google.com/spreadsheets/d/1-uDff_7J0KD5mKrp0Vvzr7lt3OU09vwQwhkpOPPYv2Y/edit?usp=sharing"",""งบพรบ!CB41"")"),0)</f>
        <v>0</v>
      </c>
      <c r="F41" s="151">
        <f ca="1">IFERROR(__xludf.DUMMYFUNCTION("IMPORTRANGE(""https://docs.google.com/spreadsheets/d/1-uDff_7J0KD5mKrp0Vvzr7lt3OU09vwQwhkpOPPYv2Y/edit?usp=sharing"",""งบพรบ!CC41"")"),0)</f>
        <v>0</v>
      </c>
      <c r="G41" s="151">
        <f ca="1">IFERROR(__xludf.DUMMYFUNCTION("IMPORTRANGE(""https://docs.google.com/spreadsheets/d/1-uDff_7J0KD5mKrp0Vvzr7lt3OU09vwQwhkpOPPYv2Y/edit?usp=sharing"",""งบพรบ!CD41"")"),0)</f>
        <v>0</v>
      </c>
      <c r="H41" s="151">
        <f ca="1">IFERROR(__xludf.DUMMYFUNCTION("IMPORTRANGE(""https://docs.google.com/spreadsheets/d/1-uDff_7J0KD5mKrp0Vvzr7lt3OU09vwQwhkpOPPYv2Y/edit?usp=sharing"",""งบพรบ!CF41"")"),5120)</f>
        <v>5120</v>
      </c>
      <c r="I41" s="151">
        <f ca="1">IFERROR(__xludf.DUMMYFUNCTION("IMPORTRANGE(""https://docs.google.com/spreadsheets/d/1-uDff_7J0KD5mKrp0Vvzr7lt3OU09vwQwhkpOPPYv2Y/edit?usp=sharing"",""งบพรบ!CG41"")"),0)</f>
        <v>0</v>
      </c>
      <c r="J41" s="151">
        <f t="shared" ca="1" si="27"/>
        <v>5120</v>
      </c>
      <c r="K41" s="154">
        <f t="shared" ca="1" si="28"/>
        <v>0</v>
      </c>
      <c r="L41" s="151">
        <f ca="1">IFERROR(__xludf.DUMMYFUNCTION("IMPORTRANGE(""https://docs.google.com/spreadsheets/d/1-uDff_7J0KD5mKrp0Vvzr7lt3OU09vwQwhkpOPPYv2Y/edit?usp=sharing"",""งบพรบ!CH41"")"),5120)</f>
        <v>5120</v>
      </c>
      <c r="M41" s="68">
        <f t="shared" ca="1" si="29"/>
        <v>0</v>
      </c>
      <c r="N41" s="68">
        <f t="shared" ca="1" si="30"/>
        <v>100</v>
      </c>
      <c r="O41" s="67">
        <f ca="1">IFERROR(__xludf.DUMMYFUNCTION("IMPORTRANGE(""https://docs.google.com/spreadsheets/d/1-uDff_7J0KD5mKrp0Vvzr7lt3OU09vwQwhkpOPPYv2Y/edit?usp=sharing"",""งบพรบ!CI41"")"),0)</f>
        <v>0</v>
      </c>
      <c r="P41" s="67">
        <f t="shared" ca="1" si="31"/>
        <v>0</v>
      </c>
      <c r="Q41" s="68">
        <f t="shared" ca="1" si="32"/>
        <v>0</v>
      </c>
      <c r="R41" s="197">
        <f ca="1">IFERROR(__xludf.DUMMYFUNCTION("IMPORTRANGE(""https://docs.google.com/spreadsheets/d/1NexK3geCPxCTO1fzNF8dPec7yZyUx3OaWkFBC9HsQOo/edit?usp=sharing"",""ยโสธร!Q157"")"),0)</f>
        <v>0</v>
      </c>
      <c r="S41" s="67">
        <f ca="1">IFERROR(__xludf.DUMMYFUNCTION("IMPORTRANGE(""https://docs.google.com/spreadsheets/d/1NexK3geCPxCTO1fzNF8dPec7yZyUx3OaWkFBC9HsQOo/edit?usp=sharing"",""ยโสธร!R157"")"),0)</f>
        <v>0</v>
      </c>
      <c r="T41" s="67">
        <f ca="1">IFERROR(__xludf.DUMMYFUNCTION("IMPORTRANGE(""https://docs.google.com/spreadsheets/d/1NexK3geCPxCTO1fzNF8dPec7yZyUx3OaWkFBC9HsQOo/edit?usp=sharing"",""ยโสธร!S157"")"),0)</f>
        <v>0</v>
      </c>
      <c r="U41" s="68">
        <f t="shared" ca="1" si="34"/>
        <v>0</v>
      </c>
      <c r="V41" s="68">
        <f t="shared" ca="1" si="35"/>
        <v>0</v>
      </c>
      <c r="W41" s="78">
        <f ca="1">IFERROR(__xludf.DUMMYFUNCTION("IMPORTRANGE(""https://docs.google.com/spreadsheets/d/1NexK3geCPxCTO1fzNF8dPec7yZyUx3OaWkFBC9HsQOo/edit?usp=sharing"",""ยโสธร!I167"")"),0)</f>
        <v>0</v>
      </c>
      <c r="X41" s="78">
        <f ca="1">IFERROR(__xludf.DUMMYFUNCTION("IMPORTRANGE(""https://docs.google.com/spreadsheets/d/1NexK3geCPxCTO1fzNF8dPec7yZyUx3OaWkFBC9HsQOo/edit?usp=sharing"",""ยโสธร!J167"")"),0)</f>
        <v>0</v>
      </c>
      <c r="Y41" s="79">
        <f t="shared" ca="1" si="37"/>
        <v>0</v>
      </c>
      <c r="Z41" s="78"/>
      <c r="AA41" s="78"/>
      <c r="AB41" s="79"/>
      <c r="AC41" s="78"/>
      <c r="AD41" s="78"/>
      <c r="AE41" s="79"/>
    </row>
    <row r="42" spans="1:31" ht="21" customHeight="1" x14ac:dyDescent="0.3">
      <c r="A42" s="70">
        <v>11</v>
      </c>
      <c r="B42" s="71" t="s">
        <v>70</v>
      </c>
      <c r="C42" s="149">
        <f t="shared" ca="1" si="25"/>
        <v>4500</v>
      </c>
      <c r="D42" s="150">
        <f t="shared" ca="1" si="42"/>
        <v>4500</v>
      </c>
      <c r="E42" s="151">
        <f ca="1">IFERROR(__xludf.DUMMYFUNCTION("IMPORTRANGE(""https://docs.google.com/spreadsheets/d/1-uDff_7J0KD5mKrp0Vvzr7lt3OU09vwQwhkpOPPYv2Y/edit?usp=sharing"",""งบพรบ!CB42"")"),0)</f>
        <v>0</v>
      </c>
      <c r="F42" s="151">
        <f ca="1">IFERROR(__xludf.DUMMYFUNCTION("IMPORTRANGE(""https://docs.google.com/spreadsheets/d/1-uDff_7J0KD5mKrp0Vvzr7lt3OU09vwQwhkpOPPYv2Y/edit?usp=sharing"",""งบพรบ!CC42"")"),4500)</f>
        <v>4500</v>
      </c>
      <c r="G42" s="151">
        <f ca="1">IFERROR(__xludf.DUMMYFUNCTION("IMPORTRANGE(""https://docs.google.com/spreadsheets/d/1-uDff_7J0KD5mKrp0Vvzr7lt3OU09vwQwhkpOPPYv2Y/edit?usp=sharing"",""งบพรบ!CD42"")"),0)</f>
        <v>0</v>
      </c>
      <c r="H42" s="151">
        <f ca="1">IFERROR(__xludf.DUMMYFUNCTION("IMPORTRANGE(""https://docs.google.com/spreadsheets/d/1-uDff_7J0KD5mKrp0Vvzr7lt3OU09vwQwhkpOPPYv2Y/edit?usp=sharing"",""งบพรบ!CF42"")"),6890)</f>
        <v>6890</v>
      </c>
      <c r="I42" s="151">
        <f ca="1">IFERROR(__xludf.DUMMYFUNCTION("IMPORTRANGE(""https://docs.google.com/spreadsheets/d/1-uDff_7J0KD5mKrp0Vvzr7lt3OU09vwQwhkpOPPYv2Y/edit?usp=sharing"",""งบพรบ!CG42"")"),0)</f>
        <v>0</v>
      </c>
      <c r="J42" s="151">
        <f t="shared" ca="1" si="27"/>
        <v>6890</v>
      </c>
      <c r="K42" s="154">
        <f t="shared" ca="1" si="28"/>
        <v>153.11111111111111</v>
      </c>
      <c r="L42" s="151">
        <f ca="1">IFERROR(__xludf.DUMMYFUNCTION("IMPORTRANGE(""https://docs.google.com/spreadsheets/d/1-uDff_7J0KD5mKrp0Vvzr7lt3OU09vwQwhkpOPPYv2Y/edit?usp=sharing"",""งบพรบ!CH42"")"),6890)</f>
        <v>6890</v>
      </c>
      <c r="M42" s="68">
        <f t="shared" ca="1" si="29"/>
        <v>153.11111111111111</v>
      </c>
      <c r="N42" s="68">
        <f t="shared" ca="1" si="30"/>
        <v>100</v>
      </c>
      <c r="O42" s="67">
        <f ca="1">IFERROR(__xludf.DUMMYFUNCTION("IMPORTRANGE(""https://docs.google.com/spreadsheets/d/1-uDff_7J0KD5mKrp0Vvzr7lt3OU09vwQwhkpOPPYv2Y/edit?usp=sharing"",""งบพรบ!CI42"")"),0)</f>
        <v>0</v>
      </c>
      <c r="P42" s="67">
        <f t="shared" ca="1" si="31"/>
        <v>0</v>
      </c>
      <c r="Q42" s="68">
        <f t="shared" ca="1" si="32"/>
        <v>0</v>
      </c>
      <c r="R42" s="197">
        <f ca="1">IFERROR(__xludf.DUMMYFUNCTION("IMPORTRANGE(""https://docs.google.com/spreadsheets/d/1v_cJrbBlyqmnHPReHk44g9NrMRdENNlSy_E_c5M9fIg/edit?usp=sharing"",""ร้อยเอ็ด!Q157"")"),0)</f>
        <v>0</v>
      </c>
      <c r="S42" s="67">
        <f ca="1">IFERROR(__xludf.DUMMYFUNCTION("IMPORTRANGE(""https://docs.google.com/spreadsheets/d/1v_cJrbBlyqmnHPReHk44g9NrMRdENNlSy_E_c5M9fIg/edit?usp=sharing"",""ร้อยเอ็ด!R157"")"),0)</f>
        <v>0</v>
      </c>
      <c r="T42" s="67">
        <f ca="1">IFERROR(__xludf.DUMMYFUNCTION("IMPORTRANGE(""https://docs.google.com/spreadsheets/d/1v_cJrbBlyqmnHPReHk44g9NrMRdENNlSy_E_c5M9fIg/edit?usp=sharing"",""ร้อยเอ็ด!S157"")"),0)</f>
        <v>0</v>
      </c>
      <c r="U42" s="68">
        <f t="shared" ca="1" si="34"/>
        <v>0</v>
      </c>
      <c r="V42" s="68">
        <f t="shared" ca="1" si="35"/>
        <v>0</v>
      </c>
      <c r="W42" s="78">
        <f ca="1">IFERROR(__xludf.DUMMYFUNCTION("IMPORTRANGE(""https://docs.google.com/spreadsheets/d/1v_cJrbBlyqmnHPReHk44g9NrMRdENNlSy_E_c5M9fIg/edit?usp=sharing"",""ร้อยเอ็ด!I167"")"),15)</f>
        <v>15</v>
      </c>
      <c r="X42" s="78">
        <f ca="1">IFERROR(__xludf.DUMMYFUNCTION("IMPORTRANGE(""https://docs.google.com/spreadsheets/d/1v_cJrbBlyqmnHPReHk44g9NrMRdENNlSy_E_c5M9fIg/edit?usp=sharing"",""ร้อยเอ็ด!J167"")"),15)</f>
        <v>15</v>
      </c>
      <c r="Y42" s="79">
        <f t="shared" ca="1" si="37"/>
        <v>100</v>
      </c>
      <c r="Z42" s="78"/>
      <c r="AA42" s="78"/>
      <c r="AB42" s="79"/>
      <c r="AC42" s="78"/>
      <c r="AD42" s="78"/>
      <c r="AE42" s="79"/>
    </row>
    <row r="43" spans="1:31" ht="21" customHeight="1" x14ac:dyDescent="0.3">
      <c r="A43" s="70">
        <v>12</v>
      </c>
      <c r="B43" s="71" t="s">
        <v>71</v>
      </c>
      <c r="C43" s="149">
        <f t="shared" ca="1" si="25"/>
        <v>0</v>
      </c>
      <c r="D43" s="150">
        <f t="shared" ca="1" si="42"/>
        <v>0</v>
      </c>
      <c r="E43" s="151">
        <f ca="1">IFERROR(__xludf.DUMMYFUNCTION("IMPORTRANGE(""https://docs.google.com/spreadsheets/d/1-uDff_7J0KD5mKrp0Vvzr7lt3OU09vwQwhkpOPPYv2Y/edit?usp=sharing"",""งบพรบ!CB43"")"),0)</f>
        <v>0</v>
      </c>
      <c r="F43" s="151">
        <f ca="1">IFERROR(__xludf.DUMMYFUNCTION("IMPORTRANGE(""https://docs.google.com/spreadsheets/d/1-uDff_7J0KD5mKrp0Vvzr7lt3OU09vwQwhkpOPPYv2Y/edit?usp=sharing"",""งบพรบ!CC43"")"),0)</f>
        <v>0</v>
      </c>
      <c r="G43" s="151">
        <f ca="1">IFERROR(__xludf.DUMMYFUNCTION("IMPORTRANGE(""https://docs.google.com/spreadsheets/d/1-uDff_7J0KD5mKrp0Vvzr7lt3OU09vwQwhkpOPPYv2Y/edit?usp=sharing"",""งบพรบ!CD43"")"),0)</f>
        <v>0</v>
      </c>
      <c r="H43" s="151">
        <f ca="1">IFERROR(__xludf.DUMMYFUNCTION("IMPORTRANGE(""https://docs.google.com/spreadsheets/d/1-uDff_7J0KD5mKrp0Vvzr7lt3OU09vwQwhkpOPPYv2Y/edit?usp=sharing"",""งบพรบ!CF43"")"),2400)</f>
        <v>2400</v>
      </c>
      <c r="I43" s="151">
        <f ca="1">IFERROR(__xludf.DUMMYFUNCTION("IMPORTRANGE(""https://docs.google.com/spreadsheets/d/1-uDff_7J0KD5mKrp0Vvzr7lt3OU09vwQwhkpOPPYv2Y/edit?usp=sharing"",""งบพรบ!CG43"")"),0)</f>
        <v>0</v>
      </c>
      <c r="J43" s="151">
        <f t="shared" ca="1" si="27"/>
        <v>2400</v>
      </c>
      <c r="K43" s="154">
        <f t="shared" ca="1" si="28"/>
        <v>0</v>
      </c>
      <c r="L43" s="151">
        <f ca="1">IFERROR(__xludf.DUMMYFUNCTION("IMPORTRANGE(""https://docs.google.com/spreadsheets/d/1-uDff_7J0KD5mKrp0Vvzr7lt3OU09vwQwhkpOPPYv2Y/edit?usp=sharing"",""งบพรบ!CH43"")"),2400)</f>
        <v>2400</v>
      </c>
      <c r="M43" s="68">
        <f t="shared" ca="1" si="29"/>
        <v>0</v>
      </c>
      <c r="N43" s="68">
        <f t="shared" ca="1" si="30"/>
        <v>100</v>
      </c>
      <c r="O43" s="67">
        <f ca="1">IFERROR(__xludf.DUMMYFUNCTION("IMPORTRANGE(""https://docs.google.com/spreadsheets/d/1-uDff_7J0KD5mKrp0Vvzr7lt3OU09vwQwhkpOPPYv2Y/edit?usp=sharing"",""งบพรบ!CI43"")"),0)</f>
        <v>0</v>
      </c>
      <c r="P43" s="67">
        <f t="shared" ca="1" si="31"/>
        <v>0</v>
      </c>
      <c r="Q43" s="68">
        <f t="shared" ca="1" si="32"/>
        <v>0</v>
      </c>
      <c r="R43" s="197">
        <f ca="1">IFERROR(__xludf.DUMMYFUNCTION("IMPORTRANGE(""https://docs.google.com/spreadsheets/d/1Ul4RCpCX66NxYADU1QpwAPjOmBzW64SsT11s1wzXw_c/edit?usp=sharing"",""เลย!Q157"")"),0)</f>
        <v>0</v>
      </c>
      <c r="S43" s="67">
        <f ca="1">IFERROR(__xludf.DUMMYFUNCTION("IMPORTRANGE(""https://docs.google.com/spreadsheets/d/1Ul4RCpCX66NxYADU1QpwAPjOmBzW64SsT11s1wzXw_c/edit?usp=sharing"",""เลย!R157"")"),0)</f>
        <v>0</v>
      </c>
      <c r="T43" s="67">
        <f ca="1">IFERROR(__xludf.DUMMYFUNCTION("IMPORTRANGE(""https://docs.google.com/spreadsheets/d/1Ul4RCpCX66NxYADU1QpwAPjOmBzW64SsT11s1wzXw_c/edit?usp=sharing"",""เลย!S157"")"),0)</f>
        <v>0</v>
      </c>
      <c r="U43" s="68">
        <f t="shared" ca="1" si="34"/>
        <v>0</v>
      </c>
      <c r="V43" s="68">
        <f t="shared" ca="1" si="35"/>
        <v>0</v>
      </c>
      <c r="W43" s="78">
        <f ca="1">IFERROR(__xludf.DUMMYFUNCTION("IMPORTRANGE(""https://docs.google.com/spreadsheets/d/1Ul4RCpCX66NxYADU1QpwAPjOmBzW64SsT11s1wzXw_c/edit?usp=sharing"",""เลย!I167"")"),0)</f>
        <v>0</v>
      </c>
      <c r="X43" s="78">
        <f ca="1">IFERROR(__xludf.DUMMYFUNCTION("IMPORTRANGE(""https://docs.google.com/spreadsheets/d/1Ul4RCpCX66NxYADU1QpwAPjOmBzW64SsT11s1wzXw_c/edit?usp=sharing"",""เลย!J167"")"),0)</f>
        <v>0</v>
      </c>
      <c r="Y43" s="79">
        <f t="shared" ca="1" si="37"/>
        <v>0</v>
      </c>
      <c r="Z43" s="78"/>
      <c r="AA43" s="78"/>
      <c r="AB43" s="79"/>
      <c r="AC43" s="78"/>
      <c r="AD43" s="78"/>
      <c r="AE43" s="79"/>
    </row>
    <row r="44" spans="1:31" ht="21" customHeight="1" x14ac:dyDescent="0.3">
      <c r="A44" s="70">
        <v>13</v>
      </c>
      <c r="B44" s="71" t="s">
        <v>72</v>
      </c>
      <c r="C44" s="149">
        <f t="shared" ca="1" si="25"/>
        <v>0</v>
      </c>
      <c r="D44" s="150">
        <f t="shared" ca="1" si="42"/>
        <v>0</v>
      </c>
      <c r="E44" s="151">
        <f ca="1">IFERROR(__xludf.DUMMYFUNCTION("IMPORTRANGE(""https://docs.google.com/spreadsheets/d/1-uDff_7J0KD5mKrp0Vvzr7lt3OU09vwQwhkpOPPYv2Y/edit?usp=sharing"",""งบพรบ!CB44"")"),0)</f>
        <v>0</v>
      </c>
      <c r="F44" s="151">
        <f ca="1">IFERROR(__xludf.DUMMYFUNCTION("IMPORTRANGE(""https://docs.google.com/spreadsheets/d/1-uDff_7J0KD5mKrp0Vvzr7lt3OU09vwQwhkpOPPYv2Y/edit?usp=sharing"",""งบพรบ!CC44"")"),0)</f>
        <v>0</v>
      </c>
      <c r="G44" s="151">
        <f ca="1">IFERROR(__xludf.DUMMYFUNCTION("IMPORTRANGE(""https://docs.google.com/spreadsheets/d/1-uDff_7J0KD5mKrp0Vvzr7lt3OU09vwQwhkpOPPYv2Y/edit?usp=sharing"",""งบพรบ!CD44"")"),0)</f>
        <v>0</v>
      </c>
      <c r="H44" s="151">
        <f ca="1">IFERROR(__xludf.DUMMYFUNCTION("IMPORTRANGE(""https://docs.google.com/spreadsheets/d/1-uDff_7J0KD5mKrp0Vvzr7lt3OU09vwQwhkpOPPYv2Y/edit?usp=sharing"",""งบพรบ!CF44"")"),5600)</f>
        <v>5600</v>
      </c>
      <c r="I44" s="151">
        <f ca="1">IFERROR(__xludf.DUMMYFUNCTION("IMPORTRANGE(""https://docs.google.com/spreadsheets/d/1-uDff_7J0KD5mKrp0Vvzr7lt3OU09vwQwhkpOPPYv2Y/edit?usp=sharing"",""งบพรบ!CG44"")"),0)</f>
        <v>0</v>
      </c>
      <c r="J44" s="151">
        <f t="shared" ca="1" si="27"/>
        <v>5600</v>
      </c>
      <c r="K44" s="154">
        <f t="shared" ca="1" si="28"/>
        <v>0</v>
      </c>
      <c r="L44" s="151">
        <f ca="1">IFERROR(__xludf.DUMMYFUNCTION("IMPORTRANGE(""https://docs.google.com/spreadsheets/d/1-uDff_7J0KD5mKrp0Vvzr7lt3OU09vwQwhkpOPPYv2Y/edit?usp=sharing"",""งบพรบ!CH44"")"),5600)</f>
        <v>5600</v>
      </c>
      <c r="M44" s="68">
        <f t="shared" ca="1" si="29"/>
        <v>0</v>
      </c>
      <c r="N44" s="68">
        <f t="shared" ca="1" si="30"/>
        <v>100</v>
      </c>
      <c r="O44" s="67">
        <f ca="1">IFERROR(__xludf.DUMMYFUNCTION("IMPORTRANGE(""https://docs.google.com/spreadsheets/d/1-uDff_7J0KD5mKrp0Vvzr7lt3OU09vwQwhkpOPPYv2Y/edit?usp=sharing"",""งบพรบ!CI44"")"),0)</f>
        <v>0</v>
      </c>
      <c r="P44" s="67">
        <f t="shared" ca="1" si="31"/>
        <v>0</v>
      </c>
      <c r="Q44" s="68">
        <f t="shared" ca="1" si="32"/>
        <v>0</v>
      </c>
      <c r="R44" s="197">
        <f ca="1">IFERROR(__xludf.DUMMYFUNCTION("IMPORTRANGE(""https://docs.google.com/spreadsheets/d/1bRrNKwbHDVktQG10isr5vbWRtt5spIZPpkOSWgbT5ug/edit?usp=sharing"",""ศรีสะเกษ!Q157"")"),0)</f>
        <v>0</v>
      </c>
      <c r="S44" s="67">
        <f ca="1">IFERROR(__xludf.DUMMYFUNCTION("IMPORTRANGE(""https://docs.google.com/spreadsheets/d/1bRrNKwbHDVktQG10isr5vbWRtt5spIZPpkOSWgbT5ug/edit?usp=sharing"",""ศรีสะเกษ!R157"")"),0)</f>
        <v>0</v>
      </c>
      <c r="T44" s="67">
        <f ca="1">IFERROR(__xludf.DUMMYFUNCTION("IMPORTRANGE(""https://docs.google.com/spreadsheets/d/1bRrNKwbHDVktQG10isr5vbWRtt5spIZPpkOSWgbT5ug/edit?usp=sharing"",""ศรีสะเกษ!S157"")"),0)</f>
        <v>0</v>
      </c>
      <c r="U44" s="68">
        <f t="shared" ca="1" si="34"/>
        <v>0</v>
      </c>
      <c r="V44" s="68">
        <f t="shared" ca="1" si="35"/>
        <v>0</v>
      </c>
      <c r="W44" s="78">
        <f ca="1">IFERROR(__xludf.DUMMYFUNCTION("IMPORTRANGE(""https://docs.google.com/spreadsheets/d/1bRrNKwbHDVktQG10isr5vbWRtt5spIZPpkOSWgbT5ug/edit?usp=sharing"",""ศรีสะเกษ!I167"")"),0)</f>
        <v>0</v>
      </c>
      <c r="X44" s="78">
        <f ca="1">IFERROR(__xludf.DUMMYFUNCTION("IMPORTRANGE(""https://docs.google.com/spreadsheets/d/1bRrNKwbHDVktQG10isr5vbWRtt5spIZPpkOSWgbT5ug/edit?usp=sharing"",""ศรีสะเกษ!J167"")"),0)</f>
        <v>0</v>
      </c>
      <c r="Y44" s="79">
        <f t="shared" ca="1" si="37"/>
        <v>0</v>
      </c>
      <c r="Z44" s="78"/>
      <c r="AA44" s="78"/>
      <c r="AB44" s="79"/>
      <c r="AC44" s="78"/>
      <c r="AD44" s="78"/>
      <c r="AE44" s="79"/>
    </row>
    <row r="45" spans="1:31" ht="21" customHeight="1" x14ac:dyDescent="0.3">
      <c r="A45" s="70">
        <v>14</v>
      </c>
      <c r="B45" s="71" t="s">
        <v>73</v>
      </c>
      <c r="C45" s="149">
        <f t="shared" ca="1" si="25"/>
        <v>4500</v>
      </c>
      <c r="D45" s="150">
        <f t="shared" ca="1" si="42"/>
        <v>4500</v>
      </c>
      <c r="E45" s="151">
        <f ca="1">IFERROR(__xludf.DUMMYFUNCTION("IMPORTRANGE(""https://docs.google.com/spreadsheets/d/1-uDff_7J0KD5mKrp0Vvzr7lt3OU09vwQwhkpOPPYv2Y/edit?usp=sharing"",""งบพรบ!CB45"")"),0)</f>
        <v>0</v>
      </c>
      <c r="F45" s="151">
        <f ca="1">IFERROR(__xludf.DUMMYFUNCTION("IMPORTRANGE(""https://docs.google.com/spreadsheets/d/1-uDff_7J0KD5mKrp0Vvzr7lt3OU09vwQwhkpOPPYv2Y/edit?usp=sharing"",""งบพรบ!CC45"")"),4500)</f>
        <v>4500</v>
      </c>
      <c r="G45" s="151">
        <f ca="1">IFERROR(__xludf.DUMMYFUNCTION("IMPORTRANGE(""https://docs.google.com/spreadsheets/d/1-uDff_7J0KD5mKrp0Vvzr7lt3OU09vwQwhkpOPPYv2Y/edit?usp=sharing"",""งบพรบ!CD45"")"),0)</f>
        <v>0</v>
      </c>
      <c r="H45" s="151">
        <f ca="1">IFERROR(__xludf.DUMMYFUNCTION("IMPORTRANGE(""https://docs.google.com/spreadsheets/d/1-uDff_7J0KD5mKrp0Vvzr7lt3OU09vwQwhkpOPPYv2Y/edit?usp=sharing"",""งบพรบ!CF45"")"),2250)</f>
        <v>2250</v>
      </c>
      <c r="I45" s="151">
        <f ca="1">IFERROR(__xludf.DUMMYFUNCTION("IMPORTRANGE(""https://docs.google.com/spreadsheets/d/1-uDff_7J0KD5mKrp0Vvzr7lt3OU09vwQwhkpOPPYv2Y/edit?usp=sharing"",""งบพรบ!CG45"")"),0)</f>
        <v>0</v>
      </c>
      <c r="J45" s="151">
        <f t="shared" ca="1" si="27"/>
        <v>2250</v>
      </c>
      <c r="K45" s="154">
        <f t="shared" ca="1" si="28"/>
        <v>50</v>
      </c>
      <c r="L45" s="151">
        <f ca="1">IFERROR(__xludf.DUMMYFUNCTION("IMPORTRANGE(""https://docs.google.com/spreadsheets/d/1-uDff_7J0KD5mKrp0Vvzr7lt3OU09vwQwhkpOPPYv2Y/edit?usp=sharing"",""งบพรบ!CH45"")"),2250)</f>
        <v>2250</v>
      </c>
      <c r="M45" s="68">
        <f t="shared" ca="1" si="29"/>
        <v>50</v>
      </c>
      <c r="N45" s="68">
        <f t="shared" ca="1" si="30"/>
        <v>100</v>
      </c>
      <c r="O45" s="67">
        <f ca="1">IFERROR(__xludf.DUMMYFUNCTION("IMPORTRANGE(""https://docs.google.com/spreadsheets/d/1-uDff_7J0KD5mKrp0Vvzr7lt3OU09vwQwhkpOPPYv2Y/edit?usp=sharing"",""งบพรบ!CI45"")"),0)</f>
        <v>0</v>
      </c>
      <c r="P45" s="67">
        <f t="shared" ca="1" si="31"/>
        <v>0</v>
      </c>
      <c r="Q45" s="68">
        <f t="shared" ca="1" si="32"/>
        <v>0</v>
      </c>
      <c r="R45" s="197">
        <f ca="1">IFERROR(__xludf.DUMMYFUNCTION("IMPORTRANGE(""https://docs.google.com/spreadsheets/d/17P34_Ow5kFBfdQD0qspb2UuPX5zpi6WMrQzslghyvrI/edit?usp=sharing"",""สกลนคร!Q157"")"),0)</f>
        <v>0</v>
      </c>
      <c r="S45" s="67">
        <f ca="1">IFERROR(__xludf.DUMMYFUNCTION("IMPORTRANGE(""https://docs.google.com/spreadsheets/d/17P34_Ow5kFBfdQD0qspb2UuPX5zpi6WMrQzslghyvrI/edit?usp=sharing"",""สกลนคร!R157"")"),0)</f>
        <v>0</v>
      </c>
      <c r="T45" s="67">
        <f ca="1">IFERROR(__xludf.DUMMYFUNCTION("IMPORTRANGE(""https://docs.google.com/spreadsheets/d/17P34_Ow5kFBfdQD0qspb2UuPX5zpi6WMrQzslghyvrI/edit?usp=sharing"",""สกลนคร!S157"")"),0)</f>
        <v>0</v>
      </c>
      <c r="U45" s="68">
        <f t="shared" ca="1" si="34"/>
        <v>0</v>
      </c>
      <c r="V45" s="68">
        <f t="shared" ca="1" si="35"/>
        <v>0</v>
      </c>
      <c r="W45" s="78">
        <f ca="1">IFERROR(__xludf.DUMMYFUNCTION("IMPORTRANGE(""https://docs.google.com/spreadsheets/d/17P34_Ow5kFBfdQD0qspb2UuPX5zpi6WMrQzslghyvrI/edit?usp=sharing"",""สกลนคร!I167"")"),15)</f>
        <v>15</v>
      </c>
      <c r="X45" s="78">
        <f ca="1">IFERROR(__xludf.DUMMYFUNCTION("IMPORTRANGE(""https://docs.google.com/spreadsheets/d/17P34_Ow5kFBfdQD0qspb2UuPX5zpi6WMrQzslghyvrI/edit?usp=sharing"",""สกลนคร!J167"")"),15)</f>
        <v>15</v>
      </c>
      <c r="Y45" s="79">
        <f t="shared" ca="1" si="37"/>
        <v>100</v>
      </c>
      <c r="Z45" s="78"/>
      <c r="AA45" s="78"/>
      <c r="AB45" s="79"/>
      <c r="AC45" s="78"/>
      <c r="AD45" s="78"/>
      <c r="AE45" s="79"/>
    </row>
    <row r="46" spans="1:31" ht="21" customHeight="1" x14ac:dyDescent="0.3">
      <c r="A46" s="70">
        <v>15</v>
      </c>
      <c r="B46" s="71" t="s">
        <v>74</v>
      </c>
      <c r="C46" s="149">
        <f t="shared" ca="1" si="25"/>
        <v>0</v>
      </c>
      <c r="D46" s="150">
        <f t="shared" ca="1" si="42"/>
        <v>0</v>
      </c>
      <c r="E46" s="151">
        <f ca="1">IFERROR(__xludf.DUMMYFUNCTION("IMPORTRANGE(""https://docs.google.com/spreadsheets/d/1-uDff_7J0KD5mKrp0Vvzr7lt3OU09vwQwhkpOPPYv2Y/edit?usp=sharing"",""งบพรบ!CB46"")"),0)</f>
        <v>0</v>
      </c>
      <c r="F46" s="151">
        <f ca="1">IFERROR(__xludf.DUMMYFUNCTION("IMPORTRANGE(""https://docs.google.com/spreadsheets/d/1-uDff_7J0KD5mKrp0Vvzr7lt3OU09vwQwhkpOPPYv2Y/edit?usp=sharing"",""งบพรบ!CC46"")"),0)</f>
        <v>0</v>
      </c>
      <c r="G46" s="151">
        <f ca="1">IFERROR(__xludf.DUMMYFUNCTION("IMPORTRANGE(""https://docs.google.com/spreadsheets/d/1-uDff_7J0KD5mKrp0Vvzr7lt3OU09vwQwhkpOPPYv2Y/edit?usp=sharing"",""งบพรบ!CD46"")"),0)</f>
        <v>0</v>
      </c>
      <c r="H46" s="151">
        <f ca="1">IFERROR(__xludf.DUMMYFUNCTION("IMPORTRANGE(""https://docs.google.com/spreadsheets/d/1-uDff_7J0KD5mKrp0Vvzr7lt3OU09vwQwhkpOPPYv2Y/edit?usp=sharing"",""งบพรบ!CF46"")"),0)</f>
        <v>0</v>
      </c>
      <c r="I46" s="151">
        <f ca="1">IFERROR(__xludf.DUMMYFUNCTION("IMPORTRANGE(""https://docs.google.com/spreadsheets/d/1-uDff_7J0KD5mKrp0Vvzr7lt3OU09vwQwhkpOPPYv2Y/edit?usp=sharing"",""งบพรบ!CG46"")"),0)</f>
        <v>0</v>
      </c>
      <c r="J46" s="151">
        <f t="shared" ca="1" si="27"/>
        <v>0</v>
      </c>
      <c r="K46" s="154">
        <f t="shared" ca="1" si="28"/>
        <v>0</v>
      </c>
      <c r="L46" s="151">
        <f ca="1">IFERROR(__xludf.DUMMYFUNCTION("IMPORTRANGE(""https://docs.google.com/spreadsheets/d/1-uDff_7J0KD5mKrp0Vvzr7lt3OU09vwQwhkpOPPYv2Y/edit?usp=sharing"",""งบพรบ!CH46"")"),0)</f>
        <v>0</v>
      </c>
      <c r="M46" s="68">
        <f t="shared" ca="1" si="29"/>
        <v>0</v>
      </c>
      <c r="N46" s="68">
        <f t="shared" ca="1" si="30"/>
        <v>0</v>
      </c>
      <c r="O46" s="67">
        <f ca="1">IFERROR(__xludf.DUMMYFUNCTION("IMPORTRANGE(""https://docs.google.com/spreadsheets/d/1-uDff_7J0KD5mKrp0Vvzr7lt3OU09vwQwhkpOPPYv2Y/edit?usp=sharing"",""งบพรบ!CI46"")"),0)</f>
        <v>0</v>
      </c>
      <c r="P46" s="67">
        <f t="shared" ca="1" si="31"/>
        <v>0</v>
      </c>
      <c r="Q46" s="68">
        <f t="shared" ca="1" si="32"/>
        <v>0</v>
      </c>
      <c r="R46" s="197">
        <f ca="1">IFERROR(__xludf.DUMMYFUNCTION("IMPORTRANGE(""https://docs.google.com/spreadsheets/d/1yswqbM3-AEpThF3ZSUa1AcmHnmRTF1vlJ1CZGcJ8YuU/edit?usp=sharing"",""สุรินทร์!Q157"")"),0)</f>
        <v>0</v>
      </c>
      <c r="S46" s="67">
        <f ca="1">IFERROR(__xludf.DUMMYFUNCTION("IMPORTRANGE(""https://docs.google.com/spreadsheets/d/1yswqbM3-AEpThF3ZSUa1AcmHnmRTF1vlJ1CZGcJ8YuU/edit?usp=sharing"",""สุรินทร์!R157"")"),0)</f>
        <v>0</v>
      </c>
      <c r="T46" s="67">
        <f ca="1">IFERROR(__xludf.DUMMYFUNCTION("IMPORTRANGE(""https://docs.google.com/spreadsheets/d/1yswqbM3-AEpThF3ZSUa1AcmHnmRTF1vlJ1CZGcJ8YuU/edit?usp=sharing"",""สุรินทร์!S157"")"),0)</f>
        <v>0</v>
      </c>
      <c r="U46" s="68">
        <f t="shared" ca="1" si="34"/>
        <v>0</v>
      </c>
      <c r="V46" s="68">
        <f t="shared" ca="1" si="35"/>
        <v>0</v>
      </c>
      <c r="W46" s="78">
        <f ca="1">IFERROR(__xludf.DUMMYFUNCTION("IMPORTRANGE(""https://docs.google.com/spreadsheets/d/1yswqbM3-AEpThF3ZSUa1AcmHnmRTF1vlJ1CZGcJ8YuU/edit?usp=sharing"",""สุรินทร์!I167"")"),0)</f>
        <v>0</v>
      </c>
      <c r="X46" s="78">
        <f ca="1">IFERROR(__xludf.DUMMYFUNCTION("IMPORTRANGE(""https://docs.google.com/spreadsheets/d/1yswqbM3-AEpThF3ZSUa1AcmHnmRTF1vlJ1CZGcJ8YuU/edit?usp=sharing"",""สุรินทร์!J167"")"),0)</f>
        <v>0</v>
      </c>
      <c r="Y46" s="79">
        <f t="shared" ca="1" si="37"/>
        <v>0</v>
      </c>
      <c r="Z46" s="78"/>
      <c r="AA46" s="78"/>
      <c r="AB46" s="79"/>
      <c r="AC46" s="78"/>
      <c r="AD46" s="78"/>
      <c r="AE46" s="79"/>
    </row>
    <row r="47" spans="1:31" ht="21" customHeight="1" x14ac:dyDescent="0.3">
      <c r="A47" s="70">
        <v>16</v>
      </c>
      <c r="B47" s="71" t="s">
        <v>75</v>
      </c>
      <c r="C47" s="149">
        <f t="shared" ca="1" si="25"/>
        <v>0</v>
      </c>
      <c r="D47" s="150">
        <f t="shared" ca="1" si="42"/>
        <v>0</v>
      </c>
      <c r="E47" s="151">
        <f ca="1">IFERROR(__xludf.DUMMYFUNCTION("IMPORTRANGE(""https://docs.google.com/spreadsheets/d/1-uDff_7J0KD5mKrp0Vvzr7lt3OU09vwQwhkpOPPYv2Y/edit?usp=sharing"",""งบพรบ!CB47"")"),0)</f>
        <v>0</v>
      </c>
      <c r="F47" s="151">
        <f ca="1">IFERROR(__xludf.DUMMYFUNCTION("IMPORTRANGE(""https://docs.google.com/spreadsheets/d/1-uDff_7J0KD5mKrp0Vvzr7lt3OU09vwQwhkpOPPYv2Y/edit?usp=sharing"",""งบพรบ!CC47"")"),0)</f>
        <v>0</v>
      </c>
      <c r="G47" s="151">
        <f ca="1">IFERROR(__xludf.DUMMYFUNCTION("IMPORTRANGE(""https://docs.google.com/spreadsheets/d/1-uDff_7J0KD5mKrp0Vvzr7lt3OU09vwQwhkpOPPYv2Y/edit?usp=sharing"",""งบพรบ!CD47"")"),0)</f>
        <v>0</v>
      </c>
      <c r="H47" s="151">
        <f ca="1">IFERROR(__xludf.DUMMYFUNCTION("IMPORTRANGE(""https://docs.google.com/spreadsheets/d/1-uDff_7J0KD5mKrp0Vvzr7lt3OU09vwQwhkpOPPYv2Y/edit?usp=sharing"",""งบพรบ!CF47"")"),0)</f>
        <v>0</v>
      </c>
      <c r="I47" s="151">
        <f ca="1">IFERROR(__xludf.DUMMYFUNCTION("IMPORTRANGE(""https://docs.google.com/spreadsheets/d/1-uDff_7J0KD5mKrp0Vvzr7lt3OU09vwQwhkpOPPYv2Y/edit?usp=sharing"",""งบพรบ!CG47"")"),0)</f>
        <v>0</v>
      </c>
      <c r="J47" s="151">
        <f t="shared" ca="1" si="27"/>
        <v>0</v>
      </c>
      <c r="K47" s="154">
        <f t="shared" ca="1" si="28"/>
        <v>0</v>
      </c>
      <c r="L47" s="151">
        <f ca="1">IFERROR(__xludf.DUMMYFUNCTION("IMPORTRANGE(""https://docs.google.com/spreadsheets/d/1-uDff_7J0KD5mKrp0Vvzr7lt3OU09vwQwhkpOPPYv2Y/edit?usp=sharing"",""งบพรบ!CH47"")"),0)</f>
        <v>0</v>
      </c>
      <c r="M47" s="68">
        <f t="shared" ca="1" si="29"/>
        <v>0</v>
      </c>
      <c r="N47" s="68">
        <f t="shared" ca="1" si="30"/>
        <v>0</v>
      </c>
      <c r="O47" s="67">
        <f ca="1">IFERROR(__xludf.DUMMYFUNCTION("IMPORTRANGE(""https://docs.google.com/spreadsheets/d/1-uDff_7J0KD5mKrp0Vvzr7lt3OU09vwQwhkpOPPYv2Y/edit?usp=sharing"",""งบพรบ!CI47"")"),0)</f>
        <v>0</v>
      </c>
      <c r="P47" s="67">
        <f t="shared" ca="1" si="31"/>
        <v>0</v>
      </c>
      <c r="Q47" s="68">
        <f t="shared" ca="1" si="32"/>
        <v>0</v>
      </c>
      <c r="R47" s="197">
        <f ca="1">IFERROR(__xludf.DUMMYFUNCTION("IMPORTRANGE(""https://docs.google.com/spreadsheets/d/13JHU_EFbsQOUQ0JSQ3dWy1VTRosIWcDq6Nc99z2qzdc/edit?usp=sharing"",""หนองคาย!Q157"")"),0)</f>
        <v>0</v>
      </c>
      <c r="S47" s="67">
        <f ca="1">IFERROR(__xludf.DUMMYFUNCTION("IMPORTRANGE(""https://docs.google.com/spreadsheets/d/13JHU_EFbsQOUQ0JSQ3dWy1VTRosIWcDq6Nc99z2qzdc/edit?usp=sharing"",""หนองคาย!R157"")"),0)</f>
        <v>0</v>
      </c>
      <c r="T47" s="67">
        <f ca="1">IFERROR(__xludf.DUMMYFUNCTION("IMPORTRANGE(""https://docs.google.com/spreadsheets/d/13JHU_EFbsQOUQ0JSQ3dWy1VTRosIWcDq6Nc99z2qzdc/edit?usp=sharing"",""หนองคาย!S157"")"),0)</f>
        <v>0</v>
      </c>
      <c r="U47" s="68">
        <f t="shared" ca="1" si="34"/>
        <v>0</v>
      </c>
      <c r="V47" s="68">
        <f t="shared" ca="1" si="35"/>
        <v>0</v>
      </c>
      <c r="W47" s="78">
        <f ca="1">IFERROR(__xludf.DUMMYFUNCTION("IMPORTRANGE(""https://docs.google.com/spreadsheets/d/13JHU_EFbsQOUQ0JSQ3dWy1VTRosIWcDq6Nc99z2qzdc/edit?usp=sharing"",""หนองคาย!I167"")"),0)</f>
        <v>0</v>
      </c>
      <c r="X47" s="78">
        <f ca="1">IFERROR(__xludf.DUMMYFUNCTION("IMPORTRANGE(""https://docs.google.com/spreadsheets/d/13JHU_EFbsQOUQ0JSQ3dWy1VTRosIWcDq6Nc99z2qzdc/edit?usp=sharing"",""หนองคาย!J167"")"),0)</f>
        <v>0</v>
      </c>
      <c r="Y47" s="79">
        <f t="shared" ca="1" si="37"/>
        <v>0</v>
      </c>
      <c r="Z47" s="78"/>
      <c r="AA47" s="78"/>
      <c r="AB47" s="79"/>
      <c r="AC47" s="78"/>
      <c r="AD47" s="78"/>
      <c r="AE47" s="79"/>
    </row>
    <row r="48" spans="1:31" ht="21" customHeight="1" x14ac:dyDescent="0.3">
      <c r="A48" s="70">
        <v>17</v>
      </c>
      <c r="B48" s="71" t="s">
        <v>76</v>
      </c>
      <c r="C48" s="149">
        <f t="shared" ca="1" si="25"/>
        <v>0</v>
      </c>
      <c r="D48" s="150">
        <f t="shared" ca="1" si="42"/>
        <v>0</v>
      </c>
      <c r="E48" s="151">
        <f ca="1">IFERROR(__xludf.DUMMYFUNCTION("IMPORTRANGE(""https://docs.google.com/spreadsheets/d/1-uDff_7J0KD5mKrp0Vvzr7lt3OU09vwQwhkpOPPYv2Y/edit?usp=sharing"",""งบพรบ!CB48"")"),0)</f>
        <v>0</v>
      </c>
      <c r="F48" s="151">
        <f ca="1">IFERROR(__xludf.DUMMYFUNCTION("IMPORTRANGE(""https://docs.google.com/spreadsheets/d/1-uDff_7J0KD5mKrp0Vvzr7lt3OU09vwQwhkpOPPYv2Y/edit?usp=sharing"",""งบพรบ!CC48"")"),0)</f>
        <v>0</v>
      </c>
      <c r="G48" s="151">
        <f ca="1">IFERROR(__xludf.DUMMYFUNCTION("IMPORTRANGE(""https://docs.google.com/spreadsheets/d/1-uDff_7J0KD5mKrp0Vvzr7lt3OU09vwQwhkpOPPYv2Y/edit?usp=sharing"",""งบพรบ!CD48"")"),0)</f>
        <v>0</v>
      </c>
      <c r="H48" s="151">
        <f ca="1">IFERROR(__xludf.DUMMYFUNCTION("IMPORTRANGE(""https://docs.google.com/spreadsheets/d/1-uDff_7J0KD5mKrp0Vvzr7lt3OU09vwQwhkpOPPYv2Y/edit?usp=sharing"",""งบพรบ!CF48"")"),0)</f>
        <v>0</v>
      </c>
      <c r="I48" s="151">
        <f ca="1">IFERROR(__xludf.DUMMYFUNCTION("IMPORTRANGE(""https://docs.google.com/spreadsheets/d/1-uDff_7J0KD5mKrp0Vvzr7lt3OU09vwQwhkpOPPYv2Y/edit?usp=sharing"",""งบพรบ!CG48"")"),0)</f>
        <v>0</v>
      </c>
      <c r="J48" s="151">
        <f t="shared" ca="1" si="27"/>
        <v>0</v>
      </c>
      <c r="K48" s="154">
        <f t="shared" ca="1" si="28"/>
        <v>0</v>
      </c>
      <c r="L48" s="151">
        <f ca="1">IFERROR(__xludf.DUMMYFUNCTION("IMPORTRANGE(""https://docs.google.com/spreadsheets/d/1-uDff_7J0KD5mKrp0Vvzr7lt3OU09vwQwhkpOPPYv2Y/edit?usp=sharing"",""งบพรบ!CH48"")"),0)</f>
        <v>0</v>
      </c>
      <c r="M48" s="68">
        <f t="shared" ca="1" si="29"/>
        <v>0</v>
      </c>
      <c r="N48" s="68">
        <f t="shared" ca="1" si="30"/>
        <v>0</v>
      </c>
      <c r="O48" s="67">
        <f ca="1">IFERROR(__xludf.DUMMYFUNCTION("IMPORTRANGE(""https://docs.google.com/spreadsheets/d/1-uDff_7J0KD5mKrp0Vvzr7lt3OU09vwQwhkpOPPYv2Y/edit?usp=sharing"",""งบพรบ!CI48"")"),0)</f>
        <v>0</v>
      </c>
      <c r="P48" s="67">
        <f t="shared" ca="1" si="31"/>
        <v>0</v>
      </c>
      <c r="Q48" s="68">
        <f t="shared" ca="1" si="32"/>
        <v>0</v>
      </c>
      <c r="R48" s="197">
        <f ca="1">IFERROR(__xludf.DUMMYFUNCTION("IMPORTRANGE(""https://docs.google.com/spreadsheets/d/1Hx73zIEgVdDZZaYSTc46Dqv64atFhpr3GelxLbaIN8A/edit?usp=sharing"",""หนองบัวลำภู!Q157"")"),0)</f>
        <v>0</v>
      </c>
      <c r="S48" s="67">
        <f ca="1">IFERROR(__xludf.DUMMYFUNCTION("IMPORTRANGE(""https://docs.google.com/spreadsheets/d/1Hx73zIEgVdDZZaYSTc46Dqv64atFhpr3GelxLbaIN8A/edit?usp=sharing"",""หนองบัวลำภู!R157"")"),0)</f>
        <v>0</v>
      </c>
      <c r="T48" s="67">
        <f ca="1">IFERROR(__xludf.DUMMYFUNCTION("IMPORTRANGE(""https://docs.google.com/spreadsheets/d/1Hx73zIEgVdDZZaYSTc46Dqv64atFhpr3GelxLbaIN8A/edit?usp=sharing"",""หนองบัวลำภู!S157"")"),0)</f>
        <v>0</v>
      </c>
      <c r="U48" s="68">
        <f t="shared" ca="1" si="34"/>
        <v>0</v>
      </c>
      <c r="V48" s="68">
        <f t="shared" ca="1" si="35"/>
        <v>0</v>
      </c>
      <c r="W48" s="78">
        <f ca="1">IFERROR(__xludf.DUMMYFUNCTION("IMPORTRANGE(""https://docs.google.com/spreadsheets/d/1Hx73zIEgVdDZZaYSTc46Dqv64atFhpr3GelxLbaIN8A/edit?usp=sharing"",""หนองบัวลำภู!I167"")"),0)</f>
        <v>0</v>
      </c>
      <c r="X48" s="78">
        <f ca="1">IFERROR(__xludf.DUMMYFUNCTION("IMPORTRANGE(""https://docs.google.com/spreadsheets/d/1Hx73zIEgVdDZZaYSTc46Dqv64atFhpr3GelxLbaIN8A/edit?usp=sharing"",""หนองบัวลำภู!J167"")"),0)</f>
        <v>0</v>
      </c>
      <c r="Y48" s="79">
        <f t="shared" ca="1" si="37"/>
        <v>0</v>
      </c>
      <c r="Z48" s="78"/>
      <c r="AA48" s="78"/>
      <c r="AB48" s="79"/>
      <c r="AC48" s="78"/>
      <c r="AD48" s="78"/>
      <c r="AE48" s="79"/>
    </row>
    <row r="49" spans="1:31" ht="21" customHeight="1" x14ac:dyDescent="0.3">
      <c r="A49" s="70">
        <v>18</v>
      </c>
      <c r="B49" s="71" t="s">
        <v>77</v>
      </c>
      <c r="C49" s="149">
        <f t="shared" ca="1" si="25"/>
        <v>0</v>
      </c>
      <c r="D49" s="150">
        <f t="shared" ca="1" si="42"/>
        <v>0</v>
      </c>
      <c r="E49" s="151">
        <f ca="1">IFERROR(__xludf.DUMMYFUNCTION("IMPORTRANGE(""https://docs.google.com/spreadsheets/d/1-uDff_7J0KD5mKrp0Vvzr7lt3OU09vwQwhkpOPPYv2Y/edit?usp=sharing"",""งบพรบ!CB49"")"),0)</f>
        <v>0</v>
      </c>
      <c r="F49" s="151">
        <f ca="1">IFERROR(__xludf.DUMMYFUNCTION("IMPORTRANGE(""https://docs.google.com/spreadsheets/d/1-uDff_7J0KD5mKrp0Vvzr7lt3OU09vwQwhkpOPPYv2Y/edit?usp=sharing"",""งบพรบ!CC49"")"),0)</f>
        <v>0</v>
      </c>
      <c r="G49" s="151">
        <f ca="1">IFERROR(__xludf.DUMMYFUNCTION("IMPORTRANGE(""https://docs.google.com/spreadsheets/d/1-uDff_7J0KD5mKrp0Vvzr7lt3OU09vwQwhkpOPPYv2Y/edit?usp=sharing"",""งบพรบ!CD49"")"),0)</f>
        <v>0</v>
      </c>
      <c r="H49" s="151">
        <f ca="1">IFERROR(__xludf.DUMMYFUNCTION("IMPORTRANGE(""https://docs.google.com/spreadsheets/d/1-uDff_7J0KD5mKrp0Vvzr7lt3OU09vwQwhkpOPPYv2Y/edit?usp=sharing"",""งบพรบ!CF49"")"),0)</f>
        <v>0</v>
      </c>
      <c r="I49" s="151">
        <f ca="1">IFERROR(__xludf.DUMMYFUNCTION("IMPORTRANGE(""https://docs.google.com/spreadsheets/d/1-uDff_7J0KD5mKrp0Vvzr7lt3OU09vwQwhkpOPPYv2Y/edit?usp=sharing"",""งบพรบ!CG49"")"),0)</f>
        <v>0</v>
      </c>
      <c r="J49" s="151">
        <f t="shared" ca="1" si="27"/>
        <v>0</v>
      </c>
      <c r="K49" s="154">
        <f t="shared" ca="1" si="28"/>
        <v>0</v>
      </c>
      <c r="L49" s="151">
        <f ca="1">IFERROR(__xludf.DUMMYFUNCTION("IMPORTRANGE(""https://docs.google.com/spreadsheets/d/1-uDff_7J0KD5mKrp0Vvzr7lt3OU09vwQwhkpOPPYv2Y/edit?usp=sharing"",""งบพรบ!CH49"")"),0)</f>
        <v>0</v>
      </c>
      <c r="M49" s="68">
        <f t="shared" ca="1" si="29"/>
        <v>0</v>
      </c>
      <c r="N49" s="68">
        <f t="shared" ca="1" si="30"/>
        <v>0</v>
      </c>
      <c r="O49" s="67">
        <f ca="1">IFERROR(__xludf.DUMMYFUNCTION("IMPORTRANGE(""https://docs.google.com/spreadsheets/d/1-uDff_7J0KD5mKrp0Vvzr7lt3OU09vwQwhkpOPPYv2Y/edit?usp=sharing"",""งบพรบ!CI49"")"),0)</f>
        <v>0</v>
      </c>
      <c r="P49" s="67">
        <f t="shared" ca="1" si="31"/>
        <v>0</v>
      </c>
      <c r="Q49" s="68">
        <f t="shared" ca="1" si="32"/>
        <v>0</v>
      </c>
      <c r="R49" s="197">
        <f ca="1">IFERROR(__xludf.DUMMYFUNCTION("IMPORTRANGE(""https://docs.google.com/spreadsheets/d/1lFxr3ctmjFN90yc-xV6jrQ9Ty8BKYVBWnAZ15wcNIJc/edit?usp=sharing"",""อำนาจเจริญ!Q157"")"),0)</f>
        <v>0</v>
      </c>
      <c r="S49" s="67">
        <f ca="1">IFERROR(__xludf.DUMMYFUNCTION("IMPORTRANGE(""https://docs.google.com/spreadsheets/d/1lFxr3ctmjFN90yc-xV6jrQ9Ty8BKYVBWnAZ15wcNIJc/edit?usp=sharing"",""อำนาจเจริญ!R157"")"),0)</f>
        <v>0</v>
      </c>
      <c r="T49" s="67">
        <f ca="1">IFERROR(__xludf.DUMMYFUNCTION("IMPORTRANGE(""https://docs.google.com/spreadsheets/d/1lFxr3ctmjFN90yc-xV6jrQ9Ty8BKYVBWnAZ15wcNIJc/edit?usp=sharing"",""อำนาจเจริญ!S157"")"),0)</f>
        <v>0</v>
      </c>
      <c r="U49" s="68">
        <f t="shared" ca="1" si="34"/>
        <v>0</v>
      </c>
      <c r="V49" s="68">
        <f t="shared" ca="1" si="35"/>
        <v>0</v>
      </c>
      <c r="W49" s="78">
        <f ca="1">IFERROR(__xludf.DUMMYFUNCTION("IMPORTRANGE(""https://docs.google.com/spreadsheets/d/1lFxr3ctmjFN90yc-xV6jrQ9Ty8BKYVBWnAZ15wcNIJc/edit?usp=sharing"",""อำนาจเจริญ!I167"")"),0)</f>
        <v>0</v>
      </c>
      <c r="X49" s="78">
        <f ca="1">IFERROR(__xludf.DUMMYFUNCTION("IMPORTRANGE(""https://docs.google.com/spreadsheets/d/1lFxr3ctmjFN90yc-xV6jrQ9Ty8BKYVBWnAZ15wcNIJc/edit?usp=sharing"",""อำนาจเจริญ!J167"")"),0)</f>
        <v>0</v>
      </c>
      <c r="Y49" s="79">
        <f t="shared" ca="1" si="37"/>
        <v>0</v>
      </c>
      <c r="Z49" s="78"/>
      <c r="AA49" s="78"/>
      <c r="AB49" s="79"/>
      <c r="AC49" s="78"/>
      <c r="AD49" s="78"/>
      <c r="AE49" s="79"/>
    </row>
    <row r="50" spans="1:31" ht="21" customHeight="1" x14ac:dyDescent="0.3">
      <c r="A50" s="70">
        <v>19</v>
      </c>
      <c r="B50" s="71" t="s">
        <v>78</v>
      </c>
      <c r="C50" s="149">
        <f t="shared" ca="1" si="25"/>
        <v>4500</v>
      </c>
      <c r="D50" s="150">
        <f t="shared" ca="1" si="42"/>
        <v>4500</v>
      </c>
      <c r="E50" s="151">
        <f ca="1">IFERROR(__xludf.DUMMYFUNCTION("IMPORTRANGE(""https://docs.google.com/spreadsheets/d/1-uDff_7J0KD5mKrp0Vvzr7lt3OU09vwQwhkpOPPYv2Y/edit?usp=sharing"",""งบพรบ!CB50"")"),0)</f>
        <v>0</v>
      </c>
      <c r="F50" s="151">
        <f ca="1">IFERROR(__xludf.DUMMYFUNCTION("IMPORTRANGE(""https://docs.google.com/spreadsheets/d/1-uDff_7J0KD5mKrp0Vvzr7lt3OU09vwQwhkpOPPYv2Y/edit?usp=sharing"",""งบพรบ!CC50"")"),4500)</f>
        <v>4500</v>
      </c>
      <c r="G50" s="151">
        <f ca="1">IFERROR(__xludf.DUMMYFUNCTION("IMPORTRANGE(""https://docs.google.com/spreadsheets/d/1-uDff_7J0KD5mKrp0Vvzr7lt3OU09vwQwhkpOPPYv2Y/edit?usp=sharing"",""งบพรบ!CD50"")"),0)</f>
        <v>0</v>
      </c>
      <c r="H50" s="151">
        <f ca="1">IFERROR(__xludf.DUMMYFUNCTION("IMPORTRANGE(""https://docs.google.com/spreadsheets/d/1-uDff_7J0KD5mKrp0Vvzr7lt3OU09vwQwhkpOPPYv2Y/edit?usp=sharing"",""งบพรบ!CF50"")"),5882)</f>
        <v>5882</v>
      </c>
      <c r="I50" s="151">
        <f ca="1">IFERROR(__xludf.DUMMYFUNCTION("IMPORTRANGE(""https://docs.google.com/spreadsheets/d/1-uDff_7J0KD5mKrp0Vvzr7lt3OU09vwQwhkpOPPYv2Y/edit?usp=sharing"",""งบพรบ!CG50"")"),0)</f>
        <v>0</v>
      </c>
      <c r="J50" s="151">
        <f t="shared" ca="1" si="27"/>
        <v>4916</v>
      </c>
      <c r="K50" s="154">
        <f t="shared" ca="1" si="28"/>
        <v>109.24444444444444</v>
      </c>
      <c r="L50" s="151">
        <f ca="1">IFERROR(__xludf.DUMMYFUNCTION("IMPORTRANGE(""https://docs.google.com/spreadsheets/d/1-uDff_7J0KD5mKrp0Vvzr7lt3OU09vwQwhkpOPPYv2Y/edit?usp=sharing"",""งบพรบ!CH50"")"),4916)</f>
        <v>4916</v>
      </c>
      <c r="M50" s="68">
        <f t="shared" ca="1" si="29"/>
        <v>109.24444444444444</v>
      </c>
      <c r="N50" s="68">
        <f t="shared" ca="1" si="30"/>
        <v>83.57701462087725</v>
      </c>
      <c r="O50" s="67">
        <f ca="1">IFERROR(__xludf.DUMMYFUNCTION("IMPORTRANGE(""https://docs.google.com/spreadsheets/d/1-uDff_7J0KD5mKrp0Vvzr7lt3OU09vwQwhkpOPPYv2Y/edit?usp=sharing"",""งบพรบ!CI50"")"),0)</f>
        <v>0</v>
      </c>
      <c r="P50" s="67">
        <f t="shared" ca="1" si="31"/>
        <v>0</v>
      </c>
      <c r="Q50" s="68">
        <f t="shared" ca="1" si="32"/>
        <v>0</v>
      </c>
      <c r="R50" s="197">
        <f ca="1">IFERROR(__xludf.DUMMYFUNCTION("IMPORTRANGE(""https://docs.google.com/spreadsheets/d/1gF7RJpRnL-1oyjyeWxs5SFWEH7y8ahOZsQlyp2A2e-A/edit?usp=sharing"",""อุดรธานี!Q157"")"),0)</f>
        <v>0</v>
      </c>
      <c r="S50" s="67">
        <f ca="1">IFERROR(__xludf.DUMMYFUNCTION("IMPORTRANGE(""https://docs.google.com/spreadsheets/d/1gF7RJpRnL-1oyjyeWxs5SFWEH7y8ahOZsQlyp2A2e-A/edit?usp=sharing"",""อุดรธานี!R157"")"),0)</f>
        <v>0</v>
      </c>
      <c r="T50" s="67">
        <f ca="1">IFERROR(__xludf.DUMMYFUNCTION("IMPORTRANGE(""https://docs.google.com/spreadsheets/d/1gF7RJpRnL-1oyjyeWxs5SFWEH7y8ahOZsQlyp2A2e-A/edit?usp=sharing"",""อุดรธานี!S157"")"),0)</f>
        <v>0</v>
      </c>
      <c r="U50" s="68">
        <f t="shared" ca="1" si="34"/>
        <v>0</v>
      </c>
      <c r="V50" s="68">
        <f t="shared" ca="1" si="35"/>
        <v>0</v>
      </c>
      <c r="W50" s="78">
        <f ca="1">IFERROR(__xludf.DUMMYFUNCTION("IMPORTRANGE(""https://docs.google.com/spreadsheets/d/1gF7RJpRnL-1oyjyeWxs5SFWEH7y8ahOZsQlyp2A2e-A/edit?usp=sharing"",""อุดรธานี!I167"")"),15)</f>
        <v>15</v>
      </c>
      <c r="X50" s="78">
        <f ca="1">IFERROR(__xludf.DUMMYFUNCTION("IMPORTRANGE(""https://docs.google.com/spreadsheets/d/1gF7RJpRnL-1oyjyeWxs5SFWEH7y8ahOZsQlyp2A2e-A/edit?usp=sharing"",""อุดรธานี!J167"")"),15)</f>
        <v>15</v>
      </c>
      <c r="Y50" s="79">
        <f t="shared" ca="1" si="37"/>
        <v>100</v>
      </c>
      <c r="Z50" s="78"/>
      <c r="AA50" s="78"/>
      <c r="AB50" s="79"/>
      <c r="AC50" s="78"/>
      <c r="AD50" s="78"/>
      <c r="AE50" s="79"/>
    </row>
    <row r="51" spans="1:31" ht="21" customHeight="1" x14ac:dyDescent="0.3">
      <c r="A51" s="80">
        <v>20</v>
      </c>
      <c r="B51" s="81" t="s">
        <v>79</v>
      </c>
      <c r="C51" s="165">
        <f t="shared" ca="1" si="25"/>
        <v>0</v>
      </c>
      <c r="D51" s="166">
        <f t="shared" ca="1" si="42"/>
        <v>0</v>
      </c>
      <c r="E51" s="167">
        <f ca="1">IFERROR(__xludf.DUMMYFUNCTION("IMPORTRANGE(""https://docs.google.com/spreadsheets/d/1-uDff_7J0KD5mKrp0Vvzr7lt3OU09vwQwhkpOPPYv2Y/edit?usp=sharing"",""งบพรบ!CB51"")"),0)</f>
        <v>0</v>
      </c>
      <c r="F51" s="167">
        <f ca="1">IFERROR(__xludf.DUMMYFUNCTION("IMPORTRANGE(""https://docs.google.com/spreadsheets/d/1-uDff_7J0KD5mKrp0Vvzr7lt3OU09vwQwhkpOPPYv2Y/edit?usp=sharing"",""งบพรบ!CC51"")"),0)</f>
        <v>0</v>
      </c>
      <c r="G51" s="167">
        <f ca="1">IFERROR(__xludf.DUMMYFUNCTION("IMPORTRANGE(""https://docs.google.com/spreadsheets/d/1-uDff_7J0KD5mKrp0Vvzr7lt3OU09vwQwhkpOPPYv2Y/edit?usp=sharing"",""งบพรบ!CD51"")"),0)</f>
        <v>0</v>
      </c>
      <c r="H51" s="167">
        <f ca="1">IFERROR(__xludf.DUMMYFUNCTION("IMPORTRANGE(""https://docs.google.com/spreadsheets/d/1-uDff_7J0KD5mKrp0Vvzr7lt3OU09vwQwhkpOPPYv2Y/edit?usp=sharing"",""งบพรบ!CF51"")"),0)</f>
        <v>0</v>
      </c>
      <c r="I51" s="167">
        <f ca="1">IFERROR(__xludf.DUMMYFUNCTION("IMPORTRANGE(""https://docs.google.com/spreadsheets/d/1-uDff_7J0KD5mKrp0Vvzr7lt3OU09vwQwhkpOPPYv2Y/edit?usp=sharing"",""งบพรบ!CG51"")"),0)</f>
        <v>0</v>
      </c>
      <c r="J51" s="167">
        <f t="shared" ca="1" si="27"/>
        <v>0</v>
      </c>
      <c r="K51" s="168">
        <f t="shared" ca="1" si="28"/>
        <v>0</v>
      </c>
      <c r="L51" s="167">
        <f ca="1">IFERROR(__xludf.DUMMYFUNCTION("IMPORTRANGE(""https://docs.google.com/spreadsheets/d/1-uDff_7J0KD5mKrp0Vvzr7lt3OU09vwQwhkpOPPYv2Y/edit?usp=sharing"",""งบพรบ!CH51"")"),0)</f>
        <v>0</v>
      </c>
      <c r="M51" s="97">
        <f t="shared" ca="1" si="29"/>
        <v>0</v>
      </c>
      <c r="N51" s="97">
        <f t="shared" ca="1" si="30"/>
        <v>0</v>
      </c>
      <c r="O51" s="96">
        <f ca="1">IFERROR(__xludf.DUMMYFUNCTION("IMPORTRANGE(""https://docs.google.com/spreadsheets/d/1-uDff_7J0KD5mKrp0Vvzr7lt3OU09vwQwhkpOPPYv2Y/edit?usp=sharing"",""งบพรบ!CI51"")"),0)</f>
        <v>0</v>
      </c>
      <c r="P51" s="96">
        <f t="shared" ca="1" si="31"/>
        <v>0</v>
      </c>
      <c r="Q51" s="97">
        <f t="shared" ca="1" si="32"/>
        <v>0</v>
      </c>
      <c r="R51" s="198">
        <f ca="1">IFERROR(__xludf.DUMMYFUNCTION("IMPORTRANGE(""https://docs.google.com/spreadsheets/d/1kfLP0j3INXRa8bTDpcEmoWewMBV61jlFlfzczfjWIgc/edit?usp=sharing"",""อุบลราชธานี!Q157"")"),0)</f>
        <v>0</v>
      </c>
      <c r="S51" s="88">
        <f ca="1">IFERROR(__xludf.DUMMYFUNCTION("IMPORTRANGE(""https://docs.google.com/spreadsheets/d/1kfLP0j3INXRa8bTDpcEmoWewMBV61jlFlfzczfjWIgc/edit?usp=sharing"",""อุบลราชธานี!R157"")"),0)</f>
        <v>0</v>
      </c>
      <c r="T51" s="88">
        <f ca="1">IFERROR(__xludf.DUMMYFUNCTION("IMPORTRANGE(""https://docs.google.com/spreadsheets/d/1kfLP0j3INXRa8bTDpcEmoWewMBV61jlFlfzczfjWIgc/edit?usp=sharing"",""อุบลราชธานี!S157"")"),0)</f>
        <v>0</v>
      </c>
      <c r="U51" s="89">
        <f t="shared" ca="1" si="34"/>
        <v>0</v>
      </c>
      <c r="V51" s="89">
        <f t="shared" ca="1" si="35"/>
        <v>0</v>
      </c>
      <c r="W51" s="90">
        <f ca="1">IFERROR(__xludf.DUMMYFUNCTION("IMPORTRANGE(""https://docs.google.com/spreadsheets/d/1kfLP0j3INXRa8bTDpcEmoWewMBV61jlFlfzczfjWIgc/edit?usp=sharing"",""อุบลราชธานี!I167"")"),0)</f>
        <v>0</v>
      </c>
      <c r="X51" s="90">
        <f ca="1">IFERROR(__xludf.DUMMYFUNCTION("IMPORTRANGE(""https://docs.google.com/spreadsheets/d/1kfLP0j3INXRa8bTDpcEmoWewMBV61jlFlfzczfjWIgc/edit?usp=sharing"",""อุบลราชธานี!J167"")"),0)</f>
        <v>0</v>
      </c>
      <c r="Y51" s="91">
        <f t="shared" ca="1" si="37"/>
        <v>0</v>
      </c>
      <c r="Z51" s="90"/>
      <c r="AA51" s="90"/>
      <c r="AB51" s="91"/>
      <c r="AC51" s="90"/>
      <c r="AD51" s="90"/>
      <c r="AE51" s="91"/>
    </row>
    <row r="52" spans="1:31" ht="21" customHeight="1" x14ac:dyDescent="0.3">
      <c r="A52" s="712" t="s">
        <v>80</v>
      </c>
      <c r="B52" s="647"/>
      <c r="C52" s="145">
        <f t="shared" ca="1" si="25"/>
        <v>47000</v>
      </c>
      <c r="D52" s="145">
        <f t="shared" ref="D52:I52" ca="1" si="43">SUM(D53:D73)</f>
        <v>47000</v>
      </c>
      <c r="E52" s="145">
        <f t="shared" ca="1" si="43"/>
        <v>0</v>
      </c>
      <c r="F52" s="145">
        <f t="shared" ca="1" si="43"/>
        <v>47000</v>
      </c>
      <c r="G52" s="145">
        <f t="shared" ca="1" si="43"/>
        <v>0</v>
      </c>
      <c r="H52" s="145">
        <f t="shared" ca="1" si="43"/>
        <v>828735</v>
      </c>
      <c r="I52" s="145">
        <f t="shared" ca="1" si="43"/>
        <v>0</v>
      </c>
      <c r="J52" s="145">
        <f t="shared" ca="1" si="27"/>
        <v>670720</v>
      </c>
      <c r="K52" s="146">
        <f t="shared" ca="1" si="28"/>
        <v>1427.063829787234</v>
      </c>
      <c r="L52" s="145">
        <f ca="1">SUM(L53:L73)</f>
        <v>670720</v>
      </c>
      <c r="M52" s="57">
        <f t="shared" ca="1" si="29"/>
        <v>1427.063829787234</v>
      </c>
      <c r="N52" s="57">
        <f t="shared" ca="1" si="30"/>
        <v>80.932988229047879</v>
      </c>
      <c r="O52" s="56">
        <f ca="1">SUM(O53:O73)</f>
        <v>0</v>
      </c>
      <c r="P52" s="56">
        <f t="shared" ca="1" si="31"/>
        <v>0</v>
      </c>
      <c r="Q52" s="57">
        <f t="shared" ca="1" si="32"/>
        <v>0</v>
      </c>
      <c r="R52" s="199">
        <f t="shared" ref="R52:T52" ca="1" si="44">SUM(R53:R73)</f>
        <v>0</v>
      </c>
      <c r="S52" s="93">
        <f t="shared" ca="1" si="44"/>
        <v>0</v>
      </c>
      <c r="T52" s="93">
        <f t="shared" ca="1" si="44"/>
        <v>0</v>
      </c>
      <c r="U52" s="94">
        <f t="shared" ca="1" si="34"/>
        <v>0</v>
      </c>
      <c r="V52" s="94">
        <f t="shared" ca="1" si="35"/>
        <v>0</v>
      </c>
      <c r="W52" s="52">
        <f t="shared" ref="W52:X52" ca="1" si="45">SUM(W53:W73)</f>
        <v>150</v>
      </c>
      <c r="X52" s="52">
        <f t="shared" ca="1" si="45"/>
        <v>156</v>
      </c>
      <c r="Y52" s="54">
        <f t="shared" ca="1" si="37"/>
        <v>104</v>
      </c>
      <c r="Z52" s="52"/>
      <c r="AA52" s="52"/>
      <c r="AB52" s="54"/>
      <c r="AC52" s="52"/>
      <c r="AD52" s="52"/>
      <c r="AE52" s="54"/>
    </row>
    <row r="53" spans="1:31" ht="21" customHeight="1" x14ac:dyDescent="0.3">
      <c r="A53" s="58">
        <v>1</v>
      </c>
      <c r="B53" s="59" t="s">
        <v>81</v>
      </c>
      <c r="C53" s="149">
        <f t="shared" ca="1" si="25"/>
        <v>4500</v>
      </c>
      <c r="D53" s="150">
        <f t="shared" ref="D53:D73" ca="1" si="46">+E53+F53</f>
        <v>4500</v>
      </c>
      <c r="E53" s="151">
        <f ca="1">IFERROR(__xludf.DUMMYFUNCTION("IMPORTRANGE(""https://docs.google.com/spreadsheets/d/1-uDff_7J0KD5mKrp0Vvzr7lt3OU09vwQwhkpOPPYv2Y/edit?usp=sharing"",""งบพรบ!CB53"")"),0)</f>
        <v>0</v>
      </c>
      <c r="F53" s="151">
        <f ca="1">IFERROR(__xludf.DUMMYFUNCTION("IMPORTRANGE(""https://docs.google.com/spreadsheets/d/1-uDff_7J0KD5mKrp0Vvzr7lt3OU09vwQwhkpOPPYv2Y/edit?usp=sharing"",""งบพรบ!CC53"")"),4500)</f>
        <v>4500</v>
      </c>
      <c r="G53" s="152">
        <f ca="1">IFERROR(__xludf.DUMMYFUNCTION("IMPORTRANGE(""https://docs.google.com/spreadsheets/d/1-uDff_7J0KD5mKrp0Vvzr7lt3OU09vwQwhkpOPPYv2Y/edit?usp=sharing"",""งบพรบ!CD53"")"),0)</f>
        <v>0</v>
      </c>
      <c r="H53" s="152">
        <f ca="1">IFERROR(__xludf.DUMMYFUNCTION("IMPORTRANGE(""https://docs.google.com/spreadsheets/d/1-uDff_7J0KD5mKrp0Vvzr7lt3OU09vwQwhkpOPPYv2Y/edit?usp=sharing"",""งบพรบ!CF53"")"),158932)</f>
        <v>158932</v>
      </c>
      <c r="I53" s="152">
        <f ca="1">IFERROR(__xludf.DUMMYFUNCTION("IMPORTRANGE(""https://docs.google.com/spreadsheets/d/1-uDff_7J0KD5mKrp0Vvzr7lt3OU09vwQwhkpOPPYv2Y/edit?usp=sharing"",""งบพรบ!CG53"")"),0)</f>
        <v>0</v>
      </c>
      <c r="J53" s="152">
        <f t="shared" ca="1" si="27"/>
        <v>130167</v>
      </c>
      <c r="K53" s="153">
        <f t="shared" ca="1" si="28"/>
        <v>2892.6</v>
      </c>
      <c r="L53" s="152">
        <f ca="1">IFERROR(__xludf.DUMMYFUNCTION("IMPORTRANGE(""https://docs.google.com/spreadsheets/d/1-uDff_7J0KD5mKrp0Vvzr7lt3OU09vwQwhkpOPPYv2Y/edit?usp=sharing"",""งบพรบ!CH53"")"),130167)</f>
        <v>130167</v>
      </c>
      <c r="M53" s="68">
        <f t="shared" ca="1" si="29"/>
        <v>2892.6</v>
      </c>
      <c r="N53" s="68">
        <f t="shared" ca="1" si="30"/>
        <v>81.901064606246692</v>
      </c>
      <c r="O53" s="67">
        <f ca="1">IFERROR(__xludf.DUMMYFUNCTION("IMPORTRANGE(""https://docs.google.com/spreadsheets/d/1-uDff_7J0KD5mKrp0Vvzr7lt3OU09vwQwhkpOPPYv2Y/edit?usp=sharing"",""งบพรบ!CI53"")"),0)</f>
        <v>0</v>
      </c>
      <c r="P53" s="67">
        <f t="shared" ca="1" si="31"/>
        <v>0</v>
      </c>
      <c r="Q53" s="68">
        <f t="shared" ca="1" si="32"/>
        <v>0</v>
      </c>
      <c r="R53" s="197">
        <f ca="1">IFERROR(__xludf.DUMMYFUNCTION("IMPORTRANGE(""https://docs.google.com/spreadsheets/d/13wPX838HrBrQMCywv1BsuMkt4PEKTChp52zj44s2izQ/edit?usp=sharing"",""กาญจนบุรี!Q157"")"),0)</f>
        <v>0</v>
      </c>
      <c r="S53" s="67">
        <f ca="1">IFERROR(__xludf.DUMMYFUNCTION("IMPORTRANGE(""https://docs.google.com/spreadsheets/d/13wPX838HrBrQMCywv1BsuMkt4PEKTChp52zj44s2izQ/edit?usp=sharing"",""กาญจนบุรี!R157"")"),0)</f>
        <v>0</v>
      </c>
      <c r="T53" s="67">
        <f ca="1">IFERROR(__xludf.DUMMYFUNCTION("IMPORTRANGE(""https://docs.google.com/spreadsheets/d/13wPX838HrBrQMCywv1BsuMkt4PEKTChp52zj44s2izQ/edit?usp=sharing"",""กาญจนบุรี!S157"")"),0)</f>
        <v>0</v>
      </c>
      <c r="U53" s="68">
        <f t="shared" ca="1" si="34"/>
        <v>0</v>
      </c>
      <c r="V53" s="68">
        <f t="shared" ca="1" si="35"/>
        <v>0</v>
      </c>
      <c r="W53" s="63">
        <f ca="1">IFERROR(__xludf.DUMMYFUNCTION("IMPORTRANGE(""https://docs.google.com/spreadsheets/d/13wPX838HrBrQMCywv1BsuMkt4PEKTChp52zj44s2izQ/edit?usp=sharing"",""กาญจนบุรี!I167"")"),15)</f>
        <v>15</v>
      </c>
      <c r="X53" s="63">
        <f ca="1">IFERROR(__xludf.DUMMYFUNCTION("IMPORTRANGE(""https://docs.google.com/spreadsheets/d/13wPX838HrBrQMCywv1BsuMkt4PEKTChp52zj44s2izQ/edit?usp=sharing"",""กาญจนบุรี!J167"")"),15)</f>
        <v>15</v>
      </c>
      <c r="Y53" s="69">
        <f t="shared" ca="1" si="37"/>
        <v>100</v>
      </c>
      <c r="Z53" s="63"/>
      <c r="AA53" s="63"/>
      <c r="AB53" s="69"/>
      <c r="AC53" s="63"/>
      <c r="AD53" s="63"/>
      <c r="AE53" s="69"/>
    </row>
    <row r="54" spans="1:31" ht="21" customHeight="1" x14ac:dyDescent="0.3">
      <c r="A54" s="70">
        <v>2</v>
      </c>
      <c r="B54" s="71" t="s">
        <v>82</v>
      </c>
      <c r="C54" s="149">
        <f t="shared" ca="1" si="25"/>
        <v>0</v>
      </c>
      <c r="D54" s="150">
        <f t="shared" ca="1" si="46"/>
        <v>0</v>
      </c>
      <c r="E54" s="151">
        <f ca="1">IFERROR(__xludf.DUMMYFUNCTION("IMPORTRANGE(""https://docs.google.com/spreadsheets/d/1-uDff_7J0KD5mKrp0Vvzr7lt3OU09vwQwhkpOPPYv2Y/edit?usp=sharing"",""งบพรบ!CB54"")"),0)</f>
        <v>0</v>
      </c>
      <c r="F54" s="151">
        <f ca="1">IFERROR(__xludf.DUMMYFUNCTION("IMPORTRANGE(""https://docs.google.com/spreadsheets/d/1-uDff_7J0KD5mKrp0Vvzr7lt3OU09vwQwhkpOPPYv2Y/edit?usp=sharing"",""งบพรบ!CC54"")"),0)</f>
        <v>0</v>
      </c>
      <c r="G54" s="151">
        <f ca="1">IFERROR(__xludf.DUMMYFUNCTION("IMPORTRANGE(""https://docs.google.com/spreadsheets/d/1-uDff_7J0KD5mKrp0Vvzr7lt3OU09vwQwhkpOPPYv2Y/edit?usp=sharing"",""งบพรบ!CD54"")"),0)</f>
        <v>0</v>
      </c>
      <c r="H54" s="151">
        <f ca="1">IFERROR(__xludf.DUMMYFUNCTION("IMPORTRANGE(""https://docs.google.com/spreadsheets/d/1-uDff_7J0KD5mKrp0Vvzr7lt3OU09vwQwhkpOPPYv2Y/edit?usp=sharing"",""งบพรบ!CF54"")"),0)</f>
        <v>0</v>
      </c>
      <c r="I54" s="151">
        <f ca="1">IFERROR(__xludf.DUMMYFUNCTION("IMPORTRANGE(""https://docs.google.com/spreadsheets/d/1-uDff_7J0KD5mKrp0Vvzr7lt3OU09vwQwhkpOPPYv2Y/edit?usp=sharing"",""งบพรบ!CG54"")"),0)</f>
        <v>0</v>
      </c>
      <c r="J54" s="151">
        <f t="shared" ca="1" si="27"/>
        <v>0</v>
      </c>
      <c r="K54" s="154">
        <f t="shared" ca="1" si="28"/>
        <v>0</v>
      </c>
      <c r="L54" s="151">
        <f ca="1">IFERROR(__xludf.DUMMYFUNCTION("IMPORTRANGE(""https://docs.google.com/spreadsheets/d/1-uDff_7J0KD5mKrp0Vvzr7lt3OU09vwQwhkpOPPYv2Y/edit?usp=sharing"",""งบพรบ!CH54"")"),0)</f>
        <v>0</v>
      </c>
      <c r="M54" s="68">
        <f t="shared" ca="1" si="29"/>
        <v>0</v>
      </c>
      <c r="N54" s="68">
        <f t="shared" ca="1" si="30"/>
        <v>0</v>
      </c>
      <c r="O54" s="67">
        <f ca="1">IFERROR(__xludf.DUMMYFUNCTION("IMPORTRANGE(""https://docs.google.com/spreadsheets/d/1-uDff_7J0KD5mKrp0Vvzr7lt3OU09vwQwhkpOPPYv2Y/edit?usp=sharing"",""งบพรบ!CI54"")"),0)</f>
        <v>0</v>
      </c>
      <c r="P54" s="67">
        <f t="shared" ca="1" si="31"/>
        <v>0</v>
      </c>
      <c r="Q54" s="68">
        <f t="shared" ca="1" si="32"/>
        <v>0</v>
      </c>
      <c r="R54" s="197">
        <f ca="1">IFERROR(__xludf.DUMMYFUNCTION("IMPORTRANGE(""https://docs.google.com/spreadsheets/d/1ddFKvqj1W1NEiWytbGlB1zMx_ykJDVtmfEQ-6-lIUBA/edit?usp=sharing"",""จันทบุรี!Q157"")"),0)</f>
        <v>0</v>
      </c>
      <c r="S54" s="67">
        <f ca="1">IFERROR(__xludf.DUMMYFUNCTION("IMPORTRANGE(""https://docs.google.com/spreadsheets/d/1ddFKvqj1W1NEiWytbGlB1zMx_ykJDVtmfEQ-6-lIUBA/edit?usp=sharing"",""จันทบุรี!R157"")"),0)</f>
        <v>0</v>
      </c>
      <c r="T54" s="67">
        <f ca="1">IFERROR(__xludf.DUMMYFUNCTION("IMPORTRANGE(""https://docs.google.com/spreadsheets/d/1ddFKvqj1W1NEiWytbGlB1zMx_ykJDVtmfEQ-6-lIUBA/edit?usp=sharing"",""จันทบุรี!S157"")"),0)</f>
        <v>0</v>
      </c>
      <c r="U54" s="68">
        <f t="shared" ca="1" si="34"/>
        <v>0</v>
      </c>
      <c r="V54" s="68">
        <f t="shared" ca="1" si="35"/>
        <v>0</v>
      </c>
      <c r="W54" s="78">
        <f ca="1">IFERROR(__xludf.DUMMYFUNCTION("IMPORTRANGE(""https://docs.google.com/spreadsheets/d/1ddFKvqj1W1NEiWytbGlB1zMx_ykJDVtmfEQ-6-lIUBA/edit?usp=sharing"",""จันทบุรี!I167"")"),0)</f>
        <v>0</v>
      </c>
      <c r="X54" s="78">
        <f ca="1">IFERROR(__xludf.DUMMYFUNCTION("IMPORTRANGE(""https://docs.google.com/spreadsheets/d/1ddFKvqj1W1NEiWytbGlB1zMx_ykJDVtmfEQ-6-lIUBA/edit?usp=sharing"",""จันทบุรี!J167"")"),0)</f>
        <v>0</v>
      </c>
      <c r="Y54" s="79">
        <f t="shared" ca="1" si="37"/>
        <v>0</v>
      </c>
      <c r="Z54" s="78"/>
      <c r="AA54" s="78"/>
      <c r="AB54" s="79"/>
      <c r="AC54" s="78"/>
      <c r="AD54" s="78"/>
      <c r="AE54" s="79"/>
    </row>
    <row r="55" spans="1:31" ht="21" customHeight="1" x14ac:dyDescent="0.3">
      <c r="A55" s="70">
        <v>3</v>
      </c>
      <c r="B55" s="71" t="s">
        <v>83</v>
      </c>
      <c r="C55" s="149">
        <f t="shared" ca="1" si="25"/>
        <v>4500</v>
      </c>
      <c r="D55" s="150">
        <f t="shared" ca="1" si="46"/>
        <v>4500</v>
      </c>
      <c r="E55" s="151">
        <f ca="1">IFERROR(__xludf.DUMMYFUNCTION("IMPORTRANGE(""https://docs.google.com/spreadsheets/d/1-uDff_7J0KD5mKrp0Vvzr7lt3OU09vwQwhkpOPPYv2Y/edit?usp=sharing"",""งบพรบ!CB55"")"),0)</f>
        <v>0</v>
      </c>
      <c r="F55" s="151">
        <f ca="1">IFERROR(__xludf.DUMMYFUNCTION("IMPORTRANGE(""https://docs.google.com/spreadsheets/d/1-uDff_7J0KD5mKrp0Vvzr7lt3OU09vwQwhkpOPPYv2Y/edit?usp=sharing"",""งบพรบ!CC55"")"),4500)</f>
        <v>4500</v>
      </c>
      <c r="G55" s="151">
        <f ca="1">IFERROR(__xludf.DUMMYFUNCTION("IMPORTRANGE(""https://docs.google.com/spreadsheets/d/1-uDff_7J0KD5mKrp0Vvzr7lt3OU09vwQwhkpOPPYv2Y/edit?usp=sharing"",""งบพรบ!CD55"")"),0)</f>
        <v>0</v>
      </c>
      <c r="H55" s="151">
        <f ca="1">IFERROR(__xludf.DUMMYFUNCTION("IMPORTRANGE(""https://docs.google.com/spreadsheets/d/1-uDff_7J0KD5mKrp0Vvzr7lt3OU09vwQwhkpOPPYv2Y/edit?usp=sharing"",""งบพรบ!CF55"")"),140330)</f>
        <v>140330</v>
      </c>
      <c r="I55" s="151">
        <f ca="1">IFERROR(__xludf.DUMMYFUNCTION("IMPORTRANGE(""https://docs.google.com/spreadsheets/d/1-uDff_7J0KD5mKrp0Vvzr7lt3OU09vwQwhkpOPPYv2Y/edit?usp=sharing"",""งบพรบ!CG55"")"),0)</f>
        <v>0</v>
      </c>
      <c r="J55" s="151">
        <f t="shared" ca="1" si="27"/>
        <v>127910</v>
      </c>
      <c r="K55" s="154">
        <f t="shared" ca="1" si="28"/>
        <v>2842.4444444444443</v>
      </c>
      <c r="L55" s="151">
        <f ca="1">IFERROR(__xludf.DUMMYFUNCTION("IMPORTRANGE(""https://docs.google.com/spreadsheets/d/1-uDff_7J0KD5mKrp0Vvzr7lt3OU09vwQwhkpOPPYv2Y/edit?usp=sharing"",""งบพรบ!CH55"")"),127910)</f>
        <v>127910</v>
      </c>
      <c r="M55" s="68">
        <f t="shared" ca="1" si="29"/>
        <v>2842.4444444444443</v>
      </c>
      <c r="N55" s="68">
        <f t="shared" ca="1" si="30"/>
        <v>91.149433478229881</v>
      </c>
      <c r="O55" s="67">
        <f ca="1">IFERROR(__xludf.DUMMYFUNCTION("IMPORTRANGE(""https://docs.google.com/spreadsheets/d/1-uDff_7J0KD5mKrp0Vvzr7lt3OU09vwQwhkpOPPYv2Y/edit?usp=sharing"",""งบพรบ!CI55"")"),0)</f>
        <v>0</v>
      </c>
      <c r="P55" s="67">
        <f t="shared" ca="1" si="31"/>
        <v>0</v>
      </c>
      <c r="Q55" s="68">
        <f t="shared" ca="1" si="32"/>
        <v>0</v>
      </c>
      <c r="R55" s="197">
        <f ca="1">IFERROR(__xludf.DUMMYFUNCTION("IMPORTRANGE(""https://docs.google.com/spreadsheets/d/1T1PQvRODqOBZk8BRht_U031fIS1beLA0Ub2CEytj2q0/edit?usp=sharing"",""ฉะเชิงเทรา!Q157"")"),0)</f>
        <v>0</v>
      </c>
      <c r="S55" s="67">
        <f ca="1">IFERROR(__xludf.DUMMYFUNCTION("IMPORTRANGE(""https://docs.google.com/spreadsheets/d/1T1PQvRODqOBZk8BRht_U031fIS1beLA0Ub2CEytj2q0/edit?usp=sharing"",""ฉะเชิงเทรา!R157"")"),0)</f>
        <v>0</v>
      </c>
      <c r="T55" s="67">
        <f ca="1">IFERROR(__xludf.DUMMYFUNCTION("IMPORTRANGE(""https://docs.google.com/spreadsheets/d/1T1PQvRODqOBZk8BRht_U031fIS1beLA0Ub2CEytj2q0/edit?usp=sharing"",""ฉะเชิงเทรา!S157"")"),0)</f>
        <v>0</v>
      </c>
      <c r="U55" s="68">
        <f t="shared" ca="1" si="34"/>
        <v>0</v>
      </c>
      <c r="V55" s="68">
        <f t="shared" ca="1" si="35"/>
        <v>0</v>
      </c>
      <c r="W55" s="78">
        <f ca="1">IFERROR(__xludf.DUMMYFUNCTION("IMPORTRANGE(""https://docs.google.com/spreadsheets/d/1T1PQvRODqOBZk8BRht_U031fIS1beLA0Ub2CEytj2q0/edit?usp=sharing"",""ฉะเชิงเทรา!I167"")"),15)</f>
        <v>15</v>
      </c>
      <c r="X55" s="78">
        <f ca="1">IFERROR(__xludf.DUMMYFUNCTION("IMPORTRANGE(""https://docs.google.com/spreadsheets/d/1T1PQvRODqOBZk8BRht_U031fIS1beLA0Ub2CEytj2q0/edit?usp=sharing"",""ฉะเชิงเทรา!J167"")"),21)</f>
        <v>21</v>
      </c>
      <c r="Y55" s="79">
        <f t="shared" ca="1" si="37"/>
        <v>140</v>
      </c>
      <c r="Z55" s="78"/>
      <c r="AA55" s="78"/>
      <c r="AB55" s="79"/>
      <c r="AC55" s="78"/>
      <c r="AD55" s="78"/>
      <c r="AE55" s="79"/>
    </row>
    <row r="56" spans="1:31" ht="21" customHeight="1" x14ac:dyDescent="0.3">
      <c r="A56" s="70">
        <v>4</v>
      </c>
      <c r="B56" s="71" t="s">
        <v>84</v>
      </c>
      <c r="C56" s="149">
        <f t="shared" ca="1" si="25"/>
        <v>0</v>
      </c>
      <c r="D56" s="150">
        <f t="shared" ca="1" si="46"/>
        <v>0</v>
      </c>
      <c r="E56" s="151">
        <f ca="1">IFERROR(__xludf.DUMMYFUNCTION("IMPORTRANGE(""https://docs.google.com/spreadsheets/d/1-uDff_7J0KD5mKrp0Vvzr7lt3OU09vwQwhkpOPPYv2Y/edit?usp=sharing"",""งบพรบ!CB56"")"),0)</f>
        <v>0</v>
      </c>
      <c r="F56" s="151">
        <f ca="1">IFERROR(__xludf.DUMMYFUNCTION("IMPORTRANGE(""https://docs.google.com/spreadsheets/d/1-uDff_7J0KD5mKrp0Vvzr7lt3OU09vwQwhkpOPPYv2Y/edit?usp=sharing"",""งบพรบ!CC56"")"),0)</f>
        <v>0</v>
      </c>
      <c r="G56" s="151">
        <f ca="1">IFERROR(__xludf.DUMMYFUNCTION("IMPORTRANGE(""https://docs.google.com/spreadsheets/d/1-uDff_7J0KD5mKrp0Vvzr7lt3OU09vwQwhkpOPPYv2Y/edit?usp=sharing"",""งบพรบ!CD56"")"),0)</f>
        <v>0</v>
      </c>
      <c r="H56" s="151">
        <f ca="1">IFERROR(__xludf.DUMMYFUNCTION("IMPORTRANGE(""https://docs.google.com/spreadsheets/d/1-uDff_7J0KD5mKrp0Vvzr7lt3OU09vwQwhkpOPPYv2Y/edit?usp=sharing"",""งบพรบ!CF56"")"),2043)</f>
        <v>2043</v>
      </c>
      <c r="I56" s="151">
        <f ca="1">IFERROR(__xludf.DUMMYFUNCTION("IMPORTRANGE(""https://docs.google.com/spreadsheets/d/1-uDff_7J0KD5mKrp0Vvzr7lt3OU09vwQwhkpOPPYv2Y/edit?usp=sharing"",""งบพรบ!CG56"")"),0)</f>
        <v>0</v>
      </c>
      <c r="J56" s="151">
        <f t="shared" ca="1" si="27"/>
        <v>2043</v>
      </c>
      <c r="K56" s="154">
        <f t="shared" ca="1" si="28"/>
        <v>0</v>
      </c>
      <c r="L56" s="151">
        <f ca="1">IFERROR(__xludf.DUMMYFUNCTION("IMPORTRANGE(""https://docs.google.com/spreadsheets/d/1-uDff_7J0KD5mKrp0Vvzr7lt3OU09vwQwhkpOPPYv2Y/edit?usp=sharing"",""งบพรบ!CH56"")"),2043)</f>
        <v>2043</v>
      </c>
      <c r="M56" s="68">
        <f t="shared" ca="1" si="29"/>
        <v>0</v>
      </c>
      <c r="N56" s="68">
        <f t="shared" ca="1" si="30"/>
        <v>100</v>
      </c>
      <c r="O56" s="67">
        <f ca="1">IFERROR(__xludf.DUMMYFUNCTION("IMPORTRANGE(""https://docs.google.com/spreadsheets/d/1-uDff_7J0KD5mKrp0Vvzr7lt3OU09vwQwhkpOPPYv2Y/edit?usp=sharing"",""งบพรบ!CI56"")"),0)</f>
        <v>0</v>
      </c>
      <c r="P56" s="67">
        <f t="shared" ca="1" si="31"/>
        <v>0</v>
      </c>
      <c r="Q56" s="68">
        <f t="shared" ca="1" si="32"/>
        <v>0</v>
      </c>
      <c r="R56" s="197">
        <f ca="1">IFERROR(__xludf.DUMMYFUNCTION("IMPORTRANGE(""https://docs.google.com/spreadsheets/d/11tr1B-Bhyr79v2bkwVh5h_fR-PStkgjlZtkrZpYurG0/edit?usp=sharing"",""ชลบุรี!Q157"")"),0)</f>
        <v>0</v>
      </c>
      <c r="S56" s="67">
        <f ca="1">IFERROR(__xludf.DUMMYFUNCTION("IMPORTRANGE(""https://docs.google.com/spreadsheets/d/11tr1B-Bhyr79v2bkwVh5h_fR-PStkgjlZtkrZpYurG0/edit?usp=sharing"",""ชลบุรี!R157"")"),0)</f>
        <v>0</v>
      </c>
      <c r="T56" s="67">
        <f ca="1">IFERROR(__xludf.DUMMYFUNCTION("IMPORTRANGE(""https://docs.google.com/spreadsheets/d/11tr1B-Bhyr79v2bkwVh5h_fR-PStkgjlZtkrZpYurG0/edit?usp=sharing"",""ชลบุรี!S157"")"),0)</f>
        <v>0</v>
      </c>
      <c r="U56" s="68">
        <f t="shared" ca="1" si="34"/>
        <v>0</v>
      </c>
      <c r="V56" s="68">
        <f t="shared" ca="1" si="35"/>
        <v>0</v>
      </c>
      <c r="W56" s="78">
        <f ca="1">IFERROR(__xludf.DUMMYFUNCTION("IMPORTRANGE(""https://docs.google.com/spreadsheets/d/11tr1B-Bhyr79v2bkwVh5h_fR-PStkgjlZtkrZpYurG0/edit?usp=sharing"",""ชลบุรี!I167"")"),0)</f>
        <v>0</v>
      </c>
      <c r="X56" s="78">
        <f ca="1">IFERROR(__xludf.DUMMYFUNCTION("IMPORTRANGE(""https://docs.google.com/spreadsheets/d/11tr1B-Bhyr79v2bkwVh5h_fR-PStkgjlZtkrZpYurG0/edit?usp=sharing"",""ชลบุรี!J167"")"),0)</f>
        <v>0</v>
      </c>
      <c r="Y56" s="79">
        <f t="shared" ca="1" si="37"/>
        <v>0</v>
      </c>
      <c r="Z56" s="78"/>
      <c r="AA56" s="78"/>
      <c r="AB56" s="79"/>
      <c r="AC56" s="78"/>
      <c r="AD56" s="78"/>
      <c r="AE56" s="79"/>
    </row>
    <row r="57" spans="1:31" ht="21" customHeight="1" x14ac:dyDescent="0.3">
      <c r="A57" s="70">
        <v>5</v>
      </c>
      <c r="B57" s="71" t="s">
        <v>85</v>
      </c>
      <c r="C57" s="149">
        <f t="shared" ca="1" si="25"/>
        <v>4500</v>
      </c>
      <c r="D57" s="150">
        <f t="shared" ca="1" si="46"/>
        <v>4500</v>
      </c>
      <c r="E57" s="151">
        <f ca="1">IFERROR(__xludf.DUMMYFUNCTION("IMPORTRANGE(""https://docs.google.com/spreadsheets/d/1-uDff_7J0KD5mKrp0Vvzr7lt3OU09vwQwhkpOPPYv2Y/edit?usp=sharing"",""งบพรบ!CB57"")"),0)</f>
        <v>0</v>
      </c>
      <c r="F57" s="151">
        <f ca="1">IFERROR(__xludf.DUMMYFUNCTION("IMPORTRANGE(""https://docs.google.com/spreadsheets/d/1-uDff_7J0KD5mKrp0Vvzr7lt3OU09vwQwhkpOPPYv2Y/edit?usp=sharing"",""งบพรบ!CC57"")"),4500)</f>
        <v>4500</v>
      </c>
      <c r="G57" s="151">
        <f ca="1">IFERROR(__xludf.DUMMYFUNCTION("IMPORTRANGE(""https://docs.google.com/spreadsheets/d/1-uDff_7J0KD5mKrp0Vvzr7lt3OU09vwQwhkpOPPYv2Y/edit?usp=sharing"",""งบพรบ!CD57"")"),0)</f>
        <v>0</v>
      </c>
      <c r="H57" s="151">
        <f ca="1">IFERROR(__xludf.DUMMYFUNCTION("IMPORTRANGE(""https://docs.google.com/spreadsheets/d/1-uDff_7J0KD5mKrp0Vvzr7lt3OU09vwQwhkpOPPYv2Y/edit?usp=sharing"",""งบพรบ!CF57"")"),216810)</f>
        <v>216810</v>
      </c>
      <c r="I57" s="151">
        <f ca="1">IFERROR(__xludf.DUMMYFUNCTION("IMPORTRANGE(""https://docs.google.com/spreadsheets/d/1-uDff_7J0KD5mKrp0Vvzr7lt3OU09vwQwhkpOPPYv2Y/edit?usp=sharing"",""งบพรบ!CG57"")"),0)</f>
        <v>0</v>
      </c>
      <c r="J57" s="151">
        <f t="shared" ca="1" si="27"/>
        <v>184510</v>
      </c>
      <c r="K57" s="154">
        <f t="shared" ca="1" si="28"/>
        <v>4100.2222222222226</v>
      </c>
      <c r="L57" s="151">
        <f ca="1">IFERROR(__xludf.DUMMYFUNCTION("IMPORTRANGE(""https://docs.google.com/spreadsheets/d/1-uDff_7J0KD5mKrp0Vvzr7lt3OU09vwQwhkpOPPYv2Y/edit?usp=sharing"",""งบพรบ!CH57"")"),184510)</f>
        <v>184510</v>
      </c>
      <c r="M57" s="68">
        <f t="shared" ca="1" si="29"/>
        <v>4100.2222222222226</v>
      </c>
      <c r="N57" s="68">
        <f t="shared" ca="1" si="30"/>
        <v>85.102163184354964</v>
      </c>
      <c r="O57" s="67">
        <f ca="1">IFERROR(__xludf.DUMMYFUNCTION("IMPORTRANGE(""https://docs.google.com/spreadsheets/d/1-uDff_7J0KD5mKrp0Vvzr7lt3OU09vwQwhkpOPPYv2Y/edit?usp=sharing"",""งบพรบ!CI57"")"),0)</f>
        <v>0</v>
      </c>
      <c r="P57" s="67">
        <f t="shared" ca="1" si="31"/>
        <v>0</v>
      </c>
      <c r="Q57" s="68">
        <f t="shared" ca="1" si="32"/>
        <v>0</v>
      </c>
      <c r="R57" s="197">
        <f ca="1">IFERROR(__xludf.DUMMYFUNCTION("IMPORTRANGE(""https://docs.google.com/spreadsheets/d/1hh-FVnSX0vozXhGluamEcS54Dw9_zqW0N7qJUWgJ0Sw/edit?usp=sharing"",""ชัยนาท!Q157"")"),0)</f>
        <v>0</v>
      </c>
      <c r="S57" s="67">
        <f ca="1">IFERROR(__xludf.DUMMYFUNCTION("IMPORTRANGE(""https://docs.google.com/spreadsheets/d/1hh-FVnSX0vozXhGluamEcS54Dw9_zqW0N7qJUWgJ0Sw/edit?usp=sharing"",""ชัยนาท!R157"")"),0)</f>
        <v>0</v>
      </c>
      <c r="T57" s="67">
        <f ca="1">IFERROR(__xludf.DUMMYFUNCTION("IMPORTRANGE(""https://docs.google.com/spreadsheets/d/1hh-FVnSX0vozXhGluamEcS54Dw9_zqW0N7qJUWgJ0Sw/edit?usp=sharing"",""ชัยนาท!S157"")"),0)</f>
        <v>0</v>
      </c>
      <c r="U57" s="68">
        <f t="shared" ca="1" si="34"/>
        <v>0</v>
      </c>
      <c r="V57" s="68">
        <f t="shared" ca="1" si="35"/>
        <v>0</v>
      </c>
      <c r="W57" s="78">
        <f ca="1">IFERROR(__xludf.DUMMYFUNCTION("IMPORTRANGE(""https://docs.google.com/spreadsheets/d/1hh-FVnSX0vozXhGluamEcS54Dw9_zqW0N7qJUWgJ0Sw/edit?usp=sharing"",""ชัยนาท!I167"")"),15)</f>
        <v>15</v>
      </c>
      <c r="X57" s="78">
        <f ca="1">IFERROR(__xludf.DUMMYFUNCTION("IMPORTRANGE(""https://docs.google.com/spreadsheets/d/1hh-FVnSX0vozXhGluamEcS54Dw9_zqW0N7qJUWgJ0Sw/edit?usp=sharing"",""ชัยนาท!J167"")"),15)</f>
        <v>15</v>
      </c>
      <c r="Y57" s="79">
        <f t="shared" ca="1" si="37"/>
        <v>100</v>
      </c>
      <c r="Z57" s="78"/>
      <c r="AA57" s="78"/>
      <c r="AB57" s="79"/>
      <c r="AC57" s="78"/>
      <c r="AD57" s="78"/>
      <c r="AE57" s="79"/>
    </row>
    <row r="58" spans="1:31" ht="21" customHeight="1" x14ac:dyDescent="0.3">
      <c r="A58" s="70">
        <v>6</v>
      </c>
      <c r="B58" s="71" t="s">
        <v>86</v>
      </c>
      <c r="C58" s="149">
        <f t="shared" ca="1" si="25"/>
        <v>0</v>
      </c>
      <c r="D58" s="150">
        <f t="shared" ca="1" si="46"/>
        <v>0</v>
      </c>
      <c r="E58" s="151">
        <f ca="1">IFERROR(__xludf.DUMMYFUNCTION("IMPORTRANGE(""https://docs.google.com/spreadsheets/d/1-uDff_7J0KD5mKrp0Vvzr7lt3OU09vwQwhkpOPPYv2Y/edit?usp=sharing"",""งบพรบ!CB58"")"),0)</f>
        <v>0</v>
      </c>
      <c r="F58" s="151">
        <f ca="1">IFERROR(__xludf.DUMMYFUNCTION("IMPORTRANGE(""https://docs.google.com/spreadsheets/d/1-uDff_7J0KD5mKrp0Vvzr7lt3OU09vwQwhkpOPPYv2Y/edit?usp=sharing"",""งบพรบ!CC58"")"),0)</f>
        <v>0</v>
      </c>
      <c r="G58" s="151">
        <f ca="1">IFERROR(__xludf.DUMMYFUNCTION("IMPORTRANGE(""https://docs.google.com/spreadsheets/d/1-uDff_7J0KD5mKrp0Vvzr7lt3OU09vwQwhkpOPPYv2Y/edit?usp=sharing"",""งบพรบ!CD58"")"),0)</f>
        <v>0</v>
      </c>
      <c r="H58" s="151">
        <f ca="1">IFERROR(__xludf.DUMMYFUNCTION("IMPORTRANGE(""https://docs.google.com/spreadsheets/d/1-uDff_7J0KD5mKrp0Vvzr7lt3OU09vwQwhkpOPPYv2Y/edit?usp=sharing"",""งบพรบ!CF58"")"),0)</f>
        <v>0</v>
      </c>
      <c r="I58" s="151">
        <f ca="1">IFERROR(__xludf.DUMMYFUNCTION("IMPORTRANGE(""https://docs.google.com/spreadsheets/d/1-uDff_7J0KD5mKrp0Vvzr7lt3OU09vwQwhkpOPPYv2Y/edit?usp=sharing"",""งบพรบ!CG58"")"),0)</f>
        <v>0</v>
      </c>
      <c r="J58" s="151">
        <f t="shared" ca="1" si="27"/>
        <v>0</v>
      </c>
      <c r="K58" s="154">
        <f t="shared" ca="1" si="28"/>
        <v>0</v>
      </c>
      <c r="L58" s="151">
        <f ca="1">IFERROR(__xludf.DUMMYFUNCTION("IMPORTRANGE(""https://docs.google.com/spreadsheets/d/1-uDff_7J0KD5mKrp0Vvzr7lt3OU09vwQwhkpOPPYv2Y/edit?usp=sharing"",""งบพรบ!CH58"")"),0)</f>
        <v>0</v>
      </c>
      <c r="M58" s="68">
        <f t="shared" ca="1" si="29"/>
        <v>0</v>
      </c>
      <c r="N58" s="68">
        <f t="shared" ca="1" si="30"/>
        <v>0</v>
      </c>
      <c r="O58" s="67">
        <f ca="1">IFERROR(__xludf.DUMMYFUNCTION("IMPORTRANGE(""https://docs.google.com/spreadsheets/d/1-uDff_7J0KD5mKrp0Vvzr7lt3OU09vwQwhkpOPPYv2Y/edit?usp=sharing"",""งบพรบ!CI58"")"),0)</f>
        <v>0</v>
      </c>
      <c r="P58" s="67">
        <f t="shared" ca="1" si="31"/>
        <v>0</v>
      </c>
      <c r="Q58" s="68">
        <f t="shared" ca="1" si="32"/>
        <v>0</v>
      </c>
      <c r="R58" s="197">
        <f ca="1">IFERROR(__xludf.DUMMYFUNCTION("IMPORTRANGE(""https://docs.google.com/spreadsheets/d/1jkqa6GXxSacMcY1eN8AHjMNJ_7dDXMJVRLDlaFSOdPM/edit?usp=sharing"",""ตราด!Q157"")"),0)</f>
        <v>0</v>
      </c>
      <c r="S58" s="67">
        <f ca="1">IFERROR(__xludf.DUMMYFUNCTION("IMPORTRANGE(""https://docs.google.com/spreadsheets/d/1jkqa6GXxSacMcY1eN8AHjMNJ_7dDXMJVRLDlaFSOdPM/edit?usp=sharing"",""ตราด!R157"")"),0)</f>
        <v>0</v>
      </c>
      <c r="T58" s="67">
        <f ca="1">IFERROR(__xludf.DUMMYFUNCTION("IMPORTRANGE(""https://docs.google.com/spreadsheets/d/1jkqa6GXxSacMcY1eN8AHjMNJ_7dDXMJVRLDlaFSOdPM/edit?usp=sharing"",""ตราด!S157"")"),0)</f>
        <v>0</v>
      </c>
      <c r="U58" s="68">
        <f t="shared" ca="1" si="34"/>
        <v>0</v>
      </c>
      <c r="V58" s="68">
        <f t="shared" ca="1" si="35"/>
        <v>0</v>
      </c>
      <c r="W58" s="78">
        <f ca="1">IFERROR(__xludf.DUMMYFUNCTION("IMPORTRANGE(""https://docs.google.com/spreadsheets/d/1jkqa6GXxSacMcY1eN8AHjMNJ_7dDXMJVRLDlaFSOdPM/edit?usp=sharing"",""ตราด!I167"")"),0)</f>
        <v>0</v>
      </c>
      <c r="X58" s="78">
        <f ca="1">IFERROR(__xludf.DUMMYFUNCTION("IMPORTRANGE(""https://docs.google.com/spreadsheets/d/1jkqa6GXxSacMcY1eN8AHjMNJ_7dDXMJVRLDlaFSOdPM/edit?usp=sharing"",""ตราด!J167"")"),0)</f>
        <v>0</v>
      </c>
      <c r="Y58" s="79">
        <f t="shared" ca="1" si="37"/>
        <v>0</v>
      </c>
      <c r="Z58" s="78"/>
      <c r="AA58" s="78"/>
      <c r="AB58" s="79"/>
      <c r="AC58" s="78"/>
      <c r="AD58" s="78"/>
      <c r="AE58" s="79"/>
    </row>
    <row r="59" spans="1:31" ht="21" customHeight="1" x14ac:dyDescent="0.3">
      <c r="A59" s="70">
        <v>7</v>
      </c>
      <c r="B59" s="71" t="s">
        <v>87</v>
      </c>
      <c r="C59" s="149">
        <f t="shared" ca="1" si="25"/>
        <v>0</v>
      </c>
      <c r="D59" s="150">
        <f t="shared" ca="1" si="46"/>
        <v>0</v>
      </c>
      <c r="E59" s="151">
        <f ca="1">IFERROR(__xludf.DUMMYFUNCTION("IMPORTRANGE(""https://docs.google.com/spreadsheets/d/1-uDff_7J0KD5mKrp0Vvzr7lt3OU09vwQwhkpOPPYv2Y/edit?usp=sharing"",""งบพรบ!CB59"")"),0)</f>
        <v>0</v>
      </c>
      <c r="F59" s="151">
        <f ca="1">IFERROR(__xludf.DUMMYFUNCTION("IMPORTRANGE(""https://docs.google.com/spreadsheets/d/1-uDff_7J0KD5mKrp0Vvzr7lt3OU09vwQwhkpOPPYv2Y/edit?usp=sharing"",""งบพรบ!CC59"")"),0)</f>
        <v>0</v>
      </c>
      <c r="G59" s="151">
        <f ca="1">IFERROR(__xludf.DUMMYFUNCTION("IMPORTRANGE(""https://docs.google.com/spreadsheets/d/1-uDff_7J0KD5mKrp0Vvzr7lt3OU09vwQwhkpOPPYv2Y/edit?usp=sharing"",""งบพรบ!CD59"")"),0)</f>
        <v>0</v>
      </c>
      <c r="H59" s="151">
        <f ca="1">IFERROR(__xludf.DUMMYFUNCTION("IMPORTRANGE(""https://docs.google.com/spreadsheets/d/1-uDff_7J0KD5mKrp0Vvzr7lt3OU09vwQwhkpOPPYv2Y/edit?usp=sharing"",""งบพรบ!CF59"")"),36560)</f>
        <v>36560</v>
      </c>
      <c r="I59" s="151">
        <f ca="1">IFERROR(__xludf.DUMMYFUNCTION("IMPORTRANGE(""https://docs.google.com/spreadsheets/d/1-uDff_7J0KD5mKrp0Vvzr7lt3OU09vwQwhkpOPPYv2Y/edit?usp=sharing"",""งบพรบ!CG59"")"),0)</f>
        <v>0</v>
      </c>
      <c r="J59" s="151">
        <f t="shared" ca="1" si="27"/>
        <v>17590</v>
      </c>
      <c r="K59" s="154">
        <f t="shared" ca="1" si="28"/>
        <v>0</v>
      </c>
      <c r="L59" s="151">
        <f ca="1">IFERROR(__xludf.DUMMYFUNCTION("IMPORTRANGE(""https://docs.google.com/spreadsheets/d/1-uDff_7J0KD5mKrp0Vvzr7lt3OU09vwQwhkpOPPYv2Y/edit?usp=sharing"",""งบพรบ!CH59"")"),17590)</f>
        <v>17590</v>
      </c>
      <c r="M59" s="68">
        <f t="shared" ca="1" si="29"/>
        <v>0</v>
      </c>
      <c r="N59" s="68">
        <f t="shared" ca="1" si="30"/>
        <v>48.112691466083149</v>
      </c>
      <c r="O59" s="67">
        <f ca="1">IFERROR(__xludf.DUMMYFUNCTION("IMPORTRANGE(""https://docs.google.com/spreadsheets/d/1-uDff_7J0KD5mKrp0Vvzr7lt3OU09vwQwhkpOPPYv2Y/edit?usp=sharing"",""งบพรบ!CI59"")"),0)</f>
        <v>0</v>
      </c>
      <c r="P59" s="67">
        <f t="shared" ca="1" si="31"/>
        <v>0</v>
      </c>
      <c r="Q59" s="68">
        <f t="shared" ca="1" si="32"/>
        <v>0</v>
      </c>
      <c r="R59" s="197">
        <f ca="1">IFERROR(__xludf.DUMMYFUNCTION("IMPORTRANGE(""https://docs.google.com/spreadsheets/d/18hSgUJ3VwClqi_qtULmmW3cLr0oe3OKaSYoKzdpTsYQ/edit?usp=sharing"",""นครนายก!Q157"")"),0)</f>
        <v>0</v>
      </c>
      <c r="S59" s="67">
        <f ca="1">IFERROR(__xludf.DUMMYFUNCTION("IMPORTRANGE(""https://docs.google.com/spreadsheets/d/18hSgUJ3VwClqi_qtULmmW3cLr0oe3OKaSYoKzdpTsYQ/edit?usp=sharing"",""นครนายก!R157"")"),0)</f>
        <v>0</v>
      </c>
      <c r="T59" s="67">
        <f ca="1">IFERROR(__xludf.DUMMYFUNCTION("IMPORTRANGE(""https://docs.google.com/spreadsheets/d/18hSgUJ3VwClqi_qtULmmW3cLr0oe3OKaSYoKzdpTsYQ/edit?usp=sharing"",""นครนายก!S157"")"),0)</f>
        <v>0</v>
      </c>
      <c r="U59" s="68">
        <f t="shared" ca="1" si="34"/>
        <v>0</v>
      </c>
      <c r="V59" s="68">
        <f t="shared" ca="1" si="35"/>
        <v>0</v>
      </c>
      <c r="W59" s="78">
        <f ca="1">IFERROR(__xludf.DUMMYFUNCTION("IMPORTRANGE(""https://docs.google.com/spreadsheets/d/18hSgUJ3VwClqi_qtULmmW3cLr0oe3OKaSYoKzdpTsYQ/edit?usp=sharing"",""นครนายก!I167"")"),0)</f>
        <v>0</v>
      </c>
      <c r="X59" s="78">
        <f ca="1">IFERROR(__xludf.DUMMYFUNCTION("IMPORTRANGE(""https://docs.google.com/spreadsheets/d/18hSgUJ3VwClqi_qtULmmW3cLr0oe3OKaSYoKzdpTsYQ/edit?usp=sharing"",""นครนายก!J167"")"),0)</f>
        <v>0</v>
      </c>
      <c r="Y59" s="79">
        <f t="shared" ca="1" si="37"/>
        <v>0</v>
      </c>
      <c r="Z59" s="78"/>
      <c r="AA59" s="78"/>
      <c r="AB59" s="79"/>
      <c r="AC59" s="78"/>
      <c r="AD59" s="78"/>
      <c r="AE59" s="79"/>
    </row>
    <row r="60" spans="1:31" ht="21" customHeight="1" x14ac:dyDescent="0.3">
      <c r="A60" s="70">
        <v>8</v>
      </c>
      <c r="B60" s="71" t="s">
        <v>88</v>
      </c>
      <c r="C60" s="149">
        <f t="shared" ca="1" si="25"/>
        <v>0</v>
      </c>
      <c r="D60" s="150">
        <f t="shared" ca="1" si="46"/>
        <v>0</v>
      </c>
      <c r="E60" s="151">
        <f ca="1">IFERROR(__xludf.DUMMYFUNCTION("IMPORTRANGE(""https://docs.google.com/spreadsheets/d/1-uDff_7J0KD5mKrp0Vvzr7lt3OU09vwQwhkpOPPYv2Y/edit?usp=sharing"",""งบพรบ!CB60"")"),0)</f>
        <v>0</v>
      </c>
      <c r="F60" s="151">
        <f ca="1">IFERROR(__xludf.DUMMYFUNCTION("IMPORTRANGE(""https://docs.google.com/spreadsheets/d/1-uDff_7J0KD5mKrp0Vvzr7lt3OU09vwQwhkpOPPYv2Y/edit?usp=sharing"",""งบพรบ!CC60"")"),0)</f>
        <v>0</v>
      </c>
      <c r="G60" s="151">
        <f ca="1">IFERROR(__xludf.DUMMYFUNCTION("IMPORTRANGE(""https://docs.google.com/spreadsheets/d/1-uDff_7J0KD5mKrp0Vvzr7lt3OU09vwQwhkpOPPYv2Y/edit?usp=sharing"",""งบพรบ!CD60"")"),0)</f>
        <v>0</v>
      </c>
      <c r="H60" s="151">
        <f ca="1">IFERROR(__xludf.DUMMYFUNCTION("IMPORTRANGE(""https://docs.google.com/spreadsheets/d/1-uDff_7J0KD5mKrp0Vvzr7lt3OU09vwQwhkpOPPYv2Y/edit?usp=sharing"",""งบพรบ!CF60"")"),0)</f>
        <v>0</v>
      </c>
      <c r="I60" s="151">
        <f ca="1">IFERROR(__xludf.DUMMYFUNCTION("IMPORTRANGE(""https://docs.google.com/spreadsheets/d/1-uDff_7J0KD5mKrp0Vvzr7lt3OU09vwQwhkpOPPYv2Y/edit?usp=sharing"",""งบพรบ!CG60"")"),0)</f>
        <v>0</v>
      </c>
      <c r="J60" s="151">
        <f t="shared" ca="1" si="27"/>
        <v>0</v>
      </c>
      <c r="K60" s="154">
        <f t="shared" ca="1" si="28"/>
        <v>0</v>
      </c>
      <c r="L60" s="151">
        <f ca="1">IFERROR(__xludf.DUMMYFUNCTION("IMPORTRANGE(""https://docs.google.com/spreadsheets/d/1-uDff_7J0KD5mKrp0Vvzr7lt3OU09vwQwhkpOPPYv2Y/edit?usp=sharing"",""งบพรบ!CH60"")"),0)</f>
        <v>0</v>
      </c>
      <c r="M60" s="68">
        <f t="shared" ca="1" si="29"/>
        <v>0</v>
      </c>
      <c r="N60" s="68">
        <f t="shared" ca="1" si="30"/>
        <v>0</v>
      </c>
      <c r="O60" s="67">
        <f ca="1">IFERROR(__xludf.DUMMYFUNCTION("IMPORTRANGE(""https://docs.google.com/spreadsheets/d/1-uDff_7J0KD5mKrp0Vvzr7lt3OU09vwQwhkpOPPYv2Y/edit?usp=sharing"",""งบพรบ!CI60"")"),0)</f>
        <v>0</v>
      </c>
      <c r="P60" s="67">
        <f t="shared" ca="1" si="31"/>
        <v>0</v>
      </c>
      <c r="Q60" s="68">
        <f t="shared" ca="1" si="32"/>
        <v>0</v>
      </c>
      <c r="R60" s="197">
        <f ca="1">IFERROR(__xludf.DUMMYFUNCTION("IMPORTRANGE(""https://docs.google.com/spreadsheets/d/1YTZo6WM2dQ6Ix6FSdnL5P7uVnVKu40sxZu975tgG10E/edit?usp=sharing"",""นครปฐม!Q157"")"),0)</f>
        <v>0</v>
      </c>
      <c r="S60" s="67">
        <f ca="1">IFERROR(__xludf.DUMMYFUNCTION("IMPORTRANGE(""https://docs.google.com/spreadsheets/d/1YTZo6WM2dQ6Ix6FSdnL5P7uVnVKu40sxZu975tgG10E/edit?usp=sharing"",""นครปฐม!R157"")"),0)</f>
        <v>0</v>
      </c>
      <c r="T60" s="67">
        <f ca="1">IFERROR(__xludf.DUMMYFUNCTION("IMPORTRANGE(""https://docs.google.com/spreadsheets/d/1YTZo6WM2dQ6Ix6FSdnL5P7uVnVKu40sxZu975tgG10E/edit?usp=sharing"",""นครปฐม!S157"")"),0)</f>
        <v>0</v>
      </c>
      <c r="U60" s="68">
        <f t="shared" ca="1" si="34"/>
        <v>0</v>
      </c>
      <c r="V60" s="68">
        <f t="shared" ca="1" si="35"/>
        <v>0</v>
      </c>
      <c r="W60" s="78">
        <f ca="1">IFERROR(__xludf.DUMMYFUNCTION("IMPORTRANGE(""https://docs.google.com/spreadsheets/d/1YTZo6WM2dQ6Ix6FSdnL5P7uVnVKu40sxZu975tgG10E/edit?usp=sharing"",""นครปฐม!I167"")"),0)</f>
        <v>0</v>
      </c>
      <c r="X60" s="78">
        <f ca="1">IFERROR(__xludf.DUMMYFUNCTION("IMPORTRANGE(""https://docs.google.com/spreadsheets/d/1YTZo6WM2dQ6Ix6FSdnL5P7uVnVKu40sxZu975tgG10E/edit?usp=sharing"",""นครปฐม!J167"")"),0)</f>
        <v>0</v>
      </c>
      <c r="Y60" s="79">
        <f t="shared" ca="1" si="37"/>
        <v>0</v>
      </c>
      <c r="Z60" s="78"/>
      <c r="AA60" s="78"/>
      <c r="AB60" s="79"/>
      <c r="AC60" s="78"/>
      <c r="AD60" s="78"/>
      <c r="AE60" s="79"/>
    </row>
    <row r="61" spans="1:31" ht="21" customHeight="1" x14ac:dyDescent="0.3">
      <c r="A61" s="70">
        <v>9</v>
      </c>
      <c r="B61" s="71" t="s">
        <v>89</v>
      </c>
      <c r="C61" s="149">
        <f t="shared" ca="1" si="25"/>
        <v>0</v>
      </c>
      <c r="D61" s="150">
        <f t="shared" ca="1" si="46"/>
        <v>0</v>
      </c>
      <c r="E61" s="151">
        <f ca="1">IFERROR(__xludf.DUMMYFUNCTION("IMPORTRANGE(""https://docs.google.com/spreadsheets/d/1-uDff_7J0KD5mKrp0Vvzr7lt3OU09vwQwhkpOPPYv2Y/edit?usp=sharing"",""งบพรบ!CB61"")"),0)</f>
        <v>0</v>
      </c>
      <c r="F61" s="151">
        <f ca="1">IFERROR(__xludf.DUMMYFUNCTION("IMPORTRANGE(""https://docs.google.com/spreadsheets/d/1-uDff_7J0KD5mKrp0Vvzr7lt3OU09vwQwhkpOPPYv2Y/edit?usp=sharing"",""งบพรบ!CC61"")"),0)</f>
        <v>0</v>
      </c>
      <c r="G61" s="151">
        <f ca="1">IFERROR(__xludf.DUMMYFUNCTION("IMPORTRANGE(""https://docs.google.com/spreadsheets/d/1-uDff_7J0KD5mKrp0Vvzr7lt3OU09vwQwhkpOPPYv2Y/edit?usp=sharing"",""งบพรบ!CD61"")"),0)</f>
        <v>0</v>
      </c>
      <c r="H61" s="151">
        <f ca="1">IFERROR(__xludf.DUMMYFUNCTION("IMPORTRANGE(""https://docs.google.com/spreadsheets/d/1-uDff_7J0KD5mKrp0Vvzr7lt3OU09vwQwhkpOPPYv2Y/edit?usp=sharing"",""งบพรบ!CF61"")"),2442)</f>
        <v>2442</v>
      </c>
      <c r="I61" s="151">
        <f ca="1">IFERROR(__xludf.DUMMYFUNCTION("IMPORTRANGE(""https://docs.google.com/spreadsheets/d/1-uDff_7J0KD5mKrp0Vvzr7lt3OU09vwQwhkpOPPYv2Y/edit?usp=sharing"",""งบพรบ!CG61"")"),0)</f>
        <v>0</v>
      </c>
      <c r="J61" s="151">
        <f t="shared" ca="1" si="27"/>
        <v>2442</v>
      </c>
      <c r="K61" s="154">
        <f t="shared" ca="1" si="28"/>
        <v>0</v>
      </c>
      <c r="L61" s="151">
        <f ca="1">IFERROR(__xludf.DUMMYFUNCTION("IMPORTRANGE(""https://docs.google.com/spreadsheets/d/1-uDff_7J0KD5mKrp0Vvzr7lt3OU09vwQwhkpOPPYv2Y/edit?usp=sharing"",""งบพรบ!CH61"")"),2442)</f>
        <v>2442</v>
      </c>
      <c r="M61" s="68">
        <f t="shared" ca="1" si="29"/>
        <v>0</v>
      </c>
      <c r="N61" s="68">
        <f t="shared" ca="1" si="30"/>
        <v>100</v>
      </c>
      <c r="O61" s="67">
        <f ca="1">IFERROR(__xludf.DUMMYFUNCTION("IMPORTRANGE(""https://docs.google.com/spreadsheets/d/1-uDff_7J0KD5mKrp0Vvzr7lt3OU09vwQwhkpOPPYv2Y/edit?usp=sharing"",""งบพรบ!CI61"")"),0)</f>
        <v>0</v>
      </c>
      <c r="P61" s="67">
        <f t="shared" ca="1" si="31"/>
        <v>0</v>
      </c>
      <c r="Q61" s="68">
        <f t="shared" ca="1" si="32"/>
        <v>0</v>
      </c>
      <c r="R61" s="197">
        <f ca="1">IFERROR(__xludf.DUMMYFUNCTION("IMPORTRANGE(""https://docs.google.com/spreadsheets/d/1OYoGg4WDg5RIzwGeB10padOxJF9E_Vljuvvct_M7RDo/edit?usp=sharing"",""ปทุมธานี!Q157"")"),0)</f>
        <v>0</v>
      </c>
      <c r="S61" s="67">
        <f ca="1">IFERROR(__xludf.DUMMYFUNCTION("IMPORTRANGE(""https://docs.google.com/spreadsheets/d/1OYoGg4WDg5RIzwGeB10padOxJF9E_Vljuvvct_M7RDo/edit?usp=sharing"",""ปทุมธานี!R157"")"),0)</f>
        <v>0</v>
      </c>
      <c r="T61" s="67">
        <f ca="1">IFERROR(__xludf.DUMMYFUNCTION("IMPORTRANGE(""https://docs.google.com/spreadsheets/d/1OYoGg4WDg5RIzwGeB10padOxJF9E_Vljuvvct_M7RDo/edit?usp=sharing"",""ปทุมธานี!S157"")"),0)</f>
        <v>0</v>
      </c>
      <c r="U61" s="68">
        <f t="shared" ca="1" si="34"/>
        <v>0</v>
      </c>
      <c r="V61" s="68">
        <f t="shared" ca="1" si="35"/>
        <v>0</v>
      </c>
      <c r="W61" s="78">
        <f ca="1">IFERROR(__xludf.DUMMYFUNCTION("IMPORTRANGE(""https://docs.google.com/spreadsheets/d/1OYoGg4WDg5RIzwGeB10padOxJF9E_Vljuvvct_M7RDo/edit?usp=sharing"",""ปทุมธานี!I167"")"),0)</f>
        <v>0</v>
      </c>
      <c r="X61" s="78">
        <f ca="1">IFERROR(__xludf.DUMMYFUNCTION("IMPORTRANGE(""https://docs.google.com/spreadsheets/d/1OYoGg4WDg5RIzwGeB10padOxJF9E_Vljuvvct_M7RDo/edit?usp=sharing"",""ปทุมธานี!J167"")"),0)</f>
        <v>0</v>
      </c>
      <c r="Y61" s="79">
        <f t="shared" ca="1" si="37"/>
        <v>0</v>
      </c>
      <c r="Z61" s="78"/>
      <c r="AA61" s="78"/>
      <c r="AB61" s="79"/>
      <c r="AC61" s="78"/>
      <c r="AD61" s="78"/>
      <c r="AE61" s="79"/>
    </row>
    <row r="62" spans="1:31" ht="21" customHeight="1" x14ac:dyDescent="0.3">
      <c r="A62" s="70">
        <v>10</v>
      </c>
      <c r="B62" s="71" t="s">
        <v>90</v>
      </c>
      <c r="C62" s="149">
        <f t="shared" ca="1" si="25"/>
        <v>6500</v>
      </c>
      <c r="D62" s="150">
        <f t="shared" ca="1" si="46"/>
        <v>6500</v>
      </c>
      <c r="E62" s="151">
        <f ca="1">IFERROR(__xludf.DUMMYFUNCTION("IMPORTRANGE(""https://docs.google.com/spreadsheets/d/1-uDff_7J0KD5mKrp0Vvzr7lt3OU09vwQwhkpOPPYv2Y/edit?usp=sharing"",""งบพรบ!CB62"")"),0)</f>
        <v>0</v>
      </c>
      <c r="F62" s="151">
        <f ca="1">IFERROR(__xludf.DUMMYFUNCTION("IMPORTRANGE(""https://docs.google.com/spreadsheets/d/1-uDff_7J0KD5mKrp0Vvzr7lt3OU09vwQwhkpOPPYv2Y/edit?usp=sharing"",""งบพรบ!CC62"")"),6500)</f>
        <v>6500</v>
      </c>
      <c r="G62" s="151">
        <f ca="1">IFERROR(__xludf.DUMMYFUNCTION("IMPORTRANGE(""https://docs.google.com/spreadsheets/d/1-uDff_7J0KD5mKrp0Vvzr7lt3OU09vwQwhkpOPPYv2Y/edit?usp=sharing"",""งบพรบ!CD62"")"),0)</f>
        <v>0</v>
      </c>
      <c r="H62" s="151">
        <f ca="1">IFERROR(__xludf.DUMMYFUNCTION("IMPORTRANGE(""https://docs.google.com/spreadsheets/d/1-uDff_7J0KD5mKrp0Vvzr7lt3OU09vwQwhkpOPPYv2Y/edit?usp=sharing"",""งบพรบ!CF62"")"),4250)</f>
        <v>4250</v>
      </c>
      <c r="I62" s="151">
        <f ca="1">IFERROR(__xludf.DUMMYFUNCTION("IMPORTRANGE(""https://docs.google.com/spreadsheets/d/1-uDff_7J0KD5mKrp0Vvzr7lt3OU09vwQwhkpOPPYv2Y/edit?usp=sharing"",""งบพรบ!CG62"")"),0)</f>
        <v>0</v>
      </c>
      <c r="J62" s="151">
        <f t="shared" ca="1" si="27"/>
        <v>4250</v>
      </c>
      <c r="K62" s="154">
        <f t="shared" ca="1" si="28"/>
        <v>65.384615384615387</v>
      </c>
      <c r="L62" s="151">
        <f ca="1">IFERROR(__xludf.DUMMYFUNCTION("IMPORTRANGE(""https://docs.google.com/spreadsheets/d/1-uDff_7J0KD5mKrp0Vvzr7lt3OU09vwQwhkpOPPYv2Y/edit?usp=sharing"",""งบพรบ!CH62"")"),4250)</f>
        <v>4250</v>
      </c>
      <c r="M62" s="68">
        <f t="shared" ca="1" si="29"/>
        <v>65.384615384615387</v>
      </c>
      <c r="N62" s="68">
        <f t="shared" ca="1" si="30"/>
        <v>100</v>
      </c>
      <c r="O62" s="67">
        <f ca="1">IFERROR(__xludf.DUMMYFUNCTION("IMPORTRANGE(""https://docs.google.com/spreadsheets/d/1-uDff_7J0KD5mKrp0Vvzr7lt3OU09vwQwhkpOPPYv2Y/edit?usp=sharing"",""งบพรบ!CI62"")"),0)</f>
        <v>0</v>
      </c>
      <c r="P62" s="67">
        <f t="shared" ca="1" si="31"/>
        <v>0</v>
      </c>
      <c r="Q62" s="68">
        <f t="shared" ca="1" si="32"/>
        <v>0</v>
      </c>
      <c r="R62" s="197">
        <f ca="1">IFERROR(__xludf.DUMMYFUNCTION("IMPORTRANGE(""https://docs.google.com/spreadsheets/d/1GbCIE4D4wk9FUozzqk7SxfDMxDVBwVmI5zcaVUSzKAc/edit?usp=sharing"",""ประจวบคีรีขันธ์!Q157"")"),0)</f>
        <v>0</v>
      </c>
      <c r="S62" s="67">
        <f ca="1">IFERROR(__xludf.DUMMYFUNCTION("IMPORTRANGE(""https://docs.google.com/spreadsheets/d/1GbCIE4D4wk9FUozzqk7SxfDMxDVBwVmI5zcaVUSzKAc/edit?usp=sharing"",""ประจวบคีรีขันธ์!R157"")"),0)</f>
        <v>0</v>
      </c>
      <c r="T62" s="67">
        <f ca="1">IFERROR(__xludf.DUMMYFUNCTION("IMPORTRANGE(""https://docs.google.com/spreadsheets/d/1GbCIE4D4wk9FUozzqk7SxfDMxDVBwVmI5zcaVUSzKAc/edit?usp=sharing"",""ประจวบคีรีขันธ์!S157"")"),0)</f>
        <v>0</v>
      </c>
      <c r="U62" s="68">
        <f t="shared" ca="1" si="34"/>
        <v>0</v>
      </c>
      <c r="V62" s="68">
        <f t="shared" ca="1" si="35"/>
        <v>0</v>
      </c>
      <c r="W62" s="78">
        <f ca="1">IFERROR(__xludf.DUMMYFUNCTION("IMPORTRANGE(""https://docs.google.com/spreadsheets/d/1GbCIE4D4wk9FUozzqk7SxfDMxDVBwVmI5zcaVUSzKAc/edit?usp=sharing"",""ประจวบคีรีขันธ์!I167"")"),15)</f>
        <v>15</v>
      </c>
      <c r="X62" s="78">
        <f ca="1">IFERROR(__xludf.DUMMYFUNCTION("IMPORTRANGE(""https://docs.google.com/spreadsheets/d/1GbCIE4D4wk9FUozzqk7SxfDMxDVBwVmI5zcaVUSzKAc/edit?usp=sharing"",""ประจวบคีรีขันธ์!J167"")"),15)</f>
        <v>15</v>
      </c>
      <c r="Y62" s="79">
        <f t="shared" ca="1" si="37"/>
        <v>100</v>
      </c>
      <c r="Z62" s="78"/>
      <c r="AA62" s="78"/>
      <c r="AB62" s="79"/>
      <c r="AC62" s="78"/>
      <c r="AD62" s="78"/>
      <c r="AE62" s="79"/>
    </row>
    <row r="63" spans="1:31" ht="21" customHeight="1" x14ac:dyDescent="0.3">
      <c r="A63" s="70">
        <v>11</v>
      </c>
      <c r="B63" s="71" t="s">
        <v>91</v>
      </c>
      <c r="C63" s="149">
        <f t="shared" ca="1" si="25"/>
        <v>0</v>
      </c>
      <c r="D63" s="150">
        <f t="shared" ca="1" si="46"/>
        <v>0</v>
      </c>
      <c r="E63" s="151">
        <f ca="1">IFERROR(__xludf.DUMMYFUNCTION("IMPORTRANGE(""https://docs.google.com/spreadsheets/d/1-uDff_7J0KD5mKrp0Vvzr7lt3OU09vwQwhkpOPPYv2Y/edit?usp=sharing"",""งบพรบ!CB63"")"),0)</f>
        <v>0</v>
      </c>
      <c r="F63" s="151">
        <f ca="1">IFERROR(__xludf.DUMMYFUNCTION("IMPORTRANGE(""https://docs.google.com/spreadsheets/d/1-uDff_7J0KD5mKrp0Vvzr7lt3OU09vwQwhkpOPPYv2Y/edit?usp=sharing"",""งบพรบ!CC63"")"),0)</f>
        <v>0</v>
      </c>
      <c r="G63" s="151">
        <f ca="1">IFERROR(__xludf.DUMMYFUNCTION("IMPORTRANGE(""https://docs.google.com/spreadsheets/d/1-uDff_7J0KD5mKrp0Vvzr7lt3OU09vwQwhkpOPPYv2Y/edit?usp=sharing"",""งบพรบ!CD63"")"),0)</f>
        <v>0</v>
      </c>
      <c r="H63" s="151">
        <f ca="1">IFERROR(__xludf.DUMMYFUNCTION("IMPORTRANGE(""https://docs.google.com/spreadsheets/d/1-uDff_7J0KD5mKrp0Vvzr7lt3OU09vwQwhkpOPPYv2Y/edit?usp=sharing"",""งบพรบ!CF63"")"),154320)</f>
        <v>154320</v>
      </c>
      <c r="I63" s="151">
        <f ca="1">IFERROR(__xludf.DUMMYFUNCTION("IMPORTRANGE(""https://docs.google.com/spreadsheets/d/1-uDff_7J0KD5mKrp0Vvzr7lt3OU09vwQwhkpOPPYv2Y/edit?usp=sharing"",""งบพรบ!CG63"")"),0)</f>
        <v>0</v>
      </c>
      <c r="J63" s="151">
        <f t="shared" ca="1" si="27"/>
        <v>99160</v>
      </c>
      <c r="K63" s="154">
        <f t="shared" ca="1" si="28"/>
        <v>0</v>
      </c>
      <c r="L63" s="151">
        <f ca="1">IFERROR(__xludf.DUMMYFUNCTION("IMPORTRANGE(""https://docs.google.com/spreadsheets/d/1-uDff_7J0KD5mKrp0Vvzr7lt3OU09vwQwhkpOPPYv2Y/edit?usp=sharing"",""งบพรบ!CH63"")"),99160)</f>
        <v>99160</v>
      </c>
      <c r="M63" s="68">
        <f t="shared" ca="1" si="29"/>
        <v>0</v>
      </c>
      <c r="N63" s="68">
        <f t="shared" ca="1" si="30"/>
        <v>64.256091238983927</v>
      </c>
      <c r="O63" s="67">
        <f ca="1">IFERROR(__xludf.DUMMYFUNCTION("IMPORTRANGE(""https://docs.google.com/spreadsheets/d/1-uDff_7J0KD5mKrp0Vvzr7lt3OU09vwQwhkpOPPYv2Y/edit?usp=sharing"",""งบพรบ!CI63"")"),0)</f>
        <v>0</v>
      </c>
      <c r="P63" s="67">
        <f t="shared" ca="1" si="31"/>
        <v>0</v>
      </c>
      <c r="Q63" s="68">
        <f t="shared" ca="1" si="32"/>
        <v>0</v>
      </c>
      <c r="R63" s="197">
        <f ca="1">IFERROR(__xludf.DUMMYFUNCTION("IMPORTRANGE(""https://docs.google.com/spreadsheets/d/1vVf6wykvW_lAyu7Yo9L4hUTqHqIeP_qcVuxCtosJEbg/edit?usp=sharing"",""ปราจีนบุรี!Q157"")"),0)</f>
        <v>0</v>
      </c>
      <c r="S63" s="67">
        <f ca="1">IFERROR(__xludf.DUMMYFUNCTION("IMPORTRANGE(""https://docs.google.com/spreadsheets/d/1vVf6wykvW_lAyu7Yo9L4hUTqHqIeP_qcVuxCtosJEbg/edit?usp=sharing"",""ปราจีนบุรี!R157"")"),0)</f>
        <v>0</v>
      </c>
      <c r="T63" s="67">
        <f ca="1">IFERROR(__xludf.DUMMYFUNCTION("IMPORTRANGE(""https://docs.google.com/spreadsheets/d/1vVf6wykvW_lAyu7Yo9L4hUTqHqIeP_qcVuxCtosJEbg/edit?usp=sharing"",""ปราจีนบุรี!S157"")"),0)</f>
        <v>0</v>
      </c>
      <c r="U63" s="68">
        <f t="shared" ca="1" si="34"/>
        <v>0</v>
      </c>
      <c r="V63" s="68">
        <f t="shared" ca="1" si="35"/>
        <v>0</v>
      </c>
      <c r="W63" s="78">
        <f ca="1">IFERROR(__xludf.DUMMYFUNCTION("IMPORTRANGE(""https://docs.google.com/spreadsheets/d/1vVf6wykvW_lAyu7Yo9L4hUTqHqIeP_qcVuxCtosJEbg/edit?usp=sharing"",""ปราจีนบุรี!I167"")"),0)</f>
        <v>0</v>
      </c>
      <c r="X63" s="78">
        <f ca="1">IFERROR(__xludf.DUMMYFUNCTION("IMPORTRANGE(""https://docs.google.com/spreadsheets/d/1vVf6wykvW_lAyu7Yo9L4hUTqHqIeP_qcVuxCtosJEbg/edit?usp=sharing"",""ปราจีนบุรี!J167"")"),0)</f>
        <v>0</v>
      </c>
      <c r="Y63" s="79">
        <f t="shared" ca="1" si="37"/>
        <v>0</v>
      </c>
      <c r="Z63" s="78"/>
      <c r="AA63" s="78"/>
      <c r="AB63" s="79"/>
      <c r="AC63" s="78"/>
      <c r="AD63" s="78"/>
      <c r="AE63" s="79"/>
    </row>
    <row r="64" spans="1:31" ht="21" customHeight="1" x14ac:dyDescent="0.3">
      <c r="A64" s="70">
        <v>12</v>
      </c>
      <c r="B64" s="71" t="s">
        <v>92</v>
      </c>
      <c r="C64" s="149">
        <f t="shared" ca="1" si="25"/>
        <v>4500</v>
      </c>
      <c r="D64" s="150">
        <f t="shared" ca="1" si="46"/>
        <v>4500</v>
      </c>
      <c r="E64" s="151">
        <f ca="1">IFERROR(__xludf.DUMMYFUNCTION("IMPORTRANGE(""https://docs.google.com/spreadsheets/d/1-uDff_7J0KD5mKrp0Vvzr7lt3OU09vwQwhkpOPPYv2Y/edit?usp=sharing"",""งบพรบ!CB64"")"),0)</f>
        <v>0</v>
      </c>
      <c r="F64" s="151">
        <f ca="1">IFERROR(__xludf.DUMMYFUNCTION("IMPORTRANGE(""https://docs.google.com/spreadsheets/d/1-uDff_7J0KD5mKrp0Vvzr7lt3OU09vwQwhkpOPPYv2Y/edit?usp=sharing"",""งบพรบ!CC64"")"),4500)</f>
        <v>4500</v>
      </c>
      <c r="G64" s="151">
        <f ca="1">IFERROR(__xludf.DUMMYFUNCTION("IMPORTRANGE(""https://docs.google.com/spreadsheets/d/1-uDff_7J0KD5mKrp0Vvzr7lt3OU09vwQwhkpOPPYv2Y/edit?usp=sharing"",""งบพรบ!CD64"")"),0)</f>
        <v>0</v>
      </c>
      <c r="H64" s="151">
        <f ca="1">IFERROR(__xludf.DUMMYFUNCTION("IMPORTRANGE(""https://docs.google.com/spreadsheets/d/1-uDff_7J0KD5mKrp0Vvzr7lt3OU09vwQwhkpOPPYv2Y/edit?usp=sharing"",""งบพรบ!CF64"")"),88390)</f>
        <v>88390</v>
      </c>
      <c r="I64" s="151">
        <f ca="1">IFERROR(__xludf.DUMMYFUNCTION("IMPORTRANGE(""https://docs.google.com/spreadsheets/d/1-uDff_7J0KD5mKrp0Vvzr7lt3OU09vwQwhkpOPPYv2Y/edit?usp=sharing"",""งบพรบ!CG64"")"),0)</f>
        <v>0</v>
      </c>
      <c r="J64" s="151">
        <f t="shared" ca="1" si="27"/>
        <v>78990</v>
      </c>
      <c r="K64" s="154">
        <f t="shared" ca="1" si="28"/>
        <v>1755.3333333333333</v>
      </c>
      <c r="L64" s="151">
        <f ca="1">IFERROR(__xludf.DUMMYFUNCTION("IMPORTRANGE(""https://docs.google.com/spreadsheets/d/1-uDff_7J0KD5mKrp0Vvzr7lt3OU09vwQwhkpOPPYv2Y/edit?usp=sharing"",""งบพรบ!CH64"")"),78990)</f>
        <v>78990</v>
      </c>
      <c r="M64" s="68">
        <f t="shared" ca="1" si="29"/>
        <v>1755.3333333333333</v>
      </c>
      <c r="N64" s="68">
        <f t="shared" ca="1" si="30"/>
        <v>89.365312818192109</v>
      </c>
      <c r="O64" s="67">
        <f ca="1">IFERROR(__xludf.DUMMYFUNCTION("IMPORTRANGE(""https://docs.google.com/spreadsheets/d/1-uDff_7J0KD5mKrp0Vvzr7lt3OU09vwQwhkpOPPYv2Y/edit?usp=sharing"",""งบพรบ!CI64"")"),0)</f>
        <v>0</v>
      </c>
      <c r="P64" s="67">
        <f t="shared" ca="1" si="31"/>
        <v>0</v>
      </c>
      <c r="Q64" s="68">
        <f t="shared" ca="1" si="32"/>
        <v>0</v>
      </c>
      <c r="R64" s="197">
        <f ca="1">IFERROR(__xludf.DUMMYFUNCTION("IMPORTRANGE(""https://docs.google.com/spreadsheets/d/1BIDqLLg5jk3v59G8NlR8rk5xfQDKne0sAvZHSj7TI6I/edit?usp=sharing"",""พระนครศรีอยุธยา!Q157"")"),0)</f>
        <v>0</v>
      </c>
      <c r="S64" s="67">
        <f ca="1">IFERROR(__xludf.DUMMYFUNCTION("IMPORTRANGE(""https://docs.google.com/spreadsheets/d/1BIDqLLg5jk3v59G8NlR8rk5xfQDKne0sAvZHSj7TI6I/edit?usp=sharing"",""พระนครศรีอยุธยา!R157"")"),0)</f>
        <v>0</v>
      </c>
      <c r="T64" s="67">
        <f ca="1">IFERROR(__xludf.DUMMYFUNCTION("IMPORTRANGE(""https://docs.google.com/spreadsheets/d/1BIDqLLg5jk3v59G8NlR8rk5xfQDKne0sAvZHSj7TI6I/edit?usp=sharing"",""พระนครศรีอยุธยา!S157"")"),0)</f>
        <v>0</v>
      </c>
      <c r="U64" s="68">
        <f t="shared" ca="1" si="34"/>
        <v>0</v>
      </c>
      <c r="V64" s="68">
        <f t="shared" ca="1" si="35"/>
        <v>0</v>
      </c>
      <c r="W64" s="78">
        <f ca="1">IFERROR(__xludf.DUMMYFUNCTION("IMPORTRANGE(""https://docs.google.com/spreadsheets/d/1BIDqLLg5jk3v59G8NlR8rk5xfQDKne0sAvZHSj7TI6I/edit?usp=sharing"",""พระนครศรีอยุธยา!I167"")"),15)</f>
        <v>15</v>
      </c>
      <c r="X64" s="78">
        <f ca="1">IFERROR(__xludf.DUMMYFUNCTION("IMPORTRANGE(""https://docs.google.com/spreadsheets/d/1BIDqLLg5jk3v59G8NlR8rk5xfQDKne0sAvZHSj7TI6I/edit?usp=sharing"",""พระนครศรีอยุธยา!J167"")"),15)</f>
        <v>15</v>
      </c>
      <c r="Y64" s="79">
        <f t="shared" ca="1" si="37"/>
        <v>100</v>
      </c>
      <c r="Z64" s="78"/>
      <c r="AA64" s="78"/>
      <c r="AB64" s="79"/>
      <c r="AC64" s="78"/>
      <c r="AD64" s="78"/>
      <c r="AE64" s="79"/>
    </row>
    <row r="65" spans="1:31" ht="21" customHeight="1" x14ac:dyDescent="0.3">
      <c r="A65" s="70">
        <v>13</v>
      </c>
      <c r="B65" s="71" t="s">
        <v>93</v>
      </c>
      <c r="C65" s="149">
        <f t="shared" ca="1" si="25"/>
        <v>4500</v>
      </c>
      <c r="D65" s="150">
        <f t="shared" ca="1" si="46"/>
        <v>4500</v>
      </c>
      <c r="E65" s="151">
        <f ca="1">IFERROR(__xludf.DUMMYFUNCTION("IMPORTRANGE(""https://docs.google.com/spreadsheets/d/1-uDff_7J0KD5mKrp0Vvzr7lt3OU09vwQwhkpOPPYv2Y/edit?usp=sharing"",""งบพรบ!CB65"")"),0)</f>
        <v>0</v>
      </c>
      <c r="F65" s="151">
        <f ca="1">IFERROR(__xludf.DUMMYFUNCTION("IMPORTRANGE(""https://docs.google.com/spreadsheets/d/1-uDff_7J0KD5mKrp0Vvzr7lt3OU09vwQwhkpOPPYv2Y/edit?usp=sharing"",""งบพรบ!CC65"")"),4500)</f>
        <v>4500</v>
      </c>
      <c r="G65" s="151">
        <f ca="1">IFERROR(__xludf.DUMMYFUNCTION("IMPORTRANGE(""https://docs.google.com/spreadsheets/d/1-uDff_7J0KD5mKrp0Vvzr7lt3OU09vwQwhkpOPPYv2Y/edit?usp=sharing"",""งบพรบ!CD65"")"),0)</f>
        <v>0</v>
      </c>
      <c r="H65" s="151">
        <f ca="1">IFERROR(__xludf.DUMMYFUNCTION("IMPORTRANGE(""https://docs.google.com/spreadsheets/d/1-uDff_7J0KD5mKrp0Vvzr7lt3OU09vwQwhkpOPPYv2Y/edit?usp=sharing"",""งบพรบ!CF65"")"),2250)</f>
        <v>2250</v>
      </c>
      <c r="I65" s="151">
        <f ca="1">IFERROR(__xludf.DUMMYFUNCTION("IMPORTRANGE(""https://docs.google.com/spreadsheets/d/1-uDff_7J0KD5mKrp0Vvzr7lt3OU09vwQwhkpOPPYv2Y/edit?usp=sharing"",""งบพรบ!CG65"")"),0)</f>
        <v>0</v>
      </c>
      <c r="J65" s="151">
        <f t="shared" ca="1" si="27"/>
        <v>1500</v>
      </c>
      <c r="K65" s="154">
        <f t="shared" ca="1" si="28"/>
        <v>33.333333333333336</v>
      </c>
      <c r="L65" s="151">
        <f ca="1">IFERROR(__xludf.DUMMYFUNCTION("IMPORTRANGE(""https://docs.google.com/spreadsheets/d/1-uDff_7J0KD5mKrp0Vvzr7lt3OU09vwQwhkpOPPYv2Y/edit?usp=sharing"",""งบพรบ!CH65"")"),1500)</f>
        <v>1500</v>
      </c>
      <c r="M65" s="68">
        <f t="shared" ca="1" si="29"/>
        <v>33.333333333333336</v>
      </c>
      <c r="N65" s="68">
        <f t="shared" ca="1" si="30"/>
        <v>66.666666666666671</v>
      </c>
      <c r="O65" s="67">
        <f ca="1">IFERROR(__xludf.DUMMYFUNCTION("IMPORTRANGE(""https://docs.google.com/spreadsheets/d/1-uDff_7J0KD5mKrp0Vvzr7lt3OU09vwQwhkpOPPYv2Y/edit?usp=sharing"",""งบพรบ!CI65"")"),0)</f>
        <v>0</v>
      </c>
      <c r="P65" s="67">
        <f t="shared" ca="1" si="31"/>
        <v>0</v>
      </c>
      <c r="Q65" s="68">
        <f t="shared" ca="1" si="32"/>
        <v>0</v>
      </c>
      <c r="R65" s="197">
        <f ca="1">IFERROR(__xludf.DUMMYFUNCTION("IMPORTRANGE(""https://docs.google.com/spreadsheets/d/1YXvxf8Yu6_rV4hTBrwMqAcAnv6DfhUxh5emyM3CJp_w/edit?usp=sharing"",""เพชรบุรี!Q157"")"),0)</f>
        <v>0</v>
      </c>
      <c r="S65" s="67">
        <f ca="1">IFERROR(__xludf.DUMMYFUNCTION("IMPORTRANGE(""https://docs.google.com/spreadsheets/d/1YXvxf8Yu6_rV4hTBrwMqAcAnv6DfhUxh5emyM3CJp_w/edit?usp=sharing"",""เพชรบุรี!R157"")"),0)</f>
        <v>0</v>
      </c>
      <c r="T65" s="67">
        <f ca="1">IFERROR(__xludf.DUMMYFUNCTION("IMPORTRANGE(""https://docs.google.com/spreadsheets/d/1YXvxf8Yu6_rV4hTBrwMqAcAnv6DfhUxh5emyM3CJp_w/edit?usp=sharing"",""เพชรบุรี!S157"")"),0)</f>
        <v>0</v>
      </c>
      <c r="U65" s="68">
        <f t="shared" ca="1" si="34"/>
        <v>0</v>
      </c>
      <c r="V65" s="68">
        <f t="shared" ca="1" si="35"/>
        <v>0</v>
      </c>
      <c r="W65" s="78">
        <f ca="1">IFERROR(__xludf.DUMMYFUNCTION("IMPORTRANGE(""https://docs.google.com/spreadsheets/d/1YXvxf8Yu6_rV4hTBrwMqAcAnv6DfhUxh5emyM3CJp_w/edit?usp=sharing"",""เพชรบุรี!I167"")"),15)</f>
        <v>15</v>
      </c>
      <c r="X65" s="78">
        <f ca="1">IFERROR(__xludf.DUMMYFUNCTION("IMPORTRANGE(""https://docs.google.com/spreadsheets/d/1YXvxf8Yu6_rV4hTBrwMqAcAnv6DfhUxh5emyM3CJp_w/edit?usp=sharing"",""เพชรบุรี!J167"")"),15)</f>
        <v>15</v>
      </c>
      <c r="Y65" s="79">
        <f t="shared" ca="1" si="37"/>
        <v>100</v>
      </c>
      <c r="Z65" s="78"/>
      <c r="AA65" s="78"/>
      <c r="AB65" s="79"/>
      <c r="AC65" s="78"/>
      <c r="AD65" s="78"/>
      <c r="AE65" s="79"/>
    </row>
    <row r="66" spans="1:31" ht="21" customHeight="1" x14ac:dyDescent="0.3">
      <c r="A66" s="70">
        <v>14</v>
      </c>
      <c r="B66" s="71" t="s">
        <v>94</v>
      </c>
      <c r="C66" s="149">
        <f t="shared" ca="1" si="25"/>
        <v>0</v>
      </c>
      <c r="D66" s="150">
        <f t="shared" ca="1" si="46"/>
        <v>0</v>
      </c>
      <c r="E66" s="151">
        <f ca="1">IFERROR(__xludf.DUMMYFUNCTION("IMPORTRANGE(""https://docs.google.com/spreadsheets/d/1-uDff_7J0KD5mKrp0Vvzr7lt3OU09vwQwhkpOPPYv2Y/edit?usp=sharing"",""งบพรบ!CB66"")"),0)</f>
        <v>0</v>
      </c>
      <c r="F66" s="151">
        <f ca="1">IFERROR(__xludf.DUMMYFUNCTION("IMPORTRANGE(""https://docs.google.com/spreadsheets/d/1-uDff_7J0KD5mKrp0Vvzr7lt3OU09vwQwhkpOPPYv2Y/edit?usp=sharing"",""งบพรบ!CC66"")"),0)</f>
        <v>0</v>
      </c>
      <c r="G66" s="151">
        <f ca="1">IFERROR(__xludf.DUMMYFUNCTION("IMPORTRANGE(""https://docs.google.com/spreadsheets/d/1-uDff_7J0KD5mKrp0Vvzr7lt3OU09vwQwhkpOPPYv2Y/edit?usp=sharing"",""งบพรบ!CD66"")"),0)</f>
        <v>0</v>
      </c>
      <c r="H66" s="151">
        <f ca="1">IFERROR(__xludf.DUMMYFUNCTION("IMPORTRANGE(""https://docs.google.com/spreadsheets/d/1-uDff_7J0KD5mKrp0Vvzr7lt3OU09vwQwhkpOPPYv2Y/edit?usp=sharing"",""งบพรบ!CF66"")"),0)</f>
        <v>0</v>
      </c>
      <c r="I66" s="151">
        <f ca="1">IFERROR(__xludf.DUMMYFUNCTION("IMPORTRANGE(""https://docs.google.com/spreadsheets/d/1-uDff_7J0KD5mKrp0Vvzr7lt3OU09vwQwhkpOPPYv2Y/edit?usp=sharing"",""งบพรบ!CG66"")"),0)</f>
        <v>0</v>
      </c>
      <c r="J66" s="151">
        <f t="shared" ca="1" si="27"/>
        <v>0</v>
      </c>
      <c r="K66" s="154">
        <f t="shared" ca="1" si="28"/>
        <v>0</v>
      </c>
      <c r="L66" s="151">
        <f ca="1">IFERROR(__xludf.DUMMYFUNCTION("IMPORTRANGE(""https://docs.google.com/spreadsheets/d/1-uDff_7J0KD5mKrp0Vvzr7lt3OU09vwQwhkpOPPYv2Y/edit?usp=sharing"",""งบพรบ!CH66"")"),0)</f>
        <v>0</v>
      </c>
      <c r="M66" s="68">
        <f t="shared" ca="1" si="29"/>
        <v>0</v>
      </c>
      <c r="N66" s="68">
        <f t="shared" ca="1" si="30"/>
        <v>0</v>
      </c>
      <c r="O66" s="67">
        <f ca="1">IFERROR(__xludf.DUMMYFUNCTION("IMPORTRANGE(""https://docs.google.com/spreadsheets/d/1-uDff_7J0KD5mKrp0Vvzr7lt3OU09vwQwhkpOPPYv2Y/edit?usp=sharing"",""งบพรบ!CI66"")"),0)</f>
        <v>0</v>
      </c>
      <c r="P66" s="67">
        <f t="shared" ca="1" si="31"/>
        <v>0</v>
      </c>
      <c r="Q66" s="68">
        <f t="shared" ca="1" si="32"/>
        <v>0</v>
      </c>
      <c r="R66" s="197">
        <f ca="1">IFERROR(__xludf.DUMMYFUNCTION("IMPORTRANGE(""https://docs.google.com/spreadsheets/d/19KBlQQs7uwvsao6t2n-KvW3Ax8J8uRRfZPq1zPbXgKc/edit?usp=sharing"",""ระยอง!Q157"")"),0)</f>
        <v>0</v>
      </c>
      <c r="S66" s="67">
        <f ca="1">IFERROR(__xludf.DUMMYFUNCTION("IMPORTRANGE(""https://docs.google.com/spreadsheets/d/19KBlQQs7uwvsao6t2n-KvW3Ax8J8uRRfZPq1zPbXgKc/edit?usp=sharing"",""ระยอง!R157"")"),0)</f>
        <v>0</v>
      </c>
      <c r="T66" s="67">
        <f ca="1">IFERROR(__xludf.DUMMYFUNCTION("IMPORTRANGE(""https://docs.google.com/spreadsheets/d/19KBlQQs7uwvsao6t2n-KvW3Ax8J8uRRfZPq1zPbXgKc/edit?usp=sharing"",""ระยอง!S157"")"),0)</f>
        <v>0</v>
      </c>
      <c r="U66" s="68">
        <f t="shared" ca="1" si="34"/>
        <v>0</v>
      </c>
      <c r="V66" s="68">
        <f t="shared" ca="1" si="35"/>
        <v>0</v>
      </c>
      <c r="W66" s="78">
        <f ca="1">IFERROR(__xludf.DUMMYFUNCTION("IMPORTRANGE(""https://docs.google.com/spreadsheets/d/19KBlQQs7uwvsao6t2n-KvW3Ax8J8uRRfZPq1zPbXgKc/edit?usp=sharing"",""ระยอง!I167"")"),0)</f>
        <v>0</v>
      </c>
      <c r="X66" s="78">
        <f ca="1">IFERROR(__xludf.DUMMYFUNCTION("IMPORTRANGE(""https://docs.google.com/spreadsheets/d/19KBlQQs7uwvsao6t2n-KvW3Ax8J8uRRfZPq1zPbXgKc/edit?usp=sharing"",""ระยอง!J167"")"),0)</f>
        <v>0</v>
      </c>
      <c r="Y66" s="79">
        <f t="shared" ca="1" si="37"/>
        <v>0</v>
      </c>
      <c r="Z66" s="78"/>
      <c r="AA66" s="78"/>
      <c r="AB66" s="79"/>
      <c r="AC66" s="78"/>
      <c r="AD66" s="78"/>
      <c r="AE66" s="79"/>
    </row>
    <row r="67" spans="1:31" ht="21" customHeight="1" x14ac:dyDescent="0.3">
      <c r="A67" s="70">
        <v>15</v>
      </c>
      <c r="B67" s="71" t="s">
        <v>95</v>
      </c>
      <c r="C67" s="149">
        <f t="shared" ca="1" si="25"/>
        <v>4500</v>
      </c>
      <c r="D67" s="150">
        <f t="shared" ca="1" si="46"/>
        <v>4500</v>
      </c>
      <c r="E67" s="151">
        <f ca="1">IFERROR(__xludf.DUMMYFUNCTION("IMPORTRANGE(""https://docs.google.com/spreadsheets/d/1-uDff_7J0KD5mKrp0Vvzr7lt3OU09vwQwhkpOPPYv2Y/edit?usp=sharing"",""งบพรบ!CB67"")"),0)</f>
        <v>0</v>
      </c>
      <c r="F67" s="151">
        <f ca="1">IFERROR(__xludf.DUMMYFUNCTION("IMPORTRANGE(""https://docs.google.com/spreadsheets/d/1-uDff_7J0KD5mKrp0Vvzr7lt3OU09vwQwhkpOPPYv2Y/edit?usp=sharing"",""งบพรบ!CC67"")"),4500)</f>
        <v>4500</v>
      </c>
      <c r="G67" s="151">
        <f ca="1">IFERROR(__xludf.DUMMYFUNCTION("IMPORTRANGE(""https://docs.google.com/spreadsheets/d/1-uDff_7J0KD5mKrp0Vvzr7lt3OU09vwQwhkpOPPYv2Y/edit?usp=sharing"",""งบพรบ!CD67"")"),0)</f>
        <v>0</v>
      </c>
      <c r="H67" s="151">
        <f ca="1">IFERROR(__xludf.DUMMYFUNCTION("IMPORTRANGE(""https://docs.google.com/spreadsheets/d/1-uDff_7J0KD5mKrp0Vvzr7lt3OU09vwQwhkpOPPYv2Y/edit?usp=sharing"",""งบพรบ!CF67"")"),6730)</f>
        <v>6730</v>
      </c>
      <c r="I67" s="151">
        <f ca="1">IFERROR(__xludf.DUMMYFUNCTION("IMPORTRANGE(""https://docs.google.com/spreadsheets/d/1-uDff_7J0KD5mKrp0Vvzr7lt3OU09vwQwhkpOPPYv2Y/edit?usp=sharing"",""งบพรบ!CG67"")"),0)</f>
        <v>0</v>
      </c>
      <c r="J67" s="151">
        <f t="shared" ca="1" si="27"/>
        <v>6730</v>
      </c>
      <c r="K67" s="154">
        <f t="shared" ca="1" si="28"/>
        <v>149.55555555555554</v>
      </c>
      <c r="L67" s="151">
        <f ca="1">IFERROR(__xludf.DUMMYFUNCTION("IMPORTRANGE(""https://docs.google.com/spreadsheets/d/1-uDff_7J0KD5mKrp0Vvzr7lt3OU09vwQwhkpOPPYv2Y/edit?usp=sharing"",""งบพรบ!CH67"")"),6730)</f>
        <v>6730</v>
      </c>
      <c r="M67" s="68">
        <f t="shared" ca="1" si="29"/>
        <v>149.55555555555554</v>
      </c>
      <c r="N67" s="68">
        <f t="shared" ca="1" si="30"/>
        <v>100</v>
      </c>
      <c r="O67" s="67">
        <f ca="1">IFERROR(__xludf.DUMMYFUNCTION("IMPORTRANGE(""https://docs.google.com/spreadsheets/d/1-uDff_7J0KD5mKrp0Vvzr7lt3OU09vwQwhkpOPPYv2Y/edit?usp=sharing"",""งบพรบ!CI67"")"),0)</f>
        <v>0</v>
      </c>
      <c r="P67" s="67">
        <f t="shared" ca="1" si="31"/>
        <v>0</v>
      </c>
      <c r="Q67" s="68">
        <f t="shared" ca="1" si="32"/>
        <v>0</v>
      </c>
      <c r="R67" s="197">
        <f ca="1">IFERROR(__xludf.DUMMYFUNCTION("IMPORTRANGE(""https://docs.google.com/spreadsheets/d/1jQ6P4QcrGM89YfqcC_PxOHGCMq5ezhucwJd8ci-NHng/edit?usp=sharing"",""ราชบุรี!Q157"")"),0)</f>
        <v>0</v>
      </c>
      <c r="S67" s="67">
        <f ca="1">IFERROR(__xludf.DUMMYFUNCTION("IMPORTRANGE(""https://docs.google.com/spreadsheets/d/1jQ6P4QcrGM89YfqcC_PxOHGCMq5ezhucwJd8ci-NHng/edit?usp=sharing"",""ราชบุรี!R157"")"),0)</f>
        <v>0</v>
      </c>
      <c r="T67" s="67">
        <f ca="1">IFERROR(__xludf.DUMMYFUNCTION("IMPORTRANGE(""https://docs.google.com/spreadsheets/d/1jQ6P4QcrGM89YfqcC_PxOHGCMq5ezhucwJd8ci-NHng/edit?usp=sharing"",""ราชบุรี!S157"")"),0)</f>
        <v>0</v>
      </c>
      <c r="U67" s="68">
        <f t="shared" ca="1" si="34"/>
        <v>0</v>
      </c>
      <c r="V67" s="68">
        <f t="shared" ca="1" si="35"/>
        <v>0</v>
      </c>
      <c r="W67" s="78">
        <f ca="1">IFERROR(__xludf.DUMMYFUNCTION("IMPORTRANGE(""https://docs.google.com/spreadsheets/d/1jQ6P4QcrGM89YfqcC_PxOHGCMq5ezhucwJd8ci-NHng/edit?usp=sharing"",""ราชบุรี!I167"")"),15)</f>
        <v>15</v>
      </c>
      <c r="X67" s="78">
        <f ca="1">IFERROR(__xludf.DUMMYFUNCTION("IMPORTRANGE(""https://docs.google.com/spreadsheets/d/1jQ6P4QcrGM89YfqcC_PxOHGCMq5ezhucwJd8ci-NHng/edit?usp=sharing"",""ราชบุรี!J167"")"),15)</f>
        <v>15</v>
      </c>
      <c r="Y67" s="79">
        <f t="shared" ca="1" si="37"/>
        <v>100</v>
      </c>
      <c r="Z67" s="78"/>
      <c r="AA67" s="78"/>
      <c r="AB67" s="79"/>
      <c r="AC67" s="78"/>
      <c r="AD67" s="78"/>
      <c r="AE67" s="79"/>
    </row>
    <row r="68" spans="1:31" ht="24" customHeight="1" x14ac:dyDescent="0.3">
      <c r="A68" s="70">
        <v>16</v>
      </c>
      <c r="B68" s="71" t="s">
        <v>96</v>
      </c>
      <c r="C68" s="149">
        <f t="shared" ca="1" si="25"/>
        <v>4500</v>
      </c>
      <c r="D68" s="150">
        <f t="shared" ca="1" si="46"/>
        <v>4500</v>
      </c>
      <c r="E68" s="151">
        <f ca="1">IFERROR(__xludf.DUMMYFUNCTION("IMPORTRANGE(""https://docs.google.com/spreadsheets/d/1-uDff_7J0KD5mKrp0Vvzr7lt3OU09vwQwhkpOPPYv2Y/edit?usp=sharing"",""งบพรบ!CB68"")"),0)</f>
        <v>0</v>
      </c>
      <c r="F68" s="151">
        <f ca="1">IFERROR(__xludf.DUMMYFUNCTION("IMPORTRANGE(""https://docs.google.com/spreadsheets/d/1-uDff_7J0KD5mKrp0Vvzr7lt3OU09vwQwhkpOPPYv2Y/edit?usp=sharing"",""งบพรบ!CC68"")"),4500)</f>
        <v>4500</v>
      </c>
      <c r="G68" s="151">
        <f ca="1">IFERROR(__xludf.DUMMYFUNCTION("IMPORTRANGE(""https://docs.google.com/spreadsheets/d/1-uDff_7J0KD5mKrp0Vvzr7lt3OU09vwQwhkpOPPYv2Y/edit?usp=sharing"",""งบพรบ!CD68"")"),0)</f>
        <v>0</v>
      </c>
      <c r="H68" s="151">
        <f ca="1">IFERROR(__xludf.DUMMYFUNCTION("IMPORTRANGE(""https://docs.google.com/spreadsheets/d/1-uDff_7J0KD5mKrp0Vvzr7lt3OU09vwQwhkpOPPYv2Y/edit?usp=sharing"",""งบพรบ!CF68"")"),5290)</f>
        <v>5290</v>
      </c>
      <c r="I68" s="151">
        <f ca="1">IFERROR(__xludf.DUMMYFUNCTION("IMPORTRANGE(""https://docs.google.com/spreadsheets/d/1-uDff_7J0KD5mKrp0Vvzr7lt3OU09vwQwhkpOPPYv2Y/edit?usp=sharing"",""งบพรบ!CG68"")"),0)</f>
        <v>0</v>
      </c>
      <c r="J68" s="151">
        <f t="shared" ca="1" si="27"/>
        <v>5290</v>
      </c>
      <c r="K68" s="154">
        <f t="shared" ca="1" si="28"/>
        <v>117.55555555555556</v>
      </c>
      <c r="L68" s="151">
        <f ca="1">IFERROR(__xludf.DUMMYFUNCTION("IMPORTRANGE(""https://docs.google.com/spreadsheets/d/1-uDff_7J0KD5mKrp0Vvzr7lt3OU09vwQwhkpOPPYv2Y/edit?usp=sharing"",""งบพรบ!CH68"")"),5290)</f>
        <v>5290</v>
      </c>
      <c r="M68" s="68">
        <f t="shared" ca="1" si="29"/>
        <v>117.55555555555556</v>
      </c>
      <c r="N68" s="68">
        <f t="shared" ca="1" si="30"/>
        <v>100</v>
      </c>
      <c r="O68" s="67">
        <f ca="1">IFERROR(__xludf.DUMMYFUNCTION("IMPORTRANGE(""https://docs.google.com/spreadsheets/d/1-uDff_7J0KD5mKrp0Vvzr7lt3OU09vwQwhkpOPPYv2Y/edit?usp=sharing"",""งบพรบ!CI68"")"),0)</f>
        <v>0</v>
      </c>
      <c r="P68" s="67">
        <f t="shared" ca="1" si="31"/>
        <v>0</v>
      </c>
      <c r="Q68" s="68">
        <f t="shared" ca="1" si="32"/>
        <v>0</v>
      </c>
      <c r="R68" s="197">
        <f ca="1">IFERROR(__xludf.DUMMYFUNCTION("IMPORTRANGE(""https://docs.google.com/spreadsheets/d/1lufeA2cfFqM-elVq2hznhDzC6Pr7wkJ9ZG_sYNGCMCU/edit?usp=sharing"",""ลพบุรี!Q157"")"),0)</f>
        <v>0</v>
      </c>
      <c r="S68" s="67">
        <f ca="1">IFERROR(__xludf.DUMMYFUNCTION("IMPORTRANGE(""https://docs.google.com/spreadsheets/d/1lufeA2cfFqM-elVq2hznhDzC6Pr7wkJ9ZG_sYNGCMCU/edit?usp=sharing"",""ลพบุรี!R157"")"),0)</f>
        <v>0</v>
      </c>
      <c r="T68" s="67">
        <f ca="1">IFERROR(__xludf.DUMMYFUNCTION("IMPORTRANGE(""https://docs.google.com/spreadsheets/d/1lufeA2cfFqM-elVq2hznhDzC6Pr7wkJ9ZG_sYNGCMCU/edit?usp=sharing"",""ลพบุรี!S157"")"),0)</f>
        <v>0</v>
      </c>
      <c r="U68" s="68">
        <f t="shared" ca="1" si="34"/>
        <v>0</v>
      </c>
      <c r="V68" s="68">
        <f t="shared" ca="1" si="35"/>
        <v>0</v>
      </c>
      <c r="W68" s="78">
        <f ca="1">IFERROR(__xludf.DUMMYFUNCTION("IMPORTRANGE(""https://docs.google.com/spreadsheets/d/1lufeA2cfFqM-elVq2hznhDzC6Pr7wkJ9ZG_sYNGCMCU/edit?usp=sharing"",""ลพบุรี!I167"")"),15)</f>
        <v>15</v>
      </c>
      <c r="X68" s="78">
        <f ca="1">IFERROR(__xludf.DUMMYFUNCTION("IMPORTRANGE(""https://docs.google.com/spreadsheets/d/1lufeA2cfFqM-elVq2hznhDzC6Pr7wkJ9ZG_sYNGCMCU/edit?usp=sharing"",""ลพบุรี!J167"")"),15)</f>
        <v>15</v>
      </c>
      <c r="Y68" s="79">
        <f t="shared" ca="1" si="37"/>
        <v>100</v>
      </c>
      <c r="Z68" s="78"/>
      <c r="AA68" s="78"/>
      <c r="AB68" s="79"/>
      <c r="AC68" s="78"/>
      <c r="AD68" s="78"/>
      <c r="AE68" s="79"/>
    </row>
    <row r="69" spans="1:31" ht="21" customHeight="1" x14ac:dyDescent="0.3">
      <c r="A69" s="70">
        <v>17</v>
      </c>
      <c r="B69" s="71" t="s">
        <v>97</v>
      </c>
      <c r="C69" s="149">
        <f t="shared" ca="1" si="25"/>
        <v>0</v>
      </c>
      <c r="D69" s="150">
        <f t="shared" ca="1" si="46"/>
        <v>0</v>
      </c>
      <c r="E69" s="151">
        <f ca="1">IFERROR(__xludf.DUMMYFUNCTION("IMPORTRANGE(""https://docs.google.com/spreadsheets/d/1-uDff_7J0KD5mKrp0Vvzr7lt3OU09vwQwhkpOPPYv2Y/edit?usp=sharing"",""งบพรบ!CB69"")"),0)</f>
        <v>0</v>
      </c>
      <c r="F69" s="151">
        <f ca="1">IFERROR(__xludf.DUMMYFUNCTION("IMPORTRANGE(""https://docs.google.com/spreadsheets/d/1-uDff_7J0KD5mKrp0Vvzr7lt3OU09vwQwhkpOPPYv2Y/edit?usp=sharing"",""งบพรบ!CC69"")"),0)</f>
        <v>0</v>
      </c>
      <c r="G69" s="151">
        <f ca="1">IFERROR(__xludf.DUMMYFUNCTION("IMPORTRANGE(""https://docs.google.com/spreadsheets/d/1-uDff_7J0KD5mKrp0Vvzr7lt3OU09vwQwhkpOPPYv2Y/edit?usp=sharing"",""งบพรบ!CD69"")"),0)</f>
        <v>0</v>
      </c>
      <c r="H69" s="151">
        <f ca="1">IFERROR(__xludf.DUMMYFUNCTION("IMPORTRANGE(""https://docs.google.com/spreadsheets/d/1-uDff_7J0KD5mKrp0Vvzr7lt3OU09vwQwhkpOPPYv2Y/edit?usp=sharing"",""งบพรบ!CF69"")"),0)</f>
        <v>0</v>
      </c>
      <c r="I69" s="151">
        <f ca="1">IFERROR(__xludf.DUMMYFUNCTION("IMPORTRANGE(""https://docs.google.com/spreadsheets/d/1-uDff_7J0KD5mKrp0Vvzr7lt3OU09vwQwhkpOPPYv2Y/edit?usp=sharing"",""งบพรบ!CG69"")"),0)</f>
        <v>0</v>
      </c>
      <c r="J69" s="151">
        <f t="shared" ca="1" si="27"/>
        <v>0</v>
      </c>
      <c r="K69" s="154">
        <f t="shared" ca="1" si="28"/>
        <v>0</v>
      </c>
      <c r="L69" s="151">
        <f ca="1">IFERROR(__xludf.DUMMYFUNCTION("IMPORTRANGE(""https://docs.google.com/spreadsheets/d/1-uDff_7J0KD5mKrp0Vvzr7lt3OU09vwQwhkpOPPYv2Y/edit?usp=sharing"",""งบพรบ!CH69"")"),0)</f>
        <v>0</v>
      </c>
      <c r="M69" s="68">
        <f t="shared" ca="1" si="29"/>
        <v>0</v>
      </c>
      <c r="N69" s="68">
        <f t="shared" ca="1" si="30"/>
        <v>0</v>
      </c>
      <c r="O69" s="67">
        <f ca="1">IFERROR(__xludf.DUMMYFUNCTION("IMPORTRANGE(""https://docs.google.com/spreadsheets/d/1-uDff_7J0KD5mKrp0Vvzr7lt3OU09vwQwhkpOPPYv2Y/edit?usp=sharing"",""งบพรบ!CI69"")"),0)</f>
        <v>0</v>
      </c>
      <c r="P69" s="67">
        <f t="shared" ca="1" si="31"/>
        <v>0</v>
      </c>
      <c r="Q69" s="68">
        <f t="shared" ca="1" si="32"/>
        <v>0</v>
      </c>
      <c r="R69" s="197">
        <f ca="1">IFERROR(__xludf.DUMMYFUNCTION("IMPORTRANGE(""https://docs.google.com/spreadsheets/d/10oOiF7loTyfsTkbd4MpaIm0HQ9SwB7IYHdIUvt-U1Uc/edit?usp=sharing"",""สระแก้ว!Q157"")"),0)</f>
        <v>0</v>
      </c>
      <c r="S69" s="67">
        <f ca="1">IFERROR(__xludf.DUMMYFUNCTION("IMPORTRANGE(""https://docs.google.com/spreadsheets/d/10oOiF7loTyfsTkbd4MpaIm0HQ9SwB7IYHdIUvt-U1Uc/edit?usp=sharing"",""สระแก้ว!R157"")"),0)</f>
        <v>0</v>
      </c>
      <c r="T69" s="67">
        <f ca="1">IFERROR(__xludf.DUMMYFUNCTION("IMPORTRANGE(""https://docs.google.com/spreadsheets/d/10oOiF7loTyfsTkbd4MpaIm0HQ9SwB7IYHdIUvt-U1Uc/edit?usp=sharing"",""สระแก้ว!S157"")"),0)</f>
        <v>0</v>
      </c>
      <c r="U69" s="68">
        <f t="shared" ca="1" si="34"/>
        <v>0</v>
      </c>
      <c r="V69" s="68">
        <f t="shared" ca="1" si="35"/>
        <v>0</v>
      </c>
      <c r="W69" s="78">
        <f ca="1">IFERROR(__xludf.DUMMYFUNCTION("IMPORTRANGE(""https://docs.google.com/spreadsheets/d/10oOiF7loTyfsTkbd4MpaIm0HQ9SwB7IYHdIUvt-U1Uc/edit?usp=sharing"",""สระแก้ว!I167"")"),0)</f>
        <v>0</v>
      </c>
      <c r="X69" s="78">
        <f ca="1">IFERROR(__xludf.DUMMYFUNCTION("IMPORTRANGE(""https://docs.google.com/spreadsheets/d/10oOiF7loTyfsTkbd4MpaIm0HQ9SwB7IYHdIUvt-U1Uc/edit?usp=sharing"",""สระแก้ว!J167"")"),0)</f>
        <v>0</v>
      </c>
      <c r="Y69" s="79">
        <f t="shared" ca="1" si="37"/>
        <v>0</v>
      </c>
      <c r="Z69" s="78"/>
      <c r="AA69" s="78"/>
      <c r="AB69" s="79"/>
      <c r="AC69" s="78"/>
      <c r="AD69" s="78"/>
      <c r="AE69" s="79"/>
    </row>
    <row r="70" spans="1:31" ht="21" customHeight="1" x14ac:dyDescent="0.3">
      <c r="A70" s="70">
        <v>18</v>
      </c>
      <c r="B70" s="71" t="s">
        <v>98</v>
      </c>
      <c r="C70" s="149">
        <f t="shared" ca="1" si="25"/>
        <v>4500</v>
      </c>
      <c r="D70" s="150">
        <f t="shared" ca="1" si="46"/>
        <v>4500</v>
      </c>
      <c r="E70" s="151">
        <f ca="1">IFERROR(__xludf.DUMMYFUNCTION("IMPORTRANGE(""https://docs.google.com/spreadsheets/d/1-uDff_7J0KD5mKrp0Vvzr7lt3OU09vwQwhkpOPPYv2Y/edit?usp=sharing"",""งบพรบ!CB70"")"),0)</f>
        <v>0</v>
      </c>
      <c r="F70" s="151">
        <f ca="1">IFERROR(__xludf.DUMMYFUNCTION("IMPORTRANGE(""https://docs.google.com/spreadsheets/d/1-uDff_7J0KD5mKrp0Vvzr7lt3OU09vwQwhkpOPPYv2Y/edit?usp=sharing"",""งบพรบ!CC70"")"),4500)</f>
        <v>4500</v>
      </c>
      <c r="G70" s="151">
        <f ca="1">IFERROR(__xludf.DUMMYFUNCTION("IMPORTRANGE(""https://docs.google.com/spreadsheets/d/1-uDff_7J0KD5mKrp0Vvzr7lt3OU09vwQwhkpOPPYv2Y/edit?usp=sharing"",""งบพรบ!CD70"")"),0)</f>
        <v>0</v>
      </c>
      <c r="H70" s="151">
        <f ca="1">IFERROR(__xludf.DUMMYFUNCTION("IMPORTRANGE(""https://docs.google.com/spreadsheets/d/1-uDff_7J0KD5mKrp0Vvzr7lt3OU09vwQwhkpOPPYv2Y/edit?usp=sharing"",""งบพรบ!CF70"")"),5338)</f>
        <v>5338</v>
      </c>
      <c r="I70" s="151">
        <f ca="1">IFERROR(__xludf.DUMMYFUNCTION("IMPORTRANGE(""https://docs.google.com/spreadsheets/d/1-uDff_7J0KD5mKrp0Vvzr7lt3OU09vwQwhkpOPPYv2Y/edit?usp=sharing"",""งบพรบ!CG70"")"),0)</f>
        <v>0</v>
      </c>
      <c r="J70" s="151">
        <f t="shared" ca="1" si="27"/>
        <v>5338</v>
      </c>
      <c r="K70" s="154">
        <f t="shared" ca="1" si="28"/>
        <v>118.62222222222222</v>
      </c>
      <c r="L70" s="151">
        <f ca="1">IFERROR(__xludf.DUMMYFUNCTION("IMPORTRANGE(""https://docs.google.com/spreadsheets/d/1-uDff_7J0KD5mKrp0Vvzr7lt3OU09vwQwhkpOPPYv2Y/edit?usp=sharing"",""งบพรบ!CH70"")"),5338)</f>
        <v>5338</v>
      </c>
      <c r="M70" s="68">
        <f t="shared" ca="1" si="29"/>
        <v>118.62222222222222</v>
      </c>
      <c r="N70" s="68">
        <f t="shared" ca="1" si="30"/>
        <v>100</v>
      </c>
      <c r="O70" s="67">
        <f ca="1">IFERROR(__xludf.DUMMYFUNCTION("IMPORTRANGE(""https://docs.google.com/spreadsheets/d/1-uDff_7J0KD5mKrp0Vvzr7lt3OU09vwQwhkpOPPYv2Y/edit?usp=sharing"",""งบพรบ!CI70"")"),0)</f>
        <v>0</v>
      </c>
      <c r="P70" s="67">
        <f t="shared" ca="1" si="31"/>
        <v>0</v>
      </c>
      <c r="Q70" s="68">
        <f t="shared" ca="1" si="32"/>
        <v>0</v>
      </c>
      <c r="R70" s="197">
        <f ca="1">IFERROR(__xludf.DUMMYFUNCTION("IMPORTRANGE(""https://docs.google.com/spreadsheets/d/1xmPlrr1QbdSIKvl1dWUl9K4PjAfSL9oeMr_37QVzcxc/edit?usp=sharing"",""สระบุรี!Q157"")"),0)</f>
        <v>0</v>
      </c>
      <c r="S70" s="67">
        <f ca="1">IFERROR(__xludf.DUMMYFUNCTION("IMPORTRANGE(""https://docs.google.com/spreadsheets/d/1xmPlrr1QbdSIKvl1dWUl9K4PjAfSL9oeMr_37QVzcxc/edit?usp=sharing"",""สระบุรี!R157"")"),0)</f>
        <v>0</v>
      </c>
      <c r="T70" s="67">
        <f ca="1">IFERROR(__xludf.DUMMYFUNCTION("IMPORTRANGE(""https://docs.google.com/spreadsheets/d/1xmPlrr1QbdSIKvl1dWUl9K4PjAfSL9oeMr_37QVzcxc/edit?usp=sharing"",""สระบุรี!S157"")"),0)</f>
        <v>0</v>
      </c>
      <c r="U70" s="68">
        <f t="shared" ca="1" si="34"/>
        <v>0</v>
      </c>
      <c r="V70" s="68">
        <f t="shared" ca="1" si="35"/>
        <v>0</v>
      </c>
      <c r="W70" s="78">
        <f ca="1">IFERROR(__xludf.DUMMYFUNCTION("IMPORTRANGE(""https://docs.google.com/spreadsheets/d/1xmPlrr1QbdSIKvl1dWUl9K4PjAfSL9oeMr_37QVzcxc/edit?usp=sharing"",""สระบุรี!I167"")"),15)</f>
        <v>15</v>
      </c>
      <c r="X70" s="78">
        <f ca="1">IFERROR(__xludf.DUMMYFUNCTION("IMPORTRANGE(""https://docs.google.com/spreadsheets/d/1xmPlrr1QbdSIKvl1dWUl9K4PjAfSL9oeMr_37QVzcxc/edit?usp=sharing"",""สระบุรี!J167"")"),15)</f>
        <v>15</v>
      </c>
      <c r="Y70" s="79">
        <f t="shared" ca="1" si="37"/>
        <v>100</v>
      </c>
      <c r="Z70" s="78"/>
      <c r="AA70" s="78"/>
      <c r="AB70" s="79"/>
      <c r="AC70" s="78"/>
      <c r="AD70" s="78"/>
      <c r="AE70" s="79"/>
    </row>
    <row r="71" spans="1:31" ht="21" customHeight="1" x14ac:dyDescent="0.3">
      <c r="A71" s="70">
        <v>19</v>
      </c>
      <c r="B71" s="71" t="s">
        <v>99</v>
      </c>
      <c r="C71" s="149">
        <f t="shared" ca="1" si="25"/>
        <v>0</v>
      </c>
      <c r="D71" s="150">
        <f t="shared" ca="1" si="46"/>
        <v>0</v>
      </c>
      <c r="E71" s="151">
        <f ca="1">IFERROR(__xludf.DUMMYFUNCTION("IMPORTRANGE(""https://docs.google.com/spreadsheets/d/1-uDff_7J0KD5mKrp0Vvzr7lt3OU09vwQwhkpOPPYv2Y/edit?usp=sharing"",""งบพรบ!CB71"")"),0)</f>
        <v>0</v>
      </c>
      <c r="F71" s="151">
        <f ca="1">IFERROR(__xludf.DUMMYFUNCTION("IMPORTRANGE(""https://docs.google.com/spreadsheets/d/1-uDff_7J0KD5mKrp0Vvzr7lt3OU09vwQwhkpOPPYv2Y/edit?usp=sharing"",""งบพรบ!CC71"")"),0)</f>
        <v>0</v>
      </c>
      <c r="G71" s="151">
        <f ca="1">IFERROR(__xludf.DUMMYFUNCTION("IMPORTRANGE(""https://docs.google.com/spreadsheets/d/1-uDff_7J0KD5mKrp0Vvzr7lt3OU09vwQwhkpOPPYv2Y/edit?usp=sharing"",""งบพรบ!CD71"")"),0)</f>
        <v>0</v>
      </c>
      <c r="H71" s="151">
        <f ca="1">IFERROR(__xludf.DUMMYFUNCTION("IMPORTRANGE(""https://docs.google.com/spreadsheets/d/1-uDff_7J0KD5mKrp0Vvzr7lt3OU09vwQwhkpOPPYv2Y/edit?usp=sharing"",""งบพรบ!CF71"")"),0)</f>
        <v>0</v>
      </c>
      <c r="I71" s="151">
        <f ca="1">IFERROR(__xludf.DUMMYFUNCTION("IMPORTRANGE(""https://docs.google.com/spreadsheets/d/1-uDff_7J0KD5mKrp0Vvzr7lt3OU09vwQwhkpOPPYv2Y/edit?usp=sharing"",""งบพรบ!CG71"")"),0)</f>
        <v>0</v>
      </c>
      <c r="J71" s="151">
        <f t="shared" ca="1" si="27"/>
        <v>0</v>
      </c>
      <c r="K71" s="154">
        <f t="shared" ca="1" si="28"/>
        <v>0</v>
      </c>
      <c r="L71" s="151">
        <f ca="1">IFERROR(__xludf.DUMMYFUNCTION("IMPORTRANGE(""https://docs.google.com/spreadsheets/d/1-uDff_7J0KD5mKrp0Vvzr7lt3OU09vwQwhkpOPPYv2Y/edit?usp=sharing"",""งบพรบ!CH71"")"),0)</f>
        <v>0</v>
      </c>
      <c r="M71" s="68">
        <f t="shared" ca="1" si="29"/>
        <v>0</v>
      </c>
      <c r="N71" s="68">
        <f t="shared" ca="1" si="30"/>
        <v>0</v>
      </c>
      <c r="O71" s="67">
        <f ca="1">IFERROR(__xludf.DUMMYFUNCTION("IMPORTRANGE(""https://docs.google.com/spreadsheets/d/1-uDff_7J0KD5mKrp0Vvzr7lt3OU09vwQwhkpOPPYv2Y/edit?usp=sharing"",""งบพรบ!CI71"")"),0)</f>
        <v>0</v>
      </c>
      <c r="P71" s="67">
        <f t="shared" ca="1" si="31"/>
        <v>0</v>
      </c>
      <c r="Q71" s="68">
        <f t="shared" ca="1" si="32"/>
        <v>0</v>
      </c>
      <c r="R71" s="197">
        <f ca="1">IFERROR(__xludf.DUMMYFUNCTION("IMPORTRANGE(""https://docs.google.com/spreadsheets/d/1j51vR6CYVGhABJpv6tkstgok82RLpXieLzW1yOY5rHw/edit?usp=sharing"",""สิงห์บุรี!Q157"")"),0)</f>
        <v>0</v>
      </c>
      <c r="S71" s="67">
        <f ca="1">IFERROR(__xludf.DUMMYFUNCTION("IMPORTRANGE(""https://docs.google.com/spreadsheets/d/1j51vR6CYVGhABJpv6tkstgok82RLpXieLzW1yOY5rHw/edit?usp=sharing"",""สิงห์บุรี!R157"")"),0)</f>
        <v>0</v>
      </c>
      <c r="T71" s="67">
        <f ca="1">IFERROR(__xludf.DUMMYFUNCTION("IMPORTRANGE(""https://docs.google.com/spreadsheets/d/1j51vR6CYVGhABJpv6tkstgok82RLpXieLzW1yOY5rHw/edit?usp=sharing"",""สิงห์บุรี!S157"")"),0)</f>
        <v>0</v>
      </c>
      <c r="U71" s="68">
        <f t="shared" ca="1" si="34"/>
        <v>0</v>
      </c>
      <c r="V71" s="68">
        <f t="shared" ca="1" si="35"/>
        <v>0</v>
      </c>
      <c r="W71" s="78">
        <f ca="1">IFERROR(__xludf.DUMMYFUNCTION("IMPORTRANGE(""https://docs.google.com/spreadsheets/d/1j51vR6CYVGhABJpv6tkstgok82RLpXieLzW1yOY5rHw/edit?usp=sharing"",""สิงห์บุรี!I167"")"),0)</f>
        <v>0</v>
      </c>
      <c r="X71" s="78">
        <f ca="1">IFERROR(__xludf.DUMMYFUNCTION("IMPORTRANGE(""https://docs.google.com/spreadsheets/d/1j51vR6CYVGhABJpv6tkstgok82RLpXieLzW1yOY5rHw/edit?usp=sharing"",""สิงห์บุรี!J167"")"),0)</f>
        <v>0</v>
      </c>
      <c r="Y71" s="79">
        <f t="shared" ca="1" si="37"/>
        <v>0</v>
      </c>
      <c r="Z71" s="78"/>
      <c r="AA71" s="78"/>
      <c r="AB71" s="79"/>
      <c r="AC71" s="78"/>
      <c r="AD71" s="78"/>
      <c r="AE71" s="79"/>
    </row>
    <row r="72" spans="1:31" ht="21" customHeight="1" x14ac:dyDescent="0.3">
      <c r="A72" s="70">
        <v>20</v>
      </c>
      <c r="B72" s="71" t="s">
        <v>100</v>
      </c>
      <c r="C72" s="149">
        <f t="shared" ca="1" si="25"/>
        <v>4500</v>
      </c>
      <c r="D72" s="150">
        <f t="shared" ca="1" si="46"/>
        <v>4500</v>
      </c>
      <c r="E72" s="151">
        <f ca="1">IFERROR(__xludf.DUMMYFUNCTION("IMPORTRANGE(""https://docs.google.com/spreadsheets/d/1-uDff_7J0KD5mKrp0Vvzr7lt3OU09vwQwhkpOPPYv2Y/edit?usp=sharing"",""งบพรบ!CB72"")"),0)</f>
        <v>0</v>
      </c>
      <c r="F72" s="151">
        <f ca="1">IFERROR(__xludf.DUMMYFUNCTION("IMPORTRANGE(""https://docs.google.com/spreadsheets/d/1-uDff_7J0KD5mKrp0Vvzr7lt3OU09vwQwhkpOPPYv2Y/edit?usp=sharing"",""งบพรบ!CC72"")"),4500)</f>
        <v>4500</v>
      </c>
      <c r="G72" s="151">
        <f ca="1">IFERROR(__xludf.DUMMYFUNCTION("IMPORTRANGE(""https://docs.google.com/spreadsheets/d/1-uDff_7J0KD5mKrp0Vvzr7lt3OU09vwQwhkpOPPYv2Y/edit?usp=sharing"",""งบพรบ!CD72"")"),0)</f>
        <v>0</v>
      </c>
      <c r="H72" s="151">
        <f ca="1">IFERROR(__xludf.DUMMYFUNCTION("IMPORTRANGE(""https://docs.google.com/spreadsheets/d/1-uDff_7J0KD5mKrp0Vvzr7lt3OU09vwQwhkpOPPYv2Y/edit?usp=sharing"",""งบพรบ!CF72"")"),5050)</f>
        <v>5050</v>
      </c>
      <c r="I72" s="151">
        <f ca="1">IFERROR(__xludf.DUMMYFUNCTION("IMPORTRANGE(""https://docs.google.com/spreadsheets/d/1-uDff_7J0KD5mKrp0Vvzr7lt3OU09vwQwhkpOPPYv2Y/edit?usp=sharing"",""งบพรบ!CG72"")"),0)</f>
        <v>0</v>
      </c>
      <c r="J72" s="151">
        <f t="shared" ca="1" si="27"/>
        <v>4800</v>
      </c>
      <c r="K72" s="154">
        <f t="shared" ca="1" si="28"/>
        <v>106.66666666666667</v>
      </c>
      <c r="L72" s="151">
        <f ca="1">IFERROR(__xludf.DUMMYFUNCTION("IMPORTRANGE(""https://docs.google.com/spreadsheets/d/1-uDff_7J0KD5mKrp0Vvzr7lt3OU09vwQwhkpOPPYv2Y/edit?usp=sharing"",""งบพรบ!CH72"")"),4800)</f>
        <v>4800</v>
      </c>
      <c r="M72" s="68">
        <f t="shared" ca="1" si="29"/>
        <v>106.66666666666667</v>
      </c>
      <c r="N72" s="68">
        <f t="shared" ca="1" si="30"/>
        <v>95.049504950495049</v>
      </c>
      <c r="O72" s="67">
        <f ca="1">IFERROR(__xludf.DUMMYFUNCTION("IMPORTRANGE(""https://docs.google.com/spreadsheets/d/1-uDff_7J0KD5mKrp0Vvzr7lt3OU09vwQwhkpOPPYv2Y/edit?usp=sharing"",""งบพรบ!CI72"")"),0)</f>
        <v>0</v>
      </c>
      <c r="P72" s="67">
        <f t="shared" ca="1" si="31"/>
        <v>0</v>
      </c>
      <c r="Q72" s="68">
        <f t="shared" ca="1" si="32"/>
        <v>0</v>
      </c>
      <c r="R72" s="197">
        <f ca="1">IFERROR(__xludf.DUMMYFUNCTION("IMPORTRANGE(""https://docs.google.com/spreadsheets/d/1H1EalTWKUSzO4Z1-1CwzoDUaVffgrThEBe2sl74kKG0/edit?usp=sharing"",""สุพรรณบุรี!Q157"")"),0)</f>
        <v>0</v>
      </c>
      <c r="S72" s="67">
        <f ca="1">IFERROR(__xludf.DUMMYFUNCTION("IMPORTRANGE(""https://docs.google.com/spreadsheets/d/1H1EalTWKUSzO4Z1-1CwzoDUaVffgrThEBe2sl74kKG0/edit?usp=sharing"",""สุพรรณบุรี!R157"")"),0)</f>
        <v>0</v>
      </c>
      <c r="T72" s="67">
        <f ca="1">IFERROR(__xludf.DUMMYFUNCTION("IMPORTRANGE(""https://docs.google.com/spreadsheets/d/1H1EalTWKUSzO4Z1-1CwzoDUaVffgrThEBe2sl74kKG0/edit?usp=sharing"",""สุพรรณบุรี!S157"")"),0)</f>
        <v>0</v>
      </c>
      <c r="U72" s="68">
        <f t="shared" ca="1" si="34"/>
        <v>0</v>
      </c>
      <c r="V72" s="68">
        <f t="shared" ca="1" si="35"/>
        <v>0</v>
      </c>
      <c r="W72" s="78">
        <f ca="1">IFERROR(__xludf.DUMMYFUNCTION("IMPORTRANGE(""https://docs.google.com/spreadsheets/d/1H1EalTWKUSzO4Z1-1CwzoDUaVffgrThEBe2sl74kKG0/edit?usp=sharing"",""สุพรรณบุรี!I167"")"),15)</f>
        <v>15</v>
      </c>
      <c r="X72" s="78">
        <f ca="1">IFERROR(__xludf.DUMMYFUNCTION("IMPORTRANGE(""https://docs.google.com/spreadsheets/d/1H1EalTWKUSzO4Z1-1CwzoDUaVffgrThEBe2sl74kKG0/edit?usp=sharing"",""สุพรรณบุรี!J167"")"),15)</f>
        <v>15</v>
      </c>
      <c r="Y72" s="79">
        <f t="shared" ca="1" si="37"/>
        <v>100</v>
      </c>
      <c r="Z72" s="78"/>
      <c r="AA72" s="78"/>
      <c r="AB72" s="79"/>
      <c r="AC72" s="78"/>
      <c r="AD72" s="78"/>
      <c r="AE72" s="79"/>
    </row>
    <row r="73" spans="1:31" ht="21" customHeight="1" x14ac:dyDescent="0.3">
      <c r="A73" s="80">
        <v>21</v>
      </c>
      <c r="B73" s="81" t="s">
        <v>101</v>
      </c>
      <c r="C73" s="157">
        <f t="shared" ca="1" si="25"/>
        <v>0</v>
      </c>
      <c r="D73" s="158">
        <f t="shared" ca="1" si="46"/>
        <v>0</v>
      </c>
      <c r="E73" s="159">
        <f ca="1">IFERROR(__xludf.DUMMYFUNCTION("IMPORTRANGE(""https://docs.google.com/spreadsheets/d/1-uDff_7J0KD5mKrp0Vvzr7lt3OU09vwQwhkpOPPYv2Y/edit?usp=sharing"",""งบพรบ!CB73"")"),0)</f>
        <v>0</v>
      </c>
      <c r="F73" s="159">
        <f ca="1">IFERROR(__xludf.DUMMYFUNCTION("IMPORTRANGE(""https://docs.google.com/spreadsheets/d/1-uDff_7J0KD5mKrp0Vvzr7lt3OU09vwQwhkpOPPYv2Y/edit?usp=sharing"",""งบพรบ!CC73"")"),0)</f>
        <v>0</v>
      </c>
      <c r="G73" s="159">
        <f ca="1">IFERROR(__xludf.DUMMYFUNCTION("IMPORTRANGE(""https://docs.google.com/spreadsheets/d/1-uDff_7J0KD5mKrp0Vvzr7lt3OU09vwQwhkpOPPYv2Y/edit?usp=sharing"",""งบพรบ!CD73"")"),0)</f>
        <v>0</v>
      </c>
      <c r="H73" s="159">
        <f ca="1">IFERROR(__xludf.DUMMYFUNCTION("IMPORTRANGE(""https://docs.google.com/spreadsheets/d/1-uDff_7J0KD5mKrp0Vvzr7lt3OU09vwQwhkpOPPYv2Y/edit?usp=sharing"",""งบพรบ!CF73"")"),0)</f>
        <v>0</v>
      </c>
      <c r="I73" s="159">
        <f ca="1">IFERROR(__xludf.DUMMYFUNCTION("IMPORTRANGE(""https://docs.google.com/spreadsheets/d/1-uDff_7J0KD5mKrp0Vvzr7lt3OU09vwQwhkpOPPYv2Y/edit?usp=sharing"",""งบพรบ!CG73"")"),0)</f>
        <v>0</v>
      </c>
      <c r="J73" s="159">
        <f t="shared" ca="1" si="27"/>
        <v>0</v>
      </c>
      <c r="K73" s="160">
        <f t="shared" ca="1" si="28"/>
        <v>0</v>
      </c>
      <c r="L73" s="159">
        <f ca="1">IFERROR(__xludf.DUMMYFUNCTION("IMPORTRANGE(""https://docs.google.com/spreadsheets/d/1-uDff_7J0KD5mKrp0Vvzr7lt3OU09vwQwhkpOPPYv2Y/edit?usp=sharing"",""งบพรบ!CH73"")"),0)</f>
        <v>0</v>
      </c>
      <c r="M73" s="89">
        <f t="shared" ca="1" si="29"/>
        <v>0</v>
      </c>
      <c r="N73" s="89">
        <f t="shared" ca="1" si="30"/>
        <v>0</v>
      </c>
      <c r="O73" s="88">
        <f ca="1">IFERROR(__xludf.DUMMYFUNCTION("IMPORTRANGE(""https://docs.google.com/spreadsheets/d/1-uDff_7J0KD5mKrp0Vvzr7lt3OU09vwQwhkpOPPYv2Y/edit?usp=sharing"",""งบพรบ!CI73"")"),0)</f>
        <v>0</v>
      </c>
      <c r="P73" s="88">
        <f t="shared" ca="1" si="31"/>
        <v>0</v>
      </c>
      <c r="Q73" s="89">
        <f t="shared" ca="1" si="32"/>
        <v>0</v>
      </c>
      <c r="R73" s="198">
        <f ca="1">IFERROR(__xludf.DUMMYFUNCTION("IMPORTRANGE(""https://docs.google.com/spreadsheets/d/1BmIruG_sIrJLYao_Pdr7zVArWsfoBt2692TMi6x_854/edit?usp=sharing"",""อ่างทอง!Q157"")"),0)</f>
        <v>0</v>
      </c>
      <c r="S73" s="88">
        <f ca="1">IFERROR(__xludf.DUMMYFUNCTION("IMPORTRANGE(""https://docs.google.com/spreadsheets/d/1BmIruG_sIrJLYao_Pdr7zVArWsfoBt2692TMi6x_854/edit?usp=sharing"",""อ่างทอง!R157"")"),0)</f>
        <v>0</v>
      </c>
      <c r="T73" s="88">
        <f ca="1">IFERROR(__xludf.DUMMYFUNCTION("IMPORTRANGE(""https://docs.google.com/spreadsheets/d/1BmIruG_sIrJLYao_Pdr7zVArWsfoBt2692TMi6x_854/edit?usp=sharing"",""อ่างทอง!S157"")"),0)</f>
        <v>0</v>
      </c>
      <c r="U73" s="89">
        <f t="shared" ca="1" si="34"/>
        <v>0</v>
      </c>
      <c r="V73" s="89">
        <f t="shared" ca="1" si="35"/>
        <v>0</v>
      </c>
      <c r="W73" s="90">
        <f ca="1">IFERROR(__xludf.DUMMYFUNCTION("IMPORTRANGE(""https://docs.google.com/spreadsheets/d/1BmIruG_sIrJLYao_Pdr7zVArWsfoBt2692TMi6x_854/edit?usp=sharing"",""อ่างทอง!I167"")"),0)</f>
        <v>0</v>
      </c>
      <c r="X73" s="90">
        <f ca="1">IFERROR(__xludf.DUMMYFUNCTION("IMPORTRANGE(""https://docs.google.com/spreadsheets/d/1BmIruG_sIrJLYao_Pdr7zVArWsfoBt2692TMi6x_854/edit?usp=sharing"",""อ่างทอง!J167"")"),0)</f>
        <v>0</v>
      </c>
      <c r="Y73" s="91">
        <f t="shared" ca="1" si="37"/>
        <v>0</v>
      </c>
      <c r="Z73" s="90"/>
      <c r="AA73" s="90"/>
      <c r="AB73" s="91"/>
      <c r="AC73" s="90"/>
      <c r="AD73" s="90"/>
      <c r="AE73" s="91"/>
    </row>
    <row r="74" spans="1:31" ht="21" customHeight="1" x14ac:dyDescent="0.3">
      <c r="A74" s="664" t="s">
        <v>102</v>
      </c>
      <c r="B74" s="647"/>
      <c r="C74" s="161">
        <f t="shared" ca="1" si="25"/>
        <v>9000</v>
      </c>
      <c r="D74" s="161">
        <f t="shared" ref="D74:I74" ca="1" si="47">SUM(D75:D88)</f>
        <v>9000</v>
      </c>
      <c r="E74" s="161">
        <f t="shared" ca="1" si="47"/>
        <v>0</v>
      </c>
      <c r="F74" s="161">
        <f t="shared" ca="1" si="47"/>
        <v>9000</v>
      </c>
      <c r="G74" s="161">
        <f t="shared" ca="1" si="47"/>
        <v>0</v>
      </c>
      <c r="H74" s="161">
        <f t="shared" ca="1" si="47"/>
        <v>13920</v>
      </c>
      <c r="I74" s="161">
        <f t="shared" ca="1" si="47"/>
        <v>0</v>
      </c>
      <c r="J74" s="161">
        <f t="shared" ca="1" si="27"/>
        <v>13920</v>
      </c>
      <c r="K74" s="162">
        <f t="shared" ca="1" si="28"/>
        <v>154.66666666666666</v>
      </c>
      <c r="L74" s="161">
        <f ca="1">SUM(L75:L88)</f>
        <v>13920</v>
      </c>
      <c r="M74" s="94">
        <f t="shared" ca="1" si="29"/>
        <v>154.66666666666666</v>
      </c>
      <c r="N74" s="94">
        <f t="shared" ca="1" si="30"/>
        <v>100</v>
      </c>
      <c r="O74" s="93">
        <f ca="1">SUM(O75:O88)</f>
        <v>0</v>
      </c>
      <c r="P74" s="93">
        <f t="shared" ca="1" si="31"/>
        <v>0</v>
      </c>
      <c r="Q74" s="94">
        <f t="shared" ca="1" si="32"/>
        <v>0</v>
      </c>
      <c r="R74" s="199">
        <f t="shared" ref="R74:T74" ca="1" si="48">SUM(R75:R88)</f>
        <v>0</v>
      </c>
      <c r="S74" s="93">
        <f t="shared" ca="1" si="48"/>
        <v>0</v>
      </c>
      <c r="T74" s="93">
        <f t="shared" ca="1" si="48"/>
        <v>0</v>
      </c>
      <c r="U74" s="94">
        <f t="shared" ca="1" si="34"/>
        <v>0</v>
      </c>
      <c r="V74" s="94">
        <f t="shared" ca="1" si="35"/>
        <v>0</v>
      </c>
      <c r="W74" s="52">
        <f t="shared" ref="W74:X74" ca="1" si="49">SUM(W75:W88)</f>
        <v>30</v>
      </c>
      <c r="X74" s="52">
        <f t="shared" ca="1" si="49"/>
        <v>42</v>
      </c>
      <c r="Y74" s="54">
        <f t="shared" ca="1" si="37"/>
        <v>140</v>
      </c>
      <c r="Z74" s="52"/>
      <c r="AA74" s="52"/>
      <c r="AB74" s="54"/>
      <c r="AC74" s="52"/>
      <c r="AD74" s="52"/>
      <c r="AE74" s="54"/>
    </row>
    <row r="75" spans="1:31" ht="21" customHeight="1" x14ac:dyDescent="0.3">
      <c r="A75" s="58">
        <v>1</v>
      </c>
      <c r="B75" s="59" t="s">
        <v>103</v>
      </c>
      <c r="C75" s="149">
        <f t="shared" ca="1" si="25"/>
        <v>0</v>
      </c>
      <c r="D75" s="150">
        <f t="shared" ref="D75:D88" ca="1" si="50">+E75+F75</f>
        <v>0</v>
      </c>
      <c r="E75" s="151">
        <f ca="1">IFERROR(__xludf.DUMMYFUNCTION("IMPORTRANGE(""https://docs.google.com/spreadsheets/d/1-uDff_7J0KD5mKrp0Vvzr7lt3OU09vwQwhkpOPPYv2Y/edit?usp=sharing"",""งบพรบ!CB75"")"),0)</f>
        <v>0</v>
      </c>
      <c r="F75" s="151">
        <f ca="1">IFERROR(__xludf.DUMMYFUNCTION("IMPORTRANGE(""https://docs.google.com/spreadsheets/d/1-uDff_7J0KD5mKrp0Vvzr7lt3OU09vwQwhkpOPPYv2Y/edit?usp=sharing"",""งบพรบ!CC75"")"),0)</f>
        <v>0</v>
      </c>
      <c r="G75" s="151">
        <f ca="1">IFERROR(__xludf.DUMMYFUNCTION("IMPORTRANGE(""https://docs.google.com/spreadsheets/d/1-uDff_7J0KD5mKrp0Vvzr7lt3OU09vwQwhkpOPPYv2Y/edit?usp=sharing"",""งบพรบ!CD75"")"),0)</f>
        <v>0</v>
      </c>
      <c r="H75" s="151">
        <f ca="1">IFERROR(__xludf.DUMMYFUNCTION("IMPORTRANGE(""https://docs.google.com/spreadsheets/d/1-uDff_7J0KD5mKrp0Vvzr7lt3OU09vwQwhkpOPPYv2Y/edit?usp=sharing"",""งบพรบ!CF75"")"),0)</f>
        <v>0</v>
      </c>
      <c r="I75" s="151">
        <f ca="1">IFERROR(__xludf.DUMMYFUNCTION("IMPORTRANGE(""https://docs.google.com/spreadsheets/d/1-uDff_7J0KD5mKrp0Vvzr7lt3OU09vwQwhkpOPPYv2Y/edit?usp=sharing"",""งบพรบ!CG75"")"),0)</f>
        <v>0</v>
      </c>
      <c r="J75" s="151">
        <f t="shared" ca="1" si="27"/>
        <v>0</v>
      </c>
      <c r="K75" s="154">
        <f t="shared" ca="1" si="28"/>
        <v>0</v>
      </c>
      <c r="L75" s="151">
        <f ca="1">IFERROR(__xludf.DUMMYFUNCTION("IMPORTRANGE(""https://docs.google.com/spreadsheets/d/1-uDff_7J0KD5mKrp0Vvzr7lt3OU09vwQwhkpOPPYv2Y/edit?usp=sharing"",""งบพรบ!CH75"")"),0)</f>
        <v>0</v>
      </c>
      <c r="M75" s="68">
        <f t="shared" ca="1" si="29"/>
        <v>0</v>
      </c>
      <c r="N75" s="68">
        <f t="shared" ca="1" si="30"/>
        <v>0</v>
      </c>
      <c r="O75" s="67">
        <f ca="1">IFERROR(__xludf.DUMMYFUNCTION("IMPORTRANGE(""https://docs.google.com/spreadsheets/d/1-uDff_7J0KD5mKrp0Vvzr7lt3OU09vwQwhkpOPPYv2Y/edit?usp=sharing"",""งบพรบ!CI75"")"),0)</f>
        <v>0</v>
      </c>
      <c r="P75" s="67">
        <f t="shared" ca="1" si="31"/>
        <v>0</v>
      </c>
      <c r="Q75" s="68">
        <f t="shared" ca="1" si="32"/>
        <v>0</v>
      </c>
      <c r="R75" s="197">
        <f ca="1">IFERROR(__xludf.DUMMYFUNCTION("IMPORTRANGE(""https://docs.google.com/spreadsheets/d/1kKUcYdkIfrgTSj8iHHHB2MD2FAtwyyocFgqGQn6ADyI/edit?usp=sharing"",""กระบี่!Q157"")"),0)</f>
        <v>0</v>
      </c>
      <c r="S75" s="67">
        <f ca="1">IFERROR(__xludf.DUMMYFUNCTION("IMPORTRANGE(""https://docs.google.com/spreadsheets/d/1kKUcYdkIfrgTSj8iHHHB2MD2FAtwyyocFgqGQn6ADyI/edit?usp=sharing"",""กระบี่!R157"")"),0)</f>
        <v>0</v>
      </c>
      <c r="T75" s="67">
        <f ca="1">IFERROR(__xludf.DUMMYFUNCTION("IMPORTRANGE(""https://docs.google.com/spreadsheets/d/1kKUcYdkIfrgTSj8iHHHB2MD2FAtwyyocFgqGQn6ADyI/edit?usp=sharing"",""กระบี่!S157"")"),0)</f>
        <v>0</v>
      </c>
      <c r="U75" s="68">
        <f t="shared" ca="1" si="34"/>
        <v>0</v>
      </c>
      <c r="V75" s="68">
        <f t="shared" ca="1" si="35"/>
        <v>0</v>
      </c>
      <c r="W75" s="63">
        <f ca="1">IFERROR(__xludf.DUMMYFUNCTION("IMPORTRANGE(""https://docs.google.com/spreadsheets/d/1kKUcYdkIfrgTSj8iHHHB2MD2FAtwyyocFgqGQn6ADyI/edit?usp=sharing"",""กระบี่!I167"")"),0)</f>
        <v>0</v>
      </c>
      <c r="X75" s="63">
        <f ca="1">IFERROR(__xludf.DUMMYFUNCTION("IMPORTRANGE(""https://docs.google.com/spreadsheets/d/1kKUcYdkIfrgTSj8iHHHB2MD2FAtwyyocFgqGQn6ADyI/edit?usp=sharing"",""กระบี่!J167"")"),0)</f>
        <v>0</v>
      </c>
      <c r="Y75" s="69">
        <f t="shared" ca="1" si="37"/>
        <v>0</v>
      </c>
      <c r="Z75" s="63"/>
      <c r="AA75" s="63"/>
      <c r="AB75" s="69"/>
      <c r="AC75" s="63"/>
      <c r="AD75" s="63"/>
      <c r="AE75" s="69"/>
    </row>
    <row r="76" spans="1:31" ht="21" customHeight="1" x14ac:dyDescent="0.3">
      <c r="A76" s="70">
        <v>2</v>
      </c>
      <c r="B76" s="71" t="s">
        <v>104</v>
      </c>
      <c r="C76" s="149">
        <f t="shared" ca="1" si="25"/>
        <v>4500</v>
      </c>
      <c r="D76" s="150">
        <f t="shared" ca="1" si="50"/>
        <v>4500</v>
      </c>
      <c r="E76" s="151">
        <f ca="1">IFERROR(__xludf.DUMMYFUNCTION("IMPORTRANGE(""https://docs.google.com/spreadsheets/d/1-uDff_7J0KD5mKrp0Vvzr7lt3OU09vwQwhkpOPPYv2Y/edit?usp=sharing"",""งบพรบ!CB76"")"),0)</f>
        <v>0</v>
      </c>
      <c r="F76" s="151">
        <f ca="1">IFERROR(__xludf.DUMMYFUNCTION("IMPORTRANGE(""https://docs.google.com/spreadsheets/d/1-uDff_7J0KD5mKrp0Vvzr7lt3OU09vwQwhkpOPPYv2Y/edit?usp=sharing"",""งบพรบ!CC76"")"),4500)</f>
        <v>4500</v>
      </c>
      <c r="G76" s="151">
        <f ca="1">IFERROR(__xludf.DUMMYFUNCTION("IMPORTRANGE(""https://docs.google.com/spreadsheets/d/1-uDff_7J0KD5mKrp0Vvzr7lt3OU09vwQwhkpOPPYv2Y/edit?usp=sharing"",""งบพรบ!CD76"")"),0)</f>
        <v>0</v>
      </c>
      <c r="H76" s="151">
        <f ca="1">IFERROR(__xludf.DUMMYFUNCTION("IMPORTRANGE(""https://docs.google.com/spreadsheets/d/1-uDff_7J0KD5mKrp0Vvzr7lt3OU09vwQwhkpOPPYv2Y/edit?usp=sharing"",""งบพรบ!CF76"")"),11670)</f>
        <v>11670</v>
      </c>
      <c r="I76" s="151">
        <f ca="1">IFERROR(__xludf.DUMMYFUNCTION("IMPORTRANGE(""https://docs.google.com/spreadsheets/d/1-uDff_7J0KD5mKrp0Vvzr7lt3OU09vwQwhkpOPPYv2Y/edit?usp=sharing"",""งบพรบ!CG76"")"),0)</f>
        <v>0</v>
      </c>
      <c r="J76" s="151">
        <f t="shared" ca="1" si="27"/>
        <v>11670</v>
      </c>
      <c r="K76" s="154">
        <f t="shared" ca="1" si="28"/>
        <v>259.33333333333331</v>
      </c>
      <c r="L76" s="151">
        <f ca="1">IFERROR(__xludf.DUMMYFUNCTION("IMPORTRANGE(""https://docs.google.com/spreadsheets/d/1-uDff_7J0KD5mKrp0Vvzr7lt3OU09vwQwhkpOPPYv2Y/edit?usp=sharing"",""งบพรบ!CH76"")"),11670)</f>
        <v>11670</v>
      </c>
      <c r="M76" s="68">
        <f t="shared" ca="1" si="29"/>
        <v>259.33333333333331</v>
      </c>
      <c r="N76" s="68">
        <f t="shared" ca="1" si="30"/>
        <v>100</v>
      </c>
      <c r="O76" s="67">
        <f ca="1">IFERROR(__xludf.DUMMYFUNCTION("IMPORTRANGE(""https://docs.google.com/spreadsheets/d/1-uDff_7J0KD5mKrp0Vvzr7lt3OU09vwQwhkpOPPYv2Y/edit?usp=sharing"",""งบพรบ!CI76"")"),0)</f>
        <v>0</v>
      </c>
      <c r="P76" s="67">
        <f t="shared" ca="1" si="31"/>
        <v>0</v>
      </c>
      <c r="Q76" s="68">
        <f t="shared" ca="1" si="32"/>
        <v>0</v>
      </c>
      <c r="R76" s="197">
        <f ca="1">IFERROR(__xludf.DUMMYFUNCTION("IMPORTRANGE(""https://docs.google.com/spreadsheets/d/1GwtLaSlNZkLk7iDqcyZz22giiy40b_usZZBXYciEN1U/edit?usp=sharing"",""ชุมพร!Q157"")"),0)</f>
        <v>0</v>
      </c>
      <c r="S76" s="67">
        <f ca="1">IFERROR(__xludf.DUMMYFUNCTION("IMPORTRANGE(""https://docs.google.com/spreadsheets/d/1GwtLaSlNZkLk7iDqcyZz22giiy40b_usZZBXYciEN1U/edit?usp=sharing"",""ชุมพร!R157"")"),0)</f>
        <v>0</v>
      </c>
      <c r="T76" s="67">
        <f ca="1">IFERROR(__xludf.DUMMYFUNCTION("IMPORTRANGE(""https://docs.google.com/spreadsheets/d/1GwtLaSlNZkLk7iDqcyZz22giiy40b_usZZBXYciEN1U/edit?usp=sharing"",""ชุมพร!S157"")"),0)</f>
        <v>0</v>
      </c>
      <c r="U76" s="68">
        <f t="shared" ca="1" si="34"/>
        <v>0</v>
      </c>
      <c r="V76" s="68">
        <f t="shared" ca="1" si="35"/>
        <v>0</v>
      </c>
      <c r="W76" s="78">
        <f ca="1">IFERROR(__xludf.DUMMYFUNCTION("IMPORTRANGE(""https://docs.google.com/spreadsheets/d/1GwtLaSlNZkLk7iDqcyZz22giiy40b_usZZBXYciEN1U/edit?usp=sharing"",""ชุมพร!I167"")"),15)</f>
        <v>15</v>
      </c>
      <c r="X76" s="78">
        <f ca="1">IFERROR(__xludf.DUMMYFUNCTION("IMPORTRANGE(""https://docs.google.com/spreadsheets/d/1GwtLaSlNZkLk7iDqcyZz22giiy40b_usZZBXYciEN1U/edit?usp=sharing"",""ชุมพร!J167"")"),27)</f>
        <v>27</v>
      </c>
      <c r="Y76" s="79">
        <f t="shared" ca="1" si="37"/>
        <v>180</v>
      </c>
      <c r="Z76" s="78"/>
      <c r="AA76" s="78"/>
      <c r="AB76" s="79"/>
      <c r="AC76" s="78"/>
      <c r="AD76" s="78"/>
      <c r="AE76" s="79"/>
    </row>
    <row r="77" spans="1:31" ht="21" customHeight="1" x14ac:dyDescent="0.3">
      <c r="A77" s="70">
        <v>3</v>
      </c>
      <c r="B77" s="71" t="s">
        <v>105</v>
      </c>
      <c r="C77" s="149">
        <f t="shared" ca="1" si="25"/>
        <v>0</v>
      </c>
      <c r="D77" s="150">
        <f t="shared" ca="1" si="50"/>
        <v>0</v>
      </c>
      <c r="E77" s="151">
        <f ca="1">IFERROR(__xludf.DUMMYFUNCTION("IMPORTRANGE(""https://docs.google.com/spreadsheets/d/1-uDff_7J0KD5mKrp0Vvzr7lt3OU09vwQwhkpOPPYv2Y/edit?usp=sharing"",""งบพรบ!CB77"")"),0)</f>
        <v>0</v>
      </c>
      <c r="F77" s="151">
        <f ca="1">IFERROR(__xludf.DUMMYFUNCTION("IMPORTRANGE(""https://docs.google.com/spreadsheets/d/1-uDff_7J0KD5mKrp0Vvzr7lt3OU09vwQwhkpOPPYv2Y/edit?usp=sharing"",""งบพรบ!CC77"")"),0)</f>
        <v>0</v>
      </c>
      <c r="G77" s="151">
        <f ca="1">IFERROR(__xludf.DUMMYFUNCTION("IMPORTRANGE(""https://docs.google.com/spreadsheets/d/1-uDff_7J0KD5mKrp0Vvzr7lt3OU09vwQwhkpOPPYv2Y/edit?usp=sharing"",""งบพรบ!CD77"")"),0)</f>
        <v>0</v>
      </c>
      <c r="H77" s="151">
        <f ca="1">IFERROR(__xludf.DUMMYFUNCTION("IMPORTRANGE(""https://docs.google.com/spreadsheets/d/1-uDff_7J0KD5mKrp0Vvzr7lt3OU09vwQwhkpOPPYv2Y/edit?usp=sharing"",""งบพรบ!CF77"")"),0)</f>
        <v>0</v>
      </c>
      <c r="I77" s="151">
        <f ca="1">IFERROR(__xludf.DUMMYFUNCTION("IMPORTRANGE(""https://docs.google.com/spreadsheets/d/1-uDff_7J0KD5mKrp0Vvzr7lt3OU09vwQwhkpOPPYv2Y/edit?usp=sharing"",""งบพรบ!CG77"")"),0)</f>
        <v>0</v>
      </c>
      <c r="J77" s="151">
        <f t="shared" ca="1" si="27"/>
        <v>0</v>
      </c>
      <c r="K77" s="154">
        <f t="shared" ca="1" si="28"/>
        <v>0</v>
      </c>
      <c r="L77" s="151">
        <f ca="1">IFERROR(__xludf.DUMMYFUNCTION("IMPORTRANGE(""https://docs.google.com/spreadsheets/d/1-uDff_7J0KD5mKrp0Vvzr7lt3OU09vwQwhkpOPPYv2Y/edit?usp=sharing"",""งบพรบ!CH77"")"),0)</f>
        <v>0</v>
      </c>
      <c r="M77" s="68">
        <f t="shared" ca="1" si="29"/>
        <v>0</v>
      </c>
      <c r="N77" s="68">
        <f t="shared" ca="1" si="30"/>
        <v>0</v>
      </c>
      <c r="O77" s="67">
        <f ca="1">IFERROR(__xludf.DUMMYFUNCTION("IMPORTRANGE(""https://docs.google.com/spreadsheets/d/1-uDff_7J0KD5mKrp0Vvzr7lt3OU09vwQwhkpOPPYv2Y/edit?usp=sharing"",""งบพรบ!CI77"")"),0)</f>
        <v>0</v>
      </c>
      <c r="P77" s="67">
        <f t="shared" ca="1" si="31"/>
        <v>0</v>
      </c>
      <c r="Q77" s="68">
        <f t="shared" ca="1" si="32"/>
        <v>0</v>
      </c>
      <c r="R77" s="197">
        <f ca="1">IFERROR(__xludf.DUMMYFUNCTION("IMPORTRANGE(""https://docs.google.com/spreadsheets/d/16pAz3pOhQEZBhvFNMa5KGgZS6iKWpsKX0pg6tQmwFpo/edit?usp=sharing"",""ตรัง!Q157"")"),0)</f>
        <v>0</v>
      </c>
      <c r="S77" s="67">
        <f ca="1">IFERROR(__xludf.DUMMYFUNCTION("IMPORTRANGE(""https://docs.google.com/spreadsheets/d/16pAz3pOhQEZBhvFNMa5KGgZS6iKWpsKX0pg6tQmwFpo/edit?usp=sharing"",""ตรัง!R157"")"),0)</f>
        <v>0</v>
      </c>
      <c r="T77" s="67">
        <f ca="1">IFERROR(__xludf.DUMMYFUNCTION("IMPORTRANGE(""https://docs.google.com/spreadsheets/d/16pAz3pOhQEZBhvFNMa5KGgZS6iKWpsKX0pg6tQmwFpo/edit?usp=sharing"",""ตรัง!S157"")"),0)</f>
        <v>0</v>
      </c>
      <c r="U77" s="68">
        <f t="shared" ca="1" si="34"/>
        <v>0</v>
      </c>
      <c r="V77" s="68">
        <f t="shared" ca="1" si="35"/>
        <v>0</v>
      </c>
      <c r="W77" s="78">
        <f ca="1">IFERROR(__xludf.DUMMYFUNCTION("IMPORTRANGE(""https://docs.google.com/spreadsheets/d/16pAz3pOhQEZBhvFNMa5KGgZS6iKWpsKX0pg6tQmwFpo/edit?usp=sharing"",""ตรัง!I167"")"),0)</f>
        <v>0</v>
      </c>
      <c r="X77" s="78">
        <f ca="1">IFERROR(__xludf.DUMMYFUNCTION("IMPORTRANGE(""https://docs.google.com/spreadsheets/d/16pAz3pOhQEZBhvFNMa5KGgZS6iKWpsKX0pg6tQmwFpo/edit?usp=sharing"",""ตรัง!J167"")"),0)</f>
        <v>0</v>
      </c>
      <c r="Y77" s="79">
        <f t="shared" ca="1" si="37"/>
        <v>0</v>
      </c>
      <c r="Z77" s="78"/>
      <c r="AA77" s="78"/>
      <c r="AB77" s="79"/>
      <c r="AC77" s="78"/>
      <c r="AD77" s="78"/>
      <c r="AE77" s="79"/>
    </row>
    <row r="78" spans="1:31" ht="21" customHeight="1" x14ac:dyDescent="0.3">
      <c r="A78" s="70">
        <v>4</v>
      </c>
      <c r="B78" s="71" t="s">
        <v>106</v>
      </c>
      <c r="C78" s="149">
        <f t="shared" ca="1" si="25"/>
        <v>0</v>
      </c>
      <c r="D78" s="150">
        <f t="shared" ca="1" si="50"/>
        <v>0</v>
      </c>
      <c r="E78" s="151">
        <f ca="1">IFERROR(__xludf.DUMMYFUNCTION("IMPORTRANGE(""https://docs.google.com/spreadsheets/d/1-uDff_7J0KD5mKrp0Vvzr7lt3OU09vwQwhkpOPPYv2Y/edit?usp=sharing"",""งบพรบ!CB78"")"),0)</f>
        <v>0</v>
      </c>
      <c r="F78" s="151">
        <f ca="1">IFERROR(__xludf.DUMMYFUNCTION("IMPORTRANGE(""https://docs.google.com/spreadsheets/d/1-uDff_7J0KD5mKrp0Vvzr7lt3OU09vwQwhkpOPPYv2Y/edit?usp=sharing"",""งบพรบ!CC78"")"),0)</f>
        <v>0</v>
      </c>
      <c r="G78" s="151">
        <f ca="1">IFERROR(__xludf.DUMMYFUNCTION("IMPORTRANGE(""https://docs.google.com/spreadsheets/d/1-uDff_7J0KD5mKrp0Vvzr7lt3OU09vwQwhkpOPPYv2Y/edit?usp=sharing"",""งบพรบ!CD78"")"),0)</f>
        <v>0</v>
      </c>
      <c r="H78" s="151">
        <f ca="1">IFERROR(__xludf.DUMMYFUNCTION("IMPORTRANGE(""https://docs.google.com/spreadsheets/d/1-uDff_7J0KD5mKrp0Vvzr7lt3OU09vwQwhkpOPPYv2Y/edit?usp=sharing"",""งบพรบ!CF78"")"),0)</f>
        <v>0</v>
      </c>
      <c r="I78" s="151">
        <f ca="1">IFERROR(__xludf.DUMMYFUNCTION("IMPORTRANGE(""https://docs.google.com/spreadsheets/d/1-uDff_7J0KD5mKrp0Vvzr7lt3OU09vwQwhkpOPPYv2Y/edit?usp=sharing"",""งบพรบ!CG78"")"),0)</f>
        <v>0</v>
      </c>
      <c r="J78" s="151">
        <f t="shared" ca="1" si="27"/>
        <v>0</v>
      </c>
      <c r="K78" s="154">
        <f t="shared" ca="1" si="28"/>
        <v>0</v>
      </c>
      <c r="L78" s="151">
        <f ca="1">IFERROR(__xludf.DUMMYFUNCTION("IMPORTRANGE(""https://docs.google.com/spreadsheets/d/1-uDff_7J0KD5mKrp0Vvzr7lt3OU09vwQwhkpOPPYv2Y/edit?usp=sharing"",""งบพรบ!CH78"")"),0)</f>
        <v>0</v>
      </c>
      <c r="M78" s="68">
        <f t="shared" ca="1" si="29"/>
        <v>0</v>
      </c>
      <c r="N78" s="68">
        <f t="shared" ca="1" si="30"/>
        <v>0</v>
      </c>
      <c r="O78" s="67">
        <f ca="1">IFERROR(__xludf.DUMMYFUNCTION("IMPORTRANGE(""https://docs.google.com/spreadsheets/d/1-uDff_7J0KD5mKrp0Vvzr7lt3OU09vwQwhkpOPPYv2Y/edit?usp=sharing"",""งบพรบ!CI78"")"),0)</f>
        <v>0</v>
      </c>
      <c r="P78" s="67">
        <f t="shared" ca="1" si="31"/>
        <v>0</v>
      </c>
      <c r="Q78" s="68">
        <f t="shared" ca="1" si="32"/>
        <v>0</v>
      </c>
      <c r="R78" s="197">
        <f ca="1">IFERROR(__xludf.DUMMYFUNCTION("IMPORTRANGE(""https://docs.google.com/spreadsheets/d/1Dj4jcHCTV9JXKCaMoheSXS52JE63kDKyG7bPXnFogHk/edit?usp=sharing"",""นครศรีธรรมราช!Q157"")"),0)</f>
        <v>0</v>
      </c>
      <c r="S78" s="67">
        <f ca="1">IFERROR(__xludf.DUMMYFUNCTION("IMPORTRANGE(""https://docs.google.com/spreadsheets/d/1Dj4jcHCTV9JXKCaMoheSXS52JE63kDKyG7bPXnFogHk/edit?usp=sharing"",""นครศรีธรรมราช!R157"")"),0)</f>
        <v>0</v>
      </c>
      <c r="T78" s="67">
        <f ca="1">IFERROR(__xludf.DUMMYFUNCTION("IMPORTRANGE(""https://docs.google.com/spreadsheets/d/1Dj4jcHCTV9JXKCaMoheSXS52JE63kDKyG7bPXnFogHk/edit?usp=sharing"",""นครศรีธรรมราช!S157"")"),0)</f>
        <v>0</v>
      </c>
      <c r="U78" s="68">
        <f t="shared" ca="1" si="34"/>
        <v>0</v>
      </c>
      <c r="V78" s="68">
        <f t="shared" ca="1" si="35"/>
        <v>0</v>
      </c>
      <c r="W78" s="78">
        <f ca="1">IFERROR(__xludf.DUMMYFUNCTION("IMPORTRANGE(""https://docs.google.com/spreadsheets/d/1Dj4jcHCTV9JXKCaMoheSXS52JE63kDKyG7bPXnFogHk/edit?usp=sharing"",""นครศรีธรรมราช!I167"")"),0)</f>
        <v>0</v>
      </c>
      <c r="X78" s="78">
        <f ca="1">IFERROR(__xludf.DUMMYFUNCTION("IMPORTRANGE(""https://docs.google.com/spreadsheets/d/1Dj4jcHCTV9JXKCaMoheSXS52JE63kDKyG7bPXnFogHk/edit?usp=sharing"",""นครศรีธรรมราช!J167"")"),0)</f>
        <v>0</v>
      </c>
      <c r="Y78" s="79">
        <f t="shared" ca="1" si="37"/>
        <v>0</v>
      </c>
      <c r="Z78" s="78"/>
      <c r="AA78" s="78"/>
      <c r="AB78" s="79"/>
      <c r="AC78" s="78"/>
      <c r="AD78" s="78"/>
      <c r="AE78" s="79"/>
    </row>
    <row r="79" spans="1:31" ht="21" customHeight="1" x14ac:dyDescent="0.3">
      <c r="A79" s="70">
        <v>5</v>
      </c>
      <c r="B79" s="71" t="s">
        <v>107</v>
      </c>
      <c r="C79" s="149">
        <f t="shared" ca="1" si="25"/>
        <v>0</v>
      </c>
      <c r="D79" s="150">
        <f t="shared" ca="1" si="50"/>
        <v>0</v>
      </c>
      <c r="E79" s="151">
        <f ca="1">IFERROR(__xludf.DUMMYFUNCTION("IMPORTRANGE(""https://docs.google.com/spreadsheets/d/1-uDff_7J0KD5mKrp0Vvzr7lt3OU09vwQwhkpOPPYv2Y/edit?usp=sharing"",""งบพรบ!CB79"")"),0)</f>
        <v>0</v>
      </c>
      <c r="F79" s="151">
        <f ca="1">IFERROR(__xludf.DUMMYFUNCTION("IMPORTRANGE(""https://docs.google.com/spreadsheets/d/1-uDff_7J0KD5mKrp0Vvzr7lt3OU09vwQwhkpOPPYv2Y/edit?usp=sharing"",""งบพรบ!CC79"")"),0)</f>
        <v>0</v>
      </c>
      <c r="G79" s="151">
        <f ca="1">IFERROR(__xludf.DUMMYFUNCTION("IMPORTRANGE(""https://docs.google.com/spreadsheets/d/1-uDff_7J0KD5mKrp0Vvzr7lt3OU09vwQwhkpOPPYv2Y/edit?usp=sharing"",""งบพรบ!CD79"")"),0)</f>
        <v>0</v>
      </c>
      <c r="H79" s="151">
        <f ca="1">IFERROR(__xludf.DUMMYFUNCTION("IMPORTRANGE(""https://docs.google.com/spreadsheets/d/1-uDff_7J0KD5mKrp0Vvzr7lt3OU09vwQwhkpOPPYv2Y/edit?usp=sharing"",""งบพรบ!CF79"")"),0)</f>
        <v>0</v>
      </c>
      <c r="I79" s="151">
        <f ca="1">IFERROR(__xludf.DUMMYFUNCTION("IMPORTRANGE(""https://docs.google.com/spreadsheets/d/1-uDff_7J0KD5mKrp0Vvzr7lt3OU09vwQwhkpOPPYv2Y/edit?usp=sharing"",""งบพรบ!CG79"")"),0)</f>
        <v>0</v>
      </c>
      <c r="J79" s="151">
        <f t="shared" ca="1" si="27"/>
        <v>0</v>
      </c>
      <c r="K79" s="154">
        <f t="shared" ca="1" si="28"/>
        <v>0</v>
      </c>
      <c r="L79" s="151">
        <f ca="1">IFERROR(__xludf.DUMMYFUNCTION("IMPORTRANGE(""https://docs.google.com/spreadsheets/d/1-uDff_7J0KD5mKrp0Vvzr7lt3OU09vwQwhkpOPPYv2Y/edit?usp=sharing"",""งบพรบ!CH79"")"),0)</f>
        <v>0</v>
      </c>
      <c r="M79" s="68">
        <f t="shared" ca="1" si="29"/>
        <v>0</v>
      </c>
      <c r="N79" s="68">
        <f t="shared" ca="1" si="30"/>
        <v>0</v>
      </c>
      <c r="O79" s="67">
        <f ca="1">IFERROR(__xludf.DUMMYFUNCTION("IMPORTRANGE(""https://docs.google.com/spreadsheets/d/1-uDff_7J0KD5mKrp0Vvzr7lt3OU09vwQwhkpOPPYv2Y/edit?usp=sharing"",""งบพรบ!CI79"")"),0)</f>
        <v>0</v>
      </c>
      <c r="P79" s="67">
        <f t="shared" ca="1" si="31"/>
        <v>0</v>
      </c>
      <c r="Q79" s="68">
        <f t="shared" ca="1" si="32"/>
        <v>0</v>
      </c>
      <c r="R79" s="197">
        <f ca="1">IFERROR(__xludf.DUMMYFUNCTION("IMPORTRANGE(""https://docs.google.com/spreadsheets/d/1iodCdmuK2GR3jzUwk8tpccY2JHQQA-87DLOtJP-ooyU/edit?usp=sharing"",""นราธิวาส!Q157"")"),0)</f>
        <v>0</v>
      </c>
      <c r="S79" s="67">
        <f ca="1">IFERROR(__xludf.DUMMYFUNCTION("IMPORTRANGE(""https://docs.google.com/spreadsheets/d/1iodCdmuK2GR3jzUwk8tpccY2JHQQA-87DLOtJP-ooyU/edit?usp=sharing"",""นราธิวาส!R157"")"),0)</f>
        <v>0</v>
      </c>
      <c r="T79" s="67">
        <f ca="1">IFERROR(__xludf.DUMMYFUNCTION("IMPORTRANGE(""https://docs.google.com/spreadsheets/d/1iodCdmuK2GR3jzUwk8tpccY2JHQQA-87DLOtJP-ooyU/edit?usp=sharing"",""นราธิวาส!S157"")"),0)</f>
        <v>0</v>
      </c>
      <c r="U79" s="68">
        <f t="shared" ca="1" si="34"/>
        <v>0</v>
      </c>
      <c r="V79" s="68">
        <f t="shared" ca="1" si="35"/>
        <v>0</v>
      </c>
      <c r="W79" s="78">
        <f ca="1">IFERROR(__xludf.DUMMYFUNCTION("IMPORTRANGE(""https://docs.google.com/spreadsheets/d/1iodCdmuK2GR3jzUwk8tpccY2JHQQA-87DLOtJP-ooyU/edit?usp=sharing"",""นราธิวาส!I167"")"),0)</f>
        <v>0</v>
      </c>
      <c r="X79" s="78">
        <f ca="1">IFERROR(__xludf.DUMMYFUNCTION("IMPORTRANGE(""https://docs.google.com/spreadsheets/d/1iodCdmuK2GR3jzUwk8tpccY2JHQQA-87DLOtJP-ooyU/edit?usp=sharing"",""นราธิวาส!J167"")"),0)</f>
        <v>0</v>
      </c>
      <c r="Y79" s="79">
        <f t="shared" ca="1" si="37"/>
        <v>0</v>
      </c>
      <c r="Z79" s="78"/>
      <c r="AA79" s="78"/>
      <c r="AB79" s="79"/>
      <c r="AC79" s="78"/>
      <c r="AD79" s="78"/>
      <c r="AE79" s="79"/>
    </row>
    <row r="80" spans="1:31" ht="21" customHeight="1" x14ac:dyDescent="0.3">
      <c r="A80" s="70">
        <v>6</v>
      </c>
      <c r="B80" s="71" t="s">
        <v>108</v>
      </c>
      <c r="C80" s="149">
        <f t="shared" ca="1" si="25"/>
        <v>0</v>
      </c>
      <c r="D80" s="150">
        <f t="shared" ca="1" si="50"/>
        <v>0</v>
      </c>
      <c r="E80" s="151">
        <f ca="1">IFERROR(__xludf.DUMMYFUNCTION("IMPORTRANGE(""https://docs.google.com/spreadsheets/d/1-uDff_7J0KD5mKrp0Vvzr7lt3OU09vwQwhkpOPPYv2Y/edit?usp=sharing"",""งบพรบ!CB80"")"),0)</f>
        <v>0</v>
      </c>
      <c r="F80" s="151">
        <f ca="1">IFERROR(__xludf.DUMMYFUNCTION("IMPORTRANGE(""https://docs.google.com/spreadsheets/d/1-uDff_7J0KD5mKrp0Vvzr7lt3OU09vwQwhkpOPPYv2Y/edit?usp=sharing"",""งบพรบ!CC80"")"),0)</f>
        <v>0</v>
      </c>
      <c r="G80" s="151">
        <f ca="1">IFERROR(__xludf.DUMMYFUNCTION("IMPORTRANGE(""https://docs.google.com/spreadsheets/d/1-uDff_7J0KD5mKrp0Vvzr7lt3OU09vwQwhkpOPPYv2Y/edit?usp=sharing"",""งบพรบ!CD80"")"),0)</f>
        <v>0</v>
      </c>
      <c r="H80" s="151">
        <f ca="1">IFERROR(__xludf.DUMMYFUNCTION("IMPORTRANGE(""https://docs.google.com/spreadsheets/d/1-uDff_7J0KD5mKrp0Vvzr7lt3OU09vwQwhkpOPPYv2Y/edit?usp=sharing"",""งบพรบ!CF80"")"),0)</f>
        <v>0</v>
      </c>
      <c r="I80" s="151">
        <f ca="1">IFERROR(__xludf.DUMMYFUNCTION("IMPORTRANGE(""https://docs.google.com/spreadsheets/d/1-uDff_7J0KD5mKrp0Vvzr7lt3OU09vwQwhkpOPPYv2Y/edit?usp=sharing"",""งบพรบ!CG80"")"),0)</f>
        <v>0</v>
      </c>
      <c r="J80" s="151">
        <f t="shared" ca="1" si="27"/>
        <v>0</v>
      </c>
      <c r="K80" s="154">
        <f t="shared" ca="1" si="28"/>
        <v>0</v>
      </c>
      <c r="L80" s="151">
        <f ca="1">IFERROR(__xludf.DUMMYFUNCTION("IMPORTRANGE(""https://docs.google.com/spreadsheets/d/1-uDff_7J0KD5mKrp0Vvzr7lt3OU09vwQwhkpOPPYv2Y/edit?usp=sharing"",""งบพรบ!CH80"")"),0)</f>
        <v>0</v>
      </c>
      <c r="M80" s="68">
        <f t="shared" ca="1" si="29"/>
        <v>0</v>
      </c>
      <c r="N80" s="68">
        <f t="shared" ca="1" si="30"/>
        <v>0</v>
      </c>
      <c r="O80" s="67">
        <f ca="1">IFERROR(__xludf.DUMMYFUNCTION("IMPORTRANGE(""https://docs.google.com/spreadsheets/d/1-uDff_7J0KD5mKrp0Vvzr7lt3OU09vwQwhkpOPPYv2Y/edit?usp=sharing"",""งบพรบ!CI80"")"),0)</f>
        <v>0</v>
      </c>
      <c r="P80" s="67">
        <f t="shared" ca="1" si="31"/>
        <v>0</v>
      </c>
      <c r="Q80" s="68">
        <f t="shared" ca="1" si="32"/>
        <v>0</v>
      </c>
      <c r="R80" s="197">
        <f ca="1">IFERROR(__xludf.DUMMYFUNCTION("IMPORTRANGE(""https://docs.google.com/spreadsheets/d/1SDNX3JhDdYRuIOsj0Wh2M-Qa_eaXl0NbWmhAOTbfQAs/edit?usp=sharing"",""ปัตตานี!Q157"")"),0)</f>
        <v>0</v>
      </c>
      <c r="S80" s="67">
        <f ca="1">IFERROR(__xludf.DUMMYFUNCTION("IMPORTRANGE(""https://docs.google.com/spreadsheets/d/1SDNX3JhDdYRuIOsj0Wh2M-Qa_eaXl0NbWmhAOTbfQAs/edit?usp=sharing"",""ปัตตานี!R157"")"),0)</f>
        <v>0</v>
      </c>
      <c r="T80" s="67">
        <f ca="1">IFERROR(__xludf.DUMMYFUNCTION("IMPORTRANGE(""https://docs.google.com/spreadsheets/d/1SDNX3JhDdYRuIOsj0Wh2M-Qa_eaXl0NbWmhAOTbfQAs/edit?usp=sharing"",""ปัตตานี!S157"")"),0)</f>
        <v>0</v>
      </c>
      <c r="U80" s="68">
        <f t="shared" ca="1" si="34"/>
        <v>0</v>
      </c>
      <c r="V80" s="68">
        <f t="shared" ca="1" si="35"/>
        <v>0</v>
      </c>
      <c r="W80" s="78">
        <f ca="1">IFERROR(__xludf.DUMMYFUNCTION("IMPORTRANGE(""https://docs.google.com/spreadsheets/d/1SDNX3JhDdYRuIOsj0Wh2M-Qa_eaXl0NbWmhAOTbfQAs/edit?usp=sharing"",""ปัตตานี!I167"")"),0)</f>
        <v>0</v>
      </c>
      <c r="X80" s="78">
        <f ca="1">IFERROR(__xludf.DUMMYFUNCTION("IMPORTRANGE(""https://docs.google.com/spreadsheets/d/1SDNX3JhDdYRuIOsj0Wh2M-Qa_eaXl0NbWmhAOTbfQAs/edit?usp=sharing"",""ปัตตานี!J167"")"),0)</f>
        <v>0</v>
      </c>
      <c r="Y80" s="79">
        <f t="shared" ca="1" si="37"/>
        <v>0</v>
      </c>
      <c r="Z80" s="78"/>
      <c r="AA80" s="78"/>
      <c r="AB80" s="79"/>
      <c r="AC80" s="78"/>
      <c r="AD80" s="78"/>
      <c r="AE80" s="79"/>
    </row>
    <row r="81" spans="1:31" ht="21" customHeight="1" x14ac:dyDescent="0.3">
      <c r="A81" s="70">
        <v>7</v>
      </c>
      <c r="B81" s="71" t="s">
        <v>109</v>
      </c>
      <c r="C81" s="149">
        <f t="shared" ca="1" si="25"/>
        <v>0</v>
      </c>
      <c r="D81" s="150">
        <f t="shared" ca="1" si="50"/>
        <v>0</v>
      </c>
      <c r="E81" s="151">
        <f ca="1">IFERROR(__xludf.DUMMYFUNCTION("IMPORTRANGE(""https://docs.google.com/spreadsheets/d/1-uDff_7J0KD5mKrp0Vvzr7lt3OU09vwQwhkpOPPYv2Y/edit?usp=sharing"",""งบพรบ!CB81"")"),0)</f>
        <v>0</v>
      </c>
      <c r="F81" s="151">
        <f ca="1">IFERROR(__xludf.DUMMYFUNCTION("IMPORTRANGE(""https://docs.google.com/spreadsheets/d/1-uDff_7J0KD5mKrp0Vvzr7lt3OU09vwQwhkpOPPYv2Y/edit?usp=sharing"",""งบพรบ!CC81"")"),0)</f>
        <v>0</v>
      </c>
      <c r="G81" s="151">
        <f ca="1">IFERROR(__xludf.DUMMYFUNCTION("IMPORTRANGE(""https://docs.google.com/spreadsheets/d/1-uDff_7J0KD5mKrp0Vvzr7lt3OU09vwQwhkpOPPYv2Y/edit?usp=sharing"",""งบพรบ!CD81"")"),0)</f>
        <v>0</v>
      </c>
      <c r="H81" s="151">
        <f ca="1">IFERROR(__xludf.DUMMYFUNCTION("IMPORTRANGE(""https://docs.google.com/spreadsheets/d/1-uDff_7J0KD5mKrp0Vvzr7lt3OU09vwQwhkpOPPYv2Y/edit?usp=sharing"",""งบพรบ!CF81"")"),0)</f>
        <v>0</v>
      </c>
      <c r="I81" s="151">
        <f ca="1">IFERROR(__xludf.DUMMYFUNCTION("IMPORTRANGE(""https://docs.google.com/spreadsheets/d/1-uDff_7J0KD5mKrp0Vvzr7lt3OU09vwQwhkpOPPYv2Y/edit?usp=sharing"",""งบพรบ!CG81"")"),0)</f>
        <v>0</v>
      </c>
      <c r="J81" s="151">
        <f t="shared" ca="1" si="27"/>
        <v>0</v>
      </c>
      <c r="K81" s="154">
        <f t="shared" ca="1" si="28"/>
        <v>0</v>
      </c>
      <c r="L81" s="151">
        <f ca="1">IFERROR(__xludf.DUMMYFUNCTION("IMPORTRANGE(""https://docs.google.com/spreadsheets/d/1-uDff_7J0KD5mKrp0Vvzr7lt3OU09vwQwhkpOPPYv2Y/edit?usp=sharing"",""งบพรบ!CH81"")"),0)</f>
        <v>0</v>
      </c>
      <c r="M81" s="68">
        <f t="shared" ca="1" si="29"/>
        <v>0</v>
      </c>
      <c r="N81" s="68">
        <f t="shared" ca="1" si="30"/>
        <v>0</v>
      </c>
      <c r="O81" s="67">
        <f ca="1">IFERROR(__xludf.DUMMYFUNCTION("IMPORTRANGE(""https://docs.google.com/spreadsheets/d/1-uDff_7J0KD5mKrp0Vvzr7lt3OU09vwQwhkpOPPYv2Y/edit?usp=sharing"",""งบพรบ!CI81"")"),0)</f>
        <v>0</v>
      </c>
      <c r="P81" s="67">
        <f t="shared" ca="1" si="31"/>
        <v>0</v>
      </c>
      <c r="Q81" s="68">
        <f t="shared" ca="1" si="32"/>
        <v>0</v>
      </c>
      <c r="R81" s="197">
        <f ca="1">IFERROR(__xludf.DUMMYFUNCTION("IMPORTRANGE(""https://docs.google.com/spreadsheets/d/16JDLGguT8s5DsGCND1KcwHP_AWR_zDMTqLHPLJUKhaU/edit?usp=sharing"",""พังงา!Q157"")"),0)</f>
        <v>0</v>
      </c>
      <c r="S81" s="67">
        <f ca="1">IFERROR(__xludf.DUMMYFUNCTION("IMPORTRANGE(""https://docs.google.com/spreadsheets/d/16JDLGguT8s5DsGCND1KcwHP_AWR_zDMTqLHPLJUKhaU/edit?usp=sharing"",""พังงา!R157"")"),0)</f>
        <v>0</v>
      </c>
      <c r="T81" s="67">
        <f ca="1">IFERROR(__xludf.DUMMYFUNCTION("IMPORTRANGE(""https://docs.google.com/spreadsheets/d/16JDLGguT8s5DsGCND1KcwHP_AWR_zDMTqLHPLJUKhaU/edit?usp=sharing"",""พังงา!S157"")"),0)</f>
        <v>0</v>
      </c>
      <c r="U81" s="68">
        <f t="shared" ca="1" si="34"/>
        <v>0</v>
      </c>
      <c r="V81" s="68">
        <f t="shared" ca="1" si="35"/>
        <v>0</v>
      </c>
      <c r="W81" s="78">
        <f ca="1">IFERROR(__xludf.DUMMYFUNCTION("IMPORTRANGE(""https://docs.google.com/spreadsheets/d/16JDLGguT8s5DsGCND1KcwHP_AWR_zDMTqLHPLJUKhaU/edit?usp=sharing"",""พังงา!I167"")"),0)</f>
        <v>0</v>
      </c>
      <c r="X81" s="78">
        <f ca="1">IFERROR(__xludf.DUMMYFUNCTION("IMPORTRANGE(""https://docs.google.com/spreadsheets/d/16JDLGguT8s5DsGCND1KcwHP_AWR_zDMTqLHPLJUKhaU/edit?usp=sharing"",""พังงา!J167"")"),0)</f>
        <v>0</v>
      </c>
      <c r="Y81" s="79">
        <f t="shared" ca="1" si="37"/>
        <v>0</v>
      </c>
      <c r="Z81" s="78"/>
      <c r="AA81" s="78"/>
      <c r="AB81" s="79"/>
      <c r="AC81" s="78"/>
      <c r="AD81" s="78"/>
      <c r="AE81" s="79"/>
    </row>
    <row r="82" spans="1:31" ht="21" customHeight="1" x14ac:dyDescent="0.3">
      <c r="A82" s="70">
        <v>8</v>
      </c>
      <c r="B82" s="71" t="s">
        <v>110</v>
      </c>
      <c r="C82" s="149">
        <f t="shared" ca="1" si="25"/>
        <v>0</v>
      </c>
      <c r="D82" s="150">
        <f t="shared" ca="1" si="50"/>
        <v>0</v>
      </c>
      <c r="E82" s="151">
        <f ca="1">IFERROR(__xludf.DUMMYFUNCTION("IMPORTRANGE(""https://docs.google.com/spreadsheets/d/1-uDff_7J0KD5mKrp0Vvzr7lt3OU09vwQwhkpOPPYv2Y/edit?usp=sharing"",""งบพรบ!CB82"")"),0)</f>
        <v>0</v>
      </c>
      <c r="F82" s="151">
        <f ca="1">IFERROR(__xludf.DUMMYFUNCTION("IMPORTRANGE(""https://docs.google.com/spreadsheets/d/1-uDff_7J0KD5mKrp0Vvzr7lt3OU09vwQwhkpOPPYv2Y/edit?usp=sharing"",""งบพรบ!CC82"")"),0)</f>
        <v>0</v>
      </c>
      <c r="G82" s="151">
        <f ca="1">IFERROR(__xludf.DUMMYFUNCTION("IMPORTRANGE(""https://docs.google.com/spreadsheets/d/1-uDff_7J0KD5mKrp0Vvzr7lt3OU09vwQwhkpOPPYv2Y/edit?usp=sharing"",""งบพรบ!CD82"")"),0)</f>
        <v>0</v>
      </c>
      <c r="H82" s="151">
        <f ca="1">IFERROR(__xludf.DUMMYFUNCTION("IMPORTRANGE(""https://docs.google.com/spreadsheets/d/1-uDff_7J0KD5mKrp0Vvzr7lt3OU09vwQwhkpOPPYv2Y/edit?usp=sharing"",""งบพรบ!CF82"")"),0)</f>
        <v>0</v>
      </c>
      <c r="I82" s="151">
        <f ca="1">IFERROR(__xludf.DUMMYFUNCTION("IMPORTRANGE(""https://docs.google.com/spreadsheets/d/1-uDff_7J0KD5mKrp0Vvzr7lt3OU09vwQwhkpOPPYv2Y/edit?usp=sharing"",""งบพรบ!CG82"")"),0)</f>
        <v>0</v>
      </c>
      <c r="J82" s="151">
        <f t="shared" ca="1" si="27"/>
        <v>0</v>
      </c>
      <c r="K82" s="154">
        <f t="shared" ca="1" si="28"/>
        <v>0</v>
      </c>
      <c r="L82" s="151">
        <f ca="1">IFERROR(__xludf.DUMMYFUNCTION("IMPORTRANGE(""https://docs.google.com/spreadsheets/d/1-uDff_7J0KD5mKrp0Vvzr7lt3OU09vwQwhkpOPPYv2Y/edit?usp=sharing"",""งบพรบ!CH82"")"),0)</f>
        <v>0</v>
      </c>
      <c r="M82" s="68">
        <f t="shared" ca="1" si="29"/>
        <v>0</v>
      </c>
      <c r="N82" s="68">
        <f t="shared" ca="1" si="30"/>
        <v>0</v>
      </c>
      <c r="O82" s="67">
        <f ca="1">IFERROR(__xludf.DUMMYFUNCTION("IMPORTRANGE(""https://docs.google.com/spreadsheets/d/1-uDff_7J0KD5mKrp0Vvzr7lt3OU09vwQwhkpOPPYv2Y/edit?usp=sharing"",""งบพรบ!CI82"")"),0)</f>
        <v>0</v>
      </c>
      <c r="P82" s="67">
        <f t="shared" ca="1" si="31"/>
        <v>0</v>
      </c>
      <c r="Q82" s="68">
        <f t="shared" ca="1" si="32"/>
        <v>0</v>
      </c>
      <c r="R82" s="197">
        <f ca="1">IFERROR(__xludf.DUMMYFUNCTION("IMPORTRANGE(""https://docs.google.com/spreadsheets/d/17ht0gPKzzT3PObBL1XJkeRmntBXI7wGjpLV7QorqlTk/edit?usp=sharing"",""พัทลุง!Q157"")"),0)</f>
        <v>0</v>
      </c>
      <c r="S82" s="67">
        <f ca="1">IFERROR(__xludf.DUMMYFUNCTION("IMPORTRANGE(""https://docs.google.com/spreadsheets/d/17ht0gPKzzT3PObBL1XJkeRmntBXI7wGjpLV7QorqlTk/edit?usp=sharing"",""พัทลุง!R157"")"),0)</f>
        <v>0</v>
      </c>
      <c r="T82" s="67">
        <f ca="1">IFERROR(__xludf.DUMMYFUNCTION("IMPORTRANGE(""https://docs.google.com/spreadsheets/d/17ht0gPKzzT3PObBL1XJkeRmntBXI7wGjpLV7QorqlTk/edit?usp=sharing"",""พัทลุง!S157"")"),0)</f>
        <v>0</v>
      </c>
      <c r="U82" s="68">
        <f t="shared" ca="1" si="34"/>
        <v>0</v>
      </c>
      <c r="V82" s="68">
        <f t="shared" ca="1" si="35"/>
        <v>0</v>
      </c>
      <c r="W82" s="78">
        <f ca="1">IFERROR(__xludf.DUMMYFUNCTION("IMPORTRANGE(""https://docs.google.com/spreadsheets/d/17ht0gPKzzT3PObBL1XJkeRmntBXI7wGjpLV7QorqlTk/edit?usp=sharing"",""พัทลุง!I167"")"),0)</f>
        <v>0</v>
      </c>
      <c r="X82" s="78">
        <f ca="1">IFERROR(__xludf.DUMMYFUNCTION("IMPORTRANGE(""https://docs.google.com/spreadsheets/d/17ht0gPKzzT3PObBL1XJkeRmntBXI7wGjpLV7QorqlTk/edit?usp=sharing"",""พัทลุง!J167"")"),0)</f>
        <v>0</v>
      </c>
      <c r="Y82" s="79">
        <f t="shared" ca="1" si="37"/>
        <v>0</v>
      </c>
      <c r="Z82" s="78"/>
      <c r="AA82" s="78"/>
      <c r="AB82" s="79"/>
      <c r="AC82" s="78"/>
      <c r="AD82" s="78"/>
      <c r="AE82" s="79"/>
    </row>
    <row r="83" spans="1:31" ht="21" customHeight="1" x14ac:dyDescent="0.3">
      <c r="A83" s="70">
        <v>9</v>
      </c>
      <c r="B83" s="71" t="s">
        <v>111</v>
      </c>
      <c r="C83" s="149">
        <f t="shared" ca="1" si="25"/>
        <v>0</v>
      </c>
      <c r="D83" s="150">
        <f t="shared" ca="1" si="50"/>
        <v>0</v>
      </c>
      <c r="E83" s="151">
        <f ca="1">IFERROR(__xludf.DUMMYFUNCTION("IMPORTRANGE(""https://docs.google.com/spreadsheets/d/1-uDff_7J0KD5mKrp0Vvzr7lt3OU09vwQwhkpOPPYv2Y/edit?usp=sharing"",""งบพรบ!CB83"")"),0)</f>
        <v>0</v>
      </c>
      <c r="F83" s="151">
        <f ca="1">IFERROR(__xludf.DUMMYFUNCTION("IMPORTRANGE(""https://docs.google.com/spreadsheets/d/1-uDff_7J0KD5mKrp0Vvzr7lt3OU09vwQwhkpOPPYv2Y/edit?usp=sharing"",""งบพรบ!CC83"")"),0)</f>
        <v>0</v>
      </c>
      <c r="G83" s="151">
        <f ca="1">IFERROR(__xludf.DUMMYFUNCTION("IMPORTRANGE(""https://docs.google.com/spreadsheets/d/1-uDff_7J0KD5mKrp0Vvzr7lt3OU09vwQwhkpOPPYv2Y/edit?usp=sharing"",""งบพรบ!CD83"")"),0)</f>
        <v>0</v>
      </c>
      <c r="H83" s="151">
        <f ca="1">IFERROR(__xludf.DUMMYFUNCTION("IMPORTRANGE(""https://docs.google.com/spreadsheets/d/1-uDff_7J0KD5mKrp0Vvzr7lt3OU09vwQwhkpOPPYv2Y/edit?usp=sharing"",""งบพรบ!CF83"")"),0)</f>
        <v>0</v>
      </c>
      <c r="I83" s="151">
        <f ca="1">IFERROR(__xludf.DUMMYFUNCTION("IMPORTRANGE(""https://docs.google.com/spreadsheets/d/1-uDff_7J0KD5mKrp0Vvzr7lt3OU09vwQwhkpOPPYv2Y/edit?usp=sharing"",""งบพรบ!CG83"")"),0)</f>
        <v>0</v>
      </c>
      <c r="J83" s="151">
        <f t="shared" ca="1" si="27"/>
        <v>0</v>
      </c>
      <c r="K83" s="154">
        <f t="shared" ca="1" si="28"/>
        <v>0</v>
      </c>
      <c r="L83" s="151">
        <f ca="1">IFERROR(__xludf.DUMMYFUNCTION("IMPORTRANGE(""https://docs.google.com/spreadsheets/d/1-uDff_7J0KD5mKrp0Vvzr7lt3OU09vwQwhkpOPPYv2Y/edit?usp=sharing"",""งบพรบ!CH83"")"),0)</f>
        <v>0</v>
      </c>
      <c r="M83" s="68">
        <f t="shared" ca="1" si="29"/>
        <v>0</v>
      </c>
      <c r="N83" s="68">
        <f t="shared" ca="1" si="30"/>
        <v>0</v>
      </c>
      <c r="O83" s="67">
        <f ca="1">IFERROR(__xludf.DUMMYFUNCTION("IMPORTRANGE(""https://docs.google.com/spreadsheets/d/1-uDff_7J0KD5mKrp0Vvzr7lt3OU09vwQwhkpOPPYv2Y/edit?usp=sharing"",""งบพรบ!CI83"")"),0)</f>
        <v>0</v>
      </c>
      <c r="P83" s="67">
        <f t="shared" ca="1" si="31"/>
        <v>0</v>
      </c>
      <c r="Q83" s="68">
        <f t="shared" ca="1" si="32"/>
        <v>0</v>
      </c>
      <c r="R83" s="197">
        <f ca="1">IFERROR(__xludf.DUMMYFUNCTION("IMPORTRANGE(""https://docs.google.com/spreadsheets/d/1rd4qoM1q_hsgaolqNGfrim9gbsoLxQsda4-vOz5x_BM/edit?usp=sharing"",""ภูเก็ต!Q157"")"),0)</f>
        <v>0</v>
      </c>
      <c r="S83" s="67">
        <f ca="1">IFERROR(__xludf.DUMMYFUNCTION("IMPORTRANGE(""https://docs.google.com/spreadsheets/d/1rd4qoM1q_hsgaolqNGfrim9gbsoLxQsda4-vOz5x_BM/edit?usp=sharing"",""ภูเก็ต!R157"")"),0)</f>
        <v>0</v>
      </c>
      <c r="T83" s="67">
        <f ca="1">IFERROR(__xludf.DUMMYFUNCTION("IMPORTRANGE(""https://docs.google.com/spreadsheets/d/1rd4qoM1q_hsgaolqNGfrim9gbsoLxQsda4-vOz5x_BM/edit?usp=sharing"",""ภูเก็ต!S157"")"),0)</f>
        <v>0</v>
      </c>
      <c r="U83" s="68">
        <f t="shared" ca="1" si="34"/>
        <v>0</v>
      </c>
      <c r="V83" s="68">
        <f t="shared" ca="1" si="35"/>
        <v>0</v>
      </c>
      <c r="W83" s="78">
        <f ca="1">IFERROR(__xludf.DUMMYFUNCTION("IMPORTRANGE(""https://docs.google.com/spreadsheets/d/1rd4qoM1q_hsgaolqNGfrim9gbsoLxQsda4-vOz5x_BM/edit?usp=sharing"",""ภูเก็ต!I167"")"),0)</f>
        <v>0</v>
      </c>
      <c r="X83" s="78">
        <f ca="1">IFERROR(__xludf.DUMMYFUNCTION("IMPORTRANGE(""https://docs.google.com/spreadsheets/d/1rd4qoM1q_hsgaolqNGfrim9gbsoLxQsda4-vOz5x_BM/edit?usp=sharing"",""ภูเก็ต!J167"")"),0)</f>
        <v>0</v>
      </c>
      <c r="Y83" s="79">
        <f t="shared" ca="1" si="37"/>
        <v>0</v>
      </c>
      <c r="Z83" s="78"/>
      <c r="AA83" s="78"/>
      <c r="AB83" s="79"/>
      <c r="AC83" s="78"/>
      <c r="AD83" s="78"/>
      <c r="AE83" s="79"/>
    </row>
    <row r="84" spans="1:31" ht="21" customHeight="1" x14ac:dyDescent="0.3">
      <c r="A84" s="70">
        <v>10</v>
      </c>
      <c r="B84" s="71" t="s">
        <v>112</v>
      </c>
      <c r="C84" s="149">
        <f t="shared" ca="1" si="25"/>
        <v>0</v>
      </c>
      <c r="D84" s="150">
        <f t="shared" ca="1" si="50"/>
        <v>0</v>
      </c>
      <c r="E84" s="151">
        <f ca="1">IFERROR(__xludf.DUMMYFUNCTION("IMPORTRANGE(""https://docs.google.com/spreadsheets/d/1-uDff_7J0KD5mKrp0Vvzr7lt3OU09vwQwhkpOPPYv2Y/edit?usp=sharing"",""งบพรบ!CB84"")"),0)</f>
        <v>0</v>
      </c>
      <c r="F84" s="151">
        <f ca="1">IFERROR(__xludf.DUMMYFUNCTION("IMPORTRANGE(""https://docs.google.com/spreadsheets/d/1-uDff_7J0KD5mKrp0Vvzr7lt3OU09vwQwhkpOPPYv2Y/edit?usp=sharing"",""งบพรบ!CC84"")"),0)</f>
        <v>0</v>
      </c>
      <c r="G84" s="151">
        <f ca="1">IFERROR(__xludf.DUMMYFUNCTION("IMPORTRANGE(""https://docs.google.com/spreadsheets/d/1-uDff_7J0KD5mKrp0Vvzr7lt3OU09vwQwhkpOPPYv2Y/edit?usp=sharing"",""งบพรบ!CD84"")"),0)</f>
        <v>0</v>
      </c>
      <c r="H84" s="151">
        <f ca="1">IFERROR(__xludf.DUMMYFUNCTION("IMPORTRANGE(""https://docs.google.com/spreadsheets/d/1-uDff_7J0KD5mKrp0Vvzr7lt3OU09vwQwhkpOPPYv2Y/edit?usp=sharing"",""งบพรบ!CF84"")"),0)</f>
        <v>0</v>
      </c>
      <c r="I84" s="151">
        <f ca="1">IFERROR(__xludf.DUMMYFUNCTION("IMPORTRANGE(""https://docs.google.com/spreadsheets/d/1-uDff_7J0KD5mKrp0Vvzr7lt3OU09vwQwhkpOPPYv2Y/edit?usp=sharing"",""งบพรบ!CG84"")"),0)</f>
        <v>0</v>
      </c>
      <c r="J84" s="151">
        <f t="shared" ca="1" si="27"/>
        <v>0</v>
      </c>
      <c r="K84" s="154">
        <f t="shared" ca="1" si="28"/>
        <v>0</v>
      </c>
      <c r="L84" s="151">
        <f ca="1">IFERROR(__xludf.DUMMYFUNCTION("IMPORTRANGE(""https://docs.google.com/spreadsheets/d/1-uDff_7J0KD5mKrp0Vvzr7lt3OU09vwQwhkpOPPYv2Y/edit?usp=sharing"",""งบพรบ!CH84"")"),0)</f>
        <v>0</v>
      </c>
      <c r="M84" s="68">
        <f t="shared" ca="1" si="29"/>
        <v>0</v>
      </c>
      <c r="N84" s="68">
        <f t="shared" ca="1" si="30"/>
        <v>0</v>
      </c>
      <c r="O84" s="67">
        <f ca="1">IFERROR(__xludf.DUMMYFUNCTION("IMPORTRANGE(""https://docs.google.com/spreadsheets/d/1-uDff_7J0KD5mKrp0Vvzr7lt3OU09vwQwhkpOPPYv2Y/edit?usp=sharing"",""งบพรบ!CI84"")"),0)</f>
        <v>0</v>
      </c>
      <c r="P84" s="67">
        <f t="shared" ca="1" si="31"/>
        <v>0</v>
      </c>
      <c r="Q84" s="68">
        <f t="shared" ca="1" si="32"/>
        <v>0</v>
      </c>
      <c r="R84" s="197">
        <f ca="1">IFERROR(__xludf.DUMMYFUNCTION("IMPORTRANGE(""https://docs.google.com/spreadsheets/d/1woKwKjgoLssDvPcPeVyezB5izizAn4X1JDrys69n6xI/edit?usp=sharing"",""ยะลา!Q157"")"),0)</f>
        <v>0</v>
      </c>
      <c r="S84" s="67">
        <f ca="1">IFERROR(__xludf.DUMMYFUNCTION("IMPORTRANGE(""https://docs.google.com/spreadsheets/d/1woKwKjgoLssDvPcPeVyezB5izizAn4X1JDrys69n6xI/edit?usp=sharing"",""ยะลา!R157"")"),0)</f>
        <v>0</v>
      </c>
      <c r="T84" s="67">
        <f ca="1">IFERROR(__xludf.DUMMYFUNCTION("IMPORTRANGE(""https://docs.google.com/spreadsheets/d/1woKwKjgoLssDvPcPeVyezB5izizAn4X1JDrys69n6xI/edit?usp=sharing"",""ยะลา!S157"")"),0)</f>
        <v>0</v>
      </c>
      <c r="U84" s="68">
        <f t="shared" ca="1" si="34"/>
        <v>0</v>
      </c>
      <c r="V84" s="68">
        <f t="shared" ca="1" si="35"/>
        <v>0</v>
      </c>
      <c r="W84" s="78">
        <f ca="1">IFERROR(__xludf.DUMMYFUNCTION("IMPORTRANGE(""https://docs.google.com/spreadsheets/d/1woKwKjgoLssDvPcPeVyezB5izizAn4X1JDrys69n6xI/edit?usp=sharing"",""ยะลา!I167"")"),0)</f>
        <v>0</v>
      </c>
      <c r="X84" s="78">
        <f ca="1">IFERROR(__xludf.DUMMYFUNCTION("IMPORTRANGE(""https://docs.google.com/spreadsheets/d/1woKwKjgoLssDvPcPeVyezB5izizAn4X1JDrys69n6xI/edit?usp=sharing"",""ยะลา!J167"")"),0)</f>
        <v>0</v>
      </c>
      <c r="Y84" s="79">
        <f t="shared" ca="1" si="37"/>
        <v>0</v>
      </c>
      <c r="Z84" s="78"/>
      <c r="AA84" s="78"/>
      <c r="AB84" s="79"/>
      <c r="AC84" s="78"/>
      <c r="AD84" s="78"/>
      <c r="AE84" s="79"/>
    </row>
    <row r="85" spans="1:31" ht="21" customHeight="1" x14ac:dyDescent="0.3">
      <c r="A85" s="70">
        <v>11</v>
      </c>
      <c r="B85" s="71" t="s">
        <v>113</v>
      </c>
      <c r="C85" s="149">
        <f t="shared" ca="1" si="25"/>
        <v>0</v>
      </c>
      <c r="D85" s="150">
        <f t="shared" ca="1" si="50"/>
        <v>0</v>
      </c>
      <c r="E85" s="151">
        <f ca="1">IFERROR(__xludf.DUMMYFUNCTION("IMPORTRANGE(""https://docs.google.com/spreadsheets/d/1-uDff_7J0KD5mKrp0Vvzr7lt3OU09vwQwhkpOPPYv2Y/edit?usp=sharing"",""งบพรบ!CB85"")"),0)</f>
        <v>0</v>
      </c>
      <c r="F85" s="151">
        <f ca="1">IFERROR(__xludf.DUMMYFUNCTION("IMPORTRANGE(""https://docs.google.com/spreadsheets/d/1-uDff_7J0KD5mKrp0Vvzr7lt3OU09vwQwhkpOPPYv2Y/edit?usp=sharing"",""งบพรบ!CC85"")"),0)</f>
        <v>0</v>
      </c>
      <c r="G85" s="151">
        <f ca="1">IFERROR(__xludf.DUMMYFUNCTION("IMPORTRANGE(""https://docs.google.com/spreadsheets/d/1-uDff_7J0KD5mKrp0Vvzr7lt3OU09vwQwhkpOPPYv2Y/edit?usp=sharing"",""งบพรบ!CD85"")"),0)</f>
        <v>0</v>
      </c>
      <c r="H85" s="151">
        <f ca="1">IFERROR(__xludf.DUMMYFUNCTION("IMPORTRANGE(""https://docs.google.com/spreadsheets/d/1-uDff_7J0KD5mKrp0Vvzr7lt3OU09vwQwhkpOPPYv2Y/edit?usp=sharing"",""งบพรบ!CF85"")"),0)</f>
        <v>0</v>
      </c>
      <c r="I85" s="151">
        <f ca="1">IFERROR(__xludf.DUMMYFUNCTION("IMPORTRANGE(""https://docs.google.com/spreadsheets/d/1-uDff_7J0KD5mKrp0Vvzr7lt3OU09vwQwhkpOPPYv2Y/edit?usp=sharing"",""งบพรบ!CG85"")"),0)</f>
        <v>0</v>
      </c>
      <c r="J85" s="151">
        <f t="shared" ca="1" si="27"/>
        <v>0</v>
      </c>
      <c r="K85" s="154">
        <f t="shared" ca="1" si="28"/>
        <v>0</v>
      </c>
      <c r="L85" s="151">
        <f ca="1">IFERROR(__xludf.DUMMYFUNCTION("IMPORTRANGE(""https://docs.google.com/spreadsheets/d/1-uDff_7J0KD5mKrp0Vvzr7lt3OU09vwQwhkpOPPYv2Y/edit?usp=sharing"",""งบพรบ!CH85"")"),0)</f>
        <v>0</v>
      </c>
      <c r="M85" s="68">
        <f t="shared" ca="1" si="29"/>
        <v>0</v>
      </c>
      <c r="N85" s="68">
        <f t="shared" ca="1" si="30"/>
        <v>0</v>
      </c>
      <c r="O85" s="67">
        <f ca="1">IFERROR(__xludf.DUMMYFUNCTION("IMPORTRANGE(""https://docs.google.com/spreadsheets/d/1-uDff_7J0KD5mKrp0Vvzr7lt3OU09vwQwhkpOPPYv2Y/edit?usp=sharing"",""งบพรบ!CI85"")"),0)</f>
        <v>0</v>
      </c>
      <c r="P85" s="67">
        <f t="shared" ca="1" si="31"/>
        <v>0</v>
      </c>
      <c r="Q85" s="68">
        <f t="shared" ca="1" si="32"/>
        <v>0</v>
      </c>
      <c r="R85" s="197">
        <f ca="1">IFERROR(__xludf.DUMMYFUNCTION("IMPORTRANGE(""https://docs.google.com/spreadsheets/d/1qfrKjzMhm2HJfxQ-qVlJlJQ25Hne1d0khsySbZyGtPA/edit?usp=sharing"",""ระนอง!Q157"")"),0)</f>
        <v>0</v>
      </c>
      <c r="S85" s="67">
        <f ca="1">IFERROR(__xludf.DUMMYFUNCTION("IMPORTRANGE(""https://docs.google.com/spreadsheets/d/1qfrKjzMhm2HJfxQ-qVlJlJQ25Hne1d0khsySbZyGtPA/edit?usp=sharing"",""ระนอง!R157"")"),0)</f>
        <v>0</v>
      </c>
      <c r="T85" s="67">
        <f ca="1">IFERROR(__xludf.DUMMYFUNCTION("IMPORTRANGE(""https://docs.google.com/spreadsheets/d/1qfrKjzMhm2HJfxQ-qVlJlJQ25Hne1d0khsySbZyGtPA/edit?usp=sharing"",""ระนอง!S157"")"),0)</f>
        <v>0</v>
      </c>
      <c r="U85" s="68">
        <f t="shared" ca="1" si="34"/>
        <v>0</v>
      </c>
      <c r="V85" s="68">
        <f t="shared" ca="1" si="35"/>
        <v>0</v>
      </c>
      <c r="W85" s="78">
        <f ca="1">IFERROR(__xludf.DUMMYFUNCTION("IMPORTRANGE(""https://docs.google.com/spreadsheets/d/1qfrKjzMhm2HJfxQ-qVlJlJQ25Hne1d0khsySbZyGtPA/edit?usp=sharing"",""ระนอง!I167"")"),0)</f>
        <v>0</v>
      </c>
      <c r="X85" s="78">
        <f ca="1">IFERROR(__xludf.DUMMYFUNCTION("IMPORTRANGE(""https://docs.google.com/spreadsheets/d/1qfrKjzMhm2HJfxQ-qVlJlJQ25Hne1d0khsySbZyGtPA/edit?usp=sharing"",""ระนอง!J167"")"),0)</f>
        <v>0</v>
      </c>
      <c r="Y85" s="79">
        <f t="shared" ca="1" si="37"/>
        <v>0</v>
      </c>
      <c r="Z85" s="78"/>
      <c r="AA85" s="78"/>
      <c r="AB85" s="79"/>
      <c r="AC85" s="78"/>
      <c r="AD85" s="78"/>
      <c r="AE85" s="79"/>
    </row>
    <row r="86" spans="1:31" ht="24" customHeight="1" x14ac:dyDescent="0.3">
      <c r="A86" s="70">
        <v>12</v>
      </c>
      <c r="B86" s="71" t="s">
        <v>114</v>
      </c>
      <c r="C86" s="149">
        <f t="shared" ca="1" si="25"/>
        <v>0</v>
      </c>
      <c r="D86" s="150">
        <f t="shared" ca="1" si="50"/>
        <v>0</v>
      </c>
      <c r="E86" s="151">
        <f ca="1">IFERROR(__xludf.DUMMYFUNCTION("IMPORTRANGE(""https://docs.google.com/spreadsheets/d/1-uDff_7J0KD5mKrp0Vvzr7lt3OU09vwQwhkpOPPYv2Y/edit?usp=sharing"",""งบพรบ!CB86"")"),0)</f>
        <v>0</v>
      </c>
      <c r="F86" s="151">
        <f ca="1">IFERROR(__xludf.DUMMYFUNCTION("IMPORTRANGE(""https://docs.google.com/spreadsheets/d/1-uDff_7J0KD5mKrp0Vvzr7lt3OU09vwQwhkpOPPYv2Y/edit?usp=sharing"",""งบพรบ!CC86"")"),0)</f>
        <v>0</v>
      </c>
      <c r="G86" s="151">
        <f ca="1">IFERROR(__xludf.DUMMYFUNCTION("IMPORTRANGE(""https://docs.google.com/spreadsheets/d/1-uDff_7J0KD5mKrp0Vvzr7lt3OU09vwQwhkpOPPYv2Y/edit?usp=sharing"",""งบพรบ!CD86"")"),0)</f>
        <v>0</v>
      </c>
      <c r="H86" s="151">
        <f ca="1">IFERROR(__xludf.DUMMYFUNCTION("IMPORTRANGE(""https://docs.google.com/spreadsheets/d/1-uDff_7J0KD5mKrp0Vvzr7lt3OU09vwQwhkpOPPYv2Y/edit?usp=sharing"",""งบพรบ!CF86"")"),0)</f>
        <v>0</v>
      </c>
      <c r="I86" s="151">
        <f ca="1">IFERROR(__xludf.DUMMYFUNCTION("IMPORTRANGE(""https://docs.google.com/spreadsheets/d/1-uDff_7J0KD5mKrp0Vvzr7lt3OU09vwQwhkpOPPYv2Y/edit?usp=sharing"",""งบพรบ!CG86"")"),0)</f>
        <v>0</v>
      </c>
      <c r="J86" s="151">
        <f t="shared" ca="1" si="27"/>
        <v>0</v>
      </c>
      <c r="K86" s="154">
        <f t="shared" ca="1" si="28"/>
        <v>0</v>
      </c>
      <c r="L86" s="151">
        <f ca="1">IFERROR(__xludf.DUMMYFUNCTION("IMPORTRANGE(""https://docs.google.com/spreadsheets/d/1-uDff_7J0KD5mKrp0Vvzr7lt3OU09vwQwhkpOPPYv2Y/edit?usp=sharing"",""งบพรบ!CH86"")"),0)</f>
        <v>0</v>
      </c>
      <c r="M86" s="68">
        <f t="shared" ca="1" si="29"/>
        <v>0</v>
      </c>
      <c r="N86" s="68">
        <f t="shared" ca="1" si="30"/>
        <v>0</v>
      </c>
      <c r="O86" s="67">
        <f ca="1">IFERROR(__xludf.DUMMYFUNCTION("IMPORTRANGE(""https://docs.google.com/spreadsheets/d/1-uDff_7J0KD5mKrp0Vvzr7lt3OU09vwQwhkpOPPYv2Y/edit?usp=sharing"",""งบพรบ!CI86"")"),0)</f>
        <v>0</v>
      </c>
      <c r="P86" s="67">
        <f t="shared" ca="1" si="31"/>
        <v>0</v>
      </c>
      <c r="Q86" s="68">
        <f t="shared" ca="1" si="32"/>
        <v>0</v>
      </c>
      <c r="R86" s="197">
        <f ca="1">IFERROR(__xludf.DUMMYFUNCTION("IMPORTRANGE(""https://docs.google.com/spreadsheets/d/1IbSCnFOKpZsnFogBHJnL_isstZVaOMnFiIN0fGTPZZw/edit?usp=sharing"",""สงขลา!Q157"")"),0)</f>
        <v>0</v>
      </c>
      <c r="S86" s="67">
        <f ca="1">IFERROR(__xludf.DUMMYFUNCTION("IMPORTRANGE(""https://docs.google.com/spreadsheets/d/1IbSCnFOKpZsnFogBHJnL_isstZVaOMnFiIN0fGTPZZw/edit?usp=sharing"",""สงขลา!R157"")"),0)</f>
        <v>0</v>
      </c>
      <c r="T86" s="67">
        <f ca="1">IFERROR(__xludf.DUMMYFUNCTION("IMPORTRANGE(""https://docs.google.com/spreadsheets/d/1IbSCnFOKpZsnFogBHJnL_isstZVaOMnFiIN0fGTPZZw/edit?usp=sharing"",""สงขลา!S157"")"),0)</f>
        <v>0</v>
      </c>
      <c r="U86" s="68">
        <f t="shared" ca="1" si="34"/>
        <v>0</v>
      </c>
      <c r="V86" s="68">
        <f t="shared" ca="1" si="35"/>
        <v>0</v>
      </c>
      <c r="W86" s="78">
        <f ca="1">IFERROR(__xludf.DUMMYFUNCTION("IMPORTRANGE(""https://docs.google.com/spreadsheets/d/1IbSCnFOKpZsnFogBHJnL_isstZVaOMnFiIN0fGTPZZw/edit?usp=sharing"",""สงขลา!I167"")"),0)</f>
        <v>0</v>
      </c>
      <c r="X86" s="78">
        <f ca="1">IFERROR(__xludf.DUMMYFUNCTION("IMPORTRANGE(""https://docs.google.com/spreadsheets/d/1IbSCnFOKpZsnFogBHJnL_isstZVaOMnFiIN0fGTPZZw/edit?usp=sharing"",""สงขลา!J167"")"),0)</f>
        <v>0</v>
      </c>
      <c r="Y86" s="79">
        <f t="shared" ca="1" si="37"/>
        <v>0</v>
      </c>
      <c r="Z86" s="78"/>
      <c r="AA86" s="78"/>
      <c r="AB86" s="79"/>
      <c r="AC86" s="78"/>
      <c r="AD86" s="78"/>
      <c r="AE86" s="79"/>
    </row>
    <row r="87" spans="1:31" ht="24" customHeight="1" x14ac:dyDescent="0.3">
      <c r="A87" s="70">
        <v>13</v>
      </c>
      <c r="B87" s="71" t="s">
        <v>115</v>
      </c>
      <c r="C87" s="149">
        <f t="shared" ca="1" si="25"/>
        <v>0</v>
      </c>
      <c r="D87" s="150">
        <f t="shared" ca="1" si="50"/>
        <v>0</v>
      </c>
      <c r="E87" s="151">
        <f ca="1">IFERROR(__xludf.DUMMYFUNCTION("IMPORTRANGE(""https://docs.google.com/spreadsheets/d/1-uDff_7J0KD5mKrp0Vvzr7lt3OU09vwQwhkpOPPYv2Y/edit?usp=sharing"",""งบพรบ!CB87"")"),0)</f>
        <v>0</v>
      </c>
      <c r="F87" s="151">
        <f ca="1">IFERROR(__xludf.DUMMYFUNCTION("IMPORTRANGE(""https://docs.google.com/spreadsheets/d/1-uDff_7J0KD5mKrp0Vvzr7lt3OU09vwQwhkpOPPYv2Y/edit?usp=sharing"",""งบพรบ!CC87"")"),0)</f>
        <v>0</v>
      </c>
      <c r="G87" s="151">
        <f ca="1">IFERROR(__xludf.DUMMYFUNCTION("IMPORTRANGE(""https://docs.google.com/spreadsheets/d/1-uDff_7J0KD5mKrp0Vvzr7lt3OU09vwQwhkpOPPYv2Y/edit?usp=sharing"",""งบพรบ!CD87"")"),0)</f>
        <v>0</v>
      </c>
      <c r="H87" s="151">
        <f ca="1">IFERROR(__xludf.DUMMYFUNCTION("IMPORTRANGE(""https://docs.google.com/spreadsheets/d/1-uDff_7J0KD5mKrp0Vvzr7lt3OU09vwQwhkpOPPYv2Y/edit?usp=sharing"",""งบพรบ!CF87"")"),0)</f>
        <v>0</v>
      </c>
      <c r="I87" s="151">
        <f ca="1">IFERROR(__xludf.DUMMYFUNCTION("IMPORTRANGE(""https://docs.google.com/spreadsheets/d/1-uDff_7J0KD5mKrp0Vvzr7lt3OU09vwQwhkpOPPYv2Y/edit?usp=sharing"",""งบพรบ!CG87"")"),0)</f>
        <v>0</v>
      </c>
      <c r="J87" s="151">
        <f t="shared" ca="1" si="27"/>
        <v>0</v>
      </c>
      <c r="K87" s="154">
        <f t="shared" ca="1" si="28"/>
        <v>0</v>
      </c>
      <c r="L87" s="151">
        <f ca="1">IFERROR(__xludf.DUMMYFUNCTION("IMPORTRANGE(""https://docs.google.com/spreadsheets/d/1-uDff_7J0KD5mKrp0Vvzr7lt3OU09vwQwhkpOPPYv2Y/edit?usp=sharing"",""งบพรบ!CH87"")"),0)</f>
        <v>0</v>
      </c>
      <c r="M87" s="68">
        <f t="shared" ca="1" si="29"/>
        <v>0</v>
      </c>
      <c r="N87" s="68">
        <f t="shared" ca="1" si="30"/>
        <v>0</v>
      </c>
      <c r="O87" s="67">
        <f ca="1">IFERROR(__xludf.DUMMYFUNCTION("IMPORTRANGE(""https://docs.google.com/spreadsheets/d/1-uDff_7J0KD5mKrp0Vvzr7lt3OU09vwQwhkpOPPYv2Y/edit?usp=sharing"",""งบพรบ!CI87"")"),0)</f>
        <v>0</v>
      </c>
      <c r="P87" s="67">
        <f t="shared" ca="1" si="31"/>
        <v>0</v>
      </c>
      <c r="Q87" s="68">
        <f t="shared" ca="1" si="32"/>
        <v>0</v>
      </c>
      <c r="R87" s="197">
        <f ca="1">IFERROR(__xludf.DUMMYFUNCTION("IMPORTRANGE(""https://docs.google.com/spreadsheets/d/1q9nWasZJ-K8bFGvbE9n0qSRuKGA4Toe3Y89cKCiVtCU/edit?usp=sharing"",""สตูล!Q157"")"),0)</f>
        <v>0</v>
      </c>
      <c r="S87" s="67">
        <f ca="1">IFERROR(__xludf.DUMMYFUNCTION("IMPORTRANGE(""https://docs.google.com/spreadsheets/d/1q9nWasZJ-K8bFGvbE9n0qSRuKGA4Toe3Y89cKCiVtCU/edit?usp=sharing"",""สตูล!R157"")"),0)</f>
        <v>0</v>
      </c>
      <c r="T87" s="67">
        <f ca="1">IFERROR(__xludf.DUMMYFUNCTION("IMPORTRANGE(""https://docs.google.com/spreadsheets/d/1q9nWasZJ-K8bFGvbE9n0qSRuKGA4Toe3Y89cKCiVtCU/edit?usp=sharing"",""สตูล!S157"")"),0)</f>
        <v>0</v>
      </c>
      <c r="U87" s="68">
        <f t="shared" ca="1" si="34"/>
        <v>0</v>
      </c>
      <c r="V87" s="68">
        <f t="shared" ca="1" si="35"/>
        <v>0</v>
      </c>
      <c r="W87" s="78">
        <f ca="1">IFERROR(__xludf.DUMMYFUNCTION("IMPORTRANGE(""https://docs.google.com/spreadsheets/d/1q9nWasZJ-K8bFGvbE9n0qSRuKGA4Toe3Y89cKCiVtCU/edit?usp=sharing"",""สตูล!I167"")"),0)</f>
        <v>0</v>
      </c>
      <c r="X87" s="78">
        <f ca="1">IFERROR(__xludf.DUMMYFUNCTION("IMPORTRANGE(""https://docs.google.com/spreadsheets/d/1q9nWasZJ-K8bFGvbE9n0qSRuKGA4Toe3Y89cKCiVtCU/edit?usp=sharing"",""สตูล!J167"")"),0)</f>
        <v>0</v>
      </c>
      <c r="Y87" s="79">
        <f t="shared" ca="1" si="37"/>
        <v>0</v>
      </c>
      <c r="Z87" s="78"/>
      <c r="AA87" s="78"/>
      <c r="AB87" s="79"/>
      <c r="AC87" s="78"/>
      <c r="AD87" s="78"/>
      <c r="AE87" s="79"/>
    </row>
    <row r="88" spans="1:31" ht="24" customHeight="1" x14ac:dyDescent="0.3">
      <c r="A88" s="80">
        <v>14</v>
      </c>
      <c r="B88" s="81" t="s">
        <v>116</v>
      </c>
      <c r="C88" s="157">
        <f t="shared" ca="1" si="25"/>
        <v>4500</v>
      </c>
      <c r="D88" s="158">
        <f t="shared" ca="1" si="50"/>
        <v>4500</v>
      </c>
      <c r="E88" s="159">
        <f ca="1">IFERROR(__xludf.DUMMYFUNCTION("IMPORTRANGE(""https://docs.google.com/spreadsheets/d/1-uDff_7J0KD5mKrp0Vvzr7lt3OU09vwQwhkpOPPYv2Y/edit?usp=sharing"",""งบพรบ!CB88"")"),0)</f>
        <v>0</v>
      </c>
      <c r="F88" s="159">
        <f ca="1">IFERROR(__xludf.DUMMYFUNCTION("IMPORTRANGE(""https://docs.google.com/spreadsheets/d/1-uDff_7J0KD5mKrp0Vvzr7lt3OU09vwQwhkpOPPYv2Y/edit?usp=sharing"",""งบพรบ!CC88"")"),4500)</f>
        <v>4500</v>
      </c>
      <c r="G88" s="159">
        <f ca="1">IFERROR(__xludf.DUMMYFUNCTION("IMPORTRANGE(""https://docs.google.com/spreadsheets/d/1-uDff_7J0KD5mKrp0Vvzr7lt3OU09vwQwhkpOPPYv2Y/edit?usp=sharing"",""งบพรบ!CD88"")"),0)</f>
        <v>0</v>
      </c>
      <c r="H88" s="159">
        <f ca="1">IFERROR(__xludf.DUMMYFUNCTION("IMPORTRANGE(""https://docs.google.com/spreadsheets/d/1-uDff_7J0KD5mKrp0Vvzr7lt3OU09vwQwhkpOPPYv2Y/edit?usp=sharing"",""งบพรบ!CF88"")"),2250)</f>
        <v>2250</v>
      </c>
      <c r="I88" s="159">
        <f ca="1">IFERROR(__xludf.DUMMYFUNCTION("IMPORTRANGE(""https://docs.google.com/spreadsheets/d/1-uDff_7J0KD5mKrp0Vvzr7lt3OU09vwQwhkpOPPYv2Y/edit?usp=sharing"",""งบพรบ!CG88"")"),0)</f>
        <v>0</v>
      </c>
      <c r="J88" s="159">
        <f t="shared" ca="1" si="27"/>
        <v>2250</v>
      </c>
      <c r="K88" s="160">
        <f t="shared" ca="1" si="28"/>
        <v>50</v>
      </c>
      <c r="L88" s="159">
        <f ca="1">IFERROR(__xludf.DUMMYFUNCTION("IMPORTRANGE(""https://docs.google.com/spreadsheets/d/1-uDff_7J0KD5mKrp0Vvzr7lt3OU09vwQwhkpOPPYv2Y/edit?usp=sharing"",""งบพรบ!CH88"")"),2250)</f>
        <v>2250</v>
      </c>
      <c r="M88" s="89">
        <f t="shared" ca="1" si="29"/>
        <v>50</v>
      </c>
      <c r="N88" s="89">
        <f t="shared" ca="1" si="30"/>
        <v>100</v>
      </c>
      <c r="O88" s="88">
        <f ca="1">IFERROR(__xludf.DUMMYFUNCTION("IMPORTRANGE(""https://docs.google.com/spreadsheets/d/1-uDff_7J0KD5mKrp0Vvzr7lt3OU09vwQwhkpOPPYv2Y/edit?usp=sharing"",""งบพรบ!CI88"")"),0)</f>
        <v>0</v>
      </c>
      <c r="P88" s="88">
        <f t="shared" ca="1" si="31"/>
        <v>0</v>
      </c>
      <c r="Q88" s="89">
        <f t="shared" ca="1" si="32"/>
        <v>0</v>
      </c>
      <c r="R88" s="198">
        <f ca="1">IFERROR(__xludf.DUMMYFUNCTION("IMPORTRANGE(""https://docs.google.com/spreadsheets/d/18T20gbkS_WBjdscyTOV05cvq_JqvqQ17C81mpxf7Ncs/edit?usp=sharing"",""สุราษฎร์ธานี!Q157"")"),0)</f>
        <v>0</v>
      </c>
      <c r="S88" s="88">
        <f ca="1">IFERROR(__xludf.DUMMYFUNCTION("IMPORTRANGE(""https://docs.google.com/spreadsheets/d/18T20gbkS_WBjdscyTOV05cvq_JqvqQ17C81mpxf7Ncs/edit?usp=sharing"",""สุราษฎร์ธานี!R157"")"),0)</f>
        <v>0</v>
      </c>
      <c r="T88" s="88">
        <f ca="1">IFERROR(__xludf.DUMMYFUNCTION("IMPORTRANGE(""https://docs.google.com/spreadsheets/d/18T20gbkS_WBjdscyTOV05cvq_JqvqQ17C81mpxf7Ncs/edit?usp=sharing"",""สุราษฎร์ธานี!S157"")"),0)</f>
        <v>0</v>
      </c>
      <c r="U88" s="89">
        <f t="shared" ca="1" si="34"/>
        <v>0</v>
      </c>
      <c r="V88" s="89">
        <f t="shared" ca="1" si="35"/>
        <v>0</v>
      </c>
      <c r="W88" s="90">
        <f ca="1">IFERROR(__xludf.DUMMYFUNCTION("IMPORTRANGE(""https://docs.google.com/spreadsheets/d/18T20gbkS_WBjdscyTOV05cvq_JqvqQ17C81mpxf7Ncs/edit?usp=sharing"",""สุราษฎร์ธานี!I167"")"),15)</f>
        <v>15</v>
      </c>
      <c r="X88" s="90">
        <f ca="1">IFERROR(__xludf.DUMMYFUNCTION("IMPORTRANGE(""https://docs.google.com/spreadsheets/d/18T20gbkS_WBjdscyTOV05cvq_JqvqQ17C81mpxf7Ncs/edit?usp=sharing"",""สุราษฎร์ธานี!J167"")"),15)</f>
        <v>15</v>
      </c>
      <c r="Y88" s="91">
        <f t="shared" ca="1" si="37"/>
        <v>100</v>
      </c>
      <c r="Z88" s="90"/>
      <c r="AA88" s="90"/>
      <c r="AB88" s="91"/>
      <c r="AC88" s="90"/>
      <c r="AD88" s="90"/>
      <c r="AE88" s="91"/>
    </row>
    <row r="89" spans="1:31" ht="21" customHeight="1" x14ac:dyDescent="0.3">
      <c r="A89" s="698" t="s">
        <v>117</v>
      </c>
      <c r="B89" s="662"/>
      <c r="C89" s="200">
        <f t="shared" ref="C89:Q89" ca="1" si="51">SUM(C90:C108)</f>
        <v>4855200</v>
      </c>
      <c r="D89" s="39">
        <f t="shared" ca="1" si="51"/>
        <v>4855200</v>
      </c>
      <c r="E89" s="39">
        <f t="shared" ca="1" si="51"/>
        <v>2300000</v>
      </c>
      <c r="F89" s="39">
        <f t="shared" ca="1" si="51"/>
        <v>2555200</v>
      </c>
      <c r="G89" s="39">
        <f t="shared" ca="1" si="51"/>
        <v>0</v>
      </c>
      <c r="H89" s="39">
        <f t="shared" ca="1" si="51"/>
        <v>3946281</v>
      </c>
      <c r="I89" s="39">
        <f t="shared" ca="1" si="51"/>
        <v>0</v>
      </c>
      <c r="J89" s="39">
        <f t="shared" ca="1" si="51"/>
        <v>3163950.77</v>
      </c>
      <c r="K89" s="40">
        <f t="shared" ca="1" si="51"/>
        <v>186.84966136119965</v>
      </c>
      <c r="L89" s="39">
        <f t="shared" ca="1" si="51"/>
        <v>3163950.77</v>
      </c>
      <c r="M89" s="40">
        <f t="shared" ca="1" si="51"/>
        <v>186.84966136119965</v>
      </c>
      <c r="N89" s="40">
        <f t="shared" ca="1" si="51"/>
        <v>334.69984917262616</v>
      </c>
      <c r="O89" s="39">
        <f t="shared" ca="1" si="51"/>
        <v>0</v>
      </c>
      <c r="P89" s="39">
        <f t="shared" ca="1" si="51"/>
        <v>0</v>
      </c>
      <c r="Q89" s="39">
        <f t="shared" ca="1" si="51"/>
        <v>0</v>
      </c>
      <c r="R89" s="201">
        <f t="shared" ref="R89:T89" ca="1" si="52">SUM(R90:R106)</f>
        <v>2379400</v>
      </c>
      <c r="S89" s="202">
        <f t="shared" ca="1" si="52"/>
        <v>2379400</v>
      </c>
      <c r="T89" s="202">
        <f t="shared" ca="1" si="52"/>
        <v>94090</v>
      </c>
      <c r="U89" s="202">
        <f t="shared" ca="1" si="34"/>
        <v>3.9543582415735061</v>
      </c>
      <c r="V89" s="202">
        <f t="shared" ca="1" si="35"/>
        <v>3.9543582415735061</v>
      </c>
      <c r="W89" s="39"/>
      <c r="X89" s="39"/>
      <c r="Y89" s="41"/>
      <c r="Z89" s="39"/>
      <c r="AA89" s="39"/>
      <c r="AB89" s="41"/>
      <c r="AC89" s="39"/>
      <c r="AD89" s="39"/>
      <c r="AE89" s="41"/>
    </row>
    <row r="90" spans="1:31" ht="24" customHeight="1" x14ac:dyDescent="0.3">
      <c r="A90" s="102"/>
      <c r="B90" s="103" t="s">
        <v>118</v>
      </c>
      <c r="C90" s="170">
        <f t="shared" ref="C90:C108" ca="1" si="53">D90+G90</f>
        <v>0</v>
      </c>
      <c r="D90" s="171">
        <f t="shared" ref="D90:D108" ca="1" si="54">+E90+F90</f>
        <v>0</v>
      </c>
      <c r="E90" s="62">
        <f ca="1">IFERROR(__xludf.DUMMYFUNCTION("IMPORTRANGE(""https://docs.google.com/spreadsheets/d/1-uDff_7J0KD5mKrp0Vvzr7lt3OU09vwQwhkpOPPYv2Y/edit?usp=sharing"",""งบพรบ!CB90"")"),0)</f>
        <v>0</v>
      </c>
      <c r="F90" s="62">
        <f ca="1">IFERROR(__xludf.DUMMYFUNCTION("IMPORTRANGE(""https://docs.google.com/spreadsheets/d/1-uDff_7J0KD5mKrp0Vvzr7lt3OU09vwQwhkpOPPYv2Y/edit?usp=sharing"",""งบพรบ!CC90"")"),0)</f>
        <v>0</v>
      </c>
      <c r="G90" s="62">
        <f ca="1">IFERROR(__xludf.DUMMYFUNCTION("IMPORTRANGE(""https://docs.google.com/spreadsheets/d/1-uDff_7J0KD5mKrp0Vvzr7lt3OU09vwQwhkpOPPYv2Y/edit?usp=sharing"",""งบพรบ!CD90"")"),0)</f>
        <v>0</v>
      </c>
      <c r="H90" s="62">
        <f ca="1">IFERROR(__xludf.DUMMYFUNCTION("IMPORTRANGE(""https://docs.google.com/spreadsheets/d/1-uDff_7J0KD5mKrp0Vvzr7lt3OU09vwQwhkpOPPYv2Y/edit?usp=sharing"",""งบพรบ!CF90"")"),0)</f>
        <v>0</v>
      </c>
      <c r="I90" s="62">
        <f ca="1">IFERROR(__xludf.DUMMYFUNCTION("IMPORTRANGE(""https://docs.google.com/spreadsheets/d/1-uDff_7J0KD5mKrp0Vvzr7lt3OU09vwQwhkpOPPYv2Y/edit?usp=sharing"",""งบพรบ!CG90"")"),0)</f>
        <v>0</v>
      </c>
      <c r="J90" s="62">
        <f t="shared" ref="J90:J108" ca="1" si="55">L90+O90</f>
        <v>0</v>
      </c>
      <c r="K90" s="104">
        <f t="shared" ref="K90:K108" ca="1" si="56">IF(C90&gt;0,J90*100/C90,0)</f>
        <v>0</v>
      </c>
      <c r="L90" s="62">
        <f ca="1">IFERROR(__xludf.DUMMYFUNCTION("IMPORTRANGE(""https://docs.google.com/spreadsheets/d/1-uDff_7J0KD5mKrp0Vvzr7lt3OU09vwQwhkpOPPYv2Y/edit?usp=sharing"",""งบพรบ!CH90"")"),0)</f>
        <v>0</v>
      </c>
      <c r="M90" s="65">
        <f t="shared" ref="M90:M108" ca="1" si="57">IF(D90&gt;0,L90*100/D90,0)</f>
        <v>0</v>
      </c>
      <c r="N90" s="65">
        <f t="shared" ref="N90:N108" ca="1" si="58">IF(H90&gt;0,L90*100/H90,0)</f>
        <v>0</v>
      </c>
      <c r="O90" s="66">
        <f ca="1">IFERROR(__xludf.DUMMYFUNCTION("IMPORTRANGE(""https://docs.google.com/spreadsheets/d/1-uDff_7J0KD5mKrp0Vvzr7lt3OU09vwQwhkpOPPYv2Y/edit?usp=sharing"",""งบพรบ!CI90"")"),0)</f>
        <v>0</v>
      </c>
      <c r="P90" s="66">
        <f t="shared" ref="P90:P108" ca="1" si="59">IF(G90&gt;0,O90*100/G90,0)</f>
        <v>0</v>
      </c>
      <c r="Q90" s="65">
        <f t="shared" ref="Q90:Q108" ca="1" si="60">IF(I90&gt;0,O90*100/I90,0)</f>
        <v>0</v>
      </c>
      <c r="R90" s="197">
        <v>0</v>
      </c>
      <c r="S90" s="67">
        <v>0</v>
      </c>
      <c r="T90" s="67">
        <v>0</v>
      </c>
      <c r="U90" s="68">
        <f t="shared" si="34"/>
        <v>0</v>
      </c>
      <c r="V90" s="68">
        <f t="shared" si="35"/>
        <v>0</v>
      </c>
      <c r="W90" s="62"/>
      <c r="X90" s="62"/>
      <c r="Y90" s="65"/>
      <c r="Z90" s="62"/>
      <c r="AA90" s="62"/>
      <c r="AB90" s="65"/>
      <c r="AC90" s="62"/>
      <c r="AD90" s="62"/>
      <c r="AE90" s="65"/>
    </row>
    <row r="91" spans="1:31" ht="24" customHeight="1" x14ac:dyDescent="0.3">
      <c r="A91" s="105"/>
      <c r="B91" s="106" t="s">
        <v>119</v>
      </c>
      <c r="C91" s="173">
        <f t="shared" ca="1" si="53"/>
        <v>0</v>
      </c>
      <c r="D91" s="174">
        <f t="shared" ca="1" si="54"/>
        <v>0</v>
      </c>
      <c r="E91" s="74">
        <f ca="1">IFERROR(__xludf.DUMMYFUNCTION("IMPORTRANGE(""https://docs.google.com/spreadsheets/d/1-uDff_7J0KD5mKrp0Vvzr7lt3OU09vwQwhkpOPPYv2Y/edit?usp=sharing"",""งบพรบ!CB91"")"),0)</f>
        <v>0</v>
      </c>
      <c r="F91" s="74">
        <f ca="1">IFERROR(__xludf.DUMMYFUNCTION("IMPORTRANGE(""https://docs.google.com/spreadsheets/d/1-uDff_7J0KD5mKrp0Vvzr7lt3OU09vwQwhkpOPPYv2Y/edit?usp=sharing"",""งบพรบ!CC91"")"),0)</f>
        <v>0</v>
      </c>
      <c r="G91" s="74">
        <f ca="1">IFERROR(__xludf.DUMMYFUNCTION("IMPORTRANGE(""https://docs.google.com/spreadsheets/d/1-uDff_7J0KD5mKrp0Vvzr7lt3OU09vwQwhkpOPPYv2Y/edit?usp=sharing"",""งบพรบ!CD91"")"),0)</f>
        <v>0</v>
      </c>
      <c r="H91" s="74">
        <f ca="1">IFERROR(__xludf.DUMMYFUNCTION("IMPORTRANGE(""https://docs.google.com/spreadsheets/d/1-uDff_7J0KD5mKrp0Vvzr7lt3OU09vwQwhkpOPPYv2Y/edit?usp=sharing"",""งบพรบ!CF91"")"),0)</f>
        <v>0</v>
      </c>
      <c r="I91" s="74">
        <f ca="1">IFERROR(__xludf.DUMMYFUNCTION("IMPORTRANGE(""https://docs.google.com/spreadsheets/d/1-uDff_7J0KD5mKrp0Vvzr7lt3OU09vwQwhkpOPPYv2Y/edit?usp=sharing"",""งบพรบ!CG91"")"),0)</f>
        <v>0</v>
      </c>
      <c r="J91" s="74">
        <f t="shared" ca="1" si="55"/>
        <v>0</v>
      </c>
      <c r="K91" s="75">
        <f t="shared" ca="1" si="56"/>
        <v>0</v>
      </c>
      <c r="L91" s="74">
        <f ca="1">IFERROR(__xludf.DUMMYFUNCTION("IMPORTRANGE(""https://docs.google.com/spreadsheets/d/1-uDff_7J0KD5mKrp0Vvzr7lt3OU09vwQwhkpOPPYv2Y/edit?usp=sharing"",""งบพรบ!CH91"")"),0)</f>
        <v>0</v>
      </c>
      <c r="M91" s="76">
        <f t="shared" ca="1" si="57"/>
        <v>0</v>
      </c>
      <c r="N91" s="76">
        <f t="shared" ca="1" si="58"/>
        <v>0</v>
      </c>
      <c r="O91" s="77">
        <f ca="1">IFERROR(__xludf.DUMMYFUNCTION("IMPORTRANGE(""https://docs.google.com/spreadsheets/d/1-uDff_7J0KD5mKrp0Vvzr7lt3OU09vwQwhkpOPPYv2Y/edit?usp=sharing"",""งบพรบ!CI91"")"),0)</f>
        <v>0</v>
      </c>
      <c r="P91" s="77">
        <f t="shared" ca="1" si="59"/>
        <v>0</v>
      </c>
      <c r="Q91" s="76">
        <f t="shared" ca="1" si="60"/>
        <v>0</v>
      </c>
      <c r="R91" s="197">
        <v>0</v>
      </c>
      <c r="S91" s="67">
        <v>0</v>
      </c>
      <c r="T91" s="67">
        <v>0</v>
      </c>
      <c r="U91" s="68">
        <f t="shared" si="34"/>
        <v>0</v>
      </c>
      <c r="V91" s="68">
        <f t="shared" si="35"/>
        <v>0</v>
      </c>
      <c r="W91" s="74"/>
      <c r="X91" s="74"/>
      <c r="Y91" s="76"/>
      <c r="Z91" s="74"/>
      <c r="AA91" s="74"/>
      <c r="AB91" s="76"/>
      <c r="AC91" s="74"/>
      <c r="AD91" s="74"/>
      <c r="AE91" s="76"/>
    </row>
    <row r="92" spans="1:31" ht="24" customHeight="1" x14ac:dyDescent="0.3">
      <c r="A92" s="105"/>
      <c r="B92" s="106" t="s">
        <v>120</v>
      </c>
      <c r="C92" s="173">
        <f t="shared" ca="1" si="53"/>
        <v>0</v>
      </c>
      <c r="D92" s="174">
        <f t="shared" ca="1" si="54"/>
        <v>0</v>
      </c>
      <c r="E92" s="74">
        <f ca="1">IFERROR(__xludf.DUMMYFUNCTION("IMPORTRANGE(""https://docs.google.com/spreadsheets/d/1-uDff_7J0KD5mKrp0Vvzr7lt3OU09vwQwhkpOPPYv2Y/edit?usp=sharing"",""งบพรบ!CB92"")"),0)</f>
        <v>0</v>
      </c>
      <c r="F92" s="74">
        <f ca="1">IFERROR(__xludf.DUMMYFUNCTION("IMPORTRANGE(""https://docs.google.com/spreadsheets/d/1-uDff_7J0KD5mKrp0Vvzr7lt3OU09vwQwhkpOPPYv2Y/edit?usp=sharing"",""งบพรบ!CC92"")"),0)</f>
        <v>0</v>
      </c>
      <c r="G92" s="74">
        <f ca="1">IFERROR(__xludf.DUMMYFUNCTION("IMPORTRANGE(""https://docs.google.com/spreadsheets/d/1-uDff_7J0KD5mKrp0Vvzr7lt3OU09vwQwhkpOPPYv2Y/edit?usp=sharing"",""งบพรบ!CD92"")"),0)</f>
        <v>0</v>
      </c>
      <c r="H92" s="74">
        <f ca="1">IFERROR(__xludf.DUMMYFUNCTION("IMPORTRANGE(""https://docs.google.com/spreadsheets/d/1-uDff_7J0KD5mKrp0Vvzr7lt3OU09vwQwhkpOPPYv2Y/edit?usp=sharing"",""งบพรบ!CF92"")"),0)</f>
        <v>0</v>
      </c>
      <c r="I92" s="74">
        <f ca="1">IFERROR(__xludf.DUMMYFUNCTION("IMPORTRANGE(""https://docs.google.com/spreadsheets/d/1-uDff_7J0KD5mKrp0Vvzr7lt3OU09vwQwhkpOPPYv2Y/edit?usp=sharing"",""งบพรบ!CG92"")"),0)</f>
        <v>0</v>
      </c>
      <c r="J92" s="74">
        <f t="shared" ca="1" si="55"/>
        <v>0</v>
      </c>
      <c r="K92" s="75">
        <f t="shared" ca="1" si="56"/>
        <v>0</v>
      </c>
      <c r="L92" s="74">
        <f ca="1">IFERROR(__xludf.DUMMYFUNCTION("IMPORTRANGE(""https://docs.google.com/spreadsheets/d/1-uDff_7J0KD5mKrp0Vvzr7lt3OU09vwQwhkpOPPYv2Y/edit?usp=sharing"",""งบพรบ!CH92"")"),0)</f>
        <v>0</v>
      </c>
      <c r="M92" s="76">
        <f t="shared" ca="1" si="57"/>
        <v>0</v>
      </c>
      <c r="N92" s="76">
        <f t="shared" ca="1" si="58"/>
        <v>0</v>
      </c>
      <c r="O92" s="77">
        <f ca="1">IFERROR(__xludf.DUMMYFUNCTION("IMPORTRANGE(""https://docs.google.com/spreadsheets/d/1-uDff_7J0KD5mKrp0Vvzr7lt3OU09vwQwhkpOPPYv2Y/edit?usp=sharing"",""งบพรบ!CI92"")"),0)</f>
        <v>0</v>
      </c>
      <c r="P92" s="77">
        <f t="shared" ca="1" si="59"/>
        <v>0</v>
      </c>
      <c r="Q92" s="76">
        <f t="shared" ca="1" si="60"/>
        <v>0</v>
      </c>
      <c r="R92" s="197">
        <v>0</v>
      </c>
      <c r="S92" s="67">
        <v>0</v>
      </c>
      <c r="T92" s="67">
        <v>0</v>
      </c>
      <c r="U92" s="68">
        <f t="shared" si="34"/>
        <v>0</v>
      </c>
      <c r="V92" s="68">
        <f t="shared" si="35"/>
        <v>0</v>
      </c>
      <c r="W92" s="74"/>
      <c r="X92" s="74"/>
      <c r="Y92" s="76"/>
      <c r="Z92" s="74"/>
      <c r="AA92" s="74"/>
      <c r="AB92" s="76"/>
      <c r="AC92" s="74"/>
      <c r="AD92" s="74"/>
      <c r="AE92" s="76"/>
    </row>
    <row r="93" spans="1:31" ht="24" customHeight="1" x14ac:dyDescent="0.3">
      <c r="A93" s="105"/>
      <c r="B93" s="106" t="s">
        <v>121</v>
      </c>
      <c r="C93" s="173">
        <f t="shared" ca="1" si="53"/>
        <v>0</v>
      </c>
      <c r="D93" s="174">
        <f t="shared" ca="1" si="54"/>
        <v>0</v>
      </c>
      <c r="E93" s="74">
        <f ca="1">IFERROR(__xludf.DUMMYFUNCTION("IMPORTRANGE(""https://docs.google.com/spreadsheets/d/1-uDff_7J0KD5mKrp0Vvzr7lt3OU09vwQwhkpOPPYv2Y/edit?usp=sharing"",""งบพรบ!CB93"")"),0)</f>
        <v>0</v>
      </c>
      <c r="F93" s="74">
        <f ca="1">IFERROR(__xludf.DUMMYFUNCTION("IMPORTRANGE(""https://docs.google.com/spreadsheets/d/1-uDff_7J0KD5mKrp0Vvzr7lt3OU09vwQwhkpOPPYv2Y/edit?usp=sharing"",""งบพรบ!CC93"")"),0)</f>
        <v>0</v>
      </c>
      <c r="G93" s="74">
        <f ca="1">IFERROR(__xludf.DUMMYFUNCTION("IMPORTRANGE(""https://docs.google.com/spreadsheets/d/1-uDff_7J0KD5mKrp0Vvzr7lt3OU09vwQwhkpOPPYv2Y/edit?usp=sharing"",""งบพรบ!CD93"")"),0)</f>
        <v>0</v>
      </c>
      <c r="H93" s="74">
        <f ca="1">IFERROR(__xludf.DUMMYFUNCTION("IMPORTRANGE(""https://docs.google.com/spreadsheets/d/1-uDff_7J0KD5mKrp0Vvzr7lt3OU09vwQwhkpOPPYv2Y/edit?usp=sharing"",""งบพรบ!CF93"")"),712300)</f>
        <v>712300</v>
      </c>
      <c r="I93" s="74">
        <f ca="1">IFERROR(__xludf.DUMMYFUNCTION("IMPORTRANGE(""https://docs.google.com/spreadsheets/d/1-uDff_7J0KD5mKrp0Vvzr7lt3OU09vwQwhkpOPPYv2Y/edit?usp=sharing"",""งบพรบ!CG93"")"),0)</f>
        <v>0</v>
      </c>
      <c r="J93" s="74">
        <f t="shared" ca="1" si="55"/>
        <v>712300</v>
      </c>
      <c r="K93" s="75">
        <f t="shared" ca="1" si="56"/>
        <v>0</v>
      </c>
      <c r="L93" s="74">
        <f ca="1">IFERROR(__xludf.DUMMYFUNCTION("IMPORTRANGE(""https://docs.google.com/spreadsheets/d/1-uDff_7J0KD5mKrp0Vvzr7lt3OU09vwQwhkpOPPYv2Y/edit?usp=sharing"",""งบพรบ!CH93"")"),712300)</f>
        <v>712300</v>
      </c>
      <c r="M93" s="76">
        <f t="shared" ca="1" si="57"/>
        <v>0</v>
      </c>
      <c r="N93" s="76">
        <f t="shared" ca="1" si="58"/>
        <v>100</v>
      </c>
      <c r="O93" s="77">
        <f ca="1">IFERROR(__xludf.DUMMYFUNCTION("IMPORTRANGE(""https://docs.google.com/spreadsheets/d/1-uDff_7J0KD5mKrp0Vvzr7lt3OU09vwQwhkpOPPYv2Y/edit?usp=sharing"",""งบพรบ!CI93"")"),0)</f>
        <v>0</v>
      </c>
      <c r="P93" s="77">
        <f t="shared" ca="1" si="59"/>
        <v>0</v>
      </c>
      <c r="Q93" s="76">
        <f t="shared" ca="1" si="60"/>
        <v>0</v>
      </c>
      <c r="R93" s="197">
        <v>0</v>
      </c>
      <c r="S93" s="67">
        <v>0</v>
      </c>
      <c r="T93" s="67">
        <v>0</v>
      </c>
      <c r="U93" s="68">
        <f t="shared" si="34"/>
        <v>0</v>
      </c>
      <c r="V93" s="68">
        <f t="shared" si="35"/>
        <v>0</v>
      </c>
      <c r="W93" s="74"/>
      <c r="X93" s="74"/>
      <c r="Y93" s="76"/>
      <c r="Z93" s="74"/>
      <c r="AA93" s="74"/>
      <c r="AB93" s="76"/>
      <c r="AC93" s="74"/>
      <c r="AD93" s="74"/>
      <c r="AE93" s="76"/>
    </row>
    <row r="94" spans="1:31" ht="24" customHeight="1" x14ac:dyDescent="0.3">
      <c r="A94" s="105"/>
      <c r="B94" s="106" t="s">
        <v>122</v>
      </c>
      <c r="C94" s="173">
        <f t="shared" ca="1" si="53"/>
        <v>0</v>
      </c>
      <c r="D94" s="174">
        <f t="shared" ca="1" si="54"/>
        <v>0</v>
      </c>
      <c r="E94" s="74">
        <f ca="1">IFERROR(__xludf.DUMMYFUNCTION("IMPORTRANGE(""https://docs.google.com/spreadsheets/d/1-uDff_7J0KD5mKrp0Vvzr7lt3OU09vwQwhkpOPPYv2Y/edit?usp=sharing"",""งบพรบ!CB94"")"),0)</f>
        <v>0</v>
      </c>
      <c r="F94" s="74">
        <f ca="1">IFERROR(__xludf.DUMMYFUNCTION("IMPORTRANGE(""https://docs.google.com/spreadsheets/d/1-uDff_7J0KD5mKrp0Vvzr7lt3OU09vwQwhkpOPPYv2Y/edit?usp=sharing"",""งบพรบ!CC94"")"),0)</f>
        <v>0</v>
      </c>
      <c r="G94" s="74">
        <f ca="1">IFERROR(__xludf.DUMMYFUNCTION("IMPORTRANGE(""https://docs.google.com/spreadsheets/d/1-uDff_7J0KD5mKrp0Vvzr7lt3OU09vwQwhkpOPPYv2Y/edit?usp=sharing"",""งบพรบ!CD94"")"),0)</f>
        <v>0</v>
      </c>
      <c r="H94" s="74">
        <f ca="1">IFERROR(__xludf.DUMMYFUNCTION("IMPORTRANGE(""https://docs.google.com/spreadsheets/d/1-uDff_7J0KD5mKrp0Vvzr7lt3OU09vwQwhkpOPPYv2Y/edit?usp=sharing"",""งบพรบ!CF94"")"),0)</f>
        <v>0</v>
      </c>
      <c r="I94" s="74">
        <f ca="1">IFERROR(__xludf.DUMMYFUNCTION("IMPORTRANGE(""https://docs.google.com/spreadsheets/d/1-uDff_7J0KD5mKrp0Vvzr7lt3OU09vwQwhkpOPPYv2Y/edit?usp=sharing"",""งบพรบ!CG94"")"),0)</f>
        <v>0</v>
      </c>
      <c r="J94" s="74">
        <f t="shared" ca="1" si="55"/>
        <v>0</v>
      </c>
      <c r="K94" s="75">
        <f t="shared" ca="1" si="56"/>
        <v>0</v>
      </c>
      <c r="L94" s="74">
        <f ca="1">IFERROR(__xludf.DUMMYFUNCTION("IMPORTRANGE(""https://docs.google.com/spreadsheets/d/1-uDff_7J0KD5mKrp0Vvzr7lt3OU09vwQwhkpOPPYv2Y/edit?usp=sharing"",""งบพรบ!CH94"")"),0)</f>
        <v>0</v>
      </c>
      <c r="M94" s="76">
        <f t="shared" ca="1" si="57"/>
        <v>0</v>
      </c>
      <c r="N94" s="76">
        <f t="shared" ca="1" si="58"/>
        <v>0</v>
      </c>
      <c r="O94" s="77">
        <f ca="1">IFERROR(__xludf.DUMMYFUNCTION("IMPORTRANGE(""https://docs.google.com/spreadsheets/d/1-uDff_7J0KD5mKrp0Vvzr7lt3OU09vwQwhkpOPPYv2Y/edit?usp=sharing"",""งบพรบ!CI94"")"),0)</f>
        <v>0</v>
      </c>
      <c r="P94" s="77">
        <f t="shared" ca="1" si="59"/>
        <v>0</v>
      </c>
      <c r="Q94" s="76">
        <f t="shared" ca="1" si="60"/>
        <v>0</v>
      </c>
      <c r="R94" s="197">
        <v>0</v>
      </c>
      <c r="S94" s="67">
        <v>0</v>
      </c>
      <c r="T94" s="67">
        <v>0</v>
      </c>
      <c r="U94" s="68">
        <f t="shared" si="34"/>
        <v>0</v>
      </c>
      <c r="V94" s="68">
        <f t="shared" si="35"/>
        <v>0</v>
      </c>
      <c r="W94" s="74"/>
      <c r="X94" s="74"/>
      <c r="Y94" s="76"/>
      <c r="Z94" s="74"/>
      <c r="AA94" s="74"/>
      <c r="AB94" s="76"/>
      <c r="AC94" s="74"/>
      <c r="AD94" s="74"/>
      <c r="AE94" s="76"/>
    </row>
    <row r="95" spans="1:31" ht="24" customHeight="1" x14ac:dyDescent="0.3">
      <c r="A95" s="105"/>
      <c r="B95" s="106" t="s">
        <v>123</v>
      </c>
      <c r="C95" s="173">
        <f t="shared" ca="1" si="53"/>
        <v>123100</v>
      </c>
      <c r="D95" s="174">
        <f t="shared" ca="1" si="54"/>
        <v>123100</v>
      </c>
      <c r="E95" s="74">
        <f ca="1">IFERROR(__xludf.DUMMYFUNCTION("IMPORTRANGE(""https://docs.google.com/spreadsheets/d/1-uDff_7J0KD5mKrp0Vvzr7lt3OU09vwQwhkpOPPYv2Y/edit?usp=sharing"",""งบพรบ!CB95"")"),123100)</f>
        <v>123100</v>
      </c>
      <c r="F95" s="74">
        <f ca="1">IFERROR(__xludf.DUMMYFUNCTION("IMPORTRANGE(""https://docs.google.com/spreadsheets/d/1-uDff_7J0KD5mKrp0Vvzr7lt3OU09vwQwhkpOPPYv2Y/edit?usp=sharing"",""งบพรบ!CC95"")"),0)</f>
        <v>0</v>
      </c>
      <c r="G95" s="74">
        <f ca="1">IFERROR(__xludf.DUMMYFUNCTION("IMPORTRANGE(""https://docs.google.com/spreadsheets/d/1-uDff_7J0KD5mKrp0Vvzr7lt3OU09vwQwhkpOPPYv2Y/edit?usp=sharing"",""งบพรบ!CD95"")"),0)</f>
        <v>0</v>
      </c>
      <c r="H95" s="74">
        <f ca="1">IFERROR(__xludf.DUMMYFUNCTION("IMPORTRANGE(""https://docs.google.com/spreadsheets/d/1-uDff_7J0KD5mKrp0Vvzr7lt3OU09vwQwhkpOPPYv2Y/edit?usp=sharing"",""งบพรบ!CF95"")"),123100)</f>
        <v>123100</v>
      </c>
      <c r="I95" s="74">
        <f ca="1">IFERROR(__xludf.DUMMYFUNCTION("IMPORTRANGE(""https://docs.google.com/spreadsheets/d/1-uDff_7J0KD5mKrp0Vvzr7lt3OU09vwQwhkpOPPYv2Y/edit?usp=sharing"",""งบพรบ!CG95"")"),0)</f>
        <v>0</v>
      </c>
      <c r="J95" s="74">
        <f t="shared" ca="1" si="55"/>
        <v>115600</v>
      </c>
      <c r="K95" s="75">
        <f t="shared" ca="1" si="56"/>
        <v>93.907392363931763</v>
      </c>
      <c r="L95" s="74">
        <f ca="1">IFERROR(__xludf.DUMMYFUNCTION("IMPORTRANGE(""https://docs.google.com/spreadsheets/d/1-uDff_7J0KD5mKrp0Vvzr7lt3OU09vwQwhkpOPPYv2Y/edit?usp=sharing"",""งบพรบ!CH95"")"),115600)</f>
        <v>115600</v>
      </c>
      <c r="M95" s="76">
        <f t="shared" ca="1" si="57"/>
        <v>93.907392363931763</v>
      </c>
      <c r="N95" s="76">
        <f t="shared" ca="1" si="58"/>
        <v>93.907392363931763</v>
      </c>
      <c r="O95" s="77">
        <f ca="1">IFERROR(__xludf.DUMMYFUNCTION("IMPORTRANGE(""https://docs.google.com/spreadsheets/d/1-uDff_7J0KD5mKrp0Vvzr7lt3OU09vwQwhkpOPPYv2Y/edit?usp=sharing"",""งบพรบ!CI95"")"),0)</f>
        <v>0</v>
      </c>
      <c r="P95" s="77">
        <f t="shared" ca="1" si="59"/>
        <v>0</v>
      </c>
      <c r="Q95" s="76">
        <f t="shared" ca="1" si="60"/>
        <v>0</v>
      </c>
      <c r="R95" s="197">
        <v>0</v>
      </c>
      <c r="S95" s="67">
        <v>0</v>
      </c>
      <c r="T95" s="67">
        <v>0</v>
      </c>
      <c r="U95" s="68">
        <f t="shared" si="34"/>
        <v>0</v>
      </c>
      <c r="V95" s="68">
        <f t="shared" si="35"/>
        <v>0</v>
      </c>
      <c r="W95" s="74"/>
      <c r="X95" s="74"/>
      <c r="Y95" s="76"/>
      <c r="Z95" s="74"/>
      <c r="AA95" s="74"/>
      <c r="AB95" s="76"/>
      <c r="AC95" s="74"/>
      <c r="AD95" s="74"/>
      <c r="AE95" s="76"/>
    </row>
    <row r="96" spans="1:31" ht="24" customHeight="1" x14ac:dyDescent="0.3">
      <c r="A96" s="105"/>
      <c r="B96" s="106" t="s">
        <v>124</v>
      </c>
      <c r="C96" s="173">
        <f t="shared" ca="1" si="53"/>
        <v>0</v>
      </c>
      <c r="D96" s="174">
        <f t="shared" ca="1" si="54"/>
        <v>0</v>
      </c>
      <c r="E96" s="74">
        <f ca="1">IFERROR(__xludf.DUMMYFUNCTION("IMPORTRANGE(""https://docs.google.com/spreadsheets/d/1-uDff_7J0KD5mKrp0Vvzr7lt3OU09vwQwhkpOPPYv2Y/edit?usp=sharing"",""งบพรบ!CB96"")"),0)</f>
        <v>0</v>
      </c>
      <c r="F96" s="74">
        <f ca="1">IFERROR(__xludf.DUMMYFUNCTION("IMPORTRANGE(""https://docs.google.com/spreadsheets/d/1-uDff_7J0KD5mKrp0Vvzr7lt3OU09vwQwhkpOPPYv2Y/edit?usp=sharing"",""งบพรบ!CC96"")"),0)</f>
        <v>0</v>
      </c>
      <c r="G96" s="74">
        <f ca="1">IFERROR(__xludf.DUMMYFUNCTION("IMPORTRANGE(""https://docs.google.com/spreadsheets/d/1-uDff_7J0KD5mKrp0Vvzr7lt3OU09vwQwhkpOPPYv2Y/edit?usp=sharing"",""งบพรบ!CD96"")"),0)</f>
        <v>0</v>
      </c>
      <c r="H96" s="74">
        <f ca="1">IFERROR(__xludf.DUMMYFUNCTION("IMPORTRANGE(""https://docs.google.com/spreadsheets/d/1-uDff_7J0KD5mKrp0Vvzr7lt3OU09vwQwhkpOPPYv2Y/edit?usp=sharing"",""งบพรบ!CF96"")"),0)</f>
        <v>0</v>
      </c>
      <c r="I96" s="74">
        <f ca="1">IFERROR(__xludf.DUMMYFUNCTION("IMPORTRANGE(""https://docs.google.com/spreadsheets/d/1-uDff_7J0KD5mKrp0Vvzr7lt3OU09vwQwhkpOPPYv2Y/edit?usp=sharing"",""งบพรบ!CG96"")"),0)</f>
        <v>0</v>
      </c>
      <c r="J96" s="74">
        <f t="shared" ca="1" si="55"/>
        <v>0</v>
      </c>
      <c r="K96" s="75">
        <f t="shared" ca="1" si="56"/>
        <v>0</v>
      </c>
      <c r="L96" s="74">
        <f ca="1">IFERROR(__xludf.DUMMYFUNCTION("IMPORTRANGE(""https://docs.google.com/spreadsheets/d/1-uDff_7J0KD5mKrp0Vvzr7lt3OU09vwQwhkpOPPYv2Y/edit?usp=sharing"",""งบพรบ!CH96"")"),0)</f>
        <v>0</v>
      </c>
      <c r="M96" s="76">
        <f t="shared" ca="1" si="57"/>
        <v>0</v>
      </c>
      <c r="N96" s="76">
        <f t="shared" ca="1" si="58"/>
        <v>0</v>
      </c>
      <c r="O96" s="77">
        <f ca="1">IFERROR(__xludf.DUMMYFUNCTION("IMPORTRANGE(""https://docs.google.com/spreadsheets/d/1-uDff_7J0KD5mKrp0Vvzr7lt3OU09vwQwhkpOPPYv2Y/edit?usp=sharing"",""งบพรบ!CI96"")"),0)</f>
        <v>0</v>
      </c>
      <c r="P96" s="77">
        <f t="shared" ca="1" si="59"/>
        <v>0</v>
      </c>
      <c r="Q96" s="76">
        <f t="shared" ca="1" si="60"/>
        <v>0</v>
      </c>
      <c r="R96" s="197">
        <v>0</v>
      </c>
      <c r="S96" s="67">
        <v>0</v>
      </c>
      <c r="T96" s="67">
        <v>0</v>
      </c>
      <c r="U96" s="68">
        <f t="shared" si="34"/>
        <v>0</v>
      </c>
      <c r="V96" s="68">
        <f t="shared" si="35"/>
        <v>0</v>
      </c>
      <c r="W96" s="74"/>
      <c r="X96" s="74"/>
      <c r="Y96" s="76"/>
      <c r="Z96" s="74"/>
      <c r="AA96" s="74"/>
      <c r="AB96" s="76"/>
      <c r="AC96" s="74"/>
      <c r="AD96" s="74"/>
      <c r="AE96" s="76"/>
    </row>
    <row r="97" spans="1:31" ht="24" customHeight="1" x14ac:dyDescent="0.3">
      <c r="A97" s="105"/>
      <c r="B97" s="106" t="s">
        <v>125</v>
      </c>
      <c r="C97" s="173">
        <f t="shared" ca="1" si="53"/>
        <v>0</v>
      </c>
      <c r="D97" s="174">
        <f t="shared" ca="1" si="54"/>
        <v>0</v>
      </c>
      <c r="E97" s="74">
        <f ca="1">IFERROR(__xludf.DUMMYFUNCTION("IMPORTRANGE(""https://docs.google.com/spreadsheets/d/1-uDff_7J0KD5mKrp0Vvzr7lt3OU09vwQwhkpOPPYv2Y/edit?usp=sharing"",""งบพรบ!CB97"")"),0)</f>
        <v>0</v>
      </c>
      <c r="F97" s="74">
        <f ca="1">IFERROR(__xludf.DUMMYFUNCTION("IMPORTRANGE(""https://docs.google.com/spreadsheets/d/1-uDff_7J0KD5mKrp0Vvzr7lt3OU09vwQwhkpOPPYv2Y/edit?usp=sharing"",""งบพรบ!CC97"")"),0)</f>
        <v>0</v>
      </c>
      <c r="G97" s="74">
        <f ca="1">IFERROR(__xludf.DUMMYFUNCTION("IMPORTRANGE(""https://docs.google.com/spreadsheets/d/1-uDff_7J0KD5mKrp0Vvzr7lt3OU09vwQwhkpOPPYv2Y/edit?usp=sharing"",""งบพรบ!CD97"")"),0)</f>
        <v>0</v>
      </c>
      <c r="H97" s="74">
        <f ca="1">IFERROR(__xludf.DUMMYFUNCTION("IMPORTRANGE(""https://docs.google.com/spreadsheets/d/1-uDff_7J0KD5mKrp0Vvzr7lt3OU09vwQwhkpOPPYv2Y/edit?usp=sharing"",""งบพรบ!CF97"")"),0)</f>
        <v>0</v>
      </c>
      <c r="I97" s="74">
        <f ca="1">IFERROR(__xludf.DUMMYFUNCTION("IMPORTRANGE(""https://docs.google.com/spreadsheets/d/1-uDff_7J0KD5mKrp0Vvzr7lt3OU09vwQwhkpOPPYv2Y/edit?usp=sharing"",""งบพรบ!CG97"")"),0)</f>
        <v>0</v>
      </c>
      <c r="J97" s="74">
        <f t="shared" ca="1" si="55"/>
        <v>0</v>
      </c>
      <c r="K97" s="75">
        <f t="shared" ca="1" si="56"/>
        <v>0</v>
      </c>
      <c r="L97" s="74">
        <f ca="1">IFERROR(__xludf.DUMMYFUNCTION("IMPORTRANGE(""https://docs.google.com/spreadsheets/d/1-uDff_7J0KD5mKrp0Vvzr7lt3OU09vwQwhkpOPPYv2Y/edit?usp=sharing"",""งบพรบ!CH97"")"),0)</f>
        <v>0</v>
      </c>
      <c r="M97" s="76">
        <f t="shared" ca="1" si="57"/>
        <v>0</v>
      </c>
      <c r="N97" s="76">
        <f t="shared" ca="1" si="58"/>
        <v>0</v>
      </c>
      <c r="O97" s="77">
        <f ca="1">IFERROR(__xludf.DUMMYFUNCTION("IMPORTRANGE(""https://docs.google.com/spreadsheets/d/1-uDff_7J0KD5mKrp0Vvzr7lt3OU09vwQwhkpOPPYv2Y/edit?usp=sharing"",""งบพรบ!CI97"")"),0)</f>
        <v>0</v>
      </c>
      <c r="P97" s="77">
        <f t="shared" ca="1" si="59"/>
        <v>0</v>
      </c>
      <c r="Q97" s="76">
        <f t="shared" ca="1" si="60"/>
        <v>0</v>
      </c>
      <c r="R97" s="197">
        <v>0</v>
      </c>
      <c r="S97" s="67">
        <v>0</v>
      </c>
      <c r="T97" s="67">
        <v>0</v>
      </c>
      <c r="U97" s="68">
        <f t="shared" si="34"/>
        <v>0</v>
      </c>
      <c r="V97" s="68">
        <f t="shared" si="35"/>
        <v>0</v>
      </c>
      <c r="W97" s="74"/>
      <c r="X97" s="74"/>
      <c r="Y97" s="76"/>
      <c r="Z97" s="74"/>
      <c r="AA97" s="74"/>
      <c r="AB97" s="76"/>
      <c r="AC97" s="74"/>
      <c r="AD97" s="74"/>
      <c r="AE97" s="76"/>
    </row>
    <row r="98" spans="1:31" ht="24" customHeight="1" x14ac:dyDescent="0.3">
      <c r="A98" s="105"/>
      <c r="B98" s="106" t="s">
        <v>126</v>
      </c>
      <c r="C98" s="173">
        <f t="shared" ca="1" si="53"/>
        <v>0</v>
      </c>
      <c r="D98" s="174">
        <f t="shared" ca="1" si="54"/>
        <v>0</v>
      </c>
      <c r="E98" s="74">
        <f ca="1">IFERROR(__xludf.DUMMYFUNCTION("IMPORTRANGE(""https://docs.google.com/spreadsheets/d/1-uDff_7J0KD5mKrp0Vvzr7lt3OU09vwQwhkpOPPYv2Y/edit?usp=sharing"",""งบพรบ!CB98"")"),0)</f>
        <v>0</v>
      </c>
      <c r="F98" s="74">
        <f ca="1">IFERROR(__xludf.DUMMYFUNCTION("IMPORTRANGE(""https://docs.google.com/spreadsheets/d/1-uDff_7J0KD5mKrp0Vvzr7lt3OU09vwQwhkpOPPYv2Y/edit?usp=sharing"",""งบพรบ!CC98"")"),0)</f>
        <v>0</v>
      </c>
      <c r="G98" s="74">
        <f ca="1">IFERROR(__xludf.DUMMYFUNCTION("IMPORTRANGE(""https://docs.google.com/spreadsheets/d/1-uDff_7J0KD5mKrp0Vvzr7lt3OU09vwQwhkpOPPYv2Y/edit?usp=sharing"",""งบพรบ!CD98"")"),0)</f>
        <v>0</v>
      </c>
      <c r="H98" s="74">
        <f ca="1">IFERROR(__xludf.DUMMYFUNCTION("IMPORTRANGE(""https://docs.google.com/spreadsheets/d/1-uDff_7J0KD5mKrp0Vvzr7lt3OU09vwQwhkpOPPYv2Y/edit?usp=sharing"",""งบพรบ!CF98"")"),0)</f>
        <v>0</v>
      </c>
      <c r="I98" s="74">
        <f ca="1">IFERROR(__xludf.DUMMYFUNCTION("IMPORTRANGE(""https://docs.google.com/spreadsheets/d/1-uDff_7J0KD5mKrp0Vvzr7lt3OU09vwQwhkpOPPYv2Y/edit?usp=sharing"",""งบพรบ!CG98"")"),0)</f>
        <v>0</v>
      </c>
      <c r="J98" s="74">
        <f t="shared" ca="1" si="55"/>
        <v>0</v>
      </c>
      <c r="K98" s="75">
        <f t="shared" ca="1" si="56"/>
        <v>0</v>
      </c>
      <c r="L98" s="74">
        <f ca="1">IFERROR(__xludf.DUMMYFUNCTION("IMPORTRANGE(""https://docs.google.com/spreadsheets/d/1-uDff_7J0KD5mKrp0Vvzr7lt3OU09vwQwhkpOPPYv2Y/edit?usp=sharing"",""งบพรบ!CH98"")"),0)</f>
        <v>0</v>
      </c>
      <c r="M98" s="76">
        <f t="shared" ca="1" si="57"/>
        <v>0</v>
      </c>
      <c r="N98" s="76">
        <f t="shared" ca="1" si="58"/>
        <v>0</v>
      </c>
      <c r="O98" s="77">
        <f ca="1">IFERROR(__xludf.DUMMYFUNCTION("IMPORTRANGE(""https://docs.google.com/spreadsheets/d/1-uDff_7J0KD5mKrp0Vvzr7lt3OU09vwQwhkpOPPYv2Y/edit?usp=sharing"",""งบพรบ!CI98"")"),0)</f>
        <v>0</v>
      </c>
      <c r="P98" s="77">
        <f t="shared" ca="1" si="59"/>
        <v>0</v>
      </c>
      <c r="Q98" s="76">
        <f t="shared" ca="1" si="60"/>
        <v>0</v>
      </c>
      <c r="R98" s="197">
        <v>0</v>
      </c>
      <c r="S98" s="67">
        <v>0</v>
      </c>
      <c r="T98" s="67">
        <v>0</v>
      </c>
      <c r="U98" s="68">
        <f t="shared" si="34"/>
        <v>0</v>
      </c>
      <c r="V98" s="68">
        <f t="shared" si="35"/>
        <v>0</v>
      </c>
      <c r="W98" s="74"/>
      <c r="X98" s="74"/>
      <c r="Y98" s="76"/>
      <c r="Z98" s="74"/>
      <c r="AA98" s="74"/>
      <c r="AB98" s="76"/>
      <c r="AC98" s="74"/>
      <c r="AD98" s="74"/>
      <c r="AE98" s="76"/>
    </row>
    <row r="99" spans="1:31" ht="24" customHeight="1" x14ac:dyDescent="0.3">
      <c r="A99" s="105"/>
      <c r="B99" s="106" t="s">
        <v>127</v>
      </c>
      <c r="C99" s="173">
        <f t="shared" ca="1" si="53"/>
        <v>0</v>
      </c>
      <c r="D99" s="174">
        <f t="shared" ca="1" si="54"/>
        <v>0</v>
      </c>
      <c r="E99" s="74">
        <f ca="1">IFERROR(__xludf.DUMMYFUNCTION("IMPORTRANGE(""https://docs.google.com/spreadsheets/d/1-uDff_7J0KD5mKrp0Vvzr7lt3OU09vwQwhkpOPPYv2Y/edit?usp=sharing"",""งบพรบ!CB99"")"),0)</f>
        <v>0</v>
      </c>
      <c r="F99" s="74">
        <f ca="1">IFERROR(__xludf.DUMMYFUNCTION("IMPORTRANGE(""https://docs.google.com/spreadsheets/d/1-uDff_7J0KD5mKrp0Vvzr7lt3OU09vwQwhkpOPPYv2Y/edit?usp=sharing"",""งบพรบ!CC99"")"),0)</f>
        <v>0</v>
      </c>
      <c r="G99" s="74">
        <f ca="1">IFERROR(__xludf.DUMMYFUNCTION("IMPORTRANGE(""https://docs.google.com/spreadsheets/d/1-uDff_7J0KD5mKrp0Vvzr7lt3OU09vwQwhkpOPPYv2Y/edit?usp=sharing"",""งบพรบ!CD99"")"),0)</f>
        <v>0</v>
      </c>
      <c r="H99" s="74">
        <f ca="1">IFERROR(__xludf.DUMMYFUNCTION("IMPORTRANGE(""https://docs.google.com/spreadsheets/d/1-uDff_7J0KD5mKrp0Vvzr7lt3OU09vwQwhkpOPPYv2Y/edit?usp=sharing"",""งบพรบ!CF99"")"),0)</f>
        <v>0</v>
      </c>
      <c r="I99" s="74">
        <f ca="1">IFERROR(__xludf.DUMMYFUNCTION("IMPORTRANGE(""https://docs.google.com/spreadsheets/d/1-uDff_7J0KD5mKrp0Vvzr7lt3OU09vwQwhkpOPPYv2Y/edit?usp=sharing"",""งบพรบ!CG99"")"),0)</f>
        <v>0</v>
      </c>
      <c r="J99" s="74">
        <f t="shared" ca="1" si="55"/>
        <v>0</v>
      </c>
      <c r="K99" s="75">
        <f t="shared" ca="1" si="56"/>
        <v>0</v>
      </c>
      <c r="L99" s="74">
        <f ca="1">IFERROR(__xludf.DUMMYFUNCTION("IMPORTRANGE(""https://docs.google.com/spreadsheets/d/1-uDff_7J0KD5mKrp0Vvzr7lt3OU09vwQwhkpOPPYv2Y/edit?usp=sharing"",""งบพรบ!CH99"")"),0)</f>
        <v>0</v>
      </c>
      <c r="M99" s="76">
        <f t="shared" ca="1" si="57"/>
        <v>0</v>
      </c>
      <c r="N99" s="76">
        <f t="shared" ca="1" si="58"/>
        <v>0</v>
      </c>
      <c r="O99" s="77">
        <f ca="1">IFERROR(__xludf.DUMMYFUNCTION("IMPORTRANGE(""https://docs.google.com/spreadsheets/d/1-uDff_7J0KD5mKrp0Vvzr7lt3OU09vwQwhkpOPPYv2Y/edit?usp=sharing"",""งบพรบ!CI99"")"),0)</f>
        <v>0</v>
      </c>
      <c r="P99" s="77">
        <f t="shared" ca="1" si="59"/>
        <v>0</v>
      </c>
      <c r="Q99" s="76">
        <f t="shared" ca="1" si="60"/>
        <v>0</v>
      </c>
      <c r="R99" s="197">
        <v>0</v>
      </c>
      <c r="S99" s="67">
        <v>0</v>
      </c>
      <c r="T99" s="67">
        <v>0</v>
      </c>
      <c r="U99" s="68">
        <f t="shared" si="34"/>
        <v>0</v>
      </c>
      <c r="V99" s="68">
        <f t="shared" si="35"/>
        <v>0</v>
      </c>
      <c r="W99" s="74"/>
      <c r="X99" s="74"/>
      <c r="Y99" s="76"/>
      <c r="Z99" s="74"/>
      <c r="AA99" s="74"/>
      <c r="AB99" s="76"/>
      <c r="AC99" s="74"/>
      <c r="AD99" s="74"/>
      <c r="AE99" s="76"/>
    </row>
    <row r="100" spans="1:31" ht="24" customHeight="1" x14ac:dyDescent="0.3">
      <c r="A100" s="105"/>
      <c r="B100" s="106" t="s">
        <v>128</v>
      </c>
      <c r="C100" s="173">
        <f t="shared" ca="1" si="53"/>
        <v>0</v>
      </c>
      <c r="D100" s="174">
        <f t="shared" ca="1" si="54"/>
        <v>0</v>
      </c>
      <c r="E100" s="74">
        <f ca="1">IFERROR(__xludf.DUMMYFUNCTION("IMPORTRANGE(""https://docs.google.com/spreadsheets/d/1-uDff_7J0KD5mKrp0Vvzr7lt3OU09vwQwhkpOPPYv2Y/edit?usp=sharing"",""งบพรบ!CB100"")"),0)</f>
        <v>0</v>
      </c>
      <c r="F100" s="74">
        <f ca="1">IFERROR(__xludf.DUMMYFUNCTION("IMPORTRANGE(""https://docs.google.com/spreadsheets/d/1-uDff_7J0KD5mKrp0Vvzr7lt3OU09vwQwhkpOPPYv2Y/edit?usp=sharing"",""งบพรบ!CC100"")"),0)</f>
        <v>0</v>
      </c>
      <c r="G100" s="74">
        <f ca="1">IFERROR(__xludf.DUMMYFUNCTION("IMPORTRANGE(""https://docs.google.com/spreadsheets/d/1-uDff_7J0KD5mKrp0Vvzr7lt3OU09vwQwhkpOPPYv2Y/edit?usp=sharing"",""งบพรบ!CD100"")"),0)</f>
        <v>0</v>
      </c>
      <c r="H100" s="74">
        <f ca="1">IFERROR(__xludf.DUMMYFUNCTION("IMPORTRANGE(""https://docs.google.com/spreadsheets/d/1-uDff_7J0KD5mKrp0Vvzr7lt3OU09vwQwhkpOPPYv2Y/edit?usp=sharing"",""งบพรบ!CF100"")"),0)</f>
        <v>0</v>
      </c>
      <c r="I100" s="74">
        <f ca="1">IFERROR(__xludf.DUMMYFUNCTION("IMPORTRANGE(""https://docs.google.com/spreadsheets/d/1-uDff_7J0KD5mKrp0Vvzr7lt3OU09vwQwhkpOPPYv2Y/edit?usp=sharing"",""งบพรบ!CG100"")"),0)</f>
        <v>0</v>
      </c>
      <c r="J100" s="74">
        <f t="shared" ca="1" si="55"/>
        <v>0</v>
      </c>
      <c r="K100" s="75">
        <f t="shared" ca="1" si="56"/>
        <v>0</v>
      </c>
      <c r="L100" s="74">
        <f ca="1">IFERROR(__xludf.DUMMYFUNCTION("IMPORTRANGE(""https://docs.google.com/spreadsheets/d/1-uDff_7J0KD5mKrp0Vvzr7lt3OU09vwQwhkpOPPYv2Y/edit?usp=sharing"",""งบพรบ!CH100"")"),0)</f>
        <v>0</v>
      </c>
      <c r="M100" s="76">
        <f t="shared" ca="1" si="57"/>
        <v>0</v>
      </c>
      <c r="N100" s="76">
        <f t="shared" ca="1" si="58"/>
        <v>0</v>
      </c>
      <c r="O100" s="77">
        <f ca="1">IFERROR(__xludf.DUMMYFUNCTION("IMPORTRANGE(""https://docs.google.com/spreadsheets/d/1-uDff_7J0KD5mKrp0Vvzr7lt3OU09vwQwhkpOPPYv2Y/edit?usp=sharing"",""งบพรบ!CI100"")"),0)</f>
        <v>0</v>
      </c>
      <c r="P100" s="77">
        <f t="shared" ca="1" si="59"/>
        <v>0</v>
      </c>
      <c r="Q100" s="76">
        <f t="shared" ca="1" si="60"/>
        <v>0</v>
      </c>
      <c r="R100" s="197">
        <v>0</v>
      </c>
      <c r="S100" s="67">
        <v>0</v>
      </c>
      <c r="T100" s="67">
        <v>0</v>
      </c>
      <c r="U100" s="68">
        <f t="shared" si="34"/>
        <v>0</v>
      </c>
      <c r="V100" s="68">
        <f t="shared" si="35"/>
        <v>0</v>
      </c>
      <c r="W100" s="74"/>
      <c r="X100" s="74"/>
      <c r="Y100" s="76"/>
      <c r="Z100" s="74"/>
      <c r="AA100" s="74"/>
      <c r="AB100" s="76"/>
      <c r="AC100" s="74"/>
      <c r="AD100" s="74"/>
      <c r="AE100" s="76"/>
    </row>
    <row r="101" spans="1:31" ht="24" customHeight="1" x14ac:dyDescent="0.3">
      <c r="A101" s="105"/>
      <c r="B101" s="106" t="s">
        <v>129</v>
      </c>
      <c r="C101" s="173">
        <f t="shared" ca="1" si="53"/>
        <v>2819800</v>
      </c>
      <c r="D101" s="174">
        <f t="shared" ca="1" si="54"/>
        <v>2819800</v>
      </c>
      <c r="E101" s="74">
        <f ca="1">IFERROR(__xludf.DUMMYFUNCTION("IMPORTRANGE(""https://docs.google.com/spreadsheets/d/1-uDff_7J0KD5mKrp0Vvzr7lt3OU09vwQwhkpOPPYv2Y/edit?usp=sharing"",""งบพรบ!CB101"")"),264600)</f>
        <v>264600</v>
      </c>
      <c r="F101" s="74">
        <f ca="1">IFERROR(__xludf.DUMMYFUNCTION("IMPORTRANGE(""https://docs.google.com/spreadsheets/d/1-uDff_7J0KD5mKrp0Vvzr7lt3OU09vwQwhkpOPPYv2Y/edit?usp=sharing"",""งบพรบ!CC101"")"),2555200)</f>
        <v>2555200</v>
      </c>
      <c r="G101" s="74">
        <f ca="1">IFERROR(__xludf.DUMMYFUNCTION("IMPORTRANGE(""https://docs.google.com/spreadsheets/d/1-uDff_7J0KD5mKrp0Vvzr7lt3OU09vwQwhkpOPPYv2Y/edit?usp=sharing"",""งบพรบ!CD101"")"),0)</f>
        <v>0</v>
      </c>
      <c r="H101" s="74">
        <f ca="1">IFERROR(__xludf.DUMMYFUNCTION("IMPORTRANGE(""https://docs.google.com/spreadsheets/d/1-uDff_7J0KD5mKrp0Vvzr7lt3OU09vwQwhkpOPPYv2Y/edit?usp=sharing"",""งบพรบ!CF101"")"),1922081)</f>
        <v>1922081</v>
      </c>
      <c r="I101" s="74">
        <f ca="1">IFERROR(__xludf.DUMMYFUNCTION("IMPORTRANGE(""https://docs.google.com/spreadsheets/d/1-uDff_7J0KD5mKrp0Vvzr7lt3OU09vwQwhkpOPPYv2Y/edit?usp=sharing"",""งบพรบ!CG101"")"),0)</f>
        <v>0</v>
      </c>
      <c r="J101" s="74">
        <f t="shared" ca="1" si="55"/>
        <v>1736051.46</v>
      </c>
      <c r="K101" s="75">
        <f t="shared" ca="1" si="56"/>
        <v>61.566474927299808</v>
      </c>
      <c r="L101" s="74">
        <f ca="1">IFERROR(__xludf.DUMMYFUNCTION("IMPORTRANGE(""https://docs.google.com/spreadsheets/d/1-uDff_7J0KD5mKrp0Vvzr7lt3OU09vwQwhkpOPPYv2Y/edit?usp=sharing"",""งบพรบ!CH101"")"),1736051.46)</f>
        <v>1736051.46</v>
      </c>
      <c r="M101" s="76">
        <f t="shared" ca="1" si="57"/>
        <v>61.566474927299808</v>
      </c>
      <c r="N101" s="76">
        <f t="shared" ca="1" si="58"/>
        <v>90.321451593351171</v>
      </c>
      <c r="O101" s="77">
        <f ca="1">IFERROR(__xludf.DUMMYFUNCTION("IMPORTRANGE(""https://docs.google.com/spreadsheets/d/1-uDff_7J0KD5mKrp0Vvzr7lt3OU09vwQwhkpOPPYv2Y/edit?usp=sharing"",""งบพรบ!CI101"")"),0)</f>
        <v>0</v>
      </c>
      <c r="P101" s="77">
        <f t="shared" ca="1" si="59"/>
        <v>0</v>
      </c>
      <c r="Q101" s="76">
        <f t="shared" ca="1" si="60"/>
        <v>0</v>
      </c>
      <c r="R101" s="197">
        <f ca="1">IFERROR(__xludf.DUMMYFUNCTION("IMPORTRANGE(""https://docs.google.com/spreadsheets/d/1ItG2mGa2ceCfYo0BwxsXqNm01IGEUdYcSSLTEv9YCik/edit?usp=sharing"",""เบิกจ่ายกองทุน!AM92"")"),2379400)</f>
        <v>2379400</v>
      </c>
      <c r="S101" s="67">
        <f ca="1">IFERROR(__xludf.DUMMYFUNCTION("IMPORTRANGE(""https://docs.google.com/spreadsheets/d/1ItG2mGa2ceCfYo0BwxsXqNm01IGEUdYcSSLTEv9YCik/edit?usp=sharing"",""เบิกจ่ายกองทุน!AN92"")"),2379400)</f>
        <v>2379400</v>
      </c>
      <c r="T101" s="67">
        <f ca="1">IFERROR(__xludf.DUMMYFUNCTION("IMPORTRANGE(""https://docs.google.com/spreadsheets/d/1ItG2mGa2ceCfYo0BwxsXqNm01IGEUdYcSSLTEv9YCik/edit?usp=sharing"",""เบิกจ่ายกองทุน!AO92"")"),94090)</f>
        <v>94090</v>
      </c>
      <c r="U101" s="68">
        <f t="shared" ca="1" si="34"/>
        <v>3.9543582415735061</v>
      </c>
      <c r="V101" s="68">
        <f t="shared" ca="1" si="35"/>
        <v>3.9543582415735061</v>
      </c>
      <c r="W101" s="74"/>
      <c r="X101" s="74"/>
      <c r="Y101" s="76"/>
      <c r="Z101" s="74"/>
      <c r="AA101" s="74"/>
      <c r="AB101" s="76"/>
      <c r="AC101" s="74"/>
      <c r="AD101" s="74"/>
      <c r="AE101" s="76"/>
    </row>
    <row r="102" spans="1:31" ht="24" customHeight="1" x14ac:dyDescent="0.3">
      <c r="A102" s="105"/>
      <c r="B102" s="106" t="s">
        <v>130</v>
      </c>
      <c r="C102" s="173">
        <f t="shared" ca="1" si="53"/>
        <v>0</v>
      </c>
      <c r="D102" s="174">
        <f t="shared" ca="1" si="54"/>
        <v>0</v>
      </c>
      <c r="E102" s="74">
        <f ca="1">IFERROR(__xludf.DUMMYFUNCTION("IMPORTRANGE(""https://docs.google.com/spreadsheets/d/1-uDff_7J0KD5mKrp0Vvzr7lt3OU09vwQwhkpOPPYv2Y/edit?usp=sharing"",""งบพรบ!CB102"")"),0)</f>
        <v>0</v>
      </c>
      <c r="F102" s="74">
        <f ca="1">IFERROR(__xludf.DUMMYFUNCTION("IMPORTRANGE(""https://docs.google.com/spreadsheets/d/1-uDff_7J0KD5mKrp0Vvzr7lt3OU09vwQwhkpOPPYv2Y/edit?usp=sharing"",""งบพรบ!CC102"")"),0)</f>
        <v>0</v>
      </c>
      <c r="G102" s="74">
        <f ca="1">IFERROR(__xludf.DUMMYFUNCTION("IMPORTRANGE(""https://docs.google.com/spreadsheets/d/1-uDff_7J0KD5mKrp0Vvzr7lt3OU09vwQwhkpOPPYv2Y/edit?usp=sharing"",""งบพรบ!CD102"")"),0)</f>
        <v>0</v>
      </c>
      <c r="H102" s="74">
        <f ca="1">IFERROR(__xludf.DUMMYFUNCTION("IMPORTRANGE(""https://docs.google.com/spreadsheets/d/1-uDff_7J0KD5mKrp0Vvzr7lt3OU09vwQwhkpOPPYv2Y/edit?usp=sharing"",""งบพรบ!CF102"")"),0)</f>
        <v>0</v>
      </c>
      <c r="I102" s="74">
        <f ca="1">IFERROR(__xludf.DUMMYFUNCTION("IMPORTRANGE(""https://docs.google.com/spreadsheets/d/1-uDff_7J0KD5mKrp0Vvzr7lt3OU09vwQwhkpOPPYv2Y/edit?usp=sharing"",""งบพรบ!CG102"")"),0)</f>
        <v>0</v>
      </c>
      <c r="J102" s="74">
        <f t="shared" ca="1" si="55"/>
        <v>0</v>
      </c>
      <c r="K102" s="75">
        <f t="shared" ca="1" si="56"/>
        <v>0</v>
      </c>
      <c r="L102" s="74">
        <f ca="1">IFERROR(__xludf.DUMMYFUNCTION("IMPORTRANGE(""https://docs.google.com/spreadsheets/d/1-uDff_7J0KD5mKrp0Vvzr7lt3OU09vwQwhkpOPPYv2Y/edit?usp=sharing"",""งบพรบ!CH102"")"),0)</f>
        <v>0</v>
      </c>
      <c r="M102" s="76">
        <f t="shared" ca="1" si="57"/>
        <v>0</v>
      </c>
      <c r="N102" s="76">
        <f t="shared" ca="1" si="58"/>
        <v>0</v>
      </c>
      <c r="O102" s="77">
        <f ca="1">IFERROR(__xludf.DUMMYFUNCTION("IMPORTRANGE(""https://docs.google.com/spreadsheets/d/1-uDff_7J0KD5mKrp0Vvzr7lt3OU09vwQwhkpOPPYv2Y/edit?usp=sharing"",""งบพรบ!CI102"")"),0)</f>
        <v>0</v>
      </c>
      <c r="P102" s="77">
        <f t="shared" ca="1" si="59"/>
        <v>0</v>
      </c>
      <c r="Q102" s="76">
        <f t="shared" ca="1" si="60"/>
        <v>0</v>
      </c>
      <c r="R102" s="197">
        <v>0</v>
      </c>
      <c r="S102" s="67">
        <v>0</v>
      </c>
      <c r="T102" s="67">
        <v>0</v>
      </c>
      <c r="U102" s="68">
        <f t="shared" si="34"/>
        <v>0</v>
      </c>
      <c r="V102" s="68">
        <f t="shared" si="35"/>
        <v>0</v>
      </c>
      <c r="W102" s="74"/>
      <c r="X102" s="74"/>
      <c r="Y102" s="76"/>
      <c r="Z102" s="74"/>
      <c r="AA102" s="74"/>
      <c r="AB102" s="76"/>
      <c r="AC102" s="74"/>
      <c r="AD102" s="74"/>
      <c r="AE102" s="76"/>
    </row>
    <row r="103" spans="1:31" ht="24" customHeight="1" x14ac:dyDescent="0.3">
      <c r="A103" s="105"/>
      <c r="B103" s="106" t="s">
        <v>131</v>
      </c>
      <c r="C103" s="173">
        <f t="shared" ca="1" si="53"/>
        <v>0</v>
      </c>
      <c r="D103" s="174">
        <f t="shared" ca="1" si="54"/>
        <v>0</v>
      </c>
      <c r="E103" s="74">
        <f ca="1">IFERROR(__xludf.DUMMYFUNCTION("IMPORTRANGE(""https://docs.google.com/spreadsheets/d/1-uDff_7J0KD5mKrp0Vvzr7lt3OU09vwQwhkpOPPYv2Y/edit?usp=sharing"",""งบพรบ!CB103"")"),0)</f>
        <v>0</v>
      </c>
      <c r="F103" s="74">
        <f ca="1">IFERROR(__xludf.DUMMYFUNCTION("IMPORTRANGE(""https://docs.google.com/spreadsheets/d/1-uDff_7J0KD5mKrp0Vvzr7lt3OU09vwQwhkpOPPYv2Y/edit?usp=sharing"",""งบพรบ!CC103"")"),0)</f>
        <v>0</v>
      </c>
      <c r="G103" s="74">
        <f ca="1">IFERROR(__xludf.DUMMYFUNCTION("IMPORTRANGE(""https://docs.google.com/spreadsheets/d/1-uDff_7J0KD5mKrp0Vvzr7lt3OU09vwQwhkpOPPYv2Y/edit?usp=sharing"",""งบพรบ!CD103"")"),0)</f>
        <v>0</v>
      </c>
      <c r="H103" s="74">
        <f ca="1">IFERROR(__xludf.DUMMYFUNCTION("IMPORTRANGE(""https://docs.google.com/spreadsheets/d/1-uDff_7J0KD5mKrp0Vvzr7lt3OU09vwQwhkpOPPYv2Y/edit?usp=sharing"",""งบพรบ!CF103"")"),0)</f>
        <v>0</v>
      </c>
      <c r="I103" s="74">
        <f ca="1">IFERROR(__xludf.DUMMYFUNCTION("IMPORTRANGE(""https://docs.google.com/spreadsheets/d/1-uDff_7J0KD5mKrp0Vvzr7lt3OU09vwQwhkpOPPYv2Y/edit?usp=sharing"",""งบพรบ!CG103"")"),0)</f>
        <v>0</v>
      </c>
      <c r="J103" s="74">
        <f t="shared" ca="1" si="55"/>
        <v>0</v>
      </c>
      <c r="K103" s="75">
        <f t="shared" ca="1" si="56"/>
        <v>0</v>
      </c>
      <c r="L103" s="74">
        <f ca="1">IFERROR(__xludf.DUMMYFUNCTION("IMPORTRANGE(""https://docs.google.com/spreadsheets/d/1-uDff_7J0KD5mKrp0Vvzr7lt3OU09vwQwhkpOPPYv2Y/edit?usp=sharing"",""งบพรบ!CH103"")"),0)</f>
        <v>0</v>
      </c>
      <c r="M103" s="76">
        <f t="shared" ca="1" si="57"/>
        <v>0</v>
      </c>
      <c r="N103" s="76">
        <f t="shared" ca="1" si="58"/>
        <v>0</v>
      </c>
      <c r="O103" s="77">
        <f ca="1">IFERROR(__xludf.DUMMYFUNCTION("IMPORTRANGE(""https://docs.google.com/spreadsheets/d/1-uDff_7J0KD5mKrp0Vvzr7lt3OU09vwQwhkpOPPYv2Y/edit?usp=sharing"",""งบพรบ!CI103"")"),0)</f>
        <v>0</v>
      </c>
      <c r="P103" s="77">
        <f t="shared" ca="1" si="59"/>
        <v>0</v>
      </c>
      <c r="Q103" s="76">
        <f t="shared" ca="1" si="60"/>
        <v>0</v>
      </c>
      <c r="R103" s="197">
        <v>0</v>
      </c>
      <c r="S103" s="67">
        <v>0</v>
      </c>
      <c r="T103" s="67">
        <v>0</v>
      </c>
      <c r="U103" s="68">
        <f t="shared" si="34"/>
        <v>0</v>
      </c>
      <c r="V103" s="68">
        <f t="shared" si="35"/>
        <v>0</v>
      </c>
      <c r="W103" s="203"/>
      <c r="X103" s="203"/>
      <c r="Y103" s="108"/>
      <c r="Z103" s="203"/>
      <c r="AA103" s="203"/>
      <c r="AB103" s="108"/>
      <c r="AC103" s="203"/>
      <c r="AD103" s="203"/>
      <c r="AE103" s="108"/>
    </row>
    <row r="104" spans="1:31" ht="21" customHeight="1" x14ac:dyDescent="0.3">
      <c r="A104" s="105"/>
      <c r="B104" s="106" t="s">
        <v>132</v>
      </c>
      <c r="C104" s="173">
        <f t="shared" ca="1" si="53"/>
        <v>1912300</v>
      </c>
      <c r="D104" s="174">
        <f t="shared" ca="1" si="54"/>
        <v>1912300</v>
      </c>
      <c r="E104" s="74">
        <f ca="1">IFERROR(__xludf.DUMMYFUNCTION("IMPORTRANGE(""https://docs.google.com/spreadsheets/d/1-uDff_7J0KD5mKrp0Vvzr7lt3OU09vwQwhkpOPPYv2Y/edit?usp=sharing"",""งบพรบ!CB104"")"),1912300)</f>
        <v>1912300</v>
      </c>
      <c r="F104" s="74">
        <f ca="1">IFERROR(__xludf.DUMMYFUNCTION("IMPORTRANGE(""https://docs.google.com/spreadsheets/d/1-uDff_7J0KD5mKrp0Vvzr7lt3OU09vwQwhkpOPPYv2Y/edit?usp=sharing"",""งบพรบ!CC104"")"),0)</f>
        <v>0</v>
      </c>
      <c r="G104" s="74">
        <f ca="1">IFERROR(__xludf.DUMMYFUNCTION("IMPORTRANGE(""https://docs.google.com/spreadsheets/d/1-uDff_7J0KD5mKrp0Vvzr7lt3OU09vwQwhkpOPPYv2Y/edit?usp=sharing"",""งบพรบ!CD104"")"),0)</f>
        <v>0</v>
      </c>
      <c r="H104" s="74">
        <f ca="1">IFERROR(__xludf.DUMMYFUNCTION("IMPORTRANGE(""https://docs.google.com/spreadsheets/d/1-uDff_7J0KD5mKrp0Vvzr7lt3OU09vwQwhkpOPPYv2Y/edit?usp=sharing"",""งบพรบ!CF104"")"),1188800)</f>
        <v>1188800</v>
      </c>
      <c r="I104" s="74">
        <f ca="1">IFERROR(__xludf.DUMMYFUNCTION("IMPORTRANGE(""https://docs.google.com/spreadsheets/d/1-uDff_7J0KD5mKrp0Vvzr7lt3OU09vwQwhkpOPPYv2Y/edit?usp=sharing"",""งบพรบ!CG104"")"),0)</f>
        <v>0</v>
      </c>
      <c r="J104" s="74">
        <f t="shared" ca="1" si="55"/>
        <v>599999.31000000006</v>
      </c>
      <c r="K104" s="75">
        <f t="shared" ca="1" si="56"/>
        <v>31.375794069968105</v>
      </c>
      <c r="L104" s="74">
        <f ca="1">IFERROR(__xludf.DUMMYFUNCTION("IMPORTRANGE(""https://docs.google.com/spreadsheets/d/1-uDff_7J0KD5mKrp0Vvzr7lt3OU09vwQwhkpOPPYv2Y/edit?usp=sharing"",""งบพรบ!CH104"")"),599999.31)</f>
        <v>599999.31000000006</v>
      </c>
      <c r="M104" s="76">
        <f t="shared" ca="1" si="57"/>
        <v>31.375794069968105</v>
      </c>
      <c r="N104" s="76">
        <f t="shared" ca="1" si="58"/>
        <v>50.471005215343212</v>
      </c>
      <c r="O104" s="77">
        <f ca="1">IFERROR(__xludf.DUMMYFUNCTION("IMPORTRANGE(""https://docs.google.com/spreadsheets/d/1-uDff_7J0KD5mKrp0Vvzr7lt3OU09vwQwhkpOPPYv2Y/edit?usp=sharing"",""งบพรบ!CI104"")"),0)</f>
        <v>0</v>
      </c>
      <c r="P104" s="77">
        <f t="shared" ca="1" si="59"/>
        <v>0</v>
      </c>
      <c r="Q104" s="76">
        <f t="shared" ca="1" si="60"/>
        <v>0</v>
      </c>
      <c r="R104" s="197">
        <v>0</v>
      </c>
      <c r="S104" s="67">
        <v>0</v>
      </c>
      <c r="T104" s="67">
        <v>0</v>
      </c>
      <c r="U104" s="68">
        <f t="shared" si="34"/>
        <v>0</v>
      </c>
      <c r="V104" s="68">
        <f t="shared" si="35"/>
        <v>0</v>
      </c>
      <c r="W104" s="74"/>
      <c r="X104" s="74"/>
      <c r="Y104" s="76"/>
      <c r="Z104" s="74"/>
      <c r="AA104" s="74"/>
      <c r="AB104" s="76"/>
      <c r="AC104" s="74"/>
      <c r="AD104" s="74"/>
      <c r="AE104" s="76"/>
    </row>
    <row r="105" spans="1:31" ht="24" customHeight="1" x14ac:dyDescent="0.3">
      <c r="A105" s="105"/>
      <c r="B105" s="109" t="s">
        <v>133</v>
      </c>
      <c r="C105" s="173">
        <f t="shared" ca="1" si="53"/>
        <v>0</v>
      </c>
      <c r="D105" s="174">
        <f t="shared" ca="1" si="54"/>
        <v>0</v>
      </c>
      <c r="E105" s="74">
        <f ca="1">IFERROR(__xludf.DUMMYFUNCTION("IMPORTRANGE(""https://docs.google.com/spreadsheets/d/1-uDff_7J0KD5mKrp0Vvzr7lt3OU09vwQwhkpOPPYv2Y/edit?usp=sharing"",""งบพรบ!CB105"")"),0)</f>
        <v>0</v>
      </c>
      <c r="F105" s="74">
        <f ca="1">IFERROR(__xludf.DUMMYFUNCTION("IMPORTRANGE(""https://docs.google.com/spreadsheets/d/1-uDff_7J0KD5mKrp0Vvzr7lt3OU09vwQwhkpOPPYv2Y/edit?usp=sharing"",""งบพรบ!CC105"")"),0)</f>
        <v>0</v>
      </c>
      <c r="G105" s="74">
        <f ca="1">IFERROR(__xludf.DUMMYFUNCTION("IMPORTRANGE(""https://docs.google.com/spreadsheets/d/1-uDff_7J0KD5mKrp0Vvzr7lt3OU09vwQwhkpOPPYv2Y/edit?usp=sharing"",""งบพรบ!CD105"")"),0)</f>
        <v>0</v>
      </c>
      <c r="H105" s="74">
        <f ca="1">IFERROR(__xludf.DUMMYFUNCTION("IMPORTRANGE(""https://docs.google.com/spreadsheets/d/1-uDff_7J0KD5mKrp0Vvzr7lt3OU09vwQwhkpOPPYv2Y/edit?usp=sharing"",""งบพรบ!CF105"")"),0)</f>
        <v>0</v>
      </c>
      <c r="I105" s="74">
        <f ca="1">IFERROR(__xludf.DUMMYFUNCTION("IMPORTRANGE(""https://docs.google.com/spreadsheets/d/1-uDff_7J0KD5mKrp0Vvzr7lt3OU09vwQwhkpOPPYv2Y/edit?usp=sharing"",""งบพรบ!CG105"")"),0)</f>
        <v>0</v>
      </c>
      <c r="J105" s="74">
        <f t="shared" ca="1" si="55"/>
        <v>0</v>
      </c>
      <c r="K105" s="75">
        <f t="shared" ca="1" si="56"/>
        <v>0</v>
      </c>
      <c r="L105" s="74">
        <f ca="1">IFERROR(__xludf.DUMMYFUNCTION("IMPORTRANGE(""https://docs.google.com/spreadsheets/d/1-uDff_7J0KD5mKrp0Vvzr7lt3OU09vwQwhkpOPPYv2Y/edit?usp=sharing"",""งบพรบ!CH105"")"),0)</f>
        <v>0</v>
      </c>
      <c r="M105" s="76">
        <f t="shared" ca="1" si="57"/>
        <v>0</v>
      </c>
      <c r="N105" s="76">
        <f t="shared" ca="1" si="58"/>
        <v>0</v>
      </c>
      <c r="O105" s="77">
        <f ca="1">IFERROR(__xludf.DUMMYFUNCTION("IMPORTRANGE(""https://docs.google.com/spreadsheets/d/1-uDff_7J0KD5mKrp0Vvzr7lt3OU09vwQwhkpOPPYv2Y/edit?usp=sharing"",""งบพรบ!CI105"")"),0)</f>
        <v>0</v>
      </c>
      <c r="P105" s="77">
        <f t="shared" ca="1" si="59"/>
        <v>0</v>
      </c>
      <c r="Q105" s="76">
        <f t="shared" ca="1" si="60"/>
        <v>0</v>
      </c>
      <c r="R105" s="197">
        <v>0</v>
      </c>
      <c r="S105" s="67">
        <v>0</v>
      </c>
      <c r="T105" s="67">
        <v>0</v>
      </c>
      <c r="U105" s="68">
        <f t="shared" si="34"/>
        <v>0</v>
      </c>
      <c r="V105" s="68">
        <f t="shared" si="35"/>
        <v>0</v>
      </c>
      <c r="W105" s="100"/>
      <c r="X105" s="100"/>
      <c r="Y105" s="100"/>
      <c r="Z105" s="100"/>
      <c r="AA105" s="100"/>
      <c r="AB105" s="100"/>
      <c r="AC105" s="100"/>
      <c r="AD105" s="100"/>
      <c r="AE105" s="100"/>
    </row>
    <row r="106" spans="1:31" ht="24" customHeight="1" x14ac:dyDescent="0.3">
      <c r="A106" s="105"/>
      <c r="B106" s="109" t="s">
        <v>134</v>
      </c>
      <c r="C106" s="173">
        <f t="shared" ca="1" si="53"/>
        <v>0</v>
      </c>
      <c r="D106" s="174">
        <f t="shared" ca="1" si="54"/>
        <v>0</v>
      </c>
      <c r="E106" s="74">
        <f ca="1">IFERROR(__xludf.DUMMYFUNCTION("IMPORTRANGE(""https://docs.google.com/spreadsheets/d/1-uDff_7J0KD5mKrp0Vvzr7lt3OU09vwQwhkpOPPYv2Y/edit?usp=sharing"",""งบพรบ!CB106"")"),0)</f>
        <v>0</v>
      </c>
      <c r="F106" s="74">
        <f ca="1">IFERROR(__xludf.DUMMYFUNCTION("IMPORTRANGE(""https://docs.google.com/spreadsheets/d/1-uDff_7J0KD5mKrp0Vvzr7lt3OU09vwQwhkpOPPYv2Y/edit?usp=sharing"",""งบพรบ!CC106"")"),0)</f>
        <v>0</v>
      </c>
      <c r="G106" s="74">
        <f ca="1">IFERROR(__xludf.DUMMYFUNCTION("IMPORTRANGE(""https://docs.google.com/spreadsheets/d/1-uDff_7J0KD5mKrp0Vvzr7lt3OU09vwQwhkpOPPYv2Y/edit?usp=sharing"",""งบพรบ!CD106"")"),0)</f>
        <v>0</v>
      </c>
      <c r="H106" s="74">
        <f ca="1">IFERROR(__xludf.DUMMYFUNCTION("IMPORTRANGE(""https://docs.google.com/spreadsheets/d/1-uDff_7J0KD5mKrp0Vvzr7lt3OU09vwQwhkpOPPYv2Y/edit?usp=sharing"",""งบพรบ!CF106"")"),0)</f>
        <v>0</v>
      </c>
      <c r="I106" s="74">
        <f ca="1">IFERROR(__xludf.DUMMYFUNCTION("IMPORTRANGE(""https://docs.google.com/spreadsheets/d/1-uDff_7J0KD5mKrp0Vvzr7lt3OU09vwQwhkpOPPYv2Y/edit?usp=sharing"",""งบพรบ!CG106"")"),0)</f>
        <v>0</v>
      </c>
      <c r="J106" s="74">
        <f t="shared" ca="1" si="55"/>
        <v>0</v>
      </c>
      <c r="K106" s="75">
        <f t="shared" ca="1" si="56"/>
        <v>0</v>
      </c>
      <c r="L106" s="74">
        <f ca="1">IFERROR(__xludf.DUMMYFUNCTION("IMPORTRANGE(""https://docs.google.com/spreadsheets/d/1-uDff_7J0KD5mKrp0Vvzr7lt3OU09vwQwhkpOPPYv2Y/edit?usp=sharing"",""งบพรบ!CH106"")"),0)</f>
        <v>0</v>
      </c>
      <c r="M106" s="76">
        <f t="shared" ca="1" si="57"/>
        <v>0</v>
      </c>
      <c r="N106" s="76">
        <f t="shared" ca="1" si="58"/>
        <v>0</v>
      </c>
      <c r="O106" s="77">
        <f ca="1">IFERROR(__xludf.DUMMYFUNCTION("IMPORTRANGE(""https://docs.google.com/spreadsheets/d/1-uDff_7J0KD5mKrp0Vvzr7lt3OU09vwQwhkpOPPYv2Y/edit?usp=sharing"",""งบพรบ!CI106"")"),0)</f>
        <v>0</v>
      </c>
      <c r="P106" s="77">
        <f t="shared" ca="1" si="59"/>
        <v>0</v>
      </c>
      <c r="Q106" s="76">
        <f t="shared" ca="1" si="60"/>
        <v>0</v>
      </c>
      <c r="R106" s="197">
        <v>0</v>
      </c>
      <c r="S106" s="67">
        <v>0</v>
      </c>
      <c r="T106" s="67">
        <v>0</v>
      </c>
      <c r="U106" s="68">
        <f t="shared" si="34"/>
        <v>0</v>
      </c>
      <c r="V106" s="68">
        <f t="shared" si="35"/>
        <v>0</v>
      </c>
      <c r="W106" s="74"/>
      <c r="X106" s="74"/>
      <c r="Y106" s="74"/>
      <c r="Z106" s="74"/>
      <c r="AA106" s="74"/>
      <c r="AB106" s="74"/>
      <c r="AC106" s="74"/>
      <c r="AD106" s="74"/>
      <c r="AE106" s="74"/>
    </row>
    <row r="107" spans="1:31" ht="24" customHeight="1" x14ac:dyDescent="0.3">
      <c r="A107" s="105"/>
      <c r="B107" s="109" t="s">
        <v>26</v>
      </c>
      <c r="C107" s="173">
        <f t="shared" ca="1" si="53"/>
        <v>0</v>
      </c>
      <c r="D107" s="174">
        <f t="shared" ca="1" si="54"/>
        <v>0</v>
      </c>
      <c r="E107" s="74">
        <f ca="1">IFERROR(__xludf.DUMMYFUNCTION("IMPORTRANGE(""https://docs.google.com/spreadsheets/d/1-uDff_7J0KD5mKrp0Vvzr7lt3OU09vwQwhkpOPPYv2Y/edit?usp=sharing"",""งบพรบ!CB107"")"),0)</f>
        <v>0</v>
      </c>
      <c r="F107" s="74">
        <f ca="1">IFERROR(__xludf.DUMMYFUNCTION("IMPORTRANGE(""https://docs.google.com/spreadsheets/d/1-uDff_7J0KD5mKrp0Vvzr7lt3OU09vwQwhkpOPPYv2Y/edit?usp=sharing"",""งบพรบ!CC107"")"),0)</f>
        <v>0</v>
      </c>
      <c r="G107" s="74">
        <f ca="1">IFERROR(__xludf.DUMMYFUNCTION("IMPORTRANGE(""https://docs.google.com/spreadsheets/d/1-uDff_7J0KD5mKrp0Vvzr7lt3OU09vwQwhkpOPPYv2Y/edit?usp=sharing"",""งบพรบ!CD107"")"),0)</f>
        <v>0</v>
      </c>
      <c r="H107" s="74">
        <f ca="1">IFERROR(__xludf.DUMMYFUNCTION("IMPORTRANGE(""https://docs.google.com/spreadsheets/d/1-uDff_7J0KD5mKrp0Vvzr7lt3OU09vwQwhkpOPPYv2Y/edit?usp=sharing"",""งบพรบ!CF107"")"),0)</f>
        <v>0</v>
      </c>
      <c r="I107" s="74">
        <f ca="1">IFERROR(__xludf.DUMMYFUNCTION("IMPORTRANGE(""https://docs.google.com/spreadsheets/d/1-uDff_7J0KD5mKrp0Vvzr7lt3OU09vwQwhkpOPPYv2Y/edit?usp=sharing"",""งบพรบ!CG107"")"),0)</f>
        <v>0</v>
      </c>
      <c r="J107" s="74">
        <f t="shared" ca="1" si="55"/>
        <v>0</v>
      </c>
      <c r="K107" s="75">
        <f t="shared" ca="1" si="56"/>
        <v>0</v>
      </c>
      <c r="L107" s="74">
        <f ca="1">IFERROR(__xludf.DUMMYFUNCTION("IMPORTRANGE(""https://docs.google.com/spreadsheets/d/1-uDff_7J0KD5mKrp0Vvzr7lt3OU09vwQwhkpOPPYv2Y/edit?usp=sharing"",""งบพรบ!CH107"")"),0)</f>
        <v>0</v>
      </c>
      <c r="M107" s="76">
        <f t="shared" ca="1" si="57"/>
        <v>0</v>
      </c>
      <c r="N107" s="76">
        <f t="shared" ca="1" si="58"/>
        <v>0</v>
      </c>
      <c r="O107" s="77">
        <f ca="1">IFERROR(__xludf.DUMMYFUNCTION("IMPORTRANGE(""https://docs.google.com/spreadsheets/d/1-uDff_7J0KD5mKrp0Vvzr7lt3OU09vwQwhkpOPPYv2Y/edit?usp=sharing"",""งบพรบ!CI107"")"),0)</f>
        <v>0</v>
      </c>
      <c r="P107" s="77">
        <f t="shared" ca="1" si="59"/>
        <v>0</v>
      </c>
      <c r="Q107" s="76">
        <f t="shared" ca="1" si="60"/>
        <v>0</v>
      </c>
      <c r="R107" s="204">
        <v>0</v>
      </c>
      <c r="S107" s="205">
        <v>0</v>
      </c>
      <c r="T107" s="205">
        <v>0</v>
      </c>
      <c r="U107" s="206">
        <f t="shared" si="34"/>
        <v>0</v>
      </c>
      <c r="V107" s="206">
        <f t="shared" si="35"/>
        <v>0</v>
      </c>
      <c r="W107" s="74"/>
      <c r="X107" s="74"/>
      <c r="Y107" s="74"/>
      <c r="Z107" s="74"/>
      <c r="AA107" s="74"/>
      <c r="AB107" s="74"/>
      <c r="AC107" s="74"/>
      <c r="AD107" s="74"/>
      <c r="AE107" s="74"/>
    </row>
    <row r="108" spans="1:31" ht="24" customHeight="1" x14ac:dyDescent="0.3">
      <c r="A108" s="112"/>
      <c r="B108" s="113" t="s">
        <v>135</v>
      </c>
      <c r="C108" s="193">
        <f t="shared" ca="1" si="53"/>
        <v>0</v>
      </c>
      <c r="D108" s="194">
        <f t="shared" ca="1" si="54"/>
        <v>0</v>
      </c>
      <c r="E108" s="84">
        <f ca="1">IFERROR(__xludf.DUMMYFUNCTION("IMPORTRANGE(""https://docs.google.com/spreadsheets/d/1-uDff_7J0KD5mKrp0Vvzr7lt3OU09vwQwhkpOPPYv2Y/edit?usp=sharing"",""งบพรบ!CB108"")"),0)</f>
        <v>0</v>
      </c>
      <c r="F108" s="84">
        <f ca="1">IFERROR(__xludf.DUMMYFUNCTION("IMPORTRANGE(""https://docs.google.com/spreadsheets/d/1-uDff_7J0KD5mKrp0Vvzr7lt3OU09vwQwhkpOPPYv2Y/edit?usp=sharing"",""งบพรบ!CC108"")"),0)</f>
        <v>0</v>
      </c>
      <c r="G108" s="84">
        <f ca="1">IFERROR(__xludf.DUMMYFUNCTION("IMPORTRANGE(""https://docs.google.com/spreadsheets/d/1-uDff_7J0KD5mKrp0Vvzr7lt3OU09vwQwhkpOPPYv2Y/edit?usp=sharing"",""งบพรบ!CD108"")"),0)</f>
        <v>0</v>
      </c>
      <c r="H108" s="84">
        <f ca="1">IFERROR(__xludf.DUMMYFUNCTION("IMPORTRANGE(""https://docs.google.com/spreadsheets/d/1-uDff_7J0KD5mKrp0Vvzr7lt3OU09vwQwhkpOPPYv2Y/edit?usp=sharing"",""งบพรบ!CF108"")"),0)</f>
        <v>0</v>
      </c>
      <c r="I108" s="84">
        <f ca="1">IFERROR(__xludf.DUMMYFUNCTION("IMPORTRANGE(""https://docs.google.com/spreadsheets/d/1-uDff_7J0KD5mKrp0Vvzr7lt3OU09vwQwhkpOPPYv2Y/edit?usp=sharing"",""งบพรบ!CG108"")"),0)</f>
        <v>0</v>
      </c>
      <c r="J108" s="84">
        <f t="shared" ca="1" si="55"/>
        <v>0</v>
      </c>
      <c r="K108" s="85">
        <f t="shared" ca="1" si="56"/>
        <v>0</v>
      </c>
      <c r="L108" s="84">
        <f ca="1">IFERROR(__xludf.DUMMYFUNCTION("IMPORTRANGE(""https://docs.google.com/spreadsheets/d/1-uDff_7J0KD5mKrp0Vvzr7lt3OU09vwQwhkpOPPYv2Y/edit?usp=sharing"",""งบพรบ!CH108"")"),0)</f>
        <v>0</v>
      </c>
      <c r="M108" s="86">
        <f t="shared" ca="1" si="57"/>
        <v>0</v>
      </c>
      <c r="N108" s="86">
        <f t="shared" ca="1" si="58"/>
        <v>0</v>
      </c>
      <c r="O108" s="87">
        <f ca="1">IFERROR(__xludf.DUMMYFUNCTION("IMPORTRANGE(""https://docs.google.com/spreadsheets/d/1-uDff_7J0KD5mKrp0Vvzr7lt3OU09vwQwhkpOPPYv2Y/edit?usp=sharing"",""งบพรบ!CI108"")"),0)</f>
        <v>0</v>
      </c>
      <c r="P108" s="87">
        <f t="shared" ca="1" si="59"/>
        <v>0</v>
      </c>
      <c r="Q108" s="86">
        <f t="shared" ca="1" si="60"/>
        <v>0</v>
      </c>
      <c r="R108" s="207">
        <v>0</v>
      </c>
      <c r="S108" s="208">
        <v>0</v>
      </c>
      <c r="T108" s="208">
        <v>0</v>
      </c>
      <c r="U108" s="209">
        <f t="shared" si="34"/>
        <v>0</v>
      </c>
      <c r="V108" s="209">
        <f t="shared" si="35"/>
        <v>0</v>
      </c>
      <c r="W108" s="84"/>
      <c r="X108" s="84"/>
      <c r="Y108" s="84"/>
      <c r="Z108" s="84"/>
      <c r="AA108" s="84"/>
      <c r="AB108" s="84"/>
      <c r="AC108" s="84"/>
      <c r="AD108" s="84"/>
      <c r="AE108" s="84"/>
    </row>
  </sheetData>
  <mergeCells count="35">
    <mergeCell ref="H5:H6"/>
    <mergeCell ref="I5:I6"/>
    <mergeCell ref="J5:K5"/>
    <mergeCell ref="L5:N5"/>
    <mergeCell ref="A52:B52"/>
    <mergeCell ref="A74:B74"/>
    <mergeCell ref="A89:B89"/>
    <mergeCell ref="D5:D6"/>
    <mergeCell ref="E5:E6"/>
    <mergeCell ref="A2:B6"/>
    <mergeCell ref="C5:C6"/>
    <mergeCell ref="A7:B7"/>
    <mergeCell ref="A13:B13"/>
    <mergeCell ref="A31:B31"/>
    <mergeCell ref="X5:Y5"/>
    <mergeCell ref="AA5:AB5"/>
    <mergeCell ref="AD5:AE5"/>
    <mergeCell ref="C2:V2"/>
    <mergeCell ref="W2:AE2"/>
    <mergeCell ref="R3:V3"/>
    <mergeCell ref="Z3:AB4"/>
    <mergeCell ref="AC3:AE4"/>
    <mergeCell ref="V4:V6"/>
    <mergeCell ref="O5:Q5"/>
    <mergeCell ref="R4:R6"/>
    <mergeCell ref="S4:S6"/>
    <mergeCell ref="T4:T6"/>
    <mergeCell ref="U4:U6"/>
    <mergeCell ref="F5:F6"/>
    <mergeCell ref="G5:G6"/>
    <mergeCell ref="C3:Q3"/>
    <mergeCell ref="C4:G4"/>
    <mergeCell ref="H4:I4"/>
    <mergeCell ref="J4:Q4"/>
    <mergeCell ref="W3:Y4"/>
  </mergeCells>
  <conditionalFormatting sqref="K14:K30 K32:K51 K53:K73 K75:K88 K90:K108">
    <cfRule type="colorScale" priority="1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Y14:Y30 Y32:Y51 Y53:Y73 Y75:Y88">
    <cfRule type="colorScale" priority="2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00"/>
    <outlinePr summaryBelow="0" summaryRight="0"/>
  </sheetPr>
  <dimension ref="A1:AB125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23" width="11.42578125" customWidth="1"/>
    <col min="24" max="24" width="7.5703125" customWidth="1"/>
    <col min="25" max="25" width="10.140625" customWidth="1"/>
    <col min="26" max="27" width="12.42578125" customWidth="1"/>
    <col min="28" max="28" width="10.140625" customWidth="1"/>
  </cols>
  <sheetData>
    <row r="1" spans="1:28" ht="24" customHeight="1" x14ac:dyDescent="0.3">
      <c r="A1" s="1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7"/>
      <c r="S1" s="117"/>
      <c r="T1" s="117"/>
      <c r="U1" s="117"/>
      <c r="V1" s="117"/>
      <c r="W1" s="114"/>
      <c r="X1" s="114"/>
      <c r="Y1" s="116"/>
      <c r="Z1" s="114"/>
      <c r="AA1" s="114"/>
      <c r="AB1" s="116"/>
    </row>
    <row r="2" spans="1:28" ht="30" customHeight="1" x14ac:dyDescent="0.2">
      <c r="A2" s="692" t="s">
        <v>1</v>
      </c>
      <c r="B2" s="658"/>
      <c r="C2" s="689" t="s">
        <v>159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7"/>
      <c r="W2" s="690" t="s">
        <v>160</v>
      </c>
      <c r="X2" s="646"/>
      <c r="Y2" s="646"/>
      <c r="Z2" s="646"/>
      <c r="AA2" s="646"/>
      <c r="AB2" s="647"/>
    </row>
    <row r="3" spans="1:28" ht="30" customHeight="1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09" t="s">
        <v>5</v>
      </c>
      <c r="S3" s="646"/>
      <c r="T3" s="646"/>
      <c r="U3" s="646"/>
      <c r="V3" s="647"/>
      <c r="W3" s="687" t="s">
        <v>161</v>
      </c>
      <c r="X3" s="674"/>
      <c r="Y3" s="658"/>
      <c r="Z3" s="687" t="s">
        <v>162</v>
      </c>
      <c r="AA3" s="674"/>
      <c r="AB3" s="658"/>
    </row>
    <row r="4" spans="1:28" ht="3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711" t="s">
        <v>11</v>
      </c>
      <c r="S4" s="703" t="s">
        <v>12</v>
      </c>
      <c r="T4" s="710" t="s">
        <v>13</v>
      </c>
      <c r="U4" s="710" t="s">
        <v>14</v>
      </c>
      <c r="V4" s="710" t="s">
        <v>15</v>
      </c>
      <c r="W4" s="661"/>
      <c r="X4" s="675"/>
      <c r="Y4" s="662"/>
      <c r="Z4" s="661"/>
      <c r="AA4" s="675"/>
      <c r="AB4" s="662"/>
    </row>
    <row r="5" spans="1:28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649"/>
      <c r="S5" s="649"/>
      <c r="T5" s="649"/>
      <c r="U5" s="649"/>
      <c r="V5" s="649"/>
      <c r="W5" s="119" t="s">
        <v>28</v>
      </c>
      <c r="X5" s="713" t="s">
        <v>29</v>
      </c>
      <c r="Y5" s="647"/>
      <c r="Z5" s="119" t="s">
        <v>28</v>
      </c>
      <c r="AA5" s="713" t="s">
        <v>29</v>
      </c>
      <c r="AB5" s="647"/>
    </row>
    <row r="6" spans="1:28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650"/>
      <c r="S6" s="650"/>
      <c r="T6" s="650"/>
      <c r="U6" s="650"/>
      <c r="V6" s="650"/>
      <c r="W6" s="119" t="s">
        <v>35</v>
      </c>
      <c r="X6" s="180" t="s">
        <v>35</v>
      </c>
      <c r="Y6" s="210" t="s">
        <v>31</v>
      </c>
      <c r="Z6" s="119" t="s">
        <v>35</v>
      </c>
      <c r="AA6" s="180" t="s">
        <v>35</v>
      </c>
      <c r="AB6" s="210" t="s">
        <v>31</v>
      </c>
    </row>
    <row r="7" spans="1:28" ht="24" customHeight="1" x14ac:dyDescent="0.3">
      <c r="A7" s="663" t="s">
        <v>38</v>
      </c>
      <c r="B7" s="647"/>
      <c r="C7" s="126">
        <f t="shared" ref="C7:C9" ca="1" si="0">D7+G7</f>
        <v>43219200</v>
      </c>
      <c r="D7" s="127">
        <f t="shared" ref="D7:E7" ca="1" si="1">D8+D9+D12</f>
        <v>19228900</v>
      </c>
      <c r="E7" s="128">
        <f t="shared" ca="1" si="1"/>
        <v>8653000</v>
      </c>
      <c r="F7" s="129">
        <f ca="1">F8+F9</f>
        <v>10575900</v>
      </c>
      <c r="G7" s="130">
        <f t="shared" ref="G7:I7" ca="1" si="2">G8+G9+G12</f>
        <v>23990300</v>
      </c>
      <c r="H7" s="131">
        <f t="shared" ca="1" si="2"/>
        <v>19228900</v>
      </c>
      <c r="I7" s="131">
        <f t="shared" ca="1" si="2"/>
        <v>23990300</v>
      </c>
      <c r="J7" s="132">
        <f t="shared" ref="J7:J9" ca="1" si="3">L7+O7</f>
        <v>42178216.579999998</v>
      </c>
      <c r="K7" s="133">
        <f t="shared" ref="K7:K9" ca="1" si="4">IF(C7&gt;0,J7*100/C7,0)</f>
        <v>97.591386652228636</v>
      </c>
      <c r="L7" s="132">
        <f ca="1">L8+L9+L12</f>
        <v>18448216.580000002</v>
      </c>
      <c r="M7" s="27">
        <f t="shared" ref="M7:M9" ca="1" si="5">IF(D7&gt;0,L7*100/D7,0)</f>
        <v>95.940051589014459</v>
      </c>
      <c r="N7" s="27">
        <f t="shared" ref="N7:N9" ca="1" si="6">IF(H7&gt;0,L7*100/H7,0)</f>
        <v>95.940051589014459</v>
      </c>
      <c r="O7" s="26">
        <f ca="1">O8+O9+O12</f>
        <v>23730000</v>
      </c>
      <c r="P7" s="26">
        <f t="shared" ref="P7:P9" ca="1" si="7">IF(G7&gt;0,O7*100/G7,0)</f>
        <v>98.914978136997036</v>
      </c>
      <c r="Q7" s="27">
        <f t="shared" ref="Q7:Q9" ca="1" si="8">IF(I7&gt;0,O7*100/I7,0)</f>
        <v>98.914978136997036</v>
      </c>
      <c r="R7" s="26">
        <f t="shared" ref="R7:T7" ca="1" si="9">R8+R9</f>
        <v>2371100</v>
      </c>
      <c r="S7" s="26">
        <f t="shared" ca="1" si="9"/>
        <v>2371100</v>
      </c>
      <c r="T7" s="26">
        <f t="shared" ca="1" si="9"/>
        <v>702284</v>
      </c>
      <c r="U7" s="27">
        <f t="shared" ref="U7:U9" ca="1" si="10">IF(R7&gt;0,T7*100/R7,0)</f>
        <v>29.618489308759646</v>
      </c>
      <c r="V7" s="27">
        <f t="shared" ref="V7:V9" ca="1" si="11">IF(S7&gt;0,T7*100/S7,0)</f>
        <v>29.618489308759646</v>
      </c>
      <c r="W7" s="28">
        <f t="shared" ref="W7:X7" ca="1" si="12">W8</f>
        <v>730</v>
      </c>
      <c r="X7" s="29">
        <f t="shared" ca="1" si="12"/>
        <v>692</v>
      </c>
      <c r="Y7" s="30">
        <f t="shared" ref="Y7:Y9" ca="1" si="13">IF(W7&gt;0,X7*100/W7,0)</f>
        <v>94.794520547945211</v>
      </c>
      <c r="Z7" s="211">
        <f t="shared" ref="Z7:AA7" si="14">Z8+Z9</f>
        <v>70</v>
      </c>
      <c r="AA7" s="212">
        <f t="shared" ca="1" si="14"/>
        <v>68</v>
      </c>
      <c r="AB7" s="213">
        <f t="shared" ref="AB7:AB9" ca="1" si="15">IF(Z7&gt;0,AA7*100/Z7,0)</f>
        <v>97.142857142857139</v>
      </c>
    </row>
    <row r="8" spans="1:28" ht="28.5" customHeight="1" x14ac:dyDescent="0.3">
      <c r="A8" s="31" t="s">
        <v>39</v>
      </c>
      <c r="B8" s="31"/>
      <c r="C8" s="136">
        <f t="shared" ca="1" si="0"/>
        <v>1313900</v>
      </c>
      <c r="D8" s="136">
        <f t="shared" ref="D8:I8" ca="1" si="16">+D13+D31+D52+D74</f>
        <v>1313900</v>
      </c>
      <c r="E8" s="136">
        <f t="shared" ca="1" si="16"/>
        <v>0</v>
      </c>
      <c r="F8" s="136">
        <f t="shared" ca="1" si="16"/>
        <v>1313900</v>
      </c>
      <c r="G8" s="136">
        <f t="shared" ca="1" si="16"/>
        <v>0</v>
      </c>
      <c r="H8" s="136">
        <f t="shared" ca="1" si="16"/>
        <v>3530662</v>
      </c>
      <c r="I8" s="136">
        <f t="shared" ca="1" si="16"/>
        <v>0</v>
      </c>
      <c r="J8" s="136">
        <f t="shared" ca="1" si="3"/>
        <v>3416269.2</v>
      </c>
      <c r="K8" s="137">
        <f t="shared" ca="1" si="4"/>
        <v>260.00983332064845</v>
      </c>
      <c r="L8" s="136">
        <f ca="1">+L13+L31+L52+L74</f>
        <v>3416269.2</v>
      </c>
      <c r="M8" s="37">
        <f t="shared" ca="1" si="5"/>
        <v>260.00983332064845</v>
      </c>
      <c r="N8" s="37">
        <f t="shared" ca="1" si="6"/>
        <v>96.76001837615722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17">+R13+R31+R52+R74</f>
        <v>667760</v>
      </c>
      <c r="S8" s="36">
        <f t="shared" ca="1" si="17"/>
        <v>667760</v>
      </c>
      <c r="T8" s="36">
        <f t="shared" ca="1" si="17"/>
        <v>584094</v>
      </c>
      <c r="U8" s="37">
        <f t="shared" ca="1" si="10"/>
        <v>87.470648137055235</v>
      </c>
      <c r="V8" s="37">
        <f t="shared" ca="1" si="11"/>
        <v>87.470648137055235</v>
      </c>
      <c r="W8" s="32">
        <f t="shared" ref="W8:X8" ca="1" si="18">+W13+W31+W52+W74</f>
        <v>730</v>
      </c>
      <c r="X8" s="32">
        <f t="shared" ca="1" si="18"/>
        <v>692</v>
      </c>
      <c r="Y8" s="34">
        <f t="shared" ca="1" si="13"/>
        <v>94.794520547945211</v>
      </c>
      <c r="Z8" s="136">
        <f t="shared" ref="Z8:AA8" si="19">+Z13+Z31+Z52+Z74</f>
        <v>0</v>
      </c>
      <c r="AA8" s="136">
        <f t="shared" si="19"/>
        <v>0</v>
      </c>
      <c r="AB8" s="37">
        <f t="shared" si="15"/>
        <v>0</v>
      </c>
    </row>
    <row r="9" spans="1:28" ht="28.5" customHeight="1" x14ac:dyDescent="0.3">
      <c r="A9" s="38" t="s">
        <v>40</v>
      </c>
      <c r="B9" s="38"/>
      <c r="C9" s="139">
        <f t="shared" ca="1" si="0"/>
        <v>41905300</v>
      </c>
      <c r="D9" s="139">
        <f t="shared" ref="D9:I9" ca="1" si="20">+D89</f>
        <v>17915000</v>
      </c>
      <c r="E9" s="139">
        <f t="shared" ca="1" si="20"/>
        <v>8653000</v>
      </c>
      <c r="F9" s="139">
        <f t="shared" ca="1" si="20"/>
        <v>9262000</v>
      </c>
      <c r="G9" s="139">
        <f t="shared" ca="1" si="20"/>
        <v>23990300</v>
      </c>
      <c r="H9" s="139">
        <f t="shared" ca="1" si="20"/>
        <v>15698238</v>
      </c>
      <c r="I9" s="139">
        <f t="shared" ca="1" si="20"/>
        <v>23990300</v>
      </c>
      <c r="J9" s="139">
        <f t="shared" ca="1" si="3"/>
        <v>38761947.380000003</v>
      </c>
      <c r="K9" s="140">
        <f t="shared" ca="1" si="4"/>
        <v>92.498913932127934</v>
      </c>
      <c r="L9" s="139">
        <f ca="1">+L89</f>
        <v>15031947.380000001</v>
      </c>
      <c r="M9" s="44">
        <f t="shared" ca="1" si="5"/>
        <v>83.907046497348588</v>
      </c>
      <c r="N9" s="44">
        <f t="shared" ca="1" si="6"/>
        <v>95.755634358454756</v>
      </c>
      <c r="O9" s="43">
        <f ca="1">+O89</f>
        <v>23730000</v>
      </c>
      <c r="P9" s="43">
        <f t="shared" ca="1" si="7"/>
        <v>98.914978136997036</v>
      </c>
      <c r="Q9" s="44">
        <f t="shared" ca="1" si="8"/>
        <v>98.914978136997036</v>
      </c>
      <c r="R9" s="43">
        <f t="shared" ref="R9:T9" ca="1" si="21">+R89</f>
        <v>1703340</v>
      </c>
      <c r="S9" s="43">
        <f t="shared" ca="1" si="21"/>
        <v>1703340</v>
      </c>
      <c r="T9" s="43">
        <f t="shared" ca="1" si="21"/>
        <v>118190</v>
      </c>
      <c r="U9" s="44">
        <f t="shared" ca="1" si="10"/>
        <v>6.9387203963976658</v>
      </c>
      <c r="V9" s="44">
        <f t="shared" ca="1" si="11"/>
        <v>6.9387203963976658</v>
      </c>
      <c r="W9" s="39">
        <v>0</v>
      </c>
      <c r="X9" s="39">
        <v>0</v>
      </c>
      <c r="Y9" s="41">
        <f t="shared" si="13"/>
        <v>0</v>
      </c>
      <c r="Z9" s="139">
        <v>70</v>
      </c>
      <c r="AA9" s="139">
        <f ca="1">IFERROR(__xludf.DUMMYFUNCTION("IMPORTRANGE(""https://docs.google.com/spreadsheets/d/1W-HhGofCdyidljablT5AVQ143BAUWsE-bKbHVeok6Og/edit?usp=sharing"",""ทั้งประเทศ!J184"")"),68)</f>
        <v>68</v>
      </c>
      <c r="AB9" s="44">
        <f t="shared" ca="1" si="15"/>
        <v>97.142857142857139</v>
      </c>
    </row>
    <row r="10" spans="1:28" ht="28.5" hidden="1" customHeight="1" x14ac:dyDescent="0.3">
      <c r="A10" s="45"/>
      <c r="B10" s="45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195"/>
      <c r="S10" s="195"/>
      <c r="T10" s="195"/>
      <c r="U10" s="196"/>
      <c r="V10" s="196"/>
      <c r="W10" s="46"/>
      <c r="X10" s="46"/>
      <c r="Y10" s="48"/>
      <c r="Z10" s="214"/>
      <c r="AA10" s="214"/>
      <c r="AB10" s="51"/>
    </row>
    <row r="11" spans="1:28" ht="28.5" hidden="1" customHeight="1" x14ac:dyDescent="0.3">
      <c r="A11" s="45"/>
      <c r="B11" s="45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195"/>
      <c r="S11" s="195"/>
      <c r="T11" s="195"/>
      <c r="U11" s="196"/>
      <c r="V11" s="196"/>
      <c r="W11" s="46"/>
      <c r="X11" s="46"/>
      <c r="Y11" s="48"/>
      <c r="Z11" s="214"/>
      <c r="AA11" s="214"/>
      <c r="AB11" s="51"/>
    </row>
    <row r="12" spans="1:28" ht="28.5" hidden="1" customHeight="1" x14ac:dyDescent="0.3">
      <c r="A12" s="45"/>
      <c r="B12" s="45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195"/>
      <c r="S12" s="195"/>
      <c r="T12" s="195"/>
      <c r="U12" s="196"/>
      <c r="V12" s="196"/>
      <c r="W12" s="46"/>
      <c r="X12" s="46"/>
      <c r="Y12" s="48"/>
      <c r="Z12" s="143"/>
      <c r="AA12" s="143"/>
      <c r="AB12" s="51"/>
    </row>
    <row r="13" spans="1:28" ht="28.5" customHeight="1" x14ac:dyDescent="0.3">
      <c r="A13" s="664" t="s">
        <v>41</v>
      </c>
      <c r="B13" s="647"/>
      <c r="C13" s="145">
        <f t="shared" ref="C13:C88" ca="1" si="22">D13+G13</f>
        <v>333030</v>
      </c>
      <c r="D13" s="145">
        <f t="shared" ref="D13:I13" ca="1" si="23">SUM(D14:D30)</f>
        <v>333030</v>
      </c>
      <c r="E13" s="145">
        <f t="shared" ca="1" si="23"/>
        <v>0</v>
      </c>
      <c r="F13" s="145">
        <f t="shared" ca="1" si="23"/>
        <v>333030</v>
      </c>
      <c r="G13" s="145">
        <f t="shared" ca="1" si="23"/>
        <v>0</v>
      </c>
      <c r="H13" s="145">
        <f t="shared" ca="1" si="23"/>
        <v>1794000</v>
      </c>
      <c r="I13" s="145">
        <f t="shared" ca="1" si="23"/>
        <v>0</v>
      </c>
      <c r="J13" s="145">
        <f t="shared" ref="J13:J88" ca="1" si="24">L13+O13</f>
        <v>1727859</v>
      </c>
      <c r="K13" s="146">
        <f t="shared" ref="K13:K88" ca="1" si="25">IF(C13&gt;0,J13*100/C13,0)</f>
        <v>518.82983514998648</v>
      </c>
      <c r="L13" s="145">
        <f ca="1">SUM(L14:L30)</f>
        <v>1727859</v>
      </c>
      <c r="M13" s="57">
        <f t="shared" ref="M13:M88" ca="1" si="26">IF(D13&gt;0,L13*100/D13,0)</f>
        <v>518.82983514998648</v>
      </c>
      <c r="N13" s="57">
        <f t="shared" ref="N13:N88" ca="1" si="27">IF(H13&gt;0,L13*100/H13,0)</f>
        <v>96.313210702341138</v>
      </c>
      <c r="O13" s="56">
        <f ca="1">SUM(O14:O30)</f>
        <v>0</v>
      </c>
      <c r="P13" s="56">
        <f t="shared" ref="P13:P88" ca="1" si="28">IF(G13&gt;0,O13*100/G13,0)</f>
        <v>0</v>
      </c>
      <c r="Q13" s="57">
        <f t="shared" ref="Q13:Q88" ca="1" si="29">IF(I13&gt;0,O13*100/I13,0)</f>
        <v>0</v>
      </c>
      <c r="R13" s="56">
        <f t="shared" ref="R13:T13" ca="1" si="30">SUM(R14:R30)</f>
        <v>226080</v>
      </c>
      <c r="S13" s="56">
        <f t="shared" ca="1" si="30"/>
        <v>226080</v>
      </c>
      <c r="T13" s="56">
        <f t="shared" ca="1" si="30"/>
        <v>176430</v>
      </c>
      <c r="U13" s="57">
        <f t="shared" ref="U13:U108" ca="1" si="31">IF(R13&gt;0,T13*100/R13,0)</f>
        <v>78.038747346072185</v>
      </c>
      <c r="V13" s="57">
        <f t="shared" ref="V13:V108" ca="1" si="32">IF(S13&gt;0,T13*100/S13,0)</f>
        <v>78.038747346072185</v>
      </c>
      <c r="W13" s="52">
        <f t="shared" ref="W13:X13" ca="1" si="33">SUM(W14:W30)</f>
        <v>215</v>
      </c>
      <c r="X13" s="52">
        <f t="shared" ca="1" si="33"/>
        <v>185</v>
      </c>
      <c r="Y13" s="54">
        <f t="shared" ref="Y13:Y88" ca="1" si="34">IF(W13&gt;0,X13*100/W13,0)</f>
        <v>86.04651162790698</v>
      </c>
      <c r="Z13" s="145">
        <v>0</v>
      </c>
      <c r="AA13" s="145">
        <v>0</v>
      </c>
      <c r="AB13" s="57">
        <v>0</v>
      </c>
    </row>
    <row r="14" spans="1:28" ht="24" customHeight="1" x14ac:dyDescent="0.3">
      <c r="A14" s="58">
        <v>1</v>
      </c>
      <c r="B14" s="59" t="s">
        <v>42</v>
      </c>
      <c r="C14" s="149">
        <f t="shared" ca="1" si="22"/>
        <v>19590</v>
      </c>
      <c r="D14" s="150">
        <f t="shared" ref="D14:D30" ca="1" si="35">+E14+F14</f>
        <v>19590</v>
      </c>
      <c r="E14" s="151">
        <f ca="1">IFERROR(__xludf.DUMMYFUNCTION("IMPORTRANGE(""https://docs.google.com/spreadsheets/d/1-uDff_7J0KD5mKrp0Vvzr7lt3OU09vwQwhkpOPPYv2Y/edit?usp=sharing"",""งบพรบ!CL14"")"),0)</f>
        <v>0</v>
      </c>
      <c r="F14" s="151">
        <f ca="1">IFERROR(__xludf.DUMMYFUNCTION("IMPORTRANGE(""https://docs.google.com/spreadsheets/d/1-uDff_7J0KD5mKrp0Vvzr7lt3OU09vwQwhkpOPPYv2Y/edit?usp=sharing"",""งบพรบ!CM14"")"),19590)</f>
        <v>19590</v>
      </c>
      <c r="G14" s="152">
        <f ca="1">IFERROR(__xludf.DUMMYFUNCTION("IMPORTRANGE(""https://docs.google.com/spreadsheets/d/1-uDff_7J0KD5mKrp0Vvzr7lt3OU09vwQwhkpOPPYv2Y/edit?usp=sharing"",""งบพรบ!CN14"")"),0)</f>
        <v>0</v>
      </c>
      <c r="H14" s="152">
        <f ca="1">IFERROR(__xludf.DUMMYFUNCTION("IMPORTRANGE(""https://docs.google.com/spreadsheets/d/1-uDff_7J0KD5mKrp0Vvzr7lt3OU09vwQwhkpOPPYv2Y/edit?usp=sharing"",""งบพรบ!CP14"")"),31260)</f>
        <v>31260</v>
      </c>
      <c r="I14" s="152">
        <f ca="1">IFERROR(__xludf.DUMMYFUNCTION("IMPORTRANGE(""https://docs.google.com/spreadsheets/d/1-uDff_7J0KD5mKrp0Vvzr7lt3OU09vwQwhkpOPPYv2Y/edit?usp=sharing"",""งบพรบ!CQ14"")"),0)</f>
        <v>0</v>
      </c>
      <c r="J14" s="152">
        <f t="shared" ca="1" si="24"/>
        <v>31260</v>
      </c>
      <c r="K14" s="153">
        <f t="shared" ca="1" si="25"/>
        <v>159.57120980091884</v>
      </c>
      <c r="L14" s="152">
        <f ca="1">IFERROR(__xludf.DUMMYFUNCTION("IMPORTRANGE(""https://docs.google.com/spreadsheets/d/1-uDff_7J0KD5mKrp0Vvzr7lt3OU09vwQwhkpOPPYv2Y/edit?usp=sharing"",""งบพรบ!CR14"")"),31260)</f>
        <v>31260</v>
      </c>
      <c r="M14" s="68">
        <f t="shared" ca="1" si="26"/>
        <v>159.57120980091884</v>
      </c>
      <c r="N14" s="68">
        <f t="shared" ca="1" si="27"/>
        <v>100</v>
      </c>
      <c r="O14" s="67">
        <f ca="1">IFERROR(__xludf.DUMMYFUNCTION("IMPORTRANGE(""https://docs.google.com/spreadsheets/d/1-uDff_7J0KD5mKrp0Vvzr7lt3OU09vwQwhkpOPPYv2Y/edit?usp=sharing"",""งบพรบ!CS14"")"),0)</f>
        <v>0</v>
      </c>
      <c r="P14" s="67">
        <f t="shared" ca="1" si="28"/>
        <v>0</v>
      </c>
      <c r="Q14" s="68">
        <f t="shared" ca="1" si="29"/>
        <v>0</v>
      </c>
      <c r="R14" s="197">
        <f ca="1">IFERROR(__xludf.DUMMYFUNCTION("IMPORTRANGE(""https://docs.google.com/spreadsheets/d/1jTcq05yEiRwXcBMLjiodW9e4biSGYWAHcDj22rKWQ3s/edit?usp=sharing"",""กำแพงเพชร!Q173"")"),0)</f>
        <v>0</v>
      </c>
      <c r="S14" s="67">
        <f ca="1">IFERROR(__xludf.DUMMYFUNCTION("IMPORTRANGE(""https://docs.google.com/spreadsheets/d/1jTcq05yEiRwXcBMLjiodW9e4biSGYWAHcDj22rKWQ3s/edit?usp=sharing"",""กำแพงเพชร!R173"")"),0)</f>
        <v>0</v>
      </c>
      <c r="T14" s="67">
        <f ca="1">IFERROR(__xludf.DUMMYFUNCTION("IMPORTRANGE(""https://docs.google.com/spreadsheets/d/1jTcq05yEiRwXcBMLjiodW9e4biSGYWAHcDj22rKWQ3s/edit?usp=sharing"",""กำแพงเพชร!S173"")"),0)</f>
        <v>0</v>
      </c>
      <c r="U14" s="68">
        <f t="shared" ca="1" si="31"/>
        <v>0</v>
      </c>
      <c r="V14" s="68">
        <f t="shared" ca="1" si="32"/>
        <v>0</v>
      </c>
      <c r="W14" s="63">
        <f ca="1">IFERROR(__xludf.DUMMYFUNCTION("IMPORTRANGE(""https://docs.google.com/spreadsheets/d/1jTcq05yEiRwXcBMLjiodW9e4biSGYWAHcDj22rKWQ3s/edit?usp=sharing"",""กำแพงเพชร!I183"")"),7)</f>
        <v>7</v>
      </c>
      <c r="X14" s="63">
        <f ca="1">IFERROR(__xludf.DUMMYFUNCTION("IMPORTRANGE(""https://docs.google.com/spreadsheets/d/1jTcq05yEiRwXcBMLjiodW9e4biSGYWAHcDj22rKWQ3s/edit?usp=sharing"",""กำแพงเพชร!J183"")"),7)</f>
        <v>7</v>
      </c>
      <c r="Y14" s="69">
        <f t="shared" ca="1" si="34"/>
        <v>100</v>
      </c>
      <c r="Z14" s="215">
        <v>0</v>
      </c>
      <c r="AA14" s="215">
        <v>0</v>
      </c>
      <c r="AB14" s="216">
        <v>0</v>
      </c>
    </row>
    <row r="15" spans="1:28" ht="24" customHeight="1" x14ac:dyDescent="0.3">
      <c r="A15" s="70">
        <v>2</v>
      </c>
      <c r="B15" s="71" t="s">
        <v>43</v>
      </c>
      <c r="C15" s="149">
        <f t="shared" ca="1" si="22"/>
        <v>19590</v>
      </c>
      <c r="D15" s="150">
        <f t="shared" ca="1" si="35"/>
        <v>19590</v>
      </c>
      <c r="E15" s="151">
        <f ca="1">IFERROR(__xludf.DUMMYFUNCTION("IMPORTRANGE(""https://docs.google.com/spreadsheets/d/1-uDff_7J0KD5mKrp0Vvzr7lt3OU09vwQwhkpOPPYv2Y/edit?usp=sharing"",""งบพรบ!CL15"")"),0)</f>
        <v>0</v>
      </c>
      <c r="F15" s="151">
        <f ca="1">IFERROR(__xludf.DUMMYFUNCTION("IMPORTRANGE(""https://docs.google.com/spreadsheets/d/1-uDff_7J0KD5mKrp0Vvzr7lt3OU09vwQwhkpOPPYv2Y/edit?usp=sharing"",""งบพรบ!CM15"")"),19590)</f>
        <v>19590</v>
      </c>
      <c r="G15" s="151">
        <f ca="1">IFERROR(__xludf.DUMMYFUNCTION("IMPORTRANGE(""https://docs.google.com/spreadsheets/d/1-uDff_7J0KD5mKrp0Vvzr7lt3OU09vwQwhkpOPPYv2Y/edit?usp=sharing"",""งบพรบ!CN15"")"),0)</f>
        <v>0</v>
      </c>
      <c r="H15" s="151">
        <f ca="1">IFERROR(__xludf.DUMMYFUNCTION("IMPORTRANGE(""https://docs.google.com/spreadsheets/d/1-uDff_7J0KD5mKrp0Vvzr7lt3OU09vwQwhkpOPPYv2Y/edit?usp=sharing"",""งบพรบ!CP15"")"),111760)</f>
        <v>111760</v>
      </c>
      <c r="I15" s="151">
        <f ca="1">IFERROR(__xludf.DUMMYFUNCTION("IMPORTRANGE(""https://docs.google.com/spreadsheets/d/1-uDff_7J0KD5mKrp0Vvzr7lt3OU09vwQwhkpOPPYv2Y/edit?usp=sharing"",""งบพรบ!CQ15"")"),0)</f>
        <v>0</v>
      </c>
      <c r="J15" s="151">
        <f t="shared" ca="1" si="24"/>
        <v>96020</v>
      </c>
      <c r="K15" s="154">
        <f t="shared" ca="1" si="25"/>
        <v>490.14803471158757</v>
      </c>
      <c r="L15" s="151">
        <f ca="1">IFERROR(__xludf.DUMMYFUNCTION("IMPORTRANGE(""https://docs.google.com/spreadsheets/d/1-uDff_7J0KD5mKrp0Vvzr7lt3OU09vwQwhkpOPPYv2Y/edit?usp=sharing"",""งบพรบ!CR15"")"),96020)</f>
        <v>96020</v>
      </c>
      <c r="M15" s="68">
        <f t="shared" ca="1" si="26"/>
        <v>490.14803471158757</v>
      </c>
      <c r="N15" s="68">
        <f t="shared" ca="1" si="27"/>
        <v>85.916249105225489</v>
      </c>
      <c r="O15" s="67">
        <f ca="1">IFERROR(__xludf.DUMMYFUNCTION("IMPORTRANGE(""https://docs.google.com/spreadsheets/d/1-uDff_7J0KD5mKrp0Vvzr7lt3OU09vwQwhkpOPPYv2Y/edit?usp=sharing"",""งบพรบ!CS15"")"),0)</f>
        <v>0</v>
      </c>
      <c r="P15" s="67">
        <f t="shared" ca="1" si="28"/>
        <v>0</v>
      </c>
      <c r="Q15" s="68">
        <f t="shared" ca="1" si="29"/>
        <v>0</v>
      </c>
      <c r="R15" s="197">
        <f ca="1">IFERROR(__xludf.DUMMYFUNCTION("IMPORTRANGE(""https://docs.google.com/spreadsheets/d/1KS0zmDSZPk8KnTAbGN-Xk6MtX1YRZD0ldgdt20K4CRk/edit?usp=sharing"",""เชียงราย!Q173"")"),22960)</f>
        <v>22960</v>
      </c>
      <c r="S15" s="67">
        <f ca="1">IFERROR(__xludf.DUMMYFUNCTION("IMPORTRANGE(""https://docs.google.com/spreadsheets/d/1KS0zmDSZPk8KnTAbGN-Xk6MtX1YRZD0ldgdt20K4CRk/edit?usp=sharing"",""เชียงราย!R173"")"),22960)</f>
        <v>22960</v>
      </c>
      <c r="T15" s="67">
        <f ca="1">IFERROR(__xludf.DUMMYFUNCTION("IMPORTRANGE(""https://docs.google.com/spreadsheets/d/1KS0zmDSZPk8KnTAbGN-Xk6MtX1YRZD0ldgdt20K4CRk/edit?usp=sharing"",""เชียงราย!S173"")"),22400)</f>
        <v>22400</v>
      </c>
      <c r="U15" s="68">
        <f t="shared" ca="1" si="31"/>
        <v>97.560975609756099</v>
      </c>
      <c r="V15" s="68">
        <f t="shared" ca="1" si="32"/>
        <v>97.560975609756099</v>
      </c>
      <c r="W15" s="78">
        <f ca="1">IFERROR(__xludf.DUMMYFUNCTION("IMPORTRANGE(""https://docs.google.com/spreadsheets/d/1KS0zmDSZPk8KnTAbGN-Xk6MtX1YRZD0ldgdt20K4CRk/edit?usp=sharing"",""เชียงราย!I183"")"),17)</f>
        <v>17</v>
      </c>
      <c r="X15" s="78">
        <f ca="1">IFERROR(__xludf.DUMMYFUNCTION("IMPORTRANGE(""https://docs.google.com/spreadsheets/d/1KS0zmDSZPk8KnTAbGN-Xk6MtX1YRZD0ldgdt20K4CRk/edit?usp=sharing"",""เชียงราย!J183"")"),17)</f>
        <v>17</v>
      </c>
      <c r="Y15" s="79">
        <f t="shared" ca="1" si="34"/>
        <v>100</v>
      </c>
      <c r="Z15" s="215">
        <v>0</v>
      </c>
      <c r="AA15" s="215">
        <v>0</v>
      </c>
      <c r="AB15" s="216">
        <v>0</v>
      </c>
    </row>
    <row r="16" spans="1:28" ht="24" customHeight="1" x14ac:dyDescent="0.3">
      <c r="A16" s="70">
        <v>3</v>
      </c>
      <c r="B16" s="71" t="s">
        <v>44</v>
      </c>
      <c r="C16" s="149">
        <f t="shared" ca="1" si="22"/>
        <v>19590</v>
      </c>
      <c r="D16" s="150">
        <f t="shared" ca="1" si="35"/>
        <v>19590</v>
      </c>
      <c r="E16" s="151">
        <f ca="1">IFERROR(__xludf.DUMMYFUNCTION("IMPORTRANGE(""https://docs.google.com/spreadsheets/d/1-uDff_7J0KD5mKrp0Vvzr7lt3OU09vwQwhkpOPPYv2Y/edit?usp=sharing"",""งบพรบ!CL16"")"),0)</f>
        <v>0</v>
      </c>
      <c r="F16" s="151">
        <f ca="1">IFERROR(__xludf.DUMMYFUNCTION("IMPORTRANGE(""https://docs.google.com/spreadsheets/d/1-uDff_7J0KD5mKrp0Vvzr7lt3OU09vwQwhkpOPPYv2Y/edit?usp=sharing"",""งบพรบ!CM16"")"),19590)</f>
        <v>19590</v>
      </c>
      <c r="G16" s="151">
        <f ca="1">IFERROR(__xludf.DUMMYFUNCTION("IMPORTRANGE(""https://docs.google.com/spreadsheets/d/1-uDff_7J0KD5mKrp0Vvzr7lt3OU09vwQwhkpOPPYv2Y/edit?usp=sharing"",""งบพรบ!CN16"")"),0)</f>
        <v>0</v>
      </c>
      <c r="H16" s="151">
        <f ca="1">IFERROR(__xludf.DUMMYFUNCTION("IMPORTRANGE(""https://docs.google.com/spreadsheets/d/1-uDff_7J0KD5mKrp0Vvzr7lt3OU09vwQwhkpOPPYv2Y/edit?usp=sharing"",""งบพรบ!CP16"")"),166020)</f>
        <v>166020</v>
      </c>
      <c r="I16" s="151">
        <f ca="1">IFERROR(__xludf.DUMMYFUNCTION("IMPORTRANGE(""https://docs.google.com/spreadsheets/d/1-uDff_7J0KD5mKrp0Vvzr7lt3OU09vwQwhkpOPPYv2Y/edit?usp=sharing"",""งบพรบ!CQ16"")"),0)</f>
        <v>0</v>
      </c>
      <c r="J16" s="151">
        <f t="shared" ca="1" si="24"/>
        <v>166020</v>
      </c>
      <c r="K16" s="154">
        <f t="shared" ca="1" si="25"/>
        <v>847.47320061255743</v>
      </c>
      <c r="L16" s="151">
        <f ca="1">IFERROR(__xludf.DUMMYFUNCTION("IMPORTRANGE(""https://docs.google.com/spreadsheets/d/1-uDff_7J0KD5mKrp0Vvzr7lt3OU09vwQwhkpOPPYv2Y/edit?usp=sharing"",""งบพรบ!CR16"")"),166020)</f>
        <v>166020</v>
      </c>
      <c r="M16" s="68">
        <f t="shared" ca="1" si="26"/>
        <v>847.47320061255743</v>
      </c>
      <c r="N16" s="68">
        <f t="shared" ca="1" si="27"/>
        <v>100</v>
      </c>
      <c r="O16" s="67">
        <f ca="1">IFERROR(__xludf.DUMMYFUNCTION("IMPORTRANGE(""https://docs.google.com/spreadsheets/d/1-uDff_7J0KD5mKrp0Vvzr7lt3OU09vwQwhkpOPPYv2Y/edit?usp=sharing"",""งบพรบ!CS16"")"),0)</f>
        <v>0</v>
      </c>
      <c r="P16" s="67">
        <f t="shared" ca="1" si="28"/>
        <v>0</v>
      </c>
      <c r="Q16" s="68">
        <f t="shared" ca="1" si="29"/>
        <v>0</v>
      </c>
      <c r="R16" s="197">
        <f ca="1">IFERROR(__xludf.DUMMYFUNCTION("IMPORTRANGE(""https://docs.google.com/spreadsheets/d/1rEDxBtusbi64tE0zunoIbsTVV16HeL0oJ6trHQeQ7K8/edit?usp=sharing"",""เชียงใหม่!Q173"")"),21200)</f>
        <v>21200</v>
      </c>
      <c r="S16" s="67">
        <f ca="1">IFERROR(__xludf.DUMMYFUNCTION("IMPORTRANGE(""https://docs.google.com/spreadsheets/d/1rEDxBtusbi64tE0zunoIbsTVV16HeL0oJ6trHQeQ7K8/edit?usp=sharing"",""เชียงใหม่!R173"")"),21200)</f>
        <v>21200</v>
      </c>
      <c r="T16" s="67">
        <f ca="1">IFERROR(__xludf.DUMMYFUNCTION("IMPORTRANGE(""https://docs.google.com/spreadsheets/d/1rEDxBtusbi64tE0zunoIbsTVV16HeL0oJ6trHQeQ7K8/edit?usp=sharing"",""เชียงใหม่!S173"")"),17040)</f>
        <v>17040</v>
      </c>
      <c r="U16" s="68">
        <f t="shared" ca="1" si="31"/>
        <v>80.377358490566039</v>
      </c>
      <c r="V16" s="68">
        <f t="shared" ca="1" si="32"/>
        <v>80.377358490566039</v>
      </c>
      <c r="W16" s="78">
        <f ca="1">IFERROR(__xludf.DUMMYFUNCTION("IMPORTRANGE(""https://docs.google.com/spreadsheets/d/1rEDxBtusbi64tE0zunoIbsTVV16HeL0oJ6trHQeQ7K8/edit?usp=sharing"",""เชียงใหม่!I183"")"),15)</f>
        <v>15</v>
      </c>
      <c r="X16" s="78">
        <f ca="1">IFERROR(__xludf.DUMMYFUNCTION("IMPORTRANGE(""https://docs.google.com/spreadsheets/d/1rEDxBtusbi64tE0zunoIbsTVV16HeL0oJ6trHQeQ7K8/edit?usp=sharing"",""เชียงใหม่!J183"")"),15)</f>
        <v>15</v>
      </c>
      <c r="Y16" s="79">
        <f t="shared" ca="1" si="34"/>
        <v>100</v>
      </c>
      <c r="Z16" s="215">
        <v>0</v>
      </c>
      <c r="AA16" s="215">
        <v>0</v>
      </c>
      <c r="AB16" s="216">
        <v>0</v>
      </c>
    </row>
    <row r="17" spans="1:28" ht="24" customHeight="1" x14ac:dyDescent="0.3">
      <c r="A17" s="70">
        <v>4</v>
      </c>
      <c r="B17" s="71" t="s">
        <v>45</v>
      </c>
      <c r="C17" s="149">
        <f t="shared" ca="1" si="22"/>
        <v>19590</v>
      </c>
      <c r="D17" s="150">
        <f t="shared" ca="1" si="35"/>
        <v>19590</v>
      </c>
      <c r="E17" s="151">
        <f ca="1">IFERROR(__xludf.DUMMYFUNCTION("IMPORTRANGE(""https://docs.google.com/spreadsheets/d/1-uDff_7J0KD5mKrp0Vvzr7lt3OU09vwQwhkpOPPYv2Y/edit?usp=sharing"",""งบพรบ!CL17"")"),0)</f>
        <v>0</v>
      </c>
      <c r="F17" s="151">
        <f ca="1">IFERROR(__xludf.DUMMYFUNCTION("IMPORTRANGE(""https://docs.google.com/spreadsheets/d/1-uDff_7J0KD5mKrp0Vvzr7lt3OU09vwQwhkpOPPYv2Y/edit?usp=sharing"",""งบพรบ!CM17"")"),19590)</f>
        <v>19590</v>
      </c>
      <c r="G17" s="151">
        <f ca="1">IFERROR(__xludf.DUMMYFUNCTION("IMPORTRANGE(""https://docs.google.com/spreadsheets/d/1-uDff_7J0KD5mKrp0Vvzr7lt3OU09vwQwhkpOPPYv2Y/edit?usp=sharing"",""งบพรบ!CN17"")"),0)</f>
        <v>0</v>
      </c>
      <c r="H17" s="151">
        <f ca="1">IFERROR(__xludf.DUMMYFUNCTION("IMPORTRANGE(""https://docs.google.com/spreadsheets/d/1-uDff_7J0KD5mKrp0Vvzr7lt3OU09vwQwhkpOPPYv2Y/edit?usp=sharing"",""งบพรบ!CP17"")"),38220)</f>
        <v>38220</v>
      </c>
      <c r="I17" s="151">
        <f ca="1">IFERROR(__xludf.DUMMYFUNCTION("IMPORTRANGE(""https://docs.google.com/spreadsheets/d/1-uDff_7J0KD5mKrp0Vvzr7lt3OU09vwQwhkpOPPYv2Y/edit?usp=sharing"",""งบพรบ!CQ17"")"),0)</f>
        <v>0</v>
      </c>
      <c r="J17" s="151">
        <f t="shared" ca="1" si="24"/>
        <v>38220</v>
      </c>
      <c r="K17" s="154">
        <f t="shared" ca="1" si="25"/>
        <v>195.09954058192955</v>
      </c>
      <c r="L17" s="151">
        <f ca="1">IFERROR(__xludf.DUMMYFUNCTION("IMPORTRANGE(""https://docs.google.com/spreadsheets/d/1-uDff_7J0KD5mKrp0Vvzr7lt3OU09vwQwhkpOPPYv2Y/edit?usp=sharing"",""งบพรบ!CR17"")"),38220)</f>
        <v>38220</v>
      </c>
      <c r="M17" s="68">
        <f t="shared" ca="1" si="26"/>
        <v>195.09954058192955</v>
      </c>
      <c r="N17" s="68">
        <f t="shared" ca="1" si="27"/>
        <v>100</v>
      </c>
      <c r="O17" s="67">
        <f ca="1">IFERROR(__xludf.DUMMYFUNCTION("IMPORTRANGE(""https://docs.google.com/spreadsheets/d/1-uDff_7J0KD5mKrp0Vvzr7lt3OU09vwQwhkpOPPYv2Y/edit?usp=sharing"",""งบพรบ!CS17"")"),0)</f>
        <v>0</v>
      </c>
      <c r="P17" s="67">
        <f t="shared" ca="1" si="28"/>
        <v>0</v>
      </c>
      <c r="Q17" s="68">
        <f t="shared" ca="1" si="29"/>
        <v>0</v>
      </c>
      <c r="R17" s="197">
        <f ca="1">IFERROR(__xludf.DUMMYFUNCTION("IMPORTRANGE(""https://docs.google.com/spreadsheets/d/1W6MnUbDkMi6xHnHko_XkFDO9kkuL6Wqyc-6OCDFjW9I/edit?usp=sharing"",""ตาก!Q173"")"),0)</f>
        <v>0</v>
      </c>
      <c r="S17" s="67">
        <f ca="1">IFERROR(__xludf.DUMMYFUNCTION("IMPORTRANGE(""https://docs.google.com/spreadsheets/d/1W6MnUbDkMi6xHnHko_XkFDO9kkuL6Wqyc-6OCDFjW9I/edit?usp=sharing"",""ตาก!R173"")"),0)</f>
        <v>0</v>
      </c>
      <c r="T17" s="67">
        <f ca="1">IFERROR(__xludf.DUMMYFUNCTION("IMPORTRANGE(""https://docs.google.com/spreadsheets/d/1W6MnUbDkMi6xHnHko_XkFDO9kkuL6Wqyc-6OCDFjW9I/edit?usp=sharing"",""ตาก!S173"")"),0)</f>
        <v>0</v>
      </c>
      <c r="U17" s="68">
        <f t="shared" ca="1" si="31"/>
        <v>0</v>
      </c>
      <c r="V17" s="68">
        <f t="shared" ca="1" si="32"/>
        <v>0</v>
      </c>
      <c r="W17" s="78">
        <f ca="1">IFERROR(__xludf.DUMMYFUNCTION("IMPORTRANGE(""https://docs.google.com/spreadsheets/d/1W6MnUbDkMi6xHnHko_XkFDO9kkuL6Wqyc-6OCDFjW9I/edit?usp=sharing"",""ตาก!I183"")"),7)</f>
        <v>7</v>
      </c>
      <c r="X17" s="78">
        <f ca="1">IFERROR(__xludf.DUMMYFUNCTION("IMPORTRANGE(""https://docs.google.com/spreadsheets/d/1W6MnUbDkMi6xHnHko_XkFDO9kkuL6Wqyc-6OCDFjW9I/edit?usp=sharing"",""ตาก!J183"")"),7)</f>
        <v>7</v>
      </c>
      <c r="Y17" s="79">
        <f t="shared" ca="1" si="34"/>
        <v>100</v>
      </c>
      <c r="Z17" s="215">
        <v>0</v>
      </c>
      <c r="AA17" s="215">
        <v>0</v>
      </c>
      <c r="AB17" s="216">
        <v>0</v>
      </c>
    </row>
    <row r="18" spans="1:28" ht="24" customHeight="1" x14ac:dyDescent="0.3">
      <c r="A18" s="70">
        <v>5</v>
      </c>
      <c r="B18" s="71" t="s">
        <v>46</v>
      </c>
      <c r="C18" s="149">
        <f t="shared" ca="1" si="22"/>
        <v>19590</v>
      </c>
      <c r="D18" s="150">
        <f t="shared" ca="1" si="35"/>
        <v>19590</v>
      </c>
      <c r="E18" s="151">
        <f ca="1">IFERROR(__xludf.DUMMYFUNCTION("IMPORTRANGE(""https://docs.google.com/spreadsheets/d/1-uDff_7J0KD5mKrp0Vvzr7lt3OU09vwQwhkpOPPYv2Y/edit?usp=sharing"",""งบพรบ!CL18"")"),0)</f>
        <v>0</v>
      </c>
      <c r="F18" s="151">
        <f ca="1">IFERROR(__xludf.DUMMYFUNCTION("IMPORTRANGE(""https://docs.google.com/spreadsheets/d/1-uDff_7J0KD5mKrp0Vvzr7lt3OU09vwQwhkpOPPYv2Y/edit?usp=sharing"",""งบพรบ!CM18"")"),19590)</f>
        <v>19590</v>
      </c>
      <c r="G18" s="151">
        <f ca="1">IFERROR(__xludf.DUMMYFUNCTION("IMPORTRANGE(""https://docs.google.com/spreadsheets/d/1-uDff_7J0KD5mKrp0Vvzr7lt3OU09vwQwhkpOPPYv2Y/edit?usp=sharing"",""งบพรบ!CN18"")"),0)</f>
        <v>0</v>
      </c>
      <c r="H18" s="151">
        <f ca="1">IFERROR(__xludf.DUMMYFUNCTION("IMPORTRANGE(""https://docs.google.com/spreadsheets/d/1-uDff_7J0KD5mKrp0Vvzr7lt3OU09vwQwhkpOPPYv2Y/edit?usp=sharing"",""งบพรบ!CP18"")"),30550)</f>
        <v>30550</v>
      </c>
      <c r="I18" s="151">
        <f ca="1">IFERROR(__xludf.DUMMYFUNCTION("IMPORTRANGE(""https://docs.google.com/spreadsheets/d/1-uDff_7J0KD5mKrp0Vvzr7lt3OU09vwQwhkpOPPYv2Y/edit?usp=sharing"",""งบพรบ!CQ18"")"),0)</f>
        <v>0</v>
      </c>
      <c r="J18" s="151">
        <f t="shared" ca="1" si="24"/>
        <v>30550</v>
      </c>
      <c r="K18" s="154">
        <f t="shared" ca="1" si="25"/>
        <v>155.94691168963757</v>
      </c>
      <c r="L18" s="151">
        <f ca="1">IFERROR(__xludf.DUMMYFUNCTION("IMPORTRANGE(""https://docs.google.com/spreadsheets/d/1-uDff_7J0KD5mKrp0Vvzr7lt3OU09vwQwhkpOPPYv2Y/edit?usp=sharing"",""งบพรบ!CR18"")"),30550)</f>
        <v>30550</v>
      </c>
      <c r="M18" s="68">
        <f t="shared" ca="1" si="26"/>
        <v>155.94691168963757</v>
      </c>
      <c r="N18" s="68">
        <f t="shared" ca="1" si="27"/>
        <v>100</v>
      </c>
      <c r="O18" s="67">
        <f ca="1">IFERROR(__xludf.DUMMYFUNCTION("IMPORTRANGE(""https://docs.google.com/spreadsheets/d/1-uDff_7J0KD5mKrp0Vvzr7lt3OU09vwQwhkpOPPYv2Y/edit?usp=sharing"",""งบพรบ!CS18"")"),0)</f>
        <v>0</v>
      </c>
      <c r="P18" s="67">
        <f t="shared" ca="1" si="28"/>
        <v>0</v>
      </c>
      <c r="Q18" s="68">
        <f t="shared" ca="1" si="29"/>
        <v>0</v>
      </c>
      <c r="R18" s="197">
        <f ca="1">IFERROR(__xludf.DUMMYFUNCTION("IMPORTRANGE(""https://docs.google.com/spreadsheets/d/1IQAWArduLkta9LpYo4a_ULsyqdta6-6aDDiwpUnQT6c/edit?usp=sharing"",""นครสวรรค์!Q173"")"),22960)</f>
        <v>22960</v>
      </c>
      <c r="S18" s="67">
        <f ca="1">IFERROR(__xludf.DUMMYFUNCTION("IMPORTRANGE(""https://docs.google.com/spreadsheets/d/1IQAWArduLkta9LpYo4a_ULsyqdta6-6aDDiwpUnQT6c/edit?usp=sharing"",""นครสวรรค์!R173"")"),22960)</f>
        <v>22960</v>
      </c>
      <c r="T18" s="67">
        <f ca="1">IFERROR(__xludf.DUMMYFUNCTION("IMPORTRANGE(""https://docs.google.com/spreadsheets/d/1IQAWArduLkta9LpYo4a_ULsyqdta6-6aDDiwpUnQT6c/edit?usp=sharing"",""นครสวรรค์!S173"")"),22960)</f>
        <v>22960</v>
      </c>
      <c r="U18" s="68">
        <f t="shared" ca="1" si="31"/>
        <v>100</v>
      </c>
      <c r="V18" s="68">
        <f t="shared" ca="1" si="32"/>
        <v>100</v>
      </c>
      <c r="W18" s="78">
        <f ca="1">IFERROR(__xludf.DUMMYFUNCTION("IMPORTRANGE(""https://docs.google.com/spreadsheets/d/1IQAWArduLkta9LpYo4a_ULsyqdta6-6aDDiwpUnQT6c/edit?usp=sharing"",""นครสวรรค์!I183"")"),17)</f>
        <v>17</v>
      </c>
      <c r="X18" s="78">
        <f ca="1">IFERROR(__xludf.DUMMYFUNCTION("IMPORTRANGE(""https://docs.google.com/spreadsheets/d/1IQAWArduLkta9LpYo4a_ULsyqdta6-6aDDiwpUnQT6c/edit?usp=sharing"",""นครสวรรค์!J183"")"),17)</f>
        <v>17</v>
      </c>
      <c r="Y18" s="79">
        <f t="shared" ca="1" si="34"/>
        <v>100</v>
      </c>
      <c r="Z18" s="215">
        <v>0</v>
      </c>
      <c r="AA18" s="215">
        <v>0</v>
      </c>
      <c r="AB18" s="216">
        <v>0</v>
      </c>
    </row>
    <row r="19" spans="1:28" ht="24" customHeight="1" x14ac:dyDescent="0.3">
      <c r="A19" s="70">
        <v>6</v>
      </c>
      <c r="B19" s="71" t="s">
        <v>47</v>
      </c>
      <c r="C19" s="149">
        <f t="shared" ca="1" si="22"/>
        <v>19590</v>
      </c>
      <c r="D19" s="150">
        <f t="shared" ca="1" si="35"/>
        <v>19590</v>
      </c>
      <c r="E19" s="151">
        <f ca="1">IFERROR(__xludf.DUMMYFUNCTION("IMPORTRANGE(""https://docs.google.com/spreadsheets/d/1-uDff_7J0KD5mKrp0Vvzr7lt3OU09vwQwhkpOPPYv2Y/edit?usp=sharing"",""งบพรบ!CL19"")"),0)</f>
        <v>0</v>
      </c>
      <c r="F19" s="151">
        <f ca="1">IFERROR(__xludf.DUMMYFUNCTION("IMPORTRANGE(""https://docs.google.com/spreadsheets/d/1-uDff_7J0KD5mKrp0Vvzr7lt3OU09vwQwhkpOPPYv2Y/edit?usp=sharing"",""งบพรบ!CM19"")"),19590)</f>
        <v>19590</v>
      </c>
      <c r="G19" s="151">
        <f ca="1">IFERROR(__xludf.DUMMYFUNCTION("IMPORTRANGE(""https://docs.google.com/spreadsheets/d/1-uDff_7J0KD5mKrp0Vvzr7lt3OU09vwQwhkpOPPYv2Y/edit?usp=sharing"",""งบพรบ!CN19"")"),0)</f>
        <v>0</v>
      </c>
      <c r="H19" s="151">
        <f ca="1">IFERROR(__xludf.DUMMYFUNCTION("IMPORTRANGE(""https://docs.google.com/spreadsheets/d/1-uDff_7J0KD5mKrp0Vvzr7lt3OU09vwQwhkpOPPYv2Y/edit?usp=sharing"",""งบพรบ!CP19"")"),228195)</f>
        <v>228195</v>
      </c>
      <c r="I19" s="151">
        <f ca="1">IFERROR(__xludf.DUMMYFUNCTION("IMPORTRANGE(""https://docs.google.com/spreadsheets/d/1-uDff_7J0KD5mKrp0Vvzr7lt3OU09vwQwhkpOPPYv2Y/edit?usp=sharing"",""งบพรบ!CQ19"")"),0)</f>
        <v>0</v>
      </c>
      <c r="J19" s="151">
        <f t="shared" ca="1" si="24"/>
        <v>207985</v>
      </c>
      <c r="K19" s="154">
        <f t="shared" ca="1" si="25"/>
        <v>1061.6896375701888</v>
      </c>
      <c r="L19" s="151">
        <f ca="1">IFERROR(__xludf.DUMMYFUNCTION("IMPORTRANGE(""https://docs.google.com/spreadsheets/d/1-uDff_7J0KD5mKrp0Vvzr7lt3OU09vwQwhkpOPPYv2Y/edit?usp=sharing"",""งบพรบ!CR19"")"),207985)</f>
        <v>207985</v>
      </c>
      <c r="M19" s="68">
        <f t="shared" ca="1" si="26"/>
        <v>1061.6896375701888</v>
      </c>
      <c r="N19" s="68">
        <f t="shared" ca="1" si="27"/>
        <v>91.143539516641468</v>
      </c>
      <c r="O19" s="67">
        <f ca="1">IFERROR(__xludf.DUMMYFUNCTION("IMPORTRANGE(""https://docs.google.com/spreadsheets/d/1-uDff_7J0KD5mKrp0Vvzr7lt3OU09vwQwhkpOPPYv2Y/edit?usp=sharing"",""งบพรบ!CS19"")"),0)</f>
        <v>0</v>
      </c>
      <c r="P19" s="67">
        <f t="shared" ca="1" si="28"/>
        <v>0</v>
      </c>
      <c r="Q19" s="68">
        <f t="shared" ca="1" si="29"/>
        <v>0</v>
      </c>
      <c r="R19" s="197">
        <f ca="1">IFERROR(__xludf.DUMMYFUNCTION("IMPORTRANGE(""https://docs.google.com/spreadsheets/d/10s13Sk5xrltsiR-Zkbmk5DwIaDIKO8XlbJAfqyT7Gvg/edit?usp=sharing"",""น่าน!Q173"")"),22960)</f>
        <v>22960</v>
      </c>
      <c r="S19" s="67">
        <f ca="1">IFERROR(__xludf.DUMMYFUNCTION("IMPORTRANGE(""https://docs.google.com/spreadsheets/d/10s13Sk5xrltsiR-Zkbmk5DwIaDIKO8XlbJAfqyT7Gvg/edit?usp=sharing"",""น่าน!R173"")"),22960)</f>
        <v>22960</v>
      </c>
      <c r="T19" s="67">
        <f ca="1">IFERROR(__xludf.DUMMYFUNCTION("IMPORTRANGE(""https://docs.google.com/spreadsheets/d/10s13Sk5xrltsiR-Zkbmk5DwIaDIKO8XlbJAfqyT7Gvg/edit?usp=sharing"",""น่าน!S173"")"),19360)</f>
        <v>19360</v>
      </c>
      <c r="U19" s="68">
        <f t="shared" ca="1" si="31"/>
        <v>84.320557491289193</v>
      </c>
      <c r="V19" s="68">
        <f t="shared" ca="1" si="32"/>
        <v>84.320557491289193</v>
      </c>
      <c r="W19" s="78">
        <f ca="1">IFERROR(__xludf.DUMMYFUNCTION("IMPORTRANGE(""https://docs.google.com/spreadsheets/d/10s13Sk5xrltsiR-Zkbmk5DwIaDIKO8XlbJAfqyT7Gvg/edit?usp=sharing"",""น่าน!I183"")"),17)</f>
        <v>17</v>
      </c>
      <c r="X19" s="78">
        <f ca="1">IFERROR(__xludf.DUMMYFUNCTION("IMPORTRANGE(""https://docs.google.com/spreadsheets/d/10s13Sk5xrltsiR-Zkbmk5DwIaDIKO8XlbJAfqyT7Gvg/edit?usp=sharing"",""น่าน!J183"")"),17)</f>
        <v>17</v>
      </c>
      <c r="Y19" s="79">
        <f t="shared" ca="1" si="34"/>
        <v>100</v>
      </c>
      <c r="Z19" s="215">
        <v>0</v>
      </c>
      <c r="AA19" s="215">
        <v>0</v>
      </c>
      <c r="AB19" s="216">
        <v>0</v>
      </c>
    </row>
    <row r="20" spans="1:28" ht="24" customHeight="1" x14ac:dyDescent="0.3">
      <c r="A20" s="70">
        <v>7</v>
      </c>
      <c r="B20" s="71" t="s">
        <v>48</v>
      </c>
      <c r="C20" s="149">
        <f t="shared" ca="1" si="22"/>
        <v>19590</v>
      </c>
      <c r="D20" s="150">
        <f t="shared" ca="1" si="35"/>
        <v>19590</v>
      </c>
      <c r="E20" s="151">
        <f ca="1">IFERROR(__xludf.DUMMYFUNCTION("IMPORTRANGE(""https://docs.google.com/spreadsheets/d/1-uDff_7J0KD5mKrp0Vvzr7lt3OU09vwQwhkpOPPYv2Y/edit?usp=sharing"",""งบพรบ!CL20"")"),0)</f>
        <v>0</v>
      </c>
      <c r="F20" s="151">
        <f ca="1">IFERROR(__xludf.DUMMYFUNCTION("IMPORTRANGE(""https://docs.google.com/spreadsheets/d/1-uDff_7J0KD5mKrp0Vvzr7lt3OU09vwQwhkpOPPYv2Y/edit?usp=sharing"",""งบพรบ!CM20"")"),19590)</f>
        <v>19590</v>
      </c>
      <c r="G20" s="151">
        <f ca="1">IFERROR(__xludf.DUMMYFUNCTION("IMPORTRANGE(""https://docs.google.com/spreadsheets/d/1-uDff_7J0KD5mKrp0Vvzr7lt3OU09vwQwhkpOPPYv2Y/edit?usp=sharing"",""งบพรบ!CN20"")"),0)</f>
        <v>0</v>
      </c>
      <c r="H20" s="151">
        <f ca="1">IFERROR(__xludf.DUMMYFUNCTION("IMPORTRANGE(""https://docs.google.com/spreadsheets/d/1-uDff_7J0KD5mKrp0Vvzr7lt3OU09vwQwhkpOPPYv2Y/edit?usp=sharing"",""งบพรบ!CP20"")"),86150)</f>
        <v>86150</v>
      </c>
      <c r="I20" s="151">
        <f ca="1">IFERROR(__xludf.DUMMYFUNCTION("IMPORTRANGE(""https://docs.google.com/spreadsheets/d/1-uDff_7J0KD5mKrp0Vvzr7lt3OU09vwQwhkpOPPYv2Y/edit?usp=sharing"",""งบพรบ!CQ20"")"),0)</f>
        <v>0</v>
      </c>
      <c r="J20" s="151">
        <f t="shared" ca="1" si="24"/>
        <v>84301</v>
      </c>
      <c r="K20" s="154">
        <f t="shared" ca="1" si="25"/>
        <v>430.32669729453801</v>
      </c>
      <c r="L20" s="151">
        <f ca="1">IFERROR(__xludf.DUMMYFUNCTION("IMPORTRANGE(""https://docs.google.com/spreadsheets/d/1-uDff_7J0KD5mKrp0Vvzr7lt3OU09vwQwhkpOPPYv2Y/edit?usp=sharing"",""งบพรบ!CR20"")"),84301)</f>
        <v>84301</v>
      </c>
      <c r="M20" s="68">
        <f t="shared" ca="1" si="26"/>
        <v>430.32669729453801</v>
      </c>
      <c r="N20" s="68">
        <f t="shared" ca="1" si="27"/>
        <v>97.853743470690659</v>
      </c>
      <c r="O20" s="67">
        <f ca="1">IFERROR(__xludf.DUMMYFUNCTION("IMPORTRANGE(""https://docs.google.com/spreadsheets/d/1-uDff_7J0KD5mKrp0Vvzr7lt3OU09vwQwhkpOPPYv2Y/edit?usp=sharing"",""งบพรบ!CS20"")"),0)</f>
        <v>0</v>
      </c>
      <c r="P20" s="67">
        <f t="shared" ca="1" si="28"/>
        <v>0</v>
      </c>
      <c r="Q20" s="68">
        <f t="shared" ca="1" si="29"/>
        <v>0</v>
      </c>
      <c r="R20" s="197">
        <f ca="1">IFERROR(__xludf.DUMMYFUNCTION("IMPORTRANGE(""https://docs.google.com/spreadsheets/d/1uu4nAn4Dbi1XREnLKKotUANlKXa7yCgRcgq8HEzQYW8/edit?usp=sharing"",""พะเยา!Q173"")"),21200)</f>
        <v>21200</v>
      </c>
      <c r="S20" s="67">
        <f ca="1">IFERROR(__xludf.DUMMYFUNCTION("IMPORTRANGE(""https://docs.google.com/spreadsheets/d/1uu4nAn4Dbi1XREnLKKotUANlKXa7yCgRcgq8HEzQYW8/edit?usp=sharing"",""พะเยา!R173"")"),21200)</f>
        <v>21200</v>
      </c>
      <c r="T20" s="67">
        <f ca="1">IFERROR(__xludf.DUMMYFUNCTION("IMPORTRANGE(""https://docs.google.com/spreadsheets/d/1uu4nAn4Dbi1XREnLKKotUANlKXa7yCgRcgq8HEzQYW8/edit?usp=sharing"",""พะเยา!S173"")"),20830)</f>
        <v>20830</v>
      </c>
      <c r="U20" s="68">
        <f t="shared" ca="1" si="31"/>
        <v>98.254716981132077</v>
      </c>
      <c r="V20" s="68">
        <f t="shared" ca="1" si="32"/>
        <v>98.254716981132077</v>
      </c>
      <c r="W20" s="78">
        <f ca="1">IFERROR(__xludf.DUMMYFUNCTION("IMPORTRANGE(""https://docs.google.com/spreadsheets/d/1uu4nAn4Dbi1XREnLKKotUANlKXa7yCgRcgq8HEzQYW8/edit?usp=sharing"",""พะเยา!I183"")"),15)</f>
        <v>15</v>
      </c>
      <c r="X20" s="78">
        <f ca="1">IFERROR(__xludf.DUMMYFUNCTION("IMPORTRANGE(""https://docs.google.com/spreadsheets/d/1uu4nAn4Dbi1XREnLKKotUANlKXa7yCgRcgq8HEzQYW8/edit?usp=sharing"",""พะเยา!J183"")"),15)</f>
        <v>15</v>
      </c>
      <c r="Y20" s="79">
        <f t="shared" ca="1" si="34"/>
        <v>100</v>
      </c>
      <c r="Z20" s="215">
        <v>0</v>
      </c>
      <c r="AA20" s="215">
        <v>0</v>
      </c>
      <c r="AB20" s="216">
        <v>0</v>
      </c>
    </row>
    <row r="21" spans="1:28" ht="24" customHeight="1" x14ac:dyDescent="0.3">
      <c r="A21" s="70">
        <v>8</v>
      </c>
      <c r="B21" s="71" t="s">
        <v>49</v>
      </c>
      <c r="C21" s="149">
        <f t="shared" ca="1" si="22"/>
        <v>19590</v>
      </c>
      <c r="D21" s="150">
        <f t="shared" ca="1" si="35"/>
        <v>19590</v>
      </c>
      <c r="E21" s="151">
        <f ca="1">IFERROR(__xludf.DUMMYFUNCTION("IMPORTRANGE(""https://docs.google.com/spreadsheets/d/1-uDff_7J0KD5mKrp0Vvzr7lt3OU09vwQwhkpOPPYv2Y/edit?usp=sharing"",""งบพรบ!CL21"")"),0)</f>
        <v>0</v>
      </c>
      <c r="F21" s="151">
        <f ca="1">IFERROR(__xludf.DUMMYFUNCTION("IMPORTRANGE(""https://docs.google.com/spreadsheets/d/1-uDff_7J0KD5mKrp0Vvzr7lt3OU09vwQwhkpOPPYv2Y/edit?usp=sharing"",""งบพรบ!CM21"")"),19590)</f>
        <v>19590</v>
      </c>
      <c r="G21" s="151">
        <f ca="1">IFERROR(__xludf.DUMMYFUNCTION("IMPORTRANGE(""https://docs.google.com/spreadsheets/d/1-uDff_7J0KD5mKrp0Vvzr7lt3OU09vwQwhkpOPPYv2Y/edit?usp=sharing"",""งบพรบ!CN21"")"),0)</f>
        <v>0</v>
      </c>
      <c r="H21" s="151">
        <f ca="1">IFERROR(__xludf.DUMMYFUNCTION("IMPORTRANGE(""https://docs.google.com/spreadsheets/d/1-uDff_7J0KD5mKrp0Vvzr7lt3OU09vwQwhkpOPPYv2Y/edit?usp=sharing"",""งบพรบ!CP21"")"),139645)</f>
        <v>139645</v>
      </c>
      <c r="I21" s="151">
        <f ca="1">IFERROR(__xludf.DUMMYFUNCTION("IMPORTRANGE(""https://docs.google.com/spreadsheets/d/1-uDff_7J0KD5mKrp0Vvzr7lt3OU09vwQwhkpOPPYv2Y/edit?usp=sharing"",""งบพรบ!CQ21"")"),0)</f>
        <v>0</v>
      </c>
      <c r="J21" s="151">
        <f t="shared" ca="1" si="24"/>
        <v>128065</v>
      </c>
      <c r="K21" s="154">
        <f t="shared" ca="1" si="25"/>
        <v>653.72639101582445</v>
      </c>
      <c r="L21" s="151">
        <f ca="1">IFERROR(__xludf.DUMMYFUNCTION("IMPORTRANGE(""https://docs.google.com/spreadsheets/d/1-uDff_7J0KD5mKrp0Vvzr7lt3OU09vwQwhkpOPPYv2Y/edit?usp=sharing"",""งบพรบ!CR21"")"),128065)</f>
        <v>128065</v>
      </c>
      <c r="M21" s="68">
        <f t="shared" ca="1" si="26"/>
        <v>653.72639101582445</v>
      </c>
      <c r="N21" s="68">
        <f t="shared" ca="1" si="27"/>
        <v>91.707544129757594</v>
      </c>
      <c r="O21" s="67">
        <f ca="1">IFERROR(__xludf.DUMMYFUNCTION("IMPORTRANGE(""https://docs.google.com/spreadsheets/d/1-uDff_7J0KD5mKrp0Vvzr7lt3OU09vwQwhkpOPPYv2Y/edit?usp=sharing"",""งบพรบ!CS21"")"),0)</f>
        <v>0</v>
      </c>
      <c r="P21" s="67">
        <f t="shared" ca="1" si="28"/>
        <v>0</v>
      </c>
      <c r="Q21" s="68">
        <f t="shared" ca="1" si="29"/>
        <v>0</v>
      </c>
      <c r="R21" s="197">
        <f ca="1">IFERROR(__xludf.DUMMYFUNCTION("IMPORTRANGE(""https://docs.google.com/spreadsheets/d/1xfJKIQxVOaPDIICqsflNlLu3JacTDk1FP9RH4phX7mI/edit?usp=sharing"",""พิจิตร!Q173"")"),0)</f>
        <v>0</v>
      </c>
      <c r="S21" s="67">
        <f ca="1">IFERROR(__xludf.DUMMYFUNCTION("IMPORTRANGE(""https://docs.google.com/spreadsheets/d/1xfJKIQxVOaPDIICqsflNlLu3JacTDk1FP9RH4phX7mI/edit?usp=sharing"",""พิจิตร!R173"")"),0)</f>
        <v>0</v>
      </c>
      <c r="T21" s="67">
        <f ca="1">IFERROR(__xludf.DUMMYFUNCTION("IMPORTRANGE(""https://docs.google.com/spreadsheets/d/1xfJKIQxVOaPDIICqsflNlLu3JacTDk1FP9RH4phX7mI/edit?usp=sharing"",""พิจิตร!S173"")"),0)</f>
        <v>0</v>
      </c>
      <c r="U21" s="68">
        <f t="shared" ca="1" si="31"/>
        <v>0</v>
      </c>
      <c r="V21" s="68">
        <f t="shared" ca="1" si="32"/>
        <v>0</v>
      </c>
      <c r="W21" s="78">
        <f ca="1">IFERROR(__xludf.DUMMYFUNCTION("IMPORTRANGE(""https://docs.google.com/spreadsheets/d/1xfJKIQxVOaPDIICqsflNlLu3JacTDk1FP9RH4phX7mI/edit?usp=sharing"",""พิจิตร!I183"")"),7)</f>
        <v>7</v>
      </c>
      <c r="X21" s="78">
        <f ca="1">IFERROR(__xludf.DUMMYFUNCTION("IMPORTRANGE(""https://docs.google.com/spreadsheets/d/1xfJKIQxVOaPDIICqsflNlLu3JacTDk1FP9RH4phX7mI/edit?usp=sharing"",""พิจิตร!J183"")"),7)</f>
        <v>7</v>
      </c>
      <c r="Y21" s="79">
        <f t="shared" ca="1" si="34"/>
        <v>100</v>
      </c>
      <c r="Z21" s="215">
        <v>0</v>
      </c>
      <c r="AA21" s="215">
        <v>0</v>
      </c>
      <c r="AB21" s="216">
        <v>0</v>
      </c>
    </row>
    <row r="22" spans="1:28" ht="24" customHeight="1" x14ac:dyDescent="0.3">
      <c r="A22" s="70">
        <v>9</v>
      </c>
      <c r="B22" s="71" t="s">
        <v>50</v>
      </c>
      <c r="C22" s="149">
        <f t="shared" ca="1" si="22"/>
        <v>19590</v>
      </c>
      <c r="D22" s="150">
        <f t="shared" ca="1" si="35"/>
        <v>19590</v>
      </c>
      <c r="E22" s="151">
        <f ca="1">IFERROR(__xludf.DUMMYFUNCTION("IMPORTRANGE(""https://docs.google.com/spreadsheets/d/1-uDff_7J0KD5mKrp0Vvzr7lt3OU09vwQwhkpOPPYv2Y/edit?usp=sharing"",""งบพรบ!CL22"")"),0)</f>
        <v>0</v>
      </c>
      <c r="F22" s="151">
        <f ca="1">IFERROR(__xludf.DUMMYFUNCTION("IMPORTRANGE(""https://docs.google.com/spreadsheets/d/1-uDff_7J0KD5mKrp0Vvzr7lt3OU09vwQwhkpOPPYv2Y/edit?usp=sharing"",""งบพรบ!CM22"")"),19590)</f>
        <v>19590</v>
      </c>
      <c r="G22" s="151">
        <f ca="1">IFERROR(__xludf.DUMMYFUNCTION("IMPORTRANGE(""https://docs.google.com/spreadsheets/d/1-uDff_7J0KD5mKrp0Vvzr7lt3OU09vwQwhkpOPPYv2Y/edit?usp=sharing"",""งบพรบ!CN22"")"),0)</f>
        <v>0</v>
      </c>
      <c r="H22" s="151">
        <f ca="1">IFERROR(__xludf.DUMMYFUNCTION("IMPORTRANGE(""https://docs.google.com/spreadsheets/d/1-uDff_7J0KD5mKrp0Vvzr7lt3OU09vwQwhkpOPPYv2Y/edit?usp=sharing"",""งบพรบ!CP22"")"),31390)</f>
        <v>31390</v>
      </c>
      <c r="I22" s="151">
        <f ca="1">IFERROR(__xludf.DUMMYFUNCTION("IMPORTRANGE(""https://docs.google.com/spreadsheets/d/1-uDff_7J0KD5mKrp0Vvzr7lt3OU09vwQwhkpOPPYv2Y/edit?usp=sharing"",""งบพรบ!CQ22"")"),0)</f>
        <v>0</v>
      </c>
      <c r="J22" s="151">
        <f t="shared" ca="1" si="24"/>
        <v>30070</v>
      </c>
      <c r="K22" s="154">
        <f t="shared" ca="1" si="25"/>
        <v>153.49668198060235</v>
      </c>
      <c r="L22" s="151">
        <f ca="1">IFERROR(__xludf.DUMMYFUNCTION("IMPORTRANGE(""https://docs.google.com/spreadsheets/d/1-uDff_7J0KD5mKrp0Vvzr7lt3OU09vwQwhkpOPPYv2Y/edit?usp=sharing"",""งบพรบ!CR22"")"),30070)</f>
        <v>30070</v>
      </c>
      <c r="M22" s="68">
        <f t="shared" ca="1" si="26"/>
        <v>153.49668198060235</v>
      </c>
      <c r="N22" s="68">
        <f t="shared" ca="1" si="27"/>
        <v>95.794839120739084</v>
      </c>
      <c r="O22" s="67">
        <f ca="1">IFERROR(__xludf.DUMMYFUNCTION("IMPORTRANGE(""https://docs.google.com/spreadsheets/d/1-uDff_7J0KD5mKrp0Vvzr7lt3OU09vwQwhkpOPPYv2Y/edit?usp=sharing"",""งบพรบ!CS22"")"),0)</f>
        <v>0</v>
      </c>
      <c r="P22" s="67">
        <f t="shared" ca="1" si="28"/>
        <v>0</v>
      </c>
      <c r="Q22" s="68">
        <f t="shared" ca="1" si="29"/>
        <v>0</v>
      </c>
      <c r="R22" s="197">
        <f ca="1">IFERROR(__xludf.DUMMYFUNCTION("IMPORTRANGE(""https://docs.google.com/spreadsheets/d/1JtRfZkJMHtEhI5RdRHxYUG4FIZHqKDpNyIuN7A1Q0_k/edit?usp=sharing"",""พิษณุโลก!Q173"")"),0)</f>
        <v>0</v>
      </c>
      <c r="S22" s="67">
        <f ca="1">IFERROR(__xludf.DUMMYFUNCTION("IMPORTRANGE(""https://docs.google.com/spreadsheets/d/1JtRfZkJMHtEhI5RdRHxYUG4FIZHqKDpNyIuN7A1Q0_k/edit?usp=sharing"",""พิษณุโลก!R173"")"),0)</f>
        <v>0</v>
      </c>
      <c r="T22" s="67">
        <f ca="1">IFERROR(__xludf.DUMMYFUNCTION("IMPORTRANGE(""https://docs.google.com/spreadsheets/d/1JtRfZkJMHtEhI5RdRHxYUG4FIZHqKDpNyIuN7A1Q0_k/edit?usp=sharing"",""พิษณุโลก!S173"")"),0)</f>
        <v>0</v>
      </c>
      <c r="U22" s="68">
        <f t="shared" ca="1" si="31"/>
        <v>0</v>
      </c>
      <c r="V22" s="68">
        <f t="shared" ca="1" si="32"/>
        <v>0</v>
      </c>
      <c r="W22" s="78">
        <f ca="1">IFERROR(__xludf.DUMMYFUNCTION("IMPORTRANGE(""https://docs.google.com/spreadsheets/d/1JtRfZkJMHtEhI5RdRHxYUG4FIZHqKDpNyIuN7A1Q0_k/edit?usp=sharing"",""พิษณุโลก!I183"")"),7)</f>
        <v>7</v>
      </c>
      <c r="X22" s="78">
        <f ca="1">IFERROR(__xludf.DUMMYFUNCTION("IMPORTRANGE(""https://docs.google.com/spreadsheets/d/1JtRfZkJMHtEhI5RdRHxYUG4FIZHqKDpNyIuN7A1Q0_k/edit?usp=sharing"",""พิษณุโลก!J183"")"),7)</f>
        <v>7</v>
      </c>
      <c r="Y22" s="79">
        <f t="shared" ca="1" si="34"/>
        <v>100</v>
      </c>
      <c r="Z22" s="215">
        <v>0</v>
      </c>
      <c r="AA22" s="215">
        <v>0</v>
      </c>
      <c r="AB22" s="216">
        <v>0</v>
      </c>
    </row>
    <row r="23" spans="1:28" ht="24" customHeight="1" x14ac:dyDescent="0.3">
      <c r="A23" s="70">
        <v>10</v>
      </c>
      <c r="B23" s="71" t="s">
        <v>51</v>
      </c>
      <c r="C23" s="149">
        <f t="shared" ca="1" si="22"/>
        <v>19590</v>
      </c>
      <c r="D23" s="150">
        <f t="shared" ca="1" si="35"/>
        <v>19590</v>
      </c>
      <c r="E23" s="151">
        <f ca="1">IFERROR(__xludf.DUMMYFUNCTION("IMPORTRANGE(""https://docs.google.com/spreadsheets/d/1-uDff_7J0KD5mKrp0Vvzr7lt3OU09vwQwhkpOPPYv2Y/edit?usp=sharing"",""งบพรบ!CL23"")"),0)</f>
        <v>0</v>
      </c>
      <c r="F23" s="151">
        <f ca="1">IFERROR(__xludf.DUMMYFUNCTION("IMPORTRANGE(""https://docs.google.com/spreadsheets/d/1-uDff_7J0KD5mKrp0Vvzr7lt3OU09vwQwhkpOPPYv2Y/edit?usp=sharing"",""งบพรบ!CM23"")"),19590)</f>
        <v>19590</v>
      </c>
      <c r="G23" s="151">
        <f ca="1">IFERROR(__xludf.DUMMYFUNCTION("IMPORTRANGE(""https://docs.google.com/spreadsheets/d/1-uDff_7J0KD5mKrp0Vvzr7lt3OU09vwQwhkpOPPYv2Y/edit?usp=sharing"",""งบพรบ!CN23"")"),0)</f>
        <v>0</v>
      </c>
      <c r="H23" s="151">
        <f ca="1">IFERROR(__xludf.DUMMYFUNCTION("IMPORTRANGE(""https://docs.google.com/spreadsheets/d/1-uDff_7J0KD5mKrp0Vvzr7lt3OU09vwQwhkpOPPYv2Y/edit?usp=sharing"",""งบพรบ!CP23"")"),126640)</f>
        <v>126640</v>
      </c>
      <c r="I23" s="151">
        <f ca="1">IFERROR(__xludf.DUMMYFUNCTION("IMPORTRANGE(""https://docs.google.com/spreadsheets/d/1-uDff_7J0KD5mKrp0Vvzr7lt3OU09vwQwhkpOPPYv2Y/edit?usp=sharing"",""งบพรบ!CQ23"")"),0)</f>
        <v>0</v>
      </c>
      <c r="J23" s="151">
        <f t="shared" ca="1" si="24"/>
        <v>126640</v>
      </c>
      <c r="K23" s="154">
        <f t="shared" ca="1" si="25"/>
        <v>646.4522715671261</v>
      </c>
      <c r="L23" s="151">
        <f ca="1">IFERROR(__xludf.DUMMYFUNCTION("IMPORTRANGE(""https://docs.google.com/spreadsheets/d/1-uDff_7J0KD5mKrp0Vvzr7lt3OU09vwQwhkpOPPYv2Y/edit?usp=sharing"",""งบพรบ!CR23"")"),126640)</f>
        <v>126640</v>
      </c>
      <c r="M23" s="68">
        <f t="shared" ca="1" si="26"/>
        <v>646.4522715671261</v>
      </c>
      <c r="N23" s="68">
        <f t="shared" ca="1" si="27"/>
        <v>100</v>
      </c>
      <c r="O23" s="67">
        <f ca="1">IFERROR(__xludf.DUMMYFUNCTION("IMPORTRANGE(""https://docs.google.com/spreadsheets/d/1-uDff_7J0KD5mKrp0Vvzr7lt3OU09vwQwhkpOPPYv2Y/edit?usp=sharing"",""งบพรบ!CS23"")"),0)</f>
        <v>0</v>
      </c>
      <c r="P23" s="67">
        <f t="shared" ca="1" si="28"/>
        <v>0</v>
      </c>
      <c r="Q23" s="68">
        <f t="shared" ca="1" si="29"/>
        <v>0</v>
      </c>
      <c r="R23" s="197">
        <f ca="1">IFERROR(__xludf.DUMMYFUNCTION("IMPORTRANGE(""https://docs.google.com/spreadsheets/d/1xlcVZWUNn6SuWm0c307h32SiGkd9BaeQWlAktfD3KO8/edit?usp=sharing"",""เพชรบูรณ์!Q173"")"),22960)</f>
        <v>22960</v>
      </c>
      <c r="S23" s="67">
        <f ca="1">IFERROR(__xludf.DUMMYFUNCTION("IMPORTRANGE(""https://docs.google.com/spreadsheets/d/1xlcVZWUNn6SuWm0c307h32SiGkd9BaeQWlAktfD3KO8/edit?usp=sharing"",""เพชรบูรณ์!R173"")"),22960)</f>
        <v>22960</v>
      </c>
      <c r="T23" s="67">
        <f ca="1">IFERROR(__xludf.DUMMYFUNCTION("IMPORTRANGE(""https://docs.google.com/spreadsheets/d/1xlcVZWUNn6SuWm0c307h32SiGkd9BaeQWlAktfD3KO8/edit?usp=sharing"",""เพชรบูรณ์!S173"")"),10920)</f>
        <v>10920</v>
      </c>
      <c r="U23" s="68">
        <f t="shared" ca="1" si="31"/>
        <v>47.560975609756099</v>
      </c>
      <c r="V23" s="68">
        <f t="shared" ca="1" si="32"/>
        <v>47.560975609756099</v>
      </c>
      <c r="W23" s="78">
        <f ca="1">IFERROR(__xludf.DUMMYFUNCTION("IMPORTRANGE(""https://docs.google.com/spreadsheets/d/1xlcVZWUNn6SuWm0c307h32SiGkd9BaeQWlAktfD3KO8/edit?usp=sharing"",""เพชรบูรณ์!I183"")"),17)</f>
        <v>17</v>
      </c>
      <c r="X23" s="78">
        <f ca="1">IFERROR(__xludf.DUMMYFUNCTION("IMPORTRANGE(""https://docs.google.com/spreadsheets/d/1xlcVZWUNn6SuWm0c307h32SiGkd9BaeQWlAktfD3KO8/edit?usp=sharing"",""เพชรบูรณ์!J183"")"),7)</f>
        <v>7</v>
      </c>
      <c r="Y23" s="79">
        <f t="shared" ca="1" si="34"/>
        <v>41.176470588235297</v>
      </c>
      <c r="Z23" s="215">
        <v>0</v>
      </c>
      <c r="AA23" s="215">
        <v>0</v>
      </c>
      <c r="AB23" s="216">
        <v>0</v>
      </c>
    </row>
    <row r="24" spans="1:28" ht="24" customHeight="1" x14ac:dyDescent="0.3">
      <c r="A24" s="70">
        <v>11</v>
      </c>
      <c r="B24" s="71" t="s">
        <v>52</v>
      </c>
      <c r="C24" s="149">
        <f t="shared" ca="1" si="22"/>
        <v>19590</v>
      </c>
      <c r="D24" s="150">
        <f t="shared" ca="1" si="35"/>
        <v>19590</v>
      </c>
      <c r="E24" s="151">
        <f ca="1">IFERROR(__xludf.DUMMYFUNCTION("IMPORTRANGE(""https://docs.google.com/spreadsheets/d/1-uDff_7J0KD5mKrp0Vvzr7lt3OU09vwQwhkpOPPYv2Y/edit?usp=sharing"",""งบพรบ!CL24"")"),0)</f>
        <v>0</v>
      </c>
      <c r="F24" s="151">
        <f ca="1">IFERROR(__xludf.DUMMYFUNCTION("IMPORTRANGE(""https://docs.google.com/spreadsheets/d/1-uDff_7J0KD5mKrp0Vvzr7lt3OU09vwQwhkpOPPYv2Y/edit?usp=sharing"",""งบพรบ!CM24"")"),19590)</f>
        <v>19590</v>
      </c>
      <c r="G24" s="151">
        <f ca="1">IFERROR(__xludf.DUMMYFUNCTION("IMPORTRANGE(""https://docs.google.com/spreadsheets/d/1-uDff_7J0KD5mKrp0Vvzr7lt3OU09vwQwhkpOPPYv2Y/edit?usp=sharing"",""งบพรบ!CN24"")"),0)</f>
        <v>0</v>
      </c>
      <c r="H24" s="151">
        <f ca="1">IFERROR(__xludf.DUMMYFUNCTION("IMPORTRANGE(""https://docs.google.com/spreadsheets/d/1-uDff_7J0KD5mKrp0Vvzr7lt3OU09vwQwhkpOPPYv2Y/edit?usp=sharing"",""งบพรบ!CP24"")"),127740)</f>
        <v>127740</v>
      </c>
      <c r="I24" s="151">
        <f ca="1">IFERROR(__xludf.DUMMYFUNCTION("IMPORTRANGE(""https://docs.google.com/spreadsheets/d/1-uDff_7J0KD5mKrp0Vvzr7lt3OU09vwQwhkpOPPYv2Y/edit?usp=sharing"",""งบพรบ!CQ24"")"),0)</f>
        <v>0</v>
      </c>
      <c r="J24" s="151">
        <f t="shared" ca="1" si="24"/>
        <v>126600</v>
      </c>
      <c r="K24" s="154">
        <f t="shared" ca="1" si="25"/>
        <v>646.24808575803979</v>
      </c>
      <c r="L24" s="151">
        <f ca="1">IFERROR(__xludf.DUMMYFUNCTION("IMPORTRANGE(""https://docs.google.com/spreadsheets/d/1-uDff_7J0KD5mKrp0Vvzr7lt3OU09vwQwhkpOPPYv2Y/edit?usp=sharing"",""งบพรบ!CR24"")"),126600)</f>
        <v>126600</v>
      </c>
      <c r="M24" s="68">
        <f t="shared" ca="1" si="26"/>
        <v>646.24808575803979</v>
      </c>
      <c r="N24" s="68">
        <f t="shared" ca="1" si="27"/>
        <v>99.107562235791448</v>
      </c>
      <c r="O24" s="67">
        <f ca="1">IFERROR(__xludf.DUMMYFUNCTION("IMPORTRANGE(""https://docs.google.com/spreadsheets/d/1-uDff_7J0KD5mKrp0Vvzr7lt3OU09vwQwhkpOPPYv2Y/edit?usp=sharing"",""งบพรบ!CS24"")"),0)</f>
        <v>0</v>
      </c>
      <c r="P24" s="67">
        <f t="shared" ca="1" si="28"/>
        <v>0</v>
      </c>
      <c r="Q24" s="68">
        <f t="shared" ca="1" si="29"/>
        <v>0</v>
      </c>
      <c r="R24" s="197">
        <f ca="1">IFERROR(__xludf.DUMMYFUNCTION("IMPORTRANGE(""https://docs.google.com/spreadsheets/d/1lOVebEIsI9qjGXl6EX66luk7wiuP2tBaryw-wKvv4e0/edit?usp=sharing"",""แพร่!Q173"")"),0)</f>
        <v>0</v>
      </c>
      <c r="S24" s="67">
        <f ca="1">IFERROR(__xludf.DUMMYFUNCTION("IMPORTRANGE(""https://docs.google.com/spreadsheets/d/1lOVebEIsI9qjGXl6EX66luk7wiuP2tBaryw-wKvv4e0/edit?usp=sharing"",""แพร่!R173"")"),0)</f>
        <v>0</v>
      </c>
      <c r="T24" s="67">
        <f ca="1">IFERROR(__xludf.DUMMYFUNCTION("IMPORTRANGE(""https://docs.google.com/spreadsheets/d/1lOVebEIsI9qjGXl6EX66luk7wiuP2tBaryw-wKvv4e0/edit?usp=sharing"",""แพร่!S173"")"),0)</f>
        <v>0</v>
      </c>
      <c r="U24" s="68">
        <f t="shared" ca="1" si="31"/>
        <v>0</v>
      </c>
      <c r="V24" s="68">
        <f t="shared" ca="1" si="32"/>
        <v>0</v>
      </c>
      <c r="W24" s="78">
        <f ca="1">IFERROR(__xludf.DUMMYFUNCTION("IMPORTRANGE(""https://docs.google.com/spreadsheets/d/1lOVebEIsI9qjGXl6EX66luk7wiuP2tBaryw-wKvv4e0/edit?usp=sharing"",""แพร่!I183"")"),7)</f>
        <v>7</v>
      </c>
      <c r="X24" s="78">
        <f ca="1">IFERROR(__xludf.DUMMYFUNCTION("IMPORTRANGE(""https://docs.google.com/spreadsheets/d/1lOVebEIsI9qjGXl6EX66luk7wiuP2tBaryw-wKvv4e0/edit?usp=sharing"",""แพร่!J183"")"),7)</f>
        <v>7</v>
      </c>
      <c r="Y24" s="79">
        <f t="shared" ca="1" si="34"/>
        <v>100</v>
      </c>
      <c r="Z24" s="215">
        <v>0</v>
      </c>
      <c r="AA24" s="215">
        <v>0</v>
      </c>
      <c r="AB24" s="216">
        <v>0</v>
      </c>
    </row>
    <row r="25" spans="1:28" ht="24" customHeight="1" x14ac:dyDescent="0.3">
      <c r="A25" s="70">
        <v>12</v>
      </c>
      <c r="B25" s="71" t="s">
        <v>53</v>
      </c>
      <c r="C25" s="149">
        <f t="shared" ca="1" si="22"/>
        <v>19590</v>
      </c>
      <c r="D25" s="150">
        <f t="shared" ca="1" si="35"/>
        <v>19590</v>
      </c>
      <c r="E25" s="151">
        <f ca="1">IFERROR(__xludf.DUMMYFUNCTION("IMPORTRANGE(""https://docs.google.com/spreadsheets/d/1-uDff_7J0KD5mKrp0Vvzr7lt3OU09vwQwhkpOPPYv2Y/edit?usp=sharing"",""งบพรบ!CL25"")"),0)</f>
        <v>0</v>
      </c>
      <c r="F25" s="151">
        <f ca="1">IFERROR(__xludf.DUMMYFUNCTION("IMPORTRANGE(""https://docs.google.com/spreadsheets/d/1-uDff_7J0KD5mKrp0Vvzr7lt3OU09vwQwhkpOPPYv2Y/edit?usp=sharing"",""งบพรบ!CM25"")"),19590)</f>
        <v>19590</v>
      </c>
      <c r="G25" s="151">
        <f ca="1">IFERROR(__xludf.DUMMYFUNCTION("IMPORTRANGE(""https://docs.google.com/spreadsheets/d/1-uDff_7J0KD5mKrp0Vvzr7lt3OU09vwQwhkpOPPYv2Y/edit?usp=sharing"",""งบพรบ!CN25"")"),0)</f>
        <v>0</v>
      </c>
      <c r="H25" s="151">
        <f ca="1">IFERROR(__xludf.DUMMYFUNCTION("IMPORTRANGE(""https://docs.google.com/spreadsheets/d/1-uDff_7J0KD5mKrp0Vvzr7lt3OU09vwQwhkpOPPYv2Y/edit?usp=sharing"",""งบพรบ!CP25"")"),39980)</f>
        <v>39980</v>
      </c>
      <c r="I25" s="151">
        <f ca="1">IFERROR(__xludf.DUMMYFUNCTION("IMPORTRANGE(""https://docs.google.com/spreadsheets/d/1-uDff_7J0KD5mKrp0Vvzr7lt3OU09vwQwhkpOPPYv2Y/edit?usp=sharing"",""งบพรบ!CQ25"")"),0)</f>
        <v>0</v>
      </c>
      <c r="J25" s="151">
        <f t="shared" ca="1" si="24"/>
        <v>37402</v>
      </c>
      <c r="K25" s="154">
        <f t="shared" ca="1" si="25"/>
        <v>190.92394078611537</v>
      </c>
      <c r="L25" s="151">
        <f ca="1">IFERROR(__xludf.DUMMYFUNCTION("IMPORTRANGE(""https://docs.google.com/spreadsheets/d/1-uDff_7J0KD5mKrp0Vvzr7lt3OU09vwQwhkpOPPYv2Y/edit?usp=sharing"",""งบพรบ!CR25"")"),37402)</f>
        <v>37402</v>
      </c>
      <c r="M25" s="68">
        <f t="shared" ca="1" si="26"/>
        <v>190.92394078611537</v>
      </c>
      <c r="N25" s="68">
        <f t="shared" ca="1" si="27"/>
        <v>93.551775887943975</v>
      </c>
      <c r="O25" s="67">
        <f ca="1">IFERROR(__xludf.DUMMYFUNCTION("IMPORTRANGE(""https://docs.google.com/spreadsheets/d/1-uDff_7J0KD5mKrp0Vvzr7lt3OU09vwQwhkpOPPYv2Y/edit?usp=sharing"",""งบพรบ!CS25"")"),0)</f>
        <v>0</v>
      </c>
      <c r="P25" s="67">
        <f t="shared" ca="1" si="28"/>
        <v>0</v>
      </c>
      <c r="Q25" s="68">
        <f t="shared" ca="1" si="29"/>
        <v>0</v>
      </c>
      <c r="R25" s="197">
        <f ca="1">IFERROR(__xludf.DUMMYFUNCTION("IMPORTRANGE(""https://docs.google.com/spreadsheets/d/1dQrvX0vEcN7Gu0fnZ0B5S90AeR19zth4XlExFBeExMY/edit?usp=sharing"",""แม่ฮ่องสอน!Q173"")"),22960)</f>
        <v>22960</v>
      </c>
      <c r="S25" s="67">
        <f ca="1">IFERROR(__xludf.DUMMYFUNCTION("IMPORTRANGE(""https://docs.google.com/spreadsheets/d/1dQrvX0vEcN7Gu0fnZ0B5S90AeR19zth4XlExFBeExMY/edit?usp=sharing"",""แม่ฮ่องสอน!R173"")"),22960)</f>
        <v>22960</v>
      </c>
      <c r="T25" s="67">
        <f ca="1">IFERROR(__xludf.DUMMYFUNCTION("IMPORTRANGE(""https://docs.google.com/spreadsheets/d/1dQrvX0vEcN7Gu0fnZ0B5S90AeR19zth4XlExFBeExMY/edit?usp=sharing"",""แม่ฮ่องสอน!S173"")"),17000)</f>
        <v>17000</v>
      </c>
      <c r="U25" s="68">
        <f t="shared" ca="1" si="31"/>
        <v>74.041811846689896</v>
      </c>
      <c r="V25" s="68">
        <f t="shared" ca="1" si="32"/>
        <v>74.041811846689896</v>
      </c>
      <c r="W25" s="78">
        <f ca="1">IFERROR(__xludf.DUMMYFUNCTION("IMPORTRANGE(""https://docs.google.com/spreadsheets/d/1dQrvX0vEcN7Gu0fnZ0B5S90AeR19zth4XlExFBeExMY/edit?usp=sharing"",""แม่ฮ่องสอน!I183"")"),17)</f>
        <v>17</v>
      </c>
      <c r="X25" s="78">
        <f ca="1">IFERROR(__xludf.DUMMYFUNCTION("IMPORTRANGE(""https://docs.google.com/spreadsheets/d/1dQrvX0vEcN7Gu0fnZ0B5S90AeR19zth4XlExFBeExMY/edit?usp=sharing"",""แม่ฮ่องสอน!J183"")"),7)</f>
        <v>7</v>
      </c>
      <c r="Y25" s="79">
        <f t="shared" ca="1" si="34"/>
        <v>41.176470588235297</v>
      </c>
      <c r="Z25" s="215">
        <v>0</v>
      </c>
      <c r="AA25" s="215">
        <v>0</v>
      </c>
      <c r="AB25" s="216">
        <v>0</v>
      </c>
    </row>
    <row r="26" spans="1:28" ht="24" customHeight="1" x14ac:dyDescent="0.3">
      <c r="A26" s="70">
        <v>13</v>
      </c>
      <c r="B26" s="71" t="s">
        <v>54</v>
      </c>
      <c r="C26" s="149">
        <f t="shared" ca="1" si="22"/>
        <v>19590</v>
      </c>
      <c r="D26" s="150">
        <f t="shared" ca="1" si="35"/>
        <v>19590</v>
      </c>
      <c r="E26" s="151">
        <f ca="1">IFERROR(__xludf.DUMMYFUNCTION("IMPORTRANGE(""https://docs.google.com/spreadsheets/d/1-uDff_7J0KD5mKrp0Vvzr7lt3OU09vwQwhkpOPPYv2Y/edit?usp=sharing"",""งบพรบ!CL26"")"),0)</f>
        <v>0</v>
      </c>
      <c r="F26" s="151">
        <f ca="1">IFERROR(__xludf.DUMMYFUNCTION("IMPORTRANGE(""https://docs.google.com/spreadsheets/d/1-uDff_7J0KD5mKrp0Vvzr7lt3OU09vwQwhkpOPPYv2Y/edit?usp=sharing"",""งบพรบ!CM26"")"),19590)</f>
        <v>19590</v>
      </c>
      <c r="G26" s="151">
        <f ca="1">IFERROR(__xludf.DUMMYFUNCTION("IMPORTRANGE(""https://docs.google.com/spreadsheets/d/1-uDff_7J0KD5mKrp0Vvzr7lt3OU09vwQwhkpOPPYv2Y/edit?usp=sharing"",""งบพรบ!CN26"")"),0)</f>
        <v>0</v>
      </c>
      <c r="H26" s="151">
        <f ca="1">IFERROR(__xludf.DUMMYFUNCTION("IMPORTRANGE(""https://docs.google.com/spreadsheets/d/1-uDff_7J0KD5mKrp0Vvzr7lt3OU09vwQwhkpOPPYv2Y/edit?usp=sharing"",""งบพรบ!CP26"")"),142570)</f>
        <v>142570</v>
      </c>
      <c r="I26" s="151">
        <f ca="1">IFERROR(__xludf.DUMMYFUNCTION("IMPORTRANGE(""https://docs.google.com/spreadsheets/d/1-uDff_7J0KD5mKrp0Vvzr7lt3OU09vwQwhkpOPPYv2Y/edit?usp=sharing"",""งบพรบ!CQ26"")"),0)</f>
        <v>0</v>
      </c>
      <c r="J26" s="151">
        <f t="shared" ca="1" si="24"/>
        <v>139886</v>
      </c>
      <c r="K26" s="154">
        <f t="shared" ca="1" si="25"/>
        <v>714.06840224604389</v>
      </c>
      <c r="L26" s="151">
        <f ca="1">IFERROR(__xludf.DUMMYFUNCTION("IMPORTRANGE(""https://docs.google.com/spreadsheets/d/1-uDff_7J0KD5mKrp0Vvzr7lt3OU09vwQwhkpOPPYv2Y/edit?usp=sharing"",""งบพรบ!CR26"")"),139886)</f>
        <v>139886</v>
      </c>
      <c r="M26" s="68">
        <f t="shared" ca="1" si="26"/>
        <v>714.06840224604389</v>
      </c>
      <c r="N26" s="68">
        <f t="shared" ca="1" si="27"/>
        <v>98.117416006172405</v>
      </c>
      <c r="O26" s="67">
        <f ca="1">IFERROR(__xludf.DUMMYFUNCTION("IMPORTRANGE(""https://docs.google.com/spreadsheets/d/1-uDff_7J0KD5mKrp0Vvzr7lt3OU09vwQwhkpOPPYv2Y/edit?usp=sharing"",""งบพรบ!CS26"")"),0)</f>
        <v>0</v>
      </c>
      <c r="P26" s="67">
        <f t="shared" ca="1" si="28"/>
        <v>0</v>
      </c>
      <c r="Q26" s="68">
        <f t="shared" ca="1" si="29"/>
        <v>0</v>
      </c>
      <c r="R26" s="197">
        <f ca="1">IFERROR(__xludf.DUMMYFUNCTION("IMPORTRANGE(""https://docs.google.com/spreadsheets/d/1DY4XTNNwjluuxqdfdn6qvOSlMRrZqUtmYcZR0ttFiG4/edit?usp=sharing"",""ลำปาง!Q173"")"),22960)</f>
        <v>22960</v>
      </c>
      <c r="S26" s="67">
        <f ca="1">IFERROR(__xludf.DUMMYFUNCTION("IMPORTRANGE(""https://docs.google.com/spreadsheets/d/1DY4XTNNwjluuxqdfdn6qvOSlMRrZqUtmYcZR0ttFiG4/edit?usp=sharing"",""ลำปาง!R173"")"),22960)</f>
        <v>22960</v>
      </c>
      <c r="T26" s="67">
        <f ca="1">IFERROR(__xludf.DUMMYFUNCTION("IMPORTRANGE(""https://docs.google.com/spreadsheets/d/1DY4XTNNwjluuxqdfdn6qvOSlMRrZqUtmYcZR0ttFiG4/edit?usp=sharing"",""ลำปาง!S173"")"),22960)</f>
        <v>22960</v>
      </c>
      <c r="U26" s="68">
        <f t="shared" ca="1" si="31"/>
        <v>100</v>
      </c>
      <c r="V26" s="68">
        <f t="shared" ca="1" si="32"/>
        <v>100</v>
      </c>
      <c r="W26" s="78">
        <f ca="1">IFERROR(__xludf.DUMMYFUNCTION("IMPORTRANGE(""https://docs.google.com/spreadsheets/d/1DY4XTNNwjluuxqdfdn6qvOSlMRrZqUtmYcZR0ttFiG4/edit?usp=sharing"",""ลำปาง!I183"")"),17)</f>
        <v>17</v>
      </c>
      <c r="X26" s="78">
        <f ca="1">IFERROR(__xludf.DUMMYFUNCTION("IMPORTRANGE(""https://docs.google.com/spreadsheets/d/1DY4XTNNwjluuxqdfdn6qvOSlMRrZqUtmYcZR0ttFiG4/edit?usp=sharing"",""ลำปาง!J183"")"),17)</f>
        <v>17</v>
      </c>
      <c r="Y26" s="79">
        <f t="shared" ca="1" si="34"/>
        <v>100</v>
      </c>
      <c r="Z26" s="215">
        <v>0</v>
      </c>
      <c r="AA26" s="215">
        <v>0</v>
      </c>
      <c r="AB26" s="216">
        <v>0</v>
      </c>
    </row>
    <row r="27" spans="1:28" ht="24" customHeight="1" x14ac:dyDescent="0.3">
      <c r="A27" s="70">
        <v>14</v>
      </c>
      <c r="B27" s="71" t="s">
        <v>55</v>
      </c>
      <c r="C27" s="149">
        <f t="shared" ca="1" si="22"/>
        <v>19590</v>
      </c>
      <c r="D27" s="150">
        <f t="shared" ca="1" si="35"/>
        <v>19590</v>
      </c>
      <c r="E27" s="151">
        <f ca="1">IFERROR(__xludf.DUMMYFUNCTION("IMPORTRANGE(""https://docs.google.com/spreadsheets/d/1-uDff_7J0KD5mKrp0Vvzr7lt3OU09vwQwhkpOPPYv2Y/edit?usp=sharing"",""งบพรบ!CL27"")"),0)</f>
        <v>0</v>
      </c>
      <c r="F27" s="151">
        <f ca="1">IFERROR(__xludf.DUMMYFUNCTION("IMPORTRANGE(""https://docs.google.com/spreadsheets/d/1-uDff_7J0KD5mKrp0Vvzr7lt3OU09vwQwhkpOPPYv2Y/edit?usp=sharing"",""งบพรบ!CM27"")"),19590)</f>
        <v>19590</v>
      </c>
      <c r="G27" s="151">
        <f ca="1">IFERROR(__xludf.DUMMYFUNCTION("IMPORTRANGE(""https://docs.google.com/spreadsheets/d/1-uDff_7J0KD5mKrp0Vvzr7lt3OU09vwQwhkpOPPYv2Y/edit?usp=sharing"",""งบพรบ!CN27"")"),0)</f>
        <v>0</v>
      </c>
      <c r="H27" s="151">
        <f ca="1">IFERROR(__xludf.DUMMYFUNCTION("IMPORTRANGE(""https://docs.google.com/spreadsheets/d/1-uDff_7J0KD5mKrp0Vvzr7lt3OU09vwQwhkpOPPYv2Y/edit?usp=sharing"",""งบพรบ!CP27"")"),130770)</f>
        <v>130770</v>
      </c>
      <c r="I27" s="151">
        <f ca="1">IFERROR(__xludf.DUMMYFUNCTION("IMPORTRANGE(""https://docs.google.com/spreadsheets/d/1-uDff_7J0KD5mKrp0Vvzr7lt3OU09vwQwhkpOPPYv2Y/edit?usp=sharing"",""งบพรบ!CQ27"")"),0)</f>
        <v>0</v>
      </c>
      <c r="J27" s="151">
        <f t="shared" ca="1" si="24"/>
        <v>129540</v>
      </c>
      <c r="K27" s="154">
        <f t="shared" ca="1" si="25"/>
        <v>661.25574272588051</v>
      </c>
      <c r="L27" s="151">
        <f ca="1">IFERROR(__xludf.DUMMYFUNCTION("IMPORTRANGE(""https://docs.google.com/spreadsheets/d/1-uDff_7J0KD5mKrp0Vvzr7lt3OU09vwQwhkpOPPYv2Y/edit?usp=sharing"",""งบพรบ!CR27"")"),129540)</f>
        <v>129540</v>
      </c>
      <c r="M27" s="68">
        <f t="shared" ca="1" si="26"/>
        <v>661.25574272588051</v>
      </c>
      <c r="N27" s="68">
        <f t="shared" ca="1" si="27"/>
        <v>99.059417297545309</v>
      </c>
      <c r="O27" s="67">
        <f ca="1">IFERROR(__xludf.DUMMYFUNCTION("IMPORTRANGE(""https://docs.google.com/spreadsheets/d/1-uDff_7J0KD5mKrp0Vvzr7lt3OU09vwQwhkpOPPYv2Y/edit?usp=sharing"",""งบพรบ!CS27"")"),0)</f>
        <v>0</v>
      </c>
      <c r="P27" s="67">
        <f t="shared" ca="1" si="28"/>
        <v>0</v>
      </c>
      <c r="Q27" s="68">
        <f t="shared" ca="1" si="29"/>
        <v>0</v>
      </c>
      <c r="R27" s="197">
        <f ca="1">IFERROR(__xludf.DUMMYFUNCTION("IMPORTRANGE(""https://docs.google.com/spreadsheets/d/1ICwG78r0OFT8biBlxnBF8r7she7gNSzOvJ958PWT09c/edit?usp=sharing"",""ลำพูน!Q173"")"),22960)</f>
        <v>22960</v>
      </c>
      <c r="S27" s="67">
        <f ca="1">IFERROR(__xludf.DUMMYFUNCTION("IMPORTRANGE(""https://docs.google.com/spreadsheets/d/1ICwG78r0OFT8biBlxnBF8r7she7gNSzOvJ958PWT09c/edit?usp=sharing"",""ลำพูน!R173"")"),22960)</f>
        <v>22960</v>
      </c>
      <c r="T27" s="67">
        <f ca="1">IFERROR(__xludf.DUMMYFUNCTION("IMPORTRANGE(""https://docs.google.com/spreadsheets/d/1ICwG78r0OFT8biBlxnBF8r7she7gNSzOvJ958PWT09c/edit?usp=sharing"",""ลำพูน!S173"")"),22960)</f>
        <v>22960</v>
      </c>
      <c r="U27" s="68">
        <f t="shared" ca="1" si="31"/>
        <v>100</v>
      </c>
      <c r="V27" s="68">
        <f t="shared" ca="1" si="32"/>
        <v>100</v>
      </c>
      <c r="W27" s="78">
        <f ca="1">IFERROR(__xludf.DUMMYFUNCTION("IMPORTRANGE(""https://docs.google.com/spreadsheets/d/1ICwG78r0OFT8biBlxnBF8r7she7gNSzOvJ958PWT09c/edit?usp=sharing"",""ลำพูน!I183"")"),17)</f>
        <v>17</v>
      </c>
      <c r="X27" s="78">
        <f ca="1">IFERROR(__xludf.DUMMYFUNCTION("IMPORTRANGE(""https://docs.google.com/spreadsheets/d/1ICwG78r0OFT8biBlxnBF8r7she7gNSzOvJ958PWT09c/edit?usp=sharing"",""ลำพูน!J183"")"),7)</f>
        <v>7</v>
      </c>
      <c r="Y27" s="79">
        <f t="shared" ca="1" si="34"/>
        <v>41.176470588235297</v>
      </c>
      <c r="Z27" s="215">
        <v>0</v>
      </c>
      <c r="AA27" s="215">
        <v>0</v>
      </c>
      <c r="AB27" s="216">
        <v>0</v>
      </c>
    </row>
    <row r="28" spans="1:28" ht="24" customHeight="1" x14ac:dyDescent="0.3">
      <c r="A28" s="70">
        <v>15</v>
      </c>
      <c r="B28" s="71" t="s">
        <v>56</v>
      </c>
      <c r="C28" s="149">
        <f t="shared" ca="1" si="22"/>
        <v>19590</v>
      </c>
      <c r="D28" s="150">
        <f t="shared" ca="1" si="35"/>
        <v>19590</v>
      </c>
      <c r="E28" s="151">
        <f ca="1">IFERROR(__xludf.DUMMYFUNCTION("IMPORTRANGE(""https://docs.google.com/spreadsheets/d/1-uDff_7J0KD5mKrp0Vvzr7lt3OU09vwQwhkpOPPYv2Y/edit?usp=sharing"",""งบพรบ!CL28"")"),0)</f>
        <v>0</v>
      </c>
      <c r="F28" s="151">
        <f ca="1">IFERROR(__xludf.DUMMYFUNCTION("IMPORTRANGE(""https://docs.google.com/spreadsheets/d/1-uDff_7J0KD5mKrp0Vvzr7lt3OU09vwQwhkpOPPYv2Y/edit?usp=sharing"",""งบพรบ!CM28"")"),19590)</f>
        <v>19590</v>
      </c>
      <c r="G28" s="151">
        <f ca="1">IFERROR(__xludf.DUMMYFUNCTION("IMPORTRANGE(""https://docs.google.com/spreadsheets/d/1-uDff_7J0KD5mKrp0Vvzr7lt3OU09vwQwhkpOPPYv2Y/edit?usp=sharing"",""งบพรบ!CN28"")"),0)</f>
        <v>0</v>
      </c>
      <c r="H28" s="151">
        <f ca="1">IFERROR(__xludf.DUMMYFUNCTION("IMPORTRANGE(""https://docs.google.com/spreadsheets/d/1-uDff_7J0KD5mKrp0Vvzr7lt3OU09vwQwhkpOPPYv2Y/edit?usp=sharing"",""งบพรบ!CP28"")"),244070)</f>
        <v>244070</v>
      </c>
      <c r="I28" s="151">
        <f ca="1">IFERROR(__xludf.DUMMYFUNCTION("IMPORTRANGE(""https://docs.google.com/spreadsheets/d/1-uDff_7J0KD5mKrp0Vvzr7lt3OU09vwQwhkpOPPYv2Y/edit?usp=sharing"",""งบพรบ!CQ28"")"),0)</f>
        <v>0</v>
      </c>
      <c r="J28" s="151">
        <f t="shared" ca="1" si="24"/>
        <v>237940</v>
      </c>
      <c r="K28" s="154">
        <f t="shared" ca="1" si="25"/>
        <v>1214.5992853496682</v>
      </c>
      <c r="L28" s="151">
        <f ca="1">IFERROR(__xludf.DUMMYFUNCTION("IMPORTRANGE(""https://docs.google.com/spreadsheets/d/1-uDff_7J0KD5mKrp0Vvzr7lt3OU09vwQwhkpOPPYv2Y/edit?usp=sharing"",""งบพรบ!CR28"")"),237940)</f>
        <v>237940</v>
      </c>
      <c r="M28" s="68">
        <f t="shared" ca="1" si="26"/>
        <v>1214.5992853496682</v>
      </c>
      <c r="N28" s="68">
        <f t="shared" ca="1" si="27"/>
        <v>97.488425451714676</v>
      </c>
      <c r="O28" s="67">
        <f ca="1">IFERROR(__xludf.DUMMYFUNCTION("IMPORTRANGE(""https://docs.google.com/spreadsheets/d/1-uDff_7J0KD5mKrp0Vvzr7lt3OU09vwQwhkpOPPYv2Y/edit?usp=sharing"",""งบพรบ!CS28"")"),0)</f>
        <v>0</v>
      </c>
      <c r="P28" s="67">
        <f t="shared" ca="1" si="28"/>
        <v>0</v>
      </c>
      <c r="Q28" s="68">
        <f t="shared" ca="1" si="29"/>
        <v>0</v>
      </c>
      <c r="R28" s="197">
        <f ca="1">IFERROR(__xludf.DUMMYFUNCTION("IMPORTRANGE(""https://docs.google.com/spreadsheets/d/1B0f2xJpZUC6Z0xXnqKlZtEPzsf6L84eP1r1Q15seqRM/edit?usp=sharing"",""สุโขทัย!Q173"")"),22960)</f>
        <v>22960</v>
      </c>
      <c r="S28" s="67">
        <f ca="1">IFERROR(__xludf.DUMMYFUNCTION("IMPORTRANGE(""https://docs.google.com/spreadsheets/d/1B0f2xJpZUC6Z0xXnqKlZtEPzsf6L84eP1r1Q15seqRM/edit?usp=sharing"",""สุโขทัย!R173"")"),22960)</f>
        <v>22960</v>
      </c>
      <c r="T28" s="67">
        <f ca="1">IFERROR(__xludf.DUMMYFUNCTION("IMPORTRANGE(""https://docs.google.com/spreadsheets/d/1B0f2xJpZUC6Z0xXnqKlZtEPzsf6L84eP1r1Q15seqRM/edit?usp=sharing"",""สุโขทัย!S173"")"),0)</f>
        <v>0</v>
      </c>
      <c r="U28" s="68">
        <f t="shared" ca="1" si="31"/>
        <v>0</v>
      </c>
      <c r="V28" s="68">
        <f t="shared" ca="1" si="32"/>
        <v>0</v>
      </c>
      <c r="W28" s="78">
        <f ca="1">IFERROR(__xludf.DUMMYFUNCTION("IMPORTRANGE(""https://docs.google.com/spreadsheets/d/1B0f2xJpZUC6Z0xXnqKlZtEPzsf6L84eP1r1Q15seqRM/edit?usp=sharing"",""สุโขทัย!I183"")"),17)</f>
        <v>17</v>
      </c>
      <c r="X28" s="78">
        <f ca="1">IFERROR(__xludf.DUMMYFUNCTION("IMPORTRANGE(""https://docs.google.com/spreadsheets/d/1B0f2xJpZUC6Z0xXnqKlZtEPzsf6L84eP1r1Q15seqRM/edit?usp=sharing"",""สุโขทัย!J183"")"),17)</f>
        <v>17</v>
      </c>
      <c r="Y28" s="79">
        <f t="shared" ca="1" si="34"/>
        <v>100</v>
      </c>
      <c r="Z28" s="215">
        <v>0</v>
      </c>
      <c r="AA28" s="215">
        <v>0</v>
      </c>
      <c r="AB28" s="216">
        <v>0</v>
      </c>
    </row>
    <row r="29" spans="1:28" ht="24" customHeight="1" x14ac:dyDescent="0.3">
      <c r="A29" s="70">
        <v>16</v>
      </c>
      <c r="B29" s="71" t="s">
        <v>57</v>
      </c>
      <c r="C29" s="149">
        <f t="shared" ca="1" si="22"/>
        <v>19590</v>
      </c>
      <c r="D29" s="150">
        <f t="shared" ca="1" si="35"/>
        <v>19590</v>
      </c>
      <c r="E29" s="151">
        <f ca="1">IFERROR(__xludf.DUMMYFUNCTION("IMPORTRANGE(""https://docs.google.com/spreadsheets/d/1-uDff_7J0KD5mKrp0Vvzr7lt3OU09vwQwhkpOPPYv2Y/edit?usp=sharing"",""งบพรบ!CL29"")"),0)</f>
        <v>0</v>
      </c>
      <c r="F29" s="151">
        <f ca="1">IFERROR(__xludf.DUMMYFUNCTION("IMPORTRANGE(""https://docs.google.com/spreadsheets/d/1-uDff_7J0KD5mKrp0Vvzr7lt3OU09vwQwhkpOPPYv2Y/edit?usp=sharing"",""งบพรบ!CM29"")"),19590)</f>
        <v>19590</v>
      </c>
      <c r="G29" s="151">
        <f ca="1">IFERROR(__xludf.DUMMYFUNCTION("IMPORTRANGE(""https://docs.google.com/spreadsheets/d/1-uDff_7J0KD5mKrp0Vvzr7lt3OU09vwQwhkpOPPYv2Y/edit?usp=sharing"",""งบพรบ!CN29"")"),0)</f>
        <v>0</v>
      </c>
      <c r="H29" s="151">
        <f ca="1">IFERROR(__xludf.DUMMYFUNCTION("IMPORTRANGE(""https://docs.google.com/spreadsheets/d/1-uDff_7J0KD5mKrp0Vvzr7lt3OU09vwQwhkpOPPYv2Y/edit?usp=sharing"",""งบพรบ!CP29"")"),85520)</f>
        <v>85520</v>
      </c>
      <c r="I29" s="151">
        <f ca="1">IFERROR(__xludf.DUMMYFUNCTION("IMPORTRANGE(""https://docs.google.com/spreadsheets/d/1-uDff_7J0KD5mKrp0Vvzr7lt3OU09vwQwhkpOPPYv2Y/edit?usp=sharing"",""งบพรบ!CQ29"")"),0)</f>
        <v>0</v>
      </c>
      <c r="J29" s="151">
        <f t="shared" ca="1" si="24"/>
        <v>85520</v>
      </c>
      <c r="K29" s="154">
        <f t="shared" ca="1" si="25"/>
        <v>436.54925982644204</v>
      </c>
      <c r="L29" s="151">
        <f ca="1">IFERROR(__xludf.DUMMYFUNCTION("IMPORTRANGE(""https://docs.google.com/spreadsheets/d/1-uDff_7J0KD5mKrp0Vvzr7lt3OU09vwQwhkpOPPYv2Y/edit?usp=sharing"",""งบพรบ!CR29"")"),85520)</f>
        <v>85520</v>
      </c>
      <c r="M29" s="68">
        <f t="shared" ca="1" si="26"/>
        <v>436.54925982644204</v>
      </c>
      <c r="N29" s="68">
        <f t="shared" ca="1" si="27"/>
        <v>100</v>
      </c>
      <c r="O29" s="67">
        <f ca="1">IFERROR(__xludf.DUMMYFUNCTION("IMPORTRANGE(""https://docs.google.com/spreadsheets/d/1-uDff_7J0KD5mKrp0Vvzr7lt3OU09vwQwhkpOPPYv2Y/edit?usp=sharing"",""งบพรบ!CS29"")"),0)</f>
        <v>0</v>
      </c>
      <c r="P29" s="67">
        <f t="shared" ca="1" si="28"/>
        <v>0</v>
      </c>
      <c r="Q29" s="68">
        <f t="shared" ca="1" si="29"/>
        <v>0</v>
      </c>
      <c r="R29" s="197">
        <f ca="1">IFERROR(__xludf.DUMMYFUNCTION("IMPORTRANGE(""https://docs.google.com/spreadsheets/d/1v0b9pFQCsKUVExMei7AgY2yQkdeNQvtOssygGsXbiKo/edit?usp=sharing"",""อุตรดิตถ์!Q173"")"),0)</f>
        <v>0</v>
      </c>
      <c r="S29" s="67">
        <f ca="1">IFERROR(__xludf.DUMMYFUNCTION("IMPORTRANGE(""https://docs.google.com/spreadsheets/d/1v0b9pFQCsKUVExMei7AgY2yQkdeNQvtOssygGsXbiKo/edit?usp=sharing"",""อุตรดิตถ์!R173"")"),0)</f>
        <v>0</v>
      </c>
      <c r="T29" s="67">
        <f ca="1">IFERROR(__xludf.DUMMYFUNCTION("IMPORTRANGE(""https://docs.google.com/spreadsheets/d/1v0b9pFQCsKUVExMei7AgY2yQkdeNQvtOssygGsXbiKo/edit?usp=sharing"",""อุตรดิตถ์!S173"")"),0)</f>
        <v>0</v>
      </c>
      <c r="U29" s="68">
        <f t="shared" ca="1" si="31"/>
        <v>0</v>
      </c>
      <c r="V29" s="68">
        <f t="shared" ca="1" si="32"/>
        <v>0</v>
      </c>
      <c r="W29" s="78">
        <f ca="1">IFERROR(__xludf.DUMMYFUNCTION("IMPORTRANGE(""https://docs.google.com/spreadsheets/d/1v0b9pFQCsKUVExMei7AgY2yQkdeNQvtOssygGsXbiKo/edit?usp=sharing"",""อุตรดิตถ์!I183"")"),7)</f>
        <v>7</v>
      </c>
      <c r="X29" s="78">
        <f ca="1">IFERROR(__xludf.DUMMYFUNCTION("IMPORTRANGE(""https://docs.google.com/spreadsheets/d/1v0b9pFQCsKUVExMei7AgY2yQkdeNQvtOssygGsXbiKo/edit?usp=sharing"",""อุตรดิตถ์!J183"")"),7)</f>
        <v>7</v>
      </c>
      <c r="Y29" s="79">
        <f t="shared" ca="1" si="34"/>
        <v>100</v>
      </c>
      <c r="Z29" s="215">
        <v>0</v>
      </c>
      <c r="AA29" s="215">
        <v>0</v>
      </c>
      <c r="AB29" s="216">
        <v>0</v>
      </c>
    </row>
    <row r="30" spans="1:28" ht="24" customHeight="1" x14ac:dyDescent="0.3">
      <c r="A30" s="80">
        <v>17</v>
      </c>
      <c r="B30" s="81" t="s">
        <v>58</v>
      </c>
      <c r="C30" s="157">
        <f t="shared" ca="1" si="22"/>
        <v>19590</v>
      </c>
      <c r="D30" s="158">
        <f t="shared" ca="1" si="35"/>
        <v>19590</v>
      </c>
      <c r="E30" s="159">
        <f ca="1">IFERROR(__xludf.DUMMYFUNCTION("IMPORTRANGE(""https://docs.google.com/spreadsheets/d/1-uDff_7J0KD5mKrp0Vvzr7lt3OU09vwQwhkpOPPYv2Y/edit?usp=sharing"",""งบพรบ!CL30"")"),0)</f>
        <v>0</v>
      </c>
      <c r="F30" s="159">
        <f ca="1">IFERROR(__xludf.DUMMYFUNCTION("IMPORTRANGE(""https://docs.google.com/spreadsheets/d/1-uDff_7J0KD5mKrp0Vvzr7lt3OU09vwQwhkpOPPYv2Y/edit?usp=sharing"",""งบพรบ!CM30"")"),19590)</f>
        <v>19590</v>
      </c>
      <c r="G30" s="159">
        <f ca="1">IFERROR(__xludf.DUMMYFUNCTION("IMPORTRANGE(""https://docs.google.com/spreadsheets/d/1-uDff_7J0KD5mKrp0Vvzr7lt3OU09vwQwhkpOPPYv2Y/edit?usp=sharing"",""งบพรบ!CN30"")"),0)</f>
        <v>0</v>
      </c>
      <c r="H30" s="159">
        <f ca="1">IFERROR(__xludf.DUMMYFUNCTION("IMPORTRANGE(""https://docs.google.com/spreadsheets/d/1-uDff_7J0KD5mKrp0Vvzr7lt3OU09vwQwhkpOPPYv2Y/edit?usp=sharing"",""งบพรบ!CP30"")"),33520)</f>
        <v>33520</v>
      </c>
      <c r="I30" s="159">
        <f ca="1">IFERROR(__xludf.DUMMYFUNCTION("IMPORTRANGE(""https://docs.google.com/spreadsheets/d/1-uDff_7J0KD5mKrp0Vvzr7lt3OU09vwQwhkpOPPYv2Y/edit?usp=sharing"",""งบพรบ!CQ30"")"),0)</f>
        <v>0</v>
      </c>
      <c r="J30" s="159">
        <f t="shared" ca="1" si="24"/>
        <v>31840</v>
      </c>
      <c r="K30" s="160">
        <f t="shared" ca="1" si="25"/>
        <v>162.53190403266973</v>
      </c>
      <c r="L30" s="159">
        <f ca="1">IFERROR(__xludf.DUMMYFUNCTION("IMPORTRANGE(""https://docs.google.com/spreadsheets/d/1-uDff_7J0KD5mKrp0Vvzr7lt3OU09vwQwhkpOPPYv2Y/edit?usp=sharing"",""งบพรบ!CR30"")"),31840)</f>
        <v>31840</v>
      </c>
      <c r="M30" s="89">
        <f t="shared" ca="1" si="26"/>
        <v>162.53190403266973</v>
      </c>
      <c r="N30" s="89">
        <f t="shared" ca="1" si="27"/>
        <v>94.988066825775661</v>
      </c>
      <c r="O30" s="88">
        <f ca="1">IFERROR(__xludf.DUMMYFUNCTION("IMPORTRANGE(""https://docs.google.com/spreadsheets/d/1-uDff_7J0KD5mKrp0Vvzr7lt3OU09vwQwhkpOPPYv2Y/edit?usp=sharing"",""งบพรบ!CS30"")"),0)</f>
        <v>0</v>
      </c>
      <c r="P30" s="88">
        <f t="shared" ca="1" si="28"/>
        <v>0</v>
      </c>
      <c r="Q30" s="89">
        <f t="shared" ca="1" si="29"/>
        <v>0</v>
      </c>
      <c r="R30" s="198">
        <f ca="1">IFERROR(__xludf.DUMMYFUNCTION("IMPORTRANGE(""https://docs.google.com/spreadsheets/d/1UsNK1e-WWiCo2PvGqdNfdme4m17_Ezd3J69EeeiQPD0/edit?usp=sharing"",""อุทัยธานี!Q173"")"),0)</f>
        <v>0</v>
      </c>
      <c r="S30" s="88">
        <f ca="1">IFERROR(__xludf.DUMMYFUNCTION("IMPORTRANGE(""https://docs.google.com/spreadsheets/d/1UsNK1e-WWiCo2PvGqdNfdme4m17_Ezd3J69EeeiQPD0/edit?usp=sharing"",""อุทัยธานี!R173"")"),0)</f>
        <v>0</v>
      </c>
      <c r="T30" s="88">
        <f ca="1">IFERROR(__xludf.DUMMYFUNCTION("IMPORTRANGE(""https://docs.google.com/spreadsheets/d/1UsNK1e-WWiCo2PvGqdNfdme4m17_Ezd3J69EeeiQPD0/edit?usp=sharing"",""อุทัยธานี!S173"")"),0)</f>
        <v>0</v>
      </c>
      <c r="U30" s="89">
        <f t="shared" ca="1" si="31"/>
        <v>0</v>
      </c>
      <c r="V30" s="89">
        <f t="shared" ca="1" si="32"/>
        <v>0</v>
      </c>
      <c r="W30" s="90">
        <f ca="1">IFERROR(__xludf.DUMMYFUNCTION("IMPORTRANGE(""https://docs.google.com/spreadsheets/d/1UsNK1e-WWiCo2PvGqdNfdme4m17_Ezd3J69EeeiQPD0/edit?usp=sharing"",""อุทัยธานี!I183"")"),7)</f>
        <v>7</v>
      </c>
      <c r="X30" s="90">
        <f ca="1">IFERROR(__xludf.DUMMYFUNCTION("IMPORTRANGE(""https://docs.google.com/spreadsheets/d/1UsNK1e-WWiCo2PvGqdNfdme4m17_Ezd3J69EeeiQPD0/edit?usp=sharing"",""อุทัยธานี!J183"")"),7)</f>
        <v>7</v>
      </c>
      <c r="Y30" s="91">
        <f t="shared" ca="1" si="34"/>
        <v>100</v>
      </c>
      <c r="Z30" s="217">
        <v>0</v>
      </c>
      <c r="AA30" s="217">
        <v>0</v>
      </c>
      <c r="AB30" s="218">
        <v>0</v>
      </c>
    </row>
    <row r="31" spans="1:28" ht="21" customHeight="1" x14ac:dyDescent="0.3">
      <c r="A31" s="665" t="s">
        <v>59</v>
      </c>
      <c r="B31" s="666"/>
      <c r="C31" s="161">
        <f t="shared" ca="1" si="22"/>
        <v>393170</v>
      </c>
      <c r="D31" s="161">
        <f t="shared" ref="D31:I31" ca="1" si="36">SUM(D32:D51)</f>
        <v>393170</v>
      </c>
      <c r="E31" s="161">
        <f t="shared" ca="1" si="36"/>
        <v>0</v>
      </c>
      <c r="F31" s="161">
        <f t="shared" ca="1" si="36"/>
        <v>393170</v>
      </c>
      <c r="G31" s="161">
        <f t="shared" ca="1" si="36"/>
        <v>0</v>
      </c>
      <c r="H31" s="161">
        <f t="shared" ca="1" si="36"/>
        <v>698220</v>
      </c>
      <c r="I31" s="161">
        <f t="shared" ca="1" si="36"/>
        <v>0</v>
      </c>
      <c r="J31" s="161">
        <f t="shared" ca="1" si="24"/>
        <v>670655.19999999995</v>
      </c>
      <c r="K31" s="162">
        <f t="shared" ca="1" si="25"/>
        <v>170.57639189154816</v>
      </c>
      <c r="L31" s="161">
        <f ca="1">SUM(L32:L51)</f>
        <v>670655.19999999995</v>
      </c>
      <c r="M31" s="94">
        <f t="shared" ca="1" si="26"/>
        <v>170.57639189154816</v>
      </c>
      <c r="N31" s="94">
        <f t="shared" ca="1" si="27"/>
        <v>96.052132565666966</v>
      </c>
      <c r="O31" s="93">
        <f ca="1">SUM(O32:O51)</f>
        <v>0</v>
      </c>
      <c r="P31" s="93">
        <f t="shared" ca="1" si="28"/>
        <v>0</v>
      </c>
      <c r="Q31" s="94">
        <f t="shared" ca="1" si="29"/>
        <v>0</v>
      </c>
      <c r="R31" s="199">
        <f t="shared" ref="R31:T31" ca="1" si="37">SUM(R32:R51)</f>
        <v>189920</v>
      </c>
      <c r="S31" s="93">
        <f t="shared" ca="1" si="37"/>
        <v>189920</v>
      </c>
      <c r="T31" s="93">
        <f t="shared" ca="1" si="37"/>
        <v>172324</v>
      </c>
      <c r="U31" s="94">
        <f t="shared" ca="1" si="31"/>
        <v>90.735046335299074</v>
      </c>
      <c r="V31" s="94">
        <f t="shared" ca="1" si="32"/>
        <v>90.735046335299074</v>
      </c>
      <c r="W31" s="52">
        <f t="shared" ref="W31:X31" ca="1" si="38">SUM(W32:W51)</f>
        <v>212</v>
      </c>
      <c r="X31" s="52">
        <f t="shared" ca="1" si="38"/>
        <v>212</v>
      </c>
      <c r="Y31" s="54">
        <f t="shared" ca="1" si="34"/>
        <v>100</v>
      </c>
      <c r="Z31" s="161">
        <v>0</v>
      </c>
      <c r="AA31" s="161">
        <v>0</v>
      </c>
      <c r="AB31" s="94">
        <v>0</v>
      </c>
    </row>
    <row r="32" spans="1:28" ht="21" customHeight="1" x14ac:dyDescent="0.3">
      <c r="A32" s="58">
        <v>1</v>
      </c>
      <c r="B32" s="59" t="s">
        <v>60</v>
      </c>
      <c r="C32" s="149">
        <f t="shared" ca="1" si="22"/>
        <v>19590</v>
      </c>
      <c r="D32" s="150">
        <f t="shared" ref="D32:D51" ca="1" si="39">+E32+F32</f>
        <v>19590</v>
      </c>
      <c r="E32" s="151">
        <f ca="1">IFERROR(__xludf.DUMMYFUNCTION("IMPORTRANGE(""https://docs.google.com/spreadsheets/d/1-uDff_7J0KD5mKrp0Vvzr7lt3OU09vwQwhkpOPPYv2Y/edit?usp=sharing"",""งบพรบ!CL32"")"),0)</f>
        <v>0</v>
      </c>
      <c r="F32" s="151">
        <f ca="1">IFERROR(__xludf.DUMMYFUNCTION("IMPORTRANGE(""https://docs.google.com/spreadsheets/d/1-uDff_7J0KD5mKrp0Vvzr7lt3OU09vwQwhkpOPPYv2Y/edit?usp=sharing"",""งบพรบ!CM32"")"),19590)</f>
        <v>19590</v>
      </c>
      <c r="G32" s="152">
        <f ca="1">IFERROR(__xludf.DUMMYFUNCTION("IMPORTRANGE(""https://docs.google.com/spreadsheets/d/1-uDff_7J0KD5mKrp0Vvzr7lt3OU09vwQwhkpOPPYv2Y/edit?usp=sharing"",""งบพรบ!CN32"")"),0)</f>
        <v>0</v>
      </c>
      <c r="H32" s="152">
        <f ca="1">IFERROR(__xludf.DUMMYFUNCTION("IMPORTRANGE(""https://docs.google.com/spreadsheets/d/1-uDff_7J0KD5mKrp0Vvzr7lt3OU09vwQwhkpOPPYv2Y/edit?usp=sharing"",""งบพรบ!CP32"")"),34830)</f>
        <v>34830</v>
      </c>
      <c r="I32" s="152">
        <f ca="1">IFERROR(__xludf.DUMMYFUNCTION("IMPORTRANGE(""https://docs.google.com/spreadsheets/d/1-uDff_7J0KD5mKrp0Vvzr7lt3OU09vwQwhkpOPPYv2Y/edit?usp=sharing"",""งบพรบ!CQ32"")"),0)</f>
        <v>0</v>
      </c>
      <c r="J32" s="152">
        <f t="shared" ca="1" si="24"/>
        <v>34830</v>
      </c>
      <c r="K32" s="153">
        <f t="shared" ca="1" si="25"/>
        <v>177.79479326186831</v>
      </c>
      <c r="L32" s="152">
        <f ca="1">IFERROR(__xludf.DUMMYFUNCTION("IMPORTRANGE(""https://docs.google.com/spreadsheets/d/1-uDff_7J0KD5mKrp0Vvzr7lt3OU09vwQwhkpOPPYv2Y/edit?usp=sharing"",""งบพรบ!CR32"")"),34830)</f>
        <v>34830</v>
      </c>
      <c r="M32" s="68">
        <f t="shared" ca="1" si="26"/>
        <v>177.79479326186831</v>
      </c>
      <c r="N32" s="68">
        <f t="shared" ca="1" si="27"/>
        <v>100</v>
      </c>
      <c r="O32" s="67">
        <f ca="1">IFERROR(__xludf.DUMMYFUNCTION("IMPORTRANGE(""https://docs.google.com/spreadsheets/d/1-uDff_7J0KD5mKrp0Vvzr7lt3OU09vwQwhkpOPPYv2Y/edit?usp=sharing"",""งบพรบ!CS32"")"),0)</f>
        <v>0</v>
      </c>
      <c r="P32" s="67">
        <f t="shared" ca="1" si="28"/>
        <v>0</v>
      </c>
      <c r="Q32" s="68">
        <f t="shared" ca="1" si="29"/>
        <v>0</v>
      </c>
      <c r="R32" s="197">
        <f ca="1">IFERROR(__xludf.DUMMYFUNCTION("IMPORTRANGE(""https://docs.google.com/spreadsheets/d/1yhBcrRPreicbMKl9Bu_Snb2-OcQAF62RKfhTLhJ2eAA/edit?usp=sharing"",""กาฬสินธุ์!Q173"")"),20320)</f>
        <v>20320</v>
      </c>
      <c r="S32" s="67">
        <f ca="1">IFERROR(__xludf.DUMMYFUNCTION("IMPORTRANGE(""https://docs.google.com/spreadsheets/d/1yhBcrRPreicbMKl9Bu_Snb2-OcQAF62RKfhTLhJ2eAA/edit?usp=sharing"",""กาฬสินธุ์!R173"")"),20320)</f>
        <v>20320</v>
      </c>
      <c r="T32" s="67">
        <f ca="1">IFERROR(__xludf.DUMMYFUNCTION("IMPORTRANGE(""https://docs.google.com/spreadsheets/d/1yhBcrRPreicbMKl9Bu_Snb2-OcQAF62RKfhTLhJ2eAA/edit?usp=sharing"",""กาฬสินธุ์!S173"")"),14470)</f>
        <v>14470</v>
      </c>
      <c r="U32" s="68">
        <f t="shared" ca="1" si="31"/>
        <v>71.210629921259837</v>
      </c>
      <c r="V32" s="68">
        <f t="shared" ca="1" si="32"/>
        <v>71.210629921259837</v>
      </c>
      <c r="W32" s="63">
        <f ca="1">IFERROR(__xludf.DUMMYFUNCTION("IMPORTRANGE(""https://docs.google.com/spreadsheets/d/1yhBcrRPreicbMKl9Bu_Snb2-OcQAF62RKfhTLhJ2eAA/edit?usp=sharing"",""กาฬสินธุ์!I183"")"),14)</f>
        <v>14</v>
      </c>
      <c r="X32" s="63">
        <f ca="1">IFERROR(__xludf.DUMMYFUNCTION("IMPORTRANGE(""https://docs.google.com/spreadsheets/d/1yhBcrRPreicbMKl9Bu_Snb2-OcQAF62RKfhTLhJ2eAA/edit?usp=sharing"",""กาฬสินธุ์!J183"")"),14)</f>
        <v>14</v>
      </c>
      <c r="Y32" s="69">
        <f t="shared" ca="1" si="34"/>
        <v>100</v>
      </c>
      <c r="Z32" s="215">
        <v>0</v>
      </c>
      <c r="AA32" s="215">
        <v>0</v>
      </c>
      <c r="AB32" s="216">
        <v>0</v>
      </c>
    </row>
    <row r="33" spans="1:28" ht="21" customHeight="1" x14ac:dyDescent="0.3">
      <c r="A33" s="70">
        <v>2</v>
      </c>
      <c r="B33" s="71" t="s">
        <v>61</v>
      </c>
      <c r="C33" s="149">
        <f t="shared" ca="1" si="22"/>
        <v>19590</v>
      </c>
      <c r="D33" s="150">
        <f t="shared" ca="1" si="39"/>
        <v>19590</v>
      </c>
      <c r="E33" s="151">
        <f ca="1">IFERROR(__xludf.DUMMYFUNCTION("IMPORTRANGE(""https://docs.google.com/spreadsheets/d/1-uDff_7J0KD5mKrp0Vvzr7lt3OU09vwQwhkpOPPYv2Y/edit?usp=sharing"",""งบพรบ!CL33"")"),0)</f>
        <v>0</v>
      </c>
      <c r="F33" s="151">
        <f ca="1">IFERROR(__xludf.DUMMYFUNCTION("IMPORTRANGE(""https://docs.google.com/spreadsheets/d/1-uDff_7J0KD5mKrp0Vvzr7lt3OU09vwQwhkpOPPYv2Y/edit?usp=sharing"",""งบพรบ!CM33"")"),19590)</f>
        <v>19590</v>
      </c>
      <c r="G33" s="151">
        <f ca="1">IFERROR(__xludf.DUMMYFUNCTION("IMPORTRANGE(""https://docs.google.com/spreadsheets/d/1-uDff_7J0KD5mKrp0Vvzr7lt3OU09vwQwhkpOPPYv2Y/edit?usp=sharing"",""งบพรบ!CN33"")"),0)</f>
        <v>0</v>
      </c>
      <c r="H33" s="151">
        <f ca="1">IFERROR(__xludf.DUMMYFUNCTION("IMPORTRANGE(""https://docs.google.com/spreadsheets/d/1-uDff_7J0KD5mKrp0Vvzr7lt3OU09vwQwhkpOPPYv2Y/edit?usp=sharing"",""งบพรบ!CP33"")"),34370)</f>
        <v>34370</v>
      </c>
      <c r="I33" s="151">
        <f ca="1">IFERROR(__xludf.DUMMYFUNCTION("IMPORTRANGE(""https://docs.google.com/spreadsheets/d/1-uDff_7J0KD5mKrp0Vvzr7lt3OU09vwQwhkpOPPYv2Y/edit?usp=sharing"",""งบพรบ!CQ33"")"),0)</f>
        <v>0</v>
      </c>
      <c r="J33" s="151">
        <f t="shared" ca="1" si="24"/>
        <v>33770</v>
      </c>
      <c r="K33" s="154">
        <f t="shared" ca="1" si="25"/>
        <v>172.38386932108219</v>
      </c>
      <c r="L33" s="151">
        <f ca="1">IFERROR(__xludf.DUMMYFUNCTION("IMPORTRANGE(""https://docs.google.com/spreadsheets/d/1-uDff_7J0KD5mKrp0Vvzr7lt3OU09vwQwhkpOPPYv2Y/edit?usp=sharing"",""งบพรบ!CR33"")"),33770)</f>
        <v>33770</v>
      </c>
      <c r="M33" s="68">
        <f t="shared" ca="1" si="26"/>
        <v>172.38386932108219</v>
      </c>
      <c r="N33" s="68">
        <f t="shared" ca="1" si="27"/>
        <v>98.254291533313932</v>
      </c>
      <c r="O33" s="67">
        <f ca="1">IFERROR(__xludf.DUMMYFUNCTION("IMPORTRANGE(""https://docs.google.com/spreadsheets/d/1-uDff_7J0KD5mKrp0Vvzr7lt3OU09vwQwhkpOPPYv2Y/edit?usp=sharing"",""งบพรบ!CS33"")"),0)</f>
        <v>0</v>
      </c>
      <c r="P33" s="67">
        <f t="shared" ca="1" si="28"/>
        <v>0</v>
      </c>
      <c r="Q33" s="68">
        <f t="shared" ca="1" si="29"/>
        <v>0</v>
      </c>
      <c r="R33" s="197">
        <f ca="1">IFERROR(__xludf.DUMMYFUNCTION("IMPORTRANGE(""https://docs.google.com/spreadsheets/d/1aHkj4IaQMThhwWwevcOymEh837vdxeC_PycurhTbGFA/edit?usp=sharing"",""ขอนแก่น!Q173"")"),21200)</f>
        <v>21200</v>
      </c>
      <c r="S33" s="67">
        <f ca="1">IFERROR(__xludf.DUMMYFUNCTION("IMPORTRANGE(""https://docs.google.com/spreadsheets/d/1aHkj4IaQMThhwWwevcOymEh837vdxeC_PycurhTbGFA/edit?usp=sharing"",""ขอนแก่น!R173"")"),21200)</f>
        <v>21200</v>
      </c>
      <c r="T33" s="67">
        <f ca="1">IFERROR(__xludf.DUMMYFUNCTION("IMPORTRANGE(""https://docs.google.com/spreadsheets/d/1aHkj4IaQMThhwWwevcOymEh837vdxeC_PycurhTbGFA/edit?usp=sharing"",""ขอนแก่น!S173"")"),19080)</f>
        <v>19080</v>
      </c>
      <c r="U33" s="68">
        <f t="shared" ca="1" si="31"/>
        <v>90</v>
      </c>
      <c r="V33" s="68">
        <f t="shared" ca="1" si="32"/>
        <v>90</v>
      </c>
      <c r="W33" s="78">
        <f ca="1">IFERROR(__xludf.DUMMYFUNCTION("IMPORTRANGE(""https://docs.google.com/spreadsheets/d/1aHkj4IaQMThhwWwevcOymEh837vdxeC_PycurhTbGFA/edit?usp=sharing"",""ขอนแก่น!I183"")"),15)</f>
        <v>15</v>
      </c>
      <c r="X33" s="78">
        <f ca="1">IFERROR(__xludf.DUMMYFUNCTION("IMPORTRANGE(""https://docs.google.com/spreadsheets/d/1aHkj4IaQMThhwWwevcOymEh837vdxeC_PycurhTbGFA/edit?usp=sharing"",""ขอนแก่น!J183"")"),15)</f>
        <v>15</v>
      </c>
      <c r="Y33" s="79">
        <f t="shared" ca="1" si="34"/>
        <v>100</v>
      </c>
      <c r="Z33" s="215">
        <v>0</v>
      </c>
      <c r="AA33" s="215">
        <v>0</v>
      </c>
      <c r="AB33" s="216">
        <v>0</v>
      </c>
    </row>
    <row r="34" spans="1:28" ht="21" customHeight="1" x14ac:dyDescent="0.3">
      <c r="A34" s="70">
        <v>3</v>
      </c>
      <c r="B34" s="71" t="s">
        <v>62</v>
      </c>
      <c r="C34" s="149">
        <f t="shared" ca="1" si="22"/>
        <v>19590</v>
      </c>
      <c r="D34" s="150">
        <f t="shared" ca="1" si="39"/>
        <v>19590</v>
      </c>
      <c r="E34" s="151">
        <f ca="1">IFERROR(__xludf.DUMMYFUNCTION("IMPORTRANGE(""https://docs.google.com/spreadsheets/d/1-uDff_7J0KD5mKrp0Vvzr7lt3OU09vwQwhkpOPPYv2Y/edit?usp=sharing"",""งบพรบ!CL34"")"),0)</f>
        <v>0</v>
      </c>
      <c r="F34" s="151">
        <f ca="1">IFERROR(__xludf.DUMMYFUNCTION("IMPORTRANGE(""https://docs.google.com/spreadsheets/d/1-uDff_7J0KD5mKrp0Vvzr7lt3OU09vwQwhkpOPPYv2Y/edit?usp=sharing"",""งบพรบ!CM34"")"),19590)</f>
        <v>19590</v>
      </c>
      <c r="G34" s="151">
        <f ca="1">IFERROR(__xludf.DUMMYFUNCTION("IMPORTRANGE(""https://docs.google.com/spreadsheets/d/1-uDff_7J0KD5mKrp0Vvzr7lt3OU09vwQwhkpOPPYv2Y/edit?usp=sharing"",""งบพรบ!CN34"")"),0)</f>
        <v>0</v>
      </c>
      <c r="H34" s="151">
        <f ca="1">IFERROR(__xludf.DUMMYFUNCTION("IMPORTRANGE(""https://docs.google.com/spreadsheets/d/1-uDff_7J0KD5mKrp0Vvzr7lt3OU09vwQwhkpOPPYv2Y/edit?usp=sharing"",""งบพรบ!CP34"")"),31160)</f>
        <v>31160</v>
      </c>
      <c r="I34" s="151">
        <f ca="1">IFERROR(__xludf.DUMMYFUNCTION("IMPORTRANGE(""https://docs.google.com/spreadsheets/d/1-uDff_7J0KD5mKrp0Vvzr7lt3OU09vwQwhkpOPPYv2Y/edit?usp=sharing"",""งบพรบ!CQ34"")"),0)</f>
        <v>0</v>
      </c>
      <c r="J34" s="151">
        <f t="shared" ca="1" si="24"/>
        <v>28460.2</v>
      </c>
      <c r="K34" s="154">
        <f t="shared" ca="1" si="25"/>
        <v>145.27922409392548</v>
      </c>
      <c r="L34" s="151">
        <f ca="1">IFERROR(__xludf.DUMMYFUNCTION("IMPORTRANGE(""https://docs.google.com/spreadsheets/d/1-uDff_7J0KD5mKrp0Vvzr7lt3OU09vwQwhkpOPPYv2Y/edit?usp=sharing"",""งบพรบ!CR34"")"),28460.2)</f>
        <v>28460.2</v>
      </c>
      <c r="M34" s="68">
        <f t="shared" ca="1" si="26"/>
        <v>145.27922409392548</v>
      </c>
      <c r="N34" s="68">
        <f t="shared" ca="1" si="27"/>
        <v>91.335686777920415</v>
      </c>
      <c r="O34" s="67">
        <f ca="1">IFERROR(__xludf.DUMMYFUNCTION("IMPORTRANGE(""https://docs.google.com/spreadsheets/d/1-uDff_7J0KD5mKrp0Vvzr7lt3OU09vwQwhkpOPPYv2Y/edit?usp=sharing"",""งบพรบ!CS34"")"),0)</f>
        <v>0</v>
      </c>
      <c r="P34" s="67">
        <f t="shared" ca="1" si="28"/>
        <v>0</v>
      </c>
      <c r="Q34" s="68">
        <f t="shared" ca="1" si="29"/>
        <v>0</v>
      </c>
      <c r="R34" s="197">
        <f ca="1">IFERROR(__xludf.DUMMYFUNCTION("IMPORTRANGE(""https://docs.google.com/spreadsheets/d/1FvTu2DsIWUjP6WCWra38Bkj_oOl_sOMf14r5Fg5srxU/edit?usp=sharing"",""ชัยภูมิ!Q173"")"),0)</f>
        <v>0</v>
      </c>
      <c r="S34" s="67">
        <f ca="1">IFERROR(__xludf.DUMMYFUNCTION("IMPORTRANGE(""https://docs.google.com/spreadsheets/d/1FvTu2DsIWUjP6WCWra38Bkj_oOl_sOMf14r5Fg5srxU/edit?usp=sharing"",""ชัยภูมิ!R173"")"),0)</f>
        <v>0</v>
      </c>
      <c r="T34" s="67">
        <f ca="1">IFERROR(__xludf.DUMMYFUNCTION("IMPORTRANGE(""https://docs.google.com/spreadsheets/d/1FvTu2DsIWUjP6WCWra38Bkj_oOl_sOMf14r5Fg5srxU/edit?usp=sharing"",""ชัยภูมิ!S173"")"),0)</f>
        <v>0</v>
      </c>
      <c r="U34" s="68">
        <f t="shared" ca="1" si="31"/>
        <v>0</v>
      </c>
      <c r="V34" s="68">
        <f t="shared" ca="1" si="32"/>
        <v>0</v>
      </c>
      <c r="W34" s="78">
        <f ca="1">IFERROR(__xludf.DUMMYFUNCTION("IMPORTRANGE(""https://docs.google.com/spreadsheets/d/1FvTu2DsIWUjP6WCWra38Bkj_oOl_sOMf14r5Fg5srxU/edit?usp=sharing"",""ชัยภูมิ!I183"")"),7)</f>
        <v>7</v>
      </c>
      <c r="X34" s="78">
        <f ca="1">IFERROR(__xludf.DUMMYFUNCTION("IMPORTRANGE(""https://docs.google.com/spreadsheets/d/1FvTu2DsIWUjP6WCWra38Bkj_oOl_sOMf14r5Fg5srxU/edit?usp=sharing"",""ชัยภูมิ!J183"")"),7)</f>
        <v>7</v>
      </c>
      <c r="Y34" s="79">
        <f t="shared" ca="1" si="34"/>
        <v>100</v>
      </c>
      <c r="Z34" s="215">
        <v>0</v>
      </c>
      <c r="AA34" s="215">
        <v>0</v>
      </c>
      <c r="AB34" s="216">
        <v>0</v>
      </c>
    </row>
    <row r="35" spans="1:28" ht="21" customHeight="1" x14ac:dyDescent="0.3">
      <c r="A35" s="70">
        <v>4</v>
      </c>
      <c r="B35" s="71" t="s">
        <v>63</v>
      </c>
      <c r="C35" s="149">
        <f t="shared" ca="1" si="22"/>
        <v>19590</v>
      </c>
      <c r="D35" s="150">
        <f t="shared" ca="1" si="39"/>
        <v>19590</v>
      </c>
      <c r="E35" s="151">
        <f ca="1">IFERROR(__xludf.DUMMYFUNCTION("IMPORTRANGE(""https://docs.google.com/spreadsheets/d/1-uDff_7J0KD5mKrp0Vvzr7lt3OU09vwQwhkpOPPYv2Y/edit?usp=sharing"",""งบพรบ!CL35"")"),0)</f>
        <v>0</v>
      </c>
      <c r="F35" s="151">
        <f ca="1">IFERROR(__xludf.DUMMYFUNCTION("IMPORTRANGE(""https://docs.google.com/spreadsheets/d/1-uDff_7J0KD5mKrp0Vvzr7lt3OU09vwQwhkpOPPYv2Y/edit?usp=sharing"",""งบพรบ!CM35"")"),19590)</f>
        <v>19590</v>
      </c>
      <c r="G35" s="151">
        <f ca="1">IFERROR(__xludf.DUMMYFUNCTION("IMPORTRANGE(""https://docs.google.com/spreadsheets/d/1-uDff_7J0KD5mKrp0Vvzr7lt3OU09vwQwhkpOPPYv2Y/edit?usp=sharing"",""งบพรบ!CN35"")"),0)</f>
        <v>0</v>
      </c>
      <c r="H35" s="151">
        <f ca="1">IFERROR(__xludf.DUMMYFUNCTION("IMPORTRANGE(""https://docs.google.com/spreadsheets/d/1-uDff_7J0KD5mKrp0Vvzr7lt3OU09vwQwhkpOPPYv2Y/edit?usp=sharing"",""งบพรบ!CP35"")"),36250)</f>
        <v>36250</v>
      </c>
      <c r="I35" s="151">
        <f ca="1">IFERROR(__xludf.DUMMYFUNCTION("IMPORTRANGE(""https://docs.google.com/spreadsheets/d/1-uDff_7J0KD5mKrp0Vvzr7lt3OU09vwQwhkpOPPYv2Y/edit?usp=sharing"",""งบพรบ!CQ35"")"),0)</f>
        <v>0</v>
      </c>
      <c r="J35" s="151">
        <f t="shared" ca="1" si="24"/>
        <v>36250</v>
      </c>
      <c r="K35" s="154">
        <f t="shared" ca="1" si="25"/>
        <v>185.04338948443083</v>
      </c>
      <c r="L35" s="151">
        <f ca="1">IFERROR(__xludf.DUMMYFUNCTION("IMPORTRANGE(""https://docs.google.com/spreadsheets/d/1-uDff_7J0KD5mKrp0Vvzr7lt3OU09vwQwhkpOPPYv2Y/edit?usp=sharing"",""งบพรบ!CR35"")"),36250)</f>
        <v>36250</v>
      </c>
      <c r="M35" s="68">
        <f t="shared" ca="1" si="26"/>
        <v>185.04338948443083</v>
      </c>
      <c r="N35" s="68">
        <f t="shared" ca="1" si="27"/>
        <v>100</v>
      </c>
      <c r="O35" s="67">
        <f ca="1">IFERROR(__xludf.DUMMYFUNCTION("IMPORTRANGE(""https://docs.google.com/spreadsheets/d/1-uDff_7J0KD5mKrp0Vvzr7lt3OU09vwQwhkpOPPYv2Y/edit?usp=sharing"",""งบพรบ!CS35"")"),0)</f>
        <v>0</v>
      </c>
      <c r="P35" s="67">
        <f t="shared" ca="1" si="28"/>
        <v>0</v>
      </c>
      <c r="Q35" s="68">
        <f t="shared" ca="1" si="29"/>
        <v>0</v>
      </c>
      <c r="R35" s="197">
        <f ca="1">IFERROR(__xludf.DUMMYFUNCTION("IMPORTRANGE(""https://docs.google.com/spreadsheets/d/1XVB7oCJ3pr-vBUdflwPQ8Z2LlzhnCvZaaYjAfP-647E/edit?usp=sharing"",""นครพนม!Q173"")"),0)</f>
        <v>0</v>
      </c>
      <c r="S35" s="67">
        <f ca="1">IFERROR(__xludf.DUMMYFUNCTION("IMPORTRANGE(""https://docs.google.com/spreadsheets/d/1XVB7oCJ3pr-vBUdflwPQ8Z2LlzhnCvZaaYjAfP-647E/edit?usp=sharing"",""นครพนม!R173"")"),0)</f>
        <v>0</v>
      </c>
      <c r="T35" s="67">
        <f ca="1">IFERROR(__xludf.DUMMYFUNCTION("IMPORTRANGE(""https://docs.google.com/spreadsheets/d/1XVB7oCJ3pr-vBUdflwPQ8Z2LlzhnCvZaaYjAfP-647E/edit?usp=sharing"",""นครพนม!S173"")"),0)</f>
        <v>0</v>
      </c>
      <c r="U35" s="68">
        <f t="shared" ca="1" si="31"/>
        <v>0</v>
      </c>
      <c r="V35" s="68">
        <f t="shared" ca="1" si="32"/>
        <v>0</v>
      </c>
      <c r="W35" s="78">
        <f ca="1">IFERROR(__xludf.DUMMYFUNCTION("IMPORTRANGE(""https://docs.google.com/spreadsheets/d/1XVB7oCJ3pr-vBUdflwPQ8Z2LlzhnCvZaaYjAfP-647E/edit?usp=sharing"",""นครพนม!I183"")"),7)</f>
        <v>7</v>
      </c>
      <c r="X35" s="78">
        <f ca="1">IFERROR(__xludf.DUMMYFUNCTION("IMPORTRANGE(""https://docs.google.com/spreadsheets/d/1XVB7oCJ3pr-vBUdflwPQ8Z2LlzhnCvZaaYjAfP-647E/edit?usp=sharing"",""นครพนม!J183"")"),7)</f>
        <v>7</v>
      </c>
      <c r="Y35" s="79">
        <f t="shared" ca="1" si="34"/>
        <v>100</v>
      </c>
      <c r="Z35" s="215">
        <v>0</v>
      </c>
      <c r="AA35" s="215">
        <v>0</v>
      </c>
      <c r="AB35" s="216">
        <v>0</v>
      </c>
    </row>
    <row r="36" spans="1:28" ht="21" customHeight="1" x14ac:dyDescent="0.3">
      <c r="A36" s="70">
        <v>5</v>
      </c>
      <c r="B36" s="71" t="s">
        <v>64</v>
      </c>
      <c r="C36" s="149">
        <f t="shared" ca="1" si="22"/>
        <v>20960</v>
      </c>
      <c r="D36" s="150">
        <f t="shared" ca="1" si="39"/>
        <v>20960</v>
      </c>
      <c r="E36" s="151">
        <f ca="1">IFERROR(__xludf.DUMMYFUNCTION("IMPORTRANGE(""https://docs.google.com/spreadsheets/d/1-uDff_7J0KD5mKrp0Vvzr7lt3OU09vwQwhkpOPPYv2Y/edit?usp=sharing"",""งบพรบ!CL36"")"),0)</f>
        <v>0</v>
      </c>
      <c r="F36" s="151">
        <f ca="1">IFERROR(__xludf.DUMMYFUNCTION("IMPORTRANGE(""https://docs.google.com/spreadsheets/d/1-uDff_7J0KD5mKrp0Vvzr7lt3OU09vwQwhkpOPPYv2Y/edit?usp=sharing"",""งบพรบ!CM36"")"),20960)</f>
        <v>20960</v>
      </c>
      <c r="G36" s="151">
        <f ca="1">IFERROR(__xludf.DUMMYFUNCTION("IMPORTRANGE(""https://docs.google.com/spreadsheets/d/1-uDff_7J0KD5mKrp0Vvzr7lt3OU09vwQwhkpOPPYv2Y/edit?usp=sharing"",""งบพรบ!CN36"")"),0)</f>
        <v>0</v>
      </c>
      <c r="H36" s="151">
        <f ca="1">IFERROR(__xludf.DUMMYFUNCTION("IMPORTRANGE(""https://docs.google.com/spreadsheets/d/1-uDff_7J0KD5mKrp0Vvzr7lt3OU09vwQwhkpOPPYv2Y/edit?usp=sharing"",""งบพรบ!CP36"")"),38140)</f>
        <v>38140</v>
      </c>
      <c r="I36" s="151">
        <f ca="1">IFERROR(__xludf.DUMMYFUNCTION("IMPORTRANGE(""https://docs.google.com/spreadsheets/d/1-uDff_7J0KD5mKrp0Vvzr7lt3OU09vwQwhkpOPPYv2Y/edit?usp=sharing"",""งบพรบ!CQ36"")"),0)</f>
        <v>0</v>
      </c>
      <c r="J36" s="151">
        <f t="shared" ca="1" si="24"/>
        <v>38140</v>
      </c>
      <c r="K36" s="154">
        <f t="shared" ca="1" si="25"/>
        <v>181.96564885496184</v>
      </c>
      <c r="L36" s="151">
        <f ca="1">IFERROR(__xludf.DUMMYFUNCTION("IMPORTRANGE(""https://docs.google.com/spreadsheets/d/1-uDff_7J0KD5mKrp0Vvzr7lt3OU09vwQwhkpOPPYv2Y/edit?usp=sharing"",""งบพรบ!CR36"")"),38140)</f>
        <v>38140</v>
      </c>
      <c r="M36" s="68">
        <f t="shared" ca="1" si="26"/>
        <v>181.96564885496184</v>
      </c>
      <c r="N36" s="68">
        <f t="shared" ca="1" si="27"/>
        <v>100</v>
      </c>
      <c r="O36" s="67">
        <f ca="1">IFERROR(__xludf.DUMMYFUNCTION("IMPORTRANGE(""https://docs.google.com/spreadsheets/d/1-uDff_7J0KD5mKrp0Vvzr7lt3OU09vwQwhkpOPPYv2Y/edit?usp=sharing"",""งบพรบ!CS36"")"),0)</f>
        <v>0</v>
      </c>
      <c r="P36" s="67">
        <f t="shared" ca="1" si="28"/>
        <v>0</v>
      </c>
      <c r="Q36" s="68">
        <f t="shared" ca="1" si="29"/>
        <v>0</v>
      </c>
      <c r="R36" s="197">
        <f ca="1">IFERROR(__xludf.DUMMYFUNCTION("IMPORTRANGE(""https://docs.google.com/spreadsheets/d/1Mnpb-8PYAgn85W6KOTD40hc_Xc55CaLfHoGAbrZ8tls/edit?usp=sharing"",""นครราชสีมา!Q173"")"),21200)</f>
        <v>21200</v>
      </c>
      <c r="S36" s="67">
        <f ca="1">IFERROR(__xludf.DUMMYFUNCTION("IMPORTRANGE(""https://docs.google.com/spreadsheets/d/1Mnpb-8PYAgn85W6KOTD40hc_Xc55CaLfHoGAbrZ8tls/edit?usp=sharing"",""นครราชสีมา!R173"")"),21200)</f>
        <v>21200</v>
      </c>
      <c r="T36" s="67">
        <f ca="1">IFERROR(__xludf.DUMMYFUNCTION("IMPORTRANGE(""https://docs.google.com/spreadsheets/d/1Mnpb-8PYAgn85W6KOTD40hc_Xc55CaLfHoGAbrZ8tls/edit?usp=sharing"",""นครราชสีมา!S173"")"),21200)</f>
        <v>21200</v>
      </c>
      <c r="U36" s="68">
        <f t="shared" ca="1" si="31"/>
        <v>100</v>
      </c>
      <c r="V36" s="68">
        <f t="shared" ca="1" si="32"/>
        <v>100</v>
      </c>
      <c r="W36" s="78">
        <f ca="1">IFERROR(__xludf.DUMMYFUNCTION("IMPORTRANGE(""https://docs.google.com/spreadsheets/d/1Mnpb-8PYAgn85W6KOTD40hc_Xc55CaLfHoGAbrZ8tls/edit?usp=sharing"",""นครราชสีมา!I183"")"),16)</f>
        <v>16</v>
      </c>
      <c r="X36" s="78">
        <f ca="1">IFERROR(__xludf.DUMMYFUNCTION("IMPORTRANGE(""https://docs.google.com/spreadsheets/d/1Mnpb-8PYAgn85W6KOTD40hc_Xc55CaLfHoGAbrZ8tls/edit?usp=sharing"",""นครราชสีมา!J183"")"),16)</f>
        <v>16</v>
      </c>
      <c r="Y36" s="79">
        <f t="shared" ca="1" si="34"/>
        <v>100</v>
      </c>
      <c r="Z36" s="215">
        <v>0</v>
      </c>
      <c r="AA36" s="215">
        <v>0</v>
      </c>
      <c r="AB36" s="216">
        <v>0</v>
      </c>
    </row>
    <row r="37" spans="1:28" ht="21" customHeight="1" x14ac:dyDescent="0.3">
      <c r="A37" s="70">
        <v>6</v>
      </c>
      <c r="B37" s="71" t="s">
        <v>65</v>
      </c>
      <c r="C37" s="149">
        <f t="shared" ca="1" si="22"/>
        <v>19590</v>
      </c>
      <c r="D37" s="150">
        <f t="shared" ca="1" si="39"/>
        <v>19590</v>
      </c>
      <c r="E37" s="151">
        <f ca="1">IFERROR(__xludf.DUMMYFUNCTION("IMPORTRANGE(""https://docs.google.com/spreadsheets/d/1-uDff_7J0KD5mKrp0Vvzr7lt3OU09vwQwhkpOPPYv2Y/edit?usp=sharing"",""งบพรบ!CL37"")"),0)</f>
        <v>0</v>
      </c>
      <c r="F37" s="151">
        <f ca="1">IFERROR(__xludf.DUMMYFUNCTION("IMPORTRANGE(""https://docs.google.com/spreadsheets/d/1-uDff_7J0KD5mKrp0Vvzr7lt3OU09vwQwhkpOPPYv2Y/edit?usp=sharing"",""งบพรบ!CM37"")"),19590)</f>
        <v>19590</v>
      </c>
      <c r="G37" s="151">
        <f ca="1">IFERROR(__xludf.DUMMYFUNCTION("IMPORTRANGE(""https://docs.google.com/spreadsheets/d/1-uDff_7J0KD5mKrp0Vvzr7lt3OU09vwQwhkpOPPYv2Y/edit?usp=sharing"",""งบพรบ!CN37"")"),0)</f>
        <v>0</v>
      </c>
      <c r="H37" s="151">
        <f ca="1">IFERROR(__xludf.DUMMYFUNCTION("IMPORTRANGE(""https://docs.google.com/spreadsheets/d/1-uDff_7J0KD5mKrp0Vvzr7lt3OU09vwQwhkpOPPYv2Y/edit?usp=sharing"",""งบพรบ!CP37"")"),36340)</f>
        <v>36340</v>
      </c>
      <c r="I37" s="151">
        <f ca="1">IFERROR(__xludf.DUMMYFUNCTION("IMPORTRANGE(""https://docs.google.com/spreadsheets/d/1-uDff_7J0KD5mKrp0Vvzr7lt3OU09vwQwhkpOPPYv2Y/edit?usp=sharing"",""งบพรบ!CQ37"")"),0)</f>
        <v>0</v>
      </c>
      <c r="J37" s="151">
        <f t="shared" ca="1" si="24"/>
        <v>34690</v>
      </c>
      <c r="K37" s="154">
        <f t="shared" ca="1" si="25"/>
        <v>177.08014293006636</v>
      </c>
      <c r="L37" s="151">
        <f ca="1">IFERROR(__xludf.DUMMYFUNCTION("IMPORTRANGE(""https://docs.google.com/spreadsheets/d/1-uDff_7J0KD5mKrp0Vvzr7lt3OU09vwQwhkpOPPYv2Y/edit?usp=sharing"",""งบพรบ!CR37"")"),34690)</f>
        <v>34690</v>
      </c>
      <c r="M37" s="68">
        <f t="shared" ca="1" si="26"/>
        <v>177.08014293006636</v>
      </c>
      <c r="N37" s="68">
        <f t="shared" ca="1" si="27"/>
        <v>95.459548706659334</v>
      </c>
      <c r="O37" s="67">
        <f ca="1">IFERROR(__xludf.DUMMYFUNCTION("IMPORTRANGE(""https://docs.google.com/spreadsheets/d/1-uDff_7J0KD5mKrp0Vvzr7lt3OU09vwQwhkpOPPYv2Y/edit?usp=sharing"",""งบพรบ!CS37"")"),0)</f>
        <v>0</v>
      </c>
      <c r="P37" s="67">
        <f t="shared" ca="1" si="28"/>
        <v>0</v>
      </c>
      <c r="Q37" s="68">
        <f t="shared" ca="1" si="29"/>
        <v>0</v>
      </c>
      <c r="R37" s="197">
        <f ca="1">IFERROR(__xludf.DUMMYFUNCTION("IMPORTRANGE(""https://docs.google.com/spreadsheets/d/1xoDLGBv9CYbyosIhki0kTq6IpYNj-gpjxfobnaDiut0/edit?usp=sharing"",""บึงกาฬ!Q173"")"),0)</f>
        <v>0</v>
      </c>
      <c r="S37" s="67">
        <f ca="1">IFERROR(__xludf.DUMMYFUNCTION("IMPORTRANGE(""https://docs.google.com/spreadsheets/d/1xoDLGBv9CYbyosIhki0kTq6IpYNj-gpjxfobnaDiut0/edit?usp=sharing"",""บึงกาฬ!R173"")"),0)</f>
        <v>0</v>
      </c>
      <c r="T37" s="67">
        <f ca="1">IFERROR(__xludf.DUMMYFUNCTION("IMPORTRANGE(""https://docs.google.com/spreadsheets/d/1xoDLGBv9CYbyosIhki0kTq6IpYNj-gpjxfobnaDiut0/edit?usp=sharing"",""บึงกาฬ!S173"")"),0)</f>
        <v>0</v>
      </c>
      <c r="U37" s="68">
        <f t="shared" ca="1" si="31"/>
        <v>0</v>
      </c>
      <c r="V37" s="68">
        <f t="shared" ca="1" si="32"/>
        <v>0</v>
      </c>
      <c r="W37" s="78">
        <f ca="1">IFERROR(__xludf.DUMMYFUNCTION("IMPORTRANGE(""https://docs.google.com/spreadsheets/d/1xoDLGBv9CYbyosIhki0kTq6IpYNj-gpjxfobnaDiut0/edit?usp=sharing"",""บึงกาฬ!I183"")"),7)</f>
        <v>7</v>
      </c>
      <c r="X37" s="78">
        <f ca="1">IFERROR(__xludf.DUMMYFUNCTION("IMPORTRANGE(""https://docs.google.com/spreadsheets/d/1xoDLGBv9CYbyosIhki0kTq6IpYNj-gpjxfobnaDiut0/edit?usp=sharing"",""บึงกาฬ!J183"")"),7)</f>
        <v>7</v>
      </c>
      <c r="Y37" s="79">
        <f t="shared" ca="1" si="34"/>
        <v>100</v>
      </c>
      <c r="Z37" s="215">
        <v>0</v>
      </c>
      <c r="AA37" s="215">
        <v>0</v>
      </c>
      <c r="AB37" s="216">
        <v>0</v>
      </c>
    </row>
    <row r="38" spans="1:28" ht="21" customHeight="1" x14ac:dyDescent="0.3">
      <c r="A38" s="70">
        <v>7</v>
      </c>
      <c r="B38" s="71" t="s">
        <v>66</v>
      </c>
      <c r="C38" s="149">
        <f t="shared" ca="1" si="22"/>
        <v>19590</v>
      </c>
      <c r="D38" s="150">
        <f t="shared" ca="1" si="39"/>
        <v>19590</v>
      </c>
      <c r="E38" s="151">
        <f ca="1">IFERROR(__xludf.DUMMYFUNCTION("IMPORTRANGE(""https://docs.google.com/spreadsheets/d/1-uDff_7J0KD5mKrp0Vvzr7lt3OU09vwQwhkpOPPYv2Y/edit?usp=sharing"",""งบพรบ!CL38"")"),0)</f>
        <v>0</v>
      </c>
      <c r="F38" s="151">
        <f ca="1">IFERROR(__xludf.DUMMYFUNCTION("IMPORTRANGE(""https://docs.google.com/spreadsheets/d/1-uDff_7J0KD5mKrp0Vvzr7lt3OU09vwQwhkpOPPYv2Y/edit?usp=sharing"",""งบพรบ!CM38"")"),19590)</f>
        <v>19590</v>
      </c>
      <c r="G38" s="151">
        <f ca="1">IFERROR(__xludf.DUMMYFUNCTION("IMPORTRANGE(""https://docs.google.com/spreadsheets/d/1-uDff_7J0KD5mKrp0Vvzr7lt3OU09vwQwhkpOPPYv2Y/edit?usp=sharing"",""งบพรบ!CN38"")"),0)</f>
        <v>0</v>
      </c>
      <c r="H38" s="151">
        <f ca="1">IFERROR(__xludf.DUMMYFUNCTION("IMPORTRANGE(""https://docs.google.com/spreadsheets/d/1-uDff_7J0KD5mKrp0Vvzr7lt3OU09vwQwhkpOPPYv2Y/edit?usp=sharing"",""งบพรบ!CP38"")"),31600)</f>
        <v>31600</v>
      </c>
      <c r="I38" s="151">
        <f ca="1">IFERROR(__xludf.DUMMYFUNCTION("IMPORTRANGE(""https://docs.google.com/spreadsheets/d/1-uDff_7J0KD5mKrp0Vvzr7lt3OU09vwQwhkpOPPYv2Y/edit?usp=sharing"",""งบพรบ!CQ38"")"),0)</f>
        <v>0</v>
      </c>
      <c r="J38" s="151">
        <f t="shared" ca="1" si="24"/>
        <v>31600</v>
      </c>
      <c r="K38" s="154">
        <f t="shared" ca="1" si="25"/>
        <v>161.30678917815212</v>
      </c>
      <c r="L38" s="151">
        <f ca="1">IFERROR(__xludf.DUMMYFUNCTION("IMPORTRANGE(""https://docs.google.com/spreadsheets/d/1-uDff_7J0KD5mKrp0Vvzr7lt3OU09vwQwhkpOPPYv2Y/edit?usp=sharing"",""งบพรบ!CR38"")"),31600)</f>
        <v>31600</v>
      </c>
      <c r="M38" s="68">
        <f t="shared" ca="1" si="26"/>
        <v>161.30678917815212</v>
      </c>
      <c r="N38" s="68">
        <f t="shared" ca="1" si="27"/>
        <v>100</v>
      </c>
      <c r="O38" s="67">
        <f ca="1">IFERROR(__xludf.DUMMYFUNCTION("IMPORTRANGE(""https://docs.google.com/spreadsheets/d/1-uDff_7J0KD5mKrp0Vvzr7lt3OU09vwQwhkpOPPYv2Y/edit?usp=sharing"",""งบพรบ!CS38"")"),0)</f>
        <v>0</v>
      </c>
      <c r="P38" s="67">
        <f t="shared" ca="1" si="28"/>
        <v>0</v>
      </c>
      <c r="Q38" s="68">
        <f t="shared" ca="1" si="29"/>
        <v>0</v>
      </c>
      <c r="R38" s="197">
        <f ca="1">IFERROR(__xludf.DUMMYFUNCTION("IMPORTRANGE(""https://docs.google.com/spreadsheets/d/1MMPq-JyI6DSgQETxuSiXkesP-P7JHuemnE6QJIa-Nlw/edit?usp=sharing"",""บุรีรัมย์!Q173"")"),0)</f>
        <v>0</v>
      </c>
      <c r="S38" s="67">
        <f ca="1">IFERROR(__xludf.DUMMYFUNCTION("IMPORTRANGE(""https://docs.google.com/spreadsheets/d/1MMPq-JyI6DSgQETxuSiXkesP-P7JHuemnE6QJIa-Nlw/edit?usp=sharing"",""บุรีรัมย์!R173"")"),0)</f>
        <v>0</v>
      </c>
      <c r="T38" s="67">
        <f ca="1">IFERROR(__xludf.DUMMYFUNCTION("IMPORTRANGE(""https://docs.google.com/spreadsheets/d/1MMPq-JyI6DSgQETxuSiXkesP-P7JHuemnE6QJIa-Nlw/edit?usp=sharing"",""บุรีรัมย์!S173"")"),0)</f>
        <v>0</v>
      </c>
      <c r="U38" s="68">
        <f t="shared" ca="1" si="31"/>
        <v>0</v>
      </c>
      <c r="V38" s="68">
        <f t="shared" ca="1" si="32"/>
        <v>0</v>
      </c>
      <c r="W38" s="78">
        <f ca="1">IFERROR(__xludf.DUMMYFUNCTION("IMPORTRANGE(""https://docs.google.com/spreadsheets/d/1MMPq-JyI6DSgQETxuSiXkesP-P7JHuemnE6QJIa-Nlw/edit?usp=sharing"",""บุรีรัมย์!I183"")"),7)</f>
        <v>7</v>
      </c>
      <c r="X38" s="78">
        <f ca="1">IFERROR(__xludf.DUMMYFUNCTION("IMPORTRANGE(""https://docs.google.com/spreadsheets/d/1MMPq-JyI6DSgQETxuSiXkesP-P7JHuemnE6QJIa-Nlw/edit?usp=sharing"",""บุรีรัมย์!J183"")"),7)</f>
        <v>7</v>
      </c>
      <c r="Y38" s="79">
        <f t="shared" ca="1" si="34"/>
        <v>100</v>
      </c>
      <c r="Z38" s="215">
        <v>0</v>
      </c>
      <c r="AA38" s="215">
        <v>0</v>
      </c>
      <c r="AB38" s="216">
        <v>0</v>
      </c>
    </row>
    <row r="39" spans="1:28" ht="21" customHeight="1" x14ac:dyDescent="0.3">
      <c r="A39" s="70">
        <v>8</v>
      </c>
      <c r="B39" s="71" t="s">
        <v>67</v>
      </c>
      <c r="C39" s="149">
        <f t="shared" ca="1" si="22"/>
        <v>19590</v>
      </c>
      <c r="D39" s="150">
        <f t="shared" ca="1" si="39"/>
        <v>19590</v>
      </c>
      <c r="E39" s="151">
        <f ca="1">IFERROR(__xludf.DUMMYFUNCTION("IMPORTRANGE(""https://docs.google.com/spreadsheets/d/1-uDff_7J0KD5mKrp0Vvzr7lt3OU09vwQwhkpOPPYv2Y/edit?usp=sharing"",""งบพรบ!CL39"")"),0)</f>
        <v>0</v>
      </c>
      <c r="F39" s="151">
        <f ca="1">IFERROR(__xludf.DUMMYFUNCTION("IMPORTRANGE(""https://docs.google.com/spreadsheets/d/1-uDff_7J0KD5mKrp0Vvzr7lt3OU09vwQwhkpOPPYv2Y/edit?usp=sharing"",""งบพรบ!CM39"")"),19590)</f>
        <v>19590</v>
      </c>
      <c r="G39" s="151">
        <f ca="1">IFERROR(__xludf.DUMMYFUNCTION("IMPORTRANGE(""https://docs.google.com/spreadsheets/d/1-uDff_7J0KD5mKrp0Vvzr7lt3OU09vwQwhkpOPPYv2Y/edit?usp=sharing"",""งบพรบ!CN39"")"),0)</f>
        <v>0</v>
      </c>
      <c r="H39" s="151">
        <f ca="1">IFERROR(__xludf.DUMMYFUNCTION("IMPORTRANGE(""https://docs.google.com/spreadsheets/d/1-uDff_7J0KD5mKrp0Vvzr7lt3OU09vwQwhkpOPPYv2Y/edit?usp=sharing"",""งบพรบ!CP39"")"),34540)</f>
        <v>34540</v>
      </c>
      <c r="I39" s="151">
        <f ca="1">IFERROR(__xludf.DUMMYFUNCTION("IMPORTRANGE(""https://docs.google.com/spreadsheets/d/1-uDff_7J0KD5mKrp0Vvzr7lt3OU09vwQwhkpOPPYv2Y/edit?usp=sharing"",""งบพรบ!CQ39"")"),0)</f>
        <v>0</v>
      </c>
      <c r="J39" s="151">
        <f t="shared" ca="1" si="24"/>
        <v>33670</v>
      </c>
      <c r="K39" s="154">
        <f t="shared" ca="1" si="25"/>
        <v>171.87340479836652</v>
      </c>
      <c r="L39" s="151">
        <f ca="1">IFERROR(__xludf.DUMMYFUNCTION("IMPORTRANGE(""https://docs.google.com/spreadsheets/d/1-uDff_7J0KD5mKrp0Vvzr7lt3OU09vwQwhkpOPPYv2Y/edit?usp=sharing"",""งบพรบ!CR39"")"),33670)</f>
        <v>33670</v>
      </c>
      <c r="M39" s="68">
        <f t="shared" ca="1" si="26"/>
        <v>171.87340479836652</v>
      </c>
      <c r="N39" s="68">
        <f t="shared" ca="1" si="27"/>
        <v>97.481181239143027</v>
      </c>
      <c r="O39" s="67">
        <f ca="1">IFERROR(__xludf.DUMMYFUNCTION("IMPORTRANGE(""https://docs.google.com/spreadsheets/d/1-uDff_7J0KD5mKrp0Vvzr7lt3OU09vwQwhkpOPPYv2Y/edit?usp=sharing"",""งบพรบ!CS39"")"),0)</f>
        <v>0</v>
      </c>
      <c r="P39" s="67">
        <f t="shared" ca="1" si="28"/>
        <v>0</v>
      </c>
      <c r="Q39" s="68">
        <f t="shared" ca="1" si="29"/>
        <v>0</v>
      </c>
      <c r="R39" s="197">
        <f ca="1">IFERROR(__xludf.DUMMYFUNCTION("IMPORTRANGE(""https://docs.google.com/spreadsheets/d/1l6IZ8xUPgMrESzcTYwhA1k_tPjeQjJPTqlm8Gd9eU5g/edit?usp=sharing"",""มหาสารคาม!Q173"")"),0)</f>
        <v>0</v>
      </c>
      <c r="S39" s="67">
        <f ca="1">IFERROR(__xludf.DUMMYFUNCTION("IMPORTRANGE(""https://docs.google.com/spreadsheets/d/1l6IZ8xUPgMrESzcTYwhA1k_tPjeQjJPTqlm8Gd9eU5g/edit?usp=sharing"",""มหาสารคาม!R173"")"),0)</f>
        <v>0</v>
      </c>
      <c r="T39" s="67">
        <f ca="1">IFERROR(__xludf.DUMMYFUNCTION("IMPORTRANGE(""https://docs.google.com/spreadsheets/d/1l6IZ8xUPgMrESzcTYwhA1k_tPjeQjJPTqlm8Gd9eU5g/edit?usp=sharing"",""มหาสารคาม!S173"")"),0)</f>
        <v>0</v>
      </c>
      <c r="U39" s="68">
        <f t="shared" ca="1" si="31"/>
        <v>0</v>
      </c>
      <c r="V39" s="68">
        <f t="shared" ca="1" si="32"/>
        <v>0</v>
      </c>
      <c r="W39" s="78">
        <f ca="1">IFERROR(__xludf.DUMMYFUNCTION("IMPORTRANGE(""https://docs.google.com/spreadsheets/d/1l6IZ8xUPgMrESzcTYwhA1k_tPjeQjJPTqlm8Gd9eU5g/edit?usp=sharing"",""มหาสารคาม!I183"")"),7)</f>
        <v>7</v>
      </c>
      <c r="X39" s="78">
        <f ca="1">IFERROR(__xludf.DUMMYFUNCTION("IMPORTRANGE(""https://docs.google.com/spreadsheets/d/1l6IZ8xUPgMrESzcTYwhA1k_tPjeQjJPTqlm8Gd9eU5g/edit?usp=sharing"",""มหาสารคาม!J183"")"),7)</f>
        <v>7</v>
      </c>
      <c r="Y39" s="79">
        <f t="shared" ca="1" si="34"/>
        <v>100</v>
      </c>
      <c r="Z39" s="215">
        <v>0</v>
      </c>
      <c r="AA39" s="215">
        <v>0</v>
      </c>
      <c r="AB39" s="216">
        <v>0</v>
      </c>
    </row>
    <row r="40" spans="1:28" ht="21" customHeight="1" x14ac:dyDescent="0.3">
      <c r="A40" s="70">
        <v>9</v>
      </c>
      <c r="B40" s="71" t="s">
        <v>68</v>
      </c>
      <c r="C40" s="149">
        <f t="shared" ca="1" si="22"/>
        <v>19590</v>
      </c>
      <c r="D40" s="150">
        <f t="shared" ca="1" si="39"/>
        <v>19590</v>
      </c>
      <c r="E40" s="151">
        <f ca="1">IFERROR(__xludf.DUMMYFUNCTION("IMPORTRANGE(""https://docs.google.com/spreadsheets/d/1-uDff_7J0KD5mKrp0Vvzr7lt3OU09vwQwhkpOPPYv2Y/edit?usp=sharing"",""งบพรบ!CL40"")"),0)</f>
        <v>0</v>
      </c>
      <c r="F40" s="151">
        <f ca="1">IFERROR(__xludf.DUMMYFUNCTION("IMPORTRANGE(""https://docs.google.com/spreadsheets/d/1-uDff_7J0KD5mKrp0Vvzr7lt3OU09vwQwhkpOPPYv2Y/edit?usp=sharing"",""งบพรบ!CM40"")"),19590)</f>
        <v>19590</v>
      </c>
      <c r="G40" s="151">
        <f ca="1">IFERROR(__xludf.DUMMYFUNCTION("IMPORTRANGE(""https://docs.google.com/spreadsheets/d/1-uDff_7J0KD5mKrp0Vvzr7lt3OU09vwQwhkpOPPYv2Y/edit?usp=sharing"",""งบพรบ!CN40"")"),0)</f>
        <v>0</v>
      </c>
      <c r="H40" s="151">
        <f ca="1">IFERROR(__xludf.DUMMYFUNCTION("IMPORTRANGE(""https://docs.google.com/spreadsheets/d/1-uDff_7J0KD5mKrp0Vvzr7lt3OU09vwQwhkpOPPYv2Y/edit?usp=sharing"",""งบพรบ!CP40"")"),35630)</f>
        <v>35630</v>
      </c>
      <c r="I40" s="151">
        <f ca="1">IFERROR(__xludf.DUMMYFUNCTION("IMPORTRANGE(""https://docs.google.com/spreadsheets/d/1-uDff_7J0KD5mKrp0Vvzr7lt3OU09vwQwhkpOPPYv2Y/edit?usp=sharing"",""งบพรบ!CQ40"")"),0)</f>
        <v>0</v>
      </c>
      <c r="J40" s="151">
        <f t="shared" ca="1" si="24"/>
        <v>35630</v>
      </c>
      <c r="K40" s="154">
        <f t="shared" ca="1" si="25"/>
        <v>181.87850944359366</v>
      </c>
      <c r="L40" s="151">
        <f ca="1">IFERROR(__xludf.DUMMYFUNCTION("IMPORTRANGE(""https://docs.google.com/spreadsheets/d/1-uDff_7J0KD5mKrp0Vvzr7lt3OU09vwQwhkpOPPYv2Y/edit?usp=sharing"",""งบพรบ!CR40"")"),35630)</f>
        <v>35630</v>
      </c>
      <c r="M40" s="68">
        <f t="shared" ca="1" si="26"/>
        <v>181.87850944359366</v>
      </c>
      <c r="N40" s="68">
        <f t="shared" ca="1" si="27"/>
        <v>100</v>
      </c>
      <c r="O40" s="67">
        <f ca="1">IFERROR(__xludf.DUMMYFUNCTION("IMPORTRANGE(""https://docs.google.com/spreadsheets/d/1-uDff_7J0KD5mKrp0Vvzr7lt3OU09vwQwhkpOPPYv2Y/edit?usp=sharing"",""งบพรบ!CS40"")"),0)</f>
        <v>0</v>
      </c>
      <c r="P40" s="67">
        <f t="shared" ca="1" si="28"/>
        <v>0</v>
      </c>
      <c r="Q40" s="68">
        <f t="shared" ca="1" si="29"/>
        <v>0</v>
      </c>
      <c r="R40" s="197">
        <f ca="1">IFERROR(__xludf.DUMMYFUNCTION("IMPORTRANGE(""https://docs.google.com/spreadsheets/d/1uB74YLqNjWX6FObjekfB2NtSYigTQyR2rq9u4Ub2Sq4/edit?usp=sharing"",""มุกดาหาร!Q173"")"),0)</f>
        <v>0</v>
      </c>
      <c r="S40" s="67">
        <f ca="1">IFERROR(__xludf.DUMMYFUNCTION("IMPORTRANGE(""https://docs.google.com/spreadsheets/d/1uB74YLqNjWX6FObjekfB2NtSYigTQyR2rq9u4Ub2Sq4/edit?usp=sharing"",""มุกดาหาร!R173"")"),0)</f>
        <v>0</v>
      </c>
      <c r="T40" s="67">
        <f ca="1">IFERROR(__xludf.DUMMYFUNCTION("IMPORTRANGE(""https://docs.google.com/spreadsheets/d/1uB74YLqNjWX6FObjekfB2NtSYigTQyR2rq9u4Ub2Sq4/edit?usp=sharing"",""มุกดาหาร!S173"")"),0)</f>
        <v>0</v>
      </c>
      <c r="U40" s="68">
        <f t="shared" ca="1" si="31"/>
        <v>0</v>
      </c>
      <c r="V40" s="68">
        <f t="shared" ca="1" si="32"/>
        <v>0</v>
      </c>
      <c r="W40" s="78">
        <f ca="1">IFERROR(__xludf.DUMMYFUNCTION("IMPORTRANGE(""https://docs.google.com/spreadsheets/d/1uB74YLqNjWX6FObjekfB2NtSYigTQyR2rq9u4Ub2Sq4/edit?usp=sharing"",""มุกดาหาร!I183"")"),7)</f>
        <v>7</v>
      </c>
      <c r="X40" s="78">
        <f ca="1">IFERROR(__xludf.DUMMYFUNCTION("IMPORTRANGE(""https://docs.google.com/spreadsheets/d/1uB74YLqNjWX6FObjekfB2NtSYigTQyR2rq9u4Ub2Sq4/edit?usp=sharing"",""มุกดาหาร!J183"")"),7)</f>
        <v>7</v>
      </c>
      <c r="Y40" s="79">
        <f t="shared" ca="1" si="34"/>
        <v>100</v>
      </c>
      <c r="Z40" s="215">
        <v>0</v>
      </c>
      <c r="AA40" s="215">
        <v>0</v>
      </c>
      <c r="AB40" s="216">
        <v>0</v>
      </c>
    </row>
    <row r="41" spans="1:28" ht="21" customHeight="1" x14ac:dyDescent="0.3">
      <c r="A41" s="70">
        <v>10</v>
      </c>
      <c r="B41" s="71" t="s">
        <v>69</v>
      </c>
      <c r="C41" s="149">
        <f t="shared" ca="1" si="22"/>
        <v>19590</v>
      </c>
      <c r="D41" s="150">
        <f t="shared" ca="1" si="39"/>
        <v>19590</v>
      </c>
      <c r="E41" s="151">
        <f ca="1">IFERROR(__xludf.DUMMYFUNCTION("IMPORTRANGE(""https://docs.google.com/spreadsheets/d/1-uDff_7J0KD5mKrp0Vvzr7lt3OU09vwQwhkpOPPYv2Y/edit?usp=sharing"",""งบพรบ!CL41"")"),0)</f>
        <v>0</v>
      </c>
      <c r="F41" s="151">
        <f ca="1">IFERROR(__xludf.DUMMYFUNCTION("IMPORTRANGE(""https://docs.google.com/spreadsheets/d/1-uDff_7J0KD5mKrp0Vvzr7lt3OU09vwQwhkpOPPYv2Y/edit?usp=sharing"",""งบพรบ!CM41"")"),19590)</f>
        <v>19590</v>
      </c>
      <c r="G41" s="151">
        <f ca="1">IFERROR(__xludf.DUMMYFUNCTION("IMPORTRANGE(""https://docs.google.com/spreadsheets/d/1-uDff_7J0KD5mKrp0Vvzr7lt3OU09vwQwhkpOPPYv2Y/edit?usp=sharing"",""งบพรบ!CN41"")"),0)</f>
        <v>0</v>
      </c>
      <c r="H41" s="151">
        <f ca="1">IFERROR(__xludf.DUMMYFUNCTION("IMPORTRANGE(""https://docs.google.com/spreadsheets/d/1-uDff_7J0KD5mKrp0Vvzr7lt3OU09vwQwhkpOPPYv2Y/edit?usp=sharing"",""งบพรบ!CP41"")"),34910)</f>
        <v>34910</v>
      </c>
      <c r="I41" s="151">
        <f ca="1">IFERROR(__xludf.DUMMYFUNCTION("IMPORTRANGE(""https://docs.google.com/spreadsheets/d/1-uDff_7J0KD5mKrp0Vvzr7lt3OU09vwQwhkpOPPYv2Y/edit?usp=sharing"",""งบพรบ!CQ41"")"),0)</f>
        <v>0</v>
      </c>
      <c r="J41" s="151">
        <f t="shared" ca="1" si="24"/>
        <v>34910</v>
      </c>
      <c r="K41" s="154">
        <f t="shared" ca="1" si="25"/>
        <v>178.20316488004084</v>
      </c>
      <c r="L41" s="151">
        <f ca="1">IFERROR(__xludf.DUMMYFUNCTION("IMPORTRANGE(""https://docs.google.com/spreadsheets/d/1-uDff_7J0KD5mKrp0Vvzr7lt3OU09vwQwhkpOPPYv2Y/edit?usp=sharing"",""งบพรบ!CR41"")"),34910)</f>
        <v>34910</v>
      </c>
      <c r="M41" s="68">
        <f t="shared" ca="1" si="26"/>
        <v>178.20316488004084</v>
      </c>
      <c r="N41" s="68">
        <f t="shared" ca="1" si="27"/>
        <v>100</v>
      </c>
      <c r="O41" s="67">
        <f ca="1">IFERROR(__xludf.DUMMYFUNCTION("IMPORTRANGE(""https://docs.google.com/spreadsheets/d/1-uDff_7J0KD5mKrp0Vvzr7lt3OU09vwQwhkpOPPYv2Y/edit?usp=sharing"",""งบพรบ!CS41"")"),0)</f>
        <v>0</v>
      </c>
      <c r="P41" s="67">
        <f t="shared" ca="1" si="28"/>
        <v>0</v>
      </c>
      <c r="Q41" s="68">
        <f t="shared" ca="1" si="29"/>
        <v>0</v>
      </c>
      <c r="R41" s="197">
        <f ca="1">IFERROR(__xludf.DUMMYFUNCTION("IMPORTRANGE(""https://docs.google.com/spreadsheets/d/1NexK3geCPxCTO1fzNF8dPec7yZyUx3OaWkFBC9HsQOo/edit?usp=sharing"",""ยโสธร!Q173"")"),0)</f>
        <v>0</v>
      </c>
      <c r="S41" s="67">
        <f ca="1">IFERROR(__xludf.DUMMYFUNCTION("IMPORTRANGE(""https://docs.google.com/spreadsheets/d/1NexK3geCPxCTO1fzNF8dPec7yZyUx3OaWkFBC9HsQOo/edit?usp=sharing"",""ยโสธร!R173"")"),0)</f>
        <v>0</v>
      </c>
      <c r="T41" s="67">
        <f ca="1">IFERROR(__xludf.DUMMYFUNCTION("IMPORTRANGE(""https://docs.google.com/spreadsheets/d/1NexK3geCPxCTO1fzNF8dPec7yZyUx3OaWkFBC9HsQOo/edit?usp=sharing"",""ยโสธร!S173"")"),0)</f>
        <v>0</v>
      </c>
      <c r="U41" s="68">
        <f t="shared" ca="1" si="31"/>
        <v>0</v>
      </c>
      <c r="V41" s="68">
        <f t="shared" ca="1" si="32"/>
        <v>0</v>
      </c>
      <c r="W41" s="78">
        <f ca="1">IFERROR(__xludf.DUMMYFUNCTION("IMPORTRANGE(""https://docs.google.com/spreadsheets/d/1NexK3geCPxCTO1fzNF8dPec7yZyUx3OaWkFBC9HsQOo/edit?usp=sharing"",""ยโสธร!I183"")"),7)</f>
        <v>7</v>
      </c>
      <c r="X41" s="78">
        <f ca="1">IFERROR(__xludf.DUMMYFUNCTION("IMPORTRANGE(""https://docs.google.com/spreadsheets/d/1NexK3geCPxCTO1fzNF8dPec7yZyUx3OaWkFBC9HsQOo/edit?usp=sharing"",""ยโสธร!J183"")"),7)</f>
        <v>7</v>
      </c>
      <c r="Y41" s="79">
        <f t="shared" ca="1" si="34"/>
        <v>100</v>
      </c>
      <c r="Z41" s="215">
        <v>0</v>
      </c>
      <c r="AA41" s="215">
        <v>0</v>
      </c>
      <c r="AB41" s="216">
        <v>0</v>
      </c>
    </row>
    <row r="42" spans="1:28" ht="21" customHeight="1" x14ac:dyDescent="0.3">
      <c r="A42" s="70">
        <v>11</v>
      </c>
      <c r="B42" s="71" t="s">
        <v>70</v>
      </c>
      <c r="C42" s="149">
        <f t="shared" ca="1" si="22"/>
        <v>19590</v>
      </c>
      <c r="D42" s="150">
        <f t="shared" ca="1" si="39"/>
        <v>19590</v>
      </c>
      <c r="E42" s="151">
        <f ca="1">IFERROR(__xludf.DUMMYFUNCTION("IMPORTRANGE(""https://docs.google.com/spreadsheets/d/1-uDff_7J0KD5mKrp0Vvzr7lt3OU09vwQwhkpOPPYv2Y/edit?usp=sharing"",""งบพรบ!CL42"")"),0)</f>
        <v>0</v>
      </c>
      <c r="F42" s="151">
        <f ca="1">IFERROR(__xludf.DUMMYFUNCTION("IMPORTRANGE(""https://docs.google.com/spreadsheets/d/1-uDff_7J0KD5mKrp0Vvzr7lt3OU09vwQwhkpOPPYv2Y/edit?usp=sharing"",""งบพรบ!CM42"")"),19590)</f>
        <v>19590</v>
      </c>
      <c r="G42" s="151">
        <f ca="1">IFERROR(__xludf.DUMMYFUNCTION("IMPORTRANGE(""https://docs.google.com/spreadsheets/d/1-uDff_7J0KD5mKrp0Vvzr7lt3OU09vwQwhkpOPPYv2Y/edit?usp=sharing"",""งบพรบ!CN42"")"),0)</f>
        <v>0</v>
      </c>
      <c r="H42" s="151">
        <f ca="1">IFERROR(__xludf.DUMMYFUNCTION("IMPORTRANGE(""https://docs.google.com/spreadsheets/d/1-uDff_7J0KD5mKrp0Vvzr7lt3OU09vwQwhkpOPPYv2Y/edit?usp=sharing"",""งบพรบ!CP42"")"),34780)</f>
        <v>34780</v>
      </c>
      <c r="I42" s="151">
        <f ca="1">IFERROR(__xludf.DUMMYFUNCTION("IMPORTRANGE(""https://docs.google.com/spreadsheets/d/1-uDff_7J0KD5mKrp0Vvzr7lt3OU09vwQwhkpOPPYv2Y/edit?usp=sharing"",""งบพรบ!CQ42"")"),0)</f>
        <v>0</v>
      </c>
      <c r="J42" s="151">
        <f t="shared" ca="1" si="24"/>
        <v>34780</v>
      </c>
      <c r="K42" s="154">
        <f t="shared" ca="1" si="25"/>
        <v>177.53956100051047</v>
      </c>
      <c r="L42" s="151">
        <f ca="1">IFERROR(__xludf.DUMMYFUNCTION("IMPORTRANGE(""https://docs.google.com/spreadsheets/d/1-uDff_7J0KD5mKrp0Vvzr7lt3OU09vwQwhkpOPPYv2Y/edit?usp=sharing"",""งบพรบ!CR42"")"),34780)</f>
        <v>34780</v>
      </c>
      <c r="M42" s="68">
        <f t="shared" ca="1" si="26"/>
        <v>177.53956100051047</v>
      </c>
      <c r="N42" s="68">
        <f t="shared" ca="1" si="27"/>
        <v>100</v>
      </c>
      <c r="O42" s="67">
        <f ca="1">IFERROR(__xludf.DUMMYFUNCTION("IMPORTRANGE(""https://docs.google.com/spreadsheets/d/1-uDff_7J0KD5mKrp0Vvzr7lt3OU09vwQwhkpOPPYv2Y/edit?usp=sharing"",""งบพรบ!CS42"")"),0)</f>
        <v>0</v>
      </c>
      <c r="P42" s="67">
        <f t="shared" ca="1" si="28"/>
        <v>0</v>
      </c>
      <c r="Q42" s="68">
        <f t="shared" ca="1" si="29"/>
        <v>0</v>
      </c>
      <c r="R42" s="197">
        <f ca="1">IFERROR(__xludf.DUMMYFUNCTION("IMPORTRANGE(""https://docs.google.com/spreadsheets/d/1v_cJrbBlyqmnHPReHk44g9NrMRdENNlSy_E_c5M9fIg/edit?usp=sharing"",""ร้อยเอ็ด!Q173"")"),0)</f>
        <v>0</v>
      </c>
      <c r="S42" s="67">
        <f ca="1">IFERROR(__xludf.DUMMYFUNCTION("IMPORTRANGE(""https://docs.google.com/spreadsheets/d/1v_cJrbBlyqmnHPReHk44g9NrMRdENNlSy_E_c5M9fIg/edit?usp=sharing"",""ร้อยเอ็ด!R173"")"),0)</f>
        <v>0</v>
      </c>
      <c r="T42" s="67">
        <f ca="1">IFERROR(__xludf.DUMMYFUNCTION("IMPORTRANGE(""https://docs.google.com/spreadsheets/d/1v_cJrbBlyqmnHPReHk44g9NrMRdENNlSy_E_c5M9fIg/edit?usp=sharing"",""ร้อยเอ็ด!S173"")"),0)</f>
        <v>0</v>
      </c>
      <c r="U42" s="68">
        <f t="shared" ca="1" si="31"/>
        <v>0</v>
      </c>
      <c r="V42" s="68">
        <f t="shared" ca="1" si="32"/>
        <v>0</v>
      </c>
      <c r="W42" s="78">
        <f ca="1">IFERROR(__xludf.DUMMYFUNCTION("IMPORTRANGE(""https://docs.google.com/spreadsheets/d/1v_cJrbBlyqmnHPReHk44g9NrMRdENNlSy_E_c5M9fIg/edit?usp=sharing"",""ร้อยเอ็ด!I183"")"),7)</f>
        <v>7</v>
      </c>
      <c r="X42" s="78">
        <f ca="1">IFERROR(__xludf.DUMMYFUNCTION("IMPORTRANGE(""https://docs.google.com/spreadsheets/d/1v_cJrbBlyqmnHPReHk44g9NrMRdENNlSy_E_c5M9fIg/edit?usp=sharing"",""ร้อยเอ็ด!J183"")"),7)</f>
        <v>7</v>
      </c>
      <c r="Y42" s="79">
        <f t="shared" ca="1" si="34"/>
        <v>100</v>
      </c>
      <c r="Z42" s="215">
        <v>0</v>
      </c>
      <c r="AA42" s="215">
        <v>0</v>
      </c>
      <c r="AB42" s="216">
        <v>0</v>
      </c>
    </row>
    <row r="43" spans="1:28" ht="21" customHeight="1" x14ac:dyDescent="0.3">
      <c r="A43" s="70">
        <v>12</v>
      </c>
      <c r="B43" s="71" t="s">
        <v>71</v>
      </c>
      <c r="C43" s="149">
        <f t="shared" ca="1" si="22"/>
        <v>19590</v>
      </c>
      <c r="D43" s="150">
        <f t="shared" ca="1" si="39"/>
        <v>19590</v>
      </c>
      <c r="E43" s="151">
        <f ca="1">IFERROR(__xludf.DUMMYFUNCTION("IMPORTRANGE(""https://docs.google.com/spreadsheets/d/1-uDff_7J0KD5mKrp0Vvzr7lt3OU09vwQwhkpOPPYv2Y/edit?usp=sharing"",""งบพรบ!CL43"")"),0)</f>
        <v>0</v>
      </c>
      <c r="F43" s="151">
        <f ca="1">IFERROR(__xludf.DUMMYFUNCTION("IMPORTRANGE(""https://docs.google.com/spreadsheets/d/1-uDff_7J0KD5mKrp0Vvzr7lt3OU09vwQwhkpOPPYv2Y/edit?usp=sharing"",""งบพรบ!CM43"")"),19590)</f>
        <v>19590</v>
      </c>
      <c r="G43" s="151">
        <f ca="1">IFERROR(__xludf.DUMMYFUNCTION("IMPORTRANGE(""https://docs.google.com/spreadsheets/d/1-uDff_7J0KD5mKrp0Vvzr7lt3OU09vwQwhkpOPPYv2Y/edit?usp=sharing"",""งบพรบ!CN43"")"),0)</f>
        <v>0</v>
      </c>
      <c r="H43" s="151">
        <f ca="1">IFERROR(__xludf.DUMMYFUNCTION("IMPORTRANGE(""https://docs.google.com/spreadsheets/d/1-uDff_7J0KD5mKrp0Vvzr7lt3OU09vwQwhkpOPPYv2Y/edit?usp=sharing"",""งบพรบ!CP43"")"),34830)</f>
        <v>34830</v>
      </c>
      <c r="I43" s="151">
        <f ca="1">IFERROR(__xludf.DUMMYFUNCTION("IMPORTRANGE(""https://docs.google.com/spreadsheets/d/1-uDff_7J0KD5mKrp0Vvzr7lt3OU09vwQwhkpOPPYv2Y/edit?usp=sharing"",""งบพรบ!CQ43"")"),0)</f>
        <v>0</v>
      </c>
      <c r="J43" s="151">
        <f t="shared" ca="1" si="24"/>
        <v>30120</v>
      </c>
      <c r="K43" s="154">
        <f t="shared" ca="1" si="25"/>
        <v>153.75191424196018</v>
      </c>
      <c r="L43" s="151">
        <f ca="1">IFERROR(__xludf.DUMMYFUNCTION("IMPORTRANGE(""https://docs.google.com/spreadsheets/d/1-uDff_7J0KD5mKrp0Vvzr7lt3OU09vwQwhkpOPPYv2Y/edit?usp=sharing"",""งบพรบ!CR43"")"),30120)</f>
        <v>30120</v>
      </c>
      <c r="M43" s="68">
        <f t="shared" ca="1" si="26"/>
        <v>153.75191424196018</v>
      </c>
      <c r="N43" s="68">
        <f t="shared" ca="1" si="27"/>
        <v>86.477174849267868</v>
      </c>
      <c r="O43" s="67">
        <f ca="1">IFERROR(__xludf.DUMMYFUNCTION("IMPORTRANGE(""https://docs.google.com/spreadsheets/d/1-uDff_7J0KD5mKrp0Vvzr7lt3OU09vwQwhkpOPPYv2Y/edit?usp=sharing"",""งบพรบ!CS43"")"),0)</f>
        <v>0</v>
      </c>
      <c r="P43" s="67">
        <f t="shared" ca="1" si="28"/>
        <v>0</v>
      </c>
      <c r="Q43" s="68">
        <f t="shared" ca="1" si="29"/>
        <v>0</v>
      </c>
      <c r="R43" s="197">
        <f ca="1">IFERROR(__xludf.DUMMYFUNCTION("IMPORTRANGE(""https://docs.google.com/spreadsheets/d/1Ul4RCpCX66NxYADU1QpwAPjOmBzW64SsT11s1wzXw_c/edit?usp=sharing"",""เลย!Q173"")"),21200)</f>
        <v>21200</v>
      </c>
      <c r="S43" s="67">
        <f ca="1">IFERROR(__xludf.DUMMYFUNCTION("IMPORTRANGE(""https://docs.google.com/spreadsheets/d/1Ul4RCpCX66NxYADU1QpwAPjOmBzW64SsT11s1wzXw_c/edit?usp=sharing"",""เลย!R173"")"),21200)</f>
        <v>21200</v>
      </c>
      <c r="T43" s="67">
        <f ca="1">IFERROR(__xludf.DUMMYFUNCTION("IMPORTRANGE(""https://docs.google.com/spreadsheets/d/1Ul4RCpCX66NxYADU1QpwAPjOmBzW64SsT11s1wzXw_c/edit?usp=sharing"",""เลย!S173"")"),18780)</f>
        <v>18780</v>
      </c>
      <c r="U43" s="68">
        <f t="shared" ca="1" si="31"/>
        <v>88.584905660377359</v>
      </c>
      <c r="V43" s="68">
        <f t="shared" ca="1" si="32"/>
        <v>88.584905660377359</v>
      </c>
      <c r="W43" s="78">
        <f ca="1">IFERROR(__xludf.DUMMYFUNCTION("IMPORTRANGE(""https://docs.google.com/spreadsheets/d/1Ul4RCpCX66NxYADU1QpwAPjOmBzW64SsT11s1wzXw_c/edit?usp=sharing"",""เลย!I183"")"),15)</f>
        <v>15</v>
      </c>
      <c r="X43" s="78">
        <f ca="1">IFERROR(__xludf.DUMMYFUNCTION("IMPORTRANGE(""https://docs.google.com/spreadsheets/d/1Ul4RCpCX66NxYADU1QpwAPjOmBzW64SsT11s1wzXw_c/edit?usp=sharing"",""เลย!J183"")"),15)</f>
        <v>15</v>
      </c>
      <c r="Y43" s="79">
        <f t="shared" ca="1" si="34"/>
        <v>100</v>
      </c>
      <c r="Z43" s="215">
        <v>0</v>
      </c>
      <c r="AA43" s="215">
        <v>0</v>
      </c>
      <c r="AB43" s="216">
        <v>0</v>
      </c>
    </row>
    <row r="44" spans="1:28" ht="21" customHeight="1" x14ac:dyDescent="0.3">
      <c r="A44" s="70">
        <v>13</v>
      </c>
      <c r="B44" s="71" t="s">
        <v>72</v>
      </c>
      <c r="C44" s="149">
        <f t="shared" ca="1" si="22"/>
        <v>19590</v>
      </c>
      <c r="D44" s="150">
        <f t="shared" ca="1" si="39"/>
        <v>19590</v>
      </c>
      <c r="E44" s="151">
        <f ca="1">IFERROR(__xludf.DUMMYFUNCTION("IMPORTRANGE(""https://docs.google.com/spreadsheets/d/1-uDff_7J0KD5mKrp0Vvzr7lt3OU09vwQwhkpOPPYv2Y/edit?usp=sharing"",""งบพรบ!CL44"")"),0)</f>
        <v>0</v>
      </c>
      <c r="F44" s="151">
        <f ca="1">IFERROR(__xludf.DUMMYFUNCTION("IMPORTRANGE(""https://docs.google.com/spreadsheets/d/1-uDff_7J0KD5mKrp0Vvzr7lt3OU09vwQwhkpOPPYv2Y/edit?usp=sharing"",""งบพรบ!CM44"")"),19590)</f>
        <v>19590</v>
      </c>
      <c r="G44" s="151">
        <f ca="1">IFERROR(__xludf.DUMMYFUNCTION("IMPORTRANGE(""https://docs.google.com/spreadsheets/d/1-uDff_7J0KD5mKrp0Vvzr7lt3OU09vwQwhkpOPPYv2Y/edit?usp=sharing"",""งบพรบ!CN44"")"),0)</f>
        <v>0</v>
      </c>
      <c r="H44" s="151">
        <f ca="1">IFERROR(__xludf.DUMMYFUNCTION("IMPORTRANGE(""https://docs.google.com/spreadsheets/d/1-uDff_7J0KD5mKrp0Vvzr7lt3OU09vwQwhkpOPPYv2Y/edit?usp=sharing"",""งบพรบ!CP44"")"),30170)</f>
        <v>30170</v>
      </c>
      <c r="I44" s="151">
        <f ca="1">IFERROR(__xludf.DUMMYFUNCTION("IMPORTRANGE(""https://docs.google.com/spreadsheets/d/1-uDff_7J0KD5mKrp0Vvzr7lt3OU09vwQwhkpOPPYv2Y/edit?usp=sharing"",""งบพรบ!CQ44"")"),0)</f>
        <v>0</v>
      </c>
      <c r="J44" s="151">
        <f t="shared" ca="1" si="24"/>
        <v>30170</v>
      </c>
      <c r="K44" s="154">
        <f t="shared" ca="1" si="25"/>
        <v>154.00714650331801</v>
      </c>
      <c r="L44" s="151">
        <f ca="1">IFERROR(__xludf.DUMMYFUNCTION("IMPORTRANGE(""https://docs.google.com/spreadsheets/d/1-uDff_7J0KD5mKrp0Vvzr7lt3OU09vwQwhkpOPPYv2Y/edit?usp=sharing"",""งบพรบ!CR44"")"),30170)</f>
        <v>30170</v>
      </c>
      <c r="M44" s="68">
        <f t="shared" ca="1" si="26"/>
        <v>154.00714650331801</v>
      </c>
      <c r="N44" s="68">
        <f t="shared" ca="1" si="27"/>
        <v>100</v>
      </c>
      <c r="O44" s="67">
        <f ca="1">IFERROR(__xludf.DUMMYFUNCTION("IMPORTRANGE(""https://docs.google.com/spreadsheets/d/1-uDff_7J0KD5mKrp0Vvzr7lt3OU09vwQwhkpOPPYv2Y/edit?usp=sharing"",""งบพรบ!CS44"")"),0)</f>
        <v>0</v>
      </c>
      <c r="P44" s="67">
        <f t="shared" ca="1" si="28"/>
        <v>0</v>
      </c>
      <c r="Q44" s="68">
        <f t="shared" ca="1" si="29"/>
        <v>0</v>
      </c>
      <c r="R44" s="197">
        <f ca="1">IFERROR(__xludf.DUMMYFUNCTION("IMPORTRANGE(""https://docs.google.com/spreadsheets/d/1bRrNKwbHDVktQG10isr5vbWRtt5spIZPpkOSWgbT5ug/edit?usp=sharing"",""ศรีสะเกษ!Q173"")"),0)</f>
        <v>0</v>
      </c>
      <c r="S44" s="67">
        <f ca="1">IFERROR(__xludf.DUMMYFUNCTION("IMPORTRANGE(""https://docs.google.com/spreadsheets/d/1bRrNKwbHDVktQG10isr5vbWRtt5spIZPpkOSWgbT5ug/edit?usp=sharing"",""ศรีสะเกษ!R173"")"),0)</f>
        <v>0</v>
      </c>
      <c r="T44" s="67">
        <f ca="1">IFERROR(__xludf.DUMMYFUNCTION("IMPORTRANGE(""https://docs.google.com/spreadsheets/d/1bRrNKwbHDVktQG10isr5vbWRtt5spIZPpkOSWgbT5ug/edit?usp=sharing"",""ศรีสะเกษ!S173"")"),0)</f>
        <v>0</v>
      </c>
      <c r="U44" s="68">
        <f t="shared" ca="1" si="31"/>
        <v>0</v>
      </c>
      <c r="V44" s="68">
        <f t="shared" ca="1" si="32"/>
        <v>0</v>
      </c>
      <c r="W44" s="78">
        <f ca="1">IFERROR(__xludf.DUMMYFUNCTION("IMPORTRANGE(""https://docs.google.com/spreadsheets/d/1bRrNKwbHDVktQG10isr5vbWRtt5spIZPpkOSWgbT5ug/edit?usp=sharing"",""ศรีสะเกษ!I183"")"),7)</f>
        <v>7</v>
      </c>
      <c r="X44" s="78">
        <f ca="1">IFERROR(__xludf.DUMMYFUNCTION("IMPORTRANGE(""https://docs.google.com/spreadsheets/d/1bRrNKwbHDVktQG10isr5vbWRtt5spIZPpkOSWgbT5ug/edit?usp=sharing"",""ศรีสะเกษ!J183"")"),7)</f>
        <v>7</v>
      </c>
      <c r="Y44" s="79">
        <f t="shared" ca="1" si="34"/>
        <v>100</v>
      </c>
      <c r="Z44" s="215">
        <v>0</v>
      </c>
      <c r="AA44" s="215">
        <v>0</v>
      </c>
      <c r="AB44" s="216">
        <v>0</v>
      </c>
    </row>
    <row r="45" spans="1:28" ht="21" customHeight="1" x14ac:dyDescent="0.3">
      <c r="A45" s="70">
        <v>14</v>
      </c>
      <c r="B45" s="71" t="s">
        <v>73</v>
      </c>
      <c r="C45" s="149">
        <f t="shared" ca="1" si="22"/>
        <v>19590</v>
      </c>
      <c r="D45" s="150">
        <f t="shared" ca="1" si="39"/>
        <v>19590</v>
      </c>
      <c r="E45" s="151">
        <f ca="1">IFERROR(__xludf.DUMMYFUNCTION("IMPORTRANGE(""https://docs.google.com/spreadsheets/d/1-uDff_7J0KD5mKrp0Vvzr7lt3OU09vwQwhkpOPPYv2Y/edit?usp=sharing"",""งบพรบ!CL45"")"),0)</f>
        <v>0</v>
      </c>
      <c r="F45" s="151">
        <f ca="1">IFERROR(__xludf.DUMMYFUNCTION("IMPORTRANGE(""https://docs.google.com/spreadsheets/d/1-uDff_7J0KD5mKrp0Vvzr7lt3OU09vwQwhkpOPPYv2Y/edit?usp=sharing"",""งบพรบ!CM45"")"),19590)</f>
        <v>19590</v>
      </c>
      <c r="G45" s="151">
        <f ca="1">IFERROR(__xludf.DUMMYFUNCTION("IMPORTRANGE(""https://docs.google.com/spreadsheets/d/1-uDff_7J0KD5mKrp0Vvzr7lt3OU09vwQwhkpOPPYv2Y/edit?usp=sharing"",""งบพรบ!CN45"")"),0)</f>
        <v>0</v>
      </c>
      <c r="H45" s="151">
        <f ca="1">IFERROR(__xludf.DUMMYFUNCTION("IMPORTRANGE(""https://docs.google.com/spreadsheets/d/1-uDff_7J0KD5mKrp0Vvzr7lt3OU09vwQwhkpOPPYv2Y/edit?usp=sharing"",""งบพรบ!CP45"")"),35660)</f>
        <v>35660</v>
      </c>
      <c r="I45" s="151">
        <f ca="1">IFERROR(__xludf.DUMMYFUNCTION("IMPORTRANGE(""https://docs.google.com/spreadsheets/d/1-uDff_7J0KD5mKrp0Vvzr7lt3OU09vwQwhkpOPPYv2Y/edit?usp=sharing"",""งบพรบ!CQ45"")"),0)</f>
        <v>0</v>
      </c>
      <c r="J45" s="151">
        <f t="shared" ca="1" si="24"/>
        <v>35660</v>
      </c>
      <c r="K45" s="154">
        <f t="shared" ca="1" si="25"/>
        <v>182.03164880040836</v>
      </c>
      <c r="L45" s="151">
        <f ca="1">IFERROR(__xludf.DUMMYFUNCTION("IMPORTRANGE(""https://docs.google.com/spreadsheets/d/1-uDff_7J0KD5mKrp0Vvzr7lt3OU09vwQwhkpOPPYv2Y/edit?usp=sharing"",""งบพรบ!CR45"")"),35660)</f>
        <v>35660</v>
      </c>
      <c r="M45" s="68">
        <f t="shared" ca="1" si="26"/>
        <v>182.03164880040836</v>
      </c>
      <c r="N45" s="68">
        <f t="shared" ca="1" si="27"/>
        <v>100</v>
      </c>
      <c r="O45" s="67">
        <f ca="1">IFERROR(__xludf.DUMMYFUNCTION("IMPORTRANGE(""https://docs.google.com/spreadsheets/d/1-uDff_7J0KD5mKrp0Vvzr7lt3OU09vwQwhkpOPPYv2Y/edit?usp=sharing"",""งบพรบ!CS45"")"),0)</f>
        <v>0</v>
      </c>
      <c r="P45" s="67">
        <f t="shared" ca="1" si="28"/>
        <v>0</v>
      </c>
      <c r="Q45" s="68">
        <f t="shared" ca="1" si="29"/>
        <v>0</v>
      </c>
      <c r="R45" s="197">
        <f ca="1">IFERROR(__xludf.DUMMYFUNCTION("IMPORTRANGE(""https://docs.google.com/spreadsheets/d/17P34_Ow5kFBfdQD0qspb2UuPX5zpi6WMrQzslghyvrI/edit?usp=sharing"",""สกลนคร!Q173"")"),0)</f>
        <v>0</v>
      </c>
      <c r="S45" s="67">
        <f ca="1">IFERROR(__xludf.DUMMYFUNCTION("IMPORTRANGE(""https://docs.google.com/spreadsheets/d/17P34_Ow5kFBfdQD0qspb2UuPX5zpi6WMrQzslghyvrI/edit?usp=sharing"",""สกลนคร!R173"")"),0)</f>
        <v>0</v>
      </c>
      <c r="T45" s="67">
        <f ca="1">IFERROR(__xludf.DUMMYFUNCTION("IMPORTRANGE(""https://docs.google.com/spreadsheets/d/17P34_Ow5kFBfdQD0qspb2UuPX5zpi6WMrQzslghyvrI/edit?usp=sharing"",""สกลนคร!S173"")"),0)</f>
        <v>0</v>
      </c>
      <c r="U45" s="68">
        <f t="shared" ca="1" si="31"/>
        <v>0</v>
      </c>
      <c r="V45" s="68">
        <f t="shared" ca="1" si="32"/>
        <v>0</v>
      </c>
      <c r="W45" s="78">
        <f ca="1">IFERROR(__xludf.DUMMYFUNCTION("IMPORTRANGE(""https://docs.google.com/spreadsheets/d/17P34_Ow5kFBfdQD0qspb2UuPX5zpi6WMrQzslghyvrI/edit?usp=sharing"",""สกลนคร!I183"")"),7)</f>
        <v>7</v>
      </c>
      <c r="X45" s="78">
        <f ca="1">IFERROR(__xludf.DUMMYFUNCTION("IMPORTRANGE(""https://docs.google.com/spreadsheets/d/17P34_Ow5kFBfdQD0qspb2UuPX5zpi6WMrQzslghyvrI/edit?usp=sharing"",""สกลนคร!J183"")"),7)</f>
        <v>7</v>
      </c>
      <c r="Y45" s="79">
        <f t="shared" ca="1" si="34"/>
        <v>100</v>
      </c>
      <c r="Z45" s="215">
        <v>0</v>
      </c>
      <c r="AA45" s="215">
        <v>0</v>
      </c>
      <c r="AB45" s="216">
        <v>0</v>
      </c>
    </row>
    <row r="46" spans="1:28" ht="21" customHeight="1" x14ac:dyDescent="0.3">
      <c r="A46" s="70">
        <v>15</v>
      </c>
      <c r="B46" s="71" t="s">
        <v>74</v>
      </c>
      <c r="C46" s="149">
        <f t="shared" ca="1" si="22"/>
        <v>19590</v>
      </c>
      <c r="D46" s="150">
        <f t="shared" ca="1" si="39"/>
        <v>19590</v>
      </c>
      <c r="E46" s="151">
        <f ca="1">IFERROR(__xludf.DUMMYFUNCTION("IMPORTRANGE(""https://docs.google.com/spreadsheets/d/1-uDff_7J0KD5mKrp0Vvzr7lt3OU09vwQwhkpOPPYv2Y/edit?usp=sharing"",""งบพรบ!CL46"")"),0)</f>
        <v>0</v>
      </c>
      <c r="F46" s="151">
        <f ca="1">IFERROR(__xludf.DUMMYFUNCTION("IMPORTRANGE(""https://docs.google.com/spreadsheets/d/1-uDff_7J0KD5mKrp0Vvzr7lt3OU09vwQwhkpOPPYv2Y/edit?usp=sharing"",""งบพรบ!CM46"")"),19590)</f>
        <v>19590</v>
      </c>
      <c r="G46" s="151">
        <f ca="1">IFERROR(__xludf.DUMMYFUNCTION("IMPORTRANGE(""https://docs.google.com/spreadsheets/d/1-uDff_7J0KD5mKrp0Vvzr7lt3OU09vwQwhkpOPPYv2Y/edit?usp=sharing"",""งบพรบ!CN46"")"),0)</f>
        <v>0</v>
      </c>
      <c r="H46" s="151">
        <f ca="1">IFERROR(__xludf.DUMMYFUNCTION("IMPORTRANGE(""https://docs.google.com/spreadsheets/d/1-uDff_7J0KD5mKrp0Vvzr7lt3OU09vwQwhkpOPPYv2Y/edit?usp=sharing"",""งบพรบ!CP46"")"),34430)</f>
        <v>34430</v>
      </c>
      <c r="I46" s="151">
        <f ca="1">IFERROR(__xludf.DUMMYFUNCTION("IMPORTRANGE(""https://docs.google.com/spreadsheets/d/1-uDff_7J0KD5mKrp0Vvzr7lt3OU09vwQwhkpOPPYv2Y/edit?usp=sharing"",""งบพรบ!CQ46"")"),0)</f>
        <v>0</v>
      </c>
      <c r="J46" s="151">
        <f t="shared" ca="1" si="24"/>
        <v>34430</v>
      </c>
      <c r="K46" s="154">
        <f t="shared" ca="1" si="25"/>
        <v>175.75293517100562</v>
      </c>
      <c r="L46" s="151">
        <f ca="1">IFERROR(__xludf.DUMMYFUNCTION("IMPORTRANGE(""https://docs.google.com/spreadsheets/d/1-uDff_7J0KD5mKrp0Vvzr7lt3OU09vwQwhkpOPPYv2Y/edit?usp=sharing"",""งบพรบ!CR46"")"),34430)</f>
        <v>34430</v>
      </c>
      <c r="M46" s="68">
        <f t="shared" ca="1" si="26"/>
        <v>175.75293517100562</v>
      </c>
      <c r="N46" s="68">
        <f t="shared" ca="1" si="27"/>
        <v>100</v>
      </c>
      <c r="O46" s="67">
        <f ca="1">IFERROR(__xludf.DUMMYFUNCTION("IMPORTRANGE(""https://docs.google.com/spreadsheets/d/1-uDff_7J0KD5mKrp0Vvzr7lt3OU09vwQwhkpOPPYv2Y/edit?usp=sharing"",""งบพรบ!CS46"")"),0)</f>
        <v>0</v>
      </c>
      <c r="P46" s="67">
        <f t="shared" ca="1" si="28"/>
        <v>0</v>
      </c>
      <c r="Q46" s="68">
        <f t="shared" ca="1" si="29"/>
        <v>0</v>
      </c>
      <c r="R46" s="197">
        <f ca="1">IFERROR(__xludf.DUMMYFUNCTION("IMPORTRANGE(""https://docs.google.com/spreadsheets/d/1yswqbM3-AEpThF3ZSUa1AcmHnmRTF1vlJ1CZGcJ8YuU/edit?usp=sharing"",""สุรินทร์!Q173"")"),21200)</f>
        <v>21200</v>
      </c>
      <c r="S46" s="67">
        <f ca="1">IFERROR(__xludf.DUMMYFUNCTION("IMPORTRANGE(""https://docs.google.com/spreadsheets/d/1yswqbM3-AEpThF3ZSUa1AcmHnmRTF1vlJ1CZGcJ8YuU/edit?usp=sharing"",""สุรินทร์!R173"")"),21200)</f>
        <v>21200</v>
      </c>
      <c r="T46" s="67">
        <f ca="1">IFERROR(__xludf.DUMMYFUNCTION("IMPORTRANGE(""https://docs.google.com/spreadsheets/d/1yswqbM3-AEpThF3ZSUa1AcmHnmRTF1vlJ1CZGcJ8YuU/edit?usp=sharing"",""สุรินทร์!S173"")"),20810)</f>
        <v>20810</v>
      </c>
      <c r="U46" s="68">
        <f t="shared" ca="1" si="31"/>
        <v>98.160377358490564</v>
      </c>
      <c r="V46" s="68">
        <f t="shared" ca="1" si="32"/>
        <v>98.160377358490564</v>
      </c>
      <c r="W46" s="78">
        <f ca="1">IFERROR(__xludf.DUMMYFUNCTION("IMPORTRANGE(""https://docs.google.com/spreadsheets/d/1yswqbM3-AEpThF3ZSUa1AcmHnmRTF1vlJ1CZGcJ8YuU/edit?usp=sharing"",""สุรินทร์!I183"")"),15)</f>
        <v>15</v>
      </c>
      <c r="X46" s="78">
        <f ca="1">IFERROR(__xludf.DUMMYFUNCTION("IMPORTRANGE(""https://docs.google.com/spreadsheets/d/1yswqbM3-AEpThF3ZSUa1AcmHnmRTF1vlJ1CZGcJ8YuU/edit?usp=sharing"",""สุรินทร์!J183"")"),15)</f>
        <v>15</v>
      </c>
      <c r="Y46" s="79">
        <f t="shared" ca="1" si="34"/>
        <v>100</v>
      </c>
      <c r="Z46" s="215">
        <v>0</v>
      </c>
      <c r="AA46" s="215">
        <v>0</v>
      </c>
      <c r="AB46" s="216">
        <v>0</v>
      </c>
    </row>
    <row r="47" spans="1:28" ht="21" customHeight="1" x14ac:dyDescent="0.3">
      <c r="A47" s="70">
        <v>16</v>
      </c>
      <c r="B47" s="71" t="s">
        <v>75</v>
      </c>
      <c r="C47" s="149">
        <f t="shared" ca="1" si="22"/>
        <v>19590</v>
      </c>
      <c r="D47" s="150">
        <f t="shared" ca="1" si="39"/>
        <v>19590</v>
      </c>
      <c r="E47" s="151">
        <f ca="1">IFERROR(__xludf.DUMMYFUNCTION("IMPORTRANGE(""https://docs.google.com/spreadsheets/d/1-uDff_7J0KD5mKrp0Vvzr7lt3OU09vwQwhkpOPPYv2Y/edit?usp=sharing"",""งบพรบ!CL47"")"),0)</f>
        <v>0</v>
      </c>
      <c r="F47" s="151">
        <f ca="1">IFERROR(__xludf.DUMMYFUNCTION("IMPORTRANGE(""https://docs.google.com/spreadsheets/d/1-uDff_7J0KD5mKrp0Vvzr7lt3OU09vwQwhkpOPPYv2Y/edit?usp=sharing"",""งบพรบ!CM47"")"),19590)</f>
        <v>19590</v>
      </c>
      <c r="G47" s="151">
        <f ca="1">IFERROR(__xludf.DUMMYFUNCTION("IMPORTRANGE(""https://docs.google.com/spreadsheets/d/1-uDff_7J0KD5mKrp0Vvzr7lt3OU09vwQwhkpOPPYv2Y/edit?usp=sharing"",""งบพรบ!CN47"")"),0)</f>
        <v>0</v>
      </c>
      <c r="H47" s="151">
        <f ca="1">IFERROR(__xludf.DUMMYFUNCTION("IMPORTRANGE(""https://docs.google.com/spreadsheets/d/1-uDff_7J0KD5mKrp0Vvzr7lt3OU09vwQwhkpOPPYv2Y/edit?usp=sharing"",""งบพรบ!CP47"")"),35450)</f>
        <v>35450</v>
      </c>
      <c r="I47" s="151">
        <f ca="1">IFERROR(__xludf.DUMMYFUNCTION("IMPORTRANGE(""https://docs.google.com/spreadsheets/d/1-uDff_7J0KD5mKrp0Vvzr7lt3OU09vwQwhkpOPPYv2Y/edit?usp=sharing"",""งบพรบ!CQ47"")"),0)</f>
        <v>0</v>
      </c>
      <c r="J47" s="151">
        <f t="shared" ca="1" si="24"/>
        <v>35450</v>
      </c>
      <c r="K47" s="154">
        <f t="shared" ca="1" si="25"/>
        <v>180.95967330270545</v>
      </c>
      <c r="L47" s="151">
        <f ca="1">IFERROR(__xludf.DUMMYFUNCTION("IMPORTRANGE(""https://docs.google.com/spreadsheets/d/1-uDff_7J0KD5mKrp0Vvzr7lt3OU09vwQwhkpOPPYv2Y/edit?usp=sharing"",""งบพรบ!CR47"")"),35450)</f>
        <v>35450</v>
      </c>
      <c r="M47" s="68">
        <f t="shared" ca="1" si="26"/>
        <v>180.95967330270545</v>
      </c>
      <c r="N47" s="68">
        <f t="shared" ca="1" si="27"/>
        <v>100</v>
      </c>
      <c r="O47" s="67">
        <f ca="1">IFERROR(__xludf.DUMMYFUNCTION("IMPORTRANGE(""https://docs.google.com/spreadsheets/d/1-uDff_7J0KD5mKrp0Vvzr7lt3OU09vwQwhkpOPPYv2Y/edit?usp=sharing"",""งบพรบ!CS47"")"),0)</f>
        <v>0</v>
      </c>
      <c r="P47" s="67">
        <f t="shared" ca="1" si="28"/>
        <v>0</v>
      </c>
      <c r="Q47" s="68">
        <f t="shared" ca="1" si="29"/>
        <v>0</v>
      </c>
      <c r="R47" s="197">
        <f ca="1">IFERROR(__xludf.DUMMYFUNCTION("IMPORTRANGE(""https://docs.google.com/spreadsheets/d/13JHU_EFbsQOUQ0JSQ3dWy1VTRosIWcDq6Nc99z2qzdc/edit?usp=sharing"",""หนองคาย!Q173"")"),21200)</f>
        <v>21200</v>
      </c>
      <c r="S47" s="67">
        <f ca="1">IFERROR(__xludf.DUMMYFUNCTION("IMPORTRANGE(""https://docs.google.com/spreadsheets/d/13JHU_EFbsQOUQ0JSQ3dWy1VTRosIWcDq6Nc99z2qzdc/edit?usp=sharing"",""หนองคาย!R173"")"),21200)</f>
        <v>21200</v>
      </c>
      <c r="T47" s="67">
        <f ca="1">IFERROR(__xludf.DUMMYFUNCTION("IMPORTRANGE(""https://docs.google.com/spreadsheets/d/13JHU_EFbsQOUQ0JSQ3dWy1VTRosIWcDq6Nc99z2qzdc/edit?usp=sharing"",""หนองคาย!S173"")"),21200)</f>
        <v>21200</v>
      </c>
      <c r="U47" s="68">
        <f t="shared" ca="1" si="31"/>
        <v>100</v>
      </c>
      <c r="V47" s="68">
        <f t="shared" ca="1" si="32"/>
        <v>100</v>
      </c>
      <c r="W47" s="78">
        <f ca="1">IFERROR(__xludf.DUMMYFUNCTION("IMPORTRANGE(""https://docs.google.com/spreadsheets/d/13JHU_EFbsQOUQ0JSQ3dWy1VTRosIWcDq6Nc99z2qzdc/edit?usp=sharing"",""หนองคาย!I183"")"),15)</f>
        <v>15</v>
      </c>
      <c r="X47" s="78">
        <f ca="1">IFERROR(__xludf.DUMMYFUNCTION("IMPORTRANGE(""https://docs.google.com/spreadsheets/d/13JHU_EFbsQOUQ0JSQ3dWy1VTRosIWcDq6Nc99z2qzdc/edit?usp=sharing"",""หนองคาย!J183"")"),15)</f>
        <v>15</v>
      </c>
      <c r="Y47" s="79">
        <f t="shared" ca="1" si="34"/>
        <v>100</v>
      </c>
      <c r="Z47" s="215">
        <v>0</v>
      </c>
      <c r="AA47" s="215">
        <v>0</v>
      </c>
      <c r="AB47" s="216">
        <v>0</v>
      </c>
    </row>
    <row r="48" spans="1:28" ht="21" customHeight="1" x14ac:dyDescent="0.3">
      <c r="A48" s="70">
        <v>17</v>
      </c>
      <c r="B48" s="71" t="s">
        <v>76</v>
      </c>
      <c r="C48" s="149">
        <f t="shared" ca="1" si="22"/>
        <v>19590</v>
      </c>
      <c r="D48" s="150">
        <f t="shared" ca="1" si="39"/>
        <v>19590</v>
      </c>
      <c r="E48" s="151">
        <f ca="1">IFERROR(__xludf.DUMMYFUNCTION("IMPORTRANGE(""https://docs.google.com/spreadsheets/d/1-uDff_7J0KD5mKrp0Vvzr7lt3OU09vwQwhkpOPPYv2Y/edit?usp=sharing"",""งบพรบ!CL48"")"),0)</f>
        <v>0</v>
      </c>
      <c r="F48" s="151">
        <f ca="1">IFERROR(__xludf.DUMMYFUNCTION("IMPORTRANGE(""https://docs.google.com/spreadsheets/d/1-uDff_7J0KD5mKrp0Vvzr7lt3OU09vwQwhkpOPPYv2Y/edit?usp=sharing"",""งบพรบ!CM48"")"),19590)</f>
        <v>19590</v>
      </c>
      <c r="G48" s="151">
        <f ca="1">IFERROR(__xludf.DUMMYFUNCTION("IMPORTRANGE(""https://docs.google.com/spreadsheets/d/1-uDff_7J0KD5mKrp0Vvzr7lt3OU09vwQwhkpOPPYv2Y/edit?usp=sharing"",""งบพรบ!CN48"")"),0)</f>
        <v>0</v>
      </c>
      <c r="H48" s="151">
        <f ca="1">IFERROR(__xludf.DUMMYFUNCTION("IMPORTRANGE(""https://docs.google.com/spreadsheets/d/1-uDff_7J0KD5mKrp0Vvzr7lt3OU09vwQwhkpOPPYv2Y/edit?usp=sharing"",""งบพรบ!CP48"")"),35210)</f>
        <v>35210</v>
      </c>
      <c r="I48" s="151">
        <f ca="1">IFERROR(__xludf.DUMMYFUNCTION("IMPORTRANGE(""https://docs.google.com/spreadsheets/d/1-uDff_7J0KD5mKrp0Vvzr7lt3OU09vwQwhkpOPPYv2Y/edit?usp=sharing"",""งบพรบ!CQ48"")"),0)</f>
        <v>0</v>
      </c>
      <c r="J48" s="151">
        <f t="shared" ca="1" si="24"/>
        <v>34825</v>
      </c>
      <c r="K48" s="154">
        <f t="shared" ca="1" si="25"/>
        <v>177.76927003573252</v>
      </c>
      <c r="L48" s="151">
        <f ca="1">IFERROR(__xludf.DUMMYFUNCTION("IMPORTRANGE(""https://docs.google.com/spreadsheets/d/1-uDff_7J0KD5mKrp0Vvzr7lt3OU09vwQwhkpOPPYv2Y/edit?usp=sharing"",""งบพรบ!CR48"")"),34825)</f>
        <v>34825</v>
      </c>
      <c r="M48" s="68">
        <f t="shared" ca="1" si="26"/>
        <v>177.76927003573252</v>
      </c>
      <c r="N48" s="68">
        <f t="shared" ca="1" si="27"/>
        <v>98.906560636182903</v>
      </c>
      <c r="O48" s="67">
        <f ca="1">IFERROR(__xludf.DUMMYFUNCTION("IMPORTRANGE(""https://docs.google.com/spreadsheets/d/1-uDff_7J0KD5mKrp0Vvzr7lt3OU09vwQwhkpOPPYv2Y/edit?usp=sharing"",""งบพรบ!CS48"")"),0)</f>
        <v>0</v>
      </c>
      <c r="P48" s="67">
        <f t="shared" ca="1" si="28"/>
        <v>0</v>
      </c>
      <c r="Q48" s="68">
        <f t="shared" ca="1" si="29"/>
        <v>0</v>
      </c>
      <c r="R48" s="197">
        <f ca="1">IFERROR(__xludf.DUMMYFUNCTION("IMPORTRANGE(""https://docs.google.com/spreadsheets/d/1Hx73zIEgVdDZZaYSTc46Dqv64atFhpr3GelxLbaIN8A/edit?usp=sharing"",""หนองบัวลำภู!Q173"")"),0)</f>
        <v>0</v>
      </c>
      <c r="S48" s="67">
        <f ca="1">IFERROR(__xludf.DUMMYFUNCTION("IMPORTRANGE(""https://docs.google.com/spreadsheets/d/1Hx73zIEgVdDZZaYSTc46Dqv64atFhpr3GelxLbaIN8A/edit?usp=sharing"",""หนองบัวลำภู!R173"")"),0)</f>
        <v>0</v>
      </c>
      <c r="T48" s="67">
        <f ca="1">IFERROR(__xludf.DUMMYFUNCTION("IMPORTRANGE(""https://docs.google.com/spreadsheets/d/1Hx73zIEgVdDZZaYSTc46Dqv64atFhpr3GelxLbaIN8A/edit?usp=sharing"",""หนองบัวลำภู!S173"")"),0)</f>
        <v>0</v>
      </c>
      <c r="U48" s="68">
        <f t="shared" ca="1" si="31"/>
        <v>0</v>
      </c>
      <c r="V48" s="68">
        <f t="shared" ca="1" si="32"/>
        <v>0</v>
      </c>
      <c r="W48" s="78">
        <f ca="1">IFERROR(__xludf.DUMMYFUNCTION("IMPORTRANGE(""https://docs.google.com/spreadsheets/d/1Hx73zIEgVdDZZaYSTc46Dqv64atFhpr3GelxLbaIN8A/edit?usp=sharing"",""หนองบัวลำภู!I183"")"),7)</f>
        <v>7</v>
      </c>
      <c r="X48" s="78">
        <f ca="1">IFERROR(__xludf.DUMMYFUNCTION("IMPORTRANGE(""https://docs.google.com/spreadsheets/d/1Hx73zIEgVdDZZaYSTc46Dqv64atFhpr3GelxLbaIN8A/edit?usp=sharing"",""หนองบัวลำภู!J183"")"),7)</f>
        <v>7</v>
      </c>
      <c r="Y48" s="79">
        <f t="shared" ca="1" si="34"/>
        <v>100</v>
      </c>
      <c r="Z48" s="215">
        <v>0</v>
      </c>
      <c r="AA48" s="215">
        <v>0</v>
      </c>
      <c r="AB48" s="216">
        <v>0</v>
      </c>
    </row>
    <row r="49" spans="1:28" ht="21" customHeight="1" x14ac:dyDescent="0.3">
      <c r="A49" s="70">
        <v>18</v>
      </c>
      <c r="B49" s="71" t="s">
        <v>77</v>
      </c>
      <c r="C49" s="149">
        <f t="shared" ca="1" si="22"/>
        <v>19590</v>
      </c>
      <c r="D49" s="150">
        <f t="shared" ca="1" si="39"/>
        <v>19590</v>
      </c>
      <c r="E49" s="151">
        <f ca="1">IFERROR(__xludf.DUMMYFUNCTION("IMPORTRANGE(""https://docs.google.com/spreadsheets/d/1-uDff_7J0KD5mKrp0Vvzr7lt3OU09vwQwhkpOPPYv2Y/edit?usp=sharing"",""งบพรบ!CL49"")"),0)</f>
        <v>0</v>
      </c>
      <c r="F49" s="151">
        <f ca="1">IFERROR(__xludf.DUMMYFUNCTION("IMPORTRANGE(""https://docs.google.com/spreadsheets/d/1-uDff_7J0KD5mKrp0Vvzr7lt3OU09vwQwhkpOPPYv2Y/edit?usp=sharing"",""งบพรบ!CM49"")"),19590)</f>
        <v>19590</v>
      </c>
      <c r="G49" s="151">
        <f ca="1">IFERROR(__xludf.DUMMYFUNCTION("IMPORTRANGE(""https://docs.google.com/spreadsheets/d/1-uDff_7J0KD5mKrp0Vvzr7lt3OU09vwQwhkpOPPYv2Y/edit?usp=sharing"",""งบพรบ!CN49"")"),0)</f>
        <v>0</v>
      </c>
      <c r="H49" s="151">
        <f ca="1">IFERROR(__xludf.DUMMYFUNCTION("IMPORTRANGE(""https://docs.google.com/spreadsheets/d/1-uDff_7J0KD5mKrp0Vvzr7lt3OU09vwQwhkpOPPYv2Y/edit?usp=sharing"",""งบพรบ!CP49"")"),39260)</f>
        <v>39260</v>
      </c>
      <c r="I49" s="151">
        <f ca="1">IFERROR(__xludf.DUMMYFUNCTION("IMPORTRANGE(""https://docs.google.com/spreadsheets/d/1-uDff_7J0KD5mKrp0Vvzr7lt3OU09vwQwhkpOPPYv2Y/edit?usp=sharing"",""งบพรบ!CQ49"")"),0)</f>
        <v>0</v>
      </c>
      <c r="J49" s="151">
        <f t="shared" ca="1" si="24"/>
        <v>38140</v>
      </c>
      <c r="K49" s="154">
        <f t="shared" ca="1" si="25"/>
        <v>194.69116896375701</v>
      </c>
      <c r="L49" s="151">
        <f ca="1">IFERROR(__xludf.DUMMYFUNCTION("IMPORTRANGE(""https://docs.google.com/spreadsheets/d/1-uDff_7J0KD5mKrp0Vvzr7lt3OU09vwQwhkpOPPYv2Y/edit?usp=sharing"",""งบพรบ!CR49"")"),38140)</f>
        <v>38140</v>
      </c>
      <c r="M49" s="68">
        <f t="shared" ca="1" si="26"/>
        <v>194.69116896375701</v>
      </c>
      <c r="N49" s="68">
        <f t="shared" ca="1" si="27"/>
        <v>97.147223637289869</v>
      </c>
      <c r="O49" s="67">
        <f ca="1">IFERROR(__xludf.DUMMYFUNCTION("IMPORTRANGE(""https://docs.google.com/spreadsheets/d/1-uDff_7J0KD5mKrp0Vvzr7lt3OU09vwQwhkpOPPYv2Y/edit?usp=sharing"",""งบพรบ!CS49"")"),0)</f>
        <v>0</v>
      </c>
      <c r="P49" s="67">
        <f t="shared" ca="1" si="28"/>
        <v>0</v>
      </c>
      <c r="Q49" s="68">
        <f t="shared" ca="1" si="29"/>
        <v>0</v>
      </c>
      <c r="R49" s="197">
        <f ca="1">IFERROR(__xludf.DUMMYFUNCTION("IMPORTRANGE(""https://docs.google.com/spreadsheets/d/1lFxr3ctmjFN90yc-xV6jrQ9Ty8BKYVBWnAZ15wcNIJc/edit?usp=sharing"",""อำนาจเจริญ!Q173"")"),21200)</f>
        <v>21200</v>
      </c>
      <c r="S49" s="67">
        <f ca="1">IFERROR(__xludf.DUMMYFUNCTION("IMPORTRANGE(""https://docs.google.com/spreadsheets/d/1lFxr3ctmjFN90yc-xV6jrQ9Ty8BKYVBWnAZ15wcNIJc/edit?usp=sharing"",""อำนาจเจริญ!R173"")"),21200)</f>
        <v>21200</v>
      </c>
      <c r="T49" s="67">
        <f ca="1">IFERROR(__xludf.DUMMYFUNCTION("IMPORTRANGE(""https://docs.google.com/spreadsheets/d/1lFxr3ctmjFN90yc-xV6jrQ9Ty8BKYVBWnAZ15wcNIJc/edit?usp=sharing"",""อำนาจเจริญ!S173"")"),19464)</f>
        <v>19464</v>
      </c>
      <c r="U49" s="68">
        <f t="shared" ca="1" si="31"/>
        <v>91.811320754716988</v>
      </c>
      <c r="V49" s="68">
        <f t="shared" ca="1" si="32"/>
        <v>91.811320754716988</v>
      </c>
      <c r="W49" s="78">
        <f ca="1">IFERROR(__xludf.DUMMYFUNCTION("IMPORTRANGE(""https://docs.google.com/spreadsheets/d/1lFxr3ctmjFN90yc-xV6jrQ9Ty8BKYVBWnAZ15wcNIJc/edit?usp=sharing"",""อำนาจเจริญ!I183"")"),15)</f>
        <v>15</v>
      </c>
      <c r="X49" s="78">
        <f ca="1">IFERROR(__xludf.DUMMYFUNCTION("IMPORTRANGE(""https://docs.google.com/spreadsheets/d/1lFxr3ctmjFN90yc-xV6jrQ9Ty8BKYVBWnAZ15wcNIJc/edit?usp=sharing"",""อำนาจเจริญ!J183"")"),15)</f>
        <v>15</v>
      </c>
      <c r="Y49" s="79">
        <f t="shared" ca="1" si="34"/>
        <v>100</v>
      </c>
      <c r="Z49" s="215">
        <v>0</v>
      </c>
      <c r="AA49" s="215">
        <v>0</v>
      </c>
      <c r="AB49" s="216">
        <v>0</v>
      </c>
    </row>
    <row r="50" spans="1:28" ht="21" customHeight="1" x14ac:dyDescent="0.3">
      <c r="A50" s="70">
        <v>19</v>
      </c>
      <c r="B50" s="71" t="s">
        <v>78</v>
      </c>
      <c r="C50" s="149">
        <f t="shared" ca="1" si="22"/>
        <v>19590</v>
      </c>
      <c r="D50" s="150">
        <f t="shared" ca="1" si="39"/>
        <v>19590</v>
      </c>
      <c r="E50" s="151">
        <f ca="1">IFERROR(__xludf.DUMMYFUNCTION("IMPORTRANGE(""https://docs.google.com/spreadsheets/d/1-uDff_7J0KD5mKrp0Vvzr7lt3OU09vwQwhkpOPPYv2Y/edit?usp=sharing"",""งบพรบ!CL50"")"),0)</f>
        <v>0</v>
      </c>
      <c r="F50" s="151">
        <f ca="1">IFERROR(__xludf.DUMMYFUNCTION("IMPORTRANGE(""https://docs.google.com/spreadsheets/d/1-uDff_7J0KD5mKrp0Vvzr7lt3OU09vwQwhkpOPPYv2Y/edit?usp=sharing"",""งบพรบ!CM50"")"),19590)</f>
        <v>19590</v>
      </c>
      <c r="G50" s="151">
        <f ca="1">IFERROR(__xludf.DUMMYFUNCTION("IMPORTRANGE(""https://docs.google.com/spreadsheets/d/1-uDff_7J0KD5mKrp0Vvzr7lt3OU09vwQwhkpOPPYv2Y/edit?usp=sharing"",""งบพรบ!CN50"")"),0)</f>
        <v>0</v>
      </c>
      <c r="H50" s="151">
        <f ca="1">IFERROR(__xludf.DUMMYFUNCTION("IMPORTRANGE(""https://docs.google.com/spreadsheets/d/1-uDff_7J0KD5mKrp0Vvzr7lt3OU09vwQwhkpOPPYv2Y/edit?usp=sharing"",""งบพรบ!CP50"")"),35120)</f>
        <v>35120</v>
      </c>
      <c r="I50" s="151">
        <f ca="1">IFERROR(__xludf.DUMMYFUNCTION("IMPORTRANGE(""https://docs.google.com/spreadsheets/d/1-uDff_7J0KD5mKrp0Vvzr7lt3OU09vwQwhkpOPPYv2Y/edit?usp=sharing"",""งบพรบ!CQ50"")"),0)</f>
        <v>0</v>
      </c>
      <c r="J50" s="151">
        <f t="shared" ca="1" si="24"/>
        <v>19590</v>
      </c>
      <c r="K50" s="154">
        <f t="shared" ca="1" si="25"/>
        <v>100</v>
      </c>
      <c r="L50" s="151">
        <f ca="1">IFERROR(__xludf.DUMMYFUNCTION("IMPORTRANGE(""https://docs.google.com/spreadsheets/d/1-uDff_7J0KD5mKrp0Vvzr7lt3OU09vwQwhkpOPPYv2Y/edit?usp=sharing"",""งบพรบ!CR50"")"),19590)</f>
        <v>19590</v>
      </c>
      <c r="M50" s="68">
        <f t="shared" ca="1" si="26"/>
        <v>100</v>
      </c>
      <c r="N50" s="68">
        <f t="shared" ca="1" si="27"/>
        <v>55.780182232346242</v>
      </c>
      <c r="O50" s="67">
        <f ca="1">IFERROR(__xludf.DUMMYFUNCTION("IMPORTRANGE(""https://docs.google.com/spreadsheets/d/1-uDff_7J0KD5mKrp0Vvzr7lt3OU09vwQwhkpOPPYv2Y/edit?usp=sharing"",""งบพรบ!CS50"")"),0)</f>
        <v>0</v>
      </c>
      <c r="P50" s="67">
        <f t="shared" ca="1" si="28"/>
        <v>0</v>
      </c>
      <c r="Q50" s="68">
        <f t="shared" ca="1" si="29"/>
        <v>0</v>
      </c>
      <c r="R50" s="197">
        <f ca="1">IFERROR(__xludf.DUMMYFUNCTION("IMPORTRANGE(""https://docs.google.com/spreadsheets/d/1gF7RJpRnL-1oyjyeWxs5SFWEH7y8ahOZsQlyp2A2e-A/edit?usp=sharing"",""อุดรธานี!Q173"")"),21200)</f>
        <v>21200</v>
      </c>
      <c r="S50" s="67">
        <f ca="1">IFERROR(__xludf.DUMMYFUNCTION("IMPORTRANGE(""https://docs.google.com/spreadsheets/d/1gF7RJpRnL-1oyjyeWxs5SFWEH7y8ahOZsQlyp2A2e-A/edit?usp=sharing"",""อุดรธานี!R173"")"),21200)</f>
        <v>21200</v>
      </c>
      <c r="T50" s="67">
        <f ca="1">IFERROR(__xludf.DUMMYFUNCTION("IMPORTRANGE(""https://docs.google.com/spreadsheets/d/1gF7RJpRnL-1oyjyeWxs5SFWEH7y8ahOZsQlyp2A2e-A/edit?usp=sharing"",""อุดรธานี!S173"")"),21200)</f>
        <v>21200</v>
      </c>
      <c r="U50" s="68">
        <f t="shared" ca="1" si="31"/>
        <v>100</v>
      </c>
      <c r="V50" s="68">
        <f t="shared" ca="1" si="32"/>
        <v>100</v>
      </c>
      <c r="W50" s="78">
        <f ca="1">IFERROR(__xludf.DUMMYFUNCTION("IMPORTRANGE(""https://docs.google.com/spreadsheets/d/1gF7RJpRnL-1oyjyeWxs5SFWEH7y8ahOZsQlyp2A2e-A/edit?usp=sharing"",""อุดรธานี!I183"")"),15)</f>
        <v>15</v>
      </c>
      <c r="X50" s="78">
        <f ca="1">IFERROR(__xludf.DUMMYFUNCTION("IMPORTRANGE(""https://docs.google.com/spreadsheets/d/1gF7RJpRnL-1oyjyeWxs5SFWEH7y8ahOZsQlyp2A2e-A/edit?usp=sharing"",""อุดรธานี!J183"")"),15)</f>
        <v>15</v>
      </c>
      <c r="Y50" s="79">
        <f t="shared" ca="1" si="34"/>
        <v>100</v>
      </c>
      <c r="Z50" s="215">
        <v>0</v>
      </c>
      <c r="AA50" s="215">
        <v>0</v>
      </c>
      <c r="AB50" s="216">
        <v>0</v>
      </c>
    </row>
    <row r="51" spans="1:28" ht="21" customHeight="1" x14ac:dyDescent="0.3">
      <c r="A51" s="80">
        <v>20</v>
      </c>
      <c r="B51" s="81" t="s">
        <v>79</v>
      </c>
      <c r="C51" s="165">
        <f t="shared" ca="1" si="22"/>
        <v>19590</v>
      </c>
      <c r="D51" s="166">
        <f t="shared" ca="1" si="39"/>
        <v>19590</v>
      </c>
      <c r="E51" s="167">
        <f ca="1">IFERROR(__xludf.DUMMYFUNCTION("IMPORTRANGE(""https://docs.google.com/spreadsheets/d/1-uDff_7J0KD5mKrp0Vvzr7lt3OU09vwQwhkpOPPYv2Y/edit?usp=sharing"",""งบพรบ!CL51"")"),0)</f>
        <v>0</v>
      </c>
      <c r="F51" s="167">
        <f ca="1">IFERROR(__xludf.DUMMYFUNCTION("IMPORTRANGE(""https://docs.google.com/spreadsheets/d/1-uDff_7J0KD5mKrp0Vvzr7lt3OU09vwQwhkpOPPYv2Y/edit?usp=sharing"",""งบพรบ!CM51"")"),19590)</f>
        <v>19590</v>
      </c>
      <c r="G51" s="167">
        <f ca="1">IFERROR(__xludf.DUMMYFUNCTION("IMPORTRANGE(""https://docs.google.com/spreadsheets/d/1-uDff_7J0KD5mKrp0Vvzr7lt3OU09vwQwhkpOPPYv2Y/edit?usp=sharing"",""งบพรบ!CN51"")"),0)</f>
        <v>0</v>
      </c>
      <c r="H51" s="167">
        <f ca="1">IFERROR(__xludf.DUMMYFUNCTION("IMPORTRANGE(""https://docs.google.com/spreadsheets/d/1-uDff_7J0KD5mKrp0Vvzr7lt3OU09vwQwhkpOPPYv2Y/edit?usp=sharing"",""งบพรบ!CP51"")"),35540)</f>
        <v>35540</v>
      </c>
      <c r="I51" s="167">
        <f ca="1">IFERROR(__xludf.DUMMYFUNCTION("IMPORTRANGE(""https://docs.google.com/spreadsheets/d/1-uDff_7J0KD5mKrp0Vvzr7lt3OU09vwQwhkpOPPYv2Y/edit?usp=sharing"",""งบพรบ!CQ51"")"),0)</f>
        <v>0</v>
      </c>
      <c r="J51" s="167">
        <f t="shared" ca="1" si="24"/>
        <v>35540</v>
      </c>
      <c r="K51" s="168">
        <f t="shared" ca="1" si="25"/>
        <v>181.41909137314957</v>
      </c>
      <c r="L51" s="167">
        <f ca="1">IFERROR(__xludf.DUMMYFUNCTION("IMPORTRANGE(""https://docs.google.com/spreadsheets/d/1-uDff_7J0KD5mKrp0Vvzr7lt3OU09vwQwhkpOPPYv2Y/edit?usp=sharing"",""งบพรบ!CR51"")"),35540)</f>
        <v>35540</v>
      </c>
      <c r="M51" s="97">
        <f t="shared" ca="1" si="26"/>
        <v>181.41909137314957</v>
      </c>
      <c r="N51" s="97">
        <f t="shared" ca="1" si="27"/>
        <v>100</v>
      </c>
      <c r="O51" s="96">
        <f ca="1">IFERROR(__xludf.DUMMYFUNCTION("IMPORTRANGE(""https://docs.google.com/spreadsheets/d/1-uDff_7J0KD5mKrp0Vvzr7lt3OU09vwQwhkpOPPYv2Y/edit?usp=sharing"",""งบพรบ!CS51"")"),0)</f>
        <v>0</v>
      </c>
      <c r="P51" s="96">
        <f t="shared" ca="1" si="28"/>
        <v>0</v>
      </c>
      <c r="Q51" s="97">
        <f t="shared" ca="1" si="29"/>
        <v>0</v>
      </c>
      <c r="R51" s="198">
        <f ca="1">IFERROR(__xludf.DUMMYFUNCTION("IMPORTRANGE(""https://docs.google.com/spreadsheets/d/1kfLP0j3INXRa8bTDpcEmoWewMBV61jlFlfzczfjWIgc/edit?usp=sharing"",""อุบลราชธานี!Q173"")"),21200)</f>
        <v>21200</v>
      </c>
      <c r="S51" s="88">
        <f ca="1">IFERROR(__xludf.DUMMYFUNCTION("IMPORTRANGE(""https://docs.google.com/spreadsheets/d/1kfLP0j3INXRa8bTDpcEmoWewMBV61jlFlfzczfjWIgc/edit?usp=sharing"",""อุบลราชธานี!R173"")"),21200)</f>
        <v>21200</v>
      </c>
      <c r="T51" s="88">
        <f ca="1">IFERROR(__xludf.DUMMYFUNCTION("IMPORTRANGE(""https://docs.google.com/spreadsheets/d/1kfLP0j3INXRa8bTDpcEmoWewMBV61jlFlfzczfjWIgc/edit?usp=sharing"",""อุบลราชธานี!S173"")"),16120)</f>
        <v>16120</v>
      </c>
      <c r="U51" s="89">
        <f t="shared" ca="1" si="31"/>
        <v>76.037735849056602</v>
      </c>
      <c r="V51" s="89">
        <f t="shared" ca="1" si="32"/>
        <v>76.037735849056602</v>
      </c>
      <c r="W51" s="90">
        <f ca="1">IFERROR(__xludf.DUMMYFUNCTION("IMPORTRANGE(""https://docs.google.com/spreadsheets/d/1kfLP0j3INXRa8bTDpcEmoWewMBV61jlFlfzczfjWIgc/edit?usp=sharing"",""อุบลราชธานี!I183"")"),15)</f>
        <v>15</v>
      </c>
      <c r="X51" s="90">
        <f ca="1">IFERROR(__xludf.DUMMYFUNCTION("IMPORTRANGE(""https://docs.google.com/spreadsheets/d/1kfLP0j3INXRa8bTDpcEmoWewMBV61jlFlfzczfjWIgc/edit?usp=sharing"",""อุบลราชธานี!J183"")"),15)</f>
        <v>15</v>
      </c>
      <c r="Y51" s="91">
        <f t="shared" ca="1" si="34"/>
        <v>100</v>
      </c>
      <c r="Z51" s="217">
        <v>0</v>
      </c>
      <c r="AA51" s="217">
        <v>0</v>
      </c>
      <c r="AB51" s="218">
        <v>0</v>
      </c>
    </row>
    <row r="52" spans="1:28" ht="21" customHeight="1" x14ac:dyDescent="0.3">
      <c r="A52" s="712" t="s">
        <v>80</v>
      </c>
      <c r="B52" s="647"/>
      <c r="C52" s="145">
        <f t="shared" ca="1" si="22"/>
        <v>372210</v>
      </c>
      <c r="D52" s="145">
        <f t="shared" ref="D52:I52" ca="1" si="40">SUM(D53:D73)</f>
        <v>372210</v>
      </c>
      <c r="E52" s="145">
        <f t="shared" ca="1" si="40"/>
        <v>0</v>
      </c>
      <c r="F52" s="145">
        <f t="shared" ca="1" si="40"/>
        <v>372210</v>
      </c>
      <c r="G52" s="145">
        <f t="shared" ca="1" si="40"/>
        <v>0</v>
      </c>
      <c r="H52" s="145">
        <f t="shared" ca="1" si="40"/>
        <v>599752</v>
      </c>
      <c r="I52" s="145">
        <f t="shared" ca="1" si="40"/>
        <v>0</v>
      </c>
      <c r="J52" s="145">
        <f t="shared" ca="1" si="24"/>
        <v>583845</v>
      </c>
      <c r="K52" s="146">
        <f t="shared" ca="1" si="25"/>
        <v>156.85903119206898</v>
      </c>
      <c r="L52" s="145">
        <f ca="1">SUM(L53:L73)</f>
        <v>583845</v>
      </c>
      <c r="M52" s="57">
        <f t="shared" ca="1" si="26"/>
        <v>156.85903119206898</v>
      </c>
      <c r="N52" s="57">
        <f t="shared" ca="1" si="27"/>
        <v>97.347737064653387</v>
      </c>
      <c r="O52" s="56">
        <f ca="1">SUM(O53:O73)</f>
        <v>0</v>
      </c>
      <c r="P52" s="56">
        <f t="shared" ca="1" si="28"/>
        <v>0</v>
      </c>
      <c r="Q52" s="57">
        <f t="shared" ca="1" si="29"/>
        <v>0</v>
      </c>
      <c r="R52" s="199">
        <f t="shared" ref="R52:T52" ca="1" si="41">SUM(R53:R73)</f>
        <v>187280</v>
      </c>
      <c r="S52" s="93">
        <f t="shared" ca="1" si="41"/>
        <v>187280</v>
      </c>
      <c r="T52" s="93">
        <f t="shared" ca="1" si="41"/>
        <v>174020</v>
      </c>
      <c r="U52" s="94">
        <f t="shared" ca="1" si="31"/>
        <v>92.919692439128582</v>
      </c>
      <c r="V52" s="94">
        <f t="shared" ca="1" si="32"/>
        <v>92.919692439128582</v>
      </c>
      <c r="W52" s="52">
        <f t="shared" ref="W52:X52" ca="1" si="42">SUM(W53:W73)</f>
        <v>201</v>
      </c>
      <c r="X52" s="52">
        <f t="shared" ca="1" si="42"/>
        <v>193</v>
      </c>
      <c r="Y52" s="54">
        <f t="shared" ca="1" si="34"/>
        <v>96.019900497512438</v>
      </c>
      <c r="Z52" s="161">
        <v>0</v>
      </c>
      <c r="AA52" s="161">
        <v>0</v>
      </c>
      <c r="AB52" s="94">
        <v>0</v>
      </c>
    </row>
    <row r="53" spans="1:28" ht="21" customHeight="1" x14ac:dyDescent="0.3">
      <c r="A53" s="58">
        <v>1</v>
      </c>
      <c r="B53" s="59" t="s">
        <v>81</v>
      </c>
      <c r="C53" s="149">
        <f t="shared" ca="1" si="22"/>
        <v>19590</v>
      </c>
      <c r="D53" s="150">
        <f t="shared" ref="D53:D73" ca="1" si="43">+E53+F53</f>
        <v>19590</v>
      </c>
      <c r="E53" s="151">
        <f ca="1">IFERROR(__xludf.DUMMYFUNCTION("IMPORTRANGE(""https://docs.google.com/spreadsheets/d/1-uDff_7J0KD5mKrp0Vvzr7lt3OU09vwQwhkpOPPYv2Y/edit?usp=sharing"",""งบพรบ!CL53"")"),0)</f>
        <v>0</v>
      </c>
      <c r="F53" s="151">
        <f ca="1">IFERROR(__xludf.DUMMYFUNCTION("IMPORTRANGE(""https://docs.google.com/spreadsheets/d/1-uDff_7J0KD5mKrp0Vvzr7lt3OU09vwQwhkpOPPYv2Y/edit?usp=sharing"",""งบพรบ!CM53"")"),19590)</f>
        <v>19590</v>
      </c>
      <c r="G53" s="152">
        <f ca="1">IFERROR(__xludf.DUMMYFUNCTION("IMPORTRANGE(""https://docs.google.com/spreadsheets/d/1-uDff_7J0KD5mKrp0Vvzr7lt3OU09vwQwhkpOPPYv2Y/edit?usp=sharing"",""งบพรบ!CN53"")"),0)</f>
        <v>0</v>
      </c>
      <c r="H53" s="152">
        <f ca="1">IFERROR(__xludf.DUMMYFUNCTION("IMPORTRANGE(""https://docs.google.com/spreadsheets/d/1-uDff_7J0KD5mKrp0Vvzr7lt3OU09vwQwhkpOPPYv2Y/edit?usp=sharing"",""งบพรบ!CP53"")"),39250)</f>
        <v>39250</v>
      </c>
      <c r="I53" s="152">
        <f ca="1">IFERROR(__xludf.DUMMYFUNCTION("IMPORTRANGE(""https://docs.google.com/spreadsheets/d/1-uDff_7J0KD5mKrp0Vvzr7lt3OU09vwQwhkpOPPYv2Y/edit?usp=sharing"",""งบพรบ!CQ53"")"),0)</f>
        <v>0</v>
      </c>
      <c r="J53" s="152">
        <f t="shared" ca="1" si="24"/>
        <v>32320</v>
      </c>
      <c r="K53" s="153">
        <f t="shared" ca="1" si="25"/>
        <v>164.98213374170496</v>
      </c>
      <c r="L53" s="152">
        <f ca="1">IFERROR(__xludf.DUMMYFUNCTION("IMPORTRANGE(""https://docs.google.com/spreadsheets/d/1-uDff_7J0KD5mKrp0Vvzr7lt3OU09vwQwhkpOPPYv2Y/edit?usp=sharing"",""งบพรบ!CR53"")"),32320)</f>
        <v>32320</v>
      </c>
      <c r="M53" s="68">
        <f t="shared" ca="1" si="26"/>
        <v>164.98213374170496</v>
      </c>
      <c r="N53" s="68">
        <f t="shared" ca="1" si="27"/>
        <v>82.343949044585983</v>
      </c>
      <c r="O53" s="67">
        <f ca="1">IFERROR(__xludf.DUMMYFUNCTION("IMPORTRANGE(""https://docs.google.com/spreadsheets/d/1-uDff_7J0KD5mKrp0Vvzr7lt3OU09vwQwhkpOPPYv2Y/edit?usp=sharing"",""งบพรบ!CS53"")"),0)</f>
        <v>0</v>
      </c>
      <c r="P53" s="67">
        <f t="shared" ca="1" si="28"/>
        <v>0</v>
      </c>
      <c r="Q53" s="68">
        <f t="shared" ca="1" si="29"/>
        <v>0</v>
      </c>
      <c r="R53" s="197">
        <f ca="1">IFERROR(__xludf.DUMMYFUNCTION("IMPORTRANGE(""https://docs.google.com/spreadsheets/d/13wPX838HrBrQMCywv1BsuMkt4PEKTChp52zj44s2izQ/edit?usp=sharing"",""กาญจนบุรี!Q173"")"),0)</f>
        <v>0</v>
      </c>
      <c r="S53" s="67">
        <f ca="1">IFERROR(__xludf.DUMMYFUNCTION("IMPORTRANGE(""https://docs.google.com/spreadsheets/d/13wPX838HrBrQMCywv1BsuMkt4PEKTChp52zj44s2izQ/edit?usp=sharing"",""กาญจนบุรี!R173"")"),0)</f>
        <v>0</v>
      </c>
      <c r="T53" s="67">
        <f ca="1">IFERROR(__xludf.DUMMYFUNCTION("IMPORTRANGE(""https://docs.google.com/spreadsheets/d/13wPX838HrBrQMCywv1BsuMkt4PEKTChp52zj44s2izQ/edit?usp=sharing"",""กาญจนบุรี!S173"")"),0)</f>
        <v>0</v>
      </c>
      <c r="U53" s="68">
        <f t="shared" ca="1" si="31"/>
        <v>0</v>
      </c>
      <c r="V53" s="68">
        <f t="shared" ca="1" si="32"/>
        <v>0</v>
      </c>
      <c r="W53" s="63">
        <f ca="1">IFERROR(__xludf.DUMMYFUNCTION("IMPORTRANGE(""https://docs.google.com/spreadsheets/d/13wPX838HrBrQMCywv1BsuMkt4PEKTChp52zj44s2izQ/edit?usp=sharing"",""กาญจนบุรี!I183"")"),7)</f>
        <v>7</v>
      </c>
      <c r="X53" s="63">
        <f ca="1">IFERROR(__xludf.DUMMYFUNCTION("IMPORTRANGE(""https://docs.google.com/spreadsheets/d/13wPX838HrBrQMCywv1BsuMkt4PEKTChp52zj44s2izQ/edit?usp=sharing"",""กาญจนบุรี!J183"")"),7)</f>
        <v>7</v>
      </c>
      <c r="Y53" s="69">
        <f t="shared" ca="1" si="34"/>
        <v>100</v>
      </c>
      <c r="Z53" s="215">
        <v>0</v>
      </c>
      <c r="AA53" s="215">
        <v>0</v>
      </c>
      <c r="AB53" s="216">
        <v>0</v>
      </c>
    </row>
    <row r="54" spans="1:28" ht="21" customHeight="1" x14ac:dyDescent="0.3">
      <c r="A54" s="70">
        <v>2</v>
      </c>
      <c r="B54" s="71" t="s">
        <v>82</v>
      </c>
      <c r="C54" s="149">
        <f t="shared" ca="1" si="22"/>
        <v>19590</v>
      </c>
      <c r="D54" s="150">
        <f t="shared" ca="1" si="43"/>
        <v>19590</v>
      </c>
      <c r="E54" s="151">
        <f ca="1">IFERROR(__xludf.DUMMYFUNCTION("IMPORTRANGE(""https://docs.google.com/spreadsheets/d/1-uDff_7J0KD5mKrp0Vvzr7lt3OU09vwQwhkpOPPYv2Y/edit?usp=sharing"",""งบพรบ!CL54"")"),0)</f>
        <v>0</v>
      </c>
      <c r="F54" s="151">
        <f ca="1">IFERROR(__xludf.DUMMYFUNCTION("IMPORTRANGE(""https://docs.google.com/spreadsheets/d/1-uDff_7J0KD5mKrp0Vvzr7lt3OU09vwQwhkpOPPYv2Y/edit?usp=sharing"",""งบพรบ!CM54"")"),19590)</f>
        <v>19590</v>
      </c>
      <c r="G54" s="151">
        <f ca="1">IFERROR(__xludf.DUMMYFUNCTION("IMPORTRANGE(""https://docs.google.com/spreadsheets/d/1-uDff_7J0KD5mKrp0Vvzr7lt3OU09vwQwhkpOPPYv2Y/edit?usp=sharing"",""งบพรบ!CN54"")"),0)</f>
        <v>0</v>
      </c>
      <c r="H54" s="151">
        <f ca="1">IFERROR(__xludf.DUMMYFUNCTION("IMPORTRANGE(""https://docs.google.com/spreadsheets/d/1-uDff_7J0KD5mKrp0Vvzr7lt3OU09vwQwhkpOPPYv2Y/edit?usp=sharing"",""งบพรบ!CP54"")"),30530)</f>
        <v>30530</v>
      </c>
      <c r="I54" s="151">
        <f ca="1">IFERROR(__xludf.DUMMYFUNCTION("IMPORTRANGE(""https://docs.google.com/spreadsheets/d/1-uDff_7J0KD5mKrp0Vvzr7lt3OU09vwQwhkpOPPYv2Y/edit?usp=sharing"",""งบพรบ!CQ54"")"),0)</f>
        <v>0</v>
      </c>
      <c r="J54" s="151">
        <f t="shared" ca="1" si="24"/>
        <v>30530</v>
      </c>
      <c r="K54" s="154">
        <f t="shared" ca="1" si="25"/>
        <v>155.84481878509445</v>
      </c>
      <c r="L54" s="151">
        <f ca="1">IFERROR(__xludf.DUMMYFUNCTION("IMPORTRANGE(""https://docs.google.com/spreadsheets/d/1-uDff_7J0KD5mKrp0Vvzr7lt3OU09vwQwhkpOPPYv2Y/edit?usp=sharing"",""งบพรบ!CR54"")"),30530)</f>
        <v>30530</v>
      </c>
      <c r="M54" s="68">
        <f t="shared" ca="1" si="26"/>
        <v>155.84481878509445</v>
      </c>
      <c r="N54" s="68">
        <f t="shared" ca="1" si="27"/>
        <v>100</v>
      </c>
      <c r="O54" s="67">
        <f ca="1">IFERROR(__xludf.DUMMYFUNCTION("IMPORTRANGE(""https://docs.google.com/spreadsheets/d/1-uDff_7J0KD5mKrp0Vvzr7lt3OU09vwQwhkpOPPYv2Y/edit?usp=sharing"",""งบพรบ!CS54"")"),0)</f>
        <v>0</v>
      </c>
      <c r="P54" s="67">
        <f t="shared" ca="1" si="28"/>
        <v>0</v>
      </c>
      <c r="Q54" s="68">
        <f t="shared" ca="1" si="29"/>
        <v>0</v>
      </c>
      <c r="R54" s="197">
        <f ca="1">IFERROR(__xludf.DUMMYFUNCTION("IMPORTRANGE(""https://docs.google.com/spreadsheets/d/1ddFKvqj1W1NEiWytbGlB1zMx_ykJDVtmfEQ-6-lIUBA/edit?usp=sharing"",""จันทบุรี!Q173"")"),21200)</f>
        <v>21200</v>
      </c>
      <c r="S54" s="67">
        <f ca="1">IFERROR(__xludf.DUMMYFUNCTION("IMPORTRANGE(""https://docs.google.com/spreadsheets/d/1ddFKvqj1W1NEiWytbGlB1zMx_ykJDVtmfEQ-6-lIUBA/edit?usp=sharing"",""จันทบุรี!R173"")"),21200)</f>
        <v>21200</v>
      </c>
      <c r="T54" s="67">
        <f ca="1">IFERROR(__xludf.DUMMYFUNCTION("IMPORTRANGE(""https://docs.google.com/spreadsheets/d/1ddFKvqj1W1NEiWytbGlB1zMx_ykJDVtmfEQ-6-lIUBA/edit?usp=sharing"",""จันทบุรี!S173"")"),20000)</f>
        <v>20000</v>
      </c>
      <c r="U54" s="68">
        <f t="shared" ca="1" si="31"/>
        <v>94.339622641509436</v>
      </c>
      <c r="V54" s="68">
        <f t="shared" ca="1" si="32"/>
        <v>94.339622641509436</v>
      </c>
      <c r="W54" s="78">
        <f ca="1">IFERROR(__xludf.DUMMYFUNCTION("IMPORTRANGE(""https://docs.google.com/spreadsheets/d/1ddFKvqj1W1NEiWytbGlB1zMx_ykJDVtmfEQ-6-lIUBA/edit?usp=sharing"",""จันทบุรี!I183"")"),15)</f>
        <v>15</v>
      </c>
      <c r="X54" s="78">
        <f ca="1">IFERROR(__xludf.DUMMYFUNCTION("IMPORTRANGE(""https://docs.google.com/spreadsheets/d/1ddFKvqj1W1NEiWytbGlB1zMx_ykJDVtmfEQ-6-lIUBA/edit?usp=sharing"",""จันทบุรี!J183"")"),15)</f>
        <v>15</v>
      </c>
      <c r="Y54" s="79">
        <f t="shared" ca="1" si="34"/>
        <v>100</v>
      </c>
      <c r="Z54" s="215">
        <v>0</v>
      </c>
      <c r="AA54" s="215">
        <v>0</v>
      </c>
      <c r="AB54" s="216">
        <v>0</v>
      </c>
    </row>
    <row r="55" spans="1:28" ht="21" customHeight="1" x14ac:dyDescent="0.3">
      <c r="A55" s="70">
        <v>3</v>
      </c>
      <c r="B55" s="71" t="s">
        <v>83</v>
      </c>
      <c r="C55" s="149">
        <f t="shared" ca="1" si="22"/>
        <v>19590</v>
      </c>
      <c r="D55" s="150">
        <f t="shared" ca="1" si="43"/>
        <v>19590</v>
      </c>
      <c r="E55" s="151">
        <f ca="1">IFERROR(__xludf.DUMMYFUNCTION("IMPORTRANGE(""https://docs.google.com/spreadsheets/d/1-uDff_7J0KD5mKrp0Vvzr7lt3OU09vwQwhkpOPPYv2Y/edit?usp=sharing"",""งบพรบ!CL55"")"),0)</f>
        <v>0</v>
      </c>
      <c r="F55" s="151">
        <f ca="1">IFERROR(__xludf.DUMMYFUNCTION("IMPORTRANGE(""https://docs.google.com/spreadsheets/d/1-uDff_7J0KD5mKrp0Vvzr7lt3OU09vwQwhkpOPPYv2Y/edit?usp=sharing"",""งบพรบ!CM55"")"),19590)</f>
        <v>19590</v>
      </c>
      <c r="G55" s="151">
        <f ca="1">IFERROR(__xludf.DUMMYFUNCTION("IMPORTRANGE(""https://docs.google.com/spreadsheets/d/1-uDff_7J0KD5mKrp0Vvzr7lt3OU09vwQwhkpOPPYv2Y/edit?usp=sharing"",""งบพรบ!CN55"")"),0)</f>
        <v>0</v>
      </c>
      <c r="H55" s="151">
        <f ca="1">IFERROR(__xludf.DUMMYFUNCTION("IMPORTRANGE(""https://docs.google.com/spreadsheets/d/1-uDff_7J0KD5mKrp0Vvzr7lt3OU09vwQwhkpOPPYv2Y/edit?usp=sharing"",""งบพรบ!CP55"")"),29470)</f>
        <v>29470</v>
      </c>
      <c r="I55" s="151">
        <f ca="1">IFERROR(__xludf.DUMMYFUNCTION("IMPORTRANGE(""https://docs.google.com/spreadsheets/d/1-uDff_7J0KD5mKrp0Vvzr7lt3OU09vwQwhkpOPPYv2Y/edit?usp=sharing"",""งบพรบ!CQ55"")"),0)</f>
        <v>0</v>
      </c>
      <c r="J55" s="151">
        <f t="shared" ca="1" si="24"/>
        <v>29470</v>
      </c>
      <c r="K55" s="154">
        <f t="shared" ca="1" si="25"/>
        <v>150.43389484430833</v>
      </c>
      <c r="L55" s="151">
        <f ca="1">IFERROR(__xludf.DUMMYFUNCTION("IMPORTRANGE(""https://docs.google.com/spreadsheets/d/1-uDff_7J0KD5mKrp0Vvzr7lt3OU09vwQwhkpOPPYv2Y/edit?usp=sharing"",""งบพรบ!CR55"")"),29470)</f>
        <v>29470</v>
      </c>
      <c r="M55" s="68">
        <f t="shared" ca="1" si="26"/>
        <v>150.43389484430833</v>
      </c>
      <c r="N55" s="68">
        <f t="shared" ca="1" si="27"/>
        <v>100</v>
      </c>
      <c r="O55" s="67">
        <f ca="1">IFERROR(__xludf.DUMMYFUNCTION("IMPORTRANGE(""https://docs.google.com/spreadsheets/d/1-uDff_7J0KD5mKrp0Vvzr7lt3OU09vwQwhkpOPPYv2Y/edit?usp=sharing"",""งบพรบ!CS55"")"),0)</f>
        <v>0</v>
      </c>
      <c r="P55" s="67">
        <f t="shared" ca="1" si="28"/>
        <v>0</v>
      </c>
      <c r="Q55" s="68">
        <f t="shared" ca="1" si="29"/>
        <v>0</v>
      </c>
      <c r="R55" s="197">
        <f ca="1">IFERROR(__xludf.DUMMYFUNCTION("IMPORTRANGE(""https://docs.google.com/spreadsheets/d/1T1PQvRODqOBZk8BRht_U031fIS1beLA0Ub2CEytj2q0/edit?usp=sharing"",""ฉะเชิงเทรา!Q173"")"),0)</f>
        <v>0</v>
      </c>
      <c r="S55" s="67">
        <f ca="1">IFERROR(__xludf.DUMMYFUNCTION("IMPORTRANGE(""https://docs.google.com/spreadsheets/d/1T1PQvRODqOBZk8BRht_U031fIS1beLA0Ub2CEytj2q0/edit?usp=sharing"",""ฉะเชิงเทรา!R173"")"),0)</f>
        <v>0</v>
      </c>
      <c r="T55" s="67">
        <f ca="1">IFERROR(__xludf.DUMMYFUNCTION("IMPORTRANGE(""https://docs.google.com/spreadsheets/d/1T1PQvRODqOBZk8BRht_U031fIS1beLA0Ub2CEytj2q0/edit?usp=sharing"",""ฉะเชิงเทรา!S173"")"),0)</f>
        <v>0</v>
      </c>
      <c r="U55" s="68">
        <f t="shared" ca="1" si="31"/>
        <v>0</v>
      </c>
      <c r="V55" s="68">
        <f t="shared" ca="1" si="32"/>
        <v>0</v>
      </c>
      <c r="W55" s="78">
        <f ca="1">IFERROR(__xludf.DUMMYFUNCTION("IMPORTRANGE(""https://docs.google.com/spreadsheets/d/1T1PQvRODqOBZk8BRht_U031fIS1beLA0Ub2CEytj2q0/edit?usp=sharing"",""ฉะเชิงเทรา!I183"")"),7)</f>
        <v>7</v>
      </c>
      <c r="X55" s="78">
        <f ca="1">IFERROR(__xludf.DUMMYFUNCTION("IMPORTRANGE(""https://docs.google.com/spreadsheets/d/1T1PQvRODqOBZk8BRht_U031fIS1beLA0Ub2CEytj2q0/edit?usp=sharing"",""ฉะเชิงเทรา!J183"")"),7)</f>
        <v>7</v>
      </c>
      <c r="Y55" s="79">
        <f t="shared" ca="1" si="34"/>
        <v>100</v>
      </c>
      <c r="Z55" s="215">
        <v>0</v>
      </c>
      <c r="AA55" s="215">
        <v>0</v>
      </c>
      <c r="AB55" s="216">
        <v>0</v>
      </c>
    </row>
    <row r="56" spans="1:28" ht="21" customHeight="1" x14ac:dyDescent="0.3">
      <c r="A56" s="70">
        <v>4</v>
      </c>
      <c r="B56" s="71" t="s">
        <v>84</v>
      </c>
      <c r="C56" s="149">
        <f t="shared" ca="1" si="22"/>
        <v>0</v>
      </c>
      <c r="D56" s="150">
        <f t="shared" ca="1" si="43"/>
        <v>0</v>
      </c>
      <c r="E56" s="151">
        <f ca="1">IFERROR(__xludf.DUMMYFUNCTION("IMPORTRANGE(""https://docs.google.com/spreadsheets/d/1-uDff_7J0KD5mKrp0Vvzr7lt3OU09vwQwhkpOPPYv2Y/edit?usp=sharing"",""งบพรบ!CL56"")"),0)</f>
        <v>0</v>
      </c>
      <c r="F56" s="151">
        <f ca="1">IFERROR(__xludf.DUMMYFUNCTION("IMPORTRANGE(""https://docs.google.com/spreadsheets/d/1-uDff_7J0KD5mKrp0Vvzr7lt3OU09vwQwhkpOPPYv2Y/edit?usp=sharing"",""งบพรบ!CM56"")"),0)</f>
        <v>0</v>
      </c>
      <c r="G56" s="151">
        <f ca="1">IFERROR(__xludf.DUMMYFUNCTION("IMPORTRANGE(""https://docs.google.com/spreadsheets/d/1-uDff_7J0KD5mKrp0Vvzr7lt3OU09vwQwhkpOPPYv2Y/edit?usp=sharing"",""งบพรบ!CN56"")"),0)</f>
        <v>0</v>
      </c>
      <c r="H56" s="151">
        <f ca="1">IFERROR(__xludf.DUMMYFUNCTION("IMPORTRANGE(""https://docs.google.com/spreadsheets/d/1-uDff_7J0KD5mKrp0Vvzr7lt3OU09vwQwhkpOPPYv2Y/edit?usp=sharing"",""งบพรบ!CP56"")"),0)</f>
        <v>0</v>
      </c>
      <c r="I56" s="151">
        <f ca="1">IFERROR(__xludf.DUMMYFUNCTION("IMPORTRANGE(""https://docs.google.com/spreadsheets/d/1-uDff_7J0KD5mKrp0Vvzr7lt3OU09vwQwhkpOPPYv2Y/edit?usp=sharing"",""งบพรบ!CQ56"")"),0)</f>
        <v>0</v>
      </c>
      <c r="J56" s="151">
        <f t="shared" ca="1" si="24"/>
        <v>0</v>
      </c>
      <c r="K56" s="154">
        <f t="shared" ca="1" si="25"/>
        <v>0</v>
      </c>
      <c r="L56" s="151">
        <f ca="1">IFERROR(__xludf.DUMMYFUNCTION("IMPORTRANGE(""https://docs.google.com/spreadsheets/d/1-uDff_7J0KD5mKrp0Vvzr7lt3OU09vwQwhkpOPPYv2Y/edit?usp=sharing"",""งบพรบ!CR56"")"),0)</f>
        <v>0</v>
      </c>
      <c r="M56" s="68">
        <f t="shared" ca="1" si="26"/>
        <v>0</v>
      </c>
      <c r="N56" s="68">
        <f t="shared" ca="1" si="27"/>
        <v>0</v>
      </c>
      <c r="O56" s="67">
        <f ca="1">IFERROR(__xludf.DUMMYFUNCTION("IMPORTRANGE(""https://docs.google.com/spreadsheets/d/1-uDff_7J0KD5mKrp0Vvzr7lt3OU09vwQwhkpOPPYv2Y/edit?usp=sharing"",""งบพรบ!CS56"")"),0)</f>
        <v>0</v>
      </c>
      <c r="P56" s="67">
        <f t="shared" ca="1" si="28"/>
        <v>0</v>
      </c>
      <c r="Q56" s="68">
        <f t="shared" ca="1" si="29"/>
        <v>0</v>
      </c>
      <c r="R56" s="197">
        <f ca="1">IFERROR(__xludf.DUMMYFUNCTION("IMPORTRANGE(""https://docs.google.com/spreadsheets/d/11tr1B-Bhyr79v2bkwVh5h_fR-PStkgjlZtkrZpYurG0/edit?usp=sharing"",""ชลบุรี!Q173"")"),0)</f>
        <v>0</v>
      </c>
      <c r="S56" s="67">
        <f ca="1">IFERROR(__xludf.DUMMYFUNCTION("IMPORTRANGE(""https://docs.google.com/spreadsheets/d/11tr1B-Bhyr79v2bkwVh5h_fR-PStkgjlZtkrZpYurG0/edit?usp=sharing"",""ชลบุรี!R173"")"),0)</f>
        <v>0</v>
      </c>
      <c r="T56" s="67">
        <f ca="1">IFERROR(__xludf.DUMMYFUNCTION("IMPORTRANGE(""https://docs.google.com/spreadsheets/d/11tr1B-Bhyr79v2bkwVh5h_fR-PStkgjlZtkrZpYurG0/edit?usp=sharing"",""ชลบุรี!S173"")"),0)</f>
        <v>0</v>
      </c>
      <c r="U56" s="68">
        <f t="shared" ca="1" si="31"/>
        <v>0</v>
      </c>
      <c r="V56" s="68">
        <f t="shared" ca="1" si="32"/>
        <v>0</v>
      </c>
      <c r="W56" s="78">
        <f ca="1">IFERROR(__xludf.DUMMYFUNCTION("IMPORTRANGE(""https://docs.google.com/spreadsheets/d/11tr1B-Bhyr79v2bkwVh5h_fR-PStkgjlZtkrZpYurG0/edit?usp=sharing"",""ชลบุรี!I183"")"),0)</f>
        <v>0</v>
      </c>
      <c r="X56" s="78">
        <f ca="1">IFERROR(__xludf.DUMMYFUNCTION("IMPORTRANGE(""https://docs.google.com/spreadsheets/d/11tr1B-Bhyr79v2bkwVh5h_fR-PStkgjlZtkrZpYurG0/edit?usp=sharing"",""ชลบุรี!J183"")"),0)</f>
        <v>0</v>
      </c>
      <c r="Y56" s="79">
        <f t="shared" ca="1" si="34"/>
        <v>0</v>
      </c>
      <c r="Z56" s="215">
        <v>0</v>
      </c>
      <c r="AA56" s="215">
        <v>0</v>
      </c>
      <c r="AB56" s="216">
        <v>0</v>
      </c>
    </row>
    <row r="57" spans="1:28" ht="21" customHeight="1" x14ac:dyDescent="0.3">
      <c r="A57" s="70">
        <v>5</v>
      </c>
      <c r="B57" s="71" t="s">
        <v>85</v>
      </c>
      <c r="C57" s="149">
        <f t="shared" ca="1" si="22"/>
        <v>19590</v>
      </c>
      <c r="D57" s="150">
        <f t="shared" ca="1" si="43"/>
        <v>19590</v>
      </c>
      <c r="E57" s="151">
        <f ca="1">IFERROR(__xludf.DUMMYFUNCTION("IMPORTRANGE(""https://docs.google.com/spreadsheets/d/1-uDff_7J0KD5mKrp0Vvzr7lt3OU09vwQwhkpOPPYv2Y/edit?usp=sharing"",""งบพรบ!CL57"")"),0)</f>
        <v>0</v>
      </c>
      <c r="F57" s="151">
        <f ca="1">IFERROR(__xludf.DUMMYFUNCTION("IMPORTRANGE(""https://docs.google.com/spreadsheets/d/1-uDff_7J0KD5mKrp0Vvzr7lt3OU09vwQwhkpOPPYv2Y/edit?usp=sharing"",""งบพรบ!CM57"")"),19590)</f>
        <v>19590</v>
      </c>
      <c r="G57" s="151">
        <f ca="1">IFERROR(__xludf.DUMMYFUNCTION("IMPORTRANGE(""https://docs.google.com/spreadsheets/d/1-uDff_7J0KD5mKrp0Vvzr7lt3OU09vwQwhkpOPPYv2Y/edit?usp=sharing"",""งบพรบ!CN57"")"),0)</f>
        <v>0</v>
      </c>
      <c r="H57" s="151">
        <f ca="1">IFERROR(__xludf.DUMMYFUNCTION("IMPORTRANGE(""https://docs.google.com/spreadsheets/d/1-uDff_7J0KD5mKrp0Vvzr7lt3OU09vwQwhkpOPPYv2Y/edit?usp=sharing"",""งบพรบ!CP57"")"),33360)</f>
        <v>33360</v>
      </c>
      <c r="I57" s="151">
        <f ca="1">IFERROR(__xludf.DUMMYFUNCTION("IMPORTRANGE(""https://docs.google.com/spreadsheets/d/1-uDff_7J0KD5mKrp0Vvzr7lt3OU09vwQwhkpOPPYv2Y/edit?usp=sharing"",""งบพรบ!CQ57"")"),0)</f>
        <v>0</v>
      </c>
      <c r="J57" s="151">
        <f t="shared" ca="1" si="24"/>
        <v>33360</v>
      </c>
      <c r="K57" s="154">
        <f t="shared" ca="1" si="25"/>
        <v>170.29096477794792</v>
      </c>
      <c r="L57" s="151">
        <f ca="1">IFERROR(__xludf.DUMMYFUNCTION("IMPORTRANGE(""https://docs.google.com/spreadsheets/d/1-uDff_7J0KD5mKrp0Vvzr7lt3OU09vwQwhkpOPPYv2Y/edit?usp=sharing"",""งบพรบ!CR57"")"),33360)</f>
        <v>33360</v>
      </c>
      <c r="M57" s="68">
        <f t="shared" ca="1" si="26"/>
        <v>170.29096477794792</v>
      </c>
      <c r="N57" s="68">
        <f t="shared" ca="1" si="27"/>
        <v>100</v>
      </c>
      <c r="O57" s="67">
        <f ca="1">IFERROR(__xludf.DUMMYFUNCTION("IMPORTRANGE(""https://docs.google.com/spreadsheets/d/1-uDff_7J0KD5mKrp0Vvzr7lt3OU09vwQwhkpOPPYv2Y/edit?usp=sharing"",""งบพรบ!CS57"")"),0)</f>
        <v>0</v>
      </c>
      <c r="P57" s="67">
        <f t="shared" ca="1" si="28"/>
        <v>0</v>
      </c>
      <c r="Q57" s="68">
        <f t="shared" ca="1" si="29"/>
        <v>0</v>
      </c>
      <c r="R57" s="197">
        <f ca="1">IFERROR(__xludf.DUMMYFUNCTION("IMPORTRANGE(""https://docs.google.com/spreadsheets/d/1hh-FVnSX0vozXhGluamEcS54Dw9_zqW0N7qJUWgJ0Sw/edit?usp=sharing"",""ชัยนาท!Q173"")"),20320)</f>
        <v>20320</v>
      </c>
      <c r="S57" s="67">
        <f ca="1">IFERROR(__xludf.DUMMYFUNCTION("IMPORTRANGE(""https://docs.google.com/spreadsheets/d/1hh-FVnSX0vozXhGluamEcS54Dw9_zqW0N7qJUWgJ0Sw/edit?usp=sharing"",""ชัยนาท!R173"")"),20320)</f>
        <v>20320</v>
      </c>
      <c r="T57" s="67">
        <f ca="1">IFERROR(__xludf.DUMMYFUNCTION("IMPORTRANGE(""https://docs.google.com/spreadsheets/d/1hh-FVnSX0vozXhGluamEcS54Dw9_zqW0N7qJUWgJ0Sw/edit?usp=sharing"",""ชัยนาท!S173"")"),16160)</f>
        <v>16160</v>
      </c>
      <c r="U57" s="68">
        <f t="shared" ca="1" si="31"/>
        <v>79.527559055118104</v>
      </c>
      <c r="V57" s="68">
        <f t="shared" ca="1" si="32"/>
        <v>79.527559055118104</v>
      </c>
      <c r="W57" s="78">
        <f ca="1">IFERROR(__xludf.DUMMYFUNCTION("IMPORTRANGE(""https://docs.google.com/spreadsheets/d/1hh-FVnSX0vozXhGluamEcS54Dw9_zqW0N7qJUWgJ0Sw/edit?usp=sharing"",""ชัยนาท!I183"")"),14)</f>
        <v>14</v>
      </c>
      <c r="X57" s="78">
        <f ca="1">IFERROR(__xludf.DUMMYFUNCTION("IMPORTRANGE(""https://docs.google.com/spreadsheets/d/1hh-FVnSX0vozXhGluamEcS54Dw9_zqW0N7qJUWgJ0Sw/edit?usp=sharing"",""ชัยนาท!J183"")"),14)</f>
        <v>14</v>
      </c>
      <c r="Y57" s="79">
        <f t="shared" ca="1" si="34"/>
        <v>100</v>
      </c>
      <c r="Z57" s="215">
        <v>0</v>
      </c>
      <c r="AA57" s="215">
        <v>0</v>
      </c>
      <c r="AB57" s="216">
        <v>0</v>
      </c>
    </row>
    <row r="58" spans="1:28" ht="21" customHeight="1" x14ac:dyDescent="0.3">
      <c r="A58" s="70">
        <v>6</v>
      </c>
      <c r="B58" s="71" t="s">
        <v>86</v>
      </c>
      <c r="C58" s="149">
        <f t="shared" ca="1" si="22"/>
        <v>19590</v>
      </c>
      <c r="D58" s="150">
        <f t="shared" ca="1" si="43"/>
        <v>19590</v>
      </c>
      <c r="E58" s="151">
        <f ca="1">IFERROR(__xludf.DUMMYFUNCTION("IMPORTRANGE(""https://docs.google.com/spreadsheets/d/1-uDff_7J0KD5mKrp0Vvzr7lt3OU09vwQwhkpOPPYv2Y/edit?usp=sharing"",""งบพรบ!CL58"")"),0)</f>
        <v>0</v>
      </c>
      <c r="F58" s="151">
        <f ca="1">IFERROR(__xludf.DUMMYFUNCTION("IMPORTRANGE(""https://docs.google.com/spreadsheets/d/1-uDff_7J0KD5mKrp0Vvzr7lt3OU09vwQwhkpOPPYv2Y/edit?usp=sharing"",""งบพรบ!CM58"")"),19590)</f>
        <v>19590</v>
      </c>
      <c r="G58" s="151">
        <f ca="1">IFERROR(__xludf.DUMMYFUNCTION("IMPORTRANGE(""https://docs.google.com/spreadsheets/d/1-uDff_7J0KD5mKrp0Vvzr7lt3OU09vwQwhkpOPPYv2Y/edit?usp=sharing"",""งบพรบ!CN58"")"),0)</f>
        <v>0</v>
      </c>
      <c r="H58" s="151">
        <f ca="1">IFERROR(__xludf.DUMMYFUNCTION("IMPORTRANGE(""https://docs.google.com/spreadsheets/d/1-uDff_7J0KD5mKrp0Vvzr7lt3OU09vwQwhkpOPPYv2Y/edit?usp=sharing"",""งบพรบ!CP58"")"),30980)</f>
        <v>30980</v>
      </c>
      <c r="I58" s="151">
        <f ca="1">IFERROR(__xludf.DUMMYFUNCTION("IMPORTRANGE(""https://docs.google.com/spreadsheets/d/1-uDff_7J0KD5mKrp0Vvzr7lt3OU09vwQwhkpOPPYv2Y/edit?usp=sharing"",""งบพรบ!CQ58"")"),0)</f>
        <v>0</v>
      </c>
      <c r="J58" s="151">
        <f t="shared" ca="1" si="24"/>
        <v>30980</v>
      </c>
      <c r="K58" s="154">
        <f t="shared" ca="1" si="25"/>
        <v>158.14190913731497</v>
      </c>
      <c r="L58" s="151">
        <f ca="1">IFERROR(__xludf.DUMMYFUNCTION("IMPORTRANGE(""https://docs.google.com/spreadsheets/d/1-uDff_7J0KD5mKrp0Vvzr7lt3OU09vwQwhkpOPPYv2Y/edit?usp=sharing"",""งบพรบ!CR58"")"),30980)</f>
        <v>30980</v>
      </c>
      <c r="M58" s="68">
        <f t="shared" ca="1" si="26"/>
        <v>158.14190913731497</v>
      </c>
      <c r="N58" s="68">
        <f t="shared" ca="1" si="27"/>
        <v>100</v>
      </c>
      <c r="O58" s="67">
        <f ca="1">IFERROR(__xludf.DUMMYFUNCTION("IMPORTRANGE(""https://docs.google.com/spreadsheets/d/1-uDff_7J0KD5mKrp0Vvzr7lt3OU09vwQwhkpOPPYv2Y/edit?usp=sharing"",""งบพรบ!CS58"")"),0)</f>
        <v>0</v>
      </c>
      <c r="P58" s="67">
        <f t="shared" ca="1" si="28"/>
        <v>0</v>
      </c>
      <c r="Q58" s="68">
        <f t="shared" ca="1" si="29"/>
        <v>0</v>
      </c>
      <c r="R58" s="197">
        <f ca="1">IFERROR(__xludf.DUMMYFUNCTION("IMPORTRANGE(""https://docs.google.com/spreadsheets/d/1jkqa6GXxSacMcY1eN8AHjMNJ_7dDXMJVRLDlaFSOdPM/edit?usp=sharing"",""ตราด!Q173"")"),0)</f>
        <v>0</v>
      </c>
      <c r="S58" s="67">
        <f ca="1">IFERROR(__xludf.DUMMYFUNCTION("IMPORTRANGE(""https://docs.google.com/spreadsheets/d/1jkqa6GXxSacMcY1eN8AHjMNJ_7dDXMJVRLDlaFSOdPM/edit?usp=sharing"",""ตราด!R173"")"),0)</f>
        <v>0</v>
      </c>
      <c r="T58" s="67">
        <f ca="1">IFERROR(__xludf.DUMMYFUNCTION("IMPORTRANGE(""https://docs.google.com/spreadsheets/d/1jkqa6GXxSacMcY1eN8AHjMNJ_7dDXMJVRLDlaFSOdPM/edit?usp=sharing"",""ตราด!S173"")"),0)</f>
        <v>0</v>
      </c>
      <c r="U58" s="68">
        <f t="shared" ca="1" si="31"/>
        <v>0</v>
      </c>
      <c r="V58" s="68">
        <f t="shared" ca="1" si="32"/>
        <v>0</v>
      </c>
      <c r="W58" s="78">
        <f ca="1">IFERROR(__xludf.DUMMYFUNCTION("IMPORTRANGE(""https://docs.google.com/spreadsheets/d/1jkqa6GXxSacMcY1eN8AHjMNJ_7dDXMJVRLDlaFSOdPM/edit?usp=sharing"",""ตราด!I183"")"),7)</f>
        <v>7</v>
      </c>
      <c r="X58" s="78">
        <f ca="1">IFERROR(__xludf.DUMMYFUNCTION("IMPORTRANGE(""https://docs.google.com/spreadsheets/d/1jkqa6GXxSacMcY1eN8AHjMNJ_7dDXMJVRLDlaFSOdPM/edit?usp=sharing"",""ตราด!J183"")"),7)</f>
        <v>7</v>
      </c>
      <c r="Y58" s="79">
        <f t="shared" ca="1" si="34"/>
        <v>100</v>
      </c>
      <c r="Z58" s="215">
        <v>0</v>
      </c>
      <c r="AA58" s="215">
        <v>0</v>
      </c>
      <c r="AB58" s="216">
        <v>0</v>
      </c>
    </row>
    <row r="59" spans="1:28" ht="21" customHeight="1" x14ac:dyDescent="0.3">
      <c r="A59" s="70">
        <v>7</v>
      </c>
      <c r="B59" s="71" t="s">
        <v>87</v>
      </c>
      <c r="C59" s="149">
        <f t="shared" ca="1" si="22"/>
        <v>0</v>
      </c>
      <c r="D59" s="150">
        <f t="shared" ca="1" si="43"/>
        <v>0</v>
      </c>
      <c r="E59" s="151">
        <f ca="1">IFERROR(__xludf.DUMMYFUNCTION("IMPORTRANGE(""https://docs.google.com/spreadsheets/d/1-uDff_7J0KD5mKrp0Vvzr7lt3OU09vwQwhkpOPPYv2Y/edit?usp=sharing"",""งบพรบ!CL59"")"),0)</f>
        <v>0</v>
      </c>
      <c r="F59" s="151">
        <f ca="1">IFERROR(__xludf.DUMMYFUNCTION("IMPORTRANGE(""https://docs.google.com/spreadsheets/d/1-uDff_7J0KD5mKrp0Vvzr7lt3OU09vwQwhkpOPPYv2Y/edit?usp=sharing"",""งบพรบ!CM59"")"),0)</f>
        <v>0</v>
      </c>
      <c r="G59" s="151">
        <f ca="1">IFERROR(__xludf.DUMMYFUNCTION("IMPORTRANGE(""https://docs.google.com/spreadsheets/d/1-uDff_7J0KD5mKrp0Vvzr7lt3OU09vwQwhkpOPPYv2Y/edit?usp=sharing"",""งบพรบ!CN59"")"),0)</f>
        <v>0</v>
      </c>
      <c r="H59" s="151">
        <f ca="1">IFERROR(__xludf.DUMMYFUNCTION("IMPORTRANGE(""https://docs.google.com/spreadsheets/d/1-uDff_7J0KD5mKrp0Vvzr7lt3OU09vwQwhkpOPPYv2Y/edit?usp=sharing"",""งบพรบ!CP59"")"),10040)</f>
        <v>10040</v>
      </c>
      <c r="I59" s="151">
        <f ca="1">IFERROR(__xludf.DUMMYFUNCTION("IMPORTRANGE(""https://docs.google.com/spreadsheets/d/1-uDff_7J0KD5mKrp0Vvzr7lt3OU09vwQwhkpOPPYv2Y/edit?usp=sharing"",""งบพรบ!CQ59"")"),0)</f>
        <v>0</v>
      </c>
      <c r="J59" s="151">
        <f t="shared" ca="1" si="24"/>
        <v>10040</v>
      </c>
      <c r="K59" s="154">
        <f t="shared" ca="1" si="25"/>
        <v>0</v>
      </c>
      <c r="L59" s="151">
        <f ca="1">IFERROR(__xludf.DUMMYFUNCTION("IMPORTRANGE(""https://docs.google.com/spreadsheets/d/1-uDff_7J0KD5mKrp0Vvzr7lt3OU09vwQwhkpOPPYv2Y/edit?usp=sharing"",""งบพรบ!CR59"")"),10040)</f>
        <v>10040</v>
      </c>
      <c r="M59" s="68">
        <f t="shared" ca="1" si="26"/>
        <v>0</v>
      </c>
      <c r="N59" s="68">
        <f t="shared" ca="1" si="27"/>
        <v>100</v>
      </c>
      <c r="O59" s="67">
        <f ca="1">IFERROR(__xludf.DUMMYFUNCTION("IMPORTRANGE(""https://docs.google.com/spreadsheets/d/1-uDff_7J0KD5mKrp0Vvzr7lt3OU09vwQwhkpOPPYv2Y/edit?usp=sharing"",""งบพรบ!CS59"")"),0)</f>
        <v>0</v>
      </c>
      <c r="P59" s="67">
        <f t="shared" ca="1" si="28"/>
        <v>0</v>
      </c>
      <c r="Q59" s="68">
        <f t="shared" ca="1" si="29"/>
        <v>0</v>
      </c>
      <c r="R59" s="197">
        <f ca="1">IFERROR(__xludf.DUMMYFUNCTION("IMPORTRANGE(""https://docs.google.com/spreadsheets/d/18hSgUJ3VwClqi_qtULmmW3cLr0oe3OKaSYoKzdpTsYQ/edit?usp=sharing"",""นครนายก!Q173"")"),0)</f>
        <v>0</v>
      </c>
      <c r="S59" s="67">
        <f ca="1">IFERROR(__xludf.DUMMYFUNCTION("IMPORTRANGE(""https://docs.google.com/spreadsheets/d/18hSgUJ3VwClqi_qtULmmW3cLr0oe3OKaSYoKzdpTsYQ/edit?usp=sharing"",""นครนายก!R173"")"),0)</f>
        <v>0</v>
      </c>
      <c r="T59" s="67">
        <f ca="1">IFERROR(__xludf.DUMMYFUNCTION("IMPORTRANGE(""https://docs.google.com/spreadsheets/d/18hSgUJ3VwClqi_qtULmmW3cLr0oe3OKaSYoKzdpTsYQ/edit?usp=sharing"",""นครนายก!S173"")"),0)</f>
        <v>0</v>
      </c>
      <c r="U59" s="68">
        <f t="shared" ca="1" si="31"/>
        <v>0</v>
      </c>
      <c r="V59" s="68">
        <f t="shared" ca="1" si="32"/>
        <v>0</v>
      </c>
      <c r="W59" s="78">
        <f ca="1">IFERROR(__xludf.DUMMYFUNCTION("IMPORTRANGE(""https://docs.google.com/spreadsheets/d/18hSgUJ3VwClqi_qtULmmW3cLr0oe3OKaSYoKzdpTsYQ/edit?usp=sharing"",""นครนายก!I183"")"),0)</f>
        <v>0</v>
      </c>
      <c r="X59" s="78">
        <f ca="1">IFERROR(__xludf.DUMMYFUNCTION("IMPORTRANGE(""https://docs.google.com/spreadsheets/d/18hSgUJ3VwClqi_qtULmmW3cLr0oe3OKaSYoKzdpTsYQ/edit?usp=sharing"",""นครนายก!J183"")"),0)</f>
        <v>0</v>
      </c>
      <c r="Y59" s="79">
        <f t="shared" ca="1" si="34"/>
        <v>0</v>
      </c>
      <c r="Z59" s="215">
        <v>0</v>
      </c>
      <c r="AA59" s="215">
        <v>0</v>
      </c>
      <c r="AB59" s="216">
        <v>0</v>
      </c>
    </row>
    <row r="60" spans="1:28" ht="21" customHeight="1" x14ac:dyDescent="0.3">
      <c r="A60" s="70">
        <v>8</v>
      </c>
      <c r="B60" s="71" t="s">
        <v>88</v>
      </c>
      <c r="C60" s="149">
        <f t="shared" ca="1" si="22"/>
        <v>19590</v>
      </c>
      <c r="D60" s="150">
        <f t="shared" ca="1" si="43"/>
        <v>19590</v>
      </c>
      <c r="E60" s="151">
        <f ca="1">IFERROR(__xludf.DUMMYFUNCTION("IMPORTRANGE(""https://docs.google.com/spreadsheets/d/1-uDff_7J0KD5mKrp0Vvzr7lt3OU09vwQwhkpOPPYv2Y/edit?usp=sharing"",""งบพรบ!CL60"")"),0)</f>
        <v>0</v>
      </c>
      <c r="F60" s="151">
        <f ca="1">IFERROR(__xludf.DUMMYFUNCTION("IMPORTRANGE(""https://docs.google.com/spreadsheets/d/1-uDff_7J0KD5mKrp0Vvzr7lt3OU09vwQwhkpOPPYv2Y/edit?usp=sharing"",""งบพรบ!CM60"")"),19590)</f>
        <v>19590</v>
      </c>
      <c r="G60" s="151">
        <f ca="1">IFERROR(__xludf.DUMMYFUNCTION("IMPORTRANGE(""https://docs.google.com/spreadsheets/d/1-uDff_7J0KD5mKrp0Vvzr7lt3OU09vwQwhkpOPPYv2Y/edit?usp=sharing"",""งบพรบ!CN60"")"),0)</f>
        <v>0</v>
      </c>
      <c r="H60" s="151">
        <f ca="1">IFERROR(__xludf.DUMMYFUNCTION("IMPORTRANGE(""https://docs.google.com/spreadsheets/d/1-uDff_7J0KD5mKrp0Vvzr7lt3OU09vwQwhkpOPPYv2Y/edit?usp=sharing"",""งบพรบ!CP60"")"),29290)</f>
        <v>29290</v>
      </c>
      <c r="I60" s="151">
        <f ca="1">IFERROR(__xludf.DUMMYFUNCTION("IMPORTRANGE(""https://docs.google.com/spreadsheets/d/1-uDff_7J0KD5mKrp0Vvzr7lt3OU09vwQwhkpOPPYv2Y/edit?usp=sharing"",""งบพรบ!CQ60"")"),0)</f>
        <v>0</v>
      </c>
      <c r="J60" s="151">
        <f t="shared" ca="1" si="24"/>
        <v>29290</v>
      </c>
      <c r="K60" s="154">
        <f t="shared" ca="1" si="25"/>
        <v>149.51505870342012</v>
      </c>
      <c r="L60" s="151">
        <f ca="1">IFERROR(__xludf.DUMMYFUNCTION("IMPORTRANGE(""https://docs.google.com/spreadsheets/d/1-uDff_7J0KD5mKrp0Vvzr7lt3OU09vwQwhkpOPPYv2Y/edit?usp=sharing"",""งบพรบ!CR60"")"),29290)</f>
        <v>29290</v>
      </c>
      <c r="M60" s="68">
        <f t="shared" ca="1" si="26"/>
        <v>149.51505870342012</v>
      </c>
      <c r="N60" s="68">
        <f t="shared" ca="1" si="27"/>
        <v>100</v>
      </c>
      <c r="O60" s="67">
        <f ca="1">IFERROR(__xludf.DUMMYFUNCTION("IMPORTRANGE(""https://docs.google.com/spreadsheets/d/1-uDff_7J0KD5mKrp0Vvzr7lt3OU09vwQwhkpOPPYv2Y/edit?usp=sharing"",""งบพรบ!CS60"")"),0)</f>
        <v>0</v>
      </c>
      <c r="P60" s="67">
        <f t="shared" ca="1" si="28"/>
        <v>0</v>
      </c>
      <c r="Q60" s="68">
        <f t="shared" ca="1" si="29"/>
        <v>0</v>
      </c>
      <c r="R60" s="197">
        <f ca="1">IFERROR(__xludf.DUMMYFUNCTION("IMPORTRANGE(""https://docs.google.com/spreadsheets/d/1YTZo6WM2dQ6Ix6FSdnL5P7uVnVKu40sxZu975tgG10E/edit?usp=sharing"",""นครปฐม!Q173"")"),0)</f>
        <v>0</v>
      </c>
      <c r="S60" s="67">
        <f ca="1">IFERROR(__xludf.DUMMYFUNCTION("IMPORTRANGE(""https://docs.google.com/spreadsheets/d/1YTZo6WM2dQ6Ix6FSdnL5P7uVnVKu40sxZu975tgG10E/edit?usp=sharing"",""นครปฐม!R173"")"),0)</f>
        <v>0</v>
      </c>
      <c r="T60" s="67">
        <f ca="1">IFERROR(__xludf.DUMMYFUNCTION("IMPORTRANGE(""https://docs.google.com/spreadsheets/d/1YTZo6WM2dQ6Ix6FSdnL5P7uVnVKu40sxZu975tgG10E/edit?usp=sharing"",""นครปฐม!S173"")"),0)</f>
        <v>0</v>
      </c>
      <c r="U60" s="68">
        <f t="shared" ca="1" si="31"/>
        <v>0</v>
      </c>
      <c r="V60" s="68">
        <f t="shared" ca="1" si="32"/>
        <v>0</v>
      </c>
      <c r="W60" s="78">
        <f ca="1">IFERROR(__xludf.DUMMYFUNCTION("IMPORTRANGE(""https://docs.google.com/spreadsheets/d/1YTZo6WM2dQ6Ix6FSdnL5P7uVnVKu40sxZu975tgG10E/edit?usp=sharing"",""นครปฐม!I183"")"),7)</f>
        <v>7</v>
      </c>
      <c r="X60" s="78">
        <f ca="1">IFERROR(__xludf.DUMMYFUNCTION("IMPORTRANGE(""https://docs.google.com/spreadsheets/d/1YTZo6WM2dQ6Ix6FSdnL5P7uVnVKu40sxZu975tgG10E/edit?usp=sharing"",""นครปฐม!J183"")"),7)</f>
        <v>7</v>
      </c>
      <c r="Y60" s="79">
        <f t="shared" ca="1" si="34"/>
        <v>100</v>
      </c>
      <c r="Z60" s="215">
        <v>0</v>
      </c>
      <c r="AA60" s="215">
        <v>0</v>
      </c>
      <c r="AB60" s="216">
        <v>0</v>
      </c>
    </row>
    <row r="61" spans="1:28" ht="21" customHeight="1" x14ac:dyDescent="0.3">
      <c r="A61" s="70">
        <v>9</v>
      </c>
      <c r="B61" s="71" t="s">
        <v>89</v>
      </c>
      <c r="C61" s="149">
        <f t="shared" ca="1" si="22"/>
        <v>19590</v>
      </c>
      <c r="D61" s="150">
        <f t="shared" ca="1" si="43"/>
        <v>19590</v>
      </c>
      <c r="E61" s="151">
        <f ca="1">IFERROR(__xludf.DUMMYFUNCTION("IMPORTRANGE(""https://docs.google.com/spreadsheets/d/1-uDff_7J0KD5mKrp0Vvzr7lt3OU09vwQwhkpOPPYv2Y/edit?usp=sharing"",""งบพรบ!CL61"")"),0)</f>
        <v>0</v>
      </c>
      <c r="F61" s="151">
        <f ca="1">IFERROR(__xludf.DUMMYFUNCTION("IMPORTRANGE(""https://docs.google.com/spreadsheets/d/1-uDff_7J0KD5mKrp0Vvzr7lt3OU09vwQwhkpOPPYv2Y/edit?usp=sharing"",""งบพรบ!CM61"")"),19590)</f>
        <v>19590</v>
      </c>
      <c r="G61" s="151">
        <f ca="1">IFERROR(__xludf.DUMMYFUNCTION("IMPORTRANGE(""https://docs.google.com/spreadsheets/d/1-uDff_7J0KD5mKrp0Vvzr7lt3OU09vwQwhkpOPPYv2Y/edit?usp=sharing"",""งบพรบ!CN61"")"),0)</f>
        <v>0</v>
      </c>
      <c r="H61" s="151">
        <f ca="1">IFERROR(__xludf.DUMMYFUNCTION("IMPORTRANGE(""https://docs.google.com/spreadsheets/d/1-uDff_7J0KD5mKrp0Vvzr7lt3OU09vwQwhkpOPPYv2Y/edit?usp=sharing"",""งบพรบ!CP61"")"),28842)</f>
        <v>28842</v>
      </c>
      <c r="I61" s="151">
        <f ca="1">IFERROR(__xludf.DUMMYFUNCTION("IMPORTRANGE(""https://docs.google.com/spreadsheets/d/1-uDff_7J0KD5mKrp0Vvzr7lt3OU09vwQwhkpOPPYv2Y/edit?usp=sharing"",""งบพรบ!CQ61"")"),0)</f>
        <v>0</v>
      </c>
      <c r="J61" s="151">
        <f t="shared" ca="1" si="24"/>
        <v>28842</v>
      </c>
      <c r="K61" s="154">
        <f t="shared" ca="1" si="25"/>
        <v>147.2281776416539</v>
      </c>
      <c r="L61" s="151">
        <f ca="1">IFERROR(__xludf.DUMMYFUNCTION("IMPORTRANGE(""https://docs.google.com/spreadsheets/d/1-uDff_7J0KD5mKrp0Vvzr7lt3OU09vwQwhkpOPPYv2Y/edit?usp=sharing"",""งบพรบ!CR61"")"),28842)</f>
        <v>28842</v>
      </c>
      <c r="M61" s="68">
        <f t="shared" ca="1" si="26"/>
        <v>147.2281776416539</v>
      </c>
      <c r="N61" s="68">
        <f t="shared" ca="1" si="27"/>
        <v>100</v>
      </c>
      <c r="O61" s="67">
        <f ca="1">IFERROR(__xludf.DUMMYFUNCTION("IMPORTRANGE(""https://docs.google.com/spreadsheets/d/1-uDff_7J0KD5mKrp0Vvzr7lt3OU09vwQwhkpOPPYv2Y/edit?usp=sharing"",""งบพรบ!CS61"")"),0)</f>
        <v>0</v>
      </c>
      <c r="P61" s="67">
        <f t="shared" ca="1" si="28"/>
        <v>0</v>
      </c>
      <c r="Q61" s="68">
        <f t="shared" ca="1" si="29"/>
        <v>0</v>
      </c>
      <c r="R61" s="197">
        <f ca="1">IFERROR(__xludf.DUMMYFUNCTION("IMPORTRANGE(""https://docs.google.com/spreadsheets/d/1OYoGg4WDg5RIzwGeB10padOxJF9E_Vljuvvct_M7RDo/edit?usp=sharing"",""ปทุมธานี!Q173"")"),0)</f>
        <v>0</v>
      </c>
      <c r="S61" s="67">
        <f ca="1">IFERROR(__xludf.DUMMYFUNCTION("IMPORTRANGE(""https://docs.google.com/spreadsheets/d/1OYoGg4WDg5RIzwGeB10padOxJF9E_Vljuvvct_M7RDo/edit?usp=sharing"",""ปทุมธานี!R173"")"),0)</f>
        <v>0</v>
      </c>
      <c r="T61" s="67">
        <f ca="1">IFERROR(__xludf.DUMMYFUNCTION("IMPORTRANGE(""https://docs.google.com/spreadsheets/d/1OYoGg4WDg5RIzwGeB10padOxJF9E_Vljuvvct_M7RDo/edit?usp=sharing"",""ปทุมธานี!S173"")"),0)</f>
        <v>0</v>
      </c>
      <c r="U61" s="68">
        <f t="shared" ca="1" si="31"/>
        <v>0</v>
      </c>
      <c r="V61" s="68">
        <f t="shared" ca="1" si="32"/>
        <v>0</v>
      </c>
      <c r="W61" s="78">
        <f ca="1">IFERROR(__xludf.DUMMYFUNCTION("IMPORTRANGE(""https://docs.google.com/spreadsheets/d/1OYoGg4WDg5RIzwGeB10padOxJF9E_Vljuvvct_M7RDo/edit?usp=sharing"",""ปทุมธานี!I183"")"),7)</f>
        <v>7</v>
      </c>
      <c r="X61" s="78">
        <f ca="1">IFERROR(__xludf.DUMMYFUNCTION("IMPORTRANGE(""https://docs.google.com/spreadsheets/d/1OYoGg4WDg5RIzwGeB10padOxJF9E_Vljuvvct_M7RDo/edit?usp=sharing"",""ปทุมธานี!J183"")"),7)</f>
        <v>7</v>
      </c>
      <c r="Y61" s="79">
        <f t="shared" ca="1" si="34"/>
        <v>100</v>
      </c>
      <c r="Z61" s="215">
        <v>0</v>
      </c>
      <c r="AA61" s="215">
        <v>0</v>
      </c>
      <c r="AB61" s="216">
        <v>0</v>
      </c>
    </row>
    <row r="62" spans="1:28" ht="21" customHeight="1" x14ac:dyDescent="0.3">
      <c r="A62" s="70">
        <v>10</v>
      </c>
      <c r="B62" s="71" t="s">
        <v>90</v>
      </c>
      <c r="C62" s="149">
        <f t="shared" ca="1" si="22"/>
        <v>19590</v>
      </c>
      <c r="D62" s="150">
        <f t="shared" ca="1" si="43"/>
        <v>19590</v>
      </c>
      <c r="E62" s="151">
        <f ca="1">IFERROR(__xludf.DUMMYFUNCTION("IMPORTRANGE(""https://docs.google.com/spreadsheets/d/1-uDff_7J0KD5mKrp0Vvzr7lt3OU09vwQwhkpOPPYv2Y/edit?usp=sharing"",""งบพรบ!CL62"")"),0)</f>
        <v>0</v>
      </c>
      <c r="F62" s="151">
        <f ca="1">IFERROR(__xludf.DUMMYFUNCTION("IMPORTRANGE(""https://docs.google.com/spreadsheets/d/1-uDff_7J0KD5mKrp0Vvzr7lt3OU09vwQwhkpOPPYv2Y/edit?usp=sharing"",""งบพรบ!CM62"")"),19590)</f>
        <v>19590</v>
      </c>
      <c r="G62" s="151">
        <f ca="1">IFERROR(__xludf.DUMMYFUNCTION("IMPORTRANGE(""https://docs.google.com/spreadsheets/d/1-uDff_7J0KD5mKrp0Vvzr7lt3OU09vwQwhkpOPPYv2Y/edit?usp=sharing"",""งบพรบ!CN62"")"),0)</f>
        <v>0</v>
      </c>
      <c r="H62" s="151">
        <f ca="1">IFERROR(__xludf.DUMMYFUNCTION("IMPORTRANGE(""https://docs.google.com/spreadsheets/d/1-uDff_7J0KD5mKrp0Vvzr7lt3OU09vwQwhkpOPPYv2Y/edit?usp=sharing"",""งบพรบ!CP62"")"),30760)</f>
        <v>30760</v>
      </c>
      <c r="I62" s="151">
        <f ca="1">IFERROR(__xludf.DUMMYFUNCTION("IMPORTRANGE(""https://docs.google.com/spreadsheets/d/1-uDff_7J0KD5mKrp0Vvzr7lt3OU09vwQwhkpOPPYv2Y/edit?usp=sharing"",""งบพรบ!CQ62"")"),0)</f>
        <v>0</v>
      </c>
      <c r="J62" s="151">
        <f t="shared" ca="1" si="24"/>
        <v>30760</v>
      </c>
      <c r="K62" s="154">
        <f t="shared" ca="1" si="25"/>
        <v>157.01888718734048</v>
      </c>
      <c r="L62" s="151">
        <f ca="1">IFERROR(__xludf.DUMMYFUNCTION("IMPORTRANGE(""https://docs.google.com/spreadsheets/d/1-uDff_7J0KD5mKrp0Vvzr7lt3OU09vwQwhkpOPPYv2Y/edit?usp=sharing"",""งบพรบ!CR62"")"),30760)</f>
        <v>30760</v>
      </c>
      <c r="M62" s="68">
        <f t="shared" ca="1" si="26"/>
        <v>157.01888718734048</v>
      </c>
      <c r="N62" s="68">
        <f t="shared" ca="1" si="27"/>
        <v>100</v>
      </c>
      <c r="O62" s="67">
        <f ca="1">IFERROR(__xludf.DUMMYFUNCTION("IMPORTRANGE(""https://docs.google.com/spreadsheets/d/1-uDff_7J0KD5mKrp0Vvzr7lt3OU09vwQwhkpOPPYv2Y/edit?usp=sharing"",""งบพรบ!CS62"")"),0)</f>
        <v>0</v>
      </c>
      <c r="P62" s="67">
        <f t="shared" ca="1" si="28"/>
        <v>0</v>
      </c>
      <c r="Q62" s="68">
        <f t="shared" ca="1" si="29"/>
        <v>0</v>
      </c>
      <c r="R62" s="197">
        <f ca="1">IFERROR(__xludf.DUMMYFUNCTION("IMPORTRANGE(""https://docs.google.com/spreadsheets/d/1GbCIE4D4wk9FUozzqk7SxfDMxDVBwVmI5zcaVUSzKAc/edit?usp=sharing"",""ประจวบคีรีขันธ์!Q173"")"),0)</f>
        <v>0</v>
      </c>
      <c r="S62" s="67">
        <f ca="1">IFERROR(__xludf.DUMMYFUNCTION("IMPORTRANGE(""https://docs.google.com/spreadsheets/d/1GbCIE4D4wk9FUozzqk7SxfDMxDVBwVmI5zcaVUSzKAc/edit?usp=sharing"",""ประจวบคีรีขันธ์!R173"")"),0)</f>
        <v>0</v>
      </c>
      <c r="T62" s="67">
        <f ca="1">IFERROR(__xludf.DUMMYFUNCTION("IMPORTRANGE(""https://docs.google.com/spreadsheets/d/1GbCIE4D4wk9FUozzqk7SxfDMxDVBwVmI5zcaVUSzKAc/edit?usp=sharing"",""ประจวบคีรีขันธ์!S173"")"),0)</f>
        <v>0</v>
      </c>
      <c r="U62" s="68">
        <f t="shared" ca="1" si="31"/>
        <v>0</v>
      </c>
      <c r="V62" s="68">
        <f t="shared" ca="1" si="32"/>
        <v>0</v>
      </c>
      <c r="W62" s="78">
        <f ca="1">IFERROR(__xludf.DUMMYFUNCTION("IMPORTRANGE(""https://docs.google.com/spreadsheets/d/1GbCIE4D4wk9FUozzqk7SxfDMxDVBwVmI5zcaVUSzKAc/edit?usp=sharing"",""ประจวบคีรีขันธ์!I183"")"),7)</f>
        <v>7</v>
      </c>
      <c r="X62" s="78">
        <f ca="1">IFERROR(__xludf.DUMMYFUNCTION("IMPORTRANGE(""https://docs.google.com/spreadsheets/d/1GbCIE4D4wk9FUozzqk7SxfDMxDVBwVmI5zcaVUSzKAc/edit?usp=sharing"",""ประจวบคีรีขันธ์!J183"")"),7)</f>
        <v>7</v>
      </c>
      <c r="Y62" s="79">
        <f t="shared" ca="1" si="34"/>
        <v>100</v>
      </c>
      <c r="Z62" s="215">
        <v>0</v>
      </c>
      <c r="AA62" s="215">
        <v>0</v>
      </c>
      <c r="AB62" s="216">
        <v>0</v>
      </c>
    </row>
    <row r="63" spans="1:28" ht="21" customHeight="1" x14ac:dyDescent="0.3">
      <c r="A63" s="70">
        <v>11</v>
      </c>
      <c r="B63" s="71" t="s">
        <v>91</v>
      </c>
      <c r="C63" s="149">
        <f t="shared" ca="1" si="22"/>
        <v>19590</v>
      </c>
      <c r="D63" s="150">
        <f t="shared" ca="1" si="43"/>
        <v>19590</v>
      </c>
      <c r="E63" s="151">
        <f ca="1">IFERROR(__xludf.DUMMYFUNCTION("IMPORTRANGE(""https://docs.google.com/spreadsheets/d/1-uDff_7J0KD5mKrp0Vvzr7lt3OU09vwQwhkpOPPYv2Y/edit?usp=sharing"",""งบพรบ!CL63"")"),0)</f>
        <v>0</v>
      </c>
      <c r="F63" s="151">
        <f ca="1">IFERROR(__xludf.DUMMYFUNCTION("IMPORTRANGE(""https://docs.google.com/spreadsheets/d/1-uDff_7J0KD5mKrp0Vvzr7lt3OU09vwQwhkpOPPYv2Y/edit?usp=sharing"",""งบพรบ!CM63"")"),19590)</f>
        <v>19590</v>
      </c>
      <c r="G63" s="151">
        <f ca="1">IFERROR(__xludf.DUMMYFUNCTION("IMPORTRANGE(""https://docs.google.com/spreadsheets/d/1-uDff_7J0KD5mKrp0Vvzr7lt3OU09vwQwhkpOPPYv2Y/edit?usp=sharing"",""งบพรบ!CN63"")"),0)</f>
        <v>0</v>
      </c>
      <c r="H63" s="151">
        <f ca="1">IFERROR(__xludf.DUMMYFUNCTION("IMPORTRANGE(""https://docs.google.com/spreadsheets/d/1-uDff_7J0KD5mKrp0Vvzr7lt3OU09vwQwhkpOPPYv2Y/edit?usp=sharing"",""งบพรบ!CP63"")"),36130)</f>
        <v>36130</v>
      </c>
      <c r="I63" s="151">
        <f ca="1">IFERROR(__xludf.DUMMYFUNCTION("IMPORTRANGE(""https://docs.google.com/spreadsheets/d/1-uDff_7J0KD5mKrp0Vvzr7lt3OU09vwQwhkpOPPYv2Y/edit?usp=sharing"",""งบพรบ!CQ63"")"),0)</f>
        <v>0</v>
      </c>
      <c r="J63" s="151">
        <f t="shared" ca="1" si="24"/>
        <v>34980</v>
      </c>
      <c r="K63" s="154">
        <f t="shared" ca="1" si="25"/>
        <v>178.5604900459418</v>
      </c>
      <c r="L63" s="151">
        <f ca="1">IFERROR(__xludf.DUMMYFUNCTION("IMPORTRANGE(""https://docs.google.com/spreadsheets/d/1-uDff_7J0KD5mKrp0Vvzr7lt3OU09vwQwhkpOPPYv2Y/edit?usp=sharing"",""งบพรบ!CR63"")"),34980)</f>
        <v>34980</v>
      </c>
      <c r="M63" s="68">
        <f t="shared" ca="1" si="26"/>
        <v>178.5604900459418</v>
      </c>
      <c r="N63" s="68">
        <f t="shared" ca="1" si="27"/>
        <v>96.817049543315804</v>
      </c>
      <c r="O63" s="67">
        <f ca="1">IFERROR(__xludf.DUMMYFUNCTION("IMPORTRANGE(""https://docs.google.com/spreadsheets/d/1-uDff_7J0KD5mKrp0Vvzr7lt3OU09vwQwhkpOPPYv2Y/edit?usp=sharing"",""งบพรบ!CS63"")"),0)</f>
        <v>0</v>
      </c>
      <c r="P63" s="67">
        <f t="shared" ca="1" si="28"/>
        <v>0</v>
      </c>
      <c r="Q63" s="68">
        <f t="shared" ca="1" si="29"/>
        <v>0</v>
      </c>
      <c r="R63" s="197">
        <f ca="1">IFERROR(__xludf.DUMMYFUNCTION("IMPORTRANGE(""https://docs.google.com/spreadsheets/d/1vVf6wykvW_lAyu7Yo9L4hUTqHqIeP_qcVuxCtosJEbg/edit?usp=sharing"",""ปราจีนบุรี!Q173"")"),21200)</f>
        <v>21200</v>
      </c>
      <c r="S63" s="67">
        <f ca="1">IFERROR(__xludf.DUMMYFUNCTION("IMPORTRANGE(""https://docs.google.com/spreadsheets/d/1vVf6wykvW_lAyu7Yo9L4hUTqHqIeP_qcVuxCtosJEbg/edit?usp=sharing"",""ปราจีนบุรี!R173"")"),21200)</f>
        <v>21200</v>
      </c>
      <c r="T63" s="67">
        <f ca="1">IFERROR(__xludf.DUMMYFUNCTION("IMPORTRANGE(""https://docs.google.com/spreadsheets/d/1vVf6wykvW_lAyu7Yo9L4hUTqHqIeP_qcVuxCtosJEbg/edit?usp=sharing"",""ปราจีนบุรี!S173"")"),20000)</f>
        <v>20000</v>
      </c>
      <c r="U63" s="68">
        <f t="shared" ca="1" si="31"/>
        <v>94.339622641509436</v>
      </c>
      <c r="V63" s="68">
        <f t="shared" ca="1" si="32"/>
        <v>94.339622641509436</v>
      </c>
      <c r="W63" s="78">
        <f ca="1">IFERROR(__xludf.DUMMYFUNCTION("IMPORTRANGE(""https://docs.google.com/spreadsheets/d/1vVf6wykvW_lAyu7Yo9L4hUTqHqIeP_qcVuxCtosJEbg/edit?usp=sharing"",""ปราจีนบุรี!I183"")"),15)</f>
        <v>15</v>
      </c>
      <c r="X63" s="78">
        <f ca="1">IFERROR(__xludf.DUMMYFUNCTION("IMPORTRANGE(""https://docs.google.com/spreadsheets/d/1vVf6wykvW_lAyu7Yo9L4hUTqHqIeP_qcVuxCtosJEbg/edit?usp=sharing"",""ปราจีนบุรี!J183"")"),7)</f>
        <v>7</v>
      </c>
      <c r="Y63" s="79">
        <f t="shared" ca="1" si="34"/>
        <v>46.666666666666664</v>
      </c>
      <c r="Z63" s="215">
        <v>0</v>
      </c>
      <c r="AA63" s="215">
        <v>0</v>
      </c>
      <c r="AB63" s="216">
        <v>0</v>
      </c>
    </row>
    <row r="64" spans="1:28" ht="21" customHeight="1" x14ac:dyDescent="0.3">
      <c r="A64" s="70">
        <v>12</v>
      </c>
      <c r="B64" s="71" t="s">
        <v>92</v>
      </c>
      <c r="C64" s="149">
        <f t="shared" ca="1" si="22"/>
        <v>19590</v>
      </c>
      <c r="D64" s="150">
        <f t="shared" ca="1" si="43"/>
        <v>19590</v>
      </c>
      <c r="E64" s="151">
        <f ca="1">IFERROR(__xludf.DUMMYFUNCTION("IMPORTRANGE(""https://docs.google.com/spreadsheets/d/1-uDff_7J0KD5mKrp0Vvzr7lt3OU09vwQwhkpOPPYv2Y/edit?usp=sharing"",""งบพรบ!CL64"")"),0)</f>
        <v>0</v>
      </c>
      <c r="F64" s="151">
        <f ca="1">IFERROR(__xludf.DUMMYFUNCTION("IMPORTRANGE(""https://docs.google.com/spreadsheets/d/1-uDff_7J0KD5mKrp0Vvzr7lt3OU09vwQwhkpOPPYv2Y/edit?usp=sharing"",""งบพรบ!CM64"")"),19590)</f>
        <v>19590</v>
      </c>
      <c r="G64" s="151">
        <f ca="1">IFERROR(__xludf.DUMMYFUNCTION("IMPORTRANGE(""https://docs.google.com/spreadsheets/d/1-uDff_7J0KD5mKrp0Vvzr7lt3OU09vwQwhkpOPPYv2Y/edit?usp=sharing"",""งบพรบ!CN64"")"),0)</f>
        <v>0</v>
      </c>
      <c r="H64" s="151">
        <f ca="1">IFERROR(__xludf.DUMMYFUNCTION("IMPORTRANGE(""https://docs.google.com/spreadsheets/d/1-uDff_7J0KD5mKrp0Vvzr7lt3OU09vwQwhkpOPPYv2Y/edit?usp=sharing"",""งบพรบ!CP64"")"),29430)</f>
        <v>29430</v>
      </c>
      <c r="I64" s="151">
        <f ca="1">IFERROR(__xludf.DUMMYFUNCTION("IMPORTRANGE(""https://docs.google.com/spreadsheets/d/1-uDff_7J0KD5mKrp0Vvzr7lt3OU09vwQwhkpOPPYv2Y/edit?usp=sharing"",""งบพรบ!CQ64"")"),0)</f>
        <v>0</v>
      </c>
      <c r="J64" s="151">
        <f t="shared" ca="1" si="24"/>
        <v>28240</v>
      </c>
      <c r="K64" s="154">
        <f t="shared" ca="1" si="25"/>
        <v>144.15518121490555</v>
      </c>
      <c r="L64" s="151">
        <f ca="1">IFERROR(__xludf.DUMMYFUNCTION("IMPORTRANGE(""https://docs.google.com/spreadsheets/d/1-uDff_7J0KD5mKrp0Vvzr7lt3OU09vwQwhkpOPPYv2Y/edit?usp=sharing"",""งบพรบ!CR64"")"),28240)</f>
        <v>28240</v>
      </c>
      <c r="M64" s="68">
        <f t="shared" ca="1" si="26"/>
        <v>144.15518121490555</v>
      </c>
      <c r="N64" s="68">
        <f t="shared" ca="1" si="27"/>
        <v>95.956506965681271</v>
      </c>
      <c r="O64" s="67">
        <f ca="1">IFERROR(__xludf.DUMMYFUNCTION("IMPORTRANGE(""https://docs.google.com/spreadsheets/d/1-uDff_7J0KD5mKrp0Vvzr7lt3OU09vwQwhkpOPPYv2Y/edit?usp=sharing"",""งบพรบ!CS64"")"),0)</f>
        <v>0</v>
      </c>
      <c r="P64" s="67">
        <f t="shared" ca="1" si="28"/>
        <v>0</v>
      </c>
      <c r="Q64" s="68">
        <f t="shared" ca="1" si="29"/>
        <v>0</v>
      </c>
      <c r="R64" s="197">
        <f ca="1">IFERROR(__xludf.DUMMYFUNCTION("IMPORTRANGE(""https://docs.google.com/spreadsheets/d/1BIDqLLg5jk3v59G8NlR8rk5xfQDKne0sAvZHSj7TI6I/edit?usp=sharing"",""พระนครศรีอยุธยา!Q173"")"),20320)</f>
        <v>20320</v>
      </c>
      <c r="S64" s="67">
        <f ca="1">IFERROR(__xludf.DUMMYFUNCTION("IMPORTRANGE(""https://docs.google.com/spreadsheets/d/1BIDqLLg5jk3v59G8NlR8rk5xfQDKne0sAvZHSj7TI6I/edit?usp=sharing"",""พระนครศรีอยุธยา!R173"")"),20320)</f>
        <v>20320</v>
      </c>
      <c r="T64" s="67">
        <f ca="1">IFERROR(__xludf.DUMMYFUNCTION("IMPORTRANGE(""https://docs.google.com/spreadsheets/d/1BIDqLLg5jk3v59G8NlR8rk5xfQDKne0sAvZHSj7TI6I/edit?usp=sharing"",""พระนครศรีอยุธยา!S173"")"),20320)</f>
        <v>20320</v>
      </c>
      <c r="U64" s="68">
        <f t="shared" ca="1" si="31"/>
        <v>100</v>
      </c>
      <c r="V64" s="68">
        <f t="shared" ca="1" si="32"/>
        <v>100</v>
      </c>
      <c r="W64" s="78">
        <f ca="1">IFERROR(__xludf.DUMMYFUNCTION("IMPORTRANGE(""https://docs.google.com/spreadsheets/d/1BIDqLLg5jk3v59G8NlR8rk5xfQDKne0sAvZHSj7TI6I/edit?usp=sharing"",""พระนครศรีอยุธยา!I183"")"),14)</f>
        <v>14</v>
      </c>
      <c r="X64" s="78">
        <f ca="1">IFERROR(__xludf.DUMMYFUNCTION("IMPORTRANGE(""https://docs.google.com/spreadsheets/d/1BIDqLLg5jk3v59G8NlR8rk5xfQDKne0sAvZHSj7TI6I/edit?usp=sharing"",""พระนครศรีอยุธยา!J183"")"),14)</f>
        <v>14</v>
      </c>
      <c r="Y64" s="79">
        <f t="shared" ca="1" si="34"/>
        <v>100</v>
      </c>
      <c r="Z64" s="215">
        <v>0</v>
      </c>
      <c r="AA64" s="215">
        <v>0</v>
      </c>
      <c r="AB64" s="216">
        <v>0</v>
      </c>
    </row>
    <row r="65" spans="1:28" ht="21" customHeight="1" x14ac:dyDescent="0.3">
      <c r="A65" s="70">
        <v>13</v>
      </c>
      <c r="B65" s="71" t="s">
        <v>93</v>
      </c>
      <c r="C65" s="149">
        <f t="shared" ca="1" si="22"/>
        <v>19590</v>
      </c>
      <c r="D65" s="150">
        <f t="shared" ca="1" si="43"/>
        <v>19590</v>
      </c>
      <c r="E65" s="151">
        <f ca="1">IFERROR(__xludf.DUMMYFUNCTION("IMPORTRANGE(""https://docs.google.com/spreadsheets/d/1-uDff_7J0KD5mKrp0Vvzr7lt3OU09vwQwhkpOPPYv2Y/edit?usp=sharing"",""งบพรบ!CL65"")"),0)</f>
        <v>0</v>
      </c>
      <c r="F65" s="151">
        <f ca="1">IFERROR(__xludf.DUMMYFUNCTION("IMPORTRANGE(""https://docs.google.com/spreadsheets/d/1-uDff_7J0KD5mKrp0Vvzr7lt3OU09vwQwhkpOPPYv2Y/edit?usp=sharing"",""งบพรบ!CM65"")"),19590)</f>
        <v>19590</v>
      </c>
      <c r="G65" s="151">
        <f ca="1">IFERROR(__xludf.DUMMYFUNCTION("IMPORTRANGE(""https://docs.google.com/spreadsheets/d/1-uDff_7J0KD5mKrp0Vvzr7lt3OU09vwQwhkpOPPYv2Y/edit?usp=sharing"",""งบพรบ!CN65"")"),0)</f>
        <v>0</v>
      </c>
      <c r="H65" s="151">
        <f ca="1">IFERROR(__xludf.DUMMYFUNCTION("IMPORTRANGE(""https://docs.google.com/spreadsheets/d/1-uDff_7J0KD5mKrp0Vvzr7lt3OU09vwQwhkpOPPYv2Y/edit?usp=sharing"",""งบพรบ!CP65"")"),29730)</f>
        <v>29730</v>
      </c>
      <c r="I65" s="151">
        <f ca="1">IFERROR(__xludf.DUMMYFUNCTION("IMPORTRANGE(""https://docs.google.com/spreadsheets/d/1-uDff_7J0KD5mKrp0Vvzr7lt3OU09vwQwhkpOPPYv2Y/edit?usp=sharing"",""งบพรบ!CQ65"")"),0)</f>
        <v>0</v>
      </c>
      <c r="J65" s="151">
        <f t="shared" ca="1" si="24"/>
        <v>24338</v>
      </c>
      <c r="K65" s="154">
        <f t="shared" ca="1" si="25"/>
        <v>124.23685553854007</v>
      </c>
      <c r="L65" s="151">
        <f ca="1">IFERROR(__xludf.DUMMYFUNCTION("IMPORTRANGE(""https://docs.google.com/spreadsheets/d/1-uDff_7J0KD5mKrp0Vvzr7lt3OU09vwQwhkpOPPYv2Y/edit?usp=sharing"",""งบพรบ!CR65"")"),24338)</f>
        <v>24338</v>
      </c>
      <c r="M65" s="68">
        <f t="shared" ca="1" si="26"/>
        <v>124.23685553854007</v>
      </c>
      <c r="N65" s="68">
        <f t="shared" ca="1" si="27"/>
        <v>81.863437605112679</v>
      </c>
      <c r="O65" s="67">
        <f ca="1">IFERROR(__xludf.DUMMYFUNCTION("IMPORTRANGE(""https://docs.google.com/spreadsheets/d/1-uDff_7J0KD5mKrp0Vvzr7lt3OU09vwQwhkpOPPYv2Y/edit?usp=sharing"",""งบพรบ!CS65"")"),0)</f>
        <v>0</v>
      </c>
      <c r="P65" s="67">
        <f t="shared" ca="1" si="28"/>
        <v>0</v>
      </c>
      <c r="Q65" s="68">
        <f t="shared" ca="1" si="29"/>
        <v>0</v>
      </c>
      <c r="R65" s="197">
        <f ca="1">IFERROR(__xludf.DUMMYFUNCTION("IMPORTRANGE(""https://docs.google.com/spreadsheets/d/1YXvxf8Yu6_rV4hTBrwMqAcAnv6DfhUxh5emyM3CJp_w/edit?usp=sharing"",""เพชรบุรี!Q173"")"),0)</f>
        <v>0</v>
      </c>
      <c r="S65" s="67">
        <f ca="1">IFERROR(__xludf.DUMMYFUNCTION("IMPORTRANGE(""https://docs.google.com/spreadsheets/d/1YXvxf8Yu6_rV4hTBrwMqAcAnv6DfhUxh5emyM3CJp_w/edit?usp=sharing"",""เพชรบุรี!R173"")"),0)</f>
        <v>0</v>
      </c>
      <c r="T65" s="67">
        <f ca="1">IFERROR(__xludf.DUMMYFUNCTION("IMPORTRANGE(""https://docs.google.com/spreadsheets/d/1YXvxf8Yu6_rV4hTBrwMqAcAnv6DfhUxh5emyM3CJp_w/edit?usp=sharing"",""เพชรบุรี!S173"")"),0)</f>
        <v>0</v>
      </c>
      <c r="U65" s="68">
        <f t="shared" ca="1" si="31"/>
        <v>0</v>
      </c>
      <c r="V65" s="68">
        <f t="shared" ca="1" si="32"/>
        <v>0</v>
      </c>
      <c r="W65" s="78">
        <f ca="1">IFERROR(__xludf.DUMMYFUNCTION("IMPORTRANGE(""https://docs.google.com/spreadsheets/d/1YXvxf8Yu6_rV4hTBrwMqAcAnv6DfhUxh5emyM3CJp_w/edit?usp=sharing"",""เพชรบุรี!I183"")"),7)</f>
        <v>7</v>
      </c>
      <c r="X65" s="78">
        <f ca="1">IFERROR(__xludf.DUMMYFUNCTION("IMPORTRANGE(""https://docs.google.com/spreadsheets/d/1YXvxf8Yu6_rV4hTBrwMqAcAnv6DfhUxh5emyM3CJp_w/edit?usp=sharing"",""เพชรบุรี!J183"")"),7)</f>
        <v>7</v>
      </c>
      <c r="Y65" s="79">
        <f t="shared" ca="1" si="34"/>
        <v>100</v>
      </c>
      <c r="Z65" s="215">
        <v>0</v>
      </c>
      <c r="AA65" s="215">
        <v>0</v>
      </c>
      <c r="AB65" s="216">
        <v>0</v>
      </c>
    </row>
    <row r="66" spans="1:28" ht="21" customHeight="1" x14ac:dyDescent="0.3">
      <c r="A66" s="70">
        <v>14</v>
      </c>
      <c r="B66" s="71" t="s">
        <v>94</v>
      </c>
      <c r="C66" s="149">
        <f t="shared" ca="1" si="22"/>
        <v>19590</v>
      </c>
      <c r="D66" s="150">
        <f t="shared" ca="1" si="43"/>
        <v>19590</v>
      </c>
      <c r="E66" s="151">
        <f ca="1">IFERROR(__xludf.DUMMYFUNCTION("IMPORTRANGE(""https://docs.google.com/spreadsheets/d/1-uDff_7J0KD5mKrp0Vvzr7lt3OU09vwQwhkpOPPYv2Y/edit?usp=sharing"",""งบพรบ!CL66"")"),0)</f>
        <v>0</v>
      </c>
      <c r="F66" s="151">
        <f ca="1">IFERROR(__xludf.DUMMYFUNCTION("IMPORTRANGE(""https://docs.google.com/spreadsheets/d/1-uDff_7J0KD5mKrp0Vvzr7lt3OU09vwQwhkpOPPYv2Y/edit?usp=sharing"",""งบพรบ!CM66"")"),19590)</f>
        <v>19590</v>
      </c>
      <c r="G66" s="151">
        <f ca="1">IFERROR(__xludf.DUMMYFUNCTION("IMPORTRANGE(""https://docs.google.com/spreadsheets/d/1-uDff_7J0KD5mKrp0Vvzr7lt3OU09vwQwhkpOPPYv2Y/edit?usp=sharing"",""งบพรบ!CN66"")"),0)</f>
        <v>0</v>
      </c>
      <c r="H66" s="151">
        <f ca="1">IFERROR(__xludf.DUMMYFUNCTION("IMPORTRANGE(""https://docs.google.com/spreadsheets/d/1-uDff_7J0KD5mKrp0Vvzr7lt3OU09vwQwhkpOPPYv2Y/edit?usp=sharing"",""งบพรบ!CP66"")"),30100)</f>
        <v>30100</v>
      </c>
      <c r="I66" s="151">
        <f ca="1">IFERROR(__xludf.DUMMYFUNCTION("IMPORTRANGE(""https://docs.google.com/spreadsheets/d/1-uDff_7J0KD5mKrp0Vvzr7lt3OU09vwQwhkpOPPYv2Y/edit?usp=sharing"",""งบพรบ!CQ66"")"),0)</f>
        <v>0</v>
      </c>
      <c r="J66" s="151">
        <f t="shared" ca="1" si="24"/>
        <v>30100</v>
      </c>
      <c r="K66" s="154">
        <f t="shared" ca="1" si="25"/>
        <v>153.64982133741705</v>
      </c>
      <c r="L66" s="151">
        <f ca="1">IFERROR(__xludf.DUMMYFUNCTION("IMPORTRANGE(""https://docs.google.com/spreadsheets/d/1-uDff_7J0KD5mKrp0Vvzr7lt3OU09vwQwhkpOPPYv2Y/edit?usp=sharing"",""งบพรบ!CR66"")"),30100)</f>
        <v>30100</v>
      </c>
      <c r="M66" s="68">
        <f t="shared" ca="1" si="26"/>
        <v>153.64982133741705</v>
      </c>
      <c r="N66" s="68">
        <f t="shared" ca="1" si="27"/>
        <v>100</v>
      </c>
      <c r="O66" s="67">
        <f ca="1">IFERROR(__xludf.DUMMYFUNCTION("IMPORTRANGE(""https://docs.google.com/spreadsheets/d/1-uDff_7J0KD5mKrp0Vvzr7lt3OU09vwQwhkpOPPYv2Y/edit?usp=sharing"",""งบพรบ!CS66"")"),0)</f>
        <v>0</v>
      </c>
      <c r="P66" s="67">
        <f t="shared" ca="1" si="28"/>
        <v>0</v>
      </c>
      <c r="Q66" s="68">
        <f t="shared" ca="1" si="29"/>
        <v>0</v>
      </c>
      <c r="R66" s="197">
        <f ca="1">IFERROR(__xludf.DUMMYFUNCTION("IMPORTRANGE(""https://docs.google.com/spreadsheets/d/19KBlQQs7uwvsao6t2n-KvW3Ax8J8uRRfZPq1zPbXgKc/edit?usp=sharing"",""ระยอง!Q173"")"),0)</f>
        <v>0</v>
      </c>
      <c r="S66" s="67">
        <f ca="1">IFERROR(__xludf.DUMMYFUNCTION("IMPORTRANGE(""https://docs.google.com/spreadsheets/d/19KBlQQs7uwvsao6t2n-KvW3Ax8J8uRRfZPq1zPbXgKc/edit?usp=sharing"",""ระยอง!R173"")"),0)</f>
        <v>0</v>
      </c>
      <c r="T66" s="67">
        <f ca="1">IFERROR(__xludf.DUMMYFUNCTION("IMPORTRANGE(""https://docs.google.com/spreadsheets/d/19KBlQQs7uwvsao6t2n-KvW3Ax8J8uRRfZPq1zPbXgKc/edit?usp=sharing"",""ระยอง!S173"")"),0)</f>
        <v>0</v>
      </c>
      <c r="U66" s="68">
        <f t="shared" ca="1" si="31"/>
        <v>0</v>
      </c>
      <c r="V66" s="68">
        <f t="shared" ca="1" si="32"/>
        <v>0</v>
      </c>
      <c r="W66" s="78">
        <f ca="1">IFERROR(__xludf.DUMMYFUNCTION("IMPORTRANGE(""https://docs.google.com/spreadsheets/d/19KBlQQs7uwvsao6t2n-KvW3Ax8J8uRRfZPq1zPbXgKc/edit?usp=sharing"",""ระยอง!I183"")"),7)</f>
        <v>7</v>
      </c>
      <c r="X66" s="78">
        <f ca="1">IFERROR(__xludf.DUMMYFUNCTION("IMPORTRANGE(""https://docs.google.com/spreadsheets/d/19KBlQQs7uwvsao6t2n-KvW3Ax8J8uRRfZPq1zPbXgKc/edit?usp=sharing"",""ระยอง!J183"")"),7)</f>
        <v>7</v>
      </c>
      <c r="Y66" s="79">
        <f t="shared" ca="1" si="34"/>
        <v>100</v>
      </c>
      <c r="Z66" s="215">
        <v>0</v>
      </c>
      <c r="AA66" s="215">
        <v>0</v>
      </c>
      <c r="AB66" s="216">
        <v>0</v>
      </c>
    </row>
    <row r="67" spans="1:28" ht="21" customHeight="1" x14ac:dyDescent="0.3">
      <c r="A67" s="70">
        <v>15</v>
      </c>
      <c r="B67" s="71" t="s">
        <v>95</v>
      </c>
      <c r="C67" s="149">
        <f t="shared" ca="1" si="22"/>
        <v>19590</v>
      </c>
      <c r="D67" s="150">
        <f t="shared" ca="1" si="43"/>
        <v>19590</v>
      </c>
      <c r="E67" s="151">
        <f ca="1">IFERROR(__xludf.DUMMYFUNCTION("IMPORTRANGE(""https://docs.google.com/spreadsheets/d/1-uDff_7J0KD5mKrp0Vvzr7lt3OU09vwQwhkpOPPYv2Y/edit?usp=sharing"",""งบพรบ!CL67"")"),0)</f>
        <v>0</v>
      </c>
      <c r="F67" s="151">
        <f ca="1">IFERROR(__xludf.DUMMYFUNCTION("IMPORTRANGE(""https://docs.google.com/spreadsheets/d/1-uDff_7J0KD5mKrp0Vvzr7lt3OU09vwQwhkpOPPYv2Y/edit?usp=sharing"",""งบพรบ!CM67"")"),19590)</f>
        <v>19590</v>
      </c>
      <c r="G67" s="151">
        <f ca="1">IFERROR(__xludf.DUMMYFUNCTION("IMPORTRANGE(""https://docs.google.com/spreadsheets/d/1-uDff_7J0KD5mKrp0Vvzr7lt3OU09vwQwhkpOPPYv2Y/edit?usp=sharing"",""งบพรบ!CN67"")"),0)</f>
        <v>0</v>
      </c>
      <c r="H67" s="151">
        <f ca="1">IFERROR(__xludf.DUMMYFUNCTION("IMPORTRANGE(""https://docs.google.com/spreadsheets/d/1-uDff_7J0KD5mKrp0Vvzr7lt3OU09vwQwhkpOPPYv2Y/edit?usp=sharing"",""งบพรบ!CP67"")"),29580)</f>
        <v>29580</v>
      </c>
      <c r="I67" s="151">
        <f ca="1">IFERROR(__xludf.DUMMYFUNCTION("IMPORTRANGE(""https://docs.google.com/spreadsheets/d/1-uDff_7J0KD5mKrp0Vvzr7lt3OU09vwQwhkpOPPYv2Y/edit?usp=sharing"",""งบพรบ!CQ67"")"),0)</f>
        <v>0</v>
      </c>
      <c r="J67" s="151">
        <f t="shared" ca="1" si="24"/>
        <v>28335</v>
      </c>
      <c r="K67" s="154">
        <f t="shared" ca="1" si="25"/>
        <v>144.64012251148546</v>
      </c>
      <c r="L67" s="151">
        <f ca="1">IFERROR(__xludf.DUMMYFUNCTION("IMPORTRANGE(""https://docs.google.com/spreadsheets/d/1-uDff_7J0KD5mKrp0Vvzr7lt3OU09vwQwhkpOPPYv2Y/edit?usp=sharing"",""งบพรบ!CR67"")"),28335)</f>
        <v>28335</v>
      </c>
      <c r="M67" s="68">
        <f t="shared" ca="1" si="26"/>
        <v>144.64012251148546</v>
      </c>
      <c r="N67" s="68">
        <f t="shared" ca="1" si="27"/>
        <v>95.791075050709935</v>
      </c>
      <c r="O67" s="67">
        <f ca="1">IFERROR(__xludf.DUMMYFUNCTION("IMPORTRANGE(""https://docs.google.com/spreadsheets/d/1-uDff_7J0KD5mKrp0Vvzr7lt3OU09vwQwhkpOPPYv2Y/edit?usp=sharing"",""งบพรบ!CS67"")"),0)</f>
        <v>0</v>
      </c>
      <c r="P67" s="67">
        <f t="shared" ca="1" si="28"/>
        <v>0</v>
      </c>
      <c r="Q67" s="68">
        <f t="shared" ca="1" si="29"/>
        <v>0</v>
      </c>
      <c r="R67" s="197">
        <f ca="1">IFERROR(__xludf.DUMMYFUNCTION("IMPORTRANGE(""https://docs.google.com/spreadsheets/d/1jQ6P4QcrGM89YfqcC_PxOHGCMq5ezhucwJd8ci-NHng/edit?usp=sharing"",""ราชบุรี!Q173"")"),21200)</f>
        <v>21200</v>
      </c>
      <c r="S67" s="67">
        <f ca="1">IFERROR(__xludf.DUMMYFUNCTION("IMPORTRANGE(""https://docs.google.com/spreadsheets/d/1jQ6P4QcrGM89YfqcC_PxOHGCMq5ezhucwJd8ci-NHng/edit?usp=sharing"",""ราชบุรี!R173"")"),21200)</f>
        <v>21200</v>
      </c>
      <c r="T67" s="67">
        <f ca="1">IFERROR(__xludf.DUMMYFUNCTION("IMPORTRANGE(""https://docs.google.com/spreadsheets/d/1jQ6P4QcrGM89YfqcC_PxOHGCMq5ezhucwJd8ci-NHng/edit?usp=sharing"",""ราชบุรี!S173"")"),21200)</f>
        <v>21200</v>
      </c>
      <c r="U67" s="68">
        <f t="shared" ca="1" si="31"/>
        <v>100</v>
      </c>
      <c r="V67" s="68">
        <f t="shared" ca="1" si="32"/>
        <v>100</v>
      </c>
      <c r="W67" s="78">
        <f ca="1">IFERROR(__xludf.DUMMYFUNCTION("IMPORTRANGE(""https://docs.google.com/spreadsheets/d/1jQ6P4QcrGM89YfqcC_PxOHGCMq5ezhucwJd8ci-NHng/edit?usp=sharing"",""ราชบุรี!I183"")"),15)</f>
        <v>15</v>
      </c>
      <c r="X67" s="78">
        <f ca="1">IFERROR(__xludf.DUMMYFUNCTION("IMPORTRANGE(""https://docs.google.com/spreadsheets/d/1jQ6P4QcrGM89YfqcC_PxOHGCMq5ezhucwJd8ci-NHng/edit?usp=sharing"",""ราชบุรี!J183"")"),15)</f>
        <v>15</v>
      </c>
      <c r="Y67" s="79">
        <f t="shared" ca="1" si="34"/>
        <v>100</v>
      </c>
      <c r="Z67" s="215">
        <v>0</v>
      </c>
      <c r="AA67" s="215">
        <v>0</v>
      </c>
      <c r="AB67" s="216">
        <v>0</v>
      </c>
    </row>
    <row r="68" spans="1:28" ht="24" customHeight="1" x14ac:dyDescent="0.3">
      <c r="A68" s="70">
        <v>16</v>
      </c>
      <c r="B68" s="71" t="s">
        <v>96</v>
      </c>
      <c r="C68" s="149">
        <f t="shared" ca="1" si="22"/>
        <v>19590</v>
      </c>
      <c r="D68" s="150">
        <f t="shared" ca="1" si="43"/>
        <v>19590</v>
      </c>
      <c r="E68" s="151">
        <f ca="1">IFERROR(__xludf.DUMMYFUNCTION("IMPORTRANGE(""https://docs.google.com/spreadsheets/d/1-uDff_7J0KD5mKrp0Vvzr7lt3OU09vwQwhkpOPPYv2Y/edit?usp=sharing"",""งบพรบ!CL68"")"),0)</f>
        <v>0</v>
      </c>
      <c r="F68" s="151">
        <f ca="1">IFERROR(__xludf.DUMMYFUNCTION("IMPORTRANGE(""https://docs.google.com/spreadsheets/d/1-uDff_7J0KD5mKrp0Vvzr7lt3OU09vwQwhkpOPPYv2Y/edit?usp=sharing"",""งบพรบ!CM68"")"),19590)</f>
        <v>19590</v>
      </c>
      <c r="G68" s="151">
        <f ca="1">IFERROR(__xludf.DUMMYFUNCTION("IMPORTRANGE(""https://docs.google.com/spreadsheets/d/1-uDff_7J0KD5mKrp0Vvzr7lt3OU09vwQwhkpOPPYv2Y/edit?usp=sharing"",""งบพรบ!CN68"")"),0)</f>
        <v>0</v>
      </c>
      <c r="H68" s="151">
        <f ca="1">IFERROR(__xludf.DUMMYFUNCTION("IMPORTRANGE(""https://docs.google.com/spreadsheets/d/1-uDff_7J0KD5mKrp0Vvzr7lt3OU09vwQwhkpOPPYv2Y/edit?usp=sharing"",""งบพรบ!CP68"")"),29930)</f>
        <v>29930</v>
      </c>
      <c r="I68" s="151">
        <f ca="1">IFERROR(__xludf.DUMMYFUNCTION("IMPORTRANGE(""https://docs.google.com/spreadsheets/d/1-uDff_7J0KD5mKrp0Vvzr7lt3OU09vwQwhkpOPPYv2Y/edit?usp=sharing"",""งบพรบ!CQ68"")"),0)</f>
        <v>0</v>
      </c>
      <c r="J68" s="151">
        <f t="shared" ca="1" si="24"/>
        <v>29930</v>
      </c>
      <c r="K68" s="154">
        <f t="shared" ca="1" si="25"/>
        <v>152.7820316488004</v>
      </c>
      <c r="L68" s="151">
        <f ca="1">IFERROR(__xludf.DUMMYFUNCTION("IMPORTRANGE(""https://docs.google.com/spreadsheets/d/1-uDff_7J0KD5mKrp0Vvzr7lt3OU09vwQwhkpOPPYv2Y/edit?usp=sharing"",""งบพรบ!CR68"")"),29930)</f>
        <v>29930</v>
      </c>
      <c r="M68" s="68">
        <f t="shared" ca="1" si="26"/>
        <v>152.7820316488004</v>
      </c>
      <c r="N68" s="68">
        <f t="shared" ca="1" si="27"/>
        <v>100</v>
      </c>
      <c r="O68" s="67">
        <f ca="1">IFERROR(__xludf.DUMMYFUNCTION("IMPORTRANGE(""https://docs.google.com/spreadsheets/d/1-uDff_7J0KD5mKrp0Vvzr7lt3OU09vwQwhkpOPPYv2Y/edit?usp=sharing"",""งบพรบ!CS68"")"),0)</f>
        <v>0</v>
      </c>
      <c r="P68" s="67">
        <f t="shared" ca="1" si="28"/>
        <v>0</v>
      </c>
      <c r="Q68" s="68">
        <f t="shared" ca="1" si="29"/>
        <v>0</v>
      </c>
      <c r="R68" s="197">
        <f ca="1">IFERROR(__xludf.DUMMYFUNCTION("IMPORTRANGE(""https://docs.google.com/spreadsheets/d/1lufeA2cfFqM-elVq2hznhDzC6Pr7wkJ9ZG_sYNGCMCU/edit?usp=sharing"",""ลพบุรี!Q173"")"),21200)</f>
        <v>21200</v>
      </c>
      <c r="S68" s="67">
        <f ca="1">IFERROR(__xludf.DUMMYFUNCTION("IMPORTRANGE(""https://docs.google.com/spreadsheets/d/1lufeA2cfFqM-elVq2hznhDzC6Pr7wkJ9ZG_sYNGCMCU/edit?usp=sharing"",""ลพบุรี!R173"")"),21200)</f>
        <v>21200</v>
      </c>
      <c r="T68" s="67">
        <f ca="1">IFERROR(__xludf.DUMMYFUNCTION("IMPORTRANGE(""https://docs.google.com/spreadsheets/d/1lufeA2cfFqM-elVq2hznhDzC6Pr7wkJ9ZG_sYNGCMCU/edit?usp=sharing"",""ลพบุรี!S173"")"),21200)</f>
        <v>21200</v>
      </c>
      <c r="U68" s="68">
        <f t="shared" ca="1" si="31"/>
        <v>100</v>
      </c>
      <c r="V68" s="68">
        <f t="shared" ca="1" si="32"/>
        <v>100</v>
      </c>
      <c r="W68" s="78">
        <f ca="1">IFERROR(__xludf.DUMMYFUNCTION("IMPORTRANGE(""https://docs.google.com/spreadsheets/d/1lufeA2cfFqM-elVq2hznhDzC6Pr7wkJ9ZG_sYNGCMCU/edit?usp=sharing"",""ลพบุรี!I183"")"),15)</f>
        <v>15</v>
      </c>
      <c r="X68" s="78">
        <f ca="1">IFERROR(__xludf.DUMMYFUNCTION("IMPORTRANGE(""https://docs.google.com/spreadsheets/d/1lufeA2cfFqM-elVq2hznhDzC6Pr7wkJ9ZG_sYNGCMCU/edit?usp=sharing"",""ลพบุรี!J183"")"),15)</f>
        <v>15</v>
      </c>
      <c r="Y68" s="79">
        <f t="shared" ca="1" si="34"/>
        <v>100</v>
      </c>
      <c r="Z68" s="215">
        <v>0</v>
      </c>
      <c r="AA68" s="215">
        <v>0</v>
      </c>
      <c r="AB68" s="216">
        <v>0</v>
      </c>
    </row>
    <row r="69" spans="1:28" ht="21" customHeight="1" x14ac:dyDescent="0.3">
      <c r="A69" s="70">
        <v>17</v>
      </c>
      <c r="B69" s="71" t="s">
        <v>97</v>
      </c>
      <c r="C69" s="149">
        <f t="shared" ca="1" si="22"/>
        <v>19590</v>
      </c>
      <c r="D69" s="150">
        <f t="shared" ca="1" si="43"/>
        <v>19590</v>
      </c>
      <c r="E69" s="151">
        <f ca="1">IFERROR(__xludf.DUMMYFUNCTION("IMPORTRANGE(""https://docs.google.com/spreadsheets/d/1-uDff_7J0KD5mKrp0Vvzr7lt3OU09vwQwhkpOPPYv2Y/edit?usp=sharing"",""งบพรบ!CL69"")"),0)</f>
        <v>0</v>
      </c>
      <c r="F69" s="151">
        <f ca="1">IFERROR(__xludf.DUMMYFUNCTION("IMPORTRANGE(""https://docs.google.com/spreadsheets/d/1-uDff_7J0KD5mKrp0Vvzr7lt3OU09vwQwhkpOPPYv2Y/edit?usp=sharing"",""งบพรบ!CM69"")"),19590)</f>
        <v>19590</v>
      </c>
      <c r="G69" s="151">
        <f ca="1">IFERROR(__xludf.DUMMYFUNCTION("IMPORTRANGE(""https://docs.google.com/spreadsheets/d/1-uDff_7J0KD5mKrp0Vvzr7lt3OU09vwQwhkpOPPYv2Y/edit?usp=sharing"",""งบพรบ!CN69"")"),0)</f>
        <v>0</v>
      </c>
      <c r="H69" s="151">
        <f ca="1">IFERROR(__xludf.DUMMYFUNCTION("IMPORTRANGE(""https://docs.google.com/spreadsheets/d/1-uDff_7J0KD5mKrp0Vvzr7lt3OU09vwQwhkpOPPYv2Y/edit?usp=sharing"",""งบพรบ!CP69"")"),30480)</f>
        <v>30480</v>
      </c>
      <c r="I69" s="151">
        <f ca="1">IFERROR(__xludf.DUMMYFUNCTION("IMPORTRANGE(""https://docs.google.com/spreadsheets/d/1-uDff_7J0KD5mKrp0Vvzr7lt3OU09vwQwhkpOPPYv2Y/edit?usp=sharing"",""งบพรบ!CQ69"")"),0)</f>
        <v>0</v>
      </c>
      <c r="J69" s="151">
        <f t="shared" ca="1" si="24"/>
        <v>30480</v>
      </c>
      <c r="K69" s="154">
        <f t="shared" ca="1" si="25"/>
        <v>155.58958652373661</v>
      </c>
      <c r="L69" s="151">
        <f ca="1">IFERROR(__xludf.DUMMYFUNCTION("IMPORTRANGE(""https://docs.google.com/spreadsheets/d/1-uDff_7J0KD5mKrp0Vvzr7lt3OU09vwQwhkpOPPYv2Y/edit?usp=sharing"",""งบพรบ!CR69"")"),30480)</f>
        <v>30480</v>
      </c>
      <c r="M69" s="68">
        <f t="shared" ca="1" si="26"/>
        <v>155.58958652373661</v>
      </c>
      <c r="N69" s="68">
        <f t="shared" ca="1" si="27"/>
        <v>100</v>
      </c>
      <c r="O69" s="67">
        <f ca="1">IFERROR(__xludf.DUMMYFUNCTION("IMPORTRANGE(""https://docs.google.com/spreadsheets/d/1-uDff_7J0KD5mKrp0Vvzr7lt3OU09vwQwhkpOPPYv2Y/edit?usp=sharing"",""งบพรบ!CS69"")"),0)</f>
        <v>0</v>
      </c>
      <c r="P69" s="67">
        <f t="shared" ca="1" si="28"/>
        <v>0</v>
      </c>
      <c r="Q69" s="68">
        <f t="shared" ca="1" si="29"/>
        <v>0</v>
      </c>
      <c r="R69" s="197">
        <f ca="1">IFERROR(__xludf.DUMMYFUNCTION("IMPORTRANGE(""https://docs.google.com/spreadsheets/d/10oOiF7loTyfsTkbd4MpaIm0HQ9SwB7IYHdIUvt-U1Uc/edit?usp=sharing"",""สระแก้ว!Q173"")"),20320)</f>
        <v>20320</v>
      </c>
      <c r="S69" s="67">
        <f ca="1">IFERROR(__xludf.DUMMYFUNCTION("IMPORTRANGE(""https://docs.google.com/spreadsheets/d/10oOiF7loTyfsTkbd4MpaIm0HQ9SwB7IYHdIUvt-U1Uc/edit?usp=sharing"",""สระแก้ว!R173"")"),20320)</f>
        <v>20320</v>
      </c>
      <c r="T69" s="67">
        <f ca="1">IFERROR(__xludf.DUMMYFUNCTION("IMPORTRANGE(""https://docs.google.com/spreadsheets/d/10oOiF7loTyfsTkbd4MpaIm0HQ9SwB7IYHdIUvt-U1Uc/edit?usp=sharing"",""สระแก้ว!S173"")"),13620)</f>
        <v>13620</v>
      </c>
      <c r="U69" s="68">
        <f t="shared" ca="1" si="31"/>
        <v>67.027559055118104</v>
      </c>
      <c r="V69" s="68">
        <f t="shared" ca="1" si="32"/>
        <v>67.027559055118104</v>
      </c>
      <c r="W69" s="78">
        <f ca="1">IFERROR(__xludf.DUMMYFUNCTION("IMPORTRANGE(""https://docs.google.com/spreadsheets/d/10oOiF7loTyfsTkbd4MpaIm0HQ9SwB7IYHdIUvt-U1Uc/edit?usp=sharing"",""สระแก้ว!I183"")"),14)</f>
        <v>14</v>
      </c>
      <c r="X69" s="78">
        <f ca="1">IFERROR(__xludf.DUMMYFUNCTION("IMPORTRANGE(""https://docs.google.com/spreadsheets/d/10oOiF7loTyfsTkbd4MpaIm0HQ9SwB7IYHdIUvt-U1Uc/edit?usp=sharing"",""สระแก้ว!J183"")"),14)</f>
        <v>14</v>
      </c>
      <c r="Y69" s="79">
        <f t="shared" ca="1" si="34"/>
        <v>100</v>
      </c>
      <c r="Z69" s="215">
        <v>0</v>
      </c>
      <c r="AA69" s="215">
        <v>0</v>
      </c>
      <c r="AB69" s="216">
        <v>0</v>
      </c>
    </row>
    <row r="70" spans="1:28" ht="21" customHeight="1" x14ac:dyDescent="0.3">
      <c r="A70" s="70">
        <v>18</v>
      </c>
      <c r="B70" s="71" t="s">
        <v>98</v>
      </c>
      <c r="C70" s="149">
        <f t="shared" ca="1" si="22"/>
        <v>19590</v>
      </c>
      <c r="D70" s="150">
        <f t="shared" ca="1" si="43"/>
        <v>19590</v>
      </c>
      <c r="E70" s="151">
        <f ca="1">IFERROR(__xludf.DUMMYFUNCTION("IMPORTRANGE(""https://docs.google.com/spreadsheets/d/1-uDff_7J0KD5mKrp0Vvzr7lt3OU09vwQwhkpOPPYv2Y/edit?usp=sharing"",""งบพรบ!CL70"")"),0)</f>
        <v>0</v>
      </c>
      <c r="F70" s="151">
        <f ca="1">IFERROR(__xludf.DUMMYFUNCTION("IMPORTRANGE(""https://docs.google.com/spreadsheets/d/1-uDff_7J0KD5mKrp0Vvzr7lt3OU09vwQwhkpOPPYv2Y/edit?usp=sharing"",""งบพรบ!CM70"")"),19590)</f>
        <v>19590</v>
      </c>
      <c r="G70" s="151">
        <f ca="1">IFERROR(__xludf.DUMMYFUNCTION("IMPORTRANGE(""https://docs.google.com/spreadsheets/d/1-uDff_7J0KD5mKrp0Vvzr7lt3OU09vwQwhkpOPPYv2Y/edit?usp=sharing"",""งบพรบ!CN70"")"),0)</f>
        <v>0</v>
      </c>
      <c r="H70" s="151">
        <f ca="1">IFERROR(__xludf.DUMMYFUNCTION("IMPORTRANGE(""https://docs.google.com/spreadsheets/d/1-uDff_7J0KD5mKrp0Vvzr7lt3OU09vwQwhkpOPPYv2Y/edit?usp=sharing"",""งบพรบ!CP70"")"),29630)</f>
        <v>29630</v>
      </c>
      <c r="I70" s="151">
        <f ca="1">IFERROR(__xludf.DUMMYFUNCTION("IMPORTRANGE(""https://docs.google.com/spreadsheets/d/1-uDff_7J0KD5mKrp0Vvzr7lt3OU09vwQwhkpOPPYv2Y/edit?usp=sharing"",""งบพรบ!CQ70"")"),0)</f>
        <v>0</v>
      </c>
      <c r="J70" s="151">
        <f t="shared" ca="1" si="24"/>
        <v>29630</v>
      </c>
      <c r="K70" s="154">
        <f t="shared" ca="1" si="25"/>
        <v>151.2506380806534</v>
      </c>
      <c r="L70" s="151">
        <f ca="1">IFERROR(__xludf.DUMMYFUNCTION("IMPORTRANGE(""https://docs.google.com/spreadsheets/d/1-uDff_7J0KD5mKrp0Vvzr7lt3OU09vwQwhkpOPPYv2Y/edit?usp=sharing"",""งบพรบ!CR70"")"),29630)</f>
        <v>29630</v>
      </c>
      <c r="M70" s="68">
        <f t="shared" ca="1" si="26"/>
        <v>151.2506380806534</v>
      </c>
      <c r="N70" s="68">
        <f t="shared" ca="1" si="27"/>
        <v>100</v>
      </c>
      <c r="O70" s="67">
        <f ca="1">IFERROR(__xludf.DUMMYFUNCTION("IMPORTRANGE(""https://docs.google.com/spreadsheets/d/1-uDff_7J0KD5mKrp0Vvzr7lt3OU09vwQwhkpOPPYv2Y/edit?usp=sharing"",""งบพรบ!CS70"")"),0)</f>
        <v>0</v>
      </c>
      <c r="P70" s="67">
        <f t="shared" ca="1" si="28"/>
        <v>0</v>
      </c>
      <c r="Q70" s="68">
        <f t="shared" ca="1" si="29"/>
        <v>0</v>
      </c>
      <c r="R70" s="197">
        <f ca="1">IFERROR(__xludf.DUMMYFUNCTION("IMPORTRANGE(""https://docs.google.com/spreadsheets/d/1xmPlrr1QbdSIKvl1dWUl9K4PjAfSL9oeMr_37QVzcxc/edit?usp=sharing"",""สระบุรี!Q173"")"),21200)</f>
        <v>21200</v>
      </c>
      <c r="S70" s="67">
        <f ca="1">IFERROR(__xludf.DUMMYFUNCTION("IMPORTRANGE(""https://docs.google.com/spreadsheets/d/1xmPlrr1QbdSIKvl1dWUl9K4PjAfSL9oeMr_37QVzcxc/edit?usp=sharing"",""สระบุรี!R173"")"),21200)</f>
        <v>21200</v>
      </c>
      <c r="T70" s="67">
        <f ca="1">IFERROR(__xludf.DUMMYFUNCTION("IMPORTRANGE(""https://docs.google.com/spreadsheets/d/1xmPlrr1QbdSIKvl1dWUl9K4PjAfSL9oeMr_37QVzcxc/edit?usp=sharing"",""สระบุรี!S173"")"),21200)</f>
        <v>21200</v>
      </c>
      <c r="U70" s="68">
        <f t="shared" ca="1" si="31"/>
        <v>100</v>
      </c>
      <c r="V70" s="68">
        <f t="shared" ca="1" si="32"/>
        <v>100</v>
      </c>
      <c r="W70" s="78">
        <f ca="1">IFERROR(__xludf.DUMMYFUNCTION("IMPORTRANGE(""https://docs.google.com/spreadsheets/d/1xmPlrr1QbdSIKvl1dWUl9K4PjAfSL9oeMr_37QVzcxc/edit?usp=sharing"",""สระบุรี!I183"")"),15)</f>
        <v>15</v>
      </c>
      <c r="X70" s="78">
        <f ca="1">IFERROR(__xludf.DUMMYFUNCTION("IMPORTRANGE(""https://docs.google.com/spreadsheets/d/1xmPlrr1QbdSIKvl1dWUl9K4PjAfSL9oeMr_37QVzcxc/edit?usp=sharing"",""สระบุรี!J183"")"),15)</f>
        <v>15</v>
      </c>
      <c r="Y70" s="79">
        <f t="shared" ca="1" si="34"/>
        <v>100</v>
      </c>
      <c r="Z70" s="215">
        <v>0</v>
      </c>
      <c r="AA70" s="215">
        <v>0</v>
      </c>
      <c r="AB70" s="216">
        <v>0</v>
      </c>
    </row>
    <row r="71" spans="1:28" ht="21" customHeight="1" x14ac:dyDescent="0.3">
      <c r="A71" s="70">
        <v>19</v>
      </c>
      <c r="B71" s="71" t="s">
        <v>99</v>
      </c>
      <c r="C71" s="149">
        <f t="shared" ca="1" si="22"/>
        <v>19590</v>
      </c>
      <c r="D71" s="150">
        <f t="shared" ca="1" si="43"/>
        <v>19590</v>
      </c>
      <c r="E71" s="151">
        <f ca="1">IFERROR(__xludf.DUMMYFUNCTION("IMPORTRANGE(""https://docs.google.com/spreadsheets/d/1-uDff_7J0KD5mKrp0Vvzr7lt3OU09vwQwhkpOPPYv2Y/edit?usp=sharing"",""งบพรบ!CL71"")"),0)</f>
        <v>0</v>
      </c>
      <c r="F71" s="151">
        <f ca="1">IFERROR(__xludf.DUMMYFUNCTION("IMPORTRANGE(""https://docs.google.com/spreadsheets/d/1-uDff_7J0KD5mKrp0Vvzr7lt3OU09vwQwhkpOPPYv2Y/edit?usp=sharing"",""งบพรบ!CM71"")"),19590)</f>
        <v>19590</v>
      </c>
      <c r="G71" s="151">
        <f ca="1">IFERROR(__xludf.DUMMYFUNCTION("IMPORTRANGE(""https://docs.google.com/spreadsheets/d/1-uDff_7J0KD5mKrp0Vvzr7lt3OU09vwQwhkpOPPYv2Y/edit?usp=sharing"",""งบพรบ!CN71"")"),0)</f>
        <v>0</v>
      </c>
      <c r="H71" s="151">
        <f ca="1">IFERROR(__xludf.DUMMYFUNCTION("IMPORTRANGE(""https://docs.google.com/spreadsheets/d/1-uDff_7J0KD5mKrp0Vvzr7lt3OU09vwQwhkpOPPYv2Y/edit?usp=sharing"",""งบพรบ!CP71"")"),29860)</f>
        <v>29860</v>
      </c>
      <c r="I71" s="151">
        <f ca="1">IFERROR(__xludf.DUMMYFUNCTION("IMPORTRANGE(""https://docs.google.com/spreadsheets/d/1-uDff_7J0KD5mKrp0Vvzr7lt3OU09vwQwhkpOPPYv2Y/edit?usp=sharing"",""งบพรบ!CQ71"")"),0)</f>
        <v>0</v>
      </c>
      <c r="J71" s="151">
        <f t="shared" ca="1" si="24"/>
        <v>29860</v>
      </c>
      <c r="K71" s="154">
        <f t="shared" ca="1" si="25"/>
        <v>152.42470648289944</v>
      </c>
      <c r="L71" s="151">
        <f ca="1">IFERROR(__xludf.DUMMYFUNCTION("IMPORTRANGE(""https://docs.google.com/spreadsheets/d/1-uDff_7J0KD5mKrp0Vvzr7lt3OU09vwQwhkpOPPYv2Y/edit?usp=sharing"",""งบพรบ!CR71"")"),29860)</f>
        <v>29860</v>
      </c>
      <c r="M71" s="68">
        <f t="shared" ca="1" si="26"/>
        <v>152.42470648289944</v>
      </c>
      <c r="N71" s="68">
        <f t="shared" ca="1" si="27"/>
        <v>100</v>
      </c>
      <c r="O71" s="67">
        <f ca="1">IFERROR(__xludf.DUMMYFUNCTION("IMPORTRANGE(""https://docs.google.com/spreadsheets/d/1-uDff_7J0KD5mKrp0Vvzr7lt3OU09vwQwhkpOPPYv2Y/edit?usp=sharing"",""งบพรบ!CS71"")"),0)</f>
        <v>0</v>
      </c>
      <c r="P71" s="67">
        <f t="shared" ca="1" si="28"/>
        <v>0</v>
      </c>
      <c r="Q71" s="68">
        <f t="shared" ca="1" si="29"/>
        <v>0</v>
      </c>
      <c r="R71" s="197">
        <f ca="1">IFERROR(__xludf.DUMMYFUNCTION("IMPORTRANGE(""https://docs.google.com/spreadsheets/d/1j51vR6CYVGhABJpv6tkstgok82RLpXieLzW1yOY5rHw/edit?usp=sharing"",""สิงห์บุรี!Q173"")"),0)</f>
        <v>0</v>
      </c>
      <c r="S71" s="67">
        <f ca="1">IFERROR(__xludf.DUMMYFUNCTION("IMPORTRANGE(""https://docs.google.com/spreadsheets/d/1j51vR6CYVGhABJpv6tkstgok82RLpXieLzW1yOY5rHw/edit?usp=sharing"",""สิงห์บุรี!R173"")"),0)</f>
        <v>0</v>
      </c>
      <c r="T71" s="67">
        <f ca="1">IFERROR(__xludf.DUMMYFUNCTION("IMPORTRANGE(""https://docs.google.com/spreadsheets/d/1j51vR6CYVGhABJpv6tkstgok82RLpXieLzW1yOY5rHw/edit?usp=sharing"",""สิงห์บุรี!S173"")"),0)</f>
        <v>0</v>
      </c>
      <c r="U71" s="68">
        <f t="shared" ca="1" si="31"/>
        <v>0</v>
      </c>
      <c r="V71" s="68">
        <f t="shared" ca="1" si="32"/>
        <v>0</v>
      </c>
      <c r="W71" s="78">
        <f ca="1">IFERROR(__xludf.DUMMYFUNCTION("IMPORTRANGE(""https://docs.google.com/spreadsheets/d/1j51vR6CYVGhABJpv6tkstgok82RLpXieLzW1yOY5rHw/edit?usp=sharing"",""สิงห์บุรี!I183"")"),7)</f>
        <v>7</v>
      </c>
      <c r="X71" s="78">
        <f ca="1">IFERROR(__xludf.DUMMYFUNCTION("IMPORTRANGE(""https://docs.google.com/spreadsheets/d/1j51vR6CYVGhABJpv6tkstgok82RLpXieLzW1yOY5rHw/edit?usp=sharing"",""สิงห์บุรี!J183"")"),7)</f>
        <v>7</v>
      </c>
      <c r="Y71" s="79">
        <f t="shared" ca="1" si="34"/>
        <v>100</v>
      </c>
      <c r="Z71" s="215">
        <v>0</v>
      </c>
      <c r="AA71" s="215">
        <v>0</v>
      </c>
      <c r="AB71" s="216">
        <v>0</v>
      </c>
    </row>
    <row r="72" spans="1:28" ht="21" customHeight="1" x14ac:dyDescent="0.3">
      <c r="A72" s="70">
        <v>20</v>
      </c>
      <c r="B72" s="71" t="s">
        <v>100</v>
      </c>
      <c r="C72" s="149">
        <f t="shared" ca="1" si="22"/>
        <v>19590</v>
      </c>
      <c r="D72" s="150">
        <f t="shared" ca="1" si="43"/>
        <v>19590</v>
      </c>
      <c r="E72" s="151">
        <f ca="1">IFERROR(__xludf.DUMMYFUNCTION("IMPORTRANGE(""https://docs.google.com/spreadsheets/d/1-uDff_7J0KD5mKrp0Vvzr7lt3OU09vwQwhkpOPPYv2Y/edit?usp=sharing"",""งบพรบ!CL72"")"),0)</f>
        <v>0</v>
      </c>
      <c r="F72" s="151">
        <f ca="1">IFERROR(__xludf.DUMMYFUNCTION("IMPORTRANGE(""https://docs.google.com/spreadsheets/d/1-uDff_7J0KD5mKrp0Vvzr7lt3OU09vwQwhkpOPPYv2Y/edit?usp=sharing"",""งบพรบ!CM72"")"),19590)</f>
        <v>19590</v>
      </c>
      <c r="G72" s="151">
        <f ca="1">IFERROR(__xludf.DUMMYFUNCTION("IMPORTRANGE(""https://docs.google.com/spreadsheets/d/1-uDff_7J0KD5mKrp0Vvzr7lt3OU09vwQwhkpOPPYv2Y/edit?usp=sharing"",""งบพรบ!CN72"")"),0)</f>
        <v>0</v>
      </c>
      <c r="H72" s="151">
        <f ca="1">IFERROR(__xludf.DUMMYFUNCTION("IMPORTRANGE(""https://docs.google.com/spreadsheets/d/1-uDff_7J0KD5mKrp0Vvzr7lt3OU09vwQwhkpOPPYv2Y/edit?usp=sharing"",""งบพรบ!CP72"")"),32740)</f>
        <v>32740</v>
      </c>
      <c r="I72" s="151">
        <f ca="1">IFERROR(__xludf.DUMMYFUNCTION("IMPORTRANGE(""https://docs.google.com/spreadsheets/d/1-uDff_7J0KD5mKrp0Vvzr7lt3OU09vwQwhkpOPPYv2Y/edit?usp=sharing"",""งบพรบ!CQ72"")"),0)</f>
        <v>0</v>
      </c>
      <c r="J72" s="151">
        <f t="shared" ca="1" si="24"/>
        <v>32740</v>
      </c>
      <c r="K72" s="154">
        <f t="shared" ca="1" si="25"/>
        <v>167.12608473711077</v>
      </c>
      <c r="L72" s="151">
        <f ca="1">IFERROR(__xludf.DUMMYFUNCTION("IMPORTRANGE(""https://docs.google.com/spreadsheets/d/1-uDff_7J0KD5mKrp0Vvzr7lt3OU09vwQwhkpOPPYv2Y/edit?usp=sharing"",""งบพรบ!CR72"")"),32740)</f>
        <v>32740</v>
      </c>
      <c r="M72" s="68">
        <f t="shared" ca="1" si="26"/>
        <v>167.12608473711077</v>
      </c>
      <c r="N72" s="68">
        <f t="shared" ca="1" si="27"/>
        <v>100</v>
      </c>
      <c r="O72" s="67">
        <f ca="1">IFERROR(__xludf.DUMMYFUNCTION("IMPORTRANGE(""https://docs.google.com/spreadsheets/d/1-uDff_7J0KD5mKrp0Vvzr7lt3OU09vwQwhkpOPPYv2Y/edit?usp=sharing"",""งบพรบ!CS72"")"),0)</f>
        <v>0</v>
      </c>
      <c r="P72" s="67">
        <f t="shared" ca="1" si="28"/>
        <v>0</v>
      </c>
      <c r="Q72" s="68">
        <f t="shared" ca="1" si="29"/>
        <v>0</v>
      </c>
      <c r="R72" s="197">
        <f ca="1">IFERROR(__xludf.DUMMYFUNCTION("IMPORTRANGE(""https://docs.google.com/spreadsheets/d/1H1EalTWKUSzO4Z1-1CwzoDUaVffgrThEBe2sl74kKG0/edit?usp=sharing"",""สุพรรณบุรี!Q173"")"),20320)</f>
        <v>20320</v>
      </c>
      <c r="S72" s="67">
        <f ca="1">IFERROR(__xludf.DUMMYFUNCTION("IMPORTRANGE(""https://docs.google.com/spreadsheets/d/1H1EalTWKUSzO4Z1-1CwzoDUaVffgrThEBe2sl74kKG0/edit?usp=sharing"",""สุพรรณบุรี!R173"")"),20320)</f>
        <v>20320</v>
      </c>
      <c r="T72" s="67">
        <f ca="1">IFERROR(__xludf.DUMMYFUNCTION("IMPORTRANGE(""https://docs.google.com/spreadsheets/d/1H1EalTWKUSzO4Z1-1CwzoDUaVffgrThEBe2sl74kKG0/edit?usp=sharing"",""สุพรรณบุรี!S173"")"),20320)</f>
        <v>20320</v>
      </c>
      <c r="U72" s="68">
        <f t="shared" ca="1" si="31"/>
        <v>100</v>
      </c>
      <c r="V72" s="68">
        <f t="shared" ca="1" si="32"/>
        <v>100</v>
      </c>
      <c r="W72" s="78">
        <f ca="1">IFERROR(__xludf.DUMMYFUNCTION("IMPORTRANGE(""https://docs.google.com/spreadsheets/d/1H1EalTWKUSzO4Z1-1CwzoDUaVffgrThEBe2sl74kKG0/edit?usp=sharing"",""สุพรรณบุรี!I183"")"),14)</f>
        <v>14</v>
      </c>
      <c r="X72" s="78">
        <f ca="1">IFERROR(__xludf.DUMMYFUNCTION("IMPORTRANGE(""https://docs.google.com/spreadsheets/d/1H1EalTWKUSzO4Z1-1CwzoDUaVffgrThEBe2sl74kKG0/edit?usp=sharing"",""สุพรรณบุรี!J183"")"),14)</f>
        <v>14</v>
      </c>
      <c r="Y72" s="79">
        <f t="shared" ca="1" si="34"/>
        <v>100</v>
      </c>
      <c r="Z72" s="215">
        <v>0</v>
      </c>
      <c r="AA72" s="215">
        <v>0</v>
      </c>
      <c r="AB72" s="216">
        <v>0</v>
      </c>
    </row>
    <row r="73" spans="1:28" ht="21" customHeight="1" x14ac:dyDescent="0.3">
      <c r="A73" s="80">
        <v>21</v>
      </c>
      <c r="B73" s="81" t="s">
        <v>101</v>
      </c>
      <c r="C73" s="157">
        <f t="shared" ca="1" si="22"/>
        <v>19590</v>
      </c>
      <c r="D73" s="158">
        <f t="shared" ca="1" si="43"/>
        <v>19590</v>
      </c>
      <c r="E73" s="159">
        <f ca="1">IFERROR(__xludf.DUMMYFUNCTION("IMPORTRANGE(""https://docs.google.com/spreadsheets/d/1-uDff_7J0KD5mKrp0Vvzr7lt3OU09vwQwhkpOPPYv2Y/edit?usp=sharing"",""งบพรบ!CL73"")"),0)</f>
        <v>0</v>
      </c>
      <c r="F73" s="159">
        <f ca="1">IFERROR(__xludf.DUMMYFUNCTION("IMPORTRANGE(""https://docs.google.com/spreadsheets/d/1-uDff_7J0KD5mKrp0Vvzr7lt3OU09vwQwhkpOPPYv2Y/edit?usp=sharing"",""งบพรบ!CM73"")"),19590)</f>
        <v>19590</v>
      </c>
      <c r="G73" s="159">
        <f ca="1">IFERROR(__xludf.DUMMYFUNCTION("IMPORTRANGE(""https://docs.google.com/spreadsheets/d/1-uDff_7J0KD5mKrp0Vvzr7lt3OU09vwQwhkpOPPYv2Y/edit?usp=sharing"",""งบพรบ!CN73"")"),0)</f>
        <v>0</v>
      </c>
      <c r="H73" s="159">
        <f ca="1">IFERROR(__xludf.DUMMYFUNCTION("IMPORTRANGE(""https://docs.google.com/spreadsheets/d/1-uDff_7J0KD5mKrp0Vvzr7lt3OU09vwQwhkpOPPYv2Y/edit?usp=sharing"",""งบพรบ!CP73"")"),29620)</f>
        <v>29620</v>
      </c>
      <c r="I73" s="159">
        <f ca="1">IFERROR(__xludf.DUMMYFUNCTION("IMPORTRANGE(""https://docs.google.com/spreadsheets/d/1-uDff_7J0KD5mKrp0Vvzr7lt3OU09vwQwhkpOPPYv2Y/edit?usp=sharing"",""งบพรบ!CQ73"")"),0)</f>
        <v>0</v>
      </c>
      <c r="J73" s="159">
        <f t="shared" ca="1" si="24"/>
        <v>29620</v>
      </c>
      <c r="K73" s="160">
        <f t="shared" ca="1" si="25"/>
        <v>151.19959162838182</v>
      </c>
      <c r="L73" s="159">
        <f ca="1">IFERROR(__xludf.DUMMYFUNCTION("IMPORTRANGE(""https://docs.google.com/spreadsheets/d/1-uDff_7J0KD5mKrp0Vvzr7lt3OU09vwQwhkpOPPYv2Y/edit?usp=sharing"",""งบพรบ!CR73"")"),29620)</f>
        <v>29620</v>
      </c>
      <c r="M73" s="89">
        <f t="shared" ca="1" si="26"/>
        <v>151.19959162838182</v>
      </c>
      <c r="N73" s="89">
        <f t="shared" ca="1" si="27"/>
        <v>100</v>
      </c>
      <c r="O73" s="88">
        <f ca="1">IFERROR(__xludf.DUMMYFUNCTION("IMPORTRANGE(""https://docs.google.com/spreadsheets/d/1-uDff_7J0KD5mKrp0Vvzr7lt3OU09vwQwhkpOPPYv2Y/edit?usp=sharing"",""งบพรบ!CS73"")"),0)</f>
        <v>0</v>
      </c>
      <c r="P73" s="88">
        <f t="shared" ca="1" si="28"/>
        <v>0</v>
      </c>
      <c r="Q73" s="89">
        <f t="shared" ca="1" si="29"/>
        <v>0</v>
      </c>
      <c r="R73" s="198">
        <f ca="1">IFERROR(__xludf.DUMMYFUNCTION("IMPORTRANGE(""https://docs.google.com/spreadsheets/d/1BmIruG_sIrJLYao_Pdr7zVArWsfoBt2692TMi6x_854/edit?usp=sharing"",""อ่างทอง!Q173"")"),0)</f>
        <v>0</v>
      </c>
      <c r="S73" s="88">
        <f ca="1">IFERROR(__xludf.DUMMYFUNCTION("IMPORTRANGE(""https://docs.google.com/spreadsheets/d/1BmIruG_sIrJLYao_Pdr7zVArWsfoBt2692TMi6x_854/edit?usp=sharing"",""อ่างทอง!R173"")"),0)</f>
        <v>0</v>
      </c>
      <c r="T73" s="88">
        <f ca="1">IFERROR(__xludf.DUMMYFUNCTION("IMPORTRANGE(""https://docs.google.com/spreadsheets/d/1BmIruG_sIrJLYao_Pdr7zVArWsfoBt2692TMi6x_854/edit?usp=sharing"",""อ่างทอง!S173"")"),0)</f>
        <v>0</v>
      </c>
      <c r="U73" s="89">
        <f t="shared" ca="1" si="31"/>
        <v>0</v>
      </c>
      <c r="V73" s="89">
        <f t="shared" ca="1" si="32"/>
        <v>0</v>
      </c>
      <c r="W73" s="90">
        <f ca="1">IFERROR(__xludf.DUMMYFUNCTION("IMPORTRANGE(""https://docs.google.com/spreadsheets/d/1BmIruG_sIrJLYao_Pdr7zVArWsfoBt2692TMi6x_854/edit?usp=sharing"",""อ่างทอง!I183"")"),7)</f>
        <v>7</v>
      </c>
      <c r="X73" s="90">
        <f ca="1">IFERROR(__xludf.DUMMYFUNCTION("IMPORTRANGE(""https://docs.google.com/spreadsheets/d/1BmIruG_sIrJLYao_Pdr7zVArWsfoBt2692TMi6x_854/edit?usp=sharing"",""อ่างทอง!J183"")"),7)</f>
        <v>7</v>
      </c>
      <c r="Y73" s="91">
        <f t="shared" ca="1" si="34"/>
        <v>100</v>
      </c>
      <c r="Z73" s="217">
        <v>0</v>
      </c>
      <c r="AA73" s="217">
        <v>0</v>
      </c>
      <c r="AB73" s="218">
        <v>0</v>
      </c>
    </row>
    <row r="74" spans="1:28" ht="21" customHeight="1" x14ac:dyDescent="0.3">
      <c r="A74" s="664" t="s">
        <v>102</v>
      </c>
      <c r="B74" s="647"/>
      <c r="C74" s="161">
        <f t="shared" ca="1" si="22"/>
        <v>215490</v>
      </c>
      <c r="D74" s="161">
        <f t="shared" ref="D74:I74" ca="1" si="44">SUM(D75:D88)</f>
        <v>215490</v>
      </c>
      <c r="E74" s="161">
        <f t="shared" ca="1" si="44"/>
        <v>0</v>
      </c>
      <c r="F74" s="161">
        <f t="shared" ca="1" si="44"/>
        <v>215490</v>
      </c>
      <c r="G74" s="161">
        <f t="shared" ca="1" si="44"/>
        <v>0</v>
      </c>
      <c r="H74" s="161">
        <f t="shared" ca="1" si="44"/>
        <v>438690</v>
      </c>
      <c r="I74" s="161">
        <f t="shared" ca="1" si="44"/>
        <v>0</v>
      </c>
      <c r="J74" s="161">
        <f t="shared" ca="1" si="24"/>
        <v>433910</v>
      </c>
      <c r="K74" s="162">
        <f t="shared" ca="1" si="25"/>
        <v>201.35969186505173</v>
      </c>
      <c r="L74" s="161">
        <f ca="1">SUM(L75:L88)</f>
        <v>433910</v>
      </c>
      <c r="M74" s="94">
        <f t="shared" ca="1" si="26"/>
        <v>201.35969186505173</v>
      </c>
      <c r="N74" s="94">
        <f t="shared" ca="1" si="27"/>
        <v>98.910392304360713</v>
      </c>
      <c r="O74" s="93">
        <f ca="1">SUM(O75:O88)</f>
        <v>0</v>
      </c>
      <c r="P74" s="93">
        <f t="shared" ca="1" si="28"/>
        <v>0</v>
      </c>
      <c r="Q74" s="94">
        <f t="shared" ca="1" si="29"/>
        <v>0</v>
      </c>
      <c r="R74" s="199">
        <f t="shared" ref="R74:T74" ca="1" si="45">SUM(R75:R88)</f>
        <v>64480</v>
      </c>
      <c r="S74" s="93">
        <f t="shared" ca="1" si="45"/>
        <v>64480</v>
      </c>
      <c r="T74" s="93">
        <f t="shared" ca="1" si="45"/>
        <v>61320</v>
      </c>
      <c r="U74" s="94">
        <f t="shared" ca="1" si="31"/>
        <v>95.099255583126549</v>
      </c>
      <c r="V74" s="94">
        <f t="shared" ca="1" si="32"/>
        <v>95.099255583126549</v>
      </c>
      <c r="W74" s="52">
        <f t="shared" ref="W74:X74" ca="1" si="46">SUM(W75:W88)</f>
        <v>102</v>
      </c>
      <c r="X74" s="52">
        <f t="shared" ca="1" si="46"/>
        <v>102</v>
      </c>
      <c r="Y74" s="54">
        <f t="shared" ca="1" si="34"/>
        <v>100</v>
      </c>
      <c r="Z74" s="161">
        <v>0</v>
      </c>
      <c r="AA74" s="161">
        <v>0</v>
      </c>
      <c r="AB74" s="94">
        <v>0</v>
      </c>
    </row>
    <row r="75" spans="1:28" ht="21" customHeight="1" x14ac:dyDescent="0.3">
      <c r="A75" s="58">
        <v>1</v>
      </c>
      <c r="B75" s="59" t="s">
        <v>103</v>
      </c>
      <c r="C75" s="149">
        <f t="shared" ca="1" si="22"/>
        <v>19590</v>
      </c>
      <c r="D75" s="150">
        <f t="shared" ref="D75:D88" ca="1" si="47">+E75+F75</f>
        <v>19590</v>
      </c>
      <c r="E75" s="151">
        <f ca="1">IFERROR(__xludf.DUMMYFUNCTION("IMPORTRANGE(""https://docs.google.com/spreadsheets/d/1-uDff_7J0KD5mKrp0Vvzr7lt3OU09vwQwhkpOPPYv2Y/edit?usp=sharing"",""งบพรบ!CL75"")"),0)</f>
        <v>0</v>
      </c>
      <c r="F75" s="151">
        <f ca="1">IFERROR(__xludf.DUMMYFUNCTION("IMPORTRANGE(""https://docs.google.com/spreadsheets/d/1-uDff_7J0KD5mKrp0Vvzr7lt3OU09vwQwhkpOPPYv2Y/edit?usp=sharing"",""งบพรบ!CM75"")"),19590)</f>
        <v>19590</v>
      </c>
      <c r="G75" s="151">
        <f ca="1">IFERROR(__xludf.DUMMYFUNCTION("IMPORTRANGE(""https://docs.google.com/spreadsheets/d/1-uDff_7J0KD5mKrp0Vvzr7lt3OU09vwQwhkpOPPYv2Y/edit?usp=sharing"",""งบพรบ!CN75"")"),0)</f>
        <v>0</v>
      </c>
      <c r="H75" s="151">
        <f ca="1">IFERROR(__xludf.DUMMYFUNCTION("IMPORTRANGE(""https://docs.google.com/spreadsheets/d/1-uDff_7J0KD5mKrp0Vvzr7lt3OU09vwQwhkpOPPYv2Y/edit?usp=sharing"",""งบพรบ!CP75"")"),36750)</f>
        <v>36750</v>
      </c>
      <c r="I75" s="151">
        <f ca="1">IFERROR(__xludf.DUMMYFUNCTION("IMPORTRANGE(""https://docs.google.com/spreadsheets/d/1-uDff_7J0KD5mKrp0Vvzr7lt3OU09vwQwhkpOPPYv2Y/edit?usp=sharing"",""งบพรบ!CQ75"")"),0)</f>
        <v>0</v>
      </c>
      <c r="J75" s="151">
        <f t="shared" ca="1" si="24"/>
        <v>36750</v>
      </c>
      <c r="K75" s="154">
        <f t="shared" ca="1" si="25"/>
        <v>187.59571209800919</v>
      </c>
      <c r="L75" s="151">
        <f ca="1">IFERROR(__xludf.DUMMYFUNCTION("IMPORTRANGE(""https://docs.google.com/spreadsheets/d/1-uDff_7J0KD5mKrp0Vvzr7lt3OU09vwQwhkpOPPYv2Y/edit?usp=sharing"",""งบพรบ!CR75"")"),36750)</f>
        <v>36750</v>
      </c>
      <c r="M75" s="68">
        <f t="shared" ca="1" si="26"/>
        <v>187.59571209800919</v>
      </c>
      <c r="N75" s="68">
        <f t="shared" ca="1" si="27"/>
        <v>100</v>
      </c>
      <c r="O75" s="67">
        <f ca="1">IFERROR(__xludf.DUMMYFUNCTION("IMPORTRANGE(""https://docs.google.com/spreadsheets/d/1-uDff_7J0KD5mKrp0Vvzr7lt3OU09vwQwhkpOPPYv2Y/edit?usp=sharing"",""งบพรบ!CS75"")"),0)</f>
        <v>0</v>
      </c>
      <c r="P75" s="67">
        <f t="shared" ca="1" si="28"/>
        <v>0</v>
      </c>
      <c r="Q75" s="68">
        <f t="shared" ca="1" si="29"/>
        <v>0</v>
      </c>
      <c r="R75" s="197">
        <f ca="1">IFERROR(__xludf.DUMMYFUNCTION("IMPORTRANGE(""https://docs.google.com/spreadsheets/d/1kKUcYdkIfrgTSj8iHHHB2MD2FAtwyyocFgqGQn6ADyI/edit?usp=sharing"",""กระบี่!Q173"")"),0)</f>
        <v>0</v>
      </c>
      <c r="S75" s="67">
        <f ca="1">IFERROR(__xludf.DUMMYFUNCTION("IMPORTRANGE(""https://docs.google.com/spreadsheets/d/1kKUcYdkIfrgTSj8iHHHB2MD2FAtwyyocFgqGQn6ADyI/edit?usp=sharing"",""กระบี่!R173"")"),0)</f>
        <v>0</v>
      </c>
      <c r="T75" s="67">
        <f ca="1">IFERROR(__xludf.DUMMYFUNCTION("IMPORTRANGE(""https://docs.google.com/spreadsheets/d/1kKUcYdkIfrgTSj8iHHHB2MD2FAtwyyocFgqGQn6ADyI/edit?usp=sharing"",""กระบี่!S173"")"),0)</f>
        <v>0</v>
      </c>
      <c r="U75" s="68">
        <f t="shared" ca="1" si="31"/>
        <v>0</v>
      </c>
      <c r="V75" s="68">
        <f t="shared" ca="1" si="32"/>
        <v>0</v>
      </c>
      <c r="W75" s="63">
        <f ca="1">IFERROR(__xludf.DUMMYFUNCTION("IMPORTRANGE(""https://docs.google.com/spreadsheets/d/1kKUcYdkIfrgTSj8iHHHB2MD2FAtwyyocFgqGQn6ADyI/edit?usp=sharing"",""กระบี่!I183"")"),7)</f>
        <v>7</v>
      </c>
      <c r="X75" s="63">
        <f ca="1">IFERROR(__xludf.DUMMYFUNCTION("IMPORTRANGE(""https://docs.google.com/spreadsheets/d/1kKUcYdkIfrgTSj8iHHHB2MD2FAtwyyocFgqGQn6ADyI/edit?usp=sharing"",""กระบี่!J183"")"),7)</f>
        <v>7</v>
      </c>
      <c r="Y75" s="69">
        <f t="shared" ca="1" si="34"/>
        <v>100</v>
      </c>
      <c r="Z75" s="215">
        <v>0</v>
      </c>
      <c r="AA75" s="215">
        <v>0</v>
      </c>
      <c r="AB75" s="216">
        <v>0</v>
      </c>
    </row>
    <row r="76" spans="1:28" ht="21" customHeight="1" x14ac:dyDescent="0.3">
      <c r="A76" s="70">
        <v>2</v>
      </c>
      <c r="B76" s="71" t="s">
        <v>104</v>
      </c>
      <c r="C76" s="149">
        <f t="shared" ca="1" si="22"/>
        <v>0</v>
      </c>
      <c r="D76" s="150">
        <f t="shared" ca="1" si="47"/>
        <v>0</v>
      </c>
      <c r="E76" s="151">
        <f ca="1">IFERROR(__xludf.DUMMYFUNCTION("IMPORTRANGE(""https://docs.google.com/spreadsheets/d/1-uDff_7J0KD5mKrp0Vvzr7lt3OU09vwQwhkpOPPYv2Y/edit?usp=sharing"",""งบพรบ!CL76"")"),0)</f>
        <v>0</v>
      </c>
      <c r="F76" s="151">
        <f ca="1">IFERROR(__xludf.DUMMYFUNCTION("IMPORTRANGE(""https://docs.google.com/spreadsheets/d/1-uDff_7J0KD5mKrp0Vvzr7lt3OU09vwQwhkpOPPYv2Y/edit?usp=sharing"",""งบพรบ!CM76"")"),0)</f>
        <v>0</v>
      </c>
      <c r="G76" s="151">
        <f ca="1">IFERROR(__xludf.DUMMYFUNCTION("IMPORTRANGE(""https://docs.google.com/spreadsheets/d/1-uDff_7J0KD5mKrp0Vvzr7lt3OU09vwQwhkpOPPYv2Y/edit?usp=sharing"",""งบพรบ!CN76"")"),0)</f>
        <v>0</v>
      </c>
      <c r="H76" s="151">
        <f ca="1">IFERROR(__xludf.DUMMYFUNCTION("IMPORTRANGE(""https://docs.google.com/spreadsheets/d/1-uDff_7J0KD5mKrp0Vvzr7lt3OU09vwQwhkpOPPYv2Y/edit?usp=sharing"",""งบพรบ!CP76"")"),0)</f>
        <v>0</v>
      </c>
      <c r="I76" s="151">
        <f ca="1">IFERROR(__xludf.DUMMYFUNCTION("IMPORTRANGE(""https://docs.google.com/spreadsheets/d/1-uDff_7J0KD5mKrp0Vvzr7lt3OU09vwQwhkpOPPYv2Y/edit?usp=sharing"",""งบพรบ!CQ76"")"),0)</f>
        <v>0</v>
      </c>
      <c r="J76" s="151">
        <f t="shared" ca="1" si="24"/>
        <v>0</v>
      </c>
      <c r="K76" s="154">
        <f t="shared" ca="1" si="25"/>
        <v>0</v>
      </c>
      <c r="L76" s="151">
        <f ca="1">IFERROR(__xludf.DUMMYFUNCTION("IMPORTRANGE(""https://docs.google.com/spreadsheets/d/1-uDff_7J0KD5mKrp0Vvzr7lt3OU09vwQwhkpOPPYv2Y/edit?usp=sharing"",""งบพรบ!CR76"")"),0)</f>
        <v>0</v>
      </c>
      <c r="M76" s="68">
        <f t="shared" ca="1" si="26"/>
        <v>0</v>
      </c>
      <c r="N76" s="68">
        <f t="shared" ca="1" si="27"/>
        <v>0</v>
      </c>
      <c r="O76" s="67">
        <f ca="1">IFERROR(__xludf.DUMMYFUNCTION("IMPORTRANGE(""https://docs.google.com/spreadsheets/d/1-uDff_7J0KD5mKrp0Vvzr7lt3OU09vwQwhkpOPPYv2Y/edit?usp=sharing"",""งบพรบ!CS76"")"),0)</f>
        <v>0</v>
      </c>
      <c r="P76" s="67">
        <f t="shared" ca="1" si="28"/>
        <v>0</v>
      </c>
      <c r="Q76" s="68">
        <f t="shared" ca="1" si="29"/>
        <v>0</v>
      </c>
      <c r="R76" s="197">
        <f ca="1">IFERROR(__xludf.DUMMYFUNCTION("IMPORTRANGE(""https://docs.google.com/spreadsheets/d/1GwtLaSlNZkLk7iDqcyZz22giiy40b_usZZBXYciEN1U/edit?usp=sharing"",""ชุมพร!Q173"")"),0)</f>
        <v>0</v>
      </c>
      <c r="S76" s="67">
        <f ca="1">IFERROR(__xludf.DUMMYFUNCTION("IMPORTRANGE(""https://docs.google.com/spreadsheets/d/1GwtLaSlNZkLk7iDqcyZz22giiy40b_usZZBXYciEN1U/edit?usp=sharing"",""ชุมพร!R173"")"),0)</f>
        <v>0</v>
      </c>
      <c r="T76" s="67">
        <f ca="1">IFERROR(__xludf.DUMMYFUNCTION("IMPORTRANGE(""https://docs.google.com/spreadsheets/d/1GwtLaSlNZkLk7iDqcyZz22giiy40b_usZZBXYciEN1U/edit?usp=sharing"",""ชุมพร!S173"")"),0)</f>
        <v>0</v>
      </c>
      <c r="U76" s="68">
        <f t="shared" ca="1" si="31"/>
        <v>0</v>
      </c>
      <c r="V76" s="68">
        <f t="shared" ca="1" si="32"/>
        <v>0</v>
      </c>
      <c r="W76" s="78">
        <f ca="1">IFERROR(__xludf.DUMMYFUNCTION("IMPORTRANGE(""https://docs.google.com/spreadsheets/d/1GwtLaSlNZkLk7iDqcyZz22giiy40b_usZZBXYciEN1U/edit?usp=sharing"",""ชุมพร!I183"")"),0)</f>
        <v>0</v>
      </c>
      <c r="X76" s="78">
        <f ca="1">IFERROR(__xludf.DUMMYFUNCTION("IMPORTRANGE(""https://docs.google.com/spreadsheets/d/1GwtLaSlNZkLk7iDqcyZz22giiy40b_usZZBXYciEN1U/edit?usp=sharing"",""ชุมพร!J183"")"),0)</f>
        <v>0</v>
      </c>
      <c r="Y76" s="79">
        <f t="shared" ca="1" si="34"/>
        <v>0</v>
      </c>
      <c r="Z76" s="215">
        <v>0</v>
      </c>
      <c r="AA76" s="215">
        <v>0</v>
      </c>
      <c r="AB76" s="216">
        <v>0</v>
      </c>
    </row>
    <row r="77" spans="1:28" ht="21" customHeight="1" x14ac:dyDescent="0.3">
      <c r="A77" s="70">
        <v>3</v>
      </c>
      <c r="B77" s="71" t="s">
        <v>105</v>
      </c>
      <c r="C77" s="149">
        <f t="shared" ca="1" si="22"/>
        <v>19590</v>
      </c>
      <c r="D77" s="150">
        <f t="shared" ca="1" si="47"/>
        <v>19590</v>
      </c>
      <c r="E77" s="151">
        <f ca="1">IFERROR(__xludf.DUMMYFUNCTION("IMPORTRANGE(""https://docs.google.com/spreadsheets/d/1-uDff_7J0KD5mKrp0Vvzr7lt3OU09vwQwhkpOPPYv2Y/edit?usp=sharing"",""งบพรบ!CL77"")"),0)</f>
        <v>0</v>
      </c>
      <c r="F77" s="151">
        <f ca="1">IFERROR(__xludf.DUMMYFUNCTION("IMPORTRANGE(""https://docs.google.com/spreadsheets/d/1-uDff_7J0KD5mKrp0Vvzr7lt3OU09vwQwhkpOPPYv2Y/edit?usp=sharing"",""งบพรบ!CM77"")"),19590)</f>
        <v>19590</v>
      </c>
      <c r="G77" s="151">
        <f ca="1">IFERROR(__xludf.DUMMYFUNCTION("IMPORTRANGE(""https://docs.google.com/spreadsheets/d/1-uDff_7J0KD5mKrp0Vvzr7lt3OU09vwQwhkpOPPYv2Y/edit?usp=sharing"",""งบพรบ!CN77"")"),0)</f>
        <v>0</v>
      </c>
      <c r="H77" s="151">
        <f ca="1">IFERROR(__xludf.DUMMYFUNCTION("IMPORTRANGE(""https://docs.google.com/spreadsheets/d/1-uDff_7J0KD5mKrp0Vvzr7lt3OU09vwQwhkpOPPYv2Y/edit?usp=sharing"",""งบพรบ!CP77"")"),36840)</f>
        <v>36840</v>
      </c>
      <c r="I77" s="151">
        <f ca="1">IFERROR(__xludf.DUMMYFUNCTION("IMPORTRANGE(""https://docs.google.com/spreadsheets/d/1-uDff_7J0KD5mKrp0Vvzr7lt3OU09vwQwhkpOPPYv2Y/edit?usp=sharing"",""งบพรบ!CQ77"")"),0)</f>
        <v>0</v>
      </c>
      <c r="J77" s="151">
        <f t="shared" ca="1" si="24"/>
        <v>36840</v>
      </c>
      <c r="K77" s="154">
        <f t="shared" ca="1" si="25"/>
        <v>188.0551301684533</v>
      </c>
      <c r="L77" s="151">
        <f ca="1">IFERROR(__xludf.DUMMYFUNCTION("IMPORTRANGE(""https://docs.google.com/spreadsheets/d/1-uDff_7J0KD5mKrp0Vvzr7lt3OU09vwQwhkpOPPYv2Y/edit?usp=sharing"",""งบพรบ!CR77"")"),36840)</f>
        <v>36840</v>
      </c>
      <c r="M77" s="68">
        <f t="shared" ca="1" si="26"/>
        <v>188.0551301684533</v>
      </c>
      <c r="N77" s="68">
        <f t="shared" ca="1" si="27"/>
        <v>100</v>
      </c>
      <c r="O77" s="67">
        <f ca="1">IFERROR(__xludf.DUMMYFUNCTION("IMPORTRANGE(""https://docs.google.com/spreadsheets/d/1-uDff_7J0KD5mKrp0Vvzr7lt3OU09vwQwhkpOPPYv2Y/edit?usp=sharing"",""งบพรบ!CS77"")"),0)</f>
        <v>0</v>
      </c>
      <c r="P77" s="67">
        <f t="shared" ca="1" si="28"/>
        <v>0</v>
      </c>
      <c r="Q77" s="68">
        <f t="shared" ca="1" si="29"/>
        <v>0</v>
      </c>
      <c r="R77" s="197">
        <f ca="1">IFERROR(__xludf.DUMMYFUNCTION("IMPORTRANGE(""https://docs.google.com/spreadsheets/d/16pAz3pOhQEZBhvFNMa5KGgZS6iKWpsKX0pg6tQmwFpo/edit?usp=sharing"",""ตรัง!Q173"")"),0)</f>
        <v>0</v>
      </c>
      <c r="S77" s="67">
        <f ca="1">IFERROR(__xludf.DUMMYFUNCTION("IMPORTRANGE(""https://docs.google.com/spreadsheets/d/16pAz3pOhQEZBhvFNMa5KGgZS6iKWpsKX0pg6tQmwFpo/edit?usp=sharing"",""ตรัง!R173"")"),0)</f>
        <v>0</v>
      </c>
      <c r="T77" s="67">
        <f ca="1">IFERROR(__xludf.DUMMYFUNCTION("IMPORTRANGE(""https://docs.google.com/spreadsheets/d/16pAz3pOhQEZBhvFNMa5KGgZS6iKWpsKX0pg6tQmwFpo/edit?usp=sharing"",""ตรัง!S173"")"),0)</f>
        <v>0</v>
      </c>
      <c r="U77" s="68">
        <f t="shared" ca="1" si="31"/>
        <v>0</v>
      </c>
      <c r="V77" s="68">
        <f t="shared" ca="1" si="32"/>
        <v>0</v>
      </c>
      <c r="W77" s="78">
        <f ca="1">IFERROR(__xludf.DUMMYFUNCTION("IMPORTRANGE(""https://docs.google.com/spreadsheets/d/16pAz3pOhQEZBhvFNMa5KGgZS6iKWpsKX0pg6tQmwFpo/edit?usp=sharing"",""ตรัง!I183"")"),7)</f>
        <v>7</v>
      </c>
      <c r="X77" s="78">
        <f ca="1">IFERROR(__xludf.DUMMYFUNCTION("IMPORTRANGE(""https://docs.google.com/spreadsheets/d/16pAz3pOhQEZBhvFNMa5KGgZS6iKWpsKX0pg6tQmwFpo/edit?usp=sharing"",""ตรัง!J183"")"),7)</f>
        <v>7</v>
      </c>
      <c r="Y77" s="79">
        <f t="shared" ca="1" si="34"/>
        <v>100</v>
      </c>
      <c r="Z77" s="215">
        <v>0</v>
      </c>
      <c r="AA77" s="215">
        <v>0</v>
      </c>
      <c r="AB77" s="216">
        <v>0</v>
      </c>
    </row>
    <row r="78" spans="1:28" ht="21" customHeight="1" x14ac:dyDescent="0.3">
      <c r="A78" s="70">
        <v>4</v>
      </c>
      <c r="B78" s="71" t="s">
        <v>106</v>
      </c>
      <c r="C78" s="149">
        <f t="shared" ca="1" si="22"/>
        <v>19590</v>
      </c>
      <c r="D78" s="150">
        <f t="shared" ca="1" si="47"/>
        <v>19590</v>
      </c>
      <c r="E78" s="151">
        <f ca="1">IFERROR(__xludf.DUMMYFUNCTION("IMPORTRANGE(""https://docs.google.com/spreadsheets/d/1-uDff_7J0KD5mKrp0Vvzr7lt3OU09vwQwhkpOPPYv2Y/edit?usp=sharing"",""งบพรบ!CL78"")"),0)</f>
        <v>0</v>
      </c>
      <c r="F78" s="151">
        <f ca="1">IFERROR(__xludf.DUMMYFUNCTION("IMPORTRANGE(""https://docs.google.com/spreadsheets/d/1-uDff_7J0KD5mKrp0Vvzr7lt3OU09vwQwhkpOPPYv2Y/edit?usp=sharing"",""งบพรบ!CM78"")"),19590)</f>
        <v>19590</v>
      </c>
      <c r="G78" s="151">
        <f ca="1">IFERROR(__xludf.DUMMYFUNCTION("IMPORTRANGE(""https://docs.google.com/spreadsheets/d/1-uDff_7J0KD5mKrp0Vvzr7lt3OU09vwQwhkpOPPYv2Y/edit?usp=sharing"",""งบพรบ!CN78"")"),0)</f>
        <v>0</v>
      </c>
      <c r="H78" s="151">
        <f ca="1">IFERROR(__xludf.DUMMYFUNCTION("IMPORTRANGE(""https://docs.google.com/spreadsheets/d/1-uDff_7J0KD5mKrp0Vvzr7lt3OU09vwQwhkpOPPYv2Y/edit?usp=sharing"",""งบพรบ!CP78"")"),36520)</f>
        <v>36520</v>
      </c>
      <c r="I78" s="151">
        <f ca="1">IFERROR(__xludf.DUMMYFUNCTION("IMPORTRANGE(""https://docs.google.com/spreadsheets/d/1-uDff_7J0KD5mKrp0Vvzr7lt3OU09vwQwhkpOPPYv2Y/edit?usp=sharing"",""งบพรบ!CQ78"")"),0)</f>
        <v>0</v>
      </c>
      <c r="J78" s="151">
        <f t="shared" ca="1" si="24"/>
        <v>36520</v>
      </c>
      <c r="K78" s="154">
        <f t="shared" ca="1" si="25"/>
        <v>186.42164369576315</v>
      </c>
      <c r="L78" s="151">
        <f ca="1">IFERROR(__xludf.DUMMYFUNCTION("IMPORTRANGE(""https://docs.google.com/spreadsheets/d/1-uDff_7J0KD5mKrp0Vvzr7lt3OU09vwQwhkpOPPYv2Y/edit?usp=sharing"",""งบพรบ!CR78"")"),36520)</f>
        <v>36520</v>
      </c>
      <c r="M78" s="68">
        <f t="shared" ca="1" si="26"/>
        <v>186.42164369576315</v>
      </c>
      <c r="N78" s="68">
        <f t="shared" ca="1" si="27"/>
        <v>100</v>
      </c>
      <c r="O78" s="67">
        <f ca="1">IFERROR(__xludf.DUMMYFUNCTION("IMPORTRANGE(""https://docs.google.com/spreadsheets/d/1-uDff_7J0KD5mKrp0Vvzr7lt3OU09vwQwhkpOPPYv2Y/edit?usp=sharing"",""งบพรบ!CS78"")"),0)</f>
        <v>0</v>
      </c>
      <c r="P78" s="67">
        <f t="shared" ca="1" si="28"/>
        <v>0</v>
      </c>
      <c r="Q78" s="68">
        <f t="shared" ca="1" si="29"/>
        <v>0</v>
      </c>
      <c r="R78" s="197">
        <f ca="1">IFERROR(__xludf.DUMMYFUNCTION("IMPORTRANGE(""https://docs.google.com/spreadsheets/d/1Dj4jcHCTV9JXKCaMoheSXS52JE63kDKyG7bPXnFogHk/edit?usp=sharing"",""นครศรีธรรมราช!Q173"")"),20320)</f>
        <v>20320</v>
      </c>
      <c r="S78" s="67">
        <f ca="1">IFERROR(__xludf.DUMMYFUNCTION("IMPORTRANGE(""https://docs.google.com/spreadsheets/d/1Dj4jcHCTV9JXKCaMoheSXS52JE63kDKyG7bPXnFogHk/edit?usp=sharing"",""นครศรีธรรมราช!R173"")"),20320)</f>
        <v>20320</v>
      </c>
      <c r="T78" s="67">
        <f ca="1">IFERROR(__xludf.DUMMYFUNCTION("IMPORTRANGE(""https://docs.google.com/spreadsheets/d/1Dj4jcHCTV9JXKCaMoheSXS52JE63kDKyG7bPXnFogHk/edit?usp=sharing"",""นครศรีธรรมราช!S173"")"),20320)</f>
        <v>20320</v>
      </c>
      <c r="U78" s="68">
        <f t="shared" ca="1" si="31"/>
        <v>100</v>
      </c>
      <c r="V78" s="68">
        <f t="shared" ca="1" si="32"/>
        <v>100</v>
      </c>
      <c r="W78" s="78">
        <f ca="1">IFERROR(__xludf.DUMMYFUNCTION("IMPORTRANGE(""https://docs.google.com/spreadsheets/d/1Dj4jcHCTV9JXKCaMoheSXS52JE63kDKyG7bPXnFogHk/edit?usp=sharing"",""นครศรีธรรมราช!I183"")"),14)</f>
        <v>14</v>
      </c>
      <c r="X78" s="78">
        <f ca="1">IFERROR(__xludf.DUMMYFUNCTION("IMPORTRANGE(""https://docs.google.com/spreadsheets/d/1Dj4jcHCTV9JXKCaMoheSXS52JE63kDKyG7bPXnFogHk/edit?usp=sharing"",""นครศรีธรรมราช!J183"")"),14)</f>
        <v>14</v>
      </c>
      <c r="Y78" s="79">
        <f t="shared" ca="1" si="34"/>
        <v>100</v>
      </c>
      <c r="Z78" s="215">
        <v>0</v>
      </c>
      <c r="AA78" s="215">
        <v>0</v>
      </c>
      <c r="AB78" s="216">
        <v>0</v>
      </c>
    </row>
    <row r="79" spans="1:28" ht="21" customHeight="1" x14ac:dyDescent="0.3">
      <c r="A79" s="70">
        <v>5</v>
      </c>
      <c r="B79" s="71" t="s">
        <v>107</v>
      </c>
      <c r="C79" s="149">
        <f t="shared" ca="1" si="22"/>
        <v>19590</v>
      </c>
      <c r="D79" s="150">
        <f t="shared" ca="1" si="47"/>
        <v>19590</v>
      </c>
      <c r="E79" s="151">
        <f ca="1">IFERROR(__xludf.DUMMYFUNCTION("IMPORTRANGE(""https://docs.google.com/spreadsheets/d/1-uDff_7J0KD5mKrp0Vvzr7lt3OU09vwQwhkpOPPYv2Y/edit?usp=sharing"",""งบพรบ!CL79"")"),0)</f>
        <v>0</v>
      </c>
      <c r="F79" s="151">
        <f ca="1">IFERROR(__xludf.DUMMYFUNCTION("IMPORTRANGE(""https://docs.google.com/spreadsheets/d/1-uDff_7J0KD5mKrp0Vvzr7lt3OU09vwQwhkpOPPYv2Y/edit?usp=sharing"",""งบพรบ!CM79"")"),19590)</f>
        <v>19590</v>
      </c>
      <c r="G79" s="151">
        <f ca="1">IFERROR(__xludf.DUMMYFUNCTION("IMPORTRANGE(""https://docs.google.com/spreadsheets/d/1-uDff_7J0KD5mKrp0Vvzr7lt3OU09vwQwhkpOPPYv2Y/edit?usp=sharing"",""งบพรบ!CN79"")"),0)</f>
        <v>0</v>
      </c>
      <c r="H79" s="151">
        <f ca="1">IFERROR(__xludf.DUMMYFUNCTION("IMPORTRANGE(""https://docs.google.com/spreadsheets/d/1-uDff_7J0KD5mKrp0Vvzr7lt3OU09vwQwhkpOPPYv2Y/edit?usp=sharing"",""งบพรบ!CP79"")"),41440)</f>
        <v>41440</v>
      </c>
      <c r="I79" s="151">
        <f ca="1">IFERROR(__xludf.DUMMYFUNCTION("IMPORTRANGE(""https://docs.google.com/spreadsheets/d/1-uDff_7J0KD5mKrp0Vvzr7lt3OU09vwQwhkpOPPYv2Y/edit?usp=sharing"",""งบพรบ!CQ79"")"),0)</f>
        <v>0</v>
      </c>
      <c r="J79" s="151">
        <f t="shared" ca="1" si="24"/>
        <v>41440</v>
      </c>
      <c r="K79" s="154">
        <f t="shared" ca="1" si="25"/>
        <v>211.53649821337416</v>
      </c>
      <c r="L79" s="151">
        <f ca="1">IFERROR(__xludf.DUMMYFUNCTION("IMPORTRANGE(""https://docs.google.com/spreadsheets/d/1-uDff_7J0KD5mKrp0Vvzr7lt3OU09vwQwhkpOPPYv2Y/edit?usp=sharing"",""งบพรบ!CR79"")"),41440)</f>
        <v>41440</v>
      </c>
      <c r="M79" s="68">
        <f t="shared" ca="1" si="26"/>
        <v>211.53649821337416</v>
      </c>
      <c r="N79" s="68">
        <f t="shared" ca="1" si="27"/>
        <v>100</v>
      </c>
      <c r="O79" s="67">
        <f ca="1">IFERROR(__xludf.DUMMYFUNCTION("IMPORTRANGE(""https://docs.google.com/spreadsheets/d/1-uDff_7J0KD5mKrp0Vvzr7lt3OU09vwQwhkpOPPYv2Y/edit?usp=sharing"",""งบพรบ!CS79"")"),0)</f>
        <v>0</v>
      </c>
      <c r="P79" s="67">
        <f t="shared" ca="1" si="28"/>
        <v>0</v>
      </c>
      <c r="Q79" s="68">
        <f t="shared" ca="1" si="29"/>
        <v>0</v>
      </c>
      <c r="R79" s="197">
        <f ca="1">IFERROR(__xludf.DUMMYFUNCTION("IMPORTRANGE(""https://docs.google.com/spreadsheets/d/1iodCdmuK2GR3jzUwk8tpccY2JHQQA-87DLOtJP-ooyU/edit?usp=sharing"",""นราธิวาส!Q173"")"),0)</f>
        <v>0</v>
      </c>
      <c r="S79" s="67">
        <f ca="1">IFERROR(__xludf.DUMMYFUNCTION("IMPORTRANGE(""https://docs.google.com/spreadsheets/d/1iodCdmuK2GR3jzUwk8tpccY2JHQQA-87DLOtJP-ooyU/edit?usp=sharing"",""นราธิวาส!R173"")"),0)</f>
        <v>0</v>
      </c>
      <c r="T79" s="67">
        <f ca="1">IFERROR(__xludf.DUMMYFUNCTION("IMPORTRANGE(""https://docs.google.com/spreadsheets/d/1iodCdmuK2GR3jzUwk8tpccY2JHQQA-87DLOtJP-ooyU/edit?usp=sharing"",""นราธิวาส!S173"")"),0)</f>
        <v>0</v>
      </c>
      <c r="U79" s="68">
        <f t="shared" ca="1" si="31"/>
        <v>0</v>
      </c>
      <c r="V79" s="68">
        <f t="shared" ca="1" si="32"/>
        <v>0</v>
      </c>
      <c r="W79" s="78">
        <f ca="1">IFERROR(__xludf.DUMMYFUNCTION("IMPORTRANGE(""https://docs.google.com/spreadsheets/d/1iodCdmuK2GR3jzUwk8tpccY2JHQQA-87DLOtJP-ooyU/edit?usp=sharing"",""นราธิวาส!I183"")"),7)</f>
        <v>7</v>
      </c>
      <c r="X79" s="78">
        <f ca="1">IFERROR(__xludf.DUMMYFUNCTION("IMPORTRANGE(""https://docs.google.com/spreadsheets/d/1iodCdmuK2GR3jzUwk8tpccY2JHQQA-87DLOtJP-ooyU/edit?usp=sharing"",""นราธิวาส!J183"")"),7)</f>
        <v>7</v>
      </c>
      <c r="Y79" s="79">
        <f t="shared" ca="1" si="34"/>
        <v>100</v>
      </c>
      <c r="Z79" s="215">
        <v>0</v>
      </c>
      <c r="AA79" s="215">
        <v>0</v>
      </c>
      <c r="AB79" s="216">
        <v>0</v>
      </c>
    </row>
    <row r="80" spans="1:28" ht="21" customHeight="1" x14ac:dyDescent="0.3">
      <c r="A80" s="70">
        <v>6</v>
      </c>
      <c r="B80" s="71" t="s">
        <v>108</v>
      </c>
      <c r="C80" s="149">
        <f t="shared" ca="1" si="22"/>
        <v>19590</v>
      </c>
      <c r="D80" s="150">
        <f t="shared" ca="1" si="47"/>
        <v>19590</v>
      </c>
      <c r="E80" s="151">
        <f ca="1">IFERROR(__xludf.DUMMYFUNCTION("IMPORTRANGE(""https://docs.google.com/spreadsheets/d/1-uDff_7J0KD5mKrp0Vvzr7lt3OU09vwQwhkpOPPYv2Y/edit?usp=sharing"",""งบพรบ!CL80"")"),0)</f>
        <v>0</v>
      </c>
      <c r="F80" s="151">
        <f ca="1">IFERROR(__xludf.DUMMYFUNCTION("IMPORTRANGE(""https://docs.google.com/spreadsheets/d/1-uDff_7J0KD5mKrp0Vvzr7lt3OU09vwQwhkpOPPYv2Y/edit?usp=sharing"",""งบพรบ!CM80"")"),19590)</f>
        <v>19590</v>
      </c>
      <c r="G80" s="151">
        <f ca="1">IFERROR(__xludf.DUMMYFUNCTION("IMPORTRANGE(""https://docs.google.com/spreadsheets/d/1-uDff_7J0KD5mKrp0Vvzr7lt3OU09vwQwhkpOPPYv2Y/edit?usp=sharing"",""งบพรบ!CN80"")"),0)</f>
        <v>0</v>
      </c>
      <c r="H80" s="151">
        <f ca="1">IFERROR(__xludf.DUMMYFUNCTION("IMPORTRANGE(""https://docs.google.com/spreadsheets/d/1-uDff_7J0KD5mKrp0Vvzr7lt3OU09vwQwhkpOPPYv2Y/edit?usp=sharing"",""งบพรบ!CP80"")"),40830)</f>
        <v>40830</v>
      </c>
      <c r="I80" s="151">
        <f ca="1">IFERROR(__xludf.DUMMYFUNCTION("IMPORTRANGE(""https://docs.google.com/spreadsheets/d/1-uDff_7J0KD5mKrp0Vvzr7lt3OU09vwQwhkpOPPYv2Y/edit?usp=sharing"",""งบพรบ!CQ80"")"),0)</f>
        <v>0</v>
      </c>
      <c r="J80" s="151">
        <f t="shared" ca="1" si="24"/>
        <v>36650</v>
      </c>
      <c r="K80" s="154">
        <f t="shared" ca="1" si="25"/>
        <v>187.08524757529352</v>
      </c>
      <c r="L80" s="151">
        <f ca="1">IFERROR(__xludf.DUMMYFUNCTION("IMPORTRANGE(""https://docs.google.com/spreadsheets/d/1-uDff_7J0KD5mKrp0Vvzr7lt3OU09vwQwhkpOPPYv2Y/edit?usp=sharing"",""งบพรบ!CR80"")"),36650)</f>
        <v>36650</v>
      </c>
      <c r="M80" s="68">
        <f t="shared" ca="1" si="26"/>
        <v>187.08524757529352</v>
      </c>
      <c r="N80" s="68">
        <f t="shared" ca="1" si="27"/>
        <v>89.762429586088658</v>
      </c>
      <c r="O80" s="67">
        <f ca="1">IFERROR(__xludf.DUMMYFUNCTION("IMPORTRANGE(""https://docs.google.com/spreadsheets/d/1-uDff_7J0KD5mKrp0Vvzr7lt3OU09vwQwhkpOPPYv2Y/edit?usp=sharing"",""งบพรบ!CS80"")"),0)</f>
        <v>0</v>
      </c>
      <c r="P80" s="67">
        <f t="shared" ca="1" si="28"/>
        <v>0</v>
      </c>
      <c r="Q80" s="68">
        <f t="shared" ca="1" si="29"/>
        <v>0</v>
      </c>
      <c r="R80" s="197">
        <f ca="1">IFERROR(__xludf.DUMMYFUNCTION("IMPORTRANGE(""https://docs.google.com/spreadsheets/d/1SDNX3JhDdYRuIOsj0Wh2M-Qa_eaXl0NbWmhAOTbfQAs/edit?usp=sharing"",""ปัตตานี!Q173"")"),22960)</f>
        <v>22960</v>
      </c>
      <c r="S80" s="67">
        <f ca="1">IFERROR(__xludf.DUMMYFUNCTION("IMPORTRANGE(""https://docs.google.com/spreadsheets/d/1SDNX3JhDdYRuIOsj0Wh2M-Qa_eaXl0NbWmhAOTbfQAs/edit?usp=sharing"",""ปัตตานี!R173"")"),22960)</f>
        <v>22960</v>
      </c>
      <c r="T80" s="67">
        <f ca="1">IFERROR(__xludf.DUMMYFUNCTION("IMPORTRANGE(""https://docs.google.com/spreadsheets/d/1SDNX3JhDdYRuIOsj0Wh2M-Qa_eaXl0NbWmhAOTbfQAs/edit?usp=sharing"",""ปัตตานี!S173"")"),19800)</f>
        <v>19800</v>
      </c>
      <c r="U80" s="68">
        <f t="shared" ca="1" si="31"/>
        <v>86.236933797909401</v>
      </c>
      <c r="V80" s="68">
        <f t="shared" ca="1" si="32"/>
        <v>86.236933797909401</v>
      </c>
      <c r="W80" s="78">
        <f ca="1">IFERROR(__xludf.DUMMYFUNCTION("IMPORTRANGE(""https://docs.google.com/spreadsheets/d/1SDNX3JhDdYRuIOsj0Wh2M-Qa_eaXl0NbWmhAOTbfQAs/edit?usp=sharing"",""ปัตตานี!I183"")"),17)</f>
        <v>17</v>
      </c>
      <c r="X80" s="78">
        <f ca="1">IFERROR(__xludf.DUMMYFUNCTION("IMPORTRANGE(""https://docs.google.com/spreadsheets/d/1SDNX3JhDdYRuIOsj0Wh2M-Qa_eaXl0NbWmhAOTbfQAs/edit?usp=sharing"",""ปัตตานี!J183"")"),17)</f>
        <v>17</v>
      </c>
      <c r="Y80" s="79">
        <f t="shared" ca="1" si="34"/>
        <v>100</v>
      </c>
      <c r="Z80" s="215">
        <v>0</v>
      </c>
      <c r="AA80" s="215">
        <v>0</v>
      </c>
      <c r="AB80" s="216">
        <v>0</v>
      </c>
    </row>
    <row r="81" spans="1:28" ht="21" customHeight="1" x14ac:dyDescent="0.3">
      <c r="A81" s="70">
        <v>7</v>
      </c>
      <c r="B81" s="71" t="s">
        <v>109</v>
      </c>
      <c r="C81" s="149">
        <f t="shared" ca="1" si="22"/>
        <v>19590</v>
      </c>
      <c r="D81" s="150">
        <f t="shared" ca="1" si="47"/>
        <v>19590</v>
      </c>
      <c r="E81" s="151">
        <f ca="1">IFERROR(__xludf.DUMMYFUNCTION("IMPORTRANGE(""https://docs.google.com/spreadsheets/d/1-uDff_7J0KD5mKrp0Vvzr7lt3OU09vwQwhkpOPPYv2Y/edit?usp=sharing"",""งบพรบ!CL81"")"),0)</f>
        <v>0</v>
      </c>
      <c r="F81" s="151">
        <f ca="1">IFERROR(__xludf.DUMMYFUNCTION("IMPORTRANGE(""https://docs.google.com/spreadsheets/d/1-uDff_7J0KD5mKrp0Vvzr7lt3OU09vwQwhkpOPPYv2Y/edit?usp=sharing"",""งบพรบ!CM81"")"),19590)</f>
        <v>19590</v>
      </c>
      <c r="G81" s="151">
        <f ca="1">IFERROR(__xludf.DUMMYFUNCTION("IMPORTRANGE(""https://docs.google.com/spreadsheets/d/1-uDff_7J0KD5mKrp0Vvzr7lt3OU09vwQwhkpOPPYv2Y/edit?usp=sharing"",""งบพรบ!CN81"")"),0)</f>
        <v>0</v>
      </c>
      <c r="H81" s="151">
        <f ca="1">IFERROR(__xludf.DUMMYFUNCTION("IMPORTRANGE(""https://docs.google.com/spreadsheets/d/1-uDff_7J0KD5mKrp0Vvzr7lt3OU09vwQwhkpOPPYv2Y/edit?usp=sharing"",""งบพรบ!CP81"")"),36580)</f>
        <v>36580</v>
      </c>
      <c r="I81" s="151">
        <f ca="1">IFERROR(__xludf.DUMMYFUNCTION("IMPORTRANGE(""https://docs.google.com/spreadsheets/d/1-uDff_7J0KD5mKrp0Vvzr7lt3OU09vwQwhkpOPPYv2Y/edit?usp=sharing"",""งบพรบ!CQ81"")"),0)</f>
        <v>0</v>
      </c>
      <c r="J81" s="151">
        <f t="shared" ca="1" si="24"/>
        <v>36580</v>
      </c>
      <c r="K81" s="154">
        <f t="shared" ca="1" si="25"/>
        <v>186.72792240939253</v>
      </c>
      <c r="L81" s="151">
        <f ca="1">IFERROR(__xludf.DUMMYFUNCTION("IMPORTRANGE(""https://docs.google.com/spreadsheets/d/1-uDff_7J0KD5mKrp0Vvzr7lt3OU09vwQwhkpOPPYv2Y/edit?usp=sharing"",""งบพรบ!CR81"")"),36580)</f>
        <v>36580</v>
      </c>
      <c r="M81" s="68">
        <f t="shared" ca="1" si="26"/>
        <v>186.72792240939253</v>
      </c>
      <c r="N81" s="68">
        <f t="shared" ca="1" si="27"/>
        <v>100</v>
      </c>
      <c r="O81" s="67">
        <f ca="1">IFERROR(__xludf.DUMMYFUNCTION("IMPORTRANGE(""https://docs.google.com/spreadsheets/d/1-uDff_7J0KD5mKrp0Vvzr7lt3OU09vwQwhkpOPPYv2Y/edit?usp=sharing"",""งบพรบ!CS81"")"),0)</f>
        <v>0</v>
      </c>
      <c r="P81" s="67">
        <f t="shared" ca="1" si="28"/>
        <v>0</v>
      </c>
      <c r="Q81" s="68">
        <f t="shared" ca="1" si="29"/>
        <v>0</v>
      </c>
      <c r="R81" s="197">
        <f ca="1">IFERROR(__xludf.DUMMYFUNCTION("IMPORTRANGE(""https://docs.google.com/spreadsheets/d/16JDLGguT8s5DsGCND1KcwHP_AWR_zDMTqLHPLJUKhaU/edit?usp=sharing"",""พังงา!Q173"")"),0)</f>
        <v>0</v>
      </c>
      <c r="S81" s="67">
        <f ca="1">IFERROR(__xludf.DUMMYFUNCTION("IMPORTRANGE(""https://docs.google.com/spreadsheets/d/16JDLGguT8s5DsGCND1KcwHP_AWR_zDMTqLHPLJUKhaU/edit?usp=sharing"",""พังงา!R173"")"),0)</f>
        <v>0</v>
      </c>
      <c r="T81" s="67">
        <f ca="1">IFERROR(__xludf.DUMMYFUNCTION("IMPORTRANGE(""https://docs.google.com/spreadsheets/d/16JDLGguT8s5DsGCND1KcwHP_AWR_zDMTqLHPLJUKhaU/edit?usp=sharing"",""พังงา!S173"")"),0)</f>
        <v>0</v>
      </c>
      <c r="U81" s="68">
        <f t="shared" ca="1" si="31"/>
        <v>0</v>
      </c>
      <c r="V81" s="68">
        <f t="shared" ca="1" si="32"/>
        <v>0</v>
      </c>
      <c r="W81" s="78">
        <f ca="1">IFERROR(__xludf.DUMMYFUNCTION("IMPORTRANGE(""https://docs.google.com/spreadsheets/d/16JDLGguT8s5DsGCND1KcwHP_AWR_zDMTqLHPLJUKhaU/edit?usp=sharing"",""พังงา!I183"")"),7)</f>
        <v>7</v>
      </c>
      <c r="X81" s="78">
        <f ca="1">IFERROR(__xludf.DUMMYFUNCTION("IMPORTRANGE(""https://docs.google.com/spreadsheets/d/16JDLGguT8s5DsGCND1KcwHP_AWR_zDMTqLHPLJUKhaU/edit?usp=sharing"",""พังงา!J183"")"),7)</f>
        <v>7</v>
      </c>
      <c r="Y81" s="79">
        <f t="shared" ca="1" si="34"/>
        <v>100</v>
      </c>
      <c r="Z81" s="215">
        <v>0</v>
      </c>
      <c r="AA81" s="215">
        <v>0</v>
      </c>
      <c r="AB81" s="216">
        <v>0</v>
      </c>
    </row>
    <row r="82" spans="1:28" ht="21" customHeight="1" x14ac:dyDescent="0.3">
      <c r="A82" s="70">
        <v>8</v>
      </c>
      <c r="B82" s="71" t="s">
        <v>110</v>
      </c>
      <c r="C82" s="149">
        <f t="shared" ca="1" si="22"/>
        <v>0</v>
      </c>
      <c r="D82" s="150">
        <f t="shared" ca="1" si="47"/>
        <v>0</v>
      </c>
      <c r="E82" s="151">
        <f ca="1">IFERROR(__xludf.DUMMYFUNCTION("IMPORTRANGE(""https://docs.google.com/spreadsheets/d/1-uDff_7J0KD5mKrp0Vvzr7lt3OU09vwQwhkpOPPYv2Y/edit?usp=sharing"",""งบพรบ!CL82"")"),0)</f>
        <v>0</v>
      </c>
      <c r="F82" s="151">
        <f ca="1">IFERROR(__xludf.DUMMYFUNCTION("IMPORTRANGE(""https://docs.google.com/spreadsheets/d/1-uDff_7J0KD5mKrp0Vvzr7lt3OU09vwQwhkpOPPYv2Y/edit?usp=sharing"",""งบพรบ!CM82"")"),0)</f>
        <v>0</v>
      </c>
      <c r="G82" s="151">
        <f ca="1">IFERROR(__xludf.DUMMYFUNCTION("IMPORTRANGE(""https://docs.google.com/spreadsheets/d/1-uDff_7J0KD5mKrp0Vvzr7lt3OU09vwQwhkpOPPYv2Y/edit?usp=sharing"",""งบพรบ!CN82"")"),0)</f>
        <v>0</v>
      </c>
      <c r="H82" s="151">
        <f ca="1">IFERROR(__xludf.DUMMYFUNCTION("IMPORTRANGE(""https://docs.google.com/spreadsheets/d/1-uDff_7J0KD5mKrp0Vvzr7lt3OU09vwQwhkpOPPYv2Y/edit?usp=sharing"",""งบพรบ!CP82"")"),0)</f>
        <v>0</v>
      </c>
      <c r="I82" s="151">
        <f ca="1">IFERROR(__xludf.DUMMYFUNCTION("IMPORTRANGE(""https://docs.google.com/spreadsheets/d/1-uDff_7J0KD5mKrp0Vvzr7lt3OU09vwQwhkpOPPYv2Y/edit?usp=sharing"",""งบพรบ!CQ82"")"),0)</f>
        <v>0</v>
      </c>
      <c r="J82" s="151">
        <f t="shared" ca="1" si="24"/>
        <v>0</v>
      </c>
      <c r="K82" s="154">
        <f t="shared" ca="1" si="25"/>
        <v>0</v>
      </c>
      <c r="L82" s="151">
        <f ca="1">IFERROR(__xludf.DUMMYFUNCTION("IMPORTRANGE(""https://docs.google.com/spreadsheets/d/1-uDff_7J0KD5mKrp0Vvzr7lt3OU09vwQwhkpOPPYv2Y/edit?usp=sharing"",""งบพรบ!CR82"")"),0)</f>
        <v>0</v>
      </c>
      <c r="M82" s="68">
        <f t="shared" ca="1" si="26"/>
        <v>0</v>
      </c>
      <c r="N82" s="68">
        <f t="shared" ca="1" si="27"/>
        <v>0</v>
      </c>
      <c r="O82" s="67">
        <f ca="1">IFERROR(__xludf.DUMMYFUNCTION("IMPORTRANGE(""https://docs.google.com/spreadsheets/d/1-uDff_7J0KD5mKrp0Vvzr7lt3OU09vwQwhkpOPPYv2Y/edit?usp=sharing"",""งบพรบ!CS82"")"),0)</f>
        <v>0</v>
      </c>
      <c r="P82" s="67">
        <f t="shared" ca="1" si="28"/>
        <v>0</v>
      </c>
      <c r="Q82" s="68">
        <f t="shared" ca="1" si="29"/>
        <v>0</v>
      </c>
      <c r="R82" s="197">
        <f ca="1">IFERROR(__xludf.DUMMYFUNCTION("IMPORTRANGE(""https://docs.google.com/spreadsheets/d/17ht0gPKzzT3PObBL1XJkeRmntBXI7wGjpLV7QorqlTk/edit?usp=sharing"",""พัทลุง!Q173"")"),0)</f>
        <v>0</v>
      </c>
      <c r="S82" s="67">
        <f ca="1">IFERROR(__xludf.DUMMYFUNCTION("IMPORTRANGE(""https://docs.google.com/spreadsheets/d/17ht0gPKzzT3PObBL1XJkeRmntBXI7wGjpLV7QorqlTk/edit?usp=sharing"",""พัทลุง!R173"")"),0)</f>
        <v>0</v>
      </c>
      <c r="T82" s="67">
        <f ca="1">IFERROR(__xludf.DUMMYFUNCTION("IMPORTRANGE(""https://docs.google.com/spreadsheets/d/17ht0gPKzzT3PObBL1XJkeRmntBXI7wGjpLV7QorqlTk/edit?usp=sharing"",""พัทลุง!S173"")"),0)</f>
        <v>0</v>
      </c>
      <c r="U82" s="68">
        <f t="shared" ca="1" si="31"/>
        <v>0</v>
      </c>
      <c r="V82" s="68">
        <f t="shared" ca="1" si="32"/>
        <v>0</v>
      </c>
      <c r="W82" s="78">
        <f ca="1">IFERROR(__xludf.DUMMYFUNCTION("IMPORTRANGE(""https://docs.google.com/spreadsheets/d/17ht0gPKzzT3PObBL1XJkeRmntBXI7wGjpLV7QorqlTk/edit?usp=sharing"",""พัทลุง!I183"")"),0)</f>
        <v>0</v>
      </c>
      <c r="X82" s="78">
        <f ca="1">IFERROR(__xludf.DUMMYFUNCTION("IMPORTRANGE(""https://docs.google.com/spreadsheets/d/17ht0gPKzzT3PObBL1XJkeRmntBXI7wGjpLV7QorqlTk/edit?usp=sharing"",""พัทลุง!J183"")"),0)</f>
        <v>0</v>
      </c>
      <c r="Y82" s="79">
        <f t="shared" ca="1" si="34"/>
        <v>0</v>
      </c>
      <c r="Z82" s="215">
        <v>0</v>
      </c>
      <c r="AA82" s="215">
        <v>0</v>
      </c>
      <c r="AB82" s="216">
        <v>0</v>
      </c>
    </row>
    <row r="83" spans="1:28" ht="21" customHeight="1" x14ac:dyDescent="0.3">
      <c r="A83" s="70">
        <v>9</v>
      </c>
      <c r="B83" s="71" t="s">
        <v>111</v>
      </c>
      <c r="C83" s="149">
        <f t="shared" ca="1" si="22"/>
        <v>0</v>
      </c>
      <c r="D83" s="150">
        <f t="shared" ca="1" si="47"/>
        <v>0</v>
      </c>
      <c r="E83" s="151">
        <f ca="1">IFERROR(__xludf.DUMMYFUNCTION("IMPORTRANGE(""https://docs.google.com/spreadsheets/d/1-uDff_7J0KD5mKrp0Vvzr7lt3OU09vwQwhkpOPPYv2Y/edit?usp=sharing"",""งบพรบ!CL83"")"),0)</f>
        <v>0</v>
      </c>
      <c r="F83" s="151">
        <f ca="1">IFERROR(__xludf.DUMMYFUNCTION("IMPORTRANGE(""https://docs.google.com/spreadsheets/d/1-uDff_7J0KD5mKrp0Vvzr7lt3OU09vwQwhkpOPPYv2Y/edit?usp=sharing"",""งบพรบ!CM83"")"),0)</f>
        <v>0</v>
      </c>
      <c r="G83" s="151">
        <f ca="1">IFERROR(__xludf.DUMMYFUNCTION("IMPORTRANGE(""https://docs.google.com/spreadsheets/d/1-uDff_7J0KD5mKrp0Vvzr7lt3OU09vwQwhkpOPPYv2Y/edit?usp=sharing"",""งบพรบ!CN83"")"),0)</f>
        <v>0</v>
      </c>
      <c r="H83" s="151">
        <f ca="1">IFERROR(__xludf.DUMMYFUNCTION("IMPORTRANGE(""https://docs.google.com/spreadsheets/d/1-uDff_7J0KD5mKrp0Vvzr7lt3OU09vwQwhkpOPPYv2Y/edit?usp=sharing"",""งบพรบ!CP83"")"),17470)</f>
        <v>17470</v>
      </c>
      <c r="I83" s="151">
        <f ca="1">IFERROR(__xludf.DUMMYFUNCTION("IMPORTRANGE(""https://docs.google.com/spreadsheets/d/1-uDff_7J0KD5mKrp0Vvzr7lt3OU09vwQwhkpOPPYv2Y/edit?usp=sharing"",""งบพรบ!CQ83"")"),0)</f>
        <v>0</v>
      </c>
      <c r="J83" s="151">
        <f t="shared" ca="1" si="24"/>
        <v>17470</v>
      </c>
      <c r="K83" s="154">
        <f t="shared" ca="1" si="25"/>
        <v>0</v>
      </c>
      <c r="L83" s="151">
        <f ca="1">IFERROR(__xludf.DUMMYFUNCTION("IMPORTRANGE(""https://docs.google.com/spreadsheets/d/1-uDff_7J0KD5mKrp0Vvzr7lt3OU09vwQwhkpOPPYv2Y/edit?usp=sharing"",""งบพรบ!CR83"")"),17470)</f>
        <v>17470</v>
      </c>
      <c r="M83" s="68">
        <f t="shared" ca="1" si="26"/>
        <v>0</v>
      </c>
      <c r="N83" s="68">
        <f t="shared" ca="1" si="27"/>
        <v>100</v>
      </c>
      <c r="O83" s="67">
        <f ca="1">IFERROR(__xludf.DUMMYFUNCTION("IMPORTRANGE(""https://docs.google.com/spreadsheets/d/1-uDff_7J0KD5mKrp0Vvzr7lt3OU09vwQwhkpOPPYv2Y/edit?usp=sharing"",""งบพรบ!CS83"")"),0)</f>
        <v>0</v>
      </c>
      <c r="P83" s="67">
        <f t="shared" ca="1" si="28"/>
        <v>0</v>
      </c>
      <c r="Q83" s="68">
        <f t="shared" ca="1" si="29"/>
        <v>0</v>
      </c>
      <c r="R83" s="197">
        <f ca="1">IFERROR(__xludf.DUMMYFUNCTION("IMPORTRANGE(""https://docs.google.com/spreadsheets/d/1rd4qoM1q_hsgaolqNGfrim9gbsoLxQsda4-vOz5x_BM/edit?usp=sharing"",""ภูเก็ต!Q173"")"),0)</f>
        <v>0</v>
      </c>
      <c r="S83" s="67">
        <f ca="1">IFERROR(__xludf.DUMMYFUNCTION("IMPORTRANGE(""https://docs.google.com/spreadsheets/d/1rd4qoM1q_hsgaolqNGfrim9gbsoLxQsda4-vOz5x_BM/edit?usp=sharing"",""ภูเก็ต!R173"")"),0)</f>
        <v>0</v>
      </c>
      <c r="T83" s="67">
        <f ca="1">IFERROR(__xludf.DUMMYFUNCTION("IMPORTRANGE(""https://docs.google.com/spreadsheets/d/1rd4qoM1q_hsgaolqNGfrim9gbsoLxQsda4-vOz5x_BM/edit?usp=sharing"",""ภูเก็ต!S173"")"),0)</f>
        <v>0</v>
      </c>
      <c r="U83" s="68">
        <f t="shared" ca="1" si="31"/>
        <v>0</v>
      </c>
      <c r="V83" s="68">
        <f t="shared" ca="1" si="32"/>
        <v>0</v>
      </c>
      <c r="W83" s="78">
        <f ca="1">IFERROR(__xludf.DUMMYFUNCTION("IMPORTRANGE(""https://docs.google.com/spreadsheets/d/1rd4qoM1q_hsgaolqNGfrim9gbsoLxQsda4-vOz5x_BM/edit?usp=sharing"",""ภูเก็ต!I183"")"),0)</f>
        <v>0</v>
      </c>
      <c r="X83" s="78">
        <f ca="1">IFERROR(__xludf.DUMMYFUNCTION("IMPORTRANGE(""https://docs.google.com/spreadsheets/d/1rd4qoM1q_hsgaolqNGfrim9gbsoLxQsda4-vOz5x_BM/edit?usp=sharing"",""ภูเก็ต!J183"")"),0)</f>
        <v>0</v>
      </c>
      <c r="Y83" s="79">
        <f t="shared" ca="1" si="34"/>
        <v>0</v>
      </c>
      <c r="Z83" s="215">
        <v>0</v>
      </c>
      <c r="AA83" s="215">
        <v>0</v>
      </c>
      <c r="AB83" s="216">
        <v>0</v>
      </c>
    </row>
    <row r="84" spans="1:28" ht="21" customHeight="1" x14ac:dyDescent="0.3">
      <c r="A84" s="70">
        <v>10</v>
      </c>
      <c r="B84" s="71" t="s">
        <v>112</v>
      </c>
      <c r="C84" s="149">
        <f t="shared" ca="1" si="22"/>
        <v>19590</v>
      </c>
      <c r="D84" s="150">
        <f t="shared" ca="1" si="47"/>
        <v>19590</v>
      </c>
      <c r="E84" s="151">
        <f ca="1">IFERROR(__xludf.DUMMYFUNCTION("IMPORTRANGE(""https://docs.google.com/spreadsheets/d/1-uDff_7J0KD5mKrp0Vvzr7lt3OU09vwQwhkpOPPYv2Y/edit?usp=sharing"",""งบพรบ!CL84"")"),0)</f>
        <v>0</v>
      </c>
      <c r="F84" s="151">
        <f ca="1">IFERROR(__xludf.DUMMYFUNCTION("IMPORTRANGE(""https://docs.google.com/spreadsheets/d/1-uDff_7J0KD5mKrp0Vvzr7lt3OU09vwQwhkpOPPYv2Y/edit?usp=sharing"",""งบพรบ!CM84"")"),19590)</f>
        <v>19590</v>
      </c>
      <c r="G84" s="151">
        <f ca="1">IFERROR(__xludf.DUMMYFUNCTION("IMPORTRANGE(""https://docs.google.com/spreadsheets/d/1-uDff_7J0KD5mKrp0Vvzr7lt3OU09vwQwhkpOPPYv2Y/edit?usp=sharing"",""งบพรบ!CN84"")"),0)</f>
        <v>0</v>
      </c>
      <c r="H84" s="151">
        <f ca="1">IFERROR(__xludf.DUMMYFUNCTION("IMPORTRANGE(""https://docs.google.com/spreadsheets/d/1-uDff_7J0KD5mKrp0Vvzr7lt3OU09vwQwhkpOPPYv2Y/edit?usp=sharing"",""งบพรบ!CP84"")"),41020)</f>
        <v>41020</v>
      </c>
      <c r="I84" s="151">
        <f ca="1">IFERROR(__xludf.DUMMYFUNCTION("IMPORTRANGE(""https://docs.google.com/spreadsheets/d/1-uDff_7J0KD5mKrp0Vvzr7lt3OU09vwQwhkpOPPYv2Y/edit?usp=sharing"",""งบพรบ!CQ84"")"),0)</f>
        <v>0</v>
      </c>
      <c r="J84" s="151">
        <f t="shared" ca="1" si="24"/>
        <v>41020</v>
      </c>
      <c r="K84" s="154">
        <f t="shared" ca="1" si="25"/>
        <v>209.39254721796834</v>
      </c>
      <c r="L84" s="151">
        <f ca="1">IFERROR(__xludf.DUMMYFUNCTION("IMPORTRANGE(""https://docs.google.com/spreadsheets/d/1-uDff_7J0KD5mKrp0Vvzr7lt3OU09vwQwhkpOPPYv2Y/edit?usp=sharing"",""งบพรบ!CR84"")"),41020)</f>
        <v>41020</v>
      </c>
      <c r="M84" s="68">
        <f t="shared" ca="1" si="26"/>
        <v>209.39254721796834</v>
      </c>
      <c r="N84" s="68">
        <f t="shared" ca="1" si="27"/>
        <v>100</v>
      </c>
      <c r="O84" s="67">
        <f ca="1">IFERROR(__xludf.DUMMYFUNCTION("IMPORTRANGE(""https://docs.google.com/spreadsheets/d/1-uDff_7J0KD5mKrp0Vvzr7lt3OU09vwQwhkpOPPYv2Y/edit?usp=sharing"",""งบพรบ!CS84"")"),0)</f>
        <v>0</v>
      </c>
      <c r="P84" s="67">
        <f t="shared" ca="1" si="28"/>
        <v>0</v>
      </c>
      <c r="Q84" s="68">
        <f t="shared" ca="1" si="29"/>
        <v>0</v>
      </c>
      <c r="R84" s="197">
        <f ca="1">IFERROR(__xludf.DUMMYFUNCTION("IMPORTRANGE(""https://docs.google.com/spreadsheets/d/1woKwKjgoLssDvPcPeVyezB5izizAn4X1JDrys69n6xI/edit?usp=sharing"",""ยะลา!Q173"")"),0)</f>
        <v>0</v>
      </c>
      <c r="S84" s="67">
        <f ca="1">IFERROR(__xludf.DUMMYFUNCTION("IMPORTRANGE(""https://docs.google.com/spreadsheets/d/1woKwKjgoLssDvPcPeVyezB5izizAn4X1JDrys69n6xI/edit?usp=sharing"",""ยะลา!R173"")"),0)</f>
        <v>0</v>
      </c>
      <c r="T84" s="67">
        <f ca="1">IFERROR(__xludf.DUMMYFUNCTION("IMPORTRANGE(""https://docs.google.com/spreadsheets/d/1woKwKjgoLssDvPcPeVyezB5izizAn4X1JDrys69n6xI/edit?usp=sharing"",""ยะลา!S173"")"),0)</f>
        <v>0</v>
      </c>
      <c r="U84" s="68">
        <f t="shared" ca="1" si="31"/>
        <v>0</v>
      </c>
      <c r="V84" s="68">
        <f t="shared" ca="1" si="32"/>
        <v>0</v>
      </c>
      <c r="W84" s="78">
        <f ca="1">IFERROR(__xludf.DUMMYFUNCTION("IMPORTRANGE(""https://docs.google.com/spreadsheets/d/1woKwKjgoLssDvPcPeVyezB5izizAn4X1JDrys69n6xI/edit?usp=sharing"",""ยะลา!I183"")"),7)</f>
        <v>7</v>
      </c>
      <c r="X84" s="78">
        <f ca="1">IFERROR(__xludf.DUMMYFUNCTION("IMPORTRANGE(""https://docs.google.com/spreadsheets/d/1woKwKjgoLssDvPcPeVyezB5izizAn4X1JDrys69n6xI/edit?usp=sharing"",""ยะลา!J183"")"),7)</f>
        <v>7</v>
      </c>
      <c r="Y84" s="79">
        <f t="shared" ca="1" si="34"/>
        <v>100</v>
      </c>
      <c r="Z84" s="215">
        <v>0</v>
      </c>
      <c r="AA84" s="215">
        <v>0</v>
      </c>
      <c r="AB84" s="216">
        <v>0</v>
      </c>
    </row>
    <row r="85" spans="1:28" ht="21" customHeight="1" x14ac:dyDescent="0.3">
      <c r="A85" s="70">
        <v>11</v>
      </c>
      <c r="B85" s="71" t="s">
        <v>113</v>
      </c>
      <c r="C85" s="149">
        <f t="shared" ca="1" si="22"/>
        <v>19590</v>
      </c>
      <c r="D85" s="150">
        <f t="shared" ca="1" si="47"/>
        <v>19590</v>
      </c>
      <c r="E85" s="151">
        <f ca="1">IFERROR(__xludf.DUMMYFUNCTION("IMPORTRANGE(""https://docs.google.com/spreadsheets/d/1-uDff_7J0KD5mKrp0Vvzr7lt3OU09vwQwhkpOPPYv2Y/edit?usp=sharing"",""งบพรบ!CL85"")"),0)</f>
        <v>0</v>
      </c>
      <c r="F85" s="151">
        <f ca="1">IFERROR(__xludf.DUMMYFUNCTION("IMPORTRANGE(""https://docs.google.com/spreadsheets/d/1-uDff_7J0KD5mKrp0Vvzr7lt3OU09vwQwhkpOPPYv2Y/edit?usp=sharing"",""งบพรบ!CM85"")"),19590)</f>
        <v>19590</v>
      </c>
      <c r="G85" s="151">
        <f ca="1">IFERROR(__xludf.DUMMYFUNCTION("IMPORTRANGE(""https://docs.google.com/spreadsheets/d/1-uDff_7J0KD5mKrp0Vvzr7lt3OU09vwQwhkpOPPYv2Y/edit?usp=sharing"",""งบพรบ!CN85"")"),0)</f>
        <v>0</v>
      </c>
      <c r="H85" s="151">
        <f ca="1">IFERROR(__xludf.DUMMYFUNCTION("IMPORTRANGE(""https://docs.google.com/spreadsheets/d/1-uDff_7J0KD5mKrp0Vvzr7lt3OU09vwQwhkpOPPYv2Y/edit?usp=sharing"",""งบพรบ!CP85"")"),35150)</f>
        <v>35150</v>
      </c>
      <c r="I85" s="151">
        <f ca="1">IFERROR(__xludf.DUMMYFUNCTION("IMPORTRANGE(""https://docs.google.com/spreadsheets/d/1-uDff_7J0KD5mKrp0Vvzr7lt3OU09vwQwhkpOPPYv2Y/edit?usp=sharing"",""งบพรบ!CQ85"")"),0)</f>
        <v>0</v>
      </c>
      <c r="J85" s="151">
        <f t="shared" ca="1" si="24"/>
        <v>35150</v>
      </c>
      <c r="K85" s="154">
        <f t="shared" ca="1" si="25"/>
        <v>179.42827973455846</v>
      </c>
      <c r="L85" s="151">
        <f ca="1">IFERROR(__xludf.DUMMYFUNCTION("IMPORTRANGE(""https://docs.google.com/spreadsheets/d/1-uDff_7J0KD5mKrp0Vvzr7lt3OU09vwQwhkpOPPYv2Y/edit?usp=sharing"",""งบพรบ!CR85"")"),35150)</f>
        <v>35150</v>
      </c>
      <c r="M85" s="68">
        <f t="shared" ca="1" si="26"/>
        <v>179.42827973455846</v>
      </c>
      <c r="N85" s="68">
        <f t="shared" ca="1" si="27"/>
        <v>100</v>
      </c>
      <c r="O85" s="67">
        <f ca="1">IFERROR(__xludf.DUMMYFUNCTION("IMPORTRANGE(""https://docs.google.com/spreadsheets/d/1-uDff_7J0KD5mKrp0Vvzr7lt3OU09vwQwhkpOPPYv2Y/edit?usp=sharing"",""งบพรบ!CS85"")"),0)</f>
        <v>0</v>
      </c>
      <c r="P85" s="67">
        <f t="shared" ca="1" si="28"/>
        <v>0</v>
      </c>
      <c r="Q85" s="68">
        <f t="shared" ca="1" si="29"/>
        <v>0</v>
      </c>
      <c r="R85" s="197">
        <f ca="1">IFERROR(__xludf.DUMMYFUNCTION("IMPORTRANGE(""https://docs.google.com/spreadsheets/d/1qfrKjzMhm2HJfxQ-qVlJlJQ25Hne1d0khsySbZyGtPA/edit?usp=sharing"",""ระนอง!Q173"")"),0)</f>
        <v>0</v>
      </c>
      <c r="S85" s="67">
        <f ca="1">IFERROR(__xludf.DUMMYFUNCTION("IMPORTRANGE(""https://docs.google.com/spreadsheets/d/1qfrKjzMhm2HJfxQ-qVlJlJQ25Hne1d0khsySbZyGtPA/edit?usp=sharing"",""ระนอง!R173"")"),0)</f>
        <v>0</v>
      </c>
      <c r="T85" s="67">
        <f ca="1">IFERROR(__xludf.DUMMYFUNCTION("IMPORTRANGE(""https://docs.google.com/spreadsheets/d/1qfrKjzMhm2HJfxQ-qVlJlJQ25Hne1d0khsySbZyGtPA/edit?usp=sharing"",""ระนอง!S173"")"),0)</f>
        <v>0</v>
      </c>
      <c r="U85" s="68">
        <f t="shared" ca="1" si="31"/>
        <v>0</v>
      </c>
      <c r="V85" s="68">
        <f t="shared" ca="1" si="32"/>
        <v>0</v>
      </c>
      <c r="W85" s="78">
        <f ca="1">IFERROR(__xludf.DUMMYFUNCTION("IMPORTRANGE(""https://docs.google.com/spreadsheets/d/1qfrKjzMhm2HJfxQ-qVlJlJQ25Hne1d0khsySbZyGtPA/edit?usp=sharing"",""ระนอง!I183"")"),7)</f>
        <v>7</v>
      </c>
      <c r="X85" s="78">
        <f ca="1">IFERROR(__xludf.DUMMYFUNCTION("IMPORTRANGE(""https://docs.google.com/spreadsheets/d/1qfrKjzMhm2HJfxQ-qVlJlJQ25Hne1d0khsySbZyGtPA/edit?usp=sharing"",""ระนอง!J183"")"),7)</f>
        <v>7</v>
      </c>
      <c r="Y85" s="79">
        <f t="shared" ca="1" si="34"/>
        <v>100</v>
      </c>
      <c r="Z85" s="215">
        <v>0</v>
      </c>
      <c r="AA85" s="215">
        <v>0</v>
      </c>
      <c r="AB85" s="216">
        <v>0</v>
      </c>
    </row>
    <row r="86" spans="1:28" ht="24" customHeight="1" x14ac:dyDescent="0.3">
      <c r="A86" s="70">
        <v>12</v>
      </c>
      <c r="B86" s="71" t="s">
        <v>114</v>
      </c>
      <c r="C86" s="149">
        <f t="shared" ca="1" si="22"/>
        <v>19590</v>
      </c>
      <c r="D86" s="150">
        <f t="shared" ca="1" si="47"/>
        <v>19590</v>
      </c>
      <c r="E86" s="151">
        <f ca="1">IFERROR(__xludf.DUMMYFUNCTION("IMPORTRANGE(""https://docs.google.com/spreadsheets/d/1-uDff_7J0KD5mKrp0Vvzr7lt3OU09vwQwhkpOPPYv2Y/edit?usp=sharing"",""งบพรบ!CL86"")"),0)</f>
        <v>0</v>
      </c>
      <c r="F86" s="151">
        <f ca="1">IFERROR(__xludf.DUMMYFUNCTION("IMPORTRANGE(""https://docs.google.com/spreadsheets/d/1-uDff_7J0KD5mKrp0Vvzr7lt3OU09vwQwhkpOPPYv2Y/edit?usp=sharing"",""งบพรบ!CM86"")"),19590)</f>
        <v>19590</v>
      </c>
      <c r="G86" s="151">
        <f ca="1">IFERROR(__xludf.DUMMYFUNCTION("IMPORTRANGE(""https://docs.google.com/spreadsheets/d/1-uDff_7J0KD5mKrp0Vvzr7lt3OU09vwQwhkpOPPYv2Y/edit?usp=sharing"",""งบพรบ!CN86"")"),0)</f>
        <v>0</v>
      </c>
      <c r="H86" s="151">
        <f ca="1">IFERROR(__xludf.DUMMYFUNCTION("IMPORTRANGE(""https://docs.google.com/spreadsheets/d/1-uDff_7J0KD5mKrp0Vvzr7lt3OU09vwQwhkpOPPYv2Y/edit?usp=sharing"",""งบพรบ!CP86"")"),40150)</f>
        <v>40150</v>
      </c>
      <c r="I86" s="151">
        <f ca="1">IFERROR(__xludf.DUMMYFUNCTION("IMPORTRANGE(""https://docs.google.com/spreadsheets/d/1-uDff_7J0KD5mKrp0Vvzr7lt3OU09vwQwhkpOPPYv2Y/edit?usp=sharing"",""งบพรบ!CQ86"")"),0)</f>
        <v>0</v>
      </c>
      <c r="J86" s="151">
        <f t="shared" ca="1" si="24"/>
        <v>39550</v>
      </c>
      <c r="K86" s="154">
        <f t="shared" ca="1" si="25"/>
        <v>201.88871873404798</v>
      </c>
      <c r="L86" s="151">
        <f ca="1">IFERROR(__xludf.DUMMYFUNCTION("IMPORTRANGE(""https://docs.google.com/spreadsheets/d/1-uDff_7J0KD5mKrp0Vvzr7lt3OU09vwQwhkpOPPYv2Y/edit?usp=sharing"",""งบพรบ!CR86"")"),39550)</f>
        <v>39550</v>
      </c>
      <c r="M86" s="68">
        <f t="shared" ca="1" si="26"/>
        <v>201.88871873404798</v>
      </c>
      <c r="N86" s="68">
        <f t="shared" ca="1" si="27"/>
        <v>98.505603985056041</v>
      </c>
      <c r="O86" s="67">
        <f ca="1">IFERROR(__xludf.DUMMYFUNCTION("IMPORTRANGE(""https://docs.google.com/spreadsheets/d/1-uDff_7J0KD5mKrp0Vvzr7lt3OU09vwQwhkpOPPYv2Y/edit?usp=sharing"",""งบพรบ!CS86"")"),0)</f>
        <v>0</v>
      </c>
      <c r="P86" s="67">
        <f t="shared" ca="1" si="28"/>
        <v>0</v>
      </c>
      <c r="Q86" s="68">
        <f t="shared" ca="1" si="29"/>
        <v>0</v>
      </c>
      <c r="R86" s="197">
        <f ca="1">IFERROR(__xludf.DUMMYFUNCTION("IMPORTRANGE(""https://docs.google.com/spreadsheets/d/1IbSCnFOKpZsnFogBHJnL_isstZVaOMnFiIN0fGTPZZw/edit?usp=sharing"",""สงขลา!Q173"")"),0)</f>
        <v>0</v>
      </c>
      <c r="S86" s="67">
        <f ca="1">IFERROR(__xludf.DUMMYFUNCTION("IMPORTRANGE(""https://docs.google.com/spreadsheets/d/1IbSCnFOKpZsnFogBHJnL_isstZVaOMnFiIN0fGTPZZw/edit?usp=sharing"",""สงขลา!R173"")"),0)</f>
        <v>0</v>
      </c>
      <c r="T86" s="67">
        <f ca="1">IFERROR(__xludf.DUMMYFUNCTION("IMPORTRANGE(""https://docs.google.com/spreadsheets/d/1IbSCnFOKpZsnFogBHJnL_isstZVaOMnFiIN0fGTPZZw/edit?usp=sharing"",""สงขลา!S173"")"),0)</f>
        <v>0</v>
      </c>
      <c r="U86" s="68">
        <f t="shared" ca="1" si="31"/>
        <v>0</v>
      </c>
      <c r="V86" s="68">
        <f t="shared" ca="1" si="32"/>
        <v>0</v>
      </c>
      <c r="W86" s="78">
        <f ca="1">IFERROR(__xludf.DUMMYFUNCTION("IMPORTRANGE(""https://docs.google.com/spreadsheets/d/1IbSCnFOKpZsnFogBHJnL_isstZVaOMnFiIN0fGTPZZw/edit?usp=sharing"",""สงขลา!I183"")"),7)</f>
        <v>7</v>
      </c>
      <c r="X86" s="78">
        <f ca="1">IFERROR(__xludf.DUMMYFUNCTION("IMPORTRANGE(""https://docs.google.com/spreadsheets/d/1IbSCnFOKpZsnFogBHJnL_isstZVaOMnFiIN0fGTPZZw/edit?usp=sharing"",""สงขลา!J183"")"),7)</f>
        <v>7</v>
      </c>
      <c r="Y86" s="79">
        <f t="shared" ca="1" si="34"/>
        <v>100</v>
      </c>
      <c r="Z86" s="215">
        <v>0</v>
      </c>
      <c r="AA86" s="215">
        <v>0</v>
      </c>
      <c r="AB86" s="216">
        <v>0</v>
      </c>
    </row>
    <row r="87" spans="1:28" ht="24" customHeight="1" x14ac:dyDescent="0.3">
      <c r="A87" s="70">
        <v>13</v>
      </c>
      <c r="B87" s="71" t="s">
        <v>115</v>
      </c>
      <c r="C87" s="149">
        <f t="shared" ca="1" si="22"/>
        <v>19590</v>
      </c>
      <c r="D87" s="150">
        <f t="shared" ca="1" si="47"/>
        <v>19590</v>
      </c>
      <c r="E87" s="151">
        <f ca="1">IFERROR(__xludf.DUMMYFUNCTION("IMPORTRANGE(""https://docs.google.com/spreadsheets/d/1-uDff_7J0KD5mKrp0Vvzr7lt3OU09vwQwhkpOPPYv2Y/edit?usp=sharing"",""งบพรบ!CL87"")"),0)</f>
        <v>0</v>
      </c>
      <c r="F87" s="151">
        <f ca="1">IFERROR(__xludf.DUMMYFUNCTION("IMPORTRANGE(""https://docs.google.com/spreadsheets/d/1-uDff_7J0KD5mKrp0Vvzr7lt3OU09vwQwhkpOPPYv2Y/edit?usp=sharing"",""งบพรบ!CM87"")"),19590)</f>
        <v>19590</v>
      </c>
      <c r="G87" s="151">
        <f ca="1">IFERROR(__xludf.DUMMYFUNCTION("IMPORTRANGE(""https://docs.google.com/spreadsheets/d/1-uDff_7J0KD5mKrp0Vvzr7lt3OU09vwQwhkpOPPYv2Y/edit?usp=sharing"",""งบพรบ!CN87"")"),0)</f>
        <v>0</v>
      </c>
      <c r="H87" s="151">
        <f ca="1">IFERROR(__xludf.DUMMYFUNCTION("IMPORTRANGE(""https://docs.google.com/spreadsheets/d/1-uDff_7J0KD5mKrp0Vvzr7lt3OU09vwQwhkpOPPYv2Y/edit?usp=sharing"",""งบพรบ!CP87"")"),40300)</f>
        <v>40300</v>
      </c>
      <c r="I87" s="151">
        <f ca="1">IFERROR(__xludf.DUMMYFUNCTION("IMPORTRANGE(""https://docs.google.com/spreadsheets/d/1-uDff_7J0KD5mKrp0Vvzr7lt3OU09vwQwhkpOPPYv2Y/edit?usp=sharing"",""งบพรบ!CQ87"")"),0)</f>
        <v>0</v>
      </c>
      <c r="J87" s="151">
        <f t="shared" ca="1" si="24"/>
        <v>40300</v>
      </c>
      <c r="K87" s="154">
        <f t="shared" ca="1" si="25"/>
        <v>205.71720265441553</v>
      </c>
      <c r="L87" s="151">
        <f ca="1">IFERROR(__xludf.DUMMYFUNCTION("IMPORTRANGE(""https://docs.google.com/spreadsheets/d/1-uDff_7J0KD5mKrp0Vvzr7lt3OU09vwQwhkpOPPYv2Y/edit?usp=sharing"",""งบพรบ!CR87"")"),40300)</f>
        <v>40300</v>
      </c>
      <c r="M87" s="68">
        <f t="shared" ca="1" si="26"/>
        <v>205.71720265441553</v>
      </c>
      <c r="N87" s="68">
        <f t="shared" ca="1" si="27"/>
        <v>100</v>
      </c>
      <c r="O87" s="67">
        <f ca="1">IFERROR(__xludf.DUMMYFUNCTION("IMPORTRANGE(""https://docs.google.com/spreadsheets/d/1-uDff_7J0KD5mKrp0Vvzr7lt3OU09vwQwhkpOPPYv2Y/edit?usp=sharing"",""งบพรบ!CS87"")"),0)</f>
        <v>0</v>
      </c>
      <c r="P87" s="67">
        <f t="shared" ca="1" si="28"/>
        <v>0</v>
      </c>
      <c r="Q87" s="68">
        <f t="shared" ca="1" si="29"/>
        <v>0</v>
      </c>
      <c r="R87" s="197">
        <f ca="1">IFERROR(__xludf.DUMMYFUNCTION("IMPORTRANGE(""https://docs.google.com/spreadsheets/d/1q9nWasZJ-K8bFGvbE9n0qSRuKGA4Toe3Y89cKCiVtCU/edit?usp=sharing"",""สตูล!Q173"")"),0)</f>
        <v>0</v>
      </c>
      <c r="S87" s="67">
        <f ca="1">IFERROR(__xludf.DUMMYFUNCTION("IMPORTRANGE(""https://docs.google.com/spreadsheets/d/1q9nWasZJ-K8bFGvbE9n0qSRuKGA4Toe3Y89cKCiVtCU/edit?usp=sharing"",""สตูล!R173"")"),0)</f>
        <v>0</v>
      </c>
      <c r="T87" s="67">
        <f ca="1">IFERROR(__xludf.DUMMYFUNCTION("IMPORTRANGE(""https://docs.google.com/spreadsheets/d/1q9nWasZJ-K8bFGvbE9n0qSRuKGA4Toe3Y89cKCiVtCU/edit?usp=sharing"",""สตูล!S173"")"),0)</f>
        <v>0</v>
      </c>
      <c r="U87" s="68">
        <f t="shared" ca="1" si="31"/>
        <v>0</v>
      </c>
      <c r="V87" s="68">
        <f t="shared" ca="1" si="32"/>
        <v>0</v>
      </c>
      <c r="W87" s="78">
        <f ca="1">IFERROR(__xludf.DUMMYFUNCTION("IMPORTRANGE(""https://docs.google.com/spreadsheets/d/1q9nWasZJ-K8bFGvbE9n0qSRuKGA4Toe3Y89cKCiVtCU/edit?usp=sharing"",""สตูล!I183"")"),7)</f>
        <v>7</v>
      </c>
      <c r="X87" s="78">
        <f ca="1">IFERROR(__xludf.DUMMYFUNCTION("IMPORTRANGE(""https://docs.google.com/spreadsheets/d/1q9nWasZJ-K8bFGvbE9n0qSRuKGA4Toe3Y89cKCiVtCU/edit?usp=sharing"",""สตูล!J183"")"),7)</f>
        <v>7</v>
      </c>
      <c r="Y87" s="79">
        <f t="shared" ca="1" si="34"/>
        <v>100</v>
      </c>
      <c r="Z87" s="215">
        <v>0</v>
      </c>
      <c r="AA87" s="215">
        <v>0</v>
      </c>
      <c r="AB87" s="216">
        <v>0</v>
      </c>
    </row>
    <row r="88" spans="1:28" ht="24" customHeight="1" x14ac:dyDescent="0.3">
      <c r="A88" s="80">
        <v>14</v>
      </c>
      <c r="B88" s="81" t="s">
        <v>116</v>
      </c>
      <c r="C88" s="157">
        <f t="shared" ca="1" si="22"/>
        <v>19590</v>
      </c>
      <c r="D88" s="158">
        <f t="shared" ca="1" si="47"/>
        <v>19590</v>
      </c>
      <c r="E88" s="159">
        <f ca="1">IFERROR(__xludf.DUMMYFUNCTION("IMPORTRANGE(""https://docs.google.com/spreadsheets/d/1-uDff_7J0KD5mKrp0Vvzr7lt3OU09vwQwhkpOPPYv2Y/edit?usp=sharing"",""งบพรบ!CL88"")"),0)</f>
        <v>0</v>
      </c>
      <c r="F88" s="159">
        <f ca="1">IFERROR(__xludf.DUMMYFUNCTION("IMPORTRANGE(""https://docs.google.com/spreadsheets/d/1-uDff_7J0KD5mKrp0Vvzr7lt3OU09vwQwhkpOPPYv2Y/edit?usp=sharing"",""งบพรบ!CM88"")"),19590)</f>
        <v>19590</v>
      </c>
      <c r="G88" s="159">
        <f ca="1">IFERROR(__xludf.DUMMYFUNCTION("IMPORTRANGE(""https://docs.google.com/spreadsheets/d/1-uDff_7J0KD5mKrp0Vvzr7lt3OU09vwQwhkpOPPYv2Y/edit?usp=sharing"",""งบพรบ!CN88"")"),0)</f>
        <v>0</v>
      </c>
      <c r="H88" s="159">
        <f ca="1">IFERROR(__xludf.DUMMYFUNCTION("IMPORTRANGE(""https://docs.google.com/spreadsheets/d/1-uDff_7J0KD5mKrp0Vvzr7lt3OU09vwQwhkpOPPYv2Y/edit?usp=sharing"",""งบพรบ!CP88"")"),35640)</f>
        <v>35640</v>
      </c>
      <c r="I88" s="159">
        <f ca="1">IFERROR(__xludf.DUMMYFUNCTION("IMPORTRANGE(""https://docs.google.com/spreadsheets/d/1-uDff_7J0KD5mKrp0Vvzr7lt3OU09vwQwhkpOPPYv2Y/edit?usp=sharing"",""งบพรบ!CQ88"")"),0)</f>
        <v>0</v>
      </c>
      <c r="J88" s="159">
        <f t="shared" ca="1" si="24"/>
        <v>35640</v>
      </c>
      <c r="K88" s="160">
        <f t="shared" ca="1" si="25"/>
        <v>181.92955589586524</v>
      </c>
      <c r="L88" s="159">
        <f ca="1">IFERROR(__xludf.DUMMYFUNCTION("IMPORTRANGE(""https://docs.google.com/spreadsheets/d/1-uDff_7J0KD5mKrp0Vvzr7lt3OU09vwQwhkpOPPYv2Y/edit?usp=sharing"",""งบพรบ!CR88"")"),35640)</f>
        <v>35640</v>
      </c>
      <c r="M88" s="89">
        <f t="shared" ca="1" si="26"/>
        <v>181.92955589586524</v>
      </c>
      <c r="N88" s="89">
        <f t="shared" ca="1" si="27"/>
        <v>100</v>
      </c>
      <c r="O88" s="88">
        <f ca="1">IFERROR(__xludf.DUMMYFUNCTION("IMPORTRANGE(""https://docs.google.com/spreadsheets/d/1-uDff_7J0KD5mKrp0Vvzr7lt3OU09vwQwhkpOPPYv2Y/edit?usp=sharing"",""งบพรบ!CS88"")"),0)</f>
        <v>0</v>
      </c>
      <c r="P88" s="88">
        <f t="shared" ca="1" si="28"/>
        <v>0</v>
      </c>
      <c r="Q88" s="89">
        <f t="shared" ca="1" si="29"/>
        <v>0</v>
      </c>
      <c r="R88" s="198">
        <f ca="1">IFERROR(__xludf.DUMMYFUNCTION("IMPORTRANGE(""https://docs.google.com/spreadsheets/d/18T20gbkS_WBjdscyTOV05cvq_JqvqQ17C81mpxf7Ncs/edit?usp=sharing"",""สุราษฎร์ธานี!Q173"")"),21200)</f>
        <v>21200</v>
      </c>
      <c r="S88" s="88">
        <f ca="1">IFERROR(__xludf.DUMMYFUNCTION("IMPORTRANGE(""https://docs.google.com/spreadsheets/d/18T20gbkS_WBjdscyTOV05cvq_JqvqQ17C81mpxf7Ncs/edit?usp=sharing"",""สุราษฎร์ธานี!R173"")"),21200)</f>
        <v>21200</v>
      </c>
      <c r="T88" s="88">
        <f ca="1">IFERROR(__xludf.DUMMYFUNCTION("IMPORTRANGE(""https://docs.google.com/spreadsheets/d/18T20gbkS_WBjdscyTOV05cvq_JqvqQ17C81mpxf7Ncs/edit?usp=sharing"",""สุราษฎร์ธานี!S173"")"),21200)</f>
        <v>21200</v>
      </c>
      <c r="U88" s="89">
        <f t="shared" ca="1" si="31"/>
        <v>100</v>
      </c>
      <c r="V88" s="89">
        <f t="shared" ca="1" si="32"/>
        <v>100</v>
      </c>
      <c r="W88" s="90">
        <f ca="1">IFERROR(__xludf.DUMMYFUNCTION("IMPORTRANGE(""https://docs.google.com/spreadsheets/d/18T20gbkS_WBjdscyTOV05cvq_JqvqQ17C81mpxf7Ncs/edit?usp=sharing"",""สุราษฎร์ธานี!I183"")"),15)</f>
        <v>15</v>
      </c>
      <c r="X88" s="90">
        <f ca="1">IFERROR(__xludf.DUMMYFUNCTION("IMPORTRANGE(""https://docs.google.com/spreadsheets/d/18T20gbkS_WBjdscyTOV05cvq_JqvqQ17C81mpxf7Ncs/edit?usp=sharing"",""สุราษฎร์ธานี!J183"")"),15)</f>
        <v>15</v>
      </c>
      <c r="Y88" s="91">
        <f t="shared" ca="1" si="34"/>
        <v>100</v>
      </c>
      <c r="Z88" s="217">
        <v>0</v>
      </c>
      <c r="AA88" s="217">
        <v>0</v>
      </c>
      <c r="AB88" s="218">
        <v>0</v>
      </c>
    </row>
    <row r="89" spans="1:28" ht="21" customHeight="1" x14ac:dyDescent="0.3">
      <c r="A89" s="698" t="s">
        <v>117</v>
      </c>
      <c r="B89" s="662"/>
      <c r="C89" s="200">
        <f t="shared" ref="C89:Q89" ca="1" si="48">SUM(C90:C108)</f>
        <v>41905300</v>
      </c>
      <c r="D89" s="39">
        <f t="shared" ca="1" si="48"/>
        <v>17915000</v>
      </c>
      <c r="E89" s="39">
        <f t="shared" ca="1" si="48"/>
        <v>8653000</v>
      </c>
      <c r="F89" s="39">
        <f t="shared" ca="1" si="48"/>
        <v>9262000</v>
      </c>
      <c r="G89" s="39">
        <f t="shared" ca="1" si="48"/>
        <v>23990300</v>
      </c>
      <c r="H89" s="39">
        <f t="shared" ca="1" si="48"/>
        <v>15698238</v>
      </c>
      <c r="I89" s="39">
        <f t="shared" ca="1" si="48"/>
        <v>23990300</v>
      </c>
      <c r="J89" s="39">
        <f t="shared" ca="1" si="48"/>
        <v>38761947.380000003</v>
      </c>
      <c r="K89" s="40">
        <f t="shared" ca="1" si="48"/>
        <v>229.25263080301843</v>
      </c>
      <c r="L89" s="39">
        <f t="shared" ca="1" si="48"/>
        <v>15031947.380000001</v>
      </c>
      <c r="M89" s="40">
        <f t="shared" ca="1" si="48"/>
        <v>233.665461367228</v>
      </c>
      <c r="N89" s="40">
        <f t="shared" ca="1" si="48"/>
        <v>420.12686039460107</v>
      </c>
      <c r="O89" s="39">
        <f t="shared" ca="1" si="48"/>
        <v>23730000</v>
      </c>
      <c r="P89" s="39">
        <f t="shared" ca="1" si="48"/>
        <v>98.914978136997036</v>
      </c>
      <c r="Q89" s="39">
        <f t="shared" ca="1" si="48"/>
        <v>98.914978136997036</v>
      </c>
      <c r="R89" s="201">
        <f t="shared" ref="R89:T89" ca="1" si="49">SUM(R90:R106)</f>
        <v>1703340</v>
      </c>
      <c r="S89" s="202">
        <f t="shared" ca="1" si="49"/>
        <v>1703340</v>
      </c>
      <c r="T89" s="202">
        <f t="shared" ca="1" si="49"/>
        <v>118190</v>
      </c>
      <c r="U89" s="202">
        <f t="shared" ca="1" si="31"/>
        <v>6.9387203963976658</v>
      </c>
      <c r="V89" s="202">
        <f t="shared" ca="1" si="32"/>
        <v>6.9387203963976658</v>
      </c>
      <c r="W89" s="39"/>
      <c r="X89" s="39"/>
      <c r="Y89" s="41"/>
      <c r="Z89" s="169"/>
      <c r="AA89" s="169"/>
      <c r="AB89" s="219"/>
    </row>
    <row r="90" spans="1:28" ht="24" customHeight="1" x14ac:dyDescent="0.3">
      <c r="A90" s="102"/>
      <c r="B90" s="103" t="s">
        <v>118</v>
      </c>
      <c r="C90" s="170">
        <f t="shared" ref="C90:C108" ca="1" si="50">D90+G90</f>
        <v>0</v>
      </c>
      <c r="D90" s="171">
        <f t="shared" ref="D90:D108" ca="1" si="51">+E90+F90</f>
        <v>0</v>
      </c>
      <c r="E90" s="62">
        <f ca="1">IFERROR(__xludf.DUMMYFUNCTION("IMPORTRANGE(""https://docs.google.com/spreadsheets/d/1-uDff_7J0KD5mKrp0Vvzr7lt3OU09vwQwhkpOPPYv2Y/edit?usp=sharing"",""งบพรบ!CL90"")"),0)</f>
        <v>0</v>
      </c>
      <c r="F90" s="62">
        <f ca="1">IFERROR(__xludf.DUMMYFUNCTION("IMPORTRANGE(""https://docs.google.com/spreadsheets/d/1-uDff_7J0KD5mKrp0Vvzr7lt3OU09vwQwhkpOPPYv2Y/edit?usp=sharing"",""งบพรบ!CM90"")"),0)</f>
        <v>0</v>
      </c>
      <c r="G90" s="62">
        <f ca="1">IFERROR(__xludf.DUMMYFUNCTION("IMPORTRANGE(""https://docs.google.com/spreadsheets/d/1-uDff_7J0KD5mKrp0Vvzr7lt3OU09vwQwhkpOPPYv2Y/edit?usp=sharing"",""งบพรบ!CN90"")"),0)</f>
        <v>0</v>
      </c>
      <c r="H90" s="62">
        <f ca="1">IFERROR(__xludf.DUMMYFUNCTION("IMPORTRANGE(""https://docs.google.com/spreadsheets/d/1-uDff_7J0KD5mKrp0Vvzr7lt3OU09vwQwhkpOPPYv2Y/edit?usp=sharing"",""งบพรบ!CP90"")"),0)</f>
        <v>0</v>
      </c>
      <c r="I90" s="62">
        <f ca="1">IFERROR(__xludf.DUMMYFUNCTION("IMPORTRANGE(""https://docs.google.com/spreadsheets/d/1-uDff_7J0KD5mKrp0Vvzr7lt3OU09vwQwhkpOPPYv2Y/edit?usp=sharing"",""งบพรบ!CQ90"")"),0)</f>
        <v>0</v>
      </c>
      <c r="J90" s="62">
        <f t="shared" ref="J90:J108" ca="1" si="52">L90+O90</f>
        <v>0</v>
      </c>
      <c r="K90" s="104">
        <f t="shared" ref="K90:K108" ca="1" si="53">IF(C90&gt;0,J90*100/C90,0)</f>
        <v>0</v>
      </c>
      <c r="L90" s="62">
        <f ca="1">IFERROR(__xludf.DUMMYFUNCTION("IMPORTRANGE(""https://docs.google.com/spreadsheets/d/1-uDff_7J0KD5mKrp0Vvzr7lt3OU09vwQwhkpOPPYv2Y/edit?usp=sharing"",""งบพรบ!CR90"")"),0)</f>
        <v>0</v>
      </c>
      <c r="M90" s="65">
        <f t="shared" ref="M90:M108" ca="1" si="54">IF(D90&gt;0,L90*100/D90,0)</f>
        <v>0</v>
      </c>
      <c r="N90" s="65">
        <f t="shared" ref="N90:N108" ca="1" si="55">IF(H90&gt;0,L90*100/H90,0)</f>
        <v>0</v>
      </c>
      <c r="O90" s="66">
        <f ca="1">IFERROR(__xludf.DUMMYFUNCTION("IMPORTRANGE(""https://docs.google.com/spreadsheets/d/1-uDff_7J0KD5mKrp0Vvzr7lt3OU09vwQwhkpOPPYv2Y/edit?usp=sharing"",""งบพรบ!CS90"")"),0)</f>
        <v>0</v>
      </c>
      <c r="P90" s="66">
        <f t="shared" ref="P90:P108" ca="1" si="56">IF(G90&gt;0,O90*100/G90,0)</f>
        <v>0</v>
      </c>
      <c r="Q90" s="65">
        <f t="shared" ref="Q90:Q108" ca="1" si="57">IF(I90&gt;0,O90*100/I90,0)</f>
        <v>0</v>
      </c>
      <c r="R90" s="197">
        <v>0</v>
      </c>
      <c r="S90" s="67">
        <v>0</v>
      </c>
      <c r="T90" s="67">
        <v>0</v>
      </c>
      <c r="U90" s="68">
        <f t="shared" si="31"/>
        <v>0</v>
      </c>
      <c r="V90" s="68">
        <f t="shared" si="32"/>
        <v>0</v>
      </c>
      <c r="W90" s="62"/>
      <c r="X90" s="62"/>
      <c r="Y90" s="65"/>
      <c r="Z90" s="220"/>
      <c r="AA90" s="220"/>
      <c r="AB90" s="68"/>
    </row>
    <row r="91" spans="1:28" ht="24" customHeight="1" x14ac:dyDescent="0.3">
      <c r="A91" s="105"/>
      <c r="B91" s="106" t="s">
        <v>119</v>
      </c>
      <c r="C91" s="173">
        <f t="shared" ca="1" si="50"/>
        <v>0</v>
      </c>
      <c r="D91" s="174">
        <f t="shared" ca="1" si="51"/>
        <v>0</v>
      </c>
      <c r="E91" s="74">
        <f ca="1">IFERROR(__xludf.DUMMYFUNCTION("IMPORTRANGE(""https://docs.google.com/spreadsheets/d/1-uDff_7J0KD5mKrp0Vvzr7lt3OU09vwQwhkpOPPYv2Y/edit?usp=sharing"",""งบพรบ!CL91"")"),0)</f>
        <v>0</v>
      </c>
      <c r="F91" s="74">
        <f ca="1">IFERROR(__xludf.DUMMYFUNCTION("IMPORTRANGE(""https://docs.google.com/spreadsheets/d/1-uDff_7J0KD5mKrp0Vvzr7lt3OU09vwQwhkpOPPYv2Y/edit?usp=sharing"",""งบพรบ!CM91"")"),0)</f>
        <v>0</v>
      </c>
      <c r="G91" s="74">
        <f ca="1">IFERROR(__xludf.DUMMYFUNCTION("IMPORTRANGE(""https://docs.google.com/spreadsheets/d/1-uDff_7J0KD5mKrp0Vvzr7lt3OU09vwQwhkpOPPYv2Y/edit?usp=sharing"",""งบพรบ!CN91"")"),0)</f>
        <v>0</v>
      </c>
      <c r="H91" s="74">
        <f ca="1">IFERROR(__xludf.DUMMYFUNCTION("IMPORTRANGE(""https://docs.google.com/spreadsheets/d/1-uDff_7J0KD5mKrp0Vvzr7lt3OU09vwQwhkpOPPYv2Y/edit?usp=sharing"",""งบพรบ!CP91"")"),0)</f>
        <v>0</v>
      </c>
      <c r="I91" s="74">
        <f ca="1">IFERROR(__xludf.DUMMYFUNCTION("IMPORTRANGE(""https://docs.google.com/spreadsheets/d/1-uDff_7J0KD5mKrp0Vvzr7lt3OU09vwQwhkpOPPYv2Y/edit?usp=sharing"",""งบพรบ!CQ91"")"),0)</f>
        <v>0</v>
      </c>
      <c r="J91" s="74">
        <f t="shared" ca="1" si="52"/>
        <v>0</v>
      </c>
      <c r="K91" s="75">
        <f t="shared" ca="1" si="53"/>
        <v>0</v>
      </c>
      <c r="L91" s="74">
        <f ca="1">IFERROR(__xludf.DUMMYFUNCTION("IMPORTRANGE(""https://docs.google.com/spreadsheets/d/1-uDff_7J0KD5mKrp0Vvzr7lt3OU09vwQwhkpOPPYv2Y/edit?usp=sharing"",""งบพรบ!CR91"")"),0)</f>
        <v>0</v>
      </c>
      <c r="M91" s="76">
        <f t="shared" ca="1" si="54"/>
        <v>0</v>
      </c>
      <c r="N91" s="76">
        <f t="shared" ca="1" si="55"/>
        <v>0</v>
      </c>
      <c r="O91" s="77">
        <f ca="1">IFERROR(__xludf.DUMMYFUNCTION("IMPORTRANGE(""https://docs.google.com/spreadsheets/d/1-uDff_7J0KD5mKrp0Vvzr7lt3OU09vwQwhkpOPPYv2Y/edit?usp=sharing"",""งบพรบ!CS91"")"),0)</f>
        <v>0</v>
      </c>
      <c r="P91" s="77">
        <f t="shared" ca="1" si="56"/>
        <v>0</v>
      </c>
      <c r="Q91" s="76">
        <f t="shared" ca="1" si="57"/>
        <v>0</v>
      </c>
      <c r="R91" s="197">
        <v>0</v>
      </c>
      <c r="S91" s="67">
        <v>0</v>
      </c>
      <c r="T91" s="67">
        <v>0</v>
      </c>
      <c r="U91" s="68">
        <f t="shared" si="31"/>
        <v>0</v>
      </c>
      <c r="V91" s="68">
        <f t="shared" si="32"/>
        <v>0</v>
      </c>
      <c r="W91" s="74"/>
      <c r="X91" s="74"/>
      <c r="Y91" s="76"/>
      <c r="Z91" s="220"/>
      <c r="AA91" s="220"/>
      <c r="AB91" s="68"/>
    </row>
    <row r="92" spans="1:28" ht="24" customHeight="1" x14ac:dyDescent="0.3">
      <c r="A92" s="105"/>
      <c r="B92" s="106" t="s">
        <v>120</v>
      </c>
      <c r="C92" s="173">
        <f t="shared" ca="1" si="50"/>
        <v>0</v>
      </c>
      <c r="D92" s="174">
        <f t="shared" ca="1" si="51"/>
        <v>0</v>
      </c>
      <c r="E92" s="74">
        <f ca="1">IFERROR(__xludf.DUMMYFUNCTION("IMPORTRANGE(""https://docs.google.com/spreadsheets/d/1-uDff_7J0KD5mKrp0Vvzr7lt3OU09vwQwhkpOPPYv2Y/edit?usp=sharing"",""งบพรบ!CL92"")"),0)</f>
        <v>0</v>
      </c>
      <c r="F92" s="74">
        <f ca="1">IFERROR(__xludf.DUMMYFUNCTION("IMPORTRANGE(""https://docs.google.com/spreadsheets/d/1-uDff_7J0KD5mKrp0Vvzr7lt3OU09vwQwhkpOPPYv2Y/edit?usp=sharing"",""งบพรบ!CM92"")"),0)</f>
        <v>0</v>
      </c>
      <c r="G92" s="74">
        <f ca="1">IFERROR(__xludf.DUMMYFUNCTION("IMPORTRANGE(""https://docs.google.com/spreadsheets/d/1-uDff_7J0KD5mKrp0Vvzr7lt3OU09vwQwhkpOPPYv2Y/edit?usp=sharing"",""งบพรบ!CN92"")"),0)</f>
        <v>0</v>
      </c>
      <c r="H92" s="74">
        <f ca="1">IFERROR(__xludf.DUMMYFUNCTION("IMPORTRANGE(""https://docs.google.com/spreadsheets/d/1-uDff_7J0KD5mKrp0Vvzr7lt3OU09vwQwhkpOPPYv2Y/edit?usp=sharing"",""งบพรบ!CP92"")"),0)</f>
        <v>0</v>
      </c>
      <c r="I92" s="74">
        <f ca="1">IFERROR(__xludf.DUMMYFUNCTION("IMPORTRANGE(""https://docs.google.com/spreadsheets/d/1-uDff_7J0KD5mKrp0Vvzr7lt3OU09vwQwhkpOPPYv2Y/edit?usp=sharing"",""งบพรบ!CQ92"")"),0)</f>
        <v>0</v>
      </c>
      <c r="J92" s="74">
        <f t="shared" ca="1" si="52"/>
        <v>0</v>
      </c>
      <c r="K92" s="75">
        <f t="shared" ca="1" si="53"/>
        <v>0</v>
      </c>
      <c r="L92" s="74">
        <f ca="1">IFERROR(__xludf.DUMMYFUNCTION("IMPORTRANGE(""https://docs.google.com/spreadsheets/d/1-uDff_7J0KD5mKrp0Vvzr7lt3OU09vwQwhkpOPPYv2Y/edit?usp=sharing"",""งบพรบ!CR92"")"),0)</f>
        <v>0</v>
      </c>
      <c r="M92" s="76">
        <f t="shared" ca="1" si="54"/>
        <v>0</v>
      </c>
      <c r="N92" s="76">
        <f t="shared" ca="1" si="55"/>
        <v>0</v>
      </c>
      <c r="O92" s="77">
        <f ca="1">IFERROR(__xludf.DUMMYFUNCTION("IMPORTRANGE(""https://docs.google.com/spreadsheets/d/1-uDff_7J0KD5mKrp0Vvzr7lt3OU09vwQwhkpOPPYv2Y/edit?usp=sharing"",""งบพรบ!CS92"")"),0)</f>
        <v>0</v>
      </c>
      <c r="P92" s="77">
        <f t="shared" ca="1" si="56"/>
        <v>0</v>
      </c>
      <c r="Q92" s="76">
        <f t="shared" ca="1" si="57"/>
        <v>0</v>
      </c>
      <c r="R92" s="197">
        <v>0</v>
      </c>
      <c r="S92" s="67">
        <v>0</v>
      </c>
      <c r="T92" s="67">
        <v>0</v>
      </c>
      <c r="U92" s="68">
        <f t="shared" si="31"/>
        <v>0</v>
      </c>
      <c r="V92" s="68">
        <f t="shared" si="32"/>
        <v>0</v>
      </c>
      <c r="W92" s="74"/>
      <c r="X92" s="74"/>
      <c r="Y92" s="76"/>
      <c r="Z92" s="220"/>
      <c r="AA92" s="220"/>
      <c r="AB92" s="68"/>
    </row>
    <row r="93" spans="1:28" ht="24" customHeight="1" x14ac:dyDescent="0.3">
      <c r="A93" s="105"/>
      <c r="B93" s="106" t="s">
        <v>121</v>
      </c>
      <c r="C93" s="173">
        <f t="shared" ca="1" si="50"/>
        <v>0</v>
      </c>
      <c r="D93" s="174">
        <f t="shared" ca="1" si="51"/>
        <v>0</v>
      </c>
      <c r="E93" s="74">
        <f ca="1">IFERROR(__xludf.DUMMYFUNCTION("IMPORTRANGE(""https://docs.google.com/spreadsheets/d/1-uDff_7J0KD5mKrp0Vvzr7lt3OU09vwQwhkpOPPYv2Y/edit?usp=sharing"",""งบพรบ!CL93"")"),0)</f>
        <v>0</v>
      </c>
      <c r="F93" s="74">
        <f ca="1">IFERROR(__xludf.DUMMYFUNCTION("IMPORTRANGE(""https://docs.google.com/spreadsheets/d/1-uDff_7J0KD5mKrp0Vvzr7lt3OU09vwQwhkpOPPYv2Y/edit?usp=sharing"",""งบพรบ!CM93"")"),0)</f>
        <v>0</v>
      </c>
      <c r="G93" s="74">
        <f ca="1">IFERROR(__xludf.DUMMYFUNCTION("IMPORTRANGE(""https://docs.google.com/spreadsheets/d/1-uDff_7J0KD5mKrp0Vvzr7lt3OU09vwQwhkpOPPYv2Y/edit?usp=sharing"",""งบพรบ!CN93"")"),0)</f>
        <v>0</v>
      </c>
      <c r="H93" s="74">
        <f ca="1">IFERROR(__xludf.DUMMYFUNCTION("IMPORTRANGE(""https://docs.google.com/spreadsheets/d/1-uDff_7J0KD5mKrp0Vvzr7lt3OU09vwQwhkpOPPYv2Y/edit?usp=sharing"",""งบพรบ!CP93"")"),975100)</f>
        <v>975100</v>
      </c>
      <c r="I93" s="74">
        <f ca="1">IFERROR(__xludf.DUMMYFUNCTION("IMPORTRANGE(""https://docs.google.com/spreadsheets/d/1-uDff_7J0KD5mKrp0Vvzr7lt3OU09vwQwhkpOPPYv2Y/edit?usp=sharing"",""งบพรบ!CQ93"")"),0)</f>
        <v>0</v>
      </c>
      <c r="J93" s="74">
        <f t="shared" ca="1" si="52"/>
        <v>975100</v>
      </c>
      <c r="K93" s="75">
        <f t="shared" ca="1" si="53"/>
        <v>0</v>
      </c>
      <c r="L93" s="74">
        <f ca="1">IFERROR(__xludf.DUMMYFUNCTION("IMPORTRANGE(""https://docs.google.com/spreadsheets/d/1-uDff_7J0KD5mKrp0Vvzr7lt3OU09vwQwhkpOPPYv2Y/edit?usp=sharing"",""งบพรบ!CR93"")"),975100)</f>
        <v>975100</v>
      </c>
      <c r="M93" s="76">
        <f t="shared" ca="1" si="54"/>
        <v>0</v>
      </c>
      <c r="N93" s="76">
        <f t="shared" ca="1" si="55"/>
        <v>100</v>
      </c>
      <c r="O93" s="77">
        <f ca="1">IFERROR(__xludf.DUMMYFUNCTION("IMPORTRANGE(""https://docs.google.com/spreadsheets/d/1-uDff_7J0KD5mKrp0Vvzr7lt3OU09vwQwhkpOPPYv2Y/edit?usp=sharing"",""งบพรบ!CS93"")"),0)</f>
        <v>0</v>
      </c>
      <c r="P93" s="77">
        <f t="shared" ca="1" si="56"/>
        <v>0</v>
      </c>
      <c r="Q93" s="76">
        <f t="shared" ca="1" si="57"/>
        <v>0</v>
      </c>
      <c r="R93" s="197">
        <v>0</v>
      </c>
      <c r="S93" s="67">
        <v>0</v>
      </c>
      <c r="T93" s="67">
        <v>0</v>
      </c>
      <c r="U93" s="68">
        <f t="shared" si="31"/>
        <v>0</v>
      </c>
      <c r="V93" s="68">
        <f t="shared" si="32"/>
        <v>0</v>
      </c>
      <c r="W93" s="74"/>
      <c r="X93" s="74"/>
      <c r="Y93" s="76"/>
      <c r="Z93" s="220"/>
      <c r="AA93" s="220"/>
      <c r="AB93" s="68"/>
    </row>
    <row r="94" spans="1:28" ht="24" customHeight="1" x14ac:dyDescent="0.3">
      <c r="A94" s="105"/>
      <c r="B94" s="106" t="s">
        <v>122</v>
      </c>
      <c r="C94" s="173">
        <f t="shared" ca="1" si="50"/>
        <v>0</v>
      </c>
      <c r="D94" s="174">
        <f t="shared" ca="1" si="51"/>
        <v>0</v>
      </c>
      <c r="E94" s="74">
        <f ca="1">IFERROR(__xludf.DUMMYFUNCTION("IMPORTRANGE(""https://docs.google.com/spreadsheets/d/1-uDff_7J0KD5mKrp0Vvzr7lt3OU09vwQwhkpOPPYv2Y/edit?usp=sharing"",""งบพรบ!CL94"")"),0)</f>
        <v>0</v>
      </c>
      <c r="F94" s="74">
        <f ca="1">IFERROR(__xludf.DUMMYFUNCTION("IMPORTRANGE(""https://docs.google.com/spreadsheets/d/1-uDff_7J0KD5mKrp0Vvzr7lt3OU09vwQwhkpOPPYv2Y/edit?usp=sharing"",""งบพรบ!CM94"")"),0)</f>
        <v>0</v>
      </c>
      <c r="G94" s="74">
        <f ca="1">IFERROR(__xludf.DUMMYFUNCTION("IMPORTRANGE(""https://docs.google.com/spreadsheets/d/1-uDff_7J0KD5mKrp0Vvzr7lt3OU09vwQwhkpOPPYv2Y/edit?usp=sharing"",""งบพรบ!CN94"")"),0)</f>
        <v>0</v>
      </c>
      <c r="H94" s="74">
        <f ca="1">IFERROR(__xludf.DUMMYFUNCTION("IMPORTRANGE(""https://docs.google.com/spreadsheets/d/1-uDff_7J0KD5mKrp0Vvzr7lt3OU09vwQwhkpOPPYv2Y/edit?usp=sharing"",""งบพรบ!CP94"")"),0)</f>
        <v>0</v>
      </c>
      <c r="I94" s="74">
        <f ca="1">IFERROR(__xludf.DUMMYFUNCTION("IMPORTRANGE(""https://docs.google.com/spreadsheets/d/1-uDff_7J0KD5mKrp0Vvzr7lt3OU09vwQwhkpOPPYv2Y/edit?usp=sharing"",""งบพรบ!CQ94"")"),0)</f>
        <v>0</v>
      </c>
      <c r="J94" s="74">
        <f t="shared" ca="1" si="52"/>
        <v>0</v>
      </c>
      <c r="K94" s="75">
        <f t="shared" ca="1" si="53"/>
        <v>0</v>
      </c>
      <c r="L94" s="74">
        <f ca="1">IFERROR(__xludf.DUMMYFUNCTION("IMPORTRANGE(""https://docs.google.com/spreadsheets/d/1-uDff_7J0KD5mKrp0Vvzr7lt3OU09vwQwhkpOPPYv2Y/edit?usp=sharing"",""งบพรบ!CR94"")"),0)</f>
        <v>0</v>
      </c>
      <c r="M94" s="76">
        <f t="shared" ca="1" si="54"/>
        <v>0</v>
      </c>
      <c r="N94" s="76">
        <f t="shared" ca="1" si="55"/>
        <v>0</v>
      </c>
      <c r="O94" s="77">
        <f ca="1">IFERROR(__xludf.DUMMYFUNCTION("IMPORTRANGE(""https://docs.google.com/spreadsheets/d/1-uDff_7J0KD5mKrp0Vvzr7lt3OU09vwQwhkpOPPYv2Y/edit?usp=sharing"",""งบพรบ!CS94"")"),0)</f>
        <v>0</v>
      </c>
      <c r="P94" s="77">
        <f t="shared" ca="1" si="56"/>
        <v>0</v>
      </c>
      <c r="Q94" s="76">
        <f t="shared" ca="1" si="57"/>
        <v>0</v>
      </c>
      <c r="R94" s="197">
        <v>0</v>
      </c>
      <c r="S94" s="67">
        <v>0</v>
      </c>
      <c r="T94" s="67">
        <v>0</v>
      </c>
      <c r="U94" s="68">
        <f t="shared" si="31"/>
        <v>0</v>
      </c>
      <c r="V94" s="68">
        <f t="shared" si="32"/>
        <v>0</v>
      </c>
      <c r="W94" s="74"/>
      <c r="X94" s="74"/>
      <c r="Y94" s="76"/>
      <c r="Z94" s="220"/>
      <c r="AA94" s="220"/>
      <c r="AB94" s="68"/>
    </row>
    <row r="95" spans="1:28" ht="24" customHeight="1" x14ac:dyDescent="0.3">
      <c r="A95" s="105"/>
      <c r="B95" s="106" t="s">
        <v>123</v>
      </c>
      <c r="C95" s="173">
        <f t="shared" ca="1" si="50"/>
        <v>0</v>
      </c>
      <c r="D95" s="174">
        <f t="shared" ca="1" si="51"/>
        <v>0</v>
      </c>
      <c r="E95" s="74">
        <f ca="1">IFERROR(__xludf.DUMMYFUNCTION("IMPORTRANGE(""https://docs.google.com/spreadsheets/d/1-uDff_7J0KD5mKrp0Vvzr7lt3OU09vwQwhkpOPPYv2Y/edit?usp=sharing"",""งบพรบ!CL95"")"),0)</f>
        <v>0</v>
      </c>
      <c r="F95" s="74">
        <f ca="1">IFERROR(__xludf.DUMMYFUNCTION("IMPORTRANGE(""https://docs.google.com/spreadsheets/d/1-uDff_7J0KD5mKrp0Vvzr7lt3OU09vwQwhkpOPPYv2Y/edit?usp=sharing"",""งบพรบ!CM95"")"),0)</f>
        <v>0</v>
      </c>
      <c r="G95" s="74">
        <f ca="1">IFERROR(__xludf.DUMMYFUNCTION("IMPORTRANGE(""https://docs.google.com/spreadsheets/d/1-uDff_7J0KD5mKrp0Vvzr7lt3OU09vwQwhkpOPPYv2Y/edit?usp=sharing"",""งบพรบ!CN95"")"),0)</f>
        <v>0</v>
      </c>
      <c r="H95" s="74">
        <f ca="1">IFERROR(__xludf.DUMMYFUNCTION("IMPORTRANGE(""https://docs.google.com/spreadsheets/d/1-uDff_7J0KD5mKrp0Vvzr7lt3OU09vwQwhkpOPPYv2Y/edit?usp=sharing"",""งบพรบ!CP95"")"),0)</f>
        <v>0</v>
      </c>
      <c r="I95" s="74">
        <f ca="1">IFERROR(__xludf.DUMMYFUNCTION("IMPORTRANGE(""https://docs.google.com/spreadsheets/d/1-uDff_7J0KD5mKrp0Vvzr7lt3OU09vwQwhkpOPPYv2Y/edit?usp=sharing"",""งบพรบ!CQ95"")"),0)</f>
        <v>0</v>
      </c>
      <c r="J95" s="74">
        <f t="shared" ca="1" si="52"/>
        <v>0</v>
      </c>
      <c r="K95" s="75">
        <f t="shared" ca="1" si="53"/>
        <v>0</v>
      </c>
      <c r="L95" s="74">
        <f ca="1">IFERROR(__xludf.DUMMYFUNCTION("IMPORTRANGE(""https://docs.google.com/spreadsheets/d/1-uDff_7J0KD5mKrp0Vvzr7lt3OU09vwQwhkpOPPYv2Y/edit?usp=sharing"",""งบพรบ!CR95"")"),0)</f>
        <v>0</v>
      </c>
      <c r="M95" s="76">
        <f t="shared" ca="1" si="54"/>
        <v>0</v>
      </c>
      <c r="N95" s="76">
        <f t="shared" ca="1" si="55"/>
        <v>0</v>
      </c>
      <c r="O95" s="77">
        <f ca="1">IFERROR(__xludf.DUMMYFUNCTION("IMPORTRANGE(""https://docs.google.com/spreadsheets/d/1-uDff_7J0KD5mKrp0Vvzr7lt3OU09vwQwhkpOPPYv2Y/edit?usp=sharing"",""งบพรบ!CS95"")"),0)</f>
        <v>0</v>
      </c>
      <c r="P95" s="77">
        <f t="shared" ca="1" si="56"/>
        <v>0</v>
      </c>
      <c r="Q95" s="76">
        <f t="shared" ca="1" si="57"/>
        <v>0</v>
      </c>
      <c r="R95" s="197">
        <v>0</v>
      </c>
      <c r="S95" s="67">
        <v>0</v>
      </c>
      <c r="T95" s="67">
        <v>0</v>
      </c>
      <c r="U95" s="68">
        <f t="shared" si="31"/>
        <v>0</v>
      </c>
      <c r="V95" s="68">
        <f t="shared" si="32"/>
        <v>0</v>
      </c>
      <c r="W95" s="74"/>
      <c r="X95" s="74"/>
      <c r="Y95" s="76"/>
      <c r="Z95" s="220"/>
      <c r="AA95" s="220"/>
      <c r="AB95" s="68"/>
    </row>
    <row r="96" spans="1:28" ht="24" customHeight="1" x14ac:dyDescent="0.3">
      <c r="A96" s="105"/>
      <c r="B96" s="106" t="s">
        <v>124</v>
      </c>
      <c r="C96" s="173">
        <f t="shared" ca="1" si="50"/>
        <v>0</v>
      </c>
      <c r="D96" s="174">
        <f t="shared" ca="1" si="51"/>
        <v>0</v>
      </c>
      <c r="E96" s="74">
        <f ca="1">IFERROR(__xludf.DUMMYFUNCTION("IMPORTRANGE(""https://docs.google.com/spreadsheets/d/1-uDff_7J0KD5mKrp0Vvzr7lt3OU09vwQwhkpOPPYv2Y/edit?usp=sharing"",""งบพรบ!CL96"")"),0)</f>
        <v>0</v>
      </c>
      <c r="F96" s="74">
        <f ca="1">IFERROR(__xludf.DUMMYFUNCTION("IMPORTRANGE(""https://docs.google.com/spreadsheets/d/1-uDff_7J0KD5mKrp0Vvzr7lt3OU09vwQwhkpOPPYv2Y/edit?usp=sharing"",""งบพรบ!CM96"")"),0)</f>
        <v>0</v>
      </c>
      <c r="G96" s="74">
        <f ca="1">IFERROR(__xludf.DUMMYFUNCTION("IMPORTRANGE(""https://docs.google.com/spreadsheets/d/1-uDff_7J0KD5mKrp0Vvzr7lt3OU09vwQwhkpOPPYv2Y/edit?usp=sharing"",""งบพรบ!CN96"")"),0)</f>
        <v>0</v>
      </c>
      <c r="H96" s="74">
        <f ca="1">IFERROR(__xludf.DUMMYFUNCTION("IMPORTRANGE(""https://docs.google.com/spreadsheets/d/1-uDff_7J0KD5mKrp0Vvzr7lt3OU09vwQwhkpOPPYv2Y/edit?usp=sharing"",""งบพรบ!CP96"")"),0)</f>
        <v>0</v>
      </c>
      <c r="I96" s="74">
        <f ca="1">IFERROR(__xludf.DUMMYFUNCTION("IMPORTRANGE(""https://docs.google.com/spreadsheets/d/1-uDff_7J0KD5mKrp0Vvzr7lt3OU09vwQwhkpOPPYv2Y/edit?usp=sharing"",""งบพรบ!CQ96"")"),0)</f>
        <v>0</v>
      </c>
      <c r="J96" s="74">
        <f t="shared" ca="1" si="52"/>
        <v>0</v>
      </c>
      <c r="K96" s="75">
        <f t="shared" ca="1" si="53"/>
        <v>0</v>
      </c>
      <c r="L96" s="74">
        <f ca="1">IFERROR(__xludf.DUMMYFUNCTION("IMPORTRANGE(""https://docs.google.com/spreadsheets/d/1-uDff_7J0KD5mKrp0Vvzr7lt3OU09vwQwhkpOPPYv2Y/edit?usp=sharing"",""งบพรบ!CR96"")"),0)</f>
        <v>0</v>
      </c>
      <c r="M96" s="76">
        <f t="shared" ca="1" si="54"/>
        <v>0</v>
      </c>
      <c r="N96" s="76">
        <f t="shared" ca="1" si="55"/>
        <v>0</v>
      </c>
      <c r="O96" s="77">
        <f ca="1">IFERROR(__xludf.DUMMYFUNCTION("IMPORTRANGE(""https://docs.google.com/spreadsheets/d/1-uDff_7J0KD5mKrp0Vvzr7lt3OU09vwQwhkpOPPYv2Y/edit?usp=sharing"",""งบพรบ!CS96"")"),0)</f>
        <v>0</v>
      </c>
      <c r="P96" s="77">
        <f t="shared" ca="1" si="56"/>
        <v>0</v>
      </c>
      <c r="Q96" s="76">
        <f t="shared" ca="1" si="57"/>
        <v>0</v>
      </c>
      <c r="R96" s="197">
        <v>0</v>
      </c>
      <c r="S96" s="67">
        <v>0</v>
      </c>
      <c r="T96" s="67">
        <v>0</v>
      </c>
      <c r="U96" s="68">
        <f t="shared" si="31"/>
        <v>0</v>
      </c>
      <c r="V96" s="68">
        <f t="shared" si="32"/>
        <v>0</v>
      </c>
      <c r="W96" s="74"/>
      <c r="X96" s="74"/>
      <c r="Y96" s="76"/>
      <c r="Z96" s="220"/>
      <c r="AA96" s="220"/>
      <c r="AB96" s="68"/>
    </row>
    <row r="97" spans="1:28" ht="24" customHeight="1" x14ac:dyDescent="0.3">
      <c r="A97" s="105"/>
      <c r="B97" s="106" t="s">
        <v>125</v>
      </c>
      <c r="C97" s="173">
        <f t="shared" ca="1" si="50"/>
        <v>0</v>
      </c>
      <c r="D97" s="174">
        <f t="shared" ca="1" si="51"/>
        <v>0</v>
      </c>
      <c r="E97" s="74">
        <f ca="1">IFERROR(__xludf.DUMMYFUNCTION("IMPORTRANGE(""https://docs.google.com/spreadsheets/d/1-uDff_7J0KD5mKrp0Vvzr7lt3OU09vwQwhkpOPPYv2Y/edit?usp=sharing"",""งบพรบ!CL97"")"),0)</f>
        <v>0</v>
      </c>
      <c r="F97" s="74">
        <f ca="1">IFERROR(__xludf.DUMMYFUNCTION("IMPORTRANGE(""https://docs.google.com/spreadsheets/d/1-uDff_7J0KD5mKrp0Vvzr7lt3OU09vwQwhkpOPPYv2Y/edit?usp=sharing"",""งบพรบ!CM97"")"),0)</f>
        <v>0</v>
      </c>
      <c r="G97" s="74">
        <f ca="1">IFERROR(__xludf.DUMMYFUNCTION("IMPORTRANGE(""https://docs.google.com/spreadsheets/d/1-uDff_7J0KD5mKrp0Vvzr7lt3OU09vwQwhkpOPPYv2Y/edit?usp=sharing"",""งบพรบ!CN97"")"),0)</f>
        <v>0</v>
      </c>
      <c r="H97" s="74">
        <f ca="1">IFERROR(__xludf.DUMMYFUNCTION("IMPORTRANGE(""https://docs.google.com/spreadsheets/d/1-uDff_7J0KD5mKrp0Vvzr7lt3OU09vwQwhkpOPPYv2Y/edit?usp=sharing"",""งบพรบ!CP97"")"),0)</f>
        <v>0</v>
      </c>
      <c r="I97" s="74">
        <f ca="1">IFERROR(__xludf.DUMMYFUNCTION("IMPORTRANGE(""https://docs.google.com/spreadsheets/d/1-uDff_7J0KD5mKrp0Vvzr7lt3OU09vwQwhkpOPPYv2Y/edit?usp=sharing"",""งบพรบ!CQ97"")"),0)</f>
        <v>0</v>
      </c>
      <c r="J97" s="74">
        <f t="shared" ca="1" si="52"/>
        <v>0</v>
      </c>
      <c r="K97" s="75">
        <f t="shared" ca="1" si="53"/>
        <v>0</v>
      </c>
      <c r="L97" s="74">
        <f ca="1">IFERROR(__xludf.DUMMYFUNCTION("IMPORTRANGE(""https://docs.google.com/spreadsheets/d/1-uDff_7J0KD5mKrp0Vvzr7lt3OU09vwQwhkpOPPYv2Y/edit?usp=sharing"",""งบพรบ!CR97"")"),0)</f>
        <v>0</v>
      </c>
      <c r="M97" s="76">
        <f t="shared" ca="1" si="54"/>
        <v>0</v>
      </c>
      <c r="N97" s="76">
        <f t="shared" ca="1" si="55"/>
        <v>0</v>
      </c>
      <c r="O97" s="77">
        <f ca="1">IFERROR(__xludf.DUMMYFUNCTION("IMPORTRANGE(""https://docs.google.com/spreadsheets/d/1-uDff_7J0KD5mKrp0Vvzr7lt3OU09vwQwhkpOPPYv2Y/edit?usp=sharing"",""งบพรบ!CS97"")"),0)</f>
        <v>0</v>
      </c>
      <c r="P97" s="77">
        <f t="shared" ca="1" si="56"/>
        <v>0</v>
      </c>
      <c r="Q97" s="76">
        <f t="shared" ca="1" si="57"/>
        <v>0</v>
      </c>
      <c r="R97" s="197">
        <v>0</v>
      </c>
      <c r="S97" s="67">
        <v>0</v>
      </c>
      <c r="T97" s="67">
        <v>0</v>
      </c>
      <c r="U97" s="68">
        <f t="shared" si="31"/>
        <v>0</v>
      </c>
      <c r="V97" s="68">
        <f t="shared" si="32"/>
        <v>0</v>
      </c>
      <c r="W97" s="74"/>
      <c r="X97" s="74"/>
      <c r="Y97" s="76"/>
      <c r="Z97" s="220"/>
      <c r="AA97" s="220"/>
      <c r="AB97" s="68"/>
    </row>
    <row r="98" spans="1:28" ht="24" customHeight="1" x14ac:dyDescent="0.3">
      <c r="A98" s="105"/>
      <c r="B98" s="106" t="s">
        <v>126</v>
      </c>
      <c r="C98" s="173">
        <f t="shared" ca="1" si="50"/>
        <v>269500</v>
      </c>
      <c r="D98" s="174">
        <f t="shared" ca="1" si="51"/>
        <v>269500</v>
      </c>
      <c r="E98" s="74">
        <f ca="1">IFERROR(__xludf.DUMMYFUNCTION("IMPORTRANGE(""https://docs.google.com/spreadsheets/d/1-uDff_7J0KD5mKrp0Vvzr7lt3OU09vwQwhkpOPPYv2Y/edit?usp=sharing"",""งบพรบ!CL98"")"),269500)</f>
        <v>269500</v>
      </c>
      <c r="F98" s="74">
        <f ca="1">IFERROR(__xludf.DUMMYFUNCTION("IMPORTRANGE(""https://docs.google.com/spreadsheets/d/1-uDff_7J0KD5mKrp0Vvzr7lt3OU09vwQwhkpOPPYv2Y/edit?usp=sharing"",""งบพรบ!CM98"")"),0)</f>
        <v>0</v>
      </c>
      <c r="G98" s="74">
        <f ca="1">IFERROR(__xludf.DUMMYFUNCTION("IMPORTRANGE(""https://docs.google.com/spreadsheets/d/1-uDff_7J0KD5mKrp0Vvzr7lt3OU09vwQwhkpOPPYv2Y/edit?usp=sharing"",""งบพรบ!CN98"")"),0)</f>
        <v>0</v>
      </c>
      <c r="H98" s="74">
        <f ca="1">IFERROR(__xludf.DUMMYFUNCTION("IMPORTRANGE(""https://docs.google.com/spreadsheets/d/1-uDff_7J0KD5mKrp0Vvzr7lt3OU09vwQwhkpOPPYv2Y/edit?usp=sharing"",""งบพรบ!CP98"")"),269500)</f>
        <v>269500</v>
      </c>
      <c r="I98" s="74">
        <f ca="1">IFERROR(__xludf.DUMMYFUNCTION("IMPORTRANGE(""https://docs.google.com/spreadsheets/d/1-uDff_7J0KD5mKrp0Vvzr7lt3OU09vwQwhkpOPPYv2Y/edit?usp=sharing"",""งบพรบ!CQ98"")"),0)</f>
        <v>0</v>
      </c>
      <c r="J98" s="74">
        <f t="shared" ca="1" si="52"/>
        <v>219049.82</v>
      </c>
      <c r="K98" s="75">
        <f t="shared" ca="1" si="53"/>
        <v>81.280081632653065</v>
      </c>
      <c r="L98" s="74">
        <f ca="1">IFERROR(__xludf.DUMMYFUNCTION("IMPORTRANGE(""https://docs.google.com/spreadsheets/d/1-uDff_7J0KD5mKrp0Vvzr7lt3OU09vwQwhkpOPPYv2Y/edit?usp=sharing"",""งบพรบ!CR98"")"),219049.82)</f>
        <v>219049.82</v>
      </c>
      <c r="M98" s="76">
        <f t="shared" ca="1" si="54"/>
        <v>81.280081632653065</v>
      </c>
      <c r="N98" s="76">
        <f t="shared" ca="1" si="55"/>
        <v>81.280081632653065</v>
      </c>
      <c r="O98" s="77">
        <f ca="1">IFERROR(__xludf.DUMMYFUNCTION("IMPORTRANGE(""https://docs.google.com/spreadsheets/d/1-uDff_7J0KD5mKrp0Vvzr7lt3OU09vwQwhkpOPPYv2Y/edit?usp=sharing"",""งบพรบ!CS98"")"),0)</f>
        <v>0</v>
      </c>
      <c r="P98" s="77">
        <f t="shared" ca="1" si="56"/>
        <v>0</v>
      </c>
      <c r="Q98" s="76">
        <f t="shared" ca="1" si="57"/>
        <v>0</v>
      </c>
      <c r="R98" s="197">
        <v>0</v>
      </c>
      <c r="S98" s="67">
        <v>0</v>
      </c>
      <c r="T98" s="67">
        <v>0</v>
      </c>
      <c r="U98" s="68">
        <f t="shared" si="31"/>
        <v>0</v>
      </c>
      <c r="V98" s="68">
        <f t="shared" si="32"/>
        <v>0</v>
      </c>
      <c r="W98" s="74"/>
      <c r="X98" s="74"/>
      <c r="Y98" s="76"/>
      <c r="Z98" s="220"/>
      <c r="AA98" s="220"/>
      <c r="AB98" s="68"/>
    </row>
    <row r="99" spans="1:28" ht="24" customHeight="1" x14ac:dyDescent="0.3">
      <c r="A99" s="105"/>
      <c r="B99" s="106" t="s">
        <v>127</v>
      </c>
      <c r="C99" s="173">
        <f t="shared" ca="1" si="50"/>
        <v>0</v>
      </c>
      <c r="D99" s="174">
        <f t="shared" ca="1" si="51"/>
        <v>0</v>
      </c>
      <c r="E99" s="74">
        <f ca="1">IFERROR(__xludf.DUMMYFUNCTION("IMPORTRANGE(""https://docs.google.com/spreadsheets/d/1-uDff_7J0KD5mKrp0Vvzr7lt3OU09vwQwhkpOPPYv2Y/edit?usp=sharing"",""งบพรบ!CL99"")"),0)</f>
        <v>0</v>
      </c>
      <c r="F99" s="74">
        <f ca="1">IFERROR(__xludf.DUMMYFUNCTION("IMPORTRANGE(""https://docs.google.com/spreadsheets/d/1-uDff_7J0KD5mKrp0Vvzr7lt3OU09vwQwhkpOPPYv2Y/edit?usp=sharing"",""งบพรบ!CM99"")"),0)</f>
        <v>0</v>
      </c>
      <c r="G99" s="74">
        <f ca="1">IFERROR(__xludf.DUMMYFUNCTION("IMPORTRANGE(""https://docs.google.com/spreadsheets/d/1-uDff_7J0KD5mKrp0Vvzr7lt3OU09vwQwhkpOPPYv2Y/edit?usp=sharing"",""งบพรบ!CN99"")"),0)</f>
        <v>0</v>
      </c>
      <c r="H99" s="74">
        <f ca="1">IFERROR(__xludf.DUMMYFUNCTION("IMPORTRANGE(""https://docs.google.com/spreadsheets/d/1-uDff_7J0KD5mKrp0Vvzr7lt3OU09vwQwhkpOPPYv2Y/edit?usp=sharing"",""งบพรบ!CP99"")"),0)</f>
        <v>0</v>
      </c>
      <c r="I99" s="74">
        <f ca="1">IFERROR(__xludf.DUMMYFUNCTION("IMPORTRANGE(""https://docs.google.com/spreadsheets/d/1-uDff_7J0KD5mKrp0Vvzr7lt3OU09vwQwhkpOPPYv2Y/edit?usp=sharing"",""งบพรบ!CQ99"")"),0)</f>
        <v>0</v>
      </c>
      <c r="J99" s="74">
        <f t="shared" ca="1" si="52"/>
        <v>0</v>
      </c>
      <c r="K99" s="75">
        <f t="shared" ca="1" si="53"/>
        <v>0</v>
      </c>
      <c r="L99" s="74">
        <f ca="1">IFERROR(__xludf.DUMMYFUNCTION("IMPORTRANGE(""https://docs.google.com/spreadsheets/d/1-uDff_7J0KD5mKrp0Vvzr7lt3OU09vwQwhkpOPPYv2Y/edit?usp=sharing"",""งบพรบ!CR99"")"),0)</f>
        <v>0</v>
      </c>
      <c r="M99" s="76">
        <f t="shared" ca="1" si="54"/>
        <v>0</v>
      </c>
      <c r="N99" s="76">
        <f t="shared" ca="1" si="55"/>
        <v>0</v>
      </c>
      <c r="O99" s="77">
        <f ca="1">IFERROR(__xludf.DUMMYFUNCTION("IMPORTRANGE(""https://docs.google.com/spreadsheets/d/1-uDff_7J0KD5mKrp0Vvzr7lt3OU09vwQwhkpOPPYv2Y/edit?usp=sharing"",""งบพรบ!CS99"")"),0)</f>
        <v>0</v>
      </c>
      <c r="P99" s="77">
        <f t="shared" ca="1" si="56"/>
        <v>0</v>
      </c>
      <c r="Q99" s="76">
        <f t="shared" ca="1" si="57"/>
        <v>0</v>
      </c>
      <c r="R99" s="197">
        <v>0</v>
      </c>
      <c r="S99" s="67">
        <v>0</v>
      </c>
      <c r="T99" s="67">
        <v>0</v>
      </c>
      <c r="U99" s="68">
        <f t="shared" si="31"/>
        <v>0</v>
      </c>
      <c r="V99" s="68">
        <f t="shared" si="32"/>
        <v>0</v>
      </c>
      <c r="W99" s="74"/>
      <c r="X99" s="74"/>
      <c r="Y99" s="76"/>
      <c r="Z99" s="220"/>
      <c r="AA99" s="220"/>
      <c r="AB99" s="68"/>
    </row>
    <row r="100" spans="1:28" ht="24" customHeight="1" x14ac:dyDescent="0.3">
      <c r="A100" s="105"/>
      <c r="B100" s="106" t="s">
        <v>128</v>
      </c>
      <c r="C100" s="173">
        <f t="shared" ca="1" si="50"/>
        <v>0</v>
      </c>
      <c r="D100" s="174">
        <f t="shared" ca="1" si="51"/>
        <v>0</v>
      </c>
      <c r="E100" s="74">
        <f ca="1">IFERROR(__xludf.DUMMYFUNCTION("IMPORTRANGE(""https://docs.google.com/spreadsheets/d/1-uDff_7J0KD5mKrp0Vvzr7lt3OU09vwQwhkpOPPYv2Y/edit?usp=sharing"",""งบพรบ!CL100"")"),0)</f>
        <v>0</v>
      </c>
      <c r="F100" s="74">
        <f ca="1">IFERROR(__xludf.DUMMYFUNCTION("IMPORTRANGE(""https://docs.google.com/spreadsheets/d/1-uDff_7J0KD5mKrp0Vvzr7lt3OU09vwQwhkpOPPYv2Y/edit?usp=sharing"",""งบพรบ!CM100"")"),0)</f>
        <v>0</v>
      </c>
      <c r="G100" s="74">
        <f ca="1">IFERROR(__xludf.DUMMYFUNCTION("IMPORTRANGE(""https://docs.google.com/spreadsheets/d/1-uDff_7J0KD5mKrp0Vvzr7lt3OU09vwQwhkpOPPYv2Y/edit?usp=sharing"",""งบพรบ!CN100"")"),0)</f>
        <v>0</v>
      </c>
      <c r="H100" s="74">
        <f ca="1">IFERROR(__xludf.DUMMYFUNCTION("IMPORTRANGE(""https://docs.google.com/spreadsheets/d/1-uDff_7J0KD5mKrp0Vvzr7lt3OU09vwQwhkpOPPYv2Y/edit?usp=sharing"",""งบพรบ!CP100"")"),0)</f>
        <v>0</v>
      </c>
      <c r="I100" s="74">
        <f ca="1">IFERROR(__xludf.DUMMYFUNCTION("IMPORTRANGE(""https://docs.google.com/spreadsheets/d/1-uDff_7J0KD5mKrp0Vvzr7lt3OU09vwQwhkpOPPYv2Y/edit?usp=sharing"",""งบพรบ!CQ100"")"),0)</f>
        <v>0</v>
      </c>
      <c r="J100" s="74">
        <f t="shared" ca="1" si="52"/>
        <v>0</v>
      </c>
      <c r="K100" s="75">
        <f t="shared" ca="1" si="53"/>
        <v>0</v>
      </c>
      <c r="L100" s="74">
        <f ca="1">IFERROR(__xludf.DUMMYFUNCTION("IMPORTRANGE(""https://docs.google.com/spreadsheets/d/1-uDff_7J0KD5mKrp0Vvzr7lt3OU09vwQwhkpOPPYv2Y/edit?usp=sharing"",""งบพรบ!CR100"")"),0)</f>
        <v>0</v>
      </c>
      <c r="M100" s="76">
        <f t="shared" ca="1" si="54"/>
        <v>0</v>
      </c>
      <c r="N100" s="76">
        <f t="shared" ca="1" si="55"/>
        <v>0</v>
      </c>
      <c r="O100" s="77">
        <f ca="1">IFERROR(__xludf.DUMMYFUNCTION("IMPORTRANGE(""https://docs.google.com/spreadsheets/d/1-uDff_7J0KD5mKrp0Vvzr7lt3OU09vwQwhkpOPPYv2Y/edit?usp=sharing"",""งบพรบ!CS100"")"),0)</f>
        <v>0</v>
      </c>
      <c r="P100" s="77">
        <f t="shared" ca="1" si="56"/>
        <v>0</v>
      </c>
      <c r="Q100" s="76">
        <f t="shared" ca="1" si="57"/>
        <v>0</v>
      </c>
      <c r="R100" s="197">
        <v>0</v>
      </c>
      <c r="S100" s="67">
        <v>0</v>
      </c>
      <c r="T100" s="67">
        <v>0</v>
      </c>
      <c r="U100" s="68">
        <f t="shared" si="31"/>
        <v>0</v>
      </c>
      <c r="V100" s="68">
        <f t="shared" si="32"/>
        <v>0</v>
      </c>
      <c r="W100" s="74"/>
      <c r="X100" s="74"/>
      <c r="Y100" s="76"/>
      <c r="Z100" s="220"/>
      <c r="AA100" s="220"/>
      <c r="AB100" s="68"/>
    </row>
    <row r="101" spans="1:28" ht="24" customHeight="1" x14ac:dyDescent="0.3">
      <c r="A101" s="105"/>
      <c r="B101" s="106" t="s">
        <v>129</v>
      </c>
      <c r="C101" s="173">
        <f t="shared" ca="1" si="50"/>
        <v>33440300</v>
      </c>
      <c r="D101" s="174">
        <f t="shared" ca="1" si="51"/>
        <v>9450000</v>
      </c>
      <c r="E101" s="74">
        <f ca="1">IFERROR(__xludf.DUMMYFUNCTION("IMPORTRANGE(""https://docs.google.com/spreadsheets/d/1-uDff_7J0KD5mKrp0Vvzr7lt3OU09vwQwhkpOPPYv2Y/edit?usp=sharing"",""งบพรบ!CL101"")"),188000)</f>
        <v>188000</v>
      </c>
      <c r="F101" s="74">
        <f ca="1">IFERROR(__xludf.DUMMYFUNCTION("IMPORTRANGE(""https://docs.google.com/spreadsheets/d/1-uDff_7J0KD5mKrp0Vvzr7lt3OU09vwQwhkpOPPYv2Y/edit?usp=sharing"",""งบพรบ!CM101"")"),9262000)</f>
        <v>9262000</v>
      </c>
      <c r="G101" s="74">
        <f ca="1">IFERROR(__xludf.DUMMYFUNCTION("IMPORTRANGE(""https://docs.google.com/spreadsheets/d/1-uDff_7J0KD5mKrp0Vvzr7lt3OU09vwQwhkpOPPYv2Y/edit?usp=sharing"",""งบพรบ!CN101"")"),23990300)</f>
        <v>23990300</v>
      </c>
      <c r="H101" s="74">
        <f ca="1">IFERROR(__xludf.DUMMYFUNCTION("IMPORTRANGE(""https://docs.google.com/spreadsheets/d/1-uDff_7J0KD5mKrp0Vvzr7lt3OU09vwQwhkpOPPYv2Y/edit?usp=sharing"",""งบพรบ!CP101"")"),10122500)</f>
        <v>10122500</v>
      </c>
      <c r="I101" s="74">
        <f ca="1">IFERROR(__xludf.DUMMYFUNCTION("IMPORTRANGE(""https://docs.google.com/spreadsheets/d/1-uDff_7J0KD5mKrp0Vvzr7lt3OU09vwQwhkpOPPYv2Y/edit?usp=sharing"",""งบพรบ!CQ101"")"),23990300)</f>
        <v>23990300</v>
      </c>
      <c r="J101" s="74">
        <f t="shared" ca="1" si="52"/>
        <v>33658742.980000004</v>
      </c>
      <c r="K101" s="75">
        <f t="shared" ca="1" si="53"/>
        <v>100.65323271621368</v>
      </c>
      <c r="L101" s="74">
        <f ca="1">IFERROR(__xludf.DUMMYFUNCTION("IMPORTRANGE(""https://docs.google.com/spreadsheets/d/1-uDff_7J0KD5mKrp0Vvzr7lt3OU09vwQwhkpOPPYv2Y/edit?usp=sharing"",""งบพรบ!CR101"")"),9928742.98)</f>
        <v>9928742.9800000004</v>
      </c>
      <c r="M101" s="76">
        <f t="shared" ca="1" si="54"/>
        <v>105.06606328042328</v>
      </c>
      <c r="N101" s="76">
        <f t="shared" ca="1" si="55"/>
        <v>98.085877796986907</v>
      </c>
      <c r="O101" s="77">
        <f ca="1">IFERROR(__xludf.DUMMYFUNCTION("IMPORTRANGE(""https://docs.google.com/spreadsheets/d/1-uDff_7J0KD5mKrp0Vvzr7lt3OU09vwQwhkpOPPYv2Y/edit?usp=sharing"",""งบพรบ!CS101"")"),23730000)</f>
        <v>23730000</v>
      </c>
      <c r="P101" s="77">
        <f t="shared" ca="1" si="56"/>
        <v>98.914978136997036</v>
      </c>
      <c r="Q101" s="76">
        <f t="shared" ca="1" si="57"/>
        <v>98.914978136997036</v>
      </c>
      <c r="R101" s="197">
        <f ca="1">IFERROR(__xludf.DUMMYFUNCTION("IMPORTRANGE(""https://docs.google.com/spreadsheets/d/1ItG2mGa2ceCfYo0BwxsXqNm01IGEUdYcSSLTEv9YCik/edit?usp=sharing"",""เบิกจ่ายกองทุน!DG92"")"),1703340)</f>
        <v>1703340</v>
      </c>
      <c r="S101" s="67">
        <f ca="1">IFERROR(__xludf.DUMMYFUNCTION("IMPORTRANGE(""https://docs.google.com/spreadsheets/d/1ItG2mGa2ceCfYo0BwxsXqNm01IGEUdYcSSLTEv9YCik/edit?usp=sharing"",""เบิกจ่ายกองทุน!DH92"")"),1703340)</f>
        <v>1703340</v>
      </c>
      <c r="T101" s="67">
        <f ca="1">IFERROR(__xludf.DUMMYFUNCTION("IMPORTRANGE(""https://docs.google.com/spreadsheets/d/1ItG2mGa2ceCfYo0BwxsXqNm01IGEUdYcSSLTEv9YCik/edit?usp=sharing"",""เบิกจ่ายกองทุน!DI92"")"),118190)</f>
        <v>118190</v>
      </c>
      <c r="U101" s="68">
        <f t="shared" ca="1" si="31"/>
        <v>6.9387203963976658</v>
      </c>
      <c r="V101" s="68">
        <f t="shared" ca="1" si="32"/>
        <v>6.9387203963976658</v>
      </c>
      <c r="W101" s="74"/>
      <c r="X101" s="74"/>
      <c r="Y101" s="76"/>
      <c r="Z101" s="220"/>
      <c r="AA101" s="220"/>
      <c r="AB101" s="68"/>
    </row>
    <row r="102" spans="1:28" ht="24" customHeight="1" x14ac:dyDescent="0.3">
      <c r="A102" s="105"/>
      <c r="B102" s="106" t="s">
        <v>130</v>
      </c>
      <c r="C102" s="173">
        <f t="shared" ca="1" si="50"/>
        <v>0</v>
      </c>
      <c r="D102" s="174">
        <f t="shared" ca="1" si="51"/>
        <v>0</v>
      </c>
      <c r="E102" s="74">
        <f ca="1">IFERROR(__xludf.DUMMYFUNCTION("IMPORTRANGE(""https://docs.google.com/spreadsheets/d/1-uDff_7J0KD5mKrp0Vvzr7lt3OU09vwQwhkpOPPYv2Y/edit?usp=sharing"",""งบพรบ!CL102"")"),0)</f>
        <v>0</v>
      </c>
      <c r="F102" s="74">
        <f ca="1">IFERROR(__xludf.DUMMYFUNCTION("IMPORTRANGE(""https://docs.google.com/spreadsheets/d/1-uDff_7J0KD5mKrp0Vvzr7lt3OU09vwQwhkpOPPYv2Y/edit?usp=sharing"",""งบพรบ!CM102"")"),0)</f>
        <v>0</v>
      </c>
      <c r="G102" s="74">
        <f ca="1">IFERROR(__xludf.DUMMYFUNCTION("IMPORTRANGE(""https://docs.google.com/spreadsheets/d/1-uDff_7J0KD5mKrp0Vvzr7lt3OU09vwQwhkpOPPYv2Y/edit?usp=sharing"",""งบพรบ!CN102"")"),0)</f>
        <v>0</v>
      </c>
      <c r="H102" s="74">
        <f ca="1">IFERROR(__xludf.DUMMYFUNCTION("IMPORTRANGE(""https://docs.google.com/spreadsheets/d/1-uDff_7J0KD5mKrp0Vvzr7lt3OU09vwQwhkpOPPYv2Y/edit?usp=sharing"",""งบพรบ!CP102"")"),0)</f>
        <v>0</v>
      </c>
      <c r="I102" s="74">
        <f ca="1">IFERROR(__xludf.DUMMYFUNCTION("IMPORTRANGE(""https://docs.google.com/spreadsheets/d/1-uDff_7J0KD5mKrp0Vvzr7lt3OU09vwQwhkpOPPYv2Y/edit?usp=sharing"",""งบพรบ!CQ102"")"),0)</f>
        <v>0</v>
      </c>
      <c r="J102" s="74">
        <f t="shared" ca="1" si="52"/>
        <v>0</v>
      </c>
      <c r="K102" s="75">
        <f t="shared" ca="1" si="53"/>
        <v>0</v>
      </c>
      <c r="L102" s="74">
        <f ca="1">IFERROR(__xludf.DUMMYFUNCTION("IMPORTRANGE(""https://docs.google.com/spreadsheets/d/1-uDff_7J0KD5mKrp0Vvzr7lt3OU09vwQwhkpOPPYv2Y/edit?usp=sharing"",""งบพรบ!CR102"")"),0)</f>
        <v>0</v>
      </c>
      <c r="M102" s="76">
        <f t="shared" ca="1" si="54"/>
        <v>0</v>
      </c>
      <c r="N102" s="76">
        <f t="shared" ca="1" si="55"/>
        <v>0</v>
      </c>
      <c r="O102" s="77">
        <f ca="1">IFERROR(__xludf.DUMMYFUNCTION("IMPORTRANGE(""https://docs.google.com/spreadsheets/d/1-uDff_7J0KD5mKrp0Vvzr7lt3OU09vwQwhkpOPPYv2Y/edit?usp=sharing"",""งบพรบ!CS102"")"),0)</f>
        <v>0</v>
      </c>
      <c r="P102" s="77">
        <f t="shared" ca="1" si="56"/>
        <v>0</v>
      </c>
      <c r="Q102" s="76">
        <f t="shared" ca="1" si="57"/>
        <v>0</v>
      </c>
      <c r="R102" s="197">
        <v>0</v>
      </c>
      <c r="S102" s="67">
        <v>0</v>
      </c>
      <c r="T102" s="67">
        <v>0</v>
      </c>
      <c r="U102" s="68">
        <f t="shared" si="31"/>
        <v>0</v>
      </c>
      <c r="V102" s="68">
        <f t="shared" si="32"/>
        <v>0</v>
      </c>
      <c r="W102" s="74"/>
      <c r="X102" s="74"/>
      <c r="Y102" s="76"/>
      <c r="Z102" s="220"/>
      <c r="AA102" s="220"/>
      <c r="AB102" s="68"/>
    </row>
    <row r="103" spans="1:28" ht="24" customHeight="1" x14ac:dyDescent="0.3">
      <c r="A103" s="105"/>
      <c r="B103" s="106" t="s">
        <v>131</v>
      </c>
      <c r="C103" s="173">
        <f t="shared" ca="1" si="50"/>
        <v>0</v>
      </c>
      <c r="D103" s="174">
        <f t="shared" ca="1" si="51"/>
        <v>0</v>
      </c>
      <c r="E103" s="74">
        <f ca="1">IFERROR(__xludf.DUMMYFUNCTION("IMPORTRANGE(""https://docs.google.com/spreadsheets/d/1-uDff_7J0KD5mKrp0Vvzr7lt3OU09vwQwhkpOPPYv2Y/edit?usp=sharing"",""งบพรบ!CL103"")"),0)</f>
        <v>0</v>
      </c>
      <c r="F103" s="74">
        <f ca="1">IFERROR(__xludf.DUMMYFUNCTION("IMPORTRANGE(""https://docs.google.com/spreadsheets/d/1-uDff_7J0KD5mKrp0Vvzr7lt3OU09vwQwhkpOPPYv2Y/edit?usp=sharing"",""งบพรบ!CM103"")"),0)</f>
        <v>0</v>
      </c>
      <c r="G103" s="74">
        <f ca="1">IFERROR(__xludf.DUMMYFUNCTION("IMPORTRANGE(""https://docs.google.com/spreadsheets/d/1-uDff_7J0KD5mKrp0Vvzr7lt3OU09vwQwhkpOPPYv2Y/edit?usp=sharing"",""งบพรบ!CN103"")"),0)</f>
        <v>0</v>
      </c>
      <c r="H103" s="74">
        <f ca="1">IFERROR(__xludf.DUMMYFUNCTION("IMPORTRANGE(""https://docs.google.com/spreadsheets/d/1-uDff_7J0KD5mKrp0Vvzr7lt3OU09vwQwhkpOPPYv2Y/edit?usp=sharing"",""งบพรบ!CP103"")"),0)</f>
        <v>0</v>
      </c>
      <c r="I103" s="74">
        <f ca="1">IFERROR(__xludf.DUMMYFUNCTION("IMPORTRANGE(""https://docs.google.com/spreadsheets/d/1-uDff_7J0KD5mKrp0Vvzr7lt3OU09vwQwhkpOPPYv2Y/edit?usp=sharing"",""งบพรบ!CQ103"")"),0)</f>
        <v>0</v>
      </c>
      <c r="J103" s="74">
        <f t="shared" ca="1" si="52"/>
        <v>0</v>
      </c>
      <c r="K103" s="75">
        <f t="shared" ca="1" si="53"/>
        <v>0</v>
      </c>
      <c r="L103" s="74">
        <f ca="1">IFERROR(__xludf.DUMMYFUNCTION("IMPORTRANGE(""https://docs.google.com/spreadsheets/d/1-uDff_7J0KD5mKrp0Vvzr7lt3OU09vwQwhkpOPPYv2Y/edit?usp=sharing"",""งบพรบ!CR103"")"),0)</f>
        <v>0</v>
      </c>
      <c r="M103" s="76">
        <f t="shared" ca="1" si="54"/>
        <v>0</v>
      </c>
      <c r="N103" s="76">
        <f t="shared" ca="1" si="55"/>
        <v>0</v>
      </c>
      <c r="O103" s="77">
        <f ca="1">IFERROR(__xludf.DUMMYFUNCTION("IMPORTRANGE(""https://docs.google.com/spreadsheets/d/1-uDff_7J0KD5mKrp0Vvzr7lt3OU09vwQwhkpOPPYv2Y/edit?usp=sharing"",""งบพรบ!CS103"")"),0)</f>
        <v>0</v>
      </c>
      <c r="P103" s="77">
        <f t="shared" ca="1" si="56"/>
        <v>0</v>
      </c>
      <c r="Q103" s="76">
        <f t="shared" ca="1" si="57"/>
        <v>0</v>
      </c>
      <c r="R103" s="197">
        <v>0</v>
      </c>
      <c r="S103" s="67">
        <v>0</v>
      </c>
      <c r="T103" s="67">
        <v>0</v>
      </c>
      <c r="U103" s="68">
        <f t="shared" si="31"/>
        <v>0</v>
      </c>
      <c r="V103" s="68">
        <f t="shared" si="32"/>
        <v>0</v>
      </c>
      <c r="W103" s="203"/>
      <c r="X103" s="203"/>
      <c r="Y103" s="108"/>
      <c r="Z103" s="221"/>
      <c r="AA103" s="221"/>
      <c r="AB103" s="97"/>
    </row>
    <row r="104" spans="1:28" ht="24" customHeight="1" x14ac:dyDescent="0.3">
      <c r="A104" s="105"/>
      <c r="B104" s="106" t="s">
        <v>132</v>
      </c>
      <c r="C104" s="173">
        <f t="shared" ca="1" si="50"/>
        <v>8195500</v>
      </c>
      <c r="D104" s="174">
        <f t="shared" ca="1" si="51"/>
        <v>8195500</v>
      </c>
      <c r="E104" s="74">
        <f ca="1">IFERROR(__xludf.DUMMYFUNCTION("IMPORTRANGE(""https://docs.google.com/spreadsheets/d/1-uDff_7J0KD5mKrp0Vvzr7lt3OU09vwQwhkpOPPYv2Y/edit?usp=sharing"",""งบพรบ!CL104"")"),8195500)</f>
        <v>8195500</v>
      </c>
      <c r="F104" s="74">
        <f ca="1">IFERROR(__xludf.DUMMYFUNCTION("IMPORTRANGE(""https://docs.google.com/spreadsheets/d/1-uDff_7J0KD5mKrp0Vvzr7lt3OU09vwQwhkpOPPYv2Y/edit?usp=sharing"",""งบพรบ!CM104"")"),0)</f>
        <v>0</v>
      </c>
      <c r="G104" s="74">
        <f ca="1">IFERROR(__xludf.DUMMYFUNCTION("IMPORTRANGE(""https://docs.google.com/spreadsheets/d/1-uDff_7J0KD5mKrp0Vvzr7lt3OU09vwQwhkpOPPYv2Y/edit?usp=sharing"",""งบพรบ!CN104"")"),0)</f>
        <v>0</v>
      </c>
      <c r="H104" s="74">
        <f ca="1">IFERROR(__xludf.DUMMYFUNCTION("IMPORTRANGE(""https://docs.google.com/spreadsheets/d/1-uDff_7J0KD5mKrp0Vvzr7lt3OU09vwQwhkpOPPYv2Y/edit?usp=sharing"",""งบพรบ!CP104"")"),4269038)</f>
        <v>4269038</v>
      </c>
      <c r="I104" s="74">
        <f ca="1">IFERROR(__xludf.DUMMYFUNCTION("IMPORTRANGE(""https://docs.google.com/spreadsheets/d/1-uDff_7J0KD5mKrp0Vvzr7lt3OU09vwQwhkpOPPYv2Y/edit?usp=sharing"",""งบพรบ!CQ104"")"),0)</f>
        <v>0</v>
      </c>
      <c r="J104" s="74">
        <f t="shared" ca="1" si="52"/>
        <v>3878054.58</v>
      </c>
      <c r="K104" s="75">
        <f t="shared" ca="1" si="53"/>
        <v>47.319316454151668</v>
      </c>
      <c r="L104" s="74">
        <f ca="1">IFERROR(__xludf.DUMMYFUNCTION("IMPORTRANGE(""https://docs.google.com/spreadsheets/d/1-uDff_7J0KD5mKrp0Vvzr7lt3OU09vwQwhkpOPPYv2Y/edit?usp=sharing"",""งบพรบ!CR104"")"),3878054.58)</f>
        <v>3878054.58</v>
      </c>
      <c r="M104" s="76">
        <f t="shared" ca="1" si="54"/>
        <v>47.319316454151668</v>
      </c>
      <c r="N104" s="76">
        <f t="shared" ca="1" si="55"/>
        <v>90.841416262867654</v>
      </c>
      <c r="O104" s="77">
        <f ca="1">IFERROR(__xludf.DUMMYFUNCTION("IMPORTRANGE(""https://docs.google.com/spreadsheets/d/1-uDff_7J0KD5mKrp0Vvzr7lt3OU09vwQwhkpOPPYv2Y/edit?usp=sharing"",""งบพรบ!CS104"")"),0)</f>
        <v>0</v>
      </c>
      <c r="P104" s="77">
        <f t="shared" ca="1" si="56"/>
        <v>0</v>
      </c>
      <c r="Q104" s="76">
        <f t="shared" ca="1" si="57"/>
        <v>0</v>
      </c>
      <c r="R104" s="197">
        <v>0</v>
      </c>
      <c r="S104" s="67">
        <v>0</v>
      </c>
      <c r="T104" s="67">
        <v>0</v>
      </c>
      <c r="U104" s="68">
        <f t="shared" si="31"/>
        <v>0</v>
      </c>
      <c r="V104" s="68">
        <f t="shared" si="32"/>
        <v>0</v>
      </c>
      <c r="W104" s="74"/>
      <c r="X104" s="74"/>
      <c r="Y104" s="76"/>
      <c r="Z104" s="175"/>
      <c r="AA104" s="175"/>
      <c r="AB104" s="206"/>
    </row>
    <row r="105" spans="1:28" ht="24" customHeight="1" x14ac:dyDescent="0.3">
      <c r="A105" s="105"/>
      <c r="B105" s="109" t="s">
        <v>133</v>
      </c>
      <c r="C105" s="173">
        <f t="shared" ca="1" si="50"/>
        <v>0</v>
      </c>
      <c r="D105" s="174">
        <f t="shared" ca="1" si="51"/>
        <v>0</v>
      </c>
      <c r="E105" s="74">
        <f ca="1">IFERROR(__xludf.DUMMYFUNCTION("IMPORTRANGE(""https://docs.google.com/spreadsheets/d/1-uDff_7J0KD5mKrp0Vvzr7lt3OU09vwQwhkpOPPYv2Y/edit?usp=sharing"",""งบพรบ!CL105"")"),0)</f>
        <v>0</v>
      </c>
      <c r="F105" s="74">
        <f ca="1">IFERROR(__xludf.DUMMYFUNCTION("IMPORTRANGE(""https://docs.google.com/spreadsheets/d/1-uDff_7J0KD5mKrp0Vvzr7lt3OU09vwQwhkpOPPYv2Y/edit?usp=sharing"",""งบพรบ!CM105"")"),0)</f>
        <v>0</v>
      </c>
      <c r="G105" s="74">
        <f ca="1">IFERROR(__xludf.DUMMYFUNCTION("IMPORTRANGE(""https://docs.google.com/spreadsheets/d/1-uDff_7J0KD5mKrp0Vvzr7lt3OU09vwQwhkpOPPYv2Y/edit?usp=sharing"",""งบพรบ!CN105"")"),0)</f>
        <v>0</v>
      </c>
      <c r="H105" s="74">
        <f ca="1">IFERROR(__xludf.DUMMYFUNCTION("IMPORTRANGE(""https://docs.google.com/spreadsheets/d/1-uDff_7J0KD5mKrp0Vvzr7lt3OU09vwQwhkpOPPYv2Y/edit?usp=sharing"",""งบพรบ!CP105"")"),0)</f>
        <v>0</v>
      </c>
      <c r="I105" s="74">
        <f ca="1">IFERROR(__xludf.DUMMYFUNCTION("IMPORTRANGE(""https://docs.google.com/spreadsheets/d/1-uDff_7J0KD5mKrp0Vvzr7lt3OU09vwQwhkpOPPYv2Y/edit?usp=sharing"",""งบพรบ!CQ105"")"),0)</f>
        <v>0</v>
      </c>
      <c r="J105" s="74">
        <f t="shared" ca="1" si="52"/>
        <v>0</v>
      </c>
      <c r="K105" s="75">
        <f t="shared" ca="1" si="53"/>
        <v>0</v>
      </c>
      <c r="L105" s="74">
        <f ca="1">IFERROR(__xludf.DUMMYFUNCTION("IMPORTRANGE(""https://docs.google.com/spreadsheets/d/1-uDff_7J0KD5mKrp0Vvzr7lt3OU09vwQwhkpOPPYv2Y/edit?usp=sharing"",""งบพรบ!CR105"")"),0)</f>
        <v>0</v>
      </c>
      <c r="M105" s="76">
        <f t="shared" ca="1" si="54"/>
        <v>0</v>
      </c>
      <c r="N105" s="76">
        <f t="shared" ca="1" si="55"/>
        <v>0</v>
      </c>
      <c r="O105" s="77">
        <f ca="1">IFERROR(__xludf.DUMMYFUNCTION("IMPORTRANGE(""https://docs.google.com/spreadsheets/d/1-uDff_7J0KD5mKrp0Vvzr7lt3OU09vwQwhkpOPPYv2Y/edit?usp=sharing"",""งบพรบ!CS105"")"),0)</f>
        <v>0</v>
      </c>
      <c r="P105" s="77">
        <f t="shared" ca="1" si="56"/>
        <v>0</v>
      </c>
      <c r="Q105" s="76">
        <f t="shared" ca="1" si="57"/>
        <v>0</v>
      </c>
      <c r="R105" s="197">
        <v>0</v>
      </c>
      <c r="S105" s="67">
        <v>0</v>
      </c>
      <c r="T105" s="67">
        <v>0</v>
      </c>
      <c r="U105" s="68">
        <f t="shared" si="31"/>
        <v>0</v>
      </c>
      <c r="V105" s="68">
        <f t="shared" si="32"/>
        <v>0</v>
      </c>
      <c r="W105" s="100"/>
      <c r="X105" s="100"/>
      <c r="Y105" s="100"/>
      <c r="Z105" s="220"/>
      <c r="AA105" s="220"/>
      <c r="AB105" s="220"/>
    </row>
    <row r="106" spans="1:28" ht="24" customHeight="1" x14ac:dyDescent="0.3">
      <c r="A106" s="105"/>
      <c r="B106" s="109" t="s">
        <v>134</v>
      </c>
      <c r="C106" s="173">
        <f t="shared" ca="1" si="50"/>
        <v>0</v>
      </c>
      <c r="D106" s="174">
        <f t="shared" ca="1" si="51"/>
        <v>0</v>
      </c>
      <c r="E106" s="74">
        <f ca="1">IFERROR(__xludf.DUMMYFUNCTION("IMPORTRANGE(""https://docs.google.com/spreadsheets/d/1-uDff_7J0KD5mKrp0Vvzr7lt3OU09vwQwhkpOPPYv2Y/edit?usp=sharing"",""งบพรบ!CL106"")"),0)</f>
        <v>0</v>
      </c>
      <c r="F106" s="74">
        <f ca="1">IFERROR(__xludf.DUMMYFUNCTION("IMPORTRANGE(""https://docs.google.com/spreadsheets/d/1-uDff_7J0KD5mKrp0Vvzr7lt3OU09vwQwhkpOPPYv2Y/edit?usp=sharing"",""งบพรบ!CM106"")"),0)</f>
        <v>0</v>
      </c>
      <c r="G106" s="74">
        <f ca="1">IFERROR(__xludf.DUMMYFUNCTION("IMPORTRANGE(""https://docs.google.com/spreadsheets/d/1-uDff_7J0KD5mKrp0Vvzr7lt3OU09vwQwhkpOPPYv2Y/edit?usp=sharing"",""งบพรบ!CN106"")"),0)</f>
        <v>0</v>
      </c>
      <c r="H106" s="74">
        <f ca="1">IFERROR(__xludf.DUMMYFUNCTION("IMPORTRANGE(""https://docs.google.com/spreadsheets/d/1-uDff_7J0KD5mKrp0Vvzr7lt3OU09vwQwhkpOPPYv2Y/edit?usp=sharing"",""งบพรบ!CP106"")"),62100)</f>
        <v>62100</v>
      </c>
      <c r="I106" s="74">
        <f ca="1">IFERROR(__xludf.DUMMYFUNCTION("IMPORTRANGE(""https://docs.google.com/spreadsheets/d/1-uDff_7J0KD5mKrp0Vvzr7lt3OU09vwQwhkpOPPYv2Y/edit?usp=sharing"",""งบพรบ!CQ106"")"),0)</f>
        <v>0</v>
      </c>
      <c r="J106" s="74">
        <f t="shared" ca="1" si="52"/>
        <v>31000</v>
      </c>
      <c r="K106" s="75">
        <f t="shared" ca="1" si="53"/>
        <v>0</v>
      </c>
      <c r="L106" s="74">
        <f ca="1">IFERROR(__xludf.DUMMYFUNCTION("IMPORTRANGE(""https://docs.google.com/spreadsheets/d/1-uDff_7J0KD5mKrp0Vvzr7lt3OU09vwQwhkpOPPYv2Y/edit?usp=sharing"",""งบพรบ!CR106"")"),31000)</f>
        <v>31000</v>
      </c>
      <c r="M106" s="76">
        <f t="shared" ca="1" si="54"/>
        <v>0</v>
      </c>
      <c r="N106" s="76">
        <f t="shared" ca="1" si="55"/>
        <v>49.919484702093399</v>
      </c>
      <c r="O106" s="77">
        <f ca="1">IFERROR(__xludf.DUMMYFUNCTION("IMPORTRANGE(""https://docs.google.com/spreadsheets/d/1-uDff_7J0KD5mKrp0Vvzr7lt3OU09vwQwhkpOPPYv2Y/edit?usp=sharing"",""งบพรบ!CS106"")"),0)</f>
        <v>0</v>
      </c>
      <c r="P106" s="77">
        <f t="shared" ca="1" si="56"/>
        <v>0</v>
      </c>
      <c r="Q106" s="76">
        <f t="shared" ca="1" si="57"/>
        <v>0</v>
      </c>
      <c r="R106" s="197">
        <v>0</v>
      </c>
      <c r="S106" s="67">
        <v>0</v>
      </c>
      <c r="T106" s="67">
        <v>0</v>
      </c>
      <c r="U106" s="68">
        <f t="shared" si="31"/>
        <v>0</v>
      </c>
      <c r="V106" s="68">
        <f t="shared" si="32"/>
        <v>0</v>
      </c>
      <c r="W106" s="74"/>
      <c r="X106" s="74"/>
      <c r="Y106" s="74"/>
      <c r="Z106" s="220"/>
      <c r="AA106" s="220"/>
      <c r="AB106" s="220"/>
    </row>
    <row r="107" spans="1:28" ht="24" customHeight="1" x14ac:dyDescent="0.3">
      <c r="A107" s="105"/>
      <c r="B107" s="109" t="s">
        <v>26</v>
      </c>
      <c r="C107" s="173">
        <f t="shared" ca="1" si="50"/>
        <v>0</v>
      </c>
      <c r="D107" s="174">
        <f t="shared" ca="1" si="51"/>
        <v>0</v>
      </c>
      <c r="E107" s="74">
        <f ca="1">IFERROR(__xludf.DUMMYFUNCTION("IMPORTRANGE(""https://docs.google.com/spreadsheets/d/1-uDff_7J0KD5mKrp0Vvzr7lt3OU09vwQwhkpOPPYv2Y/edit?usp=sharing"",""งบพรบ!CL107"")"),0)</f>
        <v>0</v>
      </c>
      <c r="F107" s="74">
        <f ca="1">IFERROR(__xludf.DUMMYFUNCTION("IMPORTRANGE(""https://docs.google.com/spreadsheets/d/1-uDff_7J0KD5mKrp0Vvzr7lt3OU09vwQwhkpOPPYv2Y/edit?usp=sharing"",""งบพรบ!CM107"")"),0)</f>
        <v>0</v>
      </c>
      <c r="G107" s="74">
        <f ca="1">IFERROR(__xludf.DUMMYFUNCTION("IMPORTRANGE(""https://docs.google.com/spreadsheets/d/1-uDff_7J0KD5mKrp0Vvzr7lt3OU09vwQwhkpOPPYv2Y/edit?usp=sharing"",""งบพรบ!CN107"")"),0)</f>
        <v>0</v>
      </c>
      <c r="H107" s="74">
        <f ca="1">IFERROR(__xludf.DUMMYFUNCTION("IMPORTRANGE(""https://docs.google.com/spreadsheets/d/1-uDff_7J0KD5mKrp0Vvzr7lt3OU09vwQwhkpOPPYv2Y/edit?usp=sharing"",""งบพรบ!CP107"")"),0)</f>
        <v>0</v>
      </c>
      <c r="I107" s="74">
        <f ca="1">IFERROR(__xludf.DUMMYFUNCTION("IMPORTRANGE(""https://docs.google.com/spreadsheets/d/1-uDff_7J0KD5mKrp0Vvzr7lt3OU09vwQwhkpOPPYv2Y/edit?usp=sharing"",""งบพรบ!CQ107"")"),0)</f>
        <v>0</v>
      </c>
      <c r="J107" s="74">
        <f t="shared" ca="1" si="52"/>
        <v>0</v>
      </c>
      <c r="K107" s="75">
        <f t="shared" ca="1" si="53"/>
        <v>0</v>
      </c>
      <c r="L107" s="74">
        <f ca="1">IFERROR(__xludf.DUMMYFUNCTION("IMPORTRANGE(""https://docs.google.com/spreadsheets/d/1-uDff_7J0KD5mKrp0Vvzr7lt3OU09vwQwhkpOPPYv2Y/edit?usp=sharing"",""งบพรบ!CR107"")"),0)</f>
        <v>0</v>
      </c>
      <c r="M107" s="76">
        <f t="shared" ca="1" si="54"/>
        <v>0</v>
      </c>
      <c r="N107" s="76">
        <f t="shared" ca="1" si="55"/>
        <v>0</v>
      </c>
      <c r="O107" s="77">
        <f ca="1">IFERROR(__xludf.DUMMYFUNCTION("IMPORTRANGE(""https://docs.google.com/spreadsheets/d/1-uDff_7J0KD5mKrp0Vvzr7lt3OU09vwQwhkpOPPYv2Y/edit?usp=sharing"",""งบพรบ!CS107"")"),0)</f>
        <v>0</v>
      </c>
      <c r="P107" s="77">
        <f t="shared" ca="1" si="56"/>
        <v>0</v>
      </c>
      <c r="Q107" s="76">
        <f t="shared" ca="1" si="57"/>
        <v>0</v>
      </c>
      <c r="R107" s="204">
        <v>0</v>
      </c>
      <c r="S107" s="205">
        <v>0</v>
      </c>
      <c r="T107" s="205">
        <v>0</v>
      </c>
      <c r="U107" s="206">
        <f t="shared" si="31"/>
        <v>0</v>
      </c>
      <c r="V107" s="206">
        <f t="shared" si="32"/>
        <v>0</v>
      </c>
      <c r="W107" s="74"/>
      <c r="X107" s="74"/>
      <c r="Y107" s="74"/>
      <c r="Z107" s="175"/>
      <c r="AA107" s="175"/>
      <c r="AB107" s="175"/>
    </row>
    <row r="108" spans="1:28" ht="24" customHeight="1" x14ac:dyDescent="0.3">
      <c r="A108" s="112"/>
      <c r="B108" s="113" t="s">
        <v>135</v>
      </c>
      <c r="C108" s="193">
        <f t="shared" ca="1" si="50"/>
        <v>0</v>
      </c>
      <c r="D108" s="194">
        <f t="shared" ca="1" si="51"/>
        <v>0</v>
      </c>
      <c r="E108" s="84">
        <f ca="1">IFERROR(__xludf.DUMMYFUNCTION("IMPORTRANGE(""https://docs.google.com/spreadsheets/d/1-uDff_7J0KD5mKrp0Vvzr7lt3OU09vwQwhkpOPPYv2Y/edit?usp=sharing"",""งบพรบ!CL108"")"),0)</f>
        <v>0</v>
      </c>
      <c r="F108" s="84">
        <f ca="1">IFERROR(__xludf.DUMMYFUNCTION("IMPORTRANGE(""https://docs.google.com/spreadsheets/d/1-uDff_7J0KD5mKrp0Vvzr7lt3OU09vwQwhkpOPPYv2Y/edit?usp=sharing"",""งบพรบ!CM108"")"),0)</f>
        <v>0</v>
      </c>
      <c r="G108" s="84">
        <f ca="1">IFERROR(__xludf.DUMMYFUNCTION("IMPORTRANGE(""https://docs.google.com/spreadsheets/d/1-uDff_7J0KD5mKrp0Vvzr7lt3OU09vwQwhkpOPPYv2Y/edit?usp=sharing"",""งบพรบ!CN108"")"),0)</f>
        <v>0</v>
      </c>
      <c r="H108" s="84">
        <f ca="1">IFERROR(__xludf.DUMMYFUNCTION("IMPORTRANGE(""https://docs.google.com/spreadsheets/d/1-uDff_7J0KD5mKrp0Vvzr7lt3OU09vwQwhkpOPPYv2Y/edit?usp=sharing"",""งบพรบ!CP108"")"),0)</f>
        <v>0</v>
      </c>
      <c r="I108" s="84">
        <f ca="1">IFERROR(__xludf.DUMMYFUNCTION("IMPORTRANGE(""https://docs.google.com/spreadsheets/d/1-uDff_7J0KD5mKrp0Vvzr7lt3OU09vwQwhkpOPPYv2Y/edit?usp=sharing"",""งบพรบ!CQ108"")"),0)</f>
        <v>0</v>
      </c>
      <c r="J108" s="84">
        <f t="shared" ca="1" si="52"/>
        <v>0</v>
      </c>
      <c r="K108" s="85">
        <f t="shared" ca="1" si="53"/>
        <v>0</v>
      </c>
      <c r="L108" s="84">
        <f ca="1">IFERROR(__xludf.DUMMYFUNCTION("IMPORTRANGE(""https://docs.google.com/spreadsheets/d/1-uDff_7J0KD5mKrp0Vvzr7lt3OU09vwQwhkpOPPYv2Y/edit?usp=sharing"",""งบพรบ!CR108"")"),0)</f>
        <v>0</v>
      </c>
      <c r="M108" s="86">
        <f t="shared" ca="1" si="54"/>
        <v>0</v>
      </c>
      <c r="N108" s="86">
        <f t="shared" ca="1" si="55"/>
        <v>0</v>
      </c>
      <c r="O108" s="87">
        <f ca="1">IFERROR(__xludf.DUMMYFUNCTION("IMPORTRANGE(""https://docs.google.com/spreadsheets/d/1-uDff_7J0KD5mKrp0Vvzr7lt3OU09vwQwhkpOPPYv2Y/edit?usp=sharing"",""งบพรบ!CS108"")"),0)</f>
        <v>0</v>
      </c>
      <c r="P108" s="87">
        <f t="shared" ca="1" si="56"/>
        <v>0</v>
      </c>
      <c r="Q108" s="86">
        <f t="shared" ca="1" si="57"/>
        <v>0</v>
      </c>
      <c r="R108" s="207">
        <v>0</v>
      </c>
      <c r="S108" s="208">
        <v>0</v>
      </c>
      <c r="T108" s="208">
        <v>0</v>
      </c>
      <c r="U108" s="209">
        <f t="shared" si="31"/>
        <v>0</v>
      </c>
      <c r="V108" s="209">
        <f t="shared" si="32"/>
        <v>0</v>
      </c>
      <c r="W108" s="84"/>
      <c r="X108" s="84"/>
      <c r="Y108" s="84"/>
      <c r="Z108" s="222"/>
      <c r="AA108" s="222"/>
      <c r="AB108" s="222"/>
    </row>
    <row r="109" spans="1:28" ht="24" customHeight="1" x14ac:dyDescent="0.3">
      <c r="A109" s="223"/>
      <c r="B109" s="224"/>
      <c r="C109" s="225"/>
      <c r="D109" s="226"/>
      <c r="E109" s="227"/>
      <c r="F109" s="227"/>
      <c r="G109" s="227"/>
      <c r="H109" s="227"/>
      <c r="I109" s="227"/>
      <c r="J109" s="227"/>
      <c r="K109" s="228"/>
      <c r="L109" s="227"/>
      <c r="M109" s="229"/>
      <c r="N109" s="229"/>
      <c r="O109" s="230"/>
      <c r="P109" s="230"/>
      <c r="Q109" s="229"/>
      <c r="R109" s="231"/>
      <c r="S109" s="231"/>
      <c r="T109" s="231"/>
      <c r="U109" s="232"/>
      <c r="V109" s="232"/>
      <c r="W109" s="227"/>
      <c r="X109" s="227"/>
      <c r="Y109" s="227"/>
      <c r="Z109" s="233"/>
      <c r="AA109" s="233"/>
      <c r="AB109" s="233"/>
    </row>
    <row r="110" spans="1:28" ht="24" customHeight="1" x14ac:dyDescent="0.3">
      <c r="A110" s="223"/>
      <c r="B110" s="224"/>
      <c r="C110" s="225"/>
      <c r="D110" s="226"/>
      <c r="E110" s="227"/>
      <c r="F110" s="227"/>
      <c r="G110" s="227"/>
      <c r="H110" s="227"/>
      <c r="I110" s="227"/>
      <c r="J110" s="227"/>
      <c r="K110" s="228"/>
      <c r="L110" s="227"/>
      <c r="M110" s="229"/>
      <c r="N110" s="229"/>
      <c r="O110" s="230"/>
      <c r="P110" s="230"/>
      <c r="Q110" s="229"/>
      <c r="R110" s="231"/>
      <c r="S110" s="231"/>
      <c r="T110" s="231"/>
      <c r="U110" s="232"/>
      <c r="V110" s="232"/>
      <c r="W110" s="227"/>
      <c r="X110" s="227"/>
      <c r="Y110" s="227"/>
      <c r="Z110" s="233"/>
      <c r="AA110" s="233"/>
      <c r="AB110" s="233"/>
    </row>
    <row r="111" spans="1:28" ht="24" customHeight="1" x14ac:dyDescent="0.3">
      <c r="A111" s="223"/>
      <c r="B111" s="224"/>
      <c r="C111" s="225"/>
      <c r="D111" s="226"/>
      <c r="E111" s="227"/>
      <c r="F111" s="227"/>
      <c r="G111" s="227"/>
      <c r="H111" s="227"/>
      <c r="I111" s="227"/>
      <c r="J111" s="227"/>
      <c r="K111" s="228"/>
      <c r="L111" s="227"/>
      <c r="M111" s="229"/>
      <c r="N111" s="229"/>
      <c r="O111" s="230"/>
      <c r="P111" s="230"/>
      <c r="Q111" s="229"/>
      <c r="R111" s="231"/>
      <c r="S111" s="231"/>
      <c r="T111" s="231"/>
      <c r="U111" s="232"/>
      <c r="V111" s="232"/>
      <c r="W111" s="227"/>
      <c r="X111" s="227"/>
      <c r="Y111" s="227"/>
      <c r="Z111" s="233"/>
      <c r="AA111" s="233"/>
      <c r="AB111" s="233"/>
    </row>
    <row r="112" spans="1:28" ht="24" customHeight="1" x14ac:dyDescent="0.3">
      <c r="A112" s="223"/>
      <c r="B112" s="224"/>
      <c r="C112" s="225"/>
      <c r="D112" s="226"/>
      <c r="E112" s="227"/>
      <c r="F112" s="227"/>
      <c r="G112" s="227"/>
      <c r="H112" s="227"/>
      <c r="I112" s="227"/>
      <c r="J112" s="227"/>
      <c r="K112" s="228"/>
      <c r="L112" s="227"/>
      <c r="M112" s="229"/>
      <c r="N112" s="229"/>
      <c r="O112" s="230"/>
      <c r="P112" s="230"/>
      <c r="Q112" s="229"/>
      <c r="R112" s="231"/>
      <c r="S112" s="231"/>
      <c r="T112" s="231"/>
      <c r="U112" s="232"/>
      <c r="V112" s="232"/>
      <c r="W112" s="227"/>
      <c r="X112" s="227"/>
      <c r="Y112" s="227"/>
      <c r="Z112" s="233"/>
      <c r="AA112" s="233"/>
      <c r="AB112" s="233"/>
    </row>
    <row r="113" spans="1:28" ht="24" customHeight="1" x14ac:dyDescent="0.3">
      <c r="A113" s="223"/>
      <c r="B113" s="224"/>
      <c r="C113" s="225"/>
      <c r="D113" s="226"/>
      <c r="E113" s="227"/>
      <c r="F113" s="227"/>
      <c r="G113" s="227"/>
      <c r="H113" s="227"/>
      <c r="I113" s="227"/>
      <c r="J113" s="227"/>
      <c r="K113" s="228"/>
      <c r="L113" s="227"/>
      <c r="M113" s="229"/>
      <c r="N113" s="229"/>
      <c r="O113" s="230"/>
      <c r="P113" s="230"/>
      <c r="Q113" s="229"/>
      <c r="R113" s="231"/>
      <c r="S113" s="231"/>
      <c r="T113" s="231"/>
      <c r="U113" s="232"/>
      <c r="V113" s="232"/>
      <c r="W113" s="227"/>
      <c r="X113" s="227"/>
      <c r="Y113" s="227"/>
      <c r="Z113" s="233"/>
      <c r="AA113" s="233"/>
      <c r="AB113" s="233"/>
    </row>
    <row r="114" spans="1:28" ht="24" customHeight="1" x14ac:dyDescent="0.3">
      <c r="A114" s="223"/>
      <c r="B114" s="224"/>
      <c r="C114" s="225"/>
      <c r="D114" s="226"/>
      <c r="E114" s="227"/>
      <c r="F114" s="227"/>
      <c r="G114" s="227"/>
      <c r="H114" s="227"/>
      <c r="I114" s="227"/>
      <c r="J114" s="227"/>
      <c r="K114" s="228"/>
      <c r="L114" s="227"/>
      <c r="M114" s="229"/>
      <c r="N114" s="229"/>
      <c r="O114" s="230"/>
      <c r="P114" s="230"/>
      <c r="Q114" s="229"/>
      <c r="R114" s="231"/>
      <c r="S114" s="231"/>
      <c r="T114" s="231"/>
      <c r="U114" s="232"/>
      <c r="V114" s="232"/>
      <c r="W114" s="227"/>
      <c r="X114" s="227"/>
      <c r="Y114" s="227"/>
      <c r="Z114" s="233"/>
      <c r="AA114" s="233"/>
      <c r="AB114" s="233"/>
    </row>
    <row r="115" spans="1:28" ht="24" customHeight="1" x14ac:dyDescent="0.3">
      <c r="A115" s="223"/>
      <c r="B115" s="224"/>
      <c r="C115" s="225"/>
      <c r="D115" s="226"/>
      <c r="E115" s="227"/>
      <c r="F115" s="227"/>
      <c r="G115" s="227"/>
      <c r="H115" s="227"/>
      <c r="I115" s="227"/>
      <c r="J115" s="227"/>
      <c r="K115" s="228"/>
      <c r="L115" s="227"/>
      <c r="M115" s="229"/>
      <c r="N115" s="229"/>
      <c r="O115" s="230"/>
      <c r="P115" s="230"/>
      <c r="Q115" s="229"/>
      <c r="R115" s="231"/>
      <c r="S115" s="231"/>
      <c r="T115" s="231"/>
      <c r="U115" s="232"/>
      <c r="V115" s="232"/>
      <c r="W115" s="227"/>
      <c r="X115" s="227"/>
      <c r="Y115" s="227"/>
      <c r="Z115" s="233"/>
      <c r="AA115" s="233"/>
      <c r="AB115" s="233"/>
    </row>
    <row r="116" spans="1:28" ht="24" customHeight="1" x14ac:dyDescent="0.3">
      <c r="A116" s="223"/>
      <c r="B116" s="224"/>
      <c r="C116" s="225"/>
      <c r="D116" s="226"/>
      <c r="E116" s="227"/>
      <c r="F116" s="227"/>
      <c r="G116" s="227"/>
      <c r="H116" s="227"/>
      <c r="I116" s="227"/>
      <c r="J116" s="227"/>
      <c r="K116" s="228"/>
      <c r="L116" s="227"/>
      <c r="M116" s="229"/>
      <c r="N116" s="229"/>
      <c r="O116" s="230"/>
      <c r="P116" s="230"/>
      <c r="Q116" s="229"/>
      <c r="R116" s="231"/>
      <c r="S116" s="231"/>
      <c r="T116" s="231"/>
      <c r="U116" s="232"/>
      <c r="V116" s="232"/>
      <c r="W116" s="227"/>
      <c r="X116" s="227"/>
      <c r="Y116" s="227"/>
      <c r="Z116" s="233"/>
      <c r="AA116" s="233"/>
      <c r="AB116" s="233"/>
    </row>
    <row r="117" spans="1:28" ht="24" customHeight="1" x14ac:dyDescent="0.3">
      <c r="A117" s="223"/>
      <c r="B117" s="224"/>
      <c r="C117" s="225"/>
      <c r="D117" s="226"/>
      <c r="E117" s="227"/>
      <c r="F117" s="227"/>
      <c r="G117" s="227"/>
      <c r="H117" s="227"/>
      <c r="I117" s="227"/>
      <c r="J117" s="227"/>
      <c r="K117" s="228"/>
      <c r="L117" s="227"/>
      <c r="M117" s="229"/>
      <c r="N117" s="229"/>
      <c r="O117" s="230"/>
      <c r="P117" s="230"/>
      <c r="Q117" s="229"/>
      <c r="R117" s="231"/>
      <c r="S117" s="231"/>
      <c r="T117" s="231"/>
      <c r="U117" s="232"/>
      <c r="V117" s="232"/>
      <c r="W117" s="227"/>
      <c r="X117" s="227"/>
      <c r="Y117" s="227"/>
      <c r="Z117" s="233"/>
      <c r="AA117" s="233"/>
      <c r="AB117" s="233"/>
    </row>
    <row r="118" spans="1:28" ht="24" customHeight="1" x14ac:dyDescent="0.3">
      <c r="A118" s="223"/>
      <c r="B118" s="224"/>
      <c r="C118" s="225"/>
      <c r="D118" s="226"/>
      <c r="E118" s="227"/>
      <c r="F118" s="227"/>
      <c r="G118" s="227"/>
      <c r="H118" s="227"/>
      <c r="I118" s="227"/>
      <c r="J118" s="227"/>
      <c r="K118" s="228"/>
      <c r="L118" s="227"/>
      <c r="M118" s="229"/>
      <c r="N118" s="229"/>
      <c r="O118" s="230"/>
      <c r="P118" s="230"/>
      <c r="Q118" s="229"/>
      <c r="R118" s="231"/>
      <c r="S118" s="231"/>
      <c r="T118" s="231"/>
      <c r="U118" s="232"/>
      <c r="V118" s="232"/>
      <c r="W118" s="227"/>
      <c r="X118" s="227"/>
      <c r="Y118" s="227"/>
      <c r="Z118" s="233"/>
      <c r="AA118" s="233"/>
      <c r="AB118" s="233"/>
    </row>
    <row r="119" spans="1:28" ht="24" customHeight="1" x14ac:dyDescent="0.3">
      <c r="A119" s="223"/>
      <c r="B119" s="224"/>
      <c r="C119" s="225"/>
      <c r="D119" s="226"/>
      <c r="E119" s="227"/>
      <c r="F119" s="227"/>
      <c r="G119" s="227"/>
      <c r="H119" s="227"/>
      <c r="I119" s="227"/>
      <c r="J119" s="227"/>
      <c r="K119" s="228"/>
      <c r="L119" s="227"/>
      <c r="M119" s="229"/>
      <c r="N119" s="229"/>
      <c r="O119" s="230"/>
      <c r="P119" s="230"/>
      <c r="Q119" s="229"/>
      <c r="R119" s="231"/>
      <c r="S119" s="231"/>
      <c r="T119" s="231"/>
      <c r="U119" s="232"/>
      <c r="V119" s="232"/>
      <c r="W119" s="227"/>
      <c r="X119" s="227"/>
      <c r="Y119" s="227"/>
      <c r="Z119" s="233"/>
      <c r="AA119" s="233"/>
      <c r="AB119" s="233"/>
    </row>
    <row r="120" spans="1:28" ht="24" customHeight="1" x14ac:dyDescent="0.3">
      <c r="A120" s="223"/>
      <c r="B120" s="224"/>
      <c r="C120" s="225"/>
      <c r="D120" s="226"/>
      <c r="E120" s="227"/>
      <c r="F120" s="227"/>
      <c r="G120" s="227"/>
      <c r="H120" s="227"/>
      <c r="I120" s="227"/>
      <c r="J120" s="227"/>
      <c r="K120" s="228"/>
      <c r="L120" s="227"/>
      <c r="M120" s="229"/>
      <c r="N120" s="229"/>
      <c r="O120" s="230"/>
      <c r="P120" s="230"/>
      <c r="Q120" s="229"/>
      <c r="R120" s="231"/>
      <c r="S120" s="231"/>
      <c r="T120" s="231"/>
      <c r="U120" s="232"/>
      <c r="V120" s="232"/>
      <c r="W120" s="227"/>
      <c r="X120" s="227"/>
      <c r="Y120" s="227"/>
      <c r="Z120" s="233"/>
      <c r="AA120" s="233"/>
      <c r="AB120" s="233"/>
    </row>
    <row r="121" spans="1:28" ht="24" customHeight="1" x14ac:dyDescent="0.3">
      <c r="A121" s="223"/>
      <c r="B121" s="224"/>
      <c r="C121" s="225"/>
      <c r="D121" s="226"/>
      <c r="E121" s="227"/>
      <c r="F121" s="227"/>
      <c r="G121" s="227"/>
      <c r="H121" s="227"/>
      <c r="I121" s="227"/>
      <c r="J121" s="227"/>
      <c r="K121" s="228"/>
      <c r="L121" s="227"/>
      <c r="M121" s="229"/>
      <c r="N121" s="229"/>
      <c r="O121" s="230"/>
      <c r="P121" s="230"/>
      <c r="Q121" s="229"/>
      <c r="R121" s="231"/>
      <c r="S121" s="231"/>
      <c r="T121" s="231"/>
      <c r="U121" s="232"/>
      <c r="V121" s="232"/>
      <c r="W121" s="227"/>
      <c r="X121" s="227"/>
      <c r="Y121" s="227"/>
      <c r="Z121" s="233"/>
      <c r="AA121" s="233"/>
      <c r="AB121" s="233"/>
    </row>
    <row r="122" spans="1:28" ht="24" customHeight="1" x14ac:dyDescent="0.3">
      <c r="A122" s="223"/>
      <c r="B122" s="224"/>
      <c r="C122" s="225"/>
      <c r="D122" s="226"/>
      <c r="E122" s="227"/>
      <c r="F122" s="227"/>
      <c r="G122" s="227"/>
      <c r="H122" s="227"/>
      <c r="I122" s="227"/>
      <c r="J122" s="227"/>
      <c r="K122" s="228"/>
      <c r="L122" s="227"/>
      <c r="M122" s="229"/>
      <c r="N122" s="229"/>
      <c r="O122" s="230"/>
      <c r="P122" s="230"/>
      <c r="Q122" s="229"/>
      <c r="R122" s="231"/>
      <c r="S122" s="231"/>
      <c r="T122" s="231"/>
      <c r="U122" s="232"/>
      <c r="V122" s="232"/>
      <c r="W122" s="227"/>
      <c r="X122" s="227"/>
      <c r="Y122" s="227"/>
      <c r="Z122" s="233"/>
      <c r="AA122" s="233"/>
      <c r="AB122" s="233"/>
    </row>
    <row r="123" spans="1:28" ht="24" customHeight="1" x14ac:dyDescent="0.3">
      <c r="A123" s="223"/>
      <c r="B123" s="224"/>
      <c r="C123" s="225"/>
      <c r="D123" s="226"/>
      <c r="E123" s="227"/>
      <c r="F123" s="227"/>
      <c r="G123" s="227"/>
      <c r="H123" s="227"/>
      <c r="I123" s="227"/>
      <c r="J123" s="227"/>
      <c r="K123" s="228"/>
      <c r="L123" s="227"/>
      <c r="M123" s="229"/>
      <c r="N123" s="229"/>
      <c r="O123" s="230"/>
      <c r="P123" s="230"/>
      <c r="Q123" s="229"/>
      <c r="R123" s="231"/>
      <c r="S123" s="231"/>
      <c r="T123" s="231"/>
      <c r="U123" s="232"/>
      <c r="V123" s="232"/>
      <c r="W123" s="227"/>
      <c r="X123" s="227"/>
      <c r="Y123" s="227"/>
      <c r="Z123" s="233"/>
      <c r="AA123" s="233"/>
      <c r="AB123" s="233"/>
    </row>
    <row r="124" spans="1:28" ht="24" customHeight="1" x14ac:dyDescent="0.3">
      <c r="A124" s="223"/>
      <c r="B124" s="224"/>
      <c r="C124" s="225"/>
      <c r="D124" s="226"/>
      <c r="E124" s="227"/>
      <c r="F124" s="227"/>
      <c r="G124" s="227"/>
      <c r="H124" s="227"/>
      <c r="I124" s="227"/>
      <c r="J124" s="227"/>
      <c r="K124" s="228"/>
      <c r="L124" s="227"/>
      <c r="M124" s="229"/>
      <c r="N124" s="229"/>
      <c r="O124" s="230"/>
      <c r="P124" s="230"/>
      <c r="Q124" s="229"/>
      <c r="R124" s="231"/>
      <c r="S124" s="231"/>
      <c r="T124" s="231"/>
      <c r="U124" s="232"/>
      <c r="V124" s="232"/>
      <c r="W124" s="227"/>
      <c r="X124" s="227"/>
      <c r="Y124" s="227"/>
      <c r="Z124" s="233"/>
      <c r="AA124" s="233"/>
      <c r="AB124" s="233"/>
    </row>
    <row r="125" spans="1:28" ht="24" customHeight="1" x14ac:dyDescent="0.3">
      <c r="A125" s="223"/>
      <c r="B125" s="224"/>
      <c r="C125" s="225"/>
      <c r="D125" s="226"/>
      <c r="E125" s="227"/>
      <c r="F125" s="227"/>
      <c r="G125" s="227"/>
      <c r="H125" s="227"/>
      <c r="I125" s="227"/>
      <c r="J125" s="227"/>
      <c r="K125" s="228"/>
      <c r="L125" s="227"/>
      <c r="M125" s="229"/>
      <c r="N125" s="229"/>
      <c r="O125" s="230"/>
      <c r="P125" s="230"/>
      <c r="Q125" s="229"/>
      <c r="R125" s="231"/>
      <c r="S125" s="231"/>
      <c r="T125" s="231"/>
      <c r="U125" s="232"/>
      <c r="V125" s="232"/>
      <c r="W125" s="227"/>
      <c r="X125" s="227"/>
      <c r="Y125" s="227"/>
      <c r="Z125" s="233"/>
      <c r="AA125" s="233"/>
      <c r="AB125" s="233"/>
    </row>
  </sheetData>
  <mergeCells count="33">
    <mergeCell ref="AA5:AB5"/>
    <mergeCell ref="I5:I6"/>
    <mergeCell ref="J5:K5"/>
    <mergeCell ref="L5:N5"/>
    <mergeCell ref="O5:Q5"/>
    <mergeCell ref="X5:Y5"/>
    <mergeCell ref="A89:B89"/>
    <mergeCell ref="A2:B6"/>
    <mergeCell ref="C2:V2"/>
    <mergeCell ref="W2:AB2"/>
    <mergeCell ref="C3:Q3"/>
    <mergeCell ref="W3:Y4"/>
    <mergeCell ref="Z3:AB4"/>
    <mergeCell ref="J4:Q4"/>
    <mergeCell ref="C4:G4"/>
    <mergeCell ref="H4:I4"/>
    <mergeCell ref="C5:C6"/>
    <mergeCell ref="D5:D6"/>
    <mergeCell ref="E5:E6"/>
    <mergeCell ref="F5:F6"/>
    <mergeCell ref="G5:G6"/>
    <mergeCell ref="H5:H6"/>
    <mergeCell ref="A7:B7"/>
    <mergeCell ref="A13:B13"/>
    <mergeCell ref="A31:B31"/>
    <mergeCell ref="A52:B52"/>
    <mergeCell ref="A74:B74"/>
    <mergeCell ref="R3:V3"/>
    <mergeCell ref="R4:R6"/>
    <mergeCell ref="S4:S6"/>
    <mergeCell ref="T4:T6"/>
    <mergeCell ref="U4:U6"/>
    <mergeCell ref="V4:V6"/>
  </mergeCells>
  <conditionalFormatting sqref="K14:K30 K32:K51 K53:K73 K75:K88 K90:K125 N108:N125">
    <cfRule type="colorScale" priority="10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N14:N30 N32:N51 N53:N73 N75:N88 N93:N125">
    <cfRule type="colorScale" priority="12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U14:U55">
    <cfRule type="colorScale" priority="9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57:U75">
    <cfRule type="colorScale" priority="8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77:U81">
    <cfRule type="colorScale" priority="7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83:U89">
    <cfRule type="colorScale" priority="6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93">
    <cfRule type="colorScale" priority="5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98">
    <cfRule type="colorScale" priority="4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101">
    <cfRule type="colorScale" priority="3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104">
    <cfRule type="colorScale" priority="2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108:U125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Y14:Y30 Y32:Y51 Y53:Y73 Y75:Y88">
    <cfRule type="colorScale" priority="11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W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23" width="11.42578125" customWidth="1"/>
    <col min="24" max="24" width="11.7109375" customWidth="1"/>
    <col min="25" max="25" width="10.140625" customWidth="1"/>
    <col min="26" max="26" width="11.42578125" customWidth="1"/>
    <col min="27" max="27" width="7.5703125" customWidth="1"/>
    <col min="28" max="28" width="10.140625" customWidth="1"/>
    <col min="29" max="29" width="9.5703125" customWidth="1"/>
    <col min="30" max="31" width="10.140625" customWidth="1"/>
    <col min="32" max="32" width="11.42578125" customWidth="1"/>
    <col min="33" max="34" width="10.140625" customWidth="1"/>
    <col min="35" max="35" width="13.85546875" customWidth="1"/>
    <col min="36" max="37" width="10.140625" customWidth="1"/>
    <col min="38" max="38" width="14.7109375" customWidth="1"/>
    <col min="39" max="39" width="11.7109375" customWidth="1"/>
    <col min="40" max="40" width="10.140625" customWidth="1"/>
    <col min="41" max="41" width="11.42578125" customWidth="1"/>
    <col min="42" max="42" width="11.7109375" customWidth="1"/>
    <col min="43" max="43" width="10.140625" customWidth="1"/>
    <col min="44" max="44" width="11.140625" customWidth="1"/>
    <col min="45" max="45" width="12.5703125" customWidth="1"/>
    <col min="46" max="46" width="11.42578125" customWidth="1"/>
    <col min="47" max="47" width="11" customWidth="1"/>
    <col min="48" max="48" width="14.7109375" customWidth="1"/>
    <col min="49" max="49" width="11.42578125" customWidth="1"/>
    <col min="50" max="51" width="10.140625" customWidth="1"/>
    <col min="52" max="52" width="13.85546875" customWidth="1"/>
    <col min="53" max="57" width="10.140625" customWidth="1"/>
    <col min="58" max="58" width="14.7109375" customWidth="1"/>
    <col min="59" max="60" width="10.140625" customWidth="1"/>
    <col min="61" max="62" width="11.42578125" customWidth="1"/>
    <col min="63" max="63" width="10.140625" customWidth="1"/>
    <col min="64" max="65" width="11.42578125" customWidth="1"/>
    <col min="66" max="66" width="10.140625" customWidth="1"/>
    <col min="67" max="68" width="13.85546875" customWidth="1"/>
    <col min="69" max="69" width="10.140625" customWidth="1"/>
    <col min="70" max="71" width="13.85546875" customWidth="1"/>
    <col min="72" max="72" width="10.140625" customWidth="1"/>
    <col min="73" max="74" width="13.85546875" customWidth="1"/>
    <col min="75" max="75" width="10.140625" customWidth="1"/>
    <col min="76" max="77" width="13.85546875" customWidth="1"/>
    <col min="78" max="78" width="10.140625" customWidth="1"/>
    <col min="79" max="80" width="13.85546875" customWidth="1"/>
    <col min="81" max="81" width="10.140625" customWidth="1"/>
    <col min="82" max="82" width="13.42578125" customWidth="1"/>
    <col min="83" max="83" width="12.5703125" customWidth="1"/>
    <col min="84" max="84" width="10.140625" customWidth="1"/>
    <col min="85" max="86" width="11.42578125" customWidth="1"/>
    <col min="87" max="87" width="10.140625" customWidth="1"/>
    <col min="88" max="88" width="11.140625" customWidth="1"/>
    <col min="89" max="89" width="11.7109375" customWidth="1"/>
    <col min="90" max="90" width="10.140625" customWidth="1"/>
    <col min="91" max="91" width="11.140625" customWidth="1"/>
    <col min="92" max="92" width="11.7109375" customWidth="1"/>
    <col min="93" max="93" width="10.140625" customWidth="1"/>
    <col min="94" max="94" width="13.5703125" customWidth="1"/>
    <col min="95" max="95" width="11.7109375" customWidth="1"/>
    <col min="96" max="96" width="10.140625" customWidth="1"/>
    <col min="97" max="97" width="12.42578125" customWidth="1"/>
    <col min="98" max="101" width="10.140625" customWidth="1"/>
  </cols>
  <sheetData>
    <row r="1" spans="1:101" ht="24" customHeight="1" x14ac:dyDescent="0.3">
      <c r="A1" s="234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7"/>
      <c r="S1" s="117"/>
      <c r="T1" s="117"/>
      <c r="U1" s="117"/>
      <c r="V1" s="117"/>
      <c r="W1" s="114"/>
      <c r="X1" s="114"/>
      <c r="Y1" s="116"/>
      <c r="Z1" s="114"/>
      <c r="AA1" s="114"/>
      <c r="AB1" s="116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234"/>
      <c r="CN1" s="234"/>
      <c r="CO1" s="114"/>
      <c r="CP1" s="114"/>
      <c r="CQ1" s="114"/>
      <c r="CR1" s="114"/>
      <c r="CS1" s="114"/>
      <c r="CT1" s="114"/>
      <c r="CU1" s="114"/>
      <c r="CV1" s="114"/>
      <c r="CW1" s="114"/>
    </row>
    <row r="2" spans="1:101" ht="30" customHeight="1" x14ac:dyDescent="0.2">
      <c r="A2" s="692" t="s">
        <v>1</v>
      </c>
      <c r="B2" s="658"/>
      <c r="C2" s="689" t="s">
        <v>163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90" t="s">
        <v>160</v>
      </c>
      <c r="X2" s="646"/>
      <c r="Y2" s="646"/>
      <c r="Z2" s="646"/>
      <c r="AA2" s="646"/>
      <c r="AB2" s="646"/>
      <c r="AC2" s="646"/>
      <c r="AD2" s="646"/>
      <c r="AE2" s="646"/>
      <c r="AF2" s="646"/>
      <c r="AG2" s="646"/>
      <c r="AH2" s="646"/>
      <c r="AI2" s="646"/>
      <c r="AJ2" s="646"/>
      <c r="AK2" s="646"/>
      <c r="AL2" s="646"/>
      <c r="AM2" s="646"/>
      <c r="AN2" s="646"/>
      <c r="AO2" s="646"/>
      <c r="AP2" s="646"/>
      <c r="AQ2" s="646"/>
      <c r="AR2" s="646"/>
      <c r="AS2" s="646"/>
      <c r="AT2" s="646"/>
      <c r="AU2" s="646"/>
      <c r="AV2" s="646"/>
      <c r="AW2" s="646"/>
      <c r="AX2" s="646"/>
      <c r="AY2" s="646"/>
      <c r="AZ2" s="646"/>
      <c r="BA2" s="646"/>
      <c r="BB2" s="646"/>
      <c r="BC2" s="646"/>
      <c r="BD2" s="646"/>
      <c r="BE2" s="646"/>
      <c r="BF2" s="646"/>
      <c r="BG2" s="646"/>
      <c r="BH2" s="646"/>
      <c r="BI2" s="646"/>
      <c r="BJ2" s="646"/>
      <c r="BK2" s="646"/>
      <c r="BL2" s="646"/>
      <c r="BM2" s="646"/>
      <c r="BN2" s="646"/>
      <c r="BO2" s="646"/>
      <c r="BP2" s="646"/>
      <c r="BQ2" s="646"/>
      <c r="BR2" s="646"/>
      <c r="BS2" s="646"/>
      <c r="BT2" s="646"/>
      <c r="BU2" s="646"/>
      <c r="BV2" s="646"/>
      <c r="BW2" s="646"/>
      <c r="BX2" s="646"/>
      <c r="BY2" s="646"/>
      <c r="BZ2" s="646"/>
      <c r="CA2" s="646"/>
      <c r="CB2" s="646"/>
      <c r="CC2" s="646"/>
      <c r="CD2" s="646"/>
      <c r="CE2" s="646"/>
      <c r="CF2" s="646"/>
      <c r="CG2" s="646"/>
      <c r="CH2" s="646"/>
      <c r="CI2" s="646"/>
      <c r="CJ2" s="646"/>
      <c r="CK2" s="646"/>
      <c r="CL2" s="646"/>
      <c r="CM2" s="646"/>
      <c r="CN2" s="646"/>
      <c r="CO2" s="646"/>
      <c r="CP2" s="646"/>
      <c r="CQ2" s="646"/>
      <c r="CR2" s="646"/>
      <c r="CS2" s="646"/>
      <c r="CT2" s="646"/>
      <c r="CU2" s="646"/>
      <c r="CV2" s="646"/>
      <c r="CW2" s="647"/>
    </row>
    <row r="3" spans="1:101" ht="30" customHeight="1" x14ac:dyDescent="0.2">
      <c r="A3" s="659"/>
      <c r="B3" s="660"/>
      <c r="C3" s="717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09" t="s">
        <v>5</v>
      </c>
      <c r="S3" s="646"/>
      <c r="T3" s="646"/>
      <c r="U3" s="646"/>
      <c r="V3" s="647"/>
      <c r="W3" s="715" t="s">
        <v>164</v>
      </c>
      <c r="X3" s="646"/>
      <c r="Y3" s="646"/>
      <c r="Z3" s="646"/>
      <c r="AA3" s="646"/>
      <c r="AB3" s="646"/>
      <c r="AC3" s="646"/>
      <c r="AD3" s="646"/>
      <c r="AE3" s="647"/>
      <c r="AF3" s="715" t="s">
        <v>165</v>
      </c>
      <c r="AG3" s="646"/>
      <c r="AH3" s="646"/>
      <c r="AI3" s="646"/>
      <c r="AJ3" s="646"/>
      <c r="AK3" s="646"/>
      <c r="AL3" s="646"/>
      <c r="AM3" s="646"/>
      <c r="AN3" s="646"/>
      <c r="AO3" s="646"/>
      <c r="AP3" s="646"/>
      <c r="AQ3" s="646"/>
      <c r="AR3" s="646"/>
      <c r="AS3" s="646"/>
      <c r="AT3" s="646"/>
      <c r="AU3" s="646"/>
      <c r="AV3" s="647"/>
      <c r="AW3" s="715" t="s">
        <v>166</v>
      </c>
      <c r="AX3" s="646"/>
      <c r="AY3" s="646"/>
      <c r="AZ3" s="646"/>
      <c r="BA3" s="646"/>
      <c r="BB3" s="646"/>
      <c r="BC3" s="646"/>
      <c r="BD3" s="646"/>
      <c r="BE3" s="646"/>
      <c r="BF3" s="646"/>
      <c r="BG3" s="646"/>
      <c r="BH3" s="646"/>
      <c r="BI3" s="646"/>
      <c r="BJ3" s="646"/>
      <c r="BK3" s="646"/>
      <c r="BL3" s="646"/>
      <c r="BM3" s="646"/>
      <c r="BN3" s="647"/>
      <c r="BO3" s="715" t="s">
        <v>167</v>
      </c>
      <c r="BP3" s="646"/>
      <c r="BQ3" s="646"/>
      <c r="BR3" s="646"/>
      <c r="BS3" s="646"/>
      <c r="BT3" s="646"/>
      <c r="BU3" s="646"/>
      <c r="BV3" s="646"/>
      <c r="BW3" s="646"/>
      <c r="BX3" s="646"/>
      <c r="BY3" s="646"/>
      <c r="BZ3" s="646"/>
      <c r="CA3" s="646"/>
      <c r="CB3" s="646"/>
      <c r="CC3" s="647"/>
      <c r="CD3" s="715" t="s">
        <v>168</v>
      </c>
      <c r="CE3" s="646"/>
      <c r="CF3" s="646"/>
      <c r="CG3" s="646"/>
      <c r="CH3" s="646"/>
      <c r="CI3" s="646"/>
      <c r="CJ3" s="646"/>
      <c r="CK3" s="646"/>
      <c r="CL3" s="646"/>
      <c r="CM3" s="646"/>
      <c r="CN3" s="646"/>
      <c r="CO3" s="646"/>
      <c r="CP3" s="646"/>
      <c r="CQ3" s="646"/>
      <c r="CR3" s="646"/>
      <c r="CS3" s="646"/>
      <c r="CT3" s="646"/>
      <c r="CU3" s="646"/>
      <c r="CV3" s="646"/>
      <c r="CW3" s="647"/>
    </row>
    <row r="4" spans="1:101" ht="60" customHeight="1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711" t="s">
        <v>11</v>
      </c>
      <c r="S4" s="703" t="s">
        <v>12</v>
      </c>
      <c r="T4" s="710" t="s">
        <v>13</v>
      </c>
      <c r="U4" s="710" t="s">
        <v>14</v>
      </c>
      <c r="V4" s="710" t="s">
        <v>15</v>
      </c>
      <c r="W4" s="715" t="s">
        <v>169</v>
      </c>
      <c r="X4" s="646"/>
      <c r="Y4" s="647"/>
      <c r="Z4" s="714" t="s">
        <v>170</v>
      </c>
      <c r="AA4" s="646"/>
      <c r="AB4" s="647"/>
      <c r="AC4" s="714" t="s">
        <v>171</v>
      </c>
      <c r="AD4" s="646"/>
      <c r="AE4" s="647"/>
      <c r="AF4" s="715" t="s">
        <v>172</v>
      </c>
      <c r="AG4" s="646"/>
      <c r="AH4" s="647"/>
      <c r="AI4" s="715" t="s">
        <v>173</v>
      </c>
      <c r="AJ4" s="646"/>
      <c r="AK4" s="647"/>
      <c r="AL4" s="715" t="s">
        <v>174</v>
      </c>
      <c r="AM4" s="646"/>
      <c r="AN4" s="647"/>
      <c r="AO4" s="715" t="s">
        <v>175</v>
      </c>
      <c r="AP4" s="646"/>
      <c r="AQ4" s="647"/>
      <c r="AR4" s="714" t="s">
        <v>176</v>
      </c>
      <c r="AS4" s="646"/>
      <c r="AT4" s="647"/>
      <c r="AU4" s="714" t="s">
        <v>177</v>
      </c>
      <c r="AV4" s="647"/>
      <c r="AW4" s="715" t="s">
        <v>172</v>
      </c>
      <c r="AX4" s="646"/>
      <c r="AY4" s="647"/>
      <c r="AZ4" s="715" t="s">
        <v>175</v>
      </c>
      <c r="BA4" s="646"/>
      <c r="BB4" s="647"/>
      <c r="BC4" s="715" t="s">
        <v>173</v>
      </c>
      <c r="BD4" s="646"/>
      <c r="BE4" s="647"/>
      <c r="BF4" s="715" t="s">
        <v>174</v>
      </c>
      <c r="BG4" s="646"/>
      <c r="BH4" s="647"/>
      <c r="BI4" s="714" t="s">
        <v>178</v>
      </c>
      <c r="BJ4" s="646"/>
      <c r="BK4" s="647"/>
      <c r="BL4" s="714" t="s">
        <v>179</v>
      </c>
      <c r="BM4" s="646"/>
      <c r="BN4" s="647"/>
      <c r="BO4" s="715" t="s">
        <v>180</v>
      </c>
      <c r="BP4" s="646"/>
      <c r="BQ4" s="647"/>
      <c r="BR4" s="715" t="s">
        <v>181</v>
      </c>
      <c r="BS4" s="646"/>
      <c r="BT4" s="647"/>
      <c r="BU4" s="714" t="s">
        <v>182</v>
      </c>
      <c r="BV4" s="646"/>
      <c r="BW4" s="647"/>
      <c r="BX4" s="714" t="s">
        <v>183</v>
      </c>
      <c r="BY4" s="646"/>
      <c r="BZ4" s="647"/>
      <c r="CA4" s="714" t="s">
        <v>184</v>
      </c>
      <c r="CB4" s="646"/>
      <c r="CC4" s="647"/>
      <c r="CD4" s="715" t="s">
        <v>185</v>
      </c>
      <c r="CE4" s="646"/>
      <c r="CF4" s="647"/>
      <c r="CG4" s="715" t="s">
        <v>186</v>
      </c>
      <c r="CH4" s="646"/>
      <c r="CI4" s="647"/>
      <c r="CJ4" s="715" t="s">
        <v>173</v>
      </c>
      <c r="CK4" s="646"/>
      <c r="CL4" s="647"/>
      <c r="CM4" s="715" t="s">
        <v>174</v>
      </c>
      <c r="CN4" s="646"/>
      <c r="CO4" s="647"/>
      <c r="CP4" s="715" t="s">
        <v>187</v>
      </c>
      <c r="CQ4" s="646"/>
      <c r="CR4" s="647"/>
      <c r="CS4" s="714" t="s">
        <v>188</v>
      </c>
      <c r="CT4" s="646"/>
      <c r="CU4" s="647"/>
      <c r="CV4" s="714" t="s">
        <v>7</v>
      </c>
      <c r="CW4" s="647"/>
    </row>
    <row r="5" spans="1:101" ht="30" customHeight="1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649"/>
      <c r="S5" s="649"/>
      <c r="T5" s="649"/>
      <c r="U5" s="649"/>
      <c r="V5" s="649"/>
      <c r="W5" s="119" t="s">
        <v>189</v>
      </c>
      <c r="X5" s="713" t="s">
        <v>13</v>
      </c>
      <c r="Y5" s="647"/>
      <c r="Z5" s="235" t="s">
        <v>28</v>
      </c>
      <c r="AA5" s="718" t="s">
        <v>29</v>
      </c>
      <c r="AB5" s="647"/>
      <c r="AC5" s="236" t="s">
        <v>190</v>
      </c>
      <c r="AD5" s="236" t="s">
        <v>191</v>
      </c>
      <c r="AE5" s="236" t="s">
        <v>192</v>
      </c>
      <c r="AF5" s="119" t="s">
        <v>189</v>
      </c>
      <c r="AG5" s="713" t="s">
        <v>13</v>
      </c>
      <c r="AH5" s="647"/>
      <c r="AI5" s="119" t="s">
        <v>189</v>
      </c>
      <c r="AJ5" s="713" t="s">
        <v>13</v>
      </c>
      <c r="AK5" s="647"/>
      <c r="AL5" s="119" t="s">
        <v>189</v>
      </c>
      <c r="AM5" s="713" t="s">
        <v>13</v>
      </c>
      <c r="AN5" s="647"/>
      <c r="AO5" s="119" t="s">
        <v>189</v>
      </c>
      <c r="AP5" s="713" t="s">
        <v>13</v>
      </c>
      <c r="AQ5" s="647"/>
      <c r="AR5" s="235" t="s">
        <v>28</v>
      </c>
      <c r="AS5" s="718" t="s">
        <v>29</v>
      </c>
      <c r="AT5" s="647"/>
      <c r="AU5" s="718" t="s">
        <v>29</v>
      </c>
      <c r="AV5" s="647"/>
      <c r="AW5" s="119" t="s">
        <v>189</v>
      </c>
      <c r="AX5" s="713" t="s">
        <v>13</v>
      </c>
      <c r="AY5" s="647"/>
      <c r="AZ5" s="119" t="s">
        <v>189</v>
      </c>
      <c r="BA5" s="713" t="s">
        <v>13</v>
      </c>
      <c r="BB5" s="647"/>
      <c r="BC5" s="119" t="s">
        <v>189</v>
      </c>
      <c r="BD5" s="713" t="s">
        <v>13</v>
      </c>
      <c r="BE5" s="647"/>
      <c r="BF5" s="119" t="s">
        <v>189</v>
      </c>
      <c r="BG5" s="713" t="s">
        <v>13</v>
      </c>
      <c r="BH5" s="647"/>
      <c r="BI5" s="235" t="s">
        <v>28</v>
      </c>
      <c r="BJ5" s="718" t="s">
        <v>29</v>
      </c>
      <c r="BK5" s="647"/>
      <c r="BL5" s="235" t="s">
        <v>28</v>
      </c>
      <c r="BM5" s="718" t="s">
        <v>29</v>
      </c>
      <c r="BN5" s="647"/>
      <c r="BO5" s="119" t="s">
        <v>189</v>
      </c>
      <c r="BP5" s="713" t="s">
        <v>13</v>
      </c>
      <c r="BQ5" s="647"/>
      <c r="BR5" s="119" t="s">
        <v>189</v>
      </c>
      <c r="BS5" s="713" t="s">
        <v>13</v>
      </c>
      <c r="BT5" s="647"/>
      <c r="BU5" s="235" t="s">
        <v>28</v>
      </c>
      <c r="BV5" s="718" t="s">
        <v>29</v>
      </c>
      <c r="BW5" s="647"/>
      <c r="BX5" s="235" t="s">
        <v>28</v>
      </c>
      <c r="BY5" s="718" t="s">
        <v>29</v>
      </c>
      <c r="BZ5" s="647"/>
      <c r="CA5" s="235" t="s">
        <v>28</v>
      </c>
      <c r="CB5" s="718" t="s">
        <v>29</v>
      </c>
      <c r="CC5" s="647"/>
      <c r="CD5" s="119" t="s">
        <v>189</v>
      </c>
      <c r="CE5" s="713" t="s">
        <v>13</v>
      </c>
      <c r="CF5" s="647"/>
      <c r="CG5" s="119" t="s">
        <v>189</v>
      </c>
      <c r="CH5" s="713" t="s">
        <v>13</v>
      </c>
      <c r="CI5" s="647"/>
      <c r="CJ5" s="119" t="s">
        <v>189</v>
      </c>
      <c r="CK5" s="713" t="s">
        <v>13</v>
      </c>
      <c r="CL5" s="647"/>
      <c r="CM5" s="119" t="s">
        <v>189</v>
      </c>
      <c r="CN5" s="713" t="s">
        <v>13</v>
      </c>
      <c r="CO5" s="647"/>
      <c r="CP5" s="119" t="s">
        <v>189</v>
      </c>
      <c r="CQ5" s="713" t="s">
        <v>13</v>
      </c>
      <c r="CR5" s="647"/>
      <c r="CS5" s="235" t="s">
        <v>28</v>
      </c>
      <c r="CT5" s="718" t="s">
        <v>29</v>
      </c>
      <c r="CU5" s="647"/>
      <c r="CV5" s="236" t="s">
        <v>29</v>
      </c>
      <c r="CW5" s="236" t="s">
        <v>29</v>
      </c>
    </row>
    <row r="6" spans="1:101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650"/>
      <c r="S6" s="650"/>
      <c r="T6" s="650"/>
      <c r="U6" s="650"/>
      <c r="V6" s="650"/>
      <c r="W6" s="119" t="s">
        <v>30</v>
      </c>
      <c r="X6" s="180" t="s">
        <v>30</v>
      </c>
      <c r="Y6" s="210" t="s">
        <v>31</v>
      </c>
      <c r="Z6" s="235" t="s">
        <v>193</v>
      </c>
      <c r="AA6" s="237" t="s">
        <v>193</v>
      </c>
      <c r="AB6" s="238" t="s">
        <v>31</v>
      </c>
      <c r="AC6" s="237" t="s">
        <v>35</v>
      </c>
      <c r="AD6" s="237" t="s">
        <v>35</v>
      </c>
      <c r="AE6" s="237" t="s">
        <v>35</v>
      </c>
      <c r="AF6" s="119" t="s">
        <v>30</v>
      </c>
      <c r="AG6" s="180" t="s">
        <v>30</v>
      </c>
      <c r="AH6" s="210" t="s">
        <v>31</v>
      </c>
      <c r="AI6" s="119" t="s">
        <v>30</v>
      </c>
      <c r="AJ6" s="180" t="s">
        <v>30</v>
      </c>
      <c r="AK6" s="210" t="s">
        <v>31</v>
      </c>
      <c r="AL6" s="119" t="s">
        <v>30</v>
      </c>
      <c r="AM6" s="180" t="s">
        <v>30</v>
      </c>
      <c r="AN6" s="210" t="s">
        <v>31</v>
      </c>
      <c r="AO6" s="119" t="s">
        <v>30</v>
      </c>
      <c r="AP6" s="180" t="s">
        <v>30</v>
      </c>
      <c r="AQ6" s="210" t="s">
        <v>31</v>
      </c>
      <c r="AR6" s="239" t="s">
        <v>194</v>
      </c>
      <c r="AS6" s="240" t="s">
        <v>194</v>
      </c>
      <c r="AT6" s="238" t="s">
        <v>31</v>
      </c>
      <c r="AU6" s="240" t="s">
        <v>194</v>
      </c>
      <c r="AV6" s="241" t="s">
        <v>195</v>
      </c>
      <c r="AW6" s="119" t="s">
        <v>30</v>
      </c>
      <c r="AX6" s="180" t="s">
        <v>30</v>
      </c>
      <c r="AY6" s="210" t="s">
        <v>31</v>
      </c>
      <c r="AZ6" s="119" t="s">
        <v>30</v>
      </c>
      <c r="BA6" s="180" t="s">
        <v>30</v>
      </c>
      <c r="BB6" s="210" t="s">
        <v>31</v>
      </c>
      <c r="BC6" s="119" t="s">
        <v>30</v>
      </c>
      <c r="BD6" s="180" t="s">
        <v>30</v>
      </c>
      <c r="BE6" s="210" t="s">
        <v>31</v>
      </c>
      <c r="BF6" s="119" t="s">
        <v>30</v>
      </c>
      <c r="BG6" s="180" t="s">
        <v>30</v>
      </c>
      <c r="BH6" s="210" t="s">
        <v>31</v>
      </c>
      <c r="BI6" s="239" t="s">
        <v>194</v>
      </c>
      <c r="BJ6" s="240" t="s">
        <v>194</v>
      </c>
      <c r="BK6" s="238" t="s">
        <v>31</v>
      </c>
      <c r="BL6" s="239" t="s">
        <v>194</v>
      </c>
      <c r="BM6" s="240" t="s">
        <v>194</v>
      </c>
      <c r="BN6" s="238" t="s">
        <v>31</v>
      </c>
      <c r="BO6" s="119" t="s">
        <v>30</v>
      </c>
      <c r="BP6" s="180" t="s">
        <v>30</v>
      </c>
      <c r="BQ6" s="210" t="s">
        <v>31</v>
      </c>
      <c r="BR6" s="119" t="s">
        <v>30</v>
      </c>
      <c r="BS6" s="180" t="s">
        <v>30</v>
      </c>
      <c r="BT6" s="210" t="s">
        <v>31</v>
      </c>
      <c r="BU6" s="239" t="s">
        <v>196</v>
      </c>
      <c r="BV6" s="240" t="s">
        <v>196</v>
      </c>
      <c r="BW6" s="238" t="s">
        <v>31</v>
      </c>
      <c r="BX6" s="239" t="s">
        <v>196</v>
      </c>
      <c r="BY6" s="240" t="s">
        <v>196</v>
      </c>
      <c r="BZ6" s="238" t="s">
        <v>31</v>
      </c>
      <c r="CA6" s="239" t="s">
        <v>35</v>
      </c>
      <c r="CB6" s="240" t="s">
        <v>35</v>
      </c>
      <c r="CC6" s="238" t="s">
        <v>31</v>
      </c>
      <c r="CD6" s="119" t="s">
        <v>30</v>
      </c>
      <c r="CE6" s="180" t="s">
        <v>30</v>
      </c>
      <c r="CF6" s="210" t="s">
        <v>31</v>
      </c>
      <c r="CG6" s="119" t="s">
        <v>30</v>
      </c>
      <c r="CH6" s="180" t="s">
        <v>30</v>
      </c>
      <c r="CI6" s="210" t="s">
        <v>31</v>
      </c>
      <c r="CJ6" s="119" t="s">
        <v>30</v>
      </c>
      <c r="CK6" s="180" t="s">
        <v>30</v>
      </c>
      <c r="CL6" s="210" t="s">
        <v>31</v>
      </c>
      <c r="CM6" s="119" t="s">
        <v>30</v>
      </c>
      <c r="CN6" s="180" t="s">
        <v>30</v>
      </c>
      <c r="CO6" s="210" t="s">
        <v>31</v>
      </c>
      <c r="CP6" s="119" t="s">
        <v>30</v>
      </c>
      <c r="CQ6" s="180" t="s">
        <v>30</v>
      </c>
      <c r="CR6" s="210" t="s">
        <v>31</v>
      </c>
      <c r="CS6" s="239" t="s">
        <v>35</v>
      </c>
      <c r="CT6" s="240" t="s">
        <v>35</v>
      </c>
      <c r="CU6" s="238" t="s">
        <v>31</v>
      </c>
      <c r="CV6" s="240" t="s">
        <v>35</v>
      </c>
      <c r="CW6" s="240" t="s">
        <v>153</v>
      </c>
    </row>
    <row r="7" spans="1:101" ht="24" customHeight="1" x14ac:dyDescent="0.3">
      <c r="A7" s="694" t="s">
        <v>38</v>
      </c>
      <c r="B7" s="647"/>
      <c r="C7" s="126">
        <f t="shared" ref="C7:C9" ca="1" si="0">D7+G7</f>
        <v>19198200</v>
      </c>
      <c r="D7" s="127">
        <f t="shared" ref="D7:E7" ca="1" si="1">D8+D9+D12</f>
        <v>17546200</v>
      </c>
      <c r="E7" s="128">
        <f t="shared" ca="1" si="1"/>
        <v>7895800</v>
      </c>
      <c r="F7" s="129">
        <f ca="1">F8+F9</f>
        <v>9650400</v>
      </c>
      <c r="G7" s="130">
        <f t="shared" ref="G7:I7" ca="1" si="2">G8+G9+G12</f>
        <v>1652000</v>
      </c>
      <c r="H7" s="131">
        <f t="shared" ca="1" si="2"/>
        <v>17546200</v>
      </c>
      <c r="I7" s="131">
        <f t="shared" ca="1" si="2"/>
        <v>1652000</v>
      </c>
      <c r="J7" s="132">
        <f t="shared" ref="J7:J9" ca="1" si="3">L7+O7</f>
        <v>14583280.319999998</v>
      </c>
      <c r="K7" s="133">
        <f t="shared" ref="K7:K9" ca="1" si="4">IF(C7&gt;0,J7*100/C7,0)</f>
        <v>75.961706409975918</v>
      </c>
      <c r="L7" s="132">
        <f ca="1">L8+L9+L12</f>
        <v>14583280.319999998</v>
      </c>
      <c r="M7" s="27">
        <f t="shared" ref="M7:M9" ca="1" si="5">IF(D7&gt;0,L7*100/D7,0)</f>
        <v>83.113610468363504</v>
      </c>
      <c r="N7" s="27">
        <f t="shared" ref="N7:N9" ca="1" si="6">IF(H7&gt;0,L7*100/H7,0)</f>
        <v>83.113610468363504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5957738</v>
      </c>
      <c r="S7" s="26">
        <f t="shared" ca="1" si="9"/>
        <v>5903738</v>
      </c>
      <c r="T7" s="26">
        <f t="shared" ca="1" si="9"/>
        <v>4920730.2</v>
      </c>
      <c r="U7" s="27">
        <f t="shared" ref="U7:U9" ca="1" si="10">IF(R7&gt;0,T7*100/R7,0)</f>
        <v>82.593934140776241</v>
      </c>
      <c r="V7" s="27">
        <f t="shared" ref="V7:V9" ca="1" si="11">IF(S7&gt;0,T7*100/S7,0)</f>
        <v>83.349399990311227</v>
      </c>
      <c r="W7" s="211">
        <f t="shared" ref="W7:X7" ca="1" si="12">W8</f>
        <v>432000</v>
      </c>
      <c r="X7" s="212">
        <f t="shared" ca="1" si="12"/>
        <v>243422.05</v>
      </c>
      <c r="Y7" s="213">
        <f t="shared" ref="Y7:Y8" ca="1" si="13">IF(W7&gt;0,X7*100/W7,0)</f>
        <v>56.347696759259257</v>
      </c>
      <c r="Z7" s="242">
        <f t="shared" ref="Z7:AA7" ca="1" si="14">Z8</f>
        <v>288</v>
      </c>
      <c r="AA7" s="243">
        <f t="shared" ca="1" si="14"/>
        <v>276</v>
      </c>
      <c r="AB7" s="244">
        <f t="shared" ref="AB7:AB8" ca="1" si="15">IF(Z7&gt;0,AA7*100/Z7,0)</f>
        <v>95.833333333333329</v>
      </c>
      <c r="AC7" s="243">
        <f t="shared" ref="AC7:AG7" ca="1" si="16">AC8</f>
        <v>8344</v>
      </c>
      <c r="AD7" s="243">
        <f t="shared" ca="1" si="16"/>
        <v>8322</v>
      </c>
      <c r="AE7" s="243">
        <f t="shared" ca="1" si="16"/>
        <v>22</v>
      </c>
      <c r="AF7" s="211">
        <f t="shared" ca="1" si="16"/>
        <v>173000</v>
      </c>
      <c r="AG7" s="212">
        <f t="shared" ca="1" si="16"/>
        <v>94190.88</v>
      </c>
      <c r="AH7" s="213">
        <f t="shared" ref="AH7:AH8" ca="1" si="17">IF(AF7&gt;0,AG7*100/AF7,0)</f>
        <v>54.44559537572254</v>
      </c>
      <c r="AI7" s="211">
        <f t="shared" ref="AI7:AJ7" ca="1" si="18">AI8</f>
        <v>84162</v>
      </c>
      <c r="AJ7" s="212">
        <f t="shared" ca="1" si="18"/>
        <v>84627</v>
      </c>
      <c r="AK7" s="213">
        <f t="shared" ref="AK7:AK8" ca="1" si="19">IF(AI7&gt;0,AJ7*100/AI7,0)</f>
        <v>100.55250588151422</v>
      </c>
      <c r="AL7" s="211">
        <f t="shared" ref="AL7:AM7" ca="1" si="20">AL8</f>
        <v>2283838</v>
      </c>
      <c r="AM7" s="212">
        <f t="shared" ca="1" si="20"/>
        <v>1395719.2</v>
      </c>
      <c r="AN7" s="213">
        <f t="shared" ref="AN7:AN8" ca="1" si="21">IF(AL7&gt;0,AM7*100/AL7,0)</f>
        <v>61.112881036220607</v>
      </c>
      <c r="AO7" s="211">
        <f t="shared" ref="AO7:AP7" ca="1" si="22">AO8</f>
        <v>792000</v>
      </c>
      <c r="AP7" s="212">
        <f t="shared" ca="1" si="22"/>
        <v>437345</v>
      </c>
      <c r="AQ7" s="213">
        <f t="shared" ref="AQ7:AQ8" ca="1" si="23">IF(AO7&gt;0,AP7*100/AO7,0)</f>
        <v>55.220328282828284</v>
      </c>
      <c r="AR7" s="242">
        <f t="shared" ref="AR7:AS7" ca="1" si="24">AR8</f>
        <v>173</v>
      </c>
      <c r="AS7" s="243">
        <f t="shared" ca="1" si="24"/>
        <v>154</v>
      </c>
      <c r="AT7" s="244">
        <f t="shared" ref="AT7:AT8" ca="1" si="25">IF(AR7&gt;0,AS7*100/AR7,0)</f>
        <v>89.017341040462426</v>
      </c>
      <c r="AU7" s="243">
        <f t="shared" ref="AU7:AX7" ca="1" si="26">AU8</f>
        <v>131</v>
      </c>
      <c r="AV7" s="243">
        <f t="shared" ca="1" si="26"/>
        <v>16</v>
      </c>
      <c r="AW7" s="211">
        <f t="shared" ca="1" si="26"/>
        <v>54000</v>
      </c>
      <c r="AX7" s="212">
        <f t="shared" ca="1" si="26"/>
        <v>32880</v>
      </c>
      <c r="AY7" s="213">
        <f t="shared" ref="AY7:AY8" ca="1" si="27">IF(AW7&gt;0,AX7*100/AW7,0)</f>
        <v>60.888888888888886</v>
      </c>
      <c r="AZ7" s="211">
        <f t="shared" ref="AZ7:BA7" ca="1" si="28">AZ8</f>
        <v>270000</v>
      </c>
      <c r="BA7" s="212">
        <f t="shared" ca="1" si="28"/>
        <v>105000</v>
      </c>
      <c r="BB7" s="213">
        <f t="shared" ref="BB7:BB8" ca="1" si="29">IF(AZ7&gt;0,BA7*100/AZ7,0)</f>
        <v>38.888888888888886</v>
      </c>
      <c r="BC7" s="211">
        <f t="shared" ref="BC7:BD7" ca="1" si="30">BC8</f>
        <v>8000</v>
      </c>
      <c r="BD7" s="212">
        <f t="shared" ca="1" si="30"/>
        <v>8000</v>
      </c>
      <c r="BE7" s="213">
        <f t="shared" ref="BE7:BE8" ca="1" si="31">IF(BC7&gt;0,BD7*100/BC7,0)</f>
        <v>100</v>
      </c>
      <c r="BF7" s="211">
        <f t="shared" ref="BF7:BG7" ca="1" si="32">BF8</f>
        <v>2675800</v>
      </c>
      <c r="BG7" s="212">
        <f t="shared" ca="1" si="32"/>
        <v>1688456</v>
      </c>
      <c r="BH7" s="213">
        <f t="shared" ref="BH7:BH8" ca="1" si="33">IF(BF7&gt;0,BG7*100/BF7,0)</f>
        <v>63.100979146423498</v>
      </c>
      <c r="BI7" s="242">
        <f t="shared" ref="BI7:BJ7" ca="1" si="34">BI8</f>
        <v>54</v>
      </c>
      <c r="BJ7" s="243">
        <f t="shared" ca="1" si="34"/>
        <v>22</v>
      </c>
      <c r="BK7" s="244">
        <f t="shared" ref="BK7:BK8" ca="1" si="35">IF(BI7&gt;0,BJ7*100/BI7,0)</f>
        <v>40.74074074074074</v>
      </c>
      <c r="BL7" s="242">
        <f t="shared" ref="BL7:BM7" ca="1" si="36">BL8</f>
        <v>54</v>
      </c>
      <c r="BM7" s="243">
        <f t="shared" ca="1" si="36"/>
        <v>49</v>
      </c>
      <c r="BN7" s="244">
        <f t="shared" ref="BN7:BN8" ca="1" si="37">IF(BL7&gt;0,BM7*100/BL7,0)</f>
        <v>90.740740740740748</v>
      </c>
      <c r="BO7" s="211">
        <f t="shared" ref="BO7:BP7" ca="1" si="38">BO8</f>
        <v>177500</v>
      </c>
      <c r="BP7" s="212">
        <f t="shared" ca="1" si="38"/>
        <v>84055</v>
      </c>
      <c r="BQ7" s="213">
        <f t="shared" ref="BQ7:BQ8" ca="1" si="39">IF(BO7&gt;0,BP7*100/BO7,0)</f>
        <v>47.354929577464787</v>
      </c>
      <c r="BR7" s="211">
        <f t="shared" ref="BR7:BS7" ca="1" si="40">BR8</f>
        <v>310000</v>
      </c>
      <c r="BS7" s="212">
        <f t="shared" ca="1" si="40"/>
        <v>143365</v>
      </c>
      <c r="BT7" s="213">
        <f t="shared" ref="BT7:BT8" ca="1" si="41">IF(BR7&gt;0,BS7*100/BR7,0)</f>
        <v>46.24677419354839</v>
      </c>
      <c r="BU7" s="242">
        <f t="shared" ref="BU7:BV7" ca="1" si="42">BU8</f>
        <v>2633000</v>
      </c>
      <c r="BV7" s="243">
        <f t="shared" ca="1" si="42"/>
        <v>2355200</v>
      </c>
      <c r="BW7" s="244">
        <f t="shared" ref="BW7:BW8" ca="1" si="43">IF(BU7&gt;0,BV7*100/BU7,0)</f>
        <v>89.449297379415114</v>
      </c>
      <c r="BX7" s="242">
        <f t="shared" ref="BX7:BY7" ca="1" si="44">BX8</f>
        <v>2633000</v>
      </c>
      <c r="BY7" s="243">
        <f t="shared" ca="1" si="44"/>
        <v>2022400</v>
      </c>
      <c r="BZ7" s="244">
        <f t="shared" ref="BZ7:BZ8" ca="1" si="45">IF(BX7&gt;0,BY7*100/BX7,0)</f>
        <v>76.809722749715149</v>
      </c>
      <c r="CA7" s="242">
        <f t="shared" ref="CA7:CB7" ca="1" si="46">CA8</f>
        <v>0</v>
      </c>
      <c r="CB7" s="243">
        <f t="shared" ca="1" si="46"/>
        <v>0</v>
      </c>
      <c r="CC7" s="244">
        <f t="shared" ref="CC7:CC8" ca="1" si="47">IF(CA7&gt;0,CB7*100/CA7,0)</f>
        <v>0</v>
      </c>
      <c r="CD7" s="211">
        <f t="shared" ref="CD7:CE7" ca="1" si="48">CD8</f>
        <v>1780400</v>
      </c>
      <c r="CE7" s="212">
        <f t="shared" ca="1" si="48"/>
        <v>371583.69</v>
      </c>
      <c r="CF7" s="213">
        <f t="shared" ref="CF7:CF8" ca="1" si="49">IF(CD7&gt;0,CE7*100/CD7,0)</f>
        <v>20.870798135250507</v>
      </c>
      <c r="CG7" s="211">
        <f t="shared" ref="CG7:CH7" ca="1" si="50">CG8</f>
        <v>94000</v>
      </c>
      <c r="CH7" s="212">
        <f t="shared" ca="1" si="50"/>
        <v>877589.72</v>
      </c>
      <c r="CI7" s="213">
        <f t="shared" ref="CI7:CI8" ca="1" si="51">IF(CG7&gt;0,CH7*100/CG7,0)</f>
        <v>933.60608510638303</v>
      </c>
      <c r="CJ7" s="211">
        <f t="shared" ref="CJ7:CK7" ca="1" si="52">CJ8</f>
        <v>907838</v>
      </c>
      <c r="CK7" s="212">
        <f t="shared" ca="1" si="52"/>
        <v>796463</v>
      </c>
      <c r="CL7" s="213">
        <f t="shared" ref="CL7:CL8" ca="1" si="53">IF(CJ7&gt;0,CK7*100/CJ7,0)</f>
        <v>87.731842024678414</v>
      </c>
      <c r="CM7" s="211">
        <f t="shared" ref="CM7:CN7" ca="1" si="54">CM8</f>
        <v>860100</v>
      </c>
      <c r="CN7" s="212">
        <f t="shared" ca="1" si="54"/>
        <v>742495</v>
      </c>
      <c r="CO7" s="213">
        <f t="shared" ref="CO7:CO8" ca="1" si="55">IF(CM7&gt;0,CN7*100/CM7,0)</f>
        <v>86.326589931403319</v>
      </c>
      <c r="CP7" s="211">
        <f t="shared" ref="CP7:CQ7" ca="1" si="56">CP8</f>
        <v>1343500</v>
      </c>
      <c r="CQ7" s="212">
        <f t="shared" ca="1" si="56"/>
        <v>758130.4</v>
      </c>
      <c r="CR7" s="213">
        <f t="shared" ref="CR7:CR8" ca="1" si="57">IF(CP7&gt;0,CQ7*100/CP7,0)</f>
        <v>56.429505024190547</v>
      </c>
      <c r="CS7" s="242">
        <f t="shared" ref="CS7:CT7" ca="1" si="58">CS8</f>
        <v>1130</v>
      </c>
      <c r="CT7" s="243">
        <f t="shared" ca="1" si="58"/>
        <v>1035</v>
      </c>
      <c r="CU7" s="244">
        <f t="shared" ref="CU7:CU8" ca="1" si="59">IF(CS7&gt;0,CT7*100/CS7,0)</f>
        <v>91.592920353982308</v>
      </c>
      <c r="CV7" s="243">
        <f t="shared" ref="CV7:CW7" ca="1" si="60">CV8</f>
        <v>745</v>
      </c>
      <c r="CW7" s="243">
        <f t="shared" ca="1" si="60"/>
        <v>24</v>
      </c>
    </row>
    <row r="8" spans="1:101" ht="28.5" customHeight="1" x14ac:dyDescent="0.3">
      <c r="A8" s="134" t="s">
        <v>39</v>
      </c>
      <c r="B8" s="135"/>
      <c r="C8" s="136">
        <f t="shared" ca="1" si="0"/>
        <v>15011300</v>
      </c>
      <c r="D8" s="136">
        <f t="shared" ref="D8:I8" ca="1" si="61">+D13+D31+D52+D74</f>
        <v>13359300</v>
      </c>
      <c r="E8" s="136">
        <f t="shared" ca="1" si="61"/>
        <v>6932900</v>
      </c>
      <c r="F8" s="136">
        <f t="shared" ca="1" si="61"/>
        <v>6426400</v>
      </c>
      <c r="G8" s="136">
        <f t="shared" ca="1" si="61"/>
        <v>1652000</v>
      </c>
      <c r="H8" s="136">
        <f t="shared" ca="1" si="61"/>
        <v>14927997</v>
      </c>
      <c r="I8" s="136">
        <f t="shared" ca="1" si="61"/>
        <v>1652000</v>
      </c>
      <c r="J8" s="136">
        <f t="shared" ca="1" si="3"/>
        <v>12603716.149999999</v>
      </c>
      <c r="K8" s="137">
        <f t="shared" ca="1" si="4"/>
        <v>83.961523319099598</v>
      </c>
      <c r="L8" s="136">
        <f ca="1">+L13+L31+L52+L74</f>
        <v>12603716.149999999</v>
      </c>
      <c r="M8" s="37">
        <f t="shared" ca="1" si="5"/>
        <v>94.344135920295201</v>
      </c>
      <c r="N8" s="37">
        <f t="shared" ca="1" si="6"/>
        <v>84.430055485675652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62">+R13+R31+R52+R74</f>
        <v>5903738</v>
      </c>
      <c r="S8" s="36">
        <f t="shared" ca="1" si="62"/>
        <v>5903738</v>
      </c>
      <c r="T8" s="36">
        <f t="shared" ca="1" si="62"/>
        <v>4920730.2</v>
      </c>
      <c r="U8" s="37">
        <f t="shared" ca="1" si="10"/>
        <v>83.349399990311227</v>
      </c>
      <c r="V8" s="37">
        <f t="shared" ca="1" si="11"/>
        <v>83.349399990311227</v>
      </c>
      <c r="W8" s="136">
        <f t="shared" ref="W8:X8" ca="1" si="63">+W13+W31+W52+W74</f>
        <v>432000</v>
      </c>
      <c r="X8" s="136">
        <f t="shared" ca="1" si="63"/>
        <v>243422.05</v>
      </c>
      <c r="Y8" s="37">
        <f t="shared" ca="1" si="13"/>
        <v>56.347696759259257</v>
      </c>
      <c r="Z8" s="136">
        <f t="shared" ref="Z8:AA8" ca="1" si="64">+Z13+Z31+Z52+Z74</f>
        <v>288</v>
      </c>
      <c r="AA8" s="136">
        <f t="shared" ca="1" si="64"/>
        <v>276</v>
      </c>
      <c r="AB8" s="37">
        <f t="shared" ca="1" si="15"/>
        <v>95.833333333333329</v>
      </c>
      <c r="AC8" s="136">
        <f t="shared" ref="AC8:AG8" ca="1" si="65">+AC13+AC31+AC52+AC74</f>
        <v>8344</v>
      </c>
      <c r="AD8" s="136">
        <f t="shared" ca="1" si="65"/>
        <v>8322</v>
      </c>
      <c r="AE8" s="136">
        <f t="shared" ca="1" si="65"/>
        <v>22</v>
      </c>
      <c r="AF8" s="136">
        <f t="shared" ca="1" si="65"/>
        <v>173000</v>
      </c>
      <c r="AG8" s="136">
        <f t="shared" ca="1" si="65"/>
        <v>94190.88</v>
      </c>
      <c r="AH8" s="37">
        <f t="shared" ca="1" si="17"/>
        <v>54.44559537572254</v>
      </c>
      <c r="AI8" s="136">
        <f t="shared" ref="AI8:AJ8" ca="1" si="66">+AI13+AI31+AI52+AI74</f>
        <v>84162</v>
      </c>
      <c r="AJ8" s="136">
        <f t="shared" ca="1" si="66"/>
        <v>84627</v>
      </c>
      <c r="AK8" s="37">
        <f t="shared" ca="1" si="19"/>
        <v>100.55250588151422</v>
      </c>
      <c r="AL8" s="136">
        <f t="shared" ref="AL8:AM8" ca="1" si="67">+AL13+AL31+AL52+AL74</f>
        <v>2283838</v>
      </c>
      <c r="AM8" s="136">
        <f t="shared" ca="1" si="67"/>
        <v>1395719.2</v>
      </c>
      <c r="AN8" s="37">
        <f t="shared" ca="1" si="21"/>
        <v>61.112881036220607</v>
      </c>
      <c r="AO8" s="136">
        <f t="shared" ref="AO8:AP8" ca="1" si="68">+AO13+AO31+AO52+AO74</f>
        <v>792000</v>
      </c>
      <c r="AP8" s="136">
        <f t="shared" ca="1" si="68"/>
        <v>437345</v>
      </c>
      <c r="AQ8" s="37">
        <f t="shared" ca="1" si="23"/>
        <v>55.220328282828284</v>
      </c>
      <c r="AR8" s="136">
        <f t="shared" ref="AR8:AS8" ca="1" si="69">+AR13+AR31+AR52+AR74</f>
        <v>173</v>
      </c>
      <c r="AS8" s="136">
        <f t="shared" ca="1" si="69"/>
        <v>154</v>
      </c>
      <c r="AT8" s="37">
        <f t="shared" ca="1" si="25"/>
        <v>89.017341040462426</v>
      </c>
      <c r="AU8" s="136">
        <f t="shared" ref="AU8:AX8" ca="1" si="70">+AU13+AU31+AU52+AU74</f>
        <v>131</v>
      </c>
      <c r="AV8" s="136">
        <f t="shared" ca="1" si="70"/>
        <v>16</v>
      </c>
      <c r="AW8" s="136">
        <f t="shared" ca="1" si="70"/>
        <v>54000</v>
      </c>
      <c r="AX8" s="136">
        <f t="shared" ca="1" si="70"/>
        <v>32880</v>
      </c>
      <c r="AY8" s="37">
        <f t="shared" ca="1" si="27"/>
        <v>60.888888888888886</v>
      </c>
      <c r="AZ8" s="136">
        <f t="shared" ref="AZ8:BA8" ca="1" si="71">+AZ13+AZ31+AZ52+AZ74</f>
        <v>270000</v>
      </c>
      <c r="BA8" s="136">
        <f t="shared" ca="1" si="71"/>
        <v>105000</v>
      </c>
      <c r="BB8" s="37">
        <f t="shared" ca="1" si="29"/>
        <v>38.888888888888886</v>
      </c>
      <c r="BC8" s="136">
        <f t="shared" ref="BC8:BD8" ca="1" si="72">+BC13+BC31+BC52+BC74</f>
        <v>8000</v>
      </c>
      <c r="BD8" s="136">
        <f t="shared" ca="1" si="72"/>
        <v>8000</v>
      </c>
      <c r="BE8" s="37">
        <f t="shared" ca="1" si="31"/>
        <v>100</v>
      </c>
      <c r="BF8" s="136">
        <f t="shared" ref="BF8:BG8" ca="1" si="73">+BF13+BF31+BF52+BF74</f>
        <v>2675800</v>
      </c>
      <c r="BG8" s="136">
        <f t="shared" ca="1" si="73"/>
        <v>1688456</v>
      </c>
      <c r="BH8" s="37">
        <f t="shared" ca="1" si="33"/>
        <v>63.100979146423498</v>
      </c>
      <c r="BI8" s="136">
        <f t="shared" ref="BI8:BJ8" ca="1" si="74">+BI13+BI31+BI52+BI74</f>
        <v>54</v>
      </c>
      <c r="BJ8" s="136">
        <f t="shared" ca="1" si="74"/>
        <v>22</v>
      </c>
      <c r="BK8" s="37">
        <f t="shared" ca="1" si="35"/>
        <v>40.74074074074074</v>
      </c>
      <c r="BL8" s="136">
        <f t="shared" ref="BL8:BM8" ca="1" si="75">+BL13+BL31+BL52+BL74</f>
        <v>54</v>
      </c>
      <c r="BM8" s="136">
        <f t="shared" ca="1" si="75"/>
        <v>49</v>
      </c>
      <c r="BN8" s="37">
        <f t="shared" ca="1" si="37"/>
        <v>90.740740740740748</v>
      </c>
      <c r="BO8" s="136">
        <f t="shared" ref="BO8:BP8" ca="1" si="76">+BO13+BO31+BO52+BO74</f>
        <v>177500</v>
      </c>
      <c r="BP8" s="136">
        <f t="shared" ca="1" si="76"/>
        <v>84055</v>
      </c>
      <c r="BQ8" s="37">
        <f t="shared" ca="1" si="39"/>
        <v>47.354929577464787</v>
      </c>
      <c r="BR8" s="136">
        <f t="shared" ref="BR8:BS8" ca="1" si="77">+BR13+BR31+BR52+BR74</f>
        <v>310000</v>
      </c>
      <c r="BS8" s="136">
        <f t="shared" ca="1" si="77"/>
        <v>143365</v>
      </c>
      <c r="BT8" s="37">
        <f t="shared" ca="1" si="41"/>
        <v>46.24677419354839</v>
      </c>
      <c r="BU8" s="136">
        <f t="shared" ref="BU8:BV8" ca="1" si="78">+BU13+BU31+BU52+BU74</f>
        <v>2633000</v>
      </c>
      <c r="BV8" s="136">
        <f t="shared" ca="1" si="78"/>
        <v>2355200</v>
      </c>
      <c r="BW8" s="37">
        <f t="shared" ca="1" si="43"/>
        <v>89.449297379415114</v>
      </c>
      <c r="BX8" s="136">
        <f t="shared" ref="BX8:BY8" ca="1" si="79">+BX13+BX31+BX52+BX74</f>
        <v>2633000</v>
      </c>
      <c r="BY8" s="136">
        <f t="shared" ca="1" si="79"/>
        <v>2022400</v>
      </c>
      <c r="BZ8" s="37">
        <f t="shared" ca="1" si="45"/>
        <v>76.809722749715149</v>
      </c>
      <c r="CA8" s="136">
        <f t="shared" ref="CA8:CB8" ca="1" si="80">+CA13+CA31+CA52+CA74</f>
        <v>0</v>
      </c>
      <c r="CB8" s="136">
        <f t="shared" ca="1" si="80"/>
        <v>0</v>
      </c>
      <c r="CC8" s="37">
        <f t="shared" ca="1" si="47"/>
        <v>0</v>
      </c>
      <c r="CD8" s="136">
        <f t="shared" ref="CD8:CE8" ca="1" si="81">+CD13+CD31+CD52+CD74</f>
        <v>1780400</v>
      </c>
      <c r="CE8" s="136">
        <f t="shared" ca="1" si="81"/>
        <v>371583.69</v>
      </c>
      <c r="CF8" s="37">
        <f t="shared" ca="1" si="49"/>
        <v>20.870798135250507</v>
      </c>
      <c r="CG8" s="136">
        <f t="shared" ref="CG8:CH8" ca="1" si="82">+CG13+CG31+CG52+CG74</f>
        <v>94000</v>
      </c>
      <c r="CH8" s="136">
        <f t="shared" ca="1" si="82"/>
        <v>877589.72</v>
      </c>
      <c r="CI8" s="37">
        <f t="shared" ca="1" si="51"/>
        <v>933.60608510638303</v>
      </c>
      <c r="CJ8" s="136">
        <f t="shared" ref="CJ8:CK8" ca="1" si="83">+CJ13+CJ31+CJ52+CJ74</f>
        <v>907838</v>
      </c>
      <c r="CK8" s="136">
        <f t="shared" ca="1" si="83"/>
        <v>796463</v>
      </c>
      <c r="CL8" s="37">
        <f t="shared" ca="1" si="53"/>
        <v>87.731842024678414</v>
      </c>
      <c r="CM8" s="136">
        <f t="shared" ref="CM8:CN8" ca="1" si="84">+CM13+CM31+CM52+CM74</f>
        <v>860100</v>
      </c>
      <c r="CN8" s="136">
        <f t="shared" ca="1" si="84"/>
        <v>742495</v>
      </c>
      <c r="CO8" s="37">
        <f t="shared" ca="1" si="55"/>
        <v>86.326589931403319</v>
      </c>
      <c r="CP8" s="136">
        <f t="shared" ref="CP8:CQ8" ca="1" si="85">+CP13+CP31+CP52+CP74</f>
        <v>1343500</v>
      </c>
      <c r="CQ8" s="136">
        <f t="shared" ca="1" si="85"/>
        <v>758130.4</v>
      </c>
      <c r="CR8" s="37">
        <f t="shared" ca="1" si="57"/>
        <v>56.429505024190547</v>
      </c>
      <c r="CS8" s="136">
        <f t="shared" ref="CS8:CT8" ca="1" si="86">+CS13+CS31+CS52+CS74</f>
        <v>1130</v>
      </c>
      <c r="CT8" s="136">
        <f t="shared" ca="1" si="86"/>
        <v>1035</v>
      </c>
      <c r="CU8" s="37">
        <f t="shared" ca="1" si="59"/>
        <v>91.592920353982308</v>
      </c>
      <c r="CV8" s="136">
        <f t="shared" ref="CV8:CW8" ca="1" si="87">+CV13+CV31+CV52+CV74</f>
        <v>745</v>
      </c>
      <c r="CW8" s="136">
        <f t="shared" ca="1" si="87"/>
        <v>24</v>
      </c>
    </row>
    <row r="9" spans="1:101" ht="28.5" customHeight="1" x14ac:dyDescent="0.3">
      <c r="A9" s="245" t="s">
        <v>40</v>
      </c>
      <c r="B9" s="138"/>
      <c r="C9" s="139">
        <f t="shared" ca="1" si="0"/>
        <v>4186900</v>
      </c>
      <c r="D9" s="139">
        <f t="shared" ref="D9:I9" ca="1" si="88">+D89</f>
        <v>4186900</v>
      </c>
      <c r="E9" s="139">
        <f t="shared" ca="1" si="88"/>
        <v>962900</v>
      </c>
      <c r="F9" s="139">
        <f t="shared" ca="1" si="88"/>
        <v>3224000</v>
      </c>
      <c r="G9" s="139">
        <f t="shared" ca="1" si="88"/>
        <v>0</v>
      </c>
      <c r="H9" s="139">
        <f t="shared" ca="1" si="88"/>
        <v>2618203</v>
      </c>
      <c r="I9" s="139">
        <f t="shared" ca="1" si="88"/>
        <v>0</v>
      </c>
      <c r="J9" s="139">
        <f t="shared" ca="1" si="3"/>
        <v>1979564.17</v>
      </c>
      <c r="K9" s="140">
        <f t="shared" ca="1" si="4"/>
        <v>47.279948649358715</v>
      </c>
      <c r="L9" s="139">
        <f ca="1">+L89</f>
        <v>1979564.17</v>
      </c>
      <c r="M9" s="44">
        <f t="shared" ca="1" si="5"/>
        <v>47.279948649358715</v>
      </c>
      <c r="N9" s="44">
        <f t="shared" ca="1" si="6"/>
        <v>75.60774202764263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89">+R89</f>
        <v>54000</v>
      </c>
      <c r="S9" s="43">
        <f t="shared" ca="1" si="89"/>
        <v>0</v>
      </c>
      <c r="T9" s="43">
        <f t="shared" ca="1" si="89"/>
        <v>0</v>
      </c>
      <c r="U9" s="44">
        <f t="shared" ca="1" si="10"/>
        <v>0</v>
      </c>
      <c r="V9" s="44">
        <f t="shared" ca="1" si="11"/>
        <v>0</v>
      </c>
      <c r="W9" s="246"/>
      <c r="X9" s="246"/>
      <c r="Y9" s="247"/>
      <c r="Z9" s="246"/>
      <c r="AA9" s="246"/>
      <c r="AB9" s="247"/>
      <c r="AC9" s="246"/>
      <c r="AD9" s="246"/>
      <c r="AE9" s="246"/>
      <c r="AF9" s="246"/>
      <c r="AG9" s="246"/>
      <c r="AH9" s="247"/>
      <c r="AI9" s="246"/>
      <c r="AJ9" s="246"/>
      <c r="AK9" s="247"/>
      <c r="AL9" s="246"/>
      <c r="AM9" s="246"/>
      <c r="AN9" s="247"/>
      <c r="AO9" s="246"/>
      <c r="AP9" s="246"/>
      <c r="AQ9" s="247"/>
      <c r="AR9" s="246"/>
      <c r="AS9" s="246"/>
      <c r="AT9" s="247"/>
      <c r="AU9" s="246"/>
      <c r="AV9" s="246"/>
      <c r="AW9" s="246"/>
      <c r="AX9" s="246"/>
      <c r="AY9" s="247"/>
      <c r="AZ9" s="246"/>
      <c r="BA9" s="246"/>
      <c r="BB9" s="247"/>
      <c r="BC9" s="246"/>
      <c r="BD9" s="246"/>
      <c r="BE9" s="247"/>
      <c r="BF9" s="246"/>
      <c r="BG9" s="246"/>
      <c r="BH9" s="247"/>
      <c r="BI9" s="246"/>
      <c r="BJ9" s="246"/>
      <c r="BK9" s="247"/>
      <c r="BL9" s="246"/>
      <c r="BM9" s="246"/>
      <c r="BN9" s="247"/>
      <c r="BO9" s="246"/>
      <c r="BP9" s="246"/>
      <c r="BQ9" s="247"/>
      <c r="BR9" s="246"/>
      <c r="BS9" s="246"/>
      <c r="BT9" s="247"/>
      <c r="BU9" s="246"/>
      <c r="BV9" s="246"/>
      <c r="BW9" s="247"/>
      <c r="BX9" s="246"/>
      <c r="BY9" s="246"/>
      <c r="BZ9" s="247"/>
      <c r="CA9" s="246"/>
      <c r="CB9" s="246"/>
      <c r="CC9" s="247"/>
      <c r="CD9" s="246"/>
      <c r="CE9" s="246"/>
      <c r="CF9" s="247"/>
      <c r="CG9" s="246"/>
      <c r="CH9" s="246"/>
      <c r="CI9" s="247"/>
      <c r="CJ9" s="246"/>
      <c r="CK9" s="246"/>
      <c r="CL9" s="247"/>
      <c r="CM9" s="248"/>
      <c r="CN9" s="248"/>
      <c r="CO9" s="247"/>
      <c r="CP9" s="246"/>
      <c r="CQ9" s="246"/>
      <c r="CR9" s="247"/>
      <c r="CS9" s="246"/>
      <c r="CT9" s="246"/>
      <c r="CU9" s="247"/>
      <c r="CV9" s="246"/>
      <c r="CW9" s="246"/>
    </row>
    <row r="10" spans="1:101" ht="28.5" hidden="1" customHeight="1" x14ac:dyDescent="0.3">
      <c r="A10" s="142"/>
      <c r="B10" s="142"/>
      <c r="C10" s="214"/>
      <c r="D10" s="214"/>
      <c r="E10" s="214"/>
      <c r="F10" s="214"/>
      <c r="G10" s="214"/>
      <c r="H10" s="214"/>
      <c r="I10" s="214"/>
      <c r="J10" s="214"/>
      <c r="K10" s="249"/>
      <c r="L10" s="214"/>
      <c r="M10" s="196"/>
      <c r="N10" s="196"/>
      <c r="O10" s="195"/>
      <c r="P10" s="195"/>
      <c r="Q10" s="196"/>
      <c r="R10" s="195"/>
      <c r="S10" s="195"/>
      <c r="T10" s="195"/>
      <c r="U10" s="196"/>
      <c r="V10" s="196"/>
      <c r="W10" s="214"/>
      <c r="X10" s="214"/>
      <c r="Y10" s="196"/>
      <c r="Z10" s="214"/>
      <c r="AA10" s="214"/>
      <c r="AB10" s="196"/>
      <c r="AC10" s="214"/>
      <c r="AD10" s="214"/>
      <c r="AE10" s="214"/>
      <c r="AF10" s="214"/>
      <c r="AG10" s="214"/>
      <c r="AH10" s="196"/>
      <c r="AI10" s="214"/>
      <c r="AJ10" s="214"/>
      <c r="AK10" s="196"/>
      <c r="AL10" s="214"/>
      <c r="AM10" s="214"/>
      <c r="AN10" s="196"/>
      <c r="AO10" s="214"/>
      <c r="AP10" s="214"/>
      <c r="AQ10" s="196"/>
      <c r="AR10" s="214"/>
      <c r="AS10" s="214"/>
      <c r="AT10" s="196"/>
      <c r="AU10" s="214"/>
      <c r="AV10" s="214"/>
      <c r="AW10" s="214"/>
      <c r="AX10" s="214"/>
      <c r="AY10" s="196"/>
      <c r="AZ10" s="214"/>
      <c r="BA10" s="214"/>
      <c r="BB10" s="196"/>
      <c r="BC10" s="214"/>
      <c r="BD10" s="214"/>
      <c r="BE10" s="196"/>
      <c r="BF10" s="214"/>
      <c r="BG10" s="214"/>
      <c r="BH10" s="196"/>
      <c r="BI10" s="214"/>
      <c r="BJ10" s="214"/>
      <c r="BK10" s="196"/>
      <c r="BL10" s="214"/>
      <c r="BM10" s="214"/>
      <c r="BN10" s="196"/>
      <c r="BO10" s="214"/>
      <c r="BP10" s="214"/>
      <c r="BQ10" s="196"/>
      <c r="BR10" s="214"/>
      <c r="BS10" s="214"/>
      <c r="BT10" s="196"/>
      <c r="BU10" s="214"/>
      <c r="BV10" s="214"/>
      <c r="BW10" s="196"/>
      <c r="BX10" s="214"/>
      <c r="BY10" s="214"/>
      <c r="BZ10" s="196"/>
      <c r="CA10" s="214"/>
      <c r="CB10" s="214"/>
      <c r="CC10" s="196"/>
      <c r="CD10" s="214"/>
      <c r="CE10" s="214"/>
      <c r="CF10" s="196"/>
      <c r="CG10" s="214"/>
      <c r="CH10" s="214"/>
      <c r="CI10" s="196"/>
      <c r="CJ10" s="214"/>
      <c r="CK10" s="214"/>
      <c r="CL10" s="196"/>
      <c r="CM10" s="250"/>
      <c r="CN10" s="250"/>
      <c r="CO10" s="196"/>
      <c r="CP10" s="214"/>
      <c r="CQ10" s="214"/>
      <c r="CR10" s="196"/>
      <c r="CS10" s="214"/>
      <c r="CT10" s="214"/>
      <c r="CU10" s="196"/>
      <c r="CV10" s="214"/>
      <c r="CW10" s="214"/>
    </row>
    <row r="11" spans="1:101" ht="28.5" hidden="1" customHeight="1" x14ac:dyDescent="0.3">
      <c r="A11" s="142"/>
      <c r="B11" s="142"/>
      <c r="C11" s="214"/>
      <c r="D11" s="214"/>
      <c r="E11" s="214"/>
      <c r="F11" s="214"/>
      <c r="G11" s="214"/>
      <c r="H11" s="214"/>
      <c r="I11" s="214"/>
      <c r="J11" s="214"/>
      <c r="K11" s="249"/>
      <c r="L11" s="214"/>
      <c r="M11" s="196"/>
      <c r="N11" s="196"/>
      <c r="O11" s="195"/>
      <c r="P11" s="195"/>
      <c r="Q11" s="196"/>
      <c r="R11" s="195"/>
      <c r="S11" s="195"/>
      <c r="T11" s="195"/>
      <c r="U11" s="196"/>
      <c r="V11" s="196"/>
      <c r="W11" s="214"/>
      <c r="X11" s="214"/>
      <c r="Y11" s="196"/>
      <c r="Z11" s="214"/>
      <c r="AA11" s="214"/>
      <c r="AB11" s="196"/>
      <c r="AC11" s="214"/>
      <c r="AD11" s="214"/>
      <c r="AE11" s="214"/>
      <c r="AF11" s="214"/>
      <c r="AG11" s="214"/>
      <c r="AH11" s="196"/>
      <c r="AI11" s="214"/>
      <c r="AJ11" s="214"/>
      <c r="AK11" s="196"/>
      <c r="AL11" s="214"/>
      <c r="AM11" s="214"/>
      <c r="AN11" s="196"/>
      <c r="AO11" s="214"/>
      <c r="AP11" s="214"/>
      <c r="AQ11" s="196"/>
      <c r="AR11" s="214"/>
      <c r="AS11" s="214"/>
      <c r="AT11" s="196"/>
      <c r="AU11" s="214"/>
      <c r="AV11" s="214"/>
      <c r="AW11" s="214"/>
      <c r="AX11" s="214"/>
      <c r="AY11" s="196"/>
      <c r="AZ11" s="214"/>
      <c r="BA11" s="214"/>
      <c r="BB11" s="196"/>
      <c r="BC11" s="214"/>
      <c r="BD11" s="214"/>
      <c r="BE11" s="196"/>
      <c r="BF11" s="214"/>
      <c r="BG11" s="214"/>
      <c r="BH11" s="196"/>
      <c r="BI11" s="214"/>
      <c r="BJ11" s="214"/>
      <c r="BK11" s="196"/>
      <c r="BL11" s="214"/>
      <c r="BM11" s="214"/>
      <c r="BN11" s="196"/>
      <c r="BO11" s="214"/>
      <c r="BP11" s="214"/>
      <c r="BQ11" s="196"/>
      <c r="BR11" s="214"/>
      <c r="BS11" s="214"/>
      <c r="BT11" s="196"/>
      <c r="BU11" s="214"/>
      <c r="BV11" s="214"/>
      <c r="BW11" s="196"/>
      <c r="BX11" s="214"/>
      <c r="BY11" s="214"/>
      <c r="BZ11" s="196"/>
      <c r="CA11" s="214"/>
      <c r="CB11" s="214"/>
      <c r="CC11" s="196"/>
      <c r="CD11" s="214"/>
      <c r="CE11" s="214"/>
      <c r="CF11" s="196"/>
      <c r="CG11" s="214"/>
      <c r="CH11" s="214"/>
      <c r="CI11" s="196"/>
      <c r="CJ11" s="214"/>
      <c r="CK11" s="214"/>
      <c r="CL11" s="196"/>
      <c r="CM11" s="250"/>
      <c r="CN11" s="250"/>
      <c r="CO11" s="196"/>
      <c r="CP11" s="214"/>
      <c r="CQ11" s="214"/>
      <c r="CR11" s="196"/>
      <c r="CS11" s="214"/>
      <c r="CT11" s="214"/>
      <c r="CU11" s="196"/>
      <c r="CV11" s="214"/>
      <c r="CW11" s="214"/>
    </row>
    <row r="12" spans="1:101" ht="28.5" hidden="1" customHeight="1" x14ac:dyDescent="0.3">
      <c r="A12" s="142"/>
      <c r="B12" s="142"/>
      <c r="C12" s="214"/>
      <c r="D12" s="214"/>
      <c r="E12" s="214"/>
      <c r="F12" s="214"/>
      <c r="G12" s="214"/>
      <c r="H12" s="214"/>
      <c r="I12" s="214"/>
      <c r="J12" s="214"/>
      <c r="K12" s="249"/>
      <c r="L12" s="214"/>
      <c r="M12" s="196"/>
      <c r="N12" s="196"/>
      <c r="O12" s="195"/>
      <c r="P12" s="195"/>
      <c r="Q12" s="196"/>
      <c r="R12" s="195"/>
      <c r="S12" s="195"/>
      <c r="T12" s="195"/>
      <c r="U12" s="196"/>
      <c r="V12" s="196"/>
      <c r="W12" s="214"/>
      <c r="X12" s="214"/>
      <c r="Y12" s="196"/>
      <c r="Z12" s="214"/>
      <c r="AA12" s="214"/>
      <c r="AB12" s="196"/>
      <c r="AC12" s="214"/>
      <c r="AD12" s="214"/>
      <c r="AE12" s="214"/>
      <c r="AF12" s="214"/>
      <c r="AG12" s="214"/>
      <c r="AH12" s="196"/>
      <c r="AI12" s="214"/>
      <c r="AJ12" s="214"/>
      <c r="AK12" s="196"/>
      <c r="AL12" s="214"/>
      <c r="AM12" s="214"/>
      <c r="AN12" s="196"/>
      <c r="AO12" s="214"/>
      <c r="AP12" s="214"/>
      <c r="AQ12" s="196"/>
      <c r="AR12" s="214"/>
      <c r="AS12" s="214"/>
      <c r="AT12" s="196"/>
      <c r="AU12" s="214"/>
      <c r="AV12" s="214"/>
      <c r="AW12" s="214"/>
      <c r="AX12" s="214"/>
      <c r="AY12" s="196"/>
      <c r="AZ12" s="214"/>
      <c r="BA12" s="214"/>
      <c r="BB12" s="196"/>
      <c r="BC12" s="214"/>
      <c r="BD12" s="214"/>
      <c r="BE12" s="196"/>
      <c r="BF12" s="214"/>
      <c r="BG12" s="214"/>
      <c r="BH12" s="196"/>
      <c r="BI12" s="214"/>
      <c r="BJ12" s="214"/>
      <c r="BK12" s="196"/>
      <c r="BL12" s="214"/>
      <c r="BM12" s="214"/>
      <c r="BN12" s="196"/>
      <c r="BO12" s="214"/>
      <c r="BP12" s="214"/>
      <c r="BQ12" s="196"/>
      <c r="BR12" s="214"/>
      <c r="BS12" s="214"/>
      <c r="BT12" s="196"/>
      <c r="BU12" s="214"/>
      <c r="BV12" s="214"/>
      <c r="BW12" s="196"/>
      <c r="BX12" s="214"/>
      <c r="BY12" s="214"/>
      <c r="BZ12" s="196"/>
      <c r="CA12" s="214"/>
      <c r="CB12" s="214"/>
      <c r="CC12" s="196"/>
      <c r="CD12" s="214"/>
      <c r="CE12" s="214"/>
      <c r="CF12" s="196"/>
      <c r="CG12" s="214"/>
      <c r="CH12" s="214"/>
      <c r="CI12" s="196"/>
      <c r="CJ12" s="214"/>
      <c r="CK12" s="214"/>
      <c r="CL12" s="196"/>
      <c r="CM12" s="250"/>
      <c r="CN12" s="250"/>
      <c r="CO12" s="196"/>
      <c r="CP12" s="214"/>
      <c r="CQ12" s="214"/>
      <c r="CR12" s="196"/>
      <c r="CS12" s="214"/>
      <c r="CT12" s="214"/>
      <c r="CU12" s="196"/>
      <c r="CV12" s="214"/>
      <c r="CW12" s="214"/>
    </row>
    <row r="13" spans="1:101" ht="28.5" customHeight="1" x14ac:dyDescent="0.3">
      <c r="A13" s="695" t="s">
        <v>41</v>
      </c>
      <c r="B13" s="647"/>
      <c r="C13" s="145">
        <f t="shared" ref="C13:C88" ca="1" si="90">D13+G13</f>
        <v>3915288</v>
      </c>
      <c r="D13" s="145">
        <f t="shared" ref="D13:I13" ca="1" si="91">SUM(D14:D30)</f>
        <v>3915288</v>
      </c>
      <c r="E13" s="145">
        <f t="shared" ca="1" si="91"/>
        <v>1456000</v>
      </c>
      <c r="F13" s="145">
        <f t="shared" ca="1" si="91"/>
        <v>2459288</v>
      </c>
      <c r="G13" s="145">
        <f t="shared" ca="1" si="91"/>
        <v>0</v>
      </c>
      <c r="H13" s="145">
        <f t="shared" ca="1" si="91"/>
        <v>4738873</v>
      </c>
      <c r="I13" s="145">
        <f t="shared" ca="1" si="91"/>
        <v>0</v>
      </c>
      <c r="J13" s="145">
        <f t="shared" ref="J13:J88" ca="1" si="92">L13+O13</f>
        <v>3917722.7899999991</v>
      </c>
      <c r="K13" s="146">
        <f t="shared" ref="K13:K88" ca="1" si="93">IF(C13&gt;0,J13*100/C13,0)</f>
        <v>100.06218674079656</v>
      </c>
      <c r="L13" s="145">
        <f ca="1">SUM(L14:L30)</f>
        <v>3917722.7899999991</v>
      </c>
      <c r="M13" s="57">
        <f t="shared" ref="M13:M88" ca="1" si="94">IF(D13&gt;0,L13*100/D13,0)</f>
        <v>100.06218674079656</v>
      </c>
      <c r="N13" s="57">
        <f t="shared" ref="N13:N88" ca="1" si="95">IF(H13&gt;0,L13*100/H13,0)</f>
        <v>82.672035946099399</v>
      </c>
      <c r="O13" s="56">
        <f ca="1">SUM(O14:O30)</f>
        <v>0</v>
      </c>
      <c r="P13" s="56">
        <f t="shared" ref="P13:P88" ca="1" si="96">IF(G13&gt;0,O13*100/G13,0)</f>
        <v>0</v>
      </c>
      <c r="Q13" s="57">
        <f t="shared" ref="Q13:Q88" ca="1" si="97">IF(I13&gt;0,O13*100/I13,0)</f>
        <v>0</v>
      </c>
      <c r="R13" s="56">
        <f t="shared" ref="R13:T13" ca="1" si="98">SUM(R14:R30)</f>
        <v>1496500</v>
      </c>
      <c r="S13" s="56">
        <f t="shared" ca="1" si="98"/>
        <v>1496500</v>
      </c>
      <c r="T13" s="56">
        <f t="shared" ca="1" si="98"/>
        <v>1305930</v>
      </c>
      <c r="U13" s="57">
        <f t="shared" ref="U13:U108" ca="1" si="99">IF(R13&gt;0,T13*100/R13,0)</f>
        <v>87.265619779485462</v>
      </c>
      <c r="V13" s="57">
        <f t="shared" ref="V13:V108" ca="1" si="100">IF(S13&gt;0,T13*100/S13,0)</f>
        <v>87.265619779485462</v>
      </c>
      <c r="W13" s="145">
        <f t="shared" ref="W13:X13" ca="1" si="101">SUM(W14:W30)</f>
        <v>102000</v>
      </c>
      <c r="X13" s="145">
        <f t="shared" ca="1" si="101"/>
        <v>52019.05</v>
      </c>
      <c r="Y13" s="57">
        <f t="shared" ref="Y13:Y88" ca="1" si="102">IF(W13&gt;0,X13*100/W13,0)</f>
        <v>50.999068627450981</v>
      </c>
      <c r="Z13" s="145">
        <f t="shared" ref="Z13:AA13" ca="1" si="103">SUM(Z14:Z30)</f>
        <v>68</v>
      </c>
      <c r="AA13" s="145">
        <f t="shared" ca="1" si="103"/>
        <v>63</v>
      </c>
      <c r="AB13" s="57">
        <f t="shared" ref="AB13:AB88" ca="1" si="104">IF(Z13&gt;0,AA13*100/Z13,0)</f>
        <v>92.647058823529406</v>
      </c>
      <c r="AC13" s="145">
        <f t="shared" ref="AC13:AG13" ca="1" si="105">SUM(AC14:AC30)</f>
        <v>1477</v>
      </c>
      <c r="AD13" s="145">
        <f t="shared" ca="1" si="105"/>
        <v>1475</v>
      </c>
      <c r="AE13" s="145">
        <f t="shared" ca="1" si="105"/>
        <v>2</v>
      </c>
      <c r="AF13" s="145">
        <f t="shared" ca="1" si="105"/>
        <v>53000</v>
      </c>
      <c r="AG13" s="145">
        <f t="shared" ca="1" si="105"/>
        <v>33684.879999999997</v>
      </c>
      <c r="AH13" s="57">
        <f t="shared" ref="AH13:AH88" ca="1" si="106">IF(AF13&gt;0,AG13*100/AF13,0)</f>
        <v>63.556377358490558</v>
      </c>
      <c r="AI13" s="145">
        <f t="shared" ref="AI13:AJ13" ca="1" si="107">SUM(AI14:AI30)</f>
        <v>40000</v>
      </c>
      <c r="AJ13" s="145">
        <f t="shared" ca="1" si="107"/>
        <v>39880</v>
      </c>
      <c r="AK13" s="57">
        <f t="shared" ref="AK13:AK88" ca="1" si="108">IF(AI13&gt;0,AJ13*100/AI13,0)</f>
        <v>99.7</v>
      </c>
      <c r="AL13" s="145">
        <f t="shared" ref="AL13:AM13" ca="1" si="109">SUM(AL14:AL30)</f>
        <v>672000</v>
      </c>
      <c r="AM13" s="145">
        <f t="shared" ca="1" si="109"/>
        <v>344120</v>
      </c>
      <c r="AN13" s="57">
        <f t="shared" ref="AN13:AN88" ca="1" si="110">IF(AL13&gt;0,AM13*100/AL13,0)</f>
        <v>51.208333333333336</v>
      </c>
      <c r="AO13" s="145">
        <f t="shared" ref="AO13:AP13" ca="1" si="111">SUM(AO14:AO30)</f>
        <v>243000</v>
      </c>
      <c r="AP13" s="145">
        <f t="shared" ca="1" si="111"/>
        <v>115730</v>
      </c>
      <c r="AQ13" s="57">
        <f t="shared" ref="AQ13:AQ88" ca="1" si="112">IF(AO13&gt;0,AP13*100/AO13,0)</f>
        <v>47.625514403292179</v>
      </c>
      <c r="AR13" s="145">
        <f t="shared" ref="AR13:AS13" ca="1" si="113">SUM(AR14:AR30)</f>
        <v>53</v>
      </c>
      <c r="AS13" s="145">
        <f t="shared" ca="1" si="113"/>
        <v>45</v>
      </c>
      <c r="AT13" s="57">
        <f t="shared" ref="AT13:AT88" ca="1" si="114">IF(AR13&gt;0,AS13*100/AR13,0)</f>
        <v>84.905660377358487</v>
      </c>
      <c r="AU13" s="145">
        <f t="shared" ref="AU13:AX13" ca="1" si="115">SUM(AU14:AU30)</f>
        <v>42</v>
      </c>
      <c r="AV13" s="145">
        <f t="shared" ca="1" si="115"/>
        <v>6</v>
      </c>
      <c r="AW13" s="145">
        <f t="shared" ca="1" si="115"/>
        <v>4000</v>
      </c>
      <c r="AX13" s="145">
        <f t="shared" ca="1" si="115"/>
        <v>2710</v>
      </c>
      <c r="AY13" s="57">
        <f t="shared" ref="AY13:AY88" ca="1" si="116">IF(AW13&gt;0,AX13*100/AW13,0)</f>
        <v>67.75</v>
      </c>
      <c r="AZ13" s="145">
        <f t="shared" ref="AZ13:BA13" ca="1" si="117">SUM(AZ14:AZ30)</f>
        <v>20000</v>
      </c>
      <c r="BA13" s="145">
        <f t="shared" ca="1" si="117"/>
        <v>10000</v>
      </c>
      <c r="BB13" s="57">
        <f t="shared" ref="BB13:BB88" ca="1" si="118">IF(AZ13&gt;0,BA13*100/AZ13,0)</f>
        <v>50</v>
      </c>
      <c r="BC13" s="145">
        <f t="shared" ref="BC13:BD13" ca="1" si="119">SUM(BC14:BC30)</f>
        <v>0</v>
      </c>
      <c r="BD13" s="145">
        <f t="shared" ca="1" si="119"/>
        <v>0</v>
      </c>
      <c r="BE13" s="57">
        <f t="shared" ref="BE13:BE88" ca="1" si="120">IF(BC13&gt;0,BD13*100/BC13,0)</f>
        <v>0</v>
      </c>
      <c r="BF13" s="145">
        <f t="shared" ref="BF13:BG13" ca="1" si="121">SUM(BF14:BF30)</f>
        <v>198800</v>
      </c>
      <c r="BG13" s="145">
        <f t="shared" ca="1" si="121"/>
        <v>176020</v>
      </c>
      <c r="BH13" s="57">
        <f t="shared" ref="BH13:BH88" ca="1" si="122">IF(BF13&gt;0,BG13*100/BF13,0)</f>
        <v>88.541247484909462</v>
      </c>
      <c r="BI13" s="145">
        <f t="shared" ref="BI13:BJ13" ca="1" si="123">SUM(BI14:BI30)</f>
        <v>4</v>
      </c>
      <c r="BJ13" s="145">
        <f t="shared" ca="1" si="123"/>
        <v>3</v>
      </c>
      <c r="BK13" s="57">
        <f t="shared" ref="BK13:BK88" ca="1" si="124">IF(BI13&gt;0,BJ13*100/BI13,0)</f>
        <v>75</v>
      </c>
      <c r="BL13" s="145">
        <f t="shared" ref="BL13:BM13" ca="1" si="125">SUM(BL14:BL30)</f>
        <v>4</v>
      </c>
      <c r="BM13" s="145">
        <f t="shared" ca="1" si="125"/>
        <v>4</v>
      </c>
      <c r="BN13" s="57">
        <f t="shared" ref="BN13:BN88" ca="1" si="126">IF(BL13&gt;0,BM13*100/BL13,0)</f>
        <v>100</v>
      </c>
      <c r="BO13" s="145">
        <f t="shared" ref="BO13:BP13" ca="1" si="127">SUM(BO14:BO30)</f>
        <v>42500</v>
      </c>
      <c r="BP13" s="145">
        <f t="shared" ca="1" si="127"/>
        <v>10740</v>
      </c>
      <c r="BQ13" s="57">
        <f t="shared" ref="BQ13:BQ88" ca="1" si="128">IF(BO13&gt;0,BP13*100/BO13,0)</f>
        <v>25.270588235294117</v>
      </c>
      <c r="BR13" s="145">
        <f t="shared" ref="BR13:BS13" ca="1" si="129">SUM(BR14:BR30)</f>
        <v>112000</v>
      </c>
      <c r="BS13" s="145">
        <f t="shared" ca="1" si="129"/>
        <v>30000</v>
      </c>
      <c r="BT13" s="57">
        <f t="shared" ref="BT13:BT88" ca="1" si="130">IF(BR13&gt;0,BS13*100/BR13,0)</f>
        <v>26.785714285714285</v>
      </c>
      <c r="BU13" s="145">
        <f t="shared" ref="BU13:BV13" ca="1" si="131">SUM(BU14:BU30)</f>
        <v>1024000</v>
      </c>
      <c r="BV13" s="145">
        <f t="shared" ca="1" si="131"/>
        <v>774000</v>
      </c>
      <c r="BW13" s="57">
        <f t="shared" ref="BW13:BW88" ca="1" si="132">IF(BU13&gt;0,BV13*100/BU13,0)</f>
        <v>75.5859375</v>
      </c>
      <c r="BX13" s="145">
        <f t="shared" ref="BX13:BY13" ca="1" si="133">SUM(BX14:BX30)</f>
        <v>1024000</v>
      </c>
      <c r="BY13" s="145">
        <f t="shared" ca="1" si="133"/>
        <v>674000</v>
      </c>
      <c r="BZ13" s="57">
        <f t="shared" ref="BZ13:BZ88" ca="1" si="134">IF(BX13&gt;0,BY13*100/BX13,0)</f>
        <v>65.8203125</v>
      </c>
      <c r="CA13" s="145">
        <f t="shared" ref="CA13:CB13" ca="1" si="135">SUM(CA14:CA30)</f>
        <v>0</v>
      </c>
      <c r="CB13" s="145">
        <f t="shared" ca="1" si="135"/>
        <v>0</v>
      </c>
      <c r="CC13" s="57">
        <f t="shared" ref="CC13:CC88" ca="1" si="136">IF(CA13&gt;0,CB13*100/CA13,0)</f>
        <v>0</v>
      </c>
      <c r="CD13" s="145">
        <f t="shared" ref="CD13:CE13" ca="1" si="137">SUM(CD14:CD30)</f>
        <v>1092400</v>
      </c>
      <c r="CE13" s="145">
        <f t="shared" ca="1" si="137"/>
        <v>209846</v>
      </c>
      <c r="CF13" s="57">
        <f t="shared" ref="CF13:CF88" ca="1" si="138">IF(CD13&gt;0,CE13*100/CD13,0)</f>
        <v>19.209630172098134</v>
      </c>
      <c r="CG13" s="145">
        <f t="shared" ref="CG13:CH13" ca="1" si="139">SUM(CG14:CG30)</f>
        <v>31000</v>
      </c>
      <c r="CH13" s="145">
        <f t="shared" ca="1" si="139"/>
        <v>551442.71</v>
      </c>
      <c r="CI13" s="57">
        <f t="shared" ref="CI13:CI88" ca="1" si="140">IF(CG13&gt;0,CH13*100/CG13,0)</f>
        <v>1778.8474516129031</v>
      </c>
      <c r="CJ13" s="145">
        <f t="shared" ref="CJ13:CK13" ca="1" si="141">SUM(CJ14:CJ30)</f>
        <v>201388</v>
      </c>
      <c r="CK13" s="145">
        <f t="shared" ca="1" si="141"/>
        <v>127090</v>
      </c>
      <c r="CL13" s="57">
        <f t="shared" ref="CL13:CL88" ca="1" si="142">IF(CJ13&gt;0,CK13*100/CJ13,0)</f>
        <v>63.107037162095061</v>
      </c>
      <c r="CM13" s="145">
        <f t="shared" ref="CM13:CN13" ca="1" si="143">SUM(CM14:CM30)</f>
        <v>625700</v>
      </c>
      <c r="CN13" s="145">
        <f t="shared" ca="1" si="143"/>
        <v>572190</v>
      </c>
      <c r="CO13" s="57">
        <f t="shared" ref="CO13:CO88" ca="1" si="144">IF(CM13&gt;0,CN13*100/CM13,0)</f>
        <v>91.447978264343931</v>
      </c>
      <c r="CP13" s="145">
        <f t="shared" ref="CP13:CQ13" ca="1" si="145">SUM(CP14:CP30)</f>
        <v>518000</v>
      </c>
      <c r="CQ13" s="145">
        <f t="shared" ca="1" si="145"/>
        <v>105555.4</v>
      </c>
      <c r="CR13" s="57">
        <f t="shared" ref="CR13:CR88" ca="1" si="146">IF(CP13&gt;0,CQ13*100/CP13,0)</f>
        <v>20.377490347490347</v>
      </c>
      <c r="CS13" s="145">
        <f t="shared" ref="CS13:CT13" ca="1" si="147">SUM(CS14:CS30)</f>
        <v>420</v>
      </c>
      <c r="CT13" s="145">
        <f t="shared" ca="1" si="147"/>
        <v>360</v>
      </c>
      <c r="CU13" s="57">
        <f t="shared" ref="CU13:CU88" ca="1" si="148">IF(CS13&gt;0,CT13*100/CS13,0)</f>
        <v>85.714285714285708</v>
      </c>
      <c r="CV13" s="145">
        <f t="shared" ref="CV13:CW13" ca="1" si="149">SUM(CV14:CV30)</f>
        <v>240</v>
      </c>
      <c r="CW13" s="145">
        <f t="shared" ca="1" si="149"/>
        <v>4</v>
      </c>
    </row>
    <row r="14" spans="1:101" ht="24" customHeight="1" x14ac:dyDescent="0.3">
      <c r="A14" s="147">
        <v>1</v>
      </c>
      <c r="B14" s="148" t="s">
        <v>42</v>
      </c>
      <c r="C14" s="149">
        <f t="shared" ca="1" si="90"/>
        <v>235500</v>
      </c>
      <c r="D14" s="150">
        <f t="shared" ref="D14:D30" ca="1" si="150">+E14+F14</f>
        <v>235500</v>
      </c>
      <c r="E14" s="151">
        <f ca="1">IFERROR(__xludf.DUMMYFUNCTION("IMPORTRANGE(""https://docs.google.com/spreadsheets/d/1-uDff_7J0KD5mKrp0Vvzr7lt3OU09vwQwhkpOPPYv2Y/edit?usp=sharing"",""งบพรบ!CV14"")"),182000)</f>
        <v>182000</v>
      </c>
      <c r="F14" s="151">
        <f ca="1">IFERROR(__xludf.DUMMYFUNCTION("IMPORTRANGE(""https://docs.google.com/spreadsheets/d/1-uDff_7J0KD5mKrp0Vvzr7lt3OU09vwQwhkpOPPYv2Y/edit?usp=sharing"",""งบพรบ!CW14"")"),53500)</f>
        <v>53500</v>
      </c>
      <c r="G14" s="152">
        <f ca="1">IFERROR(__xludf.DUMMYFUNCTION("IMPORTRANGE(""https://docs.google.com/spreadsheets/d/1-uDff_7J0KD5mKrp0Vvzr7lt3OU09vwQwhkpOPPYv2Y/edit?usp=sharing"",""งบพรบ!CX14"")"),0)</f>
        <v>0</v>
      </c>
      <c r="H14" s="152">
        <f ca="1">IFERROR(__xludf.DUMMYFUNCTION("IMPORTRANGE(""https://docs.google.com/spreadsheets/d/1-uDff_7J0KD5mKrp0Vvzr7lt3OU09vwQwhkpOPPYv2Y/edit?usp=sharing"",""งบพรบ!CZ14"")"),243200)</f>
        <v>243200</v>
      </c>
      <c r="I14" s="152">
        <f ca="1">IFERROR(__xludf.DUMMYFUNCTION("IMPORTRANGE(""https://docs.google.com/spreadsheets/d/1-uDff_7J0KD5mKrp0Vvzr7lt3OU09vwQwhkpOPPYv2Y/edit?usp=sharing"",""งบพรบ!DA14"")"),0)</f>
        <v>0</v>
      </c>
      <c r="J14" s="152">
        <f t="shared" ca="1" si="92"/>
        <v>243200</v>
      </c>
      <c r="K14" s="153">
        <f t="shared" ca="1" si="93"/>
        <v>103.26963906581742</v>
      </c>
      <c r="L14" s="152">
        <f ca="1">IFERROR(__xludf.DUMMYFUNCTION("IMPORTRANGE(""https://docs.google.com/spreadsheets/d/1-uDff_7J0KD5mKrp0Vvzr7lt3OU09vwQwhkpOPPYv2Y/edit?usp=sharing"",""งบพรบ!DB14"")"),243200)</f>
        <v>243200</v>
      </c>
      <c r="M14" s="68">
        <f t="shared" ca="1" si="94"/>
        <v>103.26963906581742</v>
      </c>
      <c r="N14" s="68">
        <f t="shared" ca="1" si="95"/>
        <v>100</v>
      </c>
      <c r="O14" s="67">
        <f ca="1">IFERROR(__xludf.DUMMYFUNCTION("IMPORTRANGE(""https://docs.google.com/spreadsheets/d/1-uDff_7J0KD5mKrp0Vvzr7lt3OU09vwQwhkpOPPYv2Y/edit?usp=sharing"",""งบพรบ!DC14"")"),0)</f>
        <v>0</v>
      </c>
      <c r="P14" s="67">
        <f t="shared" ca="1" si="96"/>
        <v>0</v>
      </c>
      <c r="Q14" s="68">
        <f t="shared" ca="1" si="97"/>
        <v>0</v>
      </c>
      <c r="R14" s="67">
        <f ca="1">IFERROR(__xludf.DUMMYFUNCTION("IMPORTRANGE(""https://docs.google.com/spreadsheets/d/1jTcq05yEiRwXcBMLjiodW9e4biSGYWAHcDj22rKWQ3s/edit?usp=sharing"",""กำแพงเพชร!Q186"")"),0)</f>
        <v>0</v>
      </c>
      <c r="S14" s="67">
        <f ca="1">IFERROR(__xludf.DUMMYFUNCTION("IMPORTRANGE(""https://docs.google.com/spreadsheets/d/1jTcq05yEiRwXcBMLjiodW9e4biSGYWAHcDj22rKWQ3s/edit?usp=sharing"",""กำแพงเพชร!R186"")"),0)</f>
        <v>0</v>
      </c>
      <c r="T14" s="67">
        <f ca="1">IFERROR(__xludf.DUMMYFUNCTION("IMPORTRANGE(""https://docs.google.com/spreadsheets/d/1jTcq05yEiRwXcBMLjiodW9e4biSGYWAHcDj22rKWQ3s/edit?usp=sharing"",""กำแพงเพชร!S186"")"),0)</f>
        <v>0</v>
      </c>
      <c r="U14" s="68">
        <f t="shared" ca="1" si="99"/>
        <v>0</v>
      </c>
      <c r="V14" s="68">
        <f t="shared" ca="1" si="100"/>
        <v>0</v>
      </c>
      <c r="W14" s="152">
        <f ca="1">IFERROR(__xludf.DUMMYFUNCTION("IMPORTRANGE(""https://docs.google.com/spreadsheets/d/1jTcq05yEiRwXcBMLjiodW9e4biSGYWAHcDj22rKWQ3s/edit?usp=sharing"",""กำแพงเพชร!L196"")"),6000)</f>
        <v>6000</v>
      </c>
      <c r="X14" s="152">
        <f ca="1">IFERROR(__xludf.DUMMYFUNCTION("IMPORTRANGE(""https://docs.google.com/spreadsheets/d/1jTcq05yEiRwXcBMLjiodW9e4biSGYWAHcDj22rKWQ3s/edit?usp=sharing"",""กำแพงเพชร!N196"")"),6000)</f>
        <v>6000</v>
      </c>
      <c r="Y14" s="216">
        <f t="shared" ca="1" si="102"/>
        <v>100</v>
      </c>
      <c r="Z14" s="152">
        <f ca="1">IFERROR(__xludf.DUMMYFUNCTION("IMPORTRANGE(""https://docs.google.com/spreadsheets/d/1jTcq05yEiRwXcBMLjiodW9e4biSGYWAHcDj22rKWQ3s/edit?usp=sharing"",""กำแพงเพชร!I198"")"),4)</f>
        <v>4</v>
      </c>
      <c r="AA14" s="152">
        <f ca="1">IFERROR(__xludf.DUMMYFUNCTION("IMPORTRANGE(""https://docs.google.com/spreadsheets/d/1jTcq05yEiRwXcBMLjiodW9e4biSGYWAHcDj22rKWQ3s/edit?usp=sharing"",""กำแพงเพชร!J198"")"),4)</f>
        <v>4</v>
      </c>
      <c r="AB14" s="216">
        <f t="shared" ca="1" si="104"/>
        <v>100</v>
      </c>
      <c r="AC14" s="152">
        <f ca="1">IFERROR(__xludf.DUMMYFUNCTION("IMPORTRANGE(""https://docs.google.com/spreadsheets/d/1jTcq05yEiRwXcBMLjiodW9e4biSGYWAHcDj22rKWQ3s/edit?usp=sharing"",""กำแพงเพชร!J199"")"),104)</f>
        <v>104</v>
      </c>
      <c r="AD14" s="152">
        <f ca="1">IFERROR(__xludf.DUMMYFUNCTION("IMPORTRANGE(""https://docs.google.com/spreadsheets/d/1jTcq05yEiRwXcBMLjiodW9e4biSGYWAHcDj22rKWQ3s/edit?usp=sharing"",""กำแพงเพชร!J200"")"),104)</f>
        <v>104</v>
      </c>
      <c r="AE14" s="152">
        <f ca="1">IFERROR(__xludf.DUMMYFUNCTION("IMPORTRANGE(""https://docs.google.com/spreadsheets/d/1jTcq05yEiRwXcBMLjiodW9e4biSGYWAHcDj22rKWQ3s/edit?usp=sharing"",""กำแพงเพชร!J201"")"),0)</f>
        <v>0</v>
      </c>
      <c r="AF14" s="152">
        <f ca="1">IFERROR(__xludf.DUMMYFUNCTION("IMPORTRANGE(""https://docs.google.com/spreadsheets/d/1jTcq05yEiRwXcBMLjiodW9e4biSGYWAHcDj22rKWQ3s/edit?usp=sharing"",""กำแพงเพชร!L204"")"),3000)</f>
        <v>3000</v>
      </c>
      <c r="AG14" s="152">
        <f ca="1">IFERROR(__xludf.DUMMYFUNCTION("IMPORTRANGE(""https://docs.google.com/spreadsheets/d/1jTcq05yEiRwXcBMLjiodW9e4biSGYWAHcDj22rKWQ3s/edit?usp=sharing"",""กำแพงเพชร!N204"")"),3000)</f>
        <v>3000</v>
      </c>
      <c r="AH14" s="216">
        <f t="shared" ca="1" si="106"/>
        <v>100</v>
      </c>
      <c r="AI14" s="152">
        <f ca="1">IFERROR(__xludf.DUMMYFUNCTION("IMPORTRANGE(""https://docs.google.com/spreadsheets/d/1jTcq05yEiRwXcBMLjiodW9e4biSGYWAHcDj22rKWQ3s/edit?usp=sharing"",""กำแพงเพชร!L206"")"),24000)</f>
        <v>24000</v>
      </c>
      <c r="AJ14" s="152">
        <f ca="1">IFERROR(__xludf.DUMMYFUNCTION("IMPORTRANGE(""https://docs.google.com/spreadsheets/d/1jTcq05yEiRwXcBMLjiodW9e4biSGYWAHcDj22rKWQ3s/edit?usp=sharing"",""กำแพงเพชร!N206"")"),24000)</f>
        <v>24000</v>
      </c>
      <c r="AK14" s="216">
        <f t="shared" ca="1" si="108"/>
        <v>100</v>
      </c>
      <c r="AL14" s="152">
        <f ca="1">IFERROR(__xludf.DUMMYFUNCTION("IMPORTRANGE(""https://docs.google.com/spreadsheets/d/1jTcq05yEiRwXcBMLjiodW9e4biSGYWAHcDj22rKWQ3s/edit?usp=sharing"",""กำแพงเพชร!Q206"")"),0)</f>
        <v>0</v>
      </c>
      <c r="AM14" s="152">
        <f ca="1">IFERROR(__xludf.DUMMYFUNCTION("IMPORTRANGE(""https://docs.google.com/spreadsheets/d/1jTcq05yEiRwXcBMLjiodW9e4biSGYWAHcDj22rKWQ3s/edit?usp=sharing"",""กำแพงเพชร!S206"")"),0)</f>
        <v>0</v>
      </c>
      <c r="AN14" s="216">
        <f t="shared" ca="1" si="110"/>
        <v>0</v>
      </c>
      <c r="AO14" s="152">
        <f ca="1">IFERROR(__xludf.DUMMYFUNCTION("IMPORTRANGE(""https://docs.google.com/spreadsheets/d/1jTcq05yEiRwXcBMLjiodW9e4biSGYWAHcDj22rKWQ3s/edit?usp=sharing"",""กำแพงเพชร!L207"")"),12000)</f>
        <v>12000</v>
      </c>
      <c r="AP14" s="152">
        <f ca="1">IFERROR(__xludf.DUMMYFUNCTION("IMPORTRANGE(""https://docs.google.com/spreadsheets/d/1jTcq05yEiRwXcBMLjiodW9e4biSGYWAHcDj22rKWQ3s/edit?usp=sharing"",""กำแพงเพชร!N207"")"),12000)</f>
        <v>12000</v>
      </c>
      <c r="AQ14" s="216">
        <f t="shared" ca="1" si="112"/>
        <v>100</v>
      </c>
      <c r="AR14" s="152">
        <f ca="1">IFERROR(__xludf.DUMMYFUNCTION("IMPORTRANGE(""https://docs.google.com/spreadsheets/d/1jTcq05yEiRwXcBMLjiodW9e4biSGYWAHcDj22rKWQ3s/edit?usp=sharing"",""กำแพงเพชร!I209"")"),3)</f>
        <v>3</v>
      </c>
      <c r="AS14" s="152">
        <f ca="1">IFERROR(__xludf.DUMMYFUNCTION("IMPORTRANGE(""https://docs.google.com/spreadsheets/d/1jTcq05yEiRwXcBMLjiodW9e4biSGYWAHcDj22rKWQ3s/edit?usp=sharing"",""กำแพงเพชร!J209"")"),3)</f>
        <v>3</v>
      </c>
      <c r="AT14" s="216">
        <f t="shared" ca="1" si="114"/>
        <v>100</v>
      </c>
      <c r="AU14" s="152">
        <f ca="1">IFERROR(__xludf.DUMMYFUNCTION("IMPORTRANGE(""https://docs.google.com/spreadsheets/d/1jTcq05yEiRwXcBMLjiodW9e4biSGYWAHcDj22rKWQ3s/edit?usp=sharing"",""กำแพงเพชร!J211"")"),3)</f>
        <v>3</v>
      </c>
      <c r="AV14" s="152">
        <f ca="1">IFERROR(__xludf.DUMMYFUNCTION("IMPORTRANGE(""https://docs.google.com/spreadsheets/d/1jTcq05yEiRwXcBMLjiodW9e4biSGYWAHcDj22rKWQ3s/edit?usp=sharing"",""กำแพงเพชร!J212"")"),0)</f>
        <v>0</v>
      </c>
      <c r="AW14" s="152">
        <f ca="1">IFERROR(__xludf.DUMMYFUNCTION("IMPORTRANGE(""https://docs.google.com/spreadsheets/d/1jTcq05yEiRwXcBMLjiodW9e4biSGYWAHcDj22rKWQ3s/edit?usp=sharing"",""กำแพงเพชร!L215"")"),0)</f>
        <v>0</v>
      </c>
      <c r="AX14" s="152">
        <f ca="1">IFERROR(__xludf.DUMMYFUNCTION("IMPORTRANGE(""https://docs.google.com/spreadsheets/d/1jTcq05yEiRwXcBMLjiodW9e4biSGYWAHcDj22rKWQ3s/edit?usp=sharing"",""กำแพงเพชร!N215"")"),0)</f>
        <v>0</v>
      </c>
      <c r="AY14" s="216">
        <f t="shared" ca="1" si="116"/>
        <v>0</v>
      </c>
      <c r="AZ14" s="152">
        <f ca="1">IFERROR(__xludf.DUMMYFUNCTION("IMPORTRANGE(""https://docs.google.com/spreadsheets/d/1jTcq05yEiRwXcBMLjiodW9e4biSGYWAHcDj22rKWQ3s/edit?usp=sharing"",""กำแพงเพชร!L216"")"),0)</f>
        <v>0</v>
      </c>
      <c r="BA14" s="152">
        <f ca="1">IFERROR(__xludf.DUMMYFUNCTION("IMPORTRANGE(""https://docs.google.com/spreadsheets/d/1jTcq05yEiRwXcBMLjiodW9e4biSGYWAHcDj22rKWQ3s/edit?usp=sharing"",""กำแพงเพชร!N216"")"),0)</f>
        <v>0</v>
      </c>
      <c r="BB14" s="216">
        <f t="shared" ca="1" si="118"/>
        <v>0</v>
      </c>
      <c r="BC14" s="152">
        <f ca="1">IFERROR(__xludf.DUMMYFUNCTION("IMPORTRANGE(""https://docs.google.com/spreadsheets/d/1jTcq05yEiRwXcBMLjiodW9e4biSGYWAHcDj22rKWQ3s/edit?usp=sharing"",""กำแพงเพชร!L217"")"),0)</f>
        <v>0</v>
      </c>
      <c r="BD14" s="152">
        <f ca="1">IFERROR(__xludf.DUMMYFUNCTION("IMPORTRANGE(""https://docs.google.com/spreadsheets/d/1jTcq05yEiRwXcBMLjiodW9e4biSGYWAHcDj22rKWQ3s/edit?usp=sharing"",""กำแพงเพชร!N217"")"),0)</f>
        <v>0</v>
      </c>
      <c r="BE14" s="216">
        <f t="shared" ca="1" si="120"/>
        <v>0</v>
      </c>
      <c r="BF14" s="152">
        <f ca="1">IFERROR(__xludf.DUMMYFUNCTION("IMPORTRANGE(""https://docs.google.com/spreadsheets/d/1jTcq05yEiRwXcBMLjiodW9e4biSGYWAHcDj22rKWQ3s/edit?usp=sharing"",""กำแพงเพชร!Q217"")"),0)</f>
        <v>0</v>
      </c>
      <c r="BG14" s="152">
        <f ca="1">IFERROR(__xludf.DUMMYFUNCTION("IMPORTRANGE(""https://docs.google.com/spreadsheets/d/1jTcq05yEiRwXcBMLjiodW9e4biSGYWAHcDj22rKWQ3s/edit?usp=sharing"",""กำแพงเพชร!S217"")"),0)</f>
        <v>0</v>
      </c>
      <c r="BH14" s="216">
        <f t="shared" ca="1" si="122"/>
        <v>0</v>
      </c>
      <c r="BI14" s="152">
        <f ca="1">IFERROR(__xludf.DUMMYFUNCTION("IMPORTRANGE(""https://docs.google.com/spreadsheets/d/1jTcq05yEiRwXcBMLjiodW9e4biSGYWAHcDj22rKWQ3s/edit?usp=sharing"",""กำแพงเพชร!I219"")"),0)</f>
        <v>0</v>
      </c>
      <c r="BJ14" s="152">
        <f ca="1">IFERROR(__xludf.DUMMYFUNCTION("IMPORTRANGE(""https://docs.google.com/spreadsheets/d/1jTcq05yEiRwXcBMLjiodW9e4biSGYWAHcDj22rKWQ3s/edit?usp=sharing"",""กำแพงเพชร!J219"")"),0)</f>
        <v>0</v>
      </c>
      <c r="BK14" s="216">
        <f t="shared" ca="1" si="124"/>
        <v>0</v>
      </c>
      <c r="BL14" s="152">
        <f ca="1">IFERROR(__xludf.DUMMYFUNCTION("IMPORTRANGE(""https://docs.google.com/spreadsheets/d/1jTcq05yEiRwXcBMLjiodW9e4biSGYWAHcDj22rKWQ3s/edit?usp=sharing"",""กำแพงเพชร!I220"")"),0)</f>
        <v>0</v>
      </c>
      <c r="BM14" s="152">
        <f ca="1">IFERROR(__xludf.DUMMYFUNCTION("IMPORTRANGE(""https://docs.google.com/spreadsheets/d/1jTcq05yEiRwXcBMLjiodW9e4biSGYWAHcDj22rKWQ3s/edit?usp=sharing"",""กำแพงเพชร!J220"")"),0)</f>
        <v>0</v>
      </c>
      <c r="BN14" s="216">
        <f t="shared" ca="1" si="126"/>
        <v>0</v>
      </c>
      <c r="BO14" s="152">
        <f ca="1">IFERROR(__xludf.DUMMYFUNCTION("IMPORTRANGE(""https://docs.google.com/spreadsheets/d/1jTcq05yEiRwXcBMLjiodW9e4biSGYWAHcDj22rKWQ3s/edit?usp=sharing"",""กำแพงเพชร!L223"")"),2500)</f>
        <v>2500</v>
      </c>
      <c r="BP14" s="152">
        <f ca="1">IFERROR(__xludf.DUMMYFUNCTION("IMPORTRANGE(""https://docs.google.com/spreadsheets/d/1jTcq05yEiRwXcBMLjiodW9e4biSGYWAHcDj22rKWQ3s/edit?usp=sharing"",""กำแพงเพชร!N223"")"),0)</f>
        <v>0</v>
      </c>
      <c r="BQ14" s="216">
        <f t="shared" ca="1" si="128"/>
        <v>0</v>
      </c>
      <c r="BR14" s="152">
        <f ca="1">IFERROR(__xludf.DUMMYFUNCTION("IMPORTRANGE(""https://docs.google.com/spreadsheets/d/1jTcq05yEiRwXcBMLjiodW9e4biSGYWAHcDj22rKWQ3s/edit?usp=sharing"",""กำแพงเพชร!L224"")"),6000)</f>
        <v>6000</v>
      </c>
      <c r="BS14" s="152">
        <f ca="1">IFERROR(__xludf.DUMMYFUNCTION("IMPORTRANGE(""https://docs.google.com/spreadsheets/d/1jTcq05yEiRwXcBMLjiodW9e4biSGYWAHcDj22rKWQ3s/edit?usp=sharing"",""กำแพงเพชร!N224"")"),0)</f>
        <v>0</v>
      </c>
      <c r="BT14" s="216">
        <f t="shared" ca="1" si="130"/>
        <v>0</v>
      </c>
      <c r="BU14" s="152">
        <f ca="1">IFERROR(__xludf.DUMMYFUNCTION("IMPORTRANGE(""https://docs.google.com/spreadsheets/d/1jTcq05yEiRwXcBMLjiodW9e4biSGYWAHcDj22rKWQ3s/edit?usp=sharing"",""กำแพงเพชร!I228"")"),50000)</f>
        <v>50000</v>
      </c>
      <c r="BV14" s="152">
        <f ca="1">IFERROR(__xludf.DUMMYFUNCTION("IMPORTRANGE(""https://docs.google.com/spreadsheets/d/1jTcq05yEiRwXcBMLjiodW9e4biSGYWAHcDj22rKWQ3s/edit?usp=sharing"",""กำแพงเพชร!J228"")"),50000)</f>
        <v>50000</v>
      </c>
      <c r="BW14" s="216">
        <f t="shared" ca="1" si="132"/>
        <v>100</v>
      </c>
      <c r="BX14" s="152">
        <f ca="1">IFERROR(__xludf.DUMMYFUNCTION("IMPORTRANGE(""https://docs.google.com/spreadsheets/d/1jTcq05yEiRwXcBMLjiodW9e4biSGYWAHcDj22rKWQ3s/edit?usp=sharing"",""กำแพงเพชร!I229"")"),50000)</f>
        <v>50000</v>
      </c>
      <c r="BY14" s="152">
        <f ca="1">IFERROR(__xludf.DUMMYFUNCTION("IMPORTRANGE(""https://docs.google.com/spreadsheets/d/1jTcq05yEiRwXcBMLjiodW9e4biSGYWAHcDj22rKWQ3s/edit?usp=sharing"",""กำแพงเพชร!J229"")"),50000)</f>
        <v>50000</v>
      </c>
      <c r="BZ14" s="216">
        <f t="shared" ca="1" si="134"/>
        <v>100</v>
      </c>
      <c r="CA14" s="152">
        <f ca="1">IFERROR(__xludf.DUMMYFUNCTION("IMPORTRANGE(""https://docs.google.com/spreadsheets/d/1jTcq05yEiRwXcBMLjiodW9e4biSGYWAHcDj22rKWQ3s/edit?usp=sharing"",""กำแพงเพชร!I230"")"),0)</f>
        <v>0</v>
      </c>
      <c r="CB14" s="152">
        <f ca="1">IFERROR(__xludf.DUMMYFUNCTION("IMPORTRANGE(""https://docs.google.com/spreadsheets/d/1jTcq05yEiRwXcBMLjiodW9e4biSGYWAHcDj22rKWQ3s/edit?usp=sharing"",""กำแพงเพชร!J230"")"),0)</f>
        <v>0</v>
      </c>
      <c r="CC14" s="216">
        <f t="shared" ca="1" si="136"/>
        <v>0</v>
      </c>
      <c r="CD14" s="152">
        <f ca="1">IFERROR(__xludf.DUMMYFUNCTION("IMPORTRANGE(""https://docs.google.com/spreadsheets/d/1jTcq05yEiRwXcBMLjiodW9e4biSGYWAHcDj22rKWQ3s/edit?usp=sharing"",""กำแพงเพชร!L233"")"),0)</f>
        <v>0</v>
      </c>
      <c r="CE14" s="152">
        <f ca="1">IFERROR(__xludf.DUMMYFUNCTION("IMPORTRANGE(""https://docs.google.com/spreadsheets/d/1jTcq05yEiRwXcBMLjiodW9e4biSGYWAHcDj22rKWQ3s/edit?usp=sharing"",""กำแพงเพชร!N233"")"),0)</f>
        <v>0</v>
      </c>
      <c r="CF14" s="216">
        <f t="shared" ca="1" si="138"/>
        <v>0</v>
      </c>
      <c r="CG14" s="152">
        <f ca="1">IFERROR(__xludf.DUMMYFUNCTION("IMPORTRANGE(""https://docs.google.com/spreadsheets/d/1jTcq05yEiRwXcBMLjiodW9e4biSGYWAHcDj22rKWQ3s/edit?usp=sharing"",""กำแพงเพชร!L234"")"),0)</f>
        <v>0</v>
      </c>
      <c r="CH14" s="152">
        <f ca="1">IFERROR(__xludf.DUMMYFUNCTION("IMPORTRANGE(""https://docs.google.com/spreadsheets/d/1jTcq05yEiRwXcBMLjiodW9e4biSGYWAHcDj22rKWQ3s/edit?usp=sharing"",""กำแพงเพชร!N234"")"),0)</f>
        <v>0</v>
      </c>
      <c r="CI14" s="216">
        <f t="shared" ca="1" si="140"/>
        <v>0</v>
      </c>
      <c r="CJ14" s="152">
        <f ca="1">IFERROR(__xludf.DUMMYFUNCTION("IMPORTRANGE(""https://docs.google.com/spreadsheets/d/1jTcq05yEiRwXcBMLjiodW9e4biSGYWAHcDj22rKWQ3s/edit?usp=sharing"",""กำแพงเพชร!L235"")"),0)</f>
        <v>0</v>
      </c>
      <c r="CK14" s="152">
        <f ca="1">IFERROR(__xludf.DUMMYFUNCTION("IMPORTRANGE(""https://docs.google.com/spreadsheets/d/1jTcq05yEiRwXcBMLjiodW9e4biSGYWAHcDj22rKWQ3s/edit?usp=sharing"",""กำแพงเพชร!N235"")"),0)</f>
        <v>0</v>
      </c>
      <c r="CL14" s="216">
        <f t="shared" ca="1" si="142"/>
        <v>0</v>
      </c>
      <c r="CM14" s="251">
        <f ca="1">IFERROR(__xludf.DUMMYFUNCTION("IMPORTRANGE(""https://docs.google.com/spreadsheets/d/1jTcq05yEiRwXcBMLjiodW9e4biSGYWAHcDj22rKWQ3s/edit?usp=sharing"",""กำแพงเพชร!Q235"")"),0)</f>
        <v>0</v>
      </c>
      <c r="CN14" s="251">
        <f ca="1">IFERROR(__xludf.DUMMYFUNCTION("IMPORTRANGE(""https://docs.google.com/spreadsheets/d/1jTcq05yEiRwXcBMLjiodW9e4biSGYWAHcDj22rKWQ3s/edit?usp=sharing"",""กำแพงเพชร!S235"")"),0)</f>
        <v>0</v>
      </c>
      <c r="CO14" s="216">
        <f t="shared" ca="1" si="144"/>
        <v>0</v>
      </c>
      <c r="CP14" s="152">
        <f ca="1">IFERROR(__xludf.DUMMYFUNCTION("IMPORTRANGE(""https://docs.google.com/spreadsheets/d/1jTcq05yEiRwXcBMLjiodW9e4biSGYWAHcDj22rKWQ3s/edit?usp=sharing"",""กำแพงเพชร!L236"")"),0)</f>
        <v>0</v>
      </c>
      <c r="CQ14" s="152">
        <f ca="1">IFERROR(__xludf.DUMMYFUNCTION("IMPORTRANGE(""https://docs.google.com/spreadsheets/d/1jTcq05yEiRwXcBMLjiodW9e4biSGYWAHcDj22rKWQ3s/edit?usp=sharing"",""กำแพงเพชร!N236"")"),0)</f>
        <v>0</v>
      </c>
      <c r="CR14" s="216">
        <f t="shared" ca="1" si="146"/>
        <v>0</v>
      </c>
      <c r="CS14" s="152">
        <f ca="1">IFERROR(__xludf.DUMMYFUNCTION("IMPORTRANGE(""https://docs.google.com/spreadsheets/d/1jTcq05yEiRwXcBMLjiodW9e4biSGYWAHcDj22rKWQ3s/edit?usp=sharing"",""กำแพงเพชร!I238"")"),0)</f>
        <v>0</v>
      </c>
      <c r="CT14" s="152">
        <f ca="1">IFERROR(__xludf.DUMMYFUNCTION("IMPORTRANGE(""https://docs.google.com/spreadsheets/d/1jTcq05yEiRwXcBMLjiodW9e4biSGYWAHcDj22rKWQ3s/edit?usp=sharing"",""กำแพงเพชร!J238"")"),0)</f>
        <v>0</v>
      </c>
      <c r="CU14" s="216">
        <f t="shared" ca="1" si="148"/>
        <v>0</v>
      </c>
      <c r="CV14" s="152">
        <f ca="1">IFERROR(__xludf.DUMMYFUNCTION("IMPORTRANGE(""https://docs.google.com/spreadsheets/d/1jTcq05yEiRwXcBMLjiodW9e4biSGYWAHcDj22rKWQ3s/edit?usp=sharing"",""กำแพงเพชร!J240"")"),0)</f>
        <v>0</v>
      </c>
      <c r="CW14" s="152">
        <f ca="1">IFERROR(__xludf.DUMMYFUNCTION("IMPORTRANGE(""https://docs.google.com/spreadsheets/d/1jTcq05yEiRwXcBMLjiodW9e4biSGYWAHcDj22rKWQ3s/edit?usp=sharing"",""กำแพงเพชร!J241"")"),0)</f>
        <v>0</v>
      </c>
    </row>
    <row r="15" spans="1:101" ht="24" customHeight="1" x14ac:dyDescent="0.3">
      <c r="A15" s="147">
        <v>2</v>
      </c>
      <c r="B15" s="148" t="s">
        <v>43</v>
      </c>
      <c r="C15" s="149">
        <f t="shared" ca="1" si="90"/>
        <v>34500</v>
      </c>
      <c r="D15" s="150">
        <f t="shared" ca="1" si="150"/>
        <v>34500</v>
      </c>
      <c r="E15" s="151">
        <f ca="1">IFERROR(__xludf.DUMMYFUNCTION("IMPORTRANGE(""https://docs.google.com/spreadsheets/d/1-uDff_7J0KD5mKrp0Vvzr7lt3OU09vwQwhkpOPPYv2Y/edit?usp=sharing"",""งบพรบ!CV15"")"),0)</f>
        <v>0</v>
      </c>
      <c r="F15" s="151">
        <f ca="1">IFERROR(__xludf.DUMMYFUNCTION("IMPORTRANGE(""https://docs.google.com/spreadsheets/d/1-uDff_7J0KD5mKrp0Vvzr7lt3OU09vwQwhkpOPPYv2Y/edit?usp=sharing"",""งบพรบ!CW15"")"),34500)</f>
        <v>34500</v>
      </c>
      <c r="G15" s="151">
        <f ca="1">IFERROR(__xludf.DUMMYFUNCTION("IMPORTRANGE(""https://docs.google.com/spreadsheets/d/1-uDff_7J0KD5mKrp0Vvzr7lt3OU09vwQwhkpOPPYv2Y/edit?usp=sharing"",""งบพรบ!CX15"")"),0)</f>
        <v>0</v>
      </c>
      <c r="H15" s="151">
        <f ca="1">IFERROR(__xludf.DUMMYFUNCTION("IMPORTRANGE(""https://docs.google.com/spreadsheets/d/1-uDff_7J0KD5mKrp0Vvzr7lt3OU09vwQwhkpOPPYv2Y/edit?usp=sharing"",""งบพรบ!CZ15"")"),45200)</f>
        <v>45200</v>
      </c>
      <c r="I15" s="151">
        <f ca="1">IFERROR(__xludf.DUMMYFUNCTION("IMPORTRANGE(""https://docs.google.com/spreadsheets/d/1-uDff_7J0KD5mKrp0Vvzr7lt3OU09vwQwhkpOPPYv2Y/edit?usp=sharing"",""งบพรบ!DA15"")"),0)</f>
        <v>0</v>
      </c>
      <c r="J15" s="151">
        <f t="shared" ca="1" si="92"/>
        <v>48043</v>
      </c>
      <c r="K15" s="154">
        <f t="shared" ca="1" si="93"/>
        <v>139.25507246376813</v>
      </c>
      <c r="L15" s="151">
        <f ca="1">IFERROR(__xludf.DUMMYFUNCTION("IMPORTRANGE(""https://docs.google.com/spreadsheets/d/1-uDff_7J0KD5mKrp0Vvzr7lt3OU09vwQwhkpOPPYv2Y/edit?usp=sharing"",""งบพรบ!DB15"")"),48043)</f>
        <v>48043</v>
      </c>
      <c r="M15" s="68">
        <f t="shared" ca="1" si="94"/>
        <v>139.25507246376813</v>
      </c>
      <c r="N15" s="68">
        <f t="shared" ca="1" si="95"/>
        <v>106.28982300884955</v>
      </c>
      <c r="O15" s="67">
        <f ca="1">IFERROR(__xludf.DUMMYFUNCTION("IMPORTRANGE(""https://docs.google.com/spreadsheets/d/1-uDff_7J0KD5mKrp0Vvzr7lt3OU09vwQwhkpOPPYv2Y/edit?usp=sharing"",""งบพรบ!DC15"")"),0)</f>
        <v>0</v>
      </c>
      <c r="P15" s="67">
        <f t="shared" ca="1" si="96"/>
        <v>0</v>
      </c>
      <c r="Q15" s="68">
        <f t="shared" ca="1" si="97"/>
        <v>0</v>
      </c>
      <c r="R15" s="67">
        <f ca="1">IFERROR(__xludf.DUMMYFUNCTION("IMPORTRANGE(""https://docs.google.com/spreadsheets/d/1KS0zmDSZPk8KnTAbGN-Xk6MtX1YRZD0ldgdt20K4CRk/edit?usp=sharing"",""เชียงราย!Q186"")"),56000)</f>
        <v>56000</v>
      </c>
      <c r="S15" s="67">
        <f ca="1">IFERROR(__xludf.DUMMYFUNCTION("IMPORTRANGE(""https://docs.google.com/spreadsheets/d/1KS0zmDSZPk8KnTAbGN-Xk6MtX1YRZD0ldgdt20K4CRk/edit?usp=sharing"",""เชียงราย!R186"")"),56000)</f>
        <v>56000</v>
      </c>
      <c r="T15" s="67">
        <f ca="1">IFERROR(__xludf.DUMMYFUNCTION("IMPORTRANGE(""https://docs.google.com/spreadsheets/d/1KS0zmDSZPk8KnTAbGN-Xk6MtX1YRZD0ldgdt20K4CRk/edit?usp=sharing"",""เชียงราย!S186"")"),54120)</f>
        <v>54120</v>
      </c>
      <c r="U15" s="68">
        <f t="shared" ca="1" si="99"/>
        <v>96.642857142857139</v>
      </c>
      <c r="V15" s="68">
        <f t="shared" ca="1" si="100"/>
        <v>96.642857142857139</v>
      </c>
      <c r="W15" s="152">
        <f ca="1">IFERROR(__xludf.DUMMYFUNCTION("IMPORTRANGE(""https://docs.google.com/spreadsheets/d/1KS0zmDSZPk8KnTAbGN-Xk6MtX1YRZD0ldgdt20K4CRk/edit?usp=sharing"",""เชียงราย!L196"")"),6000)</f>
        <v>6000</v>
      </c>
      <c r="X15" s="152">
        <f ca="1">IFERROR(__xludf.DUMMYFUNCTION("IMPORTRANGE(""https://docs.google.com/spreadsheets/d/1KS0zmDSZPk8KnTAbGN-Xk6MtX1YRZD0ldgdt20K4CRk/edit?usp=sharing"",""เชียงราย!N196"")"),1540)</f>
        <v>1540</v>
      </c>
      <c r="Y15" s="216">
        <f t="shared" ca="1" si="102"/>
        <v>25.666666666666668</v>
      </c>
      <c r="Z15" s="152">
        <f ca="1">IFERROR(__xludf.DUMMYFUNCTION("IMPORTRANGE(""https://docs.google.com/spreadsheets/d/1KS0zmDSZPk8KnTAbGN-Xk6MtX1YRZD0ldgdt20K4CRk/edit?usp=sharing"",""เชียงราย!I198"")"),4)</f>
        <v>4</v>
      </c>
      <c r="AA15" s="152">
        <f ca="1">IFERROR(__xludf.DUMMYFUNCTION("IMPORTRANGE(""https://docs.google.com/spreadsheets/d/1KS0zmDSZPk8KnTAbGN-Xk6MtX1YRZD0ldgdt20K4CRk/edit?usp=sharing"",""เชียงราย!J198"")"),4)</f>
        <v>4</v>
      </c>
      <c r="AB15" s="216">
        <f t="shared" ca="1" si="104"/>
        <v>100</v>
      </c>
      <c r="AC15" s="152">
        <f ca="1">IFERROR(__xludf.DUMMYFUNCTION("IMPORTRANGE(""https://docs.google.com/spreadsheets/d/1KS0zmDSZPk8KnTAbGN-Xk6MtX1YRZD0ldgdt20K4CRk/edit?usp=sharing"",""เชียงราย!J199"")"),46)</f>
        <v>46</v>
      </c>
      <c r="AD15" s="152">
        <f ca="1">IFERROR(__xludf.DUMMYFUNCTION("IMPORTRANGE(""https://docs.google.com/spreadsheets/d/1KS0zmDSZPk8KnTAbGN-Xk6MtX1YRZD0ldgdt20K4CRk/edit?usp=sharing"",""เชียงราย!J200"")"),46)</f>
        <v>46</v>
      </c>
      <c r="AE15" s="152">
        <f ca="1">IFERROR(__xludf.DUMMYFUNCTION("IMPORTRANGE(""https://docs.google.com/spreadsheets/d/1KS0zmDSZPk8KnTAbGN-Xk6MtX1YRZD0ldgdt20K4CRk/edit?usp=sharing"",""เชียงราย!J201"")"),0)</f>
        <v>0</v>
      </c>
      <c r="AF15" s="152">
        <f ca="1">IFERROR(__xludf.DUMMYFUNCTION("IMPORTRANGE(""https://docs.google.com/spreadsheets/d/1KS0zmDSZPk8KnTAbGN-Xk6MtX1YRZD0ldgdt20K4CRk/edit?usp=sharing"",""เชียงราย!L204"")"),4000)</f>
        <v>4000</v>
      </c>
      <c r="AG15" s="152">
        <f ca="1">IFERROR(__xludf.DUMMYFUNCTION("IMPORTRANGE(""https://docs.google.com/spreadsheets/d/1KS0zmDSZPk8KnTAbGN-Xk6MtX1YRZD0ldgdt20K4CRk/edit?usp=sharing"",""เชียงราย!N204"")"),1740)</f>
        <v>1740</v>
      </c>
      <c r="AH15" s="216">
        <f t="shared" ca="1" si="106"/>
        <v>43.5</v>
      </c>
      <c r="AI15" s="152">
        <f ca="1">IFERROR(__xludf.DUMMYFUNCTION("IMPORTRANGE(""https://docs.google.com/spreadsheets/d/1KS0zmDSZPk8KnTAbGN-Xk6MtX1YRZD0ldgdt20K4CRk/edit?usp=sharing"",""เชียงราย!L206"")"),0)</f>
        <v>0</v>
      </c>
      <c r="AJ15" s="152">
        <f ca="1">IFERROR(__xludf.DUMMYFUNCTION("IMPORTRANGE(""https://docs.google.com/spreadsheets/d/1KS0zmDSZPk8KnTAbGN-Xk6MtX1YRZD0ldgdt20K4CRk/edit?usp=sharing"",""เชียงราย!N206"")"),0)</f>
        <v>0</v>
      </c>
      <c r="AK15" s="216">
        <f t="shared" ca="1" si="108"/>
        <v>0</v>
      </c>
      <c r="AL15" s="152">
        <f ca="1">IFERROR(__xludf.DUMMYFUNCTION("IMPORTRANGE(""https://docs.google.com/spreadsheets/d/1KS0zmDSZPk8KnTAbGN-Xk6MtX1YRZD0ldgdt20K4CRk/edit?usp=sharing"",""เชียงราย!Q206"")"),56000)</f>
        <v>56000</v>
      </c>
      <c r="AM15" s="152">
        <f ca="1">IFERROR(__xludf.DUMMYFUNCTION("IMPORTRANGE(""https://docs.google.com/spreadsheets/d/1KS0zmDSZPk8KnTAbGN-Xk6MtX1YRZD0ldgdt20K4CRk/edit?usp=sharing"",""เชียงราย!S206"")"),54120)</f>
        <v>54120</v>
      </c>
      <c r="AN15" s="216">
        <f t="shared" ca="1" si="110"/>
        <v>96.642857142857139</v>
      </c>
      <c r="AO15" s="152">
        <f ca="1">IFERROR(__xludf.DUMMYFUNCTION("IMPORTRANGE(""https://docs.google.com/spreadsheets/d/1KS0zmDSZPk8KnTAbGN-Xk6MtX1YRZD0ldgdt20K4CRk/edit?usp=sharing"",""เชียงราย!L207"")"),16000)</f>
        <v>16000</v>
      </c>
      <c r="AP15" s="152">
        <f ca="1">IFERROR(__xludf.DUMMYFUNCTION("IMPORTRANGE(""https://docs.google.com/spreadsheets/d/1KS0zmDSZPk8KnTAbGN-Xk6MtX1YRZD0ldgdt20K4CRk/edit?usp=sharing"",""เชียงราย!N207"")"),16000)</f>
        <v>16000</v>
      </c>
      <c r="AQ15" s="216">
        <f t="shared" ca="1" si="112"/>
        <v>100</v>
      </c>
      <c r="AR15" s="152">
        <f ca="1">IFERROR(__xludf.DUMMYFUNCTION("IMPORTRANGE(""https://docs.google.com/spreadsheets/d/1KS0zmDSZPk8KnTAbGN-Xk6MtX1YRZD0ldgdt20K4CRk/edit?usp=sharing"",""เชียงราย!I209"")"),4)</f>
        <v>4</v>
      </c>
      <c r="AS15" s="152">
        <f ca="1">IFERROR(__xludf.DUMMYFUNCTION("IMPORTRANGE(""https://docs.google.com/spreadsheets/d/1KS0zmDSZPk8KnTAbGN-Xk6MtX1YRZD0ldgdt20K4CRk/edit?usp=sharing"",""เชียงราย!J209"")"),4)</f>
        <v>4</v>
      </c>
      <c r="AT15" s="216">
        <f t="shared" ca="1" si="114"/>
        <v>100</v>
      </c>
      <c r="AU15" s="152">
        <f ca="1">IFERROR(__xludf.DUMMYFUNCTION("IMPORTRANGE(""https://docs.google.com/spreadsheets/d/1KS0zmDSZPk8KnTAbGN-Xk6MtX1YRZD0ldgdt20K4CRk/edit?usp=sharing"",""เชียงราย!J211"")"),4)</f>
        <v>4</v>
      </c>
      <c r="AV15" s="152">
        <f ca="1">IFERROR(__xludf.DUMMYFUNCTION("IMPORTRANGE(""https://docs.google.com/spreadsheets/d/1KS0zmDSZPk8KnTAbGN-Xk6MtX1YRZD0ldgdt20K4CRk/edit?usp=sharing"",""เชียงราย!J212"")"),0)</f>
        <v>0</v>
      </c>
      <c r="AW15" s="152">
        <f ca="1">IFERROR(__xludf.DUMMYFUNCTION("IMPORTRANGE(""https://docs.google.com/spreadsheets/d/1KS0zmDSZPk8KnTAbGN-Xk6MtX1YRZD0ldgdt20K4CRk/edit?usp=sharing"",""เชียงราย!L215"")"),0)</f>
        <v>0</v>
      </c>
      <c r="AX15" s="152">
        <f ca="1">IFERROR(__xludf.DUMMYFUNCTION("IMPORTRANGE(""https://docs.google.com/spreadsheets/d/1KS0zmDSZPk8KnTAbGN-Xk6MtX1YRZD0ldgdt20K4CRk/edit?usp=sharing"",""เชียงราย!N215"")"),0)</f>
        <v>0</v>
      </c>
      <c r="AY15" s="216">
        <f t="shared" ca="1" si="116"/>
        <v>0</v>
      </c>
      <c r="AZ15" s="152">
        <f ca="1">IFERROR(__xludf.DUMMYFUNCTION("IMPORTRANGE(""https://docs.google.com/spreadsheets/d/1KS0zmDSZPk8KnTAbGN-Xk6MtX1YRZD0ldgdt20K4CRk/edit?usp=sharing"",""เชียงราย!L216"")"),0)</f>
        <v>0</v>
      </c>
      <c r="BA15" s="152">
        <f ca="1">IFERROR(__xludf.DUMMYFUNCTION("IMPORTRANGE(""https://docs.google.com/spreadsheets/d/1KS0zmDSZPk8KnTAbGN-Xk6MtX1YRZD0ldgdt20K4CRk/edit?usp=sharing"",""เชียงราย!N216"")"),0)</f>
        <v>0</v>
      </c>
      <c r="BB15" s="216">
        <f t="shared" ca="1" si="118"/>
        <v>0</v>
      </c>
      <c r="BC15" s="152">
        <f ca="1">IFERROR(__xludf.DUMMYFUNCTION("IMPORTRANGE(""https://docs.google.com/spreadsheets/d/1KS0zmDSZPk8KnTAbGN-Xk6MtX1YRZD0ldgdt20K4CRk/edit?usp=sharing"",""เชียงราย!L217"")"),0)</f>
        <v>0</v>
      </c>
      <c r="BD15" s="152">
        <f ca="1">IFERROR(__xludf.DUMMYFUNCTION("IMPORTRANGE(""https://docs.google.com/spreadsheets/d/1KS0zmDSZPk8KnTAbGN-Xk6MtX1YRZD0ldgdt20K4CRk/edit?usp=sharing"",""เชียงราย!N217"")"),0)</f>
        <v>0</v>
      </c>
      <c r="BE15" s="216">
        <f t="shared" ca="1" si="120"/>
        <v>0</v>
      </c>
      <c r="BF15" s="152">
        <f ca="1">IFERROR(__xludf.DUMMYFUNCTION("IMPORTRANGE(""https://docs.google.com/spreadsheets/d/1KS0zmDSZPk8KnTAbGN-Xk6MtX1YRZD0ldgdt20K4CRk/edit?usp=sharing"",""เชียงราย!Q217"")"),0)</f>
        <v>0</v>
      </c>
      <c r="BG15" s="152">
        <f ca="1">IFERROR(__xludf.DUMMYFUNCTION("IMPORTRANGE(""https://docs.google.com/spreadsheets/d/1KS0zmDSZPk8KnTAbGN-Xk6MtX1YRZD0ldgdt20K4CRk/edit?usp=sharing"",""เชียงราย!S217"")"),0)</f>
        <v>0</v>
      </c>
      <c r="BH15" s="216">
        <f t="shared" ca="1" si="122"/>
        <v>0</v>
      </c>
      <c r="BI15" s="152">
        <f ca="1">IFERROR(__xludf.DUMMYFUNCTION("IMPORTRANGE(""https://docs.google.com/spreadsheets/d/1KS0zmDSZPk8KnTAbGN-Xk6MtX1YRZD0ldgdt20K4CRk/edit?usp=sharing"",""เชียงราย!I219"")"),0)</f>
        <v>0</v>
      </c>
      <c r="BJ15" s="152">
        <f ca="1">IFERROR(__xludf.DUMMYFUNCTION("IMPORTRANGE(""https://docs.google.com/spreadsheets/d/1KS0zmDSZPk8KnTAbGN-Xk6MtX1YRZD0ldgdt20K4CRk/edit?usp=sharing"",""เชียงราย!J219"")"),0)</f>
        <v>0</v>
      </c>
      <c r="BK15" s="216">
        <f t="shared" ca="1" si="124"/>
        <v>0</v>
      </c>
      <c r="BL15" s="152">
        <f ca="1">IFERROR(__xludf.DUMMYFUNCTION("IMPORTRANGE(""https://docs.google.com/spreadsheets/d/1KS0zmDSZPk8KnTAbGN-Xk6MtX1YRZD0ldgdt20K4CRk/edit?usp=sharing"",""เชียงราย!I220"")"),0)</f>
        <v>0</v>
      </c>
      <c r="BM15" s="152">
        <f ca="1">IFERROR(__xludf.DUMMYFUNCTION("IMPORTRANGE(""https://docs.google.com/spreadsheets/d/1KS0zmDSZPk8KnTAbGN-Xk6MtX1YRZD0ldgdt20K4CRk/edit?usp=sharing"",""เชียงราย!J220"")"),0)</f>
        <v>0</v>
      </c>
      <c r="BN15" s="216">
        <f t="shared" ca="1" si="126"/>
        <v>0</v>
      </c>
      <c r="BO15" s="152">
        <f ca="1">IFERROR(__xludf.DUMMYFUNCTION("IMPORTRANGE(""https://docs.google.com/spreadsheets/d/1KS0zmDSZPk8KnTAbGN-Xk6MtX1YRZD0ldgdt20K4CRk/edit?usp=sharing"",""เชียงราย!L223"")"),2500)</f>
        <v>2500</v>
      </c>
      <c r="BP15" s="152">
        <f ca="1">IFERROR(__xludf.DUMMYFUNCTION("IMPORTRANGE(""https://docs.google.com/spreadsheets/d/1KS0zmDSZPk8KnTAbGN-Xk6MtX1YRZD0ldgdt20K4CRk/edit?usp=sharing"",""เชียงราย!N223"")"),0)</f>
        <v>0</v>
      </c>
      <c r="BQ15" s="216">
        <f t="shared" ca="1" si="128"/>
        <v>0</v>
      </c>
      <c r="BR15" s="152">
        <f ca="1">IFERROR(__xludf.DUMMYFUNCTION("IMPORTRANGE(""https://docs.google.com/spreadsheets/d/1KS0zmDSZPk8KnTAbGN-Xk6MtX1YRZD0ldgdt20K4CRk/edit?usp=sharing"",""เชียงราย!L224"")"),6000)</f>
        <v>6000</v>
      </c>
      <c r="BS15" s="152">
        <f ca="1">IFERROR(__xludf.DUMMYFUNCTION("IMPORTRANGE(""https://docs.google.com/spreadsheets/d/1KS0zmDSZPk8KnTAbGN-Xk6MtX1YRZD0ldgdt20K4CRk/edit?usp=sharing"",""เชียงราย!N224"")"),0)</f>
        <v>0</v>
      </c>
      <c r="BT15" s="216">
        <f t="shared" ca="1" si="130"/>
        <v>0</v>
      </c>
      <c r="BU15" s="152">
        <f ca="1">IFERROR(__xludf.DUMMYFUNCTION("IMPORTRANGE(""https://docs.google.com/spreadsheets/d/1KS0zmDSZPk8KnTAbGN-Xk6MtX1YRZD0ldgdt20K4CRk/edit?usp=sharing"",""เชียงราย!I228"")"),60000)</f>
        <v>60000</v>
      </c>
      <c r="BV15" s="152">
        <f ca="1">IFERROR(__xludf.DUMMYFUNCTION("IMPORTRANGE(""https://docs.google.com/spreadsheets/d/1KS0zmDSZPk8KnTAbGN-Xk6MtX1YRZD0ldgdt20K4CRk/edit?usp=sharing"",""เชียงราย!J228"")"),60000)</f>
        <v>60000</v>
      </c>
      <c r="BW15" s="216">
        <f t="shared" ca="1" si="132"/>
        <v>100</v>
      </c>
      <c r="BX15" s="152">
        <f ca="1">IFERROR(__xludf.DUMMYFUNCTION("IMPORTRANGE(""https://docs.google.com/spreadsheets/d/1KS0zmDSZPk8KnTAbGN-Xk6MtX1YRZD0ldgdt20K4CRk/edit?usp=sharing"",""เชียงราย!I229"")"),60000)</f>
        <v>60000</v>
      </c>
      <c r="BY15" s="152">
        <f ca="1">IFERROR(__xludf.DUMMYFUNCTION("IMPORTRANGE(""https://docs.google.com/spreadsheets/d/1KS0zmDSZPk8KnTAbGN-Xk6MtX1YRZD0ldgdt20K4CRk/edit?usp=sharing"",""เชียงราย!J229"")"),60000)</f>
        <v>60000</v>
      </c>
      <c r="BZ15" s="216">
        <f t="shared" ca="1" si="134"/>
        <v>100</v>
      </c>
      <c r="CA15" s="152">
        <f ca="1">IFERROR(__xludf.DUMMYFUNCTION("IMPORTRANGE(""https://docs.google.com/spreadsheets/d/1KS0zmDSZPk8KnTAbGN-Xk6MtX1YRZD0ldgdt20K4CRk/edit?usp=sharing"",""เชียงราย!I230"")"),0)</f>
        <v>0</v>
      </c>
      <c r="CB15" s="152">
        <f ca="1">IFERROR(__xludf.DUMMYFUNCTION("IMPORTRANGE(""https://docs.google.com/spreadsheets/d/1KS0zmDSZPk8KnTAbGN-Xk6MtX1YRZD0ldgdt20K4CRk/edit?usp=sharing"",""เชียงราย!J230"")"),0)</f>
        <v>0</v>
      </c>
      <c r="CC15" s="216">
        <f t="shared" ca="1" si="136"/>
        <v>0</v>
      </c>
      <c r="CD15" s="152">
        <f ca="1">IFERROR(__xludf.DUMMYFUNCTION("IMPORTRANGE(""https://docs.google.com/spreadsheets/d/1KS0zmDSZPk8KnTAbGN-Xk6MtX1YRZD0ldgdt20K4CRk/edit?usp=sharing"",""เชียงราย!L233"")"),0)</f>
        <v>0</v>
      </c>
      <c r="CE15" s="152">
        <f ca="1">IFERROR(__xludf.DUMMYFUNCTION("IMPORTRANGE(""https://docs.google.com/spreadsheets/d/1KS0zmDSZPk8KnTAbGN-Xk6MtX1YRZD0ldgdt20K4CRk/edit?usp=sharing"",""เชียงราย!N233"")"),0)</f>
        <v>0</v>
      </c>
      <c r="CF15" s="216">
        <f t="shared" ca="1" si="138"/>
        <v>0</v>
      </c>
      <c r="CG15" s="152">
        <f ca="1">IFERROR(__xludf.DUMMYFUNCTION("IMPORTRANGE(""https://docs.google.com/spreadsheets/d/1KS0zmDSZPk8KnTAbGN-Xk6MtX1YRZD0ldgdt20K4CRk/edit?usp=sharing"",""เชียงราย!L234"")"),0)</f>
        <v>0</v>
      </c>
      <c r="CH15" s="152">
        <f ca="1">IFERROR(__xludf.DUMMYFUNCTION("IMPORTRANGE(""https://docs.google.com/spreadsheets/d/1KS0zmDSZPk8KnTAbGN-Xk6MtX1YRZD0ldgdt20K4CRk/edit?usp=sharing"",""เชียงราย!N234"")"),0)</f>
        <v>0</v>
      </c>
      <c r="CI15" s="216">
        <f t="shared" ca="1" si="140"/>
        <v>0</v>
      </c>
      <c r="CJ15" s="152">
        <f ca="1">IFERROR(__xludf.DUMMYFUNCTION("IMPORTRANGE(""https://docs.google.com/spreadsheets/d/1KS0zmDSZPk8KnTAbGN-Xk6MtX1YRZD0ldgdt20K4CRk/edit?usp=sharing"",""เชียงราย!L235"")"),0)</f>
        <v>0</v>
      </c>
      <c r="CK15" s="152">
        <f ca="1">IFERROR(__xludf.DUMMYFUNCTION("IMPORTRANGE(""https://docs.google.com/spreadsheets/d/1KS0zmDSZPk8KnTAbGN-Xk6MtX1YRZD0ldgdt20K4CRk/edit?usp=sharing"",""เชียงราย!N235"")"),0)</f>
        <v>0</v>
      </c>
      <c r="CL15" s="216">
        <f t="shared" ca="1" si="142"/>
        <v>0</v>
      </c>
      <c r="CM15" s="251">
        <f ca="1">IFERROR(__xludf.DUMMYFUNCTION("IMPORTRANGE(""https://docs.google.com/spreadsheets/d/1KS0zmDSZPk8KnTAbGN-Xk6MtX1YRZD0ldgdt20K4CRk/edit?usp=sharing"",""เชียงราย!Q235"")"),0)</f>
        <v>0</v>
      </c>
      <c r="CN15" s="251">
        <f ca="1">IFERROR(__xludf.DUMMYFUNCTION("IMPORTRANGE(""https://docs.google.com/spreadsheets/d/1KS0zmDSZPk8KnTAbGN-Xk6MtX1YRZD0ldgdt20K4CRk/edit?usp=sharing"",""เชียงราย!S235"")"),0)</f>
        <v>0</v>
      </c>
      <c r="CO15" s="216">
        <f t="shared" ca="1" si="144"/>
        <v>0</v>
      </c>
      <c r="CP15" s="152">
        <f ca="1">IFERROR(__xludf.DUMMYFUNCTION("IMPORTRANGE(""https://docs.google.com/spreadsheets/d/1KS0zmDSZPk8KnTAbGN-Xk6MtX1YRZD0ldgdt20K4CRk/edit?usp=sharing"",""เชียงราย!L236"")"),0)</f>
        <v>0</v>
      </c>
      <c r="CQ15" s="152">
        <f ca="1">IFERROR(__xludf.DUMMYFUNCTION("IMPORTRANGE(""https://docs.google.com/spreadsheets/d/1KS0zmDSZPk8KnTAbGN-Xk6MtX1YRZD0ldgdt20K4CRk/edit?usp=sharing"",""เชียงราย!N236"")"),0)</f>
        <v>0</v>
      </c>
      <c r="CR15" s="216">
        <f t="shared" ca="1" si="146"/>
        <v>0</v>
      </c>
      <c r="CS15" s="152">
        <f ca="1">IFERROR(__xludf.DUMMYFUNCTION("IMPORTRANGE(""https://docs.google.com/spreadsheets/d/1KS0zmDSZPk8KnTAbGN-Xk6MtX1YRZD0ldgdt20K4CRk/edit?usp=sharing"",""เชียงราย!I238"")"),0)</f>
        <v>0</v>
      </c>
      <c r="CT15" s="152">
        <f ca="1">IFERROR(__xludf.DUMMYFUNCTION("IMPORTRANGE(""https://docs.google.com/spreadsheets/d/1KS0zmDSZPk8KnTAbGN-Xk6MtX1YRZD0ldgdt20K4CRk/edit?usp=sharing"",""เชียงราย!J238"")"),0)</f>
        <v>0</v>
      </c>
      <c r="CU15" s="216">
        <f t="shared" ca="1" si="148"/>
        <v>0</v>
      </c>
      <c r="CV15" s="152">
        <f ca="1">IFERROR(__xludf.DUMMYFUNCTION("IMPORTRANGE(""https://docs.google.com/spreadsheets/d/1KS0zmDSZPk8KnTAbGN-Xk6MtX1YRZD0ldgdt20K4CRk/edit?usp=sharing"",""เชียงราย!J240"")"),0)</f>
        <v>0</v>
      </c>
      <c r="CW15" s="152">
        <f ca="1">IFERROR(__xludf.DUMMYFUNCTION("IMPORTRANGE(""https://docs.google.com/spreadsheets/d/1KS0zmDSZPk8KnTAbGN-Xk6MtX1YRZD0ldgdt20K4CRk/edit?usp=sharing"",""เชียงราย!J241"")"),0)</f>
        <v>0</v>
      </c>
    </row>
    <row r="16" spans="1:101" ht="24" customHeight="1" x14ac:dyDescent="0.3">
      <c r="A16" s="147">
        <v>3</v>
      </c>
      <c r="B16" s="148" t="s">
        <v>44</v>
      </c>
      <c r="C16" s="149">
        <f t="shared" ca="1" si="90"/>
        <v>624700</v>
      </c>
      <c r="D16" s="150">
        <f t="shared" ca="1" si="150"/>
        <v>624700</v>
      </c>
      <c r="E16" s="151">
        <f ca="1">IFERROR(__xludf.DUMMYFUNCTION("IMPORTRANGE(""https://docs.google.com/spreadsheets/d/1-uDff_7J0KD5mKrp0Vvzr7lt3OU09vwQwhkpOPPYv2Y/edit?usp=sharing"",""งบพรบ!CV16"")"),91000)</f>
        <v>91000</v>
      </c>
      <c r="F16" s="151">
        <f ca="1">IFERROR(__xludf.DUMMYFUNCTION("IMPORTRANGE(""https://docs.google.com/spreadsheets/d/1-uDff_7J0KD5mKrp0Vvzr7lt3OU09vwQwhkpOPPYv2Y/edit?usp=sharing"",""งบพรบ!CW16"")"),533700)</f>
        <v>533700</v>
      </c>
      <c r="G16" s="151">
        <f ca="1">IFERROR(__xludf.DUMMYFUNCTION("IMPORTRANGE(""https://docs.google.com/spreadsheets/d/1-uDff_7J0KD5mKrp0Vvzr7lt3OU09vwQwhkpOPPYv2Y/edit?usp=sharing"",""งบพรบ!CX16"")"),0)</f>
        <v>0</v>
      </c>
      <c r="H16" s="151">
        <f ca="1">IFERROR(__xludf.DUMMYFUNCTION("IMPORTRANGE(""https://docs.google.com/spreadsheets/d/1-uDff_7J0KD5mKrp0Vvzr7lt3OU09vwQwhkpOPPYv2Y/edit?usp=sharing"",""งบพรบ!CZ16"")"),1236080)</f>
        <v>1236080</v>
      </c>
      <c r="I16" s="151">
        <f ca="1">IFERROR(__xludf.DUMMYFUNCTION("IMPORTRANGE(""https://docs.google.com/spreadsheets/d/1-uDff_7J0KD5mKrp0Vvzr7lt3OU09vwQwhkpOPPYv2Y/edit?usp=sharing"",""งบพรบ!DA16"")"),0)</f>
        <v>0</v>
      </c>
      <c r="J16" s="151">
        <f t="shared" ca="1" si="92"/>
        <v>1051688.8500000001</v>
      </c>
      <c r="K16" s="154">
        <f t="shared" ca="1" si="93"/>
        <v>168.35102449175608</v>
      </c>
      <c r="L16" s="151">
        <f ca="1">IFERROR(__xludf.DUMMYFUNCTION("IMPORTRANGE(""https://docs.google.com/spreadsheets/d/1-uDff_7J0KD5mKrp0Vvzr7lt3OU09vwQwhkpOPPYv2Y/edit?usp=sharing"",""งบพรบ!DB16"")"),1051688.85)</f>
        <v>1051688.8500000001</v>
      </c>
      <c r="M16" s="68">
        <f t="shared" ca="1" si="94"/>
        <v>168.35102449175608</v>
      </c>
      <c r="N16" s="68">
        <f t="shared" ca="1" si="95"/>
        <v>85.082587696589229</v>
      </c>
      <c r="O16" s="67">
        <f ca="1">IFERROR(__xludf.DUMMYFUNCTION("IMPORTRANGE(""https://docs.google.com/spreadsheets/d/1-uDff_7J0KD5mKrp0Vvzr7lt3OU09vwQwhkpOPPYv2Y/edit?usp=sharing"",""งบพรบ!DC16"")"),0)</f>
        <v>0</v>
      </c>
      <c r="P16" s="67">
        <f t="shared" ca="1" si="96"/>
        <v>0</v>
      </c>
      <c r="Q16" s="68">
        <f t="shared" ca="1" si="97"/>
        <v>0</v>
      </c>
      <c r="R16" s="67">
        <f ca="1">IFERROR(__xludf.DUMMYFUNCTION("IMPORTRANGE(""https://docs.google.com/spreadsheets/d/1rEDxBtusbi64tE0zunoIbsTVV16HeL0oJ6trHQeQ7K8/edit?usp=sharing"",""เชียงใหม่!Q186"")"),324600)</f>
        <v>324600</v>
      </c>
      <c r="S16" s="67">
        <f ca="1">IFERROR(__xludf.DUMMYFUNCTION("IMPORTRANGE(""https://docs.google.com/spreadsheets/d/1rEDxBtusbi64tE0zunoIbsTVV16HeL0oJ6trHQeQ7K8/edit?usp=sharing"",""เชียงใหม่!R186"")"),324600)</f>
        <v>324600</v>
      </c>
      <c r="T16" s="67">
        <f ca="1">IFERROR(__xludf.DUMMYFUNCTION("IMPORTRANGE(""https://docs.google.com/spreadsheets/d/1rEDxBtusbi64tE0zunoIbsTVV16HeL0oJ6trHQeQ7K8/edit?usp=sharing"",""เชียงใหม่!S186"")"),324500)</f>
        <v>324500</v>
      </c>
      <c r="U16" s="68">
        <f t="shared" ca="1" si="99"/>
        <v>99.969192852741841</v>
      </c>
      <c r="V16" s="68">
        <f t="shared" ca="1" si="100"/>
        <v>99.969192852741841</v>
      </c>
      <c r="W16" s="152">
        <f ca="1">IFERROR(__xludf.DUMMYFUNCTION("IMPORTRANGE(""https://docs.google.com/spreadsheets/d/1rEDxBtusbi64tE0zunoIbsTVV16HeL0oJ6trHQeQ7K8/edit?usp=sharing"",""เชียงใหม่!L196"")"),6000)</f>
        <v>6000</v>
      </c>
      <c r="X16" s="152">
        <f ca="1">IFERROR(__xludf.DUMMYFUNCTION("IMPORTRANGE(""https://docs.google.com/spreadsheets/d/1rEDxBtusbi64tE0zunoIbsTVV16HeL0oJ6trHQeQ7K8/edit?usp=sharing"",""เชียงใหม่!N196"")"),4240)</f>
        <v>4240</v>
      </c>
      <c r="Y16" s="216">
        <f t="shared" ca="1" si="102"/>
        <v>70.666666666666671</v>
      </c>
      <c r="Z16" s="152">
        <f ca="1">IFERROR(__xludf.DUMMYFUNCTION("IMPORTRANGE(""https://docs.google.com/spreadsheets/d/1rEDxBtusbi64tE0zunoIbsTVV16HeL0oJ6trHQeQ7K8/edit?usp=sharing"",""เชียงใหม่!I198"")"),4)</f>
        <v>4</v>
      </c>
      <c r="AA16" s="152">
        <f ca="1">IFERROR(__xludf.DUMMYFUNCTION("IMPORTRANGE(""https://docs.google.com/spreadsheets/d/1rEDxBtusbi64tE0zunoIbsTVV16HeL0oJ6trHQeQ7K8/edit?usp=sharing"",""เชียงใหม่!J198"")"),4)</f>
        <v>4</v>
      </c>
      <c r="AB16" s="216">
        <f t="shared" ca="1" si="104"/>
        <v>100</v>
      </c>
      <c r="AC16" s="152">
        <f ca="1">IFERROR(__xludf.DUMMYFUNCTION("IMPORTRANGE(""https://docs.google.com/spreadsheets/d/1rEDxBtusbi64tE0zunoIbsTVV16HeL0oJ6trHQeQ7K8/edit?usp=sharing"",""เชียงใหม่!J199"")"),122)</f>
        <v>122</v>
      </c>
      <c r="AD16" s="152">
        <f ca="1">IFERROR(__xludf.DUMMYFUNCTION("IMPORTRANGE(""https://docs.google.com/spreadsheets/d/1rEDxBtusbi64tE0zunoIbsTVV16HeL0oJ6trHQeQ7K8/edit?usp=sharing"",""เชียงใหม่!J200"")"),122)</f>
        <v>122</v>
      </c>
      <c r="AE16" s="152">
        <f ca="1">IFERROR(__xludf.DUMMYFUNCTION("IMPORTRANGE(""https://docs.google.com/spreadsheets/d/1rEDxBtusbi64tE0zunoIbsTVV16HeL0oJ6trHQeQ7K8/edit?usp=sharing"",""เชียงใหม่!J201"")"),0)</f>
        <v>0</v>
      </c>
      <c r="AF16" s="152">
        <f ca="1">IFERROR(__xludf.DUMMYFUNCTION("IMPORTRANGE(""https://docs.google.com/spreadsheets/d/1rEDxBtusbi64tE0zunoIbsTVV16HeL0oJ6trHQeQ7K8/edit?usp=sharing"",""เชียงใหม่!L204"")"),2000)</f>
        <v>2000</v>
      </c>
      <c r="AG16" s="152">
        <f ca="1">IFERROR(__xludf.DUMMYFUNCTION("IMPORTRANGE(""https://docs.google.com/spreadsheets/d/1rEDxBtusbi64tE0zunoIbsTVV16HeL0oJ6trHQeQ7K8/edit?usp=sharing"",""เชียงใหม่!N204"")"),2000)</f>
        <v>2000</v>
      </c>
      <c r="AH16" s="216">
        <f t="shared" ca="1" si="106"/>
        <v>100</v>
      </c>
      <c r="AI16" s="152">
        <f ca="1">IFERROR(__xludf.DUMMYFUNCTION("IMPORTRANGE(""https://docs.google.com/spreadsheets/d/1rEDxBtusbi64tE0zunoIbsTVV16HeL0oJ6trHQeQ7K8/edit?usp=sharing"",""เชียงใหม่!L206"")"),0)</f>
        <v>0</v>
      </c>
      <c r="AJ16" s="152">
        <f ca="1">IFERROR(__xludf.DUMMYFUNCTION("IMPORTRANGE(""https://docs.google.com/spreadsheets/d/1rEDxBtusbi64tE0zunoIbsTVV16HeL0oJ6trHQeQ7K8/edit?usp=sharing"",""เชียงใหม่!N206"")"),0)</f>
        <v>0</v>
      </c>
      <c r="AK16" s="216">
        <f t="shared" ca="1" si="108"/>
        <v>0</v>
      </c>
      <c r="AL16" s="152">
        <f ca="1">IFERROR(__xludf.DUMMYFUNCTION("IMPORTRANGE(""https://docs.google.com/spreadsheets/d/1rEDxBtusbi64tE0zunoIbsTVV16HeL0oJ6trHQeQ7K8/edit?usp=sharing"",""เชียงใหม่!Q206"")"),28000)</f>
        <v>28000</v>
      </c>
      <c r="AM16" s="152">
        <f ca="1">IFERROR(__xludf.DUMMYFUNCTION("IMPORTRANGE(""https://docs.google.com/spreadsheets/d/1rEDxBtusbi64tE0zunoIbsTVV16HeL0oJ6trHQeQ7K8/edit?usp=sharing"",""เชียงใหม่!S206"")"),27900)</f>
        <v>27900</v>
      </c>
      <c r="AN16" s="216">
        <f t="shared" ca="1" si="110"/>
        <v>99.642857142857139</v>
      </c>
      <c r="AO16" s="152">
        <f ca="1">IFERROR(__xludf.DUMMYFUNCTION("IMPORTRANGE(""https://docs.google.com/spreadsheets/d/1rEDxBtusbi64tE0zunoIbsTVV16HeL0oJ6trHQeQ7K8/edit?usp=sharing"",""เชียงใหม่!L207"")"),8000)</f>
        <v>8000</v>
      </c>
      <c r="AP16" s="152">
        <f ca="1">IFERROR(__xludf.DUMMYFUNCTION("IMPORTRANGE(""https://docs.google.com/spreadsheets/d/1rEDxBtusbi64tE0zunoIbsTVV16HeL0oJ6trHQeQ7K8/edit?usp=sharing"",""เชียงใหม่!N207"")"),8000)</f>
        <v>8000</v>
      </c>
      <c r="AQ16" s="216">
        <f t="shared" ca="1" si="112"/>
        <v>100</v>
      </c>
      <c r="AR16" s="152">
        <f ca="1">IFERROR(__xludf.DUMMYFUNCTION("IMPORTRANGE(""https://docs.google.com/spreadsheets/d/1rEDxBtusbi64tE0zunoIbsTVV16HeL0oJ6trHQeQ7K8/edit?usp=sharing"",""เชียงใหม่!I209"")"),2)</f>
        <v>2</v>
      </c>
      <c r="AS16" s="152">
        <f ca="1">IFERROR(__xludf.DUMMYFUNCTION("IMPORTRANGE(""https://docs.google.com/spreadsheets/d/1rEDxBtusbi64tE0zunoIbsTVV16HeL0oJ6trHQeQ7K8/edit?usp=sharing"",""เชียงใหม่!J209"")"),2)</f>
        <v>2</v>
      </c>
      <c r="AT16" s="216">
        <f t="shared" ca="1" si="114"/>
        <v>100</v>
      </c>
      <c r="AU16" s="152">
        <f ca="1">IFERROR(__xludf.DUMMYFUNCTION("IMPORTRANGE(""https://docs.google.com/spreadsheets/d/1rEDxBtusbi64tE0zunoIbsTVV16HeL0oJ6trHQeQ7K8/edit?usp=sharing"",""เชียงใหม่!J211"")"),2)</f>
        <v>2</v>
      </c>
      <c r="AV16" s="152">
        <f ca="1">IFERROR(__xludf.DUMMYFUNCTION("IMPORTRANGE(""https://docs.google.com/spreadsheets/d/1rEDxBtusbi64tE0zunoIbsTVV16HeL0oJ6trHQeQ7K8/edit?usp=sharing"",""เชียงใหม่!J212"")"),0)</f>
        <v>0</v>
      </c>
      <c r="AW16" s="152">
        <f ca="1">IFERROR(__xludf.DUMMYFUNCTION("IMPORTRANGE(""https://docs.google.com/spreadsheets/d/1rEDxBtusbi64tE0zunoIbsTVV16HeL0oJ6trHQeQ7K8/edit?usp=sharing"",""เชียงใหม่!L215"")"),1000)</f>
        <v>1000</v>
      </c>
      <c r="AX16" s="252">
        <f ca="1">IFERROR(__xludf.DUMMYFUNCTION("IMPORTRANGE(""https://docs.google.com/spreadsheets/d/1rEDxBtusbi64tE0zunoIbsTVV16HeL0oJ6trHQeQ7K8/edit?usp=sharing"",""เชียงใหม่!N215"")"),0)</f>
        <v>0</v>
      </c>
      <c r="AY16" s="216">
        <f t="shared" ca="1" si="116"/>
        <v>0</v>
      </c>
      <c r="AZ16" s="152">
        <f ca="1">IFERROR(__xludf.DUMMYFUNCTION("IMPORTRANGE(""https://docs.google.com/spreadsheets/d/1rEDxBtusbi64tE0zunoIbsTVV16HeL0oJ6trHQeQ7K8/edit?usp=sharing"",""เชียงใหม่!L216"")"),5000)</f>
        <v>5000</v>
      </c>
      <c r="BA16" s="252">
        <f ca="1">IFERROR(__xludf.DUMMYFUNCTION("IMPORTRANGE(""https://docs.google.com/spreadsheets/d/1rEDxBtusbi64tE0zunoIbsTVV16HeL0oJ6trHQeQ7K8/edit?usp=sharing"",""เชียงใหม่!N216"")"),0)</f>
        <v>0</v>
      </c>
      <c r="BB16" s="216">
        <f t="shared" ca="1" si="118"/>
        <v>0</v>
      </c>
      <c r="BC16" s="152">
        <f ca="1">IFERROR(__xludf.DUMMYFUNCTION("IMPORTRANGE(""https://docs.google.com/spreadsheets/d/1rEDxBtusbi64tE0zunoIbsTVV16HeL0oJ6trHQeQ7K8/edit?usp=sharing"",""เชียงใหม่!L217"")"),0)</f>
        <v>0</v>
      </c>
      <c r="BD16" s="152">
        <f ca="1">IFERROR(__xludf.DUMMYFUNCTION("IMPORTRANGE(""https://docs.google.com/spreadsheets/d/1rEDxBtusbi64tE0zunoIbsTVV16HeL0oJ6trHQeQ7K8/edit?usp=sharing"",""เชียงใหม่!N217"")"),0)</f>
        <v>0</v>
      </c>
      <c r="BE16" s="216">
        <f t="shared" ca="1" si="120"/>
        <v>0</v>
      </c>
      <c r="BF16" s="152">
        <f ca="1">IFERROR(__xludf.DUMMYFUNCTION("IMPORTRANGE(""https://docs.google.com/spreadsheets/d/1rEDxBtusbi64tE0zunoIbsTVV16HeL0oJ6trHQeQ7K8/edit?usp=sharing"",""เชียงใหม่!Q217"")"),49700)</f>
        <v>49700</v>
      </c>
      <c r="BG16" s="152">
        <f ca="1">IFERROR(__xludf.DUMMYFUNCTION("IMPORTRANGE(""https://docs.google.com/spreadsheets/d/1rEDxBtusbi64tE0zunoIbsTVV16HeL0oJ6trHQeQ7K8/edit?usp=sharing"",""เชียงใหม่!S217"")"),49700)</f>
        <v>49700</v>
      </c>
      <c r="BH16" s="216">
        <f t="shared" ca="1" si="122"/>
        <v>100</v>
      </c>
      <c r="BI16" s="152">
        <f ca="1">IFERROR(__xludf.DUMMYFUNCTION("IMPORTRANGE(""https://docs.google.com/spreadsheets/d/1rEDxBtusbi64tE0zunoIbsTVV16HeL0oJ6trHQeQ7K8/edit?usp=sharing"",""เชียงใหม่!I219"")"),1)</f>
        <v>1</v>
      </c>
      <c r="BJ16" s="152">
        <f ca="1">IFERROR(__xludf.DUMMYFUNCTION("IMPORTRANGE(""https://docs.google.com/spreadsheets/d/1rEDxBtusbi64tE0zunoIbsTVV16HeL0oJ6trHQeQ7K8/edit?usp=sharing"",""เชียงใหม่!J219"")"),1)</f>
        <v>1</v>
      </c>
      <c r="BK16" s="216">
        <f t="shared" ca="1" si="124"/>
        <v>100</v>
      </c>
      <c r="BL16" s="152">
        <f ca="1">IFERROR(__xludf.DUMMYFUNCTION("IMPORTRANGE(""https://docs.google.com/spreadsheets/d/1rEDxBtusbi64tE0zunoIbsTVV16HeL0oJ6trHQeQ7K8/edit?usp=sharing"",""เชียงใหม่!I220"")"),1)</f>
        <v>1</v>
      </c>
      <c r="BM16" s="152">
        <f ca="1">IFERROR(__xludf.DUMMYFUNCTION("IMPORTRANGE(""https://docs.google.com/spreadsheets/d/1rEDxBtusbi64tE0zunoIbsTVV16HeL0oJ6trHQeQ7K8/edit?usp=sharing"",""เชียงใหม่!J220"")"),1)</f>
        <v>1</v>
      </c>
      <c r="BN16" s="216">
        <f t="shared" ca="1" si="126"/>
        <v>100</v>
      </c>
      <c r="BO16" s="152">
        <f ca="1">IFERROR(__xludf.DUMMYFUNCTION("IMPORTRANGE(""https://docs.google.com/spreadsheets/d/1rEDxBtusbi64tE0zunoIbsTVV16HeL0oJ6trHQeQ7K8/edit?usp=sharing"",""เชียงใหม่!L223"")"),2500)</f>
        <v>2500</v>
      </c>
      <c r="BP16" s="152">
        <f ca="1">IFERROR(__xludf.DUMMYFUNCTION("IMPORTRANGE(""https://docs.google.com/spreadsheets/d/1rEDxBtusbi64tE0zunoIbsTVV16HeL0oJ6trHQeQ7K8/edit?usp=sharing"",""เชียงใหม่!N223"")"),0)</f>
        <v>0</v>
      </c>
      <c r="BQ16" s="216">
        <f t="shared" ca="1" si="128"/>
        <v>0</v>
      </c>
      <c r="BR16" s="152">
        <f ca="1">IFERROR(__xludf.DUMMYFUNCTION("IMPORTRANGE(""https://docs.google.com/spreadsheets/d/1rEDxBtusbi64tE0zunoIbsTVV16HeL0oJ6trHQeQ7K8/edit?usp=sharing"",""เชียงใหม่!L224"")"),2000)</f>
        <v>2000</v>
      </c>
      <c r="BS16" s="152">
        <f ca="1">IFERROR(__xludf.DUMMYFUNCTION("IMPORTRANGE(""https://docs.google.com/spreadsheets/d/1rEDxBtusbi64tE0zunoIbsTVV16HeL0oJ6trHQeQ7K8/edit?usp=sharing"",""เชียงใหม่!N224"")"),0)</f>
        <v>0</v>
      </c>
      <c r="BT16" s="216">
        <f t="shared" ca="1" si="130"/>
        <v>0</v>
      </c>
      <c r="BU16" s="152">
        <f ca="1">IFERROR(__xludf.DUMMYFUNCTION("IMPORTRANGE(""https://docs.google.com/spreadsheets/d/1rEDxBtusbi64tE0zunoIbsTVV16HeL0oJ6trHQeQ7K8/edit?usp=sharing"",""เชียงใหม่!I228"")"),16000)</f>
        <v>16000</v>
      </c>
      <c r="BV16" s="152">
        <f ca="1">IFERROR(__xludf.DUMMYFUNCTION("IMPORTRANGE(""https://docs.google.com/spreadsheets/d/1rEDxBtusbi64tE0zunoIbsTVV16HeL0oJ6trHQeQ7K8/edit?usp=sharing"",""เชียงใหม่!J228"")"),16000)</f>
        <v>16000</v>
      </c>
      <c r="BW16" s="216">
        <f t="shared" ca="1" si="132"/>
        <v>100</v>
      </c>
      <c r="BX16" s="152">
        <f ca="1">IFERROR(__xludf.DUMMYFUNCTION("IMPORTRANGE(""https://docs.google.com/spreadsheets/d/1rEDxBtusbi64tE0zunoIbsTVV16HeL0oJ6trHQeQ7K8/edit?usp=sharing"",""เชียงใหม่!I229"")"),16000)</f>
        <v>16000</v>
      </c>
      <c r="BY16" s="152">
        <f ca="1">IFERROR(__xludf.DUMMYFUNCTION("IMPORTRANGE(""https://docs.google.com/spreadsheets/d/1rEDxBtusbi64tE0zunoIbsTVV16HeL0oJ6trHQeQ7K8/edit?usp=sharing"",""เชียงใหม่!J229"")"),16000)</f>
        <v>16000</v>
      </c>
      <c r="BZ16" s="216">
        <f t="shared" ca="1" si="134"/>
        <v>100</v>
      </c>
      <c r="CA16" s="152">
        <f ca="1">IFERROR(__xludf.DUMMYFUNCTION("IMPORTRANGE(""https://docs.google.com/spreadsheets/d/1rEDxBtusbi64tE0zunoIbsTVV16HeL0oJ6trHQeQ7K8/edit?usp=sharing"",""เชียงใหม่!I230"")"),0)</f>
        <v>0</v>
      </c>
      <c r="CB16" s="152">
        <f ca="1">IFERROR(__xludf.DUMMYFUNCTION("IMPORTRANGE(""https://docs.google.com/spreadsheets/d/1rEDxBtusbi64tE0zunoIbsTVV16HeL0oJ6trHQeQ7K8/edit?usp=sharing"",""เชียงใหม่!J230"")"),0)</f>
        <v>0</v>
      </c>
      <c r="CC16" s="216">
        <f t="shared" ca="1" si="136"/>
        <v>0</v>
      </c>
      <c r="CD16" s="152">
        <f ca="1">IFERROR(__xludf.DUMMYFUNCTION("IMPORTRANGE(""https://docs.google.com/spreadsheets/d/1rEDxBtusbi64tE0zunoIbsTVV16HeL0oJ6trHQeQ7K8/edit?usp=sharing"",""เชียงใหม่!L233"")"),342200)</f>
        <v>342200</v>
      </c>
      <c r="CE16" s="152">
        <f ca="1">IFERROR(__xludf.DUMMYFUNCTION("IMPORTRANGE(""https://docs.google.com/spreadsheets/d/1rEDxBtusbi64tE0zunoIbsTVV16HeL0oJ6trHQeQ7K8/edit?usp=sharing"",""เชียงใหม่!N233"")"),26450)</f>
        <v>26450</v>
      </c>
      <c r="CF16" s="216">
        <f t="shared" ca="1" si="138"/>
        <v>7.7293980128579776</v>
      </c>
      <c r="CG16" s="152">
        <f ca="1">IFERROR(__xludf.DUMMYFUNCTION("IMPORTRANGE(""https://docs.google.com/spreadsheets/d/1rEDxBtusbi64tE0zunoIbsTVV16HeL0oJ6trHQeQ7K8/edit?usp=sharing"",""เชียงใหม่!L234"")"),10000)</f>
        <v>10000</v>
      </c>
      <c r="CH16" s="152">
        <f ca="1">IFERROR(__xludf.DUMMYFUNCTION("IMPORTRANGE(""https://docs.google.com/spreadsheets/d/1rEDxBtusbi64tE0zunoIbsTVV16HeL0oJ6trHQeQ7K8/edit?usp=sharing"",""เชียงใหม่!N234"")"),161386.7)</f>
        <v>161386.70000000001</v>
      </c>
      <c r="CI16" s="216">
        <f t="shared" ca="1" si="140"/>
        <v>1613.8670000000002</v>
      </c>
      <c r="CJ16" s="152">
        <f ca="1">IFERROR(__xludf.DUMMYFUNCTION("IMPORTRANGE(""https://docs.google.com/spreadsheets/d/1rEDxBtusbi64tE0zunoIbsTVV16HeL0oJ6trHQeQ7K8/edit?usp=sharing"",""เชียงใหม่!L235"")"),0)</f>
        <v>0</v>
      </c>
      <c r="CK16" s="152">
        <f ca="1">IFERROR(__xludf.DUMMYFUNCTION("IMPORTRANGE(""https://docs.google.com/spreadsheets/d/1rEDxBtusbi64tE0zunoIbsTVV16HeL0oJ6trHQeQ7K8/edit?usp=sharing"",""เชียงใหม่!N235"")"),0)</f>
        <v>0</v>
      </c>
      <c r="CL16" s="216">
        <f t="shared" ca="1" si="142"/>
        <v>0</v>
      </c>
      <c r="CM16" s="152">
        <f ca="1">IFERROR(__xludf.DUMMYFUNCTION("IMPORTRANGE(""https://docs.google.com/spreadsheets/d/1rEDxBtusbi64tE0zunoIbsTVV16HeL0oJ6trHQeQ7K8/edit?usp=sharing"",""เชียงใหม่!Q235"")"),246900)</f>
        <v>246900</v>
      </c>
      <c r="CN16" s="152">
        <f ca="1">IFERROR(__xludf.DUMMYFUNCTION("IMPORTRANGE(""https://docs.google.com/spreadsheets/d/1rEDxBtusbi64tE0zunoIbsTVV16HeL0oJ6trHQeQ7K8/edit?usp=sharing"",""เชียงใหม่!S235"")"),246900)</f>
        <v>246900</v>
      </c>
      <c r="CO16" s="216">
        <f t="shared" ca="1" si="144"/>
        <v>100</v>
      </c>
      <c r="CP16" s="152">
        <f ca="1">IFERROR(__xludf.DUMMYFUNCTION("IMPORTRANGE(""https://docs.google.com/spreadsheets/d/1rEDxBtusbi64tE0zunoIbsTVV16HeL0oJ6trHQeQ7K8/edit?usp=sharing"",""เชียงใหม่!L236"")"),155000)</f>
        <v>155000</v>
      </c>
      <c r="CQ16" s="152">
        <f ca="1">IFERROR(__xludf.DUMMYFUNCTION("IMPORTRANGE(""https://docs.google.com/spreadsheets/d/1rEDxBtusbi64tE0zunoIbsTVV16HeL0oJ6trHQeQ7K8/edit?usp=sharing"",""เชียงใหม่!N236"")"),0)</f>
        <v>0</v>
      </c>
      <c r="CR16" s="216">
        <f t="shared" ca="1" si="146"/>
        <v>0</v>
      </c>
      <c r="CS16" s="152">
        <f ca="1">IFERROR(__xludf.DUMMYFUNCTION("IMPORTRANGE(""https://docs.google.com/spreadsheets/d/1rEDxBtusbi64tE0zunoIbsTVV16HeL0oJ6trHQeQ7K8/edit?usp=sharing"",""เชียงใหม่!I238"")"),120)</f>
        <v>120</v>
      </c>
      <c r="CT16" s="152">
        <f ca="1">IFERROR(__xludf.DUMMYFUNCTION("IMPORTRANGE(""https://docs.google.com/spreadsheets/d/1rEDxBtusbi64tE0zunoIbsTVV16HeL0oJ6trHQeQ7K8/edit?usp=sharing"",""เชียงใหม่!J238"")"),120)</f>
        <v>120</v>
      </c>
      <c r="CU16" s="216">
        <f t="shared" ca="1" si="148"/>
        <v>100</v>
      </c>
      <c r="CV16" s="152">
        <f ca="1">IFERROR(__xludf.DUMMYFUNCTION("IMPORTRANGE(""https://docs.google.com/spreadsheets/d/1rEDxBtusbi64tE0zunoIbsTVV16HeL0oJ6trHQeQ7K8/edit?usp=sharing"",""เชียงใหม่!J240"")"),0)</f>
        <v>0</v>
      </c>
      <c r="CW16" s="152">
        <f ca="1">IFERROR(__xludf.DUMMYFUNCTION("IMPORTRANGE(""https://docs.google.com/spreadsheets/d/1rEDxBtusbi64tE0zunoIbsTVV16HeL0oJ6trHQeQ7K8/edit?usp=sharing"",""เชียงใหม่!J241"")"),1)</f>
        <v>1</v>
      </c>
    </row>
    <row r="17" spans="1:101" ht="24" customHeight="1" x14ac:dyDescent="0.3">
      <c r="A17" s="147">
        <v>4</v>
      </c>
      <c r="B17" s="148" t="s">
        <v>45</v>
      </c>
      <c r="C17" s="149">
        <f t="shared" ca="1" si="90"/>
        <v>224500</v>
      </c>
      <c r="D17" s="150">
        <f t="shared" ca="1" si="150"/>
        <v>224500</v>
      </c>
      <c r="E17" s="151">
        <f ca="1">IFERROR(__xludf.DUMMYFUNCTION("IMPORTRANGE(""https://docs.google.com/spreadsheets/d/1-uDff_7J0KD5mKrp0Vvzr7lt3OU09vwQwhkpOPPYv2Y/edit?usp=sharing"",""งบพรบ!CV17"")"),182000)</f>
        <v>182000</v>
      </c>
      <c r="F17" s="151">
        <f ca="1">IFERROR(__xludf.DUMMYFUNCTION("IMPORTRANGE(""https://docs.google.com/spreadsheets/d/1-uDff_7J0KD5mKrp0Vvzr7lt3OU09vwQwhkpOPPYv2Y/edit?usp=sharing"",""งบพรบ!CW17"")"),42500)</f>
        <v>42500</v>
      </c>
      <c r="G17" s="151">
        <f ca="1">IFERROR(__xludf.DUMMYFUNCTION("IMPORTRANGE(""https://docs.google.com/spreadsheets/d/1-uDff_7J0KD5mKrp0Vvzr7lt3OU09vwQwhkpOPPYv2Y/edit?usp=sharing"",""งบพรบ!CX17"")"),0)</f>
        <v>0</v>
      </c>
      <c r="H17" s="151">
        <f ca="1">IFERROR(__xludf.DUMMYFUNCTION("IMPORTRANGE(""https://docs.google.com/spreadsheets/d/1-uDff_7J0KD5mKrp0Vvzr7lt3OU09vwQwhkpOPPYv2Y/edit?usp=sharing"",""งบพรบ!CZ17"")"),226500)</f>
        <v>226500</v>
      </c>
      <c r="I17" s="151">
        <f ca="1">IFERROR(__xludf.DUMMYFUNCTION("IMPORTRANGE(""https://docs.google.com/spreadsheets/d/1-uDff_7J0KD5mKrp0Vvzr7lt3OU09vwQwhkpOPPYv2Y/edit?usp=sharing"",""งบพรบ!DA17"")"),0)</f>
        <v>0</v>
      </c>
      <c r="J17" s="151">
        <f t="shared" ca="1" si="92"/>
        <v>206820</v>
      </c>
      <c r="K17" s="154">
        <f t="shared" ca="1" si="93"/>
        <v>92.124721603563472</v>
      </c>
      <c r="L17" s="151">
        <f ca="1">IFERROR(__xludf.DUMMYFUNCTION("IMPORTRANGE(""https://docs.google.com/spreadsheets/d/1-uDff_7J0KD5mKrp0Vvzr7lt3OU09vwQwhkpOPPYv2Y/edit?usp=sharing"",""งบพรบ!DB17"")"),206820)</f>
        <v>206820</v>
      </c>
      <c r="M17" s="68">
        <f t="shared" ca="1" si="94"/>
        <v>92.124721603563472</v>
      </c>
      <c r="N17" s="68">
        <f t="shared" ca="1" si="95"/>
        <v>91.311258278145701</v>
      </c>
      <c r="O17" s="67">
        <f ca="1">IFERROR(__xludf.DUMMYFUNCTION("IMPORTRANGE(""https://docs.google.com/spreadsheets/d/1-uDff_7J0KD5mKrp0Vvzr7lt3OU09vwQwhkpOPPYv2Y/edit?usp=sharing"",""งบพรบ!DC17"")"),0)</f>
        <v>0</v>
      </c>
      <c r="P17" s="67">
        <f t="shared" ca="1" si="96"/>
        <v>0</v>
      </c>
      <c r="Q17" s="68">
        <f t="shared" ca="1" si="97"/>
        <v>0</v>
      </c>
      <c r="R17" s="67">
        <f ca="1">IFERROR(__xludf.DUMMYFUNCTION("IMPORTRANGE(""https://docs.google.com/spreadsheets/d/1W6MnUbDkMi6xHnHko_XkFDO9kkuL6Wqyc-6OCDFjW9I/edit?usp=sharing"",""ตาก!Q186"")"),28000)</f>
        <v>28000</v>
      </c>
      <c r="S17" s="67">
        <f ca="1">IFERROR(__xludf.DUMMYFUNCTION("IMPORTRANGE(""https://docs.google.com/spreadsheets/d/1W6MnUbDkMi6xHnHko_XkFDO9kkuL6Wqyc-6OCDFjW9I/edit?usp=sharing"",""ตาก!R186"")"),28000)</f>
        <v>28000</v>
      </c>
      <c r="T17" s="67">
        <f ca="1">IFERROR(__xludf.DUMMYFUNCTION("IMPORTRANGE(""https://docs.google.com/spreadsheets/d/1W6MnUbDkMi6xHnHko_XkFDO9kkuL6Wqyc-6OCDFjW9I/edit?usp=sharing"",""ตาก!S186"")"),26780)</f>
        <v>26780</v>
      </c>
      <c r="U17" s="68">
        <f t="shared" ca="1" si="99"/>
        <v>95.642857142857139</v>
      </c>
      <c r="V17" s="68">
        <f t="shared" ca="1" si="100"/>
        <v>95.642857142857139</v>
      </c>
      <c r="W17" s="152">
        <f ca="1">IFERROR(__xludf.DUMMYFUNCTION("IMPORTRANGE(""https://docs.google.com/spreadsheets/d/1W6MnUbDkMi6xHnHko_XkFDO9kkuL6Wqyc-6OCDFjW9I/edit?usp=sharing"",""ตาก!L196"")"),6000)</f>
        <v>6000</v>
      </c>
      <c r="X17" s="152">
        <f ca="1">IFERROR(__xludf.DUMMYFUNCTION("IMPORTRANGE(""https://docs.google.com/spreadsheets/d/1W6MnUbDkMi6xHnHko_XkFDO9kkuL6Wqyc-6OCDFjW9I/edit?usp=sharing"",""ตาก!N196"")"),2480)</f>
        <v>2480</v>
      </c>
      <c r="Y17" s="216">
        <f t="shared" ca="1" si="102"/>
        <v>41.333333333333336</v>
      </c>
      <c r="Z17" s="152">
        <f ca="1">IFERROR(__xludf.DUMMYFUNCTION("IMPORTRANGE(""https://docs.google.com/spreadsheets/d/1W6MnUbDkMi6xHnHko_XkFDO9kkuL6Wqyc-6OCDFjW9I/edit?usp=sharing"",""ตาก!I198"")"),4)</f>
        <v>4</v>
      </c>
      <c r="AA17" s="152">
        <f ca="1">IFERROR(__xludf.DUMMYFUNCTION("IMPORTRANGE(""https://docs.google.com/spreadsheets/d/1W6MnUbDkMi6xHnHko_XkFDO9kkuL6Wqyc-6OCDFjW9I/edit?usp=sharing"",""ตาก!J198"")"),4)</f>
        <v>4</v>
      </c>
      <c r="AB17" s="216">
        <f t="shared" ca="1" si="104"/>
        <v>100</v>
      </c>
      <c r="AC17" s="152">
        <f ca="1">IFERROR(__xludf.DUMMYFUNCTION("IMPORTRANGE(""https://docs.google.com/spreadsheets/d/1W6MnUbDkMi6xHnHko_XkFDO9kkuL6Wqyc-6OCDFjW9I/edit?usp=sharing"",""ตาก!J199"")"),55)</f>
        <v>55</v>
      </c>
      <c r="AD17" s="152">
        <f ca="1">IFERROR(__xludf.DUMMYFUNCTION("IMPORTRANGE(""https://docs.google.com/spreadsheets/d/1W6MnUbDkMi6xHnHko_XkFDO9kkuL6Wqyc-6OCDFjW9I/edit?usp=sharing"",""ตาก!J200"")"),55)</f>
        <v>55</v>
      </c>
      <c r="AE17" s="152">
        <f ca="1">IFERROR(__xludf.DUMMYFUNCTION("IMPORTRANGE(""https://docs.google.com/spreadsheets/d/1W6MnUbDkMi6xHnHko_XkFDO9kkuL6Wqyc-6OCDFjW9I/edit?usp=sharing"",""ตาก!J201"")"),0)</f>
        <v>0</v>
      </c>
      <c r="AF17" s="152">
        <f ca="1">IFERROR(__xludf.DUMMYFUNCTION("IMPORTRANGE(""https://docs.google.com/spreadsheets/d/1W6MnUbDkMi6xHnHko_XkFDO9kkuL6Wqyc-6OCDFjW9I/edit?usp=sharing"",""ตาก!L204"")"),3000)</f>
        <v>3000</v>
      </c>
      <c r="AG17" s="152">
        <f ca="1">IFERROR(__xludf.DUMMYFUNCTION("IMPORTRANGE(""https://docs.google.com/spreadsheets/d/1W6MnUbDkMi6xHnHko_XkFDO9kkuL6Wqyc-6OCDFjW9I/edit?usp=sharing"",""ตาก!N204"")"),1120)</f>
        <v>1120</v>
      </c>
      <c r="AH17" s="216">
        <f t="shared" ca="1" si="106"/>
        <v>37.333333333333336</v>
      </c>
      <c r="AI17" s="152">
        <f ca="1">IFERROR(__xludf.DUMMYFUNCTION("IMPORTRANGE(""https://docs.google.com/spreadsheets/d/1W6MnUbDkMi6xHnHko_XkFDO9kkuL6Wqyc-6OCDFjW9I/edit?usp=sharing"",""ตาก!L206"")"),8000)</f>
        <v>8000</v>
      </c>
      <c r="AJ17" s="152">
        <f ca="1">IFERROR(__xludf.DUMMYFUNCTION("IMPORTRANGE(""https://docs.google.com/spreadsheets/d/1W6MnUbDkMi6xHnHko_XkFDO9kkuL6Wqyc-6OCDFjW9I/edit?usp=sharing"",""ตาก!N206"")"),7880)</f>
        <v>7880</v>
      </c>
      <c r="AK17" s="216">
        <f t="shared" ca="1" si="108"/>
        <v>98.5</v>
      </c>
      <c r="AL17" s="152">
        <f ca="1">IFERROR(__xludf.DUMMYFUNCTION("IMPORTRANGE(""https://docs.google.com/spreadsheets/d/1W6MnUbDkMi6xHnHko_XkFDO9kkuL6Wqyc-6OCDFjW9I/edit?usp=sharing"",""ตาก!Q206"")"),28000)</f>
        <v>28000</v>
      </c>
      <c r="AM17" s="152">
        <f ca="1">IFERROR(__xludf.DUMMYFUNCTION("IMPORTRANGE(""https://docs.google.com/spreadsheets/d/1W6MnUbDkMi6xHnHko_XkFDO9kkuL6Wqyc-6OCDFjW9I/edit?usp=sharing"",""ตาก!S206"")"),0)</f>
        <v>0</v>
      </c>
      <c r="AN17" s="216">
        <f t="shared" ca="1" si="110"/>
        <v>0</v>
      </c>
      <c r="AO17" s="152">
        <f ca="1">IFERROR(__xludf.DUMMYFUNCTION("IMPORTRANGE(""https://docs.google.com/spreadsheets/d/1W6MnUbDkMi6xHnHko_XkFDO9kkuL6Wqyc-6OCDFjW9I/edit?usp=sharing"",""ตาก!L207"")"),17000)</f>
        <v>17000</v>
      </c>
      <c r="AP17" s="152">
        <f ca="1">IFERROR(__xludf.DUMMYFUNCTION("IMPORTRANGE(""https://docs.google.com/spreadsheets/d/1W6MnUbDkMi6xHnHko_XkFDO9kkuL6Wqyc-6OCDFjW9I/edit?usp=sharing"",""ตาก!N207"")"),0)</f>
        <v>0</v>
      </c>
      <c r="AQ17" s="216">
        <f t="shared" ca="1" si="112"/>
        <v>0</v>
      </c>
      <c r="AR17" s="152">
        <f ca="1">IFERROR(__xludf.DUMMYFUNCTION("IMPORTRANGE(""https://docs.google.com/spreadsheets/d/1W6MnUbDkMi6xHnHko_XkFDO9kkuL6Wqyc-6OCDFjW9I/edit?usp=sharing"",""ตาก!I209"")"),3)</f>
        <v>3</v>
      </c>
      <c r="AS17" s="152">
        <f ca="1">IFERROR(__xludf.DUMMYFUNCTION("IMPORTRANGE(""https://docs.google.com/spreadsheets/d/1W6MnUbDkMi6xHnHko_XkFDO9kkuL6Wqyc-6OCDFjW9I/edit?usp=sharing"",""ตาก!J209"")"),3)</f>
        <v>3</v>
      </c>
      <c r="AT17" s="216">
        <f t="shared" ca="1" si="114"/>
        <v>100</v>
      </c>
      <c r="AU17" s="152">
        <f ca="1">IFERROR(__xludf.DUMMYFUNCTION("IMPORTRANGE(""https://docs.google.com/spreadsheets/d/1W6MnUbDkMi6xHnHko_XkFDO9kkuL6Wqyc-6OCDFjW9I/edit?usp=sharing"",""ตาก!J211"")"),1)</f>
        <v>1</v>
      </c>
      <c r="AV17" s="152">
        <f ca="1">IFERROR(__xludf.DUMMYFUNCTION("IMPORTRANGE(""https://docs.google.com/spreadsheets/d/1W6MnUbDkMi6xHnHko_XkFDO9kkuL6Wqyc-6OCDFjW9I/edit?usp=sharing"",""ตาก!J212"")"),1)</f>
        <v>1</v>
      </c>
      <c r="AW17" s="152">
        <f ca="1">IFERROR(__xludf.DUMMYFUNCTION("IMPORTRANGE(""https://docs.google.com/spreadsheets/d/1W6MnUbDkMi6xHnHko_XkFDO9kkuL6Wqyc-6OCDFjW9I/edit?usp=sharing"",""ตาก!L215"")"),0)</f>
        <v>0</v>
      </c>
      <c r="AX17" s="152">
        <f ca="1">IFERROR(__xludf.DUMMYFUNCTION("IMPORTRANGE(""https://docs.google.com/spreadsheets/d/1W6MnUbDkMi6xHnHko_XkFDO9kkuL6Wqyc-6OCDFjW9I/edit?usp=sharing"",""ตาก!N215"")"),0)</f>
        <v>0</v>
      </c>
      <c r="AY17" s="216">
        <f t="shared" ca="1" si="116"/>
        <v>0</v>
      </c>
      <c r="AZ17" s="152">
        <f ca="1">IFERROR(__xludf.DUMMYFUNCTION("IMPORTRANGE(""https://docs.google.com/spreadsheets/d/1W6MnUbDkMi6xHnHko_XkFDO9kkuL6Wqyc-6OCDFjW9I/edit?usp=sharing"",""ตาก!L216"")"),0)</f>
        <v>0</v>
      </c>
      <c r="BA17" s="152">
        <f ca="1">IFERROR(__xludf.DUMMYFUNCTION("IMPORTRANGE(""https://docs.google.com/spreadsheets/d/1W6MnUbDkMi6xHnHko_XkFDO9kkuL6Wqyc-6OCDFjW9I/edit?usp=sharing"",""ตาก!N216"")"),0)</f>
        <v>0</v>
      </c>
      <c r="BB17" s="216">
        <f t="shared" ca="1" si="118"/>
        <v>0</v>
      </c>
      <c r="BC17" s="152">
        <f ca="1">IFERROR(__xludf.DUMMYFUNCTION("IMPORTRANGE(""https://docs.google.com/spreadsheets/d/1W6MnUbDkMi6xHnHko_XkFDO9kkuL6Wqyc-6OCDFjW9I/edit?usp=sharing"",""ตาก!L217"")"),0)</f>
        <v>0</v>
      </c>
      <c r="BD17" s="152">
        <f ca="1">IFERROR(__xludf.DUMMYFUNCTION("IMPORTRANGE(""https://docs.google.com/spreadsheets/d/1W6MnUbDkMi6xHnHko_XkFDO9kkuL6Wqyc-6OCDFjW9I/edit?usp=sharing"",""ตาก!N217"")"),0)</f>
        <v>0</v>
      </c>
      <c r="BE17" s="216">
        <f t="shared" ca="1" si="120"/>
        <v>0</v>
      </c>
      <c r="BF17" s="152">
        <f ca="1">IFERROR(__xludf.DUMMYFUNCTION("IMPORTRANGE(""https://docs.google.com/spreadsheets/d/1W6MnUbDkMi6xHnHko_XkFDO9kkuL6Wqyc-6OCDFjW9I/edit?usp=sharing"",""ตาก!Q217"")"),0)</f>
        <v>0</v>
      </c>
      <c r="BG17" s="152">
        <f ca="1">IFERROR(__xludf.DUMMYFUNCTION("IMPORTRANGE(""https://docs.google.com/spreadsheets/d/1W6MnUbDkMi6xHnHko_XkFDO9kkuL6Wqyc-6OCDFjW9I/edit?usp=sharing"",""ตาก!S217"")"),0)</f>
        <v>0</v>
      </c>
      <c r="BH17" s="216">
        <f t="shared" ca="1" si="122"/>
        <v>0</v>
      </c>
      <c r="BI17" s="152">
        <f ca="1">IFERROR(__xludf.DUMMYFUNCTION("IMPORTRANGE(""https://docs.google.com/spreadsheets/d/1W6MnUbDkMi6xHnHko_XkFDO9kkuL6Wqyc-6OCDFjW9I/edit?usp=sharing"",""ตาก!I219"")"),0)</f>
        <v>0</v>
      </c>
      <c r="BJ17" s="152">
        <f ca="1">IFERROR(__xludf.DUMMYFUNCTION("IMPORTRANGE(""https://docs.google.com/spreadsheets/d/1W6MnUbDkMi6xHnHko_XkFDO9kkuL6Wqyc-6OCDFjW9I/edit?usp=sharing"",""ตาก!J219"")"),0)</f>
        <v>0</v>
      </c>
      <c r="BK17" s="216">
        <f t="shared" ca="1" si="124"/>
        <v>0</v>
      </c>
      <c r="BL17" s="152">
        <f ca="1">IFERROR(__xludf.DUMMYFUNCTION("IMPORTRANGE(""https://docs.google.com/spreadsheets/d/1W6MnUbDkMi6xHnHko_XkFDO9kkuL6Wqyc-6OCDFjW9I/edit?usp=sharing"",""ตาก!I220"")"),0)</f>
        <v>0</v>
      </c>
      <c r="BM17" s="152">
        <f ca="1">IFERROR(__xludf.DUMMYFUNCTION("IMPORTRANGE(""https://docs.google.com/spreadsheets/d/1W6MnUbDkMi6xHnHko_XkFDO9kkuL6Wqyc-6OCDFjW9I/edit?usp=sharing"",""ตาก!J220"")"),0)</f>
        <v>0</v>
      </c>
      <c r="BN17" s="216">
        <f t="shared" ca="1" si="126"/>
        <v>0</v>
      </c>
      <c r="BO17" s="152">
        <f ca="1">IFERROR(__xludf.DUMMYFUNCTION("IMPORTRANGE(""https://docs.google.com/spreadsheets/d/1W6MnUbDkMi6xHnHko_XkFDO9kkuL6Wqyc-6OCDFjW9I/edit?usp=sharing"",""ตาก!L223"")"),2500)</f>
        <v>2500</v>
      </c>
      <c r="BP17" s="152">
        <f ca="1">IFERROR(__xludf.DUMMYFUNCTION("IMPORTRANGE(""https://docs.google.com/spreadsheets/d/1W6MnUbDkMi6xHnHko_XkFDO9kkuL6Wqyc-6OCDFjW9I/edit?usp=sharing"",""ตาก!N223"")"),0)</f>
        <v>0</v>
      </c>
      <c r="BQ17" s="216">
        <f t="shared" ca="1" si="128"/>
        <v>0</v>
      </c>
      <c r="BR17" s="152">
        <f ca="1">IFERROR(__xludf.DUMMYFUNCTION("IMPORTRANGE(""https://docs.google.com/spreadsheets/d/1W6MnUbDkMi6xHnHko_XkFDO9kkuL6Wqyc-6OCDFjW9I/edit?usp=sharing"",""ตาก!L224"")"),6000)</f>
        <v>6000</v>
      </c>
      <c r="BS17" s="152">
        <f ca="1">IFERROR(__xludf.DUMMYFUNCTION("IMPORTRANGE(""https://docs.google.com/spreadsheets/d/1W6MnUbDkMi6xHnHko_XkFDO9kkuL6Wqyc-6OCDFjW9I/edit?usp=sharing"",""ตาก!N224"")"),0)</f>
        <v>0</v>
      </c>
      <c r="BT17" s="216">
        <f t="shared" ca="1" si="130"/>
        <v>0</v>
      </c>
      <c r="BU17" s="152">
        <f ca="1">IFERROR(__xludf.DUMMYFUNCTION("IMPORTRANGE(""https://docs.google.com/spreadsheets/d/1W6MnUbDkMi6xHnHko_XkFDO9kkuL6Wqyc-6OCDFjW9I/edit?usp=sharing"",""ตาก!I228"")"),50000)</f>
        <v>50000</v>
      </c>
      <c r="BV17" s="152">
        <f ca="1">IFERROR(__xludf.DUMMYFUNCTION("IMPORTRANGE(""https://docs.google.com/spreadsheets/d/1W6MnUbDkMi6xHnHko_XkFDO9kkuL6Wqyc-6OCDFjW9I/edit?usp=sharing"",""ตาก!J228"")"),50000)</f>
        <v>50000</v>
      </c>
      <c r="BW17" s="216">
        <f t="shared" ca="1" si="132"/>
        <v>100</v>
      </c>
      <c r="BX17" s="152">
        <f ca="1">IFERROR(__xludf.DUMMYFUNCTION("IMPORTRANGE(""https://docs.google.com/spreadsheets/d/1W6MnUbDkMi6xHnHko_XkFDO9kkuL6Wqyc-6OCDFjW9I/edit?usp=sharing"",""ตาก!I229"")"),50000)</f>
        <v>50000</v>
      </c>
      <c r="BY17" s="152">
        <f ca="1">IFERROR(__xludf.DUMMYFUNCTION("IMPORTRANGE(""https://docs.google.com/spreadsheets/d/1W6MnUbDkMi6xHnHko_XkFDO9kkuL6Wqyc-6OCDFjW9I/edit?usp=sharing"",""ตาก!J229"")"),50000)</f>
        <v>50000</v>
      </c>
      <c r="BZ17" s="216">
        <f t="shared" ca="1" si="134"/>
        <v>100</v>
      </c>
      <c r="CA17" s="152">
        <f ca="1">IFERROR(__xludf.DUMMYFUNCTION("IMPORTRANGE(""https://docs.google.com/spreadsheets/d/1W6MnUbDkMi6xHnHko_XkFDO9kkuL6Wqyc-6OCDFjW9I/edit?usp=sharing"",""ตาก!I230"")"),0)</f>
        <v>0</v>
      </c>
      <c r="CB17" s="152">
        <f ca="1">IFERROR(__xludf.DUMMYFUNCTION("IMPORTRANGE(""https://docs.google.com/spreadsheets/d/1W6MnUbDkMi6xHnHko_XkFDO9kkuL6Wqyc-6OCDFjW9I/edit?usp=sharing"",""ตาก!J230"")"),0)</f>
        <v>0</v>
      </c>
      <c r="CC17" s="216">
        <f t="shared" ca="1" si="136"/>
        <v>0</v>
      </c>
      <c r="CD17" s="152">
        <f ca="1">IFERROR(__xludf.DUMMYFUNCTION("IMPORTRANGE(""https://docs.google.com/spreadsheets/d/1W6MnUbDkMi6xHnHko_XkFDO9kkuL6Wqyc-6OCDFjW9I/edit?usp=sharing"",""ตาก!L233"")"),0)</f>
        <v>0</v>
      </c>
      <c r="CE17" s="152">
        <f ca="1">IFERROR(__xludf.DUMMYFUNCTION("IMPORTRANGE(""https://docs.google.com/spreadsheets/d/1W6MnUbDkMi6xHnHko_XkFDO9kkuL6Wqyc-6OCDFjW9I/edit?usp=sharing"",""ตาก!N233"")"),0)</f>
        <v>0</v>
      </c>
      <c r="CF17" s="216">
        <f t="shared" ca="1" si="138"/>
        <v>0</v>
      </c>
      <c r="CG17" s="152">
        <f ca="1">IFERROR(__xludf.DUMMYFUNCTION("IMPORTRANGE(""https://docs.google.com/spreadsheets/d/1W6MnUbDkMi6xHnHko_XkFDO9kkuL6Wqyc-6OCDFjW9I/edit?usp=sharing"",""ตาก!L234"")"),0)</f>
        <v>0</v>
      </c>
      <c r="CH17" s="152">
        <f ca="1">IFERROR(__xludf.DUMMYFUNCTION("IMPORTRANGE(""https://docs.google.com/spreadsheets/d/1W6MnUbDkMi6xHnHko_XkFDO9kkuL6Wqyc-6OCDFjW9I/edit?usp=sharing"",""ตาก!N234"")"),0)</f>
        <v>0</v>
      </c>
      <c r="CI17" s="216">
        <f t="shared" ca="1" si="140"/>
        <v>0</v>
      </c>
      <c r="CJ17" s="152">
        <f ca="1">IFERROR(__xludf.DUMMYFUNCTION("IMPORTRANGE(""https://docs.google.com/spreadsheets/d/1W6MnUbDkMi6xHnHko_XkFDO9kkuL6Wqyc-6OCDFjW9I/edit?usp=sharing"",""ตาก!L235"")"),0)</f>
        <v>0</v>
      </c>
      <c r="CK17" s="152">
        <f ca="1">IFERROR(__xludf.DUMMYFUNCTION("IMPORTRANGE(""https://docs.google.com/spreadsheets/d/1W6MnUbDkMi6xHnHko_XkFDO9kkuL6Wqyc-6OCDFjW9I/edit?usp=sharing"",""ตาก!N235"")"),0)</f>
        <v>0</v>
      </c>
      <c r="CL17" s="216">
        <f t="shared" ca="1" si="142"/>
        <v>0</v>
      </c>
      <c r="CM17" s="251">
        <f ca="1">IFERROR(__xludf.DUMMYFUNCTION("IMPORTRANGE(""https://docs.google.com/spreadsheets/d/1W6MnUbDkMi6xHnHko_XkFDO9kkuL6Wqyc-6OCDFjW9I/edit?usp=sharing"",""ตาก!Q235"")"),0)</f>
        <v>0</v>
      </c>
      <c r="CN17" s="251">
        <f ca="1">IFERROR(__xludf.DUMMYFUNCTION("IMPORTRANGE(""https://docs.google.com/spreadsheets/d/1W6MnUbDkMi6xHnHko_XkFDO9kkuL6Wqyc-6OCDFjW9I/edit?usp=sharing"",""ตาก!S235"")"),0)</f>
        <v>0</v>
      </c>
      <c r="CO17" s="216">
        <f t="shared" ca="1" si="144"/>
        <v>0</v>
      </c>
      <c r="CP17" s="152">
        <f ca="1">IFERROR(__xludf.DUMMYFUNCTION("IMPORTRANGE(""https://docs.google.com/spreadsheets/d/1W6MnUbDkMi6xHnHko_XkFDO9kkuL6Wqyc-6OCDFjW9I/edit?usp=sharing"",""ตาก!L236"")"),0)</f>
        <v>0</v>
      </c>
      <c r="CQ17" s="152">
        <f ca="1">IFERROR(__xludf.DUMMYFUNCTION("IMPORTRANGE(""https://docs.google.com/spreadsheets/d/1W6MnUbDkMi6xHnHko_XkFDO9kkuL6Wqyc-6OCDFjW9I/edit?usp=sharing"",""ตาก!N236"")"),0)</f>
        <v>0</v>
      </c>
      <c r="CR17" s="216">
        <f t="shared" ca="1" si="146"/>
        <v>0</v>
      </c>
      <c r="CS17" s="152">
        <f ca="1">IFERROR(__xludf.DUMMYFUNCTION("IMPORTRANGE(""https://docs.google.com/spreadsheets/d/1W6MnUbDkMi6xHnHko_XkFDO9kkuL6Wqyc-6OCDFjW9I/edit?usp=sharing"",""ตาก!I238"")"),0)</f>
        <v>0</v>
      </c>
      <c r="CT17" s="152">
        <f ca="1">IFERROR(__xludf.DUMMYFUNCTION("IMPORTRANGE(""https://docs.google.com/spreadsheets/d/1W6MnUbDkMi6xHnHko_XkFDO9kkuL6Wqyc-6OCDFjW9I/edit?usp=sharing"",""ตาก!J238"")"),0)</f>
        <v>0</v>
      </c>
      <c r="CU17" s="216">
        <f t="shared" ca="1" si="148"/>
        <v>0</v>
      </c>
      <c r="CV17" s="152">
        <f ca="1">IFERROR(__xludf.DUMMYFUNCTION("IMPORTRANGE(""https://docs.google.com/spreadsheets/d/1W6MnUbDkMi6xHnHko_XkFDO9kkuL6Wqyc-6OCDFjW9I/edit?usp=sharing"",""ตาก!J240"")"),0)</f>
        <v>0</v>
      </c>
      <c r="CW17" s="152">
        <f ca="1">IFERROR(__xludf.DUMMYFUNCTION("IMPORTRANGE(""https://docs.google.com/spreadsheets/d/1W6MnUbDkMi6xHnHko_XkFDO9kkuL6Wqyc-6OCDFjW9I/edit?usp=sharing"",""ตาก!J241"")"),0)</f>
        <v>0</v>
      </c>
    </row>
    <row r="18" spans="1:101" ht="24" customHeight="1" x14ac:dyDescent="0.3">
      <c r="A18" s="147">
        <v>5</v>
      </c>
      <c r="B18" s="148" t="s">
        <v>46</v>
      </c>
      <c r="C18" s="149">
        <f t="shared" ca="1" si="90"/>
        <v>129500</v>
      </c>
      <c r="D18" s="150">
        <f t="shared" ca="1" si="150"/>
        <v>129500</v>
      </c>
      <c r="E18" s="151">
        <f ca="1">IFERROR(__xludf.DUMMYFUNCTION("IMPORTRANGE(""https://docs.google.com/spreadsheets/d/1-uDff_7J0KD5mKrp0Vvzr7lt3OU09vwQwhkpOPPYv2Y/edit?usp=sharing"",""งบพรบ!CV18"")"),91000)</f>
        <v>91000</v>
      </c>
      <c r="F18" s="151">
        <f ca="1">IFERROR(__xludf.DUMMYFUNCTION("IMPORTRANGE(""https://docs.google.com/spreadsheets/d/1-uDff_7J0KD5mKrp0Vvzr7lt3OU09vwQwhkpOPPYv2Y/edit?usp=sharing"",""งบพรบ!CW18"")"),38500)</f>
        <v>38500</v>
      </c>
      <c r="G18" s="151">
        <f ca="1">IFERROR(__xludf.DUMMYFUNCTION("IMPORTRANGE(""https://docs.google.com/spreadsheets/d/1-uDff_7J0KD5mKrp0Vvzr7lt3OU09vwQwhkpOPPYv2Y/edit?usp=sharing"",""งบพรบ!CX18"")"),0)</f>
        <v>0</v>
      </c>
      <c r="H18" s="151">
        <f ca="1">IFERROR(__xludf.DUMMYFUNCTION("IMPORTRANGE(""https://docs.google.com/spreadsheets/d/1-uDff_7J0KD5mKrp0Vvzr7lt3OU09vwQwhkpOPPYv2Y/edit?usp=sharing"",""งบพรบ!CZ18"")"),154485)</f>
        <v>154485</v>
      </c>
      <c r="I18" s="151">
        <f ca="1">IFERROR(__xludf.DUMMYFUNCTION("IMPORTRANGE(""https://docs.google.com/spreadsheets/d/1-uDff_7J0KD5mKrp0Vvzr7lt3OU09vwQwhkpOPPYv2Y/edit?usp=sharing"",""งบพรบ!DA18"")"),0)</f>
        <v>0</v>
      </c>
      <c r="J18" s="151">
        <f t="shared" ca="1" si="92"/>
        <v>150374</v>
      </c>
      <c r="K18" s="154">
        <f t="shared" ca="1" si="93"/>
        <v>116.11891891891892</v>
      </c>
      <c r="L18" s="151">
        <f ca="1">IFERROR(__xludf.DUMMYFUNCTION("IMPORTRANGE(""https://docs.google.com/spreadsheets/d/1-uDff_7J0KD5mKrp0Vvzr7lt3OU09vwQwhkpOPPYv2Y/edit?usp=sharing"",""งบพรบ!DB18"")"),150374)</f>
        <v>150374</v>
      </c>
      <c r="M18" s="68">
        <f t="shared" ca="1" si="94"/>
        <v>116.11891891891892</v>
      </c>
      <c r="N18" s="68">
        <f t="shared" ca="1" si="95"/>
        <v>97.338900216849538</v>
      </c>
      <c r="O18" s="67">
        <f ca="1">IFERROR(__xludf.DUMMYFUNCTION("IMPORTRANGE(""https://docs.google.com/spreadsheets/d/1-uDff_7J0KD5mKrp0Vvzr7lt3OU09vwQwhkpOPPYv2Y/edit?usp=sharing"",""งบพรบ!DC18"")"),0)</f>
        <v>0</v>
      </c>
      <c r="P18" s="67">
        <f t="shared" ca="1" si="96"/>
        <v>0</v>
      </c>
      <c r="Q18" s="68">
        <f t="shared" ca="1" si="97"/>
        <v>0</v>
      </c>
      <c r="R18" s="67">
        <f ca="1">IFERROR(__xludf.DUMMYFUNCTION("IMPORTRANGE(""https://docs.google.com/spreadsheets/d/1IQAWArduLkta9LpYo4a_ULsyqdta6-6aDDiwpUnQT6c/edit?usp=sharing"",""นครสวรรค์!Q186"")"),56000)</f>
        <v>56000</v>
      </c>
      <c r="S18" s="67">
        <f ca="1">IFERROR(__xludf.DUMMYFUNCTION("IMPORTRANGE(""https://docs.google.com/spreadsheets/d/1IQAWArduLkta9LpYo4a_ULsyqdta6-6aDDiwpUnQT6c/edit?usp=sharing"",""นครสวรรค์!R186"")"),56000)</f>
        <v>56000</v>
      </c>
      <c r="T18" s="67">
        <f ca="1">IFERROR(__xludf.DUMMYFUNCTION("IMPORTRANGE(""https://docs.google.com/spreadsheets/d/1IQAWArduLkta9LpYo4a_ULsyqdta6-6aDDiwpUnQT6c/edit?usp=sharing"",""นครสวรรค์!S186"")"),56000)</f>
        <v>56000</v>
      </c>
      <c r="U18" s="68">
        <f t="shared" ca="1" si="99"/>
        <v>100</v>
      </c>
      <c r="V18" s="68">
        <f t="shared" ca="1" si="100"/>
        <v>100</v>
      </c>
      <c r="W18" s="152">
        <f ca="1">IFERROR(__xludf.DUMMYFUNCTION("IMPORTRANGE(""https://docs.google.com/spreadsheets/d/1IQAWArduLkta9LpYo4a_ULsyqdta6-6aDDiwpUnQT6c/edit?usp=sharing"",""นครสวรรค์!L196"")"),6000)</f>
        <v>6000</v>
      </c>
      <c r="X18" s="152">
        <f ca="1">IFERROR(__xludf.DUMMYFUNCTION("IMPORTRANGE(""https://docs.google.com/spreadsheets/d/1IQAWArduLkta9LpYo4a_ULsyqdta6-6aDDiwpUnQT6c/edit?usp=sharing"",""นครสวรรค์!N196"")"),0)</f>
        <v>0</v>
      </c>
      <c r="Y18" s="216">
        <f t="shared" ca="1" si="102"/>
        <v>0</v>
      </c>
      <c r="Z18" s="152">
        <f ca="1">IFERROR(__xludf.DUMMYFUNCTION("IMPORTRANGE(""https://docs.google.com/spreadsheets/d/1IQAWArduLkta9LpYo4a_ULsyqdta6-6aDDiwpUnQT6c/edit?usp=sharing"",""นครสวรรค์!I198"")"),4)</f>
        <v>4</v>
      </c>
      <c r="AA18" s="152">
        <f ca="1">IFERROR(__xludf.DUMMYFUNCTION("IMPORTRANGE(""https://docs.google.com/spreadsheets/d/1IQAWArduLkta9LpYo4a_ULsyqdta6-6aDDiwpUnQT6c/edit?usp=sharing"",""นครสวรรค์!J198"")"),4)</f>
        <v>4</v>
      </c>
      <c r="AB18" s="216">
        <f t="shared" ca="1" si="104"/>
        <v>100</v>
      </c>
      <c r="AC18" s="152">
        <f ca="1">IFERROR(__xludf.DUMMYFUNCTION("IMPORTRANGE(""https://docs.google.com/spreadsheets/d/1IQAWArduLkta9LpYo4a_ULsyqdta6-6aDDiwpUnQT6c/edit?usp=sharing"",""นครสวรรค์!J199"")"),40)</f>
        <v>40</v>
      </c>
      <c r="AD18" s="152">
        <f ca="1">IFERROR(__xludf.DUMMYFUNCTION("IMPORTRANGE(""https://docs.google.com/spreadsheets/d/1IQAWArduLkta9LpYo4a_ULsyqdta6-6aDDiwpUnQT6c/edit?usp=sharing"",""นครสวรรค์!J200"")"),40)</f>
        <v>40</v>
      </c>
      <c r="AE18" s="152">
        <f ca="1">IFERROR(__xludf.DUMMYFUNCTION("IMPORTRANGE(""https://docs.google.com/spreadsheets/d/1IQAWArduLkta9LpYo4a_ULsyqdta6-6aDDiwpUnQT6c/edit?usp=sharing"",""นครสวรรค์!J201"")"),0)</f>
        <v>0</v>
      </c>
      <c r="AF18" s="152">
        <f ca="1">IFERROR(__xludf.DUMMYFUNCTION("IMPORTRANGE(""https://docs.google.com/spreadsheets/d/1IQAWArduLkta9LpYo4a_ULsyqdta6-6aDDiwpUnQT6c/edit?usp=sharing"",""นครสวรรค์!L204"")"),4000)</f>
        <v>4000</v>
      </c>
      <c r="AG18" s="152">
        <f ca="1">IFERROR(__xludf.DUMMYFUNCTION("IMPORTRANGE(""https://docs.google.com/spreadsheets/d/1IQAWArduLkta9LpYo4a_ULsyqdta6-6aDDiwpUnQT6c/edit?usp=sharing"",""นครสวรรค์!N204"")"),0)</f>
        <v>0</v>
      </c>
      <c r="AH18" s="216">
        <f t="shared" ca="1" si="106"/>
        <v>0</v>
      </c>
      <c r="AI18" s="152">
        <f ca="1">IFERROR(__xludf.DUMMYFUNCTION("IMPORTRANGE(""https://docs.google.com/spreadsheets/d/1IQAWArduLkta9LpYo4a_ULsyqdta6-6aDDiwpUnQT6c/edit?usp=sharing"",""นครสวรรค์!L206"")"),0)</f>
        <v>0</v>
      </c>
      <c r="AJ18" s="152">
        <f ca="1">IFERROR(__xludf.DUMMYFUNCTION("IMPORTRANGE(""https://docs.google.com/spreadsheets/d/1IQAWArduLkta9LpYo4a_ULsyqdta6-6aDDiwpUnQT6c/edit?usp=sharing"",""นครสวรรค์!N206"")"),0)</f>
        <v>0</v>
      </c>
      <c r="AK18" s="216">
        <f t="shared" ca="1" si="108"/>
        <v>0</v>
      </c>
      <c r="AL18" s="152">
        <f ca="1">IFERROR(__xludf.DUMMYFUNCTION("IMPORTRANGE(""https://docs.google.com/spreadsheets/d/1IQAWArduLkta9LpYo4a_ULsyqdta6-6aDDiwpUnQT6c/edit?usp=sharing"",""นครสวรรค์!Q206"")"),56000)</f>
        <v>56000</v>
      </c>
      <c r="AM18" s="152">
        <f ca="1">IFERROR(__xludf.DUMMYFUNCTION("IMPORTRANGE(""https://docs.google.com/spreadsheets/d/1IQAWArduLkta9LpYo4a_ULsyqdta6-6aDDiwpUnQT6c/edit?usp=sharing"",""นครสวรรค์!S206"")"),0)</f>
        <v>0</v>
      </c>
      <c r="AN18" s="216">
        <f t="shared" ca="1" si="110"/>
        <v>0</v>
      </c>
      <c r="AO18" s="152">
        <f ca="1">IFERROR(__xludf.DUMMYFUNCTION("IMPORTRANGE(""https://docs.google.com/spreadsheets/d/1IQAWArduLkta9LpYo4a_ULsyqdta6-6aDDiwpUnQT6c/edit?usp=sharing"",""นครสวรรค์!L207"")"),16000)</f>
        <v>16000</v>
      </c>
      <c r="AP18" s="152">
        <f ca="1">IFERROR(__xludf.DUMMYFUNCTION("IMPORTRANGE(""https://docs.google.com/spreadsheets/d/1IQAWArduLkta9LpYo4a_ULsyqdta6-6aDDiwpUnQT6c/edit?usp=sharing"",""นครสวรรค์!N207"")"),0)</f>
        <v>0</v>
      </c>
      <c r="AQ18" s="216">
        <f t="shared" ca="1" si="112"/>
        <v>0</v>
      </c>
      <c r="AR18" s="152">
        <f ca="1">IFERROR(__xludf.DUMMYFUNCTION("IMPORTRANGE(""https://docs.google.com/spreadsheets/d/1IQAWArduLkta9LpYo4a_ULsyqdta6-6aDDiwpUnQT6c/edit?usp=sharing"",""นครสวรรค์!I209"")"),4)</f>
        <v>4</v>
      </c>
      <c r="AS18" s="152">
        <f ca="1">IFERROR(__xludf.DUMMYFUNCTION("IMPORTRANGE(""https://docs.google.com/spreadsheets/d/1IQAWArduLkta9LpYo4a_ULsyqdta6-6aDDiwpUnQT6c/edit?usp=sharing"",""นครสวรรค์!J209"")"),4)</f>
        <v>4</v>
      </c>
      <c r="AT18" s="216">
        <f t="shared" ca="1" si="114"/>
        <v>100</v>
      </c>
      <c r="AU18" s="152">
        <f ca="1">IFERROR(__xludf.DUMMYFUNCTION("IMPORTRANGE(""https://docs.google.com/spreadsheets/d/1IQAWArduLkta9LpYo4a_ULsyqdta6-6aDDiwpUnQT6c/edit?usp=sharing"",""นครสวรรค์!J211"")"),4)</f>
        <v>4</v>
      </c>
      <c r="AV18" s="152">
        <f ca="1">IFERROR(__xludf.DUMMYFUNCTION("IMPORTRANGE(""https://docs.google.com/spreadsheets/d/1IQAWArduLkta9LpYo4a_ULsyqdta6-6aDDiwpUnQT6c/edit?usp=sharing"",""นครสวรรค์!J212"")"),0)</f>
        <v>0</v>
      </c>
      <c r="AW18" s="152">
        <f ca="1">IFERROR(__xludf.DUMMYFUNCTION("IMPORTRANGE(""https://docs.google.com/spreadsheets/d/1IQAWArduLkta9LpYo4a_ULsyqdta6-6aDDiwpUnQT6c/edit?usp=sharing"",""นครสวรรค์!L215"")"),0)</f>
        <v>0</v>
      </c>
      <c r="AX18" s="152">
        <f ca="1">IFERROR(__xludf.DUMMYFUNCTION("IMPORTRANGE(""https://docs.google.com/spreadsheets/d/1IQAWArduLkta9LpYo4a_ULsyqdta6-6aDDiwpUnQT6c/edit?usp=sharing"",""นครสวรรค์!N215"")"),0)</f>
        <v>0</v>
      </c>
      <c r="AY18" s="216">
        <f t="shared" ca="1" si="116"/>
        <v>0</v>
      </c>
      <c r="AZ18" s="152">
        <f ca="1">IFERROR(__xludf.DUMMYFUNCTION("IMPORTRANGE(""https://docs.google.com/spreadsheets/d/1IQAWArduLkta9LpYo4a_ULsyqdta6-6aDDiwpUnQT6c/edit?usp=sharing"",""นครสวรรค์!L216"")"),0)</f>
        <v>0</v>
      </c>
      <c r="BA18" s="152">
        <f ca="1">IFERROR(__xludf.DUMMYFUNCTION("IMPORTRANGE(""https://docs.google.com/spreadsheets/d/1IQAWArduLkta9LpYo4a_ULsyqdta6-6aDDiwpUnQT6c/edit?usp=sharing"",""นครสวรรค์!N216"")"),0)</f>
        <v>0</v>
      </c>
      <c r="BB18" s="216">
        <f t="shared" ca="1" si="118"/>
        <v>0</v>
      </c>
      <c r="BC18" s="152">
        <f ca="1">IFERROR(__xludf.DUMMYFUNCTION("IMPORTRANGE(""https://docs.google.com/spreadsheets/d/1IQAWArduLkta9LpYo4a_ULsyqdta6-6aDDiwpUnQT6c/edit?usp=sharing"",""นครสวรรค์!L217"")"),0)</f>
        <v>0</v>
      </c>
      <c r="BD18" s="152">
        <f ca="1">IFERROR(__xludf.DUMMYFUNCTION("IMPORTRANGE(""https://docs.google.com/spreadsheets/d/1IQAWArduLkta9LpYo4a_ULsyqdta6-6aDDiwpUnQT6c/edit?usp=sharing"",""นครสวรรค์!N217"")"),0)</f>
        <v>0</v>
      </c>
      <c r="BE18" s="216">
        <f t="shared" ca="1" si="120"/>
        <v>0</v>
      </c>
      <c r="BF18" s="152">
        <f ca="1">IFERROR(__xludf.DUMMYFUNCTION("IMPORTRANGE(""https://docs.google.com/spreadsheets/d/1IQAWArduLkta9LpYo4a_ULsyqdta6-6aDDiwpUnQT6c/edit?usp=sharing"",""นครสวรรค์!Q217"")"),0)</f>
        <v>0</v>
      </c>
      <c r="BG18" s="152">
        <f ca="1">IFERROR(__xludf.DUMMYFUNCTION("IMPORTRANGE(""https://docs.google.com/spreadsheets/d/1IQAWArduLkta9LpYo4a_ULsyqdta6-6aDDiwpUnQT6c/edit?usp=sharing"",""นครสวรรค์!S217"")"),0)</f>
        <v>0</v>
      </c>
      <c r="BH18" s="216">
        <f t="shared" ca="1" si="122"/>
        <v>0</v>
      </c>
      <c r="BI18" s="152">
        <f ca="1">IFERROR(__xludf.DUMMYFUNCTION("IMPORTRANGE(""https://docs.google.com/spreadsheets/d/1IQAWArduLkta9LpYo4a_ULsyqdta6-6aDDiwpUnQT6c/edit?usp=sharing"",""นครสวรรค์!I219"")"),0)</f>
        <v>0</v>
      </c>
      <c r="BJ18" s="152">
        <f ca="1">IFERROR(__xludf.DUMMYFUNCTION("IMPORTRANGE(""https://docs.google.com/spreadsheets/d/1IQAWArduLkta9LpYo4a_ULsyqdta6-6aDDiwpUnQT6c/edit?usp=sharing"",""นครสวรรค์!J219"")"),0)</f>
        <v>0</v>
      </c>
      <c r="BK18" s="216">
        <f t="shared" ca="1" si="124"/>
        <v>0</v>
      </c>
      <c r="BL18" s="152">
        <f ca="1">IFERROR(__xludf.DUMMYFUNCTION("IMPORTRANGE(""https://docs.google.com/spreadsheets/d/1IQAWArduLkta9LpYo4a_ULsyqdta6-6aDDiwpUnQT6c/edit?usp=sharing"",""นครสวรรค์!I220"")"),0)</f>
        <v>0</v>
      </c>
      <c r="BM18" s="152">
        <f ca="1">IFERROR(__xludf.DUMMYFUNCTION("IMPORTRANGE(""https://docs.google.com/spreadsheets/d/1IQAWArduLkta9LpYo4a_ULsyqdta6-6aDDiwpUnQT6c/edit?usp=sharing"",""นครสวรรค์!J220"")"),0)</f>
        <v>0</v>
      </c>
      <c r="BN18" s="216">
        <f t="shared" ca="1" si="126"/>
        <v>0</v>
      </c>
      <c r="BO18" s="152">
        <f ca="1">IFERROR(__xludf.DUMMYFUNCTION("IMPORTRANGE(""https://docs.google.com/spreadsheets/d/1IQAWArduLkta9LpYo4a_ULsyqdta6-6aDDiwpUnQT6c/edit?usp=sharing"",""นครสวรรค์!L223"")"),2500)</f>
        <v>2500</v>
      </c>
      <c r="BP18" s="152">
        <f ca="1">IFERROR(__xludf.DUMMYFUNCTION("IMPORTRANGE(""https://docs.google.com/spreadsheets/d/1IQAWArduLkta9LpYo4a_ULsyqdta6-6aDDiwpUnQT6c/edit?usp=sharing"",""นครสวรรค์!N223"")"),0)</f>
        <v>0</v>
      </c>
      <c r="BQ18" s="216">
        <f t="shared" ca="1" si="128"/>
        <v>0</v>
      </c>
      <c r="BR18" s="152">
        <f ca="1">IFERROR(__xludf.DUMMYFUNCTION("IMPORTRANGE(""https://docs.google.com/spreadsheets/d/1IQAWArduLkta9LpYo4a_ULsyqdta6-6aDDiwpUnQT6c/edit?usp=sharing"",""นครสวรรค์!L224"")"),10000)</f>
        <v>10000</v>
      </c>
      <c r="BS18" s="152">
        <f ca="1">IFERROR(__xludf.DUMMYFUNCTION("IMPORTRANGE(""https://docs.google.com/spreadsheets/d/1IQAWArduLkta9LpYo4a_ULsyqdta6-6aDDiwpUnQT6c/edit?usp=sharing"",""นครสวรรค์!N224"")"),0)</f>
        <v>0</v>
      </c>
      <c r="BT18" s="216">
        <f t="shared" ca="1" si="130"/>
        <v>0</v>
      </c>
      <c r="BU18" s="152">
        <f ca="1">IFERROR(__xludf.DUMMYFUNCTION("IMPORTRANGE(""https://docs.google.com/spreadsheets/d/1IQAWArduLkta9LpYo4a_ULsyqdta6-6aDDiwpUnQT6c/edit?usp=sharing"",""นครสวรรค์!I228"")"),100000)</f>
        <v>100000</v>
      </c>
      <c r="BV18" s="152">
        <f ca="1">IFERROR(__xludf.DUMMYFUNCTION("IMPORTRANGE(""https://docs.google.com/spreadsheets/d/1IQAWArduLkta9LpYo4a_ULsyqdta6-6aDDiwpUnQT6c/edit?usp=sharing"",""นครสวรรค์!J228"")"),100000)</f>
        <v>100000</v>
      </c>
      <c r="BW18" s="216">
        <f t="shared" ca="1" si="132"/>
        <v>100</v>
      </c>
      <c r="BX18" s="152">
        <f ca="1">IFERROR(__xludf.DUMMYFUNCTION("IMPORTRANGE(""https://docs.google.com/spreadsheets/d/1IQAWArduLkta9LpYo4a_ULsyqdta6-6aDDiwpUnQT6c/edit?usp=sharing"",""นครสวรรค์!I229"")"),100000)</f>
        <v>100000</v>
      </c>
      <c r="BY18" s="152">
        <f ca="1">IFERROR(__xludf.DUMMYFUNCTION("IMPORTRANGE(""https://docs.google.com/spreadsheets/d/1IQAWArduLkta9LpYo4a_ULsyqdta6-6aDDiwpUnQT6c/edit?usp=sharing"",""นครสวรรค์!J229"")"),100000)</f>
        <v>100000</v>
      </c>
      <c r="BZ18" s="216">
        <f t="shared" ca="1" si="134"/>
        <v>100</v>
      </c>
      <c r="CA18" s="152">
        <f ca="1">IFERROR(__xludf.DUMMYFUNCTION("IMPORTRANGE(""https://docs.google.com/spreadsheets/d/1IQAWArduLkta9LpYo4a_ULsyqdta6-6aDDiwpUnQT6c/edit?usp=sharing"",""นครสวรรค์!I230"")"),0)</f>
        <v>0</v>
      </c>
      <c r="CB18" s="152">
        <f ca="1">IFERROR(__xludf.DUMMYFUNCTION("IMPORTRANGE(""https://docs.google.com/spreadsheets/d/1IQAWArduLkta9LpYo4a_ULsyqdta6-6aDDiwpUnQT6c/edit?usp=sharing"",""นครสวรรค์!J230"")"),0)</f>
        <v>0</v>
      </c>
      <c r="CC18" s="216">
        <f t="shared" ca="1" si="136"/>
        <v>0</v>
      </c>
      <c r="CD18" s="152">
        <f ca="1">IFERROR(__xludf.DUMMYFUNCTION("IMPORTRANGE(""https://docs.google.com/spreadsheets/d/1IQAWArduLkta9LpYo4a_ULsyqdta6-6aDDiwpUnQT6c/edit?usp=sharing"",""นครสวรรค์!L233"")"),0)</f>
        <v>0</v>
      </c>
      <c r="CE18" s="152">
        <f ca="1">IFERROR(__xludf.DUMMYFUNCTION("IMPORTRANGE(""https://docs.google.com/spreadsheets/d/1IQAWArduLkta9LpYo4a_ULsyqdta6-6aDDiwpUnQT6c/edit?usp=sharing"",""นครสวรรค์!N233"")"),0)</f>
        <v>0</v>
      </c>
      <c r="CF18" s="216">
        <f t="shared" ca="1" si="138"/>
        <v>0</v>
      </c>
      <c r="CG18" s="152">
        <f ca="1">IFERROR(__xludf.DUMMYFUNCTION("IMPORTRANGE(""https://docs.google.com/spreadsheets/d/1IQAWArduLkta9LpYo4a_ULsyqdta6-6aDDiwpUnQT6c/edit?usp=sharing"",""นครสวรรค์!L234"")"),0)</f>
        <v>0</v>
      </c>
      <c r="CH18" s="152">
        <f ca="1">IFERROR(__xludf.DUMMYFUNCTION("IMPORTRANGE(""https://docs.google.com/spreadsheets/d/1IQAWArduLkta9LpYo4a_ULsyqdta6-6aDDiwpUnQT6c/edit?usp=sharing"",""นครสวรรค์!N234"")"),0)</f>
        <v>0</v>
      </c>
      <c r="CI18" s="216">
        <f t="shared" ca="1" si="140"/>
        <v>0</v>
      </c>
      <c r="CJ18" s="152">
        <f ca="1">IFERROR(__xludf.DUMMYFUNCTION("IMPORTRANGE(""https://docs.google.com/spreadsheets/d/1IQAWArduLkta9LpYo4a_ULsyqdta6-6aDDiwpUnQT6c/edit?usp=sharing"",""นครสวรรค์!L235"")"),0)</f>
        <v>0</v>
      </c>
      <c r="CK18" s="152">
        <f ca="1">IFERROR(__xludf.DUMMYFUNCTION("IMPORTRANGE(""https://docs.google.com/spreadsheets/d/1IQAWArduLkta9LpYo4a_ULsyqdta6-6aDDiwpUnQT6c/edit?usp=sharing"",""นครสวรรค์!N235"")"),0)</f>
        <v>0</v>
      </c>
      <c r="CL18" s="216">
        <f t="shared" ca="1" si="142"/>
        <v>0</v>
      </c>
      <c r="CM18" s="251">
        <f ca="1">IFERROR(__xludf.DUMMYFUNCTION("IMPORTRANGE(""https://docs.google.com/spreadsheets/d/1IQAWArduLkta9LpYo4a_ULsyqdta6-6aDDiwpUnQT6c/edit?usp=sharing"",""นครสวรรค์!Q235"")"),0)</f>
        <v>0</v>
      </c>
      <c r="CN18" s="251">
        <f ca="1">IFERROR(__xludf.DUMMYFUNCTION("IMPORTRANGE(""https://docs.google.com/spreadsheets/d/1IQAWArduLkta9LpYo4a_ULsyqdta6-6aDDiwpUnQT6c/edit?usp=sharing"",""นครสวรรค์!S235"")"),0)</f>
        <v>0</v>
      </c>
      <c r="CO18" s="216">
        <f t="shared" ca="1" si="144"/>
        <v>0</v>
      </c>
      <c r="CP18" s="152">
        <f ca="1">IFERROR(__xludf.DUMMYFUNCTION("IMPORTRANGE(""https://docs.google.com/spreadsheets/d/1IQAWArduLkta9LpYo4a_ULsyqdta6-6aDDiwpUnQT6c/edit?usp=sharing"",""นครสวรรค์!L236"")"),0)</f>
        <v>0</v>
      </c>
      <c r="CQ18" s="152">
        <f ca="1">IFERROR(__xludf.DUMMYFUNCTION("IMPORTRANGE(""https://docs.google.com/spreadsheets/d/1IQAWArduLkta9LpYo4a_ULsyqdta6-6aDDiwpUnQT6c/edit?usp=sharing"",""นครสวรรค์!N236"")"),0)</f>
        <v>0</v>
      </c>
      <c r="CR18" s="216">
        <f t="shared" ca="1" si="146"/>
        <v>0</v>
      </c>
      <c r="CS18" s="152">
        <f ca="1">IFERROR(__xludf.DUMMYFUNCTION("IMPORTRANGE(""https://docs.google.com/spreadsheets/d/1IQAWArduLkta9LpYo4a_ULsyqdta6-6aDDiwpUnQT6c/edit?usp=sharing"",""นครสวรรค์!I238"")"),0)</f>
        <v>0</v>
      </c>
      <c r="CT18" s="152">
        <f ca="1">IFERROR(__xludf.DUMMYFUNCTION("IMPORTRANGE(""https://docs.google.com/spreadsheets/d/1IQAWArduLkta9LpYo4a_ULsyqdta6-6aDDiwpUnQT6c/edit?usp=sharing"",""นครสวรรค์!J238"")"),0)</f>
        <v>0</v>
      </c>
      <c r="CU18" s="216">
        <f t="shared" ca="1" si="148"/>
        <v>0</v>
      </c>
      <c r="CV18" s="152">
        <f ca="1">IFERROR(__xludf.DUMMYFUNCTION("IMPORTRANGE(""https://docs.google.com/spreadsheets/d/1IQAWArduLkta9LpYo4a_ULsyqdta6-6aDDiwpUnQT6c/edit?usp=sharing"",""นครสวรรค์!J240"")"),0)</f>
        <v>0</v>
      </c>
      <c r="CW18" s="152">
        <f ca="1">IFERROR(__xludf.DUMMYFUNCTION("IMPORTRANGE(""https://docs.google.com/spreadsheets/d/1IQAWArduLkta9LpYo4a_ULsyqdta6-6aDDiwpUnQT6c/edit?usp=sharing"",""นครสวรรค์!J241"")"),0)</f>
        <v>0</v>
      </c>
    </row>
    <row r="19" spans="1:101" ht="24" customHeight="1" x14ac:dyDescent="0.3">
      <c r="A19" s="147">
        <v>6</v>
      </c>
      <c r="B19" s="148" t="s">
        <v>47</v>
      </c>
      <c r="C19" s="149">
        <f t="shared" ca="1" si="90"/>
        <v>530900</v>
      </c>
      <c r="D19" s="150">
        <f t="shared" ca="1" si="150"/>
        <v>530900</v>
      </c>
      <c r="E19" s="151">
        <f ca="1">IFERROR(__xludf.DUMMYFUNCTION("IMPORTRANGE(""https://docs.google.com/spreadsheets/d/1-uDff_7J0KD5mKrp0Vvzr7lt3OU09vwQwhkpOPPYv2Y/edit?usp=sharing"",""งบพรบ!CV19"")"),91000)</f>
        <v>91000</v>
      </c>
      <c r="F19" s="151">
        <f ca="1">IFERROR(__xludf.DUMMYFUNCTION("IMPORTRANGE(""https://docs.google.com/spreadsheets/d/1-uDff_7J0KD5mKrp0Vvzr7lt3OU09vwQwhkpOPPYv2Y/edit?usp=sharing"",""งบพรบ!CW19"")"),439900)</f>
        <v>439900</v>
      </c>
      <c r="G19" s="151">
        <f ca="1">IFERROR(__xludf.DUMMYFUNCTION("IMPORTRANGE(""https://docs.google.com/spreadsheets/d/1-uDff_7J0KD5mKrp0Vvzr7lt3OU09vwQwhkpOPPYv2Y/edit?usp=sharing"",""งบพรบ!CX19"")"),0)</f>
        <v>0</v>
      </c>
      <c r="H19" s="151">
        <f ca="1">IFERROR(__xludf.DUMMYFUNCTION("IMPORTRANGE(""https://docs.google.com/spreadsheets/d/1-uDff_7J0KD5mKrp0Vvzr7lt3OU09vwQwhkpOPPYv2Y/edit?usp=sharing"",""งบพรบ!CZ19"")"),541100)</f>
        <v>541100</v>
      </c>
      <c r="I19" s="151">
        <f ca="1">IFERROR(__xludf.DUMMYFUNCTION("IMPORTRANGE(""https://docs.google.com/spreadsheets/d/1-uDff_7J0KD5mKrp0Vvzr7lt3OU09vwQwhkpOPPYv2Y/edit?usp=sharing"",""งบพรบ!DA19"")"),0)</f>
        <v>0</v>
      </c>
      <c r="J19" s="151">
        <f t="shared" ca="1" si="92"/>
        <v>258688</v>
      </c>
      <c r="K19" s="154">
        <f t="shared" ca="1" si="93"/>
        <v>48.726313806743264</v>
      </c>
      <c r="L19" s="151">
        <f ca="1">IFERROR(__xludf.DUMMYFUNCTION("IMPORTRANGE(""https://docs.google.com/spreadsheets/d/1-uDff_7J0KD5mKrp0Vvzr7lt3OU09vwQwhkpOPPYv2Y/edit?usp=sharing"",""งบพรบ!DB19"")"),258688)</f>
        <v>258688</v>
      </c>
      <c r="M19" s="68">
        <f t="shared" ca="1" si="94"/>
        <v>48.726313806743264</v>
      </c>
      <c r="N19" s="68">
        <f t="shared" ca="1" si="95"/>
        <v>47.807798928109406</v>
      </c>
      <c r="O19" s="67">
        <f ca="1">IFERROR(__xludf.DUMMYFUNCTION("IMPORTRANGE(""https://docs.google.com/spreadsheets/d/1-uDff_7J0KD5mKrp0Vvzr7lt3OU09vwQwhkpOPPYv2Y/edit?usp=sharing"",""งบพรบ!DC19"")"),0)</f>
        <v>0</v>
      </c>
      <c r="P19" s="67">
        <f t="shared" ca="1" si="96"/>
        <v>0</v>
      </c>
      <c r="Q19" s="68">
        <f t="shared" ca="1" si="97"/>
        <v>0</v>
      </c>
      <c r="R19" s="67">
        <f ca="1">IFERROR(__xludf.DUMMYFUNCTION("IMPORTRANGE(""https://docs.google.com/spreadsheets/d/10s13Sk5xrltsiR-Zkbmk5DwIaDIKO8XlbJAfqyT7Gvg/edit?usp=sharing"",""น่าน!Q186"")"),212000)</f>
        <v>212000</v>
      </c>
      <c r="S19" s="67">
        <f ca="1">IFERROR(__xludf.DUMMYFUNCTION("IMPORTRANGE(""https://docs.google.com/spreadsheets/d/10s13Sk5xrltsiR-Zkbmk5DwIaDIKO8XlbJAfqyT7Gvg/edit?usp=sharing"",""น่าน!R186"")"),212000)</f>
        <v>212000</v>
      </c>
      <c r="T19" s="67">
        <f ca="1">IFERROR(__xludf.DUMMYFUNCTION("IMPORTRANGE(""https://docs.google.com/spreadsheets/d/10s13Sk5xrltsiR-Zkbmk5DwIaDIKO8XlbJAfqyT7Gvg/edit?usp=sharing"",""น่าน!S186"")"),209460)</f>
        <v>209460</v>
      </c>
      <c r="U19" s="68">
        <f t="shared" ca="1" si="99"/>
        <v>98.801886792452834</v>
      </c>
      <c r="V19" s="68">
        <f t="shared" ca="1" si="100"/>
        <v>98.801886792452834</v>
      </c>
      <c r="W19" s="152">
        <f ca="1">IFERROR(__xludf.DUMMYFUNCTION("IMPORTRANGE(""https://docs.google.com/spreadsheets/d/10s13Sk5xrltsiR-Zkbmk5DwIaDIKO8XlbJAfqyT7Gvg/edit?usp=sharing"",""น่าน!L196"")"),6000)</f>
        <v>6000</v>
      </c>
      <c r="X19" s="152">
        <f ca="1">IFERROR(__xludf.DUMMYFUNCTION("IMPORTRANGE(""https://docs.google.com/spreadsheets/d/10s13Sk5xrltsiR-Zkbmk5DwIaDIKO8XlbJAfqyT7Gvg/edit?usp=sharing"",""น่าน!N196"")"),3380)</f>
        <v>3380</v>
      </c>
      <c r="Y19" s="216">
        <f t="shared" ca="1" si="102"/>
        <v>56.333333333333336</v>
      </c>
      <c r="Z19" s="152">
        <f ca="1">IFERROR(__xludf.DUMMYFUNCTION("IMPORTRANGE(""https://docs.google.com/spreadsheets/d/10s13Sk5xrltsiR-Zkbmk5DwIaDIKO8XlbJAfqyT7Gvg/edit?usp=sharing"",""น่าน!I198"")"),4)</f>
        <v>4</v>
      </c>
      <c r="AA19" s="152">
        <f ca="1">IFERROR(__xludf.DUMMYFUNCTION("IMPORTRANGE(""https://docs.google.com/spreadsheets/d/10s13Sk5xrltsiR-Zkbmk5DwIaDIKO8XlbJAfqyT7Gvg/edit?usp=sharing"",""น่าน!J198"")"),4)</f>
        <v>4</v>
      </c>
      <c r="AB19" s="216">
        <f t="shared" ca="1" si="104"/>
        <v>100</v>
      </c>
      <c r="AC19" s="152">
        <f ca="1">IFERROR(__xludf.DUMMYFUNCTION("IMPORTRANGE(""https://docs.google.com/spreadsheets/d/10s13Sk5xrltsiR-Zkbmk5DwIaDIKO8XlbJAfqyT7Gvg/edit?usp=sharing"",""น่าน!J199"")"),234)</f>
        <v>234</v>
      </c>
      <c r="AD19" s="152">
        <f ca="1">IFERROR(__xludf.DUMMYFUNCTION("IMPORTRANGE(""https://docs.google.com/spreadsheets/d/10s13Sk5xrltsiR-Zkbmk5DwIaDIKO8XlbJAfqyT7Gvg/edit?usp=sharing"",""น่าน!J200"")"),234)</f>
        <v>234</v>
      </c>
      <c r="AE19" s="152">
        <f ca="1">IFERROR(__xludf.DUMMYFUNCTION("IMPORTRANGE(""https://docs.google.com/spreadsheets/d/10s13Sk5xrltsiR-Zkbmk5DwIaDIKO8XlbJAfqyT7Gvg/edit?usp=sharing"",""น่าน!J201"")"),0)</f>
        <v>0</v>
      </c>
      <c r="AF19" s="152">
        <f ca="1">IFERROR(__xludf.DUMMYFUNCTION("IMPORTRANGE(""https://docs.google.com/spreadsheets/d/10s13Sk5xrltsiR-Zkbmk5DwIaDIKO8XlbJAfqyT7Gvg/edit?usp=sharing"",""น่าน!L204"")"),4000)</f>
        <v>4000</v>
      </c>
      <c r="AG19" s="152">
        <f ca="1">IFERROR(__xludf.DUMMYFUNCTION("IMPORTRANGE(""https://docs.google.com/spreadsheets/d/10s13Sk5xrltsiR-Zkbmk5DwIaDIKO8XlbJAfqyT7Gvg/edit?usp=sharing"",""น่าน!N204"")"),2440)</f>
        <v>2440</v>
      </c>
      <c r="AH19" s="216">
        <f t="shared" ca="1" si="106"/>
        <v>61</v>
      </c>
      <c r="AI19" s="152">
        <f ca="1">IFERROR(__xludf.DUMMYFUNCTION("IMPORTRANGE(""https://docs.google.com/spreadsheets/d/10s13Sk5xrltsiR-Zkbmk5DwIaDIKO8XlbJAfqyT7Gvg/edit?usp=sharing"",""น่าน!L206"")"),0)</f>
        <v>0</v>
      </c>
      <c r="AJ19" s="152">
        <f ca="1">IFERROR(__xludf.DUMMYFUNCTION("IMPORTRANGE(""https://docs.google.com/spreadsheets/d/10s13Sk5xrltsiR-Zkbmk5DwIaDIKO8XlbJAfqyT7Gvg/edit?usp=sharing"",""น่าน!N206"")"),0)</f>
        <v>0</v>
      </c>
      <c r="AK19" s="216">
        <f t="shared" ca="1" si="108"/>
        <v>0</v>
      </c>
      <c r="AL19" s="152">
        <f ca="1">IFERROR(__xludf.DUMMYFUNCTION("IMPORTRANGE(""https://docs.google.com/spreadsheets/d/10s13Sk5xrltsiR-Zkbmk5DwIaDIKO8XlbJAfqyT7Gvg/edit?usp=sharing"",""น่าน!Q206"")"),56000)</f>
        <v>56000</v>
      </c>
      <c r="AM19" s="152">
        <f ca="1">IFERROR(__xludf.DUMMYFUNCTION("IMPORTRANGE(""https://docs.google.com/spreadsheets/d/10s13Sk5xrltsiR-Zkbmk5DwIaDIKO8XlbJAfqyT7Gvg/edit?usp=sharing"",""น่าน!S206"")"),0)</f>
        <v>0</v>
      </c>
      <c r="AN19" s="216">
        <f t="shared" ca="1" si="110"/>
        <v>0</v>
      </c>
      <c r="AO19" s="152">
        <f ca="1">IFERROR(__xludf.DUMMYFUNCTION("IMPORTRANGE(""https://docs.google.com/spreadsheets/d/10s13Sk5xrltsiR-Zkbmk5DwIaDIKO8XlbJAfqyT7Gvg/edit?usp=sharing"",""น่าน!L207"")"),19000)</f>
        <v>19000</v>
      </c>
      <c r="AP19" s="152">
        <f ca="1">IFERROR(__xludf.DUMMYFUNCTION("IMPORTRANGE(""https://docs.google.com/spreadsheets/d/10s13Sk5xrltsiR-Zkbmk5DwIaDIKO8XlbJAfqyT7Gvg/edit?usp=sharing"",""น่าน!N207"")"),0)</f>
        <v>0</v>
      </c>
      <c r="AQ19" s="216">
        <f t="shared" ca="1" si="112"/>
        <v>0</v>
      </c>
      <c r="AR19" s="152">
        <f ca="1">IFERROR(__xludf.DUMMYFUNCTION("IMPORTRANGE(""https://docs.google.com/spreadsheets/d/10s13Sk5xrltsiR-Zkbmk5DwIaDIKO8XlbJAfqyT7Gvg/edit?usp=sharing"",""น่าน!I209"")"),4)</f>
        <v>4</v>
      </c>
      <c r="AS19" s="152">
        <f ca="1">IFERROR(__xludf.DUMMYFUNCTION("IMPORTRANGE(""https://docs.google.com/spreadsheets/d/10s13Sk5xrltsiR-Zkbmk5DwIaDIKO8XlbJAfqyT7Gvg/edit?usp=sharing"",""น่าน!J209"")"),2)</f>
        <v>2</v>
      </c>
      <c r="AT19" s="216">
        <f t="shared" ca="1" si="114"/>
        <v>50</v>
      </c>
      <c r="AU19" s="152">
        <f ca="1">IFERROR(__xludf.DUMMYFUNCTION("IMPORTRANGE(""https://docs.google.com/spreadsheets/d/10s13Sk5xrltsiR-Zkbmk5DwIaDIKO8XlbJAfqyT7Gvg/edit?usp=sharing"",""น่าน!J211"")"),4)</f>
        <v>4</v>
      </c>
      <c r="AV19" s="152">
        <f ca="1">IFERROR(__xludf.DUMMYFUNCTION("IMPORTRANGE(""https://docs.google.com/spreadsheets/d/10s13Sk5xrltsiR-Zkbmk5DwIaDIKO8XlbJAfqyT7Gvg/edit?usp=sharing"",""น่าน!J212"")"),1)</f>
        <v>1</v>
      </c>
      <c r="AW19" s="152">
        <f ca="1">IFERROR(__xludf.DUMMYFUNCTION("IMPORTRANGE(""https://docs.google.com/spreadsheets/d/10s13Sk5xrltsiR-Zkbmk5DwIaDIKO8XlbJAfqyT7Gvg/edit?usp=sharing"",""น่าน!L215"")"),0)</f>
        <v>0</v>
      </c>
      <c r="AX19" s="152">
        <f ca="1">IFERROR(__xludf.DUMMYFUNCTION("IMPORTRANGE(""https://docs.google.com/spreadsheets/d/10s13Sk5xrltsiR-Zkbmk5DwIaDIKO8XlbJAfqyT7Gvg/edit?usp=sharing"",""น่าน!N215"")"),0)</f>
        <v>0</v>
      </c>
      <c r="AY19" s="216">
        <f t="shared" ca="1" si="116"/>
        <v>0</v>
      </c>
      <c r="AZ19" s="152">
        <f ca="1">IFERROR(__xludf.DUMMYFUNCTION("IMPORTRANGE(""https://docs.google.com/spreadsheets/d/10s13Sk5xrltsiR-Zkbmk5DwIaDIKO8XlbJAfqyT7Gvg/edit?usp=sharing"",""น่าน!L216"")"),0)</f>
        <v>0</v>
      </c>
      <c r="BA19" s="152">
        <f ca="1">IFERROR(__xludf.DUMMYFUNCTION("IMPORTRANGE(""https://docs.google.com/spreadsheets/d/10s13Sk5xrltsiR-Zkbmk5DwIaDIKO8XlbJAfqyT7Gvg/edit?usp=sharing"",""น่าน!N216"")"),0)</f>
        <v>0</v>
      </c>
      <c r="BB19" s="216">
        <f t="shared" ca="1" si="118"/>
        <v>0</v>
      </c>
      <c r="BC19" s="152">
        <f ca="1">IFERROR(__xludf.DUMMYFUNCTION("IMPORTRANGE(""https://docs.google.com/spreadsheets/d/10s13Sk5xrltsiR-Zkbmk5DwIaDIKO8XlbJAfqyT7Gvg/edit?usp=sharing"",""น่าน!L217"")"),0)</f>
        <v>0</v>
      </c>
      <c r="BD19" s="152">
        <f ca="1">IFERROR(__xludf.DUMMYFUNCTION("IMPORTRANGE(""https://docs.google.com/spreadsheets/d/10s13Sk5xrltsiR-Zkbmk5DwIaDIKO8XlbJAfqyT7Gvg/edit?usp=sharing"",""น่าน!N217"")"),0)</f>
        <v>0</v>
      </c>
      <c r="BE19" s="216">
        <f t="shared" ca="1" si="120"/>
        <v>0</v>
      </c>
      <c r="BF19" s="152">
        <f ca="1">IFERROR(__xludf.DUMMYFUNCTION("IMPORTRANGE(""https://docs.google.com/spreadsheets/d/10s13Sk5xrltsiR-Zkbmk5DwIaDIKO8XlbJAfqyT7Gvg/edit?usp=sharing"",""น่าน!Q217"")"),0)</f>
        <v>0</v>
      </c>
      <c r="BG19" s="152">
        <f ca="1">IFERROR(__xludf.DUMMYFUNCTION("IMPORTRANGE(""https://docs.google.com/spreadsheets/d/10s13Sk5xrltsiR-Zkbmk5DwIaDIKO8XlbJAfqyT7Gvg/edit?usp=sharing"",""น่าน!S217"")"),0)</f>
        <v>0</v>
      </c>
      <c r="BH19" s="216">
        <f t="shared" ca="1" si="122"/>
        <v>0</v>
      </c>
      <c r="BI19" s="152">
        <f ca="1">IFERROR(__xludf.DUMMYFUNCTION("IMPORTRANGE(""https://docs.google.com/spreadsheets/d/10s13Sk5xrltsiR-Zkbmk5DwIaDIKO8XlbJAfqyT7Gvg/edit?usp=sharing"",""น่าน!I219"")"),0)</f>
        <v>0</v>
      </c>
      <c r="BJ19" s="152">
        <f ca="1">IFERROR(__xludf.DUMMYFUNCTION("IMPORTRANGE(""https://docs.google.com/spreadsheets/d/10s13Sk5xrltsiR-Zkbmk5DwIaDIKO8XlbJAfqyT7Gvg/edit?usp=sharing"",""น่าน!J219"")"),0)</f>
        <v>0</v>
      </c>
      <c r="BK19" s="216">
        <f t="shared" ca="1" si="124"/>
        <v>0</v>
      </c>
      <c r="BL19" s="152">
        <f ca="1">IFERROR(__xludf.DUMMYFUNCTION("IMPORTRANGE(""https://docs.google.com/spreadsheets/d/10s13Sk5xrltsiR-Zkbmk5DwIaDIKO8XlbJAfqyT7Gvg/edit?usp=sharing"",""น่าน!I220"")"),0)</f>
        <v>0</v>
      </c>
      <c r="BM19" s="152">
        <f ca="1">IFERROR(__xludf.DUMMYFUNCTION("IMPORTRANGE(""https://docs.google.com/spreadsheets/d/10s13Sk5xrltsiR-Zkbmk5DwIaDIKO8XlbJAfqyT7Gvg/edit?usp=sharing"",""น่าน!J220"")"),0)</f>
        <v>0</v>
      </c>
      <c r="BN19" s="216">
        <f t="shared" ca="1" si="126"/>
        <v>0</v>
      </c>
      <c r="BO19" s="152">
        <f ca="1">IFERROR(__xludf.DUMMYFUNCTION("IMPORTRANGE(""https://docs.google.com/spreadsheets/d/10s13Sk5xrltsiR-Zkbmk5DwIaDIKO8XlbJAfqyT7Gvg/edit?usp=sharing"",""น่าน!L223"")"),2500)</f>
        <v>2500</v>
      </c>
      <c r="BP19" s="152">
        <f ca="1">IFERROR(__xludf.DUMMYFUNCTION("IMPORTRANGE(""https://docs.google.com/spreadsheets/d/10s13Sk5xrltsiR-Zkbmk5DwIaDIKO8XlbJAfqyT7Gvg/edit?usp=sharing"",""น่าน!N223"")"),2440)</f>
        <v>2440</v>
      </c>
      <c r="BQ19" s="216">
        <f t="shared" ca="1" si="128"/>
        <v>97.6</v>
      </c>
      <c r="BR19" s="152">
        <f ca="1">IFERROR(__xludf.DUMMYFUNCTION("IMPORTRANGE(""https://docs.google.com/spreadsheets/d/10s13Sk5xrltsiR-Zkbmk5DwIaDIKO8XlbJAfqyT7Gvg/edit?usp=sharing"",""น่าน!L224"")"),6000)</f>
        <v>6000</v>
      </c>
      <c r="BS19" s="152">
        <f ca="1">IFERROR(__xludf.DUMMYFUNCTION("IMPORTRANGE(""https://docs.google.com/spreadsheets/d/10s13Sk5xrltsiR-Zkbmk5DwIaDIKO8XlbJAfqyT7Gvg/edit?usp=sharing"",""น่าน!N224"")"),0)</f>
        <v>0</v>
      </c>
      <c r="BT19" s="216">
        <f t="shared" ca="1" si="130"/>
        <v>0</v>
      </c>
      <c r="BU19" s="152">
        <f ca="1">IFERROR(__xludf.DUMMYFUNCTION("IMPORTRANGE(""https://docs.google.com/spreadsheets/d/10s13Sk5xrltsiR-Zkbmk5DwIaDIKO8XlbJAfqyT7Gvg/edit?usp=sharing"",""น่าน!I228"")"),50000)</f>
        <v>50000</v>
      </c>
      <c r="BV19" s="152">
        <f ca="1">IFERROR(__xludf.DUMMYFUNCTION("IMPORTRANGE(""https://docs.google.com/spreadsheets/d/10s13Sk5xrltsiR-Zkbmk5DwIaDIKO8XlbJAfqyT7Gvg/edit?usp=sharing"",""น่าน!J228"")"),50000)</f>
        <v>50000</v>
      </c>
      <c r="BW19" s="216">
        <f t="shared" ca="1" si="132"/>
        <v>100</v>
      </c>
      <c r="BX19" s="152">
        <f ca="1">IFERROR(__xludf.DUMMYFUNCTION("IMPORTRANGE(""https://docs.google.com/spreadsheets/d/10s13Sk5xrltsiR-Zkbmk5DwIaDIKO8XlbJAfqyT7Gvg/edit?usp=sharing"",""น่าน!I229"")"),50000)</f>
        <v>50000</v>
      </c>
      <c r="BY19" s="152">
        <f ca="1">IFERROR(__xludf.DUMMYFUNCTION("IMPORTRANGE(""https://docs.google.com/spreadsheets/d/10s13Sk5xrltsiR-Zkbmk5DwIaDIKO8XlbJAfqyT7Gvg/edit?usp=sharing"",""น่าน!J229"")"),50000)</f>
        <v>50000</v>
      </c>
      <c r="BZ19" s="216">
        <f t="shared" ca="1" si="134"/>
        <v>100</v>
      </c>
      <c r="CA19" s="152">
        <f ca="1">IFERROR(__xludf.DUMMYFUNCTION("IMPORTRANGE(""https://docs.google.com/spreadsheets/d/10s13Sk5xrltsiR-Zkbmk5DwIaDIKO8XlbJAfqyT7Gvg/edit?usp=sharing"",""น่าน!I230"")"),0)</f>
        <v>0</v>
      </c>
      <c r="CB19" s="152">
        <f ca="1">IFERROR(__xludf.DUMMYFUNCTION("IMPORTRANGE(""https://docs.google.com/spreadsheets/d/10s13Sk5xrltsiR-Zkbmk5DwIaDIKO8XlbJAfqyT7Gvg/edit?usp=sharing"",""น่าน!J230"")"),0)</f>
        <v>0</v>
      </c>
      <c r="CC19" s="216">
        <f t="shared" ca="1" si="136"/>
        <v>0</v>
      </c>
      <c r="CD19" s="152">
        <f ca="1">IFERROR(__xludf.DUMMYFUNCTION("IMPORTRANGE(""https://docs.google.com/spreadsheets/d/10s13Sk5xrltsiR-Zkbmk5DwIaDIKO8XlbJAfqyT7Gvg/edit?usp=sharing"",""น่าน!L233"")"),179000)</f>
        <v>179000</v>
      </c>
      <c r="CE19" s="152">
        <f ca="1">IFERROR(__xludf.DUMMYFUNCTION("IMPORTRANGE(""https://docs.google.com/spreadsheets/d/10s13Sk5xrltsiR-Zkbmk5DwIaDIKO8XlbJAfqyT7Gvg/edit?usp=sharing"",""น่าน!N233"")"),128141)</f>
        <v>128141</v>
      </c>
      <c r="CF19" s="216">
        <f t="shared" ca="1" si="138"/>
        <v>71.58715083798883</v>
      </c>
      <c r="CG19" s="152">
        <f ca="1">IFERROR(__xludf.DUMMYFUNCTION("IMPORTRANGE(""https://docs.google.com/spreadsheets/d/10s13Sk5xrltsiR-Zkbmk5DwIaDIKO8XlbJAfqyT7Gvg/edit?usp=sharing"",""น่าน!L234"")"),8000)</f>
        <v>8000</v>
      </c>
      <c r="CH19" s="152">
        <f ca="1">IFERROR(__xludf.DUMMYFUNCTION("IMPORTRANGE(""https://docs.google.com/spreadsheets/d/10s13Sk5xrltsiR-Zkbmk5DwIaDIKO8XlbJAfqyT7Gvg/edit?usp=sharing"",""น่าน!N234"")"),6000)</f>
        <v>6000</v>
      </c>
      <c r="CI19" s="216">
        <f t="shared" ca="1" si="140"/>
        <v>75</v>
      </c>
      <c r="CJ19" s="152">
        <f ca="1">IFERROR(__xludf.DUMMYFUNCTION("IMPORTRANGE(""https://docs.google.com/spreadsheets/d/10s13Sk5xrltsiR-Zkbmk5DwIaDIKO8XlbJAfqyT7Gvg/edit?usp=sharing"",""น่าน!L235"")"),30400)</f>
        <v>30400</v>
      </c>
      <c r="CK19" s="152">
        <f ca="1">IFERROR(__xludf.DUMMYFUNCTION("IMPORTRANGE(""https://docs.google.com/spreadsheets/d/10s13Sk5xrltsiR-Zkbmk5DwIaDIKO8XlbJAfqyT7Gvg/edit?usp=sharing"",""น่าน!N235"")"),0)</f>
        <v>0</v>
      </c>
      <c r="CL19" s="216">
        <f t="shared" ca="1" si="142"/>
        <v>0</v>
      </c>
      <c r="CM19" s="152">
        <f ca="1">IFERROR(__xludf.DUMMYFUNCTION("IMPORTRANGE(""https://docs.google.com/spreadsheets/d/10s13Sk5xrltsiR-Zkbmk5DwIaDIKO8XlbJAfqyT7Gvg/edit?usp=sharing"",""น่าน!Q235"")"),156000)</f>
        <v>156000</v>
      </c>
      <c r="CN19" s="152">
        <f ca="1">IFERROR(__xludf.DUMMYFUNCTION("IMPORTRANGE(""https://docs.google.com/spreadsheets/d/10s13Sk5xrltsiR-Zkbmk5DwIaDIKO8XlbJAfqyT7Gvg/edit?usp=sharing"",""น่าน!S235"")"),103280)</f>
        <v>103280</v>
      </c>
      <c r="CO19" s="216">
        <f t="shared" ca="1" si="144"/>
        <v>66.205128205128204</v>
      </c>
      <c r="CP19" s="152">
        <f ca="1">IFERROR(__xludf.DUMMYFUNCTION("IMPORTRANGE(""https://docs.google.com/spreadsheets/d/10s13Sk5xrltsiR-Zkbmk5DwIaDIKO8XlbJAfqyT7Gvg/edit?usp=sharing"",""น่าน!L236"")"),185000)</f>
        <v>185000</v>
      </c>
      <c r="CQ19" s="152">
        <f ca="1">IFERROR(__xludf.DUMMYFUNCTION("IMPORTRANGE(""https://docs.google.com/spreadsheets/d/10s13Sk5xrltsiR-Zkbmk5DwIaDIKO8XlbJAfqyT7Gvg/edit?usp=sharing"",""น่าน!N236"")"),0)</f>
        <v>0</v>
      </c>
      <c r="CR19" s="216">
        <f t="shared" ca="1" si="146"/>
        <v>0</v>
      </c>
      <c r="CS19" s="152">
        <f ca="1">IFERROR(__xludf.DUMMYFUNCTION("IMPORTRANGE(""https://docs.google.com/spreadsheets/d/10s13Sk5xrltsiR-Zkbmk5DwIaDIKO8XlbJAfqyT7Gvg/edit?usp=sharing"",""น่าน!I238"")"),160)</f>
        <v>160</v>
      </c>
      <c r="CT19" s="152">
        <f ca="1">IFERROR(__xludf.DUMMYFUNCTION("IMPORTRANGE(""https://docs.google.com/spreadsheets/d/10s13Sk5xrltsiR-Zkbmk5DwIaDIKO8XlbJAfqyT7Gvg/edit?usp=sharing"",""น่าน!J238"")"),120)</f>
        <v>120</v>
      </c>
      <c r="CU19" s="216">
        <f t="shared" ca="1" si="148"/>
        <v>75</v>
      </c>
      <c r="CV19" s="152">
        <f ca="1">IFERROR(__xludf.DUMMYFUNCTION("IMPORTRANGE(""https://docs.google.com/spreadsheets/d/10s13Sk5xrltsiR-Zkbmk5DwIaDIKO8XlbJAfqyT7Gvg/edit?usp=sharing"",""น่าน!J240"")"),120)</f>
        <v>120</v>
      </c>
      <c r="CW19" s="152">
        <f ca="1">IFERROR(__xludf.DUMMYFUNCTION("IMPORTRANGE(""https://docs.google.com/spreadsheets/d/10s13Sk5xrltsiR-Zkbmk5DwIaDIKO8XlbJAfqyT7Gvg/edit?usp=sharing"",""น่าน!J241"")"),1)</f>
        <v>1</v>
      </c>
    </row>
    <row r="20" spans="1:101" ht="24" customHeight="1" x14ac:dyDescent="0.3">
      <c r="A20" s="147">
        <v>7</v>
      </c>
      <c r="B20" s="148" t="s">
        <v>48</v>
      </c>
      <c r="C20" s="149">
        <f t="shared" ca="1" si="90"/>
        <v>234500</v>
      </c>
      <c r="D20" s="150">
        <f t="shared" ca="1" si="150"/>
        <v>234500</v>
      </c>
      <c r="E20" s="151">
        <f ca="1">IFERROR(__xludf.DUMMYFUNCTION("IMPORTRANGE(""https://docs.google.com/spreadsheets/d/1-uDff_7J0KD5mKrp0Vvzr7lt3OU09vwQwhkpOPPYv2Y/edit?usp=sharing"",""งบพรบ!CV20"")"),0)</f>
        <v>0</v>
      </c>
      <c r="F20" s="151">
        <f ca="1">IFERROR(__xludf.DUMMYFUNCTION("IMPORTRANGE(""https://docs.google.com/spreadsheets/d/1-uDff_7J0KD5mKrp0Vvzr7lt3OU09vwQwhkpOPPYv2Y/edit?usp=sharing"",""งบพรบ!CW20"")"),234500)</f>
        <v>234500</v>
      </c>
      <c r="G20" s="151">
        <f ca="1">IFERROR(__xludf.DUMMYFUNCTION("IMPORTRANGE(""https://docs.google.com/spreadsheets/d/1-uDff_7J0KD5mKrp0Vvzr7lt3OU09vwQwhkpOPPYv2Y/edit?usp=sharing"",""งบพรบ!CX20"")"),0)</f>
        <v>0</v>
      </c>
      <c r="H20" s="151">
        <f ca="1">IFERROR(__xludf.DUMMYFUNCTION("IMPORTRANGE(""https://docs.google.com/spreadsheets/d/1-uDff_7J0KD5mKrp0Vvzr7lt3OU09vwQwhkpOPPYv2Y/edit?usp=sharing"",""งบพรบ!CZ20"")"),261325)</f>
        <v>261325</v>
      </c>
      <c r="I20" s="151">
        <f ca="1">IFERROR(__xludf.DUMMYFUNCTION("IMPORTRANGE(""https://docs.google.com/spreadsheets/d/1-uDff_7J0KD5mKrp0Vvzr7lt3OU09vwQwhkpOPPYv2Y/edit?usp=sharing"",""งบพรบ!DA20"")"),0)</f>
        <v>0</v>
      </c>
      <c r="J20" s="151">
        <f t="shared" ca="1" si="92"/>
        <v>225241</v>
      </c>
      <c r="K20" s="154">
        <f t="shared" ca="1" si="93"/>
        <v>96.051599147121536</v>
      </c>
      <c r="L20" s="151">
        <f ca="1">IFERROR(__xludf.DUMMYFUNCTION("IMPORTRANGE(""https://docs.google.com/spreadsheets/d/1-uDff_7J0KD5mKrp0Vvzr7lt3OU09vwQwhkpOPPYv2Y/edit?usp=sharing"",""งบพรบ!DB20"")"),225241)</f>
        <v>225241</v>
      </c>
      <c r="M20" s="68">
        <f t="shared" ca="1" si="94"/>
        <v>96.051599147121536</v>
      </c>
      <c r="N20" s="68">
        <f t="shared" ca="1" si="95"/>
        <v>86.191906629675685</v>
      </c>
      <c r="O20" s="67">
        <f ca="1">IFERROR(__xludf.DUMMYFUNCTION("IMPORTRANGE(""https://docs.google.com/spreadsheets/d/1-uDff_7J0KD5mKrp0Vvzr7lt3OU09vwQwhkpOPPYv2Y/edit?usp=sharing"",""งบพรบ!DC20"")"),0)</f>
        <v>0</v>
      </c>
      <c r="P20" s="67">
        <f t="shared" ca="1" si="96"/>
        <v>0</v>
      </c>
      <c r="Q20" s="68">
        <f t="shared" ca="1" si="97"/>
        <v>0</v>
      </c>
      <c r="R20" s="67">
        <f ca="1">IFERROR(__xludf.DUMMYFUNCTION("IMPORTRANGE(""https://docs.google.com/spreadsheets/d/1uu4nAn4Dbi1XREnLKKotUANlKXa7yCgRcgq8HEzQYW8/edit?usp=sharing"",""พะเยา!Q186"")"),250800)</f>
        <v>250800</v>
      </c>
      <c r="S20" s="67">
        <f ca="1">IFERROR(__xludf.DUMMYFUNCTION("IMPORTRANGE(""https://docs.google.com/spreadsheets/d/1uu4nAn4Dbi1XREnLKKotUANlKXa7yCgRcgq8HEzQYW8/edit?usp=sharing"",""พะเยา!R186"")"),250800)</f>
        <v>250800</v>
      </c>
      <c r="T20" s="67">
        <f ca="1">IFERROR(__xludf.DUMMYFUNCTION("IMPORTRANGE(""https://docs.google.com/spreadsheets/d/1uu4nAn4Dbi1XREnLKKotUANlKXa7yCgRcgq8HEzQYW8/edit?usp=sharing"",""พะเยา!S186"")"),245430)</f>
        <v>245430</v>
      </c>
      <c r="U20" s="68">
        <f t="shared" ca="1" si="99"/>
        <v>97.858851674641144</v>
      </c>
      <c r="V20" s="68">
        <f t="shared" ca="1" si="100"/>
        <v>97.858851674641144</v>
      </c>
      <c r="W20" s="152">
        <f ca="1">IFERROR(__xludf.DUMMYFUNCTION("IMPORTRANGE(""https://docs.google.com/spreadsheets/d/1uu4nAn4Dbi1XREnLKKotUANlKXa7yCgRcgq8HEzQYW8/edit?usp=sharing"",""พะเยา!L196"")"),6000)</f>
        <v>6000</v>
      </c>
      <c r="X20" s="152">
        <f ca="1">IFERROR(__xludf.DUMMYFUNCTION("IMPORTRANGE(""https://docs.google.com/spreadsheets/d/1uu4nAn4Dbi1XREnLKKotUANlKXa7yCgRcgq8HEzQYW8/edit?usp=sharing"",""พะเยา!N196"")"),0)</f>
        <v>0</v>
      </c>
      <c r="Y20" s="216">
        <f t="shared" ca="1" si="102"/>
        <v>0</v>
      </c>
      <c r="Z20" s="152">
        <f ca="1">IFERROR(__xludf.DUMMYFUNCTION("IMPORTRANGE(""https://docs.google.com/spreadsheets/d/1uu4nAn4Dbi1XREnLKKotUANlKXa7yCgRcgq8HEzQYW8/edit?usp=sharing"",""พะเยา!I198"")"),4)</f>
        <v>4</v>
      </c>
      <c r="AA20" s="152">
        <f ca="1">IFERROR(__xludf.DUMMYFUNCTION("IMPORTRANGE(""https://docs.google.com/spreadsheets/d/1uu4nAn4Dbi1XREnLKKotUANlKXa7yCgRcgq8HEzQYW8/edit?usp=sharing"",""พะเยา!J198"")"),4)</f>
        <v>4</v>
      </c>
      <c r="AB20" s="216">
        <f t="shared" ca="1" si="104"/>
        <v>100</v>
      </c>
      <c r="AC20" s="152">
        <f ca="1">IFERROR(__xludf.DUMMYFUNCTION("IMPORTRANGE(""https://docs.google.com/spreadsheets/d/1uu4nAn4Dbi1XREnLKKotUANlKXa7yCgRcgq8HEzQYW8/edit?usp=sharing"",""พะเยา!J199"")"),50)</f>
        <v>50</v>
      </c>
      <c r="AD20" s="152">
        <f ca="1">IFERROR(__xludf.DUMMYFUNCTION("IMPORTRANGE(""https://docs.google.com/spreadsheets/d/1uu4nAn4Dbi1XREnLKKotUANlKXa7yCgRcgq8HEzQYW8/edit?usp=sharing"",""พะเยา!J200"")"),50)</f>
        <v>50</v>
      </c>
      <c r="AE20" s="152">
        <f ca="1">IFERROR(__xludf.DUMMYFUNCTION("IMPORTRANGE(""https://docs.google.com/spreadsheets/d/1uu4nAn4Dbi1XREnLKKotUANlKXa7yCgRcgq8HEzQYW8/edit?usp=sharing"",""พะเยา!J201"")"),0)</f>
        <v>0</v>
      </c>
      <c r="AF20" s="152">
        <f ca="1">IFERROR(__xludf.DUMMYFUNCTION("IMPORTRANGE(""https://docs.google.com/spreadsheets/d/1uu4nAn4Dbi1XREnLKKotUANlKXa7yCgRcgq8HEzQYW8/edit?usp=sharing"",""พะเยา!L204"")"),2000)</f>
        <v>2000</v>
      </c>
      <c r="AG20" s="152">
        <f ca="1">IFERROR(__xludf.DUMMYFUNCTION("IMPORTRANGE(""https://docs.google.com/spreadsheets/d/1uu4nAn4Dbi1XREnLKKotUANlKXa7yCgRcgq8HEzQYW8/edit?usp=sharing"",""พะเยา!N204"")"),1260)</f>
        <v>1260</v>
      </c>
      <c r="AH20" s="216">
        <f t="shared" ca="1" si="106"/>
        <v>63</v>
      </c>
      <c r="AI20" s="152">
        <f ca="1">IFERROR(__xludf.DUMMYFUNCTION("IMPORTRANGE(""https://docs.google.com/spreadsheets/d/1uu4nAn4Dbi1XREnLKKotUANlKXa7yCgRcgq8HEzQYW8/edit?usp=sharing"",""พะเยา!L206"")"),0)</f>
        <v>0</v>
      </c>
      <c r="AJ20" s="152">
        <f ca="1">IFERROR(__xludf.DUMMYFUNCTION("IMPORTRANGE(""https://docs.google.com/spreadsheets/d/1uu4nAn4Dbi1XREnLKKotUANlKXa7yCgRcgq8HEzQYW8/edit?usp=sharing"",""พะเยา!N206"")"),0)</f>
        <v>0</v>
      </c>
      <c r="AK20" s="216">
        <f t="shared" ca="1" si="108"/>
        <v>0</v>
      </c>
      <c r="AL20" s="152">
        <f ca="1">IFERROR(__xludf.DUMMYFUNCTION("IMPORTRANGE(""https://docs.google.com/spreadsheets/d/1uu4nAn4Dbi1XREnLKKotUANlKXa7yCgRcgq8HEzQYW8/edit?usp=sharing"",""พะเยา!Q206"")"),28000)</f>
        <v>28000</v>
      </c>
      <c r="AM20" s="152">
        <f ca="1">IFERROR(__xludf.DUMMYFUNCTION("IMPORTRANGE(""https://docs.google.com/spreadsheets/d/1uu4nAn4Dbi1XREnLKKotUANlKXa7yCgRcgq8HEzQYW8/edit?usp=sharing"",""พะเยา!S206"")"),28000)</f>
        <v>28000</v>
      </c>
      <c r="AN20" s="216">
        <f t="shared" ca="1" si="110"/>
        <v>100</v>
      </c>
      <c r="AO20" s="152">
        <f ca="1">IFERROR(__xludf.DUMMYFUNCTION("IMPORTRANGE(""https://docs.google.com/spreadsheets/d/1uu4nAn4Dbi1XREnLKKotUANlKXa7yCgRcgq8HEzQYW8/edit?usp=sharing"",""พะเยา!L207"")"),8000)</f>
        <v>8000</v>
      </c>
      <c r="AP20" s="152">
        <f ca="1">IFERROR(__xludf.DUMMYFUNCTION("IMPORTRANGE(""https://docs.google.com/spreadsheets/d/1uu4nAn4Dbi1XREnLKKotUANlKXa7yCgRcgq8HEzQYW8/edit?usp=sharing"",""พะเยา!N207"")"),8000)</f>
        <v>8000</v>
      </c>
      <c r="AQ20" s="216">
        <f t="shared" ca="1" si="112"/>
        <v>100</v>
      </c>
      <c r="AR20" s="152">
        <f ca="1">IFERROR(__xludf.DUMMYFUNCTION("IMPORTRANGE(""https://docs.google.com/spreadsheets/d/1uu4nAn4Dbi1XREnLKKotUANlKXa7yCgRcgq8HEzQYW8/edit?usp=sharing"",""พะเยา!I209"")"),2)</f>
        <v>2</v>
      </c>
      <c r="AS20" s="152">
        <f ca="1">IFERROR(__xludf.DUMMYFUNCTION("IMPORTRANGE(""https://docs.google.com/spreadsheets/d/1uu4nAn4Dbi1XREnLKKotUANlKXa7yCgRcgq8HEzQYW8/edit?usp=sharing"",""พะเยา!J209"")"),2)</f>
        <v>2</v>
      </c>
      <c r="AT20" s="216">
        <f t="shared" ca="1" si="114"/>
        <v>100</v>
      </c>
      <c r="AU20" s="152">
        <f ca="1">IFERROR(__xludf.DUMMYFUNCTION("IMPORTRANGE(""https://docs.google.com/spreadsheets/d/1uu4nAn4Dbi1XREnLKKotUANlKXa7yCgRcgq8HEzQYW8/edit?usp=sharing"",""พะเยา!J211"")"),2)</f>
        <v>2</v>
      </c>
      <c r="AV20" s="152">
        <f ca="1">IFERROR(__xludf.DUMMYFUNCTION("IMPORTRANGE(""https://docs.google.com/spreadsheets/d/1uu4nAn4Dbi1XREnLKKotUANlKXa7yCgRcgq8HEzQYW8/edit?usp=sharing"",""พะเยา!J212"")"),0)</f>
        <v>0</v>
      </c>
      <c r="AW20" s="152">
        <f ca="1">IFERROR(__xludf.DUMMYFUNCTION("IMPORTRANGE(""https://docs.google.com/spreadsheets/d/1uu4nAn4Dbi1XREnLKKotUANlKXa7yCgRcgq8HEzQYW8/edit?usp=sharing"",""พะเยา!L215"")"),0)</f>
        <v>0</v>
      </c>
      <c r="AX20" s="152">
        <f ca="1">IFERROR(__xludf.DUMMYFUNCTION("IMPORTRANGE(""https://docs.google.com/spreadsheets/d/1uu4nAn4Dbi1XREnLKKotUANlKXa7yCgRcgq8HEzQYW8/edit?usp=sharing"",""พะเยา!N215"")"),0)</f>
        <v>0</v>
      </c>
      <c r="AY20" s="216">
        <f t="shared" ca="1" si="116"/>
        <v>0</v>
      </c>
      <c r="AZ20" s="152">
        <f ca="1">IFERROR(__xludf.DUMMYFUNCTION("IMPORTRANGE(""https://docs.google.com/spreadsheets/d/1uu4nAn4Dbi1XREnLKKotUANlKXa7yCgRcgq8HEzQYW8/edit?usp=sharing"",""พะเยา!L216"")"),0)</f>
        <v>0</v>
      </c>
      <c r="BA20" s="152">
        <f ca="1">IFERROR(__xludf.DUMMYFUNCTION("IMPORTRANGE(""https://docs.google.com/spreadsheets/d/1uu4nAn4Dbi1XREnLKKotUANlKXa7yCgRcgq8HEzQYW8/edit?usp=sharing"",""พะเยา!N216"")"),0)</f>
        <v>0</v>
      </c>
      <c r="BB20" s="216">
        <f t="shared" ca="1" si="118"/>
        <v>0</v>
      </c>
      <c r="BC20" s="152">
        <f ca="1">IFERROR(__xludf.DUMMYFUNCTION("IMPORTRANGE(""https://docs.google.com/spreadsheets/d/1uu4nAn4Dbi1XREnLKKotUANlKXa7yCgRcgq8HEzQYW8/edit?usp=sharing"",""พะเยา!L217"")"),0)</f>
        <v>0</v>
      </c>
      <c r="BD20" s="152">
        <f ca="1">IFERROR(__xludf.DUMMYFUNCTION("IMPORTRANGE(""https://docs.google.com/spreadsheets/d/1uu4nAn4Dbi1XREnLKKotUANlKXa7yCgRcgq8HEzQYW8/edit?usp=sharing"",""พะเยา!N217"")"),0)</f>
        <v>0</v>
      </c>
      <c r="BE20" s="216">
        <f t="shared" ca="1" si="120"/>
        <v>0</v>
      </c>
      <c r="BF20" s="152">
        <f ca="1">IFERROR(__xludf.DUMMYFUNCTION("IMPORTRANGE(""https://docs.google.com/spreadsheets/d/1uu4nAn4Dbi1XREnLKKotUANlKXa7yCgRcgq8HEzQYW8/edit?usp=sharing"",""พะเยา!Q217"")"),0)</f>
        <v>0</v>
      </c>
      <c r="BG20" s="152">
        <f ca="1">IFERROR(__xludf.DUMMYFUNCTION("IMPORTRANGE(""https://docs.google.com/spreadsheets/d/1uu4nAn4Dbi1XREnLKKotUANlKXa7yCgRcgq8HEzQYW8/edit?usp=sharing"",""พะเยา!S217"")"),0)</f>
        <v>0</v>
      </c>
      <c r="BH20" s="216">
        <f t="shared" ca="1" si="122"/>
        <v>0</v>
      </c>
      <c r="BI20" s="152">
        <f ca="1">IFERROR(__xludf.DUMMYFUNCTION("IMPORTRANGE(""https://docs.google.com/spreadsheets/d/1uu4nAn4Dbi1XREnLKKotUANlKXa7yCgRcgq8HEzQYW8/edit?usp=sharing"",""พะเยา!I219"")"),0)</f>
        <v>0</v>
      </c>
      <c r="BJ20" s="152">
        <f ca="1">IFERROR(__xludf.DUMMYFUNCTION("IMPORTRANGE(""https://docs.google.com/spreadsheets/d/1uu4nAn4Dbi1XREnLKKotUANlKXa7yCgRcgq8HEzQYW8/edit?usp=sharing"",""พะเยา!J219"")"),0)</f>
        <v>0</v>
      </c>
      <c r="BK20" s="216">
        <f t="shared" ca="1" si="124"/>
        <v>0</v>
      </c>
      <c r="BL20" s="152">
        <f ca="1">IFERROR(__xludf.DUMMYFUNCTION("IMPORTRANGE(""https://docs.google.com/spreadsheets/d/1uu4nAn4Dbi1XREnLKKotUANlKXa7yCgRcgq8HEzQYW8/edit?usp=sharing"",""พะเยา!I220"")"),0)</f>
        <v>0</v>
      </c>
      <c r="BM20" s="152">
        <f ca="1">IFERROR(__xludf.DUMMYFUNCTION("IMPORTRANGE(""https://docs.google.com/spreadsheets/d/1uu4nAn4Dbi1XREnLKKotUANlKXa7yCgRcgq8HEzQYW8/edit?usp=sharing"",""พะเยา!J220"")"),0)</f>
        <v>0</v>
      </c>
      <c r="BN20" s="216">
        <f t="shared" ca="1" si="126"/>
        <v>0</v>
      </c>
      <c r="BO20" s="152">
        <f ca="1">IFERROR(__xludf.DUMMYFUNCTION("IMPORTRANGE(""https://docs.google.com/spreadsheets/d/1uu4nAn4Dbi1XREnLKKotUANlKXa7yCgRcgq8HEzQYW8/edit?usp=sharing"",""พะเยา!L223"")"),2500)</f>
        <v>2500</v>
      </c>
      <c r="BP20" s="152">
        <f ca="1">IFERROR(__xludf.DUMMYFUNCTION("IMPORTRANGE(""https://docs.google.com/spreadsheets/d/1uu4nAn4Dbi1XREnLKKotUANlKXa7yCgRcgq8HEzQYW8/edit?usp=sharing"",""พะเยา!N223"")"),0)</f>
        <v>0</v>
      </c>
      <c r="BQ20" s="216">
        <f t="shared" ca="1" si="128"/>
        <v>0</v>
      </c>
      <c r="BR20" s="152">
        <f ca="1">IFERROR(__xludf.DUMMYFUNCTION("IMPORTRANGE(""https://docs.google.com/spreadsheets/d/1uu4nAn4Dbi1XREnLKKotUANlKXa7yCgRcgq8HEzQYW8/edit?usp=sharing"",""พะเยา!L224"")"),2000)</f>
        <v>2000</v>
      </c>
      <c r="BS20" s="152">
        <f ca="1">IFERROR(__xludf.DUMMYFUNCTION("IMPORTRANGE(""https://docs.google.com/spreadsheets/d/1uu4nAn4Dbi1XREnLKKotUANlKXa7yCgRcgq8HEzQYW8/edit?usp=sharing"",""พะเยา!N224"")"),0)</f>
        <v>0</v>
      </c>
      <c r="BT20" s="216">
        <f t="shared" ca="1" si="130"/>
        <v>0</v>
      </c>
      <c r="BU20" s="152">
        <f ca="1">IFERROR(__xludf.DUMMYFUNCTION("IMPORTRANGE(""https://docs.google.com/spreadsheets/d/1uu4nAn4Dbi1XREnLKKotUANlKXa7yCgRcgq8HEzQYW8/edit?usp=sharing"",""พะเยา!I228"")"),20000)</f>
        <v>20000</v>
      </c>
      <c r="BV20" s="152">
        <f ca="1">IFERROR(__xludf.DUMMYFUNCTION("IMPORTRANGE(""https://docs.google.com/spreadsheets/d/1uu4nAn4Dbi1XREnLKKotUANlKXa7yCgRcgq8HEzQYW8/edit?usp=sharing"",""พะเยา!J228"")"),20000)</f>
        <v>20000</v>
      </c>
      <c r="BW20" s="216">
        <f t="shared" ca="1" si="132"/>
        <v>100</v>
      </c>
      <c r="BX20" s="152">
        <f ca="1">IFERROR(__xludf.DUMMYFUNCTION("IMPORTRANGE(""https://docs.google.com/spreadsheets/d/1uu4nAn4Dbi1XREnLKKotUANlKXa7yCgRcgq8HEzQYW8/edit?usp=sharing"",""พะเยา!I229"")"),20000)</f>
        <v>20000</v>
      </c>
      <c r="BY20" s="152">
        <f ca="1">IFERROR(__xludf.DUMMYFUNCTION("IMPORTRANGE(""https://docs.google.com/spreadsheets/d/1uu4nAn4Dbi1XREnLKKotUANlKXa7yCgRcgq8HEzQYW8/edit?usp=sharing"",""พะเยา!J229"")"),20000)</f>
        <v>20000</v>
      </c>
      <c r="BZ20" s="216">
        <f t="shared" ca="1" si="134"/>
        <v>100</v>
      </c>
      <c r="CA20" s="152">
        <f ca="1">IFERROR(__xludf.DUMMYFUNCTION("IMPORTRANGE(""https://docs.google.com/spreadsheets/d/1uu4nAn4Dbi1XREnLKKotUANlKXa7yCgRcgq8HEzQYW8/edit?usp=sharing"",""พะเยา!I230"")"),0)</f>
        <v>0</v>
      </c>
      <c r="CB20" s="152">
        <f ca="1">IFERROR(__xludf.DUMMYFUNCTION("IMPORTRANGE(""https://docs.google.com/spreadsheets/d/1uu4nAn4Dbi1XREnLKKotUANlKXa7yCgRcgq8HEzQYW8/edit?usp=sharing"",""พะเยา!J230"")"),0)</f>
        <v>0</v>
      </c>
      <c r="CC20" s="216">
        <f t="shared" ca="1" si="136"/>
        <v>0</v>
      </c>
      <c r="CD20" s="152">
        <f ca="1">IFERROR(__xludf.DUMMYFUNCTION("IMPORTRANGE(""https://docs.google.com/spreadsheets/d/1uu4nAn4Dbi1XREnLKKotUANlKXa7yCgRcgq8HEzQYW8/edit?usp=sharing"",""พะเยา!L233"")"),158000)</f>
        <v>158000</v>
      </c>
      <c r="CE20" s="152">
        <f ca="1">IFERROR(__xludf.DUMMYFUNCTION("IMPORTRANGE(""https://docs.google.com/spreadsheets/d/1uu4nAn4Dbi1XREnLKKotUANlKXa7yCgRcgq8HEzQYW8/edit?usp=sharing"",""พะเยา!N233"")"),15310)</f>
        <v>15310</v>
      </c>
      <c r="CF20" s="216">
        <f t="shared" ca="1" si="138"/>
        <v>9.6898734177215182</v>
      </c>
      <c r="CG20" s="152">
        <f ca="1">IFERROR(__xludf.DUMMYFUNCTION("IMPORTRANGE(""https://docs.google.com/spreadsheets/d/1uu4nAn4Dbi1XREnLKKotUANlKXa7yCgRcgq8HEzQYW8/edit?usp=sharing"",""พะเยา!L234"")"),3000)</f>
        <v>3000</v>
      </c>
      <c r="CH20" s="152">
        <f ca="1">IFERROR(__xludf.DUMMYFUNCTION("IMPORTRANGE(""https://docs.google.com/spreadsheets/d/1uu4nAn4Dbi1XREnLKKotUANlKXa7yCgRcgq8HEzQYW8/edit?usp=sharing"",""พะเยา!N234"")"),75396)</f>
        <v>75396</v>
      </c>
      <c r="CI20" s="216">
        <f t="shared" ca="1" si="140"/>
        <v>2513.1999999999998</v>
      </c>
      <c r="CJ20" s="152">
        <f ca="1">IFERROR(__xludf.DUMMYFUNCTION("IMPORTRANGE(""https://docs.google.com/spreadsheets/d/1uu4nAn4Dbi1XREnLKKotUANlKXa7yCgRcgq8HEzQYW8/edit?usp=sharing"",""พะเยา!L235"")"),0)</f>
        <v>0</v>
      </c>
      <c r="CK20" s="152">
        <f ca="1">IFERROR(__xludf.DUMMYFUNCTION("IMPORTRANGE(""https://docs.google.com/spreadsheets/d/1uu4nAn4Dbi1XREnLKKotUANlKXa7yCgRcgq8HEzQYW8/edit?usp=sharing"",""พะเยา!N235"")"),0)</f>
        <v>0</v>
      </c>
      <c r="CL20" s="216">
        <f t="shared" ca="1" si="142"/>
        <v>0</v>
      </c>
      <c r="CM20" s="152">
        <f ca="1">IFERROR(__xludf.DUMMYFUNCTION("IMPORTRANGE(""https://docs.google.com/spreadsheets/d/1uu4nAn4Dbi1XREnLKKotUANlKXa7yCgRcgq8HEzQYW8/edit?usp=sharing"",""พะเยา!Q235"")"),222800)</f>
        <v>222800</v>
      </c>
      <c r="CN20" s="152">
        <f ca="1">IFERROR(__xludf.DUMMYFUNCTION("IMPORTRANGE(""https://docs.google.com/spreadsheets/d/1uu4nAn4Dbi1XREnLKKotUANlKXa7yCgRcgq8HEzQYW8/edit?usp=sharing"",""พะเยา!S235"")"),222010)</f>
        <v>222010</v>
      </c>
      <c r="CO20" s="216">
        <f t="shared" ca="1" si="144"/>
        <v>99.645421903052068</v>
      </c>
      <c r="CP20" s="152">
        <f ca="1">IFERROR(__xludf.DUMMYFUNCTION("IMPORTRANGE(""https://docs.google.com/spreadsheets/d/1uu4nAn4Dbi1XREnLKKotUANlKXa7yCgRcgq8HEzQYW8/edit?usp=sharing"",""พะเยา!L236"")"),53000)</f>
        <v>53000</v>
      </c>
      <c r="CQ20" s="152">
        <f ca="1">IFERROR(__xludf.DUMMYFUNCTION("IMPORTRANGE(""https://docs.google.com/spreadsheets/d/1uu4nAn4Dbi1XREnLKKotUANlKXa7yCgRcgq8HEzQYW8/edit?usp=sharing"",""พะเยา!N236"")"),28814.4)</f>
        <v>28814.400000000001</v>
      </c>
      <c r="CR20" s="216">
        <f t="shared" ca="1" si="146"/>
        <v>54.36679245283019</v>
      </c>
      <c r="CS20" s="152">
        <f ca="1">IFERROR(__xludf.DUMMYFUNCTION("IMPORTRANGE(""https://docs.google.com/spreadsheets/d/1uu4nAn4Dbi1XREnLKKotUANlKXa7yCgRcgq8HEzQYW8/edit?usp=sharing"",""พะเยา!I238"")"),40)</f>
        <v>40</v>
      </c>
      <c r="CT20" s="152">
        <f ca="1">IFERROR(__xludf.DUMMYFUNCTION("IMPORTRANGE(""https://docs.google.com/spreadsheets/d/1uu4nAn4Dbi1XREnLKKotUANlKXa7yCgRcgq8HEzQYW8/edit?usp=sharing"",""พะเยา!J238"")"),40)</f>
        <v>40</v>
      </c>
      <c r="CU20" s="216">
        <f t="shared" ca="1" si="148"/>
        <v>100</v>
      </c>
      <c r="CV20" s="152">
        <f ca="1">IFERROR(__xludf.DUMMYFUNCTION("IMPORTRANGE(""https://docs.google.com/spreadsheets/d/1uu4nAn4Dbi1XREnLKKotUANlKXa7yCgRcgq8HEzQYW8/edit?usp=sharing"",""พะเยา!J240"")"),40)</f>
        <v>40</v>
      </c>
      <c r="CW20" s="152">
        <f ca="1">IFERROR(__xludf.DUMMYFUNCTION("IMPORTRANGE(""https://docs.google.com/spreadsheets/d/1uu4nAn4Dbi1XREnLKKotUANlKXa7yCgRcgq8HEzQYW8/edit?usp=sharing"",""พะเยา!J241"")"),1)</f>
        <v>1</v>
      </c>
    </row>
    <row r="21" spans="1:101" ht="24" customHeight="1" x14ac:dyDescent="0.3">
      <c r="A21" s="147">
        <v>8</v>
      </c>
      <c r="B21" s="148" t="s">
        <v>49</v>
      </c>
      <c r="C21" s="149">
        <f t="shared" ca="1" si="90"/>
        <v>207500</v>
      </c>
      <c r="D21" s="150">
        <f t="shared" ca="1" si="150"/>
        <v>207500</v>
      </c>
      <c r="E21" s="151">
        <f ca="1">IFERROR(__xludf.DUMMYFUNCTION("IMPORTRANGE(""https://docs.google.com/spreadsheets/d/1-uDff_7J0KD5mKrp0Vvzr7lt3OU09vwQwhkpOPPYv2Y/edit?usp=sharing"",""งบพรบ!CV21"")"),182000)</f>
        <v>182000</v>
      </c>
      <c r="F21" s="151">
        <f ca="1">IFERROR(__xludf.DUMMYFUNCTION("IMPORTRANGE(""https://docs.google.com/spreadsheets/d/1-uDff_7J0KD5mKrp0Vvzr7lt3OU09vwQwhkpOPPYv2Y/edit?usp=sharing"",""งบพรบ!CW21"")"),25500)</f>
        <v>25500</v>
      </c>
      <c r="G21" s="151">
        <f ca="1">IFERROR(__xludf.DUMMYFUNCTION("IMPORTRANGE(""https://docs.google.com/spreadsheets/d/1-uDff_7J0KD5mKrp0Vvzr7lt3OU09vwQwhkpOPPYv2Y/edit?usp=sharing"",""งบพรบ!CX21"")"),0)</f>
        <v>0</v>
      </c>
      <c r="H21" s="151">
        <f ca="1">IFERROR(__xludf.DUMMYFUNCTION("IMPORTRANGE(""https://docs.google.com/spreadsheets/d/1-uDff_7J0KD5mKrp0Vvzr7lt3OU09vwQwhkpOPPYv2Y/edit?usp=sharing"",""งบพรบ!CZ21"")"),209500)</f>
        <v>209500</v>
      </c>
      <c r="I21" s="151">
        <f ca="1">IFERROR(__xludf.DUMMYFUNCTION("IMPORTRANGE(""https://docs.google.com/spreadsheets/d/1-uDff_7J0KD5mKrp0Vvzr7lt3OU09vwQwhkpOPPYv2Y/edit?usp=sharing"",""งบพรบ!DA21"")"),0)</f>
        <v>0</v>
      </c>
      <c r="J21" s="151">
        <f t="shared" ca="1" si="92"/>
        <v>219079.67999999999</v>
      </c>
      <c r="K21" s="154">
        <f t="shared" ca="1" si="93"/>
        <v>105.5805686746988</v>
      </c>
      <c r="L21" s="151">
        <f ca="1">IFERROR(__xludf.DUMMYFUNCTION("IMPORTRANGE(""https://docs.google.com/spreadsheets/d/1-uDff_7J0KD5mKrp0Vvzr7lt3OU09vwQwhkpOPPYv2Y/edit?usp=sharing"",""งบพรบ!DB21"")"),219079.68)</f>
        <v>219079.67999999999</v>
      </c>
      <c r="M21" s="68">
        <f t="shared" ca="1" si="94"/>
        <v>105.5805686746988</v>
      </c>
      <c r="N21" s="68">
        <f t="shared" ca="1" si="95"/>
        <v>104.57263961813842</v>
      </c>
      <c r="O21" s="67">
        <f ca="1">IFERROR(__xludf.DUMMYFUNCTION("IMPORTRANGE(""https://docs.google.com/spreadsheets/d/1-uDff_7J0KD5mKrp0Vvzr7lt3OU09vwQwhkpOPPYv2Y/edit?usp=sharing"",""งบพรบ!DC21"")"),0)</f>
        <v>0</v>
      </c>
      <c r="P21" s="67">
        <f t="shared" ca="1" si="96"/>
        <v>0</v>
      </c>
      <c r="Q21" s="68">
        <f t="shared" ca="1" si="97"/>
        <v>0</v>
      </c>
      <c r="R21" s="67">
        <f ca="1">IFERROR(__xludf.DUMMYFUNCTION("IMPORTRANGE(""https://docs.google.com/spreadsheets/d/1xfJKIQxVOaPDIICqsflNlLu3JacTDk1FP9RH4phX7mI/edit?usp=sharing"",""พิจิตร!Q186"")"),42000)</f>
        <v>42000</v>
      </c>
      <c r="S21" s="67">
        <f ca="1">IFERROR(__xludf.DUMMYFUNCTION("IMPORTRANGE(""https://docs.google.com/spreadsheets/d/1xfJKIQxVOaPDIICqsflNlLu3JacTDk1FP9RH4phX7mI/edit?usp=sharing"",""พิจิตร!R186"")"),42000)</f>
        <v>42000</v>
      </c>
      <c r="T21" s="67">
        <f ca="1">IFERROR(__xludf.DUMMYFUNCTION("IMPORTRANGE(""https://docs.google.com/spreadsheets/d/1xfJKIQxVOaPDIICqsflNlLu3JacTDk1FP9RH4phX7mI/edit?usp=sharing"",""พิจิตร!S186"")"),42000)</f>
        <v>42000</v>
      </c>
      <c r="U21" s="68">
        <f t="shared" ca="1" si="99"/>
        <v>100</v>
      </c>
      <c r="V21" s="68">
        <f t="shared" ca="1" si="100"/>
        <v>100</v>
      </c>
      <c r="W21" s="152">
        <f ca="1">IFERROR(__xludf.DUMMYFUNCTION("IMPORTRANGE(""https://docs.google.com/spreadsheets/d/1xfJKIQxVOaPDIICqsflNlLu3JacTDk1FP9RH4phX7mI/edit?usp=sharing"",""พิจิตร!L196"")"),6000)</f>
        <v>6000</v>
      </c>
      <c r="X21" s="152">
        <f ca="1">IFERROR(__xludf.DUMMYFUNCTION("IMPORTRANGE(""https://docs.google.com/spreadsheets/d/1xfJKIQxVOaPDIICqsflNlLu3JacTDk1FP9RH4phX7mI/edit?usp=sharing"",""พิจิตร!N196"")"),6000)</f>
        <v>6000</v>
      </c>
      <c r="Y21" s="216">
        <f t="shared" ca="1" si="102"/>
        <v>100</v>
      </c>
      <c r="Z21" s="152">
        <f ca="1">IFERROR(__xludf.DUMMYFUNCTION("IMPORTRANGE(""https://docs.google.com/spreadsheets/d/1xfJKIQxVOaPDIICqsflNlLu3JacTDk1FP9RH4phX7mI/edit?usp=sharing"",""พิจิตร!I198"")"),4)</f>
        <v>4</v>
      </c>
      <c r="AA21" s="152">
        <f ca="1">IFERROR(__xludf.DUMMYFUNCTION("IMPORTRANGE(""https://docs.google.com/spreadsheets/d/1xfJKIQxVOaPDIICqsflNlLu3JacTDk1FP9RH4phX7mI/edit?usp=sharing"",""พิจิตร!J198"")"),4)</f>
        <v>4</v>
      </c>
      <c r="AB21" s="216">
        <f t="shared" ca="1" si="104"/>
        <v>100</v>
      </c>
      <c r="AC21" s="152">
        <f ca="1">IFERROR(__xludf.DUMMYFUNCTION("IMPORTRANGE(""https://docs.google.com/spreadsheets/d/1xfJKIQxVOaPDIICqsflNlLu3JacTDk1FP9RH4phX7mI/edit?usp=sharing"",""พิจิตร!J199"")"),207)</f>
        <v>207</v>
      </c>
      <c r="AD21" s="152">
        <f ca="1">IFERROR(__xludf.DUMMYFUNCTION("IMPORTRANGE(""https://docs.google.com/spreadsheets/d/1xfJKIQxVOaPDIICqsflNlLu3JacTDk1FP9RH4phX7mI/edit?usp=sharing"",""พิจิตร!J200"")"),207)</f>
        <v>207</v>
      </c>
      <c r="AE21" s="152">
        <f ca="1">IFERROR(__xludf.DUMMYFUNCTION("IMPORTRANGE(""https://docs.google.com/spreadsheets/d/1xfJKIQxVOaPDIICqsflNlLu3JacTDk1FP9RH4phX7mI/edit?usp=sharing"",""พิจิตร!J201"")"),0)</f>
        <v>0</v>
      </c>
      <c r="AF21" s="152">
        <f ca="1">IFERROR(__xludf.DUMMYFUNCTION("IMPORTRANGE(""https://docs.google.com/spreadsheets/d/1xfJKIQxVOaPDIICqsflNlLu3JacTDk1FP9RH4phX7mI/edit?usp=sharing"",""พิจิตร!L204"")"),3000)</f>
        <v>3000</v>
      </c>
      <c r="AG21" s="152">
        <f ca="1">IFERROR(__xludf.DUMMYFUNCTION("IMPORTRANGE(""https://docs.google.com/spreadsheets/d/1xfJKIQxVOaPDIICqsflNlLu3JacTDk1FP9RH4phX7mI/edit?usp=sharing"",""พิจิตร!N204"")"),3000)</f>
        <v>3000</v>
      </c>
      <c r="AH21" s="216">
        <f t="shared" ca="1" si="106"/>
        <v>100</v>
      </c>
      <c r="AI21" s="152">
        <f ca="1">IFERROR(__xludf.DUMMYFUNCTION("IMPORTRANGE(""https://docs.google.com/spreadsheets/d/1xfJKIQxVOaPDIICqsflNlLu3JacTDk1FP9RH4phX7mI/edit?usp=sharing"",""พิจิตร!L206"")"),0)</f>
        <v>0</v>
      </c>
      <c r="AJ21" s="152">
        <f ca="1">IFERROR(__xludf.DUMMYFUNCTION("IMPORTRANGE(""https://docs.google.com/spreadsheets/d/1xfJKIQxVOaPDIICqsflNlLu3JacTDk1FP9RH4phX7mI/edit?usp=sharing"",""พิจิตร!N206"")"),0)</f>
        <v>0</v>
      </c>
      <c r="AK21" s="216">
        <f t="shared" ca="1" si="108"/>
        <v>0</v>
      </c>
      <c r="AL21" s="152">
        <f ca="1">IFERROR(__xludf.DUMMYFUNCTION("IMPORTRANGE(""https://docs.google.com/spreadsheets/d/1xfJKIQxVOaPDIICqsflNlLu3JacTDk1FP9RH4phX7mI/edit?usp=sharing"",""พิจิตร!Q206"")"),42000)</f>
        <v>42000</v>
      </c>
      <c r="AM21" s="152">
        <f ca="1">IFERROR(__xludf.DUMMYFUNCTION("IMPORTRANGE(""https://docs.google.com/spreadsheets/d/1xfJKIQxVOaPDIICqsflNlLu3JacTDk1FP9RH4phX7mI/edit?usp=sharing"",""พิจิตร!S206"")"),42000)</f>
        <v>42000</v>
      </c>
      <c r="AN21" s="216">
        <f t="shared" ca="1" si="110"/>
        <v>100</v>
      </c>
      <c r="AO21" s="152">
        <f ca="1">IFERROR(__xludf.DUMMYFUNCTION("IMPORTRANGE(""https://docs.google.com/spreadsheets/d/1xfJKIQxVOaPDIICqsflNlLu3JacTDk1FP9RH4phX7mI/edit?usp=sharing"",""พิจิตร!L207"")"),12000)</f>
        <v>12000</v>
      </c>
      <c r="AP21" s="152">
        <f ca="1">IFERROR(__xludf.DUMMYFUNCTION("IMPORTRANGE(""https://docs.google.com/spreadsheets/d/1xfJKIQxVOaPDIICqsflNlLu3JacTDk1FP9RH4phX7mI/edit?usp=sharing"",""พิจิตร!N207"")"),12000)</f>
        <v>12000</v>
      </c>
      <c r="AQ21" s="216">
        <f t="shared" ca="1" si="112"/>
        <v>100</v>
      </c>
      <c r="AR21" s="152">
        <f ca="1">IFERROR(__xludf.DUMMYFUNCTION("IMPORTRANGE(""https://docs.google.com/spreadsheets/d/1xfJKIQxVOaPDIICqsflNlLu3JacTDk1FP9RH4phX7mI/edit?usp=sharing"",""พิจิตร!I209"")"),3)</f>
        <v>3</v>
      </c>
      <c r="AS21" s="152">
        <f ca="1">IFERROR(__xludf.DUMMYFUNCTION("IMPORTRANGE(""https://docs.google.com/spreadsheets/d/1xfJKIQxVOaPDIICqsflNlLu3JacTDk1FP9RH4phX7mI/edit?usp=sharing"",""พิจิตร!J209"")"),3)</f>
        <v>3</v>
      </c>
      <c r="AT21" s="216">
        <f t="shared" ca="1" si="114"/>
        <v>100</v>
      </c>
      <c r="AU21" s="152">
        <f ca="1">IFERROR(__xludf.DUMMYFUNCTION("IMPORTRANGE(""https://docs.google.com/spreadsheets/d/1xfJKIQxVOaPDIICqsflNlLu3JacTDk1FP9RH4phX7mI/edit?usp=sharing"",""พิจิตร!J211"")"),3)</f>
        <v>3</v>
      </c>
      <c r="AV21" s="152">
        <f ca="1">IFERROR(__xludf.DUMMYFUNCTION("IMPORTRANGE(""https://docs.google.com/spreadsheets/d/1xfJKIQxVOaPDIICqsflNlLu3JacTDk1FP9RH4phX7mI/edit?usp=sharing"",""พิจิตร!J212"")"),0)</f>
        <v>0</v>
      </c>
      <c r="AW21" s="152">
        <f ca="1">IFERROR(__xludf.DUMMYFUNCTION("IMPORTRANGE(""https://docs.google.com/spreadsheets/d/1xfJKIQxVOaPDIICqsflNlLu3JacTDk1FP9RH4phX7mI/edit?usp=sharing"",""พิจิตร!L215"")"),0)</f>
        <v>0</v>
      </c>
      <c r="AX21" s="152">
        <f ca="1">IFERROR(__xludf.DUMMYFUNCTION("IMPORTRANGE(""https://docs.google.com/spreadsheets/d/1xfJKIQxVOaPDIICqsflNlLu3JacTDk1FP9RH4phX7mI/edit?usp=sharing"",""พิจิตร!N215"")"),0)</f>
        <v>0</v>
      </c>
      <c r="AY21" s="216">
        <f t="shared" ca="1" si="116"/>
        <v>0</v>
      </c>
      <c r="AZ21" s="152">
        <f ca="1">IFERROR(__xludf.DUMMYFUNCTION("IMPORTRANGE(""https://docs.google.com/spreadsheets/d/1xfJKIQxVOaPDIICqsflNlLu3JacTDk1FP9RH4phX7mI/edit?usp=sharing"",""พิจิตร!L216"")"),0)</f>
        <v>0</v>
      </c>
      <c r="BA21" s="152">
        <f ca="1">IFERROR(__xludf.DUMMYFUNCTION("IMPORTRANGE(""https://docs.google.com/spreadsheets/d/1xfJKIQxVOaPDIICqsflNlLu3JacTDk1FP9RH4phX7mI/edit?usp=sharing"",""พิจิตร!N216"")"),0)</f>
        <v>0</v>
      </c>
      <c r="BB21" s="216">
        <f t="shared" ca="1" si="118"/>
        <v>0</v>
      </c>
      <c r="BC21" s="152">
        <f ca="1">IFERROR(__xludf.DUMMYFUNCTION("IMPORTRANGE(""https://docs.google.com/spreadsheets/d/1xfJKIQxVOaPDIICqsflNlLu3JacTDk1FP9RH4phX7mI/edit?usp=sharing"",""พิจิตร!L217"")"),0)</f>
        <v>0</v>
      </c>
      <c r="BD21" s="152">
        <f ca="1">IFERROR(__xludf.DUMMYFUNCTION("IMPORTRANGE(""https://docs.google.com/spreadsheets/d/1xfJKIQxVOaPDIICqsflNlLu3JacTDk1FP9RH4phX7mI/edit?usp=sharing"",""พิจิตร!N217"")"),0)</f>
        <v>0</v>
      </c>
      <c r="BE21" s="216">
        <f t="shared" ca="1" si="120"/>
        <v>0</v>
      </c>
      <c r="BF21" s="152">
        <f ca="1">IFERROR(__xludf.DUMMYFUNCTION("IMPORTRANGE(""https://docs.google.com/spreadsheets/d/1xfJKIQxVOaPDIICqsflNlLu3JacTDk1FP9RH4phX7mI/edit?usp=sharing"",""พิจิตร!Q217"")"),0)</f>
        <v>0</v>
      </c>
      <c r="BG21" s="152">
        <f ca="1">IFERROR(__xludf.DUMMYFUNCTION("IMPORTRANGE(""https://docs.google.com/spreadsheets/d/1xfJKIQxVOaPDIICqsflNlLu3JacTDk1FP9RH4phX7mI/edit?usp=sharing"",""พิจิตร!S217"")"),0)</f>
        <v>0</v>
      </c>
      <c r="BH21" s="216">
        <f t="shared" ca="1" si="122"/>
        <v>0</v>
      </c>
      <c r="BI21" s="152">
        <f ca="1">IFERROR(__xludf.DUMMYFUNCTION("IMPORTRANGE(""https://docs.google.com/spreadsheets/d/1xfJKIQxVOaPDIICqsflNlLu3JacTDk1FP9RH4phX7mI/edit?usp=sharing"",""พิจิตร!I219"")"),0)</f>
        <v>0</v>
      </c>
      <c r="BJ21" s="152">
        <f ca="1">IFERROR(__xludf.DUMMYFUNCTION("IMPORTRANGE(""https://docs.google.com/spreadsheets/d/1xfJKIQxVOaPDIICqsflNlLu3JacTDk1FP9RH4phX7mI/edit?usp=sharing"",""พิจิตร!J219"")"),0)</f>
        <v>0</v>
      </c>
      <c r="BK21" s="216">
        <f t="shared" ca="1" si="124"/>
        <v>0</v>
      </c>
      <c r="BL21" s="152">
        <f ca="1">IFERROR(__xludf.DUMMYFUNCTION("IMPORTRANGE(""https://docs.google.com/spreadsheets/d/1xfJKIQxVOaPDIICqsflNlLu3JacTDk1FP9RH4phX7mI/edit?usp=sharing"",""พิจิตร!I220"")"),0)</f>
        <v>0</v>
      </c>
      <c r="BM21" s="152">
        <f ca="1">IFERROR(__xludf.DUMMYFUNCTION("IMPORTRANGE(""https://docs.google.com/spreadsheets/d/1xfJKIQxVOaPDIICqsflNlLu3JacTDk1FP9RH4phX7mI/edit?usp=sharing"",""พิจิตร!J220"")"),0)</f>
        <v>0</v>
      </c>
      <c r="BN21" s="216">
        <f t="shared" ca="1" si="126"/>
        <v>0</v>
      </c>
      <c r="BO21" s="152">
        <f ca="1">IFERROR(__xludf.DUMMYFUNCTION("IMPORTRANGE(""https://docs.google.com/spreadsheets/d/1xfJKIQxVOaPDIICqsflNlLu3JacTDk1FP9RH4phX7mI/edit?usp=sharing"",""พิจิตร!L223"")"),2500)</f>
        <v>2500</v>
      </c>
      <c r="BP21" s="152">
        <f ca="1">IFERROR(__xludf.DUMMYFUNCTION("IMPORTRANGE(""https://docs.google.com/spreadsheets/d/1xfJKIQxVOaPDIICqsflNlLu3JacTDk1FP9RH4phX7mI/edit?usp=sharing"",""พิจิตร!N223"")"),0)</f>
        <v>0</v>
      </c>
      <c r="BQ21" s="216">
        <f t="shared" ca="1" si="128"/>
        <v>0</v>
      </c>
      <c r="BR21" s="152">
        <f ca="1">IFERROR(__xludf.DUMMYFUNCTION("IMPORTRANGE(""https://docs.google.com/spreadsheets/d/1xfJKIQxVOaPDIICqsflNlLu3JacTDk1FP9RH4phX7mI/edit?usp=sharing"",""พิจิตร!L224"")"),2000)</f>
        <v>2000</v>
      </c>
      <c r="BS21" s="152">
        <f ca="1">IFERROR(__xludf.DUMMYFUNCTION("IMPORTRANGE(""https://docs.google.com/spreadsheets/d/1xfJKIQxVOaPDIICqsflNlLu3JacTDk1FP9RH4phX7mI/edit?usp=sharing"",""พิจิตร!N224"")"),0)</f>
        <v>0</v>
      </c>
      <c r="BT21" s="216">
        <f t="shared" ca="1" si="130"/>
        <v>0</v>
      </c>
      <c r="BU21" s="152">
        <f ca="1">IFERROR(__xludf.DUMMYFUNCTION("IMPORTRANGE(""https://docs.google.com/spreadsheets/d/1xfJKIQxVOaPDIICqsflNlLu3JacTDk1FP9RH4phX7mI/edit?usp=sharing"",""พิจิตร!I228"")"),20000)</f>
        <v>20000</v>
      </c>
      <c r="BV21" s="152">
        <f ca="1">IFERROR(__xludf.DUMMYFUNCTION("IMPORTRANGE(""https://docs.google.com/spreadsheets/d/1xfJKIQxVOaPDIICqsflNlLu3JacTDk1FP9RH4phX7mI/edit?usp=sharing"",""พิจิตร!J228"")"),0)</f>
        <v>0</v>
      </c>
      <c r="BW21" s="216">
        <f t="shared" ca="1" si="132"/>
        <v>0</v>
      </c>
      <c r="BX21" s="152">
        <f ca="1">IFERROR(__xludf.DUMMYFUNCTION("IMPORTRANGE(""https://docs.google.com/spreadsheets/d/1xfJKIQxVOaPDIICqsflNlLu3JacTDk1FP9RH4phX7mI/edit?usp=sharing"",""พิจิตร!I229"")"),20000)</f>
        <v>20000</v>
      </c>
      <c r="BY21" s="152">
        <f ca="1">IFERROR(__xludf.DUMMYFUNCTION("IMPORTRANGE(""https://docs.google.com/spreadsheets/d/1xfJKIQxVOaPDIICqsflNlLu3JacTDk1FP9RH4phX7mI/edit?usp=sharing"",""พิจิตร!J229"")"),0)</f>
        <v>0</v>
      </c>
      <c r="BZ21" s="216">
        <f t="shared" ca="1" si="134"/>
        <v>0</v>
      </c>
      <c r="CA21" s="152">
        <f ca="1">IFERROR(__xludf.DUMMYFUNCTION("IMPORTRANGE(""https://docs.google.com/spreadsheets/d/1xfJKIQxVOaPDIICqsflNlLu3JacTDk1FP9RH4phX7mI/edit?usp=sharing"",""พิจิตร!I230"")"),0)</f>
        <v>0</v>
      </c>
      <c r="CB21" s="152">
        <f ca="1">IFERROR(__xludf.DUMMYFUNCTION("IMPORTRANGE(""https://docs.google.com/spreadsheets/d/1xfJKIQxVOaPDIICqsflNlLu3JacTDk1FP9RH4phX7mI/edit?usp=sharing"",""พิจิตร!J230"")"),0)</f>
        <v>0</v>
      </c>
      <c r="CC21" s="216">
        <f t="shared" ca="1" si="136"/>
        <v>0</v>
      </c>
      <c r="CD21" s="152">
        <f ca="1">IFERROR(__xludf.DUMMYFUNCTION("IMPORTRANGE(""https://docs.google.com/spreadsheets/d/1xfJKIQxVOaPDIICqsflNlLu3JacTDk1FP9RH4phX7mI/edit?usp=sharing"",""พิจิตร!L233"")"),0)</f>
        <v>0</v>
      </c>
      <c r="CE21" s="152">
        <f ca="1">IFERROR(__xludf.DUMMYFUNCTION("IMPORTRANGE(""https://docs.google.com/spreadsheets/d/1xfJKIQxVOaPDIICqsflNlLu3JacTDk1FP9RH4phX7mI/edit?usp=sharing"",""พิจิตร!N233"")"),0)</f>
        <v>0</v>
      </c>
      <c r="CF21" s="216">
        <f t="shared" ca="1" si="138"/>
        <v>0</v>
      </c>
      <c r="CG21" s="152">
        <f ca="1">IFERROR(__xludf.DUMMYFUNCTION("IMPORTRANGE(""https://docs.google.com/spreadsheets/d/1xfJKIQxVOaPDIICqsflNlLu3JacTDk1FP9RH4phX7mI/edit?usp=sharing"",""พิจิตร!L234"")"),0)</f>
        <v>0</v>
      </c>
      <c r="CH21" s="152">
        <f ca="1">IFERROR(__xludf.DUMMYFUNCTION("IMPORTRANGE(""https://docs.google.com/spreadsheets/d/1xfJKIQxVOaPDIICqsflNlLu3JacTDk1FP9RH4phX7mI/edit?usp=sharing"",""พิจิตร!N234"")"),0)</f>
        <v>0</v>
      </c>
      <c r="CI21" s="216">
        <f t="shared" ca="1" si="140"/>
        <v>0</v>
      </c>
      <c r="CJ21" s="152">
        <f ca="1">IFERROR(__xludf.DUMMYFUNCTION("IMPORTRANGE(""https://docs.google.com/spreadsheets/d/1xfJKIQxVOaPDIICqsflNlLu3JacTDk1FP9RH4phX7mI/edit?usp=sharing"",""พิจิตร!L235"")"),0)</f>
        <v>0</v>
      </c>
      <c r="CK21" s="152">
        <f ca="1">IFERROR(__xludf.DUMMYFUNCTION("IMPORTRANGE(""https://docs.google.com/spreadsheets/d/1xfJKIQxVOaPDIICqsflNlLu3JacTDk1FP9RH4phX7mI/edit?usp=sharing"",""พิจิตร!N235"")"),0)</f>
        <v>0</v>
      </c>
      <c r="CL21" s="216">
        <f t="shared" ca="1" si="142"/>
        <v>0</v>
      </c>
      <c r="CM21" s="251">
        <f ca="1">IFERROR(__xludf.DUMMYFUNCTION("IMPORTRANGE(""https://docs.google.com/spreadsheets/d/1xfJKIQxVOaPDIICqsflNlLu3JacTDk1FP9RH4phX7mI/edit?usp=sharing"",""พิจิตร!Q235"")"),0)</f>
        <v>0</v>
      </c>
      <c r="CN21" s="251">
        <f ca="1">IFERROR(__xludf.DUMMYFUNCTION("IMPORTRANGE(""https://docs.google.com/spreadsheets/d/1xfJKIQxVOaPDIICqsflNlLu3JacTDk1FP9RH4phX7mI/edit?usp=sharing"",""พิจิตร!S235"")"),0)</f>
        <v>0</v>
      </c>
      <c r="CO21" s="216">
        <f t="shared" ca="1" si="144"/>
        <v>0</v>
      </c>
      <c r="CP21" s="152">
        <f ca="1">IFERROR(__xludf.DUMMYFUNCTION("IMPORTRANGE(""https://docs.google.com/spreadsheets/d/1xfJKIQxVOaPDIICqsflNlLu3JacTDk1FP9RH4phX7mI/edit?usp=sharing"",""พิจิตร!L236"")"),0)</f>
        <v>0</v>
      </c>
      <c r="CQ21" s="152">
        <f ca="1">IFERROR(__xludf.DUMMYFUNCTION("IMPORTRANGE(""https://docs.google.com/spreadsheets/d/1xfJKIQxVOaPDIICqsflNlLu3JacTDk1FP9RH4phX7mI/edit?usp=sharing"",""พิจิตร!N236"")"),0)</f>
        <v>0</v>
      </c>
      <c r="CR21" s="216">
        <f t="shared" ca="1" si="146"/>
        <v>0</v>
      </c>
      <c r="CS21" s="152">
        <f ca="1">IFERROR(__xludf.DUMMYFUNCTION("IMPORTRANGE(""https://docs.google.com/spreadsheets/d/1xfJKIQxVOaPDIICqsflNlLu3JacTDk1FP9RH4phX7mI/edit?usp=sharing"",""พิจิตร!I238"")"),0)</f>
        <v>0</v>
      </c>
      <c r="CT21" s="152">
        <f ca="1">IFERROR(__xludf.DUMMYFUNCTION("IMPORTRANGE(""https://docs.google.com/spreadsheets/d/1xfJKIQxVOaPDIICqsflNlLu3JacTDk1FP9RH4phX7mI/edit?usp=sharing"",""พิจิตร!J238"")"),0)</f>
        <v>0</v>
      </c>
      <c r="CU21" s="216">
        <f t="shared" ca="1" si="148"/>
        <v>0</v>
      </c>
      <c r="CV21" s="152">
        <f ca="1">IFERROR(__xludf.DUMMYFUNCTION("IMPORTRANGE(""https://docs.google.com/spreadsheets/d/1xfJKIQxVOaPDIICqsflNlLu3JacTDk1FP9RH4phX7mI/edit?usp=sharing"",""พิจิตร!J240"")"),0)</f>
        <v>0</v>
      </c>
      <c r="CW21" s="152">
        <f ca="1">IFERROR(__xludf.DUMMYFUNCTION("IMPORTRANGE(""https://docs.google.com/spreadsheets/d/1xfJKIQxVOaPDIICqsflNlLu3JacTDk1FP9RH4phX7mI/edit?usp=sharing"",""พิจิตร!J241"")"),0)</f>
        <v>0</v>
      </c>
    </row>
    <row r="22" spans="1:101" ht="24" customHeight="1" x14ac:dyDescent="0.3">
      <c r="A22" s="147">
        <v>9</v>
      </c>
      <c r="B22" s="148" t="s">
        <v>50</v>
      </c>
      <c r="C22" s="149">
        <f t="shared" ca="1" si="90"/>
        <v>211500</v>
      </c>
      <c r="D22" s="150">
        <f t="shared" ca="1" si="150"/>
        <v>211500</v>
      </c>
      <c r="E22" s="151">
        <f ca="1">IFERROR(__xludf.DUMMYFUNCTION("IMPORTRANGE(""https://docs.google.com/spreadsheets/d/1-uDff_7J0KD5mKrp0Vvzr7lt3OU09vwQwhkpOPPYv2Y/edit?usp=sharing"",""งบพรบ!CV22"")"),182000)</f>
        <v>182000</v>
      </c>
      <c r="F22" s="151">
        <f ca="1">IFERROR(__xludf.DUMMYFUNCTION("IMPORTRANGE(""https://docs.google.com/spreadsheets/d/1-uDff_7J0KD5mKrp0Vvzr7lt3OU09vwQwhkpOPPYv2Y/edit?usp=sharing"",""งบพรบ!CW22"")"),29500)</f>
        <v>29500</v>
      </c>
      <c r="G22" s="151">
        <f ca="1">IFERROR(__xludf.DUMMYFUNCTION("IMPORTRANGE(""https://docs.google.com/spreadsheets/d/1-uDff_7J0KD5mKrp0Vvzr7lt3OU09vwQwhkpOPPYv2Y/edit?usp=sharing"",""งบพรบ!CX22"")"),0)</f>
        <v>0</v>
      </c>
      <c r="H22" s="151">
        <f ca="1">IFERROR(__xludf.DUMMYFUNCTION("IMPORTRANGE(""https://docs.google.com/spreadsheets/d/1-uDff_7J0KD5mKrp0Vvzr7lt3OU09vwQwhkpOPPYv2Y/edit?usp=sharing"",""งบพรบ!CZ22"")"),219200)</f>
        <v>219200</v>
      </c>
      <c r="I22" s="151">
        <f ca="1">IFERROR(__xludf.DUMMYFUNCTION("IMPORTRANGE(""https://docs.google.com/spreadsheets/d/1-uDff_7J0KD5mKrp0Vvzr7lt3OU09vwQwhkpOPPYv2Y/edit?usp=sharing"",""งบพรบ!DA22"")"),0)</f>
        <v>0</v>
      </c>
      <c r="J22" s="151">
        <f t="shared" ca="1" si="92"/>
        <v>198514.32</v>
      </c>
      <c r="K22" s="154">
        <f t="shared" ca="1" si="93"/>
        <v>93.860198581560283</v>
      </c>
      <c r="L22" s="151">
        <f ca="1">IFERROR(__xludf.DUMMYFUNCTION("IMPORTRANGE(""https://docs.google.com/spreadsheets/d/1-uDff_7J0KD5mKrp0Vvzr7lt3OU09vwQwhkpOPPYv2Y/edit?usp=sharing"",""งบพรบ!DB22"")"),198514.32)</f>
        <v>198514.32</v>
      </c>
      <c r="M22" s="68">
        <f t="shared" ca="1" si="94"/>
        <v>93.860198581560283</v>
      </c>
      <c r="N22" s="68">
        <f t="shared" ca="1" si="95"/>
        <v>90.56310218978102</v>
      </c>
      <c r="O22" s="67">
        <f ca="1">IFERROR(__xludf.DUMMYFUNCTION("IMPORTRANGE(""https://docs.google.com/spreadsheets/d/1-uDff_7J0KD5mKrp0Vvzr7lt3OU09vwQwhkpOPPYv2Y/edit?usp=sharing"",""งบพรบ!DC22"")"),0)</f>
        <v>0</v>
      </c>
      <c r="P22" s="67">
        <f t="shared" ca="1" si="96"/>
        <v>0</v>
      </c>
      <c r="Q22" s="68">
        <f t="shared" ca="1" si="97"/>
        <v>0</v>
      </c>
      <c r="R22" s="67">
        <f ca="1">IFERROR(__xludf.DUMMYFUNCTION("IMPORTRANGE(""https://docs.google.com/spreadsheets/d/1JtRfZkJMHtEhI5RdRHxYUG4FIZHqKDpNyIuN7A1Q0_k/edit?usp=sharing"",""พิษณุโลก!Q186"")"),42000)</f>
        <v>42000</v>
      </c>
      <c r="S22" s="67">
        <f ca="1">IFERROR(__xludf.DUMMYFUNCTION("IMPORTRANGE(""https://docs.google.com/spreadsheets/d/1JtRfZkJMHtEhI5RdRHxYUG4FIZHqKDpNyIuN7A1Q0_k/edit?usp=sharing"",""พิษณุโลก!R186"")"),42000)</f>
        <v>42000</v>
      </c>
      <c r="T22" s="67">
        <f ca="1">IFERROR(__xludf.DUMMYFUNCTION("IMPORTRANGE(""https://docs.google.com/spreadsheets/d/1JtRfZkJMHtEhI5RdRHxYUG4FIZHqKDpNyIuN7A1Q0_k/edit?usp=sharing"",""พิษณุโลก!S186"")"),0)</f>
        <v>0</v>
      </c>
      <c r="U22" s="68">
        <f t="shared" ca="1" si="99"/>
        <v>0</v>
      </c>
      <c r="V22" s="68">
        <f t="shared" ca="1" si="100"/>
        <v>0</v>
      </c>
      <c r="W22" s="152">
        <f ca="1">IFERROR(__xludf.DUMMYFUNCTION("IMPORTRANGE(""https://docs.google.com/spreadsheets/d/1JtRfZkJMHtEhI5RdRHxYUG4FIZHqKDpNyIuN7A1Q0_k/edit?usp=sharing"",""พิษณุโลก!L196"")"),6000)</f>
        <v>6000</v>
      </c>
      <c r="X22" s="152">
        <f ca="1">IFERROR(__xludf.DUMMYFUNCTION("IMPORTRANGE(""https://docs.google.com/spreadsheets/d/1JtRfZkJMHtEhI5RdRHxYUG4FIZHqKDpNyIuN7A1Q0_k/edit?usp=sharing"",""พิษณุโลก!N196"")"),0)</f>
        <v>0</v>
      </c>
      <c r="Y22" s="216">
        <f t="shared" ca="1" si="102"/>
        <v>0</v>
      </c>
      <c r="Z22" s="152">
        <f ca="1">IFERROR(__xludf.DUMMYFUNCTION("IMPORTRANGE(""https://docs.google.com/spreadsheets/d/1JtRfZkJMHtEhI5RdRHxYUG4FIZHqKDpNyIuN7A1Q0_k/edit?usp=sharing"",""พิษณุโลก!I198"")"),4)</f>
        <v>4</v>
      </c>
      <c r="AA22" s="152">
        <f ca="1">IFERROR(__xludf.DUMMYFUNCTION("IMPORTRANGE(""https://docs.google.com/spreadsheets/d/1JtRfZkJMHtEhI5RdRHxYUG4FIZHqKDpNyIuN7A1Q0_k/edit?usp=sharing"",""พิษณุโลก!J198"")"),3)</f>
        <v>3</v>
      </c>
      <c r="AB22" s="216">
        <f t="shared" ca="1" si="104"/>
        <v>75</v>
      </c>
      <c r="AC22" s="152">
        <f ca="1">IFERROR(__xludf.DUMMYFUNCTION("IMPORTRANGE(""https://docs.google.com/spreadsheets/d/1JtRfZkJMHtEhI5RdRHxYUG4FIZHqKDpNyIuN7A1Q0_k/edit?usp=sharing"",""พิษณุโลก!J199"")"),0)</f>
        <v>0</v>
      </c>
      <c r="AD22" s="152">
        <f ca="1">IFERROR(__xludf.DUMMYFUNCTION("IMPORTRANGE(""https://docs.google.com/spreadsheets/d/1JtRfZkJMHtEhI5RdRHxYUG4FIZHqKDpNyIuN7A1Q0_k/edit?usp=sharing"",""พิษณุโลก!J200"")"),0)</f>
        <v>0</v>
      </c>
      <c r="AE22" s="152">
        <f ca="1">IFERROR(__xludf.DUMMYFUNCTION("IMPORTRANGE(""https://docs.google.com/spreadsheets/d/1JtRfZkJMHtEhI5RdRHxYUG4FIZHqKDpNyIuN7A1Q0_k/edit?usp=sharing"",""พิษณุโลก!J201"")"),0)</f>
        <v>0</v>
      </c>
      <c r="AF22" s="152">
        <f ca="1">IFERROR(__xludf.DUMMYFUNCTION("IMPORTRANGE(""https://docs.google.com/spreadsheets/d/1JtRfZkJMHtEhI5RdRHxYUG4FIZHqKDpNyIuN7A1Q0_k/edit?usp=sharing"",""พิษณุโลก!L204"")"),3000)</f>
        <v>3000</v>
      </c>
      <c r="AG22" s="152">
        <f ca="1">IFERROR(__xludf.DUMMYFUNCTION("IMPORTRANGE(""https://docs.google.com/spreadsheets/d/1JtRfZkJMHtEhI5RdRHxYUG4FIZHqKDpNyIuN7A1Q0_k/edit?usp=sharing"",""พิษณุโลก!N204"")"),0)</f>
        <v>0</v>
      </c>
      <c r="AH22" s="216">
        <f t="shared" ca="1" si="106"/>
        <v>0</v>
      </c>
      <c r="AI22" s="152">
        <f ca="1">IFERROR(__xludf.DUMMYFUNCTION("IMPORTRANGE(""https://docs.google.com/spreadsheets/d/1JtRfZkJMHtEhI5RdRHxYUG4FIZHqKDpNyIuN7A1Q0_k/edit?usp=sharing"",""พิษณุโลก!L206"")"),0)</f>
        <v>0</v>
      </c>
      <c r="AJ22" s="152">
        <f ca="1">IFERROR(__xludf.DUMMYFUNCTION("IMPORTRANGE(""https://docs.google.com/spreadsheets/d/1JtRfZkJMHtEhI5RdRHxYUG4FIZHqKDpNyIuN7A1Q0_k/edit?usp=sharing"",""พิษณุโลก!N206"")"),0)</f>
        <v>0</v>
      </c>
      <c r="AK22" s="216">
        <f t="shared" ca="1" si="108"/>
        <v>0</v>
      </c>
      <c r="AL22" s="152">
        <f ca="1">IFERROR(__xludf.DUMMYFUNCTION("IMPORTRANGE(""https://docs.google.com/spreadsheets/d/1JtRfZkJMHtEhI5RdRHxYUG4FIZHqKDpNyIuN7A1Q0_k/edit?usp=sharing"",""พิษณุโลก!Q206"")"),42000)</f>
        <v>42000</v>
      </c>
      <c r="AM22" s="152">
        <f ca="1">IFERROR(__xludf.DUMMYFUNCTION("IMPORTRANGE(""https://docs.google.com/spreadsheets/d/1JtRfZkJMHtEhI5RdRHxYUG4FIZHqKDpNyIuN7A1Q0_k/edit?usp=sharing"",""พิษณุโลก!S206"")"),0)</f>
        <v>0</v>
      </c>
      <c r="AN22" s="216">
        <f t="shared" ca="1" si="110"/>
        <v>0</v>
      </c>
      <c r="AO22" s="152">
        <f ca="1">IFERROR(__xludf.DUMMYFUNCTION("IMPORTRANGE(""https://docs.google.com/spreadsheets/d/1JtRfZkJMHtEhI5RdRHxYUG4FIZHqKDpNyIuN7A1Q0_k/edit?usp=sharing"",""พิษณุโลก!L207"")"),12000)</f>
        <v>12000</v>
      </c>
      <c r="AP22" s="152">
        <f ca="1">IFERROR(__xludf.DUMMYFUNCTION("IMPORTRANGE(""https://docs.google.com/spreadsheets/d/1JtRfZkJMHtEhI5RdRHxYUG4FIZHqKDpNyIuN7A1Q0_k/edit?usp=sharing"",""พิษณุโลก!N207"")"),0)</f>
        <v>0</v>
      </c>
      <c r="AQ22" s="216">
        <f t="shared" ca="1" si="112"/>
        <v>0</v>
      </c>
      <c r="AR22" s="152">
        <f ca="1">IFERROR(__xludf.DUMMYFUNCTION("IMPORTRANGE(""https://docs.google.com/spreadsheets/d/1JtRfZkJMHtEhI5RdRHxYUG4FIZHqKDpNyIuN7A1Q0_k/edit?usp=sharing"",""พิษณุโลก!I209"")"),3)</f>
        <v>3</v>
      </c>
      <c r="AS22" s="152">
        <f ca="1">IFERROR(__xludf.DUMMYFUNCTION("IMPORTRANGE(""https://docs.google.com/spreadsheets/d/1JtRfZkJMHtEhI5RdRHxYUG4FIZHqKDpNyIuN7A1Q0_k/edit?usp=sharing"",""พิษณุโลก!J209"")"),0)</f>
        <v>0</v>
      </c>
      <c r="AT22" s="216">
        <f t="shared" ca="1" si="114"/>
        <v>0</v>
      </c>
      <c r="AU22" s="152">
        <f ca="1">IFERROR(__xludf.DUMMYFUNCTION("IMPORTRANGE(""https://docs.google.com/spreadsheets/d/1JtRfZkJMHtEhI5RdRHxYUG4FIZHqKDpNyIuN7A1Q0_k/edit?usp=sharing"",""พิษณุโลก!J211"")"),0)</f>
        <v>0</v>
      </c>
      <c r="AV22" s="152">
        <f ca="1">IFERROR(__xludf.DUMMYFUNCTION("IMPORTRANGE(""https://docs.google.com/spreadsheets/d/1JtRfZkJMHtEhI5RdRHxYUG4FIZHqKDpNyIuN7A1Q0_k/edit?usp=sharing"",""พิษณุโลก!J212"")"),0)</f>
        <v>0</v>
      </c>
      <c r="AW22" s="152">
        <f ca="1">IFERROR(__xludf.DUMMYFUNCTION("IMPORTRANGE(""https://docs.google.com/spreadsheets/d/1JtRfZkJMHtEhI5RdRHxYUG4FIZHqKDpNyIuN7A1Q0_k/edit?usp=sharing"",""พิษณุโลก!L215"")"),0)</f>
        <v>0</v>
      </c>
      <c r="AX22" s="152">
        <f ca="1">IFERROR(__xludf.DUMMYFUNCTION("IMPORTRANGE(""https://docs.google.com/spreadsheets/d/1JtRfZkJMHtEhI5RdRHxYUG4FIZHqKDpNyIuN7A1Q0_k/edit?usp=sharing"",""พิษณุโลก!N215"")"),0)</f>
        <v>0</v>
      </c>
      <c r="AY22" s="216">
        <f t="shared" ca="1" si="116"/>
        <v>0</v>
      </c>
      <c r="AZ22" s="152">
        <f ca="1">IFERROR(__xludf.DUMMYFUNCTION("IMPORTRANGE(""https://docs.google.com/spreadsheets/d/1JtRfZkJMHtEhI5RdRHxYUG4FIZHqKDpNyIuN7A1Q0_k/edit?usp=sharing"",""พิษณุโลก!L216"")"),0)</f>
        <v>0</v>
      </c>
      <c r="BA22" s="152">
        <f ca="1">IFERROR(__xludf.DUMMYFUNCTION("IMPORTRANGE(""https://docs.google.com/spreadsheets/d/1JtRfZkJMHtEhI5RdRHxYUG4FIZHqKDpNyIuN7A1Q0_k/edit?usp=sharing"",""พิษณุโลก!N216"")"),0)</f>
        <v>0</v>
      </c>
      <c r="BB22" s="216">
        <f t="shared" ca="1" si="118"/>
        <v>0</v>
      </c>
      <c r="BC22" s="152">
        <f ca="1">IFERROR(__xludf.DUMMYFUNCTION("IMPORTRANGE(""https://docs.google.com/spreadsheets/d/1JtRfZkJMHtEhI5RdRHxYUG4FIZHqKDpNyIuN7A1Q0_k/edit?usp=sharing"",""พิษณุโลก!L217"")"),0)</f>
        <v>0</v>
      </c>
      <c r="BD22" s="152">
        <f ca="1">IFERROR(__xludf.DUMMYFUNCTION("IMPORTRANGE(""https://docs.google.com/spreadsheets/d/1JtRfZkJMHtEhI5RdRHxYUG4FIZHqKDpNyIuN7A1Q0_k/edit?usp=sharing"",""พิษณุโลก!N217"")"),0)</f>
        <v>0</v>
      </c>
      <c r="BE22" s="216">
        <f t="shared" ca="1" si="120"/>
        <v>0</v>
      </c>
      <c r="BF22" s="152">
        <f ca="1">IFERROR(__xludf.DUMMYFUNCTION("IMPORTRANGE(""https://docs.google.com/spreadsheets/d/1JtRfZkJMHtEhI5RdRHxYUG4FIZHqKDpNyIuN7A1Q0_k/edit?usp=sharing"",""พิษณุโลก!Q217"")"),0)</f>
        <v>0</v>
      </c>
      <c r="BG22" s="152">
        <f ca="1">IFERROR(__xludf.DUMMYFUNCTION("IMPORTRANGE(""https://docs.google.com/spreadsheets/d/1JtRfZkJMHtEhI5RdRHxYUG4FIZHqKDpNyIuN7A1Q0_k/edit?usp=sharing"",""พิษณุโลก!S217"")"),0)</f>
        <v>0</v>
      </c>
      <c r="BH22" s="216">
        <f t="shared" ca="1" si="122"/>
        <v>0</v>
      </c>
      <c r="BI22" s="152">
        <f ca="1">IFERROR(__xludf.DUMMYFUNCTION("IMPORTRANGE(""https://docs.google.com/spreadsheets/d/1JtRfZkJMHtEhI5RdRHxYUG4FIZHqKDpNyIuN7A1Q0_k/edit?usp=sharing"",""พิษณุโลก!I219"")"),0)</f>
        <v>0</v>
      </c>
      <c r="BJ22" s="152">
        <f ca="1">IFERROR(__xludf.DUMMYFUNCTION("IMPORTRANGE(""https://docs.google.com/spreadsheets/d/1JtRfZkJMHtEhI5RdRHxYUG4FIZHqKDpNyIuN7A1Q0_k/edit?usp=sharing"",""พิษณุโลก!J219"")"),0)</f>
        <v>0</v>
      </c>
      <c r="BK22" s="216">
        <f t="shared" ca="1" si="124"/>
        <v>0</v>
      </c>
      <c r="BL22" s="152">
        <f ca="1">IFERROR(__xludf.DUMMYFUNCTION("IMPORTRANGE(""https://docs.google.com/spreadsheets/d/1JtRfZkJMHtEhI5RdRHxYUG4FIZHqKDpNyIuN7A1Q0_k/edit?usp=sharing"",""พิษณุโลก!I220"")"),0)</f>
        <v>0</v>
      </c>
      <c r="BM22" s="152">
        <f ca="1">IFERROR(__xludf.DUMMYFUNCTION("IMPORTRANGE(""https://docs.google.com/spreadsheets/d/1JtRfZkJMHtEhI5RdRHxYUG4FIZHqKDpNyIuN7A1Q0_k/edit?usp=sharing"",""พิษณุโลก!J220"")"),0)</f>
        <v>0</v>
      </c>
      <c r="BN22" s="216">
        <f t="shared" ca="1" si="126"/>
        <v>0</v>
      </c>
      <c r="BO22" s="152">
        <f ca="1">IFERROR(__xludf.DUMMYFUNCTION("IMPORTRANGE(""https://docs.google.com/spreadsheets/d/1JtRfZkJMHtEhI5RdRHxYUG4FIZHqKDpNyIuN7A1Q0_k/edit?usp=sharing"",""พิษณุโลก!L223"")"),2500)</f>
        <v>2500</v>
      </c>
      <c r="BP22" s="152">
        <f ca="1">IFERROR(__xludf.DUMMYFUNCTION("IMPORTRANGE(""https://docs.google.com/spreadsheets/d/1JtRfZkJMHtEhI5RdRHxYUG4FIZHqKDpNyIuN7A1Q0_k/edit?usp=sharing"",""พิษณุโลก!N223"")"),0)</f>
        <v>0</v>
      </c>
      <c r="BQ22" s="216">
        <f t="shared" ca="1" si="128"/>
        <v>0</v>
      </c>
      <c r="BR22" s="152">
        <f ca="1">IFERROR(__xludf.DUMMYFUNCTION("IMPORTRANGE(""https://docs.google.com/spreadsheets/d/1JtRfZkJMHtEhI5RdRHxYUG4FIZHqKDpNyIuN7A1Q0_k/edit?usp=sharing"",""พิษณุโลก!L224"")"),6000)</f>
        <v>6000</v>
      </c>
      <c r="BS22" s="152">
        <f ca="1">IFERROR(__xludf.DUMMYFUNCTION("IMPORTRANGE(""https://docs.google.com/spreadsheets/d/1JtRfZkJMHtEhI5RdRHxYUG4FIZHqKDpNyIuN7A1Q0_k/edit?usp=sharing"",""พิษณุโลก!N224"")"),0)</f>
        <v>0</v>
      </c>
      <c r="BT22" s="216">
        <f t="shared" ca="1" si="130"/>
        <v>0</v>
      </c>
      <c r="BU22" s="152">
        <f ca="1">IFERROR(__xludf.DUMMYFUNCTION("IMPORTRANGE(""https://docs.google.com/spreadsheets/d/1JtRfZkJMHtEhI5RdRHxYUG4FIZHqKDpNyIuN7A1Q0_k/edit?usp=sharing"",""พิษณุโลก!I228"")"),50000)</f>
        <v>50000</v>
      </c>
      <c r="BV22" s="152">
        <f ca="1">IFERROR(__xludf.DUMMYFUNCTION("IMPORTRANGE(""https://docs.google.com/spreadsheets/d/1JtRfZkJMHtEhI5RdRHxYUG4FIZHqKDpNyIuN7A1Q0_k/edit?usp=sharing"",""พิษณุโลก!J228"")"),0)</f>
        <v>0</v>
      </c>
      <c r="BW22" s="216">
        <f t="shared" ca="1" si="132"/>
        <v>0</v>
      </c>
      <c r="BX22" s="152">
        <f ca="1">IFERROR(__xludf.DUMMYFUNCTION("IMPORTRANGE(""https://docs.google.com/spreadsheets/d/1JtRfZkJMHtEhI5RdRHxYUG4FIZHqKDpNyIuN7A1Q0_k/edit?usp=sharing"",""พิษณุโลก!I229"")"),50000)</f>
        <v>50000</v>
      </c>
      <c r="BY22" s="152">
        <f ca="1">IFERROR(__xludf.DUMMYFUNCTION("IMPORTRANGE(""https://docs.google.com/spreadsheets/d/1JtRfZkJMHtEhI5RdRHxYUG4FIZHqKDpNyIuN7A1Q0_k/edit?usp=sharing"",""พิษณุโลก!J229"")"),0)</f>
        <v>0</v>
      </c>
      <c r="BZ22" s="216">
        <f t="shared" ca="1" si="134"/>
        <v>0</v>
      </c>
      <c r="CA22" s="152">
        <f ca="1">IFERROR(__xludf.DUMMYFUNCTION("IMPORTRANGE(""https://docs.google.com/spreadsheets/d/1JtRfZkJMHtEhI5RdRHxYUG4FIZHqKDpNyIuN7A1Q0_k/edit?usp=sharing"",""พิษณุโลก!I230"")"),0)</f>
        <v>0</v>
      </c>
      <c r="CB22" s="152">
        <f ca="1">IFERROR(__xludf.DUMMYFUNCTION("IMPORTRANGE(""https://docs.google.com/spreadsheets/d/1JtRfZkJMHtEhI5RdRHxYUG4FIZHqKDpNyIuN7A1Q0_k/edit?usp=sharing"",""พิษณุโลก!J230"")"),0)</f>
        <v>0</v>
      </c>
      <c r="CC22" s="216">
        <f t="shared" ca="1" si="136"/>
        <v>0</v>
      </c>
      <c r="CD22" s="152">
        <f ca="1">IFERROR(__xludf.DUMMYFUNCTION("IMPORTRANGE(""https://docs.google.com/spreadsheets/d/1JtRfZkJMHtEhI5RdRHxYUG4FIZHqKDpNyIuN7A1Q0_k/edit?usp=sharing"",""พิษณุโลก!L233"")"),0)</f>
        <v>0</v>
      </c>
      <c r="CE22" s="152">
        <f ca="1">IFERROR(__xludf.DUMMYFUNCTION("IMPORTRANGE(""https://docs.google.com/spreadsheets/d/1JtRfZkJMHtEhI5RdRHxYUG4FIZHqKDpNyIuN7A1Q0_k/edit?usp=sharing"",""พิษณุโลก!N233"")"),0)</f>
        <v>0</v>
      </c>
      <c r="CF22" s="216">
        <f t="shared" ca="1" si="138"/>
        <v>0</v>
      </c>
      <c r="CG22" s="152">
        <f ca="1">IFERROR(__xludf.DUMMYFUNCTION("IMPORTRANGE(""https://docs.google.com/spreadsheets/d/1JtRfZkJMHtEhI5RdRHxYUG4FIZHqKDpNyIuN7A1Q0_k/edit?usp=sharing"",""พิษณุโลก!L234"")"),0)</f>
        <v>0</v>
      </c>
      <c r="CH22" s="152">
        <f ca="1">IFERROR(__xludf.DUMMYFUNCTION("IMPORTRANGE(""https://docs.google.com/spreadsheets/d/1JtRfZkJMHtEhI5RdRHxYUG4FIZHqKDpNyIuN7A1Q0_k/edit?usp=sharing"",""พิษณุโลก!N234"")"),0)</f>
        <v>0</v>
      </c>
      <c r="CI22" s="216">
        <f t="shared" ca="1" si="140"/>
        <v>0</v>
      </c>
      <c r="CJ22" s="152">
        <f ca="1">IFERROR(__xludf.DUMMYFUNCTION("IMPORTRANGE(""https://docs.google.com/spreadsheets/d/1JtRfZkJMHtEhI5RdRHxYUG4FIZHqKDpNyIuN7A1Q0_k/edit?usp=sharing"",""พิษณุโลก!L235"")"),0)</f>
        <v>0</v>
      </c>
      <c r="CK22" s="152">
        <f ca="1">IFERROR(__xludf.DUMMYFUNCTION("IMPORTRANGE(""https://docs.google.com/spreadsheets/d/1JtRfZkJMHtEhI5RdRHxYUG4FIZHqKDpNyIuN7A1Q0_k/edit?usp=sharing"",""พิษณุโลก!N235"")"),0)</f>
        <v>0</v>
      </c>
      <c r="CL22" s="216">
        <f t="shared" ca="1" si="142"/>
        <v>0</v>
      </c>
      <c r="CM22" s="251">
        <f ca="1">IFERROR(__xludf.DUMMYFUNCTION("IMPORTRANGE(""https://docs.google.com/spreadsheets/d/1JtRfZkJMHtEhI5RdRHxYUG4FIZHqKDpNyIuN7A1Q0_k/edit?usp=sharing"",""พิษณุโลก!Q235"")"),0)</f>
        <v>0</v>
      </c>
      <c r="CN22" s="251">
        <f ca="1">IFERROR(__xludf.DUMMYFUNCTION("IMPORTRANGE(""https://docs.google.com/spreadsheets/d/1JtRfZkJMHtEhI5RdRHxYUG4FIZHqKDpNyIuN7A1Q0_k/edit?usp=sharing"",""พิษณุโลก!S235"")"),0)</f>
        <v>0</v>
      </c>
      <c r="CO22" s="216">
        <f t="shared" ca="1" si="144"/>
        <v>0</v>
      </c>
      <c r="CP22" s="152">
        <f ca="1">IFERROR(__xludf.DUMMYFUNCTION("IMPORTRANGE(""https://docs.google.com/spreadsheets/d/1JtRfZkJMHtEhI5RdRHxYUG4FIZHqKDpNyIuN7A1Q0_k/edit?usp=sharing"",""พิษณุโลก!L236"")"),0)</f>
        <v>0</v>
      </c>
      <c r="CQ22" s="152">
        <f ca="1">IFERROR(__xludf.DUMMYFUNCTION("IMPORTRANGE(""https://docs.google.com/spreadsheets/d/1JtRfZkJMHtEhI5RdRHxYUG4FIZHqKDpNyIuN7A1Q0_k/edit?usp=sharing"",""พิษณุโลก!N236"")"),0)</f>
        <v>0</v>
      </c>
      <c r="CR22" s="216">
        <f t="shared" ca="1" si="146"/>
        <v>0</v>
      </c>
      <c r="CS22" s="152">
        <f ca="1">IFERROR(__xludf.DUMMYFUNCTION("IMPORTRANGE(""https://docs.google.com/spreadsheets/d/1JtRfZkJMHtEhI5RdRHxYUG4FIZHqKDpNyIuN7A1Q0_k/edit?usp=sharing"",""พิษณุโลก!I238"")"),0)</f>
        <v>0</v>
      </c>
      <c r="CT22" s="152">
        <f ca="1">IFERROR(__xludf.DUMMYFUNCTION("IMPORTRANGE(""https://docs.google.com/spreadsheets/d/1JtRfZkJMHtEhI5RdRHxYUG4FIZHqKDpNyIuN7A1Q0_k/edit?usp=sharing"",""พิษณุโลก!J238"")"),0)</f>
        <v>0</v>
      </c>
      <c r="CU22" s="216">
        <f t="shared" ca="1" si="148"/>
        <v>0</v>
      </c>
      <c r="CV22" s="152">
        <f ca="1">IFERROR(__xludf.DUMMYFUNCTION("IMPORTRANGE(""https://docs.google.com/spreadsheets/d/1JtRfZkJMHtEhI5RdRHxYUG4FIZHqKDpNyIuN7A1Q0_k/edit?usp=sharing"",""พิษณุโลก!J240"")"),0)</f>
        <v>0</v>
      </c>
      <c r="CW22" s="152">
        <f ca="1">IFERROR(__xludf.DUMMYFUNCTION("IMPORTRANGE(""https://docs.google.com/spreadsheets/d/1JtRfZkJMHtEhI5RdRHxYUG4FIZHqKDpNyIuN7A1Q0_k/edit?usp=sharing"",""พิษณุโลก!J241"")"),0)</f>
        <v>0</v>
      </c>
    </row>
    <row r="23" spans="1:101" ht="24" customHeight="1" x14ac:dyDescent="0.3">
      <c r="A23" s="147">
        <v>10</v>
      </c>
      <c r="B23" s="148" t="s">
        <v>51</v>
      </c>
      <c r="C23" s="149">
        <f t="shared" ca="1" si="90"/>
        <v>150500</v>
      </c>
      <c r="D23" s="150">
        <f t="shared" ca="1" si="150"/>
        <v>150500</v>
      </c>
      <c r="E23" s="151">
        <f ca="1">IFERROR(__xludf.DUMMYFUNCTION("IMPORTRANGE(""https://docs.google.com/spreadsheets/d/1-uDff_7J0KD5mKrp0Vvzr7lt3OU09vwQwhkpOPPYv2Y/edit?usp=sharing"",""งบพรบ!CV23"")"),91000)</f>
        <v>91000</v>
      </c>
      <c r="F23" s="151">
        <f ca="1">IFERROR(__xludf.DUMMYFUNCTION("IMPORTRANGE(""https://docs.google.com/spreadsheets/d/1-uDff_7J0KD5mKrp0Vvzr7lt3OU09vwQwhkpOPPYv2Y/edit?usp=sharing"",""งบพรบ!CW23"")"),59500)</f>
        <v>59500</v>
      </c>
      <c r="G23" s="151">
        <f ca="1">IFERROR(__xludf.DUMMYFUNCTION("IMPORTRANGE(""https://docs.google.com/spreadsheets/d/1-uDff_7J0KD5mKrp0Vvzr7lt3OU09vwQwhkpOPPYv2Y/edit?usp=sharing"",""งบพรบ!CX23"")"),0)</f>
        <v>0</v>
      </c>
      <c r="H23" s="151">
        <f ca="1">IFERROR(__xludf.DUMMYFUNCTION("IMPORTRANGE(""https://docs.google.com/spreadsheets/d/1-uDff_7J0KD5mKrp0Vvzr7lt3OU09vwQwhkpOPPYv2Y/edit?usp=sharing"",""งบพรบ!CZ23"")"),176605)</f>
        <v>176605</v>
      </c>
      <c r="I23" s="151">
        <f ca="1">IFERROR(__xludf.DUMMYFUNCTION("IMPORTRANGE(""https://docs.google.com/spreadsheets/d/1-uDff_7J0KD5mKrp0Vvzr7lt3OU09vwQwhkpOPPYv2Y/edit?usp=sharing"",""งบพรบ!DA23"")"),0)</f>
        <v>0</v>
      </c>
      <c r="J23" s="151">
        <f t="shared" ca="1" si="92"/>
        <v>165564.99</v>
      </c>
      <c r="K23" s="154">
        <f t="shared" ca="1" si="93"/>
        <v>110.00996013289037</v>
      </c>
      <c r="L23" s="151">
        <f ca="1">IFERROR(__xludf.DUMMYFUNCTION("IMPORTRANGE(""https://docs.google.com/spreadsheets/d/1-uDff_7J0KD5mKrp0Vvzr7lt3OU09vwQwhkpOPPYv2Y/edit?usp=sharing"",""งบพรบ!DB23"")"),165564.99)</f>
        <v>165564.99</v>
      </c>
      <c r="M23" s="68">
        <f t="shared" ca="1" si="94"/>
        <v>110.00996013289037</v>
      </c>
      <c r="N23" s="68">
        <f t="shared" ca="1" si="95"/>
        <v>93.748755697743547</v>
      </c>
      <c r="O23" s="67">
        <f ca="1">IFERROR(__xludf.DUMMYFUNCTION("IMPORTRANGE(""https://docs.google.com/spreadsheets/d/1-uDff_7J0KD5mKrp0Vvzr7lt3OU09vwQwhkpOPPYv2Y/edit?usp=sharing"",""งบพรบ!DC23"")"),0)</f>
        <v>0</v>
      </c>
      <c r="P23" s="67">
        <f t="shared" ca="1" si="96"/>
        <v>0</v>
      </c>
      <c r="Q23" s="68">
        <f t="shared" ca="1" si="97"/>
        <v>0</v>
      </c>
      <c r="R23" s="67">
        <f ca="1">IFERROR(__xludf.DUMMYFUNCTION("IMPORTRANGE(""https://docs.google.com/spreadsheets/d/1xlcVZWUNn6SuWm0c307h32SiGkd9BaeQWlAktfD3KO8/edit?usp=sharing"",""เพชรบูรณ์!Q186"")"),155400)</f>
        <v>155400</v>
      </c>
      <c r="S23" s="67">
        <f ca="1">IFERROR(__xludf.DUMMYFUNCTION("IMPORTRANGE(""https://docs.google.com/spreadsheets/d/1xlcVZWUNn6SuWm0c307h32SiGkd9BaeQWlAktfD3KO8/edit?usp=sharing"",""เพชรบูรณ์!R186"")"),155400)</f>
        <v>155400</v>
      </c>
      <c r="T23" s="67">
        <f ca="1">IFERROR(__xludf.DUMMYFUNCTION("IMPORTRANGE(""https://docs.google.com/spreadsheets/d/1xlcVZWUNn6SuWm0c307h32SiGkd9BaeQWlAktfD3KO8/edit?usp=sharing"",""เพชรบูรณ์!S186"")"),155240)</f>
        <v>155240</v>
      </c>
      <c r="U23" s="68">
        <f t="shared" ca="1" si="99"/>
        <v>99.897039897039903</v>
      </c>
      <c r="V23" s="68">
        <f t="shared" ca="1" si="100"/>
        <v>99.897039897039903</v>
      </c>
      <c r="W23" s="152">
        <f ca="1">IFERROR(__xludf.DUMMYFUNCTION("IMPORTRANGE(""https://docs.google.com/spreadsheets/d/1xlcVZWUNn6SuWm0c307h32SiGkd9BaeQWlAktfD3KO8/edit?usp=sharing"",""เพชรบูรณ์!L196"")"),6000)</f>
        <v>6000</v>
      </c>
      <c r="X23" s="152">
        <f ca="1">IFERROR(__xludf.DUMMYFUNCTION("IMPORTRANGE(""https://docs.google.com/spreadsheets/d/1xlcVZWUNn6SuWm0c307h32SiGkd9BaeQWlAktfD3KO8/edit?usp=sharing"",""เพชรบูรณ์!N196"")"),5940)</f>
        <v>5940</v>
      </c>
      <c r="Y23" s="216">
        <f t="shared" ca="1" si="102"/>
        <v>99</v>
      </c>
      <c r="Z23" s="152">
        <f ca="1">IFERROR(__xludf.DUMMYFUNCTION("IMPORTRANGE(""https://docs.google.com/spreadsheets/d/1xlcVZWUNn6SuWm0c307h32SiGkd9BaeQWlAktfD3KO8/edit?usp=sharing"",""เพชรบูรณ์!I198"")"),4)</f>
        <v>4</v>
      </c>
      <c r="AA23" s="152">
        <f ca="1">IFERROR(__xludf.DUMMYFUNCTION("IMPORTRANGE(""https://docs.google.com/spreadsheets/d/1xlcVZWUNn6SuWm0c307h32SiGkd9BaeQWlAktfD3KO8/edit?usp=sharing"",""เพชรบูรณ์!J198"")"),4)</f>
        <v>4</v>
      </c>
      <c r="AB23" s="216">
        <f t="shared" ca="1" si="104"/>
        <v>100</v>
      </c>
      <c r="AC23" s="152">
        <f ca="1">IFERROR(__xludf.DUMMYFUNCTION("IMPORTRANGE(""https://docs.google.com/spreadsheets/d/1xlcVZWUNn6SuWm0c307h32SiGkd9BaeQWlAktfD3KO8/edit?usp=sharing"",""เพชรบูรณ์!J199"")"),130)</f>
        <v>130</v>
      </c>
      <c r="AD23" s="152">
        <f ca="1">IFERROR(__xludf.DUMMYFUNCTION("IMPORTRANGE(""https://docs.google.com/spreadsheets/d/1xlcVZWUNn6SuWm0c307h32SiGkd9BaeQWlAktfD3KO8/edit?usp=sharing"",""เพชรบูรณ์!J200"")"),130)</f>
        <v>130</v>
      </c>
      <c r="AE23" s="152">
        <f ca="1">IFERROR(__xludf.DUMMYFUNCTION("IMPORTRANGE(""https://docs.google.com/spreadsheets/d/1xlcVZWUNn6SuWm0c307h32SiGkd9BaeQWlAktfD3KO8/edit?usp=sharing"",""เพชรบูรณ์!J201"")"),0)</f>
        <v>0</v>
      </c>
      <c r="AF23" s="152">
        <f ca="1">IFERROR(__xludf.DUMMYFUNCTION("IMPORTRANGE(""https://docs.google.com/spreadsheets/d/1xlcVZWUNn6SuWm0c307h32SiGkd9BaeQWlAktfD3KO8/edit?usp=sharing"",""เพชรบูรณ์!L204"")"),4000)</f>
        <v>4000</v>
      </c>
      <c r="AG23" s="152">
        <f ca="1">IFERROR(__xludf.DUMMYFUNCTION("IMPORTRANGE(""https://docs.google.com/spreadsheets/d/1xlcVZWUNn6SuWm0c307h32SiGkd9BaeQWlAktfD3KO8/edit?usp=sharing"",""เพชรบูรณ์!N204"")"),3370)</f>
        <v>3370</v>
      </c>
      <c r="AH23" s="216">
        <f t="shared" ca="1" si="106"/>
        <v>84.25</v>
      </c>
      <c r="AI23" s="152">
        <f ca="1">IFERROR(__xludf.DUMMYFUNCTION("IMPORTRANGE(""https://docs.google.com/spreadsheets/d/1xlcVZWUNn6SuWm0c307h32SiGkd9BaeQWlAktfD3KO8/edit?usp=sharing"",""เพชรบูรณ์!L206"")"),0)</f>
        <v>0</v>
      </c>
      <c r="AJ23" s="152">
        <f ca="1">IFERROR(__xludf.DUMMYFUNCTION("IMPORTRANGE(""https://docs.google.com/spreadsheets/d/1xlcVZWUNn6SuWm0c307h32SiGkd9BaeQWlAktfD3KO8/edit?usp=sharing"",""เพชรบูรณ์!N206"")"),0)</f>
        <v>0</v>
      </c>
      <c r="AK23" s="216">
        <f t="shared" ca="1" si="108"/>
        <v>0</v>
      </c>
      <c r="AL23" s="152">
        <f ca="1">IFERROR(__xludf.DUMMYFUNCTION("IMPORTRANGE(""https://docs.google.com/spreadsheets/d/1xlcVZWUNn6SuWm0c307h32SiGkd9BaeQWlAktfD3KO8/edit?usp=sharing"",""เพชรบูรณ์!Q206"")"),56000)</f>
        <v>56000</v>
      </c>
      <c r="AM23" s="152">
        <f ca="1">IFERROR(__xludf.DUMMYFUNCTION("IMPORTRANGE(""https://docs.google.com/spreadsheets/d/1xlcVZWUNn6SuWm0c307h32SiGkd9BaeQWlAktfD3KO8/edit?usp=sharing"",""เพชรบูรณ์!S206"")"),55840)</f>
        <v>55840</v>
      </c>
      <c r="AN23" s="216">
        <f t="shared" ca="1" si="110"/>
        <v>99.714285714285708</v>
      </c>
      <c r="AO23" s="152">
        <f ca="1">IFERROR(__xludf.DUMMYFUNCTION("IMPORTRANGE(""https://docs.google.com/spreadsheets/d/1xlcVZWUNn6SuWm0c307h32SiGkd9BaeQWlAktfD3KO8/edit?usp=sharing"",""เพชรบูรณ์!L207"")"),21000)</f>
        <v>21000</v>
      </c>
      <c r="AP23" s="152">
        <f ca="1">IFERROR(__xludf.DUMMYFUNCTION("IMPORTRANGE(""https://docs.google.com/spreadsheets/d/1xlcVZWUNn6SuWm0c307h32SiGkd9BaeQWlAktfD3KO8/edit?usp=sharing"",""เพชรบูรณ์!N207"")"),0)</f>
        <v>0</v>
      </c>
      <c r="AQ23" s="216">
        <f t="shared" ca="1" si="112"/>
        <v>0</v>
      </c>
      <c r="AR23" s="152">
        <f ca="1">IFERROR(__xludf.DUMMYFUNCTION("IMPORTRANGE(""https://docs.google.com/spreadsheets/d/1xlcVZWUNn6SuWm0c307h32SiGkd9BaeQWlAktfD3KO8/edit?usp=sharing"",""เพชรบูรณ์!I209"")"),4)</f>
        <v>4</v>
      </c>
      <c r="AS23" s="152">
        <f ca="1">IFERROR(__xludf.DUMMYFUNCTION("IMPORTRANGE(""https://docs.google.com/spreadsheets/d/1xlcVZWUNn6SuWm0c307h32SiGkd9BaeQWlAktfD3KO8/edit?usp=sharing"",""เพชรบูรณ์!J209"")"),4)</f>
        <v>4</v>
      </c>
      <c r="AT23" s="216">
        <f t="shared" ca="1" si="114"/>
        <v>100</v>
      </c>
      <c r="AU23" s="152">
        <f ca="1">IFERROR(__xludf.DUMMYFUNCTION("IMPORTRANGE(""https://docs.google.com/spreadsheets/d/1xlcVZWUNn6SuWm0c307h32SiGkd9BaeQWlAktfD3KO8/edit?usp=sharing"",""เพชรบูรณ์!J211"")"),4)</f>
        <v>4</v>
      </c>
      <c r="AV23" s="152">
        <f ca="1">IFERROR(__xludf.DUMMYFUNCTION("IMPORTRANGE(""https://docs.google.com/spreadsheets/d/1xlcVZWUNn6SuWm0c307h32SiGkd9BaeQWlAktfD3KO8/edit?usp=sharing"",""เพชรบูรณ์!J212"")"),1)</f>
        <v>1</v>
      </c>
      <c r="AW23" s="152">
        <f ca="1">IFERROR(__xludf.DUMMYFUNCTION("IMPORTRANGE(""https://docs.google.com/spreadsheets/d/1xlcVZWUNn6SuWm0c307h32SiGkd9BaeQWlAktfD3KO8/edit?usp=sharing"",""เพชรบูรณ์!L215"")"),2000)</f>
        <v>2000</v>
      </c>
      <c r="AX23" s="152">
        <f ca="1">IFERROR(__xludf.DUMMYFUNCTION("IMPORTRANGE(""https://docs.google.com/spreadsheets/d/1xlcVZWUNn6SuWm0c307h32SiGkd9BaeQWlAktfD3KO8/edit?usp=sharing"",""เพชรบูรณ์!N215"")"),1710)</f>
        <v>1710</v>
      </c>
      <c r="AY23" s="216">
        <f t="shared" ca="1" si="116"/>
        <v>85.5</v>
      </c>
      <c r="AZ23" s="152">
        <f ca="1">IFERROR(__xludf.DUMMYFUNCTION("IMPORTRANGE(""https://docs.google.com/spreadsheets/d/1xlcVZWUNn6SuWm0c307h32SiGkd9BaeQWlAktfD3KO8/edit?usp=sharing"",""เพชรบูรณ์!L216"")"),10000)</f>
        <v>10000</v>
      </c>
      <c r="BA23" s="152">
        <f ca="1">IFERROR(__xludf.DUMMYFUNCTION("IMPORTRANGE(""https://docs.google.com/spreadsheets/d/1xlcVZWUNn6SuWm0c307h32SiGkd9BaeQWlAktfD3KO8/edit?usp=sharing"",""เพชรบูรณ์!N216"")"),10000)</f>
        <v>10000</v>
      </c>
      <c r="BB23" s="216">
        <f t="shared" ca="1" si="118"/>
        <v>100</v>
      </c>
      <c r="BC23" s="152">
        <f ca="1">IFERROR(__xludf.DUMMYFUNCTION("IMPORTRANGE(""https://docs.google.com/spreadsheets/d/1xlcVZWUNn6SuWm0c307h32SiGkd9BaeQWlAktfD3KO8/edit?usp=sharing"",""เพชรบูรณ์!L217"")"),0)</f>
        <v>0</v>
      </c>
      <c r="BD23" s="152">
        <f ca="1">IFERROR(__xludf.DUMMYFUNCTION("IMPORTRANGE(""https://docs.google.com/spreadsheets/d/1xlcVZWUNn6SuWm0c307h32SiGkd9BaeQWlAktfD3KO8/edit?usp=sharing"",""เพชรบูรณ์!N217"")"),0)</f>
        <v>0</v>
      </c>
      <c r="BE23" s="216">
        <f t="shared" ca="1" si="120"/>
        <v>0</v>
      </c>
      <c r="BF23" s="152">
        <f ca="1">IFERROR(__xludf.DUMMYFUNCTION("IMPORTRANGE(""https://docs.google.com/spreadsheets/d/1xlcVZWUNn6SuWm0c307h32SiGkd9BaeQWlAktfD3KO8/edit?usp=sharing"",""เพชรบูรณ์!Q217"")"),99400)</f>
        <v>99400</v>
      </c>
      <c r="BG23" s="152">
        <f ca="1">IFERROR(__xludf.DUMMYFUNCTION("IMPORTRANGE(""https://docs.google.com/spreadsheets/d/1xlcVZWUNn6SuWm0c307h32SiGkd9BaeQWlAktfD3KO8/edit?usp=sharing"",""เพชรบูรณ์!S217"")"),99400)</f>
        <v>99400</v>
      </c>
      <c r="BH23" s="216">
        <f t="shared" ca="1" si="122"/>
        <v>100</v>
      </c>
      <c r="BI23" s="152">
        <f ca="1">IFERROR(__xludf.DUMMYFUNCTION("IMPORTRANGE(""https://docs.google.com/spreadsheets/d/1xlcVZWUNn6SuWm0c307h32SiGkd9BaeQWlAktfD3KO8/edit?usp=sharing"",""เพชรบูรณ์!I219"")"),2)</f>
        <v>2</v>
      </c>
      <c r="BJ23" s="152">
        <f ca="1">IFERROR(__xludf.DUMMYFUNCTION("IMPORTRANGE(""https://docs.google.com/spreadsheets/d/1xlcVZWUNn6SuWm0c307h32SiGkd9BaeQWlAktfD3KO8/edit?usp=sharing"",""เพชรบูรณ์!J219"")"),2)</f>
        <v>2</v>
      </c>
      <c r="BK23" s="216">
        <f t="shared" ca="1" si="124"/>
        <v>100</v>
      </c>
      <c r="BL23" s="152">
        <f ca="1">IFERROR(__xludf.DUMMYFUNCTION("IMPORTRANGE(""https://docs.google.com/spreadsheets/d/1xlcVZWUNn6SuWm0c307h32SiGkd9BaeQWlAktfD3KO8/edit?usp=sharing"",""เพชรบูรณ์!I220"")"),2)</f>
        <v>2</v>
      </c>
      <c r="BM23" s="152">
        <f ca="1">IFERROR(__xludf.DUMMYFUNCTION("IMPORTRANGE(""https://docs.google.com/spreadsheets/d/1xlcVZWUNn6SuWm0c307h32SiGkd9BaeQWlAktfD3KO8/edit?usp=sharing"",""เพชรบูรณ์!J220"")"),2)</f>
        <v>2</v>
      </c>
      <c r="BN23" s="216">
        <f t="shared" ca="1" si="126"/>
        <v>100</v>
      </c>
      <c r="BO23" s="152">
        <f ca="1">IFERROR(__xludf.DUMMYFUNCTION("IMPORTRANGE(""https://docs.google.com/spreadsheets/d/1xlcVZWUNn6SuWm0c307h32SiGkd9BaeQWlAktfD3KO8/edit?usp=sharing"",""เพชรบูรณ์!L223"")"),2500)</f>
        <v>2500</v>
      </c>
      <c r="BP23" s="152">
        <f ca="1">IFERROR(__xludf.DUMMYFUNCTION("IMPORTRANGE(""https://docs.google.com/spreadsheets/d/1xlcVZWUNn6SuWm0c307h32SiGkd9BaeQWlAktfD3KO8/edit?usp=sharing"",""เพชรบูรณ์!N223"")"),2500)</f>
        <v>2500</v>
      </c>
      <c r="BQ23" s="216">
        <f t="shared" ca="1" si="128"/>
        <v>100</v>
      </c>
      <c r="BR23" s="152">
        <f ca="1">IFERROR(__xludf.DUMMYFUNCTION("IMPORTRANGE(""https://docs.google.com/spreadsheets/d/1xlcVZWUNn6SuWm0c307h32SiGkd9BaeQWlAktfD3KO8/edit?usp=sharing"",""เพชรบูรณ์!L224"")"),14000)</f>
        <v>14000</v>
      </c>
      <c r="BS23" s="152">
        <f ca="1">IFERROR(__xludf.DUMMYFUNCTION("IMPORTRANGE(""https://docs.google.com/spreadsheets/d/1xlcVZWUNn6SuWm0c307h32SiGkd9BaeQWlAktfD3KO8/edit?usp=sharing"",""เพชรบูรณ์!N224"")"),14000)</f>
        <v>14000</v>
      </c>
      <c r="BT23" s="216">
        <f t="shared" ca="1" si="130"/>
        <v>100</v>
      </c>
      <c r="BU23" s="152">
        <f ca="1">IFERROR(__xludf.DUMMYFUNCTION("IMPORTRANGE(""https://docs.google.com/spreadsheets/d/1xlcVZWUNn6SuWm0c307h32SiGkd9BaeQWlAktfD3KO8/edit?usp=sharing"",""เพชรบูรณ์!I228"")"),128000)</f>
        <v>128000</v>
      </c>
      <c r="BV23" s="152">
        <f ca="1">IFERROR(__xludf.DUMMYFUNCTION("IMPORTRANGE(""https://docs.google.com/spreadsheets/d/1xlcVZWUNn6SuWm0c307h32SiGkd9BaeQWlAktfD3KO8/edit?usp=sharing"",""เพชรบูรณ์!J228"")"),128000)</f>
        <v>128000</v>
      </c>
      <c r="BW23" s="216">
        <f t="shared" ca="1" si="132"/>
        <v>100</v>
      </c>
      <c r="BX23" s="152">
        <f ca="1">IFERROR(__xludf.DUMMYFUNCTION("IMPORTRANGE(""https://docs.google.com/spreadsheets/d/1xlcVZWUNn6SuWm0c307h32SiGkd9BaeQWlAktfD3KO8/edit?usp=sharing"",""เพชรบูรณ์!I229"")"),128000)</f>
        <v>128000</v>
      </c>
      <c r="BY23" s="152">
        <f ca="1">IFERROR(__xludf.DUMMYFUNCTION("IMPORTRANGE(""https://docs.google.com/spreadsheets/d/1xlcVZWUNn6SuWm0c307h32SiGkd9BaeQWlAktfD3KO8/edit?usp=sharing"",""เพชรบูรณ์!J229"")"),128000)</f>
        <v>128000</v>
      </c>
      <c r="BZ23" s="216">
        <f t="shared" ca="1" si="134"/>
        <v>100</v>
      </c>
      <c r="CA23" s="152">
        <f ca="1">IFERROR(__xludf.DUMMYFUNCTION("IMPORTRANGE(""https://docs.google.com/spreadsheets/d/1xlcVZWUNn6SuWm0c307h32SiGkd9BaeQWlAktfD3KO8/edit?usp=sharing"",""เพชรบูรณ์!I230"")"),0)</f>
        <v>0</v>
      </c>
      <c r="CB23" s="152">
        <f ca="1">IFERROR(__xludf.DUMMYFUNCTION("IMPORTRANGE(""https://docs.google.com/spreadsheets/d/1xlcVZWUNn6SuWm0c307h32SiGkd9BaeQWlAktfD3KO8/edit?usp=sharing"",""เพชรบูรณ์!J230"")"),0)</f>
        <v>0</v>
      </c>
      <c r="CC23" s="216">
        <f t="shared" ca="1" si="136"/>
        <v>0</v>
      </c>
      <c r="CD23" s="152">
        <f ca="1">IFERROR(__xludf.DUMMYFUNCTION("IMPORTRANGE(""https://docs.google.com/spreadsheets/d/1xlcVZWUNn6SuWm0c307h32SiGkd9BaeQWlAktfD3KO8/edit?usp=sharing"",""เพชรบูรณ์!L233"")"),0)</f>
        <v>0</v>
      </c>
      <c r="CE23" s="152">
        <f ca="1">IFERROR(__xludf.DUMMYFUNCTION("IMPORTRANGE(""https://docs.google.com/spreadsheets/d/1xlcVZWUNn6SuWm0c307h32SiGkd9BaeQWlAktfD3KO8/edit?usp=sharing"",""เพชรบูรณ์!N233"")"),0)</f>
        <v>0</v>
      </c>
      <c r="CF23" s="216">
        <f t="shared" ca="1" si="138"/>
        <v>0</v>
      </c>
      <c r="CG23" s="152">
        <f ca="1">IFERROR(__xludf.DUMMYFUNCTION("IMPORTRANGE(""https://docs.google.com/spreadsheets/d/1xlcVZWUNn6SuWm0c307h32SiGkd9BaeQWlAktfD3KO8/edit?usp=sharing"",""เพชรบูรณ์!L234"")"),0)</f>
        <v>0</v>
      </c>
      <c r="CH23" s="152">
        <f ca="1">IFERROR(__xludf.DUMMYFUNCTION("IMPORTRANGE(""https://docs.google.com/spreadsheets/d/1xlcVZWUNn6SuWm0c307h32SiGkd9BaeQWlAktfD3KO8/edit?usp=sharing"",""เพชรบูรณ์!N234"")"),0)</f>
        <v>0</v>
      </c>
      <c r="CI23" s="216">
        <f t="shared" ca="1" si="140"/>
        <v>0</v>
      </c>
      <c r="CJ23" s="152">
        <f ca="1">IFERROR(__xludf.DUMMYFUNCTION("IMPORTRANGE(""https://docs.google.com/spreadsheets/d/1xlcVZWUNn6SuWm0c307h32SiGkd9BaeQWlAktfD3KO8/edit?usp=sharing"",""เพชรบูรณ์!L235"")"),0)</f>
        <v>0</v>
      </c>
      <c r="CK23" s="152">
        <f ca="1">IFERROR(__xludf.DUMMYFUNCTION("IMPORTRANGE(""https://docs.google.com/spreadsheets/d/1xlcVZWUNn6SuWm0c307h32SiGkd9BaeQWlAktfD3KO8/edit?usp=sharing"",""เพชรบูรณ์!N235"")"),0)</f>
        <v>0</v>
      </c>
      <c r="CL23" s="216">
        <f t="shared" ca="1" si="142"/>
        <v>0</v>
      </c>
      <c r="CM23" s="251">
        <f ca="1">IFERROR(__xludf.DUMMYFUNCTION("IMPORTRANGE(""https://docs.google.com/spreadsheets/d/1xlcVZWUNn6SuWm0c307h32SiGkd9BaeQWlAktfD3KO8/edit?usp=sharing"",""เพชรบูรณ์!Q235"")"),0)</f>
        <v>0</v>
      </c>
      <c r="CN23" s="251">
        <f ca="1">IFERROR(__xludf.DUMMYFUNCTION("IMPORTRANGE(""https://docs.google.com/spreadsheets/d/1xlcVZWUNn6SuWm0c307h32SiGkd9BaeQWlAktfD3KO8/edit?usp=sharing"",""เพชรบูรณ์!S235"")"),0)</f>
        <v>0</v>
      </c>
      <c r="CO23" s="216">
        <f t="shared" ca="1" si="144"/>
        <v>0</v>
      </c>
      <c r="CP23" s="152">
        <f ca="1">IFERROR(__xludf.DUMMYFUNCTION("IMPORTRANGE(""https://docs.google.com/spreadsheets/d/1xlcVZWUNn6SuWm0c307h32SiGkd9BaeQWlAktfD3KO8/edit?usp=sharing"",""เพชรบูรณ์!L236"")"),0)</f>
        <v>0</v>
      </c>
      <c r="CQ23" s="152">
        <f ca="1">IFERROR(__xludf.DUMMYFUNCTION("IMPORTRANGE(""https://docs.google.com/spreadsheets/d/1xlcVZWUNn6SuWm0c307h32SiGkd9BaeQWlAktfD3KO8/edit?usp=sharing"",""เพชรบูรณ์!N236"")"),0)</f>
        <v>0</v>
      </c>
      <c r="CR23" s="216">
        <f t="shared" ca="1" si="146"/>
        <v>0</v>
      </c>
      <c r="CS23" s="152">
        <f ca="1">IFERROR(__xludf.DUMMYFUNCTION("IMPORTRANGE(""https://docs.google.com/spreadsheets/d/1xlcVZWUNn6SuWm0c307h32SiGkd9BaeQWlAktfD3KO8/edit?usp=sharing"",""เพชรบูรณ์!I238"")"),0)</f>
        <v>0</v>
      </c>
      <c r="CT23" s="152">
        <f ca="1">IFERROR(__xludf.DUMMYFUNCTION("IMPORTRANGE(""https://docs.google.com/spreadsheets/d/1xlcVZWUNn6SuWm0c307h32SiGkd9BaeQWlAktfD3KO8/edit?usp=sharing"",""เพชรบูรณ์!J238"")"),0)</f>
        <v>0</v>
      </c>
      <c r="CU23" s="216">
        <f t="shared" ca="1" si="148"/>
        <v>0</v>
      </c>
      <c r="CV23" s="152">
        <f ca="1">IFERROR(__xludf.DUMMYFUNCTION("IMPORTRANGE(""https://docs.google.com/spreadsheets/d/1xlcVZWUNn6SuWm0c307h32SiGkd9BaeQWlAktfD3KO8/edit?usp=sharing"",""เพชรบูรณ์!J240"")"),0)</f>
        <v>0</v>
      </c>
      <c r="CW23" s="152">
        <f ca="1">IFERROR(__xludf.DUMMYFUNCTION("IMPORTRANGE(""https://docs.google.com/spreadsheets/d/1xlcVZWUNn6SuWm0c307h32SiGkd9BaeQWlAktfD3KO8/edit?usp=sharing"",""เพชรบูรณ์!J241"")"),0)</f>
        <v>0</v>
      </c>
    </row>
    <row r="24" spans="1:101" ht="24" customHeight="1" x14ac:dyDescent="0.3">
      <c r="A24" s="147">
        <v>11</v>
      </c>
      <c r="B24" s="148" t="s">
        <v>52</v>
      </c>
      <c r="C24" s="149">
        <f t="shared" ca="1" si="90"/>
        <v>129500</v>
      </c>
      <c r="D24" s="150">
        <f t="shared" ca="1" si="150"/>
        <v>129500</v>
      </c>
      <c r="E24" s="151">
        <f ca="1">IFERROR(__xludf.DUMMYFUNCTION("IMPORTRANGE(""https://docs.google.com/spreadsheets/d/1-uDff_7J0KD5mKrp0Vvzr7lt3OU09vwQwhkpOPPYv2Y/edit?usp=sharing"",""งบพรบ!CV24"")"),91000)</f>
        <v>91000</v>
      </c>
      <c r="F24" s="151">
        <f ca="1">IFERROR(__xludf.DUMMYFUNCTION("IMPORTRANGE(""https://docs.google.com/spreadsheets/d/1-uDff_7J0KD5mKrp0Vvzr7lt3OU09vwQwhkpOPPYv2Y/edit?usp=sharing"",""งบพรบ!CW24"")"),38500)</f>
        <v>38500</v>
      </c>
      <c r="G24" s="151">
        <f ca="1">IFERROR(__xludf.DUMMYFUNCTION("IMPORTRANGE(""https://docs.google.com/spreadsheets/d/1-uDff_7J0KD5mKrp0Vvzr7lt3OU09vwQwhkpOPPYv2Y/edit?usp=sharing"",""งบพรบ!CX24"")"),0)</f>
        <v>0</v>
      </c>
      <c r="H24" s="151">
        <f ca="1">IFERROR(__xludf.DUMMYFUNCTION("IMPORTRANGE(""https://docs.google.com/spreadsheets/d/1-uDff_7J0KD5mKrp0Vvzr7lt3OU09vwQwhkpOPPYv2Y/edit?usp=sharing"",""งบพรบ!CZ24"")"),131500)</f>
        <v>131500</v>
      </c>
      <c r="I24" s="151">
        <f ca="1">IFERROR(__xludf.DUMMYFUNCTION("IMPORTRANGE(""https://docs.google.com/spreadsheets/d/1-uDff_7J0KD5mKrp0Vvzr7lt3OU09vwQwhkpOPPYv2Y/edit?usp=sharing"",""งบพรบ!DA24"")"),0)</f>
        <v>0</v>
      </c>
      <c r="J24" s="151">
        <f t="shared" ca="1" si="92"/>
        <v>108714</v>
      </c>
      <c r="K24" s="154">
        <f t="shared" ca="1" si="93"/>
        <v>83.949034749034752</v>
      </c>
      <c r="L24" s="151">
        <f ca="1">IFERROR(__xludf.DUMMYFUNCTION("IMPORTRANGE(""https://docs.google.com/spreadsheets/d/1-uDff_7J0KD5mKrp0Vvzr7lt3OU09vwQwhkpOPPYv2Y/edit?usp=sharing"",""งบพรบ!DB24"")"),108714)</f>
        <v>108714</v>
      </c>
      <c r="M24" s="68">
        <f t="shared" ca="1" si="94"/>
        <v>83.949034749034752</v>
      </c>
      <c r="N24" s="68">
        <f t="shared" ca="1" si="95"/>
        <v>82.672243346007605</v>
      </c>
      <c r="O24" s="67">
        <f ca="1">IFERROR(__xludf.DUMMYFUNCTION("IMPORTRANGE(""https://docs.google.com/spreadsheets/d/1-uDff_7J0KD5mKrp0Vvzr7lt3OU09vwQwhkpOPPYv2Y/edit?usp=sharing"",""งบพรบ!DC24"")"),0)</f>
        <v>0</v>
      </c>
      <c r="P24" s="67">
        <f t="shared" ca="1" si="96"/>
        <v>0</v>
      </c>
      <c r="Q24" s="68">
        <f t="shared" ca="1" si="97"/>
        <v>0</v>
      </c>
      <c r="R24" s="67">
        <f ca="1">IFERROR(__xludf.DUMMYFUNCTION("IMPORTRANGE(""https://docs.google.com/spreadsheets/d/1lOVebEIsI9qjGXl6EX66luk7wiuP2tBaryw-wKvv4e0/edit?usp=sharing"",""แพร่!Q186"")"),42000)</f>
        <v>42000</v>
      </c>
      <c r="S24" s="67">
        <f ca="1">IFERROR(__xludf.DUMMYFUNCTION("IMPORTRANGE(""https://docs.google.com/spreadsheets/d/1lOVebEIsI9qjGXl6EX66luk7wiuP2tBaryw-wKvv4e0/edit?usp=sharing"",""แพร่!R186"")"),42000)</f>
        <v>42000</v>
      </c>
      <c r="T24" s="67">
        <f ca="1">IFERROR(__xludf.DUMMYFUNCTION("IMPORTRANGE(""https://docs.google.com/spreadsheets/d/1lOVebEIsI9qjGXl6EX66luk7wiuP2tBaryw-wKvv4e0/edit?usp=sharing"",""แพร่!S186"")"),0)</f>
        <v>0</v>
      </c>
      <c r="U24" s="68">
        <f t="shared" ca="1" si="99"/>
        <v>0</v>
      </c>
      <c r="V24" s="68">
        <f t="shared" ca="1" si="100"/>
        <v>0</v>
      </c>
      <c r="W24" s="152">
        <f ca="1">IFERROR(__xludf.DUMMYFUNCTION("IMPORTRANGE(""https://docs.google.com/spreadsheets/d/1lOVebEIsI9qjGXl6EX66luk7wiuP2tBaryw-wKvv4e0/edit?usp=sharing"",""แพร่!L196"")"),6000)</f>
        <v>6000</v>
      </c>
      <c r="X24" s="152">
        <f ca="1">IFERROR(__xludf.DUMMYFUNCTION("IMPORTRANGE(""https://docs.google.com/spreadsheets/d/1lOVebEIsI9qjGXl6EX66luk7wiuP2tBaryw-wKvv4e0/edit?usp=sharing"",""แพร่!N196"")"),2955)</f>
        <v>2955</v>
      </c>
      <c r="Y24" s="216">
        <f t="shared" ca="1" si="102"/>
        <v>49.25</v>
      </c>
      <c r="Z24" s="152">
        <f ca="1">IFERROR(__xludf.DUMMYFUNCTION("IMPORTRANGE(""https://docs.google.com/spreadsheets/d/1lOVebEIsI9qjGXl6EX66luk7wiuP2tBaryw-wKvv4e0/edit?usp=sharing"",""แพร่!I198"")"),4)</f>
        <v>4</v>
      </c>
      <c r="AA24" s="152">
        <f ca="1">IFERROR(__xludf.DUMMYFUNCTION("IMPORTRANGE(""https://docs.google.com/spreadsheets/d/1lOVebEIsI9qjGXl6EX66luk7wiuP2tBaryw-wKvv4e0/edit?usp=sharing"",""แพร่!J198"")"),4)</f>
        <v>4</v>
      </c>
      <c r="AB24" s="216">
        <f t="shared" ca="1" si="104"/>
        <v>100</v>
      </c>
      <c r="AC24" s="152">
        <f ca="1">IFERROR(__xludf.DUMMYFUNCTION("IMPORTRANGE(""https://docs.google.com/spreadsheets/d/1lOVebEIsI9qjGXl6EX66luk7wiuP2tBaryw-wKvv4e0/edit?usp=sharing"",""แพร่!J199"")"),70)</f>
        <v>70</v>
      </c>
      <c r="AD24" s="152">
        <f ca="1">IFERROR(__xludf.DUMMYFUNCTION("IMPORTRANGE(""https://docs.google.com/spreadsheets/d/1lOVebEIsI9qjGXl6EX66luk7wiuP2tBaryw-wKvv4e0/edit?usp=sharing"",""แพร่!J200"")"),70)</f>
        <v>70</v>
      </c>
      <c r="AE24" s="152">
        <f ca="1">IFERROR(__xludf.DUMMYFUNCTION("IMPORTRANGE(""https://docs.google.com/spreadsheets/d/1lOVebEIsI9qjGXl6EX66luk7wiuP2tBaryw-wKvv4e0/edit?usp=sharing"",""แพร่!J201"")"),0)</f>
        <v>0</v>
      </c>
      <c r="AF24" s="152">
        <f ca="1">IFERROR(__xludf.DUMMYFUNCTION("IMPORTRANGE(""https://docs.google.com/spreadsheets/d/1lOVebEIsI9qjGXl6EX66luk7wiuP2tBaryw-wKvv4e0/edit?usp=sharing"",""แพร่!L204"")"),3000)</f>
        <v>3000</v>
      </c>
      <c r="AG24" s="152">
        <f ca="1">IFERROR(__xludf.DUMMYFUNCTION("IMPORTRANGE(""https://docs.google.com/spreadsheets/d/1lOVebEIsI9qjGXl6EX66luk7wiuP2tBaryw-wKvv4e0/edit?usp=sharing"",""แพร่!N204"")"),1400)</f>
        <v>1400</v>
      </c>
      <c r="AH24" s="216">
        <f t="shared" ca="1" si="106"/>
        <v>46.666666666666664</v>
      </c>
      <c r="AI24" s="152">
        <f ca="1">IFERROR(__xludf.DUMMYFUNCTION("IMPORTRANGE(""https://docs.google.com/spreadsheets/d/1lOVebEIsI9qjGXl6EX66luk7wiuP2tBaryw-wKvv4e0/edit?usp=sharing"",""แพร่!L206"")"),0)</f>
        <v>0</v>
      </c>
      <c r="AJ24" s="152">
        <f ca="1">IFERROR(__xludf.DUMMYFUNCTION("IMPORTRANGE(""https://docs.google.com/spreadsheets/d/1lOVebEIsI9qjGXl6EX66luk7wiuP2tBaryw-wKvv4e0/edit?usp=sharing"",""แพร่!N206"")"),0)</f>
        <v>0</v>
      </c>
      <c r="AK24" s="216">
        <f t="shared" ca="1" si="108"/>
        <v>0</v>
      </c>
      <c r="AL24" s="152">
        <f ca="1">IFERROR(__xludf.DUMMYFUNCTION("IMPORTRANGE(""https://docs.google.com/spreadsheets/d/1lOVebEIsI9qjGXl6EX66luk7wiuP2tBaryw-wKvv4e0/edit?usp=sharing"",""แพร่!Q206"")"),42000)</f>
        <v>42000</v>
      </c>
      <c r="AM24" s="152">
        <f ca="1">IFERROR(__xludf.DUMMYFUNCTION("IMPORTRANGE(""https://docs.google.com/spreadsheets/d/1lOVebEIsI9qjGXl6EX66luk7wiuP2tBaryw-wKvv4e0/edit?usp=sharing"",""แพร่!S206"")"),0)</f>
        <v>0</v>
      </c>
      <c r="AN24" s="216">
        <f t="shared" ca="1" si="110"/>
        <v>0</v>
      </c>
      <c r="AO24" s="152">
        <f ca="1">IFERROR(__xludf.DUMMYFUNCTION("IMPORTRANGE(""https://docs.google.com/spreadsheets/d/1lOVebEIsI9qjGXl6EX66luk7wiuP2tBaryw-wKvv4e0/edit?usp=sharing"",""แพร่!L207"")"),17000)</f>
        <v>17000</v>
      </c>
      <c r="AP24" s="152">
        <f ca="1">IFERROR(__xludf.DUMMYFUNCTION("IMPORTRANGE(""https://docs.google.com/spreadsheets/d/1lOVebEIsI9qjGXl6EX66luk7wiuP2tBaryw-wKvv4e0/edit?usp=sharing"",""แพร่!N207"")"),13000)</f>
        <v>13000</v>
      </c>
      <c r="AQ24" s="216">
        <f t="shared" ca="1" si="112"/>
        <v>76.470588235294116</v>
      </c>
      <c r="AR24" s="152">
        <f ca="1">IFERROR(__xludf.DUMMYFUNCTION("IMPORTRANGE(""https://docs.google.com/spreadsheets/d/1lOVebEIsI9qjGXl6EX66luk7wiuP2tBaryw-wKvv4e0/edit?usp=sharing"",""แพร่!I209"")"),3)</f>
        <v>3</v>
      </c>
      <c r="AS24" s="152">
        <f ca="1">IFERROR(__xludf.DUMMYFUNCTION("IMPORTRANGE(""https://docs.google.com/spreadsheets/d/1lOVebEIsI9qjGXl6EX66luk7wiuP2tBaryw-wKvv4e0/edit?usp=sharing"",""แพร่!J209"")"),0)</f>
        <v>0</v>
      </c>
      <c r="AT24" s="216">
        <f t="shared" ca="1" si="114"/>
        <v>0</v>
      </c>
      <c r="AU24" s="152">
        <f ca="1">IFERROR(__xludf.DUMMYFUNCTION("IMPORTRANGE(""https://docs.google.com/spreadsheets/d/1lOVebEIsI9qjGXl6EX66luk7wiuP2tBaryw-wKvv4e0/edit?usp=sharing"",""แพร่!J211"")"),2)</f>
        <v>2</v>
      </c>
      <c r="AV24" s="152">
        <f ca="1">IFERROR(__xludf.DUMMYFUNCTION("IMPORTRANGE(""https://docs.google.com/spreadsheets/d/1lOVebEIsI9qjGXl6EX66luk7wiuP2tBaryw-wKvv4e0/edit?usp=sharing"",""แพร่!J212"")"),1)</f>
        <v>1</v>
      </c>
      <c r="AW24" s="152">
        <f ca="1">IFERROR(__xludf.DUMMYFUNCTION("IMPORTRANGE(""https://docs.google.com/spreadsheets/d/1lOVebEIsI9qjGXl6EX66luk7wiuP2tBaryw-wKvv4e0/edit?usp=sharing"",""แพร่!L215"")"),0)</f>
        <v>0</v>
      </c>
      <c r="AX24" s="152">
        <f ca="1">IFERROR(__xludf.DUMMYFUNCTION("IMPORTRANGE(""https://docs.google.com/spreadsheets/d/1lOVebEIsI9qjGXl6EX66luk7wiuP2tBaryw-wKvv4e0/edit?usp=sharing"",""แพร่!N215"")"),0)</f>
        <v>0</v>
      </c>
      <c r="AY24" s="216">
        <f t="shared" ca="1" si="116"/>
        <v>0</v>
      </c>
      <c r="AZ24" s="152">
        <f ca="1">IFERROR(__xludf.DUMMYFUNCTION("IMPORTRANGE(""https://docs.google.com/spreadsheets/d/1lOVebEIsI9qjGXl6EX66luk7wiuP2tBaryw-wKvv4e0/edit?usp=sharing"",""แพร่!L216"")"),0)</f>
        <v>0</v>
      </c>
      <c r="BA24" s="152">
        <f ca="1">IFERROR(__xludf.DUMMYFUNCTION("IMPORTRANGE(""https://docs.google.com/spreadsheets/d/1lOVebEIsI9qjGXl6EX66luk7wiuP2tBaryw-wKvv4e0/edit?usp=sharing"",""แพร่!N216"")"),0)</f>
        <v>0</v>
      </c>
      <c r="BB24" s="216">
        <f t="shared" ca="1" si="118"/>
        <v>0</v>
      </c>
      <c r="BC24" s="152">
        <f ca="1">IFERROR(__xludf.DUMMYFUNCTION("IMPORTRANGE(""https://docs.google.com/spreadsheets/d/1lOVebEIsI9qjGXl6EX66luk7wiuP2tBaryw-wKvv4e0/edit?usp=sharing"",""แพร่!L217"")"),0)</f>
        <v>0</v>
      </c>
      <c r="BD24" s="152">
        <f ca="1">IFERROR(__xludf.DUMMYFUNCTION("IMPORTRANGE(""https://docs.google.com/spreadsheets/d/1lOVebEIsI9qjGXl6EX66luk7wiuP2tBaryw-wKvv4e0/edit?usp=sharing"",""แพร่!N217"")"),0)</f>
        <v>0</v>
      </c>
      <c r="BE24" s="216">
        <f t="shared" ca="1" si="120"/>
        <v>0</v>
      </c>
      <c r="BF24" s="152">
        <f ca="1">IFERROR(__xludf.DUMMYFUNCTION("IMPORTRANGE(""https://docs.google.com/spreadsheets/d/1lOVebEIsI9qjGXl6EX66luk7wiuP2tBaryw-wKvv4e0/edit?usp=sharing"",""แพร่!Q217"")"),0)</f>
        <v>0</v>
      </c>
      <c r="BG24" s="152">
        <f ca="1">IFERROR(__xludf.DUMMYFUNCTION("IMPORTRANGE(""https://docs.google.com/spreadsheets/d/1lOVebEIsI9qjGXl6EX66luk7wiuP2tBaryw-wKvv4e0/edit?usp=sharing"",""แพร่!S217"")"),0)</f>
        <v>0</v>
      </c>
      <c r="BH24" s="216">
        <f t="shared" ca="1" si="122"/>
        <v>0</v>
      </c>
      <c r="BI24" s="152">
        <f ca="1">IFERROR(__xludf.DUMMYFUNCTION("IMPORTRANGE(""https://docs.google.com/spreadsheets/d/1lOVebEIsI9qjGXl6EX66luk7wiuP2tBaryw-wKvv4e0/edit?usp=sharing"",""แพร่!I219"")"),0)</f>
        <v>0</v>
      </c>
      <c r="BJ24" s="152">
        <f ca="1">IFERROR(__xludf.DUMMYFUNCTION("IMPORTRANGE(""https://docs.google.com/spreadsheets/d/1lOVebEIsI9qjGXl6EX66luk7wiuP2tBaryw-wKvv4e0/edit?usp=sharing"",""แพร่!J219"")"),0)</f>
        <v>0</v>
      </c>
      <c r="BK24" s="216">
        <f t="shared" ca="1" si="124"/>
        <v>0</v>
      </c>
      <c r="BL24" s="152">
        <f ca="1">IFERROR(__xludf.DUMMYFUNCTION("IMPORTRANGE(""https://docs.google.com/spreadsheets/d/1lOVebEIsI9qjGXl6EX66luk7wiuP2tBaryw-wKvv4e0/edit?usp=sharing"",""แพร่!I220"")"),0)</f>
        <v>0</v>
      </c>
      <c r="BM24" s="152">
        <f ca="1">IFERROR(__xludf.DUMMYFUNCTION("IMPORTRANGE(""https://docs.google.com/spreadsheets/d/1lOVebEIsI9qjGXl6EX66luk7wiuP2tBaryw-wKvv4e0/edit?usp=sharing"",""แพร่!J220"")"),0)</f>
        <v>0</v>
      </c>
      <c r="BN24" s="216">
        <f t="shared" ca="1" si="126"/>
        <v>0</v>
      </c>
      <c r="BO24" s="152">
        <f ca="1">IFERROR(__xludf.DUMMYFUNCTION("IMPORTRANGE(""https://docs.google.com/spreadsheets/d/1lOVebEIsI9qjGXl6EX66luk7wiuP2tBaryw-wKvv4e0/edit?usp=sharing"",""แพร่!L223"")"),2500)</f>
        <v>2500</v>
      </c>
      <c r="BP24" s="152">
        <f ca="1">IFERROR(__xludf.DUMMYFUNCTION("IMPORTRANGE(""https://docs.google.com/spreadsheets/d/1lOVebEIsI9qjGXl6EX66luk7wiuP2tBaryw-wKvv4e0/edit?usp=sharing"",""แพร่!N223"")"),0)</f>
        <v>0</v>
      </c>
      <c r="BQ24" s="216">
        <f t="shared" ca="1" si="128"/>
        <v>0</v>
      </c>
      <c r="BR24" s="152">
        <f ca="1">IFERROR(__xludf.DUMMYFUNCTION("IMPORTRANGE(""https://docs.google.com/spreadsheets/d/1lOVebEIsI9qjGXl6EX66luk7wiuP2tBaryw-wKvv4e0/edit?usp=sharing"",""แพร่!L224"")"),10000)</f>
        <v>10000</v>
      </c>
      <c r="BS24" s="152">
        <f ca="1">IFERROR(__xludf.DUMMYFUNCTION("IMPORTRANGE(""https://docs.google.com/spreadsheets/d/1lOVebEIsI9qjGXl6EX66luk7wiuP2tBaryw-wKvv4e0/edit?usp=sharing"",""แพร่!N224"")"),0)</f>
        <v>0</v>
      </c>
      <c r="BT24" s="216">
        <f t="shared" ca="1" si="130"/>
        <v>0</v>
      </c>
      <c r="BU24" s="152">
        <f ca="1">IFERROR(__xludf.DUMMYFUNCTION("IMPORTRANGE(""https://docs.google.com/spreadsheets/d/1lOVebEIsI9qjGXl6EX66luk7wiuP2tBaryw-wKvv4e0/edit?usp=sharing"",""แพร่!I228"")"),100000)</f>
        <v>100000</v>
      </c>
      <c r="BV24" s="152">
        <f ca="1">IFERROR(__xludf.DUMMYFUNCTION("IMPORTRANGE(""https://docs.google.com/spreadsheets/d/1lOVebEIsI9qjGXl6EX66luk7wiuP2tBaryw-wKvv4e0/edit?usp=sharing"",""แพร่!J228"")"),100000)</f>
        <v>100000</v>
      </c>
      <c r="BW24" s="216">
        <f t="shared" ca="1" si="132"/>
        <v>100</v>
      </c>
      <c r="BX24" s="152">
        <f ca="1">IFERROR(__xludf.DUMMYFUNCTION("IMPORTRANGE(""https://docs.google.com/spreadsheets/d/1lOVebEIsI9qjGXl6EX66luk7wiuP2tBaryw-wKvv4e0/edit?usp=sharing"",""แพร่!I229"")"),100000)</f>
        <v>100000</v>
      </c>
      <c r="BY24" s="152">
        <f ca="1">IFERROR(__xludf.DUMMYFUNCTION("IMPORTRANGE(""https://docs.google.com/spreadsheets/d/1lOVebEIsI9qjGXl6EX66luk7wiuP2tBaryw-wKvv4e0/edit?usp=sharing"",""แพร่!J229"")"),0)</f>
        <v>0</v>
      </c>
      <c r="BZ24" s="216">
        <f t="shared" ca="1" si="134"/>
        <v>0</v>
      </c>
      <c r="CA24" s="152">
        <f ca="1">IFERROR(__xludf.DUMMYFUNCTION("IMPORTRANGE(""https://docs.google.com/spreadsheets/d/1lOVebEIsI9qjGXl6EX66luk7wiuP2tBaryw-wKvv4e0/edit?usp=sharing"",""แพร่!I230"")"),0)</f>
        <v>0</v>
      </c>
      <c r="CB24" s="152">
        <f ca="1">IFERROR(__xludf.DUMMYFUNCTION("IMPORTRANGE(""https://docs.google.com/spreadsheets/d/1lOVebEIsI9qjGXl6EX66luk7wiuP2tBaryw-wKvv4e0/edit?usp=sharing"",""แพร่!J230"")"),0)</f>
        <v>0</v>
      </c>
      <c r="CC24" s="216">
        <f t="shared" ca="1" si="136"/>
        <v>0</v>
      </c>
      <c r="CD24" s="152">
        <f ca="1">IFERROR(__xludf.DUMMYFUNCTION("IMPORTRANGE(""https://docs.google.com/spreadsheets/d/1lOVebEIsI9qjGXl6EX66luk7wiuP2tBaryw-wKvv4e0/edit?usp=sharing"",""แพร่!L233"")"),0)</f>
        <v>0</v>
      </c>
      <c r="CE24" s="152">
        <f ca="1">IFERROR(__xludf.DUMMYFUNCTION("IMPORTRANGE(""https://docs.google.com/spreadsheets/d/1lOVebEIsI9qjGXl6EX66luk7wiuP2tBaryw-wKvv4e0/edit?usp=sharing"",""แพร่!N233"")"),0)</f>
        <v>0</v>
      </c>
      <c r="CF24" s="216">
        <f t="shared" ca="1" si="138"/>
        <v>0</v>
      </c>
      <c r="CG24" s="152">
        <f ca="1">IFERROR(__xludf.DUMMYFUNCTION("IMPORTRANGE(""https://docs.google.com/spreadsheets/d/1lOVebEIsI9qjGXl6EX66luk7wiuP2tBaryw-wKvv4e0/edit?usp=sharing"",""แพร่!L234"")"),0)</f>
        <v>0</v>
      </c>
      <c r="CH24" s="152">
        <f ca="1">IFERROR(__xludf.DUMMYFUNCTION("IMPORTRANGE(""https://docs.google.com/spreadsheets/d/1lOVebEIsI9qjGXl6EX66luk7wiuP2tBaryw-wKvv4e0/edit?usp=sharing"",""แพร่!N234"")"),0)</f>
        <v>0</v>
      </c>
      <c r="CI24" s="216">
        <f t="shared" ca="1" si="140"/>
        <v>0</v>
      </c>
      <c r="CJ24" s="152">
        <f ca="1">IFERROR(__xludf.DUMMYFUNCTION("IMPORTRANGE(""https://docs.google.com/spreadsheets/d/1lOVebEIsI9qjGXl6EX66luk7wiuP2tBaryw-wKvv4e0/edit?usp=sharing"",""แพร่!L235"")"),0)</f>
        <v>0</v>
      </c>
      <c r="CK24" s="152">
        <f ca="1">IFERROR(__xludf.DUMMYFUNCTION("IMPORTRANGE(""https://docs.google.com/spreadsheets/d/1lOVebEIsI9qjGXl6EX66luk7wiuP2tBaryw-wKvv4e0/edit?usp=sharing"",""แพร่!N235"")"),0)</f>
        <v>0</v>
      </c>
      <c r="CL24" s="216">
        <f t="shared" ca="1" si="142"/>
        <v>0</v>
      </c>
      <c r="CM24" s="251">
        <f ca="1">IFERROR(__xludf.DUMMYFUNCTION("IMPORTRANGE(""https://docs.google.com/spreadsheets/d/1lOVebEIsI9qjGXl6EX66luk7wiuP2tBaryw-wKvv4e0/edit?usp=sharing"",""แพร่!Q235"")"),0)</f>
        <v>0</v>
      </c>
      <c r="CN24" s="251">
        <f ca="1">IFERROR(__xludf.DUMMYFUNCTION("IMPORTRANGE(""https://docs.google.com/spreadsheets/d/1lOVebEIsI9qjGXl6EX66luk7wiuP2tBaryw-wKvv4e0/edit?usp=sharing"",""แพร่!S235"")"),0)</f>
        <v>0</v>
      </c>
      <c r="CO24" s="216">
        <f t="shared" ca="1" si="144"/>
        <v>0</v>
      </c>
      <c r="CP24" s="152">
        <f ca="1">IFERROR(__xludf.DUMMYFUNCTION("IMPORTRANGE(""https://docs.google.com/spreadsheets/d/1lOVebEIsI9qjGXl6EX66luk7wiuP2tBaryw-wKvv4e0/edit?usp=sharing"",""แพร่!L236"")"),0)</f>
        <v>0</v>
      </c>
      <c r="CQ24" s="152">
        <f ca="1">IFERROR(__xludf.DUMMYFUNCTION("IMPORTRANGE(""https://docs.google.com/spreadsheets/d/1lOVebEIsI9qjGXl6EX66luk7wiuP2tBaryw-wKvv4e0/edit?usp=sharing"",""แพร่!N236"")"),0)</f>
        <v>0</v>
      </c>
      <c r="CR24" s="216">
        <f t="shared" ca="1" si="146"/>
        <v>0</v>
      </c>
      <c r="CS24" s="152">
        <f ca="1">IFERROR(__xludf.DUMMYFUNCTION("IMPORTRANGE(""https://docs.google.com/spreadsheets/d/1lOVebEIsI9qjGXl6EX66luk7wiuP2tBaryw-wKvv4e0/edit?usp=sharing"",""แพร่!I238"")"),0)</f>
        <v>0</v>
      </c>
      <c r="CT24" s="152">
        <f ca="1">IFERROR(__xludf.DUMMYFUNCTION("IMPORTRANGE(""https://docs.google.com/spreadsheets/d/1lOVebEIsI9qjGXl6EX66luk7wiuP2tBaryw-wKvv4e0/edit?usp=sharing"",""แพร่!J238"")"),0)</f>
        <v>0</v>
      </c>
      <c r="CU24" s="216">
        <f t="shared" ca="1" si="148"/>
        <v>0</v>
      </c>
      <c r="CV24" s="152">
        <f ca="1">IFERROR(__xludf.DUMMYFUNCTION("IMPORTRANGE(""https://docs.google.com/spreadsheets/d/1lOVebEIsI9qjGXl6EX66luk7wiuP2tBaryw-wKvv4e0/edit?usp=sharing"",""แพร่!J240"")"),0)</f>
        <v>0</v>
      </c>
      <c r="CW24" s="152">
        <f ca="1">IFERROR(__xludf.DUMMYFUNCTION("IMPORTRANGE(""https://docs.google.com/spreadsheets/d/1lOVebEIsI9qjGXl6EX66luk7wiuP2tBaryw-wKvv4e0/edit?usp=sharing"",""แพร่!J241"")"),0)</f>
        <v>0</v>
      </c>
    </row>
    <row r="25" spans="1:101" ht="24" customHeight="1" x14ac:dyDescent="0.3">
      <c r="A25" s="147">
        <v>12</v>
      </c>
      <c r="B25" s="148" t="s">
        <v>53</v>
      </c>
      <c r="C25" s="149">
        <f t="shared" ca="1" si="90"/>
        <v>127500</v>
      </c>
      <c r="D25" s="150">
        <f t="shared" ca="1" si="150"/>
        <v>127500</v>
      </c>
      <c r="E25" s="151">
        <f ca="1">IFERROR(__xludf.DUMMYFUNCTION("IMPORTRANGE(""https://docs.google.com/spreadsheets/d/1-uDff_7J0KD5mKrp0Vvzr7lt3OU09vwQwhkpOPPYv2Y/edit?usp=sharing"",""งบพรบ!CV25"")"),91000)</f>
        <v>91000</v>
      </c>
      <c r="F25" s="151">
        <f ca="1">IFERROR(__xludf.DUMMYFUNCTION("IMPORTRANGE(""https://docs.google.com/spreadsheets/d/1-uDff_7J0KD5mKrp0Vvzr7lt3OU09vwQwhkpOPPYv2Y/edit?usp=sharing"",""งบพรบ!CW25"")"),36500)</f>
        <v>36500</v>
      </c>
      <c r="G25" s="151">
        <f ca="1">IFERROR(__xludf.DUMMYFUNCTION("IMPORTRANGE(""https://docs.google.com/spreadsheets/d/1-uDff_7J0KD5mKrp0Vvzr7lt3OU09vwQwhkpOPPYv2Y/edit?usp=sharing"",""งบพรบ!CX25"")"),0)</f>
        <v>0</v>
      </c>
      <c r="H25" s="151">
        <f ca="1">IFERROR(__xludf.DUMMYFUNCTION("IMPORTRANGE(""https://docs.google.com/spreadsheets/d/1-uDff_7J0KD5mKrp0Vvzr7lt3OU09vwQwhkpOPPYv2Y/edit?usp=sharing"",""งบพรบ!CZ25"")"),171300)</f>
        <v>171300</v>
      </c>
      <c r="I25" s="151">
        <f ca="1">IFERROR(__xludf.DUMMYFUNCTION("IMPORTRANGE(""https://docs.google.com/spreadsheets/d/1-uDff_7J0KD5mKrp0Vvzr7lt3OU09vwQwhkpOPPYv2Y/edit?usp=sharing"",""งบพรบ!DA25"")"),0)</f>
        <v>0</v>
      </c>
      <c r="J25" s="151">
        <f t="shared" ca="1" si="92"/>
        <v>171300</v>
      </c>
      <c r="K25" s="154">
        <f t="shared" ca="1" si="93"/>
        <v>134.35294117647058</v>
      </c>
      <c r="L25" s="151">
        <f ca="1">IFERROR(__xludf.DUMMYFUNCTION("IMPORTRANGE(""https://docs.google.com/spreadsheets/d/1-uDff_7J0KD5mKrp0Vvzr7lt3OU09vwQwhkpOPPYv2Y/edit?usp=sharing"",""งบพรบ!DB25"")"),171300)</f>
        <v>171300</v>
      </c>
      <c r="M25" s="68">
        <f t="shared" ca="1" si="94"/>
        <v>134.35294117647058</v>
      </c>
      <c r="N25" s="68">
        <f t="shared" ca="1" si="95"/>
        <v>100</v>
      </c>
      <c r="O25" s="67">
        <f ca="1">IFERROR(__xludf.DUMMYFUNCTION("IMPORTRANGE(""https://docs.google.com/spreadsheets/d/1-uDff_7J0KD5mKrp0Vvzr7lt3OU09vwQwhkpOPPYv2Y/edit?usp=sharing"",""งบพรบ!DC25"")"),0)</f>
        <v>0</v>
      </c>
      <c r="P25" s="67">
        <f t="shared" ca="1" si="96"/>
        <v>0</v>
      </c>
      <c r="Q25" s="68">
        <f t="shared" ca="1" si="97"/>
        <v>0</v>
      </c>
      <c r="R25" s="67">
        <f ca="1">IFERROR(__xludf.DUMMYFUNCTION("IMPORTRANGE(""https://docs.google.com/spreadsheets/d/1dQrvX0vEcN7Gu0fnZ0B5S90AeR19zth4XlExFBeExMY/edit?usp=sharing"",""แม่ฮ่องสอน!Q186"")"),14000)</f>
        <v>14000</v>
      </c>
      <c r="S25" s="67">
        <f ca="1">IFERROR(__xludf.DUMMYFUNCTION("IMPORTRANGE(""https://docs.google.com/spreadsheets/d/1dQrvX0vEcN7Gu0fnZ0B5S90AeR19zth4XlExFBeExMY/edit?usp=sharing"",""แม่ฮ่องสอน!R186"")"),14000)</f>
        <v>14000</v>
      </c>
      <c r="T25" s="67">
        <f ca="1">IFERROR(__xludf.DUMMYFUNCTION("IMPORTRANGE(""https://docs.google.com/spreadsheets/d/1dQrvX0vEcN7Gu0fnZ0B5S90AeR19zth4XlExFBeExMY/edit?usp=sharing"",""แม่ฮ่องสอน!S186"")"),11370)</f>
        <v>11370</v>
      </c>
      <c r="U25" s="68">
        <f t="shared" ca="1" si="99"/>
        <v>81.214285714285708</v>
      </c>
      <c r="V25" s="68">
        <f t="shared" ca="1" si="100"/>
        <v>81.214285714285708</v>
      </c>
      <c r="W25" s="152">
        <f ca="1">IFERROR(__xludf.DUMMYFUNCTION("IMPORTRANGE(""https://docs.google.com/spreadsheets/d/1dQrvX0vEcN7Gu0fnZ0B5S90AeR19zth4XlExFBeExMY/edit?usp=sharing"",""แม่ฮ่องสอน!L196"")"),6000)</f>
        <v>6000</v>
      </c>
      <c r="X25" s="152">
        <f ca="1">IFERROR(__xludf.DUMMYFUNCTION("IMPORTRANGE(""https://docs.google.com/spreadsheets/d/1dQrvX0vEcN7Gu0fnZ0B5S90AeR19zth4XlExFBeExMY/edit?usp=sharing"",""แม่ฮ่องสอน!N196"")"),4160)</f>
        <v>4160</v>
      </c>
      <c r="Y25" s="216">
        <f t="shared" ca="1" si="102"/>
        <v>69.333333333333329</v>
      </c>
      <c r="Z25" s="152">
        <f ca="1">IFERROR(__xludf.DUMMYFUNCTION("IMPORTRANGE(""https://docs.google.com/spreadsheets/d/1dQrvX0vEcN7Gu0fnZ0B5S90AeR19zth4XlExFBeExMY/edit?usp=sharing"",""แม่ฮ่องสอน!I198"")"),4)</f>
        <v>4</v>
      </c>
      <c r="AA25" s="152">
        <f ca="1">IFERROR(__xludf.DUMMYFUNCTION("IMPORTRANGE(""https://docs.google.com/spreadsheets/d/1dQrvX0vEcN7Gu0fnZ0B5S90AeR19zth4XlExFBeExMY/edit?usp=sharing"",""แม่ฮ่องสอน!J198"")"),3)</f>
        <v>3</v>
      </c>
      <c r="AB25" s="216">
        <f t="shared" ca="1" si="104"/>
        <v>75</v>
      </c>
      <c r="AC25" s="152">
        <f ca="1">IFERROR(__xludf.DUMMYFUNCTION("IMPORTRANGE(""https://docs.google.com/spreadsheets/d/1dQrvX0vEcN7Gu0fnZ0B5S90AeR19zth4XlExFBeExMY/edit?usp=sharing"",""แม่ฮ่องสอน!J199"")"),106)</f>
        <v>106</v>
      </c>
      <c r="AD25" s="152">
        <f ca="1">IFERROR(__xludf.DUMMYFUNCTION("IMPORTRANGE(""https://docs.google.com/spreadsheets/d/1dQrvX0vEcN7Gu0fnZ0B5S90AeR19zth4XlExFBeExMY/edit?usp=sharing"",""แม่ฮ่องสอน!J200"")"),104)</f>
        <v>104</v>
      </c>
      <c r="AE25" s="152">
        <f ca="1">IFERROR(__xludf.DUMMYFUNCTION("IMPORTRANGE(""https://docs.google.com/spreadsheets/d/1dQrvX0vEcN7Gu0fnZ0B5S90AeR19zth4XlExFBeExMY/edit?usp=sharing"",""แม่ฮ่องสอน!J201"")"),2)</f>
        <v>2</v>
      </c>
      <c r="AF25" s="152">
        <f ca="1">IFERROR(__xludf.DUMMYFUNCTION("IMPORTRANGE(""https://docs.google.com/spreadsheets/d/1dQrvX0vEcN7Gu0fnZ0B5S90AeR19zth4XlExFBeExMY/edit?usp=sharing"",""แม่ฮ่องสอน!L204"")"),2000)</f>
        <v>2000</v>
      </c>
      <c r="AG25" s="152">
        <f ca="1">IFERROR(__xludf.DUMMYFUNCTION("IMPORTRANGE(""https://docs.google.com/spreadsheets/d/1dQrvX0vEcN7Gu0fnZ0B5S90AeR19zth4XlExFBeExMY/edit?usp=sharing"",""แม่ฮ่องสอน!N204"")"),1500)</f>
        <v>1500</v>
      </c>
      <c r="AH25" s="216">
        <f t="shared" ca="1" si="106"/>
        <v>75</v>
      </c>
      <c r="AI25" s="152">
        <f ca="1">IFERROR(__xludf.DUMMYFUNCTION("IMPORTRANGE(""https://docs.google.com/spreadsheets/d/1dQrvX0vEcN7Gu0fnZ0B5S90AeR19zth4XlExFBeExMY/edit?usp=sharing"",""แม่ฮ่องสอน!L206"")"),8000)</f>
        <v>8000</v>
      </c>
      <c r="AJ25" s="152">
        <f ca="1">IFERROR(__xludf.DUMMYFUNCTION("IMPORTRANGE(""https://docs.google.com/spreadsheets/d/1dQrvX0vEcN7Gu0fnZ0B5S90AeR19zth4XlExFBeExMY/edit?usp=sharing"",""แม่ฮ่องสอน!N206"")"),8000)</f>
        <v>8000</v>
      </c>
      <c r="AK25" s="216">
        <f t="shared" ca="1" si="108"/>
        <v>100</v>
      </c>
      <c r="AL25" s="152">
        <f ca="1">IFERROR(__xludf.DUMMYFUNCTION("IMPORTRANGE(""https://docs.google.com/spreadsheets/d/1dQrvX0vEcN7Gu0fnZ0B5S90AeR19zth4XlExFBeExMY/edit?usp=sharing"",""แม่ฮ่องสอน!Q206"")"),14000)</f>
        <v>14000</v>
      </c>
      <c r="AM25" s="152">
        <f ca="1">IFERROR(__xludf.DUMMYFUNCTION("IMPORTRANGE(""https://docs.google.com/spreadsheets/d/1dQrvX0vEcN7Gu0fnZ0B5S90AeR19zth4XlExFBeExMY/edit?usp=sharing"",""แม่ฮ่องสอน!S206"")"),11370)</f>
        <v>11370</v>
      </c>
      <c r="AN25" s="216">
        <f t="shared" ca="1" si="110"/>
        <v>81.214285714285708</v>
      </c>
      <c r="AO25" s="152">
        <f ca="1">IFERROR(__xludf.DUMMYFUNCTION("IMPORTRANGE(""https://docs.google.com/spreadsheets/d/1dQrvX0vEcN7Gu0fnZ0B5S90AeR19zth4XlExFBeExMY/edit?usp=sharing"",""แม่ฮ่องสอน!L207"")"),8000)</f>
        <v>8000</v>
      </c>
      <c r="AP25" s="152">
        <f ca="1">IFERROR(__xludf.DUMMYFUNCTION("IMPORTRANGE(""https://docs.google.com/spreadsheets/d/1dQrvX0vEcN7Gu0fnZ0B5S90AeR19zth4XlExFBeExMY/edit?usp=sharing"",""แม่ฮ่องสอน!N207"")"),8000)</f>
        <v>8000</v>
      </c>
      <c r="AQ25" s="216">
        <f t="shared" ca="1" si="112"/>
        <v>100</v>
      </c>
      <c r="AR25" s="152">
        <f ca="1">IFERROR(__xludf.DUMMYFUNCTION("IMPORTRANGE(""https://docs.google.com/spreadsheets/d/1dQrvX0vEcN7Gu0fnZ0B5S90AeR19zth4XlExFBeExMY/edit?usp=sharing"",""แม่ฮ่องสอน!I209"")"),2)</f>
        <v>2</v>
      </c>
      <c r="AS25" s="152">
        <f ca="1">IFERROR(__xludf.DUMMYFUNCTION("IMPORTRANGE(""https://docs.google.com/spreadsheets/d/1dQrvX0vEcN7Gu0fnZ0B5S90AeR19zth4XlExFBeExMY/edit?usp=sharing"",""แม่ฮ่องสอน!J209"")"),2)</f>
        <v>2</v>
      </c>
      <c r="AT25" s="216">
        <f t="shared" ca="1" si="114"/>
        <v>100</v>
      </c>
      <c r="AU25" s="152">
        <f ca="1">IFERROR(__xludf.DUMMYFUNCTION("IMPORTRANGE(""https://docs.google.com/spreadsheets/d/1dQrvX0vEcN7Gu0fnZ0B5S90AeR19zth4XlExFBeExMY/edit?usp=sharing"",""แม่ฮ่องสอน!J211"")"),1)</f>
        <v>1</v>
      </c>
      <c r="AV25" s="152">
        <f ca="1">IFERROR(__xludf.DUMMYFUNCTION("IMPORTRANGE(""https://docs.google.com/spreadsheets/d/1dQrvX0vEcN7Gu0fnZ0B5S90AeR19zth4XlExFBeExMY/edit?usp=sharing"",""แม่ฮ่องสอน!J212"")"),0)</f>
        <v>0</v>
      </c>
      <c r="AW25" s="152">
        <f ca="1">IFERROR(__xludf.DUMMYFUNCTION("IMPORTRANGE(""https://docs.google.com/spreadsheets/d/1dQrvX0vEcN7Gu0fnZ0B5S90AeR19zth4XlExFBeExMY/edit?usp=sharing"",""แม่ฮ่องสอน!L215"")"),0)</f>
        <v>0</v>
      </c>
      <c r="AX25" s="152">
        <f ca="1">IFERROR(__xludf.DUMMYFUNCTION("IMPORTRANGE(""https://docs.google.com/spreadsheets/d/1dQrvX0vEcN7Gu0fnZ0B5S90AeR19zth4XlExFBeExMY/edit?usp=sharing"",""แม่ฮ่องสอน!N215"")"),0)</f>
        <v>0</v>
      </c>
      <c r="AY25" s="216">
        <f t="shared" ca="1" si="116"/>
        <v>0</v>
      </c>
      <c r="AZ25" s="152">
        <f ca="1">IFERROR(__xludf.DUMMYFUNCTION("IMPORTRANGE(""https://docs.google.com/spreadsheets/d/1dQrvX0vEcN7Gu0fnZ0B5S90AeR19zth4XlExFBeExMY/edit?usp=sharing"",""แม่ฮ่องสอน!L216"")"),0)</f>
        <v>0</v>
      </c>
      <c r="BA25" s="152">
        <f ca="1">IFERROR(__xludf.DUMMYFUNCTION("IMPORTRANGE(""https://docs.google.com/spreadsheets/d/1dQrvX0vEcN7Gu0fnZ0B5S90AeR19zth4XlExFBeExMY/edit?usp=sharing"",""แม่ฮ่องสอน!N216"")"),0)</f>
        <v>0</v>
      </c>
      <c r="BB25" s="216">
        <f t="shared" ca="1" si="118"/>
        <v>0</v>
      </c>
      <c r="BC25" s="152">
        <f ca="1">IFERROR(__xludf.DUMMYFUNCTION("IMPORTRANGE(""https://docs.google.com/spreadsheets/d/1dQrvX0vEcN7Gu0fnZ0B5S90AeR19zth4XlExFBeExMY/edit?usp=sharing"",""แม่ฮ่องสอน!L217"")"),0)</f>
        <v>0</v>
      </c>
      <c r="BD25" s="152">
        <f ca="1">IFERROR(__xludf.DUMMYFUNCTION("IMPORTRANGE(""https://docs.google.com/spreadsheets/d/1dQrvX0vEcN7Gu0fnZ0B5S90AeR19zth4XlExFBeExMY/edit?usp=sharing"",""แม่ฮ่องสอน!N217"")"),0)</f>
        <v>0</v>
      </c>
      <c r="BE25" s="216">
        <f t="shared" ca="1" si="120"/>
        <v>0</v>
      </c>
      <c r="BF25" s="152">
        <f ca="1">IFERROR(__xludf.DUMMYFUNCTION("IMPORTRANGE(""https://docs.google.com/spreadsheets/d/1dQrvX0vEcN7Gu0fnZ0B5S90AeR19zth4XlExFBeExMY/edit?usp=sharing"",""แม่ฮ่องสอน!Q217"")"),0)</f>
        <v>0</v>
      </c>
      <c r="BG25" s="152">
        <f ca="1">IFERROR(__xludf.DUMMYFUNCTION("IMPORTRANGE(""https://docs.google.com/spreadsheets/d/1dQrvX0vEcN7Gu0fnZ0B5S90AeR19zth4XlExFBeExMY/edit?usp=sharing"",""แม่ฮ่องสอน!S217"")"),0)</f>
        <v>0</v>
      </c>
      <c r="BH25" s="216">
        <f t="shared" ca="1" si="122"/>
        <v>0</v>
      </c>
      <c r="BI25" s="152">
        <f ca="1">IFERROR(__xludf.DUMMYFUNCTION("IMPORTRANGE(""https://docs.google.com/spreadsheets/d/1dQrvX0vEcN7Gu0fnZ0B5S90AeR19zth4XlExFBeExMY/edit?usp=sharing"",""แม่ฮ่องสอน!I219"")"),0)</f>
        <v>0</v>
      </c>
      <c r="BJ25" s="152">
        <f ca="1">IFERROR(__xludf.DUMMYFUNCTION("IMPORTRANGE(""https://docs.google.com/spreadsheets/d/1dQrvX0vEcN7Gu0fnZ0B5S90AeR19zth4XlExFBeExMY/edit?usp=sharing"",""แม่ฮ่องสอน!J219"")"),0)</f>
        <v>0</v>
      </c>
      <c r="BK25" s="216">
        <f t="shared" ca="1" si="124"/>
        <v>0</v>
      </c>
      <c r="BL25" s="152">
        <f ca="1">IFERROR(__xludf.DUMMYFUNCTION("IMPORTRANGE(""https://docs.google.com/spreadsheets/d/1dQrvX0vEcN7Gu0fnZ0B5S90AeR19zth4XlExFBeExMY/edit?usp=sharing"",""แม่ฮ่องสอน!I220"")"),0)</f>
        <v>0</v>
      </c>
      <c r="BM25" s="152">
        <f ca="1">IFERROR(__xludf.DUMMYFUNCTION("IMPORTRANGE(""https://docs.google.com/spreadsheets/d/1dQrvX0vEcN7Gu0fnZ0B5S90AeR19zth4XlExFBeExMY/edit?usp=sharing"",""แม่ฮ่องสอน!J220"")"),0)</f>
        <v>0</v>
      </c>
      <c r="BN25" s="216">
        <f t="shared" ca="1" si="126"/>
        <v>0</v>
      </c>
      <c r="BO25" s="152">
        <f ca="1">IFERROR(__xludf.DUMMYFUNCTION("IMPORTRANGE(""https://docs.google.com/spreadsheets/d/1dQrvX0vEcN7Gu0fnZ0B5S90AeR19zth4XlExFBeExMY/edit?usp=sharing"",""แม่ฮ่องสอน!L223"")"),2500)</f>
        <v>2500</v>
      </c>
      <c r="BP25" s="152">
        <f ca="1">IFERROR(__xludf.DUMMYFUNCTION("IMPORTRANGE(""https://docs.google.com/spreadsheets/d/1dQrvX0vEcN7Gu0fnZ0B5S90AeR19zth4XlExFBeExMY/edit?usp=sharing"",""แม่ฮ่องสอน!N223"")"),2500)</f>
        <v>2500</v>
      </c>
      <c r="BQ25" s="216">
        <f t="shared" ca="1" si="128"/>
        <v>100</v>
      </c>
      <c r="BR25" s="152">
        <f ca="1">IFERROR(__xludf.DUMMYFUNCTION("IMPORTRANGE(""https://docs.google.com/spreadsheets/d/1dQrvX0vEcN7Gu0fnZ0B5S90AeR19zth4XlExFBeExMY/edit?usp=sharing"",""แม่ฮ่องสอน!L224"")"),10000)</f>
        <v>10000</v>
      </c>
      <c r="BS25" s="152">
        <f ca="1">IFERROR(__xludf.DUMMYFUNCTION("IMPORTRANGE(""https://docs.google.com/spreadsheets/d/1dQrvX0vEcN7Gu0fnZ0B5S90AeR19zth4XlExFBeExMY/edit?usp=sharing"",""แม่ฮ่องสอน!N224"")"),10000)</f>
        <v>10000</v>
      </c>
      <c r="BT25" s="216">
        <f t="shared" ca="1" si="130"/>
        <v>100</v>
      </c>
      <c r="BU25" s="152">
        <f ca="1">IFERROR(__xludf.DUMMYFUNCTION("IMPORTRANGE(""https://docs.google.com/spreadsheets/d/1dQrvX0vEcN7Gu0fnZ0B5S90AeR19zth4XlExFBeExMY/edit?usp=sharing"",""แม่ฮ่องสอน!I228"")"),100000)</f>
        <v>100000</v>
      </c>
      <c r="BV25" s="152">
        <f ca="1">IFERROR(__xludf.DUMMYFUNCTION("IMPORTRANGE(""https://docs.google.com/spreadsheets/d/1dQrvX0vEcN7Gu0fnZ0B5S90AeR19zth4XlExFBeExMY/edit?usp=sharing"",""แม่ฮ่องสอน!J228"")"),100000)</f>
        <v>100000</v>
      </c>
      <c r="BW25" s="216">
        <f t="shared" ca="1" si="132"/>
        <v>100</v>
      </c>
      <c r="BX25" s="152">
        <f ca="1">IFERROR(__xludf.DUMMYFUNCTION("IMPORTRANGE(""https://docs.google.com/spreadsheets/d/1dQrvX0vEcN7Gu0fnZ0B5S90AeR19zth4XlExFBeExMY/edit?usp=sharing"",""แม่ฮ่องสอน!I229"")"),100000)</f>
        <v>100000</v>
      </c>
      <c r="BY25" s="152">
        <f ca="1">IFERROR(__xludf.DUMMYFUNCTION("IMPORTRANGE(""https://docs.google.com/spreadsheets/d/1dQrvX0vEcN7Gu0fnZ0B5S90AeR19zth4XlExFBeExMY/edit?usp=sharing"",""แม่ฮ่องสอน!J229"")"),100000)</f>
        <v>100000</v>
      </c>
      <c r="BZ25" s="216">
        <f t="shared" ca="1" si="134"/>
        <v>100</v>
      </c>
      <c r="CA25" s="152">
        <f ca="1">IFERROR(__xludf.DUMMYFUNCTION("IMPORTRANGE(""https://docs.google.com/spreadsheets/d/1dQrvX0vEcN7Gu0fnZ0B5S90AeR19zth4XlExFBeExMY/edit?usp=sharing"",""แม่ฮ่องสอน!I230"")"),0)</f>
        <v>0</v>
      </c>
      <c r="CB25" s="152">
        <f ca="1">IFERROR(__xludf.DUMMYFUNCTION("IMPORTRANGE(""https://docs.google.com/spreadsheets/d/1dQrvX0vEcN7Gu0fnZ0B5S90AeR19zth4XlExFBeExMY/edit?usp=sharing"",""แม่ฮ่องสอน!J230"")"),0)</f>
        <v>0</v>
      </c>
      <c r="CC25" s="216">
        <f t="shared" ca="1" si="136"/>
        <v>0</v>
      </c>
      <c r="CD25" s="152">
        <f ca="1">IFERROR(__xludf.DUMMYFUNCTION("IMPORTRANGE(""https://docs.google.com/spreadsheets/d/1dQrvX0vEcN7Gu0fnZ0B5S90AeR19zth4XlExFBeExMY/edit?usp=sharing"",""แม่ฮ่องสอน!L233"")"),0)</f>
        <v>0</v>
      </c>
      <c r="CE25" s="152">
        <f ca="1">IFERROR(__xludf.DUMMYFUNCTION("IMPORTRANGE(""https://docs.google.com/spreadsheets/d/1dQrvX0vEcN7Gu0fnZ0B5S90AeR19zth4XlExFBeExMY/edit?usp=sharing"",""แม่ฮ่องสอน!N233"")"),0)</f>
        <v>0</v>
      </c>
      <c r="CF25" s="216">
        <f t="shared" ca="1" si="138"/>
        <v>0</v>
      </c>
      <c r="CG25" s="152">
        <f ca="1">IFERROR(__xludf.DUMMYFUNCTION("IMPORTRANGE(""https://docs.google.com/spreadsheets/d/1dQrvX0vEcN7Gu0fnZ0B5S90AeR19zth4XlExFBeExMY/edit?usp=sharing"",""แม่ฮ่องสอน!L234"")"),0)</f>
        <v>0</v>
      </c>
      <c r="CH25" s="152">
        <f ca="1">IFERROR(__xludf.DUMMYFUNCTION("IMPORTRANGE(""https://docs.google.com/spreadsheets/d/1dQrvX0vEcN7Gu0fnZ0B5S90AeR19zth4XlExFBeExMY/edit?usp=sharing"",""แม่ฮ่องสอน!N234"")"),0)</f>
        <v>0</v>
      </c>
      <c r="CI25" s="216">
        <f t="shared" ca="1" si="140"/>
        <v>0</v>
      </c>
      <c r="CJ25" s="152">
        <f ca="1">IFERROR(__xludf.DUMMYFUNCTION("IMPORTRANGE(""https://docs.google.com/spreadsheets/d/1dQrvX0vEcN7Gu0fnZ0B5S90AeR19zth4XlExFBeExMY/edit?usp=sharing"",""แม่ฮ่องสอน!L235"")"),0)</f>
        <v>0</v>
      </c>
      <c r="CK25" s="152">
        <f ca="1">IFERROR(__xludf.DUMMYFUNCTION("IMPORTRANGE(""https://docs.google.com/spreadsheets/d/1dQrvX0vEcN7Gu0fnZ0B5S90AeR19zth4XlExFBeExMY/edit?usp=sharing"",""แม่ฮ่องสอน!N235"")"),0)</f>
        <v>0</v>
      </c>
      <c r="CL25" s="216">
        <f t="shared" ca="1" si="142"/>
        <v>0</v>
      </c>
      <c r="CM25" s="251">
        <f ca="1">IFERROR(__xludf.DUMMYFUNCTION("IMPORTRANGE(""https://docs.google.com/spreadsheets/d/1dQrvX0vEcN7Gu0fnZ0B5S90AeR19zth4XlExFBeExMY/edit?usp=sharing"",""แม่ฮ่องสอน!Q235"")"),0)</f>
        <v>0</v>
      </c>
      <c r="CN25" s="251">
        <f ca="1">IFERROR(__xludf.DUMMYFUNCTION("IMPORTRANGE(""https://docs.google.com/spreadsheets/d/1dQrvX0vEcN7Gu0fnZ0B5S90AeR19zth4XlExFBeExMY/edit?usp=sharing"",""แม่ฮ่องสอน!S235"")"),0)</f>
        <v>0</v>
      </c>
      <c r="CO25" s="216">
        <f t="shared" ca="1" si="144"/>
        <v>0</v>
      </c>
      <c r="CP25" s="152">
        <f ca="1">IFERROR(__xludf.DUMMYFUNCTION("IMPORTRANGE(""https://docs.google.com/spreadsheets/d/1dQrvX0vEcN7Gu0fnZ0B5S90AeR19zth4XlExFBeExMY/edit?usp=sharing"",""แม่ฮ่องสอน!L236"")"),0)</f>
        <v>0</v>
      </c>
      <c r="CQ25" s="152">
        <f ca="1">IFERROR(__xludf.DUMMYFUNCTION("IMPORTRANGE(""https://docs.google.com/spreadsheets/d/1dQrvX0vEcN7Gu0fnZ0B5S90AeR19zth4XlExFBeExMY/edit?usp=sharing"",""แม่ฮ่องสอน!N236"")"),0)</f>
        <v>0</v>
      </c>
      <c r="CR25" s="216">
        <f t="shared" ca="1" si="146"/>
        <v>0</v>
      </c>
      <c r="CS25" s="152">
        <f ca="1">IFERROR(__xludf.DUMMYFUNCTION("IMPORTRANGE(""https://docs.google.com/spreadsheets/d/1dQrvX0vEcN7Gu0fnZ0B5S90AeR19zth4XlExFBeExMY/edit?usp=sharing"",""แม่ฮ่องสอน!I238"")"),0)</f>
        <v>0</v>
      </c>
      <c r="CT25" s="152">
        <f ca="1">IFERROR(__xludf.DUMMYFUNCTION("IMPORTRANGE(""https://docs.google.com/spreadsheets/d/1dQrvX0vEcN7Gu0fnZ0B5S90AeR19zth4XlExFBeExMY/edit?usp=sharing"",""แม่ฮ่องสอน!J238"")"),0)</f>
        <v>0</v>
      </c>
      <c r="CU25" s="216">
        <f t="shared" ca="1" si="148"/>
        <v>0</v>
      </c>
      <c r="CV25" s="152">
        <f ca="1">IFERROR(__xludf.DUMMYFUNCTION("IMPORTRANGE(""https://docs.google.com/spreadsheets/d/1dQrvX0vEcN7Gu0fnZ0B5S90AeR19zth4XlExFBeExMY/edit?usp=sharing"",""แม่ฮ่องสอน!J240"")"),0)</f>
        <v>0</v>
      </c>
      <c r="CW25" s="152">
        <f ca="1">IFERROR(__xludf.DUMMYFUNCTION("IMPORTRANGE(""https://docs.google.com/spreadsheets/d/1dQrvX0vEcN7Gu0fnZ0B5S90AeR19zth4XlExFBeExMY/edit?usp=sharing"",""แม่ฮ่องสอน!J241"")"),0)</f>
        <v>0</v>
      </c>
    </row>
    <row r="26" spans="1:101" ht="24" customHeight="1" x14ac:dyDescent="0.3">
      <c r="A26" s="147">
        <v>13</v>
      </c>
      <c r="B26" s="148" t="s">
        <v>54</v>
      </c>
      <c r="C26" s="149">
        <f t="shared" ca="1" si="90"/>
        <v>118500</v>
      </c>
      <c r="D26" s="150">
        <f t="shared" ca="1" si="150"/>
        <v>118500</v>
      </c>
      <c r="E26" s="151">
        <f ca="1">IFERROR(__xludf.DUMMYFUNCTION("IMPORTRANGE(""https://docs.google.com/spreadsheets/d/1-uDff_7J0KD5mKrp0Vvzr7lt3OU09vwQwhkpOPPYv2Y/edit?usp=sharing"",""งบพรบ!CV26"")"),91000)</f>
        <v>91000</v>
      </c>
      <c r="F26" s="151">
        <f ca="1">IFERROR(__xludf.DUMMYFUNCTION("IMPORTRANGE(""https://docs.google.com/spreadsheets/d/1-uDff_7J0KD5mKrp0Vvzr7lt3OU09vwQwhkpOPPYv2Y/edit?usp=sharing"",""งบพรบ!CW26"")"),27500)</f>
        <v>27500</v>
      </c>
      <c r="G26" s="151">
        <f ca="1">IFERROR(__xludf.DUMMYFUNCTION("IMPORTRANGE(""https://docs.google.com/spreadsheets/d/1-uDff_7J0KD5mKrp0Vvzr7lt3OU09vwQwhkpOPPYv2Y/edit?usp=sharing"",""งบพรบ!CX26"")"),0)</f>
        <v>0</v>
      </c>
      <c r="H26" s="151">
        <f ca="1">IFERROR(__xludf.DUMMYFUNCTION("IMPORTRANGE(""https://docs.google.com/spreadsheets/d/1-uDff_7J0KD5mKrp0Vvzr7lt3OU09vwQwhkpOPPYv2Y/edit?usp=sharing"",""งบพรบ!CZ26"")"),120500)</f>
        <v>120500</v>
      </c>
      <c r="I26" s="151">
        <f ca="1">IFERROR(__xludf.DUMMYFUNCTION("IMPORTRANGE(""https://docs.google.com/spreadsheets/d/1-uDff_7J0KD5mKrp0Vvzr7lt3OU09vwQwhkpOPPYv2Y/edit?usp=sharing"",""งบพรบ!DA26"")"),0)</f>
        <v>0</v>
      </c>
      <c r="J26" s="151">
        <f t="shared" ca="1" si="92"/>
        <v>118180.01</v>
      </c>
      <c r="K26" s="154">
        <f t="shared" ca="1" si="93"/>
        <v>99.729966244725745</v>
      </c>
      <c r="L26" s="151">
        <f ca="1">IFERROR(__xludf.DUMMYFUNCTION("IMPORTRANGE(""https://docs.google.com/spreadsheets/d/1-uDff_7J0KD5mKrp0Vvzr7lt3OU09vwQwhkpOPPYv2Y/edit?usp=sharing"",""งบพรบ!DB26"")"),118180.01)</f>
        <v>118180.01</v>
      </c>
      <c r="M26" s="68">
        <f t="shared" ca="1" si="94"/>
        <v>99.729966244725745</v>
      </c>
      <c r="N26" s="68">
        <f t="shared" ca="1" si="95"/>
        <v>98.074697095435681</v>
      </c>
      <c r="O26" s="67">
        <f ca="1">IFERROR(__xludf.DUMMYFUNCTION("IMPORTRANGE(""https://docs.google.com/spreadsheets/d/1-uDff_7J0KD5mKrp0Vvzr7lt3OU09vwQwhkpOPPYv2Y/edit?usp=sharing"",""งบพรบ!DC26"")"),0)</f>
        <v>0</v>
      </c>
      <c r="P26" s="67">
        <f t="shared" ca="1" si="96"/>
        <v>0</v>
      </c>
      <c r="Q26" s="68">
        <f t="shared" ca="1" si="97"/>
        <v>0</v>
      </c>
      <c r="R26" s="67">
        <f ca="1">IFERROR(__xludf.DUMMYFUNCTION("IMPORTRANGE(""https://docs.google.com/spreadsheets/d/1DY4XTNNwjluuxqdfdn6qvOSlMRrZqUtmYcZR0ttFiG4/edit?usp=sharing"",""ลำปาง!Q186"")"),28000)</f>
        <v>28000</v>
      </c>
      <c r="S26" s="67">
        <f ca="1">IFERROR(__xludf.DUMMYFUNCTION("IMPORTRANGE(""https://docs.google.com/spreadsheets/d/1DY4XTNNwjluuxqdfdn6qvOSlMRrZqUtmYcZR0ttFiG4/edit?usp=sharing"",""ลำปาง!R186"")"),28000)</f>
        <v>28000</v>
      </c>
      <c r="T26" s="67">
        <f ca="1">IFERROR(__xludf.DUMMYFUNCTION("IMPORTRANGE(""https://docs.google.com/spreadsheets/d/1DY4XTNNwjluuxqdfdn6qvOSlMRrZqUtmYcZR0ttFiG4/edit?usp=sharing"",""ลำปาง!S186"")"),28000)</f>
        <v>28000</v>
      </c>
      <c r="U26" s="68">
        <f t="shared" ca="1" si="99"/>
        <v>100</v>
      </c>
      <c r="V26" s="68">
        <f t="shared" ca="1" si="100"/>
        <v>100</v>
      </c>
      <c r="W26" s="152">
        <f ca="1">IFERROR(__xludf.DUMMYFUNCTION("IMPORTRANGE(""https://docs.google.com/spreadsheets/d/1DY4XTNNwjluuxqdfdn6qvOSlMRrZqUtmYcZR0ttFiG4/edit?usp=sharing"",""ลำปาง!L196"")"),6000)</f>
        <v>6000</v>
      </c>
      <c r="X26" s="152">
        <f ca="1">IFERROR(__xludf.DUMMYFUNCTION("IMPORTRANGE(""https://docs.google.com/spreadsheets/d/1DY4XTNNwjluuxqdfdn6qvOSlMRrZqUtmYcZR0ttFiG4/edit?usp=sharing"",""ลำปาง!N196"")"),1500)</f>
        <v>1500</v>
      </c>
      <c r="Y26" s="216">
        <f t="shared" ca="1" si="102"/>
        <v>25</v>
      </c>
      <c r="Z26" s="152">
        <f ca="1">IFERROR(__xludf.DUMMYFUNCTION("IMPORTRANGE(""https://docs.google.com/spreadsheets/d/1DY4XTNNwjluuxqdfdn6qvOSlMRrZqUtmYcZR0ttFiG4/edit?usp=sharing"",""ลำปาง!I198"")"),4)</f>
        <v>4</v>
      </c>
      <c r="AA26" s="152">
        <f ca="1">IFERROR(__xludf.DUMMYFUNCTION("IMPORTRANGE(""https://docs.google.com/spreadsheets/d/1DY4XTNNwjluuxqdfdn6qvOSlMRrZqUtmYcZR0ttFiG4/edit?usp=sharing"",""ลำปาง!J198"")"),4)</f>
        <v>4</v>
      </c>
      <c r="AB26" s="216">
        <f t="shared" ca="1" si="104"/>
        <v>100</v>
      </c>
      <c r="AC26" s="152">
        <f ca="1">IFERROR(__xludf.DUMMYFUNCTION("IMPORTRANGE(""https://docs.google.com/spreadsheets/d/1DY4XTNNwjluuxqdfdn6qvOSlMRrZqUtmYcZR0ttFiG4/edit?usp=sharing"",""ลำปาง!J199"")"),160)</f>
        <v>160</v>
      </c>
      <c r="AD26" s="152">
        <f ca="1">IFERROR(__xludf.DUMMYFUNCTION("IMPORTRANGE(""https://docs.google.com/spreadsheets/d/1DY4XTNNwjluuxqdfdn6qvOSlMRrZqUtmYcZR0ttFiG4/edit?usp=sharing"",""ลำปาง!J200"")"),160)</f>
        <v>160</v>
      </c>
      <c r="AE26" s="152">
        <f ca="1">IFERROR(__xludf.DUMMYFUNCTION("IMPORTRANGE(""https://docs.google.com/spreadsheets/d/1DY4XTNNwjluuxqdfdn6qvOSlMRrZqUtmYcZR0ttFiG4/edit?usp=sharing"",""ลำปาง!J201"")"),0)</f>
        <v>0</v>
      </c>
      <c r="AF26" s="152">
        <f ca="1">IFERROR(__xludf.DUMMYFUNCTION("IMPORTRANGE(""https://docs.google.com/spreadsheets/d/1DY4XTNNwjluuxqdfdn6qvOSlMRrZqUtmYcZR0ttFiG4/edit?usp=sharing"",""ลำปาง!L204"")"),2000)</f>
        <v>2000</v>
      </c>
      <c r="AG26" s="152">
        <f ca="1">IFERROR(__xludf.DUMMYFUNCTION("IMPORTRANGE(""https://docs.google.com/spreadsheets/d/1DY4XTNNwjluuxqdfdn6qvOSlMRrZqUtmYcZR0ttFiG4/edit?usp=sharing"",""ลำปาง!N204"")"),980)</f>
        <v>980</v>
      </c>
      <c r="AH26" s="216">
        <f t="shared" ca="1" si="106"/>
        <v>49</v>
      </c>
      <c r="AI26" s="152">
        <f ca="1">IFERROR(__xludf.DUMMYFUNCTION("IMPORTRANGE(""https://docs.google.com/spreadsheets/d/1DY4XTNNwjluuxqdfdn6qvOSlMRrZqUtmYcZR0ttFiG4/edit?usp=sharing"",""ลำปาง!L206"")"),0)</f>
        <v>0</v>
      </c>
      <c r="AJ26" s="152">
        <f ca="1">IFERROR(__xludf.DUMMYFUNCTION("IMPORTRANGE(""https://docs.google.com/spreadsheets/d/1DY4XTNNwjluuxqdfdn6qvOSlMRrZqUtmYcZR0ttFiG4/edit?usp=sharing"",""ลำปาง!N206"")"),0)</f>
        <v>0</v>
      </c>
      <c r="AK26" s="216">
        <f t="shared" ca="1" si="108"/>
        <v>0</v>
      </c>
      <c r="AL26" s="152">
        <f ca="1">IFERROR(__xludf.DUMMYFUNCTION("IMPORTRANGE(""https://docs.google.com/spreadsheets/d/1DY4XTNNwjluuxqdfdn6qvOSlMRrZqUtmYcZR0ttFiG4/edit?usp=sharing"",""ลำปาง!Q206"")"),28000)</f>
        <v>28000</v>
      </c>
      <c r="AM26" s="152">
        <f ca="1">IFERROR(__xludf.DUMMYFUNCTION("IMPORTRANGE(""https://docs.google.com/spreadsheets/d/1DY4XTNNwjluuxqdfdn6qvOSlMRrZqUtmYcZR0ttFiG4/edit?usp=sharing"",""ลำปาง!S206"")"),28000)</f>
        <v>28000</v>
      </c>
      <c r="AN26" s="216">
        <f t="shared" ca="1" si="110"/>
        <v>100</v>
      </c>
      <c r="AO26" s="152">
        <f ca="1">IFERROR(__xludf.DUMMYFUNCTION("IMPORTRANGE(""https://docs.google.com/spreadsheets/d/1DY4XTNNwjluuxqdfdn6qvOSlMRrZqUtmYcZR0ttFiG4/edit?usp=sharing"",""ลำปาง!L207"")"),11000)</f>
        <v>11000</v>
      </c>
      <c r="AP26" s="152">
        <f ca="1">IFERROR(__xludf.DUMMYFUNCTION("IMPORTRANGE(""https://docs.google.com/spreadsheets/d/1DY4XTNNwjluuxqdfdn6qvOSlMRrZqUtmYcZR0ttFiG4/edit?usp=sharing"",""ลำปาง!N207"")"),11000)</f>
        <v>11000</v>
      </c>
      <c r="AQ26" s="216">
        <f t="shared" ca="1" si="112"/>
        <v>100</v>
      </c>
      <c r="AR26" s="152">
        <f ca="1">IFERROR(__xludf.DUMMYFUNCTION("IMPORTRANGE(""https://docs.google.com/spreadsheets/d/1DY4XTNNwjluuxqdfdn6qvOSlMRrZqUtmYcZR0ttFiG4/edit?usp=sharing"",""ลำปาง!I209"")"),2)</f>
        <v>2</v>
      </c>
      <c r="AS26" s="152">
        <f ca="1">IFERROR(__xludf.DUMMYFUNCTION("IMPORTRANGE(""https://docs.google.com/spreadsheets/d/1DY4XTNNwjluuxqdfdn6qvOSlMRrZqUtmYcZR0ttFiG4/edit?usp=sharing"",""ลำปาง!J209"")"),2)</f>
        <v>2</v>
      </c>
      <c r="AT26" s="216">
        <f t="shared" ca="1" si="114"/>
        <v>100</v>
      </c>
      <c r="AU26" s="152">
        <f ca="1">IFERROR(__xludf.DUMMYFUNCTION("IMPORTRANGE(""https://docs.google.com/spreadsheets/d/1DY4XTNNwjluuxqdfdn6qvOSlMRrZqUtmYcZR0ttFiG4/edit?usp=sharing"",""ลำปาง!J211"")"),2)</f>
        <v>2</v>
      </c>
      <c r="AV26" s="152">
        <f ca="1">IFERROR(__xludf.DUMMYFUNCTION("IMPORTRANGE(""https://docs.google.com/spreadsheets/d/1DY4XTNNwjluuxqdfdn6qvOSlMRrZqUtmYcZR0ttFiG4/edit?usp=sharing"",""ลำปาง!J212"")"),1)</f>
        <v>1</v>
      </c>
      <c r="AW26" s="152">
        <f ca="1">IFERROR(__xludf.DUMMYFUNCTION("IMPORTRANGE(""https://docs.google.com/spreadsheets/d/1DY4XTNNwjluuxqdfdn6qvOSlMRrZqUtmYcZR0ttFiG4/edit?usp=sharing"",""ลำปาง!L215"")"),0)</f>
        <v>0</v>
      </c>
      <c r="AX26" s="152">
        <f ca="1">IFERROR(__xludf.DUMMYFUNCTION("IMPORTRANGE(""https://docs.google.com/spreadsheets/d/1DY4XTNNwjluuxqdfdn6qvOSlMRrZqUtmYcZR0ttFiG4/edit?usp=sharing"",""ลำปาง!N215"")"),0)</f>
        <v>0</v>
      </c>
      <c r="AY26" s="216">
        <f t="shared" ca="1" si="116"/>
        <v>0</v>
      </c>
      <c r="AZ26" s="152">
        <f ca="1">IFERROR(__xludf.DUMMYFUNCTION("IMPORTRANGE(""https://docs.google.com/spreadsheets/d/1DY4XTNNwjluuxqdfdn6qvOSlMRrZqUtmYcZR0ttFiG4/edit?usp=sharing"",""ลำปาง!L216"")"),0)</f>
        <v>0</v>
      </c>
      <c r="BA26" s="152">
        <f ca="1">IFERROR(__xludf.DUMMYFUNCTION("IMPORTRANGE(""https://docs.google.com/spreadsheets/d/1DY4XTNNwjluuxqdfdn6qvOSlMRrZqUtmYcZR0ttFiG4/edit?usp=sharing"",""ลำปาง!N216"")"),0)</f>
        <v>0</v>
      </c>
      <c r="BB26" s="216">
        <f t="shared" ca="1" si="118"/>
        <v>0</v>
      </c>
      <c r="BC26" s="152">
        <f ca="1">IFERROR(__xludf.DUMMYFUNCTION("IMPORTRANGE(""https://docs.google.com/spreadsheets/d/1DY4XTNNwjluuxqdfdn6qvOSlMRrZqUtmYcZR0ttFiG4/edit?usp=sharing"",""ลำปาง!L217"")"),0)</f>
        <v>0</v>
      </c>
      <c r="BD26" s="152">
        <f ca="1">IFERROR(__xludf.DUMMYFUNCTION("IMPORTRANGE(""https://docs.google.com/spreadsheets/d/1DY4XTNNwjluuxqdfdn6qvOSlMRrZqUtmYcZR0ttFiG4/edit?usp=sharing"",""ลำปาง!N217"")"),0)</f>
        <v>0</v>
      </c>
      <c r="BE26" s="216">
        <f t="shared" ca="1" si="120"/>
        <v>0</v>
      </c>
      <c r="BF26" s="152">
        <f ca="1">IFERROR(__xludf.DUMMYFUNCTION("IMPORTRANGE(""https://docs.google.com/spreadsheets/d/1DY4XTNNwjluuxqdfdn6qvOSlMRrZqUtmYcZR0ttFiG4/edit?usp=sharing"",""ลำปาง!Q217"")"),0)</f>
        <v>0</v>
      </c>
      <c r="BG26" s="152">
        <f ca="1">IFERROR(__xludf.DUMMYFUNCTION("IMPORTRANGE(""https://docs.google.com/spreadsheets/d/1DY4XTNNwjluuxqdfdn6qvOSlMRrZqUtmYcZR0ttFiG4/edit?usp=sharing"",""ลำปาง!S217"")"),0)</f>
        <v>0</v>
      </c>
      <c r="BH26" s="216">
        <f t="shared" ca="1" si="122"/>
        <v>0</v>
      </c>
      <c r="BI26" s="152">
        <f ca="1">IFERROR(__xludf.DUMMYFUNCTION("IMPORTRANGE(""https://docs.google.com/spreadsheets/d/1DY4XTNNwjluuxqdfdn6qvOSlMRrZqUtmYcZR0ttFiG4/edit?usp=sharing"",""ลำปาง!I219"")"),0)</f>
        <v>0</v>
      </c>
      <c r="BJ26" s="152">
        <f ca="1">IFERROR(__xludf.DUMMYFUNCTION("IMPORTRANGE(""https://docs.google.com/spreadsheets/d/1DY4XTNNwjluuxqdfdn6qvOSlMRrZqUtmYcZR0ttFiG4/edit?usp=sharing"",""ลำปาง!J219"")"),0)</f>
        <v>0</v>
      </c>
      <c r="BK26" s="216">
        <f t="shared" ca="1" si="124"/>
        <v>0</v>
      </c>
      <c r="BL26" s="152">
        <f ca="1">IFERROR(__xludf.DUMMYFUNCTION("IMPORTRANGE(""https://docs.google.com/spreadsheets/d/1DY4XTNNwjluuxqdfdn6qvOSlMRrZqUtmYcZR0ttFiG4/edit?usp=sharing"",""ลำปาง!I220"")"),0)</f>
        <v>0</v>
      </c>
      <c r="BM26" s="152">
        <f ca="1">IFERROR(__xludf.DUMMYFUNCTION("IMPORTRANGE(""https://docs.google.com/spreadsheets/d/1DY4XTNNwjluuxqdfdn6qvOSlMRrZqUtmYcZR0ttFiG4/edit?usp=sharing"",""ลำปาง!J220"")"),0)</f>
        <v>0</v>
      </c>
      <c r="BN26" s="216">
        <f t="shared" ca="1" si="126"/>
        <v>0</v>
      </c>
      <c r="BO26" s="152">
        <f ca="1">IFERROR(__xludf.DUMMYFUNCTION("IMPORTRANGE(""https://docs.google.com/spreadsheets/d/1DY4XTNNwjluuxqdfdn6qvOSlMRrZqUtmYcZR0ttFiG4/edit?usp=sharing"",""ลำปาง!L223"")"),2500)</f>
        <v>2500</v>
      </c>
      <c r="BP26" s="152">
        <f ca="1">IFERROR(__xludf.DUMMYFUNCTION("IMPORTRANGE(""https://docs.google.com/spreadsheets/d/1DY4XTNNwjluuxqdfdn6qvOSlMRrZqUtmYcZR0ttFiG4/edit?usp=sharing"",""ลำปาง!N223"")"),2500)</f>
        <v>2500</v>
      </c>
      <c r="BQ26" s="216">
        <f t="shared" ca="1" si="128"/>
        <v>100</v>
      </c>
      <c r="BR26" s="152">
        <f ca="1">IFERROR(__xludf.DUMMYFUNCTION("IMPORTRANGE(""https://docs.google.com/spreadsheets/d/1DY4XTNNwjluuxqdfdn6qvOSlMRrZqUtmYcZR0ttFiG4/edit?usp=sharing"",""ลำปาง!L224"")"),6000)</f>
        <v>6000</v>
      </c>
      <c r="BS26" s="152">
        <f ca="1">IFERROR(__xludf.DUMMYFUNCTION("IMPORTRANGE(""https://docs.google.com/spreadsheets/d/1DY4XTNNwjluuxqdfdn6qvOSlMRrZqUtmYcZR0ttFiG4/edit?usp=sharing"",""ลำปาง!N224"")"),6000)</f>
        <v>6000</v>
      </c>
      <c r="BT26" s="216">
        <f t="shared" ca="1" si="130"/>
        <v>100</v>
      </c>
      <c r="BU26" s="152">
        <f ca="1">IFERROR(__xludf.DUMMYFUNCTION("IMPORTRANGE(""https://docs.google.com/spreadsheets/d/1DY4XTNNwjluuxqdfdn6qvOSlMRrZqUtmYcZR0ttFiG4/edit?usp=sharing"",""ลำปาง!I228"")"),50000)</f>
        <v>50000</v>
      </c>
      <c r="BV26" s="152">
        <f ca="1">IFERROR(__xludf.DUMMYFUNCTION("IMPORTRANGE(""https://docs.google.com/spreadsheets/d/1DY4XTNNwjluuxqdfdn6qvOSlMRrZqUtmYcZR0ttFiG4/edit?usp=sharing"",""ลำปาง!J228"")"),50000)</f>
        <v>50000</v>
      </c>
      <c r="BW26" s="216">
        <f t="shared" ca="1" si="132"/>
        <v>100</v>
      </c>
      <c r="BX26" s="152">
        <f ca="1">IFERROR(__xludf.DUMMYFUNCTION("IMPORTRANGE(""https://docs.google.com/spreadsheets/d/1DY4XTNNwjluuxqdfdn6qvOSlMRrZqUtmYcZR0ttFiG4/edit?usp=sharing"",""ลำปาง!I229"")"),50000)</f>
        <v>50000</v>
      </c>
      <c r="BY26" s="152">
        <f ca="1">IFERROR(__xludf.DUMMYFUNCTION("IMPORTRANGE(""https://docs.google.com/spreadsheets/d/1DY4XTNNwjluuxqdfdn6qvOSlMRrZqUtmYcZR0ttFiG4/edit?usp=sharing"",""ลำปาง!J229"")"),50000)</f>
        <v>50000</v>
      </c>
      <c r="BZ26" s="216">
        <f t="shared" ca="1" si="134"/>
        <v>100</v>
      </c>
      <c r="CA26" s="152">
        <f ca="1">IFERROR(__xludf.DUMMYFUNCTION("IMPORTRANGE(""https://docs.google.com/spreadsheets/d/1DY4XTNNwjluuxqdfdn6qvOSlMRrZqUtmYcZR0ttFiG4/edit?usp=sharing"",""ลำปาง!I230"")"),0)</f>
        <v>0</v>
      </c>
      <c r="CB26" s="152">
        <f ca="1">IFERROR(__xludf.DUMMYFUNCTION("IMPORTRANGE(""https://docs.google.com/spreadsheets/d/1DY4XTNNwjluuxqdfdn6qvOSlMRrZqUtmYcZR0ttFiG4/edit?usp=sharing"",""ลำปาง!J230"")"),0)</f>
        <v>0</v>
      </c>
      <c r="CC26" s="216">
        <f t="shared" ca="1" si="136"/>
        <v>0</v>
      </c>
      <c r="CD26" s="152">
        <f ca="1">IFERROR(__xludf.DUMMYFUNCTION("IMPORTRANGE(""https://docs.google.com/spreadsheets/d/1DY4XTNNwjluuxqdfdn6qvOSlMRrZqUtmYcZR0ttFiG4/edit?usp=sharing"",""ลำปาง!L233"")"),0)</f>
        <v>0</v>
      </c>
      <c r="CE26" s="152">
        <f ca="1">IFERROR(__xludf.DUMMYFUNCTION("IMPORTRANGE(""https://docs.google.com/spreadsheets/d/1DY4XTNNwjluuxqdfdn6qvOSlMRrZqUtmYcZR0ttFiG4/edit?usp=sharing"",""ลำปาง!N233"")"),0)</f>
        <v>0</v>
      </c>
      <c r="CF26" s="216">
        <f t="shared" ca="1" si="138"/>
        <v>0</v>
      </c>
      <c r="CG26" s="152">
        <f ca="1">IFERROR(__xludf.DUMMYFUNCTION("IMPORTRANGE(""https://docs.google.com/spreadsheets/d/1DY4XTNNwjluuxqdfdn6qvOSlMRrZqUtmYcZR0ttFiG4/edit?usp=sharing"",""ลำปาง!L234"")"),0)</f>
        <v>0</v>
      </c>
      <c r="CH26" s="152">
        <f ca="1">IFERROR(__xludf.DUMMYFUNCTION("IMPORTRANGE(""https://docs.google.com/spreadsheets/d/1DY4XTNNwjluuxqdfdn6qvOSlMRrZqUtmYcZR0ttFiG4/edit?usp=sharing"",""ลำปาง!N234"")"),0)</f>
        <v>0</v>
      </c>
      <c r="CI26" s="216">
        <f t="shared" ca="1" si="140"/>
        <v>0</v>
      </c>
      <c r="CJ26" s="152">
        <f ca="1">IFERROR(__xludf.DUMMYFUNCTION("IMPORTRANGE(""https://docs.google.com/spreadsheets/d/1DY4XTNNwjluuxqdfdn6qvOSlMRrZqUtmYcZR0ttFiG4/edit?usp=sharing"",""ลำปาง!L235"")"),0)</f>
        <v>0</v>
      </c>
      <c r="CK26" s="152">
        <f ca="1">IFERROR(__xludf.DUMMYFUNCTION("IMPORTRANGE(""https://docs.google.com/spreadsheets/d/1DY4XTNNwjluuxqdfdn6qvOSlMRrZqUtmYcZR0ttFiG4/edit?usp=sharing"",""ลำปาง!N235"")"),0)</f>
        <v>0</v>
      </c>
      <c r="CL26" s="216">
        <f t="shared" ca="1" si="142"/>
        <v>0</v>
      </c>
      <c r="CM26" s="251">
        <f ca="1">IFERROR(__xludf.DUMMYFUNCTION("IMPORTRANGE(""https://docs.google.com/spreadsheets/d/1DY4XTNNwjluuxqdfdn6qvOSlMRrZqUtmYcZR0ttFiG4/edit?usp=sharing"",""ลำปาง!Q235"")"),0)</f>
        <v>0</v>
      </c>
      <c r="CN26" s="251">
        <f ca="1">IFERROR(__xludf.DUMMYFUNCTION("IMPORTRANGE(""https://docs.google.com/spreadsheets/d/1DY4XTNNwjluuxqdfdn6qvOSlMRrZqUtmYcZR0ttFiG4/edit?usp=sharing"",""ลำปาง!S235"")"),0)</f>
        <v>0</v>
      </c>
      <c r="CO26" s="216">
        <f t="shared" ca="1" si="144"/>
        <v>0</v>
      </c>
      <c r="CP26" s="152">
        <f ca="1">IFERROR(__xludf.DUMMYFUNCTION("IMPORTRANGE(""https://docs.google.com/spreadsheets/d/1DY4XTNNwjluuxqdfdn6qvOSlMRrZqUtmYcZR0ttFiG4/edit?usp=sharing"",""ลำปาง!L236"")"),0)</f>
        <v>0</v>
      </c>
      <c r="CQ26" s="152">
        <f ca="1">IFERROR(__xludf.DUMMYFUNCTION("IMPORTRANGE(""https://docs.google.com/spreadsheets/d/1DY4XTNNwjluuxqdfdn6qvOSlMRrZqUtmYcZR0ttFiG4/edit?usp=sharing"",""ลำปาง!N236"")"),0)</f>
        <v>0</v>
      </c>
      <c r="CR26" s="216">
        <f t="shared" ca="1" si="146"/>
        <v>0</v>
      </c>
      <c r="CS26" s="152">
        <f ca="1">IFERROR(__xludf.DUMMYFUNCTION("IMPORTRANGE(""https://docs.google.com/spreadsheets/d/1DY4XTNNwjluuxqdfdn6qvOSlMRrZqUtmYcZR0ttFiG4/edit?usp=sharing"",""ลำปาง!I238"")"),0)</f>
        <v>0</v>
      </c>
      <c r="CT26" s="152">
        <f ca="1">IFERROR(__xludf.DUMMYFUNCTION("IMPORTRANGE(""https://docs.google.com/spreadsheets/d/1DY4XTNNwjluuxqdfdn6qvOSlMRrZqUtmYcZR0ttFiG4/edit?usp=sharing"",""ลำปาง!J238"")"),0)</f>
        <v>0</v>
      </c>
      <c r="CU26" s="216">
        <f t="shared" ca="1" si="148"/>
        <v>0</v>
      </c>
      <c r="CV26" s="152">
        <f ca="1">IFERROR(__xludf.DUMMYFUNCTION("IMPORTRANGE(""https://docs.google.com/spreadsheets/d/1DY4XTNNwjluuxqdfdn6qvOSlMRrZqUtmYcZR0ttFiG4/edit?usp=sharing"",""ลำปาง!J240"")"),0)</f>
        <v>0</v>
      </c>
      <c r="CW26" s="152">
        <f ca="1">IFERROR(__xludf.DUMMYFUNCTION("IMPORTRANGE(""https://docs.google.com/spreadsheets/d/1DY4XTNNwjluuxqdfdn6qvOSlMRrZqUtmYcZR0ttFiG4/edit?usp=sharing"",""ลำปาง!J241"")"),0)</f>
        <v>0</v>
      </c>
    </row>
    <row r="27" spans="1:101" ht="24" customHeight="1" x14ac:dyDescent="0.3">
      <c r="A27" s="147">
        <v>14</v>
      </c>
      <c r="B27" s="148" t="s">
        <v>55</v>
      </c>
      <c r="C27" s="149">
        <f t="shared" ca="1" si="90"/>
        <v>757688</v>
      </c>
      <c r="D27" s="150">
        <f t="shared" ca="1" si="150"/>
        <v>757688</v>
      </c>
      <c r="E27" s="151">
        <f ca="1">IFERROR(__xludf.DUMMYFUNCTION("IMPORTRANGE(""https://docs.google.com/spreadsheets/d/1-uDff_7J0KD5mKrp0Vvzr7lt3OU09vwQwhkpOPPYv2Y/edit?usp=sharing"",""งบพรบ!CV27"")"),0)</f>
        <v>0</v>
      </c>
      <c r="F27" s="151">
        <f ca="1">IFERROR(__xludf.DUMMYFUNCTION("IMPORTRANGE(""https://docs.google.com/spreadsheets/d/1-uDff_7J0KD5mKrp0Vvzr7lt3OU09vwQwhkpOPPYv2Y/edit?usp=sharing"",""งบพรบ!CW27"")"),757688)</f>
        <v>757688</v>
      </c>
      <c r="G27" s="151">
        <f ca="1">IFERROR(__xludf.DUMMYFUNCTION("IMPORTRANGE(""https://docs.google.com/spreadsheets/d/1-uDff_7J0KD5mKrp0Vvzr7lt3OU09vwQwhkpOPPYv2Y/edit?usp=sharing"",""งบพรบ!CX27"")"),0)</f>
        <v>0</v>
      </c>
      <c r="H27" s="151">
        <f ca="1">IFERROR(__xludf.DUMMYFUNCTION("IMPORTRANGE(""https://docs.google.com/spreadsheets/d/1-uDff_7J0KD5mKrp0Vvzr7lt3OU09vwQwhkpOPPYv2Y/edit?usp=sharing"",""งบพรบ!CZ27"")"),775888)</f>
        <v>775888</v>
      </c>
      <c r="I27" s="151">
        <f ca="1">IFERROR(__xludf.DUMMYFUNCTION("IMPORTRANGE(""https://docs.google.com/spreadsheets/d/1-uDff_7J0KD5mKrp0Vvzr7lt3OU09vwQwhkpOPPYv2Y/edit?usp=sharing"",""งบพรบ!DA27"")"),0)</f>
        <v>0</v>
      </c>
      <c r="J27" s="151">
        <f t="shared" ca="1" si="92"/>
        <v>593761.01</v>
      </c>
      <c r="K27" s="154">
        <f t="shared" ca="1" si="93"/>
        <v>78.364842784892986</v>
      </c>
      <c r="L27" s="151">
        <f ca="1">IFERROR(__xludf.DUMMYFUNCTION("IMPORTRANGE(""https://docs.google.com/spreadsheets/d/1-uDff_7J0KD5mKrp0Vvzr7lt3OU09vwQwhkpOPPYv2Y/edit?usp=sharing"",""งบพรบ!DB27"")"),593761.01)</f>
        <v>593761.01</v>
      </c>
      <c r="M27" s="68">
        <f t="shared" ca="1" si="94"/>
        <v>78.364842784892986</v>
      </c>
      <c r="N27" s="68">
        <f t="shared" ca="1" si="95"/>
        <v>76.526639154104714</v>
      </c>
      <c r="O27" s="67">
        <f ca="1">IFERROR(__xludf.DUMMYFUNCTION("IMPORTRANGE(""https://docs.google.com/spreadsheets/d/1-uDff_7J0KD5mKrp0Vvzr7lt3OU09vwQwhkpOPPYv2Y/edit?usp=sharing"",""งบพรบ!DC27"")"),0)</f>
        <v>0</v>
      </c>
      <c r="P27" s="67">
        <f t="shared" ca="1" si="96"/>
        <v>0</v>
      </c>
      <c r="Q27" s="68">
        <f t="shared" ca="1" si="97"/>
        <v>0</v>
      </c>
      <c r="R27" s="67">
        <f ca="1">IFERROR(__xludf.DUMMYFUNCTION("IMPORTRANGE(""https://docs.google.com/spreadsheets/d/1ICwG78r0OFT8biBlxnBF8r7she7gNSzOvJ958PWT09c/edit?usp=sharing"",""ลำพูน!Q186"")"),42000)</f>
        <v>42000</v>
      </c>
      <c r="S27" s="67">
        <f ca="1">IFERROR(__xludf.DUMMYFUNCTION("IMPORTRANGE(""https://docs.google.com/spreadsheets/d/1ICwG78r0OFT8biBlxnBF8r7she7gNSzOvJ958PWT09c/edit?usp=sharing"",""ลำพูน!R186"")"),42000)</f>
        <v>42000</v>
      </c>
      <c r="T27" s="67">
        <f ca="1">IFERROR(__xludf.DUMMYFUNCTION("IMPORTRANGE(""https://docs.google.com/spreadsheets/d/1ICwG78r0OFT8biBlxnBF8r7she7gNSzOvJ958PWT09c/edit?usp=sharing"",""ลำพูน!S186"")"),35730)</f>
        <v>35730</v>
      </c>
      <c r="U27" s="68">
        <f t="shared" ca="1" si="99"/>
        <v>85.071428571428569</v>
      </c>
      <c r="V27" s="68">
        <f t="shared" ca="1" si="100"/>
        <v>85.071428571428569</v>
      </c>
      <c r="W27" s="152">
        <f ca="1">IFERROR(__xludf.DUMMYFUNCTION("IMPORTRANGE(""https://docs.google.com/spreadsheets/d/1ICwG78r0OFT8biBlxnBF8r7she7gNSzOvJ958PWT09c/edit?usp=sharing"",""ลำพูน!L196"")"),6000)</f>
        <v>6000</v>
      </c>
      <c r="X27" s="152">
        <f ca="1">IFERROR(__xludf.DUMMYFUNCTION("IMPORTRANGE(""https://docs.google.com/spreadsheets/d/1ICwG78r0OFT8biBlxnBF8r7she7gNSzOvJ958PWT09c/edit?usp=sharing"",""ลำพูน!N196"")"),5625)</f>
        <v>5625</v>
      </c>
      <c r="Y27" s="216">
        <f t="shared" ca="1" si="102"/>
        <v>93.75</v>
      </c>
      <c r="Z27" s="152">
        <f ca="1">IFERROR(__xludf.DUMMYFUNCTION("IMPORTRANGE(""https://docs.google.com/spreadsheets/d/1ICwG78r0OFT8biBlxnBF8r7she7gNSzOvJ958PWT09c/edit?usp=sharing"",""ลำพูน!I198"")"),4)</f>
        <v>4</v>
      </c>
      <c r="AA27" s="152">
        <f ca="1">IFERROR(__xludf.DUMMYFUNCTION("IMPORTRANGE(""https://docs.google.com/spreadsheets/d/1ICwG78r0OFT8biBlxnBF8r7she7gNSzOvJ958PWT09c/edit?usp=sharing"",""ลำพูน!J198"")"),4)</f>
        <v>4</v>
      </c>
      <c r="AB27" s="216">
        <f t="shared" ca="1" si="104"/>
        <v>100</v>
      </c>
      <c r="AC27" s="152">
        <f ca="1">IFERROR(__xludf.DUMMYFUNCTION("IMPORTRANGE(""https://docs.google.com/spreadsheets/d/1ICwG78r0OFT8biBlxnBF8r7she7gNSzOvJ958PWT09c/edit?usp=sharing"",""ลำพูน!J199"")"),0)</f>
        <v>0</v>
      </c>
      <c r="AD27" s="152">
        <f ca="1">IFERROR(__xludf.DUMMYFUNCTION("IMPORTRANGE(""https://docs.google.com/spreadsheets/d/1ICwG78r0OFT8biBlxnBF8r7she7gNSzOvJ958PWT09c/edit?usp=sharing"",""ลำพูน!J200"")"),0)</f>
        <v>0</v>
      </c>
      <c r="AE27" s="152">
        <f ca="1">IFERROR(__xludf.DUMMYFUNCTION("IMPORTRANGE(""https://docs.google.com/spreadsheets/d/1ICwG78r0OFT8biBlxnBF8r7she7gNSzOvJ958PWT09c/edit?usp=sharing"",""ลำพูน!J201"")"),0)</f>
        <v>0</v>
      </c>
      <c r="AF27" s="152">
        <f ca="1">IFERROR(__xludf.DUMMYFUNCTION("IMPORTRANGE(""https://docs.google.com/spreadsheets/d/1ICwG78r0OFT8biBlxnBF8r7she7gNSzOvJ958PWT09c/edit?usp=sharing"",""ลำพูน!L204"")"),3000)</f>
        <v>3000</v>
      </c>
      <c r="AG27" s="152">
        <f ca="1">IFERROR(__xludf.DUMMYFUNCTION("IMPORTRANGE(""https://docs.google.com/spreadsheets/d/1ICwG78r0OFT8biBlxnBF8r7she7gNSzOvJ958PWT09c/edit?usp=sharing"",""ลำพูน!N204"")"),0)</f>
        <v>0</v>
      </c>
      <c r="AH27" s="216">
        <f t="shared" ca="1" si="106"/>
        <v>0</v>
      </c>
      <c r="AI27" s="152">
        <f ca="1">IFERROR(__xludf.DUMMYFUNCTION("IMPORTRANGE(""https://docs.google.com/spreadsheets/d/1ICwG78r0OFT8biBlxnBF8r7she7gNSzOvJ958PWT09c/edit?usp=sharing"",""ลำพูน!L206"")"),0)</f>
        <v>0</v>
      </c>
      <c r="AJ27" s="152">
        <f ca="1">IFERROR(__xludf.DUMMYFUNCTION("IMPORTRANGE(""https://docs.google.com/spreadsheets/d/1ICwG78r0OFT8biBlxnBF8r7she7gNSzOvJ958PWT09c/edit?usp=sharing"",""ลำพูน!N206"")"),0)</f>
        <v>0</v>
      </c>
      <c r="AK27" s="216">
        <f t="shared" ca="1" si="108"/>
        <v>0</v>
      </c>
      <c r="AL27" s="152">
        <f ca="1">IFERROR(__xludf.DUMMYFUNCTION("IMPORTRANGE(""https://docs.google.com/spreadsheets/d/1ICwG78r0OFT8biBlxnBF8r7she7gNSzOvJ958PWT09c/edit?usp=sharing"",""ลำพูน!Q206"")"),42000)</f>
        <v>42000</v>
      </c>
      <c r="AM27" s="152">
        <f ca="1">IFERROR(__xludf.DUMMYFUNCTION("IMPORTRANGE(""https://docs.google.com/spreadsheets/d/1ICwG78r0OFT8biBlxnBF8r7she7gNSzOvJ958PWT09c/edit?usp=sharing"",""ลำพูน!S206"")"),35730)</f>
        <v>35730</v>
      </c>
      <c r="AN27" s="216">
        <f t="shared" ca="1" si="110"/>
        <v>85.071428571428569</v>
      </c>
      <c r="AO27" s="152">
        <f ca="1">IFERROR(__xludf.DUMMYFUNCTION("IMPORTRANGE(""https://docs.google.com/spreadsheets/d/1ICwG78r0OFT8biBlxnBF8r7she7gNSzOvJ958PWT09c/edit?usp=sharing"",""ลำพูน!L207"")"),17000)</f>
        <v>17000</v>
      </c>
      <c r="AP27" s="152">
        <f ca="1">IFERROR(__xludf.DUMMYFUNCTION("IMPORTRANGE(""https://docs.google.com/spreadsheets/d/1ICwG78r0OFT8biBlxnBF8r7she7gNSzOvJ958PWT09c/edit?usp=sharing"",""ลำพูน!N207"")"),17000)</f>
        <v>17000</v>
      </c>
      <c r="AQ27" s="216">
        <f t="shared" ca="1" si="112"/>
        <v>100</v>
      </c>
      <c r="AR27" s="152">
        <f ca="1">IFERROR(__xludf.DUMMYFUNCTION("IMPORTRANGE(""https://docs.google.com/spreadsheets/d/1ICwG78r0OFT8biBlxnBF8r7she7gNSzOvJ958PWT09c/edit?usp=sharing"",""ลำพูน!I209"")"),3)</f>
        <v>3</v>
      </c>
      <c r="AS27" s="152">
        <f ca="1">IFERROR(__xludf.DUMMYFUNCTION("IMPORTRANGE(""https://docs.google.com/spreadsheets/d/1ICwG78r0OFT8biBlxnBF8r7she7gNSzOvJ958PWT09c/edit?usp=sharing"",""ลำพูน!J209"")"),3)</f>
        <v>3</v>
      </c>
      <c r="AT27" s="216">
        <f t="shared" ca="1" si="114"/>
        <v>100</v>
      </c>
      <c r="AU27" s="152">
        <f ca="1">IFERROR(__xludf.DUMMYFUNCTION("IMPORTRANGE(""https://docs.google.com/spreadsheets/d/1ICwG78r0OFT8biBlxnBF8r7she7gNSzOvJ958PWT09c/edit?usp=sharing"",""ลำพูน!J211"")"),3)</f>
        <v>3</v>
      </c>
      <c r="AV27" s="152">
        <f ca="1">IFERROR(__xludf.DUMMYFUNCTION("IMPORTRANGE(""https://docs.google.com/spreadsheets/d/1ICwG78r0OFT8biBlxnBF8r7she7gNSzOvJ958PWT09c/edit?usp=sharing"",""ลำพูน!J212"")"),1)</f>
        <v>1</v>
      </c>
      <c r="AW27" s="152">
        <f ca="1">IFERROR(__xludf.DUMMYFUNCTION("IMPORTRANGE(""https://docs.google.com/spreadsheets/d/1ICwG78r0OFT8biBlxnBF8r7she7gNSzOvJ958PWT09c/edit?usp=sharing"",""ลำพูน!L215"")"),0)</f>
        <v>0</v>
      </c>
      <c r="AX27" s="152">
        <f ca="1">IFERROR(__xludf.DUMMYFUNCTION("IMPORTRANGE(""https://docs.google.com/spreadsheets/d/1ICwG78r0OFT8biBlxnBF8r7she7gNSzOvJ958PWT09c/edit?usp=sharing"",""ลำพูน!N215"")"),0)</f>
        <v>0</v>
      </c>
      <c r="AY27" s="216">
        <f t="shared" ca="1" si="116"/>
        <v>0</v>
      </c>
      <c r="AZ27" s="152">
        <f ca="1">IFERROR(__xludf.DUMMYFUNCTION("IMPORTRANGE(""https://docs.google.com/spreadsheets/d/1ICwG78r0OFT8biBlxnBF8r7she7gNSzOvJ958PWT09c/edit?usp=sharing"",""ลำพูน!L216"")"),0)</f>
        <v>0</v>
      </c>
      <c r="BA27" s="152">
        <f ca="1">IFERROR(__xludf.DUMMYFUNCTION("IMPORTRANGE(""https://docs.google.com/spreadsheets/d/1ICwG78r0OFT8biBlxnBF8r7she7gNSzOvJ958PWT09c/edit?usp=sharing"",""ลำพูน!N216"")"),0)</f>
        <v>0</v>
      </c>
      <c r="BB27" s="216">
        <f t="shared" ca="1" si="118"/>
        <v>0</v>
      </c>
      <c r="BC27" s="152">
        <f ca="1">IFERROR(__xludf.DUMMYFUNCTION("IMPORTRANGE(""https://docs.google.com/spreadsheets/d/1ICwG78r0OFT8biBlxnBF8r7she7gNSzOvJ958PWT09c/edit?usp=sharing"",""ลำพูน!L217"")"),0)</f>
        <v>0</v>
      </c>
      <c r="BD27" s="152">
        <f ca="1">IFERROR(__xludf.DUMMYFUNCTION("IMPORTRANGE(""https://docs.google.com/spreadsheets/d/1ICwG78r0OFT8biBlxnBF8r7she7gNSzOvJ958PWT09c/edit?usp=sharing"",""ลำพูน!N217"")"),0)</f>
        <v>0</v>
      </c>
      <c r="BE27" s="216">
        <f t="shared" ca="1" si="120"/>
        <v>0</v>
      </c>
      <c r="BF27" s="152">
        <f ca="1">IFERROR(__xludf.DUMMYFUNCTION("IMPORTRANGE(""https://docs.google.com/spreadsheets/d/1ICwG78r0OFT8biBlxnBF8r7she7gNSzOvJ958PWT09c/edit?usp=sharing"",""ลำพูน!Q217"")"),0)</f>
        <v>0</v>
      </c>
      <c r="BG27" s="152">
        <f ca="1">IFERROR(__xludf.DUMMYFUNCTION("IMPORTRANGE(""https://docs.google.com/spreadsheets/d/1ICwG78r0OFT8biBlxnBF8r7she7gNSzOvJ958PWT09c/edit?usp=sharing"",""ลำพูน!S217"")"),0)</f>
        <v>0</v>
      </c>
      <c r="BH27" s="216">
        <f t="shared" ca="1" si="122"/>
        <v>0</v>
      </c>
      <c r="BI27" s="152">
        <f ca="1">IFERROR(__xludf.DUMMYFUNCTION("IMPORTRANGE(""https://docs.google.com/spreadsheets/d/1ICwG78r0OFT8biBlxnBF8r7she7gNSzOvJ958PWT09c/edit?usp=sharing"",""ลำพูน!I219"")"),0)</f>
        <v>0</v>
      </c>
      <c r="BJ27" s="152">
        <f ca="1">IFERROR(__xludf.DUMMYFUNCTION("IMPORTRANGE(""https://docs.google.com/spreadsheets/d/1ICwG78r0OFT8biBlxnBF8r7she7gNSzOvJ958PWT09c/edit?usp=sharing"",""ลำพูน!J219"")"),0)</f>
        <v>0</v>
      </c>
      <c r="BK27" s="216">
        <f t="shared" ca="1" si="124"/>
        <v>0</v>
      </c>
      <c r="BL27" s="152">
        <f ca="1">IFERROR(__xludf.DUMMYFUNCTION("IMPORTRANGE(""https://docs.google.com/spreadsheets/d/1ICwG78r0OFT8biBlxnBF8r7she7gNSzOvJ958PWT09c/edit?usp=sharing"",""ลำพูน!I220"")"),0)</f>
        <v>0</v>
      </c>
      <c r="BM27" s="152">
        <f ca="1">IFERROR(__xludf.DUMMYFUNCTION("IMPORTRANGE(""https://docs.google.com/spreadsheets/d/1ICwG78r0OFT8biBlxnBF8r7she7gNSzOvJ958PWT09c/edit?usp=sharing"",""ลำพูน!J220"")"),0)</f>
        <v>0</v>
      </c>
      <c r="BN27" s="216">
        <f t="shared" ca="1" si="126"/>
        <v>0</v>
      </c>
      <c r="BO27" s="152">
        <f ca="1">IFERROR(__xludf.DUMMYFUNCTION("IMPORTRANGE(""https://docs.google.com/spreadsheets/d/1ICwG78r0OFT8biBlxnBF8r7she7gNSzOvJ958PWT09c/edit?usp=sharing"",""ลำพูน!L223"")"),2500)</f>
        <v>2500</v>
      </c>
      <c r="BP27" s="152">
        <f ca="1">IFERROR(__xludf.DUMMYFUNCTION("IMPORTRANGE(""https://docs.google.com/spreadsheets/d/1ICwG78r0OFT8biBlxnBF8r7she7gNSzOvJ958PWT09c/edit?usp=sharing"",""ลำพูน!N223"")"),0)</f>
        <v>0</v>
      </c>
      <c r="BQ27" s="216">
        <f t="shared" ca="1" si="128"/>
        <v>0</v>
      </c>
      <c r="BR27" s="152">
        <f ca="1">IFERROR(__xludf.DUMMYFUNCTION("IMPORTRANGE(""https://docs.google.com/spreadsheets/d/1ICwG78r0OFT8biBlxnBF8r7she7gNSzOvJ958PWT09c/edit?usp=sharing"",""ลำพูน!L224"")"),10000)</f>
        <v>10000</v>
      </c>
      <c r="BS27" s="152">
        <f ca="1">IFERROR(__xludf.DUMMYFUNCTION("IMPORTRANGE(""https://docs.google.com/spreadsheets/d/1ICwG78r0OFT8biBlxnBF8r7she7gNSzOvJ958PWT09c/edit?usp=sharing"",""ลำพูน!N224"")"),0)</f>
        <v>0</v>
      </c>
      <c r="BT27" s="216">
        <f t="shared" ca="1" si="130"/>
        <v>0</v>
      </c>
      <c r="BU27" s="152">
        <f ca="1">IFERROR(__xludf.DUMMYFUNCTION("IMPORTRANGE(""https://docs.google.com/spreadsheets/d/1ICwG78r0OFT8biBlxnBF8r7she7gNSzOvJ958PWT09c/edit?usp=sharing"",""ลำพูน!I228"")"),100000)</f>
        <v>100000</v>
      </c>
      <c r="BV27" s="152">
        <f ca="1">IFERROR(__xludf.DUMMYFUNCTION("IMPORTRANGE(""https://docs.google.com/spreadsheets/d/1ICwG78r0OFT8biBlxnBF8r7she7gNSzOvJ958PWT09c/edit?usp=sharing"",""ลำพูน!J228"")"),0)</f>
        <v>0</v>
      </c>
      <c r="BW27" s="216">
        <f t="shared" ca="1" si="132"/>
        <v>0</v>
      </c>
      <c r="BX27" s="152">
        <f ca="1">IFERROR(__xludf.DUMMYFUNCTION("IMPORTRANGE(""https://docs.google.com/spreadsheets/d/1ICwG78r0OFT8biBlxnBF8r7she7gNSzOvJ958PWT09c/edit?usp=sharing"",""ลำพูน!I229"")"),100000)</f>
        <v>100000</v>
      </c>
      <c r="BY27" s="152">
        <f ca="1">IFERROR(__xludf.DUMMYFUNCTION("IMPORTRANGE(""https://docs.google.com/spreadsheets/d/1ICwG78r0OFT8biBlxnBF8r7she7gNSzOvJ958PWT09c/edit?usp=sharing"",""ลำพูน!J229"")"),0)</f>
        <v>0</v>
      </c>
      <c r="BZ27" s="216">
        <f t="shared" ca="1" si="134"/>
        <v>0</v>
      </c>
      <c r="CA27" s="152">
        <f ca="1">IFERROR(__xludf.DUMMYFUNCTION("IMPORTRANGE(""https://docs.google.com/spreadsheets/d/1ICwG78r0OFT8biBlxnBF8r7she7gNSzOvJ958PWT09c/edit?usp=sharing"",""ลำพูน!I230"")"),0)</f>
        <v>0</v>
      </c>
      <c r="CB27" s="152">
        <f ca="1">IFERROR(__xludf.DUMMYFUNCTION("IMPORTRANGE(""https://docs.google.com/spreadsheets/d/1ICwG78r0OFT8biBlxnBF8r7she7gNSzOvJ958PWT09c/edit?usp=sharing"",""ลำพูน!J230"")"),0)</f>
        <v>0</v>
      </c>
      <c r="CC27" s="216">
        <f t="shared" ca="1" si="136"/>
        <v>0</v>
      </c>
      <c r="CD27" s="152">
        <f ca="1">IFERROR(__xludf.DUMMYFUNCTION("IMPORTRANGE(""https://docs.google.com/spreadsheets/d/1ICwG78r0OFT8biBlxnBF8r7she7gNSzOvJ958PWT09c/edit?usp=sharing"",""ลำพูน!L233"")"),413200)</f>
        <v>413200</v>
      </c>
      <c r="CE27" s="152">
        <f ca="1">IFERROR(__xludf.DUMMYFUNCTION("IMPORTRANGE(""https://docs.google.com/spreadsheets/d/1ICwG78r0OFT8biBlxnBF8r7she7gNSzOvJ958PWT09c/edit?usp=sharing"",""ลำพูน!N233"")"),39945)</f>
        <v>39945</v>
      </c>
      <c r="CF27" s="216">
        <f t="shared" ca="1" si="138"/>
        <v>9.6672313649564376</v>
      </c>
      <c r="CG27" s="152">
        <f ca="1">IFERROR(__xludf.DUMMYFUNCTION("IMPORTRANGE(""https://docs.google.com/spreadsheets/d/1ICwG78r0OFT8biBlxnBF8r7she7gNSzOvJ958PWT09c/edit?usp=sharing"",""ลำพูน!L234"")"),10000)</f>
        <v>10000</v>
      </c>
      <c r="CH27" s="152">
        <f ca="1">IFERROR(__xludf.DUMMYFUNCTION("IMPORTRANGE(""https://docs.google.com/spreadsheets/d/1ICwG78r0OFT8biBlxnBF8r7she7gNSzOvJ958PWT09c/edit?usp=sharing"",""ลำพูน!N234"")"),308660.01)</f>
        <v>308660.01</v>
      </c>
      <c r="CI27" s="216">
        <f t="shared" ca="1" si="140"/>
        <v>3086.6001000000001</v>
      </c>
      <c r="CJ27" s="152">
        <f ca="1">IFERROR(__xludf.DUMMYFUNCTION("IMPORTRANGE(""https://docs.google.com/spreadsheets/d/1ICwG78r0OFT8biBlxnBF8r7she7gNSzOvJ958PWT09c/edit?usp=sharing"",""ลำพูน!L235"")"),170988)</f>
        <v>170988</v>
      </c>
      <c r="CK27" s="152">
        <f ca="1">IFERROR(__xludf.DUMMYFUNCTION("IMPORTRANGE(""https://docs.google.com/spreadsheets/d/1ICwG78r0OFT8biBlxnBF8r7she7gNSzOvJ958PWT09c/edit?usp=sharing"",""ลำพูน!N235"")"),127090)</f>
        <v>127090</v>
      </c>
      <c r="CL27" s="216">
        <f t="shared" ca="1" si="142"/>
        <v>74.326853346433666</v>
      </c>
      <c r="CM27" s="251">
        <f ca="1">IFERROR(__xludf.DUMMYFUNCTION("IMPORTRANGE(""https://docs.google.com/spreadsheets/d/1ICwG78r0OFT8biBlxnBF8r7she7gNSzOvJ958PWT09c/edit?usp=sharing"",""ลำพูน!Q235"")"),0)</f>
        <v>0</v>
      </c>
      <c r="CN27" s="251">
        <f ca="1">IFERROR(__xludf.DUMMYFUNCTION("IMPORTRANGE(""https://docs.google.com/spreadsheets/d/1ICwG78r0OFT8biBlxnBF8r7she7gNSzOvJ958PWT09c/edit?usp=sharing"",""ลำพูน!S235"")"),0)</f>
        <v>0</v>
      </c>
      <c r="CO27" s="216">
        <f t="shared" ca="1" si="144"/>
        <v>0</v>
      </c>
      <c r="CP27" s="152">
        <f ca="1">IFERROR(__xludf.DUMMYFUNCTION("IMPORTRANGE(""https://docs.google.com/spreadsheets/d/1ICwG78r0OFT8biBlxnBF8r7she7gNSzOvJ958PWT09c/edit?usp=sharing"",""ลำพูน!L236"")"),125000)</f>
        <v>125000</v>
      </c>
      <c r="CQ27" s="152">
        <f ca="1">IFERROR(__xludf.DUMMYFUNCTION("IMPORTRANGE(""https://docs.google.com/spreadsheets/d/1ICwG78r0OFT8biBlxnBF8r7she7gNSzOvJ958PWT09c/edit?usp=sharing"",""ลำพูน!N236"")"),76741)</f>
        <v>76741</v>
      </c>
      <c r="CR27" s="216">
        <f t="shared" ca="1" si="146"/>
        <v>61.392800000000001</v>
      </c>
      <c r="CS27" s="152">
        <f ca="1">IFERROR(__xludf.DUMMYFUNCTION("IMPORTRANGE(""https://docs.google.com/spreadsheets/d/1ICwG78r0OFT8biBlxnBF8r7she7gNSzOvJ958PWT09c/edit?usp=sharing"",""ลำพูน!I238"")"),100)</f>
        <v>100</v>
      </c>
      <c r="CT27" s="152">
        <f ca="1">IFERROR(__xludf.DUMMYFUNCTION("IMPORTRANGE(""https://docs.google.com/spreadsheets/d/1ICwG78r0OFT8biBlxnBF8r7she7gNSzOvJ958PWT09c/edit?usp=sharing"",""ลำพูน!J238"")"),80)</f>
        <v>80</v>
      </c>
      <c r="CU27" s="216">
        <f t="shared" ca="1" si="148"/>
        <v>80</v>
      </c>
      <c r="CV27" s="152">
        <f ca="1">IFERROR(__xludf.DUMMYFUNCTION("IMPORTRANGE(""https://docs.google.com/spreadsheets/d/1ICwG78r0OFT8biBlxnBF8r7she7gNSzOvJ958PWT09c/edit?usp=sharing"",""ลำพูน!J240"")"),80)</f>
        <v>80</v>
      </c>
      <c r="CW27" s="152">
        <f ca="1">IFERROR(__xludf.DUMMYFUNCTION("IMPORTRANGE(""https://docs.google.com/spreadsheets/d/1ICwG78r0OFT8biBlxnBF8r7she7gNSzOvJ958PWT09c/edit?usp=sharing"",""ลำพูน!J241"")"),1)</f>
        <v>1</v>
      </c>
    </row>
    <row r="28" spans="1:101" ht="24" customHeight="1" x14ac:dyDescent="0.3">
      <c r="A28" s="147">
        <v>15</v>
      </c>
      <c r="B28" s="148" t="s">
        <v>56</v>
      </c>
      <c r="C28" s="149">
        <f t="shared" ca="1" si="90"/>
        <v>34500</v>
      </c>
      <c r="D28" s="150">
        <f t="shared" ca="1" si="150"/>
        <v>34500</v>
      </c>
      <c r="E28" s="151">
        <f ca="1">IFERROR(__xludf.DUMMYFUNCTION("IMPORTRANGE(""https://docs.google.com/spreadsheets/d/1-uDff_7J0KD5mKrp0Vvzr7lt3OU09vwQwhkpOPPYv2Y/edit?usp=sharing"",""งบพรบ!CV28"")"),0)</f>
        <v>0</v>
      </c>
      <c r="F28" s="151">
        <f ca="1">IFERROR(__xludf.DUMMYFUNCTION("IMPORTRANGE(""https://docs.google.com/spreadsheets/d/1-uDff_7J0KD5mKrp0Vvzr7lt3OU09vwQwhkpOPPYv2Y/edit?usp=sharing"",""งบพรบ!CW28"")"),34500)</f>
        <v>34500</v>
      </c>
      <c r="G28" s="151">
        <f ca="1">IFERROR(__xludf.DUMMYFUNCTION("IMPORTRANGE(""https://docs.google.com/spreadsheets/d/1-uDff_7J0KD5mKrp0Vvzr7lt3OU09vwQwhkpOPPYv2Y/edit?usp=sharing"",""งบพรบ!CX28"")"),0)</f>
        <v>0</v>
      </c>
      <c r="H28" s="151">
        <f ca="1">IFERROR(__xludf.DUMMYFUNCTION("IMPORTRANGE(""https://docs.google.com/spreadsheets/d/1-uDff_7J0KD5mKrp0Vvzr7lt3OU09vwQwhkpOPPYv2Y/edit?usp=sharing"",""งบพรบ!CZ28"")"),36500)</f>
        <v>36500</v>
      </c>
      <c r="I28" s="151">
        <f ca="1">IFERROR(__xludf.DUMMYFUNCTION("IMPORTRANGE(""https://docs.google.com/spreadsheets/d/1-uDff_7J0KD5mKrp0Vvzr7lt3OU09vwQwhkpOPPYv2Y/edit?usp=sharing"",""งบพรบ!DA28"")"),0)</f>
        <v>0</v>
      </c>
      <c r="J28" s="151">
        <f t="shared" ca="1" si="92"/>
        <v>6900</v>
      </c>
      <c r="K28" s="154">
        <f t="shared" ca="1" si="93"/>
        <v>20</v>
      </c>
      <c r="L28" s="151">
        <f ca="1">IFERROR(__xludf.DUMMYFUNCTION("IMPORTRANGE(""https://docs.google.com/spreadsheets/d/1-uDff_7J0KD5mKrp0Vvzr7lt3OU09vwQwhkpOPPYv2Y/edit?usp=sharing"",""งบพรบ!DB28"")"),6900)</f>
        <v>6900</v>
      </c>
      <c r="M28" s="68">
        <f t="shared" ca="1" si="94"/>
        <v>20</v>
      </c>
      <c r="N28" s="68">
        <f t="shared" ca="1" si="95"/>
        <v>18.904109589041095</v>
      </c>
      <c r="O28" s="67">
        <f ca="1">IFERROR(__xludf.DUMMYFUNCTION("IMPORTRANGE(""https://docs.google.com/spreadsheets/d/1-uDff_7J0KD5mKrp0Vvzr7lt3OU09vwQwhkpOPPYv2Y/edit?usp=sharing"",""งบพรบ!DC28"")"),0)</f>
        <v>0</v>
      </c>
      <c r="P28" s="67">
        <f t="shared" ca="1" si="96"/>
        <v>0</v>
      </c>
      <c r="Q28" s="68">
        <f t="shared" ca="1" si="97"/>
        <v>0</v>
      </c>
      <c r="R28" s="67">
        <f ca="1">IFERROR(__xludf.DUMMYFUNCTION("IMPORTRANGE(""https://docs.google.com/spreadsheets/d/1B0f2xJpZUC6Z0xXnqKlZtEPzsf6L84eP1r1Q15seqRM/edit?usp=sharing"",""สุโขทัย!Q186"")"),56000)</f>
        <v>56000</v>
      </c>
      <c r="S28" s="67">
        <f ca="1">IFERROR(__xludf.DUMMYFUNCTION("IMPORTRANGE(""https://docs.google.com/spreadsheets/d/1B0f2xJpZUC6Z0xXnqKlZtEPzsf6L84eP1r1Q15seqRM/edit?usp=sharing"",""สุโขทัย!R186"")"),56000)</f>
        <v>56000</v>
      </c>
      <c r="T28" s="67">
        <f ca="1">IFERROR(__xludf.DUMMYFUNCTION("IMPORTRANGE(""https://docs.google.com/spreadsheets/d/1B0f2xJpZUC6Z0xXnqKlZtEPzsf6L84eP1r1Q15seqRM/edit?usp=sharing"",""สุโขทัย!S186"")"),33030)</f>
        <v>33030</v>
      </c>
      <c r="U28" s="68">
        <f t="shared" ca="1" si="99"/>
        <v>58.982142857142854</v>
      </c>
      <c r="V28" s="68">
        <f t="shared" ca="1" si="100"/>
        <v>58.982142857142854</v>
      </c>
      <c r="W28" s="152">
        <f ca="1">IFERROR(__xludf.DUMMYFUNCTION("IMPORTRANGE(""https://docs.google.com/spreadsheets/d/1B0f2xJpZUC6Z0xXnqKlZtEPzsf6L84eP1r1Q15seqRM/edit?usp=sharing"",""สุโขทัย!L196"")"),6000)</f>
        <v>6000</v>
      </c>
      <c r="X28" s="152">
        <f ca="1">IFERROR(__xludf.DUMMYFUNCTION("IMPORTRANGE(""https://docs.google.com/spreadsheets/d/1B0f2xJpZUC6Z0xXnqKlZtEPzsf6L84eP1r1Q15seqRM/edit?usp=sharing"",""สุโขทัย!N196"")"),0)</f>
        <v>0</v>
      </c>
      <c r="Y28" s="216">
        <f t="shared" ca="1" si="102"/>
        <v>0</v>
      </c>
      <c r="Z28" s="152">
        <f ca="1">IFERROR(__xludf.DUMMYFUNCTION("IMPORTRANGE(""https://docs.google.com/spreadsheets/d/1B0f2xJpZUC6Z0xXnqKlZtEPzsf6L84eP1r1Q15seqRM/edit?usp=sharing"",""สุโขทัย!I198"")"),4)</f>
        <v>4</v>
      </c>
      <c r="AA28" s="152">
        <f ca="1">IFERROR(__xludf.DUMMYFUNCTION("IMPORTRANGE(""https://docs.google.com/spreadsheets/d/1B0f2xJpZUC6Z0xXnqKlZtEPzsf6L84eP1r1Q15seqRM/edit?usp=sharing"",""สุโขทัย!J198"")"),3)</f>
        <v>3</v>
      </c>
      <c r="AB28" s="216">
        <f t="shared" ca="1" si="104"/>
        <v>75</v>
      </c>
      <c r="AC28" s="152">
        <f ca="1">IFERROR(__xludf.DUMMYFUNCTION("IMPORTRANGE(""https://docs.google.com/spreadsheets/d/1B0f2xJpZUC6Z0xXnqKlZtEPzsf6L84eP1r1Q15seqRM/edit?usp=sharing"",""สุโขทัย!J199"")"),62)</f>
        <v>62</v>
      </c>
      <c r="AD28" s="152">
        <f ca="1">IFERROR(__xludf.DUMMYFUNCTION("IMPORTRANGE(""https://docs.google.com/spreadsheets/d/1B0f2xJpZUC6Z0xXnqKlZtEPzsf6L84eP1r1Q15seqRM/edit?usp=sharing"",""สุโขทัย!J200"")"),62)</f>
        <v>62</v>
      </c>
      <c r="AE28" s="152">
        <f ca="1">IFERROR(__xludf.DUMMYFUNCTION("IMPORTRANGE(""https://docs.google.com/spreadsheets/d/1B0f2xJpZUC6Z0xXnqKlZtEPzsf6L84eP1r1Q15seqRM/edit?usp=sharing"",""สุโขทัย!J201"")"),0)</f>
        <v>0</v>
      </c>
      <c r="AF28" s="152">
        <f ca="1">IFERROR(__xludf.DUMMYFUNCTION("IMPORTRANGE(""https://docs.google.com/spreadsheets/d/1B0f2xJpZUC6Z0xXnqKlZtEPzsf6L84eP1r1Q15seqRM/edit?usp=sharing"",""สุโขทัย!L204"")"),4000)</f>
        <v>4000</v>
      </c>
      <c r="AG28" s="152">
        <f ca="1">IFERROR(__xludf.DUMMYFUNCTION("IMPORTRANGE(""https://docs.google.com/spreadsheets/d/1B0f2xJpZUC6Z0xXnqKlZtEPzsf6L84eP1r1Q15seqRM/edit?usp=sharing"",""สุโขทัย!N204"")"),3400)</f>
        <v>3400</v>
      </c>
      <c r="AH28" s="216">
        <f t="shared" ca="1" si="106"/>
        <v>85</v>
      </c>
      <c r="AI28" s="152">
        <f ca="1">IFERROR(__xludf.DUMMYFUNCTION("IMPORTRANGE(""https://docs.google.com/spreadsheets/d/1B0f2xJpZUC6Z0xXnqKlZtEPzsf6L84eP1r1Q15seqRM/edit?usp=sharing"",""สุโขทัย!L206"")"),0)</f>
        <v>0</v>
      </c>
      <c r="AJ28" s="152">
        <f ca="1">IFERROR(__xludf.DUMMYFUNCTION("IMPORTRANGE(""https://docs.google.com/spreadsheets/d/1B0f2xJpZUC6Z0xXnqKlZtEPzsf6L84eP1r1Q15seqRM/edit?usp=sharing"",""สุโขทัย!N206"")"),0)</f>
        <v>0</v>
      </c>
      <c r="AK28" s="216">
        <f t="shared" ca="1" si="108"/>
        <v>0</v>
      </c>
      <c r="AL28" s="152">
        <f ca="1">IFERROR(__xludf.DUMMYFUNCTION("IMPORTRANGE(""https://docs.google.com/spreadsheets/d/1B0f2xJpZUC6Z0xXnqKlZtEPzsf6L84eP1r1Q15seqRM/edit?usp=sharing"",""สุโขทัย!Q206"")"),56000)</f>
        <v>56000</v>
      </c>
      <c r="AM28" s="152">
        <f ca="1">IFERROR(__xludf.DUMMYFUNCTION("IMPORTRANGE(""https://docs.google.com/spreadsheets/d/1B0f2xJpZUC6Z0xXnqKlZtEPzsf6L84eP1r1Q15seqRM/edit?usp=sharing"",""สุโขทัย!S206"")"),0)</f>
        <v>0</v>
      </c>
      <c r="AN28" s="216">
        <f t="shared" ca="1" si="110"/>
        <v>0</v>
      </c>
      <c r="AO28" s="152">
        <f ca="1">IFERROR(__xludf.DUMMYFUNCTION("IMPORTRANGE(""https://docs.google.com/spreadsheets/d/1B0f2xJpZUC6Z0xXnqKlZtEPzsf6L84eP1r1Q15seqRM/edit?usp=sharing"",""สุโขทัย!L207"")"),16000)</f>
        <v>16000</v>
      </c>
      <c r="AP28" s="152">
        <f ca="1">IFERROR(__xludf.DUMMYFUNCTION("IMPORTRANGE(""https://docs.google.com/spreadsheets/d/1B0f2xJpZUC6Z0xXnqKlZtEPzsf6L84eP1r1Q15seqRM/edit?usp=sharing"",""สุโขทัย!N207"")"),0)</f>
        <v>0</v>
      </c>
      <c r="AQ28" s="216">
        <f t="shared" ca="1" si="112"/>
        <v>0</v>
      </c>
      <c r="AR28" s="152">
        <f ca="1">IFERROR(__xludf.DUMMYFUNCTION("IMPORTRANGE(""https://docs.google.com/spreadsheets/d/1B0f2xJpZUC6Z0xXnqKlZtEPzsf6L84eP1r1Q15seqRM/edit?usp=sharing"",""สุโขทัย!I209"")"),4)</f>
        <v>4</v>
      </c>
      <c r="AS28" s="152">
        <f ca="1">IFERROR(__xludf.DUMMYFUNCTION("IMPORTRANGE(""https://docs.google.com/spreadsheets/d/1B0f2xJpZUC6Z0xXnqKlZtEPzsf6L84eP1r1Q15seqRM/edit?usp=sharing"",""สุโขทัย!J209"")"),4)</f>
        <v>4</v>
      </c>
      <c r="AT28" s="216">
        <f t="shared" ca="1" si="114"/>
        <v>100</v>
      </c>
      <c r="AU28" s="152">
        <f ca="1">IFERROR(__xludf.DUMMYFUNCTION("IMPORTRANGE(""https://docs.google.com/spreadsheets/d/1B0f2xJpZUC6Z0xXnqKlZtEPzsf6L84eP1r1Q15seqRM/edit?usp=sharing"",""สุโขทัย!J211"")"),4)</f>
        <v>4</v>
      </c>
      <c r="AV28" s="152">
        <f ca="1">IFERROR(__xludf.DUMMYFUNCTION("IMPORTRANGE(""https://docs.google.com/spreadsheets/d/1B0f2xJpZUC6Z0xXnqKlZtEPzsf6L84eP1r1Q15seqRM/edit?usp=sharing"",""สุโขทัย!J212"")"),0)</f>
        <v>0</v>
      </c>
      <c r="AW28" s="152">
        <f ca="1">IFERROR(__xludf.DUMMYFUNCTION("IMPORTRANGE(""https://docs.google.com/spreadsheets/d/1B0f2xJpZUC6Z0xXnqKlZtEPzsf6L84eP1r1Q15seqRM/edit?usp=sharing"",""สุโขทัย!L215"")"),0)</f>
        <v>0</v>
      </c>
      <c r="AX28" s="152">
        <f ca="1">IFERROR(__xludf.DUMMYFUNCTION("IMPORTRANGE(""https://docs.google.com/spreadsheets/d/1B0f2xJpZUC6Z0xXnqKlZtEPzsf6L84eP1r1Q15seqRM/edit?usp=sharing"",""สุโขทัย!N215"")"),0)</f>
        <v>0</v>
      </c>
      <c r="AY28" s="216">
        <f t="shared" ca="1" si="116"/>
        <v>0</v>
      </c>
      <c r="AZ28" s="152">
        <f ca="1">IFERROR(__xludf.DUMMYFUNCTION("IMPORTRANGE(""https://docs.google.com/spreadsheets/d/1B0f2xJpZUC6Z0xXnqKlZtEPzsf6L84eP1r1Q15seqRM/edit?usp=sharing"",""สุโขทัย!L216"")"),0)</f>
        <v>0</v>
      </c>
      <c r="BA28" s="152">
        <f ca="1">IFERROR(__xludf.DUMMYFUNCTION("IMPORTRANGE(""https://docs.google.com/spreadsheets/d/1B0f2xJpZUC6Z0xXnqKlZtEPzsf6L84eP1r1Q15seqRM/edit?usp=sharing"",""สุโขทัย!N216"")"),0)</f>
        <v>0</v>
      </c>
      <c r="BB28" s="216">
        <f t="shared" ca="1" si="118"/>
        <v>0</v>
      </c>
      <c r="BC28" s="152">
        <f ca="1">IFERROR(__xludf.DUMMYFUNCTION("IMPORTRANGE(""https://docs.google.com/spreadsheets/d/1B0f2xJpZUC6Z0xXnqKlZtEPzsf6L84eP1r1Q15seqRM/edit?usp=sharing"",""สุโขทัย!L217"")"),0)</f>
        <v>0</v>
      </c>
      <c r="BD28" s="152">
        <f ca="1">IFERROR(__xludf.DUMMYFUNCTION("IMPORTRANGE(""https://docs.google.com/spreadsheets/d/1B0f2xJpZUC6Z0xXnqKlZtEPzsf6L84eP1r1Q15seqRM/edit?usp=sharing"",""สุโขทัย!N217"")"),0)</f>
        <v>0</v>
      </c>
      <c r="BE28" s="216">
        <f t="shared" ca="1" si="120"/>
        <v>0</v>
      </c>
      <c r="BF28" s="152">
        <f ca="1">IFERROR(__xludf.DUMMYFUNCTION("IMPORTRANGE(""https://docs.google.com/spreadsheets/d/1B0f2xJpZUC6Z0xXnqKlZtEPzsf6L84eP1r1Q15seqRM/edit?usp=sharing"",""สุโขทัย!Q217"")"),0)</f>
        <v>0</v>
      </c>
      <c r="BG28" s="152">
        <f ca="1">IFERROR(__xludf.DUMMYFUNCTION("IMPORTRANGE(""https://docs.google.com/spreadsheets/d/1B0f2xJpZUC6Z0xXnqKlZtEPzsf6L84eP1r1Q15seqRM/edit?usp=sharing"",""สุโขทัย!S217"")"),0)</f>
        <v>0</v>
      </c>
      <c r="BH28" s="216">
        <f t="shared" ca="1" si="122"/>
        <v>0</v>
      </c>
      <c r="BI28" s="152">
        <f ca="1">IFERROR(__xludf.DUMMYFUNCTION("IMPORTRANGE(""https://docs.google.com/spreadsheets/d/1B0f2xJpZUC6Z0xXnqKlZtEPzsf6L84eP1r1Q15seqRM/edit?usp=sharing"",""สุโขทัย!I219"")"),0)</f>
        <v>0</v>
      </c>
      <c r="BJ28" s="152">
        <f ca="1">IFERROR(__xludf.DUMMYFUNCTION("IMPORTRANGE(""https://docs.google.com/spreadsheets/d/1B0f2xJpZUC6Z0xXnqKlZtEPzsf6L84eP1r1Q15seqRM/edit?usp=sharing"",""สุโขทัย!J219"")"),0)</f>
        <v>0</v>
      </c>
      <c r="BK28" s="216">
        <f t="shared" ca="1" si="124"/>
        <v>0</v>
      </c>
      <c r="BL28" s="152">
        <f ca="1">IFERROR(__xludf.DUMMYFUNCTION("IMPORTRANGE(""https://docs.google.com/spreadsheets/d/1B0f2xJpZUC6Z0xXnqKlZtEPzsf6L84eP1r1Q15seqRM/edit?usp=sharing"",""สุโขทัย!I220"")"),0)</f>
        <v>0</v>
      </c>
      <c r="BM28" s="152">
        <f ca="1">IFERROR(__xludf.DUMMYFUNCTION("IMPORTRANGE(""https://docs.google.com/spreadsheets/d/1B0f2xJpZUC6Z0xXnqKlZtEPzsf6L84eP1r1Q15seqRM/edit?usp=sharing"",""สุโขทัย!J220"")"),0)</f>
        <v>0</v>
      </c>
      <c r="BN28" s="216">
        <f t="shared" ca="1" si="126"/>
        <v>0</v>
      </c>
      <c r="BO28" s="152">
        <f ca="1">IFERROR(__xludf.DUMMYFUNCTION("IMPORTRANGE(""https://docs.google.com/spreadsheets/d/1B0f2xJpZUC6Z0xXnqKlZtEPzsf6L84eP1r1Q15seqRM/edit?usp=sharing"",""สุโขทัย!L223"")"),2500)</f>
        <v>2500</v>
      </c>
      <c r="BP28" s="152">
        <f ca="1">IFERROR(__xludf.DUMMYFUNCTION("IMPORTRANGE(""https://docs.google.com/spreadsheets/d/1B0f2xJpZUC6Z0xXnqKlZtEPzsf6L84eP1r1Q15seqRM/edit?usp=sharing"",""สุโขทัย!N223"")"),0)</f>
        <v>0</v>
      </c>
      <c r="BQ28" s="216">
        <f t="shared" ca="1" si="128"/>
        <v>0</v>
      </c>
      <c r="BR28" s="152">
        <f ca="1">IFERROR(__xludf.DUMMYFUNCTION("IMPORTRANGE(""https://docs.google.com/spreadsheets/d/1B0f2xJpZUC6Z0xXnqKlZtEPzsf6L84eP1r1Q15seqRM/edit?usp=sharing"",""สุโขทัย!L224"")"),6000)</f>
        <v>6000</v>
      </c>
      <c r="BS28" s="152">
        <f ca="1">IFERROR(__xludf.DUMMYFUNCTION("IMPORTRANGE(""https://docs.google.com/spreadsheets/d/1B0f2xJpZUC6Z0xXnqKlZtEPzsf6L84eP1r1Q15seqRM/edit?usp=sharing"",""สุโขทัย!N224"")"),0)</f>
        <v>0</v>
      </c>
      <c r="BT28" s="216">
        <f t="shared" ca="1" si="130"/>
        <v>0</v>
      </c>
      <c r="BU28" s="152">
        <f ca="1">IFERROR(__xludf.DUMMYFUNCTION("IMPORTRANGE(""https://docs.google.com/spreadsheets/d/1B0f2xJpZUC6Z0xXnqKlZtEPzsf6L84eP1r1Q15seqRM/edit?usp=sharing"",""สุโขทัย!I228"")"),50000)</f>
        <v>50000</v>
      </c>
      <c r="BV28" s="152">
        <f ca="1">IFERROR(__xludf.DUMMYFUNCTION("IMPORTRANGE(""https://docs.google.com/spreadsheets/d/1B0f2xJpZUC6Z0xXnqKlZtEPzsf6L84eP1r1Q15seqRM/edit?usp=sharing"",""สุโขทัย!J228"")"),50000)</f>
        <v>50000</v>
      </c>
      <c r="BW28" s="216">
        <f t="shared" ca="1" si="132"/>
        <v>100</v>
      </c>
      <c r="BX28" s="152">
        <f ca="1">IFERROR(__xludf.DUMMYFUNCTION("IMPORTRANGE(""https://docs.google.com/spreadsheets/d/1B0f2xJpZUC6Z0xXnqKlZtEPzsf6L84eP1r1Q15seqRM/edit?usp=sharing"",""สุโขทัย!I229"")"),50000)</f>
        <v>50000</v>
      </c>
      <c r="BY28" s="152">
        <f ca="1">IFERROR(__xludf.DUMMYFUNCTION("IMPORTRANGE(""https://docs.google.com/spreadsheets/d/1B0f2xJpZUC6Z0xXnqKlZtEPzsf6L84eP1r1Q15seqRM/edit?usp=sharing"",""สุโขทัย!J229"")"),50000)</f>
        <v>50000</v>
      </c>
      <c r="BZ28" s="216">
        <f t="shared" ca="1" si="134"/>
        <v>100</v>
      </c>
      <c r="CA28" s="152">
        <f ca="1">IFERROR(__xludf.DUMMYFUNCTION("IMPORTRANGE(""https://docs.google.com/spreadsheets/d/1B0f2xJpZUC6Z0xXnqKlZtEPzsf6L84eP1r1Q15seqRM/edit?usp=sharing"",""สุโขทัย!I230"")"),0)</f>
        <v>0</v>
      </c>
      <c r="CB28" s="152">
        <f ca="1">IFERROR(__xludf.DUMMYFUNCTION("IMPORTRANGE(""https://docs.google.com/spreadsheets/d/1B0f2xJpZUC6Z0xXnqKlZtEPzsf6L84eP1r1Q15seqRM/edit?usp=sharing"",""สุโขทัย!J230"")"),0)</f>
        <v>0</v>
      </c>
      <c r="CC28" s="216">
        <f t="shared" ca="1" si="136"/>
        <v>0</v>
      </c>
      <c r="CD28" s="152">
        <f ca="1">IFERROR(__xludf.DUMMYFUNCTION("IMPORTRANGE(""https://docs.google.com/spreadsheets/d/1B0f2xJpZUC6Z0xXnqKlZtEPzsf6L84eP1r1Q15seqRM/edit?usp=sharing"",""สุโขทัย!L233"")"),0)</f>
        <v>0</v>
      </c>
      <c r="CE28" s="152">
        <f ca="1">IFERROR(__xludf.DUMMYFUNCTION("IMPORTRANGE(""https://docs.google.com/spreadsheets/d/1B0f2xJpZUC6Z0xXnqKlZtEPzsf6L84eP1r1Q15seqRM/edit?usp=sharing"",""สุโขทัย!N233"")"),0)</f>
        <v>0</v>
      </c>
      <c r="CF28" s="216">
        <f t="shared" ca="1" si="138"/>
        <v>0</v>
      </c>
      <c r="CG28" s="152">
        <f ca="1">IFERROR(__xludf.DUMMYFUNCTION("IMPORTRANGE(""https://docs.google.com/spreadsheets/d/1B0f2xJpZUC6Z0xXnqKlZtEPzsf6L84eP1r1Q15seqRM/edit?usp=sharing"",""สุโขทัย!L234"")"),0)</f>
        <v>0</v>
      </c>
      <c r="CH28" s="152">
        <f ca="1">IFERROR(__xludf.DUMMYFUNCTION("IMPORTRANGE(""https://docs.google.com/spreadsheets/d/1B0f2xJpZUC6Z0xXnqKlZtEPzsf6L84eP1r1Q15seqRM/edit?usp=sharing"",""สุโขทัย!N234"")"),0)</f>
        <v>0</v>
      </c>
      <c r="CI28" s="216">
        <f t="shared" ca="1" si="140"/>
        <v>0</v>
      </c>
      <c r="CJ28" s="152">
        <f ca="1">IFERROR(__xludf.DUMMYFUNCTION("IMPORTRANGE(""https://docs.google.com/spreadsheets/d/1B0f2xJpZUC6Z0xXnqKlZtEPzsf6L84eP1r1Q15seqRM/edit?usp=sharing"",""สุโขทัย!L235"")"),0)</f>
        <v>0</v>
      </c>
      <c r="CK28" s="152">
        <f ca="1">IFERROR(__xludf.DUMMYFUNCTION("IMPORTRANGE(""https://docs.google.com/spreadsheets/d/1B0f2xJpZUC6Z0xXnqKlZtEPzsf6L84eP1r1Q15seqRM/edit?usp=sharing"",""สุโขทัย!N235"")"),0)</f>
        <v>0</v>
      </c>
      <c r="CL28" s="216">
        <f t="shared" ca="1" si="142"/>
        <v>0</v>
      </c>
      <c r="CM28" s="251">
        <f ca="1">IFERROR(__xludf.DUMMYFUNCTION("IMPORTRANGE(""https://docs.google.com/spreadsheets/d/1B0f2xJpZUC6Z0xXnqKlZtEPzsf6L84eP1r1Q15seqRM/edit?usp=sharing"",""สุโขทัย!Q235"")"),0)</f>
        <v>0</v>
      </c>
      <c r="CN28" s="251">
        <f ca="1">IFERROR(__xludf.DUMMYFUNCTION("IMPORTRANGE(""https://docs.google.com/spreadsheets/d/1B0f2xJpZUC6Z0xXnqKlZtEPzsf6L84eP1r1Q15seqRM/edit?usp=sharing"",""สุโขทัย!S235"")"),0)</f>
        <v>0</v>
      </c>
      <c r="CO28" s="216">
        <f t="shared" ca="1" si="144"/>
        <v>0</v>
      </c>
      <c r="CP28" s="152">
        <f ca="1">IFERROR(__xludf.DUMMYFUNCTION("IMPORTRANGE(""https://docs.google.com/spreadsheets/d/1B0f2xJpZUC6Z0xXnqKlZtEPzsf6L84eP1r1Q15seqRM/edit?usp=sharing"",""สุโขทัย!L236"")"),0)</f>
        <v>0</v>
      </c>
      <c r="CQ28" s="152">
        <f ca="1">IFERROR(__xludf.DUMMYFUNCTION("IMPORTRANGE(""https://docs.google.com/spreadsheets/d/1B0f2xJpZUC6Z0xXnqKlZtEPzsf6L84eP1r1Q15seqRM/edit?usp=sharing"",""สุโขทัย!N236"")"),0)</f>
        <v>0</v>
      </c>
      <c r="CR28" s="216">
        <f t="shared" ca="1" si="146"/>
        <v>0</v>
      </c>
      <c r="CS28" s="152">
        <f ca="1">IFERROR(__xludf.DUMMYFUNCTION("IMPORTRANGE(""https://docs.google.com/spreadsheets/d/1B0f2xJpZUC6Z0xXnqKlZtEPzsf6L84eP1r1Q15seqRM/edit?usp=sharing"",""สุโขทัย!I238"")"),0)</f>
        <v>0</v>
      </c>
      <c r="CT28" s="152">
        <f ca="1">IFERROR(__xludf.DUMMYFUNCTION("IMPORTRANGE(""https://docs.google.com/spreadsheets/d/1B0f2xJpZUC6Z0xXnqKlZtEPzsf6L84eP1r1Q15seqRM/edit?usp=sharing"",""สุโขทัย!J238"")"),0)</f>
        <v>0</v>
      </c>
      <c r="CU28" s="216">
        <f t="shared" ca="1" si="148"/>
        <v>0</v>
      </c>
      <c r="CV28" s="152">
        <f ca="1">IFERROR(__xludf.DUMMYFUNCTION("IMPORTRANGE(""https://docs.google.com/spreadsheets/d/1B0f2xJpZUC6Z0xXnqKlZtEPzsf6L84eP1r1Q15seqRM/edit?usp=sharing"",""สุโขทัย!J240"")"),0)</f>
        <v>0</v>
      </c>
      <c r="CW28" s="152">
        <f ca="1">IFERROR(__xludf.DUMMYFUNCTION("IMPORTRANGE(""https://docs.google.com/spreadsheets/d/1B0f2xJpZUC6Z0xXnqKlZtEPzsf6L84eP1r1Q15seqRM/edit?usp=sharing"",""สุโขทัย!J241"")"),0)</f>
        <v>0</v>
      </c>
    </row>
    <row r="29" spans="1:101" ht="24" customHeight="1" x14ac:dyDescent="0.3">
      <c r="A29" s="147">
        <v>16</v>
      </c>
      <c r="B29" s="148" t="s">
        <v>57</v>
      </c>
      <c r="C29" s="149">
        <f t="shared" ca="1" si="90"/>
        <v>129500</v>
      </c>
      <c r="D29" s="150">
        <f t="shared" ca="1" si="150"/>
        <v>129500</v>
      </c>
      <c r="E29" s="151">
        <f ca="1">IFERROR(__xludf.DUMMYFUNCTION("IMPORTRANGE(""https://docs.google.com/spreadsheets/d/1-uDff_7J0KD5mKrp0Vvzr7lt3OU09vwQwhkpOPPYv2Y/edit?usp=sharing"",""งบพรบ!CV29"")"),91000)</f>
        <v>91000</v>
      </c>
      <c r="F29" s="151">
        <f ca="1">IFERROR(__xludf.DUMMYFUNCTION("IMPORTRANGE(""https://docs.google.com/spreadsheets/d/1-uDff_7J0KD5mKrp0Vvzr7lt3OU09vwQwhkpOPPYv2Y/edit?usp=sharing"",""งบพรบ!CW29"")"),38500)</f>
        <v>38500</v>
      </c>
      <c r="G29" s="151">
        <f ca="1">IFERROR(__xludf.DUMMYFUNCTION("IMPORTRANGE(""https://docs.google.com/spreadsheets/d/1-uDff_7J0KD5mKrp0Vvzr7lt3OU09vwQwhkpOPPYv2Y/edit?usp=sharing"",""งบพรบ!CX29"")"),0)</f>
        <v>0</v>
      </c>
      <c r="H29" s="151">
        <f ca="1">IFERROR(__xludf.DUMMYFUNCTION("IMPORTRANGE(""https://docs.google.com/spreadsheets/d/1-uDff_7J0KD5mKrp0Vvzr7lt3OU09vwQwhkpOPPYv2Y/edit?usp=sharing"",""งบพรบ!CZ29"")"),131500)</f>
        <v>131500</v>
      </c>
      <c r="I29" s="151">
        <f ca="1">IFERROR(__xludf.DUMMYFUNCTION("IMPORTRANGE(""https://docs.google.com/spreadsheets/d/1-uDff_7J0KD5mKrp0Vvzr7lt3OU09vwQwhkpOPPYv2Y/edit?usp=sharing"",""งบพรบ!DA29"")"),0)</f>
        <v>0</v>
      </c>
      <c r="J29" s="151">
        <f t="shared" ca="1" si="92"/>
        <v>112569.05</v>
      </c>
      <c r="K29" s="154">
        <f t="shared" ca="1" si="93"/>
        <v>86.92590733590734</v>
      </c>
      <c r="L29" s="151">
        <f ca="1">IFERROR(__xludf.DUMMYFUNCTION("IMPORTRANGE(""https://docs.google.com/spreadsheets/d/1-uDff_7J0KD5mKrp0Vvzr7lt3OU09vwQwhkpOPPYv2Y/edit?usp=sharing"",""งบพรบ!DB29"")"),112569.05)</f>
        <v>112569.05</v>
      </c>
      <c r="M29" s="68">
        <f t="shared" ca="1" si="94"/>
        <v>86.92590733590734</v>
      </c>
      <c r="N29" s="68">
        <f t="shared" ca="1" si="95"/>
        <v>85.603840304182512</v>
      </c>
      <c r="O29" s="67">
        <f ca="1">IFERROR(__xludf.DUMMYFUNCTION("IMPORTRANGE(""https://docs.google.com/spreadsheets/d/1-uDff_7J0KD5mKrp0Vvzr7lt3OU09vwQwhkpOPPYv2Y/edit?usp=sharing"",""งบพรบ!DC29"")"),0)</f>
        <v>0</v>
      </c>
      <c r="P29" s="67">
        <f t="shared" ca="1" si="96"/>
        <v>0</v>
      </c>
      <c r="Q29" s="68">
        <f t="shared" ca="1" si="97"/>
        <v>0</v>
      </c>
      <c r="R29" s="67">
        <f ca="1">IFERROR(__xludf.DUMMYFUNCTION("IMPORTRANGE(""https://docs.google.com/spreadsheets/d/1v0b9pFQCsKUVExMei7AgY2yQkdeNQvtOssygGsXbiKo/edit?usp=sharing"",""อุตรดิตถ์!Q186"")"),91700)</f>
        <v>91700</v>
      </c>
      <c r="S29" s="67">
        <f ca="1">IFERROR(__xludf.DUMMYFUNCTION("IMPORTRANGE(""https://docs.google.com/spreadsheets/d/1v0b9pFQCsKUVExMei7AgY2yQkdeNQvtOssygGsXbiKo/edit?usp=sharing"",""อุตรดิตถ์!R186"")"),91700)</f>
        <v>91700</v>
      </c>
      <c r="T29" s="67">
        <f ca="1">IFERROR(__xludf.DUMMYFUNCTION("IMPORTRANGE(""https://docs.google.com/spreadsheets/d/1v0b9pFQCsKUVExMei7AgY2yQkdeNQvtOssygGsXbiKo/edit?usp=sharing"",""อุตรดิตถ์!S186"")"),55270)</f>
        <v>55270</v>
      </c>
      <c r="U29" s="68">
        <f t="shared" ca="1" si="99"/>
        <v>60.272628135223556</v>
      </c>
      <c r="V29" s="68">
        <f t="shared" ca="1" si="100"/>
        <v>60.272628135223556</v>
      </c>
      <c r="W29" s="152">
        <f ca="1">IFERROR(__xludf.DUMMYFUNCTION("IMPORTRANGE(""https://docs.google.com/spreadsheets/d/1v0b9pFQCsKUVExMei7AgY2yQkdeNQvtOssygGsXbiKo/edit?usp=sharing"",""อุตรดิตถ์!L196"")"),6000)</f>
        <v>6000</v>
      </c>
      <c r="X29" s="152">
        <f ca="1">IFERROR(__xludf.DUMMYFUNCTION("IMPORTRANGE(""https://docs.google.com/spreadsheets/d/1v0b9pFQCsKUVExMei7AgY2yQkdeNQvtOssygGsXbiKo/edit?usp=sharing"",""อุตรดิตถ์!N196"")"),6599.05)</f>
        <v>6599.05</v>
      </c>
      <c r="Y29" s="216">
        <f t="shared" ca="1" si="102"/>
        <v>109.98416666666667</v>
      </c>
      <c r="Z29" s="152">
        <f ca="1">IFERROR(__xludf.DUMMYFUNCTION("IMPORTRANGE(""https://docs.google.com/spreadsheets/d/1v0b9pFQCsKUVExMei7AgY2yQkdeNQvtOssygGsXbiKo/edit?usp=sharing"",""อุตรดิตถ์!I198"")"),4)</f>
        <v>4</v>
      </c>
      <c r="AA29" s="152">
        <f ca="1">IFERROR(__xludf.DUMMYFUNCTION("IMPORTRANGE(""https://docs.google.com/spreadsheets/d/1v0b9pFQCsKUVExMei7AgY2yQkdeNQvtOssygGsXbiKo/edit?usp=sharing"",""อุตรดิตถ์!J198"")"),3)</f>
        <v>3</v>
      </c>
      <c r="AB29" s="216">
        <f t="shared" ca="1" si="104"/>
        <v>75</v>
      </c>
      <c r="AC29" s="152">
        <f ca="1">IFERROR(__xludf.DUMMYFUNCTION("IMPORTRANGE(""https://docs.google.com/spreadsheets/d/1v0b9pFQCsKUVExMei7AgY2yQkdeNQvtOssygGsXbiKo/edit?usp=sharing"",""อุตรดิตถ์!J199"")"),91)</f>
        <v>91</v>
      </c>
      <c r="AD29" s="152">
        <f ca="1">IFERROR(__xludf.DUMMYFUNCTION("IMPORTRANGE(""https://docs.google.com/spreadsheets/d/1v0b9pFQCsKUVExMei7AgY2yQkdeNQvtOssygGsXbiKo/edit?usp=sharing"",""อุตรดิตถ์!J200"")"),91)</f>
        <v>91</v>
      </c>
      <c r="AE29" s="152">
        <f ca="1">IFERROR(__xludf.DUMMYFUNCTION("IMPORTRANGE(""https://docs.google.com/spreadsheets/d/1v0b9pFQCsKUVExMei7AgY2yQkdeNQvtOssygGsXbiKo/edit?usp=sharing"",""อุตรดิตถ์!J201"")"),0)</f>
        <v>0</v>
      </c>
      <c r="AF29" s="152">
        <f ca="1">IFERROR(__xludf.DUMMYFUNCTION("IMPORTRANGE(""https://docs.google.com/spreadsheets/d/1v0b9pFQCsKUVExMei7AgY2yQkdeNQvtOssygGsXbiKo/edit?usp=sharing"",""อุตรดิตถ์!L204"")"),3000)</f>
        <v>3000</v>
      </c>
      <c r="AG29" s="152">
        <f ca="1">IFERROR(__xludf.DUMMYFUNCTION("IMPORTRANGE(""https://docs.google.com/spreadsheets/d/1v0b9pFQCsKUVExMei7AgY2yQkdeNQvtOssygGsXbiKo/edit?usp=sharing"",""อุตรดิตถ์!N204"")"),3000)</f>
        <v>3000</v>
      </c>
      <c r="AH29" s="216">
        <f t="shared" ca="1" si="106"/>
        <v>100</v>
      </c>
      <c r="AI29" s="152">
        <f ca="1">IFERROR(__xludf.DUMMYFUNCTION("IMPORTRANGE(""https://docs.google.com/spreadsheets/d/1v0b9pFQCsKUVExMei7AgY2yQkdeNQvtOssygGsXbiKo/edit?usp=sharing"",""อุตรดิตถ์!L206"")"),0)</f>
        <v>0</v>
      </c>
      <c r="AJ29" s="152">
        <f ca="1">IFERROR(__xludf.DUMMYFUNCTION("IMPORTRANGE(""https://docs.google.com/spreadsheets/d/1v0b9pFQCsKUVExMei7AgY2yQkdeNQvtOssygGsXbiKo/edit?usp=sharing"",""อุตรดิตถ์!N206"")"),0)</f>
        <v>0</v>
      </c>
      <c r="AK29" s="216">
        <f t="shared" ca="1" si="108"/>
        <v>0</v>
      </c>
      <c r="AL29" s="152">
        <f ca="1">IFERROR(__xludf.DUMMYFUNCTION("IMPORTRANGE(""https://docs.google.com/spreadsheets/d/1v0b9pFQCsKUVExMei7AgY2yQkdeNQvtOssygGsXbiKo/edit?usp=sharing"",""อุตรดิตถ์!Q206"")"),42000)</f>
        <v>42000</v>
      </c>
      <c r="AM29" s="152">
        <f ca="1">IFERROR(__xludf.DUMMYFUNCTION("IMPORTRANGE(""https://docs.google.com/spreadsheets/d/1v0b9pFQCsKUVExMei7AgY2yQkdeNQvtOssygGsXbiKo/edit?usp=sharing"",""อุตรดิตถ์!S206"")"),32160)</f>
        <v>32160</v>
      </c>
      <c r="AN29" s="216">
        <f t="shared" ca="1" si="110"/>
        <v>76.571428571428569</v>
      </c>
      <c r="AO29" s="152">
        <f ca="1">IFERROR(__xludf.DUMMYFUNCTION("IMPORTRANGE(""https://docs.google.com/spreadsheets/d/1v0b9pFQCsKUVExMei7AgY2yQkdeNQvtOssygGsXbiKo/edit?usp=sharing"",""อุตรดิตถ์!L207"")"),17000)</f>
        <v>17000</v>
      </c>
      <c r="AP29" s="152">
        <f ca="1">IFERROR(__xludf.DUMMYFUNCTION("IMPORTRANGE(""https://docs.google.com/spreadsheets/d/1v0b9pFQCsKUVExMei7AgY2yQkdeNQvtOssygGsXbiKo/edit?usp=sharing"",""อุตรดิตถ์!N207"")"),10730)</f>
        <v>10730</v>
      </c>
      <c r="AQ29" s="216">
        <f t="shared" ca="1" si="112"/>
        <v>63.117647058823529</v>
      </c>
      <c r="AR29" s="152">
        <f ca="1">IFERROR(__xludf.DUMMYFUNCTION("IMPORTRANGE(""https://docs.google.com/spreadsheets/d/1v0b9pFQCsKUVExMei7AgY2yQkdeNQvtOssygGsXbiKo/edit?usp=sharing"",""อุตรดิตถ์!I209"")"),3)</f>
        <v>3</v>
      </c>
      <c r="AS29" s="152">
        <f ca="1">IFERROR(__xludf.DUMMYFUNCTION("IMPORTRANGE(""https://docs.google.com/spreadsheets/d/1v0b9pFQCsKUVExMei7AgY2yQkdeNQvtOssygGsXbiKo/edit?usp=sharing"",""อุตรดิตถ์!J209"")"),3)</f>
        <v>3</v>
      </c>
      <c r="AT29" s="216">
        <f t="shared" ca="1" si="114"/>
        <v>100</v>
      </c>
      <c r="AU29" s="152">
        <f ca="1">IFERROR(__xludf.DUMMYFUNCTION("IMPORTRANGE(""https://docs.google.com/spreadsheets/d/1v0b9pFQCsKUVExMei7AgY2yQkdeNQvtOssygGsXbiKo/edit?usp=sharing"",""อุตรดิตถ์!J211"")"),3)</f>
        <v>3</v>
      </c>
      <c r="AV29" s="152">
        <f ca="1">IFERROR(__xludf.DUMMYFUNCTION("IMPORTRANGE(""https://docs.google.com/spreadsheets/d/1v0b9pFQCsKUVExMei7AgY2yQkdeNQvtOssygGsXbiKo/edit?usp=sharing"",""อุตรดิตถ์!J212"")"),0)</f>
        <v>0</v>
      </c>
      <c r="AW29" s="152">
        <f ca="1">IFERROR(__xludf.DUMMYFUNCTION("IMPORTRANGE(""https://docs.google.com/spreadsheets/d/1v0b9pFQCsKUVExMei7AgY2yQkdeNQvtOssygGsXbiKo/edit?usp=sharing"",""อุตรดิตถ์!L215"")"),1000)</f>
        <v>1000</v>
      </c>
      <c r="AX29" s="152">
        <f ca="1">IFERROR(__xludf.DUMMYFUNCTION("IMPORTRANGE(""https://docs.google.com/spreadsheets/d/1v0b9pFQCsKUVExMei7AgY2yQkdeNQvtOssygGsXbiKo/edit?usp=sharing"",""อุตรดิตถ์!N215"")"),1000)</f>
        <v>1000</v>
      </c>
      <c r="AY29" s="216">
        <f t="shared" ca="1" si="116"/>
        <v>100</v>
      </c>
      <c r="AZ29" s="152">
        <f ca="1">IFERROR(__xludf.DUMMYFUNCTION("IMPORTRANGE(""https://docs.google.com/spreadsheets/d/1v0b9pFQCsKUVExMei7AgY2yQkdeNQvtOssygGsXbiKo/edit?usp=sharing"",""อุตรดิตถ์!L216"")"),5000)</f>
        <v>5000</v>
      </c>
      <c r="BA29" s="152">
        <f ca="1">IFERROR(__xludf.DUMMYFUNCTION("IMPORTRANGE(""https://docs.google.com/spreadsheets/d/1v0b9pFQCsKUVExMei7AgY2yQkdeNQvtOssygGsXbiKo/edit?usp=sharing"",""อุตรดิตถ์!N216"")"),0)</f>
        <v>0</v>
      </c>
      <c r="BB29" s="216">
        <f t="shared" ca="1" si="118"/>
        <v>0</v>
      </c>
      <c r="BC29" s="152">
        <f ca="1">IFERROR(__xludf.DUMMYFUNCTION("IMPORTRANGE(""https://docs.google.com/spreadsheets/d/1v0b9pFQCsKUVExMei7AgY2yQkdeNQvtOssygGsXbiKo/edit?usp=sharing"",""อุตรดิตถ์!L217"")"),0)</f>
        <v>0</v>
      </c>
      <c r="BD29" s="152">
        <f ca="1">IFERROR(__xludf.DUMMYFUNCTION("IMPORTRANGE(""https://docs.google.com/spreadsheets/d/1v0b9pFQCsKUVExMei7AgY2yQkdeNQvtOssygGsXbiKo/edit?usp=sharing"",""อุตรดิตถ์!N217"")"),0)</f>
        <v>0</v>
      </c>
      <c r="BE29" s="216">
        <f t="shared" ca="1" si="120"/>
        <v>0</v>
      </c>
      <c r="BF29" s="152">
        <f ca="1">IFERROR(__xludf.DUMMYFUNCTION("IMPORTRANGE(""https://docs.google.com/spreadsheets/d/1v0b9pFQCsKUVExMei7AgY2yQkdeNQvtOssygGsXbiKo/edit?usp=sharing"",""อุตรดิตถ์!Q217"")"),49700)</f>
        <v>49700</v>
      </c>
      <c r="BG29" s="152">
        <f ca="1">IFERROR(__xludf.DUMMYFUNCTION("IMPORTRANGE(""https://docs.google.com/spreadsheets/d/1v0b9pFQCsKUVExMei7AgY2yQkdeNQvtOssygGsXbiKo/edit?usp=sharing"",""อุตรดิตถ์!S217"")"),26920)</f>
        <v>26920</v>
      </c>
      <c r="BH29" s="216">
        <f t="shared" ca="1" si="122"/>
        <v>54.164989939637827</v>
      </c>
      <c r="BI29" s="152">
        <f ca="1">IFERROR(__xludf.DUMMYFUNCTION("IMPORTRANGE(""https://docs.google.com/spreadsheets/d/1v0b9pFQCsKUVExMei7AgY2yQkdeNQvtOssygGsXbiKo/edit?usp=sharing"",""อุตรดิตถ์!I219"")"),1)</f>
        <v>1</v>
      </c>
      <c r="BJ29" s="152">
        <f ca="1">IFERROR(__xludf.DUMMYFUNCTION("IMPORTRANGE(""https://docs.google.com/spreadsheets/d/1v0b9pFQCsKUVExMei7AgY2yQkdeNQvtOssygGsXbiKo/edit?usp=sharing"",""อุตรดิตถ์!J219"")"),0)</f>
        <v>0</v>
      </c>
      <c r="BK29" s="216">
        <f t="shared" ca="1" si="124"/>
        <v>0</v>
      </c>
      <c r="BL29" s="152">
        <f ca="1">IFERROR(__xludf.DUMMYFUNCTION("IMPORTRANGE(""https://docs.google.com/spreadsheets/d/1v0b9pFQCsKUVExMei7AgY2yQkdeNQvtOssygGsXbiKo/edit?usp=sharing"",""อุตรดิตถ์!I220"")"),1)</f>
        <v>1</v>
      </c>
      <c r="BM29" s="152">
        <f ca="1">IFERROR(__xludf.DUMMYFUNCTION("IMPORTRANGE(""https://docs.google.com/spreadsheets/d/1v0b9pFQCsKUVExMei7AgY2yQkdeNQvtOssygGsXbiKo/edit?usp=sharing"",""อุตรดิตถ์!J220"")"),1)</f>
        <v>1</v>
      </c>
      <c r="BN29" s="216">
        <f t="shared" ca="1" si="126"/>
        <v>100</v>
      </c>
      <c r="BO29" s="152">
        <f ca="1">IFERROR(__xludf.DUMMYFUNCTION("IMPORTRANGE(""https://docs.google.com/spreadsheets/d/1v0b9pFQCsKUVExMei7AgY2yQkdeNQvtOssygGsXbiKo/edit?usp=sharing"",""อุตรดิตถ์!L223"")"),2500)</f>
        <v>2500</v>
      </c>
      <c r="BP29" s="152">
        <f ca="1">IFERROR(__xludf.DUMMYFUNCTION("IMPORTRANGE(""https://docs.google.com/spreadsheets/d/1v0b9pFQCsKUVExMei7AgY2yQkdeNQvtOssygGsXbiKo/edit?usp=sharing"",""อุตรดิตถ์!N223"")"),0)</f>
        <v>0</v>
      </c>
      <c r="BQ29" s="216">
        <f t="shared" ca="1" si="128"/>
        <v>0</v>
      </c>
      <c r="BR29" s="152">
        <f ca="1">IFERROR(__xludf.DUMMYFUNCTION("IMPORTRANGE(""https://docs.google.com/spreadsheets/d/1v0b9pFQCsKUVExMei7AgY2yQkdeNQvtOssygGsXbiKo/edit?usp=sharing"",""อุตรดิตถ์!L224"")"),4000)</f>
        <v>4000</v>
      </c>
      <c r="BS29" s="152">
        <f ca="1">IFERROR(__xludf.DUMMYFUNCTION("IMPORTRANGE(""https://docs.google.com/spreadsheets/d/1v0b9pFQCsKUVExMei7AgY2yQkdeNQvtOssygGsXbiKo/edit?usp=sharing"",""อุตรดิตถ์!N224"")"),0)</f>
        <v>0</v>
      </c>
      <c r="BT29" s="216">
        <f t="shared" ca="1" si="130"/>
        <v>0</v>
      </c>
      <c r="BU29" s="152">
        <f ca="1">IFERROR(__xludf.DUMMYFUNCTION("IMPORTRANGE(""https://docs.google.com/spreadsheets/d/1v0b9pFQCsKUVExMei7AgY2yQkdeNQvtOssygGsXbiKo/edit?usp=sharing"",""อุตรดิตถ์!I228"")"),30000)</f>
        <v>30000</v>
      </c>
      <c r="BV29" s="152">
        <f ca="1">IFERROR(__xludf.DUMMYFUNCTION("IMPORTRANGE(""https://docs.google.com/spreadsheets/d/1v0b9pFQCsKUVExMei7AgY2yQkdeNQvtOssygGsXbiKo/edit?usp=sharing"",""อุตรดิตถ์!J228"")"),0)</f>
        <v>0</v>
      </c>
      <c r="BW29" s="216">
        <f t="shared" ca="1" si="132"/>
        <v>0</v>
      </c>
      <c r="BX29" s="152">
        <f ca="1">IFERROR(__xludf.DUMMYFUNCTION("IMPORTRANGE(""https://docs.google.com/spreadsheets/d/1v0b9pFQCsKUVExMei7AgY2yQkdeNQvtOssygGsXbiKo/edit?usp=sharing"",""อุตรดิตถ์!I229"")"),30000)</f>
        <v>30000</v>
      </c>
      <c r="BY29" s="152">
        <f ca="1">IFERROR(__xludf.DUMMYFUNCTION("IMPORTRANGE(""https://docs.google.com/spreadsheets/d/1v0b9pFQCsKUVExMei7AgY2yQkdeNQvtOssygGsXbiKo/edit?usp=sharing"",""อุตรดิตถ์!J229"")"),0)</f>
        <v>0</v>
      </c>
      <c r="BZ29" s="216">
        <f t="shared" ca="1" si="134"/>
        <v>0</v>
      </c>
      <c r="CA29" s="152">
        <f ca="1">IFERROR(__xludf.DUMMYFUNCTION("IMPORTRANGE(""https://docs.google.com/spreadsheets/d/1v0b9pFQCsKUVExMei7AgY2yQkdeNQvtOssygGsXbiKo/edit?usp=sharing"",""อุตรดิตถ์!I230"")"),0)</f>
        <v>0</v>
      </c>
      <c r="CB29" s="152">
        <f ca="1">IFERROR(__xludf.DUMMYFUNCTION("IMPORTRANGE(""https://docs.google.com/spreadsheets/d/1v0b9pFQCsKUVExMei7AgY2yQkdeNQvtOssygGsXbiKo/edit?usp=sharing"",""อุตรดิตถ์!J230"")"),0)</f>
        <v>0</v>
      </c>
      <c r="CC29" s="216">
        <f t="shared" ca="1" si="136"/>
        <v>0</v>
      </c>
      <c r="CD29" s="152">
        <f ca="1">IFERROR(__xludf.DUMMYFUNCTION("IMPORTRANGE(""https://docs.google.com/spreadsheets/d/1v0b9pFQCsKUVExMei7AgY2yQkdeNQvtOssygGsXbiKo/edit?usp=sharing"",""อุตรดิตถ์!L233"")"),0)</f>
        <v>0</v>
      </c>
      <c r="CE29" s="152">
        <f ca="1">IFERROR(__xludf.DUMMYFUNCTION("IMPORTRANGE(""https://docs.google.com/spreadsheets/d/1v0b9pFQCsKUVExMei7AgY2yQkdeNQvtOssygGsXbiKo/edit?usp=sharing"",""อุตรดิตถ์!N233"")"),0)</f>
        <v>0</v>
      </c>
      <c r="CF29" s="216">
        <f t="shared" ca="1" si="138"/>
        <v>0</v>
      </c>
      <c r="CG29" s="152">
        <f ca="1">IFERROR(__xludf.DUMMYFUNCTION("IMPORTRANGE(""https://docs.google.com/spreadsheets/d/1v0b9pFQCsKUVExMei7AgY2yQkdeNQvtOssygGsXbiKo/edit?usp=sharing"",""อุตรดิตถ์!L234"")"),0)</f>
        <v>0</v>
      </c>
      <c r="CH29" s="152">
        <f ca="1">IFERROR(__xludf.DUMMYFUNCTION("IMPORTRANGE(""https://docs.google.com/spreadsheets/d/1v0b9pFQCsKUVExMei7AgY2yQkdeNQvtOssygGsXbiKo/edit?usp=sharing"",""อุตรดิตถ์!N234"")"),0)</f>
        <v>0</v>
      </c>
      <c r="CI29" s="216">
        <f t="shared" ca="1" si="140"/>
        <v>0</v>
      </c>
      <c r="CJ29" s="152">
        <f ca="1">IFERROR(__xludf.DUMMYFUNCTION("IMPORTRANGE(""https://docs.google.com/spreadsheets/d/1v0b9pFQCsKUVExMei7AgY2yQkdeNQvtOssygGsXbiKo/edit?usp=sharing"",""อุตรดิตถ์!L235"")"),0)</f>
        <v>0</v>
      </c>
      <c r="CK29" s="152">
        <f ca="1">IFERROR(__xludf.DUMMYFUNCTION("IMPORTRANGE(""https://docs.google.com/spreadsheets/d/1v0b9pFQCsKUVExMei7AgY2yQkdeNQvtOssygGsXbiKo/edit?usp=sharing"",""อุตรดิตถ์!N235"")"),0)</f>
        <v>0</v>
      </c>
      <c r="CL29" s="216">
        <f t="shared" ca="1" si="142"/>
        <v>0</v>
      </c>
      <c r="CM29" s="251">
        <f ca="1">IFERROR(__xludf.DUMMYFUNCTION("IMPORTRANGE(""https://docs.google.com/spreadsheets/d/1v0b9pFQCsKUVExMei7AgY2yQkdeNQvtOssygGsXbiKo/edit?usp=sharing"",""อุตรดิตถ์!Q235"")"),0)</f>
        <v>0</v>
      </c>
      <c r="CN29" s="251">
        <f ca="1">IFERROR(__xludf.DUMMYFUNCTION("IMPORTRANGE(""https://docs.google.com/spreadsheets/d/1v0b9pFQCsKUVExMei7AgY2yQkdeNQvtOssygGsXbiKo/edit?usp=sharing"",""อุตรดิตถ์!S235"")"),0)</f>
        <v>0</v>
      </c>
      <c r="CO29" s="216">
        <f t="shared" ca="1" si="144"/>
        <v>0</v>
      </c>
      <c r="CP29" s="152">
        <f ca="1">IFERROR(__xludf.DUMMYFUNCTION("IMPORTRANGE(""https://docs.google.com/spreadsheets/d/1v0b9pFQCsKUVExMei7AgY2yQkdeNQvtOssygGsXbiKo/edit?usp=sharing"",""อุตรดิตถ์!L236"")"),0)</f>
        <v>0</v>
      </c>
      <c r="CQ29" s="152">
        <f ca="1">IFERROR(__xludf.DUMMYFUNCTION("IMPORTRANGE(""https://docs.google.com/spreadsheets/d/1v0b9pFQCsKUVExMei7AgY2yQkdeNQvtOssygGsXbiKo/edit?usp=sharing"",""อุตรดิตถ์!N236"")"),0)</f>
        <v>0</v>
      </c>
      <c r="CR29" s="216">
        <f t="shared" ca="1" si="146"/>
        <v>0</v>
      </c>
      <c r="CS29" s="152">
        <f ca="1">IFERROR(__xludf.DUMMYFUNCTION("IMPORTRANGE(""https://docs.google.com/spreadsheets/d/1v0b9pFQCsKUVExMei7AgY2yQkdeNQvtOssygGsXbiKo/edit?usp=sharing"",""อุตรดิตถ์!I238"")"),0)</f>
        <v>0</v>
      </c>
      <c r="CT29" s="152">
        <f ca="1">IFERROR(__xludf.DUMMYFUNCTION("IMPORTRANGE(""https://docs.google.com/spreadsheets/d/1v0b9pFQCsKUVExMei7AgY2yQkdeNQvtOssygGsXbiKo/edit?usp=sharing"",""อุตรดิตถ์!J238"")"),0)</f>
        <v>0</v>
      </c>
      <c r="CU29" s="216">
        <f t="shared" ca="1" si="148"/>
        <v>0</v>
      </c>
      <c r="CV29" s="152">
        <f ca="1">IFERROR(__xludf.DUMMYFUNCTION("IMPORTRANGE(""https://docs.google.com/spreadsheets/d/1v0b9pFQCsKUVExMei7AgY2yQkdeNQvtOssygGsXbiKo/edit?usp=sharing"",""อุตรดิตถ์!J240"")"),0)</f>
        <v>0</v>
      </c>
      <c r="CW29" s="152">
        <f ca="1">IFERROR(__xludf.DUMMYFUNCTION("IMPORTRANGE(""https://docs.google.com/spreadsheets/d/1v0b9pFQCsKUVExMei7AgY2yQkdeNQvtOssygGsXbiKo/edit?usp=sharing"",""อุตรดิตถ์!J241"")"),0)</f>
        <v>0</v>
      </c>
    </row>
    <row r="30" spans="1:101" ht="24" customHeight="1" x14ac:dyDescent="0.3">
      <c r="A30" s="155">
        <v>17</v>
      </c>
      <c r="B30" s="156" t="s">
        <v>58</v>
      </c>
      <c r="C30" s="157">
        <f t="shared" ca="1" si="90"/>
        <v>34500</v>
      </c>
      <c r="D30" s="158">
        <f t="shared" ca="1" si="150"/>
        <v>34500</v>
      </c>
      <c r="E30" s="159">
        <f ca="1">IFERROR(__xludf.DUMMYFUNCTION("IMPORTRANGE(""https://docs.google.com/spreadsheets/d/1-uDff_7J0KD5mKrp0Vvzr7lt3OU09vwQwhkpOPPYv2Y/edit?usp=sharing"",""งบพรบ!CV30"")"),0)</f>
        <v>0</v>
      </c>
      <c r="F30" s="159">
        <f ca="1">IFERROR(__xludf.DUMMYFUNCTION("IMPORTRANGE(""https://docs.google.com/spreadsheets/d/1-uDff_7J0KD5mKrp0Vvzr7lt3OU09vwQwhkpOPPYv2Y/edit?usp=sharing"",""งบพรบ!CW30"")"),34500)</f>
        <v>34500</v>
      </c>
      <c r="G30" s="159">
        <f ca="1">IFERROR(__xludf.DUMMYFUNCTION("IMPORTRANGE(""https://docs.google.com/spreadsheets/d/1-uDff_7J0KD5mKrp0Vvzr7lt3OU09vwQwhkpOPPYv2Y/edit?usp=sharing"",""งบพรบ!CX30"")"),0)</f>
        <v>0</v>
      </c>
      <c r="H30" s="159">
        <f ca="1">IFERROR(__xludf.DUMMYFUNCTION("IMPORTRANGE(""https://docs.google.com/spreadsheets/d/1-uDff_7J0KD5mKrp0Vvzr7lt3OU09vwQwhkpOPPYv2Y/edit?usp=sharing"",""งบพรบ!CZ30"")"),58490)</f>
        <v>58490</v>
      </c>
      <c r="I30" s="159">
        <f ca="1">IFERROR(__xludf.DUMMYFUNCTION("IMPORTRANGE(""https://docs.google.com/spreadsheets/d/1-uDff_7J0KD5mKrp0Vvzr7lt3OU09vwQwhkpOPPYv2Y/edit?usp=sharing"",""งบพรบ!DA30"")"),0)</f>
        <v>0</v>
      </c>
      <c r="J30" s="159">
        <f t="shared" ca="1" si="92"/>
        <v>39084.879999999997</v>
      </c>
      <c r="K30" s="160">
        <f t="shared" ca="1" si="93"/>
        <v>113.2895072463768</v>
      </c>
      <c r="L30" s="159">
        <f ca="1">IFERROR(__xludf.DUMMYFUNCTION("IMPORTRANGE(""https://docs.google.com/spreadsheets/d/1-uDff_7J0KD5mKrp0Vvzr7lt3OU09vwQwhkpOPPYv2Y/edit?usp=sharing"",""งบพรบ!DB30"")"),39084.88)</f>
        <v>39084.879999999997</v>
      </c>
      <c r="M30" s="89">
        <f t="shared" ca="1" si="94"/>
        <v>113.2895072463768</v>
      </c>
      <c r="N30" s="89">
        <f t="shared" ca="1" si="95"/>
        <v>66.823183450162418</v>
      </c>
      <c r="O30" s="88">
        <f ca="1">IFERROR(__xludf.DUMMYFUNCTION("IMPORTRANGE(""https://docs.google.com/spreadsheets/d/1-uDff_7J0KD5mKrp0Vvzr7lt3OU09vwQwhkpOPPYv2Y/edit?usp=sharing"",""งบพรบ!DC30"")"),0)</f>
        <v>0</v>
      </c>
      <c r="P30" s="88">
        <f t="shared" ca="1" si="96"/>
        <v>0</v>
      </c>
      <c r="Q30" s="89">
        <f t="shared" ca="1" si="97"/>
        <v>0</v>
      </c>
      <c r="R30" s="88">
        <f ca="1">IFERROR(__xludf.DUMMYFUNCTION("IMPORTRANGE(""https://docs.google.com/spreadsheets/d/1UsNK1e-WWiCo2PvGqdNfdme4m17_Ezd3J69EeeiQPD0/edit?usp=sharing"",""อุทัยธานี!Q186"")"),56000)</f>
        <v>56000</v>
      </c>
      <c r="S30" s="88">
        <f ca="1">IFERROR(__xludf.DUMMYFUNCTION("IMPORTRANGE(""https://docs.google.com/spreadsheets/d/1UsNK1e-WWiCo2PvGqdNfdme4m17_Ezd3J69EeeiQPD0/edit?usp=sharing"",""อุทัยธานี!R186"")"),56000)</f>
        <v>56000</v>
      </c>
      <c r="T30" s="88">
        <f ca="1">IFERROR(__xludf.DUMMYFUNCTION("IMPORTRANGE(""https://docs.google.com/spreadsheets/d/1UsNK1e-WWiCo2PvGqdNfdme4m17_Ezd3J69EeeiQPD0/edit?usp=sharing"",""อุทัยธานี!S186"")"),29000)</f>
        <v>29000</v>
      </c>
      <c r="U30" s="89">
        <f t="shared" ca="1" si="99"/>
        <v>51.785714285714285</v>
      </c>
      <c r="V30" s="89">
        <f t="shared" ca="1" si="100"/>
        <v>51.785714285714285</v>
      </c>
      <c r="W30" s="191">
        <f ca="1">IFERROR(__xludf.DUMMYFUNCTION("IMPORTRANGE(""https://docs.google.com/spreadsheets/d/1UsNK1e-WWiCo2PvGqdNfdme4m17_Ezd3J69EeeiQPD0/edit?usp=sharing"",""อุทัยธานี!L196"")"),6000)</f>
        <v>6000</v>
      </c>
      <c r="X30" s="191">
        <f ca="1">IFERROR(__xludf.DUMMYFUNCTION("IMPORTRANGE(""https://docs.google.com/spreadsheets/d/1UsNK1e-WWiCo2PvGqdNfdme4m17_Ezd3J69EeeiQPD0/edit?usp=sharing"",""อุทัยธานี!N196"")"),1600)</f>
        <v>1600</v>
      </c>
      <c r="Y30" s="218">
        <f t="shared" ca="1" si="102"/>
        <v>26.666666666666668</v>
      </c>
      <c r="Z30" s="191">
        <f ca="1">IFERROR(__xludf.DUMMYFUNCTION("IMPORTRANGE(""https://docs.google.com/spreadsheets/d/1UsNK1e-WWiCo2PvGqdNfdme4m17_Ezd3J69EeeiQPD0/edit?usp=sharing"",""อุทัยธานี!I198"")"),4)</f>
        <v>4</v>
      </c>
      <c r="AA30" s="191">
        <f ca="1">IFERROR(__xludf.DUMMYFUNCTION("IMPORTRANGE(""https://docs.google.com/spreadsheets/d/1UsNK1e-WWiCo2PvGqdNfdme4m17_Ezd3J69EeeiQPD0/edit?usp=sharing"",""อุทัยธานี!J198"")"),3)</f>
        <v>3</v>
      </c>
      <c r="AB30" s="218">
        <f t="shared" ca="1" si="104"/>
        <v>75</v>
      </c>
      <c r="AC30" s="191">
        <f ca="1">IFERROR(__xludf.DUMMYFUNCTION("IMPORTRANGE(""https://docs.google.com/spreadsheets/d/1UsNK1e-WWiCo2PvGqdNfdme4m17_Ezd3J69EeeiQPD0/edit?usp=sharing"",""อุทัยธานี!J199"")"),0)</f>
        <v>0</v>
      </c>
      <c r="AD30" s="191">
        <f ca="1">IFERROR(__xludf.DUMMYFUNCTION("IMPORTRANGE(""https://docs.google.com/spreadsheets/d/1UsNK1e-WWiCo2PvGqdNfdme4m17_Ezd3J69EeeiQPD0/edit?usp=sharing"",""อุทัยธานี!J200"")"),0)</f>
        <v>0</v>
      </c>
      <c r="AE30" s="191">
        <f ca="1">IFERROR(__xludf.DUMMYFUNCTION("IMPORTRANGE(""https://docs.google.com/spreadsheets/d/1UsNK1e-WWiCo2PvGqdNfdme4m17_Ezd3J69EeeiQPD0/edit?usp=sharing"",""อุทัยธานี!J201"")"),0)</f>
        <v>0</v>
      </c>
      <c r="AF30" s="191">
        <f ca="1">IFERROR(__xludf.DUMMYFUNCTION("IMPORTRANGE(""https://docs.google.com/spreadsheets/d/1UsNK1e-WWiCo2PvGqdNfdme4m17_Ezd3J69EeeiQPD0/edit?usp=sharing"",""อุทัยธานี!L204"")"),4000)</f>
        <v>4000</v>
      </c>
      <c r="AG30" s="191">
        <f ca="1">IFERROR(__xludf.DUMMYFUNCTION("IMPORTRANGE(""https://docs.google.com/spreadsheets/d/1UsNK1e-WWiCo2PvGqdNfdme4m17_Ezd3J69EeeiQPD0/edit?usp=sharing"",""อุทัยธานี!N204"")"),5474.88)</f>
        <v>5474.88</v>
      </c>
      <c r="AH30" s="218">
        <f t="shared" ca="1" si="106"/>
        <v>136.87200000000001</v>
      </c>
      <c r="AI30" s="191">
        <f ca="1">IFERROR(__xludf.DUMMYFUNCTION("IMPORTRANGE(""https://docs.google.com/spreadsheets/d/1UsNK1e-WWiCo2PvGqdNfdme4m17_Ezd3J69EeeiQPD0/edit?usp=sharing"",""อุทัยธานี!L206"")"),0)</f>
        <v>0</v>
      </c>
      <c r="AJ30" s="191" t="str">
        <f ca="1">IFERROR(__xludf.DUMMYFUNCTION("IMPORTRANGE(""https://docs.google.com/spreadsheets/d/1UsNK1e-WWiCo2PvGqdNfdme4m17_Ezd3J69EeeiQPD0/edit?usp=sharing"",""อุทัยธานี!N206"")"),"")</f>
        <v/>
      </c>
      <c r="AK30" s="218">
        <f t="shared" ca="1" si="108"/>
        <v>0</v>
      </c>
      <c r="AL30" s="191">
        <f ca="1">IFERROR(__xludf.DUMMYFUNCTION("IMPORTRANGE(""https://docs.google.com/spreadsheets/d/1UsNK1e-WWiCo2PvGqdNfdme4m17_Ezd3J69EeeiQPD0/edit?usp=sharing"",""อุทัยธานี!Q206"")"),56000)</f>
        <v>56000</v>
      </c>
      <c r="AM30" s="191">
        <f ca="1">IFERROR(__xludf.DUMMYFUNCTION("IMPORTRANGE(""https://docs.google.com/spreadsheets/d/1UsNK1e-WWiCo2PvGqdNfdme4m17_Ezd3J69EeeiQPD0/edit?usp=sharing"",""อุทัยธานี!S206"")"),29000)</f>
        <v>29000</v>
      </c>
      <c r="AN30" s="218">
        <f t="shared" ca="1" si="110"/>
        <v>51.785714285714285</v>
      </c>
      <c r="AO30" s="191">
        <f ca="1">IFERROR(__xludf.DUMMYFUNCTION("IMPORTRANGE(""https://docs.google.com/spreadsheets/d/1UsNK1e-WWiCo2PvGqdNfdme4m17_Ezd3J69EeeiQPD0/edit?usp=sharing"",""อุทัยธานี!L207"")"),16000)</f>
        <v>16000</v>
      </c>
      <c r="AP30" s="191">
        <f ca="1">IFERROR(__xludf.DUMMYFUNCTION("IMPORTRANGE(""https://docs.google.com/spreadsheets/d/1UsNK1e-WWiCo2PvGqdNfdme4m17_Ezd3J69EeeiQPD0/edit?usp=sharing"",""อุทัยธานี!N207"")"),0)</f>
        <v>0</v>
      </c>
      <c r="AQ30" s="218">
        <f t="shared" ca="1" si="112"/>
        <v>0</v>
      </c>
      <c r="AR30" s="191">
        <f ca="1">IFERROR(__xludf.DUMMYFUNCTION("IMPORTRANGE(""https://docs.google.com/spreadsheets/d/1UsNK1e-WWiCo2PvGqdNfdme4m17_Ezd3J69EeeiQPD0/edit?usp=sharing"",""อุทัยธานี!I209"")"),4)</f>
        <v>4</v>
      </c>
      <c r="AS30" s="191">
        <f ca="1">IFERROR(__xludf.DUMMYFUNCTION("IMPORTRANGE(""https://docs.google.com/spreadsheets/d/1UsNK1e-WWiCo2PvGqdNfdme4m17_Ezd3J69EeeiQPD0/edit?usp=sharing"",""อุทัยธานี!J209"")"),4)</f>
        <v>4</v>
      </c>
      <c r="AT30" s="218">
        <f t="shared" ca="1" si="114"/>
        <v>100</v>
      </c>
      <c r="AU30" s="191">
        <f ca="1">IFERROR(__xludf.DUMMYFUNCTION("IMPORTRANGE(""https://docs.google.com/spreadsheets/d/1UsNK1e-WWiCo2PvGqdNfdme4m17_Ezd3J69EeeiQPD0/edit?usp=sharing"",""อุทัยธานี!J211"")"),0)</f>
        <v>0</v>
      </c>
      <c r="AV30" s="191">
        <f ca="1">IFERROR(__xludf.DUMMYFUNCTION("IMPORTRANGE(""https://docs.google.com/spreadsheets/d/1UsNK1e-WWiCo2PvGqdNfdme4m17_Ezd3J69EeeiQPD0/edit?usp=sharing"",""อุทัยธานี!J212"")"),0)</f>
        <v>0</v>
      </c>
      <c r="AW30" s="191">
        <f ca="1">IFERROR(__xludf.DUMMYFUNCTION("IMPORTRANGE(""https://docs.google.com/spreadsheets/d/1UsNK1e-WWiCo2PvGqdNfdme4m17_Ezd3J69EeeiQPD0/edit?usp=sharing"",""อุทัยธานี!L215"")"),0)</f>
        <v>0</v>
      </c>
      <c r="AX30" s="191">
        <f ca="1">IFERROR(__xludf.DUMMYFUNCTION("IMPORTRANGE(""https://docs.google.com/spreadsheets/d/1UsNK1e-WWiCo2PvGqdNfdme4m17_Ezd3J69EeeiQPD0/edit?usp=sharing"",""อุทัยธานี!N215"")"),0)</f>
        <v>0</v>
      </c>
      <c r="AY30" s="218">
        <f t="shared" ca="1" si="116"/>
        <v>0</v>
      </c>
      <c r="AZ30" s="191">
        <f ca="1">IFERROR(__xludf.DUMMYFUNCTION("IMPORTRANGE(""https://docs.google.com/spreadsheets/d/1UsNK1e-WWiCo2PvGqdNfdme4m17_Ezd3J69EeeiQPD0/edit?usp=sharing"",""อุทัยธานี!L216"")"),0)</f>
        <v>0</v>
      </c>
      <c r="BA30" s="191">
        <f ca="1">IFERROR(__xludf.DUMMYFUNCTION("IMPORTRANGE(""https://docs.google.com/spreadsheets/d/1UsNK1e-WWiCo2PvGqdNfdme4m17_Ezd3J69EeeiQPD0/edit?usp=sharing"",""อุทัยธานี!N216"")"),0)</f>
        <v>0</v>
      </c>
      <c r="BB30" s="218">
        <f t="shared" ca="1" si="118"/>
        <v>0</v>
      </c>
      <c r="BC30" s="191">
        <f ca="1">IFERROR(__xludf.DUMMYFUNCTION("IMPORTRANGE(""https://docs.google.com/spreadsheets/d/1UsNK1e-WWiCo2PvGqdNfdme4m17_Ezd3J69EeeiQPD0/edit?usp=sharing"",""อุทัยธานี!L217"")"),0)</f>
        <v>0</v>
      </c>
      <c r="BD30" s="191">
        <f ca="1">IFERROR(__xludf.DUMMYFUNCTION("IMPORTRANGE(""https://docs.google.com/spreadsheets/d/1UsNK1e-WWiCo2PvGqdNfdme4m17_Ezd3J69EeeiQPD0/edit?usp=sharing"",""อุทัยธานี!N217"")"),0)</f>
        <v>0</v>
      </c>
      <c r="BE30" s="218">
        <f t="shared" ca="1" si="120"/>
        <v>0</v>
      </c>
      <c r="BF30" s="191">
        <f ca="1">IFERROR(__xludf.DUMMYFUNCTION("IMPORTRANGE(""https://docs.google.com/spreadsheets/d/1UsNK1e-WWiCo2PvGqdNfdme4m17_Ezd3J69EeeiQPD0/edit?usp=sharing"",""อุทัยธานี!Q217"")"),0)</f>
        <v>0</v>
      </c>
      <c r="BG30" s="191">
        <f ca="1">IFERROR(__xludf.DUMMYFUNCTION("IMPORTRANGE(""https://docs.google.com/spreadsheets/d/1UsNK1e-WWiCo2PvGqdNfdme4m17_Ezd3J69EeeiQPD0/edit?usp=sharing"",""อุทัยธานี!S217"")"),0)</f>
        <v>0</v>
      </c>
      <c r="BH30" s="218">
        <f t="shared" ca="1" si="122"/>
        <v>0</v>
      </c>
      <c r="BI30" s="191">
        <f ca="1">IFERROR(__xludf.DUMMYFUNCTION("IMPORTRANGE(""https://docs.google.com/spreadsheets/d/1UsNK1e-WWiCo2PvGqdNfdme4m17_Ezd3J69EeeiQPD0/edit?usp=sharing"",""อุทัยธานี!I219"")"),0)</f>
        <v>0</v>
      </c>
      <c r="BJ30" s="191">
        <f ca="1">IFERROR(__xludf.DUMMYFUNCTION("IMPORTRANGE(""https://docs.google.com/spreadsheets/d/1UsNK1e-WWiCo2PvGqdNfdme4m17_Ezd3J69EeeiQPD0/edit?usp=sharing"",""อุทัยธานี!J219"")"),0)</f>
        <v>0</v>
      </c>
      <c r="BK30" s="218">
        <f t="shared" ca="1" si="124"/>
        <v>0</v>
      </c>
      <c r="BL30" s="191">
        <f ca="1">IFERROR(__xludf.DUMMYFUNCTION("IMPORTRANGE(""https://docs.google.com/spreadsheets/d/1UsNK1e-WWiCo2PvGqdNfdme4m17_Ezd3J69EeeiQPD0/edit?usp=sharing"",""อุทัยธานี!I220"")"),0)</f>
        <v>0</v>
      </c>
      <c r="BM30" s="191">
        <f ca="1">IFERROR(__xludf.DUMMYFUNCTION("IMPORTRANGE(""https://docs.google.com/spreadsheets/d/1UsNK1e-WWiCo2PvGqdNfdme4m17_Ezd3J69EeeiQPD0/edit?usp=sharing"",""อุทัยธานี!J220"")"),0)</f>
        <v>0</v>
      </c>
      <c r="BN30" s="218">
        <f t="shared" ca="1" si="126"/>
        <v>0</v>
      </c>
      <c r="BO30" s="191">
        <f ca="1">IFERROR(__xludf.DUMMYFUNCTION("IMPORTRANGE(""https://docs.google.com/spreadsheets/d/1UsNK1e-WWiCo2PvGqdNfdme4m17_Ezd3J69EeeiQPD0/edit?usp=sharing"",""อุทัยธานี!L223"")"),2500)</f>
        <v>2500</v>
      </c>
      <c r="BP30" s="191">
        <f ca="1">IFERROR(__xludf.DUMMYFUNCTION("IMPORTRANGE(""https://docs.google.com/spreadsheets/d/1UsNK1e-WWiCo2PvGqdNfdme4m17_Ezd3J69EeeiQPD0/edit?usp=sharing"",""อุทัยธานี!N223"")"),800)</f>
        <v>800</v>
      </c>
      <c r="BQ30" s="218">
        <f t="shared" ca="1" si="128"/>
        <v>32</v>
      </c>
      <c r="BR30" s="191">
        <f ca="1">IFERROR(__xludf.DUMMYFUNCTION("IMPORTRANGE(""https://docs.google.com/spreadsheets/d/1UsNK1e-WWiCo2PvGqdNfdme4m17_Ezd3J69EeeiQPD0/edit?usp=sharing"",""อุทัยธานี!L224"")"),6000)</f>
        <v>6000</v>
      </c>
      <c r="BS30" s="191" t="str">
        <f ca="1">IFERROR(__xludf.DUMMYFUNCTION("IMPORTRANGE(""https://docs.google.com/spreadsheets/d/1UsNK1e-WWiCo2PvGqdNfdme4m17_Ezd3J69EeeiQPD0/edit?usp=sharing"",""อุทัยธานี!N224"")"),"")</f>
        <v/>
      </c>
      <c r="BT30" s="218" t="e">
        <f t="shared" ca="1" si="130"/>
        <v>#VALUE!</v>
      </c>
      <c r="BU30" s="191">
        <f ca="1">IFERROR(__xludf.DUMMYFUNCTION("IMPORTRANGE(""https://docs.google.com/spreadsheets/d/1UsNK1e-WWiCo2PvGqdNfdme4m17_Ezd3J69EeeiQPD0/edit?usp=sharing"",""อุทัยธานี!I228"")"),50000)</f>
        <v>50000</v>
      </c>
      <c r="BV30" s="191">
        <f ca="1">IFERROR(__xludf.DUMMYFUNCTION("IMPORTRANGE(""https://docs.google.com/spreadsheets/d/1UsNK1e-WWiCo2PvGqdNfdme4m17_Ezd3J69EeeiQPD0/edit?usp=sharing"",""อุทัยธานี!J228"")"),0)</f>
        <v>0</v>
      </c>
      <c r="BW30" s="218">
        <f t="shared" ca="1" si="132"/>
        <v>0</v>
      </c>
      <c r="BX30" s="191">
        <f ca="1">IFERROR(__xludf.DUMMYFUNCTION("IMPORTRANGE(""https://docs.google.com/spreadsheets/d/1UsNK1e-WWiCo2PvGqdNfdme4m17_Ezd3J69EeeiQPD0/edit?usp=sharing"",""อุทัยธานี!I229"")"),50000)</f>
        <v>50000</v>
      </c>
      <c r="BY30" s="191">
        <f ca="1">IFERROR(__xludf.DUMMYFUNCTION("IMPORTRANGE(""https://docs.google.com/spreadsheets/d/1UsNK1e-WWiCo2PvGqdNfdme4m17_Ezd3J69EeeiQPD0/edit?usp=sharing"",""อุทัยธานี!J229"")"),0)</f>
        <v>0</v>
      </c>
      <c r="BZ30" s="218">
        <f t="shared" ca="1" si="134"/>
        <v>0</v>
      </c>
      <c r="CA30" s="191">
        <f ca="1">IFERROR(__xludf.DUMMYFUNCTION("IMPORTRANGE(""https://docs.google.com/spreadsheets/d/1UsNK1e-WWiCo2PvGqdNfdme4m17_Ezd3J69EeeiQPD0/edit?usp=sharing"",""อุทัยธานี!I230"")"),0)</f>
        <v>0</v>
      </c>
      <c r="CB30" s="191">
        <f ca="1">IFERROR(__xludf.DUMMYFUNCTION("IMPORTRANGE(""https://docs.google.com/spreadsheets/d/1UsNK1e-WWiCo2PvGqdNfdme4m17_Ezd3J69EeeiQPD0/edit?usp=sharing"",""อุทัยธานี!J230"")"),0)</f>
        <v>0</v>
      </c>
      <c r="CC30" s="218">
        <f t="shared" ca="1" si="136"/>
        <v>0</v>
      </c>
      <c r="CD30" s="191">
        <f ca="1">IFERROR(__xludf.DUMMYFUNCTION("IMPORTRANGE(""https://docs.google.com/spreadsheets/d/1UsNK1e-WWiCo2PvGqdNfdme4m17_Ezd3J69EeeiQPD0/edit?usp=sharing"",""อุทัยธานี!L233"")"),0)</f>
        <v>0</v>
      </c>
      <c r="CE30" s="191">
        <f ca="1">IFERROR(__xludf.DUMMYFUNCTION("IMPORTRANGE(""https://docs.google.com/spreadsheets/d/1UsNK1e-WWiCo2PvGqdNfdme4m17_Ezd3J69EeeiQPD0/edit?usp=sharing"",""อุทัยธานี!N233"")"),0)</f>
        <v>0</v>
      </c>
      <c r="CF30" s="218">
        <f t="shared" ca="1" si="138"/>
        <v>0</v>
      </c>
      <c r="CG30" s="191">
        <f ca="1">IFERROR(__xludf.DUMMYFUNCTION("IMPORTRANGE(""https://docs.google.com/spreadsheets/d/1UsNK1e-WWiCo2PvGqdNfdme4m17_Ezd3J69EeeiQPD0/edit?usp=sharing"",""อุทัยธานี!L234"")"),0)</f>
        <v>0</v>
      </c>
      <c r="CH30" s="191">
        <f ca="1">IFERROR(__xludf.DUMMYFUNCTION("IMPORTRANGE(""https://docs.google.com/spreadsheets/d/1UsNK1e-WWiCo2PvGqdNfdme4m17_Ezd3J69EeeiQPD0/edit?usp=sharing"",""อุทัยธานี!N234"")"),0)</f>
        <v>0</v>
      </c>
      <c r="CI30" s="218">
        <f t="shared" ca="1" si="140"/>
        <v>0</v>
      </c>
      <c r="CJ30" s="191">
        <f ca="1">IFERROR(__xludf.DUMMYFUNCTION("IMPORTRANGE(""https://docs.google.com/spreadsheets/d/1UsNK1e-WWiCo2PvGqdNfdme4m17_Ezd3J69EeeiQPD0/edit?usp=sharing"",""อุทัยธานี!L235"")"),0)</f>
        <v>0</v>
      </c>
      <c r="CK30" s="191">
        <f ca="1">IFERROR(__xludf.DUMMYFUNCTION("IMPORTRANGE(""https://docs.google.com/spreadsheets/d/1UsNK1e-WWiCo2PvGqdNfdme4m17_Ezd3J69EeeiQPD0/edit?usp=sharing"",""อุทัยธานี!N235"")"),0)</f>
        <v>0</v>
      </c>
      <c r="CL30" s="218">
        <f t="shared" ca="1" si="142"/>
        <v>0</v>
      </c>
      <c r="CM30" s="253">
        <f ca="1">IFERROR(__xludf.DUMMYFUNCTION("IMPORTRANGE(""https://docs.google.com/spreadsheets/d/1UsNK1e-WWiCo2PvGqdNfdme4m17_Ezd3J69EeeiQPD0/edit?usp=sharing"",""อุทัยธานี!Q235"")"),0)</f>
        <v>0</v>
      </c>
      <c r="CN30" s="253">
        <f ca="1">IFERROR(__xludf.DUMMYFUNCTION("IMPORTRANGE(""https://docs.google.com/spreadsheets/d/1UsNK1e-WWiCo2PvGqdNfdme4m17_Ezd3J69EeeiQPD0/edit?usp=sharing"",""อุทัยธานี!S235"")"),0)</f>
        <v>0</v>
      </c>
      <c r="CO30" s="218">
        <f t="shared" ca="1" si="144"/>
        <v>0</v>
      </c>
      <c r="CP30" s="191">
        <f ca="1">IFERROR(__xludf.DUMMYFUNCTION("IMPORTRANGE(""https://docs.google.com/spreadsheets/d/1UsNK1e-WWiCo2PvGqdNfdme4m17_Ezd3J69EeeiQPD0/edit?usp=sharing"",""อุทัยธานี!L236"")"),0)</f>
        <v>0</v>
      </c>
      <c r="CQ30" s="191">
        <f ca="1">IFERROR(__xludf.DUMMYFUNCTION("IMPORTRANGE(""https://docs.google.com/spreadsheets/d/1UsNK1e-WWiCo2PvGqdNfdme4m17_Ezd3J69EeeiQPD0/edit?usp=sharing"",""อุทัยธานี!N236"")"),0)</f>
        <v>0</v>
      </c>
      <c r="CR30" s="218">
        <f t="shared" ca="1" si="146"/>
        <v>0</v>
      </c>
      <c r="CS30" s="191">
        <f ca="1">IFERROR(__xludf.DUMMYFUNCTION("IMPORTRANGE(""https://docs.google.com/spreadsheets/d/1UsNK1e-WWiCo2PvGqdNfdme4m17_Ezd3J69EeeiQPD0/edit?usp=sharing"",""อุทัยธานี!I238"")"),0)</f>
        <v>0</v>
      </c>
      <c r="CT30" s="191">
        <f ca="1">IFERROR(__xludf.DUMMYFUNCTION("IMPORTRANGE(""https://docs.google.com/spreadsheets/d/1UsNK1e-WWiCo2PvGqdNfdme4m17_Ezd3J69EeeiQPD0/edit?usp=sharing"",""อุทัยธานี!J238"")"),0)</f>
        <v>0</v>
      </c>
      <c r="CU30" s="218">
        <f t="shared" ca="1" si="148"/>
        <v>0</v>
      </c>
      <c r="CV30" s="191">
        <f ca="1">IFERROR(__xludf.DUMMYFUNCTION("IMPORTRANGE(""https://docs.google.com/spreadsheets/d/1UsNK1e-WWiCo2PvGqdNfdme4m17_Ezd3J69EeeiQPD0/edit?usp=sharing"",""อุทัยธานี!J240"")"),0)</f>
        <v>0</v>
      </c>
      <c r="CW30" s="191">
        <f ca="1">IFERROR(__xludf.DUMMYFUNCTION("IMPORTRANGE(""https://docs.google.com/spreadsheets/d/1UsNK1e-WWiCo2PvGqdNfdme4m17_Ezd3J69EeeiQPD0/edit?usp=sharing"",""อุทัยธานี!J241"")"),0)</f>
        <v>0</v>
      </c>
    </row>
    <row r="31" spans="1:101" ht="21" customHeight="1" x14ac:dyDescent="0.3">
      <c r="A31" s="696" t="s">
        <v>59</v>
      </c>
      <c r="B31" s="662"/>
      <c r="C31" s="161">
        <f t="shared" ca="1" si="90"/>
        <v>2696800</v>
      </c>
      <c r="D31" s="161">
        <f t="shared" ref="D31:I31" ca="1" si="151">SUM(D32:D51)</f>
        <v>2696800</v>
      </c>
      <c r="E31" s="161">
        <f t="shared" ca="1" si="151"/>
        <v>1595800</v>
      </c>
      <c r="F31" s="161">
        <f t="shared" ca="1" si="151"/>
        <v>1101000</v>
      </c>
      <c r="G31" s="161">
        <f t="shared" ca="1" si="151"/>
        <v>0</v>
      </c>
      <c r="H31" s="161">
        <f t="shared" ca="1" si="151"/>
        <v>2880385</v>
      </c>
      <c r="I31" s="161">
        <f t="shared" ca="1" si="151"/>
        <v>0</v>
      </c>
      <c r="J31" s="161">
        <f t="shared" ca="1" si="92"/>
        <v>2392568.11</v>
      </c>
      <c r="K31" s="162">
        <f t="shared" ca="1" si="93"/>
        <v>88.718781889646991</v>
      </c>
      <c r="L31" s="161">
        <f ca="1">SUM(L32:L51)</f>
        <v>2392568.11</v>
      </c>
      <c r="M31" s="94">
        <f t="shared" ca="1" si="94"/>
        <v>88.718781889646991</v>
      </c>
      <c r="N31" s="94">
        <f t="shared" ca="1" si="95"/>
        <v>83.064177531823006</v>
      </c>
      <c r="O31" s="93">
        <f ca="1">SUM(O32:O51)</f>
        <v>0</v>
      </c>
      <c r="P31" s="93">
        <f t="shared" ca="1" si="96"/>
        <v>0</v>
      </c>
      <c r="Q31" s="94">
        <f t="shared" ca="1" si="97"/>
        <v>0</v>
      </c>
      <c r="R31" s="93">
        <f t="shared" ref="R31:T31" ca="1" si="152">SUM(R32:R51)</f>
        <v>2147500</v>
      </c>
      <c r="S31" s="93">
        <f t="shared" ca="1" si="152"/>
        <v>2147500</v>
      </c>
      <c r="T31" s="93">
        <f t="shared" ca="1" si="152"/>
        <v>1733822.5</v>
      </c>
      <c r="U31" s="94">
        <f t="shared" ca="1" si="99"/>
        <v>80.736786961583235</v>
      </c>
      <c r="V31" s="94">
        <f t="shared" ca="1" si="100"/>
        <v>80.736786961583235</v>
      </c>
      <c r="W31" s="161">
        <f t="shared" ref="W31:X31" ca="1" si="153">SUM(W32:W51)</f>
        <v>120000</v>
      </c>
      <c r="X31" s="161">
        <f t="shared" ca="1" si="153"/>
        <v>46907</v>
      </c>
      <c r="Y31" s="94">
        <f t="shared" ca="1" si="102"/>
        <v>39.089166666666664</v>
      </c>
      <c r="Z31" s="161">
        <f t="shared" ref="Z31:AA31" ca="1" si="154">SUM(Z32:Z51)</f>
        <v>80</v>
      </c>
      <c r="AA31" s="161">
        <f t="shared" ca="1" si="154"/>
        <v>78</v>
      </c>
      <c r="AB31" s="94">
        <f t="shared" ca="1" si="104"/>
        <v>97.5</v>
      </c>
      <c r="AC31" s="161">
        <f t="shared" ref="AC31:AG31" ca="1" si="155">SUM(AC32:AC51)</f>
        <v>1518</v>
      </c>
      <c r="AD31" s="161">
        <f t="shared" ca="1" si="155"/>
        <v>1498</v>
      </c>
      <c r="AE31" s="161">
        <f t="shared" ca="1" si="155"/>
        <v>20</v>
      </c>
      <c r="AF31" s="161">
        <f t="shared" ca="1" si="155"/>
        <v>55000</v>
      </c>
      <c r="AG31" s="161">
        <f t="shared" ca="1" si="155"/>
        <v>22850</v>
      </c>
      <c r="AH31" s="94">
        <f t="shared" ca="1" si="106"/>
        <v>41.545454545454547</v>
      </c>
      <c r="AI31" s="161">
        <f t="shared" ref="AI31:AJ31" ca="1" si="156">SUM(AI32:AI51)</f>
        <v>0</v>
      </c>
      <c r="AJ31" s="161">
        <f t="shared" ca="1" si="156"/>
        <v>0</v>
      </c>
      <c r="AK31" s="94">
        <f t="shared" ca="1" si="108"/>
        <v>0</v>
      </c>
      <c r="AL31" s="161">
        <f t="shared" ref="AL31:AM31" ca="1" si="157">SUM(AL32:AL51)</f>
        <v>770000</v>
      </c>
      <c r="AM31" s="161">
        <f t="shared" ca="1" si="157"/>
        <v>419761.5</v>
      </c>
      <c r="AN31" s="94">
        <f t="shared" ca="1" si="110"/>
        <v>54.514480519480522</v>
      </c>
      <c r="AO31" s="161">
        <f t="shared" ref="AO31:AP31" ca="1" si="158">SUM(AO32:AO51)</f>
        <v>258000</v>
      </c>
      <c r="AP31" s="161">
        <f t="shared" ca="1" si="158"/>
        <v>137020</v>
      </c>
      <c r="AQ31" s="94">
        <f t="shared" ca="1" si="112"/>
        <v>53.108527131782942</v>
      </c>
      <c r="AR31" s="161">
        <f t="shared" ref="AR31:AS31" ca="1" si="159">SUM(AR32:AR51)</f>
        <v>55</v>
      </c>
      <c r="AS31" s="161">
        <f t="shared" ca="1" si="159"/>
        <v>55</v>
      </c>
      <c r="AT31" s="94">
        <f t="shared" ca="1" si="114"/>
        <v>100</v>
      </c>
      <c r="AU31" s="161">
        <f t="shared" ref="AU31:AX31" ca="1" si="160">SUM(AU32:AU51)</f>
        <v>40</v>
      </c>
      <c r="AV31" s="161">
        <f t="shared" ca="1" si="160"/>
        <v>5</v>
      </c>
      <c r="AW31" s="161">
        <f t="shared" ca="1" si="160"/>
        <v>23000</v>
      </c>
      <c r="AX31" s="161">
        <f t="shared" ca="1" si="160"/>
        <v>14690</v>
      </c>
      <c r="AY31" s="94">
        <f t="shared" ca="1" si="116"/>
        <v>63.869565217391305</v>
      </c>
      <c r="AZ31" s="161">
        <f t="shared" ref="AZ31:BA31" ca="1" si="161">SUM(AZ32:AZ51)</f>
        <v>115000</v>
      </c>
      <c r="BA31" s="161">
        <f t="shared" ca="1" si="161"/>
        <v>50000</v>
      </c>
      <c r="BB31" s="94">
        <f t="shared" ca="1" si="118"/>
        <v>43.478260869565219</v>
      </c>
      <c r="BC31" s="161">
        <f t="shared" ref="BC31:BD31" ca="1" si="162">SUM(BC32:BC51)</f>
        <v>0</v>
      </c>
      <c r="BD31" s="161">
        <f t="shared" ca="1" si="162"/>
        <v>0</v>
      </c>
      <c r="BE31" s="94">
        <f t="shared" ca="1" si="120"/>
        <v>0</v>
      </c>
      <c r="BF31" s="161">
        <f t="shared" ref="BF31:BG31" ca="1" si="163">SUM(BF32:BF51)</f>
        <v>1143100</v>
      </c>
      <c r="BG31" s="161">
        <f t="shared" ca="1" si="163"/>
        <v>644716</v>
      </c>
      <c r="BH31" s="94">
        <f t="shared" ca="1" si="122"/>
        <v>56.400664858717519</v>
      </c>
      <c r="BI31" s="161">
        <f t="shared" ref="BI31:BJ31" ca="1" si="164">SUM(BI32:BI51)</f>
        <v>23</v>
      </c>
      <c r="BJ31" s="161">
        <f t="shared" ca="1" si="164"/>
        <v>10</v>
      </c>
      <c r="BK31" s="94">
        <f t="shared" ca="1" si="124"/>
        <v>43.478260869565219</v>
      </c>
      <c r="BL31" s="161">
        <f t="shared" ref="BL31:BM31" ca="1" si="165">SUM(BL32:BL51)</f>
        <v>23</v>
      </c>
      <c r="BM31" s="161">
        <f t="shared" ca="1" si="165"/>
        <v>21</v>
      </c>
      <c r="BN31" s="94">
        <f t="shared" ca="1" si="126"/>
        <v>91.304347826086953</v>
      </c>
      <c r="BO31" s="161">
        <f t="shared" ref="BO31:BP31" ca="1" si="166">SUM(BO32:BO51)</f>
        <v>50000</v>
      </c>
      <c r="BP31" s="161">
        <f t="shared" ca="1" si="166"/>
        <v>22005</v>
      </c>
      <c r="BQ31" s="94">
        <f t="shared" ca="1" si="128"/>
        <v>44.01</v>
      </c>
      <c r="BR31" s="161">
        <f t="shared" ref="BR31:BS31" ca="1" si="167">SUM(BR32:BR51)</f>
        <v>104000</v>
      </c>
      <c r="BS31" s="161">
        <f t="shared" ca="1" si="167"/>
        <v>63860</v>
      </c>
      <c r="BT31" s="94">
        <f t="shared" ca="1" si="130"/>
        <v>61.403846153846153</v>
      </c>
      <c r="BU31" s="161">
        <f t="shared" ref="BU31:BV31" ca="1" si="168">SUM(BU32:BU51)</f>
        <v>887800</v>
      </c>
      <c r="BV31" s="161">
        <f t="shared" ca="1" si="168"/>
        <v>887800</v>
      </c>
      <c r="BW31" s="94">
        <f t="shared" ca="1" si="132"/>
        <v>100</v>
      </c>
      <c r="BX31" s="161">
        <f t="shared" ref="BX31:BY31" ca="1" si="169">SUM(BX32:BX51)</f>
        <v>887800</v>
      </c>
      <c r="BY31" s="161">
        <f t="shared" ca="1" si="169"/>
        <v>755000</v>
      </c>
      <c r="BZ31" s="94">
        <f t="shared" ca="1" si="134"/>
        <v>85.041676053165133</v>
      </c>
      <c r="CA31" s="161">
        <f t="shared" ref="CA31:CB31" ca="1" si="170">SUM(CA32:CA51)</f>
        <v>0</v>
      </c>
      <c r="CB31" s="161">
        <f t="shared" ca="1" si="170"/>
        <v>0</v>
      </c>
      <c r="CC31" s="94">
        <f t="shared" ca="1" si="136"/>
        <v>0</v>
      </c>
      <c r="CD31" s="161">
        <f t="shared" ref="CD31:CE31" ca="1" si="171">SUM(CD32:CD51)</f>
        <v>181000</v>
      </c>
      <c r="CE31" s="161">
        <f t="shared" ca="1" si="171"/>
        <v>27818.3</v>
      </c>
      <c r="CF31" s="94">
        <f t="shared" ca="1" si="138"/>
        <v>15.369226519337017</v>
      </c>
      <c r="CG31" s="161">
        <f t="shared" ref="CG31:CH31" ca="1" si="172">SUM(CG32:CG51)</f>
        <v>9000</v>
      </c>
      <c r="CH31" s="161">
        <f t="shared" ca="1" si="172"/>
        <v>88402</v>
      </c>
      <c r="CI31" s="94">
        <f t="shared" ca="1" si="140"/>
        <v>982.24444444444441</v>
      </c>
      <c r="CJ31" s="161">
        <f t="shared" ref="CJ31:CK31" ca="1" si="173">SUM(CJ32:CJ51)</f>
        <v>48000</v>
      </c>
      <c r="CK31" s="161">
        <f t="shared" ca="1" si="173"/>
        <v>48000</v>
      </c>
      <c r="CL31" s="94">
        <f t="shared" ca="1" si="142"/>
        <v>100</v>
      </c>
      <c r="CM31" s="161">
        <f t="shared" ref="CM31:CN31" ca="1" si="174">SUM(CM32:CM51)</f>
        <v>234400</v>
      </c>
      <c r="CN31" s="161">
        <f t="shared" ca="1" si="174"/>
        <v>170305</v>
      </c>
      <c r="CO31" s="94">
        <f t="shared" ca="1" si="144"/>
        <v>72.655716723549489</v>
      </c>
      <c r="CP31" s="161">
        <f t="shared" ref="CP31:CQ31" ca="1" si="175">SUM(CP32:CP51)</f>
        <v>138000</v>
      </c>
      <c r="CQ31" s="161">
        <f t="shared" ca="1" si="175"/>
        <v>66000</v>
      </c>
      <c r="CR31" s="94">
        <f t="shared" ca="1" si="146"/>
        <v>47.826086956521742</v>
      </c>
      <c r="CS31" s="161">
        <f t="shared" ref="CS31:CT31" ca="1" si="176">SUM(CS32:CS51)</f>
        <v>140</v>
      </c>
      <c r="CT31" s="161">
        <f t="shared" ca="1" si="176"/>
        <v>140</v>
      </c>
      <c r="CU31" s="94">
        <f t="shared" ca="1" si="148"/>
        <v>100</v>
      </c>
      <c r="CV31" s="161">
        <f t="shared" ref="CV31:CW31" ca="1" si="177">SUM(CV32:CV51)</f>
        <v>80</v>
      </c>
      <c r="CW31" s="161">
        <f t="shared" ca="1" si="177"/>
        <v>2</v>
      </c>
    </row>
    <row r="32" spans="1:101" ht="21" customHeight="1" x14ac:dyDescent="0.3">
      <c r="A32" s="147">
        <v>1</v>
      </c>
      <c r="B32" s="148" t="s">
        <v>60</v>
      </c>
      <c r="C32" s="149">
        <f t="shared" ca="1" si="90"/>
        <v>217500</v>
      </c>
      <c r="D32" s="150">
        <f t="shared" ref="D32:D51" ca="1" si="178">+E32+F32</f>
        <v>217500</v>
      </c>
      <c r="E32" s="151">
        <f ca="1">IFERROR(__xludf.DUMMYFUNCTION("IMPORTRANGE(""https://docs.google.com/spreadsheets/d/1-uDff_7J0KD5mKrp0Vvzr7lt3OU09vwQwhkpOPPYv2Y/edit?usp=sharing"",""งบพรบ!CV32"")"),182000)</f>
        <v>182000</v>
      </c>
      <c r="F32" s="151">
        <f ca="1">IFERROR(__xludf.DUMMYFUNCTION("IMPORTRANGE(""https://docs.google.com/spreadsheets/d/1-uDff_7J0KD5mKrp0Vvzr7lt3OU09vwQwhkpOPPYv2Y/edit?usp=sharing"",""งบพรบ!CW32"")"),35500)</f>
        <v>35500</v>
      </c>
      <c r="G32" s="152">
        <f ca="1">IFERROR(__xludf.DUMMYFUNCTION("IMPORTRANGE(""https://docs.google.com/spreadsheets/d/1-uDff_7J0KD5mKrp0Vvzr7lt3OU09vwQwhkpOPPYv2Y/edit?usp=sharing"",""งบพรบ!CX32"")"),0)</f>
        <v>0</v>
      </c>
      <c r="H32" s="152">
        <f ca="1">IFERROR(__xludf.DUMMYFUNCTION("IMPORTRANGE(""https://docs.google.com/spreadsheets/d/1-uDff_7J0KD5mKrp0Vvzr7lt3OU09vwQwhkpOPPYv2Y/edit?usp=sharing"",""งบพรบ!CZ32"")"),241475)</f>
        <v>241475</v>
      </c>
      <c r="I32" s="152">
        <f ca="1">IFERROR(__xludf.DUMMYFUNCTION("IMPORTRANGE(""https://docs.google.com/spreadsheets/d/1-uDff_7J0KD5mKrp0Vvzr7lt3OU09vwQwhkpOPPYv2Y/edit?usp=sharing"",""งบพรบ!DA32"")"),0)</f>
        <v>0</v>
      </c>
      <c r="J32" s="152">
        <f t="shared" ca="1" si="92"/>
        <v>224654.99</v>
      </c>
      <c r="K32" s="153">
        <f t="shared" ca="1" si="93"/>
        <v>103.28965057471264</v>
      </c>
      <c r="L32" s="152">
        <f ca="1">IFERROR(__xludf.DUMMYFUNCTION("IMPORTRANGE(""https://docs.google.com/spreadsheets/d/1-uDff_7J0KD5mKrp0Vvzr7lt3OU09vwQwhkpOPPYv2Y/edit?usp=sharing"",""งบพรบ!DB32"")"),224654.99)</f>
        <v>224654.99</v>
      </c>
      <c r="M32" s="68">
        <f t="shared" ca="1" si="94"/>
        <v>103.28965057471264</v>
      </c>
      <c r="N32" s="68">
        <f t="shared" ca="1" si="95"/>
        <v>93.034471477378617</v>
      </c>
      <c r="O32" s="67">
        <f ca="1">IFERROR(__xludf.DUMMYFUNCTION("IMPORTRANGE(""https://docs.google.com/spreadsheets/d/1-uDff_7J0KD5mKrp0Vvzr7lt3OU09vwQwhkpOPPYv2Y/edit?usp=sharing"",""งบพรบ!DC32"")"),0)</f>
        <v>0</v>
      </c>
      <c r="P32" s="67">
        <f t="shared" ca="1" si="96"/>
        <v>0</v>
      </c>
      <c r="Q32" s="68">
        <f t="shared" ca="1" si="97"/>
        <v>0</v>
      </c>
      <c r="R32" s="67">
        <f ca="1">IFERROR(__xludf.DUMMYFUNCTION("IMPORTRANGE(""https://docs.google.com/spreadsheets/d/1yhBcrRPreicbMKl9Bu_Snb2-OcQAF62RKfhTLhJ2eAA/edit?usp=sharing"",""กาฬสินธุ์!Q186"")"),42000)</f>
        <v>42000</v>
      </c>
      <c r="S32" s="67">
        <f ca="1">IFERROR(__xludf.DUMMYFUNCTION("IMPORTRANGE(""https://docs.google.com/spreadsheets/d/1yhBcrRPreicbMKl9Bu_Snb2-OcQAF62RKfhTLhJ2eAA/edit?usp=sharing"",""กาฬสินธุ์!R186"")"),42000)</f>
        <v>42000</v>
      </c>
      <c r="T32" s="67">
        <f ca="1">IFERROR(__xludf.DUMMYFUNCTION("IMPORTRANGE(""https://docs.google.com/spreadsheets/d/1yhBcrRPreicbMKl9Bu_Snb2-OcQAF62RKfhTLhJ2eAA/edit?usp=sharing"",""กาฬสินธุ์!S186"")"),25185)</f>
        <v>25185</v>
      </c>
      <c r="U32" s="68">
        <f t="shared" ca="1" si="99"/>
        <v>59.964285714285715</v>
      </c>
      <c r="V32" s="68">
        <f t="shared" ca="1" si="100"/>
        <v>59.964285714285715</v>
      </c>
      <c r="W32" s="152">
        <f ca="1">IFERROR(__xludf.DUMMYFUNCTION("IMPORTRANGE(""https://docs.google.com/spreadsheets/d/1yhBcrRPreicbMKl9Bu_Snb2-OcQAF62RKfhTLhJ2eAA/edit?usp=sharing"",""กาฬสินธุ์!L196"")"),6000)</f>
        <v>6000</v>
      </c>
      <c r="X32" s="152">
        <f ca="1">IFERROR(__xludf.DUMMYFUNCTION("IMPORTRANGE(""https://docs.google.com/spreadsheets/d/1yhBcrRPreicbMKl9Bu_Snb2-OcQAF62RKfhTLhJ2eAA/edit?usp=sharing"",""กาฬสินธุ์!N196"")"),0)</f>
        <v>0</v>
      </c>
      <c r="Y32" s="216">
        <f t="shared" ca="1" si="102"/>
        <v>0</v>
      </c>
      <c r="Z32" s="152">
        <f ca="1">IFERROR(__xludf.DUMMYFUNCTION("IMPORTRANGE(""https://docs.google.com/spreadsheets/d/1yhBcrRPreicbMKl9Bu_Snb2-OcQAF62RKfhTLhJ2eAA/edit?usp=sharing"",""กาฬสินธุ์!I198"")"),4)</f>
        <v>4</v>
      </c>
      <c r="AA32" s="152">
        <f ca="1">IFERROR(__xludf.DUMMYFUNCTION("IMPORTRANGE(""https://docs.google.com/spreadsheets/d/1yhBcrRPreicbMKl9Bu_Snb2-OcQAF62RKfhTLhJ2eAA/edit?usp=sharing"",""กาฬสินธุ์!J198"")"),4)</f>
        <v>4</v>
      </c>
      <c r="AB32" s="216">
        <f t="shared" ca="1" si="104"/>
        <v>100</v>
      </c>
      <c r="AC32" s="152">
        <f ca="1">IFERROR(__xludf.DUMMYFUNCTION("IMPORTRANGE(""https://docs.google.com/spreadsheets/d/1yhBcrRPreicbMKl9Bu_Snb2-OcQAF62RKfhTLhJ2eAA/edit?usp=sharing"",""กาฬสินธุ์!J199"")"),119)</f>
        <v>119</v>
      </c>
      <c r="AD32" s="152">
        <f ca="1">IFERROR(__xludf.DUMMYFUNCTION("IMPORTRANGE(""https://docs.google.com/spreadsheets/d/1yhBcrRPreicbMKl9Bu_Snb2-OcQAF62RKfhTLhJ2eAA/edit?usp=sharing"",""กาฬสินธุ์!J200"")"),119)</f>
        <v>119</v>
      </c>
      <c r="AE32" s="152">
        <f ca="1">IFERROR(__xludf.DUMMYFUNCTION("IMPORTRANGE(""https://docs.google.com/spreadsheets/d/1yhBcrRPreicbMKl9Bu_Snb2-OcQAF62RKfhTLhJ2eAA/edit?usp=sharing"",""กาฬสินธุ์!J201"")"),0)</f>
        <v>0</v>
      </c>
      <c r="AF32" s="152">
        <f ca="1">IFERROR(__xludf.DUMMYFUNCTION("IMPORTRANGE(""https://docs.google.com/spreadsheets/d/1yhBcrRPreicbMKl9Bu_Snb2-OcQAF62RKfhTLhJ2eAA/edit?usp=sharing"",""กาฬสินธุ์!L204"")"),3000)</f>
        <v>3000</v>
      </c>
      <c r="AG32" s="152">
        <f ca="1">IFERROR(__xludf.DUMMYFUNCTION("IMPORTRANGE(""https://docs.google.com/spreadsheets/d/1yhBcrRPreicbMKl9Bu_Snb2-OcQAF62RKfhTLhJ2eAA/edit?usp=sharing"",""กาฬสินธุ์!N204"")"),0)</f>
        <v>0</v>
      </c>
      <c r="AH32" s="216">
        <f t="shared" ca="1" si="106"/>
        <v>0</v>
      </c>
      <c r="AI32" s="152">
        <f ca="1">IFERROR(__xludf.DUMMYFUNCTION("IMPORTRANGE(""https://docs.google.com/spreadsheets/d/1yhBcrRPreicbMKl9Bu_Snb2-OcQAF62RKfhTLhJ2eAA/edit?usp=sharing"",""กาฬสินธุ์!L206"")"),0)</f>
        <v>0</v>
      </c>
      <c r="AJ32" s="152">
        <f ca="1">IFERROR(__xludf.DUMMYFUNCTION("IMPORTRANGE(""https://docs.google.com/spreadsheets/d/1yhBcrRPreicbMKl9Bu_Snb2-OcQAF62RKfhTLhJ2eAA/edit?usp=sharing"",""กาฬสินธุ์!N206"")"),0)</f>
        <v>0</v>
      </c>
      <c r="AK32" s="216">
        <f t="shared" ca="1" si="108"/>
        <v>0</v>
      </c>
      <c r="AL32" s="152">
        <f ca="1">IFERROR(__xludf.DUMMYFUNCTION("IMPORTRANGE(""https://docs.google.com/spreadsheets/d/1yhBcrRPreicbMKl9Bu_Snb2-OcQAF62RKfhTLhJ2eAA/edit?usp=sharing"",""กาฬสินธุ์!Q206"")"),42000)</f>
        <v>42000</v>
      </c>
      <c r="AM32" s="152">
        <f ca="1">IFERROR(__xludf.DUMMYFUNCTION("IMPORTRANGE(""https://docs.google.com/spreadsheets/d/1yhBcrRPreicbMKl9Bu_Snb2-OcQAF62RKfhTLhJ2eAA/edit?usp=sharing"",""กาฬสินธุ์!S206"")"),0)</f>
        <v>0</v>
      </c>
      <c r="AN32" s="216">
        <f t="shared" ca="1" si="110"/>
        <v>0</v>
      </c>
      <c r="AO32" s="152">
        <f ca="1">IFERROR(__xludf.DUMMYFUNCTION("IMPORTRANGE(""https://docs.google.com/spreadsheets/d/1yhBcrRPreicbMKl9Bu_Snb2-OcQAF62RKfhTLhJ2eAA/edit?usp=sharing"",""กาฬสินธุ์!L207"")"),12000)</f>
        <v>12000</v>
      </c>
      <c r="AP32" s="152">
        <f ca="1">IFERROR(__xludf.DUMMYFUNCTION("IMPORTRANGE(""https://docs.google.com/spreadsheets/d/1yhBcrRPreicbMKl9Bu_Snb2-OcQAF62RKfhTLhJ2eAA/edit?usp=sharing"",""กาฬสินธุ์!N207"")"),0)</f>
        <v>0</v>
      </c>
      <c r="AQ32" s="216">
        <f t="shared" ca="1" si="112"/>
        <v>0</v>
      </c>
      <c r="AR32" s="152">
        <f ca="1">IFERROR(__xludf.DUMMYFUNCTION("IMPORTRANGE(""https://docs.google.com/spreadsheets/d/1yhBcrRPreicbMKl9Bu_Snb2-OcQAF62RKfhTLhJ2eAA/edit?usp=sharing"",""กาฬสินธุ์!I209"")"),3)</f>
        <v>3</v>
      </c>
      <c r="AS32" s="152">
        <f ca="1">IFERROR(__xludf.DUMMYFUNCTION("IMPORTRANGE(""https://docs.google.com/spreadsheets/d/1yhBcrRPreicbMKl9Bu_Snb2-OcQAF62RKfhTLhJ2eAA/edit?usp=sharing"",""กาฬสินธุ์!J209"")"),3)</f>
        <v>3</v>
      </c>
      <c r="AT32" s="216">
        <f t="shared" ca="1" si="114"/>
        <v>100</v>
      </c>
      <c r="AU32" s="152">
        <f ca="1">IFERROR(__xludf.DUMMYFUNCTION("IMPORTRANGE(""https://docs.google.com/spreadsheets/d/1yhBcrRPreicbMKl9Bu_Snb2-OcQAF62RKfhTLhJ2eAA/edit?usp=sharing"",""กาฬสินธุ์!J211"")"),3)</f>
        <v>3</v>
      </c>
      <c r="AV32" s="152">
        <f ca="1">IFERROR(__xludf.DUMMYFUNCTION("IMPORTRANGE(""https://docs.google.com/spreadsheets/d/1yhBcrRPreicbMKl9Bu_Snb2-OcQAF62RKfhTLhJ2eAA/edit?usp=sharing"",""กาฬสินธุ์!J212"")"),0)</f>
        <v>0</v>
      </c>
      <c r="AW32" s="152">
        <f ca="1">IFERROR(__xludf.DUMMYFUNCTION("IMPORTRANGE(""https://docs.google.com/spreadsheets/d/1yhBcrRPreicbMKl9Bu_Snb2-OcQAF62RKfhTLhJ2eAA/edit?usp=sharing"",""กาฬสินธุ์!L215"")"),0)</f>
        <v>0</v>
      </c>
      <c r="AX32" s="152">
        <f ca="1">IFERROR(__xludf.DUMMYFUNCTION("IMPORTRANGE(""https://docs.google.com/spreadsheets/d/1yhBcrRPreicbMKl9Bu_Snb2-OcQAF62RKfhTLhJ2eAA/edit?usp=sharing"",""กาฬสินธุ์!N215"")"),0)</f>
        <v>0</v>
      </c>
      <c r="AY32" s="216">
        <f t="shared" ca="1" si="116"/>
        <v>0</v>
      </c>
      <c r="AZ32" s="152">
        <f ca="1">IFERROR(__xludf.DUMMYFUNCTION("IMPORTRANGE(""https://docs.google.com/spreadsheets/d/1yhBcrRPreicbMKl9Bu_Snb2-OcQAF62RKfhTLhJ2eAA/edit?usp=sharing"",""กาฬสินธุ์!L216"")"),0)</f>
        <v>0</v>
      </c>
      <c r="BA32" s="152">
        <f ca="1">IFERROR(__xludf.DUMMYFUNCTION("IMPORTRANGE(""https://docs.google.com/spreadsheets/d/1yhBcrRPreicbMKl9Bu_Snb2-OcQAF62RKfhTLhJ2eAA/edit?usp=sharing"",""กาฬสินธุ์!N216"")"),0)</f>
        <v>0</v>
      </c>
      <c r="BB32" s="216">
        <f t="shared" ca="1" si="118"/>
        <v>0</v>
      </c>
      <c r="BC32" s="152">
        <f ca="1">IFERROR(__xludf.DUMMYFUNCTION("IMPORTRANGE(""https://docs.google.com/spreadsheets/d/1yhBcrRPreicbMKl9Bu_Snb2-OcQAF62RKfhTLhJ2eAA/edit?usp=sharing"",""กาฬสินธุ์!L217"")"),0)</f>
        <v>0</v>
      </c>
      <c r="BD32" s="152">
        <f ca="1">IFERROR(__xludf.DUMMYFUNCTION("IMPORTRANGE(""https://docs.google.com/spreadsheets/d/1yhBcrRPreicbMKl9Bu_Snb2-OcQAF62RKfhTLhJ2eAA/edit?usp=sharing"",""กาฬสินธุ์!N217"")"),0)</f>
        <v>0</v>
      </c>
      <c r="BE32" s="216">
        <f t="shared" ca="1" si="120"/>
        <v>0</v>
      </c>
      <c r="BF32" s="152">
        <f ca="1">IFERROR(__xludf.DUMMYFUNCTION("IMPORTRANGE(""https://docs.google.com/spreadsheets/d/1yhBcrRPreicbMKl9Bu_Snb2-OcQAF62RKfhTLhJ2eAA/edit?usp=sharing"",""กาฬสินธุ์!Q217"")"),0)</f>
        <v>0</v>
      </c>
      <c r="BG32" s="152">
        <f ca="1">IFERROR(__xludf.DUMMYFUNCTION("IMPORTRANGE(""https://docs.google.com/spreadsheets/d/1yhBcrRPreicbMKl9Bu_Snb2-OcQAF62RKfhTLhJ2eAA/edit?usp=sharing"",""กาฬสินธุ์!S217"")"),0)</f>
        <v>0</v>
      </c>
      <c r="BH32" s="216">
        <f t="shared" ca="1" si="122"/>
        <v>0</v>
      </c>
      <c r="BI32" s="152">
        <f ca="1">IFERROR(__xludf.DUMMYFUNCTION("IMPORTRANGE(""https://docs.google.com/spreadsheets/d/1yhBcrRPreicbMKl9Bu_Snb2-OcQAF62RKfhTLhJ2eAA/edit?usp=sharing"",""กาฬสินธุ์!I219"")"),0)</f>
        <v>0</v>
      </c>
      <c r="BJ32" s="152">
        <f ca="1">IFERROR(__xludf.DUMMYFUNCTION("IMPORTRANGE(""https://docs.google.com/spreadsheets/d/1yhBcrRPreicbMKl9Bu_Snb2-OcQAF62RKfhTLhJ2eAA/edit?usp=sharing"",""กาฬสินธุ์!J219"")"),0)</f>
        <v>0</v>
      </c>
      <c r="BK32" s="216">
        <f t="shared" ca="1" si="124"/>
        <v>0</v>
      </c>
      <c r="BL32" s="152">
        <f ca="1">IFERROR(__xludf.DUMMYFUNCTION("IMPORTRANGE(""https://docs.google.com/spreadsheets/d/1yhBcrRPreicbMKl9Bu_Snb2-OcQAF62RKfhTLhJ2eAA/edit?usp=sharing"",""กาฬสินธุ์!I220"")"),0)</f>
        <v>0</v>
      </c>
      <c r="BM32" s="152">
        <f ca="1">IFERROR(__xludf.DUMMYFUNCTION("IMPORTRANGE(""https://docs.google.com/spreadsheets/d/1yhBcrRPreicbMKl9Bu_Snb2-OcQAF62RKfhTLhJ2eAA/edit?usp=sharing"",""กาฬสินธุ์!J220"")"),0)</f>
        <v>0</v>
      </c>
      <c r="BN32" s="216">
        <f t="shared" ca="1" si="126"/>
        <v>0</v>
      </c>
      <c r="BO32" s="152">
        <f ca="1">IFERROR(__xludf.DUMMYFUNCTION("IMPORTRANGE(""https://docs.google.com/spreadsheets/d/1yhBcrRPreicbMKl9Bu_Snb2-OcQAF62RKfhTLhJ2eAA/edit?usp=sharing"",""กาฬสินธุ์!L223"")"),2500)</f>
        <v>2500</v>
      </c>
      <c r="BP32" s="152">
        <f ca="1">IFERROR(__xludf.DUMMYFUNCTION("IMPORTRANGE(""https://docs.google.com/spreadsheets/d/1yhBcrRPreicbMKl9Bu_Snb2-OcQAF62RKfhTLhJ2eAA/edit?usp=sharing"",""กาฬสินธุ์!N223"")"),0)</f>
        <v>0</v>
      </c>
      <c r="BQ32" s="216">
        <f t="shared" ca="1" si="128"/>
        <v>0</v>
      </c>
      <c r="BR32" s="152">
        <f ca="1">IFERROR(__xludf.DUMMYFUNCTION("IMPORTRANGE(""https://docs.google.com/spreadsheets/d/1yhBcrRPreicbMKl9Bu_Snb2-OcQAF62RKfhTLhJ2eAA/edit?usp=sharing"",""กาฬสินธุ์!L224"")"),12000)</f>
        <v>12000</v>
      </c>
      <c r="BS32" s="152">
        <f ca="1">IFERROR(__xludf.DUMMYFUNCTION("IMPORTRANGE(""https://docs.google.com/spreadsheets/d/1yhBcrRPreicbMKl9Bu_Snb2-OcQAF62RKfhTLhJ2eAA/edit?usp=sharing"",""กาฬสินธุ์!N224"")"),0)</f>
        <v>0</v>
      </c>
      <c r="BT32" s="216">
        <f t="shared" ca="1" si="130"/>
        <v>0</v>
      </c>
      <c r="BU32" s="152">
        <f ca="1">IFERROR(__xludf.DUMMYFUNCTION("IMPORTRANGE(""https://docs.google.com/spreadsheets/d/1yhBcrRPreicbMKl9Bu_Snb2-OcQAF62RKfhTLhJ2eAA/edit?usp=sharing"",""กาฬสินธุ์!I228"")"),123000)</f>
        <v>123000</v>
      </c>
      <c r="BV32" s="152">
        <f ca="1">IFERROR(__xludf.DUMMYFUNCTION("IMPORTRANGE(""https://docs.google.com/spreadsheets/d/1yhBcrRPreicbMKl9Bu_Snb2-OcQAF62RKfhTLhJ2eAA/edit?usp=sharing"",""กาฬสินธุ์!J228"")"),123000)</f>
        <v>123000</v>
      </c>
      <c r="BW32" s="216">
        <f t="shared" ca="1" si="132"/>
        <v>100</v>
      </c>
      <c r="BX32" s="152">
        <f ca="1">IFERROR(__xludf.DUMMYFUNCTION("IMPORTRANGE(""https://docs.google.com/spreadsheets/d/1yhBcrRPreicbMKl9Bu_Snb2-OcQAF62RKfhTLhJ2eAA/edit?usp=sharing"",""กาฬสินธุ์!I229"")"),123000)</f>
        <v>123000</v>
      </c>
      <c r="BY32" s="152">
        <f ca="1">IFERROR(__xludf.DUMMYFUNCTION("IMPORTRANGE(""https://docs.google.com/spreadsheets/d/1yhBcrRPreicbMKl9Bu_Snb2-OcQAF62RKfhTLhJ2eAA/edit?usp=sharing"",""กาฬสินธุ์!J229"")"),0)</f>
        <v>0</v>
      </c>
      <c r="BZ32" s="216">
        <f t="shared" ca="1" si="134"/>
        <v>0</v>
      </c>
      <c r="CA32" s="152">
        <f ca="1">IFERROR(__xludf.DUMMYFUNCTION("IMPORTRANGE(""https://docs.google.com/spreadsheets/d/1yhBcrRPreicbMKl9Bu_Snb2-OcQAF62RKfhTLhJ2eAA/edit?usp=sharing"",""กาฬสินธุ์!I230"")"),0)</f>
        <v>0</v>
      </c>
      <c r="CB32" s="152">
        <f ca="1">IFERROR(__xludf.DUMMYFUNCTION("IMPORTRANGE(""https://docs.google.com/spreadsheets/d/1yhBcrRPreicbMKl9Bu_Snb2-OcQAF62RKfhTLhJ2eAA/edit?usp=sharing"",""กาฬสินธุ์!J230"")"),0)</f>
        <v>0</v>
      </c>
      <c r="CC32" s="216">
        <f t="shared" ca="1" si="136"/>
        <v>0</v>
      </c>
      <c r="CD32" s="152">
        <f ca="1">IFERROR(__xludf.DUMMYFUNCTION("IMPORTRANGE(""https://docs.google.com/spreadsheets/d/1yhBcrRPreicbMKl9Bu_Snb2-OcQAF62RKfhTLhJ2eAA/edit?usp=sharing"",""กาฬสินธุ์!L233"")"),0)</f>
        <v>0</v>
      </c>
      <c r="CE32" s="152">
        <f ca="1">IFERROR(__xludf.DUMMYFUNCTION("IMPORTRANGE(""https://docs.google.com/spreadsheets/d/1yhBcrRPreicbMKl9Bu_Snb2-OcQAF62RKfhTLhJ2eAA/edit?usp=sharing"",""กาฬสินธุ์!N233"")"),0)</f>
        <v>0</v>
      </c>
      <c r="CF32" s="216">
        <f t="shared" ca="1" si="138"/>
        <v>0</v>
      </c>
      <c r="CG32" s="152">
        <f ca="1">IFERROR(__xludf.DUMMYFUNCTION("IMPORTRANGE(""https://docs.google.com/spreadsheets/d/1yhBcrRPreicbMKl9Bu_Snb2-OcQAF62RKfhTLhJ2eAA/edit?usp=sharing"",""กาฬสินธุ์!L234"")"),0)</f>
        <v>0</v>
      </c>
      <c r="CH32" s="152">
        <f ca="1">IFERROR(__xludf.DUMMYFUNCTION("IMPORTRANGE(""https://docs.google.com/spreadsheets/d/1yhBcrRPreicbMKl9Bu_Snb2-OcQAF62RKfhTLhJ2eAA/edit?usp=sharing"",""กาฬสินธุ์!N234"")"),0)</f>
        <v>0</v>
      </c>
      <c r="CI32" s="216">
        <f t="shared" ca="1" si="140"/>
        <v>0</v>
      </c>
      <c r="CJ32" s="152">
        <f ca="1">IFERROR(__xludf.DUMMYFUNCTION("IMPORTRANGE(""https://docs.google.com/spreadsheets/d/1yhBcrRPreicbMKl9Bu_Snb2-OcQAF62RKfhTLhJ2eAA/edit?usp=sharing"",""กาฬสินธุ์!L235"")"),0)</f>
        <v>0</v>
      </c>
      <c r="CK32" s="152">
        <f ca="1">IFERROR(__xludf.DUMMYFUNCTION("IMPORTRANGE(""https://docs.google.com/spreadsheets/d/1yhBcrRPreicbMKl9Bu_Snb2-OcQAF62RKfhTLhJ2eAA/edit?usp=sharing"",""กาฬสินธุ์!N235"")"),0)</f>
        <v>0</v>
      </c>
      <c r="CL32" s="216">
        <f t="shared" ca="1" si="142"/>
        <v>0</v>
      </c>
      <c r="CM32" s="251">
        <f ca="1">IFERROR(__xludf.DUMMYFUNCTION("IMPORTRANGE(""https://docs.google.com/spreadsheets/d/1yhBcrRPreicbMKl9Bu_Snb2-OcQAF62RKfhTLhJ2eAA/edit?usp=sharing"",""กาฬสินธุ์!Q235"")"),0)</f>
        <v>0</v>
      </c>
      <c r="CN32" s="251">
        <f ca="1">IFERROR(__xludf.DUMMYFUNCTION("IMPORTRANGE(""https://docs.google.com/spreadsheets/d/1yhBcrRPreicbMKl9Bu_Snb2-OcQAF62RKfhTLhJ2eAA/edit?usp=sharing"",""กาฬสินธุ์!S235"")"),0)</f>
        <v>0</v>
      </c>
      <c r="CO32" s="216">
        <f t="shared" ca="1" si="144"/>
        <v>0</v>
      </c>
      <c r="CP32" s="152">
        <f ca="1">IFERROR(__xludf.DUMMYFUNCTION("IMPORTRANGE(""https://docs.google.com/spreadsheets/d/1yhBcrRPreicbMKl9Bu_Snb2-OcQAF62RKfhTLhJ2eAA/edit?usp=sharing"",""กาฬสินธุ์!L236"")"),0)</f>
        <v>0</v>
      </c>
      <c r="CQ32" s="152">
        <f ca="1">IFERROR(__xludf.DUMMYFUNCTION("IMPORTRANGE(""https://docs.google.com/spreadsheets/d/1yhBcrRPreicbMKl9Bu_Snb2-OcQAF62RKfhTLhJ2eAA/edit?usp=sharing"",""กาฬสินธุ์!N236"")"),0)</f>
        <v>0</v>
      </c>
      <c r="CR32" s="216">
        <f t="shared" ca="1" si="146"/>
        <v>0</v>
      </c>
      <c r="CS32" s="152">
        <f ca="1">IFERROR(__xludf.DUMMYFUNCTION("IMPORTRANGE(""https://docs.google.com/spreadsheets/d/1yhBcrRPreicbMKl9Bu_Snb2-OcQAF62RKfhTLhJ2eAA/edit?usp=sharing"",""กาฬสินธุ์!I238"")"),0)</f>
        <v>0</v>
      </c>
      <c r="CT32" s="152">
        <f ca="1">IFERROR(__xludf.DUMMYFUNCTION("IMPORTRANGE(""https://docs.google.com/spreadsheets/d/1yhBcrRPreicbMKl9Bu_Snb2-OcQAF62RKfhTLhJ2eAA/edit?usp=sharing"",""กาฬสินธุ์!J238"")"),0)</f>
        <v>0</v>
      </c>
      <c r="CU32" s="216">
        <f t="shared" ca="1" si="148"/>
        <v>0</v>
      </c>
      <c r="CV32" s="152">
        <f ca="1">IFERROR(__xludf.DUMMYFUNCTION("IMPORTRANGE(""https://docs.google.com/spreadsheets/d/1yhBcrRPreicbMKl9Bu_Snb2-OcQAF62RKfhTLhJ2eAA/edit?usp=sharing"",""กาฬสินธุ์!J240"")"),0)</f>
        <v>0</v>
      </c>
      <c r="CW32" s="152">
        <f ca="1">IFERROR(__xludf.DUMMYFUNCTION("IMPORTRANGE(""https://docs.google.com/spreadsheets/d/1yhBcrRPreicbMKl9Bu_Snb2-OcQAF62RKfhTLhJ2eAA/edit?usp=sharing"",""กาฬสินธุ์!J241"")"),0)</f>
        <v>0</v>
      </c>
    </row>
    <row r="33" spans="1:101" ht="21" customHeight="1" x14ac:dyDescent="0.3">
      <c r="A33" s="147">
        <v>2</v>
      </c>
      <c r="B33" s="148" t="s">
        <v>61</v>
      </c>
      <c r="C33" s="149">
        <f t="shared" ca="1" si="90"/>
        <v>29500</v>
      </c>
      <c r="D33" s="150">
        <f t="shared" ca="1" si="178"/>
        <v>29500</v>
      </c>
      <c r="E33" s="151">
        <f ca="1">IFERROR(__xludf.DUMMYFUNCTION("IMPORTRANGE(""https://docs.google.com/spreadsheets/d/1-uDff_7J0KD5mKrp0Vvzr7lt3OU09vwQwhkpOPPYv2Y/edit?usp=sharing"",""งบพรบ!CV33"")"),0)</f>
        <v>0</v>
      </c>
      <c r="F33" s="151">
        <f ca="1">IFERROR(__xludf.DUMMYFUNCTION("IMPORTRANGE(""https://docs.google.com/spreadsheets/d/1-uDff_7J0KD5mKrp0Vvzr7lt3OU09vwQwhkpOPPYv2Y/edit?usp=sharing"",""งบพรบ!CW33"")"),29500)</f>
        <v>29500</v>
      </c>
      <c r="G33" s="151">
        <f ca="1">IFERROR(__xludf.DUMMYFUNCTION("IMPORTRANGE(""https://docs.google.com/spreadsheets/d/1-uDff_7J0KD5mKrp0Vvzr7lt3OU09vwQwhkpOPPYv2Y/edit?usp=sharing"",""งบพรบ!CX33"")"),0)</f>
        <v>0</v>
      </c>
      <c r="H33" s="151">
        <f ca="1">IFERROR(__xludf.DUMMYFUNCTION("IMPORTRANGE(""https://docs.google.com/spreadsheets/d/1-uDff_7J0KD5mKrp0Vvzr7lt3OU09vwQwhkpOPPYv2Y/edit?usp=sharing"",""งบพรบ!CZ33"")"),72320)</f>
        <v>72320</v>
      </c>
      <c r="I33" s="151">
        <f ca="1">IFERROR(__xludf.DUMMYFUNCTION("IMPORTRANGE(""https://docs.google.com/spreadsheets/d/1-uDff_7J0KD5mKrp0Vvzr7lt3OU09vwQwhkpOPPYv2Y/edit?usp=sharing"",""งบพรบ!DA33"")"),0)</f>
        <v>0</v>
      </c>
      <c r="J33" s="151">
        <f t="shared" ca="1" si="92"/>
        <v>60896</v>
      </c>
      <c r="K33" s="154">
        <f t="shared" ca="1" si="93"/>
        <v>206.4271186440678</v>
      </c>
      <c r="L33" s="151">
        <f ca="1">IFERROR(__xludf.DUMMYFUNCTION("IMPORTRANGE(""https://docs.google.com/spreadsheets/d/1-uDff_7J0KD5mKrp0Vvzr7lt3OU09vwQwhkpOPPYv2Y/edit?usp=sharing"",""งบพรบ!DB33"")"),60896)</f>
        <v>60896</v>
      </c>
      <c r="M33" s="68">
        <f t="shared" ca="1" si="94"/>
        <v>206.4271186440678</v>
      </c>
      <c r="N33" s="68">
        <f t="shared" ca="1" si="95"/>
        <v>84.203539823008853</v>
      </c>
      <c r="O33" s="67">
        <f ca="1">IFERROR(__xludf.DUMMYFUNCTION("IMPORTRANGE(""https://docs.google.com/spreadsheets/d/1-uDff_7J0KD5mKrp0Vvzr7lt3OU09vwQwhkpOPPYv2Y/edit?usp=sharing"",""งบพรบ!DC33"")"),0)</f>
        <v>0</v>
      </c>
      <c r="P33" s="67">
        <f t="shared" ca="1" si="96"/>
        <v>0</v>
      </c>
      <c r="Q33" s="68">
        <f t="shared" ca="1" si="97"/>
        <v>0</v>
      </c>
      <c r="R33" s="67">
        <f ca="1">IFERROR(__xludf.DUMMYFUNCTION("IMPORTRANGE(""https://docs.google.com/spreadsheets/d/1aHkj4IaQMThhwWwevcOymEh837vdxeC_PycurhTbGFA/edit?usp=sharing"",""ขอนแก่น!Q186"")"),42000)</f>
        <v>42000</v>
      </c>
      <c r="S33" s="67">
        <f ca="1">IFERROR(__xludf.DUMMYFUNCTION("IMPORTRANGE(""https://docs.google.com/spreadsheets/d/1aHkj4IaQMThhwWwevcOymEh837vdxeC_PycurhTbGFA/edit?usp=sharing"",""ขอนแก่น!R186"")"),42000)</f>
        <v>42000</v>
      </c>
      <c r="T33" s="67">
        <f ca="1">IFERROR(__xludf.DUMMYFUNCTION("IMPORTRANGE(""https://docs.google.com/spreadsheets/d/1aHkj4IaQMThhwWwevcOymEh837vdxeC_PycurhTbGFA/edit?usp=sharing"",""ขอนแก่น!S186"")"),40020)</f>
        <v>40020</v>
      </c>
      <c r="U33" s="68">
        <f t="shared" ca="1" si="99"/>
        <v>95.285714285714292</v>
      </c>
      <c r="V33" s="68">
        <f t="shared" ca="1" si="100"/>
        <v>95.285714285714292</v>
      </c>
      <c r="W33" s="152">
        <f ca="1">IFERROR(__xludf.DUMMYFUNCTION("IMPORTRANGE(""https://docs.google.com/spreadsheets/d/1aHkj4IaQMThhwWwevcOymEh837vdxeC_PycurhTbGFA/edit?usp=sharing"",""ขอนแก่น!L196"")"),6000)</f>
        <v>6000</v>
      </c>
      <c r="X33" s="152">
        <f ca="1">IFERROR(__xludf.DUMMYFUNCTION("IMPORTRANGE(""https://docs.google.com/spreadsheets/d/1aHkj4IaQMThhwWwevcOymEh837vdxeC_PycurhTbGFA/edit?usp=sharing"",""ขอนแก่น!N196"")"),0)</f>
        <v>0</v>
      </c>
      <c r="Y33" s="216">
        <f t="shared" ca="1" si="102"/>
        <v>0</v>
      </c>
      <c r="Z33" s="152">
        <f ca="1">IFERROR(__xludf.DUMMYFUNCTION("IMPORTRANGE(""https://docs.google.com/spreadsheets/d/1aHkj4IaQMThhwWwevcOymEh837vdxeC_PycurhTbGFA/edit?usp=sharing"",""ขอนแก่น!I198"")"),4)</f>
        <v>4</v>
      </c>
      <c r="AA33" s="152">
        <f ca="1">IFERROR(__xludf.DUMMYFUNCTION("IMPORTRANGE(""https://docs.google.com/spreadsheets/d/1aHkj4IaQMThhwWwevcOymEh837vdxeC_PycurhTbGFA/edit?usp=sharing"",""ขอนแก่น!J198"")"),4)</f>
        <v>4</v>
      </c>
      <c r="AB33" s="216">
        <f t="shared" ca="1" si="104"/>
        <v>100</v>
      </c>
      <c r="AC33" s="152">
        <f ca="1">IFERROR(__xludf.DUMMYFUNCTION("IMPORTRANGE(""https://docs.google.com/spreadsheets/d/1aHkj4IaQMThhwWwevcOymEh837vdxeC_PycurhTbGFA/edit?usp=sharing"",""ขอนแก่น!J199"")"),0)</f>
        <v>0</v>
      </c>
      <c r="AD33" s="152">
        <f ca="1">IFERROR(__xludf.DUMMYFUNCTION("IMPORTRANGE(""https://docs.google.com/spreadsheets/d/1aHkj4IaQMThhwWwevcOymEh837vdxeC_PycurhTbGFA/edit?usp=sharing"",""ขอนแก่น!J200"")"),0)</f>
        <v>0</v>
      </c>
      <c r="AE33" s="152">
        <f ca="1">IFERROR(__xludf.DUMMYFUNCTION("IMPORTRANGE(""https://docs.google.com/spreadsheets/d/1aHkj4IaQMThhwWwevcOymEh837vdxeC_PycurhTbGFA/edit?usp=sharing"",""ขอนแก่น!J201"")"),0)</f>
        <v>0</v>
      </c>
      <c r="AF33" s="152">
        <f ca="1">IFERROR(__xludf.DUMMYFUNCTION("IMPORTRANGE(""https://docs.google.com/spreadsheets/d/1aHkj4IaQMThhwWwevcOymEh837vdxeC_PycurhTbGFA/edit?usp=sharing"",""ขอนแก่น!L204"")"),3000)</f>
        <v>3000</v>
      </c>
      <c r="AG33" s="152">
        <f ca="1">IFERROR(__xludf.DUMMYFUNCTION("IMPORTRANGE(""https://docs.google.com/spreadsheets/d/1aHkj4IaQMThhwWwevcOymEh837vdxeC_PycurhTbGFA/edit?usp=sharing"",""ขอนแก่น!N204"")"),0)</f>
        <v>0</v>
      </c>
      <c r="AH33" s="216">
        <f t="shared" ca="1" si="106"/>
        <v>0</v>
      </c>
      <c r="AI33" s="152">
        <f ca="1">IFERROR(__xludf.DUMMYFUNCTION("IMPORTRANGE(""https://docs.google.com/spreadsheets/d/1aHkj4IaQMThhwWwevcOymEh837vdxeC_PycurhTbGFA/edit?usp=sharing"",""ขอนแก่น!L206"")"),0)</f>
        <v>0</v>
      </c>
      <c r="AJ33" s="152">
        <f ca="1">IFERROR(__xludf.DUMMYFUNCTION("IMPORTRANGE(""https://docs.google.com/spreadsheets/d/1aHkj4IaQMThhwWwevcOymEh837vdxeC_PycurhTbGFA/edit?usp=sharing"",""ขอนแก่น!N206"")"),0)</f>
        <v>0</v>
      </c>
      <c r="AK33" s="216">
        <f t="shared" ca="1" si="108"/>
        <v>0</v>
      </c>
      <c r="AL33" s="152">
        <f ca="1">IFERROR(__xludf.DUMMYFUNCTION("IMPORTRANGE(""https://docs.google.com/spreadsheets/d/1aHkj4IaQMThhwWwevcOymEh837vdxeC_PycurhTbGFA/edit?usp=sharing"",""ขอนแก่น!Q206"")"),42000)</f>
        <v>42000</v>
      </c>
      <c r="AM33" s="152">
        <f ca="1">IFERROR(__xludf.DUMMYFUNCTION("IMPORTRANGE(""https://docs.google.com/spreadsheets/d/1aHkj4IaQMThhwWwevcOymEh837vdxeC_PycurhTbGFA/edit?usp=sharing"",""ขอนแก่น!S206"")"),0)</f>
        <v>0</v>
      </c>
      <c r="AN33" s="216">
        <f t="shared" ca="1" si="110"/>
        <v>0</v>
      </c>
      <c r="AO33" s="152">
        <f ca="1">IFERROR(__xludf.DUMMYFUNCTION("IMPORTRANGE(""https://docs.google.com/spreadsheets/d/1aHkj4IaQMThhwWwevcOymEh837vdxeC_PycurhTbGFA/edit?usp=sharing"",""ขอนแก่น!L207"")"),12000)</f>
        <v>12000</v>
      </c>
      <c r="AP33" s="152">
        <f ca="1">IFERROR(__xludf.DUMMYFUNCTION("IMPORTRANGE(""https://docs.google.com/spreadsheets/d/1aHkj4IaQMThhwWwevcOymEh837vdxeC_PycurhTbGFA/edit?usp=sharing"",""ขอนแก่น!N207"")"),0)</f>
        <v>0</v>
      </c>
      <c r="AQ33" s="216">
        <f t="shared" ca="1" si="112"/>
        <v>0</v>
      </c>
      <c r="AR33" s="152">
        <f ca="1">IFERROR(__xludf.DUMMYFUNCTION("IMPORTRANGE(""https://docs.google.com/spreadsheets/d/1aHkj4IaQMThhwWwevcOymEh837vdxeC_PycurhTbGFA/edit?usp=sharing"",""ขอนแก่น!I209"")"),3)</f>
        <v>3</v>
      </c>
      <c r="AS33" s="152">
        <f ca="1">IFERROR(__xludf.DUMMYFUNCTION("IMPORTRANGE(""https://docs.google.com/spreadsheets/d/1aHkj4IaQMThhwWwevcOymEh837vdxeC_PycurhTbGFA/edit?usp=sharing"",""ขอนแก่น!J209"")"),3)</f>
        <v>3</v>
      </c>
      <c r="AT33" s="216">
        <f t="shared" ca="1" si="114"/>
        <v>100</v>
      </c>
      <c r="AU33" s="152">
        <f ca="1">IFERROR(__xludf.DUMMYFUNCTION("IMPORTRANGE(""https://docs.google.com/spreadsheets/d/1aHkj4IaQMThhwWwevcOymEh837vdxeC_PycurhTbGFA/edit?usp=sharing"",""ขอนแก่น!J211"")"),3)</f>
        <v>3</v>
      </c>
      <c r="AV33" s="152">
        <f ca="1">IFERROR(__xludf.DUMMYFUNCTION("IMPORTRANGE(""https://docs.google.com/spreadsheets/d/1aHkj4IaQMThhwWwevcOymEh837vdxeC_PycurhTbGFA/edit?usp=sharing"",""ขอนแก่น!J212"")"),0)</f>
        <v>0</v>
      </c>
      <c r="AW33" s="152">
        <f ca="1">IFERROR(__xludf.DUMMYFUNCTION("IMPORTRANGE(""https://docs.google.com/spreadsheets/d/1aHkj4IaQMThhwWwevcOymEh837vdxeC_PycurhTbGFA/edit?usp=sharing"",""ขอนแก่น!L215"")"),0)</f>
        <v>0</v>
      </c>
      <c r="AX33" s="152">
        <f ca="1">IFERROR(__xludf.DUMMYFUNCTION("IMPORTRANGE(""https://docs.google.com/spreadsheets/d/1aHkj4IaQMThhwWwevcOymEh837vdxeC_PycurhTbGFA/edit?usp=sharing"",""ขอนแก่น!N215"")"),0)</f>
        <v>0</v>
      </c>
      <c r="AY33" s="216">
        <f t="shared" ca="1" si="116"/>
        <v>0</v>
      </c>
      <c r="AZ33" s="152">
        <f ca="1">IFERROR(__xludf.DUMMYFUNCTION("IMPORTRANGE(""https://docs.google.com/spreadsheets/d/1aHkj4IaQMThhwWwevcOymEh837vdxeC_PycurhTbGFA/edit?usp=sharing"",""ขอนแก่น!L216"")"),0)</f>
        <v>0</v>
      </c>
      <c r="BA33" s="152">
        <f ca="1">IFERROR(__xludf.DUMMYFUNCTION("IMPORTRANGE(""https://docs.google.com/spreadsheets/d/1aHkj4IaQMThhwWwevcOymEh837vdxeC_PycurhTbGFA/edit?usp=sharing"",""ขอนแก่น!N216"")"),0)</f>
        <v>0</v>
      </c>
      <c r="BB33" s="216">
        <f t="shared" ca="1" si="118"/>
        <v>0</v>
      </c>
      <c r="BC33" s="152">
        <f ca="1">IFERROR(__xludf.DUMMYFUNCTION("IMPORTRANGE(""https://docs.google.com/spreadsheets/d/1aHkj4IaQMThhwWwevcOymEh837vdxeC_PycurhTbGFA/edit?usp=sharing"",""ขอนแก่น!L217"")"),0)</f>
        <v>0</v>
      </c>
      <c r="BD33" s="152">
        <f ca="1">IFERROR(__xludf.DUMMYFUNCTION("IMPORTRANGE(""https://docs.google.com/spreadsheets/d/1aHkj4IaQMThhwWwevcOymEh837vdxeC_PycurhTbGFA/edit?usp=sharing"",""ขอนแก่น!N217"")"),0)</f>
        <v>0</v>
      </c>
      <c r="BE33" s="216">
        <f t="shared" ca="1" si="120"/>
        <v>0</v>
      </c>
      <c r="BF33" s="152">
        <f ca="1">IFERROR(__xludf.DUMMYFUNCTION("IMPORTRANGE(""https://docs.google.com/spreadsheets/d/1aHkj4IaQMThhwWwevcOymEh837vdxeC_PycurhTbGFA/edit?usp=sharing"",""ขอนแก่น!Q217"")"),0)</f>
        <v>0</v>
      </c>
      <c r="BG33" s="152">
        <f ca="1">IFERROR(__xludf.DUMMYFUNCTION("IMPORTRANGE(""https://docs.google.com/spreadsheets/d/1aHkj4IaQMThhwWwevcOymEh837vdxeC_PycurhTbGFA/edit?usp=sharing"",""ขอนแก่น!S217"")"),0)</f>
        <v>0</v>
      </c>
      <c r="BH33" s="216">
        <f t="shared" ca="1" si="122"/>
        <v>0</v>
      </c>
      <c r="BI33" s="152">
        <f ca="1">IFERROR(__xludf.DUMMYFUNCTION("IMPORTRANGE(""https://docs.google.com/spreadsheets/d/1aHkj4IaQMThhwWwevcOymEh837vdxeC_PycurhTbGFA/edit?usp=sharing"",""ขอนแก่น!I219"")"),0)</f>
        <v>0</v>
      </c>
      <c r="BJ33" s="152">
        <f ca="1">IFERROR(__xludf.DUMMYFUNCTION("IMPORTRANGE(""https://docs.google.com/spreadsheets/d/1aHkj4IaQMThhwWwevcOymEh837vdxeC_PycurhTbGFA/edit?usp=sharing"",""ขอนแก่น!J219"")"),0)</f>
        <v>0</v>
      </c>
      <c r="BK33" s="216">
        <f t="shared" ca="1" si="124"/>
        <v>0</v>
      </c>
      <c r="BL33" s="152">
        <f ca="1">IFERROR(__xludf.DUMMYFUNCTION("IMPORTRANGE(""https://docs.google.com/spreadsheets/d/1aHkj4IaQMThhwWwevcOymEh837vdxeC_PycurhTbGFA/edit?usp=sharing"",""ขอนแก่น!I220"")"),0)</f>
        <v>0</v>
      </c>
      <c r="BM33" s="152">
        <f ca="1">IFERROR(__xludf.DUMMYFUNCTION("IMPORTRANGE(""https://docs.google.com/spreadsheets/d/1aHkj4IaQMThhwWwevcOymEh837vdxeC_PycurhTbGFA/edit?usp=sharing"",""ขอนแก่น!J220"")"),0)</f>
        <v>0</v>
      </c>
      <c r="BN33" s="216">
        <f t="shared" ca="1" si="126"/>
        <v>0</v>
      </c>
      <c r="BO33" s="152">
        <f ca="1">IFERROR(__xludf.DUMMYFUNCTION("IMPORTRANGE(""https://docs.google.com/spreadsheets/d/1aHkj4IaQMThhwWwevcOymEh837vdxeC_PycurhTbGFA/edit?usp=sharing"",""ขอนแก่น!L223"")"),2500)</f>
        <v>2500</v>
      </c>
      <c r="BP33" s="152">
        <f ca="1">IFERROR(__xludf.DUMMYFUNCTION("IMPORTRANGE(""https://docs.google.com/spreadsheets/d/1aHkj4IaQMThhwWwevcOymEh837vdxeC_PycurhTbGFA/edit?usp=sharing"",""ขอนแก่น!N223"")"),2500)</f>
        <v>2500</v>
      </c>
      <c r="BQ33" s="216">
        <f t="shared" ca="1" si="128"/>
        <v>100</v>
      </c>
      <c r="BR33" s="152">
        <f ca="1">IFERROR(__xludf.DUMMYFUNCTION("IMPORTRANGE(""https://docs.google.com/spreadsheets/d/1aHkj4IaQMThhwWwevcOymEh837vdxeC_PycurhTbGFA/edit?usp=sharing"",""ขอนแก่น!L224"")"),6000)</f>
        <v>6000</v>
      </c>
      <c r="BS33" s="152">
        <f ca="1">IFERROR(__xludf.DUMMYFUNCTION("IMPORTRANGE(""https://docs.google.com/spreadsheets/d/1aHkj4IaQMThhwWwevcOymEh837vdxeC_PycurhTbGFA/edit?usp=sharing"",""ขอนแก่น!N224"")"),6000)</f>
        <v>6000</v>
      </c>
      <c r="BT33" s="216">
        <f t="shared" ca="1" si="130"/>
        <v>100</v>
      </c>
      <c r="BU33" s="152">
        <f ca="1">IFERROR(__xludf.DUMMYFUNCTION("IMPORTRANGE(""https://docs.google.com/spreadsheets/d/1aHkj4IaQMThhwWwevcOymEh837vdxeC_PycurhTbGFA/edit?usp=sharing"",""ขอนแก่น!I228"")"),50000)</f>
        <v>50000</v>
      </c>
      <c r="BV33" s="152">
        <f ca="1">IFERROR(__xludf.DUMMYFUNCTION("IMPORTRANGE(""https://docs.google.com/spreadsheets/d/1aHkj4IaQMThhwWwevcOymEh837vdxeC_PycurhTbGFA/edit?usp=sharing"",""ขอนแก่น!J228"")"),50000)</f>
        <v>50000</v>
      </c>
      <c r="BW33" s="216">
        <f t="shared" ca="1" si="132"/>
        <v>100</v>
      </c>
      <c r="BX33" s="152">
        <f ca="1">IFERROR(__xludf.DUMMYFUNCTION("IMPORTRANGE(""https://docs.google.com/spreadsheets/d/1aHkj4IaQMThhwWwevcOymEh837vdxeC_PycurhTbGFA/edit?usp=sharing"",""ขอนแก่น!I229"")"),50000)</f>
        <v>50000</v>
      </c>
      <c r="BY33" s="152">
        <f ca="1">IFERROR(__xludf.DUMMYFUNCTION("IMPORTRANGE(""https://docs.google.com/spreadsheets/d/1aHkj4IaQMThhwWwevcOymEh837vdxeC_PycurhTbGFA/edit?usp=sharing"",""ขอนแก่น!J229"")"),50000)</f>
        <v>50000</v>
      </c>
      <c r="BZ33" s="216">
        <f t="shared" ca="1" si="134"/>
        <v>100</v>
      </c>
      <c r="CA33" s="152">
        <f ca="1">IFERROR(__xludf.DUMMYFUNCTION("IMPORTRANGE(""https://docs.google.com/spreadsheets/d/1aHkj4IaQMThhwWwevcOymEh837vdxeC_PycurhTbGFA/edit?usp=sharing"",""ขอนแก่น!I230"")"),0)</f>
        <v>0</v>
      </c>
      <c r="CB33" s="152">
        <f ca="1">IFERROR(__xludf.DUMMYFUNCTION("IMPORTRANGE(""https://docs.google.com/spreadsheets/d/1aHkj4IaQMThhwWwevcOymEh837vdxeC_PycurhTbGFA/edit?usp=sharing"",""ขอนแก่น!J230"")"),0)</f>
        <v>0</v>
      </c>
      <c r="CC33" s="216">
        <f t="shared" ca="1" si="136"/>
        <v>0</v>
      </c>
      <c r="CD33" s="152">
        <f ca="1">IFERROR(__xludf.DUMMYFUNCTION("IMPORTRANGE(""https://docs.google.com/spreadsheets/d/1aHkj4IaQMThhwWwevcOymEh837vdxeC_PycurhTbGFA/edit?usp=sharing"",""ขอนแก่น!L233"")"),0)</f>
        <v>0</v>
      </c>
      <c r="CE33" s="152">
        <f ca="1">IFERROR(__xludf.DUMMYFUNCTION("IMPORTRANGE(""https://docs.google.com/spreadsheets/d/1aHkj4IaQMThhwWwevcOymEh837vdxeC_PycurhTbGFA/edit?usp=sharing"",""ขอนแก่น!N233"")"),0)</f>
        <v>0</v>
      </c>
      <c r="CF33" s="216">
        <f t="shared" ca="1" si="138"/>
        <v>0</v>
      </c>
      <c r="CG33" s="152">
        <f ca="1">IFERROR(__xludf.DUMMYFUNCTION("IMPORTRANGE(""https://docs.google.com/spreadsheets/d/1aHkj4IaQMThhwWwevcOymEh837vdxeC_PycurhTbGFA/edit?usp=sharing"",""ขอนแก่น!L234"")"),0)</f>
        <v>0</v>
      </c>
      <c r="CH33" s="152">
        <f ca="1">IFERROR(__xludf.DUMMYFUNCTION("IMPORTRANGE(""https://docs.google.com/spreadsheets/d/1aHkj4IaQMThhwWwevcOymEh837vdxeC_PycurhTbGFA/edit?usp=sharing"",""ขอนแก่น!N234"")"),0)</f>
        <v>0</v>
      </c>
      <c r="CI33" s="216">
        <f t="shared" ca="1" si="140"/>
        <v>0</v>
      </c>
      <c r="CJ33" s="152">
        <f ca="1">IFERROR(__xludf.DUMMYFUNCTION("IMPORTRANGE(""https://docs.google.com/spreadsheets/d/1aHkj4IaQMThhwWwevcOymEh837vdxeC_PycurhTbGFA/edit?usp=sharing"",""ขอนแก่น!L235"")"),0)</f>
        <v>0</v>
      </c>
      <c r="CK33" s="152">
        <f ca="1">IFERROR(__xludf.DUMMYFUNCTION("IMPORTRANGE(""https://docs.google.com/spreadsheets/d/1aHkj4IaQMThhwWwevcOymEh837vdxeC_PycurhTbGFA/edit?usp=sharing"",""ขอนแก่น!N235"")"),0)</f>
        <v>0</v>
      </c>
      <c r="CL33" s="216">
        <f t="shared" ca="1" si="142"/>
        <v>0</v>
      </c>
      <c r="CM33" s="251">
        <f ca="1">IFERROR(__xludf.DUMMYFUNCTION("IMPORTRANGE(""https://docs.google.com/spreadsheets/d/1aHkj4IaQMThhwWwevcOymEh837vdxeC_PycurhTbGFA/edit?usp=sharing"",""ขอนแก่น!Q235"")"),0)</f>
        <v>0</v>
      </c>
      <c r="CN33" s="251">
        <f ca="1">IFERROR(__xludf.DUMMYFUNCTION("IMPORTRANGE(""https://docs.google.com/spreadsheets/d/1aHkj4IaQMThhwWwevcOymEh837vdxeC_PycurhTbGFA/edit?usp=sharing"",""ขอนแก่น!S235"")"),0)</f>
        <v>0</v>
      </c>
      <c r="CO33" s="216">
        <f t="shared" ca="1" si="144"/>
        <v>0</v>
      </c>
      <c r="CP33" s="152">
        <f ca="1">IFERROR(__xludf.DUMMYFUNCTION("IMPORTRANGE(""https://docs.google.com/spreadsheets/d/1aHkj4IaQMThhwWwevcOymEh837vdxeC_PycurhTbGFA/edit?usp=sharing"",""ขอนแก่น!L236"")"),0)</f>
        <v>0</v>
      </c>
      <c r="CQ33" s="152">
        <f ca="1">IFERROR(__xludf.DUMMYFUNCTION("IMPORTRANGE(""https://docs.google.com/spreadsheets/d/1aHkj4IaQMThhwWwevcOymEh837vdxeC_PycurhTbGFA/edit?usp=sharing"",""ขอนแก่น!N236"")"),0)</f>
        <v>0</v>
      </c>
      <c r="CR33" s="216">
        <f t="shared" ca="1" si="146"/>
        <v>0</v>
      </c>
      <c r="CS33" s="152">
        <f ca="1">IFERROR(__xludf.DUMMYFUNCTION("IMPORTRANGE(""https://docs.google.com/spreadsheets/d/1aHkj4IaQMThhwWwevcOymEh837vdxeC_PycurhTbGFA/edit?usp=sharing"",""ขอนแก่น!I238"")"),0)</f>
        <v>0</v>
      </c>
      <c r="CT33" s="152">
        <f ca="1">IFERROR(__xludf.DUMMYFUNCTION("IMPORTRANGE(""https://docs.google.com/spreadsheets/d/1aHkj4IaQMThhwWwevcOymEh837vdxeC_PycurhTbGFA/edit?usp=sharing"",""ขอนแก่น!J238"")"),0)</f>
        <v>0</v>
      </c>
      <c r="CU33" s="216">
        <f t="shared" ca="1" si="148"/>
        <v>0</v>
      </c>
      <c r="CV33" s="152">
        <f ca="1">IFERROR(__xludf.DUMMYFUNCTION("IMPORTRANGE(""https://docs.google.com/spreadsheets/d/1aHkj4IaQMThhwWwevcOymEh837vdxeC_PycurhTbGFA/edit?usp=sharing"",""ขอนแก่น!J240"")"),0)</f>
        <v>0</v>
      </c>
      <c r="CW33" s="152">
        <f ca="1">IFERROR(__xludf.DUMMYFUNCTION("IMPORTRANGE(""https://docs.google.com/spreadsheets/d/1aHkj4IaQMThhwWwevcOymEh837vdxeC_PycurhTbGFA/edit?usp=sharing"",""ขอนแก่น!J241"")"),0)</f>
        <v>0</v>
      </c>
    </row>
    <row r="34" spans="1:101" ht="21" customHeight="1" x14ac:dyDescent="0.3">
      <c r="A34" s="147">
        <v>3</v>
      </c>
      <c r="B34" s="148" t="s">
        <v>62</v>
      </c>
      <c r="C34" s="149">
        <f t="shared" ca="1" si="90"/>
        <v>211500</v>
      </c>
      <c r="D34" s="150">
        <f t="shared" ca="1" si="178"/>
        <v>211500</v>
      </c>
      <c r="E34" s="151">
        <f ca="1">IFERROR(__xludf.DUMMYFUNCTION("IMPORTRANGE(""https://docs.google.com/spreadsheets/d/1-uDff_7J0KD5mKrp0Vvzr7lt3OU09vwQwhkpOPPYv2Y/edit?usp=sharing"",""งบพรบ!CV34"")"),182000)</f>
        <v>182000</v>
      </c>
      <c r="F34" s="151">
        <f ca="1">IFERROR(__xludf.DUMMYFUNCTION("IMPORTRANGE(""https://docs.google.com/spreadsheets/d/1-uDff_7J0KD5mKrp0Vvzr7lt3OU09vwQwhkpOPPYv2Y/edit?usp=sharing"",""งบพรบ!CW34"")"),29500)</f>
        <v>29500</v>
      </c>
      <c r="G34" s="151">
        <f ca="1">IFERROR(__xludf.DUMMYFUNCTION("IMPORTRANGE(""https://docs.google.com/spreadsheets/d/1-uDff_7J0KD5mKrp0Vvzr7lt3OU09vwQwhkpOPPYv2Y/edit?usp=sharing"",""งบพรบ!CX34"")"),0)</f>
        <v>0</v>
      </c>
      <c r="H34" s="151">
        <f ca="1">IFERROR(__xludf.DUMMYFUNCTION("IMPORTRANGE(""https://docs.google.com/spreadsheets/d/1-uDff_7J0KD5mKrp0Vvzr7lt3OU09vwQwhkpOPPYv2Y/edit?usp=sharing"",""งบพรบ!CZ34"")"),213500)</f>
        <v>213500</v>
      </c>
      <c r="I34" s="151">
        <f ca="1">IFERROR(__xludf.DUMMYFUNCTION("IMPORTRANGE(""https://docs.google.com/spreadsheets/d/1-uDff_7J0KD5mKrp0Vvzr7lt3OU09vwQwhkpOPPYv2Y/edit?usp=sharing"",""งบพรบ!DA34"")"),0)</f>
        <v>0</v>
      </c>
      <c r="J34" s="151">
        <f t="shared" ca="1" si="92"/>
        <v>171733.5</v>
      </c>
      <c r="K34" s="154">
        <f t="shared" ca="1" si="93"/>
        <v>81.197872340425533</v>
      </c>
      <c r="L34" s="151">
        <f ca="1">IFERROR(__xludf.DUMMYFUNCTION("IMPORTRANGE(""https://docs.google.com/spreadsheets/d/1-uDff_7J0KD5mKrp0Vvzr7lt3OU09vwQwhkpOPPYv2Y/edit?usp=sharing"",""งบพรบ!DB34"")"),171733.5)</f>
        <v>171733.5</v>
      </c>
      <c r="M34" s="68">
        <f t="shared" ca="1" si="94"/>
        <v>81.197872340425533</v>
      </c>
      <c r="N34" s="68">
        <f t="shared" ca="1" si="95"/>
        <v>80.437236533957844</v>
      </c>
      <c r="O34" s="67">
        <f ca="1">IFERROR(__xludf.DUMMYFUNCTION("IMPORTRANGE(""https://docs.google.com/spreadsheets/d/1-uDff_7J0KD5mKrp0Vvzr7lt3OU09vwQwhkpOPPYv2Y/edit?usp=sharing"",""งบพรบ!DC34"")"),0)</f>
        <v>0</v>
      </c>
      <c r="P34" s="67">
        <f t="shared" ca="1" si="96"/>
        <v>0</v>
      </c>
      <c r="Q34" s="68">
        <f t="shared" ca="1" si="97"/>
        <v>0</v>
      </c>
      <c r="R34" s="67">
        <f ca="1">IFERROR(__xludf.DUMMYFUNCTION("IMPORTRANGE(""https://docs.google.com/spreadsheets/d/1FvTu2DsIWUjP6WCWra38Bkj_oOl_sOMf14r5Fg5srxU/edit?usp=sharing"",""ชัยภูมิ!Q186"")"),42000)</f>
        <v>42000</v>
      </c>
      <c r="S34" s="67">
        <f ca="1">IFERROR(__xludf.DUMMYFUNCTION("IMPORTRANGE(""https://docs.google.com/spreadsheets/d/1FvTu2DsIWUjP6WCWra38Bkj_oOl_sOMf14r5Fg5srxU/edit?usp=sharing"",""ชัยภูมิ!R186"")"),42000)</f>
        <v>42000</v>
      </c>
      <c r="T34" s="67">
        <f ca="1">IFERROR(__xludf.DUMMYFUNCTION("IMPORTRANGE(""https://docs.google.com/spreadsheets/d/1FvTu2DsIWUjP6WCWra38Bkj_oOl_sOMf14r5Fg5srxU/edit?usp=sharing"",""ชัยภูมิ!S186"")"),41627.5)</f>
        <v>41627.5</v>
      </c>
      <c r="U34" s="68">
        <f t="shared" ca="1" si="99"/>
        <v>99.113095238095241</v>
      </c>
      <c r="V34" s="68">
        <f t="shared" ca="1" si="100"/>
        <v>99.113095238095241</v>
      </c>
      <c r="W34" s="152">
        <f ca="1">IFERROR(__xludf.DUMMYFUNCTION("IMPORTRANGE(""https://docs.google.com/spreadsheets/d/1FvTu2DsIWUjP6WCWra38Bkj_oOl_sOMf14r5Fg5srxU/edit?usp=sharing"",""ชัยภูมิ!L196"")"),6000)</f>
        <v>6000</v>
      </c>
      <c r="X34" s="152">
        <f ca="1">IFERROR(__xludf.DUMMYFUNCTION("IMPORTRANGE(""https://docs.google.com/spreadsheets/d/1FvTu2DsIWUjP6WCWra38Bkj_oOl_sOMf14r5Fg5srxU/edit?usp=sharing"",""ชัยภูมิ!N196"")"),3540)</f>
        <v>3540</v>
      </c>
      <c r="Y34" s="216">
        <f t="shared" ca="1" si="102"/>
        <v>59</v>
      </c>
      <c r="Z34" s="152">
        <f ca="1">IFERROR(__xludf.DUMMYFUNCTION("IMPORTRANGE(""https://docs.google.com/spreadsheets/d/1FvTu2DsIWUjP6WCWra38Bkj_oOl_sOMf14r5Fg5srxU/edit?usp=sharing"",""ชัยภูมิ!I198"")"),4)</f>
        <v>4</v>
      </c>
      <c r="AA34" s="152">
        <f ca="1">IFERROR(__xludf.DUMMYFUNCTION("IMPORTRANGE(""https://docs.google.com/spreadsheets/d/1FvTu2DsIWUjP6WCWra38Bkj_oOl_sOMf14r5Fg5srxU/edit?usp=sharing"",""ชัยภูมิ!J198"")"),4)</f>
        <v>4</v>
      </c>
      <c r="AB34" s="216">
        <f t="shared" ca="1" si="104"/>
        <v>100</v>
      </c>
      <c r="AC34" s="152">
        <f ca="1">IFERROR(__xludf.DUMMYFUNCTION("IMPORTRANGE(""https://docs.google.com/spreadsheets/d/1FvTu2DsIWUjP6WCWra38Bkj_oOl_sOMf14r5Fg5srxU/edit?usp=sharing"",""ชัยภูมิ!J199"")"),87)</f>
        <v>87</v>
      </c>
      <c r="AD34" s="152">
        <f ca="1">IFERROR(__xludf.DUMMYFUNCTION("IMPORTRANGE(""https://docs.google.com/spreadsheets/d/1FvTu2DsIWUjP6WCWra38Bkj_oOl_sOMf14r5Fg5srxU/edit?usp=sharing"",""ชัยภูมิ!J200"")"),87)</f>
        <v>87</v>
      </c>
      <c r="AE34" s="152">
        <f ca="1">IFERROR(__xludf.DUMMYFUNCTION("IMPORTRANGE(""https://docs.google.com/spreadsheets/d/1FvTu2DsIWUjP6WCWra38Bkj_oOl_sOMf14r5Fg5srxU/edit?usp=sharing"",""ชัยภูมิ!J201"")"),0)</f>
        <v>0</v>
      </c>
      <c r="AF34" s="152">
        <f ca="1">IFERROR(__xludf.DUMMYFUNCTION("IMPORTRANGE(""https://docs.google.com/spreadsheets/d/1FvTu2DsIWUjP6WCWra38Bkj_oOl_sOMf14r5Fg5srxU/edit?usp=sharing"",""ชัยภูมิ!L204"")"),3000)</f>
        <v>3000</v>
      </c>
      <c r="AG34" s="152">
        <f ca="1">IFERROR(__xludf.DUMMYFUNCTION("IMPORTRANGE(""https://docs.google.com/spreadsheets/d/1FvTu2DsIWUjP6WCWra38Bkj_oOl_sOMf14r5Fg5srxU/edit?usp=sharing"",""ชัยภูมิ!N204"")"),0)</f>
        <v>0</v>
      </c>
      <c r="AH34" s="216">
        <f t="shared" ca="1" si="106"/>
        <v>0</v>
      </c>
      <c r="AI34" s="152">
        <f ca="1">IFERROR(__xludf.DUMMYFUNCTION("IMPORTRANGE(""https://docs.google.com/spreadsheets/d/1FvTu2DsIWUjP6WCWra38Bkj_oOl_sOMf14r5Fg5srxU/edit?usp=sharing"",""ชัยภูมิ!L206"")"),0)</f>
        <v>0</v>
      </c>
      <c r="AJ34" s="152">
        <f ca="1">IFERROR(__xludf.DUMMYFUNCTION("IMPORTRANGE(""https://docs.google.com/spreadsheets/d/1FvTu2DsIWUjP6WCWra38Bkj_oOl_sOMf14r5Fg5srxU/edit?usp=sharing"",""ชัยภูมิ!N206"")"),0)</f>
        <v>0</v>
      </c>
      <c r="AK34" s="216">
        <f t="shared" ca="1" si="108"/>
        <v>0</v>
      </c>
      <c r="AL34" s="152">
        <f ca="1">IFERROR(__xludf.DUMMYFUNCTION("IMPORTRANGE(""https://docs.google.com/spreadsheets/d/1FvTu2DsIWUjP6WCWra38Bkj_oOl_sOMf14r5Fg5srxU/edit?usp=sharing"",""ชัยภูมิ!Q206"")"),42000)</f>
        <v>42000</v>
      </c>
      <c r="AM34" s="152">
        <f ca="1">IFERROR(__xludf.DUMMYFUNCTION("IMPORTRANGE(""https://docs.google.com/spreadsheets/d/1FvTu2DsIWUjP6WCWra38Bkj_oOl_sOMf14r5Fg5srxU/edit?usp=sharing"",""ชัยภูมิ!S206"")"),41627.5)</f>
        <v>41627.5</v>
      </c>
      <c r="AN34" s="216">
        <f t="shared" ca="1" si="110"/>
        <v>99.113095238095241</v>
      </c>
      <c r="AO34" s="152">
        <f ca="1">IFERROR(__xludf.DUMMYFUNCTION("IMPORTRANGE(""https://docs.google.com/spreadsheets/d/1FvTu2DsIWUjP6WCWra38Bkj_oOl_sOMf14r5Fg5srxU/edit?usp=sharing"",""ชัยภูมิ!L207"")"),12000)</f>
        <v>12000</v>
      </c>
      <c r="AP34" s="152">
        <f ca="1">IFERROR(__xludf.DUMMYFUNCTION("IMPORTRANGE(""https://docs.google.com/spreadsheets/d/1FvTu2DsIWUjP6WCWra38Bkj_oOl_sOMf14r5Fg5srxU/edit?usp=sharing"",""ชัยภูมิ!N207"")"),5020)</f>
        <v>5020</v>
      </c>
      <c r="AQ34" s="216">
        <f t="shared" ca="1" si="112"/>
        <v>41.833333333333336</v>
      </c>
      <c r="AR34" s="152">
        <f ca="1">IFERROR(__xludf.DUMMYFUNCTION("IMPORTRANGE(""https://docs.google.com/spreadsheets/d/1FvTu2DsIWUjP6WCWra38Bkj_oOl_sOMf14r5Fg5srxU/edit?usp=sharing"",""ชัยภูมิ!I209"")"),3)</f>
        <v>3</v>
      </c>
      <c r="AS34" s="152">
        <f ca="1">IFERROR(__xludf.DUMMYFUNCTION("IMPORTRANGE(""https://docs.google.com/spreadsheets/d/1FvTu2DsIWUjP6WCWra38Bkj_oOl_sOMf14r5Fg5srxU/edit?usp=sharing"",""ชัยภูมิ!J209"")"),3)</f>
        <v>3</v>
      </c>
      <c r="AT34" s="216">
        <f t="shared" ca="1" si="114"/>
        <v>100</v>
      </c>
      <c r="AU34" s="152">
        <f ca="1">IFERROR(__xludf.DUMMYFUNCTION("IMPORTRANGE(""https://docs.google.com/spreadsheets/d/1FvTu2DsIWUjP6WCWra38Bkj_oOl_sOMf14r5Fg5srxU/edit?usp=sharing"",""ชัยภูมิ!J211"")"),2)</f>
        <v>2</v>
      </c>
      <c r="AV34" s="152">
        <f ca="1">IFERROR(__xludf.DUMMYFUNCTION("IMPORTRANGE(""https://docs.google.com/spreadsheets/d/1FvTu2DsIWUjP6WCWra38Bkj_oOl_sOMf14r5Fg5srxU/edit?usp=sharing"",""ชัยภูมิ!J212"")"),0)</f>
        <v>0</v>
      </c>
      <c r="AW34" s="152">
        <f ca="1">IFERROR(__xludf.DUMMYFUNCTION("IMPORTRANGE(""https://docs.google.com/spreadsheets/d/1FvTu2DsIWUjP6WCWra38Bkj_oOl_sOMf14r5Fg5srxU/edit?usp=sharing"",""ชัยภูมิ!L215"")"),0)</f>
        <v>0</v>
      </c>
      <c r="AX34" s="152">
        <f ca="1">IFERROR(__xludf.DUMMYFUNCTION("IMPORTRANGE(""https://docs.google.com/spreadsheets/d/1FvTu2DsIWUjP6WCWra38Bkj_oOl_sOMf14r5Fg5srxU/edit?usp=sharing"",""ชัยภูมิ!N215"")"),0)</f>
        <v>0</v>
      </c>
      <c r="AY34" s="216">
        <f t="shared" ca="1" si="116"/>
        <v>0</v>
      </c>
      <c r="AZ34" s="152">
        <f ca="1">IFERROR(__xludf.DUMMYFUNCTION("IMPORTRANGE(""https://docs.google.com/spreadsheets/d/1FvTu2DsIWUjP6WCWra38Bkj_oOl_sOMf14r5Fg5srxU/edit?usp=sharing"",""ชัยภูมิ!L216"")"),0)</f>
        <v>0</v>
      </c>
      <c r="BA34" s="152">
        <f ca="1">IFERROR(__xludf.DUMMYFUNCTION("IMPORTRANGE(""https://docs.google.com/spreadsheets/d/1FvTu2DsIWUjP6WCWra38Bkj_oOl_sOMf14r5Fg5srxU/edit?usp=sharing"",""ชัยภูมิ!N216"")"),0)</f>
        <v>0</v>
      </c>
      <c r="BB34" s="216">
        <f t="shared" ca="1" si="118"/>
        <v>0</v>
      </c>
      <c r="BC34" s="152">
        <f ca="1">IFERROR(__xludf.DUMMYFUNCTION("IMPORTRANGE(""https://docs.google.com/spreadsheets/d/1FvTu2DsIWUjP6WCWra38Bkj_oOl_sOMf14r5Fg5srxU/edit?usp=sharing"",""ชัยภูมิ!L217"")"),0)</f>
        <v>0</v>
      </c>
      <c r="BD34" s="152">
        <f ca="1">IFERROR(__xludf.DUMMYFUNCTION("IMPORTRANGE(""https://docs.google.com/spreadsheets/d/1FvTu2DsIWUjP6WCWra38Bkj_oOl_sOMf14r5Fg5srxU/edit?usp=sharing"",""ชัยภูมิ!N217"")"),0)</f>
        <v>0</v>
      </c>
      <c r="BE34" s="216">
        <f t="shared" ca="1" si="120"/>
        <v>0</v>
      </c>
      <c r="BF34" s="152">
        <f ca="1">IFERROR(__xludf.DUMMYFUNCTION("IMPORTRANGE(""https://docs.google.com/spreadsheets/d/1FvTu2DsIWUjP6WCWra38Bkj_oOl_sOMf14r5Fg5srxU/edit?usp=sharing"",""ชัยภูมิ!Q217"")"),0)</f>
        <v>0</v>
      </c>
      <c r="BG34" s="152">
        <f ca="1">IFERROR(__xludf.DUMMYFUNCTION("IMPORTRANGE(""https://docs.google.com/spreadsheets/d/1FvTu2DsIWUjP6WCWra38Bkj_oOl_sOMf14r5Fg5srxU/edit?usp=sharing"",""ชัยภูมิ!S217"")"),0)</f>
        <v>0</v>
      </c>
      <c r="BH34" s="216">
        <f t="shared" ca="1" si="122"/>
        <v>0</v>
      </c>
      <c r="BI34" s="152">
        <f ca="1">IFERROR(__xludf.DUMMYFUNCTION("IMPORTRANGE(""https://docs.google.com/spreadsheets/d/1FvTu2DsIWUjP6WCWra38Bkj_oOl_sOMf14r5Fg5srxU/edit?usp=sharing"",""ชัยภูมิ!I219"")"),0)</f>
        <v>0</v>
      </c>
      <c r="BJ34" s="152">
        <f ca="1">IFERROR(__xludf.DUMMYFUNCTION("IMPORTRANGE(""https://docs.google.com/spreadsheets/d/1FvTu2DsIWUjP6WCWra38Bkj_oOl_sOMf14r5Fg5srxU/edit?usp=sharing"",""ชัยภูมิ!J219"")"),0)</f>
        <v>0</v>
      </c>
      <c r="BK34" s="216">
        <f t="shared" ca="1" si="124"/>
        <v>0</v>
      </c>
      <c r="BL34" s="152">
        <f ca="1">IFERROR(__xludf.DUMMYFUNCTION("IMPORTRANGE(""https://docs.google.com/spreadsheets/d/1FvTu2DsIWUjP6WCWra38Bkj_oOl_sOMf14r5Fg5srxU/edit?usp=sharing"",""ชัยภูมิ!I220"")"),0)</f>
        <v>0</v>
      </c>
      <c r="BM34" s="152">
        <f ca="1">IFERROR(__xludf.DUMMYFUNCTION("IMPORTRANGE(""https://docs.google.com/spreadsheets/d/1FvTu2DsIWUjP6WCWra38Bkj_oOl_sOMf14r5Fg5srxU/edit?usp=sharing"",""ชัยภูมิ!J220"")"),0)</f>
        <v>0</v>
      </c>
      <c r="BN34" s="216">
        <f t="shared" ca="1" si="126"/>
        <v>0</v>
      </c>
      <c r="BO34" s="152">
        <f ca="1">IFERROR(__xludf.DUMMYFUNCTION("IMPORTRANGE(""https://docs.google.com/spreadsheets/d/1FvTu2DsIWUjP6WCWra38Bkj_oOl_sOMf14r5Fg5srxU/edit?usp=sharing"",""ชัยภูมิ!L223"")"),2500)</f>
        <v>2500</v>
      </c>
      <c r="BP34" s="152">
        <f ca="1">IFERROR(__xludf.DUMMYFUNCTION("IMPORTRANGE(""https://docs.google.com/spreadsheets/d/1FvTu2DsIWUjP6WCWra38Bkj_oOl_sOMf14r5Fg5srxU/edit?usp=sharing"",""ชัยภูมิ!N223"")"),0)</f>
        <v>0</v>
      </c>
      <c r="BQ34" s="216">
        <f t="shared" ca="1" si="128"/>
        <v>0</v>
      </c>
      <c r="BR34" s="152">
        <f ca="1">IFERROR(__xludf.DUMMYFUNCTION("IMPORTRANGE(""https://docs.google.com/spreadsheets/d/1FvTu2DsIWUjP6WCWra38Bkj_oOl_sOMf14r5Fg5srxU/edit?usp=sharing"",""ชัยภูมิ!L224"")"),6000)</f>
        <v>6000</v>
      </c>
      <c r="BS34" s="152">
        <f ca="1">IFERROR(__xludf.DUMMYFUNCTION("IMPORTRANGE(""https://docs.google.com/spreadsheets/d/1FvTu2DsIWUjP6WCWra38Bkj_oOl_sOMf14r5Fg5srxU/edit?usp=sharing"",""ชัยภูมิ!N224"")"),1860)</f>
        <v>1860</v>
      </c>
      <c r="BT34" s="216">
        <f t="shared" ca="1" si="130"/>
        <v>31</v>
      </c>
      <c r="BU34" s="152">
        <f ca="1">IFERROR(__xludf.DUMMYFUNCTION("IMPORTRANGE(""https://docs.google.com/spreadsheets/d/1FvTu2DsIWUjP6WCWra38Bkj_oOl_sOMf14r5Fg5srxU/edit?usp=sharing"",""ชัยภูมิ!I228"")"),50000)</f>
        <v>50000</v>
      </c>
      <c r="BV34" s="152">
        <f ca="1">IFERROR(__xludf.DUMMYFUNCTION("IMPORTRANGE(""https://docs.google.com/spreadsheets/d/1FvTu2DsIWUjP6WCWra38Bkj_oOl_sOMf14r5Fg5srxU/edit?usp=sharing"",""ชัยภูมิ!J228"")"),50000)</f>
        <v>50000</v>
      </c>
      <c r="BW34" s="216">
        <f t="shared" ca="1" si="132"/>
        <v>100</v>
      </c>
      <c r="BX34" s="152">
        <f ca="1">IFERROR(__xludf.DUMMYFUNCTION("IMPORTRANGE(""https://docs.google.com/spreadsheets/d/1FvTu2DsIWUjP6WCWra38Bkj_oOl_sOMf14r5Fg5srxU/edit?usp=sharing"",""ชัยภูมิ!I229"")"),50000)</f>
        <v>50000</v>
      </c>
      <c r="BY34" s="152">
        <f ca="1">IFERROR(__xludf.DUMMYFUNCTION("IMPORTRANGE(""https://docs.google.com/spreadsheets/d/1FvTu2DsIWUjP6WCWra38Bkj_oOl_sOMf14r5Fg5srxU/edit?usp=sharing"",""ชัยภูมิ!J229"")"),50000)</f>
        <v>50000</v>
      </c>
      <c r="BZ34" s="216">
        <f t="shared" ca="1" si="134"/>
        <v>100</v>
      </c>
      <c r="CA34" s="152">
        <f ca="1">IFERROR(__xludf.DUMMYFUNCTION("IMPORTRANGE(""https://docs.google.com/spreadsheets/d/1FvTu2DsIWUjP6WCWra38Bkj_oOl_sOMf14r5Fg5srxU/edit?usp=sharing"",""ชัยภูมิ!I230"")"),0)</f>
        <v>0</v>
      </c>
      <c r="CB34" s="152">
        <f ca="1">IFERROR(__xludf.DUMMYFUNCTION("IMPORTRANGE(""https://docs.google.com/spreadsheets/d/1FvTu2DsIWUjP6WCWra38Bkj_oOl_sOMf14r5Fg5srxU/edit?usp=sharing"",""ชัยภูมิ!J230"")"),0)</f>
        <v>0</v>
      </c>
      <c r="CC34" s="216">
        <f t="shared" ca="1" si="136"/>
        <v>0</v>
      </c>
      <c r="CD34" s="152">
        <f ca="1">IFERROR(__xludf.DUMMYFUNCTION("IMPORTRANGE(""https://docs.google.com/spreadsheets/d/1FvTu2DsIWUjP6WCWra38Bkj_oOl_sOMf14r5Fg5srxU/edit?usp=sharing"",""ชัยภูมิ!L233"")"),0)</f>
        <v>0</v>
      </c>
      <c r="CE34" s="152">
        <f ca="1">IFERROR(__xludf.DUMMYFUNCTION("IMPORTRANGE(""https://docs.google.com/spreadsheets/d/1FvTu2DsIWUjP6WCWra38Bkj_oOl_sOMf14r5Fg5srxU/edit?usp=sharing"",""ชัยภูมิ!N233"")"),0)</f>
        <v>0</v>
      </c>
      <c r="CF34" s="216">
        <f t="shared" ca="1" si="138"/>
        <v>0</v>
      </c>
      <c r="CG34" s="152">
        <f ca="1">IFERROR(__xludf.DUMMYFUNCTION("IMPORTRANGE(""https://docs.google.com/spreadsheets/d/1FvTu2DsIWUjP6WCWra38Bkj_oOl_sOMf14r5Fg5srxU/edit?usp=sharing"",""ชัยภูมิ!L234"")"),0)</f>
        <v>0</v>
      </c>
      <c r="CH34" s="152">
        <f ca="1">IFERROR(__xludf.DUMMYFUNCTION("IMPORTRANGE(""https://docs.google.com/spreadsheets/d/1FvTu2DsIWUjP6WCWra38Bkj_oOl_sOMf14r5Fg5srxU/edit?usp=sharing"",""ชัยภูมิ!N234"")"),0)</f>
        <v>0</v>
      </c>
      <c r="CI34" s="216">
        <f t="shared" ca="1" si="140"/>
        <v>0</v>
      </c>
      <c r="CJ34" s="152">
        <f ca="1">IFERROR(__xludf.DUMMYFUNCTION("IMPORTRANGE(""https://docs.google.com/spreadsheets/d/1FvTu2DsIWUjP6WCWra38Bkj_oOl_sOMf14r5Fg5srxU/edit?usp=sharing"",""ชัยภูมิ!L235"")"),0)</f>
        <v>0</v>
      </c>
      <c r="CK34" s="152">
        <f ca="1">IFERROR(__xludf.DUMMYFUNCTION("IMPORTRANGE(""https://docs.google.com/spreadsheets/d/1FvTu2DsIWUjP6WCWra38Bkj_oOl_sOMf14r5Fg5srxU/edit?usp=sharing"",""ชัยภูมิ!N235"")"),0)</f>
        <v>0</v>
      </c>
      <c r="CL34" s="216">
        <f t="shared" ca="1" si="142"/>
        <v>0</v>
      </c>
      <c r="CM34" s="251">
        <f ca="1">IFERROR(__xludf.DUMMYFUNCTION("IMPORTRANGE(""https://docs.google.com/spreadsheets/d/1FvTu2DsIWUjP6WCWra38Bkj_oOl_sOMf14r5Fg5srxU/edit?usp=sharing"",""ชัยภูมิ!Q235"")"),0)</f>
        <v>0</v>
      </c>
      <c r="CN34" s="251">
        <f ca="1">IFERROR(__xludf.DUMMYFUNCTION("IMPORTRANGE(""https://docs.google.com/spreadsheets/d/1FvTu2DsIWUjP6WCWra38Bkj_oOl_sOMf14r5Fg5srxU/edit?usp=sharing"",""ชัยภูมิ!S235"")"),0)</f>
        <v>0</v>
      </c>
      <c r="CO34" s="216">
        <f t="shared" ca="1" si="144"/>
        <v>0</v>
      </c>
      <c r="CP34" s="152">
        <f ca="1">IFERROR(__xludf.DUMMYFUNCTION("IMPORTRANGE(""https://docs.google.com/spreadsheets/d/1FvTu2DsIWUjP6WCWra38Bkj_oOl_sOMf14r5Fg5srxU/edit?usp=sharing"",""ชัยภูมิ!L236"")"),0)</f>
        <v>0</v>
      </c>
      <c r="CQ34" s="152">
        <f ca="1">IFERROR(__xludf.DUMMYFUNCTION("IMPORTRANGE(""https://docs.google.com/spreadsheets/d/1FvTu2DsIWUjP6WCWra38Bkj_oOl_sOMf14r5Fg5srxU/edit?usp=sharing"",""ชัยภูมิ!N236"")"),0)</f>
        <v>0</v>
      </c>
      <c r="CR34" s="216">
        <f t="shared" ca="1" si="146"/>
        <v>0</v>
      </c>
      <c r="CS34" s="152">
        <f ca="1">IFERROR(__xludf.DUMMYFUNCTION("IMPORTRANGE(""https://docs.google.com/spreadsheets/d/1FvTu2DsIWUjP6WCWra38Bkj_oOl_sOMf14r5Fg5srxU/edit?usp=sharing"",""ชัยภูมิ!I238"")"),0)</f>
        <v>0</v>
      </c>
      <c r="CT34" s="152">
        <f ca="1">IFERROR(__xludf.DUMMYFUNCTION("IMPORTRANGE(""https://docs.google.com/spreadsheets/d/1FvTu2DsIWUjP6WCWra38Bkj_oOl_sOMf14r5Fg5srxU/edit?usp=sharing"",""ชัยภูมิ!J238"")"),0)</f>
        <v>0</v>
      </c>
      <c r="CU34" s="216">
        <f t="shared" ca="1" si="148"/>
        <v>0</v>
      </c>
      <c r="CV34" s="152">
        <f ca="1">IFERROR(__xludf.DUMMYFUNCTION("IMPORTRANGE(""https://docs.google.com/spreadsheets/d/1FvTu2DsIWUjP6WCWra38Bkj_oOl_sOMf14r5Fg5srxU/edit?usp=sharing"",""ชัยภูมิ!J240"")"),0)</f>
        <v>0</v>
      </c>
      <c r="CW34" s="152">
        <f ca="1">IFERROR(__xludf.DUMMYFUNCTION("IMPORTRANGE(""https://docs.google.com/spreadsheets/d/1FvTu2DsIWUjP6WCWra38Bkj_oOl_sOMf14r5Fg5srxU/edit?usp=sharing"",""ชัยภูมิ!J241"")"),0)</f>
        <v>0</v>
      </c>
    </row>
    <row r="35" spans="1:101" ht="21" customHeight="1" x14ac:dyDescent="0.3">
      <c r="A35" s="147">
        <v>4</v>
      </c>
      <c r="B35" s="148" t="s">
        <v>63</v>
      </c>
      <c r="C35" s="149">
        <f t="shared" ca="1" si="90"/>
        <v>31500</v>
      </c>
      <c r="D35" s="150">
        <f t="shared" ca="1" si="178"/>
        <v>31500</v>
      </c>
      <c r="E35" s="151">
        <f ca="1">IFERROR(__xludf.DUMMYFUNCTION("IMPORTRANGE(""https://docs.google.com/spreadsheets/d/1-uDff_7J0KD5mKrp0Vvzr7lt3OU09vwQwhkpOPPYv2Y/edit?usp=sharing"",""งบพรบ!CV35"")"),0)</f>
        <v>0</v>
      </c>
      <c r="F35" s="151">
        <f ca="1">IFERROR(__xludf.DUMMYFUNCTION("IMPORTRANGE(""https://docs.google.com/spreadsheets/d/1-uDff_7J0KD5mKrp0Vvzr7lt3OU09vwQwhkpOPPYv2Y/edit?usp=sharing"",""งบพรบ!CW35"")"),31500)</f>
        <v>31500</v>
      </c>
      <c r="G35" s="151">
        <f ca="1">IFERROR(__xludf.DUMMYFUNCTION("IMPORTRANGE(""https://docs.google.com/spreadsheets/d/1-uDff_7J0KD5mKrp0Vvzr7lt3OU09vwQwhkpOPPYv2Y/edit?usp=sharing"",""งบพรบ!CX35"")"),0)</f>
        <v>0</v>
      </c>
      <c r="H35" s="151">
        <f ca="1">IFERROR(__xludf.DUMMYFUNCTION("IMPORTRANGE(""https://docs.google.com/spreadsheets/d/1-uDff_7J0KD5mKrp0Vvzr7lt3OU09vwQwhkpOPPYv2Y/edit?usp=sharing"",""งบพรบ!CZ35"")"),33500)</f>
        <v>33500</v>
      </c>
      <c r="I35" s="151">
        <f ca="1">IFERROR(__xludf.DUMMYFUNCTION("IMPORTRANGE(""https://docs.google.com/spreadsheets/d/1-uDff_7J0KD5mKrp0Vvzr7lt3OU09vwQwhkpOPPYv2Y/edit?usp=sharing"",""งบพรบ!DA35"")"),0)</f>
        <v>0</v>
      </c>
      <c r="J35" s="151">
        <f t="shared" ca="1" si="92"/>
        <v>30100</v>
      </c>
      <c r="K35" s="154">
        <f t="shared" ca="1" si="93"/>
        <v>95.555555555555557</v>
      </c>
      <c r="L35" s="151">
        <f ca="1">IFERROR(__xludf.DUMMYFUNCTION("IMPORTRANGE(""https://docs.google.com/spreadsheets/d/1-uDff_7J0KD5mKrp0Vvzr7lt3OU09vwQwhkpOPPYv2Y/edit?usp=sharing"",""งบพรบ!DB35"")"),30100)</f>
        <v>30100</v>
      </c>
      <c r="M35" s="68">
        <f t="shared" ca="1" si="94"/>
        <v>95.555555555555557</v>
      </c>
      <c r="N35" s="68">
        <f t="shared" ca="1" si="95"/>
        <v>89.850746268656721</v>
      </c>
      <c r="O35" s="67">
        <f ca="1">IFERROR(__xludf.DUMMYFUNCTION("IMPORTRANGE(""https://docs.google.com/spreadsheets/d/1-uDff_7J0KD5mKrp0Vvzr7lt3OU09vwQwhkpOPPYv2Y/edit?usp=sharing"",""งบพรบ!DC35"")"),0)</f>
        <v>0</v>
      </c>
      <c r="P35" s="67">
        <f t="shared" ca="1" si="96"/>
        <v>0</v>
      </c>
      <c r="Q35" s="68">
        <f t="shared" ca="1" si="97"/>
        <v>0</v>
      </c>
      <c r="R35" s="67">
        <f ca="1">IFERROR(__xludf.DUMMYFUNCTION("IMPORTRANGE(""https://docs.google.com/spreadsheets/d/1XVB7oCJ3pr-vBUdflwPQ8Z2LlzhnCvZaaYjAfP-647E/edit?usp=sharing"",""นครพนม!Q186"")"),91700)</f>
        <v>91700</v>
      </c>
      <c r="S35" s="67">
        <f ca="1">IFERROR(__xludf.DUMMYFUNCTION("IMPORTRANGE(""https://docs.google.com/spreadsheets/d/1XVB7oCJ3pr-vBUdflwPQ8Z2LlzhnCvZaaYjAfP-647E/edit?usp=sharing"",""นครพนม!R186"")"),91700)</f>
        <v>91700</v>
      </c>
      <c r="T35" s="67">
        <f ca="1">IFERROR(__xludf.DUMMYFUNCTION("IMPORTRANGE(""https://docs.google.com/spreadsheets/d/1XVB7oCJ3pr-vBUdflwPQ8Z2LlzhnCvZaaYjAfP-647E/edit?usp=sharing"",""นครพนม!S186"")"),91700)</f>
        <v>91700</v>
      </c>
      <c r="U35" s="68">
        <f t="shared" ca="1" si="99"/>
        <v>100</v>
      </c>
      <c r="V35" s="68">
        <f t="shared" ca="1" si="100"/>
        <v>100</v>
      </c>
      <c r="W35" s="152">
        <f ca="1">IFERROR(__xludf.DUMMYFUNCTION("IMPORTRANGE(""https://docs.google.com/spreadsheets/d/1XVB7oCJ3pr-vBUdflwPQ8Z2LlzhnCvZaaYjAfP-647E/edit?usp=sharing"",""นครพนม!L196"")"),6000)</f>
        <v>6000</v>
      </c>
      <c r="X35" s="152">
        <f ca="1">IFERROR(__xludf.DUMMYFUNCTION("IMPORTRANGE(""https://docs.google.com/spreadsheets/d/1XVB7oCJ3pr-vBUdflwPQ8Z2LlzhnCvZaaYjAfP-647E/edit?usp=sharing"",""นครพนม!N196"")"),0)</f>
        <v>0</v>
      </c>
      <c r="Y35" s="216">
        <f t="shared" ca="1" si="102"/>
        <v>0</v>
      </c>
      <c r="Z35" s="152">
        <f ca="1">IFERROR(__xludf.DUMMYFUNCTION("IMPORTRANGE(""https://docs.google.com/spreadsheets/d/1XVB7oCJ3pr-vBUdflwPQ8Z2LlzhnCvZaaYjAfP-647E/edit?usp=sharing"",""นครพนม!I198"")"),4)</f>
        <v>4</v>
      </c>
      <c r="AA35" s="152">
        <f ca="1">IFERROR(__xludf.DUMMYFUNCTION("IMPORTRANGE(""https://docs.google.com/spreadsheets/d/1XVB7oCJ3pr-vBUdflwPQ8Z2LlzhnCvZaaYjAfP-647E/edit?usp=sharing"",""นครพนม!J198"")"),4)</f>
        <v>4</v>
      </c>
      <c r="AB35" s="216">
        <f t="shared" ca="1" si="104"/>
        <v>100</v>
      </c>
      <c r="AC35" s="152">
        <f ca="1">IFERROR(__xludf.DUMMYFUNCTION("IMPORTRANGE(""https://docs.google.com/spreadsheets/d/1XVB7oCJ3pr-vBUdflwPQ8Z2LlzhnCvZaaYjAfP-647E/edit?usp=sharing"",""นครพนม!J199"")"),0)</f>
        <v>0</v>
      </c>
      <c r="AD35" s="152">
        <f ca="1">IFERROR(__xludf.DUMMYFUNCTION("IMPORTRANGE(""https://docs.google.com/spreadsheets/d/1XVB7oCJ3pr-vBUdflwPQ8Z2LlzhnCvZaaYjAfP-647E/edit?usp=sharing"",""นครพนม!J200"")"),0)</f>
        <v>0</v>
      </c>
      <c r="AE35" s="152">
        <f ca="1">IFERROR(__xludf.DUMMYFUNCTION("IMPORTRANGE(""https://docs.google.com/spreadsheets/d/1XVB7oCJ3pr-vBUdflwPQ8Z2LlzhnCvZaaYjAfP-647E/edit?usp=sharing"",""นครพนม!J201"")"),0)</f>
        <v>0</v>
      </c>
      <c r="AF35" s="152">
        <f ca="1">IFERROR(__xludf.DUMMYFUNCTION("IMPORTRANGE(""https://docs.google.com/spreadsheets/d/1XVB7oCJ3pr-vBUdflwPQ8Z2LlzhnCvZaaYjAfP-647E/edit?usp=sharing"",""นครพนม!L204"")"),3000)</f>
        <v>3000</v>
      </c>
      <c r="AG35" s="152">
        <f ca="1">IFERROR(__xludf.DUMMYFUNCTION("IMPORTRANGE(""https://docs.google.com/spreadsheets/d/1XVB7oCJ3pr-vBUdflwPQ8Z2LlzhnCvZaaYjAfP-647E/edit?usp=sharing"",""นครพนม!N204"")"),3000)</f>
        <v>3000</v>
      </c>
      <c r="AH35" s="216">
        <f t="shared" ca="1" si="106"/>
        <v>100</v>
      </c>
      <c r="AI35" s="152">
        <f ca="1">IFERROR(__xludf.DUMMYFUNCTION("IMPORTRANGE(""https://docs.google.com/spreadsheets/d/1XVB7oCJ3pr-vBUdflwPQ8Z2LlzhnCvZaaYjAfP-647E/edit?usp=sharing"",""นครพนม!L206"")"),0)</f>
        <v>0</v>
      </c>
      <c r="AJ35" s="152">
        <f ca="1">IFERROR(__xludf.DUMMYFUNCTION("IMPORTRANGE(""https://docs.google.com/spreadsheets/d/1XVB7oCJ3pr-vBUdflwPQ8Z2LlzhnCvZaaYjAfP-647E/edit?usp=sharing"",""นครพนม!N206"")"),0)</f>
        <v>0</v>
      </c>
      <c r="AK35" s="216">
        <f t="shared" ca="1" si="108"/>
        <v>0</v>
      </c>
      <c r="AL35" s="152">
        <f ca="1">IFERROR(__xludf.DUMMYFUNCTION("IMPORTRANGE(""https://docs.google.com/spreadsheets/d/1XVB7oCJ3pr-vBUdflwPQ8Z2LlzhnCvZaaYjAfP-647E/edit?usp=sharing"",""นครพนม!Q206"")"),42000)</f>
        <v>42000</v>
      </c>
      <c r="AM35" s="152">
        <f ca="1">IFERROR(__xludf.DUMMYFUNCTION("IMPORTRANGE(""https://docs.google.com/spreadsheets/d/1XVB7oCJ3pr-vBUdflwPQ8Z2LlzhnCvZaaYjAfP-647E/edit?usp=sharing"",""นครพนม!S206"")"),42000)</f>
        <v>42000</v>
      </c>
      <c r="AN35" s="216">
        <f t="shared" ca="1" si="110"/>
        <v>100</v>
      </c>
      <c r="AO35" s="152">
        <f ca="1">IFERROR(__xludf.DUMMYFUNCTION("IMPORTRANGE(""https://docs.google.com/spreadsheets/d/1XVB7oCJ3pr-vBUdflwPQ8Z2LlzhnCvZaaYjAfP-647E/edit?usp=sharing"",""นครพนม!L207"")"),12000)</f>
        <v>12000</v>
      </c>
      <c r="AP35" s="152">
        <f ca="1">IFERROR(__xludf.DUMMYFUNCTION("IMPORTRANGE(""https://docs.google.com/spreadsheets/d/1XVB7oCJ3pr-vBUdflwPQ8Z2LlzhnCvZaaYjAfP-647E/edit?usp=sharing"",""นครพนม!N207"")"),12000)</f>
        <v>12000</v>
      </c>
      <c r="AQ35" s="216">
        <f t="shared" ca="1" si="112"/>
        <v>100</v>
      </c>
      <c r="AR35" s="152">
        <f ca="1">IFERROR(__xludf.DUMMYFUNCTION("IMPORTRANGE(""https://docs.google.com/spreadsheets/d/1XVB7oCJ3pr-vBUdflwPQ8Z2LlzhnCvZaaYjAfP-647E/edit?usp=sharing"",""นครพนม!I209"")"),3)</f>
        <v>3</v>
      </c>
      <c r="AS35" s="152">
        <f ca="1">IFERROR(__xludf.DUMMYFUNCTION("IMPORTRANGE(""https://docs.google.com/spreadsheets/d/1XVB7oCJ3pr-vBUdflwPQ8Z2LlzhnCvZaaYjAfP-647E/edit?usp=sharing"",""นครพนม!J209"")"),3)</f>
        <v>3</v>
      </c>
      <c r="AT35" s="216">
        <f t="shared" ca="1" si="114"/>
        <v>100</v>
      </c>
      <c r="AU35" s="152">
        <f ca="1">IFERROR(__xludf.DUMMYFUNCTION("IMPORTRANGE(""https://docs.google.com/spreadsheets/d/1XVB7oCJ3pr-vBUdflwPQ8Z2LlzhnCvZaaYjAfP-647E/edit?usp=sharing"",""นครพนม!J211"")"),3)</f>
        <v>3</v>
      </c>
      <c r="AV35" s="152">
        <f ca="1">IFERROR(__xludf.DUMMYFUNCTION("IMPORTRANGE(""https://docs.google.com/spreadsheets/d/1XVB7oCJ3pr-vBUdflwPQ8Z2LlzhnCvZaaYjAfP-647E/edit?usp=sharing"",""นครพนม!J212"")"),0)</f>
        <v>0</v>
      </c>
      <c r="AW35" s="152">
        <f ca="1">IFERROR(__xludf.DUMMYFUNCTION("IMPORTRANGE(""https://docs.google.com/spreadsheets/d/1XVB7oCJ3pr-vBUdflwPQ8Z2LlzhnCvZaaYjAfP-647E/edit?usp=sharing"",""นครพนม!L215"")"),1000)</f>
        <v>1000</v>
      </c>
      <c r="AX35" s="152">
        <f ca="1">IFERROR(__xludf.DUMMYFUNCTION("IMPORTRANGE(""https://docs.google.com/spreadsheets/d/1XVB7oCJ3pr-vBUdflwPQ8Z2LlzhnCvZaaYjAfP-647E/edit?usp=sharing"",""นครพนม!N215"")"),1000)</f>
        <v>1000</v>
      </c>
      <c r="AY35" s="216">
        <f t="shared" ca="1" si="116"/>
        <v>100</v>
      </c>
      <c r="AZ35" s="152">
        <f ca="1">IFERROR(__xludf.DUMMYFUNCTION("IMPORTRANGE(""https://docs.google.com/spreadsheets/d/1XVB7oCJ3pr-vBUdflwPQ8Z2LlzhnCvZaaYjAfP-647E/edit?usp=sharing"",""นครพนม!L216"")"),5000)</f>
        <v>5000</v>
      </c>
      <c r="BA35" s="152">
        <f ca="1">IFERROR(__xludf.DUMMYFUNCTION("IMPORTRANGE(""https://docs.google.com/spreadsheets/d/1XVB7oCJ3pr-vBUdflwPQ8Z2LlzhnCvZaaYjAfP-647E/edit?usp=sharing"",""นครพนม!N216"")"),5000)</f>
        <v>5000</v>
      </c>
      <c r="BB35" s="216">
        <f t="shared" ca="1" si="118"/>
        <v>100</v>
      </c>
      <c r="BC35" s="152">
        <f ca="1">IFERROR(__xludf.DUMMYFUNCTION("IMPORTRANGE(""https://docs.google.com/spreadsheets/d/1XVB7oCJ3pr-vBUdflwPQ8Z2LlzhnCvZaaYjAfP-647E/edit?usp=sharing"",""นครพนม!L217"")"),0)</f>
        <v>0</v>
      </c>
      <c r="BD35" s="152">
        <f ca="1">IFERROR(__xludf.DUMMYFUNCTION("IMPORTRANGE(""https://docs.google.com/spreadsheets/d/1XVB7oCJ3pr-vBUdflwPQ8Z2LlzhnCvZaaYjAfP-647E/edit?usp=sharing"",""นครพนม!N217"")"),0)</f>
        <v>0</v>
      </c>
      <c r="BE35" s="216">
        <f t="shared" ca="1" si="120"/>
        <v>0</v>
      </c>
      <c r="BF35" s="152">
        <f ca="1">IFERROR(__xludf.DUMMYFUNCTION("IMPORTRANGE(""https://docs.google.com/spreadsheets/d/1XVB7oCJ3pr-vBUdflwPQ8Z2LlzhnCvZaaYjAfP-647E/edit?usp=sharing"",""นครพนม!Q217"")"),49700)</f>
        <v>49700</v>
      </c>
      <c r="BG35" s="152">
        <f ca="1">IFERROR(__xludf.DUMMYFUNCTION("IMPORTRANGE(""https://docs.google.com/spreadsheets/d/1XVB7oCJ3pr-vBUdflwPQ8Z2LlzhnCvZaaYjAfP-647E/edit?usp=sharing"",""นครพนม!S217"")"),49700)</f>
        <v>49700</v>
      </c>
      <c r="BH35" s="216">
        <f t="shared" ca="1" si="122"/>
        <v>100</v>
      </c>
      <c r="BI35" s="152">
        <f ca="1">IFERROR(__xludf.DUMMYFUNCTION("IMPORTRANGE(""https://docs.google.com/spreadsheets/d/1XVB7oCJ3pr-vBUdflwPQ8Z2LlzhnCvZaaYjAfP-647E/edit?usp=sharing"",""นครพนม!I219"")"),1)</f>
        <v>1</v>
      </c>
      <c r="BJ35" s="152">
        <f ca="1">IFERROR(__xludf.DUMMYFUNCTION("IMPORTRANGE(""https://docs.google.com/spreadsheets/d/1XVB7oCJ3pr-vBUdflwPQ8Z2LlzhnCvZaaYjAfP-647E/edit?usp=sharing"",""นครพนม!J219"")"),1)</f>
        <v>1</v>
      </c>
      <c r="BK35" s="216">
        <f t="shared" ca="1" si="124"/>
        <v>100</v>
      </c>
      <c r="BL35" s="152">
        <f ca="1">IFERROR(__xludf.DUMMYFUNCTION("IMPORTRANGE(""https://docs.google.com/spreadsheets/d/1XVB7oCJ3pr-vBUdflwPQ8Z2LlzhnCvZaaYjAfP-647E/edit?usp=sharing"",""นครพนม!I220"")"),1)</f>
        <v>1</v>
      </c>
      <c r="BM35" s="152">
        <f ca="1">IFERROR(__xludf.DUMMYFUNCTION("IMPORTRANGE(""https://docs.google.com/spreadsheets/d/1XVB7oCJ3pr-vBUdflwPQ8Z2LlzhnCvZaaYjAfP-647E/edit?usp=sharing"",""นครพนม!J220"")"),1)</f>
        <v>1</v>
      </c>
      <c r="BN35" s="216">
        <f t="shared" ca="1" si="126"/>
        <v>100</v>
      </c>
      <c r="BO35" s="152">
        <f ca="1">IFERROR(__xludf.DUMMYFUNCTION("IMPORTRANGE(""https://docs.google.com/spreadsheets/d/1XVB7oCJ3pr-vBUdflwPQ8Z2LlzhnCvZaaYjAfP-647E/edit?usp=sharing"",""นครพนม!L223"")"),2500)</f>
        <v>2500</v>
      </c>
      <c r="BP35" s="152">
        <f ca="1">IFERROR(__xludf.DUMMYFUNCTION("IMPORTRANGE(""https://docs.google.com/spreadsheets/d/1XVB7oCJ3pr-vBUdflwPQ8Z2LlzhnCvZaaYjAfP-647E/edit?usp=sharing"",""นครพนม!N223"")"),2500)</f>
        <v>2500</v>
      </c>
      <c r="BQ35" s="216">
        <f t="shared" ca="1" si="128"/>
        <v>100</v>
      </c>
      <c r="BR35" s="152">
        <f ca="1">IFERROR(__xludf.DUMMYFUNCTION("IMPORTRANGE(""https://docs.google.com/spreadsheets/d/1XVB7oCJ3pr-vBUdflwPQ8Z2LlzhnCvZaaYjAfP-647E/edit?usp=sharing"",""นครพนม!L224"")"),2000)</f>
        <v>2000</v>
      </c>
      <c r="BS35" s="152">
        <f ca="1">IFERROR(__xludf.DUMMYFUNCTION("IMPORTRANGE(""https://docs.google.com/spreadsheets/d/1XVB7oCJ3pr-vBUdflwPQ8Z2LlzhnCvZaaYjAfP-647E/edit?usp=sharing"",""นครพนม!N224"")"),2000)</f>
        <v>2000</v>
      </c>
      <c r="BT35" s="216">
        <f t="shared" ca="1" si="130"/>
        <v>100</v>
      </c>
      <c r="BU35" s="152">
        <f ca="1">IFERROR(__xludf.DUMMYFUNCTION("IMPORTRANGE(""https://docs.google.com/spreadsheets/d/1XVB7oCJ3pr-vBUdflwPQ8Z2LlzhnCvZaaYjAfP-647E/edit?usp=sharing"",""นครพนม!I228"")"),10000)</f>
        <v>10000</v>
      </c>
      <c r="BV35" s="152">
        <f ca="1">IFERROR(__xludf.DUMMYFUNCTION("IMPORTRANGE(""https://docs.google.com/spreadsheets/d/1XVB7oCJ3pr-vBUdflwPQ8Z2LlzhnCvZaaYjAfP-647E/edit?usp=sharing"",""นครพนม!J228"")"),10000)</f>
        <v>10000</v>
      </c>
      <c r="BW35" s="216">
        <f t="shared" ca="1" si="132"/>
        <v>100</v>
      </c>
      <c r="BX35" s="152">
        <f ca="1">IFERROR(__xludf.DUMMYFUNCTION("IMPORTRANGE(""https://docs.google.com/spreadsheets/d/1XVB7oCJ3pr-vBUdflwPQ8Z2LlzhnCvZaaYjAfP-647E/edit?usp=sharing"",""นครพนม!I229"")"),10000)</f>
        <v>10000</v>
      </c>
      <c r="BY35" s="152">
        <f ca="1">IFERROR(__xludf.DUMMYFUNCTION("IMPORTRANGE(""https://docs.google.com/spreadsheets/d/1XVB7oCJ3pr-vBUdflwPQ8Z2LlzhnCvZaaYjAfP-647E/edit?usp=sharing"",""นครพนม!J229"")"),10000)</f>
        <v>10000</v>
      </c>
      <c r="BZ35" s="216">
        <f t="shared" ca="1" si="134"/>
        <v>100</v>
      </c>
      <c r="CA35" s="152">
        <f ca="1">IFERROR(__xludf.DUMMYFUNCTION("IMPORTRANGE(""https://docs.google.com/spreadsheets/d/1XVB7oCJ3pr-vBUdflwPQ8Z2LlzhnCvZaaYjAfP-647E/edit?usp=sharing"",""นครพนม!I230"")"),0)</f>
        <v>0</v>
      </c>
      <c r="CB35" s="152">
        <f ca="1">IFERROR(__xludf.DUMMYFUNCTION("IMPORTRANGE(""https://docs.google.com/spreadsheets/d/1XVB7oCJ3pr-vBUdflwPQ8Z2LlzhnCvZaaYjAfP-647E/edit?usp=sharing"",""นครพนม!J230"")"),0)</f>
        <v>0</v>
      </c>
      <c r="CC35" s="216">
        <f t="shared" ca="1" si="136"/>
        <v>0</v>
      </c>
      <c r="CD35" s="152">
        <f ca="1">IFERROR(__xludf.DUMMYFUNCTION("IMPORTRANGE(""https://docs.google.com/spreadsheets/d/1XVB7oCJ3pr-vBUdflwPQ8Z2LlzhnCvZaaYjAfP-647E/edit?usp=sharing"",""นครพนม!L233"")"),0)</f>
        <v>0</v>
      </c>
      <c r="CE35" s="152">
        <f ca="1">IFERROR(__xludf.DUMMYFUNCTION("IMPORTRANGE(""https://docs.google.com/spreadsheets/d/1XVB7oCJ3pr-vBUdflwPQ8Z2LlzhnCvZaaYjAfP-647E/edit?usp=sharing"",""นครพนม!N233"")"),0)</f>
        <v>0</v>
      </c>
      <c r="CF35" s="216">
        <f t="shared" ca="1" si="138"/>
        <v>0</v>
      </c>
      <c r="CG35" s="152">
        <f ca="1">IFERROR(__xludf.DUMMYFUNCTION("IMPORTRANGE(""https://docs.google.com/spreadsheets/d/1XVB7oCJ3pr-vBUdflwPQ8Z2LlzhnCvZaaYjAfP-647E/edit?usp=sharing"",""นครพนม!L234"")"),0)</f>
        <v>0</v>
      </c>
      <c r="CH35" s="152">
        <f ca="1">IFERROR(__xludf.DUMMYFUNCTION("IMPORTRANGE(""https://docs.google.com/spreadsheets/d/1XVB7oCJ3pr-vBUdflwPQ8Z2LlzhnCvZaaYjAfP-647E/edit?usp=sharing"",""นครพนม!N234"")"),0)</f>
        <v>0</v>
      </c>
      <c r="CI35" s="216">
        <f t="shared" ca="1" si="140"/>
        <v>0</v>
      </c>
      <c r="CJ35" s="152">
        <f ca="1">IFERROR(__xludf.DUMMYFUNCTION("IMPORTRANGE(""https://docs.google.com/spreadsheets/d/1XVB7oCJ3pr-vBUdflwPQ8Z2LlzhnCvZaaYjAfP-647E/edit?usp=sharing"",""นครพนม!L235"")"),0)</f>
        <v>0</v>
      </c>
      <c r="CK35" s="152">
        <f ca="1">IFERROR(__xludf.DUMMYFUNCTION("IMPORTRANGE(""https://docs.google.com/spreadsheets/d/1XVB7oCJ3pr-vBUdflwPQ8Z2LlzhnCvZaaYjAfP-647E/edit?usp=sharing"",""นครพนม!N235"")"),0)</f>
        <v>0</v>
      </c>
      <c r="CL35" s="216">
        <f t="shared" ca="1" si="142"/>
        <v>0</v>
      </c>
      <c r="CM35" s="251">
        <f ca="1">IFERROR(__xludf.DUMMYFUNCTION("IMPORTRANGE(""https://docs.google.com/spreadsheets/d/1XVB7oCJ3pr-vBUdflwPQ8Z2LlzhnCvZaaYjAfP-647E/edit?usp=sharing"",""นครพนม!Q235"")"),0)</f>
        <v>0</v>
      </c>
      <c r="CN35" s="251">
        <f ca="1">IFERROR(__xludf.DUMMYFUNCTION("IMPORTRANGE(""https://docs.google.com/spreadsheets/d/1XVB7oCJ3pr-vBUdflwPQ8Z2LlzhnCvZaaYjAfP-647E/edit?usp=sharing"",""นครพนม!S235"")"),0)</f>
        <v>0</v>
      </c>
      <c r="CO35" s="216">
        <f t="shared" ca="1" si="144"/>
        <v>0</v>
      </c>
      <c r="CP35" s="152">
        <f ca="1">IFERROR(__xludf.DUMMYFUNCTION("IMPORTRANGE(""https://docs.google.com/spreadsheets/d/1XVB7oCJ3pr-vBUdflwPQ8Z2LlzhnCvZaaYjAfP-647E/edit?usp=sharing"",""นครพนม!L236"")"),0)</f>
        <v>0</v>
      </c>
      <c r="CQ35" s="152">
        <f ca="1">IFERROR(__xludf.DUMMYFUNCTION("IMPORTRANGE(""https://docs.google.com/spreadsheets/d/1XVB7oCJ3pr-vBUdflwPQ8Z2LlzhnCvZaaYjAfP-647E/edit?usp=sharing"",""นครพนม!N236"")"),0)</f>
        <v>0</v>
      </c>
      <c r="CR35" s="216">
        <f t="shared" ca="1" si="146"/>
        <v>0</v>
      </c>
      <c r="CS35" s="152">
        <f ca="1">IFERROR(__xludf.DUMMYFUNCTION("IMPORTRANGE(""https://docs.google.com/spreadsheets/d/1XVB7oCJ3pr-vBUdflwPQ8Z2LlzhnCvZaaYjAfP-647E/edit?usp=sharing"",""นครพนม!I238"")"),0)</f>
        <v>0</v>
      </c>
      <c r="CT35" s="152">
        <f ca="1">IFERROR(__xludf.DUMMYFUNCTION("IMPORTRANGE(""https://docs.google.com/spreadsheets/d/1XVB7oCJ3pr-vBUdflwPQ8Z2LlzhnCvZaaYjAfP-647E/edit?usp=sharing"",""นครพนม!J238"")"),0)</f>
        <v>0</v>
      </c>
      <c r="CU35" s="216">
        <f t="shared" ca="1" si="148"/>
        <v>0</v>
      </c>
      <c r="CV35" s="152">
        <f ca="1">IFERROR(__xludf.DUMMYFUNCTION("IMPORTRANGE(""https://docs.google.com/spreadsheets/d/1XVB7oCJ3pr-vBUdflwPQ8Z2LlzhnCvZaaYjAfP-647E/edit?usp=sharing"",""นครพนม!J240"")"),0)</f>
        <v>0</v>
      </c>
      <c r="CW35" s="152">
        <f ca="1">IFERROR(__xludf.DUMMYFUNCTION("IMPORTRANGE(""https://docs.google.com/spreadsheets/d/1XVB7oCJ3pr-vBUdflwPQ8Z2LlzhnCvZaaYjAfP-647E/edit?usp=sharing"",""นครพนม!J241"")"),0)</f>
        <v>0</v>
      </c>
    </row>
    <row r="36" spans="1:101" ht="21" customHeight="1" x14ac:dyDescent="0.3">
      <c r="A36" s="147">
        <v>5</v>
      </c>
      <c r="B36" s="148" t="s">
        <v>64</v>
      </c>
      <c r="C36" s="149">
        <f t="shared" ca="1" si="90"/>
        <v>223500</v>
      </c>
      <c r="D36" s="150">
        <f t="shared" ca="1" si="178"/>
        <v>223500</v>
      </c>
      <c r="E36" s="151">
        <f ca="1">IFERROR(__xludf.DUMMYFUNCTION("IMPORTRANGE(""https://docs.google.com/spreadsheets/d/1-uDff_7J0KD5mKrp0Vvzr7lt3OU09vwQwhkpOPPYv2Y/edit?usp=sharing"",""งบพรบ!CV36"")"),182000)</f>
        <v>182000</v>
      </c>
      <c r="F36" s="151">
        <f ca="1">IFERROR(__xludf.DUMMYFUNCTION("IMPORTRANGE(""https://docs.google.com/spreadsheets/d/1-uDff_7J0KD5mKrp0Vvzr7lt3OU09vwQwhkpOPPYv2Y/edit?usp=sharing"",""งบพรบ!CW36"")"),41500)</f>
        <v>41500</v>
      </c>
      <c r="G36" s="151">
        <f ca="1">IFERROR(__xludf.DUMMYFUNCTION("IMPORTRANGE(""https://docs.google.com/spreadsheets/d/1-uDff_7J0KD5mKrp0Vvzr7lt3OU09vwQwhkpOPPYv2Y/edit?usp=sharing"",""งบพรบ!CX36"")"),0)</f>
        <v>0</v>
      </c>
      <c r="H36" s="151">
        <f ca="1">IFERROR(__xludf.DUMMYFUNCTION("IMPORTRANGE(""https://docs.google.com/spreadsheets/d/1-uDff_7J0KD5mKrp0Vvzr7lt3OU09vwQwhkpOPPYv2Y/edit?usp=sharing"",""งบพรบ!CZ36"")"),229660)</f>
        <v>229660</v>
      </c>
      <c r="I36" s="151">
        <f ca="1">IFERROR(__xludf.DUMMYFUNCTION("IMPORTRANGE(""https://docs.google.com/spreadsheets/d/1-uDff_7J0KD5mKrp0Vvzr7lt3OU09vwQwhkpOPPYv2Y/edit?usp=sharing"",""งบพรบ!DA36"")"),0)</f>
        <v>0</v>
      </c>
      <c r="J36" s="151">
        <f t="shared" ca="1" si="92"/>
        <v>203504.01</v>
      </c>
      <c r="K36" s="154">
        <f t="shared" ca="1" si="93"/>
        <v>91.053248322147653</v>
      </c>
      <c r="L36" s="151">
        <f ca="1">IFERROR(__xludf.DUMMYFUNCTION("IMPORTRANGE(""https://docs.google.com/spreadsheets/d/1-uDff_7J0KD5mKrp0Vvzr7lt3OU09vwQwhkpOPPYv2Y/edit?usp=sharing"",""งบพรบ!DB36"")"),203504.01)</f>
        <v>203504.01</v>
      </c>
      <c r="M36" s="68">
        <f t="shared" ca="1" si="94"/>
        <v>91.053248322147653</v>
      </c>
      <c r="N36" s="68">
        <f t="shared" ca="1" si="95"/>
        <v>88.610994513628839</v>
      </c>
      <c r="O36" s="67">
        <f ca="1">IFERROR(__xludf.DUMMYFUNCTION("IMPORTRANGE(""https://docs.google.com/spreadsheets/d/1-uDff_7J0KD5mKrp0Vvzr7lt3OU09vwQwhkpOPPYv2Y/edit?usp=sharing"",""งบพรบ!DC36"")"),0)</f>
        <v>0</v>
      </c>
      <c r="P36" s="67">
        <f t="shared" ca="1" si="96"/>
        <v>0</v>
      </c>
      <c r="Q36" s="68">
        <f t="shared" ca="1" si="97"/>
        <v>0</v>
      </c>
      <c r="R36" s="67">
        <f ca="1">IFERROR(__xludf.DUMMYFUNCTION("IMPORTRANGE(""https://docs.google.com/spreadsheets/d/1Mnpb-8PYAgn85W6KOTD40hc_Xc55CaLfHoGAbrZ8tls/edit?usp=sharing"",""นครราชสีมา!Q186"")"),56000)</f>
        <v>56000</v>
      </c>
      <c r="S36" s="67">
        <f ca="1">IFERROR(__xludf.DUMMYFUNCTION("IMPORTRANGE(""https://docs.google.com/spreadsheets/d/1Mnpb-8PYAgn85W6KOTD40hc_Xc55CaLfHoGAbrZ8tls/edit?usp=sharing"",""นครราชสีมา!R186"")"),56000)</f>
        <v>56000</v>
      </c>
      <c r="T36" s="67">
        <f ca="1">IFERROR(__xludf.DUMMYFUNCTION("IMPORTRANGE(""https://docs.google.com/spreadsheets/d/1Mnpb-8PYAgn85W6KOTD40hc_Xc55CaLfHoGAbrZ8tls/edit?usp=sharing"",""นครราชสีมา!S186"")"),56000)</f>
        <v>56000</v>
      </c>
      <c r="U36" s="68">
        <f t="shared" ca="1" si="99"/>
        <v>100</v>
      </c>
      <c r="V36" s="68">
        <f t="shared" ca="1" si="100"/>
        <v>100</v>
      </c>
      <c r="W36" s="152">
        <f ca="1">IFERROR(__xludf.DUMMYFUNCTION("IMPORTRANGE(""https://docs.google.com/spreadsheets/d/1Mnpb-8PYAgn85W6KOTD40hc_Xc55CaLfHoGAbrZ8tls/edit?usp=sharing"",""นครราชสีมา!L196"")"),6000)</f>
        <v>6000</v>
      </c>
      <c r="X36" s="152">
        <f ca="1">IFERROR(__xludf.DUMMYFUNCTION("IMPORTRANGE(""https://docs.google.com/spreadsheets/d/1Mnpb-8PYAgn85W6KOTD40hc_Xc55CaLfHoGAbrZ8tls/edit?usp=sharing"",""นครราชสีมา!N196"")"),0)</f>
        <v>0</v>
      </c>
      <c r="Y36" s="216">
        <f t="shared" ca="1" si="102"/>
        <v>0</v>
      </c>
      <c r="Z36" s="152">
        <f ca="1">IFERROR(__xludf.DUMMYFUNCTION("IMPORTRANGE(""https://docs.google.com/spreadsheets/d/1Mnpb-8PYAgn85W6KOTD40hc_Xc55CaLfHoGAbrZ8tls/edit?usp=sharing"",""นครราชสีมา!I198"")"),4)</f>
        <v>4</v>
      </c>
      <c r="AA36" s="152">
        <f ca="1">IFERROR(__xludf.DUMMYFUNCTION("IMPORTRANGE(""https://docs.google.com/spreadsheets/d/1Mnpb-8PYAgn85W6KOTD40hc_Xc55CaLfHoGAbrZ8tls/edit?usp=sharing"",""นครราชสีมา!J198"")"),4)</f>
        <v>4</v>
      </c>
      <c r="AB36" s="216">
        <f t="shared" ca="1" si="104"/>
        <v>100</v>
      </c>
      <c r="AC36" s="152">
        <f ca="1">IFERROR(__xludf.DUMMYFUNCTION("IMPORTRANGE(""https://docs.google.com/spreadsheets/d/1Mnpb-8PYAgn85W6KOTD40hc_Xc55CaLfHoGAbrZ8tls/edit?usp=sharing"",""นครราชสีมา!J199"")"),0)</f>
        <v>0</v>
      </c>
      <c r="AD36" s="152">
        <f ca="1">IFERROR(__xludf.DUMMYFUNCTION("IMPORTRANGE(""https://docs.google.com/spreadsheets/d/1Mnpb-8PYAgn85W6KOTD40hc_Xc55CaLfHoGAbrZ8tls/edit?usp=sharing"",""นครราชสีมา!J200"")"),0)</f>
        <v>0</v>
      </c>
      <c r="AE36" s="152">
        <f ca="1">IFERROR(__xludf.DUMMYFUNCTION("IMPORTRANGE(""https://docs.google.com/spreadsheets/d/1Mnpb-8PYAgn85W6KOTD40hc_Xc55CaLfHoGAbrZ8tls/edit?usp=sharing"",""นครราชสีมา!J201"")"),0)</f>
        <v>0</v>
      </c>
      <c r="AF36" s="152">
        <f ca="1">IFERROR(__xludf.DUMMYFUNCTION("IMPORTRANGE(""https://docs.google.com/spreadsheets/d/1Mnpb-8PYAgn85W6KOTD40hc_Xc55CaLfHoGAbrZ8tls/edit?usp=sharing"",""นครราชสีมา!L204"")"),4000)</f>
        <v>4000</v>
      </c>
      <c r="AG36" s="152">
        <f ca="1">IFERROR(__xludf.DUMMYFUNCTION("IMPORTRANGE(""https://docs.google.com/spreadsheets/d/1Mnpb-8PYAgn85W6KOTD40hc_Xc55CaLfHoGAbrZ8tls/edit?usp=sharing"",""นครราชสีมา!N204"")"),0)</f>
        <v>0</v>
      </c>
      <c r="AH36" s="216">
        <f t="shared" ca="1" si="106"/>
        <v>0</v>
      </c>
      <c r="AI36" s="152">
        <f ca="1">IFERROR(__xludf.DUMMYFUNCTION("IMPORTRANGE(""https://docs.google.com/spreadsheets/d/1Mnpb-8PYAgn85W6KOTD40hc_Xc55CaLfHoGAbrZ8tls/edit?usp=sharing"",""นครราชสีมา!L206"")"),0)</f>
        <v>0</v>
      </c>
      <c r="AJ36" s="152">
        <f ca="1">IFERROR(__xludf.DUMMYFUNCTION("IMPORTRANGE(""https://docs.google.com/spreadsheets/d/1Mnpb-8PYAgn85W6KOTD40hc_Xc55CaLfHoGAbrZ8tls/edit?usp=sharing"",""นครราชสีมา!N206"")"),0)</f>
        <v>0</v>
      </c>
      <c r="AK36" s="216">
        <f t="shared" ca="1" si="108"/>
        <v>0</v>
      </c>
      <c r="AL36" s="152">
        <f ca="1">IFERROR(__xludf.DUMMYFUNCTION("IMPORTRANGE(""https://docs.google.com/spreadsheets/d/1Mnpb-8PYAgn85W6KOTD40hc_Xc55CaLfHoGAbrZ8tls/edit?usp=sharing"",""นครราชสีมา!Q206"")"),56000)</f>
        <v>56000</v>
      </c>
      <c r="AM36" s="152">
        <f ca="1">IFERROR(__xludf.DUMMYFUNCTION("IMPORTRANGE(""https://docs.google.com/spreadsheets/d/1Mnpb-8PYAgn85W6KOTD40hc_Xc55CaLfHoGAbrZ8tls/edit?usp=sharing"",""นครราชสีมา!S206"")"),0)</f>
        <v>0</v>
      </c>
      <c r="AN36" s="216">
        <f t="shared" ca="1" si="110"/>
        <v>0</v>
      </c>
      <c r="AO36" s="152">
        <f ca="1">IFERROR(__xludf.DUMMYFUNCTION("IMPORTRANGE(""https://docs.google.com/spreadsheets/d/1Mnpb-8PYAgn85W6KOTD40hc_Xc55CaLfHoGAbrZ8tls/edit?usp=sharing"",""นครราชสีมา!L207"")"),21000)</f>
        <v>21000</v>
      </c>
      <c r="AP36" s="152">
        <f ca="1">IFERROR(__xludf.DUMMYFUNCTION("IMPORTRANGE(""https://docs.google.com/spreadsheets/d/1Mnpb-8PYAgn85W6KOTD40hc_Xc55CaLfHoGAbrZ8tls/edit?usp=sharing"",""นครราชสีมา!N207"")"),0)</f>
        <v>0</v>
      </c>
      <c r="AQ36" s="216">
        <f t="shared" ca="1" si="112"/>
        <v>0</v>
      </c>
      <c r="AR36" s="152">
        <f ca="1">IFERROR(__xludf.DUMMYFUNCTION("IMPORTRANGE(""https://docs.google.com/spreadsheets/d/1Mnpb-8PYAgn85W6KOTD40hc_Xc55CaLfHoGAbrZ8tls/edit?usp=sharing"",""นครราชสีมา!I209"")"),4)</f>
        <v>4</v>
      </c>
      <c r="AS36" s="152">
        <f ca="1">IFERROR(__xludf.DUMMYFUNCTION("IMPORTRANGE(""https://docs.google.com/spreadsheets/d/1Mnpb-8PYAgn85W6KOTD40hc_Xc55CaLfHoGAbrZ8tls/edit?usp=sharing"",""นครราชสีมา!J209"")"),4)</f>
        <v>4</v>
      </c>
      <c r="AT36" s="216">
        <f t="shared" ca="1" si="114"/>
        <v>100</v>
      </c>
      <c r="AU36" s="152">
        <f ca="1">IFERROR(__xludf.DUMMYFUNCTION("IMPORTRANGE(""https://docs.google.com/spreadsheets/d/1Mnpb-8PYAgn85W6KOTD40hc_Xc55CaLfHoGAbrZ8tls/edit?usp=sharing"",""นครราชสีมา!J211"")"),0)</f>
        <v>0</v>
      </c>
      <c r="AV36" s="152">
        <f ca="1">IFERROR(__xludf.DUMMYFUNCTION("IMPORTRANGE(""https://docs.google.com/spreadsheets/d/1Mnpb-8PYAgn85W6KOTD40hc_Xc55CaLfHoGAbrZ8tls/edit?usp=sharing"",""นครราชสีมา!J212"")"),0)</f>
        <v>0</v>
      </c>
      <c r="AW36" s="152">
        <f ca="1">IFERROR(__xludf.DUMMYFUNCTION("IMPORTRANGE(""https://docs.google.com/spreadsheets/d/1Mnpb-8PYAgn85W6KOTD40hc_Xc55CaLfHoGAbrZ8tls/edit?usp=sharing"",""นครราชสีมา!L215"")"),0)</f>
        <v>0</v>
      </c>
      <c r="AX36" s="152">
        <f ca="1">IFERROR(__xludf.DUMMYFUNCTION("IMPORTRANGE(""https://docs.google.com/spreadsheets/d/1Mnpb-8PYAgn85W6KOTD40hc_Xc55CaLfHoGAbrZ8tls/edit?usp=sharing"",""นครราชสีมา!N215"")"),0)</f>
        <v>0</v>
      </c>
      <c r="AY36" s="216">
        <f t="shared" ca="1" si="116"/>
        <v>0</v>
      </c>
      <c r="AZ36" s="152">
        <f ca="1">IFERROR(__xludf.DUMMYFUNCTION("IMPORTRANGE(""https://docs.google.com/spreadsheets/d/1Mnpb-8PYAgn85W6KOTD40hc_Xc55CaLfHoGAbrZ8tls/edit?usp=sharing"",""นครราชสีมา!L216"")"),0)</f>
        <v>0</v>
      </c>
      <c r="BA36" s="152">
        <f ca="1">IFERROR(__xludf.DUMMYFUNCTION("IMPORTRANGE(""https://docs.google.com/spreadsheets/d/1Mnpb-8PYAgn85W6KOTD40hc_Xc55CaLfHoGAbrZ8tls/edit?usp=sharing"",""นครราชสีมา!N216"")"),0)</f>
        <v>0</v>
      </c>
      <c r="BB36" s="216">
        <f t="shared" ca="1" si="118"/>
        <v>0</v>
      </c>
      <c r="BC36" s="152">
        <f ca="1">IFERROR(__xludf.DUMMYFUNCTION("IMPORTRANGE(""https://docs.google.com/spreadsheets/d/1Mnpb-8PYAgn85W6KOTD40hc_Xc55CaLfHoGAbrZ8tls/edit?usp=sharing"",""นครราชสีมา!L217"")"),0)</f>
        <v>0</v>
      </c>
      <c r="BD36" s="152">
        <f ca="1">IFERROR(__xludf.DUMMYFUNCTION("IMPORTRANGE(""https://docs.google.com/spreadsheets/d/1Mnpb-8PYAgn85W6KOTD40hc_Xc55CaLfHoGAbrZ8tls/edit?usp=sharing"",""นครราชสีมา!N217"")"),0)</f>
        <v>0</v>
      </c>
      <c r="BE36" s="216">
        <f t="shared" ca="1" si="120"/>
        <v>0</v>
      </c>
      <c r="BF36" s="152">
        <f ca="1">IFERROR(__xludf.DUMMYFUNCTION("IMPORTRANGE(""https://docs.google.com/spreadsheets/d/1Mnpb-8PYAgn85W6KOTD40hc_Xc55CaLfHoGAbrZ8tls/edit?usp=sharing"",""นครราชสีมา!Q217"")"),0)</f>
        <v>0</v>
      </c>
      <c r="BG36" s="152">
        <f ca="1">IFERROR(__xludf.DUMMYFUNCTION("IMPORTRANGE(""https://docs.google.com/spreadsheets/d/1Mnpb-8PYAgn85W6KOTD40hc_Xc55CaLfHoGAbrZ8tls/edit?usp=sharing"",""นครราชสีมา!S217"")"),0)</f>
        <v>0</v>
      </c>
      <c r="BH36" s="216">
        <f t="shared" ca="1" si="122"/>
        <v>0</v>
      </c>
      <c r="BI36" s="152">
        <f ca="1">IFERROR(__xludf.DUMMYFUNCTION("IMPORTRANGE(""https://docs.google.com/spreadsheets/d/1Mnpb-8PYAgn85W6KOTD40hc_Xc55CaLfHoGAbrZ8tls/edit?usp=sharing"",""นครราชสีมา!I219"")"),0)</f>
        <v>0</v>
      </c>
      <c r="BJ36" s="152">
        <f ca="1">IFERROR(__xludf.DUMMYFUNCTION("IMPORTRANGE(""https://docs.google.com/spreadsheets/d/1Mnpb-8PYAgn85W6KOTD40hc_Xc55CaLfHoGAbrZ8tls/edit?usp=sharing"",""นครราชสีมา!J219"")"),0)</f>
        <v>0</v>
      </c>
      <c r="BK36" s="216">
        <f t="shared" ca="1" si="124"/>
        <v>0</v>
      </c>
      <c r="BL36" s="152">
        <f ca="1">IFERROR(__xludf.DUMMYFUNCTION("IMPORTRANGE(""https://docs.google.com/spreadsheets/d/1Mnpb-8PYAgn85W6KOTD40hc_Xc55CaLfHoGAbrZ8tls/edit?usp=sharing"",""นครราชสีมา!I220"")"),0)</f>
        <v>0</v>
      </c>
      <c r="BM36" s="152">
        <f ca="1">IFERROR(__xludf.DUMMYFUNCTION("IMPORTRANGE(""https://docs.google.com/spreadsheets/d/1Mnpb-8PYAgn85W6KOTD40hc_Xc55CaLfHoGAbrZ8tls/edit?usp=sharing"",""นครราชสีมา!J220"")"),0)</f>
        <v>0</v>
      </c>
      <c r="BN36" s="216">
        <f t="shared" ca="1" si="126"/>
        <v>0</v>
      </c>
      <c r="BO36" s="152">
        <f ca="1">IFERROR(__xludf.DUMMYFUNCTION("IMPORTRANGE(""https://docs.google.com/spreadsheets/d/1Mnpb-8PYAgn85W6KOTD40hc_Xc55CaLfHoGAbrZ8tls/edit?usp=sharing"",""นครราชสีมา!L223"")"),2500)</f>
        <v>2500</v>
      </c>
      <c r="BP36" s="152">
        <f ca="1">IFERROR(__xludf.DUMMYFUNCTION("IMPORTRANGE(""https://docs.google.com/spreadsheets/d/1Mnpb-8PYAgn85W6KOTD40hc_Xc55CaLfHoGAbrZ8tls/edit?usp=sharing"",""นครราชสีมา!N223"")"),0)</f>
        <v>0</v>
      </c>
      <c r="BQ36" s="216">
        <f t="shared" ca="1" si="128"/>
        <v>0</v>
      </c>
      <c r="BR36" s="152">
        <f ca="1">IFERROR(__xludf.DUMMYFUNCTION("IMPORTRANGE(""https://docs.google.com/spreadsheets/d/1Mnpb-8PYAgn85W6KOTD40hc_Xc55CaLfHoGAbrZ8tls/edit?usp=sharing"",""นครราชสีมา!L224"")"),8000)</f>
        <v>8000</v>
      </c>
      <c r="BS36" s="152">
        <f ca="1">IFERROR(__xludf.DUMMYFUNCTION("IMPORTRANGE(""https://docs.google.com/spreadsheets/d/1Mnpb-8PYAgn85W6KOTD40hc_Xc55CaLfHoGAbrZ8tls/edit?usp=sharing"",""นครราชสีมา!N224"")"),0)</f>
        <v>0</v>
      </c>
      <c r="BT36" s="216">
        <f t="shared" ca="1" si="130"/>
        <v>0</v>
      </c>
      <c r="BU36" s="152">
        <f ca="1">IFERROR(__xludf.DUMMYFUNCTION("IMPORTRANGE(""https://docs.google.com/spreadsheets/d/1Mnpb-8PYAgn85W6KOTD40hc_Xc55CaLfHoGAbrZ8tls/edit?usp=sharing"",""นครราชสีมา!I228"")"),70000)</f>
        <v>70000</v>
      </c>
      <c r="BV36" s="152">
        <f ca="1">IFERROR(__xludf.DUMMYFUNCTION("IMPORTRANGE(""https://docs.google.com/spreadsheets/d/1Mnpb-8PYAgn85W6KOTD40hc_Xc55CaLfHoGAbrZ8tls/edit?usp=sharing"",""นครราชสีมา!J228"")"),70000)</f>
        <v>70000</v>
      </c>
      <c r="BW36" s="216">
        <f t="shared" ca="1" si="132"/>
        <v>100</v>
      </c>
      <c r="BX36" s="152">
        <f ca="1">IFERROR(__xludf.DUMMYFUNCTION("IMPORTRANGE(""https://docs.google.com/spreadsheets/d/1Mnpb-8PYAgn85W6KOTD40hc_Xc55CaLfHoGAbrZ8tls/edit?usp=sharing"",""นครราชสีมา!I229"")"),70000)</f>
        <v>70000</v>
      </c>
      <c r="BY36" s="152">
        <f ca="1">IFERROR(__xludf.DUMMYFUNCTION("IMPORTRANGE(""https://docs.google.com/spreadsheets/d/1Mnpb-8PYAgn85W6KOTD40hc_Xc55CaLfHoGAbrZ8tls/edit?usp=sharing"",""นครราชสีมา!J229"")"),70000)</f>
        <v>70000</v>
      </c>
      <c r="BZ36" s="216">
        <f t="shared" ca="1" si="134"/>
        <v>100</v>
      </c>
      <c r="CA36" s="152">
        <f ca="1">IFERROR(__xludf.DUMMYFUNCTION("IMPORTRANGE(""https://docs.google.com/spreadsheets/d/1Mnpb-8PYAgn85W6KOTD40hc_Xc55CaLfHoGAbrZ8tls/edit?usp=sharing"",""นครราชสีมา!I230"")"),0)</f>
        <v>0</v>
      </c>
      <c r="CB36" s="152">
        <f ca="1">IFERROR(__xludf.DUMMYFUNCTION("IMPORTRANGE(""https://docs.google.com/spreadsheets/d/1Mnpb-8PYAgn85W6KOTD40hc_Xc55CaLfHoGAbrZ8tls/edit?usp=sharing"",""นครราชสีมา!J230"")"),0)</f>
        <v>0</v>
      </c>
      <c r="CC36" s="216">
        <f t="shared" ca="1" si="136"/>
        <v>0</v>
      </c>
      <c r="CD36" s="152">
        <f ca="1">IFERROR(__xludf.DUMMYFUNCTION("IMPORTRANGE(""https://docs.google.com/spreadsheets/d/1Mnpb-8PYAgn85W6KOTD40hc_Xc55CaLfHoGAbrZ8tls/edit?usp=sharing"",""นครราชสีมา!L233"")"),0)</f>
        <v>0</v>
      </c>
      <c r="CE36" s="152">
        <f ca="1">IFERROR(__xludf.DUMMYFUNCTION("IMPORTRANGE(""https://docs.google.com/spreadsheets/d/1Mnpb-8PYAgn85W6KOTD40hc_Xc55CaLfHoGAbrZ8tls/edit?usp=sharing"",""นครราชสีมา!N233"")"),0)</f>
        <v>0</v>
      </c>
      <c r="CF36" s="216">
        <f t="shared" ca="1" si="138"/>
        <v>0</v>
      </c>
      <c r="CG36" s="152">
        <f ca="1">IFERROR(__xludf.DUMMYFUNCTION("IMPORTRANGE(""https://docs.google.com/spreadsheets/d/1Mnpb-8PYAgn85W6KOTD40hc_Xc55CaLfHoGAbrZ8tls/edit?usp=sharing"",""นครราชสีมา!L234"")"),0)</f>
        <v>0</v>
      </c>
      <c r="CH36" s="152">
        <f ca="1">IFERROR(__xludf.DUMMYFUNCTION("IMPORTRANGE(""https://docs.google.com/spreadsheets/d/1Mnpb-8PYAgn85W6KOTD40hc_Xc55CaLfHoGAbrZ8tls/edit?usp=sharing"",""นครราชสีมา!N234"")"),0)</f>
        <v>0</v>
      </c>
      <c r="CI36" s="216">
        <f t="shared" ca="1" si="140"/>
        <v>0</v>
      </c>
      <c r="CJ36" s="152">
        <f ca="1">IFERROR(__xludf.DUMMYFUNCTION("IMPORTRANGE(""https://docs.google.com/spreadsheets/d/1Mnpb-8PYAgn85W6KOTD40hc_Xc55CaLfHoGAbrZ8tls/edit?usp=sharing"",""นครราชสีมา!L235"")"),0)</f>
        <v>0</v>
      </c>
      <c r="CK36" s="152">
        <f ca="1">IFERROR(__xludf.DUMMYFUNCTION("IMPORTRANGE(""https://docs.google.com/spreadsheets/d/1Mnpb-8PYAgn85W6KOTD40hc_Xc55CaLfHoGAbrZ8tls/edit?usp=sharing"",""นครราชสีมา!N235"")"),0)</f>
        <v>0</v>
      </c>
      <c r="CL36" s="216">
        <f t="shared" ca="1" si="142"/>
        <v>0</v>
      </c>
      <c r="CM36" s="251">
        <f ca="1">IFERROR(__xludf.DUMMYFUNCTION("IMPORTRANGE(""https://docs.google.com/spreadsheets/d/1Mnpb-8PYAgn85W6KOTD40hc_Xc55CaLfHoGAbrZ8tls/edit?usp=sharing"",""นครราชสีมา!Q235"")"),0)</f>
        <v>0</v>
      </c>
      <c r="CN36" s="251">
        <f ca="1">IFERROR(__xludf.DUMMYFUNCTION("IMPORTRANGE(""https://docs.google.com/spreadsheets/d/1Mnpb-8PYAgn85W6KOTD40hc_Xc55CaLfHoGAbrZ8tls/edit?usp=sharing"",""นครราชสีมา!S235"")"),0)</f>
        <v>0</v>
      </c>
      <c r="CO36" s="216">
        <f t="shared" ca="1" si="144"/>
        <v>0</v>
      </c>
      <c r="CP36" s="152">
        <f ca="1">IFERROR(__xludf.DUMMYFUNCTION("IMPORTRANGE(""https://docs.google.com/spreadsheets/d/1Mnpb-8PYAgn85W6KOTD40hc_Xc55CaLfHoGAbrZ8tls/edit?usp=sharing"",""นครราชสีมา!L236"")"),0)</f>
        <v>0</v>
      </c>
      <c r="CQ36" s="152">
        <f ca="1">IFERROR(__xludf.DUMMYFUNCTION("IMPORTRANGE(""https://docs.google.com/spreadsheets/d/1Mnpb-8PYAgn85W6KOTD40hc_Xc55CaLfHoGAbrZ8tls/edit?usp=sharing"",""นครราชสีมา!N236"")"),0)</f>
        <v>0</v>
      </c>
      <c r="CR36" s="216">
        <f t="shared" ca="1" si="146"/>
        <v>0</v>
      </c>
      <c r="CS36" s="152">
        <f ca="1">IFERROR(__xludf.DUMMYFUNCTION("IMPORTRANGE(""https://docs.google.com/spreadsheets/d/1Mnpb-8PYAgn85W6KOTD40hc_Xc55CaLfHoGAbrZ8tls/edit?usp=sharing"",""นครราชสีมา!I238"")"),0)</f>
        <v>0</v>
      </c>
      <c r="CT36" s="152">
        <f ca="1">IFERROR(__xludf.DUMMYFUNCTION("IMPORTRANGE(""https://docs.google.com/spreadsheets/d/1Mnpb-8PYAgn85W6KOTD40hc_Xc55CaLfHoGAbrZ8tls/edit?usp=sharing"",""นครราชสีมา!J238"")"),0)</f>
        <v>0</v>
      </c>
      <c r="CU36" s="216">
        <f t="shared" ca="1" si="148"/>
        <v>0</v>
      </c>
      <c r="CV36" s="152">
        <f ca="1">IFERROR(__xludf.DUMMYFUNCTION("IMPORTRANGE(""https://docs.google.com/spreadsheets/d/1Mnpb-8PYAgn85W6KOTD40hc_Xc55CaLfHoGAbrZ8tls/edit?usp=sharing"",""นครราชสีมา!J240"")"),0)</f>
        <v>0</v>
      </c>
      <c r="CW36" s="152">
        <f ca="1">IFERROR(__xludf.DUMMYFUNCTION("IMPORTRANGE(""https://docs.google.com/spreadsheets/d/1Mnpb-8PYAgn85W6KOTD40hc_Xc55CaLfHoGAbrZ8tls/edit?usp=sharing"",""นครราชสีมา!J241"")"),0)</f>
        <v>0</v>
      </c>
    </row>
    <row r="37" spans="1:101" ht="21" customHeight="1" x14ac:dyDescent="0.3">
      <c r="A37" s="147">
        <v>6</v>
      </c>
      <c r="B37" s="148" t="s">
        <v>65</v>
      </c>
      <c r="C37" s="149">
        <f t="shared" ca="1" si="90"/>
        <v>131500</v>
      </c>
      <c r="D37" s="150">
        <f t="shared" ca="1" si="178"/>
        <v>131500</v>
      </c>
      <c r="E37" s="151">
        <f ca="1">IFERROR(__xludf.DUMMYFUNCTION("IMPORTRANGE(""https://docs.google.com/spreadsheets/d/1-uDff_7J0KD5mKrp0Vvzr7lt3OU09vwQwhkpOPPYv2Y/edit?usp=sharing"",""งบพรบ!CV37"")"),91000)</f>
        <v>91000</v>
      </c>
      <c r="F37" s="151">
        <f ca="1">IFERROR(__xludf.DUMMYFUNCTION("IMPORTRANGE(""https://docs.google.com/spreadsheets/d/1-uDff_7J0KD5mKrp0Vvzr7lt3OU09vwQwhkpOPPYv2Y/edit?usp=sharing"",""งบพรบ!CW37"")"),40500)</f>
        <v>40500</v>
      </c>
      <c r="G37" s="151">
        <f ca="1">IFERROR(__xludf.DUMMYFUNCTION("IMPORTRANGE(""https://docs.google.com/spreadsheets/d/1-uDff_7J0KD5mKrp0Vvzr7lt3OU09vwQwhkpOPPYv2Y/edit?usp=sharing"",""งบพรบ!CX37"")"),0)</f>
        <v>0</v>
      </c>
      <c r="H37" s="151">
        <f ca="1">IFERROR(__xludf.DUMMYFUNCTION("IMPORTRANGE(""https://docs.google.com/spreadsheets/d/1-uDff_7J0KD5mKrp0Vvzr7lt3OU09vwQwhkpOPPYv2Y/edit?usp=sharing"",""งบพรบ!CZ37"")"),133500)</f>
        <v>133500</v>
      </c>
      <c r="I37" s="151">
        <f ca="1">IFERROR(__xludf.DUMMYFUNCTION("IMPORTRANGE(""https://docs.google.com/spreadsheets/d/1-uDff_7J0KD5mKrp0Vvzr7lt3OU09vwQwhkpOPPYv2Y/edit?usp=sharing"",""งบพรบ!DA37"")"),0)</f>
        <v>0</v>
      </c>
      <c r="J37" s="151">
        <f t="shared" ca="1" si="92"/>
        <v>95116</v>
      </c>
      <c r="K37" s="154">
        <f t="shared" ca="1" si="93"/>
        <v>72.331558935361215</v>
      </c>
      <c r="L37" s="151">
        <f ca="1">IFERROR(__xludf.DUMMYFUNCTION("IMPORTRANGE(""https://docs.google.com/spreadsheets/d/1-uDff_7J0KD5mKrp0Vvzr7lt3OU09vwQwhkpOPPYv2Y/edit?usp=sharing"",""งบพรบ!DB37"")"),95116)</f>
        <v>95116</v>
      </c>
      <c r="M37" s="68">
        <f t="shared" ca="1" si="94"/>
        <v>72.331558935361215</v>
      </c>
      <c r="N37" s="68">
        <f t="shared" ca="1" si="95"/>
        <v>71.247940074906367</v>
      </c>
      <c r="O37" s="67">
        <f ca="1">IFERROR(__xludf.DUMMYFUNCTION("IMPORTRANGE(""https://docs.google.com/spreadsheets/d/1-uDff_7J0KD5mKrp0Vvzr7lt3OU09vwQwhkpOPPYv2Y/edit?usp=sharing"",""งบพรบ!DC37"")"),0)</f>
        <v>0</v>
      </c>
      <c r="P37" s="67">
        <f t="shared" ca="1" si="96"/>
        <v>0</v>
      </c>
      <c r="Q37" s="68">
        <f t="shared" ca="1" si="97"/>
        <v>0</v>
      </c>
      <c r="R37" s="67">
        <f ca="1">IFERROR(__xludf.DUMMYFUNCTION("IMPORTRANGE(""https://docs.google.com/spreadsheets/d/1xoDLGBv9CYbyosIhki0kTq6IpYNj-gpjxfobnaDiut0/edit?usp=sharing"",""บึงกาฬ!Q186"")"),127400)</f>
        <v>127400</v>
      </c>
      <c r="S37" s="67">
        <f ca="1">IFERROR(__xludf.DUMMYFUNCTION("IMPORTRANGE(""https://docs.google.com/spreadsheets/d/1xoDLGBv9CYbyosIhki0kTq6IpYNj-gpjxfobnaDiut0/edit?usp=sharing"",""บึงกาฬ!R186"")"),127400)</f>
        <v>127400</v>
      </c>
      <c r="T37" s="67">
        <f ca="1">IFERROR(__xludf.DUMMYFUNCTION("IMPORTRANGE(""https://docs.google.com/spreadsheets/d/1xoDLGBv9CYbyosIhki0kTq6IpYNj-gpjxfobnaDiut0/edit?usp=sharing"",""บึงกาฬ!S186"")"),127400)</f>
        <v>127400</v>
      </c>
      <c r="U37" s="68">
        <f t="shared" ca="1" si="99"/>
        <v>100</v>
      </c>
      <c r="V37" s="68">
        <f t="shared" ca="1" si="100"/>
        <v>100</v>
      </c>
      <c r="W37" s="152">
        <f ca="1">IFERROR(__xludf.DUMMYFUNCTION("IMPORTRANGE(""https://docs.google.com/spreadsheets/d/1xoDLGBv9CYbyosIhki0kTq6IpYNj-gpjxfobnaDiut0/edit?usp=sharing"",""บึงกาฬ!L196"")"),6000)</f>
        <v>6000</v>
      </c>
      <c r="X37" s="152">
        <f ca="1">IFERROR(__xludf.DUMMYFUNCTION("IMPORTRANGE(""https://docs.google.com/spreadsheets/d/1xoDLGBv9CYbyosIhki0kTq6IpYNj-gpjxfobnaDiut0/edit?usp=sharing"",""บึงกาฬ!N196"")"),4363)</f>
        <v>4363</v>
      </c>
      <c r="Y37" s="216">
        <f t="shared" ca="1" si="102"/>
        <v>72.716666666666669</v>
      </c>
      <c r="Z37" s="152">
        <f ca="1">IFERROR(__xludf.DUMMYFUNCTION("IMPORTRANGE(""https://docs.google.com/spreadsheets/d/1xoDLGBv9CYbyosIhki0kTq6IpYNj-gpjxfobnaDiut0/edit?usp=sharing"",""บึงกาฬ!I198"")"),4)</f>
        <v>4</v>
      </c>
      <c r="AA37" s="152">
        <f ca="1">IFERROR(__xludf.DUMMYFUNCTION("IMPORTRANGE(""https://docs.google.com/spreadsheets/d/1xoDLGBv9CYbyosIhki0kTq6IpYNj-gpjxfobnaDiut0/edit?usp=sharing"",""บึงกาฬ!J198"")"),4)</f>
        <v>4</v>
      </c>
      <c r="AB37" s="216">
        <f t="shared" ca="1" si="104"/>
        <v>100</v>
      </c>
      <c r="AC37" s="152">
        <f ca="1">IFERROR(__xludf.DUMMYFUNCTION("IMPORTRANGE(""https://docs.google.com/spreadsheets/d/1xoDLGBv9CYbyosIhki0kTq6IpYNj-gpjxfobnaDiut0/edit?usp=sharing"",""บึงกาฬ!J199"")"),110)</f>
        <v>110</v>
      </c>
      <c r="AD37" s="152">
        <f ca="1">IFERROR(__xludf.DUMMYFUNCTION("IMPORTRANGE(""https://docs.google.com/spreadsheets/d/1xoDLGBv9CYbyosIhki0kTq6IpYNj-gpjxfobnaDiut0/edit?usp=sharing"",""บึงกาฬ!J200"")"),110)</f>
        <v>110</v>
      </c>
      <c r="AE37" s="152">
        <f ca="1">IFERROR(__xludf.DUMMYFUNCTION("IMPORTRANGE(""https://docs.google.com/spreadsheets/d/1xoDLGBv9CYbyosIhki0kTq6IpYNj-gpjxfobnaDiut0/edit?usp=sharing"",""บึงกาฬ!J201"")"),0)</f>
        <v>0</v>
      </c>
      <c r="AF37" s="152">
        <f ca="1">IFERROR(__xludf.DUMMYFUNCTION("IMPORTRANGE(""https://docs.google.com/spreadsheets/d/1xoDLGBv9CYbyosIhki0kTq6IpYNj-gpjxfobnaDiut0/edit?usp=sharing"",""บึงกาฬ!L204"")"),2000)</f>
        <v>2000</v>
      </c>
      <c r="AG37" s="152">
        <f ca="1">IFERROR(__xludf.DUMMYFUNCTION("IMPORTRANGE(""https://docs.google.com/spreadsheets/d/1xoDLGBv9CYbyosIhki0kTq6IpYNj-gpjxfobnaDiut0/edit?usp=sharing"",""บึงกาฬ!N204"")"),2000)</f>
        <v>2000</v>
      </c>
      <c r="AH37" s="216">
        <f t="shared" ca="1" si="106"/>
        <v>100</v>
      </c>
      <c r="AI37" s="152">
        <f ca="1">IFERROR(__xludf.DUMMYFUNCTION("IMPORTRANGE(""https://docs.google.com/spreadsheets/d/1xoDLGBv9CYbyosIhki0kTq6IpYNj-gpjxfobnaDiut0/edit?usp=sharing"",""บึงกาฬ!L206"")"),0)</f>
        <v>0</v>
      </c>
      <c r="AJ37" s="152">
        <f ca="1">IFERROR(__xludf.DUMMYFUNCTION("IMPORTRANGE(""https://docs.google.com/spreadsheets/d/1xoDLGBv9CYbyosIhki0kTq6IpYNj-gpjxfobnaDiut0/edit?usp=sharing"",""บึงกาฬ!N206"")"),0)</f>
        <v>0</v>
      </c>
      <c r="AK37" s="216">
        <f t="shared" ca="1" si="108"/>
        <v>0</v>
      </c>
      <c r="AL37" s="152">
        <f ca="1">IFERROR(__xludf.DUMMYFUNCTION("IMPORTRANGE(""https://docs.google.com/spreadsheets/d/1xoDLGBv9CYbyosIhki0kTq6IpYNj-gpjxfobnaDiut0/edit?usp=sharing"",""บึงกาฬ!Q206"")"),28000)</f>
        <v>28000</v>
      </c>
      <c r="AM37" s="152">
        <f ca="1">IFERROR(__xludf.DUMMYFUNCTION("IMPORTRANGE(""https://docs.google.com/spreadsheets/d/1xoDLGBv9CYbyosIhki0kTq6IpYNj-gpjxfobnaDiut0/edit?usp=sharing"",""บึงกาฬ!S206"")"),28000)</f>
        <v>28000</v>
      </c>
      <c r="AN37" s="216">
        <f t="shared" ca="1" si="110"/>
        <v>100</v>
      </c>
      <c r="AO37" s="152">
        <f ca="1">IFERROR(__xludf.DUMMYFUNCTION("IMPORTRANGE(""https://docs.google.com/spreadsheets/d/1xoDLGBv9CYbyosIhki0kTq6IpYNj-gpjxfobnaDiut0/edit?usp=sharing"",""บึงกาฬ!L207"")"),16000)</f>
        <v>16000</v>
      </c>
      <c r="AP37" s="152">
        <f ca="1">IFERROR(__xludf.DUMMYFUNCTION("IMPORTRANGE(""https://docs.google.com/spreadsheets/d/1xoDLGBv9CYbyosIhki0kTq6IpYNj-gpjxfobnaDiut0/edit?usp=sharing"",""บึงกาฬ!N207"")"),0)</f>
        <v>0</v>
      </c>
      <c r="AQ37" s="216">
        <f t="shared" ca="1" si="112"/>
        <v>0</v>
      </c>
      <c r="AR37" s="152">
        <f ca="1">IFERROR(__xludf.DUMMYFUNCTION("IMPORTRANGE(""https://docs.google.com/spreadsheets/d/1xoDLGBv9CYbyosIhki0kTq6IpYNj-gpjxfobnaDiut0/edit?usp=sharing"",""บึงกาฬ!I209"")"),2)</f>
        <v>2</v>
      </c>
      <c r="AS37" s="152">
        <f ca="1">IFERROR(__xludf.DUMMYFUNCTION("IMPORTRANGE(""https://docs.google.com/spreadsheets/d/1xoDLGBv9CYbyosIhki0kTq6IpYNj-gpjxfobnaDiut0/edit?usp=sharing"",""บึงกาฬ!J209"")"),2)</f>
        <v>2</v>
      </c>
      <c r="AT37" s="216">
        <f t="shared" ca="1" si="114"/>
        <v>100</v>
      </c>
      <c r="AU37" s="152">
        <f ca="1">IFERROR(__xludf.DUMMYFUNCTION("IMPORTRANGE(""https://docs.google.com/spreadsheets/d/1xoDLGBv9CYbyosIhki0kTq6IpYNj-gpjxfobnaDiut0/edit?usp=sharing"",""บึงกาฬ!J211"")"),0)</f>
        <v>0</v>
      </c>
      <c r="AV37" s="152">
        <f ca="1">IFERROR(__xludf.DUMMYFUNCTION("IMPORTRANGE(""https://docs.google.com/spreadsheets/d/1xoDLGBv9CYbyosIhki0kTq6IpYNj-gpjxfobnaDiut0/edit?usp=sharing"",""บึงกาฬ!J212"")"),0)</f>
        <v>0</v>
      </c>
      <c r="AW37" s="152">
        <f ca="1">IFERROR(__xludf.DUMMYFUNCTION("IMPORTRANGE(""https://docs.google.com/spreadsheets/d/1xoDLGBv9CYbyosIhki0kTq6IpYNj-gpjxfobnaDiut0/edit?usp=sharing"",""บึงกาฬ!L215"")"),2000)</f>
        <v>2000</v>
      </c>
      <c r="AX37" s="152">
        <f ca="1">IFERROR(__xludf.DUMMYFUNCTION("IMPORTRANGE(""https://docs.google.com/spreadsheets/d/1xoDLGBv9CYbyosIhki0kTq6IpYNj-gpjxfobnaDiut0/edit?usp=sharing"",""บึงกาฬ!N215"")"),1760)</f>
        <v>1760</v>
      </c>
      <c r="AY37" s="216">
        <f t="shared" ca="1" si="116"/>
        <v>88</v>
      </c>
      <c r="AZ37" s="152">
        <f ca="1">IFERROR(__xludf.DUMMYFUNCTION("IMPORTRANGE(""https://docs.google.com/spreadsheets/d/1xoDLGBv9CYbyosIhki0kTq6IpYNj-gpjxfobnaDiut0/edit?usp=sharing"",""บึงกาฬ!L216"")"),10000)</f>
        <v>10000</v>
      </c>
      <c r="BA37" s="152">
        <f ca="1">IFERROR(__xludf.DUMMYFUNCTION("IMPORTRANGE(""https://docs.google.com/spreadsheets/d/1xoDLGBv9CYbyosIhki0kTq6IpYNj-gpjxfobnaDiut0/edit?usp=sharing"",""บึงกาฬ!N216"")"),0)</f>
        <v>0</v>
      </c>
      <c r="BB37" s="216">
        <f t="shared" ca="1" si="118"/>
        <v>0</v>
      </c>
      <c r="BC37" s="152">
        <f ca="1">IFERROR(__xludf.DUMMYFUNCTION("IMPORTRANGE(""https://docs.google.com/spreadsheets/d/1xoDLGBv9CYbyosIhki0kTq6IpYNj-gpjxfobnaDiut0/edit?usp=sharing"",""บึงกาฬ!L217"")"),0)</f>
        <v>0</v>
      </c>
      <c r="BD37" s="152" t="str">
        <f ca="1">IFERROR(__xludf.DUMMYFUNCTION("IMPORTRANGE(""https://docs.google.com/spreadsheets/d/1xoDLGBv9CYbyosIhki0kTq6IpYNj-gpjxfobnaDiut0/edit?usp=sharing"",""บึงกาฬ!N217"")"),"")</f>
        <v/>
      </c>
      <c r="BE37" s="216">
        <f t="shared" ca="1" si="120"/>
        <v>0</v>
      </c>
      <c r="BF37" s="152">
        <f ca="1">IFERROR(__xludf.DUMMYFUNCTION("IMPORTRANGE(""https://docs.google.com/spreadsheets/d/1xoDLGBv9CYbyosIhki0kTq6IpYNj-gpjxfobnaDiut0/edit?usp=sharing"",""บึงกาฬ!Q217"")"),99400)</f>
        <v>99400</v>
      </c>
      <c r="BG37" s="152">
        <f ca="1">IFERROR(__xludf.DUMMYFUNCTION("IMPORTRANGE(""https://docs.google.com/spreadsheets/d/1xoDLGBv9CYbyosIhki0kTq6IpYNj-gpjxfobnaDiut0/edit?usp=sharing"",""บึงกาฬ!S217"")"),99400)</f>
        <v>99400</v>
      </c>
      <c r="BH37" s="216">
        <f t="shared" ca="1" si="122"/>
        <v>100</v>
      </c>
      <c r="BI37" s="152">
        <f ca="1">IFERROR(__xludf.DUMMYFUNCTION("IMPORTRANGE(""https://docs.google.com/spreadsheets/d/1xoDLGBv9CYbyosIhki0kTq6IpYNj-gpjxfobnaDiut0/edit?usp=sharing"",""บึงกาฬ!I219"")"),2)</f>
        <v>2</v>
      </c>
      <c r="BJ37" s="152">
        <f ca="1">IFERROR(__xludf.DUMMYFUNCTION("IMPORTRANGE(""https://docs.google.com/spreadsheets/d/1xoDLGBv9CYbyosIhki0kTq6IpYNj-gpjxfobnaDiut0/edit?usp=sharing"",""บึงกาฬ!J219"")"),0)</f>
        <v>0</v>
      </c>
      <c r="BK37" s="216">
        <f t="shared" ca="1" si="124"/>
        <v>0</v>
      </c>
      <c r="BL37" s="152">
        <f ca="1">IFERROR(__xludf.DUMMYFUNCTION("IMPORTRANGE(""https://docs.google.com/spreadsheets/d/1xoDLGBv9CYbyosIhki0kTq6IpYNj-gpjxfobnaDiut0/edit?usp=sharing"",""บึงกาฬ!I220"")"),2)</f>
        <v>2</v>
      </c>
      <c r="BM37" s="152">
        <f ca="1">IFERROR(__xludf.DUMMYFUNCTION("IMPORTRANGE(""https://docs.google.com/spreadsheets/d/1xoDLGBv9CYbyosIhki0kTq6IpYNj-gpjxfobnaDiut0/edit?usp=sharing"",""บึงกาฬ!J220"")"),2)</f>
        <v>2</v>
      </c>
      <c r="BN37" s="216">
        <f t="shared" ca="1" si="126"/>
        <v>100</v>
      </c>
      <c r="BO37" s="152">
        <f ca="1">IFERROR(__xludf.DUMMYFUNCTION("IMPORTRANGE(""https://docs.google.com/spreadsheets/d/1xoDLGBv9CYbyosIhki0kTq6IpYNj-gpjxfobnaDiut0/edit?usp=sharing"",""บึงกาฬ!L223"")"),2500)</f>
        <v>2500</v>
      </c>
      <c r="BP37" s="152">
        <f ca="1">IFERROR(__xludf.DUMMYFUNCTION("IMPORTRANGE(""https://docs.google.com/spreadsheets/d/1xoDLGBv9CYbyosIhki0kTq6IpYNj-gpjxfobnaDiut0/edit?usp=sharing"",""บึงกาฬ!N223"")"),0)</f>
        <v>0</v>
      </c>
      <c r="BQ37" s="216">
        <f t="shared" ca="1" si="128"/>
        <v>0</v>
      </c>
      <c r="BR37" s="152">
        <f ca="1">IFERROR(__xludf.DUMMYFUNCTION("IMPORTRANGE(""https://docs.google.com/spreadsheets/d/1xoDLGBv9CYbyosIhki0kTq6IpYNj-gpjxfobnaDiut0/edit?usp=sharing"",""บึงกาฬ!L224"")"),2000)</f>
        <v>2000</v>
      </c>
      <c r="BS37" s="152">
        <f ca="1">IFERROR(__xludf.DUMMYFUNCTION("IMPORTRANGE(""https://docs.google.com/spreadsheets/d/1xoDLGBv9CYbyosIhki0kTq6IpYNj-gpjxfobnaDiut0/edit?usp=sharing"",""บึงกาฬ!N224"")"),0)</f>
        <v>0</v>
      </c>
      <c r="BT37" s="216">
        <f t="shared" ca="1" si="130"/>
        <v>0</v>
      </c>
      <c r="BU37" s="152">
        <f ca="1">IFERROR(__xludf.DUMMYFUNCTION("IMPORTRANGE(""https://docs.google.com/spreadsheets/d/1xoDLGBv9CYbyosIhki0kTq6IpYNj-gpjxfobnaDiut0/edit?usp=sharing"",""บึงกาฬ!I228"")"),20000)</f>
        <v>20000</v>
      </c>
      <c r="BV37" s="152">
        <f ca="1">IFERROR(__xludf.DUMMYFUNCTION("IMPORTRANGE(""https://docs.google.com/spreadsheets/d/1xoDLGBv9CYbyosIhki0kTq6IpYNj-gpjxfobnaDiut0/edit?usp=sharing"",""บึงกาฬ!J228"")"),20000)</f>
        <v>20000</v>
      </c>
      <c r="BW37" s="216">
        <f t="shared" ca="1" si="132"/>
        <v>100</v>
      </c>
      <c r="BX37" s="152">
        <f ca="1">IFERROR(__xludf.DUMMYFUNCTION("IMPORTRANGE(""https://docs.google.com/spreadsheets/d/1xoDLGBv9CYbyosIhki0kTq6IpYNj-gpjxfobnaDiut0/edit?usp=sharing"",""บึงกาฬ!I229"")"),20000)</f>
        <v>20000</v>
      </c>
      <c r="BY37" s="152">
        <f ca="1">IFERROR(__xludf.DUMMYFUNCTION("IMPORTRANGE(""https://docs.google.com/spreadsheets/d/1xoDLGBv9CYbyosIhki0kTq6IpYNj-gpjxfobnaDiut0/edit?usp=sharing"",""บึงกาฬ!J229"")"),20000)</f>
        <v>20000</v>
      </c>
      <c r="BZ37" s="216">
        <f t="shared" ca="1" si="134"/>
        <v>100</v>
      </c>
      <c r="CA37" s="152">
        <f ca="1">IFERROR(__xludf.DUMMYFUNCTION("IMPORTRANGE(""https://docs.google.com/spreadsheets/d/1xoDLGBv9CYbyosIhki0kTq6IpYNj-gpjxfobnaDiut0/edit?usp=sharing"",""บึงกาฬ!I230"")"),0)</f>
        <v>0</v>
      </c>
      <c r="CB37" s="152">
        <f ca="1">IFERROR(__xludf.DUMMYFUNCTION("IMPORTRANGE(""https://docs.google.com/spreadsheets/d/1xoDLGBv9CYbyosIhki0kTq6IpYNj-gpjxfobnaDiut0/edit?usp=sharing"",""บึงกาฬ!J230"")"),0)</f>
        <v>0</v>
      </c>
      <c r="CC37" s="216">
        <f t="shared" ca="1" si="136"/>
        <v>0</v>
      </c>
      <c r="CD37" s="152">
        <f ca="1">IFERROR(__xludf.DUMMYFUNCTION("IMPORTRANGE(""https://docs.google.com/spreadsheets/d/1xoDLGBv9CYbyosIhki0kTq6IpYNj-gpjxfobnaDiut0/edit?usp=sharing"",""บึงกาฬ!L233"")"),0)</f>
        <v>0</v>
      </c>
      <c r="CE37" s="152">
        <f ca="1">IFERROR(__xludf.DUMMYFUNCTION("IMPORTRANGE(""https://docs.google.com/spreadsheets/d/1xoDLGBv9CYbyosIhki0kTq6IpYNj-gpjxfobnaDiut0/edit?usp=sharing"",""บึงกาฬ!N233"")"),0)</f>
        <v>0</v>
      </c>
      <c r="CF37" s="216">
        <f t="shared" ca="1" si="138"/>
        <v>0</v>
      </c>
      <c r="CG37" s="152">
        <f ca="1">IFERROR(__xludf.DUMMYFUNCTION("IMPORTRANGE(""https://docs.google.com/spreadsheets/d/1xoDLGBv9CYbyosIhki0kTq6IpYNj-gpjxfobnaDiut0/edit?usp=sharing"",""บึงกาฬ!L234"")"),0)</f>
        <v>0</v>
      </c>
      <c r="CH37" s="152">
        <f ca="1">IFERROR(__xludf.DUMMYFUNCTION("IMPORTRANGE(""https://docs.google.com/spreadsheets/d/1xoDLGBv9CYbyosIhki0kTq6IpYNj-gpjxfobnaDiut0/edit?usp=sharing"",""บึงกาฬ!N234"")"),0)</f>
        <v>0</v>
      </c>
      <c r="CI37" s="216">
        <f t="shared" ca="1" si="140"/>
        <v>0</v>
      </c>
      <c r="CJ37" s="152">
        <f ca="1">IFERROR(__xludf.DUMMYFUNCTION("IMPORTRANGE(""https://docs.google.com/spreadsheets/d/1xoDLGBv9CYbyosIhki0kTq6IpYNj-gpjxfobnaDiut0/edit?usp=sharing"",""บึงกาฬ!L235"")"),0)</f>
        <v>0</v>
      </c>
      <c r="CK37" s="152">
        <f ca="1">IFERROR(__xludf.DUMMYFUNCTION("IMPORTRANGE(""https://docs.google.com/spreadsheets/d/1xoDLGBv9CYbyosIhki0kTq6IpYNj-gpjxfobnaDiut0/edit?usp=sharing"",""บึงกาฬ!N235"")"),0)</f>
        <v>0</v>
      </c>
      <c r="CL37" s="216">
        <f t="shared" ca="1" si="142"/>
        <v>0</v>
      </c>
      <c r="CM37" s="251">
        <f ca="1">IFERROR(__xludf.DUMMYFUNCTION("IMPORTRANGE(""https://docs.google.com/spreadsheets/d/1xoDLGBv9CYbyosIhki0kTq6IpYNj-gpjxfobnaDiut0/edit?usp=sharing"",""บึงกาฬ!Q235"")"),0)</f>
        <v>0</v>
      </c>
      <c r="CN37" s="251">
        <f ca="1">IFERROR(__xludf.DUMMYFUNCTION("IMPORTRANGE(""https://docs.google.com/spreadsheets/d/1xoDLGBv9CYbyosIhki0kTq6IpYNj-gpjxfobnaDiut0/edit?usp=sharing"",""บึงกาฬ!S235"")"),0)</f>
        <v>0</v>
      </c>
      <c r="CO37" s="216">
        <f t="shared" ca="1" si="144"/>
        <v>0</v>
      </c>
      <c r="CP37" s="152">
        <f ca="1">IFERROR(__xludf.DUMMYFUNCTION("IMPORTRANGE(""https://docs.google.com/spreadsheets/d/1xoDLGBv9CYbyosIhki0kTq6IpYNj-gpjxfobnaDiut0/edit?usp=sharing"",""บึงกาฬ!L236"")"),0)</f>
        <v>0</v>
      </c>
      <c r="CQ37" s="152">
        <f ca="1">IFERROR(__xludf.DUMMYFUNCTION("IMPORTRANGE(""https://docs.google.com/spreadsheets/d/1xoDLGBv9CYbyosIhki0kTq6IpYNj-gpjxfobnaDiut0/edit?usp=sharing"",""บึงกาฬ!N236"")"),0)</f>
        <v>0</v>
      </c>
      <c r="CR37" s="216">
        <f t="shared" ca="1" si="146"/>
        <v>0</v>
      </c>
      <c r="CS37" s="152">
        <f ca="1">IFERROR(__xludf.DUMMYFUNCTION("IMPORTRANGE(""https://docs.google.com/spreadsheets/d/1xoDLGBv9CYbyosIhki0kTq6IpYNj-gpjxfobnaDiut0/edit?usp=sharing"",""บึงกาฬ!I238"")"),0)</f>
        <v>0</v>
      </c>
      <c r="CT37" s="152">
        <f ca="1">IFERROR(__xludf.DUMMYFUNCTION("IMPORTRANGE(""https://docs.google.com/spreadsheets/d/1xoDLGBv9CYbyosIhki0kTq6IpYNj-gpjxfobnaDiut0/edit?usp=sharing"",""บึงกาฬ!J238"")"),0)</f>
        <v>0</v>
      </c>
      <c r="CU37" s="216">
        <f t="shared" ca="1" si="148"/>
        <v>0</v>
      </c>
      <c r="CV37" s="152">
        <f ca="1">IFERROR(__xludf.DUMMYFUNCTION("IMPORTRANGE(""https://docs.google.com/spreadsheets/d/1xoDLGBv9CYbyosIhki0kTq6IpYNj-gpjxfobnaDiut0/edit?usp=sharing"",""บึงกาฬ!J240"")"),0)</f>
        <v>0</v>
      </c>
      <c r="CW37" s="152">
        <f ca="1">IFERROR(__xludf.DUMMYFUNCTION("IMPORTRANGE(""https://docs.google.com/spreadsheets/d/1xoDLGBv9CYbyosIhki0kTq6IpYNj-gpjxfobnaDiut0/edit?usp=sharing"",""บึงกาฬ!J241"")"),0)</f>
        <v>0</v>
      </c>
    </row>
    <row r="38" spans="1:101" ht="21" customHeight="1" x14ac:dyDescent="0.3">
      <c r="A38" s="147">
        <v>7</v>
      </c>
      <c r="B38" s="148" t="s">
        <v>66</v>
      </c>
      <c r="C38" s="149">
        <f t="shared" ca="1" si="90"/>
        <v>221500</v>
      </c>
      <c r="D38" s="150">
        <f t="shared" ca="1" si="178"/>
        <v>221500</v>
      </c>
      <c r="E38" s="151">
        <f ca="1">IFERROR(__xludf.DUMMYFUNCTION("IMPORTRANGE(""https://docs.google.com/spreadsheets/d/1-uDff_7J0KD5mKrp0Vvzr7lt3OU09vwQwhkpOPPYv2Y/edit?usp=sharing"",""งบพรบ!CV38"")"),182000)</f>
        <v>182000</v>
      </c>
      <c r="F38" s="151">
        <f ca="1">IFERROR(__xludf.DUMMYFUNCTION("IMPORTRANGE(""https://docs.google.com/spreadsheets/d/1-uDff_7J0KD5mKrp0Vvzr7lt3OU09vwQwhkpOPPYv2Y/edit?usp=sharing"",""งบพรบ!CW38"")"),39500)</f>
        <v>39500</v>
      </c>
      <c r="G38" s="151">
        <f ca="1">IFERROR(__xludf.DUMMYFUNCTION("IMPORTRANGE(""https://docs.google.com/spreadsheets/d/1-uDff_7J0KD5mKrp0Vvzr7lt3OU09vwQwhkpOPPYv2Y/edit?usp=sharing"",""งบพรบ!CX38"")"),0)</f>
        <v>0</v>
      </c>
      <c r="H38" s="151">
        <f ca="1">IFERROR(__xludf.DUMMYFUNCTION("IMPORTRANGE(""https://docs.google.com/spreadsheets/d/1-uDff_7J0KD5mKrp0Vvzr7lt3OU09vwQwhkpOPPYv2Y/edit?usp=sharing"",""งบพรบ!CZ38"")"),246870)</f>
        <v>246870</v>
      </c>
      <c r="I38" s="151">
        <f ca="1">IFERROR(__xludf.DUMMYFUNCTION("IMPORTRANGE(""https://docs.google.com/spreadsheets/d/1-uDff_7J0KD5mKrp0Vvzr7lt3OU09vwQwhkpOPPYv2Y/edit?usp=sharing"",""งบพรบ!DA38"")"),0)</f>
        <v>0</v>
      </c>
      <c r="J38" s="151">
        <f t="shared" ca="1" si="92"/>
        <v>225648</v>
      </c>
      <c r="K38" s="154">
        <f t="shared" ca="1" si="93"/>
        <v>101.87268623024831</v>
      </c>
      <c r="L38" s="151">
        <f ca="1">IFERROR(__xludf.DUMMYFUNCTION("IMPORTRANGE(""https://docs.google.com/spreadsheets/d/1-uDff_7J0KD5mKrp0Vvzr7lt3OU09vwQwhkpOPPYv2Y/edit?usp=sharing"",""งบพรบ!DB38"")"),225648)</f>
        <v>225648</v>
      </c>
      <c r="M38" s="68">
        <f t="shared" ca="1" si="94"/>
        <v>101.87268623024831</v>
      </c>
      <c r="N38" s="68">
        <f t="shared" ca="1" si="95"/>
        <v>91.403572730586944</v>
      </c>
      <c r="O38" s="67">
        <f ca="1">IFERROR(__xludf.DUMMYFUNCTION("IMPORTRANGE(""https://docs.google.com/spreadsheets/d/1-uDff_7J0KD5mKrp0Vvzr7lt3OU09vwQwhkpOPPYv2Y/edit?usp=sharing"",""งบพรบ!DC38"")"),0)</f>
        <v>0</v>
      </c>
      <c r="P38" s="67">
        <f t="shared" ca="1" si="96"/>
        <v>0</v>
      </c>
      <c r="Q38" s="68">
        <f t="shared" ca="1" si="97"/>
        <v>0</v>
      </c>
      <c r="R38" s="67">
        <f ca="1">IFERROR(__xludf.DUMMYFUNCTION("IMPORTRANGE(""https://docs.google.com/spreadsheets/d/1MMPq-JyI6DSgQETxuSiXkesP-P7JHuemnE6QJIa-Nlw/edit?usp=sharing"",""บุรีรัมย์!Q186"")"),77700)</f>
        <v>77700</v>
      </c>
      <c r="S38" s="67">
        <f ca="1">IFERROR(__xludf.DUMMYFUNCTION("IMPORTRANGE(""https://docs.google.com/spreadsheets/d/1MMPq-JyI6DSgQETxuSiXkesP-P7JHuemnE6QJIa-Nlw/edit?usp=sharing"",""บุรีรัมย์!R186"")"),77700)</f>
        <v>77700</v>
      </c>
      <c r="T38" s="67">
        <f ca="1">IFERROR(__xludf.DUMMYFUNCTION("IMPORTRANGE(""https://docs.google.com/spreadsheets/d/1MMPq-JyI6DSgQETxuSiXkesP-P7JHuemnE6QJIa-Nlw/edit?usp=sharing"",""บุรีรัมย์!S186"")"),68925)</f>
        <v>68925</v>
      </c>
      <c r="U38" s="68">
        <f t="shared" ca="1" si="99"/>
        <v>88.706563706563713</v>
      </c>
      <c r="V38" s="68">
        <f t="shared" ca="1" si="100"/>
        <v>88.706563706563713</v>
      </c>
      <c r="W38" s="152">
        <f ca="1">IFERROR(__xludf.DUMMYFUNCTION("IMPORTRANGE(""https://docs.google.com/spreadsheets/d/1MMPq-JyI6DSgQETxuSiXkesP-P7JHuemnE6QJIa-Nlw/edit?usp=sharing"",""บุรีรัมย์!L196"")"),6000)</f>
        <v>6000</v>
      </c>
      <c r="X38" s="152">
        <f ca="1">IFERROR(__xludf.DUMMYFUNCTION("IMPORTRANGE(""https://docs.google.com/spreadsheets/d/1MMPq-JyI6DSgQETxuSiXkesP-P7JHuemnE6QJIa-Nlw/edit?usp=sharing"",""บุรีรัมย์!N196"")"),1780)</f>
        <v>1780</v>
      </c>
      <c r="Y38" s="216">
        <f t="shared" ca="1" si="102"/>
        <v>29.666666666666668</v>
      </c>
      <c r="Z38" s="152">
        <f ca="1">IFERROR(__xludf.DUMMYFUNCTION("IMPORTRANGE(""https://docs.google.com/spreadsheets/d/1MMPq-JyI6DSgQETxuSiXkesP-P7JHuemnE6QJIa-Nlw/edit?usp=sharing"",""บุรีรัมย์!I198"")"),4)</f>
        <v>4</v>
      </c>
      <c r="AA38" s="152">
        <f ca="1">IFERROR(__xludf.DUMMYFUNCTION("IMPORTRANGE(""https://docs.google.com/spreadsheets/d/1MMPq-JyI6DSgQETxuSiXkesP-P7JHuemnE6QJIa-Nlw/edit?usp=sharing"",""บุรีรัมย์!J198"")"),4)</f>
        <v>4</v>
      </c>
      <c r="AB38" s="216">
        <f t="shared" ca="1" si="104"/>
        <v>100</v>
      </c>
      <c r="AC38" s="152">
        <f ca="1">IFERROR(__xludf.DUMMYFUNCTION("IMPORTRANGE(""https://docs.google.com/spreadsheets/d/1MMPq-JyI6DSgQETxuSiXkesP-P7JHuemnE6QJIa-Nlw/edit?usp=sharing"",""บุรีรัมย์!J199"")"),120)</f>
        <v>120</v>
      </c>
      <c r="AD38" s="152">
        <f ca="1">IFERROR(__xludf.DUMMYFUNCTION("IMPORTRANGE(""https://docs.google.com/spreadsheets/d/1MMPq-JyI6DSgQETxuSiXkesP-P7JHuemnE6QJIa-Nlw/edit?usp=sharing"",""บุรีรัมย์!J200"")"),120)</f>
        <v>120</v>
      </c>
      <c r="AE38" s="152">
        <f ca="1">IFERROR(__xludf.DUMMYFUNCTION("IMPORTRANGE(""https://docs.google.com/spreadsheets/d/1MMPq-JyI6DSgQETxuSiXkesP-P7JHuemnE6QJIa-Nlw/edit?usp=sharing"",""บุรีรัมย์!J201"")"),0)</f>
        <v>0</v>
      </c>
      <c r="AF38" s="152">
        <f ca="1">IFERROR(__xludf.DUMMYFUNCTION("IMPORTRANGE(""https://docs.google.com/spreadsheets/d/1MMPq-JyI6DSgQETxuSiXkesP-P7JHuemnE6QJIa-Nlw/edit?usp=sharing"",""บุรีรัมย์!L204"")"),2000)</f>
        <v>2000</v>
      </c>
      <c r="AG38" s="152">
        <f ca="1">IFERROR(__xludf.DUMMYFUNCTION("IMPORTRANGE(""https://docs.google.com/spreadsheets/d/1MMPq-JyI6DSgQETxuSiXkesP-P7JHuemnE6QJIa-Nlw/edit?usp=sharing"",""บุรีรัมย์!N204"")"),990)</f>
        <v>990</v>
      </c>
      <c r="AH38" s="216">
        <f t="shared" ca="1" si="106"/>
        <v>49.5</v>
      </c>
      <c r="AI38" s="152">
        <f ca="1">IFERROR(__xludf.DUMMYFUNCTION("IMPORTRANGE(""https://docs.google.com/spreadsheets/d/1MMPq-JyI6DSgQETxuSiXkesP-P7JHuemnE6QJIa-Nlw/edit?usp=sharing"",""บุรีรัมย์!L206"")"),0)</f>
        <v>0</v>
      </c>
      <c r="AJ38" s="152">
        <f ca="1">IFERROR(__xludf.DUMMYFUNCTION("IMPORTRANGE(""https://docs.google.com/spreadsheets/d/1MMPq-JyI6DSgQETxuSiXkesP-P7JHuemnE6QJIa-Nlw/edit?usp=sharing"",""บุรีรัมย์!N206"")"),0)</f>
        <v>0</v>
      </c>
      <c r="AK38" s="216">
        <f t="shared" ca="1" si="108"/>
        <v>0</v>
      </c>
      <c r="AL38" s="152">
        <f ca="1">IFERROR(__xludf.DUMMYFUNCTION("IMPORTRANGE(""https://docs.google.com/spreadsheets/d/1MMPq-JyI6DSgQETxuSiXkesP-P7JHuemnE6QJIa-Nlw/edit?usp=sharing"",""บุรีรัมย์!Q206"")"),28000)</f>
        <v>28000</v>
      </c>
      <c r="AM38" s="152">
        <f ca="1">IFERROR(__xludf.DUMMYFUNCTION("IMPORTRANGE(""https://docs.google.com/spreadsheets/d/1MMPq-JyI6DSgQETxuSiXkesP-P7JHuemnE6QJIa-Nlw/edit?usp=sharing"",""บุรีรัมย์!S206"")"),20125)</f>
        <v>20125</v>
      </c>
      <c r="AN38" s="216">
        <f t="shared" ca="1" si="110"/>
        <v>71.875</v>
      </c>
      <c r="AO38" s="152">
        <f ca="1">IFERROR(__xludf.DUMMYFUNCTION("IMPORTRANGE(""https://docs.google.com/spreadsheets/d/1MMPq-JyI6DSgQETxuSiXkesP-P7JHuemnE6QJIa-Nlw/edit?usp=sharing"",""บุรีรัมย์!L207"")"),13000)</f>
        <v>13000</v>
      </c>
      <c r="AP38" s="152">
        <f ca="1">IFERROR(__xludf.DUMMYFUNCTION("IMPORTRANGE(""https://docs.google.com/spreadsheets/d/1MMPq-JyI6DSgQETxuSiXkesP-P7JHuemnE6QJIa-Nlw/edit?usp=sharing"",""บุรีรัมย์!N207"")"),13000)</f>
        <v>13000</v>
      </c>
      <c r="AQ38" s="216">
        <f t="shared" ca="1" si="112"/>
        <v>100</v>
      </c>
      <c r="AR38" s="152">
        <f ca="1">IFERROR(__xludf.DUMMYFUNCTION("IMPORTRANGE(""https://docs.google.com/spreadsheets/d/1MMPq-JyI6DSgQETxuSiXkesP-P7JHuemnE6QJIa-Nlw/edit?usp=sharing"",""บุรีรัมย์!I209"")"),2)</f>
        <v>2</v>
      </c>
      <c r="AS38" s="152">
        <f ca="1">IFERROR(__xludf.DUMMYFUNCTION("IMPORTRANGE(""https://docs.google.com/spreadsheets/d/1MMPq-JyI6DSgQETxuSiXkesP-P7JHuemnE6QJIa-Nlw/edit?usp=sharing"",""บุรีรัมย์!J209"")"),2)</f>
        <v>2</v>
      </c>
      <c r="AT38" s="216">
        <f t="shared" ca="1" si="114"/>
        <v>100</v>
      </c>
      <c r="AU38" s="152">
        <f ca="1">IFERROR(__xludf.DUMMYFUNCTION("IMPORTRANGE(""https://docs.google.com/spreadsheets/d/1MMPq-JyI6DSgQETxuSiXkesP-P7JHuemnE6QJIa-Nlw/edit?usp=sharing"",""บุรีรัมย์!J211"")"),2)</f>
        <v>2</v>
      </c>
      <c r="AV38" s="152">
        <f ca="1">IFERROR(__xludf.DUMMYFUNCTION("IMPORTRANGE(""https://docs.google.com/spreadsheets/d/1MMPq-JyI6DSgQETxuSiXkesP-P7JHuemnE6QJIa-Nlw/edit?usp=sharing"",""บุรีรัมย์!J212"")"),0)</f>
        <v>0</v>
      </c>
      <c r="AW38" s="152">
        <f ca="1">IFERROR(__xludf.DUMMYFUNCTION("IMPORTRANGE(""https://docs.google.com/spreadsheets/d/1MMPq-JyI6DSgQETxuSiXkesP-P7JHuemnE6QJIa-Nlw/edit?usp=sharing"",""บุรีรัมย์!L215"")"),1000)</f>
        <v>1000</v>
      </c>
      <c r="AX38" s="152">
        <f ca="1">IFERROR(__xludf.DUMMYFUNCTION("IMPORTRANGE(""https://docs.google.com/spreadsheets/d/1MMPq-JyI6DSgQETxuSiXkesP-P7JHuemnE6QJIa-Nlw/edit?usp=sharing"",""บุรีรัมย์!N215"")"),900)</f>
        <v>900</v>
      </c>
      <c r="AY38" s="216">
        <f t="shared" ca="1" si="116"/>
        <v>90</v>
      </c>
      <c r="AZ38" s="152">
        <f ca="1">IFERROR(__xludf.DUMMYFUNCTION("IMPORTRANGE(""https://docs.google.com/spreadsheets/d/1MMPq-JyI6DSgQETxuSiXkesP-P7JHuemnE6QJIa-Nlw/edit?usp=sharing"",""บุรีรัมย์!L216"")"),5000)</f>
        <v>5000</v>
      </c>
      <c r="BA38" s="152">
        <f ca="1">IFERROR(__xludf.DUMMYFUNCTION("IMPORTRANGE(""https://docs.google.com/spreadsheets/d/1MMPq-JyI6DSgQETxuSiXkesP-P7JHuemnE6QJIa-Nlw/edit?usp=sharing"",""บุรีรัมย์!N216"")"),0)</f>
        <v>0</v>
      </c>
      <c r="BB38" s="216">
        <f t="shared" ca="1" si="118"/>
        <v>0</v>
      </c>
      <c r="BC38" s="152">
        <f ca="1">IFERROR(__xludf.DUMMYFUNCTION("IMPORTRANGE(""https://docs.google.com/spreadsheets/d/1MMPq-JyI6DSgQETxuSiXkesP-P7JHuemnE6QJIa-Nlw/edit?usp=sharing"",""บุรีรัมย์!L217"")"),0)</f>
        <v>0</v>
      </c>
      <c r="BD38" s="152">
        <f ca="1">IFERROR(__xludf.DUMMYFUNCTION("IMPORTRANGE(""https://docs.google.com/spreadsheets/d/1MMPq-JyI6DSgQETxuSiXkesP-P7JHuemnE6QJIa-Nlw/edit?usp=sharing"",""บุรีรัมย์!N217"")"),0)</f>
        <v>0</v>
      </c>
      <c r="BE38" s="216">
        <f t="shared" ca="1" si="120"/>
        <v>0</v>
      </c>
      <c r="BF38" s="152">
        <f ca="1">IFERROR(__xludf.DUMMYFUNCTION("IMPORTRANGE(""https://docs.google.com/spreadsheets/d/1MMPq-JyI6DSgQETxuSiXkesP-P7JHuemnE6QJIa-Nlw/edit?usp=sharing"",""บุรีรัมย์!Q217"")"),49700)</f>
        <v>49700</v>
      </c>
      <c r="BG38" s="152">
        <f ca="1">IFERROR(__xludf.DUMMYFUNCTION("IMPORTRANGE(""https://docs.google.com/spreadsheets/d/1MMPq-JyI6DSgQETxuSiXkesP-P7JHuemnE6QJIa-Nlw/edit?usp=sharing"",""บุรีรัมย์!S217"")"),48800)</f>
        <v>48800</v>
      </c>
      <c r="BH38" s="216">
        <f t="shared" ca="1" si="122"/>
        <v>98.189134808853112</v>
      </c>
      <c r="BI38" s="152">
        <f ca="1">IFERROR(__xludf.DUMMYFUNCTION("IMPORTRANGE(""https://docs.google.com/spreadsheets/d/1MMPq-JyI6DSgQETxuSiXkesP-P7JHuemnE6QJIa-Nlw/edit?usp=sharing"",""บุรีรัมย์!I219"")"),1)</f>
        <v>1</v>
      </c>
      <c r="BJ38" s="152">
        <f ca="1">IFERROR(__xludf.DUMMYFUNCTION("IMPORTRANGE(""https://docs.google.com/spreadsheets/d/1MMPq-JyI6DSgQETxuSiXkesP-P7JHuemnE6QJIa-Nlw/edit?usp=sharing"",""บุรีรัมย์!J219"")"),0)</f>
        <v>0</v>
      </c>
      <c r="BK38" s="216">
        <f t="shared" ca="1" si="124"/>
        <v>0</v>
      </c>
      <c r="BL38" s="152">
        <f ca="1">IFERROR(__xludf.DUMMYFUNCTION("IMPORTRANGE(""https://docs.google.com/spreadsheets/d/1MMPq-JyI6DSgQETxuSiXkesP-P7JHuemnE6QJIa-Nlw/edit?usp=sharing"",""บุรีรัมย์!I220"")"),1)</f>
        <v>1</v>
      </c>
      <c r="BM38" s="152">
        <f ca="1">IFERROR(__xludf.DUMMYFUNCTION("IMPORTRANGE(""https://docs.google.com/spreadsheets/d/1MMPq-JyI6DSgQETxuSiXkesP-P7JHuemnE6QJIa-Nlw/edit?usp=sharing"",""บุรีรัมย์!J220"")"),1)</f>
        <v>1</v>
      </c>
      <c r="BN38" s="216">
        <f t="shared" ca="1" si="126"/>
        <v>100</v>
      </c>
      <c r="BO38" s="152">
        <f ca="1">IFERROR(__xludf.DUMMYFUNCTION("IMPORTRANGE(""https://docs.google.com/spreadsheets/d/1MMPq-JyI6DSgQETxuSiXkesP-P7JHuemnE6QJIa-Nlw/edit?usp=sharing"",""บุรีรัมย์!L223"")"),2500)</f>
        <v>2500</v>
      </c>
      <c r="BP38" s="152">
        <f ca="1">IFERROR(__xludf.DUMMYFUNCTION("IMPORTRANGE(""https://docs.google.com/spreadsheets/d/1MMPq-JyI6DSgQETxuSiXkesP-P7JHuemnE6QJIa-Nlw/edit?usp=sharing"",""บุรีรัมย์!N223"")"),900)</f>
        <v>900</v>
      </c>
      <c r="BQ38" s="216">
        <f t="shared" ca="1" si="128"/>
        <v>36</v>
      </c>
      <c r="BR38" s="152">
        <f ca="1">IFERROR(__xludf.DUMMYFUNCTION("IMPORTRANGE(""https://docs.google.com/spreadsheets/d/1MMPq-JyI6DSgQETxuSiXkesP-P7JHuemnE6QJIa-Nlw/edit?usp=sharing"",""บุรีรัมย์!L224"")"),10000)</f>
        <v>10000</v>
      </c>
      <c r="BS38" s="152">
        <f ca="1">IFERROR(__xludf.DUMMYFUNCTION("IMPORTRANGE(""https://docs.google.com/spreadsheets/d/1MMPq-JyI6DSgQETxuSiXkesP-P7JHuemnE6QJIa-Nlw/edit?usp=sharing"",""บุรีรัมย์!N224"")"),10000)</f>
        <v>10000</v>
      </c>
      <c r="BT38" s="216">
        <f t="shared" ca="1" si="130"/>
        <v>100</v>
      </c>
      <c r="BU38" s="152">
        <f ca="1">IFERROR(__xludf.DUMMYFUNCTION("IMPORTRANGE(""https://docs.google.com/spreadsheets/d/1MMPq-JyI6DSgQETxuSiXkesP-P7JHuemnE6QJIa-Nlw/edit?usp=sharing"",""บุรีรัมย์!I228"")"),100000)</f>
        <v>100000</v>
      </c>
      <c r="BV38" s="152">
        <f ca="1">IFERROR(__xludf.DUMMYFUNCTION("IMPORTRANGE(""https://docs.google.com/spreadsheets/d/1MMPq-JyI6DSgQETxuSiXkesP-P7JHuemnE6QJIa-Nlw/edit?usp=sharing"",""บุรีรัมย์!J228"")"),100000)</f>
        <v>100000</v>
      </c>
      <c r="BW38" s="216">
        <f t="shared" ca="1" si="132"/>
        <v>100</v>
      </c>
      <c r="BX38" s="152">
        <f ca="1">IFERROR(__xludf.DUMMYFUNCTION("IMPORTRANGE(""https://docs.google.com/spreadsheets/d/1MMPq-JyI6DSgQETxuSiXkesP-P7JHuemnE6QJIa-Nlw/edit?usp=sharing"",""บุรีรัมย์!I229"")"),100000)</f>
        <v>100000</v>
      </c>
      <c r="BY38" s="152">
        <f ca="1">IFERROR(__xludf.DUMMYFUNCTION("IMPORTRANGE(""https://docs.google.com/spreadsheets/d/1MMPq-JyI6DSgQETxuSiXkesP-P7JHuemnE6QJIa-Nlw/edit?usp=sharing"",""บุรีรัมย์!J229"")"),100000)</f>
        <v>100000</v>
      </c>
      <c r="BZ38" s="216">
        <f t="shared" ca="1" si="134"/>
        <v>100</v>
      </c>
      <c r="CA38" s="152">
        <f ca="1">IFERROR(__xludf.DUMMYFUNCTION("IMPORTRANGE(""https://docs.google.com/spreadsheets/d/1MMPq-JyI6DSgQETxuSiXkesP-P7JHuemnE6QJIa-Nlw/edit?usp=sharing"",""บุรีรัมย์!I230"")"),0)</f>
        <v>0</v>
      </c>
      <c r="CB38" s="152">
        <f ca="1">IFERROR(__xludf.DUMMYFUNCTION("IMPORTRANGE(""https://docs.google.com/spreadsheets/d/1MMPq-JyI6DSgQETxuSiXkesP-P7JHuemnE6QJIa-Nlw/edit?usp=sharing"",""บุรีรัมย์!J230"")"),0)</f>
        <v>0</v>
      </c>
      <c r="CC38" s="216">
        <f t="shared" ca="1" si="136"/>
        <v>0</v>
      </c>
      <c r="CD38" s="152">
        <f ca="1">IFERROR(__xludf.DUMMYFUNCTION("IMPORTRANGE(""https://docs.google.com/spreadsheets/d/1MMPq-JyI6DSgQETxuSiXkesP-P7JHuemnE6QJIa-Nlw/edit?usp=sharing"",""บุรีรัมย์!L233"")"),0)</f>
        <v>0</v>
      </c>
      <c r="CE38" s="152">
        <f ca="1">IFERROR(__xludf.DUMMYFUNCTION("IMPORTRANGE(""https://docs.google.com/spreadsheets/d/1MMPq-JyI6DSgQETxuSiXkesP-P7JHuemnE6QJIa-Nlw/edit?usp=sharing"",""บุรีรัมย์!N233"")"),0)</f>
        <v>0</v>
      </c>
      <c r="CF38" s="216">
        <f t="shared" ca="1" si="138"/>
        <v>0</v>
      </c>
      <c r="CG38" s="152">
        <f ca="1">IFERROR(__xludf.DUMMYFUNCTION("IMPORTRANGE(""https://docs.google.com/spreadsheets/d/1MMPq-JyI6DSgQETxuSiXkesP-P7JHuemnE6QJIa-Nlw/edit?usp=sharing"",""บุรีรัมย์!L234"")"),0)</f>
        <v>0</v>
      </c>
      <c r="CH38" s="152">
        <f ca="1">IFERROR(__xludf.DUMMYFUNCTION("IMPORTRANGE(""https://docs.google.com/spreadsheets/d/1MMPq-JyI6DSgQETxuSiXkesP-P7JHuemnE6QJIa-Nlw/edit?usp=sharing"",""บุรีรัมย์!N234"")"),0)</f>
        <v>0</v>
      </c>
      <c r="CI38" s="216">
        <f t="shared" ca="1" si="140"/>
        <v>0</v>
      </c>
      <c r="CJ38" s="152">
        <f ca="1">IFERROR(__xludf.DUMMYFUNCTION("IMPORTRANGE(""https://docs.google.com/spreadsheets/d/1MMPq-JyI6DSgQETxuSiXkesP-P7JHuemnE6QJIa-Nlw/edit?usp=sharing"",""บุรีรัมย์!L235"")"),0)</f>
        <v>0</v>
      </c>
      <c r="CK38" s="152">
        <f ca="1">IFERROR(__xludf.DUMMYFUNCTION("IMPORTRANGE(""https://docs.google.com/spreadsheets/d/1MMPq-JyI6DSgQETxuSiXkesP-P7JHuemnE6QJIa-Nlw/edit?usp=sharing"",""บุรีรัมย์!N235"")"),0)</f>
        <v>0</v>
      </c>
      <c r="CL38" s="216">
        <f t="shared" ca="1" si="142"/>
        <v>0</v>
      </c>
      <c r="CM38" s="251">
        <f ca="1">IFERROR(__xludf.DUMMYFUNCTION("IMPORTRANGE(""https://docs.google.com/spreadsheets/d/1MMPq-JyI6DSgQETxuSiXkesP-P7JHuemnE6QJIa-Nlw/edit?usp=sharing"",""บุรีรัมย์!Q235"")"),0)</f>
        <v>0</v>
      </c>
      <c r="CN38" s="251">
        <f ca="1">IFERROR(__xludf.DUMMYFUNCTION("IMPORTRANGE(""https://docs.google.com/spreadsheets/d/1MMPq-JyI6DSgQETxuSiXkesP-P7JHuemnE6QJIa-Nlw/edit?usp=sharing"",""บุรีรัมย์!S235"")"),0)</f>
        <v>0</v>
      </c>
      <c r="CO38" s="216">
        <f t="shared" ca="1" si="144"/>
        <v>0</v>
      </c>
      <c r="CP38" s="152">
        <f ca="1">IFERROR(__xludf.DUMMYFUNCTION("IMPORTRANGE(""https://docs.google.com/spreadsheets/d/1MMPq-JyI6DSgQETxuSiXkesP-P7JHuemnE6QJIa-Nlw/edit?usp=sharing"",""บุรีรัมย์!L236"")"),0)</f>
        <v>0</v>
      </c>
      <c r="CQ38" s="152">
        <f ca="1">IFERROR(__xludf.DUMMYFUNCTION("IMPORTRANGE(""https://docs.google.com/spreadsheets/d/1MMPq-JyI6DSgQETxuSiXkesP-P7JHuemnE6QJIa-Nlw/edit?usp=sharing"",""บุรีรัมย์!N236"")"),0)</f>
        <v>0</v>
      </c>
      <c r="CR38" s="216">
        <f t="shared" ca="1" si="146"/>
        <v>0</v>
      </c>
      <c r="CS38" s="152">
        <f ca="1">IFERROR(__xludf.DUMMYFUNCTION("IMPORTRANGE(""https://docs.google.com/spreadsheets/d/1MMPq-JyI6DSgQETxuSiXkesP-P7JHuemnE6QJIa-Nlw/edit?usp=sharing"",""บุรีรัมย์!I238"")"),0)</f>
        <v>0</v>
      </c>
      <c r="CT38" s="152">
        <f ca="1">IFERROR(__xludf.DUMMYFUNCTION("IMPORTRANGE(""https://docs.google.com/spreadsheets/d/1MMPq-JyI6DSgQETxuSiXkesP-P7JHuemnE6QJIa-Nlw/edit?usp=sharing"",""บุรีรัมย์!J238"")"),0)</f>
        <v>0</v>
      </c>
      <c r="CU38" s="216">
        <f t="shared" ca="1" si="148"/>
        <v>0</v>
      </c>
      <c r="CV38" s="152">
        <f ca="1">IFERROR(__xludf.DUMMYFUNCTION("IMPORTRANGE(""https://docs.google.com/spreadsheets/d/1MMPq-JyI6DSgQETxuSiXkesP-P7JHuemnE6QJIa-Nlw/edit?usp=sharing"",""บุรีรัมย์!J240"")"),0)</f>
        <v>0</v>
      </c>
      <c r="CW38" s="152">
        <f ca="1">IFERROR(__xludf.DUMMYFUNCTION("IMPORTRANGE(""https://docs.google.com/spreadsheets/d/1MMPq-JyI6DSgQETxuSiXkesP-P7JHuemnE6QJIa-Nlw/edit?usp=sharing"",""บุรีรัมย์!J241"")"),0)</f>
        <v>0</v>
      </c>
    </row>
    <row r="39" spans="1:101" ht="21" customHeight="1" x14ac:dyDescent="0.3">
      <c r="A39" s="147">
        <v>8</v>
      </c>
      <c r="B39" s="148" t="s">
        <v>67</v>
      </c>
      <c r="C39" s="149">
        <f t="shared" ca="1" si="90"/>
        <v>27500</v>
      </c>
      <c r="D39" s="150">
        <f t="shared" ca="1" si="178"/>
        <v>27500</v>
      </c>
      <c r="E39" s="151">
        <f ca="1">IFERROR(__xludf.DUMMYFUNCTION("IMPORTRANGE(""https://docs.google.com/spreadsheets/d/1-uDff_7J0KD5mKrp0Vvzr7lt3OU09vwQwhkpOPPYv2Y/edit?usp=sharing"",""งบพรบ!CV39"")"),0)</f>
        <v>0</v>
      </c>
      <c r="F39" s="151">
        <f ca="1">IFERROR(__xludf.DUMMYFUNCTION("IMPORTRANGE(""https://docs.google.com/spreadsheets/d/1-uDff_7J0KD5mKrp0Vvzr7lt3OU09vwQwhkpOPPYv2Y/edit?usp=sharing"",""งบพรบ!CW39"")"),27500)</f>
        <v>27500</v>
      </c>
      <c r="G39" s="151">
        <f ca="1">IFERROR(__xludf.DUMMYFUNCTION("IMPORTRANGE(""https://docs.google.com/spreadsheets/d/1-uDff_7J0KD5mKrp0Vvzr7lt3OU09vwQwhkpOPPYv2Y/edit?usp=sharing"",""งบพรบ!CX39"")"),0)</f>
        <v>0</v>
      </c>
      <c r="H39" s="151">
        <f ca="1">IFERROR(__xludf.DUMMYFUNCTION("IMPORTRANGE(""https://docs.google.com/spreadsheets/d/1-uDff_7J0KD5mKrp0Vvzr7lt3OU09vwQwhkpOPPYv2Y/edit?usp=sharing"",""งบพรบ!CZ39"")"),29500)</f>
        <v>29500</v>
      </c>
      <c r="I39" s="151">
        <f ca="1">IFERROR(__xludf.DUMMYFUNCTION("IMPORTRANGE(""https://docs.google.com/spreadsheets/d/1-uDff_7J0KD5mKrp0Vvzr7lt3OU09vwQwhkpOPPYv2Y/edit?usp=sharing"",""งบพรบ!DA39"")"),0)</f>
        <v>0</v>
      </c>
      <c r="J39" s="151">
        <f t="shared" ca="1" si="92"/>
        <v>27341</v>
      </c>
      <c r="K39" s="154">
        <f t="shared" ca="1" si="93"/>
        <v>99.421818181818182</v>
      </c>
      <c r="L39" s="151">
        <f ca="1">IFERROR(__xludf.DUMMYFUNCTION("IMPORTRANGE(""https://docs.google.com/spreadsheets/d/1-uDff_7J0KD5mKrp0Vvzr7lt3OU09vwQwhkpOPPYv2Y/edit?usp=sharing"",""งบพรบ!DB39"")"),27341)</f>
        <v>27341</v>
      </c>
      <c r="M39" s="68">
        <f t="shared" ca="1" si="94"/>
        <v>99.421818181818182</v>
      </c>
      <c r="N39" s="68">
        <f t="shared" ca="1" si="95"/>
        <v>92.681355932203388</v>
      </c>
      <c r="O39" s="67">
        <f ca="1">IFERROR(__xludf.DUMMYFUNCTION("IMPORTRANGE(""https://docs.google.com/spreadsheets/d/1-uDff_7J0KD5mKrp0Vvzr7lt3OU09vwQwhkpOPPYv2Y/edit?usp=sharing"",""งบพรบ!DC39"")"),0)</f>
        <v>0</v>
      </c>
      <c r="P39" s="67">
        <f t="shared" ca="1" si="96"/>
        <v>0</v>
      </c>
      <c r="Q39" s="68">
        <f t="shared" ca="1" si="97"/>
        <v>0</v>
      </c>
      <c r="R39" s="67">
        <f ca="1">IFERROR(__xludf.DUMMYFUNCTION("IMPORTRANGE(""https://docs.google.com/spreadsheets/d/1l6IZ8xUPgMrESzcTYwhA1k_tPjeQjJPTqlm8Gd9eU5g/edit?usp=sharing"",""มหาสารคาม!Q186"")"),28000)</f>
        <v>28000</v>
      </c>
      <c r="S39" s="67">
        <f ca="1">IFERROR(__xludf.DUMMYFUNCTION("IMPORTRANGE(""https://docs.google.com/spreadsheets/d/1l6IZ8xUPgMrESzcTYwhA1k_tPjeQjJPTqlm8Gd9eU5g/edit?usp=sharing"",""มหาสารคาม!R186"")"),28000)</f>
        <v>28000</v>
      </c>
      <c r="T39" s="67">
        <f ca="1">IFERROR(__xludf.DUMMYFUNCTION("IMPORTRANGE(""https://docs.google.com/spreadsheets/d/1l6IZ8xUPgMrESzcTYwhA1k_tPjeQjJPTqlm8Gd9eU5g/edit?usp=sharing"",""มหาสารคาม!S186"")"),26590)</f>
        <v>26590</v>
      </c>
      <c r="U39" s="68">
        <f t="shared" ca="1" si="99"/>
        <v>94.964285714285708</v>
      </c>
      <c r="V39" s="68">
        <f t="shared" ca="1" si="100"/>
        <v>94.964285714285708</v>
      </c>
      <c r="W39" s="152">
        <f ca="1">IFERROR(__xludf.DUMMYFUNCTION("IMPORTRANGE(""https://docs.google.com/spreadsheets/d/1l6IZ8xUPgMrESzcTYwhA1k_tPjeQjJPTqlm8Gd9eU5g/edit?usp=sharing"",""มหาสารคาม!L196"")"),6000)</f>
        <v>6000</v>
      </c>
      <c r="X39" s="152">
        <f ca="1">IFERROR(__xludf.DUMMYFUNCTION("IMPORTRANGE(""https://docs.google.com/spreadsheets/d/1l6IZ8xUPgMrESzcTYwhA1k_tPjeQjJPTqlm8Gd9eU5g/edit?usp=sharing"",""มหาสารคาม!N196"")"),5700)</f>
        <v>5700</v>
      </c>
      <c r="Y39" s="216">
        <f t="shared" ca="1" si="102"/>
        <v>95</v>
      </c>
      <c r="Z39" s="152">
        <f ca="1">IFERROR(__xludf.DUMMYFUNCTION("IMPORTRANGE(""https://docs.google.com/spreadsheets/d/1l6IZ8xUPgMrESzcTYwhA1k_tPjeQjJPTqlm8Gd9eU5g/edit?usp=sharing"",""มหาสารคาม!I198"")"),4)</f>
        <v>4</v>
      </c>
      <c r="AA39" s="152">
        <f ca="1">IFERROR(__xludf.DUMMYFUNCTION("IMPORTRANGE(""https://docs.google.com/spreadsheets/d/1l6IZ8xUPgMrESzcTYwhA1k_tPjeQjJPTqlm8Gd9eU5g/edit?usp=sharing"",""มหาสารคาม!J198"")"),4)</f>
        <v>4</v>
      </c>
      <c r="AB39" s="216">
        <f t="shared" ca="1" si="104"/>
        <v>100</v>
      </c>
      <c r="AC39" s="152">
        <f ca="1">IFERROR(__xludf.DUMMYFUNCTION("IMPORTRANGE(""https://docs.google.com/spreadsheets/d/1l6IZ8xUPgMrESzcTYwhA1k_tPjeQjJPTqlm8Gd9eU5g/edit?usp=sharing"",""มหาสารคาม!J199"")"),121)</f>
        <v>121</v>
      </c>
      <c r="AD39" s="152">
        <f ca="1">IFERROR(__xludf.DUMMYFUNCTION("IMPORTRANGE(""https://docs.google.com/spreadsheets/d/1l6IZ8xUPgMrESzcTYwhA1k_tPjeQjJPTqlm8Gd9eU5g/edit?usp=sharing"",""มหาสารคาม!J200"")"),121)</f>
        <v>121</v>
      </c>
      <c r="AE39" s="152">
        <f ca="1">IFERROR(__xludf.DUMMYFUNCTION("IMPORTRANGE(""https://docs.google.com/spreadsheets/d/1l6IZ8xUPgMrESzcTYwhA1k_tPjeQjJPTqlm8Gd9eU5g/edit?usp=sharing"",""มหาสารคาม!J201"")"),0)</f>
        <v>0</v>
      </c>
      <c r="AF39" s="152">
        <f ca="1">IFERROR(__xludf.DUMMYFUNCTION("IMPORTRANGE(""https://docs.google.com/spreadsheets/d/1l6IZ8xUPgMrESzcTYwhA1k_tPjeQjJPTqlm8Gd9eU5g/edit?usp=sharing"",""มหาสารคาม!L204"")"),2000)</f>
        <v>2000</v>
      </c>
      <c r="AG39" s="152">
        <f ca="1">IFERROR(__xludf.DUMMYFUNCTION("IMPORTRANGE(""https://docs.google.com/spreadsheets/d/1l6IZ8xUPgMrESzcTYwhA1k_tPjeQjJPTqlm8Gd9eU5g/edit?usp=sharing"",""มหาสารคาม!N204"")"),0)</f>
        <v>0</v>
      </c>
      <c r="AH39" s="216">
        <f t="shared" ca="1" si="106"/>
        <v>0</v>
      </c>
      <c r="AI39" s="152">
        <f ca="1">IFERROR(__xludf.DUMMYFUNCTION("IMPORTRANGE(""https://docs.google.com/spreadsheets/d/1l6IZ8xUPgMrESzcTYwhA1k_tPjeQjJPTqlm8Gd9eU5g/edit?usp=sharing"",""มหาสารคาม!L206"")"),0)</f>
        <v>0</v>
      </c>
      <c r="AJ39" s="152">
        <f ca="1">IFERROR(__xludf.DUMMYFUNCTION("IMPORTRANGE(""https://docs.google.com/spreadsheets/d/1l6IZ8xUPgMrESzcTYwhA1k_tPjeQjJPTqlm8Gd9eU5g/edit?usp=sharing"",""มหาสารคาม!N206"")"),0)</f>
        <v>0</v>
      </c>
      <c r="AK39" s="216">
        <f t="shared" ca="1" si="108"/>
        <v>0</v>
      </c>
      <c r="AL39" s="152">
        <f ca="1">IFERROR(__xludf.DUMMYFUNCTION("IMPORTRANGE(""https://docs.google.com/spreadsheets/d/1l6IZ8xUPgMrESzcTYwhA1k_tPjeQjJPTqlm8Gd9eU5g/edit?usp=sharing"",""มหาสารคาม!Q206"")"),28000)</f>
        <v>28000</v>
      </c>
      <c r="AM39" s="152">
        <f ca="1">IFERROR(__xludf.DUMMYFUNCTION("IMPORTRANGE(""https://docs.google.com/spreadsheets/d/1l6IZ8xUPgMrESzcTYwhA1k_tPjeQjJPTqlm8Gd9eU5g/edit?usp=sharing"",""มหาสารคาม!S206"")"),28000)</f>
        <v>28000</v>
      </c>
      <c r="AN39" s="216">
        <f t="shared" ca="1" si="110"/>
        <v>100</v>
      </c>
      <c r="AO39" s="152">
        <f ca="1">IFERROR(__xludf.DUMMYFUNCTION("IMPORTRANGE(""https://docs.google.com/spreadsheets/d/1l6IZ8xUPgMrESzcTYwhA1k_tPjeQjJPTqlm8Gd9eU5g/edit?usp=sharing"",""มหาสารคาม!L207"")"),11000)</f>
        <v>11000</v>
      </c>
      <c r="AP39" s="152">
        <f ca="1">IFERROR(__xludf.DUMMYFUNCTION("IMPORTRANGE(""https://docs.google.com/spreadsheets/d/1l6IZ8xUPgMrESzcTYwhA1k_tPjeQjJPTqlm8Gd9eU5g/edit?usp=sharing"",""มหาสารคาม!N207"")"),11000)</f>
        <v>11000</v>
      </c>
      <c r="AQ39" s="216">
        <f t="shared" ca="1" si="112"/>
        <v>100</v>
      </c>
      <c r="AR39" s="152">
        <f ca="1">IFERROR(__xludf.DUMMYFUNCTION("IMPORTRANGE(""https://docs.google.com/spreadsheets/d/1l6IZ8xUPgMrESzcTYwhA1k_tPjeQjJPTqlm8Gd9eU5g/edit?usp=sharing"",""มหาสารคาม!I209"")"),2)</f>
        <v>2</v>
      </c>
      <c r="AS39" s="152">
        <f ca="1">IFERROR(__xludf.DUMMYFUNCTION("IMPORTRANGE(""https://docs.google.com/spreadsheets/d/1l6IZ8xUPgMrESzcTYwhA1k_tPjeQjJPTqlm8Gd9eU5g/edit?usp=sharing"",""มหาสารคาม!J209"")"),2)</f>
        <v>2</v>
      </c>
      <c r="AT39" s="216">
        <f t="shared" ca="1" si="114"/>
        <v>100</v>
      </c>
      <c r="AU39" s="152">
        <f ca="1">IFERROR(__xludf.DUMMYFUNCTION("IMPORTRANGE(""https://docs.google.com/spreadsheets/d/1l6IZ8xUPgMrESzcTYwhA1k_tPjeQjJPTqlm8Gd9eU5g/edit?usp=sharing"",""มหาสารคาม!J211"")"),2)</f>
        <v>2</v>
      </c>
      <c r="AV39" s="152">
        <f ca="1">IFERROR(__xludf.DUMMYFUNCTION("IMPORTRANGE(""https://docs.google.com/spreadsheets/d/1l6IZ8xUPgMrESzcTYwhA1k_tPjeQjJPTqlm8Gd9eU5g/edit?usp=sharing"",""มหาสารคาม!J212"")"),1)</f>
        <v>1</v>
      </c>
      <c r="AW39" s="152">
        <f ca="1">IFERROR(__xludf.DUMMYFUNCTION("IMPORTRANGE(""https://docs.google.com/spreadsheets/d/1l6IZ8xUPgMrESzcTYwhA1k_tPjeQjJPTqlm8Gd9eU5g/edit?usp=sharing"",""มหาสารคาม!L215"")"),0)</f>
        <v>0</v>
      </c>
      <c r="AX39" s="152">
        <f ca="1">IFERROR(__xludf.DUMMYFUNCTION("IMPORTRANGE(""https://docs.google.com/spreadsheets/d/1l6IZ8xUPgMrESzcTYwhA1k_tPjeQjJPTqlm8Gd9eU5g/edit?usp=sharing"",""มหาสารคาม!N215"")"),0)</f>
        <v>0</v>
      </c>
      <c r="AY39" s="216">
        <f t="shared" ca="1" si="116"/>
        <v>0</v>
      </c>
      <c r="AZ39" s="152">
        <f ca="1">IFERROR(__xludf.DUMMYFUNCTION("IMPORTRANGE(""https://docs.google.com/spreadsheets/d/1l6IZ8xUPgMrESzcTYwhA1k_tPjeQjJPTqlm8Gd9eU5g/edit?usp=sharing"",""มหาสารคาม!L216"")"),0)</f>
        <v>0</v>
      </c>
      <c r="BA39" s="152">
        <f ca="1">IFERROR(__xludf.DUMMYFUNCTION("IMPORTRANGE(""https://docs.google.com/spreadsheets/d/1l6IZ8xUPgMrESzcTYwhA1k_tPjeQjJPTqlm8Gd9eU5g/edit?usp=sharing"",""มหาสารคาม!N216"")"),0)</f>
        <v>0</v>
      </c>
      <c r="BB39" s="216">
        <f t="shared" ca="1" si="118"/>
        <v>0</v>
      </c>
      <c r="BC39" s="152">
        <f ca="1">IFERROR(__xludf.DUMMYFUNCTION("IMPORTRANGE(""https://docs.google.com/spreadsheets/d/1l6IZ8xUPgMrESzcTYwhA1k_tPjeQjJPTqlm8Gd9eU5g/edit?usp=sharing"",""มหาสารคาม!L217"")"),0)</f>
        <v>0</v>
      </c>
      <c r="BD39" s="152">
        <f ca="1">IFERROR(__xludf.DUMMYFUNCTION("IMPORTRANGE(""https://docs.google.com/spreadsheets/d/1l6IZ8xUPgMrESzcTYwhA1k_tPjeQjJPTqlm8Gd9eU5g/edit?usp=sharing"",""มหาสารคาม!N217"")"),0)</f>
        <v>0</v>
      </c>
      <c r="BE39" s="216">
        <f t="shared" ca="1" si="120"/>
        <v>0</v>
      </c>
      <c r="BF39" s="152">
        <f ca="1">IFERROR(__xludf.DUMMYFUNCTION("IMPORTRANGE(""https://docs.google.com/spreadsheets/d/1l6IZ8xUPgMrESzcTYwhA1k_tPjeQjJPTqlm8Gd9eU5g/edit?usp=sharing"",""มหาสารคาม!Q217"")"),0)</f>
        <v>0</v>
      </c>
      <c r="BG39" s="152">
        <f ca="1">IFERROR(__xludf.DUMMYFUNCTION("IMPORTRANGE(""https://docs.google.com/spreadsheets/d/1l6IZ8xUPgMrESzcTYwhA1k_tPjeQjJPTqlm8Gd9eU5g/edit?usp=sharing"",""มหาสารคาม!S217"")"),0)</f>
        <v>0</v>
      </c>
      <c r="BH39" s="216">
        <f t="shared" ca="1" si="122"/>
        <v>0</v>
      </c>
      <c r="BI39" s="152">
        <f ca="1">IFERROR(__xludf.DUMMYFUNCTION("IMPORTRANGE(""https://docs.google.com/spreadsheets/d/1l6IZ8xUPgMrESzcTYwhA1k_tPjeQjJPTqlm8Gd9eU5g/edit?usp=sharing"",""มหาสารคาม!I219"")"),0)</f>
        <v>0</v>
      </c>
      <c r="BJ39" s="152">
        <f ca="1">IFERROR(__xludf.DUMMYFUNCTION("IMPORTRANGE(""https://docs.google.com/spreadsheets/d/1l6IZ8xUPgMrESzcTYwhA1k_tPjeQjJPTqlm8Gd9eU5g/edit?usp=sharing"",""มหาสารคาม!J219"")"),0)</f>
        <v>0</v>
      </c>
      <c r="BK39" s="216">
        <f t="shared" ca="1" si="124"/>
        <v>0</v>
      </c>
      <c r="BL39" s="152">
        <f ca="1">IFERROR(__xludf.DUMMYFUNCTION("IMPORTRANGE(""https://docs.google.com/spreadsheets/d/1l6IZ8xUPgMrESzcTYwhA1k_tPjeQjJPTqlm8Gd9eU5g/edit?usp=sharing"",""มหาสารคาม!I220"")"),0)</f>
        <v>0</v>
      </c>
      <c r="BM39" s="152">
        <f ca="1">IFERROR(__xludf.DUMMYFUNCTION("IMPORTRANGE(""https://docs.google.com/spreadsheets/d/1l6IZ8xUPgMrESzcTYwhA1k_tPjeQjJPTqlm8Gd9eU5g/edit?usp=sharing"",""มหาสารคาม!J220"")"),0)</f>
        <v>0</v>
      </c>
      <c r="BN39" s="216">
        <f t="shared" ca="1" si="126"/>
        <v>0</v>
      </c>
      <c r="BO39" s="152">
        <f ca="1">IFERROR(__xludf.DUMMYFUNCTION("IMPORTRANGE(""https://docs.google.com/spreadsheets/d/1l6IZ8xUPgMrESzcTYwhA1k_tPjeQjJPTqlm8Gd9eU5g/edit?usp=sharing"",""มหาสารคาม!L223"")"),2500)</f>
        <v>2500</v>
      </c>
      <c r="BP39" s="152">
        <f ca="1">IFERROR(__xludf.DUMMYFUNCTION("IMPORTRANGE(""https://docs.google.com/spreadsheets/d/1l6IZ8xUPgMrESzcTYwhA1k_tPjeQjJPTqlm8Gd9eU5g/edit?usp=sharing"",""มหาสารคาม!N223"")"),2040)</f>
        <v>2040</v>
      </c>
      <c r="BQ39" s="216">
        <f t="shared" ca="1" si="128"/>
        <v>81.599999999999994</v>
      </c>
      <c r="BR39" s="152">
        <f ca="1">IFERROR(__xludf.DUMMYFUNCTION("IMPORTRANGE(""https://docs.google.com/spreadsheets/d/1l6IZ8xUPgMrESzcTYwhA1k_tPjeQjJPTqlm8Gd9eU5g/edit?usp=sharing"",""มหาสารคาม!L224"")"),6000)</f>
        <v>6000</v>
      </c>
      <c r="BS39" s="152">
        <f ca="1">IFERROR(__xludf.DUMMYFUNCTION("IMPORTRANGE(""https://docs.google.com/spreadsheets/d/1l6IZ8xUPgMrESzcTYwhA1k_tPjeQjJPTqlm8Gd9eU5g/edit?usp=sharing"",""มหาสารคาม!N224"")"),6000)</f>
        <v>6000</v>
      </c>
      <c r="BT39" s="216">
        <f t="shared" ca="1" si="130"/>
        <v>100</v>
      </c>
      <c r="BU39" s="152">
        <f ca="1">IFERROR(__xludf.DUMMYFUNCTION("IMPORTRANGE(""https://docs.google.com/spreadsheets/d/1l6IZ8xUPgMrESzcTYwhA1k_tPjeQjJPTqlm8Gd9eU5g/edit?usp=sharing"",""มหาสารคาม!I228"")"),50000)</f>
        <v>50000</v>
      </c>
      <c r="BV39" s="152">
        <f ca="1">IFERROR(__xludf.DUMMYFUNCTION("IMPORTRANGE(""https://docs.google.com/spreadsheets/d/1l6IZ8xUPgMrESzcTYwhA1k_tPjeQjJPTqlm8Gd9eU5g/edit?usp=sharing"",""มหาสารคาม!J228"")"),50000)</f>
        <v>50000</v>
      </c>
      <c r="BW39" s="216">
        <f t="shared" ca="1" si="132"/>
        <v>100</v>
      </c>
      <c r="BX39" s="152">
        <f ca="1">IFERROR(__xludf.DUMMYFUNCTION("IMPORTRANGE(""https://docs.google.com/spreadsheets/d/1l6IZ8xUPgMrESzcTYwhA1k_tPjeQjJPTqlm8Gd9eU5g/edit?usp=sharing"",""มหาสารคาม!I229"")"),50000)</f>
        <v>50000</v>
      </c>
      <c r="BY39" s="152">
        <f ca="1">IFERROR(__xludf.DUMMYFUNCTION("IMPORTRANGE(""https://docs.google.com/spreadsheets/d/1l6IZ8xUPgMrESzcTYwhA1k_tPjeQjJPTqlm8Gd9eU5g/edit?usp=sharing"",""มหาสารคาม!J229"")"),50000)</f>
        <v>50000</v>
      </c>
      <c r="BZ39" s="216">
        <f t="shared" ca="1" si="134"/>
        <v>100</v>
      </c>
      <c r="CA39" s="152">
        <f ca="1">IFERROR(__xludf.DUMMYFUNCTION("IMPORTRANGE(""https://docs.google.com/spreadsheets/d/1l6IZ8xUPgMrESzcTYwhA1k_tPjeQjJPTqlm8Gd9eU5g/edit?usp=sharing"",""มหาสารคาม!I230"")"),0)</f>
        <v>0</v>
      </c>
      <c r="CB39" s="152">
        <f ca="1">IFERROR(__xludf.DUMMYFUNCTION("IMPORTRANGE(""https://docs.google.com/spreadsheets/d/1l6IZ8xUPgMrESzcTYwhA1k_tPjeQjJPTqlm8Gd9eU5g/edit?usp=sharing"",""มหาสารคาม!J230"")"),0)</f>
        <v>0</v>
      </c>
      <c r="CC39" s="216">
        <f t="shared" ca="1" si="136"/>
        <v>0</v>
      </c>
      <c r="CD39" s="152">
        <f ca="1">IFERROR(__xludf.DUMMYFUNCTION("IMPORTRANGE(""https://docs.google.com/spreadsheets/d/1l6IZ8xUPgMrESzcTYwhA1k_tPjeQjJPTqlm8Gd9eU5g/edit?usp=sharing"",""มหาสารคาม!L233"")"),0)</f>
        <v>0</v>
      </c>
      <c r="CE39" s="152">
        <f ca="1">IFERROR(__xludf.DUMMYFUNCTION("IMPORTRANGE(""https://docs.google.com/spreadsheets/d/1l6IZ8xUPgMrESzcTYwhA1k_tPjeQjJPTqlm8Gd9eU5g/edit?usp=sharing"",""มหาสารคาม!N233"")"),0)</f>
        <v>0</v>
      </c>
      <c r="CF39" s="216">
        <f t="shared" ca="1" si="138"/>
        <v>0</v>
      </c>
      <c r="CG39" s="152">
        <f ca="1">IFERROR(__xludf.DUMMYFUNCTION("IMPORTRANGE(""https://docs.google.com/spreadsheets/d/1l6IZ8xUPgMrESzcTYwhA1k_tPjeQjJPTqlm8Gd9eU5g/edit?usp=sharing"",""มหาสารคาม!L234"")"),0)</f>
        <v>0</v>
      </c>
      <c r="CH39" s="152">
        <f ca="1">IFERROR(__xludf.DUMMYFUNCTION("IMPORTRANGE(""https://docs.google.com/spreadsheets/d/1l6IZ8xUPgMrESzcTYwhA1k_tPjeQjJPTqlm8Gd9eU5g/edit?usp=sharing"",""มหาสารคาม!N234"")"),0)</f>
        <v>0</v>
      </c>
      <c r="CI39" s="216">
        <f t="shared" ca="1" si="140"/>
        <v>0</v>
      </c>
      <c r="CJ39" s="152">
        <f ca="1">IFERROR(__xludf.DUMMYFUNCTION("IMPORTRANGE(""https://docs.google.com/spreadsheets/d/1l6IZ8xUPgMrESzcTYwhA1k_tPjeQjJPTqlm8Gd9eU5g/edit?usp=sharing"",""มหาสารคาม!L235"")"),0)</f>
        <v>0</v>
      </c>
      <c r="CK39" s="152">
        <f ca="1">IFERROR(__xludf.DUMMYFUNCTION("IMPORTRANGE(""https://docs.google.com/spreadsheets/d/1l6IZ8xUPgMrESzcTYwhA1k_tPjeQjJPTqlm8Gd9eU5g/edit?usp=sharing"",""มหาสารคาม!N235"")"),0)</f>
        <v>0</v>
      </c>
      <c r="CL39" s="216">
        <f t="shared" ca="1" si="142"/>
        <v>0</v>
      </c>
      <c r="CM39" s="251">
        <f ca="1">IFERROR(__xludf.DUMMYFUNCTION("IMPORTRANGE(""https://docs.google.com/spreadsheets/d/1l6IZ8xUPgMrESzcTYwhA1k_tPjeQjJPTqlm8Gd9eU5g/edit?usp=sharing"",""มหาสารคาม!Q235"")"),0)</f>
        <v>0</v>
      </c>
      <c r="CN39" s="251">
        <f ca="1">IFERROR(__xludf.DUMMYFUNCTION("IMPORTRANGE(""https://docs.google.com/spreadsheets/d/1l6IZ8xUPgMrESzcTYwhA1k_tPjeQjJPTqlm8Gd9eU5g/edit?usp=sharing"",""มหาสารคาม!S235"")"),0)</f>
        <v>0</v>
      </c>
      <c r="CO39" s="216">
        <f t="shared" ca="1" si="144"/>
        <v>0</v>
      </c>
      <c r="CP39" s="152">
        <f ca="1">IFERROR(__xludf.DUMMYFUNCTION("IMPORTRANGE(""https://docs.google.com/spreadsheets/d/1l6IZ8xUPgMrESzcTYwhA1k_tPjeQjJPTqlm8Gd9eU5g/edit?usp=sharing"",""มหาสารคาม!L236"")"),0)</f>
        <v>0</v>
      </c>
      <c r="CQ39" s="152">
        <f ca="1">IFERROR(__xludf.DUMMYFUNCTION("IMPORTRANGE(""https://docs.google.com/spreadsheets/d/1l6IZ8xUPgMrESzcTYwhA1k_tPjeQjJPTqlm8Gd9eU5g/edit?usp=sharing"",""มหาสารคาม!N236"")"),0)</f>
        <v>0</v>
      </c>
      <c r="CR39" s="216">
        <f t="shared" ca="1" si="146"/>
        <v>0</v>
      </c>
      <c r="CS39" s="152">
        <f ca="1">IFERROR(__xludf.DUMMYFUNCTION("IMPORTRANGE(""https://docs.google.com/spreadsheets/d/1l6IZ8xUPgMrESzcTYwhA1k_tPjeQjJPTqlm8Gd9eU5g/edit?usp=sharing"",""มหาสารคาม!I238"")"),0)</f>
        <v>0</v>
      </c>
      <c r="CT39" s="152">
        <f ca="1">IFERROR(__xludf.DUMMYFUNCTION("IMPORTRANGE(""https://docs.google.com/spreadsheets/d/1l6IZ8xUPgMrESzcTYwhA1k_tPjeQjJPTqlm8Gd9eU5g/edit?usp=sharing"",""มหาสารคาม!J238"")"),0)</f>
        <v>0</v>
      </c>
      <c r="CU39" s="216">
        <f t="shared" ca="1" si="148"/>
        <v>0</v>
      </c>
      <c r="CV39" s="152">
        <f ca="1">IFERROR(__xludf.DUMMYFUNCTION("IMPORTRANGE(""https://docs.google.com/spreadsheets/d/1l6IZ8xUPgMrESzcTYwhA1k_tPjeQjJPTqlm8Gd9eU5g/edit?usp=sharing"",""มหาสารคาม!J240"")"),0)</f>
        <v>0</v>
      </c>
      <c r="CW39" s="152">
        <f ca="1">IFERROR(__xludf.DUMMYFUNCTION("IMPORTRANGE(""https://docs.google.com/spreadsheets/d/1l6IZ8xUPgMrESzcTYwhA1k_tPjeQjJPTqlm8Gd9eU5g/edit?usp=sharing"",""มหาสารคาม!J241"")"),0)</f>
        <v>0</v>
      </c>
    </row>
    <row r="40" spans="1:101" ht="21" customHeight="1" x14ac:dyDescent="0.3">
      <c r="A40" s="147">
        <v>9</v>
      </c>
      <c r="B40" s="148" t="s">
        <v>68</v>
      </c>
      <c r="C40" s="149">
        <f t="shared" ca="1" si="90"/>
        <v>124500</v>
      </c>
      <c r="D40" s="150">
        <f t="shared" ca="1" si="178"/>
        <v>124500</v>
      </c>
      <c r="E40" s="151">
        <f ca="1">IFERROR(__xludf.DUMMYFUNCTION("IMPORTRANGE(""https://docs.google.com/spreadsheets/d/1-uDff_7J0KD5mKrp0Vvzr7lt3OU09vwQwhkpOPPYv2Y/edit?usp=sharing"",""งบพรบ!CV40"")"),91000)</f>
        <v>91000</v>
      </c>
      <c r="F40" s="151">
        <f ca="1">IFERROR(__xludf.DUMMYFUNCTION("IMPORTRANGE(""https://docs.google.com/spreadsheets/d/1-uDff_7J0KD5mKrp0Vvzr7lt3OU09vwQwhkpOPPYv2Y/edit?usp=sharing"",""งบพรบ!CW40"")"),33500)</f>
        <v>33500</v>
      </c>
      <c r="G40" s="151">
        <f ca="1">IFERROR(__xludf.DUMMYFUNCTION("IMPORTRANGE(""https://docs.google.com/spreadsheets/d/1-uDff_7J0KD5mKrp0Vvzr7lt3OU09vwQwhkpOPPYv2Y/edit?usp=sharing"",""งบพรบ!CX40"")"),0)</f>
        <v>0</v>
      </c>
      <c r="H40" s="151">
        <f ca="1">IFERROR(__xludf.DUMMYFUNCTION("IMPORTRANGE(""https://docs.google.com/spreadsheets/d/1-uDff_7J0KD5mKrp0Vvzr7lt3OU09vwQwhkpOPPYv2Y/edit?usp=sharing"",""งบพรบ!CZ40"")"),133700)</f>
        <v>133700</v>
      </c>
      <c r="I40" s="151">
        <f ca="1">IFERROR(__xludf.DUMMYFUNCTION("IMPORTRANGE(""https://docs.google.com/spreadsheets/d/1-uDff_7J0KD5mKrp0Vvzr7lt3OU09vwQwhkpOPPYv2Y/edit?usp=sharing"",""งบพรบ!DA40"")"),0)</f>
        <v>0</v>
      </c>
      <c r="J40" s="151">
        <f t="shared" ca="1" si="92"/>
        <v>133700</v>
      </c>
      <c r="K40" s="154">
        <f t="shared" ca="1" si="93"/>
        <v>107.38955823293173</v>
      </c>
      <c r="L40" s="151">
        <f ca="1">IFERROR(__xludf.DUMMYFUNCTION("IMPORTRANGE(""https://docs.google.com/spreadsheets/d/1-uDff_7J0KD5mKrp0Vvzr7lt3OU09vwQwhkpOPPYv2Y/edit?usp=sharing"",""งบพรบ!DB40"")"),133700)</f>
        <v>133700</v>
      </c>
      <c r="M40" s="68">
        <f t="shared" ca="1" si="94"/>
        <v>107.38955823293173</v>
      </c>
      <c r="N40" s="68">
        <f t="shared" ca="1" si="95"/>
        <v>100</v>
      </c>
      <c r="O40" s="67">
        <f ca="1">IFERROR(__xludf.DUMMYFUNCTION("IMPORTRANGE(""https://docs.google.com/spreadsheets/d/1-uDff_7J0KD5mKrp0Vvzr7lt3OU09vwQwhkpOPPYv2Y/edit?usp=sharing"",""งบพรบ!DC40"")"),0)</f>
        <v>0</v>
      </c>
      <c r="P40" s="67">
        <f t="shared" ca="1" si="96"/>
        <v>0</v>
      </c>
      <c r="Q40" s="68">
        <f t="shared" ca="1" si="97"/>
        <v>0</v>
      </c>
      <c r="R40" s="67">
        <f ca="1">IFERROR(__xludf.DUMMYFUNCTION("IMPORTRANGE(""https://docs.google.com/spreadsheets/d/1uB74YLqNjWX6FObjekfB2NtSYigTQyR2rq9u4Ub2Sq4/edit?usp=sharing"",""มุกดาหาร!Q186"")"),91700)</f>
        <v>91700</v>
      </c>
      <c r="S40" s="67">
        <f ca="1">IFERROR(__xludf.DUMMYFUNCTION("IMPORTRANGE(""https://docs.google.com/spreadsheets/d/1uB74YLqNjWX6FObjekfB2NtSYigTQyR2rq9u4Ub2Sq4/edit?usp=sharing"",""มุกดาหาร!R186"")"),91700)</f>
        <v>91700</v>
      </c>
      <c r="T40" s="67">
        <f ca="1">IFERROR(__xludf.DUMMYFUNCTION("IMPORTRANGE(""https://docs.google.com/spreadsheets/d/1uB74YLqNjWX6FObjekfB2NtSYigTQyR2rq9u4Ub2Sq4/edit?usp=sharing"",""มุกดาหาร!S186"")"),91700)</f>
        <v>91700</v>
      </c>
      <c r="U40" s="68">
        <f t="shared" ca="1" si="99"/>
        <v>100</v>
      </c>
      <c r="V40" s="68">
        <f t="shared" ca="1" si="100"/>
        <v>100</v>
      </c>
      <c r="W40" s="152">
        <f ca="1">IFERROR(__xludf.DUMMYFUNCTION("IMPORTRANGE(""https://docs.google.com/spreadsheets/d/1uB74YLqNjWX6FObjekfB2NtSYigTQyR2rq9u4Ub2Sq4/edit?usp=sharing"",""มุกดาหาร!L196"")"),6000)</f>
        <v>6000</v>
      </c>
      <c r="X40" s="152">
        <f ca="1">IFERROR(__xludf.DUMMYFUNCTION("IMPORTRANGE(""https://docs.google.com/spreadsheets/d/1uB74YLqNjWX6FObjekfB2NtSYigTQyR2rq9u4Ub2Sq4/edit?usp=sharing"",""มุกดาหาร!N196"")"),6000)</f>
        <v>6000</v>
      </c>
      <c r="Y40" s="216">
        <f t="shared" ca="1" si="102"/>
        <v>100</v>
      </c>
      <c r="Z40" s="152">
        <f ca="1">IFERROR(__xludf.DUMMYFUNCTION("IMPORTRANGE(""https://docs.google.com/spreadsheets/d/1uB74YLqNjWX6FObjekfB2NtSYigTQyR2rq9u4Ub2Sq4/edit?usp=sharing"",""มุกดาหาร!I198"")"),4)</f>
        <v>4</v>
      </c>
      <c r="AA40" s="152">
        <f ca="1">IFERROR(__xludf.DUMMYFUNCTION("IMPORTRANGE(""https://docs.google.com/spreadsheets/d/1uB74YLqNjWX6FObjekfB2NtSYigTQyR2rq9u4Ub2Sq4/edit?usp=sharing"",""มุกดาหาร!J198"")"),4)</f>
        <v>4</v>
      </c>
      <c r="AB40" s="216">
        <f t="shared" ca="1" si="104"/>
        <v>100</v>
      </c>
      <c r="AC40" s="152">
        <f ca="1">IFERROR(__xludf.DUMMYFUNCTION("IMPORTRANGE(""https://docs.google.com/spreadsheets/d/1uB74YLqNjWX6FObjekfB2NtSYigTQyR2rq9u4Ub2Sq4/edit?usp=sharing"",""มุกดาหาร!J199"")"),0)</f>
        <v>0</v>
      </c>
      <c r="AD40" s="152">
        <f ca="1">IFERROR(__xludf.DUMMYFUNCTION("IMPORTRANGE(""https://docs.google.com/spreadsheets/d/1uB74YLqNjWX6FObjekfB2NtSYigTQyR2rq9u4Ub2Sq4/edit?usp=sharing"",""มุกดาหาร!J200"")"),0)</f>
        <v>0</v>
      </c>
      <c r="AE40" s="152">
        <f ca="1">IFERROR(__xludf.DUMMYFUNCTION("IMPORTRANGE(""https://docs.google.com/spreadsheets/d/1uB74YLqNjWX6FObjekfB2NtSYigTQyR2rq9u4Ub2Sq4/edit?usp=sharing"",""มุกดาหาร!J201"")"),0)</f>
        <v>0</v>
      </c>
      <c r="AF40" s="152">
        <f ca="1">IFERROR(__xludf.DUMMYFUNCTION("IMPORTRANGE(""https://docs.google.com/spreadsheets/d/1uB74YLqNjWX6FObjekfB2NtSYigTQyR2rq9u4Ub2Sq4/edit?usp=sharing"",""มุกดาหาร!L204"")"),3000)</f>
        <v>3000</v>
      </c>
      <c r="AG40" s="152">
        <f ca="1">IFERROR(__xludf.DUMMYFUNCTION("IMPORTRANGE(""https://docs.google.com/spreadsheets/d/1uB74YLqNjWX6FObjekfB2NtSYigTQyR2rq9u4Ub2Sq4/edit?usp=sharing"",""มุกดาหาร!N204"")"),3000)</f>
        <v>3000</v>
      </c>
      <c r="AH40" s="216">
        <f t="shared" ca="1" si="106"/>
        <v>100</v>
      </c>
      <c r="AI40" s="152">
        <f ca="1">IFERROR(__xludf.DUMMYFUNCTION("IMPORTRANGE(""https://docs.google.com/spreadsheets/d/1uB74YLqNjWX6FObjekfB2NtSYigTQyR2rq9u4Ub2Sq4/edit?usp=sharing"",""มุกดาหาร!L206"")"),0)</f>
        <v>0</v>
      </c>
      <c r="AJ40" s="152">
        <f ca="1">IFERROR(__xludf.DUMMYFUNCTION("IMPORTRANGE(""https://docs.google.com/spreadsheets/d/1uB74YLqNjWX6FObjekfB2NtSYigTQyR2rq9u4Ub2Sq4/edit?usp=sharing"",""มุกดาหาร!N206"")"),0)</f>
        <v>0</v>
      </c>
      <c r="AK40" s="216">
        <f t="shared" ca="1" si="108"/>
        <v>0</v>
      </c>
      <c r="AL40" s="152">
        <f ca="1">IFERROR(__xludf.DUMMYFUNCTION("IMPORTRANGE(""https://docs.google.com/spreadsheets/d/1uB74YLqNjWX6FObjekfB2NtSYigTQyR2rq9u4Ub2Sq4/edit?usp=sharing"",""มุกดาหาร!Q206"")"),42000)</f>
        <v>42000</v>
      </c>
      <c r="AM40" s="152">
        <f ca="1">IFERROR(__xludf.DUMMYFUNCTION("IMPORTRANGE(""https://docs.google.com/spreadsheets/d/1uB74YLqNjWX6FObjekfB2NtSYigTQyR2rq9u4Ub2Sq4/edit?usp=sharing"",""มุกดาหาร!S206"")"),42000)</f>
        <v>42000</v>
      </c>
      <c r="AN40" s="216">
        <f t="shared" ca="1" si="110"/>
        <v>100</v>
      </c>
      <c r="AO40" s="152">
        <f ca="1">IFERROR(__xludf.DUMMYFUNCTION("IMPORTRANGE(""https://docs.google.com/spreadsheets/d/1uB74YLqNjWX6FObjekfB2NtSYigTQyR2rq9u4Ub2Sq4/edit?usp=sharing"",""มุกดาหาร!L207"")"),12000)</f>
        <v>12000</v>
      </c>
      <c r="AP40" s="152">
        <f ca="1">IFERROR(__xludf.DUMMYFUNCTION("IMPORTRANGE(""https://docs.google.com/spreadsheets/d/1uB74YLqNjWX6FObjekfB2NtSYigTQyR2rq9u4Ub2Sq4/edit?usp=sharing"",""มุกดาหาร!N207"")"),12000)</f>
        <v>12000</v>
      </c>
      <c r="AQ40" s="216">
        <f t="shared" ca="1" si="112"/>
        <v>100</v>
      </c>
      <c r="AR40" s="152">
        <f ca="1">IFERROR(__xludf.DUMMYFUNCTION("IMPORTRANGE(""https://docs.google.com/spreadsheets/d/1uB74YLqNjWX6FObjekfB2NtSYigTQyR2rq9u4Ub2Sq4/edit?usp=sharing"",""มุกดาหาร!I209"")"),3)</f>
        <v>3</v>
      </c>
      <c r="AS40" s="152">
        <f ca="1">IFERROR(__xludf.DUMMYFUNCTION("IMPORTRANGE(""https://docs.google.com/spreadsheets/d/1uB74YLqNjWX6FObjekfB2NtSYigTQyR2rq9u4Ub2Sq4/edit?usp=sharing"",""มุกดาหาร!J209"")"),3)</f>
        <v>3</v>
      </c>
      <c r="AT40" s="216">
        <f t="shared" ca="1" si="114"/>
        <v>100</v>
      </c>
      <c r="AU40" s="152">
        <f ca="1">IFERROR(__xludf.DUMMYFUNCTION("IMPORTRANGE(""https://docs.google.com/spreadsheets/d/1uB74YLqNjWX6FObjekfB2NtSYigTQyR2rq9u4Ub2Sq4/edit?usp=sharing"",""มุกดาหาร!J211"")"),3)</f>
        <v>3</v>
      </c>
      <c r="AV40" s="152">
        <f ca="1">IFERROR(__xludf.DUMMYFUNCTION("IMPORTRANGE(""https://docs.google.com/spreadsheets/d/1uB74YLqNjWX6FObjekfB2NtSYigTQyR2rq9u4Ub2Sq4/edit?usp=sharing"",""มุกดาหาร!J212"")"),0)</f>
        <v>0</v>
      </c>
      <c r="AW40" s="152">
        <f ca="1">IFERROR(__xludf.DUMMYFUNCTION("IMPORTRANGE(""https://docs.google.com/spreadsheets/d/1uB74YLqNjWX6FObjekfB2NtSYigTQyR2rq9u4Ub2Sq4/edit?usp=sharing"",""มุกดาหาร!L215"")"),1000)</f>
        <v>1000</v>
      </c>
      <c r="AX40" s="152">
        <f ca="1">IFERROR(__xludf.DUMMYFUNCTION("IMPORTRANGE(""https://docs.google.com/spreadsheets/d/1uB74YLqNjWX6FObjekfB2NtSYigTQyR2rq9u4Ub2Sq4/edit?usp=sharing"",""มุกดาหาร!N215"")"),1000)</f>
        <v>1000</v>
      </c>
      <c r="AY40" s="216">
        <f t="shared" ca="1" si="116"/>
        <v>100</v>
      </c>
      <c r="AZ40" s="152">
        <f ca="1">IFERROR(__xludf.DUMMYFUNCTION("IMPORTRANGE(""https://docs.google.com/spreadsheets/d/1uB74YLqNjWX6FObjekfB2NtSYigTQyR2rq9u4Ub2Sq4/edit?usp=sharing"",""มุกดาหาร!L216"")"),5000)</f>
        <v>5000</v>
      </c>
      <c r="BA40" s="152">
        <f ca="1">IFERROR(__xludf.DUMMYFUNCTION("IMPORTRANGE(""https://docs.google.com/spreadsheets/d/1uB74YLqNjWX6FObjekfB2NtSYigTQyR2rq9u4Ub2Sq4/edit?usp=sharing"",""มุกดาหาร!N216"")"),5000)</f>
        <v>5000</v>
      </c>
      <c r="BB40" s="216">
        <f t="shared" ca="1" si="118"/>
        <v>100</v>
      </c>
      <c r="BC40" s="152">
        <f ca="1">IFERROR(__xludf.DUMMYFUNCTION("IMPORTRANGE(""https://docs.google.com/spreadsheets/d/1uB74YLqNjWX6FObjekfB2NtSYigTQyR2rq9u4Ub2Sq4/edit?usp=sharing"",""มุกดาหาร!L217"")"),0)</f>
        <v>0</v>
      </c>
      <c r="BD40" s="152">
        <f ca="1">IFERROR(__xludf.DUMMYFUNCTION("IMPORTRANGE(""https://docs.google.com/spreadsheets/d/1uB74YLqNjWX6FObjekfB2NtSYigTQyR2rq9u4Ub2Sq4/edit?usp=sharing"",""มุกดาหาร!N217"")"),0)</f>
        <v>0</v>
      </c>
      <c r="BE40" s="216">
        <f t="shared" ca="1" si="120"/>
        <v>0</v>
      </c>
      <c r="BF40" s="152">
        <f ca="1">IFERROR(__xludf.DUMMYFUNCTION("IMPORTRANGE(""https://docs.google.com/spreadsheets/d/1uB74YLqNjWX6FObjekfB2NtSYigTQyR2rq9u4Ub2Sq4/edit?usp=sharing"",""มุกดาหาร!Q217"")"),49700)</f>
        <v>49700</v>
      </c>
      <c r="BG40" s="152">
        <f ca="1">IFERROR(__xludf.DUMMYFUNCTION("IMPORTRANGE(""https://docs.google.com/spreadsheets/d/1uB74YLqNjWX6FObjekfB2NtSYigTQyR2rq9u4Ub2Sq4/edit?usp=sharing"",""มุกดาหาร!S217"")"),49700)</f>
        <v>49700</v>
      </c>
      <c r="BH40" s="216">
        <f t="shared" ca="1" si="122"/>
        <v>100</v>
      </c>
      <c r="BI40" s="152">
        <f ca="1">IFERROR(__xludf.DUMMYFUNCTION("IMPORTRANGE(""https://docs.google.com/spreadsheets/d/1uB74YLqNjWX6FObjekfB2NtSYigTQyR2rq9u4Ub2Sq4/edit?usp=sharing"",""มุกดาหาร!I219"")"),1)</f>
        <v>1</v>
      </c>
      <c r="BJ40" s="152">
        <f ca="1">IFERROR(__xludf.DUMMYFUNCTION("IMPORTRANGE(""https://docs.google.com/spreadsheets/d/1uB74YLqNjWX6FObjekfB2NtSYigTQyR2rq9u4Ub2Sq4/edit?usp=sharing"",""มุกดาหาร!J219"")"),1)</f>
        <v>1</v>
      </c>
      <c r="BK40" s="216">
        <f t="shared" ca="1" si="124"/>
        <v>100</v>
      </c>
      <c r="BL40" s="152">
        <f ca="1">IFERROR(__xludf.DUMMYFUNCTION("IMPORTRANGE(""https://docs.google.com/spreadsheets/d/1uB74YLqNjWX6FObjekfB2NtSYigTQyR2rq9u4Ub2Sq4/edit?usp=sharing"",""มุกดาหาร!I220"")"),1)</f>
        <v>1</v>
      </c>
      <c r="BM40" s="152">
        <f ca="1">IFERROR(__xludf.DUMMYFUNCTION("IMPORTRANGE(""https://docs.google.com/spreadsheets/d/1uB74YLqNjWX6FObjekfB2NtSYigTQyR2rq9u4Ub2Sq4/edit?usp=sharing"",""มุกดาหาร!J220"")"),1)</f>
        <v>1</v>
      </c>
      <c r="BN40" s="216">
        <f t="shared" ca="1" si="126"/>
        <v>100</v>
      </c>
      <c r="BO40" s="152">
        <f ca="1">IFERROR(__xludf.DUMMYFUNCTION("IMPORTRANGE(""https://docs.google.com/spreadsheets/d/1uB74YLqNjWX6FObjekfB2NtSYigTQyR2rq9u4Ub2Sq4/edit?usp=sharing"",""มุกดาหาร!L223"")"),2500)</f>
        <v>2500</v>
      </c>
      <c r="BP40" s="152">
        <f ca="1">IFERROR(__xludf.DUMMYFUNCTION("IMPORTRANGE(""https://docs.google.com/spreadsheets/d/1uB74YLqNjWX6FObjekfB2NtSYigTQyR2rq9u4Ub2Sq4/edit?usp=sharing"",""มุกดาหาร!N223"")"),2500)</f>
        <v>2500</v>
      </c>
      <c r="BQ40" s="216">
        <f t="shared" ca="1" si="128"/>
        <v>100</v>
      </c>
      <c r="BR40" s="152">
        <f ca="1">IFERROR(__xludf.DUMMYFUNCTION("IMPORTRANGE(""https://docs.google.com/spreadsheets/d/1uB74YLqNjWX6FObjekfB2NtSYigTQyR2rq9u4Ub2Sq4/edit?usp=sharing"",""มุกดาหาร!L224"")"),4000)</f>
        <v>4000</v>
      </c>
      <c r="BS40" s="152">
        <f ca="1">IFERROR(__xludf.DUMMYFUNCTION("IMPORTRANGE(""https://docs.google.com/spreadsheets/d/1uB74YLqNjWX6FObjekfB2NtSYigTQyR2rq9u4Ub2Sq4/edit?usp=sharing"",""มุกดาหาร!N224"")"),4000)</f>
        <v>4000</v>
      </c>
      <c r="BT40" s="216">
        <f t="shared" ca="1" si="130"/>
        <v>100</v>
      </c>
      <c r="BU40" s="152">
        <f ca="1">IFERROR(__xludf.DUMMYFUNCTION("IMPORTRANGE(""https://docs.google.com/spreadsheets/d/1uB74YLqNjWX6FObjekfB2NtSYigTQyR2rq9u4Ub2Sq4/edit?usp=sharing"",""มุกดาหาร!I228"")"),45000)</f>
        <v>45000</v>
      </c>
      <c r="BV40" s="152">
        <f ca="1">IFERROR(__xludf.DUMMYFUNCTION("IMPORTRANGE(""https://docs.google.com/spreadsheets/d/1uB74YLqNjWX6FObjekfB2NtSYigTQyR2rq9u4Ub2Sq4/edit?usp=sharing"",""มุกดาหาร!J228"")"),45000)</f>
        <v>45000</v>
      </c>
      <c r="BW40" s="216">
        <f t="shared" ca="1" si="132"/>
        <v>100</v>
      </c>
      <c r="BX40" s="152">
        <f ca="1">IFERROR(__xludf.DUMMYFUNCTION("IMPORTRANGE(""https://docs.google.com/spreadsheets/d/1uB74YLqNjWX6FObjekfB2NtSYigTQyR2rq9u4Ub2Sq4/edit?usp=sharing"",""มุกดาหาร!I229"")"),45000)</f>
        <v>45000</v>
      </c>
      <c r="BY40" s="152">
        <f ca="1">IFERROR(__xludf.DUMMYFUNCTION("IMPORTRANGE(""https://docs.google.com/spreadsheets/d/1uB74YLqNjWX6FObjekfB2NtSYigTQyR2rq9u4Ub2Sq4/edit?usp=sharing"",""มุกดาหาร!J229"")"),45000)</f>
        <v>45000</v>
      </c>
      <c r="BZ40" s="216">
        <f t="shared" ca="1" si="134"/>
        <v>100</v>
      </c>
      <c r="CA40" s="152">
        <f ca="1">IFERROR(__xludf.DUMMYFUNCTION("IMPORTRANGE(""https://docs.google.com/spreadsheets/d/1uB74YLqNjWX6FObjekfB2NtSYigTQyR2rq9u4Ub2Sq4/edit?usp=sharing"",""มุกดาหาร!I230"")"),0)</f>
        <v>0</v>
      </c>
      <c r="CB40" s="152">
        <f ca="1">IFERROR(__xludf.DUMMYFUNCTION("IMPORTRANGE(""https://docs.google.com/spreadsheets/d/1uB74YLqNjWX6FObjekfB2NtSYigTQyR2rq9u4Ub2Sq4/edit?usp=sharing"",""มุกดาหาร!J230"")"),0)</f>
        <v>0</v>
      </c>
      <c r="CC40" s="216">
        <f t="shared" ca="1" si="136"/>
        <v>0</v>
      </c>
      <c r="CD40" s="152">
        <f ca="1">IFERROR(__xludf.DUMMYFUNCTION("IMPORTRANGE(""https://docs.google.com/spreadsheets/d/1uB74YLqNjWX6FObjekfB2NtSYigTQyR2rq9u4Ub2Sq4/edit?usp=sharing"",""มุกดาหาร!L233"")"),0)</f>
        <v>0</v>
      </c>
      <c r="CE40" s="152">
        <f ca="1">IFERROR(__xludf.DUMMYFUNCTION("IMPORTRANGE(""https://docs.google.com/spreadsheets/d/1uB74YLqNjWX6FObjekfB2NtSYigTQyR2rq9u4Ub2Sq4/edit?usp=sharing"",""มุกดาหาร!N233"")"),0)</f>
        <v>0</v>
      </c>
      <c r="CF40" s="216">
        <f t="shared" ca="1" si="138"/>
        <v>0</v>
      </c>
      <c r="CG40" s="152">
        <f ca="1">IFERROR(__xludf.DUMMYFUNCTION("IMPORTRANGE(""https://docs.google.com/spreadsheets/d/1uB74YLqNjWX6FObjekfB2NtSYigTQyR2rq9u4Ub2Sq4/edit?usp=sharing"",""มุกดาหาร!L234"")"),0)</f>
        <v>0</v>
      </c>
      <c r="CH40" s="152">
        <f ca="1">IFERROR(__xludf.DUMMYFUNCTION("IMPORTRANGE(""https://docs.google.com/spreadsheets/d/1uB74YLqNjWX6FObjekfB2NtSYigTQyR2rq9u4Ub2Sq4/edit?usp=sharing"",""มุกดาหาร!N234"")"),0)</f>
        <v>0</v>
      </c>
      <c r="CI40" s="216">
        <f t="shared" ca="1" si="140"/>
        <v>0</v>
      </c>
      <c r="CJ40" s="152">
        <f ca="1">IFERROR(__xludf.DUMMYFUNCTION("IMPORTRANGE(""https://docs.google.com/spreadsheets/d/1uB74YLqNjWX6FObjekfB2NtSYigTQyR2rq9u4Ub2Sq4/edit?usp=sharing"",""มุกดาหาร!L235"")"),0)</f>
        <v>0</v>
      </c>
      <c r="CK40" s="152">
        <f ca="1">IFERROR(__xludf.DUMMYFUNCTION("IMPORTRANGE(""https://docs.google.com/spreadsheets/d/1uB74YLqNjWX6FObjekfB2NtSYigTQyR2rq9u4Ub2Sq4/edit?usp=sharing"",""มุกดาหาร!N235"")"),0)</f>
        <v>0</v>
      </c>
      <c r="CL40" s="216">
        <f t="shared" ca="1" si="142"/>
        <v>0</v>
      </c>
      <c r="CM40" s="251">
        <f ca="1">IFERROR(__xludf.DUMMYFUNCTION("IMPORTRANGE(""https://docs.google.com/spreadsheets/d/1uB74YLqNjWX6FObjekfB2NtSYigTQyR2rq9u4Ub2Sq4/edit?usp=sharing"",""มุกดาหาร!Q235"")"),0)</f>
        <v>0</v>
      </c>
      <c r="CN40" s="251">
        <f ca="1">IFERROR(__xludf.DUMMYFUNCTION("IMPORTRANGE(""https://docs.google.com/spreadsheets/d/1uB74YLqNjWX6FObjekfB2NtSYigTQyR2rq9u4Ub2Sq4/edit?usp=sharing"",""มุกดาหาร!S235"")"),0)</f>
        <v>0</v>
      </c>
      <c r="CO40" s="216">
        <f t="shared" ca="1" si="144"/>
        <v>0</v>
      </c>
      <c r="CP40" s="152">
        <f ca="1">IFERROR(__xludf.DUMMYFUNCTION("IMPORTRANGE(""https://docs.google.com/spreadsheets/d/1uB74YLqNjWX6FObjekfB2NtSYigTQyR2rq9u4Ub2Sq4/edit?usp=sharing"",""มุกดาหาร!L236"")"),0)</f>
        <v>0</v>
      </c>
      <c r="CQ40" s="152">
        <f ca="1">IFERROR(__xludf.DUMMYFUNCTION("IMPORTRANGE(""https://docs.google.com/spreadsheets/d/1uB74YLqNjWX6FObjekfB2NtSYigTQyR2rq9u4Ub2Sq4/edit?usp=sharing"",""มุกดาหาร!N236"")"),0)</f>
        <v>0</v>
      </c>
      <c r="CR40" s="216">
        <f t="shared" ca="1" si="146"/>
        <v>0</v>
      </c>
      <c r="CS40" s="152">
        <f ca="1">IFERROR(__xludf.DUMMYFUNCTION("IMPORTRANGE(""https://docs.google.com/spreadsheets/d/1uB74YLqNjWX6FObjekfB2NtSYigTQyR2rq9u4Ub2Sq4/edit?usp=sharing"",""มุกดาหาร!I238"")"),0)</f>
        <v>0</v>
      </c>
      <c r="CT40" s="152">
        <f ca="1">IFERROR(__xludf.DUMMYFUNCTION("IMPORTRANGE(""https://docs.google.com/spreadsheets/d/1uB74YLqNjWX6FObjekfB2NtSYigTQyR2rq9u4Ub2Sq4/edit?usp=sharing"",""มุกดาหาร!J238"")"),0)</f>
        <v>0</v>
      </c>
      <c r="CU40" s="216">
        <f t="shared" ca="1" si="148"/>
        <v>0</v>
      </c>
      <c r="CV40" s="152">
        <f ca="1">IFERROR(__xludf.DUMMYFUNCTION("IMPORTRANGE(""https://docs.google.com/spreadsheets/d/1uB74YLqNjWX6FObjekfB2NtSYigTQyR2rq9u4Ub2Sq4/edit?usp=sharing"",""มุกดาหาร!J240"")"),0)</f>
        <v>0</v>
      </c>
      <c r="CW40" s="152">
        <f ca="1">IFERROR(__xludf.DUMMYFUNCTION("IMPORTRANGE(""https://docs.google.com/spreadsheets/d/1uB74YLqNjWX6FObjekfB2NtSYigTQyR2rq9u4Ub2Sq4/edit?usp=sharing"",""มุกดาหาร!J241"")"),0)</f>
        <v>0</v>
      </c>
    </row>
    <row r="41" spans="1:101" ht="21" customHeight="1" x14ac:dyDescent="0.3">
      <c r="A41" s="147">
        <v>10</v>
      </c>
      <c r="B41" s="148" t="s">
        <v>69</v>
      </c>
      <c r="C41" s="149">
        <f t="shared" ca="1" si="90"/>
        <v>28500</v>
      </c>
      <c r="D41" s="150">
        <f t="shared" ca="1" si="178"/>
        <v>28500</v>
      </c>
      <c r="E41" s="151">
        <f ca="1">IFERROR(__xludf.DUMMYFUNCTION("IMPORTRANGE(""https://docs.google.com/spreadsheets/d/1-uDff_7J0KD5mKrp0Vvzr7lt3OU09vwQwhkpOPPYv2Y/edit?usp=sharing"",""งบพรบ!CV41"")"),0)</f>
        <v>0</v>
      </c>
      <c r="F41" s="151">
        <f ca="1">IFERROR(__xludf.DUMMYFUNCTION("IMPORTRANGE(""https://docs.google.com/spreadsheets/d/1-uDff_7J0KD5mKrp0Vvzr7lt3OU09vwQwhkpOPPYv2Y/edit?usp=sharing"",""งบพรบ!CW41"")"),28500)</f>
        <v>28500</v>
      </c>
      <c r="G41" s="151">
        <f ca="1">IFERROR(__xludf.DUMMYFUNCTION("IMPORTRANGE(""https://docs.google.com/spreadsheets/d/1-uDff_7J0KD5mKrp0Vvzr7lt3OU09vwQwhkpOPPYv2Y/edit?usp=sharing"",""งบพรบ!CX41"")"),0)</f>
        <v>0</v>
      </c>
      <c r="H41" s="151">
        <f ca="1">IFERROR(__xludf.DUMMYFUNCTION("IMPORTRANGE(""https://docs.google.com/spreadsheets/d/1-uDff_7J0KD5mKrp0Vvzr7lt3OU09vwQwhkpOPPYv2Y/edit?usp=sharing"",""งบพรบ!CZ41"")"),30500)</f>
        <v>30500</v>
      </c>
      <c r="I41" s="151">
        <f ca="1">IFERROR(__xludf.DUMMYFUNCTION("IMPORTRANGE(""https://docs.google.com/spreadsheets/d/1-uDff_7J0KD5mKrp0Vvzr7lt3OU09vwQwhkpOPPYv2Y/edit?usp=sharing"",""งบพรบ!DA41"")"),0)</f>
        <v>0</v>
      </c>
      <c r="J41" s="151">
        <f t="shared" ca="1" si="92"/>
        <v>30500</v>
      </c>
      <c r="K41" s="154">
        <f t="shared" ca="1" si="93"/>
        <v>107.01754385964912</v>
      </c>
      <c r="L41" s="151">
        <f ca="1">IFERROR(__xludf.DUMMYFUNCTION("IMPORTRANGE(""https://docs.google.com/spreadsheets/d/1-uDff_7J0KD5mKrp0Vvzr7lt3OU09vwQwhkpOPPYv2Y/edit?usp=sharing"",""งบพรบ!DB41"")"),30500)</f>
        <v>30500</v>
      </c>
      <c r="M41" s="68">
        <f t="shared" ca="1" si="94"/>
        <v>107.01754385964912</v>
      </c>
      <c r="N41" s="68">
        <f t="shared" ca="1" si="95"/>
        <v>100</v>
      </c>
      <c r="O41" s="67">
        <f ca="1">IFERROR(__xludf.DUMMYFUNCTION("IMPORTRANGE(""https://docs.google.com/spreadsheets/d/1-uDff_7J0KD5mKrp0Vvzr7lt3OU09vwQwhkpOPPYv2Y/edit?usp=sharing"",""งบพรบ!DC41"")"),0)</f>
        <v>0</v>
      </c>
      <c r="P41" s="67">
        <f t="shared" ca="1" si="96"/>
        <v>0</v>
      </c>
      <c r="Q41" s="68">
        <f t="shared" ca="1" si="97"/>
        <v>0</v>
      </c>
      <c r="R41" s="67">
        <f ca="1">IFERROR(__xludf.DUMMYFUNCTION("IMPORTRANGE(""https://docs.google.com/spreadsheets/d/1NexK3geCPxCTO1fzNF8dPec7yZyUx3OaWkFBC9HsQOo/edit?usp=sharing"",""ยโสธร!Q186"")"),77700)</f>
        <v>77700</v>
      </c>
      <c r="S41" s="67">
        <f ca="1">IFERROR(__xludf.DUMMYFUNCTION("IMPORTRANGE(""https://docs.google.com/spreadsheets/d/1NexK3geCPxCTO1fzNF8dPec7yZyUx3OaWkFBC9HsQOo/edit?usp=sharing"",""ยโสธร!R186"")"),77700)</f>
        <v>77700</v>
      </c>
      <c r="T41" s="67">
        <f ca="1">IFERROR(__xludf.DUMMYFUNCTION("IMPORTRANGE(""https://docs.google.com/spreadsheets/d/1NexK3geCPxCTO1fzNF8dPec7yZyUx3OaWkFBC9HsQOo/edit?usp=sharing"",""ยโสธร!S186"")"),77700)</f>
        <v>77700</v>
      </c>
      <c r="U41" s="68">
        <f t="shared" ca="1" si="99"/>
        <v>100</v>
      </c>
      <c r="V41" s="68">
        <f t="shared" ca="1" si="100"/>
        <v>100</v>
      </c>
      <c r="W41" s="152">
        <f ca="1">IFERROR(__xludf.DUMMYFUNCTION("IMPORTRANGE(""https://docs.google.com/spreadsheets/d/1NexK3geCPxCTO1fzNF8dPec7yZyUx3OaWkFBC9HsQOo/edit?usp=sharing"",""ยโสธร!L196"")"),6000)</f>
        <v>6000</v>
      </c>
      <c r="X41" s="152">
        <f ca="1">IFERROR(__xludf.DUMMYFUNCTION("IMPORTRANGE(""https://docs.google.com/spreadsheets/d/1NexK3geCPxCTO1fzNF8dPec7yZyUx3OaWkFBC9HsQOo/edit?usp=sharing"",""ยโสธร!N196"")"),0)</f>
        <v>0</v>
      </c>
      <c r="Y41" s="216">
        <f t="shared" ca="1" si="102"/>
        <v>0</v>
      </c>
      <c r="Z41" s="152">
        <f ca="1">IFERROR(__xludf.DUMMYFUNCTION("IMPORTRANGE(""https://docs.google.com/spreadsheets/d/1NexK3geCPxCTO1fzNF8dPec7yZyUx3OaWkFBC9HsQOo/edit?usp=sharing"",""ยโสธร!I198"")"),4)</f>
        <v>4</v>
      </c>
      <c r="AA41" s="152">
        <f ca="1">IFERROR(__xludf.DUMMYFUNCTION("IMPORTRANGE(""https://docs.google.com/spreadsheets/d/1NexK3geCPxCTO1fzNF8dPec7yZyUx3OaWkFBC9HsQOo/edit?usp=sharing"",""ยโสธร!J198"")"),4)</f>
        <v>4</v>
      </c>
      <c r="AB41" s="216">
        <f t="shared" ca="1" si="104"/>
        <v>100</v>
      </c>
      <c r="AC41" s="152">
        <f ca="1">IFERROR(__xludf.DUMMYFUNCTION("IMPORTRANGE(""https://docs.google.com/spreadsheets/d/1NexK3geCPxCTO1fzNF8dPec7yZyUx3OaWkFBC9HsQOo/edit?usp=sharing"",""ยโสธร!J199"")"),50)</f>
        <v>50</v>
      </c>
      <c r="AD41" s="152">
        <f ca="1">IFERROR(__xludf.DUMMYFUNCTION("IMPORTRANGE(""https://docs.google.com/spreadsheets/d/1NexK3geCPxCTO1fzNF8dPec7yZyUx3OaWkFBC9HsQOo/edit?usp=sharing"",""ยโสธร!J200"")"),50)</f>
        <v>50</v>
      </c>
      <c r="AE41" s="152">
        <f ca="1">IFERROR(__xludf.DUMMYFUNCTION("IMPORTRANGE(""https://docs.google.com/spreadsheets/d/1NexK3geCPxCTO1fzNF8dPec7yZyUx3OaWkFBC9HsQOo/edit?usp=sharing"",""ยโสธร!J201"")"),0)</f>
        <v>0</v>
      </c>
      <c r="AF41" s="152">
        <f ca="1">IFERROR(__xludf.DUMMYFUNCTION("IMPORTRANGE(""https://docs.google.com/spreadsheets/d/1NexK3geCPxCTO1fzNF8dPec7yZyUx3OaWkFBC9HsQOo/edit?usp=sharing"",""ยโสธร!L204"")"),2000)</f>
        <v>2000</v>
      </c>
      <c r="AG41" s="152">
        <f ca="1">IFERROR(__xludf.DUMMYFUNCTION("IMPORTRANGE(""https://docs.google.com/spreadsheets/d/1NexK3geCPxCTO1fzNF8dPec7yZyUx3OaWkFBC9HsQOo/edit?usp=sharing"",""ยโสธร!N204"")"),2000)</f>
        <v>2000</v>
      </c>
      <c r="AH41" s="216">
        <f t="shared" ca="1" si="106"/>
        <v>100</v>
      </c>
      <c r="AI41" s="152">
        <f ca="1">IFERROR(__xludf.DUMMYFUNCTION("IMPORTRANGE(""https://docs.google.com/spreadsheets/d/1NexK3geCPxCTO1fzNF8dPec7yZyUx3OaWkFBC9HsQOo/edit?usp=sharing"",""ยโสธร!L206"")"),0)</f>
        <v>0</v>
      </c>
      <c r="AJ41" s="152">
        <f ca="1">IFERROR(__xludf.DUMMYFUNCTION("IMPORTRANGE(""https://docs.google.com/spreadsheets/d/1NexK3geCPxCTO1fzNF8dPec7yZyUx3OaWkFBC9HsQOo/edit?usp=sharing"",""ยโสธร!N206"")"),0)</f>
        <v>0</v>
      </c>
      <c r="AK41" s="216">
        <f t="shared" ca="1" si="108"/>
        <v>0</v>
      </c>
      <c r="AL41" s="152">
        <f ca="1">IFERROR(__xludf.DUMMYFUNCTION("IMPORTRANGE(""https://docs.google.com/spreadsheets/d/1NexK3geCPxCTO1fzNF8dPec7yZyUx3OaWkFBC9HsQOo/edit?usp=sharing"",""ยโสธร!Q206"")"),28000)</f>
        <v>28000</v>
      </c>
      <c r="AM41" s="152">
        <f ca="1">IFERROR(__xludf.DUMMYFUNCTION("IMPORTRANGE(""https://docs.google.com/spreadsheets/d/1NexK3geCPxCTO1fzNF8dPec7yZyUx3OaWkFBC9HsQOo/edit?usp=sharing"",""ยโสธร!S206"")"),28000)</f>
        <v>28000</v>
      </c>
      <c r="AN41" s="216">
        <f t="shared" ca="1" si="110"/>
        <v>100</v>
      </c>
      <c r="AO41" s="152">
        <f ca="1">IFERROR(__xludf.DUMMYFUNCTION("IMPORTRANGE(""https://docs.google.com/spreadsheets/d/1NexK3geCPxCTO1fzNF8dPec7yZyUx3OaWkFBC9HsQOo/edit?usp=sharing"",""ยโสธร!L207"")"),8000)</f>
        <v>8000</v>
      </c>
      <c r="AP41" s="152">
        <f ca="1">IFERROR(__xludf.DUMMYFUNCTION("IMPORTRANGE(""https://docs.google.com/spreadsheets/d/1NexK3geCPxCTO1fzNF8dPec7yZyUx3OaWkFBC9HsQOo/edit?usp=sharing"",""ยโสธร!N207"")"),0)</f>
        <v>0</v>
      </c>
      <c r="AQ41" s="216">
        <f t="shared" ca="1" si="112"/>
        <v>0</v>
      </c>
      <c r="AR41" s="152">
        <f ca="1">IFERROR(__xludf.DUMMYFUNCTION("IMPORTRANGE(""https://docs.google.com/spreadsheets/d/1NexK3geCPxCTO1fzNF8dPec7yZyUx3OaWkFBC9HsQOo/edit?usp=sharing"",""ยโสธร!I209"")"),2)</f>
        <v>2</v>
      </c>
      <c r="AS41" s="152">
        <f ca="1">IFERROR(__xludf.DUMMYFUNCTION("IMPORTRANGE(""https://docs.google.com/spreadsheets/d/1NexK3geCPxCTO1fzNF8dPec7yZyUx3OaWkFBC9HsQOo/edit?usp=sharing"",""ยโสธร!J209"")"),2)</f>
        <v>2</v>
      </c>
      <c r="AT41" s="216">
        <f t="shared" ca="1" si="114"/>
        <v>100</v>
      </c>
      <c r="AU41" s="152">
        <f ca="1">IFERROR(__xludf.DUMMYFUNCTION("IMPORTRANGE(""https://docs.google.com/spreadsheets/d/1NexK3geCPxCTO1fzNF8dPec7yZyUx3OaWkFBC9HsQOo/edit?usp=sharing"",""ยโสธร!J211"")"),0)</f>
        <v>0</v>
      </c>
      <c r="AV41" s="152">
        <f ca="1">IFERROR(__xludf.DUMMYFUNCTION("IMPORTRANGE(""https://docs.google.com/spreadsheets/d/1NexK3geCPxCTO1fzNF8dPec7yZyUx3OaWkFBC9HsQOo/edit?usp=sharing"",""ยโสธร!J212"")"),0)</f>
        <v>0</v>
      </c>
      <c r="AW41" s="152">
        <f ca="1">IFERROR(__xludf.DUMMYFUNCTION("IMPORTRANGE(""https://docs.google.com/spreadsheets/d/1NexK3geCPxCTO1fzNF8dPec7yZyUx3OaWkFBC9HsQOo/edit?usp=sharing"",""ยโสธร!L215"")"),1000)</f>
        <v>1000</v>
      </c>
      <c r="AX41" s="152">
        <f ca="1">IFERROR(__xludf.DUMMYFUNCTION("IMPORTRANGE(""https://docs.google.com/spreadsheets/d/1NexK3geCPxCTO1fzNF8dPec7yZyUx3OaWkFBC9HsQOo/edit?usp=sharing"",""ยโสธร!N215"")"),1000)</f>
        <v>1000</v>
      </c>
      <c r="AY41" s="216">
        <f t="shared" ca="1" si="116"/>
        <v>100</v>
      </c>
      <c r="AZ41" s="152">
        <f ca="1">IFERROR(__xludf.DUMMYFUNCTION("IMPORTRANGE(""https://docs.google.com/spreadsheets/d/1NexK3geCPxCTO1fzNF8dPec7yZyUx3OaWkFBC9HsQOo/edit?usp=sharing"",""ยโสธร!L216"")"),5000)</f>
        <v>5000</v>
      </c>
      <c r="BA41" s="152">
        <f ca="1">IFERROR(__xludf.DUMMYFUNCTION("IMPORTRANGE(""https://docs.google.com/spreadsheets/d/1NexK3geCPxCTO1fzNF8dPec7yZyUx3OaWkFBC9HsQOo/edit?usp=sharing"",""ยโสธร!N216"")"),5000)</f>
        <v>5000</v>
      </c>
      <c r="BB41" s="216">
        <f t="shared" ca="1" si="118"/>
        <v>100</v>
      </c>
      <c r="BC41" s="152">
        <f ca="1">IFERROR(__xludf.DUMMYFUNCTION("IMPORTRANGE(""https://docs.google.com/spreadsheets/d/1NexK3geCPxCTO1fzNF8dPec7yZyUx3OaWkFBC9HsQOo/edit?usp=sharing"",""ยโสธร!L217"")"),0)</f>
        <v>0</v>
      </c>
      <c r="BD41" s="152">
        <f ca="1">IFERROR(__xludf.DUMMYFUNCTION("IMPORTRANGE(""https://docs.google.com/spreadsheets/d/1NexK3geCPxCTO1fzNF8dPec7yZyUx3OaWkFBC9HsQOo/edit?usp=sharing"",""ยโสธร!N217"")"),0)</f>
        <v>0</v>
      </c>
      <c r="BE41" s="216">
        <f t="shared" ca="1" si="120"/>
        <v>0</v>
      </c>
      <c r="BF41" s="152">
        <f ca="1">IFERROR(__xludf.DUMMYFUNCTION("IMPORTRANGE(""https://docs.google.com/spreadsheets/d/1NexK3geCPxCTO1fzNF8dPec7yZyUx3OaWkFBC9HsQOo/edit?usp=sharing"",""ยโสธร!Q217"")"),49700)</f>
        <v>49700</v>
      </c>
      <c r="BG41" s="152">
        <f ca="1">IFERROR(__xludf.DUMMYFUNCTION("IMPORTRANGE(""https://docs.google.com/spreadsheets/d/1NexK3geCPxCTO1fzNF8dPec7yZyUx3OaWkFBC9HsQOo/edit?usp=sharing"",""ยโสธร!S217"")"),49700)</f>
        <v>49700</v>
      </c>
      <c r="BH41" s="216">
        <f t="shared" ca="1" si="122"/>
        <v>100</v>
      </c>
      <c r="BI41" s="152">
        <f ca="1">IFERROR(__xludf.DUMMYFUNCTION("IMPORTRANGE(""https://docs.google.com/spreadsheets/d/1NexK3geCPxCTO1fzNF8dPec7yZyUx3OaWkFBC9HsQOo/edit?usp=sharing"",""ยโสธร!I219"")"),1)</f>
        <v>1</v>
      </c>
      <c r="BJ41" s="152">
        <f ca="1">IFERROR(__xludf.DUMMYFUNCTION("IMPORTRANGE(""https://docs.google.com/spreadsheets/d/1NexK3geCPxCTO1fzNF8dPec7yZyUx3OaWkFBC9HsQOo/edit?usp=sharing"",""ยโสธร!J219"")"),1)</f>
        <v>1</v>
      </c>
      <c r="BK41" s="216">
        <f t="shared" ca="1" si="124"/>
        <v>100</v>
      </c>
      <c r="BL41" s="152">
        <f ca="1">IFERROR(__xludf.DUMMYFUNCTION("IMPORTRANGE(""https://docs.google.com/spreadsheets/d/1NexK3geCPxCTO1fzNF8dPec7yZyUx3OaWkFBC9HsQOo/edit?usp=sharing"",""ยโสธร!I220"")"),1)</f>
        <v>1</v>
      </c>
      <c r="BM41" s="152">
        <f ca="1">IFERROR(__xludf.DUMMYFUNCTION("IMPORTRANGE(""https://docs.google.com/spreadsheets/d/1NexK3geCPxCTO1fzNF8dPec7yZyUx3OaWkFBC9HsQOo/edit?usp=sharing"",""ยโสธร!J220"")"),1)</f>
        <v>1</v>
      </c>
      <c r="BN41" s="216">
        <f t="shared" ca="1" si="126"/>
        <v>100</v>
      </c>
      <c r="BO41" s="152">
        <f ca="1">IFERROR(__xludf.DUMMYFUNCTION("IMPORTRANGE(""https://docs.google.com/spreadsheets/d/1NexK3geCPxCTO1fzNF8dPec7yZyUx3OaWkFBC9HsQOo/edit?usp=sharing"",""ยโสธร!L223"")"),2500)</f>
        <v>2500</v>
      </c>
      <c r="BP41" s="152">
        <f ca="1">IFERROR(__xludf.DUMMYFUNCTION("IMPORTRANGE(""https://docs.google.com/spreadsheets/d/1NexK3geCPxCTO1fzNF8dPec7yZyUx3OaWkFBC9HsQOo/edit?usp=sharing"",""ยโสธร!N223"")"),0)</f>
        <v>0</v>
      </c>
      <c r="BQ41" s="216">
        <f t="shared" ca="1" si="128"/>
        <v>0</v>
      </c>
      <c r="BR41" s="152">
        <f ca="1">IFERROR(__xludf.DUMMYFUNCTION("IMPORTRANGE(""https://docs.google.com/spreadsheets/d/1NexK3geCPxCTO1fzNF8dPec7yZyUx3OaWkFBC9HsQOo/edit?usp=sharing"",""ยโสธร!L224"")"),4000)</f>
        <v>4000</v>
      </c>
      <c r="BS41" s="152">
        <f ca="1">IFERROR(__xludf.DUMMYFUNCTION("IMPORTRANGE(""https://docs.google.com/spreadsheets/d/1NexK3geCPxCTO1fzNF8dPec7yZyUx3OaWkFBC9HsQOo/edit?usp=sharing"",""ยโสธร!N224"")"),0)</f>
        <v>0</v>
      </c>
      <c r="BT41" s="216">
        <f t="shared" ca="1" si="130"/>
        <v>0</v>
      </c>
      <c r="BU41" s="152">
        <f ca="1">IFERROR(__xludf.DUMMYFUNCTION("IMPORTRANGE(""https://docs.google.com/spreadsheets/d/1NexK3geCPxCTO1fzNF8dPec7yZyUx3OaWkFBC9HsQOo/edit?usp=sharing"",""ยโสธร!I228"")"),30000)</f>
        <v>30000</v>
      </c>
      <c r="BV41" s="152">
        <f ca="1">IFERROR(__xludf.DUMMYFUNCTION("IMPORTRANGE(""https://docs.google.com/spreadsheets/d/1NexK3geCPxCTO1fzNF8dPec7yZyUx3OaWkFBC9HsQOo/edit?usp=sharing"",""ยโสธร!J228"")"),30000)</f>
        <v>30000</v>
      </c>
      <c r="BW41" s="216">
        <f t="shared" ca="1" si="132"/>
        <v>100</v>
      </c>
      <c r="BX41" s="152">
        <f ca="1">IFERROR(__xludf.DUMMYFUNCTION("IMPORTRANGE(""https://docs.google.com/spreadsheets/d/1NexK3geCPxCTO1fzNF8dPec7yZyUx3OaWkFBC9HsQOo/edit?usp=sharing"",""ยโสธร!I229"")"),30000)</f>
        <v>30000</v>
      </c>
      <c r="BY41" s="152">
        <f ca="1">IFERROR(__xludf.DUMMYFUNCTION("IMPORTRANGE(""https://docs.google.com/spreadsheets/d/1NexK3geCPxCTO1fzNF8dPec7yZyUx3OaWkFBC9HsQOo/edit?usp=sharing"",""ยโสธร!J229"")"),30000)</f>
        <v>30000</v>
      </c>
      <c r="BZ41" s="216">
        <f t="shared" ca="1" si="134"/>
        <v>100</v>
      </c>
      <c r="CA41" s="152">
        <f ca="1">IFERROR(__xludf.DUMMYFUNCTION("IMPORTRANGE(""https://docs.google.com/spreadsheets/d/1NexK3geCPxCTO1fzNF8dPec7yZyUx3OaWkFBC9HsQOo/edit?usp=sharing"",""ยโสธร!I230"")"),0)</f>
        <v>0</v>
      </c>
      <c r="CB41" s="152">
        <f ca="1">IFERROR(__xludf.DUMMYFUNCTION("IMPORTRANGE(""https://docs.google.com/spreadsheets/d/1NexK3geCPxCTO1fzNF8dPec7yZyUx3OaWkFBC9HsQOo/edit?usp=sharing"",""ยโสธร!J230"")"),0)</f>
        <v>0</v>
      </c>
      <c r="CC41" s="216">
        <f t="shared" ca="1" si="136"/>
        <v>0</v>
      </c>
      <c r="CD41" s="152">
        <f ca="1">IFERROR(__xludf.DUMMYFUNCTION("IMPORTRANGE(""https://docs.google.com/spreadsheets/d/1NexK3geCPxCTO1fzNF8dPec7yZyUx3OaWkFBC9HsQOo/edit?usp=sharing"",""ยโสธร!L233"")"),0)</f>
        <v>0</v>
      </c>
      <c r="CE41" s="152">
        <f ca="1">IFERROR(__xludf.DUMMYFUNCTION("IMPORTRANGE(""https://docs.google.com/spreadsheets/d/1NexK3geCPxCTO1fzNF8dPec7yZyUx3OaWkFBC9HsQOo/edit?usp=sharing"",""ยโสธร!N233"")"),0)</f>
        <v>0</v>
      </c>
      <c r="CF41" s="216">
        <f t="shared" ca="1" si="138"/>
        <v>0</v>
      </c>
      <c r="CG41" s="152">
        <f ca="1">IFERROR(__xludf.DUMMYFUNCTION("IMPORTRANGE(""https://docs.google.com/spreadsheets/d/1NexK3geCPxCTO1fzNF8dPec7yZyUx3OaWkFBC9HsQOo/edit?usp=sharing"",""ยโสธร!L234"")"),0)</f>
        <v>0</v>
      </c>
      <c r="CH41" s="152">
        <f ca="1">IFERROR(__xludf.DUMMYFUNCTION("IMPORTRANGE(""https://docs.google.com/spreadsheets/d/1NexK3geCPxCTO1fzNF8dPec7yZyUx3OaWkFBC9HsQOo/edit?usp=sharing"",""ยโสธร!N234"")"),0)</f>
        <v>0</v>
      </c>
      <c r="CI41" s="216">
        <f t="shared" ca="1" si="140"/>
        <v>0</v>
      </c>
      <c r="CJ41" s="152">
        <f ca="1">IFERROR(__xludf.DUMMYFUNCTION("IMPORTRANGE(""https://docs.google.com/spreadsheets/d/1NexK3geCPxCTO1fzNF8dPec7yZyUx3OaWkFBC9HsQOo/edit?usp=sharing"",""ยโสธร!L235"")"),0)</f>
        <v>0</v>
      </c>
      <c r="CK41" s="152">
        <f ca="1">IFERROR(__xludf.DUMMYFUNCTION("IMPORTRANGE(""https://docs.google.com/spreadsheets/d/1NexK3geCPxCTO1fzNF8dPec7yZyUx3OaWkFBC9HsQOo/edit?usp=sharing"",""ยโสธร!N235"")"),0)</f>
        <v>0</v>
      </c>
      <c r="CL41" s="216">
        <f t="shared" ca="1" si="142"/>
        <v>0</v>
      </c>
      <c r="CM41" s="251">
        <f ca="1">IFERROR(__xludf.DUMMYFUNCTION("IMPORTRANGE(""https://docs.google.com/spreadsheets/d/1NexK3geCPxCTO1fzNF8dPec7yZyUx3OaWkFBC9HsQOo/edit?usp=sharing"",""ยโสธร!Q235"")"),0)</f>
        <v>0</v>
      </c>
      <c r="CN41" s="251">
        <f ca="1">IFERROR(__xludf.DUMMYFUNCTION("IMPORTRANGE(""https://docs.google.com/spreadsheets/d/1NexK3geCPxCTO1fzNF8dPec7yZyUx3OaWkFBC9HsQOo/edit?usp=sharing"",""ยโสธร!S235"")"),0)</f>
        <v>0</v>
      </c>
      <c r="CO41" s="216">
        <f t="shared" ca="1" si="144"/>
        <v>0</v>
      </c>
      <c r="CP41" s="152">
        <f ca="1">IFERROR(__xludf.DUMMYFUNCTION("IMPORTRANGE(""https://docs.google.com/spreadsheets/d/1NexK3geCPxCTO1fzNF8dPec7yZyUx3OaWkFBC9HsQOo/edit?usp=sharing"",""ยโสธร!L236"")"),0)</f>
        <v>0</v>
      </c>
      <c r="CQ41" s="152">
        <f ca="1">IFERROR(__xludf.DUMMYFUNCTION("IMPORTRANGE(""https://docs.google.com/spreadsheets/d/1NexK3geCPxCTO1fzNF8dPec7yZyUx3OaWkFBC9HsQOo/edit?usp=sharing"",""ยโสธร!N236"")"),0)</f>
        <v>0</v>
      </c>
      <c r="CR41" s="216">
        <f t="shared" ca="1" si="146"/>
        <v>0</v>
      </c>
      <c r="CS41" s="152">
        <f ca="1">IFERROR(__xludf.DUMMYFUNCTION("IMPORTRANGE(""https://docs.google.com/spreadsheets/d/1NexK3geCPxCTO1fzNF8dPec7yZyUx3OaWkFBC9HsQOo/edit?usp=sharing"",""ยโสธร!I238"")"),0)</f>
        <v>0</v>
      </c>
      <c r="CT41" s="152">
        <f ca="1">IFERROR(__xludf.DUMMYFUNCTION("IMPORTRANGE(""https://docs.google.com/spreadsheets/d/1NexK3geCPxCTO1fzNF8dPec7yZyUx3OaWkFBC9HsQOo/edit?usp=sharing"",""ยโสธร!J238"")"),0)</f>
        <v>0</v>
      </c>
      <c r="CU41" s="216">
        <f t="shared" ca="1" si="148"/>
        <v>0</v>
      </c>
      <c r="CV41" s="152">
        <f ca="1">IFERROR(__xludf.DUMMYFUNCTION("IMPORTRANGE(""https://docs.google.com/spreadsheets/d/1NexK3geCPxCTO1fzNF8dPec7yZyUx3OaWkFBC9HsQOo/edit?usp=sharing"",""ยโสธร!J240"")"),0)</f>
        <v>0</v>
      </c>
      <c r="CW41" s="152">
        <f ca="1">IFERROR(__xludf.DUMMYFUNCTION("IMPORTRANGE(""https://docs.google.com/spreadsheets/d/1NexK3geCPxCTO1fzNF8dPec7yZyUx3OaWkFBC9HsQOo/edit?usp=sharing"",""ยโสธร!J241"")"),0)</f>
        <v>0</v>
      </c>
    </row>
    <row r="42" spans="1:101" ht="21" customHeight="1" x14ac:dyDescent="0.3">
      <c r="A42" s="147">
        <v>11</v>
      </c>
      <c r="B42" s="148" t="s">
        <v>70</v>
      </c>
      <c r="C42" s="149">
        <f t="shared" ca="1" si="90"/>
        <v>31500</v>
      </c>
      <c r="D42" s="150">
        <f t="shared" ca="1" si="178"/>
        <v>31500</v>
      </c>
      <c r="E42" s="151">
        <f ca="1">IFERROR(__xludf.DUMMYFUNCTION("IMPORTRANGE(""https://docs.google.com/spreadsheets/d/1-uDff_7J0KD5mKrp0Vvzr7lt3OU09vwQwhkpOPPYv2Y/edit?usp=sharing"",""งบพรบ!CV42"")"),0)</f>
        <v>0</v>
      </c>
      <c r="F42" s="151">
        <f ca="1">IFERROR(__xludf.DUMMYFUNCTION("IMPORTRANGE(""https://docs.google.com/spreadsheets/d/1-uDff_7J0KD5mKrp0Vvzr7lt3OU09vwQwhkpOPPYv2Y/edit?usp=sharing"",""งบพรบ!CW42"")"),31500)</f>
        <v>31500</v>
      </c>
      <c r="G42" s="151">
        <f ca="1">IFERROR(__xludf.DUMMYFUNCTION("IMPORTRANGE(""https://docs.google.com/spreadsheets/d/1-uDff_7J0KD5mKrp0Vvzr7lt3OU09vwQwhkpOPPYv2Y/edit?usp=sharing"",""งบพรบ!CX42"")"),0)</f>
        <v>0</v>
      </c>
      <c r="H42" s="151">
        <f ca="1">IFERROR(__xludf.DUMMYFUNCTION("IMPORTRANGE(""https://docs.google.com/spreadsheets/d/1-uDff_7J0KD5mKrp0Vvzr7lt3OU09vwQwhkpOPPYv2Y/edit?usp=sharing"",""งบพรบ!CZ42"")"),33500)</f>
        <v>33500</v>
      </c>
      <c r="I42" s="151">
        <f ca="1">IFERROR(__xludf.DUMMYFUNCTION("IMPORTRANGE(""https://docs.google.com/spreadsheets/d/1-uDff_7J0KD5mKrp0Vvzr7lt3OU09vwQwhkpOPPYv2Y/edit?usp=sharing"",""งบพรบ!DA42"")"),0)</f>
        <v>0</v>
      </c>
      <c r="J42" s="151">
        <f t="shared" ca="1" si="92"/>
        <v>31718</v>
      </c>
      <c r="K42" s="154">
        <f t="shared" ca="1" si="93"/>
        <v>100.6920634920635</v>
      </c>
      <c r="L42" s="151">
        <f ca="1">IFERROR(__xludf.DUMMYFUNCTION("IMPORTRANGE(""https://docs.google.com/spreadsheets/d/1-uDff_7J0KD5mKrp0Vvzr7lt3OU09vwQwhkpOPPYv2Y/edit?usp=sharing"",""งบพรบ!DB42"")"),31718)</f>
        <v>31718</v>
      </c>
      <c r="M42" s="68">
        <f t="shared" ca="1" si="94"/>
        <v>100.6920634920635</v>
      </c>
      <c r="N42" s="68">
        <f t="shared" ca="1" si="95"/>
        <v>94.680597014925368</v>
      </c>
      <c r="O42" s="67">
        <f ca="1">IFERROR(__xludf.DUMMYFUNCTION("IMPORTRANGE(""https://docs.google.com/spreadsheets/d/1-uDff_7J0KD5mKrp0Vvzr7lt3OU09vwQwhkpOPPYv2Y/edit?usp=sharing"",""งบพรบ!DC42"")"),0)</f>
        <v>0</v>
      </c>
      <c r="P42" s="67">
        <f t="shared" ca="1" si="96"/>
        <v>0</v>
      </c>
      <c r="Q42" s="68">
        <f t="shared" ca="1" si="97"/>
        <v>0</v>
      </c>
      <c r="R42" s="67">
        <f ca="1">IFERROR(__xludf.DUMMYFUNCTION("IMPORTRANGE(""https://docs.google.com/spreadsheets/d/1v_cJrbBlyqmnHPReHk44g9NrMRdENNlSy_E_c5M9fIg/edit?usp=sharing"",""ร้อยเอ็ด!Q186"")"),42000)</f>
        <v>42000</v>
      </c>
      <c r="S42" s="67">
        <f ca="1">IFERROR(__xludf.DUMMYFUNCTION("IMPORTRANGE(""https://docs.google.com/spreadsheets/d/1v_cJrbBlyqmnHPReHk44g9NrMRdENNlSy_E_c5M9fIg/edit?usp=sharing"",""ร้อยเอ็ด!R186"")"),42000)</f>
        <v>42000</v>
      </c>
      <c r="T42" s="67">
        <f ca="1">IFERROR(__xludf.DUMMYFUNCTION("IMPORTRANGE(""https://docs.google.com/spreadsheets/d/1v_cJrbBlyqmnHPReHk44g9NrMRdENNlSy_E_c5M9fIg/edit?usp=sharing"",""ร้อยเอ็ด!S186"")"),42000)</f>
        <v>42000</v>
      </c>
      <c r="U42" s="68">
        <f t="shared" ca="1" si="99"/>
        <v>100</v>
      </c>
      <c r="V42" s="68">
        <f t="shared" ca="1" si="100"/>
        <v>100</v>
      </c>
      <c r="W42" s="152">
        <f ca="1">IFERROR(__xludf.DUMMYFUNCTION("IMPORTRANGE(""https://docs.google.com/spreadsheets/d/1v_cJrbBlyqmnHPReHk44g9NrMRdENNlSy_E_c5M9fIg/edit?usp=sharing"",""ร้อยเอ็ด!L196"")"),6000)</f>
        <v>6000</v>
      </c>
      <c r="X42" s="152">
        <f ca="1">IFERROR(__xludf.DUMMYFUNCTION("IMPORTRANGE(""https://docs.google.com/spreadsheets/d/1v_cJrbBlyqmnHPReHk44g9NrMRdENNlSy_E_c5M9fIg/edit?usp=sharing"",""ร้อยเอ็ด!N196"")"),0)</f>
        <v>0</v>
      </c>
      <c r="Y42" s="216">
        <f t="shared" ca="1" si="102"/>
        <v>0</v>
      </c>
      <c r="Z42" s="152">
        <f ca="1">IFERROR(__xludf.DUMMYFUNCTION("IMPORTRANGE(""https://docs.google.com/spreadsheets/d/1v_cJrbBlyqmnHPReHk44g9NrMRdENNlSy_E_c5M9fIg/edit?usp=sharing"",""ร้อยเอ็ด!I198"")"),4)</f>
        <v>4</v>
      </c>
      <c r="AA42" s="152">
        <f ca="1">IFERROR(__xludf.DUMMYFUNCTION("IMPORTRANGE(""https://docs.google.com/spreadsheets/d/1v_cJrbBlyqmnHPReHk44g9NrMRdENNlSy_E_c5M9fIg/edit?usp=sharing"",""ร้อยเอ็ด!J198"")"),4)</f>
        <v>4</v>
      </c>
      <c r="AB42" s="216">
        <f t="shared" ca="1" si="104"/>
        <v>100</v>
      </c>
      <c r="AC42" s="152">
        <f ca="1">IFERROR(__xludf.DUMMYFUNCTION("IMPORTRANGE(""https://docs.google.com/spreadsheets/d/1v_cJrbBlyqmnHPReHk44g9NrMRdENNlSy_E_c5M9fIg/edit?usp=sharing"",""ร้อยเอ็ด!J199"")"),39)</f>
        <v>39</v>
      </c>
      <c r="AD42" s="152">
        <f ca="1">IFERROR(__xludf.DUMMYFUNCTION("IMPORTRANGE(""https://docs.google.com/spreadsheets/d/1v_cJrbBlyqmnHPReHk44g9NrMRdENNlSy_E_c5M9fIg/edit?usp=sharing"",""ร้อยเอ็ด!J200"")"),39)</f>
        <v>39</v>
      </c>
      <c r="AE42" s="152">
        <f ca="1">IFERROR(__xludf.DUMMYFUNCTION("IMPORTRANGE(""https://docs.google.com/spreadsheets/d/1v_cJrbBlyqmnHPReHk44g9NrMRdENNlSy_E_c5M9fIg/edit?usp=sharing"",""ร้อยเอ็ด!J201"")"),0)</f>
        <v>0</v>
      </c>
      <c r="AF42" s="152">
        <f ca="1">IFERROR(__xludf.DUMMYFUNCTION("IMPORTRANGE(""https://docs.google.com/spreadsheets/d/1v_cJrbBlyqmnHPReHk44g9NrMRdENNlSy_E_c5M9fIg/edit?usp=sharing"",""ร้อยเอ็ด!L204"")"),3000)</f>
        <v>3000</v>
      </c>
      <c r="AG42" s="152">
        <f ca="1">IFERROR(__xludf.DUMMYFUNCTION("IMPORTRANGE(""https://docs.google.com/spreadsheets/d/1v_cJrbBlyqmnHPReHk44g9NrMRdENNlSy_E_c5M9fIg/edit?usp=sharing"",""ร้อยเอ็ด!N204"")"),0)</f>
        <v>0</v>
      </c>
      <c r="AH42" s="216">
        <f t="shared" ca="1" si="106"/>
        <v>0</v>
      </c>
      <c r="AI42" s="152">
        <f ca="1">IFERROR(__xludf.DUMMYFUNCTION("IMPORTRANGE(""https://docs.google.com/spreadsheets/d/1v_cJrbBlyqmnHPReHk44g9NrMRdENNlSy_E_c5M9fIg/edit?usp=sharing"",""ร้อยเอ็ด!L206"")"),0)</f>
        <v>0</v>
      </c>
      <c r="AJ42" s="152">
        <f ca="1">IFERROR(__xludf.DUMMYFUNCTION("IMPORTRANGE(""https://docs.google.com/spreadsheets/d/1v_cJrbBlyqmnHPReHk44g9NrMRdENNlSy_E_c5M9fIg/edit?usp=sharing"",""ร้อยเอ็ด!N206"")"),0)</f>
        <v>0</v>
      </c>
      <c r="AK42" s="216">
        <f t="shared" ca="1" si="108"/>
        <v>0</v>
      </c>
      <c r="AL42" s="152">
        <f ca="1">IFERROR(__xludf.DUMMYFUNCTION("IMPORTRANGE(""https://docs.google.com/spreadsheets/d/1v_cJrbBlyqmnHPReHk44g9NrMRdENNlSy_E_c5M9fIg/edit?usp=sharing"",""ร้อยเอ็ด!Q206"")"),42000)</f>
        <v>42000</v>
      </c>
      <c r="AM42" s="152">
        <f ca="1">IFERROR(__xludf.DUMMYFUNCTION("IMPORTRANGE(""https://docs.google.com/spreadsheets/d/1v_cJrbBlyqmnHPReHk44g9NrMRdENNlSy_E_c5M9fIg/edit?usp=sharing"",""ร้อยเอ็ด!S206"")"),0)</f>
        <v>0</v>
      </c>
      <c r="AN42" s="216">
        <f t="shared" ca="1" si="110"/>
        <v>0</v>
      </c>
      <c r="AO42" s="152">
        <f ca="1">IFERROR(__xludf.DUMMYFUNCTION("IMPORTRANGE(""https://docs.google.com/spreadsheets/d/1v_cJrbBlyqmnHPReHk44g9NrMRdENNlSy_E_c5M9fIg/edit?usp=sharing"",""ร้อยเอ็ด!L207"")"),12000)</f>
        <v>12000</v>
      </c>
      <c r="AP42" s="152">
        <f ca="1">IFERROR(__xludf.DUMMYFUNCTION("IMPORTRANGE(""https://docs.google.com/spreadsheets/d/1v_cJrbBlyqmnHPReHk44g9NrMRdENNlSy_E_c5M9fIg/edit?usp=sharing"",""ร้อยเอ็ด!N207"")"),0)</f>
        <v>0</v>
      </c>
      <c r="AQ42" s="216">
        <f t="shared" ca="1" si="112"/>
        <v>0</v>
      </c>
      <c r="AR42" s="152">
        <f ca="1">IFERROR(__xludf.DUMMYFUNCTION("IMPORTRANGE(""https://docs.google.com/spreadsheets/d/1v_cJrbBlyqmnHPReHk44g9NrMRdENNlSy_E_c5M9fIg/edit?usp=sharing"",""ร้อยเอ็ด!I209"")"),3)</f>
        <v>3</v>
      </c>
      <c r="AS42" s="152">
        <f ca="1">IFERROR(__xludf.DUMMYFUNCTION("IMPORTRANGE(""https://docs.google.com/spreadsheets/d/1v_cJrbBlyqmnHPReHk44g9NrMRdENNlSy_E_c5M9fIg/edit?usp=sharing"",""ร้อยเอ็ด!J209"")"),3)</f>
        <v>3</v>
      </c>
      <c r="AT42" s="216">
        <f t="shared" ca="1" si="114"/>
        <v>100</v>
      </c>
      <c r="AU42" s="152">
        <f ca="1">IFERROR(__xludf.DUMMYFUNCTION("IMPORTRANGE(""https://docs.google.com/spreadsheets/d/1v_cJrbBlyqmnHPReHk44g9NrMRdENNlSy_E_c5M9fIg/edit?usp=sharing"",""ร้อยเอ็ด!J211"")"),3)</f>
        <v>3</v>
      </c>
      <c r="AV42" s="152">
        <f ca="1">IFERROR(__xludf.DUMMYFUNCTION("IMPORTRANGE(""https://docs.google.com/spreadsheets/d/1v_cJrbBlyqmnHPReHk44g9NrMRdENNlSy_E_c5M9fIg/edit?usp=sharing"",""ร้อยเอ็ด!J212"")"),0)</f>
        <v>0</v>
      </c>
      <c r="AW42" s="152">
        <f ca="1">IFERROR(__xludf.DUMMYFUNCTION("IMPORTRANGE(""https://docs.google.com/spreadsheets/d/1v_cJrbBlyqmnHPReHk44g9NrMRdENNlSy_E_c5M9fIg/edit?usp=sharing"",""ร้อยเอ็ด!L215"")"),0)</f>
        <v>0</v>
      </c>
      <c r="AX42" s="152">
        <f ca="1">IFERROR(__xludf.DUMMYFUNCTION("IMPORTRANGE(""https://docs.google.com/spreadsheets/d/1v_cJrbBlyqmnHPReHk44g9NrMRdENNlSy_E_c5M9fIg/edit?usp=sharing"",""ร้อยเอ็ด!N215"")"),0)</f>
        <v>0</v>
      </c>
      <c r="AY42" s="216">
        <f t="shared" ca="1" si="116"/>
        <v>0</v>
      </c>
      <c r="AZ42" s="152">
        <f ca="1">IFERROR(__xludf.DUMMYFUNCTION("IMPORTRANGE(""https://docs.google.com/spreadsheets/d/1v_cJrbBlyqmnHPReHk44g9NrMRdENNlSy_E_c5M9fIg/edit?usp=sharing"",""ร้อยเอ็ด!L216"")"),0)</f>
        <v>0</v>
      </c>
      <c r="BA42" s="152">
        <f ca="1">IFERROR(__xludf.DUMMYFUNCTION("IMPORTRANGE(""https://docs.google.com/spreadsheets/d/1v_cJrbBlyqmnHPReHk44g9NrMRdENNlSy_E_c5M9fIg/edit?usp=sharing"",""ร้อยเอ็ด!N216"")"),0)</f>
        <v>0</v>
      </c>
      <c r="BB42" s="216">
        <f t="shared" ca="1" si="118"/>
        <v>0</v>
      </c>
      <c r="BC42" s="152">
        <f ca="1">IFERROR(__xludf.DUMMYFUNCTION("IMPORTRANGE(""https://docs.google.com/spreadsheets/d/1v_cJrbBlyqmnHPReHk44g9NrMRdENNlSy_E_c5M9fIg/edit?usp=sharing"",""ร้อยเอ็ด!L217"")"),0)</f>
        <v>0</v>
      </c>
      <c r="BD42" s="152">
        <f ca="1">IFERROR(__xludf.DUMMYFUNCTION("IMPORTRANGE(""https://docs.google.com/spreadsheets/d/1v_cJrbBlyqmnHPReHk44g9NrMRdENNlSy_E_c5M9fIg/edit?usp=sharing"",""ร้อยเอ็ด!N217"")"),0)</f>
        <v>0</v>
      </c>
      <c r="BE42" s="216">
        <f t="shared" ca="1" si="120"/>
        <v>0</v>
      </c>
      <c r="BF42" s="152">
        <f ca="1">IFERROR(__xludf.DUMMYFUNCTION("IMPORTRANGE(""https://docs.google.com/spreadsheets/d/1v_cJrbBlyqmnHPReHk44g9NrMRdENNlSy_E_c5M9fIg/edit?usp=sharing"",""ร้อยเอ็ด!Q217"")"),0)</f>
        <v>0</v>
      </c>
      <c r="BG42" s="152">
        <f ca="1">IFERROR(__xludf.DUMMYFUNCTION("IMPORTRANGE(""https://docs.google.com/spreadsheets/d/1v_cJrbBlyqmnHPReHk44g9NrMRdENNlSy_E_c5M9fIg/edit?usp=sharing"",""ร้อยเอ็ด!S217"")"),0)</f>
        <v>0</v>
      </c>
      <c r="BH42" s="216">
        <f t="shared" ca="1" si="122"/>
        <v>0</v>
      </c>
      <c r="BI42" s="152">
        <f ca="1">IFERROR(__xludf.DUMMYFUNCTION("IMPORTRANGE(""https://docs.google.com/spreadsheets/d/1v_cJrbBlyqmnHPReHk44g9NrMRdENNlSy_E_c5M9fIg/edit?usp=sharing"",""ร้อยเอ็ด!I219"")"),0)</f>
        <v>0</v>
      </c>
      <c r="BJ42" s="152">
        <f ca="1">IFERROR(__xludf.DUMMYFUNCTION("IMPORTRANGE(""https://docs.google.com/spreadsheets/d/1v_cJrbBlyqmnHPReHk44g9NrMRdENNlSy_E_c5M9fIg/edit?usp=sharing"",""ร้อยเอ็ด!J219"")"),0)</f>
        <v>0</v>
      </c>
      <c r="BK42" s="216">
        <f t="shared" ca="1" si="124"/>
        <v>0</v>
      </c>
      <c r="BL42" s="152">
        <f ca="1">IFERROR(__xludf.DUMMYFUNCTION("IMPORTRANGE(""https://docs.google.com/spreadsheets/d/1v_cJrbBlyqmnHPReHk44g9NrMRdENNlSy_E_c5M9fIg/edit?usp=sharing"",""ร้อยเอ็ด!I220"")"),0)</f>
        <v>0</v>
      </c>
      <c r="BM42" s="152">
        <f ca="1">IFERROR(__xludf.DUMMYFUNCTION("IMPORTRANGE(""https://docs.google.com/spreadsheets/d/1v_cJrbBlyqmnHPReHk44g9NrMRdENNlSy_E_c5M9fIg/edit?usp=sharing"",""ร้อยเอ็ด!J220"")"),0)</f>
        <v>0</v>
      </c>
      <c r="BN42" s="216">
        <f t="shared" ca="1" si="126"/>
        <v>0</v>
      </c>
      <c r="BO42" s="152">
        <f ca="1">IFERROR(__xludf.DUMMYFUNCTION("IMPORTRANGE(""https://docs.google.com/spreadsheets/d/1v_cJrbBlyqmnHPReHk44g9NrMRdENNlSy_E_c5M9fIg/edit?usp=sharing"",""ร้อยเอ็ด!L223"")"),2500)</f>
        <v>2500</v>
      </c>
      <c r="BP42" s="152">
        <f ca="1">IFERROR(__xludf.DUMMYFUNCTION("IMPORTRANGE(""https://docs.google.com/spreadsheets/d/1v_cJrbBlyqmnHPReHk44g9NrMRdENNlSy_E_c5M9fIg/edit?usp=sharing"",""ร้อยเอ็ด!N223"")"),0)</f>
        <v>0</v>
      </c>
      <c r="BQ42" s="216">
        <f t="shared" ca="1" si="128"/>
        <v>0</v>
      </c>
      <c r="BR42" s="152">
        <f ca="1">IFERROR(__xludf.DUMMYFUNCTION("IMPORTRANGE(""https://docs.google.com/spreadsheets/d/1v_cJrbBlyqmnHPReHk44g9NrMRdENNlSy_E_c5M9fIg/edit?usp=sharing"",""ร้อยเอ็ด!L224"")"),8000)</f>
        <v>8000</v>
      </c>
      <c r="BS42" s="152">
        <f ca="1">IFERROR(__xludf.DUMMYFUNCTION("IMPORTRANGE(""https://docs.google.com/spreadsheets/d/1v_cJrbBlyqmnHPReHk44g9NrMRdENNlSy_E_c5M9fIg/edit?usp=sharing"",""ร้อยเอ็ด!N224"")"),0)</f>
        <v>0</v>
      </c>
      <c r="BT42" s="216">
        <f t="shared" ca="1" si="130"/>
        <v>0</v>
      </c>
      <c r="BU42" s="152">
        <f ca="1">IFERROR(__xludf.DUMMYFUNCTION("IMPORTRANGE(""https://docs.google.com/spreadsheets/d/1v_cJrbBlyqmnHPReHk44g9NrMRdENNlSy_E_c5M9fIg/edit?usp=sharing"",""ร้อยเอ็ด!I228"")"),64000)</f>
        <v>64000</v>
      </c>
      <c r="BV42" s="152">
        <f ca="1">IFERROR(__xludf.DUMMYFUNCTION("IMPORTRANGE(""https://docs.google.com/spreadsheets/d/1v_cJrbBlyqmnHPReHk44g9NrMRdENNlSy_E_c5M9fIg/edit?usp=sharing"",""ร้อยเอ็ด!J228"")"),64000)</f>
        <v>64000</v>
      </c>
      <c r="BW42" s="216">
        <f t="shared" ca="1" si="132"/>
        <v>100</v>
      </c>
      <c r="BX42" s="152">
        <f ca="1">IFERROR(__xludf.DUMMYFUNCTION("IMPORTRANGE(""https://docs.google.com/spreadsheets/d/1v_cJrbBlyqmnHPReHk44g9NrMRdENNlSy_E_c5M9fIg/edit?usp=sharing"",""ร้อยเอ็ด!I229"")"),64000)</f>
        <v>64000</v>
      </c>
      <c r="BY42" s="152">
        <f ca="1">IFERROR(__xludf.DUMMYFUNCTION("IMPORTRANGE(""https://docs.google.com/spreadsheets/d/1v_cJrbBlyqmnHPReHk44g9NrMRdENNlSy_E_c5M9fIg/edit?usp=sharing"",""ร้อยเอ็ด!J229"")"),64000)</f>
        <v>64000</v>
      </c>
      <c r="BZ42" s="216">
        <f t="shared" ca="1" si="134"/>
        <v>100</v>
      </c>
      <c r="CA42" s="152">
        <f ca="1">IFERROR(__xludf.DUMMYFUNCTION("IMPORTRANGE(""https://docs.google.com/spreadsheets/d/1v_cJrbBlyqmnHPReHk44g9NrMRdENNlSy_E_c5M9fIg/edit?usp=sharing"",""ร้อยเอ็ด!I230"")"),0)</f>
        <v>0</v>
      </c>
      <c r="CB42" s="152">
        <f ca="1">IFERROR(__xludf.DUMMYFUNCTION("IMPORTRANGE(""https://docs.google.com/spreadsheets/d/1v_cJrbBlyqmnHPReHk44g9NrMRdENNlSy_E_c5M9fIg/edit?usp=sharing"",""ร้อยเอ็ด!J230"")"),0)</f>
        <v>0</v>
      </c>
      <c r="CC42" s="216">
        <f t="shared" ca="1" si="136"/>
        <v>0</v>
      </c>
      <c r="CD42" s="152">
        <f ca="1">IFERROR(__xludf.DUMMYFUNCTION("IMPORTRANGE(""https://docs.google.com/spreadsheets/d/1v_cJrbBlyqmnHPReHk44g9NrMRdENNlSy_E_c5M9fIg/edit?usp=sharing"",""ร้อยเอ็ด!L233"")"),0)</f>
        <v>0</v>
      </c>
      <c r="CE42" s="152">
        <f ca="1">IFERROR(__xludf.DUMMYFUNCTION("IMPORTRANGE(""https://docs.google.com/spreadsheets/d/1v_cJrbBlyqmnHPReHk44g9NrMRdENNlSy_E_c5M9fIg/edit?usp=sharing"",""ร้อยเอ็ด!N233"")"),0)</f>
        <v>0</v>
      </c>
      <c r="CF42" s="216">
        <f t="shared" ca="1" si="138"/>
        <v>0</v>
      </c>
      <c r="CG42" s="152">
        <f ca="1">IFERROR(__xludf.DUMMYFUNCTION("IMPORTRANGE(""https://docs.google.com/spreadsheets/d/1v_cJrbBlyqmnHPReHk44g9NrMRdENNlSy_E_c5M9fIg/edit?usp=sharing"",""ร้อยเอ็ด!L234"")"),0)</f>
        <v>0</v>
      </c>
      <c r="CH42" s="152">
        <f ca="1">IFERROR(__xludf.DUMMYFUNCTION("IMPORTRANGE(""https://docs.google.com/spreadsheets/d/1v_cJrbBlyqmnHPReHk44g9NrMRdENNlSy_E_c5M9fIg/edit?usp=sharing"",""ร้อยเอ็ด!N234"")"),0)</f>
        <v>0</v>
      </c>
      <c r="CI42" s="216">
        <f t="shared" ca="1" si="140"/>
        <v>0</v>
      </c>
      <c r="CJ42" s="152">
        <f ca="1">IFERROR(__xludf.DUMMYFUNCTION("IMPORTRANGE(""https://docs.google.com/spreadsheets/d/1v_cJrbBlyqmnHPReHk44g9NrMRdENNlSy_E_c5M9fIg/edit?usp=sharing"",""ร้อยเอ็ด!L235"")"),0)</f>
        <v>0</v>
      </c>
      <c r="CK42" s="152">
        <f ca="1">IFERROR(__xludf.DUMMYFUNCTION("IMPORTRANGE(""https://docs.google.com/spreadsheets/d/1v_cJrbBlyqmnHPReHk44g9NrMRdENNlSy_E_c5M9fIg/edit?usp=sharing"",""ร้อยเอ็ด!N235"")"),0)</f>
        <v>0</v>
      </c>
      <c r="CL42" s="216">
        <f t="shared" ca="1" si="142"/>
        <v>0</v>
      </c>
      <c r="CM42" s="251">
        <f ca="1">IFERROR(__xludf.DUMMYFUNCTION("IMPORTRANGE(""https://docs.google.com/spreadsheets/d/1v_cJrbBlyqmnHPReHk44g9NrMRdENNlSy_E_c5M9fIg/edit?usp=sharing"",""ร้อยเอ็ด!Q235"")"),0)</f>
        <v>0</v>
      </c>
      <c r="CN42" s="251">
        <f ca="1">IFERROR(__xludf.DUMMYFUNCTION("IMPORTRANGE(""https://docs.google.com/spreadsheets/d/1v_cJrbBlyqmnHPReHk44g9NrMRdENNlSy_E_c5M9fIg/edit?usp=sharing"",""ร้อยเอ็ด!S235"")"),0)</f>
        <v>0</v>
      </c>
      <c r="CO42" s="216">
        <f t="shared" ca="1" si="144"/>
        <v>0</v>
      </c>
      <c r="CP42" s="152">
        <f ca="1">IFERROR(__xludf.DUMMYFUNCTION("IMPORTRANGE(""https://docs.google.com/spreadsheets/d/1v_cJrbBlyqmnHPReHk44g9NrMRdENNlSy_E_c5M9fIg/edit?usp=sharing"",""ร้อยเอ็ด!L236"")"),0)</f>
        <v>0</v>
      </c>
      <c r="CQ42" s="152">
        <f ca="1">IFERROR(__xludf.DUMMYFUNCTION("IMPORTRANGE(""https://docs.google.com/spreadsheets/d/1v_cJrbBlyqmnHPReHk44g9NrMRdENNlSy_E_c5M9fIg/edit?usp=sharing"",""ร้อยเอ็ด!N236"")"),0)</f>
        <v>0</v>
      </c>
      <c r="CR42" s="216">
        <f t="shared" ca="1" si="146"/>
        <v>0</v>
      </c>
      <c r="CS42" s="152">
        <f ca="1">IFERROR(__xludf.DUMMYFUNCTION("IMPORTRANGE(""https://docs.google.com/spreadsheets/d/1v_cJrbBlyqmnHPReHk44g9NrMRdENNlSy_E_c5M9fIg/edit?usp=sharing"",""ร้อยเอ็ด!I238"")"),0)</f>
        <v>0</v>
      </c>
      <c r="CT42" s="152">
        <f ca="1">IFERROR(__xludf.DUMMYFUNCTION("IMPORTRANGE(""https://docs.google.com/spreadsheets/d/1v_cJrbBlyqmnHPReHk44g9NrMRdENNlSy_E_c5M9fIg/edit?usp=sharing"",""ร้อยเอ็ด!J238"")"),0)</f>
        <v>0</v>
      </c>
      <c r="CU42" s="216">
        <f t="shared" ca="1" si="148"/>
        <v>0</v>
      </c>
      <c r="CV42" s="152">
        <f ca="1">IFERROR(__xludf.DUMMYFUNCTION("IMPORTRANGE(""https://docs.google.com/spreadsheets/d/1v_cJrbBlyqmnHPReHk44g9NrMRdENNlSy_E_c5M9fIg/edit?usp=sharing"",""ร้อยเอ็ด!J240"")"),0)</f>
        <v>0</v>
      </c>
      <c r="CW42" s="152">
        <f ca="1">IFERROR(__xludf.DUMMYFUNCTION("IMPORTRANGE(""https://docs.google.com/spreadsheets/d/1v_cJrbBlyqmnHPReHk44g9NrMRdENNlSy_E_c5M9fIg/edit?usp=sharing"",""ร้อยเอ็ด!J241"")"),0)</f>
        <v>0</v>
      </c>
    </row>
    <row r="43" spans="1:101" ht="21" customHeight="1" x14ac:dyDescent="0.3">
      <c r="A43" s="147">
        <v>12</v>
      </c>
      <c r="B43" s="148" t="s">
        <v>71</v>
      </c>
      <c r="C43" s="149">
        <f t="shared" ca="1" si="90"/>
        <v>52500</v>
      </c>
      <c r="D43" s="150">
        <f t="shared" ca="1" si="178"/>
        <v>52500</v>
      </c>
      <c r="E43" s="151">
        <f ca="1">IFERROR(__xludf.DUMMYFUNCTION("IMPORTRANGE(""https://docs.google.com/spreadsheets/d/1-uDff_7J0KD5mKrp0Vvzr7lt3OU09vwQwhkpOPPYv2Y/edit?usp=sharing"",""งบพรบ!CV43"")"),0)</f>
        <v>0</v>
      </c>
      <c r="F43" s="151">
        <f ca="1">IFERROR(__xludf.DUMMYFUNCTION("IMPORTRANGE(""https://docs.google.com/spreadsheets/d/1-uDff_7J0KD5mKrp0Vvzr7lt3OU09vwQwhkpOPPYv2Y/edit?usp=sharing"",""งบพรบ!CW43"")"),52500)</f>
        <v>52500</v>
      </c>
      <c r="G43" s="151">
        <f ca="1">IFERROR(__xludf.DUMMYFUNCTION("IMPORTRANGE(""https://docs.google.com/spreadsheets/d/1-uDff_7J0KD5mKrp0Vvzr7lt3OU09vwQwhkpOPPYv2Y/edit?usp=sharing"",""งบพรบ!CX43"")"),0)</f>
        <v>0</v>
      </c>
      <c r="H43" s="151">
        <f ca="1">IFERROR(__xludf.DUMMYFUNCTION("IMPORTRANGE(""https://docs.google.com/spreadsheets/d/1-uDff_7J0KD5mKrp0Vvzr7lt3OU09vwQwhkpOPPYv2Y/edit?usp=sharing"",""งบพรบ!CZ43"")"),61200)</f>
        <v>61200</v>
      </c>
      <c r="I43" s="151">
        <f ca="1">IFERROR(__xludf.DUMMYFUNCTION("IMPORTRANGE(""https://docs.google.com/spreadsheets/d/1-uDff_7J0KD5mKrp0Vvzr7lt3OU09vwQwhkpOPPYv2Y/edit?usp=sharing"",""งบพรบ!DA43"")"),0)</f>
        <v>0</v>
      </c>
      <c r="J43" s="151">
        <f t="shared" ca="1" si="92"/>
        <v>57988</v>
      </c>
      <c r="K43" s="154">
        <f t="shared" ca="1" si="93"/>
        <v>110.45333333333333</v>
      </c>
      <c r="L43" s="151">
        <f ca="1">IFERROR(__xludf.DUMMYFUNCTION("IMPORTRANGE(""https://docs.google.com/spreadsheets/d/1-uDff_7J0KD5mKrp0Vvzr7lt3OU09vwQwhkpOPPYv2Y/edit?usp=sharing"",""งบพรบ!DB43"")"),57988)</f>
        <v>57988</v>
      </c>
      <c r="M43" s="68">
        <f t="shared" ca="1" si="94"/>
        <v>110.45333333333333</v>
      </c>
      <c r="N43" s="68">
        <f t="shared" ca="1" si="95"/>
        <v>94.751633986928098</v>
      </c>
      <c r="O43" s="67">
        <f ca="1">IFERROR(__xludf.DUMMYFUNCTION("IMPORTRANGE(""https://docs.google.com/spreadsheets/d/1-uDff_7J0KD5mKrp0Vvzr7lt3OU09vwQwhkpOPPYv2Y/edit?usp=sharing"",""งบพรบ!DC43"")"),0)</f>
        <v>0</v>
      </c>
      <c r="P43" s="67">
        <f t="shared" ca="1" si="96"/>
        <v>0</v>
      </c>
      <c r="Q43" s="68">
        <f t="shared" ca="1" si="97"/>
        <v>0</v>
      </c>
      <c r="R43" s="67">
        <f ca="1">IFERROR(__xludf.DUMMYFUNCTION("IMPORTRANGE(""https://docs.google.com/spreadsheets/d/1Ul4RCpCX66NxYADU1QpwAPjOmBzW64SsT11s1wzXw_c/edit?usp=sharing"",""เลย!Q186"")"),141400)</f>
        <v>141400</v>
      </c>
      <c r="S43" s="67">
        <f ca="1">IFERROR(__xludf.DUMMYFUNCTION("IMPORTRANGE(""https://docs.google.com/spreadsheets/d/1Ul4RCpCX66NxYADU1QpwAPjOmBzW64SsT11s1wzXw_c/edit?usp=sharing"",""เลย!R186"")"),141400)</f>
        <v>141400</v>
      </c>
      <c r="T43" s="67">
        <f ca="1">IFERROR(__xludf.DUMMYFUNCTION("IMPORTRANGE(""https://docs.google.com/spreadsheets/d/1Ul4RCpCX66NxYADU1QpwAPjOmBzW64SsT11s1wzXw_c/edit?usp=sharing"",""เลย!S186"")"),115600)</f>
        <v>115600</v>
      </c>
      <c r="U43" s="68">
        <f t="shared" ca="1" si="99"/>
        <v>81.753889674681758</v>
      </c>
      <c r="V43" s="68">
        <f t="shared" ca="1" si="100"/>
        <v>81.753889674681758</v>
      </c>
      <c r="W43" s="152">
        <f ca="1">IFERROR(__xludf.DUMMYFUNCTION("IMPORTRANGE(""https://docs.google.com/spreadsheets/d/1Ul4RCpCX66NxYADU1QpwAPjOmBzW64SsT11s1wzXw_c/edit?usp=sharing"",""เลย!L196"")"),6000)</f>
        <v>6000</v>
      </c>
      <c r="X43" s="152">
        <f ca="1">IFERROR(__xludf.DUMMYFUNCTION("IMPORTRANGE(""https://docs.google.com/spreadsheets/d/1Ul4RCpCX66NxYADU1QpwAPjOmBzW64SsT11s1wzXw_c/edit?usp=sharing"",""เลย!N196"")"),3000)</f>
        <v>3000</v>
      </c>
      <c r="Y43" s="216">
        <f t="shared" ca="1" si="102"/>
        <v>50</v>
      </c>
      <c r="Z43" s="152">
        <f ca="1">IFERROR(__xludf.DUMMYFUNCTION("IMPORTRANGE(""https://docs.google.com/spreadsheets/d/1Ul4RCpCX66NxYADU1QpwAPjOmBzW64SsT11s1wzXw_c/edit?usp=sharing"",""เลย!I198"")"),4)</f>
        <v>4</v>
      </c>
      <c r="AA43" s="152">
        <f ca="1">IFERROR(__xludf.DUMMYFUNCTION("IMPORTRANGE(""https://docs.google.com/spreadsheets/d/1Ul4RCpCX66NxYADU1QpwAPjOmBzW64SsT11s1wzXw_c/edit?usp=sharing"",""เลย!J198"")"),4)</f>
        <v>4</v>
      </c>
      <c r="AB43" s="216">
        <f t="shared" ca="1" si="104"/>
        <v>100</v>
      </c>
      <c r="AC43" s="152">
        <f ca="1">IFERROR(__xludf.DUMMYFUNCTION("IMPORTRANGE(""https://docs.google.com/spreadsheets/d/1Ul4RCpCX66NxYADU1QpwAPjOmBzW64SsT11s1wzXw_c/edit?usp=sharing"",""เลย!J199"")"),356)</f>
        <v>356</v>
      </c>
      <c r="AD43" s="152">
        <f ca="1">IFERROR(__xludf.DUMMYFUNCTION("IMPORTRANGE(""https://docs.google.com/spreadsheets/d/1Ul4RCpCX66NxYADU1QpwAPjOmBzW64SsT11s1wzXw_c/edit?usp=sharing"",""เลย!J200"")"),356)</f>
        <v>356</v>
      </c>
      <c r="AE43" s="152">
        <f ca="1">IFERROR(__xludf.DUMMYFUNCTION("IMPORTRANGE(""https://docs.google.com/spreadsheets/d/1Ul4RCpCX66NxYADU1QpwAPjOmBzW64SsT11s1wzXw_c/edit?usp=sharing"",""เลย!J201"")"),0)</f>
        <v>0</v>
      </c>
      <c r="AF43" s="152">
        <f ca="1">IFERROR(__xludf.DUMMYFUNCTION("IMPORTRANGE(""https://docs.google.com/spreadsheets/d/1Ul4RCpCX66NxYADU1QpwAPjOmBzW64SsT11s1wzXw_c/edit?usp=sharing"",""เลย!L204"")"),3000)</f>
        <v>3000</v>
      </c>
      <c r="AG43" s="152">
        <f ca="1">IFERROR(__xludf.DUMMYFUNCTION("IMPORTRANGE(""https://docs.google.com/spreadsheets/d/1Ul4RCpCX66NxYADU1QpwAPjOmBzW64SsT11s1wzXw_c/edit?usp=sharing"",""เลย!N204"")"),3000)</f>
        <v>3000</v>
      </c>
      <c r="AH43" s="216">
        <f t="shared" ca="1" si="106"/>
        <v>100</v>
      </c>
      <c r="AI43" s="152">
        <f ca="1">IFERROR(__xludf.DUMMYFUNCTION("IMPORTRANGE(""https://docs.google.com/spreadsheets/d/1Ul4RCpCX66NxYADU1QpwAPjOmBzW64SsT11s1wzXw_c/edit?usp=sharing"",""เลย!L206"")"),0)</f>
        <v>0</v>
      </c>
      <c r="AJ43" s="152">
        <f ca="1">IFERROR(__xludf.DUMMYFUNCTION("IMPORTRANGE(""https://docs.google.com/spreadsheets/d/1Ul4RCpCX66NxYADU1QpwAPjOmBzW64SsT11s1wzXw_c/edit?usp=sharing"",""เลย!N206"")"),0)</f>
        <v>0</v>
      </c>
      <c r="AK43" s="216">
        <f t="shared" ca="1" si="108"/>
        <v>0</v>
      </c>
      <c r="AL43" s="152">
        <f ca="1">IFERROR(__xludf.DUMMYFUNCTION("IMPORTRANGE(""https://docs.google.com/spreadsheets/d/1Ul4RCpCX66NxYADU1QpwAPjOmBzW64SsT11s1wzXw_c/edit?usp=sharing"",""เลย!Q206"")"),42000)</f>
        <v>42000</v>
      </c>
      <c r="AM43" s="152">
        <f ca="1">IFERROR(__xludf.DUMMYFUNCTION("IMPORTRANGE(""https://docs.google.com/spreadsheets/d/1Ul4RCpCX66NxYADU1QpwAPjOmBzW64SsT11s1wzXw_c/edit?usp=sharing"",""เลย!S206"")"),42000)</f>
        <v>42000</v>
      </c>
      <c r="AN43" s="216">
        <f t="shared" ca="1" si="110"/>
        <v>100</v>
      </c>
      <c r="AO43" s="152">
        <f ca="1">IFERROR(__xludf.DUMMYFUNCTION("IMPORTRANGE(""https://docs.google.com/spreadsheets/d/1Ul4RCpCX66NxYADU1QpwAPjOmBzW64SsT11s1wzXw_c/edit?usp=sharing"",""เลย!L207"")"),15000)</f>
        <v>15000</v>
      </c>
      <c r="AP43" s="152">
        <f ca="1">IFERROR(__xludf.DUMMYFUNCTION("IMPORTRANGE(""https://docs.google.com/spreadsheets/d/1Ul4RCpCX66NxYADU1QpwAPjOmBzW64SsT11s1wzXw_c/edit?usp=sharing"",""เลย!N207"")"),15000)</f>
        <v>15000</v>
      </c>
      <c r="AQ43" s="216">
        <f t="shared" ca="1" si="112"/>
        <v>100</v>
      </c>
      <c r="AR43" s="152">
        <f ca="1">IFERROR(__xludf.DUMMYFUNCTION("IMPORTRANGE(""https://docs.google.com/spreadsheets/d/1Ul4RCpCX66NxYADU1QpwAPjOmBzW64SsT11s1wzXw_c/edit?usp=sharing"",""เลย!I209"")"),3)</f>
        <v>3</v>
      </c>
      <c r="AS43" s="152">
        <f ca="1">IFERROR(__xludf.DUMMYFUNCTION("IMPORTRANGE(""https://docs.google.com/spreadsheets/d/1Ul4RCpCX66NxYADU1QpwAPjOmBzW64SsT11s1wzXw_c/edit?usp=sharing"",""เลย!J209"")"),3)</f>
        <v>3</v>
      </c>
      <c r="AT43" s="216">
        <f t="shared" ca="1" si="114"/>
        <v>100</v>
      </c>
      <c r="AU43" s="152">
        <f ca="1">IFERROR(__xludf.DUMMYFUNCTION("IMPORTRANGE(""https://docs.google.com/spreadsheets/d/1Ul4RCpCX66NxYADU1QpwAPjOmBzW64SsT11s1wzXw_c/edit?usp=sharing"",""เลย!J211"")"),3)</f>
        <v>3</v>
      </c>
      <c r="AV43" s="152">
        <f ca="1">IFERROR(__xludf.DUMMYFUNCTION("IMPORTRANGE(""https://docs.google.com/spreadsheets/d/1Ul4RCpCX66NxYADU1QpwAPjOmBzW64SsT11s1wzXw_c/edit?usp=sharing"",""เลย!J212"")"),1)</f>
        <v>1</v>
      </c>
      <c r="AW43" s="152">
        <f ca="1">IFERROR(__xludf.DUMMYFUNCTION("IMPORTRANGE(""https://docs.google.com/spreadsheets/d/1Ul4RCpCX66NxYADU1QpwAPjOmBzW64SsT11s1wzXw_c/edit?usp=sharing"",""เลย!L215"")"),2000)</f>
        <v>2000</v>
      </c>
      <c r="AX43" s="152">
        <f ca="1">IFERROR(__xludf.DUMMYFUNCTION("IMPORTRANGE(""https://docs.google.com/spreadsheets/d/1Ul4RCpCX66NxYADU1QpwAPjOmBzW64SsT11s1wzXw_c/edit?usp=sharing"",""เลย!N215"")"),2000)</f>
        <v>2000</v>
      </c>
      <c r="AY43" s="216">
        <f t="shared" ca="1" si="116"/>
        <v>100</v>
      </c>
      <c r="AZ43" s="152">
        <f ca="1">IFERROR(__xludf.DUMMYFUNCTION("IMPORTRANGE(""https://docs.google.com/spreadsheets/d/1Ul4RCpCX66NxYADU1QpwAPjOmBzW64SsT11s1wzXw_c/edit?usp=sharing"",""เลย!L216"")"),10000)</f>
        <v>10000</v>
      </c>
      <c r="BA43" s="152">
        <f ca="1">IFERROR(__xludf.DUMMYFUNCTION("IMPORTRANGE(""https://docs.google.com/spreadsheets/d/1Ul4RCpCX66NxYADU1QpwAPjOmBzW64SsT11s1wzXw_c/edit?usp=sharing"",""เลย!N216"")"),10000)</f>
        <v>10000</v>
      </c>
      <c r="BB43" s="216">
        <f t="shared" ca="1" si="118"/>
        <v>100</v>
      </c>
      <c r="BC43" s="152">
        <f ca="1">IFERROR(__xludf.DUMMYFUNCTION("IMPORTRANGE(""https://docs.google.com/spreadsheets/d/1Ul4RCpCX66NxYADU1QpwAPjOmBzW64SsT11s1wzXw_c/edit?usp=sharing"",""เลย!L217"")"),0)</f>
        <v>0</v>
      </c>
      <c r="BD43" s="152">
        <f ca="1">IFERROR(__xludf.DUMMYFUNCTION("IMPORTRANGE(""https://docs.google.com/spreadsheets/d/1Ul4RCpCX66NxYADU1QpwAPjOmBzW64SsT11s1wzXw_c/edit?usp=sharing"",""เลย!N217"")"),0)</f>
        <v>0</v>
      </c>
      <c r="BE43" s="216">
        <f t="shared" ca="1" si="120"/>
        <v>0</v>
      </c>
      <c r="BF43" s="152">
        <f ca="1">IFERROR(__xludf.DUMMYFUNCTION("IMPORTRANGE(""https://docs.google.com/spreadsheets/d/1Ul4RCpCX66NxYADU1QpwAPjOmBzW64SsT11s1wzXw_c/edit?usp=sharing"",""เลย!Q217"")"),99400)</f>
        <v>99400</v>
      </c>
      <c r="BG43" s="152">
        <f ca="1">IFERROR(__xludf.DUMMYFUNCTION("IMPORTRANGE(""https://docs.google.com/spreadsheets/d/1Ul4RCpCX66NxYADU1QpwAPjOmBzW64SsT11s1wzXw_c/edit?usp=sharing"",""เลย!S217"")"),99400)</f>
        <v>99400</v>
      </c>
      <c r="BH43" s="216">
        <f t="shared" ca="1" si="122"/>
        <v>100</v>
      </c>
      <c r="BI43" s="152">
        <f ca="1">IFERROR(__xludf.DUMMYFUNCTION("IMPORTRANGE(""https://docs.google.com/spreadsheets/d/1Ul4RCpCX66NxYADU1QpwAPjOmBzW64SsT11s1wzXw_c/edit?usp=sharing"",""เลย!I219"")"),2)</f>
        <v>2</v>
      </c>
      <c r="BJ43" s="152">
        <f ca="1">IFERROR(__xludf.DUMMYFUNCTION("IMPORTRANGE(""https://docs.google.com/spreadsheets/d/1Ul4RCpCX66NxYADU1QpwAPjOmBzW64SsT11s1wzXw_c/edit?usp=sharing"",""เลย!J219"")"),2)</f>
        <v>2</v>
      </c>
      <c r="BK43" s="216">
        <f t="shared" ca="1" si="124"/>
        <v>100</v>
      </c>
      <c r="BL43" s="152">
        <f ca="1">IFERROR(__xludf.DUMMYFUNCTION("IMPORTRANGE(""https://docs.google.com/spreadsheets/d/1Ul4RCpCX66NxYADU1QpwAPjOmBzW64SsT11s1wzXw_c/edit?usp=sharing"",""เลย!I220"")"),2)</f>
        <v>2</v>
      </c>
      <c r="BM43" s="152">
        <f ca="1">IFERROR(__xludf.DUMMYFUNCTION("IMPORTRANGE(""https://docs.google.com/spreadsheets/d/1Ul4RCpCX66NxYADU1QpwAPjOmBzW64SsT11s1wzXw_c/edit?usp=sharing"",""เลย!J220"")"),2)</f>
        <v>2</v>
      </c>
      <c r="BN43" s="216">
        <f t="shared" ca="1" si="126"/>
        <v>100</v>
      </c>
      <c r="BO43" s="152">
        <f ca="1">IFERROR(__xludf.DUMMYFUNCTION("IMPORTRANGE(""https://docs.google.com/spreadsheets/d/1Ul4RCpCX66NxYADU1QpwAPjOmBzW64SsT11s1wzXw_c/edit?usp=sharing"",""เลย!L223"")"),2500)</f>
        <v>2500</v>
      </c>
      <c r="BP43" s="152">
        <f ca="1">IFERROR(__xludf.DUMMYFUNCTION("IMPORTRANGE(""https://docs.google.com/spreadsheets/d/1Ul4RCpCX66NxYADU1QpwAPjOmBzW64SsT11s1wzXw_c/edit?usp=sharing"",""เลย!N223"")"),0)</f>
        <v>0</v>
      </c>
      <c r="BQ43" s="216">
        <f t="shared" ca="1" si="128"/>
        <v>0</v>
      </c>
      <c r="BR43" s="152">
        <f ca="1">IFERROR(__xludf.DUMMYFUNCTION("IMPORTRANGE(""https://docs.google.com/spreadsheets/d/1Ul4RCpCX66NxYADU1QpwAPjOmBzW64SsT11s1wzXw_c/edit?usp=sharing"",""เลย!L224"")"),14000)</f>
        <v>14000</v>
      </c>
      <c r="BS43" s="152">
        <f ca="1">IFERROR(__xludf.DUMMYFUNCTION("IMPORTRANGE(""https://docs.google.com/spreadsheets/d/1Ul4RCpCX66NxYADU1QpwAPjOmBzW64SsT11s1wzXw_c/edit?usp=sharing"",""เลย!N224"")"),14000)</f>
        <v>14000</v>
      </c>
      <c r="BT43" s="216">
        <f t="shared" ca="1" si="130"/>
        <v>100</v>
      </c>
      <c r="BU43" s="152">
        <f ca="1">IFERROR(__xludf.DUMMYFUNCTION("IMPORTRANGE(""https://docs.google.com/spreadsheets/d/1Ul4RCpCX66NxYADU1QpwAPjOmBzW64SsT11s1wzXw_c/edit?usp=sharing"",""เลย!I228"")"),128000)</f>
        <v>128000</v>
      </c>
      <c r="BV43" s="152">
        <f ca="1">IFERROR(__xludf.DUMMYFUNCTION("IMPORTRANGE(""https://docs.google.com/spreadsheets/d/1Ul4RCpCX66NxYADU1QpwAPjOmBzW64SsT11s1wzXw_c/edit?usp=sharing"",""เลย!J228"")"),128000)</f>
        <v>128000</v>
      </c>
      <c r="BW43" s="216">
        <f t="shared" ca="1" si="132"/>
        <v>100</v>
      </c>
      <c r="BX43" s="152">
        <f ca="1">IFERROR(__xludf.DUMMYFUNCTION("IMPORTRANGE(""https://docs.google.com/spreadsheets/d/1Ul4RCpCX66NxYADU1QpwAPjOmBzW64SsT11s1wzXw_c/edit?usp=sharing"",""เลย!I229"")"),128000)</f>
        <v>128000</v>
      </c>
      <c r="BY43" s="152">
        <f ca="1">IFERROR(__xludf.DUMMYFUNCTION("IMPORTRANGE(""https://docs.google.com/spreadsheets/d/1Ul4RCpCX66NxYADU1QpwAPjOmBzW64SsT11s1wzXw_c/edit?usp=sharing"",""เลย!J229"")"),128000)</f>
        <v>128000</v>
      </c>
      <c r="BZ43" s="216">
        <f t="shared" ca="1" si="134"/>
        <v>100</v>
      </c>
      <c r="CA43" s="152">
        <f ca="1">IFERROR(__xludf.DUMMYFUNCTION("IMPORTRANGE(""https://docs.google.com/spreadsheets/d/1Ul4RCpCX66NxYADU1QpwAPjOmBzW64SsT11s1wzXw_c/edit?usp=sharing"",""เลย!I230"")"),0)</f>
        <v>0</v>
      </c>
      <c r="CB43" s="152">
        <f ca="1">IFERROR(__xludf.DUMMYFUNCTION("IMPORTRANGE(""https://docs.google.com/spreadsheets/d/1Ul4RCpCX66NxYADU1QpwAPjOmBzW64SsT11s1wzXw_c/edit?usp=sharing"",""เลย!J230"")"),0)</f>
        <v>0</v>
      </c>
      <c r="CC43" s="216">
        <f t="shared" ca="1" si="136"/>
        <v>0</v>
      </c>
      <c r="CD43" s="152">
        <f ca="1">IFERROR(__xludf.DUMMYFUNCTION("IMPORTRANGE(""https://docs.google.com/spreadsheets/d/1Ul4RCpCX66NxYADU1QpwAPjOmBzW64SsT11s1wzXw_c/edit?usp=sharing"",""เลย!L233"")"),0)</f>
        <v>0</v>
      </c>
      <c r="CE43" s="152">
        <f ca="1">IFERROR(__xludf.DUMMYFUNCTION("IMPORTRANGE(""https://docs.google.com/spreadsheets/d/1Ul4RCpCX66NxYADU1QpwAPjOmBzW64SsT11s1wzXw_c/edit?usp=sharing"",""เลย!N233"")"),0)</f>
        <v>0</v>
      </c>
      <c r="CF43" s="216">
        <f t="shared" ca="1" si="138"/>
        <v>0</v>
      </c>
      <c r="CG43" s="152">
        <f ca="1">IFERROR(__xludf.DUMMYFUNCTION("IMPORTRANGE(""https://docs.google.com/spreadsheets/d/1Ul4RCpCX66NxYADU1QpwAPjOmBzW64SsT11s1wzXw_c/edit?usp=sharing"",""เลย!L234"")"),0)</f>
        <v>0</v>
      </c>
      <c r="CH43" s="152">
        <f ca="1">IFERROR(__xludf.DUMMYFUNCTION("IMPORTRANGE(""https://docs.google.com/spreadsheets/d/1Ul4RCpCX66NxYADU1QpwAPjOmBzW64SsT11s1wzXw_c/edit?usp=sharing"",""เลย!N234"")"),0)</f>
        <v>0</v>
      </c>
      <c r="CI43" s="216">
        <f t="shared" ca="1" si="140"/>
        <v>0</v>
      </c>
      <c r="CJ43" s="152">
        <f ca="1">IFERROR(__xludf.DUMMYFUNCTION("IMPORTRANGE(""https://docs.google.com/spreadsheets/d/1Ul4RCpCX66NxYADU1QpwAPjOmBzW64SsT11s1wzXw_c/edit?usp=sharing"",""เลย!L235"")"),0)</f>
        <v>0</v>
      </c>
      <c r="CK43" s="152">
        <f ca="1">IFERROR(__xludf.DUMMYFUNCTION("IMPORTRANGE(""https://docs.google.com/spreadsheets/d/1Ul4RCpCX66NxYADU1QpwAPjOmBzW64SsT11s1wzXw_c/edit?usp=sharing"",""เลย!N235"")"),0)</f>
        <v>0</v>
      </c>
      <c r="CL43" s="216">
        <f t="shared" ca="1" si="142"/>
        <v>0</v>
      </c>
      <c r="CM43" s="251">
        <f ca="1">IFERROR(__xludf.DUMMYFUNCTION("IMPORTRANGE(""https://docs.google.com/spreadsheets/d/1Ul4RCpCX66NxYADU1QpwAPjOmBzW64SsT11s1wzXw_c/edit?usp=sharing"",""เลย!Q235"")"),0)</f>
        <v>0</v>
      </c>
      <c r="CN43" s="251">
        <f ca="1">IFERROR(__xludf.DUMMYFUNCTION("IMPORTRANGE(""https://docs.google.com/spreadsheets/d/1Ul4RCpCX66NxYADU1QpwAPjOmBzW64SsT11s1wzXw_c/edit?usp=sharing"",""เลย!S235"")"),0)</f>
        <v>0</v>
      </c>
      <c r="CO43" s="216">
        <f t="shared" ca="1" si="144"/>
        <v>0</v>
      </c>
      <c r="CP43" s="152">
        <f ca="1">IFERROR(__xludf.DUMMYFUNCTION("IMPORTRANGE(""https://docs.google.com/spreadsheets/d/1Ul4RCpCX66NxYADU1QpwAPjOmBzW64SsT11s1wzXw_c/edit?usp=sharing"",""เลย!L236"")"),0)</f>
        <v>0</v>
      </c>
      <c r="CQ43" s="152">
        <f ca="1">IFERROR(__xludf.DUMMYFUNCTION("IMPORTRANGE(""https://docs.google.com/spreadsheets/d/1Ul4RCpCX66NxYADU1QpwAPjOmBzW64SsT11s1wzXw_c/edit?usp=sharing"",""เลย!N236"")"),0)</f>
        <v>0</v>
      </c>
      <c r="CR43" s="216">
        <f t="shared" ca="1" si="146"/>
        <v>0</v>
      </c>
      <c r="CS43" s="152">
        <f ca="1">IFERROR(__xludf.DUMMYFUNCTION("IMPORTRANGE(""https://docs.google.com/spreadsheets/d/1Ul4RCpCX66NxYADU1QpwAPjOmBzW64SsT11s1wzXw_c/edit?usp=sharing"",""เลย!I238"")"),0)</f>
        <v>0</v>
      </c>
      <c r="CT43" s="152">
        <f ca="1">IFERROR(__xludf.DUMMYFUNCTION("IMPORTRANGE(""https://docs.google.com/spreadsheets/d/1Ul4RCpCX66NxYADU1QpwAPjOmBzW64SsT11s1wzXw_c/edit?usp=sharing"",""เลย!J238"")"),0)</f>
        <v>0</v>
      </c>
      <c r="CU43" s="216">
        <f t="shared" ca="1" si="148"/>
        <v>0</v>
      </c>
      <c r="CV43" s="152">
        <f ca="1">IFERROR(__xludf.DUMMYFUNCTION("IMPORTRANGE(""https://docs.google.com/spreadsheets/d/1Ul4RCpCX66NxYADU1QpwAPjOmBzW64SsT11s1wzXw_c/edit?usp=sharing"",""เลย!J240"")"),0)</f>
        <v>0</v>
      </c>
      <c r="CW43" s="152">
        <f ca="1">IFERROR(__xludf.DUMMYFUNCTION("IMPORTRANGE(""https://docs.google.com/spreadsheets/d/1Ul4RCpCX66NxYADU1QpwAPjOmBzW64SsT11s1wzXw_c/edit?usp=sharing"",""เลย!J241"")"),0)</f>
        <v>0</v>
      </c>
    </row>
    <row r="44" spans="1:101" ht="21" customHeight="1" x14ac:dyDescent="0.3">
      <c r="A44" s="147">
        <v>13</v>
      </c>
      <c r="B44" s="148" t="s">
        <v>72</v>
      </c>
      <c r="C44" s="149">
        <f t="shared" ca="1" si="90"/>
        <v>129300</v>
      </c>
      <c r="D44" s="150">
        <f t="shared" ca="1" si="178"/>
        <v>129300</v>
      </c>
      <c r="E44" s="151">
        <f ca="1">IFERROR(__xludf.DUMMYFUNCTION("IMPORTRANGE(""https://docs.google.com/spreadsheets/d/1-uDff_7J0KD5mKrp0Vvzr7lt3OU09vwQwhkpOPPYv2Y/edit?usp=sharing"",""งบพรบ!CV44"")"),87800)</f>
        <v>87800</v>
      </c>
      <c r="F44" s="151">
        <f ca="1">IFERROR(__xludf.DUMMYFUNCTION("IMPORTRANGE(""https://docs.google.com/spreadsheets/d/1-uDff_7J0KD5mKrp0Vvzr7lt3OU09vwQwhkpOPPYv2Y/edit?usp=sharing"",""งบพรบ!CW44"")"),41500)</f>
        <v>41500</v>
      </c>
      <c r="G44" s="151">
        <f ca="1">IFERROR(__xludf.DUMMYFUNCTION("IMPORTRANGE(""https://docs.google.com/spreadsheets/d/1-uDff_7J0KD5mKrp0Vvzr7lt3OU09vwQwhkpOPPYv2Y/edit?usp=sharing"",""งบพรบ!CX44"")"),0)</f>
        <v>0</v>
      </c>
      <c r="H44" s="151">
        <f ca="1">IFERROR(__xludf.DUMMYFUNCTION("IMPORTRANGE(""https://docs.google.com/spreadsheets/d/1-uDff_7J0KD5mKrp0Vvzr7lt3OU09vwQwhkpOPPYv2Y/edit?usp=sharing"",""งบพรบ!CZ44"")"),131300)</f>
        <v>131300</v>
      </c>
      <c r="I44" s="151">
        <f ca="1">IFERROR(__xludf.DUMMYFUNCTION("IMPORTRANGE(""https://docs.google.com/spreadsheets/d/1-uDff_7J0KD5mKrp0Vvzr7lt3OU09vwQwhkpOPPYv2Y/edit?usp=sharing"",""งบพรบ!DA44"")"),0)</f>
        <v>0</v>
      </c>
      <c r="J44" s="151">
        <f t="shared" ca="1" si="92"/>
        <v>119338.82</v>
      </c>
      <c r="K44" s="154">
        <f t="shared" ca="1" si="93"/>
        <v>92.296071152358849</v>
      </c>
      <c r="L44" s="151">
        <f ca="1">IFERROR(__xludf.DUMMYFUNCTION("IMPORTRANGE(""https://docs.google.com/spreadsheets/d/1-uDff_7J0KD5mKrp0Vvzr7lt3OU09vwQwhkpOPPYv2Y/edit?usp=sharing"",""งบพรบ!DB44"")"),119338.82)</f>
        <v>119338.82</v>
      </c>
      <c r="M44" s="68">
        <f t="shared" ca="1" si="94"/>
        <v>92.296071152358849</v>
      </c>
      <c r="N44" s="68">
        <f t="shared" ca="1" si="95"/>
        <v>90.890190403655751</v>
      </c>
      <c r="O44" s="67">
        <f ca="1">IFERROR(__xludf.DUMMYFUNCTION("IMPORTRANGE(""https://docs.google.com/spreadsheets/d/1-uDff_7J0KD5mKrp0Vvzr7lt3OU09vwQwhkpOPPYv2Y/edit?usp=sharing"",""งบพรบ!DC44"")"),0)</f>
        <v>0</v>
      </c>
      <c r="P44" s="67">
        <f t="shared" ca="1" si="96"/>
        <v>0</v>
      </c>
      <c r="Q44" s="68">
        <f t="shared" ca="1" si="97"/>
        <v>0</v>
      </c>
      <c r="R44" s="67">
        <f ca="1">IFERROR(__xludf.DUMMYFUNCTION("IMPORTRANGE(""https://docs.google.com/spreadsheets/d/1bRrNKwbHDVktQG10isr5vbWRtt5spIZPpkOSWgbT5ug/edit?usp=sharing"",""ศรีสะเกษ!Q186"")"),119700)</f>
        <v>119700</v>
      </c>
      <c r="S44" s="67">
        <f ca="1">IFERROR(__xludf.DUMMYFUNCTION("IMPORTRANGE(""https://docs.google.com/spreadsheets/d/1bRrNKwbHDVktQG10isr5vbWRtt5spIZPpkOSWgbT5ug/edit?usp=sharing"",""ศรีสะเกษ!R186"")"),119700)</f>
        <v>119700</v>
      </c>
      <c r="T44" s="67">
        <f ca="1">IFERROR(__xludf.DUMMYFUNCTION("IMPORTRANGE(""https://docs.google.com/spreadsheets/d/1bRrNKwbHDVktQG10isr5vbWRtt5spIZPpkOSWgbT5ug/edit?usp=sharing"",""ศรีสะเกษ!S186"")"),79000)</f>
        <v>79000</v>
      </c>
      <c r="U44" s="68">
        <f t="shared" ca="1" si="99"/>
        <v>65.998329156223889</v>
      </c>
      <c r="V44" s="68">
        <f t="shared" ca="1" si="100"/>
        <v>65.998329156223889</v>
      </c>
      <c r="W44" s="152">
        <f ca="1">IFERROR(__xludf.DUMMYFUNCTION("IMPORTRANGE(""https://docs.google.com/spreadsheets/d/1bRrNKwbHDVktQG10isr5vbWRtt5spIZPpkOSWgbT5ug/edit?usp=sharing"",""ศรีสะเกษ!L196"")"),6000)</f>
        <v>6000</v>
      </c>
      <c r="X44" s="152">
        <f ca="1">IFERROR(__xludf.DUMMYFUNCTION("IMPORTRANGE(""https://docs.google.com/spreadsheets/d/1bRrNKwbHDVktQG10isr5vbWRtt5spIZPpkOSWgbT5ug/edit?usp=sharing"",""ศรีสะเกษ!N196"")"),6000)</f>
        <v>6000</v>
      </c>
      <c r="Y44" s="216">
        <f t="shared" ca="1" si="102"/>
        <v>100</v>
      </c>
      <c r="Z44" s="152">
        <f ca="1">IFERROR(__xludf.DUMMYFUNCTION("IMPORTRANGE(""https://docs.google.com/spreadsheets/d/1bRrNKwbHDVktQG10isr5vbWRtt5spIZPpkOSWgbT5ug/edit?usp=sharing"",""ศรีสะเกษ!I198"")"),4)</f>
        <v>4</v>
      </c>
      <c r="AA44" s="152">
        <f ca="1">IFERROR(__xludf.DUMMYFUNCTION("IMPORTRANGE(""https://docs.google.com/spreadsheets/d/1bRrNKwbHDVktQG10isr5vbWRtt5spIZPpkOSWgbT5ug/edit?usp=sharing"",""ศรีสะเกษ!J198"")"),4)</f>
        <v>4</v>
      </c>
      <c r="AB44" s="216">
        <f t="shared" ca="1" si="104"/>
        <v>100</v>
      </c>
      <c r="AC44" s="152">
        <f ca="1">IFERROR(__xludf.DUMMYFUNCTION("IMPORTRANGE(""https://docs.google.com/spreadsheets/d/1bRrNKwbHDVktQG10isr5vbWRtt5spIZPpkOSWgbT5ug/edit?usp=sharing"",""ศรีสะเกษ!J199"")"),90)</f>
        <v>90</v>
      </c>
      <c r="AD44" s="152">
        <f ca="1">IFERROR(__xludf.DUMMYFUNCTION("IMPORTRANGE(""https://docs.google.com/spreadsheets/d/1bRrNKwbHDVktQG10isr5vbWRtt5spIZPpkOSWgbT5ug/edit?usp=sharing"",""ศรีสะเกษ!J200"")"),70)</f>
        <v>70</v>
      </c>
      <c r="AE44" s="152">
        <f ca="1">IFERROR(__xludf.DUMMYFUNCTION("IMPORTRANGE(""https://docs.google.com/spreadsheets/d/1bRrNKwbHDVktQG10isr5vbWRtt5spIZPpkOSWgbT5ug/edit?usp=sharing"",""ศรีสะเกษ!J201"")"),20)</f>
        <v>20</v>
      </c>
      <c r="AF44" s="152">
        <f ca="1">IFERROR(__xludf.DUMMYFUNCTION("IMPORTRANGE(""https://docs.google.com/spreadsheets/d/1bRrNKwbHDVktQG10isr5vbWRtt5spIZPpkOSWgbT5ug/edit?usp=sharing"",""ศรีสะเกษ!L204"")"),5000)</f>
        <v>5000</v>
      </c>
      <c r="AG44" s="152">
        <f ca="1">IFERROR(__xludf.DUMMYFUNCTION("IMPORTRANGE(""https://docs.google.com/spreadsheets/d/1bRrNKwbHDVktQG10isr5vbWRtt5spIZPpkOSWgbT5ug/edit?usp=sharing"",""ศรีสะเกษ!N204"")"),0)</f>
        <v>0</v>
      </c>
      <c r="AH44" s="216">
        <f t="shared" ca="1" si="106"/>
        <v>0</v>
      </c>
      <c r="AI44" s="152">
        <f ca="1">IFERROR(__xludf.DUMMYFUNCTION("IMPORTRANGE(""https://docs.google.com/spreadsheets/d/1bRrNKwbHDVktQG10isr5vbWRtt5spIZPpkOSWgbT5ug/edit?usp=sharing"",""ศรีสะเกษ!L206"")"),0)</f>
        <v>0</v>
      </c>
      <c r="AJ44" s="152">
        <f ca="1">IFERROR(__xludf.DUMMYFUNCTION("IMPORTRANGE(""https://docs.google.com/spreadsheets/d/1bRrNKwbHDVktQG10isr5vbWRtt5spIZPpkOSWgbT5ug/edit?usp=sharing"",""ศรีสะเกษ!N206"")"),0)</f>
        <v>0</v>
      </c>
      <c r="AK44" s="216">
        <f t="shared" ca="1" si="108"/>
        <v>0</v>
      </c>
      <c r="AL44" s="152">
        <f ca="1">IFERROR(__xludf.DUMMYFUNCTION("IMPORTRANGE(""https://docs.google.com/spreadsheets/d/1bRrNKwbHDVktQG10isr5vbWRtt5spIZPpkOSWgbT5ug/edit?usp=sharing"",""ศรีสะเกษ!Q206"")"),70000)</f>
        <v>70000</v>
      </c>
      <c r="AM44" s="152">
        <f ca="1">IFERROR(__xludf.DUMMYFUNCTION("IMPORTRANGE(""https://docs.google.com/spreadsheets/d/1bRrNKwbHDVktQG10isr5vbWRtt5spIZPpkOSWgbT5ug/edit?usp=sharing"",""ศรีสะเกษ!S206"")"),0)</f>
        <v>0</v>
      </c>
      <c r="AN44" s="216">
        <f t="shared" ca="1" si="110"/>
        <v>0</v>
      </c>
      <c r="AO44" s="152">
        <f ca="1">IFERROR(__xludf.DUMMYFUNCTION("IMPORTRANGE(""https://docs.google.com/spreadsheets/d/1bRrNKwbHDVktQG10isr5vbWRtt5spIZPpkOSWgbT5ug/edit?usp=sharing"",""ศรีสะเกษ!L207"")"),20000)</f>
        <v>20000</v>
      </c>
      <c r="AP44" s="152">
        <f ca="1">IFERROR(__xludf.DUMMYFUNCTION("IMPORTRANGE(""https://docs.google.com/spreadsheets/d/1bRrNKwbHDVktQG10isr5vbWRtt5spIZPpkOSWgbT5ug/edit?usp=sharing"",""ศรีสะเกษ!N207"")"),20000)</f>
        <v>20000</v>
      </c>
      <c r="AQ44" s="216">
        <f t="shared" ca="1" si="112"/>
        <v>100</v>
      </c>
      <c r="AR44" s="152">
        <f ca="1">IFERROR(__xludf.DUMMYFUNCTION("IMPORTRANGE(""https://docs.google.com/spreadsheets/d/1bRrNKwbHDVktQG10isr5vbWRtt5spIZPpkOSWgbT5ug/edit?usp=sharing"",""ศรีสะเกษ!I209"")"),5)</f>
        <v>5</v>
      </c>
      <c r="AS44" s="152">
        <f ca="1">IFERROR(__xludf.DUMMYFUNCTION("IMPORTRANGE(""https://docs.google.com/spreadsheets/d/1bRrNKwbHDVktQG10isr5vbWRtt5spIZPpkOSWgbT5ug/edit?usp=sharing"",""ศรีสะเกษ!J209"")"),5)</f>
        <v>5</v>
      </c>
      <c r="AT44" s="216">
        <f t="shared" ca="1" si="114"/>
        <v>100</v>
      </c>
      <c r="AU44" s="152">
        <f ca="1">IFERROR(__xludf.DUMMYFUNCTION("IMPORTRANGE(""https://docs.google.com/spreadsheets/d/1bRrNKwbHDVktQG10isr5vbWRtt5spIZPpkOSWgbT5ug/edit?usp=sharing"",""ศรีสะเกษ!J211"")"),5)</f>
        <v>5</v>
      </c>
      <c r="AV44" s="152">
        <f ca="1">IFERROR(__xludf.DUMMYFUNCTION("IMPORTRANGE(""https://docs.google.com/spreadsheets/d/1bRrNKwbHDVktQG10isr5vbWRtt5spIZPpkOSWgbT5ug/edit?usp=sharing"",""ศรีสะเกษ!J212"")"),0)</f>
        <v>0</v>
      </c>
      <c r="AW44" s="152">
        <f ca="1">IFERROR(__xludf.DUMMYFUNCTION("IMPORTRANGE(""https://docs.google.com/spreadsheets/d/1bRrNKwbHDVktQG10isr5vbWRtt5spIZPpkOSWgbT5ug/edit?usp=sharing"",""ศรีสะเกษ!L215"")"),1000)</f>
        <v>1000</v>
      </c>
      <c r="AX44" s="152">
        <f ca="1">IFERROR(__xludf.DUMMYFUNCTION("IMPORTRANGE(""https://docs.google.com/spreadsheets/d/1bRrNKwbHDVktQG10isr5vbWRtt5spIZPpkOSWgbT5ug/edit?usp=sharing"",""ศรีสะเกษ!N215"")"),0)</f>
        <v>0</v>
      </c>
      <c r="AY44" s="216">
        <f t="shared" ca="1" si="116"/>
        <v>0</v>
      </c>
      <c r="AZ44" s="152">
        <f ca="1">IFERROR(__xludf.DUMMYFUNCTION("IMPORTRANGE(""https://docs.google.com/spreadsheets/d/1bRrNKwbHDVktQG10isr5vbWRtt5spIZPpkOSWgbT5ug/edit?usp=sharing"",""ศรีสะเกษ!L216"")"),5000)</f>
        <v>5000</v>
      </c>
      <c r="BA44" s="152">
        <f ca="1">IFERROR(__xludf.DUMMYFUNCTION("IMPORTRANGE(""https://docs.google.com/spreadsheets/d/1bRrNKwbHDVktQG10isr5vbWRtt5spIZPpkOSWgbT5ug/edit?usp=sharing"",""ศรีสะเกษ!N216"")"),5000)</f>
        <v>5000</v>
      </c>
      <c r="BB44" s="216">
        <f t="shared" ca="1" si="118"/>
        <v>100</v>
      </c>
      <c r="BC44" s="152">
        <f ca="1">IFERROR(__xludf.DUMMYFUNCTION("IMPORTRANGE(""https://docs.google.com/spreadsheets/d/1bRrNKwbHDVktQG10isr5vbWRtt5spIZPpkOSWgbT5ug/edit?usp=sharing"",""ศรีสะเกษ!L217"")"),0)</f>
        <v>0</v>
      </c>
      <c r="BD44" s="152">
        <f ca="1">IFERROR(__xludf.DUMMYFUNCTION("IMPORTRANGE(""https://docs.google.com/spreadsheets/d/1bRrNKwbHDVktQG10isr5vbWRtt5spIZPpkOSWgbT5ug/edit?usp=sharing"",""ศรีสะเกษ!N217"")"),0)</f>
        <v>0</v>
      </c>
      <c r="BE44" s="216">
        <f t="shared" ca="1" si="120"/>
        <v>0</v>
      </c>
      <c r="BF44" s="152">
        <f ca="1">IFERROR(__xludf.DUMMYFUNCTION("IMPORTRANGE(""https://docs.google.com/spreadsheets/d/1bRrNKwbHDVktQG10isr5vbWRtt5spIZPpkOSWgbT5ug/edit?usp=sharing"",""ศรีสะเกษ!Q217"")"),49700)</f>
        <v>49700</v>
      </c>
      <c r="BG44" s="152">
        <f ca="1">IFERROR(__xludf.DUMMYFUNCTION("IMPORTRANGE(""https://docs.google.com/spreadsheets/d/1bRrNKwbHDVktQG10isr5vbWRtt5spIZPpkOSWgbT5ug/edit?usp=sharing"",""ศรีสะเกษ!S217"")"),9000)</f>
        <v>9000</v>
      </c>
      <c r="BH44" s="216">
        <f t="shared" ca="1" si="122"/>
        <v>18.108651911468812</v>
      </c>
      <c r="BI44" s="152">
        <f ca="1">IFERROR(__xludf.DUMMYFUNCTION("IMPORTRANGE(""https://docs.google.com/spreadsheets/d/1bRrNKwbHDVktQG10isr5vbWRtt5spIZPpkOSWgbT5ug/edit?usp=sharing"",""ศรีสะเกษ!I219"")"),1)</f>
        <v>1</v>
      </c>
      <c r="BJ44" s="152">
        <f ca="1">IFERROR(__xludf.DUMMYFUNCTION("IMPORTRANGE(""https://docs.google.com/spreadsheets/d/1bRrNKwbHDVktQG10isr5vbWRtt5spIZPpkOSWgbT5ug/edit?usp=sharing"",""ศรีสะเกษ!J219"")"),1)</f>
        <v>1</v>
      </c>
      <c r="BK44" s="216">
        <f t="shared" ca="1" si="124"/>
        <v>100</v>
      </c>
      <c r="BL44" s="152">
        <f ca="1">IFERROR(__xludf.DUMMYFUNCTION("IMPORTRANGE(""https://docs.google.com/spreadsheets/d/1bRrNKwbHDVktQG10isr5vbWRtt5spIZPpkOSWgbT5ug/edit?usp=sharing"",""ศรีสะเกษ!I220"")"),1)</f>
        <v>1</v>
      </c>
      <c r="BM44" s="152">
        <f ca="1">IFERROR(__xludf.DUMMYFUNCTION("IMPORTRANGE(""https://docs.google.com/spreadsheets/d/1bRrNKwbHDVktQG10isr5vbWRtt5spIZPpkOSWgbT5ug/edit?usp=sharing"",""ศรีสะเกษ!J220"")"),1)</f>
        <v>1</v>
      </c>
      <c r="BN44" s="216">
        <f t="shared" ca="1" si="126"/>
        <v>100</v>
      </c>
      <c r="BO44" s="152">
        <f ca="1">IFERROR(__xludf.DUMMYFUNCTION("IMPORTRANGE(""https://docs.google.com/spreadsheets/d/1bRrNKwbHDVktQG10isr5vbWRtt5spIZPpkOSWgbT5ug/edit?usp=sharing"",""ศรีสะเกษ!L223"")"),2500)</f>
        <v>2500</v>
      </c>
      <c r="BP44" s="152">
        <f ca="1">IFERROR(__xludf.DUMMYFUNCTION("IMPORTRANGE(""https://docs.google.com/spreadsheets/d/1bRrNKwbHDVktQG10isr5vbWRtt5spIZPpkOSWgbT5ug/edit?usp=sharing"",""ศรีสะเกษ!N223"")"),2500)</f>
        <v>2500</v>
      </c>
      <c r="BQ44" s="216">
        <f t="shared" ca="1" si="128"/>
        <v>100</v>
      </c>
      <c r="BR44" s="152">
        <f ca="1">IFERROR(__xludf.DUMMYFUNCTION("IMPORTRANGE(""https://docs.google.com/spreadsheets/d/1bRrNKwbHDVktQG10isr5vbWRtt5spIZPpkOSWgbT5ug/edit?usp=sharing"",""ศรีสะเกษ!L224"")"),2000)</f>
        <v>2000</v>
      </c>
      <c r="BS44" s="152">
        <f ca="1">IFERROR(__xludf.DUMMYFUNCTION("IMPORTRANGE(""https://docs.google.com/spreadsheets/d/1bRrNKwbHDVktQG10isr5vbWRtt5spIZPpkOSWgbT5ug/edit?usp=sharing"",""ศรีสะเกษ!N224"")"),2000)</f>
        <v>2000</v>
      </c>
      <c r="BT44" s="216">
        <f t="shared" ca="1" si="130"/>
        <v>100</v>
      </c>
      <c r="BU44" s="152">
        <f ca="1">IFERROR(__xludf.DUMMYFUNCTION("IMPORTRANGE(""https://docs.google.com/spreadsheets/d/1bRrNKwbHDVktQG10isr5vbWRtt5spIZPpkOSWgbT5ug/edit?usp=sharing"",""ศรีสะเกษ!I228"")"),10000)</f>
        <v>10000</v>
      </c>
      <c r="BV44" s="152">
        <f ca="1">IFERROR(__xludf.DUMMYFUNCTION("IMPORTRANGE(""https://docs.google.com/spreadsheets/d/1bRrNKwbHDVktQG10isr5vbWRtt5spIZPpkOSWgbT5ug/edit?usp=sharing"",""ศรีสะเกษ!J228"")"),10000)</f>
        <v>10000</v>
      </c>
      <c r="BW44" s="216">
        <f t="shared" ca="1" si="132"/>
        <v>100</v>
      </c>
      <c r="BX44" s="152">
        <f ca="1">IFERROR(__xludf.DUMMYFUNCTION("IMPORTRANGE(""https://docs.google.com/spreadsheets/d/1bRrNKwbHDVktQG10isr5vbWRtt5spIZPpkOSWgbT5ug/edit?usp=sharing"",""ศรีสะเกษ!I229"")"),10000)</f>
        <v>10000</v>
      </c>
      <c r="BY44" s="152">
        <f ca="1">IFERROR(__xludf.DUMMYFUNCTION("IMPORTRANGE(""https://docs.google.com/spreadsheets/d/1bRrNKwbHDVktQG10isr5vbWRtt5spIZPpkOSWgbT5ug/edit?usp=sharing"",""ศรีสะเกษ!J229"")"),10000)</f>
        <v>10000</v>
      </c>
      <c r="BZ44" s="216">
        <f t="shared" ca="1" si="134"/>
        <v>100</v>
      </c>
      <c r="CA44" s="152">
        <f ca="1">IFERROR(__xludf.DUMMYFUNCTION("IMPORTRANGE(""https://docs.google.com/spreadsheets/d/1bRrNKwbHDVktQG10isr5vbWRtt5spIZPpkOSWgbT5ug/edit?usp=sharing"",""ศรีสะเกษ!I230"")"),0)</f>
        <v>0</v>
      </c>
      <c r="CB44" s="152">
        <f ca="1">IFERROR(__xludf.DUMMYFUNCTION("IMPORTRANGE(""https://docs.google.com/spreadsheets/d/1bRrNKwbHDVktQG10isr5vbWRtt5spIZPpkOSWgbT5ug/edit?usp=sharing"",""ศรีสะเกษ!J230"")"),0)</f>
        <v>0</v>
      </c>
      <c r="CC44" s="216">
        <f t="shared" ca="1" si="136"/>
        <v>0</v>
      </c>
      <c r="CD44" s="152">
        <f ca="1">IFERROR(__xludf.DUMMYFUNCTION("IMPORTRANGE(""https://docs.google.com/spreadsheets/d/1bRrNKwbHDVktQG10isr5vbWRtt5spIZPpkOSWgbT5ug/edit?usp=sharing"",""ศรีสะเกษ!L233"")"),0)</f>
        <v>0</v>
      </c>
      <c r="CE44" s="152">
        <f ca="1">IFERROR(__xludf.DUMMYFUNCTION("IMPORTRANGE(""https://docs.google.com/spreadsheets/d/1bRrNKwbHDVktQG10isr5vbWRtt5spIZPpkOSWgbT5ug/edit?usp=sharing"",""ศรีสะเกษ!N233"")"),0)</f>
        <v>0</v>
      </c>
      <c r="CF44" s="216">
        <f t="shared" ca="1" si="138"/>
        <v>0</v>
      </c>
      <c r="CG44" s="152">
        <f ca="1">IFERROR(__xludf.DUMMYFUNCTION("IMPORTRANGE(""https://docs.google.com/spreadsheets/d/1bRrNKwbHDVktQG10isr5vbWRtt5spIZPpkOSWgbT5ug/edit?usp=sharing"",""ศรีสะเกษ!L234"")"),0)</f>
        <v>0</v>
      </c>
      <c r="CH44" s="152">
        <f ca="1">IFERROR(__xludf.DUMMYFUNCTION("IMPORTRANGE(""https://docs.google.com/spreadsheets/d/1bRrNKwbHDVktQG10isr5vbWRtt5spIZPpkOSWgbT5ug/edit?usp=sharing"",""ศรีสะเกษ!N234"")"),0)</f>
        <v>0</v>
      </c>
      <c r="CI44" s="216">
        <f t="shared" ca="1" si="140"/>
        <v>0</v>
      </c>
      <c r="CJ44" s="152">
        <f ca="1">IFERROR(__xludf.DUMMYFUNCTION("IMPORTRANGE(""https://docs.google.com/spreadsheets/d/1bRrNKwbHDVktQG10isr5vbWRtt5spIZPpkOSWgbT5ug/edit?usp=sharing"",""ศรีสะเกษ!L235"")"),0)</f>
        <v>0</v>
      </c>
      <c r="CK44" s="152">
        <f ca="1">IFERROR(__xludf.DUMMYFUNCTION("IMPORTRANGE(""https://docs.google.com/spreadsheets/d/1bRrNKwbHDVktQG10isr5vbWRtt5spIZPpkOSWgbT5ug/edit?usp=sharing"",""ศรีสะเกษ!N235"")"),0)</f>
        <v>0</v>
      </c>
      <c r="CL44" s="216">
        <f t="shared" ca="1" si="142"/>
        <v>0</v>
      </c>
      <c r="CM44" s="251">
        <f ca="1">IFERROR(__xludf.DUMMYFUNCTION("IMPORTRANGE(""https://docs.google.com/spreadsheets/d/1bRrNKwbHDVktQG10isr5vbWRtt5spIZPpkOSWgbT5ug/edit?usp=sharing"",""ศรีสะเกษ!Q235"")"),0)</f>
        <v>0</v>
      </c>
      <c r="CN44" s="251">
        <f ca="1">IFERROR(__xludf.DUMMYFUNCTION("IMPORTRANGE(""https://docs.google.com/spreadsheets/d/1bRrNKwbHDVktQG10isr5vbWRtt5spIZPpkOSWgbT5ug/edit?usp=sharing"",""ศรีสะเกษ!S235"")"),0)</f>
        <v>0</v>
      </c>
      <c r="CO44" s="216">
        <f t="shared" ca="1" si="144"/>
        <v>0</v>
      </c>
      <c r="CP44" s="152">
        <f ca="1">IFERROR(__xludf.DUMMYFUNCTION("IMPORTRANGE(""https://docs.google.com/spreadsheets/d/1bRrNKwbHDVktQG10isr5vbWRtt5spIZPpkOSWgbT5ug/edit?usp=sharing"",""ศรีสะเกษ!L236"")"),0)</f>
        <v>0</v>
      </c>
      <c r="CQ44" s="152">
        <f ca="1">IFERROR(__xludf.DUMMYFUNCTION("IMPORTRANGE(""https://docs.google.com/spreadsheets/d/1bRrNKwbHDVktQG10isr5vbWRtt5spIZPpkOSWgbT5ug/edit?usp=sharing"",""ศรีสะเกษ!N236"")"),0)</f>
        <v>0</v>
      </c>
      <c r="CR44" s="216">
        <f t="shared" ca="1" si="146"/>
        <v>0</v>
      </c>
      <c r="CS44" s="152">
        <f ca="1">IFERROR(__xludf.DUMMYFUNCTION("IMPORTRANGE(""https://docs.google.com/spreadsheets/d/1bRrNKwbHDVktQG10isr5vbWRtt5spIZPpkOSWgbT5ug/edit?usp=sharing"",""ศรีสะเกษ!I238"")"),0)</f>
        <v>0</v>
      </c>
      <c r="CT44" s="152">
        <f ca="1">IFERROR(__xludf.DUMMYFUNCTION("IMPORTRANGE(""https://docs.google.com/spreadsheets/d/1bRrNKwbHDVktQG10isr5vbWRtt5spIZPpkOSWgbT5ug/edit?usp=sharing"",""ศรีสะเกษ!J238"")"),0)</f>
        <v>0</v>
      </c>
      <c r="CU44" s="216">
        <f t="shared" ca="1" si="148"/>
        <v>0</v>
      </c>
      <c r="CV44" s="152">
        <f ca="1">IFERROR(__xludf.DUMMYFUNCTION("IMPORTRANGE(""https://docs.google.com/spreadsheets/d/1bRrNKwbHDVktQG10isr5vbWRtt5spIZPpkOSWgbT5ug/edit?usp=sharing"",""ศรีสะเกษ!J240"")"),0)</f>
        <v>0</v>
      </c>
      <c r="CW44" s="152">
        <f ca="1">IFERROR(__xludf.DUMMYFUNCTION("IMPORTRANGE(""https://docs.google.com/spreadsheets/d/1bRrNKwbHDVktQG10isr5vbWRtt5spIZPpkOSWgbT5ug/edit?usp=sharing"",""ศรีสะเกษ!J241"")"),0)</f>
        <v>0</v>
      </c>
    </row>
    <row r="45" spans="1:101" ht="21" customHeight="1" x14ac:dyDescent="0.3">
      <c r="A45" s="147">
        <v>14</v>
      </c>
      <c r="B45" s="148" t="s">
        <v>73</v>
      </c>
      <c r="C45" s="149">
        <f t="shared" ca="1" si="90"/>
        <v>337500</v>
      </c>
      <c r="D45" s="150">
        <f t="shared" ca="1" si="178"/>
        <v>337500</v>
      </c>
      <c r="E45" s="151">
        <f ca="1">IFERROR(__xludf.DUMMYFUNCTION("IMPORTRANGE(""https://docs.google.com/spreadsheets/d/1-uDff_7J0KD5mKrp0Vvzr7lt3OU09vwQwhkpOPPYv2Y/edit?usp=sharing"",""งบพรบ!CV45"")"),182000)</f>
        <v>182000</v>
      </c>
      <c r="F45" s="151">
        <f ca="1">IFERROR(__xludf.DUMMYFUNCTION("IMPORTRANGE(""https://docs.google.com/spreadsheets/d/1-uDff_7J0KD5mKrp0Vvzr7lt3OU09vwQwhkpOPPYv2Y/edit?usp=sharing"",""งบพรบ!CW45"")"),155500)</f>
        <v>155500</v>
      </c>
      <c r="G45" s="151">
        <f ca="1">IFERROR(__xludf.DUMMYFUNCTION("IMPORTRANGE(""https://docs.google.com/spreadsheets/d/1-uDff_7J0KD5mKrp0Vvzr7lt3OU09vwQwhkpOPPYv2Y/edit?usp=sharing"",""งบพรบ!CX45"")"),0)</f>
        <v>0</v>
      </c>
      <c r="H45" s="151">
        <f ca="1">IFERROR(__xludf.DUMMYFUNCTION("IMPORTRANGE(""https://docs.google.com/spreadsheets/d/1-uDff_7J0KD5mKrp0Vvzr7lt3OU09vwQwhkpOPPYv2Y/edit?usp=sharing"",""งบพรบ!CZ45"")"),346700)</f>
        <v>346700</v>
      </c>
      <c r="I45" s="151">
        <f ca="1">IFERROR(__xludf.DUMMYFUNCTION("IMPORTRANGE(""https://docs.google.com/spreadsheets/d/1-uDff_7J0KD5mKrp0Vvzr7lt3OU09vwQwhkpOPPYv2Y/edit?usp=sharing"",""งบพรบ!DA45"")"),0)</f>
        <v>0</v>
      </c>
      <c r="J45" s="151">
        <f t="shared" ca="1" si="92"/>
        <v>215888.96</v>
      </c>
      <c r="K45" s="154">
        <f t="shared" ca="1" si="93"/>
        <v>63.967099259259257</v>
      </c>
      <c r="L45" s="151">
        <f ca="1">IFERROR(__xludf.DUMMYFUNCTION("IMPORTRANGE(""https://docs.google.com/spreadsheets/d/1-uDff_7J0KD5mKrp0Vvzr7lt3OU09vwQwhkpOPPYv2Y/edit?usp=sharing"",""งบพรบ!DB45"")"),215888.96)</f>
        <v>215888.96</v>
      </c>
      <c r="M45" s="68">
        <f t="shared" ca="1" si="94"/>
        <v>63.967099259259257</v>
      </c>
      <c r="N45" s="68">
        <f t="shared" ca="1" si="95"/>
        <v>62.269674069800978</v>
      </c>
      <c r="O45" s="67">
        <f ca="1">IFERROR(__xludf.DUMMYFUNCTION("IMPORTRANGE(""https://docs.google.com/spreadsheets/d/1-uDff_7J0KD5mKrp0Vvzr7lt3OU09vwQwhkpOPPYv2Y/edit?usp=sharing"",""งบพรบ!DC45"")"),0)</f>
        <v>0</v>
      </c>
      <c r="P45" s="67">
        <f t="shared" ca="1" si="96"/>
        <v>0</v>
      </c>
      <c r="Q45" s="68">
        <f t="shared" ca="1" si="97"/>
        <v>0</v>
      </c>
      <c r="R45" s="67">
        <f ca="1">IFERROR(__xludf.DUMMYFUNCTION("IMPORTRANGE(""https://docs.google.com/spreadsheets/d/17P34_Ow5kFBfdQD0qspb2UuPX5zpi6WMrQzslghyvrI/edit?usp=sharing"",""สกลนคร!Q186"")"),262400)</f>
        <v>262400</v>
      </c>
      <c r="S45" s="67">
        <f ca="1">IFERROR(__xludf.DUMMYFUNCTION("IMPORTRANGE(""https://docs.google.com/spreadsheets/d/17P34_Ow5kFBfdQD0qspb2UuPX5zpi6WMrQzslghyvrI/edit?usp=sharing"",""สกลนคร!R186"")"),262400)</f>
        <v>262400</v>
      </c>
      <c r="T45" s="67">
        <f ca="1">IFERROR(__xludf.DUMMYFUNCTION("IMPORTRANGE(""https://docs.google.com/spreadsheets/d/17P34_Ow5kFBfdQD0qspb2UuPX5zpi6WMrQzslghyvrI/edit?usp=sharing"",""สกลนคร!S186"")"),198305)</f>
        <v>198305</v>
      </c>
      <c r="U45" s="68">
        <f t="shared" ca="1" si="99"/>
        <v>75.573551829268297</v>
      </c>
      <c r="V45" s="68">
        <f t="shared" ca="1" si="100"/>
        <v>75.573551829268297</v>
      </c>
      <c r="W45" s="152">
        <f ca="1">IFERROR(__xludf.DUMMYFUNCTION("IMPORTRANGE(""https://docs.google.com/spreadsheets/d/17P34_Ow5kFBfdQD0qspb2UuPX5zpi6WMrQzslghyvrI/edit?usp=sharing"",""สกลนคร!L196"")"),6000)</f>
        <v>6000</v>
      </c>
      <c r="X45" s="152">
        <f ca="1">IFERROR(__xludf.DUMMYFUNCTION("IMPORTRANGE(""https://docs.google.com/spreadsheets/d/17P34_Ow5kFBfdQD0qspb2UuPX5zpi6WMrQzslghyvrI/edit?usp=sharing"",""สกลนคร!N196"")"),1440)</f>
        <v>1440</v>
      </c>
      <c r="Y45" s="216">
        <f t="shared" ca="1" si="102"/>
        <v>24</v>
      </c>
      <c r="Z45" s="152">
        <f ca="1">IFERROR(__xludf.DUMMYFUNCTION("IMPORTRANGE(""https://docs.google.com/spreadsheets/d/17P34_Ow5kFBfdQD0qspb2UuPX5zpi6WMrQzslghyvrI/edit?usp=sharing"",""สกลนคร!I198"")"),4)</f>
        <v>4</v>
      </c>
      <c r="AA45" s="152">
        <f ca="1">IFERROR(__xludf.DUMMYFUNCTION("IMPORTRANGE(""https://docs.google.com/spreadsheets/d/17P34_Ow5kFBfdQD0qspb2UuPX5zpi6WMrQzslghyvrI/edit?usp=sharing"",""สกลนคร!J198"")"),4)</f>
        <v>4</v>
      </c>
      <c r="AB45" s="216">
        <f t="shared" ca="1" si="104"/>
        <v>100</v>
      </c>
      <c r="AC45" s="152">
        <f ca="1">IFERROR(__xludf.DUMMYFUNCTION("IMPORTRANGE(""https://docs.google.com/spreadsheets/d/17P34_Ow5kFBfdQD0qspb2UuPX5zpi6WMrQzslghyvrI/edit?usp=sharing"",""สกลนคร!J199"")"),0)</f>
        <v>0</v>
      </c>
      <c r="AD45" s="152">
        <f ca="1">IFERROR(__xludf.DUMMYFUNCTION("IMPORTRANGE(""https://docs.google.com/spreadsheets/d/17P34_Ow5kFBfdQD0qspb2UuPX5zpi6WMrQzslghyvrI/edit?usp=sharing"",""สกลนคร!J200"")"),0)</f>
        <v>0</v>
      </c>
      <c r="AE45" s="152">
        <f ca="1">IFERROR(__xludf.DUMMYFUNCTION("IMPORTRANGE(""https://docs.google.com/spreadsheets/d/17P34_Ow5kFBfdQD0qspb2UuPX5zpi6WMrQzslghyvrI/edit?usp=sharing"",""สกลนคร!J201"")"),0)</f>
        <v>0</v>
      </c>
      <c r="AF45" s="152">
        <f ca="1">IFERROR(__xludf.DUMMYFUNCTION("IMPORTRANGE(""https://docs.google.com/spreadsheets/d/17P34_Ow5kFBfdQD0qspb2UuPX5zpi6WMrQzslghyvrI/edit?usp=sharing"",""สกลนคร!L204"")"),2000)</f>
        <v>2000</v>
      </c>
      <c r="AG45" s="152">
        <f ca="1">IFERROR(__xludf.DUMMYFUNCTION("IMPORTRANGE(""https://docs.google.com/spreadsheets/d/17P34_Ow5kFBfdQD0qspb2UuPX5zpi6WMrQzslghyvrI/edit?usp=sharing"",""สกลนคร!N204"")"),2000)</f>
        <v>2000</v>
      </c>
      <c r="AH45" s="216">
        <f t="shared" ca="1" si="106"/>
        <v>100</v>
      </c>
      <c r="AI45" s="152">
        <f ca="1">IFERROR(__xludf.DUMMYFUNCTION("IMPORTRANGE(""https://docs.google.com/spreadsheets/d/17P34_Ow5kFBfdQD0qspb2UuPX5zpi6WMrQzslghyvrI/edit?usp=sharing"",""สกลนคร!L206"")"),0)</f>
        <v>0</v>
      </c>
      <c r="AJ45" s="152">
        <f ca="1">IFERROR(__xludf.DUMMYFUNCTION("IMPORTRANGE(""https://docs.google.com/spreadsheets/d/17P34_Ow5kFBfdQD0qspb2UuPX5zpi6WMrQzslghyvrI/edit?usp=sharing"",""สกลนคร!N206"")"),0)</f>
        <v>0</v>
      </c>
      <c r="AK45" s="216">
        <f t="shared" ca="1" si="108"/>
        <v>0</v>
      </c>
      <c r="AL45" s="152">
        <f ca="1">IFERROR(__xludf.DUMMYFUNCTION("IMPORTRANGE(""https://docs.google.com/spreadsheets/d/17P34_Ow5kFBfdQD0qspb2UuPX5zpi6WMrQzslghyvrI/edit?usp=sharing"",""สกลนคร!Q206"")"),28000)</f>
        <v>28000</v>
      </c>
      <c r="AM45" s="152">
        <f ca="1">IFERROR(__xludf.DUMMYFUNCTION("IMPORTRANGE(""https://docs.google.com/spreadsheets/d/17P34_Ow5kFBfdQD0qspb2UuPX5zpi6WMrQzslghyvrI/edit?usp=sharing"",""สกลนคร!S206"")"),26850)</f>
        <v>26850</v>
      </c>
      <c r="AN45" s="216">
        <f t="shared" ca="1" si="110"/>
        <v>95.892857142857139</v>
      </c>
      <c r="AO45" s="152">
        <f ca="1">IFERROR(__xludf.DUMMYFUNCTION("IMPORTRANGE(""https://docs.google.com/spreadsheets/d/17P34_Ow5kFBfdQD0qspb2UuPX5zpi6WMrQzslghyvrI/edit?usp=sharing"",""สกลนคร!L207"")"),11000)</f>
        <v>11000</v>
      </c>
      <c r="AP45" s="152">
        <f ca="1">IFERROR(__xludf.DUMMYFUNCTION("IMPORTRANGE(""https://docs.google.com/spreadsheets/d/17P34_Ow5kFBfdQD0qspb2UuPX5zpi6WMrQzslghyvrI/edit?usp=sharing"",""สกลนคร!N207"")"),11000)</f>
        <v>11000</v>
      </c>
      <c r="AQ45" s="216">
        <f t="shared" ca="1" si="112"/>
        <v>100</v>
      </c>
      <c r="AR45" s="152">
        <f ca="1">IFERROR(__xludf.DUMMYFUNCTION("IMPORTRANGE(""https://docs.google.com/spreadsheets/d/17P34_Ow5kFBfdQD0qspb2UuPX5zpi6WMrQzslghyvrI/edit?usp=sharing"",""สกลนคร!I209"")"),2)</f>
        <v>2</v>
      </c>
      <c r="AS45" s="152">
        <f ca="1">IFERROR(__xludf.DUMMYFUNCTION("IMPORTRANGE(""https://docs.google.com/spreadsheets/d/17P34_Ow5kFBfdQD0qspb2UuPX5zpi6WMrQzslghyvrI/edit?usp=sharing"",""สกลนคร!J209"")"),2)</f>
        <v>2</v>
      </c>
      <c r="AT45" s="216">
        <f t="shared" ca="1" si="114"/>
        <v>100</v>
      </c>
      <c r="AU45" s="152">
        <f ca="1">IFERROR(__xludf.DUMMYFUNCTION("IMPORTRANGE(""https://docs.google.com/spreadsheets/d/17P34_Ow5kFBfdQD0qspb2UuPX5zpi6WMrQzslghyvrI/edit?usp=sharing"",""สกลนคร!J211"")"),2)</f>
        <v>2</v>
      </c>
      <c r="AV45" s="152">
        <f ca="1">IFERROR(__xludf.DUMMYFUNCTION("IMPORTRANGE(""https://docs.google.com/spreadsheets/d/17P34_Ow5kFBfdQD0qspb2UuPX5zpi6WMrQzslghyvrI/edit?usp=sharing"",""สกลนคร!J212"")"),1)</f>
        <v>1</v>
      </c>
      <c r="AW45" s="152">
        <f ca="1">IFERROR(__xludf.DUMMYFUNCTION("IMPORTRANGE(""https://docs.google.com/spreadsheets/d/17P34_Ow5kFBfdQD0qspb2UuPX5zpi6WMrQzslghyvrI/edit?usp=sharing"",""สกลนคร!L215"")"),0)</f>
        <v>0</v>
      </c>
      <c r="AX45" s="152">
        <f ca="1">IFERROR(__xludf.DUMMYFUNCTION("IMPORTRANGE(""https://docs.google.com/spreadsheets/d/17P34_Ow5kFBfdQD0qspb2UuPX5zpi6WMrQzslghyvrI/edit?usp=sharing"",""สกลนคร!N215"")"),0)</f>
        <v>0</v>
      </c>
      <c r="AY45" s="216">
        <f t="shared" ca="1" si="116"/>
        <v>0</v>
      </c>
      <c r="AZ45" s="152">
        <f ca="1">IFERROR(__xludf.DUMMYFUNCTION("IMPORTRANGE(""https://docs.google.com/spreadsheets/d/17P34_Ow5kFBfdQD0qspb2UuPX5zpi6WMrQzslghyvrI/edit?usp=sharing"",""สกลนคร!L216"")"),0)</f>
        <v>0</v>
      </c>
      <c r="BA45" s="152">
        <f ca="1">IFERROR(__xludf.DUMMYFUNCTION("IMPORTRANGE(""https://docs.google.com/spreadsheets/d/17P34_Ow5kFBfdQD0qspb2UuPX5zpi6WMrQzslghyvrI/edit?usp=sharing"",""สกลนคร!N216"")"),0)</f>
        <v>0</v>
      </c>
      <c r="BB45" s="216">
        <f t="shared" ca="1" si="118"/>
        <v>0</v>
      </c>
      <c r="BC45" s="152">
        <f ca="1">IFERROR(__xludf.DUMMYFUNCTION("IMPORTRANGE(""https://docs.google.com/spreadsheets/d/17P34_Ow5kFBfdQD0qspb2UuPX5zpi6WMrQzslghyvrI/edit?usp=sharing"",""สกลนคร!L217"")"),0)</f>
        <v>0</v>
      </c>
      <c r="BD45" s="152">
        <f ca="1">IFERROR(__xludf.DUMMYFUNCTION("IMPORTRANGE(""https://docs.google.com/spreadsheets/d/17P34_Ow5kFBfdQD0qspb2UuPX5zpi6WMrQzslghyvrI/edit?usp=sharing"",""สกลนคร!N217"")"),0)</f>
        <v>0</v>
      </c>
      <c r="BE45" s="216">
        <f t="shared" ca="1" si="120"/>
        <v>0</v>
      </c>
      <c r="BF45" s="152">
        <f ca="1">IFERROR(__xludf.DUMMYFUNCTION("IMPORTRANGE(""https://docs.google.com/spreadsheets/d/17P34_Ow5kFBfdQD0qspb2UuPX5zpi6WMrQzslghyvrI/edit?usp=sharing"",""สกลนคร!Q217"")"),0)</f>
        <v>0</v>
      </c>
      <c r="BG45" s="152">
        <f ca="1">IFERROR(__xludf.DUMMYFUNCTION("IMPORTRANGE(""https://docs.google.com/spreadsheets/d/17P34_Ow5kFBfdQD0qspb2UuPX5zpi6WMrQzslghyvrI/edit?usp=sharing"",""สกลนคร!S217"")"),0)</f>
        <v>0</v>
      </c>
      <c r="BH45" s="216">
        <f t="shared" ca="1" si="122"/>
        <v>0</v>
      </c>
      <c r="BI45" s="152">
        <f ca="1">IFERROR(__xludf.DUMMYFUNCTION("IMPORTRANGE(""https://docs.google.com/spreadsheets/d/17P34_Ow5kFBfdQD0qspb2UuPX5zpi6WMrQzslghyvrI/edit?usp=sharing"",""สกลนคร!I219"")"),0)</f>
        <v>0</v>
      </c>
      <c r="BJ45" s="152">
        <f ca="1">IFERROR(__xludf.DUMMYFUNCTION("IMPORTRANGE(""https://docs.google.com/spreadsheets/d/17P34_Ow5kFBfdQD0qspb2UuPX5zpi6WMrQzslghyvrI/edit?usp=sharing"",""สกลนคร!J219"")"),0)</f>
        <v>0</v>
      </c>
      <c r="BK45" s="216">
        <f t="shared" ca="1" si="124"/>
        <v>0</v>
      </c>
      <c r="BL45" s="152">
        <f ca="1">IFERROR(__xludf.DUMMYFUNCTION("IMPORTRANGE(""https://docs.google.com/spreadsheets/d/17P34_Ow5kFBfdQD0qspb2UuPX5zpi6WMrQzslghyvrI/edit?usp=sharing"",""สกลนคร!I220"")"),0)</f>
        <v>0</v>
      </c>
      <c r="BM45" s="152">
        <f ca="1">IFERROR(__xludf.DUMMYFUNCTION("IMPORTRANGE(""https://docs.google.com/spreadsheets/d/17P34_Ow5kFBfdQD0qspb2UuPX5zpi6WMrQzslghyvrI/edit?usp=sharing"",""สกลนคร!J220"")"),0)</f>
        <v>0</v>
      </c>
      <c r="BN45" s="216">
        <f t="shared" ca="1" si="126"/>
        <v>0</v>
      </c>
      <c r="BO45" s="152">
        <f ca="1">IFERROR(__xludf.DUMMYFUNCTION("IMPORTRANGE(""https://docs.google.com/spreadsheets/d/17P34_Ow5kFBfdQD0qspb2UuPX5zpi6WMrQzslghyvrI/edit?usp=sharing"",""สกลนคร!L223"")"),2500)</f>
        <v>2500</v>
      </c>
      <c r="BP45" s="152">
        <f ca="1">IFERROR(__xludf.DUMMYFUNCTION("IMPORTRANGE(""https://docs.google.com/spreadsheets/d/17P34_Ow5kFBfdQD0qspb2UuPX5zpi6WMrQzslghyvrI/edit?usp=sharing"",""สกลนคร!N223"")"),2500)</f>
        <v>2500</v>
      </c>
      <c r="BQ45" s="216">
        <f t="shared" ca="1" si="128"/>
        <v>100</v>
      </c>
      <c r="BR45" s="152">
        <f ca="1">IFERROR(__xludf.DUMMYFUNCTION("IMPORTRANGE(""https://docs.google.com/spreadsheets/d/17P34_Ow5kFBfdQD0qspb2UuPX5zpi6WMrQzslghyvrI/edit?usp=sharing"",""สกลนคร!L224"")"),2000)</f>
        <v>2000</v>
      </c>
      <c r="BS45" s="152">
        <f ca="1">IFERROR(__xludf.DUMMYFUNCTION("IMPORTRANGE(""https://docs.google.com/spreadsheets/d/17P34_Ow5kFBfdQD0qspb2UuPX5zpi6WMrQzslghyvrI/edit?usp=sharing"",""สกลนคร!N224"")"),2000)</f>
        <v>2000</v>
      </c>
      <c r="BT45" s="216">
        <f t="shared" ca="1" si="130"/>
        <v>100</v>
      </c>
      <c r="BU45" s="152">
        <f ca="1">IFERROR(__xludf.DUMMYFUNCTION("IMPORTRANGE(""https://docs.google.com/spreadsheets/d/17P34_Ow5kFBfdQD0qspb2UuPX5zpi6WMrQzslghyvrI/edit?usp=sharing"",""สกลนคร!I228"")"),12800)</f>
        <v>12800</v>
      </c>
      <c r="BV45" s="152">
        <f ca="1">IFERROR(__xludf.DUMMYFUNCTION("IMPORTRANGE(""https://docs.google.com/spreadsheets/d/17P34_Ow5kFBfdQD0qspb2UuPX5zpi6WMrQzslghyvrI/edit?usp=sharing"",""สกลนคร!J228"")"),12800)</f>
        <v>12800</v>
      </c>
      <c r="BW45" s="216">
        <f t="shared" ca="1" si="132"/>
        <v>100</v>
      </c>
      <c r="BX45" s="152">
        <f ca="1">IFERROR(__xludf.DUMMYFUNCTION("IMPORTRANGE(""https://docs.google.com/spreadsheets/d/17P34_Ow5kFBfdQD0qspb2UuPX5zpi6WMrQzslghyvrI/edit?usp=sharing"",""สกลนคร!I229"")"),12800)</f>
        <v>12800</v>
      </c>
      <c r="BY45" s="152">
        <f ca="1">IFERROR(__xludf.DUMMYFUNCTION("IMPORTRANGE(""https://docs.google.com/spreadsheets/d/17P34_Ow5kFBfdQD0qspb2UuPX5zpi6WMrQzslghyvrI/edit?usp=sharing"",""สกลนคร!J229"")"),13000)</f>
        <v>13000</v>
      </c>
      <c r="BZ45" s="216">
        <f t="shared" ca="1" si="134"/>
        <v>101.5625</v>
      </c>
      <c r="CA45" s="152">
        <f ca="1">IFERROR(__xludf.DUMMYFUNCTION("IMPORTRANGE(""https://docs.google.com/spreadsheets/d/17P34_Ow5kFBfdQD0qspb2UuPX5zpi6WMrQzslghyvrI/edit?usp=sharing"",""สกลนคร!I230"")"),0)</f>
        <v>0</v>
      </c>
      <c r="CB45" s="152">
        <f ca="1">IFERROR(__xludf.DUMMYFUNCTION("IMPORTRANGE(""https://docs.google.com/spreadsheets/d/17P34_Ow5kFBfdQD0qspb2UuPX5zpi6WMrQzslghyvrI/edit?usp=sharing"",""สกลนคร!J230"")"),0)</f>
        <v>0</v>
      </c>
      <c r="CC45" s="216">
        <f t="shared" ca="1" si="136"/>
        <v>0</v>
      </c>
      <c r="CD45" s="152">
        <f ca="1">IFERROR(__xludf.DUMMYFUNCTION("IMPORTRANGE(""https://docs.google.com/spreadsheets/d/17P34_Ow5kFBfdQD0qspb2UuPX5zpi6WMrQzslghyvrI/edit?usp=sharing"",""สกลนคร!L233"")"),21000)</f>
        <v>21000</v>
      </c>
      <c r="CE45" s="152">
        <f ca="1">IFERROR(__xludf.DUMMYFUNCTION("IMPORTRANGE(""https://docs.google.com/spreadsheets/d/17P34_Ow5kFBfdQD0qspb2UuPX5zpi6WMrQzslghyvrI/edit?usp=sharing"",""สกลนคร!N233"")"),15680)</f>
        <v>15680</v>
      </c>
      <c r="CF45" s="216">
        <f t="shared" ca="1" si="138"/>
        <v>74.666666666666671</v>
      </c>
      <c r="CG45" s="152">
        <f ca="1">IFERROR(__xludf.DUMMYFUNCTION("IMPORTRANGE(""https://docs.google.com/spreadsheets/d/17P34_Ow5kFBfdQD0qspb2UuPX5zpi6WMrQzslghyvrI/edit?usp=sharing"",""สกลนคร!L234"")"),6000)</f>
        <v>6000</v>
      </c>
      <c r="CH45" s="152">
        <f ca="1">IFERROR(__xludf.DUMMYFUNCTION("IMPORTRANGE(""https://docs.google.com/spreadsheets/d/17P34_Ow5kFBfdQD0qspb2UuPX5zpi6WMrQzslghyvrI/edit?usp=sharing"",""สกลนคร!N234"")"),0)</f>
        <v>0</v>
      </c>
      <c r="CI45" s="216">
        <f t="shared" ca="1" si="140"/>
        <v>0</v>
      </c>
      <c r="CJ45" s="152">
        <f ca="1">IFERROR(__xludf.DUMMYFUNCTION("IMPORTRANGE(""https://docs.google.com/spreadsheets/d/17P34_Ow5kFBfdQD0qspb2UuPX5zpi6WMrQzslghyvrI/edit?usp=sharing"",""สกลนคร!L235"")"),0)</f>
        <v>0</v>
      </c>
      <c r="CK45" s="152">
        <f ca="1">IFERROR(__xludf.DUMMYFUNCTION("IMPORTRANGE(""https://docs.google.com/spreadsheets/d/17P34_Ow5kFBfdQD0qspb2UuPX5zpi6WMrQzslghyvrI/edit?usp=sharing"",""สกลนคร!N235"")"),0)</f>
        <v>0</v>
      </c>
      <c r="CL45" s="216">
        <f t="shared" ca="1" si="142"/>
        <v>0</v>
      </c>
      <c r="CM45" s="152">
        <f ca="1">IFERROR(__xludf.DUMMYFUNCTION("IMPORTRANGE(""https://docs.google.com/spreadsheets/d/17P34_Ow5kFBfdQD0qspb2UuPX5zpi6WMrQzslghyvrI/edit?usp=sharing"",""สกลนคร!Q235"")"),234400)</f>
        <v>234400</v>
      </c>
      <c r="CN45" s="152">
        <f ca="1">IFERROR(__xludf.DUMMYFUNCTION("IMPORTRANGE(""https://docs.google.com/spreadsheets/d/17P34_Ow5kFBfdQD0qspb2UuPX5zpi6WMrQzslghyvrI/edit?usp=sharing"",""สกลนคร!S235"")"),170305)</f>
        <v>170305</v>
      </c>
      <c r="CO45" s="216">
        <f t="shared" ca="1" si="144"/>
        <v>72.655716723549489</v>
      </c>
      <c r="CP45" s="152">
        <f ca="1">IFERROR(__xludf.DUMMYFUNCTION("IMPORTRANGE(""https://docs.google.com/spreadsheets/d/17P34_Ow5kFBfdQD0qspb2UuPX5zpi6WMrQzslghyvrI/edit?usp=sharing"",""สกลนคร!L236"")"),105000)</f>
        <v>105000</v>
      </c>
      <c r="CQ45" s="152">
        <f ca="1">IFERROR(__xludf.DUMMYFUNCTION("IMPORTRANGE(""https://docs.google.com/spreadsheets/d/17P34_Ow5kFBfdQD0qspb2UuPX5zpi6WMrQzslghyvrI/edit?usp=sharing"",""สกลนคร!N236"")"),33000)</f>
        <v>33000</v>
      </c>
      <c r="CR45" s="216">
        <f t="shared" ca="1" si="146"/>
        <v>31.428571428571427</v>
      </c>
      <c r="CS45" s="152">
        <f ca="1">IFERROR(__xludf.DUMMYFUNCTION("IMPORTRANGE(""https://docs.google.com/spreadsheets/d/17P34_Ow5kFBfdQD0qspb2UuPX5zpi6WMrQzslghyvrI/edit?usp=sharing"",""สกลนคร!I238"")"),100)</f>
        <v>100</v>
      </c>
      <c r="CT45" s="152">
        <f ca="1">IFERROR(__xludf.DUMMYFUNCTION("IMPORTRANGE(""https://docs.google.com/spreadsheets/d/17P34_Ow5kFBfdQD0qspb2UuPX5zpi6WMrQzslghyvrI/edit?usp=sharing"",""สกลนคร!J238"")"),100)</f>
        <v>100</v>
      </c>
      <c r="CU45" s="216">
        <f t="shared" ca="1" si="148"/>
        <v>100</v>
      </c>
      <c r="CV45" s="152">
        <f ca="1">IFERROR(__xludf.DUMMYFUNCTION("IMPORTRANGE(""https://docs.google.com/spreadsheets/d/17P34_Ow5kFBfdQD0qspb2UuPX5zpi6WMrQzslghyvrI/edit?usp=sharing"",""สกลนคร!J240"")"),40)</f>
        <v>40</v>
      </c>
      <c r="CW45" s="152">
        <f ca="1">IFERROR(__xludf.DUMMYFUNCTION("IMPORTRANGE(""https://docs.google.com/spreadsheets/d/17P34_Ow5kFBfdQD0qspb2UuPX5zpi6WMrQzslghyvrI/edit?usp=sharing"",""สกลนคร!J241"")"),1)</f>
        <v>1</v>
      </c>
    </row>
    <row r="46" spans="1:101" ht="21" customHeight="1" x14ac:dyDescent="0.3">
      <c r="A46" s="147">
        <v>15</v>
      </c>
      <c r="B46" s="148" t="s">
        <v>74</v>
      </c>
      <c r="C46" s="149">
        <f t="shared" ca="1" si="90"/>
        <v>44500</v>
      </c>
      <c r="D46" s="150">
        <f t="shared" ca="1" si="178"/>
        <v>44500</v>
      </c>
      <c r="E46" s="151">
        <f ca="1">IFERROR(__xludf.DUMMYFUNCTION("IMPORTRANGE(""https://docs.google.com/spreadsheets/d/1-uDff_7J0KD5mKrp0Vvzr7lt3OU09vwQwhkpOPPYv2Y/edit?usp=sharing"",""งบพรบ!CV46"")"),0)</f>
        <v>0</v>
      </c>
      <c r="F46" s="151">
        <f ca="1">IFERROR(__xludf.DUMMYFUNCTION("IMPORTRANGE(""https://docs.google.com/spreadsheets/d/1-uDff_7J0KD5mKrp0Vvzr7lt3OU09vwQwhkpOPPYv2Y/edit?usp=sharing"",""งบพรบ!CW46"")"),44500)</f>
        <v>44500</v>
      </c>
      <c r="G46" s="151">
        <f ca="1">IFERROR(__xludf.DUMMYFUNCTION("IMPORTRANGE(""https://docs.google.com/spreadsheets/d/1-uDff_7J0KD5mKrp0Vvzr7lt3OU09vwQwhkpOPPYv2Y/edit?usp=sharing"",""งบพรบ!CX46"")"),0)</f>
        <v>0</v>
      </c>
      <c r="H46" s="151">
        <f ca="1">IFERROR(__xludf.DUMMYFUNCTION("IMPORTRANGE(""https://docs.google.com/spreadsheets/d/1-uDff_7J0KD5mKrp0Vvzr7lt3OU09vwQwhkpOPPYv2Y/edit?usp=sharing"",""งบพรบ!CZ46"")"),53200)</f>
        <v>53200</v>
      </c>
      <c r="I46" s="151">
        <f ca="1">IFERROR(__xludf.DUMMYFUNCTION("IMPORTRANGE(""https://docs.google.com/spreadsheets/d/1-uDff_7J0KD5mKrp0Vvzr7lt3OU09vwQwhkpOPPYv2Y/edit?usp=sharing"",""งบพรบ!DA46"")"),0)</f>
        <v>0</v>
      </c>
      <c r="J46" s="151">
        <f t="shared" ca="1" si="92"/>
        <v>22980</v>
      </c>
      <c r="K46" s="154">
        <f t="shared" ca="1" si="93"/>
        <v>51.640449438202246</v>
      </c>
      <c r="L46" s="151">
        <f ca="1">IFERROR(__xludf.DUMMYFUNCTION("IMPORTRANGE(""https://docs.google.com/spreadsheets/d/1-uDff_7J0KD5mKrp0Vvzr7lt3OU09vwQwhkpOPPYv2Y/edit?usp=sharing"",""งบพรบ!DB46"")"),22980)</f>
        <v>22980</v>
      </c>
      <c r="M46" s="68">
        <f t="shared" ca="1" si="94"/>
        <v>51.640449438202246</v>
      </c>
      <c r="N46" s="68">
        <f t="shared" ca="1" si="95"/>
        <v>43.195488721804509</v>
      </c>
      <c r="O46" s="67">
        <f ca="1">IFERROR(__xludf.DUMMYFUNCTION("IMPORTRANGE(""https://docs.google.com/spreadsheets/d/1-uDff_7J0KD5mKrp0Vvzr7lt3OU09vwQwhkpOPPYv2Y/edit?usp=sharing"",""งบพรบ!DC46"")"),0)</f>
        <v>0</v>
      </c>
      <c r="P46" s="67">
        <f t="shared" ca="1" si="96"/>
        <v>0</v>
      </c>
      <c r="Q46" s="68">
        <f t="shared" ca="1" si="97"/>
        <v>0</v>
      </c>
      <c r="R46" s="67">
        <f ca="1">IFERROR(__xludf.DUMMYFUNCTION("IMPORTRANGE(""https://docs.google.com/spreadsheets/d/1yswqbM3-AEpThF3ZSUa1AcmHnmRTF1vlJ1CZGcJ8YuU/edit?usp=sharing"",""สุรินทร์!Q186"")"),226800)</f>
        <v>226800</v>
      </c>
      <c r="S46" s="67">
        <f ca="1">IFERROR(__xludf.DUMMYFUNCTION("IMPORTRANGE(""https://docs.google.com/spreadsheets/d/1yswqbM3-AEpThF3ZSUa1AcmHnmRTF1vlJ1CZGcJ8YuU/edit?usp=sharing"",""สุรินทร์!R186"")"),226800)</f>
        <v>226800</v>
      </c>
      <c r="T46" s="67">
        <f ca="1">IFERROR(__xludf.DUMMYFUNCTION("IMPORTRANGE(""https://docs.google.com/spreadsheets/d/1yswqbM3-AEpThF3ZSUa1AcmHnmRTF1vlJ1CZGcJ8YuU/edit?usp=sharing"",""สุรินทร์!S186"")"),118299)</f>
        <v>118299</v>
      </c>
      <c r="U46" s="68">
        <f t="shared" ca="1" si="99"/>
        <v>52.160052910052912</v>
      </c>
      <c r="V46" s="68">
        <f t="shared" ca="1" si="100"/>
        <v>52.160052910052912</v>
      </c>
      <c r="W46" s="152">
        <f ca="1">IFERROR(__xludf.DUMMYFUNCTION("IMPORTRANGE(""https://docs.google.com/spreadsheets/d/1yswqbM3-AEpThF3ZSUa1AcmHnmRTF1vlJ1CZGcJ8YuU/edit?usp=sharing"",""สุรินทร์!L196"")"),6000)</f>
        <v>6000</v>
      </c>
      <c r="X46" s="152">
        <f ca="1">IFERROR(__xludf.DUMMYFUNCTION("IMPORTRANGE(""https://docs.google.com/spreadsheets/d/1yswqbM3-AEpThF3ZSUa1AcmHnmRTF1vlJ1CZGcJ8YuU/edit?usp=sharing"",""สุรินทร์!N196"")"),6000)</f>
        <v>6000</v>
      </c>
      <c r="Y46" s="216">
        <f t="shared" ca="1" si="102"/>
        <v>100</v>
      </c>
      <c r="Z46" s="152">
        <f ca="1">IFERROR(__xludf.DUMMYFUNCTION("IMPORTRANGE(""https://docs.google.com/spreadsheets/d/1yswqbM3-AEpThF3ZSUa1AcmHnmRTF1vlJ1CZGcJ8YuU/edit?usp=sharing"",""สุรินทร์!I198"")"),4)</f>
        <v>4</v>
      </c>
      <c r="AA46" s="152">
        <f ca="1">IFERROR(__xludf.DUMMYFUNCTION("IMPORTRANGE(""https://docs.google.com/spreadsheets/d/1yswqbM3-AEpThF3ZSUa1AcmHnmRTF1vlJ1CZGcJ8YuU/edit?usp=sharing"",""สุรินทร์!J198"")"),4)</f>
        <v>4</v>
      </c>
      <c r="AB46" s="216">
        <f t="shared" ca="1" si="104"/>
        <v>100</v>
      </c>
      <c r="AC46" s="152">
        <f ca="1">IFERROR(__xludf.DUMMYFUNCTION("IMPORTRANGE(""https://docs.google.com/spreadsheets/d/1yswqbM3-AEpThF3ZSUa1AcmHnmRTF1vlJ1CZGcJ8YuU/edit?usp=sharing"",""สุรินทร์!J199"")"),105)</f>
        <v>105</v>
      </c>
      <c r="AD46" s="152">
        <f ca="1">IFERROR(__xludf.DUMMYFUNCTION("IMPORTRANGE(""https://docs.google.com/spreadsheets/d/1yswqbM3-AEpThF3ZSUa1AcmHnmRTF1vlJ1CZGcJ8YuU/edit?usp=sharing"",""สุรินทร์!J200"")"),105)</f>
        <v>105</v>
      </c>
      <c r="AE46" s="152">
        <f ca="1">IFERROR(__xludf.DUMMYFUNCTION("IMPORTRANGE(""https://docs.google.com/spreadsheets/d/1yswqbM3-AEpThF3ZSUa1AcmHnmRTF1vlJ1CZGcJ8YuU/edit?usp=sharing"",""สุรินทร์!J201"")"),0)</f>
        <v>0</v>
      </c>
      <c r="AF46" s="152">
        <f ca="1">IFERROR(__xludf.DUMMYFUNCTION("IMPORTRANGE(""https://docs.google.com/spreadsheets/d/1yswqbM3-AEpThF3ZSUa1AcmHnmRTF1vlJ1CZGcJ8YuU/edit?usp=sharing"",""สุรินทร์!L204"")"),2000)</f>
        <v>2000</v>
      </c>
      <c r="AG46" s="152">
        <f ca="1">IFERROR(__xludf.DUMMYFUNCTION("IMPORTRANGE(""https://docs.google.com/spreadsheets/d/1yswqbM3-AEpThF3ZSUa1AcmHnmRTF1vlJ1CZGcJ8YuU/edit?usp=sharing"",""สุรินทร์!N204"")"),0)</f>
        <v>0</v>
      </c>
      <c r="AH46" s="216">
        <f t="shared" ca="1" si="106"/>
        <v>0</v>
      </c>
      <c r="AI46" s="152">
        <f ca="1">IFERROR(__xludf.DUMMYFUNCTION("IMPORTRANGE(""https://docs.google.com/spreadsheets/d/1yswqbM3-AEpThF3ZSUa1AcmHnmRTF1vlJ1CZGcJ8YuU/edit?usp=sharing"",""สุรินทร์!L206"")"),0)</f>
        <v>0</v>
      </c>
      <c r="AJ46" s="152">
        <f ca="1">IFERROR(__xludf.DUMMYFUNCTION("IMPORTRANGE(""https://docs.google.com/spreadsheets/d/1yswqbM3-AEpThF3ZSUa1AcmHnmRTF1vlJ1CZGcJ8YuU/edit?usp=sharing"",""สุรินทร์!N206"")"),0)</f>
        <v>0</v>
      </c>
      <c r="AK46" s="216">
        <f t="shared" ca="1" si="108"/>
        <v>0</v>
      </c>
      <c r="AL46" s="152">
        <f ca="1">IFERROR(__xludf.DUMMYFUNCTION("IMPORTRANGE(""https://docs.google.com/spreadsheets/d/1yswqbM3-AEpThF3ZSUa1AcmHnmRTF1vlJ1CZGcJ8YuU/edit?usp=sharing"",""สุรินทร์!Q206"")"),28000)</f>
        <v>28000</v>
      </c>
      <c r="AM46" s="152">
        <f ca="1">IFERROR(__xludf.DUMMYFUNCTION("IMPORTRANGE(""https://docs.google.com/spreadsheets/d/1yswqbM3-AEpThF3ZSUa1AcmHnmRTF1vlJ1CZGcJ8YuU/edit?usp=sharing"",""สุรินทร์!S206"")"),23659)</f>
        <v>23659</v>
      </c>
      <c r="AN46" s="216">
        <f t="shared" ca="1" si="110"/>
        <v>84.496428571428567</v>
      </c>
      <c r="AO46" s="152">
        <f ca="1">IFERROR(__xludf.DUMMYFUNCTION("IMPORTRANGE(""https://docs.google.com/spreadsheets/d/1yswqbM3-AEpThF3ZSUa1AcmHnmRTF1vlJ1CZGcJ8YuU/edit?usp=sharing"",""สุรินทร์!L207"")"),8000)</f>
        <v>8000</v>
      </c>
      <c r="AP46" s="152">
        <f ca="1">IFERROR(__xludf.DUMMYFUNCTION("IMPORTRANGE(""https://docs.google.com/spreadsheets/d/1yswqbM3-AEpThF3ZSUa1AcmHnmRTF1vlJ1CZGcJ8YuU/edit?usp=sharing"",""สุรินทร์!N207"")"),0)</f>
        <v>0</v>
      </c>
      <c r="AQ46" s="216">
        <f t="shared" ca="1" si="112"/>
        <v>0</v>
      </c>
      <c r="AR46" s="152">
        <f ca="1">IFERROR(__xludf.DUMMYFUNCTION("IMPORTRANGE(""https://docs.google.com/spreadsheets/d/1yswqbM3-AEpThF3ZSUa1AcmHnmRTF1vlJ1CZGcJ8YuU/edit?usp=sharing"",""สุรินทร์!I209"")"),2)</f>
        <v>2</v>
      </c>
      <c r="AS46" s="152">
        <f ca="1">IFERROR(__xludf.DUMMYFUNCTION("IMPORTRANGE(""https://docs.google.com/spreadsheets/d/1yswqbM3-AEpThF3ZSUa1AcmHnmRTF1vlJ1CZGcJ8YuU/edit?usp=sharing"",""สุรินทร์!J209"")"),2)</f>
        <v>2</v>
      </c>
      <c r="AT46" s="216">
        <f t="shared" ca="1" si="114"/>
        <v>100</v>
      </c>
      <c r="AU46" s="152">
        <f ca="1">IFERROR(__xludf.DUMMYFUNCTION("IMPORTRANGE(""https://docs.google.com/spreadsheets/d/1yswqbM3-AEpThF3ZSUa1AcmHnmRTF1vlJ1CZGcJ8YuU/edit?usp=sharing"",""สุรินทร์!J211"")"),2)</f>
        <v>2</v>
      </c>
      <c r="AV46" s="152">
        <f ca="1">IFERROR(__xludf.DUMMYFUNCTION("IMPORTRANGE(""https://docs.google.com/spreadsheets/d/1yswqbM3-AEpThF3ZSUa1AcmHnmRTF1vlJ1CZGcJ8YuU/edit?usp=sharing"",""สุรินทร์!J212"")"),0)</f>
        <v>0</v>
      </c>
      <c r="AW46" s="152">
        <f ca="1">IFERROR(__xludf.DUMMYFUNCTION("IMPORTRANGE(""https://docs.google.com/spreadsheets/d/1yswqbM3-AEpThF3ZSUa1AcmHnmRTF1vlJ1CZGcJ8YuU/edit?usp=sharing"",""สุรินทร์!L215"")"),4000)</f>
        <v>4000</v>
      </c>
      <c r="AX46" s="152">
        <f ca="1">IFERROR(__xludf.DUMMYFUNCTION("IMPORTRANGE(""https://docs.google.com/spreadsheets/d/1yswqbM3-AEpThF3ZSUa1AcmHnmRTF1vlJ1CZGcJ8YuU/edit?usp=sharing"",""สุรินทร์!N215"")"),0)</f>
        <v>0</v>
      </c>
      <c r="AY46" s="216">
        <f t="shared" ca="1" si="116"/>
        <v>0</v>
      </c>
      <c r="AZ46" s="152">
        <f ca="1">IFERROR(__xludf.DUMMYFUNCTION("IMPORTRANGE(""https://docs.google.com/spreadsheets/d/1yswqbM3-AEpThF3ZSUa1AcmHnmRTF1vlJ1CZGcJ8YuU/edit?usp=sharing"",""สุรินทร์!L216"")"),20000)</f>
        <v>20000</v>
      </c>
      <c r="BA46" s="152">
        <f ca="1">IFERROR(__xludf.DUMMYFUNCTION("IMPORTRANGE(""https://docs.google.com/spreadsheets/d/1yswqbM3-AEpThF3ZSUa1AcmHnmRTF1vlJ1CZGcJ8YuU/edit?usp=sharing"",""สุรินทร์!N216"")"),0)</f>
        <v>0</v>
      </c>
      <c r="BB46" s="216">
        <f t="shared" ca="1" si="118"/>
        <v>0</v>
      </c>
      <c r="BC46" s="152">
        <f ca="1">IFERROR(__xludf.DUMMYFUNCTION("IMPORTRANGE(""https://docs.google.com/spreadsheets/d/1yswqbM3-AEpThF3ZSUa1AcmHnmRTF1vlJ1CZGcJ8YuU/edit?usp=sharing"",""สุรินทร์!L217"")"),0)</f>
        <v>0</v>
      </c>
      <c r="BD46" s="152">
        <f ca="1">IFERROR(__xludf.DUMMYFUNCTION("IMPORTRANGE(""https://docs.google.com/spreadsheets/d/1yswqbM3-AEpThF3ZSUa1AcmHnmRTF1vlJ1CZGcJ8YuU/edit?usp=sharing"",""สุรินทร์!N217"")"),0)</f>
        <v>0</v>
      </c>
      <c r="BE46" s="216">
        <f t="shared" ca="1" si="120"/>
        <v>0</v>
      </c>
      <c r="BF46" s="152">
        <f ca="1">IFERROR(__xludf.DUMMYFUNCTION("IMPORTRANGE(""https://docs.google.com/spreadsheets/d/1yswqbM3-AEpThF3ZSUa1AcmHnmRTF1vlJ1CZGcJ8YuU/edit?usp=sharing"",""สุรินทร์!Q217"")"),198800)</f>
        <v>198800</v>
      </c>
      <c r="BG46" s="152">
        <f ca="1">IFERROR(__xludf.DUMMYFUNCTION("IMPORTRANGE(""https://docs.google.com/spreadsheets/d/1yswqbM3-AEpThF3ZSUa1AcmHnmRTF1vlJ1CZGcJ8YuU/edit?usp=sharing"",""สุรินทร์!S217"")"),8200)</f>
        <v>8200</v>
      </c>
      <c r="BH46" s="216">
        <f t="shared" ca="1" si="122"/>
        <v>4.1247484909456738</v>
      </c>
      <c r="BI46" s="152">
        <f ca="1">IFERROR(__xludf.DUMMYFUNCTION("IMPORTRANGE(""https://docs.google.com/spreadsheets/d/1yswqbM3-AEpThF3ZSUa1AcmHnmRTF1vlJ1CZGcJ8YuU/edit?usp=sharing"",""สุรินทร์!I219"")"),4)</f>
        <v>4</v>
      </c>
      <c r="BJ46" s="152">
        <f ca="1">IFERROR(__xludf.DUMMYFUNCTION("IMPORTRANGE(""https://docs.google.com/spreadsheets/d/1yswqbM3-AEpThF3ZSUa1AcmHnmRTF1vlJ1CZGcJ8YuU/edit?usp=sharing"",""สุรินทร์!J219"")"),0)</f>
        <v>0</v>
      </c>
      <c r="BK46" s="216">
        <f t="shared" ca="1" si="124"/>
        <v>0</v>
      </c>
      <c r="BL46" s="152">
        <f ca="1">IFERROR(__xludf.DUMMYFUNCTION("IMPORTRANGE(""https://docs.google.com/spreadsheets/d/1yswqbM3-AEpThF3ZSUa1AcmHnmRTF1vlJ1CZGcJ8YuU/edit?usp=sharing"",""สุรินทร์!I220"")"),4)</f>
        <v>4</v>
      </c>
      <c r="BM46" s="152">
        <f ca="1">IFERROR(__xludf.DUMMYFUNCTION("IMPORTRANGE(""https://docs.google.com/spreadsheets/d/1yswqbM3-AEpThF3ZSUa1AcmHnmRTF1vlJ1CZGcJ8YuU/edit?usp=sharing"",""สุรินทร์!J220"")"),2)</f>
        <v>2</v>
      </c>
      <c r="BN46" s="216">
        <f t="shared" ca="1" si="126"/>
        <v>50</v>
      </c>
      <c r="BO46" s="152">
        <f ca="1">IFERROR(__xludf.DUMMYFUNCTION("IMPORTRANGE(""https://docs.google.com/spreadsheets/d/1yswqbM3-AEpThF3ZSUa1AcmHnmRTF1vlJ1CZGcJ8YuU/edit?usp=sharing"",""สุรินทร์!L223"")"),2500)</f>
        <v>2500</v>
      </c>
      <c r="BP46" s="152">
        <f ca="1">IFERROR(__xludf.DUMMYFUNCTION("IMPORTRANGE(""https://docs.google.com/spreadsheets/d/1yswqbM3-AEpThF3ZSUa1AcmHnmRTF1vlJ1CZGcJ8YuU/edit?usp=sharing"",""สุรินทร์!N223"")"),500)</f>
        <v>500</v>
      </c>
      <c r="BQ46" s="216">
        <f t="shared" ca="1" si="128"/>
        <v>20</v>
      </c>
      <c r="BR46" s="152">
        <f ca="1">IFERROR(__xludf.DUMMYFUNCTION("IMPORTRANGE(""https://docs.google.com/spreadsheets/d/1yswqbM3-AEpThF3ZSUa1AcmHnmRTF1vlJ1CZGcJ8YuU/edit?usp=sharing"",""สุรินทร์!L224"")"),2000)</f>
        <v>2000</v>
      </c>
      <c r="BS46" s="152">
        <f ca="1">IFERROR(__xludf.DUMMYFUNCTION("IMPORTRANGE(""https://docs.google.com/spreadsheets/d/1yswqbM3-AEpThF3ZSUa1AcmHnmRTF1vlJ1CZGcJ8YuU/edit?usp=sharing"",""สุรินทร์!N224"")"),2000)</f>
        <v>2000</v>
      </c>
      <c r="BT46" s="216">
        <f t="shared" ca="1" si="130"/>
        <v>100</v>
      </c>
      <c r="BU46" s="152">
        <f ca="1">IFERROR(__xludf.DUMMYFUNCTION("IMPORTRANGE(""https://docs.google.com/spreadsheets/d/1yswqbM3-AEpThF3ZSUa1AcmHnmRTF1vlJ1CZGcJ8YuU/edit?usp=sharing"",""สุรินทร์!I228"")"),15000)</f>
        <v>15000</v>
      </c>
      <c r="BV46" s="152">
        <f ca="1">IFERROR(__xludf.DUMMYFUNCTION("IMPORTRANGE(""https://docs.google.com/spreadsheets/d/1yswqbM3-AEpThF3ZSUa1AcmHnmRTF1vlJ1CZGcJ8YuU/edit?usp=sharing"",""สุรินทร์!J228"")"),15000)</f>
        <v>15000</v>
      </c>
      <c r="BW46" s="216">
        <f t="shared" ca="1" si="132"/>
        <v>100</v>
      </c>
      <c r="BX46" s="152">
        <f ca="1">IFERROR(__xludf.DUMMYFUNCTION("IMPORTRANGE(""https://docs.google.com/spreadsheets/d/1yswqbM3-AEpThF3ZSUa1AcmHnmRTF1vlJ1CZGcJ8YuU/edit?usp=sharing"",""สุรินทร์!I229"")"),15000)</f>
        <v>15000</v>
      </c>
      <c r="BY46" s="152">
        <f ca="1">IFERROR(__xludf.DUMMYFUNCTION("IMPORTRANGE(""https://docs.google.com/spreadsheets/d/1yswqbM3-AEpThF3ZSUa1AcmHnmRTF1vlJ1CZGcJ8YuU/edit?usp=sharing"",""สุรินทร์!J229"")"),15000)</f>
        <v>15000</v>
      </c>
      <c r="BZ46" s="216">
        <f t="shared" ca="1" si="134"/>
        <v>100</v>
      </c>
      <c r="CA46" s="152">
        <f ca="1">IFERROR(__xludf.DUMMYFUNCTION("IMPORTRANGE(""https://docs.google.com/spreadsheets/d/1yswqbM3-AEpThF3ZSUa1AcmHnmRTF1vlJ1CZGcJ8YuU/edit?usp=sharing"",""สุรินทร์!I230"")"),0)</f>
        <v>0</v>
      </c>
      <c r="CB46" s="152">
        <f ca="1">IFERROR(__xludf.DUMMYFUNCTION("IMPORTRANGE(""https://docs.google.com/spreadsheets/d/1yswqbM3-AEpThF3ZSUa1AcmHnmRTF1vlJ1CZGcJ8YuU/edit?usp=sharing"",""สุรินทร์!J230"")"),0)</f>
        <v>0</v>
      </c>
      <c r="CC46" s="216">
        <f t="shared" ca="1" si="136"/>
        <v>0</v>
      </c>
      <c r="CD46" s="152">
        <f ca="1">IFERROR(__xludf.DUMMYFUNCTION("IMPORTRANGE(""https://docs.google.com/spreadsheets/d/1yswqbM3-AEpThF3ZSUa1AcmHnmRTF1vlJ1CZGcJ8YuU/edit?usp=sharing"",""สุรินทร์!L233"")"),0)</f>
        <v>0</v>
      </c>
      <c r="CE46" s="152">
        <f ca="1">IFERROR(__xludf.DUMMYFUNCTION("IMPORTRANGE(""https://docs.google.com/spreadsheets/d/1yswqbM3-AEpThF3ZSUa1AcmHnmRTF1vlJ1CZGcJ8YuU/edit?usp=sharing"",""สุรินทร์!N233"")"),0)</f>
        <v>0</v>
      </c>
      <c r="CF46" s="216">
        <f t="shared" ca="1" si="138"/>
        <v>0</v>
      </c>
      <c r="CG46" s="152">
        <f ca="1">IFERROR(__xludf.DUMMYFUNCTION("IMPORTRANGE(""https://docs.google.com/spreadsheets/d/1yswqbM3-AEpThF3ZSUa1AcmHnmRTF1vlJ1CZGcJ8YuU/edit?usp=sharing"",""สุรินทร์!L234"")"),0)</f>
        <v>0</v>
      </c>
      <c r="CH46" s="152">
        <f ca="1">IFERROR(__xludf.DUMMYFUNCTION("IMPORTRANGE(""https://docs.google.com/spreadsheets/d/1yswqbM3-AEpThF3ZSUa1AcmHnmRTF1vlJ1CZGcJ8YuU/edit?usp=sharing"",""สุรินทร์!N234"")"),0)</f>
        <v>0</v>
      </c>
      <c r="CI46" s="216">
        <f t="shared" ca="1" si="140"/>
        <v>0</v>
      </c>
      <c r="CJ46" s="152">
        <f ca="1">IFERROR(__xludf.DUMMYFUNCTION("IMPORTRANGE(""https://docs.google.com/spreadsheets/d/1yswqbM3-AEpThF3ZSUa1AcmHnmRTF1vlJ1CZGcJ8YuU/edit?usp=sharing"",""สุรินทร์!L235"")"),0)</f>
        <v>0</v>
      </c>
      <c r="CK46" s="152">
        <f ca="1">IFERROR(__xludf.DUMMYFUNCTION("IMPORTRANGE(""https://docs.google.com/spreadsheets/d/1yswqbM3-AEpThF3ZSUa1AcmHnmRTF1vlJ1CZGcJ8YuU/edit?usp=sharing"",""สุรินทร์!N235"")"),0)</f>
        <v>0</v>
      </c>
      <c r="CL46" s="216">
        <f t="shared" ca="1" si="142"/>
        <v>0</v>
      </c>
      <c r="CM46" s="251">
        <f ca="1">IFERROR(__xludf.DUMMYFUNCTION("IMPORTRANGE(""https://docs.google.com/spreadsheets/d/1yswqbM3-AEpThF3ZSUa1AcmHnmRTF1vlJ1CZGcJ8YuU/edit?usp=sharing"",""สุรินทร์!Q235"")"),0)</f>
        <v>0</v>
      </c>
      <c r="CN46" s="251">
        <f ca="1">IFERROR(__xludf.DUMMYFUNCTION("IMPORTRANGE(""https://docs.google.com/spreadsheets/d/1yswqbM3-AEpThF3ZSUa1AcmHnmRTF1vlJ1CZGcJ8YuU/edit?usp=sharing"",""สุรินทร์!S235"")"),0)</f>
        <v>0</v>
      </c>
      <c r="CO46" s="216">
        <f t="shared" ca="1" si="144"/>
        <v>0</v>
      </c>
      <c r="CP46" s="152">
        <f ca="1">IFERROR(__xludf.DUMMYFUNCTION("IMPORTRANGE(""https://docs.google.com/spreadsheets/d/1yswqbM3-AEpThF3ZSUa1AcmHnmRTF1vlJ1CZGcJ8YuU/edit?usp=sharing"",""สุรินทร์!L236"")"),0)</f>
        <v>0</v>
      </c>
      <c r="CQ46" s="152">
        <f ca="1">IFERROR(__xludf.DUMMYFUNCTION("IMPORTRANGE(""https://docs.google.com/spreadsheets/d/1yswqbM3-AEpThF3ZSUa1AcmHnmRTF1vlJ1CZGcJ8YuU/edit?usp=sharing"",""สุรินทร์!N236"")"),0)</f>
        <v>0</v>
      </c>
      <c r="CR46" s="216">
        <f t="shared" ca="1" si="146"/>
        <v>0</v>
      </c>
      <c r="CS46" s="152">
        <f ca="1">IFERROR(__xludf.DUMMYFUNCTION("IMPORTRANGE(""https://docs.google.com/spreadsheets/d/1yswqbM3-AEpThF3ZSUa1AcmHnmRTF1vlJ1CZGcJ8YuU/edit?usp=sharing"",""สุรินทร์!I238"")"),0)</f>
        <v>0</v>
      </c>
      <c r="CT46" s="152">
        <f ca="1">IFERROR(__xludf.DUMMYFUNCTION("IMPORTRANGE(""https://docs.google.com/spreadsheets/d/1yswqbM3-AEpThF3ZSUa1AcmHnmRTF1vlJ1CZGcJ8YuU/edit?usp=sharing"",""สุรินทร์!J238"")"),0)</f>
        <v>0</v>
      </c>
      <c r="CU46" s="216">
        <f t="shared" ca="1" si="148"/>
        <v>0</v>
      </c>
      <c r="CV46" s="152">
        <f ca="1">IFERROR(__xludf.DUMMYFUNCTION("IMPORTRANGE(""https://docs.google.com/spreadsheets/d/1yswqbM3-AEpThF3ZSUa1AcmHnmRTF1vlJ1CZGcJ8YuU/edit?usp=sharing"",""สุรินทร์!J240"")"),0)</f>
        <v>0</v>
      </c>
      <c r="CW46" s="152">
        <f ca="1">IFERROR(__xludf.DUMMYFUNCTION("IMPORTRANGE(""https://docs.google.com/spreadsheets/d/1yswqbM3-AEpThF3ZSUa1AcmHnmRTF1vlJ1CZGcJ8YuU/edit?usp=sharing"",""สุรินทร์!J241"")"),0)</f>
        <v>0</v>
      </c>
    </row>
    <row r="47" spans="1:101" ht="21" customHeight="1" x14ac:dyDescent="0.3">
      <c r="A47" s="147">
        <v>16</v>
      </c>
      <c r="B47" s="148" t="s">
        <v>75</v>
      </c>
      <c r="C47" s="149">
        <f t="shared" ca="1" si="90"/>
        <v>179500</v>
      </c>
      <c r="D47" s="150">
        <f t="shared" ca="1" si="178"/>
        <v>179500</v>
      </c>
      <c r="E47" s="151">
        <f ca="1">IFERROR(__xludf.DUMMYFUNCTION("IMPORTRANGE(""https://docs.google.com/spreadsheets/d/1-uDff_7J0KD5mKrp0Vvzr7lt3OU09vwQwhkpOPPYv2Y/edit?usp=sharing"",""งบพรบ!CV47"")"),143000)</f>
        <v>143000</v>
      </c>
      <c r="F47" s="151">
        <f ca="1">IFERROR(__xludf.DUMMYFUNCTION("IMPORTRANGE(""https://docs.google.com/spreadsheets/d/1-uDff_7J0KD5mKrp0Vvzr7lt3OU09vwQwhkpOPPYv2Y/edit?usp=sharing"",""งบพรบ!CW47"")"),36500)</f>
        <v>36500</v>
      </c>
      <c r="G47" s="151">
        <f ca="1">IFERROR(__xludf.DUMMYFUNCTION("IMPORTRANGE(""https://docs.google.com/spreadsheets/d/1-uDff_7J0KD5mKrp0Vvzr7lt3OU09vwQwhkpOPPYv2Y/edit?usp=sharing"",""งบพรบ!CX47"")"),0)</f>
        <v>0</v>
      </c>
      <c r="H47" s="151">
        <f ca="1">IFERROR(__xludf.DUMMYFUNCTION("IMPORTRANGE(""https://docs.google.com/spreadsheets/d/1-uDff_7J0KD5mKrp0Vvzr7lt3OU09vwQwhkpOPPYv2Y/edit?usp=sharing"",""งบพรบ!CZ47"")"),181500)</f>
        <v>181500</v>
      </c>
      <c r="I47" s="151">
        <f ca="1">IFERROR(__xludf.DUMMYFUNCTION("IMPORTRANGE(""https://docs.google.com/spreadsheets/d/1-uDff_7J0KD5mKrp0Vvzr7lt3OU09vwQwhkpOPPYv2Y/edit?usp=sharing"",""งบพรบ!DA47"")"),0)</f>
        <v>0</v>
      </c>
      <c r="J47" s="151">
        <f t="shared" ca="1" si="92"/>
        <v>154370</v>
      </c>
      <c r="K47" s="154">
        <f t="shared" ca="1" si="93"/>
        <v>86</v>
      </c>
      <c r="L47" s="151">
        <f ca="1">IFERROR(__xludf.DUMMYFUNCTION("IMPORTRANGE(""https://docs.google.com/spreadsheets/d/1-uDff_7J0KD5mKrp0Vvzr7lt3OU09vwQwhkpOPPYv2Y/edit?usp=sharing"",""งบพรบ!DB47"")"),154370)</f>
        <v>154370</v>
      </c>
      <c r="M47" s="68">
        <f t="shared" ca="1" si="94"/>
        <v>86</v>
      </c>
      <c r="N47" s="68">
        <f t="shared" ca="1" si="95"/>
        <v>85.052341597796143</v>
      </c>
      <c r="O47" s="67">
        <f ca="1">IFERROR(__xludf.DUMMYFUNCTION("IMPORTRANGE(""https://docs.google.com/spreadsheets/d/1-uDff_7J0KD5mKrp0Vvzr7lt3OU09vwQwhkpOPPYv2Y/edit?usp=sharing"",""งบพรบ!DC47"")"),0)</f>
        <v>0</v>
      </c>
      <c r="P47" s="67">
        <f t="shared" ca="1" si="96"/>
        <v>0</v>
      </c>
      <c r="Q47" s="68">
        <f t="shared" ca="1" si="97"/>
        <v>0</v>
      </c>
      <c r="R47" s="67">
        <f ca="1">IFERROR(__xludf.DUMMYFUNCTION("IMPORTRANGE(""https://docs.google.com/spreadsheets/d/13JHU_EFbsQOUQ0JSQ3dWy1VTRosIWcDq6Nc99z2qzdc/edit?usp=sharing"",""หนองคาย!Q186"")"),91700)</f>
        <v>91700</v>
      </c>
      <c r="S47" s="67">
        <f ca="1">IFERROR(__xludf.DUMMYFUNCTION("IMPORTRANGE(""https://docs.google.com/spreadsheets/d/13JHU_EFbsQOUQ0JSQ3dWy1VTRosIWcDq6Nc99z2qzdc/edit?usp=sharing"",""หนองคาย!R186"")"),91700)</f>
        <v>91700</v>
      </c>
      <c r="T47" s="67">
        <f ca="1">IFERROR(__xludf.DUMMYFUNCTION("IMPORTRANGE(""https://docs.google.com/spreadsheets/d/13JHU_EFbsQOUQ0JSQ3dWy1VTRosIWcDq6Nc99z2qzdc/edit?usp=sharing"",""หนองคาย!S186"")"),83825)</f>
        <v>83825</v>
      </c>
      <c r="U47" s="68">
        <f t="shared" ca="1" si="99"/>
        <v>91.412213740458014</v>
      </c>
      <c r="V47" s="68">
        <f t="shared" ca="1" si="100"/>
        <v>91.412213740458014</v>
      </c>
      <c r="W47" s="152">
        <f ca="1">IFERROR(__xludf.DUMMYFUNCTION("IMPORTRANGE(""https://docs.google.com/spreadsheets/d/13JHU_EFbsQOUQ0JSQ3dWy1VTRosIWcDq6Nc99z2qzdc/edit?usp=sharing"",""หนองคาย!L196"")"),6000)</f>
        <v>6000</v>
      </c>
      <c r="X47" s="152">
        <f ca="1">IFERROR(__xludf.DUMMYFUNCTION("IMPORTRANGE(""https://docs.google.com/spreadsheets/d/13JHU_EFbsQOUQ0JSQ3dWy1VTRosIWcDq6Nc99z2qzdc/edit?usp=sharing"",""หนองคาย!N196"")"),104)</f>
        <v>104</v>
      </c>
      <c r="Y47" s="216">
        <f t="shared" ca="1" si="102"/>
        <v>1.7333333333333334</v>
      </c>
      <c r="Z47" s="152">
        <f ca="1">IFERROR(__xludf.DUMMYFUNCTION("IMPORTRANGE(""https://docs.google.com/spreadsheets/d/13JHU_EFbsQOUQ0JSQ3dWy1VTRosIWcDq6Nc99z2qzdc/edit?usp=sharing"",""หนองคาย!I198"")"),4)</f>
        <v>4</v>
      </c>
      <c r="AA47" s="152">
        <f ca="1">IFERROR(__xludf.DUMMYFUNCTION("IMPORTRANGE(""https://docs.google.com/spreadsheets/d/13JHU_EFbsQOUQ0JSQ3dWy1VTRosIWcDq6Nc99z2qzdc/edit?usp=sharing"",""หนองคาย!J198"")"),4)</f>
        <v>4</v>
      </c>
      <c r="AB47" s="216">
        <f t="shared" ca="1" si="104"/>
        <v>100</v>
      </c>
      <c r="AC47" s="152">
        <f ca="1">IFERROR(__xludf.DUMMYFUNCTION("IMPORTRANGE(""https://docs.google.com/spreadsheets/d/13JHU_EFbsQOUQ0JSQ3dWy1VTRosIWcDq6Nc99z2qzdc/edit?usp=sharing"",""หนองคาย!J199"")"),0)</f>
        <v>0</v>
      </c>
      <c r="AD47" s="152">
        <f ca="1">IFERROR(__xludf.DUMMYFUNCTION("IMPORTRANGE(""https://docs.google.com/spreadsheets/d/13JHU_EFbsQOUQ0JSQ3dWy1VTRosIWcDq6Nc99z2qzdc/edit?usp=sharing"",""หนองคาย!J200"")"),0)</f>
        <v>0</v>
      </c>
      <c r="AE47" s="152">
        <f ca="1">IFERROR(__xludf.DUMMYFUNCTION("IMPORTRANGE(""https://docs.google.com/spreadsheets/d/13JHU_EFbsQOUQ0JSQ3dWy1VTRosIWcDq6Nc99z2qzdc/edit?usp=sharing"",""หนองคาย!J201"")"),0)</f>
        <v>0</v>
      </c>
      <c r="AF47" s="152">
        <f ca="1">IFERROR(__xludf.DUMMYFUNCTION("IMPORTRANGE(""https://docs.google.com/spreadsheets/d/13JHU_EFbsQOUQ0JSQ3dWy1VTRosIWcDq6Nc99z2qzdc/edit?usp=sharing"",""หนองคาย!L204"")"),3000)</f>
        <v>3000</v>
      </c>
      <c r="AG47" s="152">
        <f ca="1">IFERROR(__xludf.DUMMYFUNCTION("IMPORTRANGE(""https://docs.google.com/spreadsheets/d/13JHU_EFbsQOUQ0JSQ3dWy1VTRosIWcDq6Nc99z2qzdc/edit?usp=sharing"",""หนองคาย!N204"")"),3000)</f>
        <v>3000</v>
      </c>
      <c r="AH47" s="216">
        <f t="shared" ca="1" si="106"/>
        <v>100</v>
      </c>
      <c r="AI47" s="152">
        <f ca="1">IFERROR(__xludf.DUMMYFUNCTION("IMPORTRANGE(""https://docs.google.com/spreadsheets/d/13JHU_EFbsQOUQ0JSQ3dWy1VTRosIWcDq6Nc99z2qzdc/edit?usp=sharing"",""หนองคาย!L206"")"),0)</f>
        <v>0</v>
      </c>
      <c r="AJ47" s="152">
        <f ca="1">IFERROR(__xludf.DUMMYFUNCTION("IMPORTRANGE(""https://docs.google.com/spreadsheets/d/13JHU_EFbsQOUQ0JSQ3dWy1VTRosIWcDq6Nc99z2qzdc/edit?usp=sharing"",""หนองคาย!N206"")"),0)</f>
        <v>0</v>
      </c>
      <c r="AK47" s="216">
        <f t="shared" ca="1" si="108"/>
        <v>0</v>
      </c>
      <c r="AL47" s="152">
        <f ca="1">IFERROR(__xludf.DUMMYFUNCTION("IMPORTRANGE(""https://docs.google.com/spreadsheets/d/13JHU_EFbsQOUQ0JSQ3dWy1VTRosIWcDq6Nc99z2qzdc/edit?usp=sharing"",""หนองคาย!Q206"")"),42000)</f>
        <v>42000</v>
      </c>
      <c r="AM47" s="152">
        <f ca="1">IFERROR(__xludf.DUMMYFUNCTION("IMPORTRANGE(""https://docs.google.com/spreadsheets/d/13JHU_EFbsQOUQ0JSQ3dWy1VTRosIWcDq6Nc99z2qzdc/edit?usp=sharing"",""หนองคาย!S206"")"),41500)</f>
        <v>41500</v>
      </c>
      <c r="AN47" s="216">
        <f t="shared" ca="1" si="110"/>
        <v>98.80952380952381</v>
      </c>
      <c r="AO47" s="152">
        <f ca="1">IFERROR(__xludf.DUMMYFUNCTION("IMPORTRANGE(""https://docs.google.com/spreadsheets/d/13JHU_EFbsQOUQ0JSQ3dWy1VTRosIWcDq6Nc99z2qzdc/edit?usp=sharing"",""หนองคาย!L207"")"),15000)</f>
        <v>15000</v>
      </c>
      <c r="AP47" s="152">
        <f ca="1">IFERROR(__xludf.DUMMYFUNCTION("IMPORTRANGE(""https://docs.google.com/spreadsheets/d/13JHU_EFbsQOUQ0JSQ3dWy1VTRosIWcDq6Nc99z2qzdc/edit?usp=sharing"",""หนองคาย!N207"")"),15000)</f>
        <v>15000</v>
      </c>
      <c r="AQ47" s="216">
        <f t="shared" ca="1" si="112"/>
        <v>100</v>
      </c>
      <c r="AR47" s="152">
        <f ca="1">IFERROR(__xludf.DUMMYFUNCTION("IMPORTRANGE(""https://docs.google.com/spreadsheets/d/13JHU_EFbsQOUQ0JSQ3dWy1VTRosIWcDq6Nc99z2qzdc/edit?usp=sharing"",""หนองคาย!I209"")"),3)</f>
        <v>3</v>
      </c>
      <c r="AS47" s="152">
        <f ca="1">IFERROR(__xludf.DUMMYFUNCTION("IMPORTRANGE(""https://docs.google.com/spreadsheets/d/13JHU_EFbsQOUQ0JSQ3dWy1VTRosIWcDq6Nc99z2qzdc/edit?usp=sharing"",""หนองคาย!J209"")"),3)</f>
        <v>3</v>
      </c>
      <c r="AT47" s="216">
        <f t="shared" ca="1" si="114"/>
        <v>100</v>
      </c>
      <c r="AU47" s="152">
        <f ca="1">IFERROR(__xludf.DUMMYFUNCTION("IMPORTRANGE(""https://docs.google.com/spreadsheets/d/13JHU_EFbsQOUQ0JSQ3dWy1VTRosIWcDq6Nc99z2qzdc/edit?usp=sharing"",""หนองคาย!J211"")"),3)</f>
        <v>3</v>
      </c>
      <c r="AV47" s="152">
        <f ca="1">IFERROR(__xludf.DUMMYFUNCTION("IMPORTRANGE(""https://docs.google.com/spreadsheets/d/13JHU_EFbsQOUQ0JSQ3dWy1VTRosIWcDq6Nc99z2qzdc/edit?usp=sharing"",""หนองคาย!J212"")"),1)</f>
        <v>1</v>
      </c>
      <c r="AW47" s="152">
        <f ca="1">IFERROR(__xludf.DUMMYFUNCTION("IMPORTRANGE(""https://docs.google.com/spreadsheets/d/13JHU_EFbsQOUQ0JSQ3dWy1VTRosIWcDq6Nc99z2qzdc/edit?usp=sharing"",""หนองคาย!L215"")"),1000)</f>
        <v>1000</v>
      </c>
      <c r="AX47" s="152">
        <f ca="1">IFERROR(__xludf.DUMMYFUNCTION("IMPORTRANGE(""https://docs.google.com/spreadsheets/d/13JHU_EFbsQOUQ0JSQ3dWy1VTRosIWcDq6Nc99z2qzdc/edit?usp=sharing"",""หนองคาย!N215"")"),1000)</f>
        <v>1000</v>
      </c>
      <c r="AY47" s="216">
        <f t="shared" ca="1" si="116"/>
        <v>100</v>
      </c>
      <c r="AZ47" s="152">
        <f ca="1">IFERROR(__xludf.DUMMYFUNCTION("IMPORTRANGE(""https://docs.google.com/spreadsheets/d/13JHU_EFbsQOUQ0JSQ3dWy1VTRosIWcDq6Nc99z2qzdc/edit?usp=sharing"",""หนองคาย!L216"")"),5000)</f>
        <v>5000</v>
      </c>
      <c r="BA47" s="152">
        <f ca="1">IFERROR(__xludf.DUMMYFUNCTION("IMPORTRANGE(""https://docs.google.com/spreadsheets/d/13JHU_EFbsQOUQ0JSQ3dWy1VTRosIWcDq6Nc99z2qzdc/edit?usp=sharing"",""หนองคาย!N216"")"),5000)</f>
        <v>5000</v>
      </c>
      <c r="BB47" s="216">
        <f t="shared" ca="1" si="118"/>
        <v>100</v>
      </c>
      <c r="BC47" s="152">
        <f ca="1">IFERROR(__xludf.DUMMYFUNCTION("IMPORTRANGE(""https://docs.google.com/spreadsheets/d/13JHU_EFbsQOUQ0JSQ3dWy1VTRosIWcDq6Nc99z2qzdc/edit?usp=sharing"",""หนองคาย!L217"")"),0)</f>
        <v>0</v>
      </c>
      <c r="BD47" s="152">
        <f ca="1">IFERROR(__xludf.DUMMYFUNCTION("IMPORTRANGE(""https://docs.google.com/spreadsheets/d/13JHU_EFbsQOUQ0JSQ3dWy1VTRosIWcDq6Nc99z2qzdc/edit?usp=sharing"",""หนองคาย!N217"")"),0)</f>
        <v>0</v>
      </c>
      <c r="BE47" s="216">
        <f t="shared" ca="1" si="120"/>
        <v>0</v>
      </c>
      <c r="BF47" s="152">
        <f ca="1">IFERROR(__xludf.DUMMYFUNCTION("IMPORTRANGE(""https://docs.google.com/spreadsheets/d/13JHU_EFbsQOUQ0JSQ3dWy1VTRosIWcDq6Nc99z2qzdc/edit?usp=sharing"",""หนองคาย!Q217"")"),49700)</f>
        <v>49700</v>
      </c>
      <c r="BG47" s="152">
        <f ca="1">IFERROR(__xludf.DUMMYFUNCTION("IMPORTRANGE(""https://docs.google.com/spreadsheets/d/13JHU_EFbsQOUQ0JSQ3dWy1VTRosIWcDq6Nc99z2qzdc/edit?usp=sharing"",""หนองคาย!S217"")"),42325)</f>
        <v>42325</v>
      </c>
      <c r="BH47" s="216">
        <f t="shared" ca="1" si="122"/>
        <v>85.160965794768615</v>
      </c>
      <c r="BI47" s="152">
        <f ca="1">IFERROR(__xludf.DUMMYFUNCTION("IMPORTRANGE(""https://docs.google.com/spreadsheets/d/13JHU_EFbsQOUQ0JSQ3dWy1VTRosIWcDq6Nc99z2qzdc/edit?usp=sharing"",""หนองคาย!I219"")"),1)</f>
        <v>1</v>
      </c>
      <c r="BJ47" s="152">
        <f ca="1">IFERROR(__xludf.DUMMYFUNCTION("IMPORTRANGE(""https://docs.google.com/spreadsheets/d/13JHU_EFbsQOUQ0JSQ3dWy1VTRosIWcDq6Nc99z2qzdc/edit?usp=sharing"",""หนองคาย!J219"")"),1)</f>
        <v>1</v>
      </c>
      <c r="BK47" s="216">
        <f t="shared" ca="1" si="124"/>
        <v>100</v>
      </c>
      <c r="BL47" s="152">
        <f ca="1">IFERROR(__xludf.DUMMYFUNCTION("IMPORTRANGE(""https://docs.google.com/spreadsheets/d/13JHU_EFbsQOUQ0JSQ3dWy1VTRosIWcDq6Nc99z2qzdc/edit?usp=sharing"",""หนองคาย!I220"")"),1)</f>
        <v>1</v>
      </c>
      <c r="BM47" s="152">
        <f ca="1">IFERROR(__xludf.DUMMYFUNCTION("IMPORTRANGE(""https://docs.google.com/spreadsheets/d/13JHU_EFbsQOUQ0JSQ3dWy1VTRosIWcDq6Nc99z2qzdc/edit?usp=sharing"",""หนองคาย!J220"")"),1)</f>
        <v>1</v>
      </c>
      <c r="BN47" s="216">
        <f t="shared" ca="1" si="126"/>
        <v>100</v>
      </c>
      <c r="BO47" s="152">
        <f ca="1">IFERROR(__xludf.DUMMYFUNCTION("IMPORTRANGE(""https://docs.google.com/spreadsheets/d/13JHU_EFbsQOUQ0JSQ3dWy1VTRosIWcDq6Nc99z2qzdc/edit?usp=sharing"",""หนองคาย!L223"")"),2500)</f>
        <v>2500</v>
      </c>
      <c r="BP47" s="152">
        <f ca="1">IFERROR(__xludf.DUMMYFUNCTION("IMPORTRANGE(""https://docs.google.com/spreadsheets/d/13JHU_EFbsQOUQ0JSQ3dWy1VTRosIWcDq6Nc99z2qzdc/edit?usp=sharing"",""หนองคาย!N223"")"),1065)</f>
        <v>1065</v>
      </c>
      <c r="BQ47" s="216">
        <f t="shared" ca="1" si="128"/>
        <v>42.6</v>
      </c>
      <c r="BR47" s="152">
        <f ca="1">IFERROR(__xludf.DUMMYFUNCTION("IMPORTRANGE(""https://docs.google.com/spreadsheets/d/13JHU_EFbsQOUQ0JSQ3dWy1VTRosIWcDq6Nc99z2qzdc/edit?usp=sharing"",""หนองคาย!L224"")"),4000)</f>
        <v>4000</v>
      </c>
      <c r="BS47" s="152">
        <f ca="1">IFERROR(__xludf.DUMMYFUNCTION("IMPORTRANGE(""https://docs.google.com/spreadsheets/d/13JHU_EFbsQOUQ0JSQ3dWy1VTRosIWcDq6Nc99z2qzdc/edit?usp=sharing"",""หนองคาย!N224"")"),4000)</f>
        <v>4000</v>
      </c>
      <c r="BT47" s="216">
        <f t="shared" ca="1" si="130"/>
        <v>100</v>
      </c>
      <c r="BU47" s="152">
        <f ca="1">IFERROR(__xludf.DUMMYFUNCTION("IMPORTRANGE(""https://docs.google.com/spreadsheets/d/13JHU_EFbsQOUQ0JSQ3dWy1VTRosIWcDq6Nc99z2qzdc/edit?usp=sharing"",""หนองคาย!I228"")"),30000)</f>
        <v>30000</v>
      </c>
      <c r="BV47" s="152">
        <f ca="1">IFERROR(__xludf.DUMMYFUNCTION("IMPORTRANGE(""https://docs.google.com/spreadsheets/d/13JHU_EFbsQOUQ0JSQ3dWy1VTRosIWcDq6Nc99z2qzdc/edit?usp=sharing"",""หนองคาย!J228"")"),30000)</f>
        <v>30000</v>
      </c>
      <c r="BW47" s="216">
        <f t="shared" ca="1" si="132"/>
        <v>100</v>
      </c>
      <c r="BX47" s="152">
        <f ca="1">IFERROR(__xludf.DUMMYFUNCTION("IMPORTRANGE(""https://docs.google.com/spreadsheets/d/13JHU_EFbsQOUQ0JSQ3dWy1VTRosIWcDq6Nc99z2qzdc/edit?usp=sharing"",""หนองคาย!I229"")"),30000)</f>
        <v>30000</v>
      </c>
      <c r="BY47" s="152">
        <f ca="1">IFERROR(__xludf.DUMMYFUNCTION("IMPORTRANGE(""https://docs.google.com/spreadsheets/d/13JHU_EFbsQOUQ0JSQ3dWy1VTRosIWcDq6Nc99z2qzdc/edit?usp=sharing"",""หนองคาย!J229"")"),30000)</f>
        <v>30000</v>
      </c>
      <c r="BZ47" s="216">
        <f t="shared" ca="1" si="134"/>
        <v>100</v>
      </c>
      <c r="CA47" s="152">
        <f ca="1">IFERROR(__xludf.DUMMYFUNCTION("IMPORTRANGE(""https://docs.google.com/spreadsheets/d/13JHU_EFbsQOUQ0JSQ3dWy1VTRosIWcDq6Nc99z2qzdc/edit?usp=sharing"",""หนองคาย!I230"")"),0)</f>
        <v>0</v>
      </c>
      <c r="CB47" s="152">
        <f ca="1">IFERROR(__xludf.DUMMYFUNCTION("IMPORTRANGE(""https://docs.google.com/spreadsheets/d/13JHU_EFbsQOUQ0JSQ3dWy1VTRosIWcDq6Nc99z2qzdc/edit?usp=sharing"",""หนองคาย!J230"")"),0)</f>
        <v>0</v>
      </c>
      <c r="CC47" s="216">
        <f t="shared" ca="1" si="136"/>
        <v>0</v>
      </c>
      <c r="CD47" s="152">
        <f ca="1">IFERROR(__xludf.DUMMYFUNCTION("IMPORTRANGE(""https://docs.google.com/spreadsheets/d/13JHU_EFbsQOUQ0JSQ3dWy1VTRosIWcDq6Nc99z2qzdc/edit?usp=sharing"",""หนองคาย!L233"")"),0)</f>
        <v>0</v>
      </c>
      <c r="CE47" s="152">
        <f ca="1">IFERROR(__xludf.DUMMYFUNCTION("IMPORTRANGE(""https://docs.google.com/spreadsheets/d/13JHU_EFbsQOUQ0JSQ3dWy1VTRosIWcDq6Nc99z2qzdc/edit?usp=sharing"",""หนองคาย!N233"")"),0)</f>
        <v>0</v>
      </c>
      <c r="CF47" s="216">
        <f t="shared" ca="1" si="138"/>
        <v>0</v>
      </c>
      <c r="CG47" s="152">
        <f ca="1">IFERROR(__xludf.DUMMYFUNCTION("IMPORTRANGE(""https://docs.google.com/spreadsheets/d/13JHU_EFbsQOUQ0JSQ3dWy1VTRosIWcDq6Nc99z2qzdc/edit?usp=sharing"",""หนองคาย!L234"")"),0)</f>
        <v>0</v>
      </c>
      <c r="CH47" s="152">
        <f ca="1">IFERROR(__xludf.DUMMYFUNCTION("IMPORTRANGE(""https://docs.google.com/spreadsheets/d/13JHU_EFbsQOUQ0JSQ3dWy1VTRosIWcDq6Nc99z2qzdc/edit?usp=sharing"",""หนองคาย!N234"")"),0)</f>
        <v>0</v>
      </c>
      <c r="CI47" s="216">
        <f t="shared" ca="1" si="140"/>
        <v>0</v>
      </c>
      <c r="CJ47" s="152">
        <f ca="1">IFERROR(__xludf.DUMMYFUNCTION("IMPORTRANGE(""https://docs.google.com/spreadsheets/d/13JHU_EFbsQOUQ0JSQ3dWy1VTRosIWcDq6Nc99z2qzdc/edit?usp=sharing"",""หนองคาย!L235"")"),0)</f>
        <v>0</v>
      </c>
      <c r="CK47" s="152">
        <f ca="1">IFERROR(__xludf.DUMMYFUNCTION("IMPORTRANGE(""https://docs.google.com/spreadsheets/d/13JHU_EFbsQOUQ0JSQ3dWy1VTRosIWcDq6Nc99z2qzdc/edit?usp=sharing"",""หนองคาย!N235"")"),0)</f>
        <v>0</v>
      </c>
      <c r="CL47" s="216">
        <f t="shared" ca="1" si="142"/>
        <v>0</v>
      </c>
      <c r="CM47" s="251">
        <f ca="1">IFERROR(__xludf.DUMMYFUNCTION("IMPORTRANGE(""https://docs.google.com/spreadsheets/d/13JHU_EFbsQOUQ0JSQ3dWy1VTRosIWcDq6Nc99z2qzdc/edit?usp=sharing"",""หนองคาย!Q235"")"),0)</f>
        <v>0</v>
      </c>
      <c r="CN47" s="251">
        <f ca="1">IFERROR(__xludf.DUMMYFUNCTION("IMPORTRANGE(""https://docs.google.com/spreadsheets/d/13JHU_EFbsQOUQ0JSQ3dWy1VTRosIWcDq6Nc99z2qzdc/edit?usp=sharing"",""หนองคาย!S235"")"),0)</f>
        <v>0</v>
      </c>
      <c r="CO47" s="216">
        <f t="shared" ca="1" si="144"/>
        <v>0</v>
      </c>
      <c r="CP47" s="152">
        <f ca="1">IFERROR(__xludf.DUMMYFUNCTION("IMPORTRANGE(""https://docs.google.com/spreadsheets/d/13JHU_EFbsQOUQ0JSQ3dWy1VTRosIWcDq6Nc99z2qzdc/edit?usp=sharing"",""หนองคาย!L236"")"),0)</f>
        <v>0</v>
      </c>
      <c r="CQ47" s="152">
        <f ca="1">IFERROR(__xludf.DUMMYFUNCTION("IMPORTRANGE(""https://docs.google.com/spreadsheets/d/13JHU_EFbsQOUQ0JSQ3dWy1VTRosIWcDq6Nc99z2qzdc/edit?usp=sharing"",""หนองคาย!N236"")"),0)</f>
        <v>0</v>
      </c>
      <c r="CR47" s="216">
        <f t="shared" ca="1" si="146"/>
        <v>0</v>
      </c>
      <c r="CS47" s="152">
        <f ca="1">IFERROR(__xludf.DUMMYFUNCTION("IMPORTRANGE(""https://docs.google.com/spreadsheets/d/13JHU_EFbsQOUQ0JSQ3dWy1VTRosIWcDq6Nc99z2qzdc/edit?usp=sharing"",""หนองคาย!I238"")"),0)</f>
        <v>0</v>
      </c>
      <c r="CT47" s="152">
        <f ca="1">IFERROR(__xludf.DUMMYFUNCTION("IMPORTRANGE(""https://docs.google.com/spreadsheets/d/13JHU_EFbsQOUQ0JSQ3dWy1VTRosIWcDq6Nc99z2qzdc/edit?usp=sharing"",""หนองคาย!J238"")"),0)</f>
        <v>0</v>
      </c>
      <c r="CU47" s="216">
        <f t="shared" ca="1" si="148"/>
        <v>0</v>
      </c>
      <c r="CV47" s="152">
        <f ca="1">IFERROR(__xludf.DUMMYFUNCTION("IMPORTRANGE(""https://docs.google.com/spreadsheets/d/13JHU_EFbsQOUQ0JSQ3dWy1VTRosIWcDq6Nc99z2qzdc/edit?usp=sharing"",""หนองคาย!J240"")"),0)</f>
        <v>0</v>
      </c>
      <c r="CW47" s="152">
        <f ca="1">IFERROR(__xludf.DUMMYFUNCTION("IMPORTRANGE(""https://docs.google.com/spreadsheets/d/13JHU_EFbsQOUQ0JSQ3dWy1VTRosIWcDq6Nc99z2qzdc/edit?usp=sharing"",""หนองคาย!J241"")"),0)</f>
        <v>0</v>
      </c>
    </row>
    <row r="48" spans="1:101" ht="21" customHeight="1" x14ac:dyDescent="0.3">
      <c r="A48" s="147">
        <v>17</v>
      </c>
      <c r="B48" s="148" t="s">
        <v>76</v>
      </c>
      <c r="C48" s="149">
        <f t="shared" ca="1" si="90"/>
        <v>139500</v>
      </c>
      <c r="D48" s="150">
        <f t="shared" ca="1" si="178"/>
        <v>139500</v>
      </c>
      <c r="E48" s="151">
        <f ca="1">IFERROR(__xludf.DUMMYFUNCTION("IMPORTRANGE(""https://docs.google.com/spreadsheets/d/1-uDff_7J0KD5mKrp0Vvzr7lt3OU09vwQwhkpOPPYv2Y/edit?usp=sharing"",""งบพรบ!CV48"")"),91000)</f>
        <v>91000</v>
      </c>
      <c r="F48" s="151">
        <f ca="1">IFERROR(__xludf.DUMMYFUNCTION("IMPORTRANGE(""https://docs.google.com/spreadsheets/d/1-uDff_7J0KD5mKrp0Vvzr7lt3OU09vwQwhkpOPPYv2Y/edit?usp=sharing"",""งบพรบ!CW48"")"),48500)</f>
        <v>48500</v>
      </c>
      <c r="G48" s="151">
        <f ca="1">IFERROR(__xludf.DUMMYFUNCTION("IMPORTRANGE(""https://docs.google.com/spreadsheets/d/1-uDff_7J0KD5mKrp0Vvzr7lt3OU09vwQwhkpOPPYv2Y/edit?usp=sharing"",""งบพรบ!CX48"")"),0)</f>
        <v>0</v>
      </c>
      <c r="H48" s="151">
        <f ca="1">IFERROR(__xludf.DUMMYFUNCTION("IMPORTRANGE(""https://docs.google.com/spreadsheets/d/1-uDff_7J0KD5mKrp0Vvzr7lt3OU09vwQwhkpOPPYv2Y/edit?usp=sharing"",""งบพรบ!CZ48"")"),148200)</f>
        <v>148200</v>
      </c>
      <c r="I48" s="151">
        <f ca="1">IFERROR(__xludf.DUMMYFUNCTION("IMPORTRANGE(""https://docs.google.com/spreadsheets/d/1-uDff_7J0KD5mKrp0Vvzr7lt3OU09vwQwhkpOPPYv2Y/edit?usp=sharing"",""งบพรบ!DA48"")"),0)</f>
        <v>0</v>
      </c>
      <c r="J48" s="151">
        <f t="shared" ca="1" si="92"/>
        <v>100780.03</v>
      </c>
      <c r="K48" s="154">
        <f t="shared" ca="1" si="93"/>
        <v>72.243749103942648</v>
      </c>
      <c r="L48" s="151">
        <f ca="1">IFERROR(__xludf.DUMMYFUNCTION("IMPORTRANGE(""https://docs.google.com/spreadsheets/d/1-uDff_7J0KD5mKrp0Vvzr7lt3OU09vwQwhkpOPPYv2Y/edit?usp=sharing"",""งบพรบ!DB48"")"),100780.03)</f>
        <v>100780.03</v>
      </c>
      <c r="M48" s="68">
        <f t="shared" ca="1" si="94"/>
        <v>72.243749103942648</v>
      </c>
      <c r="N48" s="68">
        <f t="shared" ca="1" si="95"/>
        <v>68.002719298245609</v>
      </c>
      <c r="O48" s="67">
        <f ca="1">IFERROR(__xludf.DUMMYFUNCTION("IMPORTRANGE(""https://docs.google.com/spreadsheets/d/1-uDff_7J0KD5mKrp0Vvzr7lt3OU09vwQwhkpOPPYv2Y/edit?usp=sharing"",""งบพรบ!DC48"")"),0)</f>
        <v>0</v>
      </c>
      <c r="P48" s="67">
        <f t="shared" ca="1" si="96"/>
        <v>0</v>
      </c>
      <c r="Q48" s="68">
        <f t="shared" ca="1" si="97"/>
        <v>0</v>
      </c>
      <c r="R48" s="67">
        <f ca="1">IFERROR(__xludf.DUMMYFUNCTION("IMPORTRANGE(""https://docs.google.com/spreadsheets/d/1Hx73zIEgVdDZZaYSTc46Dqv64atFhpr3GelxLbaIN8A/edit?usp=sharing"",""หนองบัวลำภู!Q186"")"),191100)</f>
        <v>191100</v>
      </c>
      <c r="S48" s="67">
        <f ca="1">IFERROR(__xludf.DUMMYFUNCTION("IMPORTRANGE(""https://docs.google.com/spreadsheets/d/1Hx73zIEgVdDZZaYSTc46Dqv64atFhpr3GelxLbaIN8A/edit?usp=sharing"",""หนองบัวลำภู!R186"")"),191100)</f>
        <v>191100</v>
      </c>
      <c r="T48" s="67">
        <f ca="1">IFERROR(__xludf.DUMMYFUNCTION("IMPORTRANGE(""https://docs.google.com/spreadsheets/d/1Hx73zIEgVdDZZaYSTc46Dqv64atFhpr3GelxLbaIN8A/edit?usp=sharing"",""หนองบัวลำภู!S186"")"),85775)</f>
        <v>85775</v>
      </c>
      <c r="U48" s="68">
        <f t="shared" ca="1" si="99"/>
        <v>44.88487702773417</v>
      </c>
      <c r="V48" s="68">
        <f t="shared" ca="1" si="100"/>
        <v>44.88487702773417</v>
      </c>
      <c r="W48" s="152">
        <f ca="1">IFERROR(__xludf.DUMMYFUNCTION("IMPORTRANGE(""https://docs.google.com/spreadsheets/d/1Hx73zIEgVdDZZaYSTc46Dqv64atFhpr3GelxLbaIN8A/edit?usp=sharing"",""หนองบัวลำภู!L196"")"),6000)</f>
        <v>6000</v>
      </c>
      <c r="X48" s="152">
        <f ca="1">IFERROR(__xludf.DUMMYFUNCTION("IMPORTRANGE(""https://docs.google.com/spreadsheets/d/1Hx73zIEgVdDZZaYSTc46Dqv64atFhpr3GelxLbaIN8A/edit?usp=sharing"",""หนองบัวลำภู!N196"")"),1000)</f>
        <v>1000</v>
      </c>
      <c r="Y48" s="216">
        <f t="shared" ca="1" si="102"/>
        <v>16.666666666666668</v>
      </c>
      <c r="Z48" s="152">
        <f ca="1">IFERROR(__xludf.DUMMYFUNCTION("IMPORTRANGE(""https://docs.google.com/spreadsheets/d/1Hx73zIEgVdDZZaYSTc46Dqv64atFhpr3GelxLbaIN8A/edit?usp=sharing"",""หนองบัวลำภู!I198"")"),4)</f>
        <v>4</v>
      </c>
      <c r="AA48" s="152">
        <f ca="1">IFERROR(__xludf.DUMMYFUNCTION("IMPORTRANGE(""https://docs.google.com/spreadsheets/d/1Hx73zIEgVdDZZaYSTc46Dqv64atFhpr3GelxLbaIN8A/edit?usp=sharing"",""หนองบัวลำภู!J198"")"),4)</f>
        <v>4</v>
      </c>
      <c r="AB48" s="216">
        <f t="shared" ca="1" si="104"/>
        <v>100</v>
      </c>
      <c r="AC48" s="152">
        <f ca="1">IFERROR(__xludf.DUMMYFUNCTION("IMPORTRANGE(""https://docs.google.com/spreadsheets/d/1Hx73zIEgVdDZZaYSTc46Dqv64atFhpr3GelxLbaIN8A/edit?usp=sharing"",""หนองบัวลำภู!J199"")"),120)</f>
        <v>120</v>
      </c>
      <c r="AD48" s="152">
        <f ca="1">IFERROR(__xludf.DUMMYFUNCTION("IMPORTRANGE(""https://docs.google.com/spreadsheets/d/1Hx73zIEgVdDZZaYSTc46Dqv64atFhpr3GelxLbaIN8A/edit?usp=sharing"",""หนองบัวลำภู!J200"")"),120)</f>
        <v>120</v>
      </c>
      <c r="AE48" s="152">
        <f ca="1">IFERROR(__xludf.DUMMYFUNCTION("IMPORTRANGE(""https://docs.google.com/spreadsheets/d/1Hx73zIEgVdDZZaYSTc46Dqv64atFhpr3GelxLbaIN8A/edit?usp=sharing"",""หนองบัวลำภู!J201"")"),0)</f>
        <v>0</v>
      </c>
      <c r="AF48" s="152">
        <f ca="1">IFERROR(__xludf.DUMMYFUNCTION("IMPORTRANGE(""https://docs.google.com/spreadsheets/d/1Hx73zIEgVdDZZaYSTc46Dqv64atFhpr3GelxLbaIN8A/edit?usp=sharing"",""หนองบัวลำภู!L204"")"),3000)</f>
        <v>3000</v>
      </c>
      <c r="AG48" s="152">
        <f ca="1">IFERROR(__xludf.DUMMYFUNCTION("IMPORTRANGE(""https://docs.google.com/spreadsheets/d/1Hx73zIEgVdDZZaYSTc46Dqv64atFhpr3GelxLbaIN8A/edit?usp=sharing"",""หนองบัวลำภู!N204"")"),0)</f>
        <v>0</v>
      </c>
      <c r="AH48" s="216">
        <f t="shared" ca="1" si="106"/>
        <v>0</v>
      </c>
      <c r="AI48" s="152">
        <f ca="1">IFERROR(__xludf.DUMMYFUNCTION("IMPORTRANGE(""https://docs.google.com/spreadsheets/d/1Hx73zIEgVdDZZaYSTc46Dqv64atFhpr3GelxLbaIN8A/edit?usp=sharing"",""หนองบัวลำภู!L206"")"),0)</f>
        <v>0</v>
      </c>
      <c r="AJ48" s="152">
        <f ca="1">IFERROR(__xludf.DUMMYFUNCTION("IMPORTRANGE(""https://docs.google.com/spreadsheets/d/1Hx73zIEgVdDZZaYSTc46Dqv64atFhpr3GelxLbaIN8A/edit?usp=sharing"",""หนองบัวลำภู!N206"")"),0)</f>
        <v>0</v>
      </c>
      <c r="AK48" s="216">
        <f t="shared" ca="1" si="108"/>
        <v>0</v>
      </c>
      <c r="AL48" s="152">
        <f ca="1">IFERROR(__xludf.DUMMYFUNCTION("IMPORTRANGE(""https://docs.google.com/spreadsheets/d/1Hx73zIEgVdDZZaYSTc46Dqv64atFhpr3GelxLbaIN8A/edit?usp=sharing"",""หนองบัวลำภู!Q206"")"),42000)</f>
        <v>42000</v>
      </c>
      <c r="AM48" s="152">
        <f ca="1">IFERROR(__xludf.DUMMYFUNCTION("IMPORTRANGE(""https://docs.google.com/spreadsheets/d/1Hx73zIEgVdDZZaYSTc46Dqv64atFhpr3GelxLbaIN8A/edit?usp=sharing"",""หนองบัวลำภู!S206"")"),0)</f>
        <v>0</v>
      </c>
      <c r="AN48" s="216">
        <f t="shared" ca="1" si="110"/>
        <v>0</v>
      </c>
      <c r="AO48" s="152">
        <f ca="1">IFERROR(__xludf.DUMMYFUNCTION("IMPORTRANGE(""https://docs.google.com/spreadsheets/d/1Hx73zIEgVdDZZaYSTc46Dqv64atFhpr3GelxLbaIN8A/edit?usp=sharing"",""หนองบัวลำภู!L207"")"),17000)</f>
        <v>17000</v>
      </c>
      <c r="AP48" s="152">
        <f ca="1">IFERROR(__xludf.DUMMYFUNCTION("IMPORTRANGE(""https://docs.google.com/spreadsheets/d/1Hx73zIEgVdDZZaYSTc46Dqv64atFhpr3GelxLbaIN8A/edit?usp=sharing"",""หนองบัวลำภู!N207"")"),0)</f>
        <v>0</v>
      </c>
      <c r="AQ48" s="216">
        <f t="shared" ca="1" si="112"/>
        <v>0</v>
      </c>
      <c r="AR48" s="152">
        <f ca="1">IFERROR(__xludf.DUMMYFUNCTION("IMPORTRANGE(""https://docs.google.com/spreadsheets/d/1Hx73zIEgVdDZZaYSTc46Dqv64atFhpr3GelxLbaIN8A/edit?usp=sharing"",""หนองบัวลำภู!I209"")"),3)</f>
        <v>3</v>
      </c>
      <c r="AS48" s="152">
        <f ca="1">IFERROR(__xludf.DUMMYFUNCTION("IMPORTRANGE(""https://docs.google.com/spreadsheets/d/1Hx73zIEgVdDZZaYSTc46Dqv64atFhpr3GelxLbaIN8A/edit?usp=sharing"",""หนองบัวลำภู!J209"")"),3)</f>
        <v>3</v>
      </c>
      <c r="AT48" s="216">
        <f t="shared" ca="1" si="114"/>
        <v>100</v>
      </c>
      <c r="AU48" s="152">
        <f ca="1">IFERROR(__xludf.DUMMYFUNCTION("IMPORTRANGE(""https://docs.google.com/spreadsheets/d/1Hx73zIEgVdDZZaYSTc46Dqv64atFhpr3GelxLbaIN8A/edit?usp=sharing"",""หนองบัวลำภู!J211"")"),0)</f>
        <v>0</v>
      </c>
      <c r="AV48" s="152">
        <f ca="1">IFERROR(__xludf.DUMMYFUNCTION("IMPORTRANGE(""https://docs.google.com/spreadsheets/d/1Hx73zIEgVdDZZaYSTc46Dqv64atFhpr3GelxLbaIN8A/edit?usp=sharing"",""หนองบัวลำภู!J212"")"),0)</f>
        <v>0</v>
      </c>
      <c r="AW48" s="152">
        <f ca="1">IFERROR(__xludf.DUMMYFUNCTION("IMPORTRANGE(""https://docs.google.com/spreadsheets/d/1Hx73zIEgVdDZZaYSTc46Dqv64atFhpr3GelxLbaIN8A/edit?usp=sharing"",""หนองบัวลำภู!L215"")"),3000)</f>
        <v>3000</v>
      </c>
      <c r="AX48" s="152">
        <f ca="1">IFERROR(__xludf.DUMMYFUNCTION("IMPORTRANGE(""https://docs.google.com/spreadsheets/d/1Hx73zIEgVdDZZaYSTc46Dqv64atFhpr3GelxLbaIN8A/edit?usp=sharing"",""หนองบัวลำภู!N215"")"),3000)</f>
        <v>3000</v>
      </c>
      <c r="AY48" s="216">
        <f t="shared" ca="1" si="116"/>
        <v>100</v>
      </c>
      <c r="AZ48" s="152">
        <f ca="1">IFERROR(__xludf.DUMMYFUNCTION("IMPORTRANGE(""https://docs.google.com/spreadsheets/d/1Hx73zIEgVdDZZaYSTc46Dqv64atFhpr3GelxLbaIN8A/edit?usp=sharing"",""หนองบัวลำภู!L216"")"),15000)</f>
        <v>15000</v>
      </c>
      <c r="BA48" s="152">
        <f ca="1">IFERROR(__xludf.DUMMYFUNCTION("IMPORTRANGE(""https://docs.google.com/spreadsheets/d/1Hx73zIEgVdDZZaYSTc46Dqv64atFhpr3GelxLbaIN8A/edit?usp=sharing"",""หนองบัวลำภู!N216"")"),0)</f>
        <v>0</v>
      </c>
      <c r="BB48" s="216">
        <f t="shared" ca="1" si="118"/>
        <v>0</v>
      </c>
      <c r="BC48" s="152">
        <f ca="1">IFERROR(__xludf.DUMMYFUNCTION("IMPORTRANGE(""https://docs.google.com/spreadsheets/d/1Hx73zIEgVdDZZaYSTc46Dqv64atFhpr3GelxLbaIN8A/edit?usp=sharing"",""หนองบัวลำภู!L217"")"),0)</f>
        <v>0</v>
      </c>
      <c r="BD48" s="152">
        <f ca="1">IFERROR(__xludf.DUMMYFUNCTION("IMPORTRANGE(""https://docs.google.com/spreadsheets/d/1Hx73zIEgVdDZZaYSTc46Dqv64atFhpr3GelxLbaIN8A/edit?usp=sharing"",""หนองบัวลำภู!N217"")"),0)</f>
        <v>0</v>
      </c>
      <c r="BE48" s="216">
        <f t="shared" ca="1" si="120"/>
        <v>0</v>
      </c>
      <c r="BF48" s="152">
        <f ca="1">IFERROR(__xludf.DUMMYFUNCTION("IMPORTRANGE(""https://docs.google.com/spreadsheets/d/1Hx73zIEgVdDZZaYSTc46Dqv64atFhpr3GelxLbaIN8A/edit?usp=sharing"",""หนองบัวลำภู!Q217"")"),149100)</f>
        <v>149100</v>
      </c>
      <c r="BG48" s="152">
        <f ca="1">IFERROR(__xludf.DUMMYFUNCTION("IMPORTRANGE(""https://docs.google.com/spreadsheets/d/1Hx73zIEgVdDZZaYSTc46Dqv64atFhpr3GelxLbaIN8A/edit?usp=sharing"",""หนองบัวลำภู!S217"")"),0)</f>
        <v>0</v>
      </c>
      <c r="BH48" s="216">
        <f t="shared" ca="1" si="122"/>
        <v>0</v>
      </c>
      <c r="BI48" s="152">
        <f ca="1">IFERROR(__xludf.DUMMYFUNCTION("IMPORTRANGE(""https://docs.google.com/spreadsheets/d/1Hx73zIEgVdDZZaYSTc46Dqv64atFhpr3GelxLbaIN8A/edit?usp=sharing"",""หนองบัวลำภู!I219"")"),3)</f>
        <v>3</v>
      </c>
      <c r="BJ48" s="152">
        <f ca="1">IFERROR(__xludf.DUMMYFUNCTION("IMPORTRANGE(""https://docs.google.com/spreadsheets/d/1Hx73zIEgVdDZZaYSTc46Dqv64atFhpr3GelxLbaIN8A/edit?usp=sharing"",""หนองบัวลำภู!J219"")"),0)</f>
        <v>0</v>
      </c>
      <c r="BK48" s="216">
        <f t="shared" ca="1" si="124"/>
        <v>0</v>
      </c>
      <c r="BL48" s="152">
        <f ca="1">IFERROR(__xludf.DUMMYFUNCTION("IMPORTRANGE(""https://docs.google.com/spreadsheets/d/1Hx73zIEgVdDZZaYSTc46Dqv64atFhpr3GelxLbaIN8A/edit?usp=sharing"",""หนองบัวลำภู!I220"")"),3)</f>
        <v>3</v>
      </c>
      <c r="BM48" s="152">
        <f ca="1">IFERROR(__xludf.DUMMYFUNCTION("IMPORTRANGE(""https://docs.google.com/spreadsheets/d/1Hx73zIEgVdDZZaYSTc46Dqv64atFhpr3GelxLbaIN8A/edit?usp=sharing"",""หนองบัวลำภู!J220"")"),3)</f>
        <v>3</v>
      </c>
      <c r="BN48" s="216">
        <f t="shared" ca="1" si="126"/>
        <v>100</v>
      </c>
      <c r="BO48" s="152">
        <f ca="1">IFERROR(__xludf.DUMMYFUNCTION("IMPORTRANGE(""https://docs.google.com/spreadsheets/d/1Hx73zIEgVdDZZaYSTc46Dqv64atFhpr3GelxLbaIN8A/edit?usp=sharing"",""หนองบัวลำภู!L223"")"),2500)</f>
        <v>2500</v>
      </c>
      <c r="BP48" s="152">
        <f ca="1">IFERROR(__xludf.DUMMYFUNCTION("IMPORTRANGE(""https://docs.google.com/spreadsheets/d/1Hx73zIEgVdDZZaYSTc46Dqv64atFhpr3GelxLbaIN8A/edit?usp=sharing"",""หนองบัวลำภู!N223"")"),0)</f>
        <v>0</v>
      </c>
      <c r="BQ48" s="216">
        <f t="shared" ca="1" si="128"/>
        <v>0</v>
      </c>
      <c r="BR48" s="152">
        <f ca="1">IFERROR(__xludf.DUMMYFUNCTION("IMPORTRANGE(""https://docs.google.com/spreadsheets/d/1Hx73zIEgVdDZZaYSTc46Dqv64atFhpr3GelxLbaIN8A/edit?usp=sharing"",""หนองบัวลำภู!L224"")"),2000)</f>
        <v>2000</v>
      </c>
      <c r="BS48" s="152">
        <f ca="1">IFERROR(__xludf.DUMMYFUNCTION("IMPORTRANGE(""https://docs.google.com/spreadsheets/d/1Hx73zIEgVdDZZaYSTc46Dqv64atFhpr3GelxLbaIN8A/edit?usp=sharing"",""หนองบัวลำภู!N224"")"),0)</f>
        <v>0</v>
      </c>
      <c r="BT48" s="216">
        <f t="shared" ca="1" si="130"/>
        <v>0</v>
      </c>
      <c r="BU48" s="152">
        <f ca="1">IFERROR(__xludf.DUMMYFUNCTION("IMPORTRANGE(""https://docs.google.com/spreadsheets/d/1Hx73zIEgVdDZZaYSTc46Dqv64atFhpr3GelxLbaIN8A/edit?usp=sharing"",""หนองบัวลำภู!I228"")"),10000)</f>
        <v>10000</v>
      </c>
      <c r="BV48" s="152">
        <f ca="1">IFERROR(__xludf.DUMMYFUNCTION("IMPORTRANGE(""https://docs.google.com/spreadsheets/d/1Hx73zIEgVdDZZaYSTc46Dqv64atFhpr3GelxLbaIN8A/edit?usp=sharing"",""หนองบัวลำภู!J228"")"),10000)</f>
        <v>10000</v>
      </c>
      <c r="BW48" s="216">
        <f t="shared" ca="1" si="132"/>
        <v>100</v>
      </c>
      <c r="BX48" s="152">
        <f ca="1">IFERROR(__xludf.DUMMYFUNCTION("IMPORTRANGE(""https://docs.google.com/spreadsheets/d/1Hx73zIEgVdDZZaYSTc46Dqv64atFhpr3GelxLbaIN8A/edit?usp=sharing"",""หนองบัวลำภู!I229"")"),10000)</f>
        <v>10000</v>
      </c>
      <c r="BY48" s="152">
        <f ca="1">IFERROR(__xludf.DUMMYFUNCTION("IMPORTRANGE(""https://docs.google.com/spreadsheets/d/1Hx73zIEgVdDZZaYSTc46Dqv64atFhpr3GelxLbaIN8A/edit?usp=sharing"",""หนองบัวลำภู!J229"")"),0)</f>
        <v>0</v>
      </c>
      <c r="BZ48" s="216">
        <f t="shared" ca="1" si="134"/>
        <v>0</v>
      </c>
      <c r="CA48" s="152">
        <f ca="1">IFERROR(__xludf.DUMMYFUNCTION("IMPORTRANGE(""https://docs.google.com/spreadsheets/d/1Hx73zIEgVdDZZaYSTc46Dqv64atFhpr3GelxLbaIN8A/edit?usp=sharing"",""หนองบัวลำภู!I230"")"),0)</f>
        <v>0</v>
      </c>
      <c r="CB48" s="152">
        <f ca="1">IFERROR(__xludf.DUMMYFUNCTION("IMPORTRANGE(""https://docs.google.com/spreadsheets/d/1Hx73zIEgVdDZZaYSTc46Dqv64atFhpr3GelxLbaIN8A/edit?usp=sharing"",""หนองบัวลำภู!J230"")"),0)</f>
        <v>0</v>
      </c>
      <c r="CC48" s="216">
        <f t="shared" ca="1" si="136"/>
        <v>0</v>
      </c>
      <c r="CD48" s="152">
        <f ca="1">IFERROR(__xludf.DUMMYFUNCTION("IMPORTRANGE(""https://docs.google.com/spreadsheets/d/1Hx73zIEgVdDZZaYSTc46Dqv64atFhpr3GelxLbaIN8A/edit?usp=sharing"",""หนองบัวลำภู!L233"")"),0)</f>
        <v>0</v>
      </c>
      <c r="CE48" s="152">
        <f ca="1">IFERROR(__xludf.DUMMYFUNCTION("IMPORTRANGE(""https://docs.google.com/spreadsheets/d/1Hx73zIEgVdDZZaYSTc46Dqv64atFhpr3GelxLbaIN8A/edit?usp=sharing"",""หนองบัวลำภู!N233"")"),0)</f>
        <v>0</v>
      </c>
      <c r="CF48" s="216">
        <f t="shared" ca="1" si="138"/>
        <v>0</v>
      </c>
      <c r="CG48" s="152">
        <f ca="1">IFERROR(__xludf.DUMMYFUNCTION("IMPORTRANGE(""https://docs.google.com/spreadsheets/d/1Hx73zIEgVdDZZaYSTc46Dqv64atFhpr3GelxLbaIN8A/edit?usp=sharing"",""หนองบัวลำภู!L234"")"),0)</f>
        <v>0</v>
      </c>
      <c r="CH48" s="152">
        <f ca="1">IFERROR(__xludf.DUMMYFUNCTION("IMPORTRANGE(""https://docs.google.com/spreadsheets/d/1Hx73zIEgVdDZZaYSTc46Dqv64atFhpr3GelxLbaIN8A/edit?usp=sharing"",""หนองบัวลำภู!N234"")"),0)</f>
        <v>0</v>
      </c>
      <c r="CI48" s="216">
        <f t="shared" ca="1" si="140"/>
        <v>0</v>
      </c>
      <c r="CJ48" s="152">
        <f ca="1">IFERROR(__xludf.DUMMYFUNCTION("IMPORTRANGE(""https://docs.google.com/spreadsheets/d/1Hx73zIEgVdDZZaYSTc46Dqv64atFhpr3GelxLbaIN8A/edit?usp=sharing"",""หนองบัวลำภู!L235"")"),0)</f>
        <v>0</v>
      </c>
      <c r="CK48" s="152">
        <f ca="1">IFERROR(__xludf.DUMMYFUNCTION("IMPORTRANGE(""https://docs.google.com/spreadsheets/d/1Hx73zIEgVdDZZaYSTc46Dqv64atFhpr3GelxLbaIN8A/edit?usp=sharing"",""หนองบัวลำภู!N235"")"),0)</f>
        <v>0</v>
      </c>
      <c r="CL48" s="216">
        <f t="shared" ca="1" si="142"/>
        <v>0</v>
      </c>
      <c r="CM48" s="251">
        <f ca="1">IFERROR(__xludf.DUMMYFUNCTION("IMPORTRANGE(""https://docs.google.com/spreadsheets/d/1Hx73zIEgVdDZZaYSTc46Dqv64atFhpr3GelxLbaIN8A/edit?usp=sharing"",""หนองบัวลำภู!Q235"")"),0)</f>
        <v>0</v>
      </c>
      <c r="CN48" s="251">
        <f ca="1">IFERROR(__xludf.DUMMYFUNCTION("IMPORTRANGE(""https://docs.google.com/spreadsheets/d/1Hx73zIEgVdDZZaYSTc46Dqv64atFhpr3GelxLbaIN8A/edit?usp=sharing"",""หนองบัวลำภู!S235"")"),0)</f>
        <v>0</v>
      </c>
      <c r="CO48" s="216">
        <f t="shared" ca="1" si="144"/>
        <v>0</v>
      </c>
      <c r="CP48" s="152">
        <f ca="1">IFERROR(__xludf.DUMMYFUNCTION("IMPORTRANGE(""https://docs.google.com/spreadsheets/d/1Hx73zIEgVdDZZaYSTc46Dqv64atFhpr3GelxLbaIN8A/edit?usp=sharing"",""หนองบัวลำภู!L236"")"),0)</f>
        <v>0</v>
      </c>
      <c r="CQ48" s="152">
        <f ca="1">IFERROR(__xludf.DUMMYFUNCTION("IMPORTRANGE(""https://docs.google.com/spreadsheets/d/1Hx73zIEgVdDZZaYSTc46Dqv64atFhpr3GelxLbaIN8A/edit?usp=sharing"",""หนองบัวลำภู!N236"")"),0)</f>
        <v>0</v>
      </c>
      <c r="CR48" s="216">
        <f t="shared" ca="1" si="146"/>
        <v>0</v>
      </c>
      <c r="CS48" s="152">
        <f ca="1">IFERROR(__xludf.DUMMYFUNCTION("IMPORTRANGE(""https://docs.google.com/spreadsheets/d/1Hx73zIEgVdDZZaYSTc46Dqv64atFhpr3GelxLbaIN8A/edit?usp=sharing"",""หนองบัวลำภู!I238"")"),0)</f>
        <v>0</v>
      </c>
      <c r="CT48" s="152">
        <f ca="1">IFERROR(__xludf.DUMMYFUNCTION("IMPORTRANGE(""https://docs.google.com/spreadsheets/d/1Hx73zIEgVdDZZaYSTc46Dqv64atFhpr3GelxLbaIN8A/edit?usp=sharing"",""หนองบัวลำภู!J238"")"),0)</f>
        <v>0</v>
      </c>
      <c r="CU48" s="216">
        <f t="shared" ca="1" si="148"/>
        <v>0</v>
      </c>
      <c r="CV48" s="152">
        <f ca="1">IFERROR(__xludf.DUMMYFUNCTION("IMPORTRANGE(""https://docs.google.com/spreadsheets/d/1Hx73zIEgVdDZZaYSTc46Dqv64atFhpr3GelxLbaIN8A/edit?usp=sharing"",""หนองบัวลำภู!J240"")"),0)</f>
        <v>0</v>
      </c>
      <c r="CW48" s="152">
        <f ca="1">IFERROR(__xludf.DUMMYFUNCTION("IMPORTRANGE(""https://docs.google.com/spreadsheets/d/1Hx73zIEgVdDZZaYSTc46Dqv64atFhpr3GelxLbaIN8A/edit?usp=sharing"",""หนองบัวลำภู!J241"")"),0)</f>
        <v>0</v>
      </c>
    </row>
    <row r="49" spans="1:101" ht="21" customHeight="1" x14ac:dyDescent="0.3">
      <c r="A49" s="147">
        <v>18</v>
      </c>
      <c r="B49" s="148" t="s">
        <v>77</v>
      </c>
      <c r="C49" s="149">
        <f t="shared" ca="1" si="90"/>
        <v>31500</v>
      </c>
      <c r="D49" s="150">
        <f t="shared" ca="1" si="178"/>
        <v>31500</v>
      </c>
      <c r="E49" s="151">
        <f ca="1">IFERROR(__xludf.DUMMYFUNCTION("IMPORTRANGE(""https://docs.google.com/spreadsheets/d/1-uDff_7J0KD5mKrp0Vvzr7lt3OU09vwQwhkpOPPYv2Y/edit?usp=sharing"",""งบพรบ!CV49"")"),0)</f>
        <v>0</v>
      </c>
      <c r="F49" s="151">
        <f ca="1">IFERROR(__xludf.DUMMYFUNCTION("IMPORTRANGE(""https://docs.google.com/spreadsheets/d/1-uDff_7J0KD5mKrp0Vvzr7lt3OU09vwQwhkpOPPYv2Y/edit?usp=sharing"",""งบพรบ!CW49"")"),31500)</f>
        <v>31500</v>
      </c>
      <c r="G49" s="151">
        <f ca="1">IFERROR(__xludf.DUMMYFUNCTION("IMPORTRANGE(""https://docs.google.com/spreadsheets/d/1-uDff_7J0KD5mKrp0Vvzr7lt3OU09vwQwhkpOPPYv2Y/edit?usp=sharing"",""งบพรบ!CX49"")"),0)</f>
        <v>0</v>
      </c>
      <c r="H49" s="151">
        <f ca="1">IFERROR(__xludf.DUMMYFUNCTION("IMPORTRANGE(""https://docs.google.com/spreadsheets/d/1-uDff_7J0KD5mKrp0Vvzr7lt3OU09vwQwhkpOPPYv2Y/edit?usp=sharing"",""งบพรบ!CZ49"")"),33500)</f>
        <v>33500</v>
      </c>
      <c r="I49" s="151">
        <f ca="1">IFERROR(__xludf.DUMMYFUNCTION("IMPORTRANGE(""https://docs.google.com/spreadsheets/d/1-uDff_7J0KD5mKrp0Vvzr7lt3OU09vwQwhkpOPPYv2Y/edit?usp=sharing"",""งบพรบ!DA49"")"),0)</f>
        <v>0</v>
      </c>
      <c r="J49" s="151">
        <f t="shared" ca="1" si="92"/>
        <v>26228</v>
      </c>
      <c r="K49" s="154">
        <f t="shared" ca="1" si="93"/>
        <v>83.263492063492066</v>
      </c>
      <c r="L49" s="151">
        <f ca="1">IFERROR(__xludf.DUMMYFUNCTION("IMPORTRANGE(""https://docs.google.com/spreadsheets/d/1-uDff_7J0KD5mKrp0Vvzr7lt3OU09vwQwhkpOPPYv2Y/edit?usp=sharing"",""งบพรบ!DB49"")"),26228)</f>
        <v>26228</v>
      </c>
      <c r="M49" s="68">
        <f t="shared" ca="1" si="94"/>
        <v>83.263492063492066</v>
      </c>
      <c r="N49" s="68">
        <f t="shared" ca="1" si="95"/>
        <v>78.292537313432831</v>
      </c>
      <c r="O49" s="67">
        <f ca="1">IFERROR(__xludf.DUMMYFUNCTION("IMPORTRANGE(""https://docs.google.com/spreadsheets/d/1-uDff_7J0KD5mKrp0Vvzr7lt3OU09vwQwhkpOPPYv2Y/edit?usp=sharing"",""งบพรบ!DC49"")"),0)</f>
        <v>0</v>
      </c>
      <c r="P49" s="67">
        <f t="shared" ca="1" si="96"/>
        <v>0</v>
      </c>
      <c r="Q49" s="68">
        <f t="shared" ca="1" si="97"/>
        <v>0</v>
      </c>
      <c r="R49" s="67">
        <f ca="1">IFERROR(__xludf.DUMMYFUNCTION("IMPORTRANGE(""https://docs.google.com/spreadsheets/d/1lFxr3ctmjFN90yc-xV6jrQ9Ty8BKYVBWnAZ15wcNIJc/edit?usp=sharing"",""อำนาจเจริญ!Q186"")"),77700)</f>
        <v>77700</v>
      </c>
      <c r="S49" s="67">
        <f ca="1">IFERROR(__xludf.DUMMYFUNCTION("IMPORTRANGE(""https://docs.google.com/spreadsheets/d/1lFxr3ctmjFN90yc-xV6jrQ9Ty8BKYVBWnAZ15wcNIJc/edit?usp=sharing"",""อำนาจเจริญ!R186"")"),77700)</f>
        <v>77700</v>
      </c>
      <c r="T49" s="67">
        <f ca="1">IFERROR(__xludf.DUMMYFUNCTION("IMPORTRANGE(""https://docs.google.com/spreadsheets/d/1lFxr3ctmjFN90yc-xV6jrQ9Ty8BKYVBWnAZ15wcNIJc/edit?usp=sharing"",""อำนาจเจริญ!S186"")"),77700)</f>
        <v>77700</v>
      </c>
      <c r="U49" s="68">
        <f t="shared" ca="1" si="99"/>
        <v>100</v>
      </c>
      <c r="V49" s="68">
        <f t="shared" ca="1" si="100"/>
        <v>100</v>
      </c>
      <c r="W49" s="152">
        <f ca="1">IFERROR(__xludf.DUMMYFUNCTION("IMPORTRANGE(""https://docs.google.com/spreadsheets/d/1lFxr3ctmjFN90yc-xV6jrQ9Ty8BKYVBWnAZ15wcNIJc/edit?usp=sharing"",""อำนาจเจริญ!L196"")"),6000)</f>
        <v>6000</v>
      </c>
      <c r="X49" s="152">
        <f ca="1">IFERROR(__xludf.DUMMYFUNCTION("IMPORTRANGE(""https://docs.google.com/spreadsheets/d/1lFxr3ctmjFN90yc-xV6jrQ9Ty8BKYVBWnAZ15wcNIJc/edit?usp=sharing"",""อำนาจเจริญ!N196"")"),1980)</f>
        <v>1980</v>
      </c>
      <c r="Y49" s="216">
        <f t="shared" ca="1" si="102"/>
        <v>33</v>
      </c>
      <c r="Z49" s="152">
        <f ca="1">IFERROR(__xludf.DUMMYFUNCTION("IMPORTRANGE(""https://docs.google.com/spreadsheets/d/1lFxr3ctmjFN90yc-xV6jrQ9Ty8BKYVBWnAZ15wcNIJc/edit?usp=sharing"",""อำนาจเจริญ!I198"")"),4)</f>
        <v>4</v>
      </c>
      <c r="AA49" s="152">
        <f ca="1">IFERROR(__xludf.DUMMYFUNCTION("IMPORTRANGE(""https://docs.google.com/spreadsheets/d/1lFxr3ctmjFN90yc-xV6jrQ9Ty8BKYVBWnAZ15wcNIJc/edit?usp=sharing"",""อำนาจเจริญ!J198"")"),3)</f>
        <v>3</v>
      </c>
      <c r="AB49" s="216">
        <f t="shared" ca="1" si="104"/>
        <v>75</v>
      </c>
      <c r="AC49" s="152">
        <f ca="1">IFERROR(__xludf.DUMMYFUNCTION("IMPORTRANGE(""https://docs.google.com/spreadsheets/d/1lFxr3ctmjFN90yc-xV6jrQ9Ty8BKYVBWnAZ15wcNIJc/edit?usp=sharing"",""อำนาจเจริญ!J199"")"),0)</f>
        <v>0</v>
      </c>
      <c r="AD49" s="152">
        <f ca="1">IFERROR(__xludf.DUMMYFUNCTION("IMPORTRANGE(""https://docs.google.com/spreadsheets/d/1lFxr3ctmjFN90yc-xV6jrQ9Ty8BKYVBWnAZ15wcNIJc/edit?usp=sharing"",""อำนาจเจริญ!J200"")"),0)</f>
        <v>0</v>
      </c>
      <c r="AE49" s="152">
        <f ca="1">IFERROR(__xludf.DUMMYFUNCTION("IMPORTRANGE(""https://docs.google.com/spreadsheets/d/1lFxr3ctmjFN90yc-xV6jrQ9Ty8BKYVBWnAZ15wcNIJc/edit?usp=sharing"",""อำนาจเจริญ!J201"")"),0)</f>
        <v>0</v>
      </c>
      <c r="AF49" s="152">
        <f ca="1">IFERROR(__xludf.DUMMYFUNCTION("IMPORTRANGE(""https://docs.google.com/spreadsheets/d/1lFxr3ctmjFN90yc-xV6jrQ9Ty8BKYVBWnAZ15wcNIJc/edit?usp=sharing"",""อำนาจเจริญ!L204"")"),2000)</f>
        <v>2000</v>
      </c>
      <c r="AG49" s="152">
        <f ca="1">IFERROR(__xludf.DUMMYFUNCTION("IMPORTRANGE(""https://docs.google.com/spreadsheets/d/1lFxr3ctmjFN90yc-xV6jrQ9Ty8BKYVBWnAZ15wcNIJc/edit?usp=sharing"",""อำนาจเจริญ!N204"")"),1860)</f>
        <v>1860</v>
      </c>
      <c r="AH49" s="216">
        <f t="shared" ca="1" si="106"/>
        <v>93</v>
      </c>
      <c r="AI49" s="152">
        <f ca="1">IFERROR(__xludf.DUMMYFUNCTION("IMPORTRANGE(""https://docs.google.com/spreadsheets/d/1lFxr3ctmjFN90yc-xV6jrQ9Ty8BKYVBWnAZ15wcNIJc/edit?usp=sharing"",""อำนาจเจริญ!L206"")"),0)</f>
        <v>0</v>
      </c>
      <c r="AJ49" s="152">
        <f ca="1">IFERROR(__xludf.DUMMYFUNCTION("IMPORTRANGE(""https://docs.google.com/spreadsheets/d/1lFxr3ctmjFN90yc-xV6jrQ9Ty8BKYVBWnAZ15wcNIJc/edit?usp=sharing"",""อำนาจเจริญ!N206"")"),0)</f>
        <v>0</v>
      </c>
      <c r="AK49" s="216">
        <f t="shared" ca="1" si="108"/>
        <v>0</v>
      </c>
      <c r="AL49" s="152">
        <f ca="1">IFERROR(__xludf.DUMMYFUNCTION("IMPORTRANGE(""https://docs.google.com/spreadsheets/d/1lFxr3ctmjFN90yc-xV6jrQ9Ty8BKYVBWnAZ15wcNIJc/edit?usp=sharing"",""อำนาจเจริญ!Q206"")"),28000)</f>
        <v>28000</v>
      </c>
      <c r="AM49" s="152">
        <f ca="1">IFERROR(__xludf.DUMMYFUNCTION("IMPORTRANGE(""https://docs.google.com/spreadsheets/d/1lFxr3ctmjFN90yc-xV6jrQ9Ty8BKYVBWnAZ15wcNIJc/edit?usp=sharing"",""อำนาจเจริญ!S206"")"),28000)</f>
        <v>28000</v>
      </c>
      <c r="AN49" s="216">
        <f t="shared" ca="1" si="110"/>
        <v>100</v>
      </c>
      <c r="AO49" s="152">
        <f ca="1">IFERROR(__xludf.DUMMYFUNCTION("IMPORTRANGE(""https://docs.google.com/spreadsheets/d/1lFxr3ctmjFN90yc-xV6jrQ9Ty8BKYVBWnAZ15wcNIJc/edit?usp=sharing"",""อำนาจเจริญ!L207"")"),11000)</f>
        <v>11000</v>
      </c>
      <c r="AP49" s="152">
        <f ca="1">IFERROR(__xludf.DUMMYFUNCTION("IMPORTRANGE(""https://docs.google.com/spreadsheets/d/1lFxr3ctmjFN90yc-xV6jrQ9Ty8BKYVBWnAZ15wcNIJc/edit?usp=sharing"",""อำนาจเจริญ!N207"")"),11000)</f>
        <v>11000</v>
      </c>
      <c r="AQ49" s="216">
        <f t="shared" ca="1" si="112"/>
        <v>100</v>
      </c>
      <c r="AR49" s="152">
        <f ca="1">IFERROR(__xludf.DUMMYFUNCTION("IMPORTRANGE(""https://docs.google.com/spreadsheets/d/1lFxr3ctmjFN90yc-xV6jrQ9Ty8BKYVBWnAZ15wcNIJc/edit?usp=sharing"",""อำนาจเจริญ!I209"")"),2)</f>
        <v>2</v>
      </c>
      <c r="AS49" s="152">
        <f ca="1">IFERROR(__xludf.DUMMYFUNCTION("IMPORTRANGE(""https://docs.google.com/spreadsheets/d/1lFxr3ctmjFN90yc-xV6jrQ9Ty8BKYVBWnAZ15wcNIJc/edit?usp=sharing"",""อำนาจเจริญ!J209"")"),2)</f>
        <v>2</v>
      </c>
      <c r="AT49" s="216">
        <f t="shared" ca="1" si="114"/>
        <v>100</v>
      </c>
      <c r="AU49" s="152">
        <f ca="1">IFERROR(__xludf.DUMMYFUNCTION("IMPORTRANGE(""https://docs.google.com/spreadsheets/d/1lFxr3ctmjFN90yc-xV6jrQ9Ty8BKYVBWnAZ15wcNIJc/edit?usp=sharing"",""อำนาจเจริญ!J211"")"),1)</f>
        <v>1</v>
      </c>
      <c r="AV49" s="152">
        <f ca="1">IFERROR(__xludf.DUMMYFUNCTION("IMPORTRANGE(""https://docs.google.com/spreadsheets/d/1lFxr3ctmjFN90yc-xV6jrQ9Ty8BKYVBWnAZ15wcNIJc/edit?usp=sharing"",""อำนาจเจริญ!J212"")"),1)</f>
        <v>1</v>
      </c>
      <c r="AW49" s="152">
        <f ca="1">IFERROR(__xludf.DUMMYFUNCTION("IMPORTRANGE(""https://docs.google.com/spreadsheets/d/1lFxr3ctmjFN90yc-xV6jrQ9Ty8BKYVBWnAZ15wcNIJc/edit?usp=sharing"",""อำนาจเจริญ!L215"")"),1000)</f>
        <v>1000</v>
      </c>
      <c r="AX49" s="152">
        <f ca="1">IFERROR(__xludf.DUMMYFUNCTION("IMPORTRANGE(""https://docs.google.com/spreadsheets/d/1lFxr3ctmjFN90yc-xV6jrQ9Ty8BKYVBWnAZ15wcNIJc/edit?usp=sharing"",""อำนาจเจริญ!N215"")"),360)</f>
        <v>360</v>
      </c>
      <c r="AY49" s="216">
        <f t="shared" ca="1" si="116"/>
        <v>36</v>
      </c>
      <c r="AZ49" s="152">
        <f ca="1">IFERROR(__xludf.DUMMYFUNCTION("IMPORTRANGE(""https://docs.google.com/spreadsheets/d/1lFxr3ctmjFN90yc-xV6jrQ9Ty8BKYVBWnAZ15wcNIJc/edit?usp=sharing"",""อำนาจเจริญ!L216"")"),5000)</f>
        <v>5000</v>
      </c>
      <c r="BA49" s="152">
        <f ca="1">IFERROR(__xludf.DUMMYFUNCTION("IMPORTRANGE(""https://docs.google.com/spreadsheets/d/1lFxr3ctmjFN90yc-xV6jrQ9Ty8BKYVBWnAZ15wcNIJc/edit?usp=sharing"",""อำนาจเจริญ!N216"")"),5000)</f>
        <v>5000</v>
      </c>
      <c r="BB49" s="216">
        <f t="shared" ca="1" si="118"/>
        <v>100</v>
      </c>
      <c r="BC49" s="152">
        <f ca="1">IFERROR(__xludf.DUMMYFUNCTION("IMPORTRANGE(""https://docs.google.com/spreadsheets/d/1lFxr3ctmjFN90yc-xV6jrQ9Ty8BKYVBWnAZ15wcNIJc/edit?usp=sharing"",""อำนาจเจริญ!L217"")"),0)</f>
        <v>0</v>
      </c>
      <c r="BD49" s="152">
        <f ca="1">IFERROR(__xludf.DUMMYFUNCTION("IMPORTRANGE(""https://docs.google.com/spreadsheets/d/1lFxr3ctmjFN90yc-xV6jrQ9Ty8BKYVBWnAZ15wcNIJc/edit?usp=sharing"",""อำนาจเจริญ!N217"")"),0)</f>
        <v>0</v>
      </c>
      <c r="BE49" s="216">
        <f t="shared" ca="1" si="120"/>
        <v>0</v>
      </c>
      <c r="BF49" s="152">
        <f ca="1">IFERROR(__xludf.DUMMYFUNCTION("IMPORTRANGE(""https://docs.google.com/spreadsheets/d/1lFxr3ctmjFN90yc-xV6jrQ9Ty8BKYVBWnAZ15wcNIJc/edit?usp=sharing"",""อำนาจเจริญ!Q217"")"),49700)</f>
        <v>49700</v>
      </c>
      <c r="BG49" s="152">
        <f ca="1">IFERROR(__xludf.DUMMYFUNCTION("IMPORTRANGE(""https://docs.google.com/spreadsheets/d/1lFxr3ctmjFN90yc-xV6jrQ9Ty8BKYVBWnAZ15wcNIJc/edit?usp=sharing"",""อำนาจเจริญ!S217"")"),49700)</f>
        <v>49700</v>
      </c>
      <c r="BH49" s="216">
        <f t="shared" ca="1" si="122"/>
        <v>100</v>
      </c>
      <c r="BI49" s="152">
        <f ca="1">IFERROR(__xludf.DUMMYFUNCTION("IMPORTRANGE(""https://docs.google.com/spreadsheets/d/1lFxr3ctmjFN90yc-xV6jrQ9Ty8BKYVBWnAZ15wcNIJc/edit?usp=sharing"",""อำนาจเจริญ!I219"")"),1)</f>
        <v>1</v>
      </c>
      <c r="BJ49" s="152">
        <f ca="1">IFERROR(__xludf.DUMMYFUNCTION("IMPORTRANGE(""https://docs.google.com/spreadsheets/d/1lFxr3ctmjFN90yc-xV6jrQ9Ty8BKYVBWnAZ15wcNIJc/edit?usp=sharing"",""อำนาจเจริญ!J219"")"),1)</f>
        <v>1</v>
      </c>
      <c r="BK49" s="216">
        <f t="shared" ca="1" si="124"/>
        <v>100</v>
      </c>
      <c r="BL49" s="152">
        <f ca="1">IFERROR(__xludf.DUMMYFUNCTION("IMPORTRANGE(""https://docs.google.com/spreadsheets/d/1lFxr3ctmjFN90yc-xV6jrQ9Ty8BKYVBWnAZ15wcNIJc/edit?usp=sharing"",""อำนาจเจริญ!I220"")"),1)</f>
        <v>1</v>
      </c>
      <c r="BM49" s="152">
        <f ca="1">IFERROR(__xludf.DUMMYFUNCTION("IMPORTRANGE(""https://docs.google.com/spreadsheets/d/1lFxr3ctmjFN90yc-xV6jrQ9Ty8BKYVBWnAZ15wcNIJc/edit?usp=sharing"",""อำนาจเจริญ!J220"")"),1)</f>
        <v>1</v>
      </c>
      <c r="BN49" s="216">
        <f t="shared" ca="1" si="126"/>
        <v>100</v>
      </c>
      <c r="BO49" s="152">
        <f ca="1">IFERROR(__xludf.DUMMYFUNCTION("IMPORTRANGE(""https://docs.google.com/spreadsheets/d/1lFxr3ctmjFN90yc-xV6jrQ9Ty8BKYVBWnAZ15wcNIJc/edit?usp=sharing"",""อำนาจเจริญ!L223"")"),2500)</f>
        <v>2500</v>
      </c>
      <c r="BP49" s="152">
        <f ca="1">IFERROR(__xludf.DUMMYFUNCTION("IMPORTRANGE(""https://docs.google.com/spreadsheets/d/1lFxr3ctmjFN90yc-xV6jrQ9Ty8BKYVBWnAZ15wcNIJc/edit?usp=sharing"",""อำนาจเจริญ!N223"")"),0)</f>
        <v>0</v>
      </c>
      <c r="BQ49" s="216">
        <f t="shared" ca="1" si="128"/>
        <v>0</v>
      </c>
      <c r="BR49" s="152">
        <f ca="1">IFERROR(__xludf.DUMMYFUNCTION("IMPORTRANGE(""https://docs.google.com/spreadsheets/d/1lFxr3ctmjFN90yc-xV6jrQ9Ty8BKYVBWnAZ15wcNIJc/edit?usp=sharing"",""อำนาจเจริญ!L224"")"),4000)</f>
        <v>4000</v>
      </c>
      <c r="BS49" s="152">
        <f ca="1">IFERROR(__xludf.DUMMYFUNCTION("IMPORTRANGE(""https://docs.google.com/spreadsheets/d/1lFxr3ctmjFN90yc-xV6jrQ9Ty8BKYVBWnAZ15wcNIJc/edit?usp=sharing"",""อำนาจเจริญ!N224"")"),4000)</f>
        <v>4000</v>
      </c>
      <c r="BT49" s="216">
        <f t="shared" ca="1" si="130"/>
        <v>100</v>
      </c>
      <c r="BU49" s="152">
        <f ca="1">IFERROR(__xludf.DUMMYFUNCTION("IMPORTRANGE(""https://docs.google.com/spreadsheets/d/1lFxr3ctmjFN90yc-xV6jrQ9Ty8BKYVBWnAZ15wcNIJc/edit?usp=sharing"",""อำนาจเจริญ!I228"")"),30000)</f>
        <v>30000</v>
      </c>
      <c r="BV49" s="152">
        <f ca="1">IFERROR(__xludf.DUMMYFUNCTION("IMPORTRANGE(""https://docs.google.com/spreadsheets/d/1lFxr3ctmjFN90yc-xV6jrQ9Ty8BKYVBWnAZ15wcNIJc/edit?usp=sharing"",""อำนาจเจริญ!J228"")"),30000)</f>
        <v>30000</v>
      </c>
      <c r="BW49" s="216">
        <f t="shared" ca="1" si="132"/>
        <v>100</v>
      </c>
      <c r="BX49" s="152">
        <f ca="1">IFERROR(__xludf.DUMMYFUNCTION("IMPORTRANGE(""https://docs.google.com/spreadsheets/d/1lFxr3ctmjFN90yc-xV6jrQ9Ty8BKYVBWnAZ15wcNIJc/edit?usp=sharing"",""อำนาจเจริญ!I229"")"),30000)</f>
        <v>30000</v>
      </c>
      <c r="BY49" s="152">
        <f ca="1">IFERROR(__xludf.DUMMYFUNCTION("IMPORTRANGE(""https://docs.google.com/spreadsheets/d/1lFxr3ctmjFN90yc-xV6jrQ9Ty8BKYVBWnAZ15wcNIJc/edit?usp=sharing"",""อำนาจเจริญ!J229"")"),30000)</f>
        <v>30000</v>
      </c>
      <c r="BZ49" s="216">
        <f t="shared" ca="1" si="134"/>
        <v>100</v>
      </c>
      <c r="CA49" s="152">
        <f ca="1">IFERROR(__xludf.DUMMYFUNCTION("IMPORTRANGE(""https://docs.google.com/spreadsheets/d/1lFxr3ctmjFN90yc-xV6jrQ9Ty8BKYVBWnAZ15wcNIJc/edit?usp=sharing"",""อำนาจเจริญ!I230"")"),0)</f>
        <v>0</v>
      </c>
      <c r="CB49" s="152">
        <f ca="1">IFERROR(__xludf.DUMMYFUNCTION("IMPORTRANGE(""https://docs.google.com/spreadsheets/d/1lFxr3ctmjFN90yc-xV6jrQ9Ty8BKYVBWnAZ15wcNIJc/edit?usp=sharing"",""อำนาจเจริญ!J230"")"),0)</f>
        <v>0</v>
      </c>
      <c r="CC49" s="216">
        <f t="shared" ca="1" si="136"/>
        <v>0</v>
      </c>
      <c r="CD49" s="152">
        <f ca="1">IFERROR(__xludf.DUMMYFUNCTION("IMPORTRANGE(""https://docs.google.com/spreadsheets/d/1lFxr3ctmjFN90yc-xV6jrQ9Ty8BKYVBWnAZ15wcNIJc/edit?usp=sharing"",""อำนาจเจริญ!L233"")"),0)</f>
        <v>0</v>
      </c>
      <c r="CE49" s="152">
        <f ca="1">IFERROR(__xludf.DUMMYFUNCTION("IMPORTRANGE(""https://docs.google.com/spreadsheets/d/1lFxr3ctmjFN90yc-xV6jrQ9Ty8BKYVBWnAZ15wcNIJc/edit?usp=sharing"",""อำนาจเจริญ!N233"")"),0)</f>
        <v>0</v>
      </c>
      <c r="CF49" s="216">
        <f t="shared" ca="1" si="138"/>
        <v>0</v>
      </c>
      <c r="CG49" s="152">
        <f ca="1">IFERROR(__xludf.DUMMYFUNCTION("IMPORTRANGE(""https://docs.google.com/spreadsheets/d/1lFxr3ctmjFN90yc-xV6jrQ9Ty8BKYVBWnAZ15wcNIJc/edit?usp=sharing"",""อำนาจเจริญ!L234"")"),0)</f>
        <v>0</v>
      </c>
      <c r="CH49" s="152">
        <f ca="1">IFERROR(__xludf.DUMMYFUNCTION("IMPORTRANGE(""https://docs.google.com/spreadsheets/d/1lFxr3ctmjFN90yc-xV6jrQ9Ty8BKYVBWnAZ15wcNIJc/edit?usp=sharing"",""อำนาจเจริญ!N234"")"),0)</f>
        <v>0</v>
      </c>
      <c r="CI49" s="216">
        <f t="shared" ca="1" si="140"/>
        <v>0</v>
      </c>
      <c r="CJ49" s="152">
        <f ca="1">IFERROR(__xludf.DUMMYFUNCTION("IMPORTRANGE(""https://docs.google.com/spreadsheets/d/1lFxr3ctmjFN90yc-xV6jrQ9Ty8BKYVBWnAZ15wcNIJc/edit?usp=sharing"",""อำนาจเจริญ!L235"")"),0)</f>
        <v>0</v>
      </c>
      <c r="CK49" s="152">
        <f ca="1">IFERROR(__xludf.DUMMYFUNCTION("IMPORTRANGE(""https://docs.google.com/spreadsheets/d/1lFxr3ctmjFN90yc-xV6jrQ9Ty8BKYVBWnAZ15wcNIJc/edit?usp=sharing"",""อำนาจเจริญ!N235"")"),0)</f>
        <v>0</v>
      </c>
      <c r="CL49" s="216">
        <f t="shared" ca="1" si="142"/>
        <v>0</v>
      </c>
      <c r="CM49" s="251">
        <f ca="1">IFERROR(__xludf.DUMMYFUNCTION("IMPORTRANGE(""https://docs.google.com/spreadsheets/d/1lFxr3ctmjFN90yc-xV6jrQ9Ty8BKYVBWnAZ15wcNIJc/edit?usp=sharing"",""อำนาจเจริญ!Q235"")"),0)</f>
        <v>0</v>
      </c>
      <c r="CN49" s="251">
        <f ca="1">IFERROR(__xludf.DUMMYFUNCTION("IMPORTRANGE(""https://docs.google.com/spreadsheets/d/1lFxr3ctmjFN90yc-xV6jrQ9Ty8BKYVBWnAZ15wcNIJc/edit?usp=sharing"",""อำนาจเจริญ!S235"")"),0)</f>
        <v>0</v>
      </c>
      <c r="CO49" s="216">
        <f t="shared" ca="1" si="144"/>
        <v>0</v>
      </c>
      <c r="CP49" s="152">
        <f ca="1">IFERROR(__xludf.DUMMYFUNCTION("IMPORTRANGE(""https://docs.google.com/spreadsheets/d/1lFxr3ctmjFN90yc-xV6jrQ9Ty8BKYVBWnAZ15wcNIJc/edit?usp=sharing"",""อำนาจเจริญ!L236"")"),0)</f>
        <v>0</v>
      </c>
      <c r="CQ49" s="152">
        <f ca="1">IFERROR(__xludf.DUMMYFUNCTION("IMPORTRANGE(""https://docs.google.com/spreadsheets/d/1lFxr3ctmjFN90yc-xV6jrQ9Ty8BKYVBWnAZ15wcNIJc/edit?usp=sharing"",""อำนาจเจริญ!N236"")"),0)</f>
        <v>0</v>
      </c>
      <c r="CR49" s="216">
        <f t="shared" ca="1" si="146"/>
        <v>0</v>
      </c>
      <c r="CS49" s="152">
        <f ca="1">IFERROR(__xludf.DUMMYFUNCTION("IMPORTRANGE(""https://docs.google.com/spreadsheets/d/1lFxr3ctmjFN90yc-xV6jrQ9Ty8BKYVBWnAZ15wcNIJc/edit?usp=sharing"",""อำนาจเจริญ!I238"")"),0)</f>
        <v>0</v>
      </c>
      <c r="CT49" s="152">
        <f ca="1">IFERROR(__xludf.DUMMYFUNCTION("IMPORTRANGE(""https://docs.google.com/spreadsheets/d/1lFxr3ctmjFN90yc-xV6jrQ9Ty8BKYVBWnAZ15wcNIJc/edit?usp=sharing"",""อำนาจเจริญ!J238"")"),0)</f>
        <v>0</v>
      </c>
      <c r="CU49" s="216">
        <f t="shared" ca="1" si="148"/>
        <v>0</v>
      </c>
      <c r="CV49" s="152">
        <f ca="1">IFERROR(__xludf.DUMMYFUNCTION("IMPORTRANGE(""https://docs.google.com/spreadsheets/d/1lFxr3ctmjFN90yc-xV6jrQ9Ty8BKYVBWnAZ15wcNIJc/edit?usp=sharing"",""อำนาจเจริญ!J240"")"),0)</f>
        <v>0</v>
      </c>
      <c r="CW49" s="152">
        <f ca="1">IFERROR(__xludf.DUMMYFUNCTION("IMPORTRANGE(""https://docs.google.com/spreadsheets/d/1lFxr3ctmjFN90yc-xV6jrQ9Ty8BKYVBWnAZ15wcNIJc/edit?usp=sharing"",""อำนาจเจริญ!J241"")"),0)</f>
        <v>0</v>
      </c>
    </row>
    <row r="50" spans="1:101" ht="21" customHeight="1" x14ac:dyDescent="0.3">
      <c r="A50" s="147">
        <v>19</v>
      </c>
      <c r="B50" s="148" t="s">
        <v>78</v>
      </c>
      <c r="C50" s="149">
        <f t="shared" ca="1" si="90"/>
        <v>38500</v>
      </c>
      <c r="D50" s="150">
        <f t="shared" ca="1" si="178"/>
        <v>38500</v>
      </c>
      <c r="E50" s="151">
        <f ca="1">IFERROR(__xludf.DUMMYFUNCTION("IMPORTRANGE(""https://docs.google.com/spreadsheets/d/1-uDff_7J0KD5mKrp0Vvzr7lt3OU09vwQwhkpOPPYv2Y/edit?usp=sharing"",""งบพรบ!CV50"")"),0)</f>
        <v>0</v>
      </c>
      <c r="F50" s="151">
        <f ca="1">IFERROR(__xludf.DUMMYFUNCTION("IMPORTRANGE(""https://docs.google.com/spreadsheets/d/1-uDff_7J0KD5mKrp0Vvzr7lt3OU09vwQwhkpOPPYv2Y/edit?usp=sharing"",""งบพรบ!CW50"")"),38500)</f>
        <v>38500</v>
      </c>
      <c r="G50" s="151">
        <f ca="1">IFERROR(__xludf.DUMMYFUNCTION("IMPORTRANGE(""https://docs.google.com/spreadsheets/d/1-uDff_7J0KD5mKrp0Vvzr7lt3OU09vwQwhkpOPPYv2Y/edit?usp=sharing"",""งบพรบ!CX50"")"),0)</f>
        <v>0</v>
      </c>
      <c r="H50" s="151">
        <f ca="1">IFERROR(__xludf.DUMMYFUNCTION("IMPORTRANGE(""https://docs.google.com/spreadsheets/d/1-uDff_7J0KD5mKrp0Vvzr7lt3OU09vwQwhkpOPPYv2Y/edit?usp=sharing"",""งบพรบ!CZ50"")"),40500)</f>
        <v>40500</v>
      </c>
      <c r="I50" s="151">
        <f ca="1">IFERROR(__xludf.DUMMYFUNCTION("IMPORTRANGE(""https://docs.google.com/spreadsheets/d/1-uDff_7J0KD5mKrp0Vvzr7lt3OU09vwQwhkpOPPYv2Y/edit?usp=sharing"",""งบพรบ!DA50"")"),0)</f>
        <v>0</v>
      </c>
      <c r="J50" s="151">
        <f t="shared" ca="1" si="92"/>
        <v>27475</v>
      </c>
      <c r="K50" s="154">
        <f t="shared" ca="1" si="93"/>
        <v>71.36363636363636</v>
      </c>
      <c r="L50" s="151">
        <f ca="1">IFERROR(__xludf.DUMMYFUNCTION("IMPORTRANGE(""https://docs.google.com/spreadsheets/d/1-uDff_7J0KD5mKrp0Vvzr7lt3OU09vwQwhkpOPPYv2Y/edit?usp=sharing"",""งบพรบ!DB50"")"),27475)</f>
        <v>27475</v>
      </c>
      <c r="M50" s="68">
        <f t="shared" ca="1" si="94"/>
        <v>71.36363636363636</v>
      </c>
      <c r="N50" s="68">
        <f t="shared" ca="1" si="95"/>
        <v>67.839506172839506</v>
      </c>
      <c r="O50" s="67">
        <f ca="1">IFERROR(__xludf.DUMMYFUNCTION("IMPORTRANGE(""https://docs.google.com/spreadsheets/d/1-uDff_7J0KD5mKrp0Vvzr7lt3OU09vwQwhkpOPPYv2Y/edit?usp=sharing"",""งบพรบ!DC50"")"),0)</f>
        <v>0</v>
      </c>
      <c r="P50" s="67">
        <f t="shared" ca="1" si="96"/>
        <v>0</v>
      </c>
      <c r="Q50" s="68">
        <f t="shared" ca="1" si="97"/>
        <v>0</v>
      </c>
      <c r="R50" s="67">
        <f ca="1">IFERROR(__xludf.DUMMYFUNCTION("IMPORTRANGE(""https://docs.google.com/spreadsheets/d/1gF7RJpRnL-1oyjyeWxs5SFWEH7y8ahOZsQlyp2A2e-A/edit?usp=sharing"",""อุดรธานี!Q186"")"),177100)</f>
        <v>177100</v>
      </c>
      <c r="S50" s="67">
        <f ca="1">IFERROR(__xludf.DUMMYFUNCTION("IMPORTRANGE(""https://docs.google.com/spreadsheets/d/1gF7RJpRnL-1oyjyeWxs5SFWEH7y8ahOZsQlyp2A2e-A/edit?usp=sharing"",""อุดรธานี!R186"")"),177100)</f>
        <v>177100</v>
      </c>
      <c r="T50" s="67">
        <f ca="1">IFERROR(__xludf.DUMMYFUNCTION("IMPORTRANGE(""https://docs.google.com/spreadsheets/d/1gF7RJpRnL-1oyjyeWxs5SFWEH7y8ahOZsQlyp2A2e-A/edit?usp=sharing"",""อุดรธานี!S186"")"),166791)</f>
        <v>166791</v>
      </c>
      <c r="U50" s="68">
        <f t="shared" ca="1" si="99"/>
        <v>94.178994918125355</v>
      </c>
      <c r="V50" s="68">
        <f t="shared" ca="1" si="100"/>
        <v>94.178994918125355</v>
      </c>
      <c r="W50" s="152">
        <f ca="1">IFERROR(__xludf.DUMMYFUNCTION("IMPORTRANGE(""https://docs.google.com/spreadsheets/d/1gF7RJpRnL-1oyjyeWxs5SFWEH7y8ahOZsQlyp2A2e-A/edit?usp=sharing"",""อุดรธานี!L196"")"),6000)</f>
        <v>6000</v>
      </c>
      <c r="X50" s="152">
        <f ca="1">IFERROR(__xludf.DUMMYFUNCTION("IMPORTRANGE(""https://docs.google.com/spreadsheets/d/1gF7RJpRnL-1oyjyeWxs5SFWEH7y8ahOZsQlyp2A2e-A/edit?usp=sharing"",""อุดรธานี!N196"")"),0)</f>
        <v>0</v>
      </c>
      <c r="Y50" s="216">
        <f t="shared" ca="1" si="102"/>
        <v>0</v>
      </c>
      <c r="Z50" s="152">
        <f ca="1">IFERROR(__xludf.DUMMYFUNCTION("IMPORTRANGE(""https://docs.google.com/spreadsheets/d/1gF7RJpRnL-1oyjyeWxs5SFWEH7y8ahOZsQlyp2A2e-A/edit?usp=sharing"",""อุดรธานี!I198"")"),4)</f>
        <v>4</v>
      </c>
      <c r="AA50" s="152">
        <f ca="1">IFERROR(__xludf.DUMMYFUNCTION("IMPORTRANGE(""https://docs.google.com/spreadsheets/d/1gF7RJpRnL-1oyjyeWxs5SFWEH7y8ahOZsQlyp2A2e-A/edit?usp=sharing"",""อุดรธานี!J198"")"),3)</f>
        <v>3</v>
      </c>
      <c r="AB50" s="216">
        <f t="shared" ca="1" si="104"/>
        <v>75</v>
      </c>
      <c r="AC50" s="152">
        <f ca="1">IFERROR(__xludf.DUMMYFUNCTION("IMPORTRANGE(""https://docs.google.com/spreadsheets/d/1gF7RJpRnL-1oyjyeWxs5SFWEH7y8ahOZsQlyp2A2e-A/edit?usp=sharing"",""อุดรธานี!J199"")"),0)</f>
        <v>0</v>
      </c>
      <c r="AD50" s="152">
        <f ca="1">IFERROR(__xludf.DUMMYFUNCTION("IMPORTRANGE(""https://docs.google.com/spreadsheets/d/1gF7RJpRnL-1oyjyeWxs5SFWEH7y8ahOZsQlyp2A2e-A/edit?usp=sharing"",""อุดรธานี!J200"")"),0)</f>
        <v>0</v>
      </c>
      <c r="AE50" s="152">
        <f ca="1">IFERROR(__xludf.DUMMYFUNCTION("IMPORTRANGE(""https://docs.google.com/spreadsheets/d/1gF7RJpRnL-1oyjyeWxs5SFWEH7y8ahOZsQlyp2A2e-A/edit?usp=sharing"",""อุดรธานี!J201"")"),0)</f>
        <v>0</v>
      </c>
      <c r="AF50" s="152">
        <f ca="1">IFERROR(__xludf.DUMMYFUNCTION("IMPORTRANGE(""https://docs.google.com/spreadsheets/d/1gF7RJpRnL-1oyjyeWxs5SFWEH7y8ahOZsQlyp2A2e-A/edit?usp=sharing"",""อุดรธานี!L204"")"),2000)</f>
        <v>2000</v>
      </c>
      <c r="AG50" s="152">
        <f ca="1">IFERROR(__xludf.DUMMYFUNCTION("IMPORTRANGE(""https://docs.google.com/spreadsheets/d/1gF7RJpRnL-1oyjyeWxs5SFWEH7y8ahOZsQlyp2A2e-A/edit?usp=sharing"",""อุดรธานี!N204"")"),0)</f>
        <v>0</v>
      </c>
      <c r="AH50" s="216">
        <f t="shared" ca="1" si="106"/>
        <v>0</v>
      </c>
      <c r="AI50" s="152">
        <f ca="1">IFERROR(__xludf.DUMMYFUNCTION("IMPORTRANGE(""https://docs.google.com/spreadsheets/d/1gF7RJpRnL-1oyjyeWxs5SFWEH7y8ahOZsQlyp2A2e-A/edit?usp=sharing"",""อุดรธานี!L206"")"),0)</f>
        <v>0</v>
      </c>
      <c r="AJ50" s="152">
        <f ca="1">IFERROR(__xludf.DUMMYFUNCTION("IMPORTRANGE(""https://docs.google.com/spreadsheets/d/1gF7RJpRnL-1oyjyeWxs5SFWEH7y8ahOZsQlyp2A2e-A/edit?usp=sharing"",""อุดรธานี!N206"")"),0)</f>
        <v>0</v>
      </c>
      <c r="AK50" s="216">
        <f t="shared" ca="1" si="108"/>
        <v>0</v>
      </c>
      <c r="AL50" s="152">
        <f ca="1">IFERROR(__xludf.DUMMYFUNCTION("IMPORTRANGE(""https://docs.google.com/spreadsheets/d/1gF7RJpRnL-1oyjyeWxs5SFWEH7y8ahOZsQlyp2A2e-A/edit?usp=sharing"",""อุดรธานี!Q206"")"),28000)</f>
        <v>28000</v>
      </c>
      <c r="AM50" s="152">
        <f ca="1">IFERROR(__xludf.DUMMYFUNCTION("IMPORTRANGE(""https://docs.google.com/spreadsheets/d/1gF7RJpRnL-1oyjyeWxs5SFWEH7y8ahOZsQlyp2A2e-A/edit?usp=sharing"",""อุดรธานี!S206"")"),28000)</f>
        <v>28000</v>
      </c>
      <c r="AN50" s="216">
        <f t="shared" ca="1" si="110"/>
        <v>100</v>
      </c>
      <c r="AO50" s="152">
        <f ca="1">IFERROR(__xludf.DUMMYFUNCTION("IMPORTRANGE(""https://docs.google.com/spreadsheets/d/1gF7RJpRnL-1oyjyeWxs5SFWEH7y8ahOZsQlyp2A2e-A/edit?usp=sharing"",""อุดรธานี!L207"")"),8000)</f>
        <v>8000</v>
      </c>
      <c r="AP50" s="152">
        <f ca="1">IFERROR(__xludf.DUMMYFUNCTION("IMPORTRANGE(""https://docs.google.com/spreadsheets/d/1gF7RJpRnL-1oyjyeWxs5SFWEH7y8ahOZsQlyp2A2e-A/edit?usp=sharing"",""อุดรธานี!N207"")"),0)</f>
        <v>0</v>
      </c>
      <c r="AQ50" s="216">
        <f t="shared" ca="1" si="112"/>
        <v>0</v>
      </c>
      <c r="AR50" s="152">
        <f ca="1">IFERROR(__xludf.DUMMYFUNCTION("IMPORTRANGE(""https://docs.google.com/spreadsheets/d/1gF7RJpRnL-1oyjyeWxs5SFWEH7y8ahOZsQlyp2A2e-A/edit?usp=sharing"",""อุดรธานี!I209"")"),2)</f>
        <v>2</v>
      </c>
      <c r="AS50" s="152">
        <f ca="1">IFERROR(__xludf.DUMMYFUNCTION("IMPORTRANGE(""https://docs.google.com/spreadsheets/d/1gF7RJpRnL-1oyjyeWxs5SFWEH7y8ahOZsQlyp2A2e-A/edit?usp=sharing"",""อุดรธานี!J209"")"),2)</f>
        <v>2</v>
      </c>
      <c r="AT50" s="216">
        <f t="shared" ca="1" si="114"/>
        <v>100</v>
      </c>
      <c r="AU50" s="152">
        <f ca="1">IFERROR(__xludf.DUMMYFUNCTION("IMPORTRANGE(""https://docs.google.com/spreadsheets/d/1gF7RJpRnL-1oyjyeWxs5SFWEH7y8ahOZsQlyp2A2e-A/edit?usp=sharing"",""อุดรธานี!J211"")"),0)</f>
        <v>0</v>
      </c>
      <c r="AV50" s="152">
        <f ca="1">IFERROR(__xludf.DUMMYFUNCTION("IMPORTRANGE(""https://docs.google.com/spreadsheets/d/1gF7RJpRnL-1oyjyeWxs5SFWEH7y8ahOZsQlyp2A2e-A/edit?usp=sharing"",""อุดรธานี!J212"")"),0)</f>
        <v>0</v>
      </c>
      <c r="AW50" s="152">
        <f ca="1">IFERROR(__xludf.DUMMYFUNCTION("IMPORTRANGE(""https://docs.google.com/spreadsheets/d/1gF7RJpRnL-1oyjyeWxs5SFWEH7y8ahOZsQlyp2A2e-A/edit?usp=sharing"",""อุดรธานี!L215"")"),3000)</f>
        <v>3000</v>
      </c>
      <c r="AX50" s="152">
        <f ca="1">IFERROR(__xludf.DUMMYFUNCTION("IMPORTRANGE(""https://docs.google.com/spreadsheets/d/1gF7RJpRnL-1oyjyeWxs5SFWEH7y8ahOZsQlyp2A2e-A/edit?usp=sharing"",""อุดรธานี!N215"")"),2170)</f>
        <v>2170</v>
      </c>
      <c r="AY50" s="216">
        <f t="shared" ca="1" si="116"/>
        <v>72.333333333333329</v>
      </c>
      <c r="AZ50" s="152">
        <f ca="1">IFERROR(__xludf.DUMMYFUNCTION("IMPORTRANGE(""https://docs.google.com/spreadsheets/d/1gF7RJpRnL-1oyjyeWxs5SFWEH7y8ahOZsQlyp2A2e-A/edit?usp=sharing"",""อุดรธานี!L216"")"),15000)</f>
        <v>15000</v>
      </c>
      <c r="BA50" s="152">
        <f ca="1">IFERROR(__xludf.DUMMYFUNCTION("IMPORTRANGE(""https://docs.google.com/spreadsheets/d/1gF7RJpRnL-1oyjyeWxs5SFWEH7y8ahOZsQlyp2A2e-A/edit?usp=sharing"",""อุดรธานี!N216"")"),0)</f>
        <v>0</v>
      </c>
      <c r="BB50" s="216">
        <f t="shared" ca="1" si="118"/>
        <v>0</v>
      </c>
      <c r="BC50" s="152">
        <f ca="1">IFERROR(__xludf.DUMMYFUNCTION("IMPORTRANGE(""https://docs.google.com/spreadsheets/d/1gF7RJpRnL-1oyjyeWxs5SFWEH7y8ahOZsQlyp2A2e-A/edit?usp=sharing"",""อุดรธานี!L217"")"),0)</f>
        <v>0</v>
      </c>
      <c r="BD50" s="152">
        <f ca="1">IFERROR(__xludf.DUMMYFUNCTION("IMPORTRANGE(""https://docs.google.com/spreadsheets/d/1gF7RJpRnL-1oyjyeWxs5SFWEH7y8ahOZsQlyp2A2e-A/edit?usp=sharing"",""อุดรธานี!N217"")"),0)</f>
        <v>0</v>
      </c>
      <c r="BE50" s="216">
        <f t="shared" ca="1" si="120"/>
        <v>0</v>
      </c>
      <c r="BF50" s="152">
        <f ca="1">IFERROR(__xludf.DUMMYFUNCTION("IMPORTRANGE(""https://docs.google.com/spreadsheets/d/1gF7RJpRnL-1oyjyeWxs5SFWEH7y8ahOZsQlyp2A2e-A/edit?usp=sharing"",""อุดรธานี!Q217"")"),149100)</f>
        <v>149100</v>
      </c>
      <c r="BG50" s="152">
        <f ca="1">IFERROR(__xludf.DUMMYFUNCTION("IMPORTRANGE(""https://docs.google.com/spreadsheets/d/1gF7RJpRnL-1oyjyeWxs5SFWEH7y8ahOZsQlyp2A2e-A/edit?usp=sharing"",""อุดรธานี!S217"")"),138791)</f>
        <v>138791</v>
      </c>
      <c r="BH50" s="216">
        <f t="shared" ca="1" si="122"/>
        <v>93.085848423876598</v>
      </c>
      <c r="BI50" s="152">
        <f ca="1">IFERROR(__xludf.DUMMYFUNCTION("IMPORTRANGE(""https://docs.google.com/spreadsheets/d/1gF7RJpRnL-1oyjyeWxs5SFWEH7y8ahOZsQlyp2A2e-A/edit?usp=sharing"",""อุดรธานี!I219"")"),3)</f>
        <v>3</v>
      </c>
      <c r="BJ50" s="152">
        <f ca="1">IFERROR(__xludf.DUMMYFUNCTION("IMPORTRANGE(""https://docs.google.com/spreadsheets/d/1gF7RJpRnL-1oyjyeWxs5SFWEH7y8ahOZsQlyp2A2e-A/edit?usp=sharing"",""อุดรธานี!J219"")"),0)</f>
        <v>0</v>
      </c>
      <c r="BK50" s="216">
        <f t="shared" ca="1" si="124"/>
        <v>0</v>
      </c>
      <c r="BL50" s="152">
        <f ca="1">IFERROR(__xludf.DUMMYFUNCTION("IMPORTRANGE(""https://docs.google.com/spreadsheets/d/1gF7RJpRnL-1oyjyeWxs5SFWEH7y8ahOZsQlyp2A2e-A/edit?usp=sharing"",""อุดรธานี!I220"")"),3)</f>
        <v>3</v>
      </c>
      <c r="BM50" s="152">
        <f ca="1">IFERROR(__xludf.DUMMYFUNCTION("IMPORTRANGE(""https://docs.google.com/spreadsheets/d/1gF7RJpRnL-1oyjyeWxs5SFWEH7y8ahOZsQlyp2A2e-A/edit?usp=sharing"",""อุดรธานี!J220"")"),3)</f>
        <v>3</v>
      </c>
      <c r="BN50" s="216">
        <f t="shared" ca="1" si="126"/>
        <v>100</v>
      </c>
      <c r="BO50" s="152">
        <f ca="1">IFERROR(__xludf.DUMMYFUNCTION("IMPORTRANGE(""https://docs.google.com/spreadsheets/d/1gF7RJpRnL-1oyjyeWxs5SFWEH7y8ahOZsQlyp2A2e-A/edit?usp=sharing"",""อุดรธานี!L223"")"),2500)</f>
        <v>2500</v>
      </c>
      <c r="BP50" s="152">
        <f ca="1">IFERROR(__xludf.DUMMYFUNCTION("IMPORTRANGE(""https://docs.google.com/spreadsheets/d/1gF7RJpRnL-1oyjyeWxs5SFWEH7y8ahOZsQlyp2A2e-A/edit?usp=sharing"",""อุดรธานี!N223"")"),2500)</f>
        <v>2500</v>
      </c>
      <c r="BQ50" s="216">
        <f t="shared" ca="1" si="128"/>
        <v>100</v>
      </c>
      <c r="BR50" s="152">
        <f ca="1">IFERROR(__xludf.DUMMYFUNCTION("IMPORTRANGE(""https://docs.google.com/spreadsheets/d/1gF7RJpRnL-1oyjyeWxs5SFWEH7y8ahOZsQlyp2A2e-A/edit?usp=sharing"",""อุดรธานี!L224"")"),2000)</f>
        <v>2000</v>
      </c>
      <c r="BS50" s="152">
        <f ca="1">IFERROR(__xludf.DUMMYFUNCTION("IMPORTRANGE(""https://docs.google.com/spreadsheets/d/1gF7RJpRnL-1oyjyeWxs5SFWEH7y8ahOZsQlyp2A2e-A/edit?usp=sharing"",""อุดรธานี!N224"")"),2000)</f>
        <v>2000</v>
      </c>
      <c r="BT50" s="216">
        <f t="shared" ca="1" si="130"/>
        <v>100</v>
      </c>
      <c r="BU50" s="152">
        <f ca="1">IFERROR(__xludf.DUMMYFUNCTION("IMPORTRANGE(""https://docs.google.com/spreadsheets/d/1gF7RJpRnL-1oyjyeWxs5SFWEH7y8ahOZsQlyp2A2e-A/edit?usp=sharing"",""อุดรธานี!I228"")"),10000)</f>
        <v>10000</v>
      </c>
      <c r="BV50" s="152">
        <f ca="1">IFERROR(__xludf.DUMMYFUNCTION("IMPORTRANGE(""https://docs.google.com/spreadsheets/d/1gF7RJpRnL-1oyjyeWxs5SFWEH7y8ahOZsQlyp2A2e-A/edit?usp=sharing"",""อุดรธานี!J228"")"),10000)</f>
        <v>10000</v>
      </c>
      <c r="BW50" s="216">
        <f t="shared" ca="1" si="132"/>
        <v>100</v>
      </c>
      <c r="BX50" s="152">
        <f ca="1">IFERROR(__xludf.DUMMYFUNCTION("IMPORTRANGE(""https://docs.google.com/spreadsheets/d/1gF7RJpRnL-1oyjyeWxs5SFWEH7y8ahOZsQlyp2A2e-A/edit?usp=sharing"",""อุดรธานี!I229"")"),10000)</f>
        <v>10000</v>
      </c>
      <c r="BY50" s="152">
        <f ca="1">IFERROR(__xludf.DUMMYFUNCTION("IMPORTRANGE(""https://docs.google.com/spreadsheets/d/1gF7RJpRnL-1oyjyeWxs5SFWEH7y8ahOZsQlyp2A2e-A/edit?usp=sharing"",""อุดรธานี!J229"")"),10000)</f>
        <v>10000</v>
      </c>
      <c r="BZ50" s="216">
        <f t="shared" ca="1" si="134"/>
        <v>100</v>
      </c>
      <c r="CA50" s="152">
        <f ca="1">IFERROR(__xludf.DUMMYFUNCTION("IMPORTRANGE(""https://docs.google.com/spreadsheets/d/1gF7RJpRnL-1oyjyeWxs5SFWEH7y8ahOZsQlyp2A2e-A/edit?usp=sharing"",""อุดรธานี!I230"")"),0)</f>
        <v>0</v>
      </c>
      <c r="CB50" s="152">
        <f ca="1">IFERROR(__xludf.DUMMYFUNCTION("IMPORTRANGE(""https://docs.google.com/spreadsheets/d/1gF7RJpRnL-1oyjyeWxs5SFWEH7y8ahOZsQlyp2A2e-A/edit?usp=sharing"",""อุดรธานี!J230"")"),0)</f>
        <v>0</v>
      </c>
      <c r="CC50" s="216">
        <f t="shared" ca="1" si="136"/>
        <v>0</v>
      </c>
      <c r="CD50" s="152">
        <f ca="1">IFERROR(__xludf.DUMMYFUNCTION("IMPORTRANGE(""https://docs.google.com/spreadsheets/d/1gF7RJpRnL-1oyjyeWxs5SFWEH7y8ahOZsQlyp2A2e-A/edit?usp=sharing"",""อุดรธานี!L233"")"),0)</f>
        <v>0</v>
      </c>
      <c r="CE50" s="152">
        <f ca="1">IFERROR(__xludf.DUMMYFUNCTION("IMPORTRANGE(""https://docs.google.com/spreadsheets/d/1gF7RJpRnL-1oyjyeWxs5SFWEH7y8ahOZsQlyp2A2e-A/edit?usp=sharing"",""อุดรธานี!N233"")"),0)</f>
        <v>0</v>
      </c>
      <c r="CF50" s="216">
        <f t="shared" ca="1" si="138"/>
        <v>0</v>
      </c>
      <c r="CG50" s="152">
        <f ca="1">IFERROR(__xludf.DUMMYFUNCTION("IMPORTRANGE(""https://docs.google.com/spreadsheets/d/1gF7RJpRnL-1oyjyeWxs5SFWEH7y8ahOZsQlyp2A2e-A/edit?usp=sharing"",""อุดรธานี!L234"")"),0)</f>
        <v>0</v>
      </c>
      <c r="CH50" s="152">
        <f ca="1">IFERROR(__xludf.DUMMYFUNCTION("IMPORTRANGE(""https://docs.google.com/spreadsheets/d/1gF7RJpRnL-1oyjyeWxs5SFWEH7y8ahOZsQlyp2A2e-A/edit?usp=sharing"",""อุดรธานี!N234"")"),0)</f>
        <v>0</v>
      </c>
      <c r="CI50" s="216">
        <f t="shared" ca="1" si="140"/>
        <v>0</v>
      </c>
      <c r="CJ50" s="152">
        <f ca="1">IFERROR(__xludf.DUMMYFUNCTION("IMPORTRANGE(""https://docs.google.com/spreadsheets/d/1gF7RJpRnL-1oyjyeWxs5SFWEH7y8ahOZsQlyp2A2e-A/edit?usp=sharing"",""อุดรธานี!L235"")"),0)</f>
        <v>0</v>
      </c>
      <c r="CK50" s="152">
        <f ca="1">IFERROR(__xludf.DUMMYFUNCTION("IMPORTRANGE(""https://docs.google.com/spreadsheets/d/1gF7RJpRnL-1oyjyeWxs5SFWEH7y8ahOZsQlyp2A2e-A/edit?usp=sharing"",""อุดรธานี!N235"")"),0)</f>
        <v>0</v>
      </c>
      <c r="CL50" s="216">
        <f t="shared" ca="1" si="142"/>
        <v>0</v>
      </c>
      <c r="CM50" s="251">
        <f ca="1">IFERROR(__xludf.DUMMYFUNCTION("IMPORTRANGE(""https://docs.google.com/spreadsheets/d/1gF7RJpRnL-1oyjyeWxs5SFWEH7y8ahOZsQlyp2A2e-A/edit?usp=sharing"",""อุดรธานี!Q235"")"),0)</f>
        <v>0</v>
      </c>
      <c r="CN50" s="251">
        <f ca="1">IFERROR(__xludf.DUMMYFUNCTION("IMPORTRANGE(""https://docs.google.com/spreadsheets/d/1gF7RJpRnL-1oyjyeWxs5SFWEH7y8ahOZsQlyp2A2e-A/edit?usp=sharing"",""อุดรธานี!S235"")"),0)</f>
        <v>0</v>
      </c>
      <c r="CO50" s="216">
        <f t="shared" ca="1" si="144"/>
        <v>0</v>
      </c>
      <c r="CP50" s="152">
        <f ca="1">IFERROR(__xludf.DUMMYFUNCTION("IMPORTRANGE(""https://docs.google.com/spreadsheets/d/1gF7RJpRnL-1oyjyeWxs5SFWEH7y8ahOZsQlyp2A2e-A/edit?usp=sharing"",""อุดรธานี!L236"")"),0)</f>
        <v>0</v>
      </c>
      <c r="CQ50" s="152">
        <f ca="1">IFERROR(__xludf.DUMMYFUNCTION("IMPORTRANGE(""https://docs.google.com/spreadsheets/d/1gF7RJpRnL-1oyjyeWxs5SFWEH7y8ahOZsQlyp2A2e-A/edit?usp=sharing"",""อุดรธานี!N236"")"),0)</f>
        <v>0</v>
      </c>
      <c r="CR50" s="216">
        <f t="shared" ca="1" si="146"/>
        <v>0</v>
      </c>
      <c r="CS50" s="152">
        <f ca="1">IFERROR(__xludf.DUMMYFUNCTION("IMPORTRANGE(""https://docs.google.com/spreadsheets/d/1gF7RJpRnL-1oyjyeWxs5SFWEH7y8ahOZsQlyp2A2e-A/edit?usp=sharing"",""อุดรธานี!I238"")"),0)</f>
        <v>0</v>
      </c>
      <c r="CT50" s="152">
        <f ca="1">IFERROR(__xludf.DUMMYFUNCTION("IMPORTRANGE(""https://docs.google.com/spreadsheets/d/1gF7RJpRnL-1oyjyeWxs5SFWEH7y8ahOZsQlyp2A2e-A/edit?usp=sharing"",""อุดรธานี!J238"")"),0)</f>
        <v>0</v>
      </c>
      <c r="CU50" s="216">
        <f t="shared" ca="1" si="148"/>
        <v>0</v>
      </c>
      <c r="CV50" s="152">
        <f ca="1">IFERROR(__xludf.DUMMYFUNCTION("IMPORTRANGE(""https://docs.google.com/spreadsheets/d/1gF7RJpRnL-1oyjyeWxs5SFWEH7y8ahOZsQlyp2A2e-A/edit?usp=sharing"",""อุดรธานี!J240"")"),0)</f>
        <v>0</v>
      </c>
      <c r="CW50" s="152">
        <f ca="1">IFERROR(__xludf.DUMMYFUNCTION("IMPORTRANGE(""https://docs.google.com/spreadsheets/d/1gF7RJpRnL-1oyjyeWxs5SFWEH7y8ahOZsQlyp2A2e-A/edit?usp=sharing"",""อุดรธานี!J241"")"),0)</f>
        <v>0</v>
      </c>
    </row>
    <row r="51" spans="1:101" ht="21" customHeight="1" x14ac:dyDescent="0.3">
      <c r="A51" s="155">
        <v>20</v>
      </c>
      <c r="B51" s="156" t="s">
        <v>79</v>
      </c>
      <c r="C51" s="157">
        <f t="shared" ca="1" si="90"/>
        <v>465500</v>
      </c>
      <c r="D51" s="158">
        <f t="shared" ca="1" si="178"/>
        <v>465500</v>
      </c>
      <c r="E51" s="159">
        <f ca="1">IFERROR(__xludf.DUMMYFUNCTION("IMPORTRANGE(""https://docs.google.com/spreadsheets/d/1-uDff_7J0KD5mKrp0Vvzr7lt3OU09vwQwhkpOPPYv2Y/edit?usp=sharing"",""งบพรบ!CV51"")"),182000)</f>
        <v>182000</v>
      </c>
      <c r="F51" s="159">
        <f ca="1">IFERROR(__xludf.DUMMYFUNCTION("IMPORTRANGE(""https://docs.google.com/spreadsheets/d/1-uDff_7J0KD5mKrp0Vvzr7lt3OU09vwQwhkpOPPYv2Y/edit?usp=sharing"",""งบพรบ!CW51"")"),283500)</f>
        <v>283500</v>
      </c>
      <c r="G51" s="159">
        <f ca="1">IFERROR(__xludf.DUMMYFUNCTION("IMPORTRANGE(""https://docs.google.com/spreadsheets/d/1-uDff_7J0KD5mKrp0Vvzr7lt3OU09vwQwhkpOPPYv2Y/edit?usp=sharing"",""งบพรบ!CX51"")"),0)</f>
        <v>0</v>
      </c>
      <c r="H51" s="159">
        <f ca="1">IFERROR(__xludf.DUMMYFUNCTION("IMPORTRANGE(""https://docs.google.com/spreadsheets/d/1-uDff_7J0KD5mKrp0Vvzr7lt3OU09vwQwhkpOPPYv2Y/edit?usp=sharing"",""งบพรบ!CZ51"")"),486260)</f>
        <v>486260</v>
      </c>
      <c r="I51" s="159">
        <f ca="1">IFERROR(__xludf.DUMMYFUNCTION("IMPORTRANGE(""https://docs.google.com/spreadsheets/d/1-uDff_7J0KD5mKrp0Vvzr7lt3OU09vwQwhkpOPPYv2Y/edit?usp=sharing"",""งบพรบ!DA51"")"),0)</f>
        <v>0</v>
      </c>
      <c r="J51" s="159">
        <f t="shared" ca="1" si="92"/>
        <v>432607.8</v>
      </c>
      <c r="K51" s="160">
        <f t="shared" ca="1" si="93"/>
        <v>92.934006444683135</v>
      </c>
      <c r="L51" s="159">
        <f ca="1">IFERROR(__xludf.DUMMYFUNCTION("IMPORTRANGE(""https://docs.google.com/spreadsheets/d/1-uDff_7J0KD5mKrp0Vvzr7lt3OU09vwQwhkpOPPYv2Y/edit?usp=sharing"",""งบพรบ!DB51"")"),432607.8)</f>
        <v>432607.8</v>
      </c>
      <c r="M51" s="89">
        <f t="shared" ca="1" si="94"/>
        <v>92.934006444683135</v>
      </c>
      <c r="N51" s="89">
        <f t="shared" ca="1" si="95"/>
        <v>88.966355447702881</v>
      </c>
      <c r="O51" s="88">
        <f ca="1">IFERROR(__xludf.DUMMYFUNCTION("IMPORTRANGE(""https://docs.google.com/spreadsheets/d/1-uDff_7J0KD5mKrp0Vvzr7lt3OU09vwQwhkpOPPYv2Y/edit?usp=sharing"",""งบพรบ!DC51"")"),0)</f>
        <v>0</v>
      </c>
      <c r="P51" s="88">
        <f t="shared" ca="1" si="96"/>
        <v>0</v>
      </c>
      <c r="Q51" s="89">
        <f t="shared" ca="1" si="97"/>
        <v>0</v>
      </c>
      <c r="R51" s="88">
        <f ca="1">IFERROR(__xludf.DUMMYFUNCTION("IMPORTRANGE(""https://docs.google.com/spreadsheets/d/1kfLP0j3INXRa8bTDpcEmoWewMBV61jlFlfzczfjWIgc/edit?usp=sharing"",""อุบลราชธานี!Q186"")"),141400)</f>
        <v>141400</v>
      </c>
      <c r="S51" s="88">
        <f ca="1">IFERROR(__xludf.DUMMYFUNCTION("IMPORTRANGE(""https://docs.google.com/spreadsheets/d/1kfLP0j3INXRa8bTDpcEmoWewMBV61jlFlfzczfjWIgc/edit?usp=sharing"",""อุบลราชธานี!R186"")"),141400)</f>
        <v>141400</v>
      </c>
      <c r="T51" s="88">
        <f ca="1">IFERROR(__xludf.DUMMYFUNCTION("IMPORTRANGE(""https://docs.google.com/spreadsheets/d/1kfLP0j3INXRa8bTDpcEmoWewMBV61jlFlfzczfjWIgc/edit?usp=sharing"",""อุบลราชธานี!S186"")"),119680)</f>
        <v>119680</v>
      </c>
      <c r="U51" s="89">
        <f t="shared" ca="1" si="99"/>
        <v>84.639321074964641</v>
      </c>
      <c r="V51" s="89">
        <f t="shared" ca="1" si="100"/>
        <v>84.639321074964641</v>
      </c>
      <c r="W51" s="191">
        <f ca="1">IFERROR(__xludf.DUMMYFUNCTION("IMPORTRANGE(""https://docs.google.com/spreadsheets/d/1kfLP0j3INXRa8bTDpcEmoWewMBV61jlFlfzczfjWIgc/edit?usp=sharing"",""อุบลราชธานี!L196"")"),6000)</f>
        <v>6000</v>
      </c>
      <c r="X51" s="191">
        <f ca="1">IFERROR(__xludf.DUMMYFUNCTION("IMPORTRANGE(""https://docs.google.com/spreadsheets/d/1kfLP0j3INXRa8bTDpcEmoWewMBV61jlFlfzczfjWIgc/edit?usp=sharing"",""อุบลราชธานี!N196"")"),6000)</f>
        <v>6000</v>
      </c>
      <c r="Y51" s="218">
        <f t="shared" ca="1" si="102"/>
        <v>100</v>
      </c>
      <c r="Z51" s="191">
        <f ca="1">IFERROR(__xludf.DUMMYFUNCTION("IMPORTRANGE(""https://docs.google.com/spreadsheets/d/1kfLP0j3INXRa8bTDpcEmoWewMBV61jlFlfzczfjWIgc/edit?usp=sharing"",""อุบลราชธานี!I198"")"),4)</f>
        <v>4</v>
      </c>
      <c r="AA51" s="191">
        <f ca="1">IFERROR(__xludf.DUMMYFUNCTION("IMPORTRANGE(""https://docs.google.com/spreadsheets/d/1kfLP0j3INXRa8bTDpcEmoWewMBV61jlFlfzczfjWIgc/edit?usp=sharing"",""อุบลราชธานี!J198"")"),4)</f>
        <v>4</v>
      </c>
      <c r="AB51" s="218">
        <f t="shared" ca="1" si="104"/>
        <v>100</v>
      </c>
      <c r="AC51" s="191">
        <f ca="1">IFERROR(__xludf.DUMMYFUNCTION("IMPORTRANGE(""https://docs.google.com/spreadsheets/d/1kfLP0j3INXRa8bTDpcEmoWewMBV61jlFlfzczfjWIgc/edit?usp=sharing"",""อุบลราชธานี!J199"")"),201)</f>
        <v>201</v>
      </c>
      <c r="AD51" s="191">
        <f ca="1">IFERROR(__xludf.DUMMYFUNCTION("IMPORTRANGE(""https://docs.google.com/spreadsheets/d/1kfLP0j3INXRa8bTDpcEmoWewMBV61jlFlfzczfjWIgc/edit?usp=sharing"",""อุบลราชธานี!J200"")"),201)</f>
        <v>201</v>
      </c>
      <c r="AE51" s="191">
        <f ca="1">IFERROR(__xludf.DUMMYFUNCTION("IMPORTRANGE(""https://docs.google.com/spreadsheets/d/1kfLP0j3INXRa8bTDpcEmoWewMBV61jlFlfzczfjWIgc/edit?usp=sharing"",""อุบลราชธานี!J201"")"),0)</f>
        <v>0</v>
      </c>
      <c r="AF51" s="191">
        <f ca="1">IFERROR(__xludf.DUMMYFUNCTION("IMPORTRANGE(""https://docs.google.com/spreadsheets/d/1kfLP0j3INXRa8bTDpcEmoWewMBV61jlFlfzczfjWIgc/edit?usp=sharing"",""อุบลราชธานี!L204"")"),3000)</f>
        <v>3000</v>
      </c>
      <c r="AG51" s="191">
        <f ca="1">IFERROR(__xludf.DUMMYFUNCTION("IMPORTRANGE(""https://docs.google.com/spreadsheets/d/1kfLP0j3INXRa8bTDpcEmoWewMBV61jlFlfzczfjWIgc/edit?usp=sharing"",""อุบลราชธานี!N204"")"),2000)</f>
        <v>2000</v>
      </c>
      <c r="AH51" s="218">
        <f t="shared" ca="1" si="106"/>
        <v>66.666666666666671</v>
      </c>
      <c r="AI51" s="191">
        <f ca="1">IFERROR(__xludf.DUMMYFUNCTION("IMPORTRANGE(""https://docs.google.com/spreadsheets/d/1kfLP0j3INXRa8bTDpcEmoWewMBV61jlFlfzczfjWIgc/edit?usp=sharing"",""อุบลราชธานี!L206"")"),0)</f>
        <v>0</v>
      </c>
      <c r="AJ51" s="191">
        <f ca="1">IFERROR(__xludf.DUMMYFUNCTION("IMPORTRANGE(""https://docs.google.com/spreadsheets/d/1kfLP0j3INXRa8bTDpcEmoWewMBV61jlFlfzczfjWIgc/edit?usp=sharing"",""อุบลราชธานี!N206"")"),0)</f>
        <v>0</v>
      </c>
      <c r="AK51" s="218">
        <f t="shared" ca="1" si="108"/>
        <v>0</v>
      </c>
      <c r="AL51" s="191">
        <f ca="1">IFERROR(__xludf.DUMMYFUNCTION("IMPORTRANGE(""https://docs.google.com/spreadsheets/d/1kfLP0j3INXRa8bTDpcEmoWewMBV61jlFlfzczfjWIgc/edit?usp=sharing"",""อุบลราชธานี!Q206"")"),42000)</f>
        <v>42000</v>
      </c>
      <c r="AM51" s="191">
        <f ca="1">IFERROR(__xludf.DUMMYFUNCTION("IMPORTRANGE(""https://docs.google.com/spreadsheets/d/1kfLP0j3INXRa8bTDpcEmoWewMBV61jlFlfzczfjWIgc/edit?usp=sharing"",""อุบลราชธานี!S206"")"),0)</f>
        <v>0</v>
      </c>
      <c r="AN51" s="218">
        <f t="shared" ca="1" si="110"/>
        <v>0</v>
      </c>
      <c r="AO51" s="191">
        <f ca="1">IFERROR(__xludf.DUMMYFUNCTION("IMPORTRANGE(""https://docs.google.com/spreadsheets/d/1kfLP0j3INXRa8bTDpcEmoWewMBV61jlFlfzczfjWIgc/edit?usp=sharing"",""อุบลราชธานี!L207"")"),12000)</f>
        <v>12000</v>
      </c>
      <c r="AP51" s="191">
        <f ca="1">IFERROR(__xludf.DUMMYFUNCTION("IMPORTRANGE(""https://docs.google.com/spreadsheets/d/1kfLP0j3INXRa8bTDpcEmoWewMBV61jlFlfzczfjWIgc/edit?usp=sharing"",""อุบลราชธานี!N207"")"),12000)</f>
        <v>12000</v>
      </c>
      <c r="AQ51" s="218">
        <f t="shared" ca="1" si="112"/>
        <v>100</v>
      </c>
      <c r="AR51" s="191">
        <f ca="1">IFERROR(__xludf.DUMMYFUNCTION("IMPORTRANGE(""https://docs.google.com/spreadsheets/d/1kfLP0j3INXRa8bTDpcEmoWewMBV61jlFlfzczfjWIgc/edit?usp=sharing"",""อุบลราชธานี!I209"")"),3)</f>
        <v>3</v>
      </c>
      <c r="AS51" s="191">
        <f ca="1">IFERROR(__xludf.DUMMYFUNCTION("IMPORTRANGE(""https://docs.google.com/spreadsheets/d/1kfLP0j3INXRa8bTDpcEmoWewMBV61jlFlfzczfjWIgc/edit?usp=sharing"",""อุบลราชธานี!J209"")"),3)</f>
        <v>3</v>
      </c>
      <c r="AT51" s="218">
        <f t="shared" ca="1" si="114"/>
        <v>100</v>
      </c>
      <c r="AU51" s="191">
        <f ca="1">IFERROR(__xludf.DUMMYFUNCTION("IMPORTRANGE(""https://docs.google.com/spreadsheets/d/1kfLP0j3INXRa8bTDpcEmoWewMBV61jlFlfzczfjWIgc/edit?usp=sharing"",""อุบลราชธานี!J211"")"),3)</f>
        <v>3</v>
      </c>
      <c r="AV51" s="191">
        <f ca="1">IFERROR(__xludf.DUMMYFUNCTION("IMPORTRANGE(""https://docs.google.com/spreadsheets/d/1kfLP0j3INXRa8bTDpcEmoWewMBV61jlFlfzczfjWIgc/edit?usp=sharing"",""อุบลราชธานี!J212"")"),0)</f>
        <v>0</v>
      </c>
      <c r="AW51" s="191">
        <f ca="1">IFERROR(__xludf.DUMMYFUNCTION("IMPORTRANGE(""https://docs.google.com/spreadsheets/d/1kfLP0j3INXRa8bTDpcEmoWewMBV61jlFlfzczfjWIgc/edit?usp=sharing"",""อุบลราชธานี!L215"")"),2000)</f>
        <v>2000</v>
      </c>
      <c r="AX51" s="191">
        <f ca="1">IFERROR(__xludf.DUMMYFUNCTION("IMPORTRANGE(""https://docs.google.com/spreadsheets/d/1kfLP0j3INXRa8bTDpcEmoWewMBV61jlFlfzczfjWIgc/edit?usp=sharing"",""อุบลราชธานี!N215"")"),500)</f>
        <v>500</v>
      </c>
      <c r="AY51" s="218">
        <f t="shared" ca="1" si="116"/>
        <v>25</v>
      </c>
      <c r="AZ51" s="191">
        <f ca="1">IFERROR(__xludf.DUMMYFUNCTION("IMPORTRANGE(""https://docs.google.com/spreadsheets/d/1kfLP0j3INXRa8bTDpcEmoWewMBV61jlFlfzczfjWIgc/edit?usp=sharing"",""อุบลราชธานี!L216"")"),10000)</f>
        <v>10000</v>
      </c>
      <c r="BA51" s="191">
        <f ca="1">IFERROR(__xludf.DUMMYFUNCTION("IMPORTRANGE(""https://docs.google.com/spreadsheets/d/1kfLP0j3INXRa8bTDpcEmoWewMBV61jlFlfzczfjWIgc/edit?usp=sharing"",""อุบลราชธานี!N216"")"),10000)</f>
        <v>10000</v>
      </c>
      <c r="BB51" s="218">
        <f t="shared" ca="1" si="118"/>
        <v>100</v>
      </c>
      <c r="BC51" s="191">
        <f ca="1">IFERROR(__xludf.DUMMYFUNCTION("IMPORTRANGE(""https://docs.google.com/spreadsheets/d/1kfLP0j3INXRa8bTDpcEmoWewMBV61jlFlfzczfjWIgc/edit?usp=sharing"",""อุบลราชธานี!L217"")"),0)</f>
        <v>0</v>
      </c>
      <c r="BD51" s="191">
        <f ca="1">IFERROR(__xludf.DUMMYFUNCTION("IMPORTRANGE(""https://docs.google.com/spreadsheets/d/1kfLP0j3INXRa8bTDpcEmoWewMBV61jlFlfzczfjWIgc/edit?usp=sharing"",""อุบลราชธานี!N217"")"),0)</f>
        <v>0</v>
      </c>
      <c r="BE51" s="218">
        <f t="shared" ca="1" si="120"/>
        <v>0</v>
      </c>
      <c r="BF51" s="191">
        <f ca="1">IFERROR(__xludf.DUMMYFUNCTION("IMPORTRANGE(""https://docs.google.com/spreadsheets/d/1kfLP0j3INXRa8bTDpcEmoWewMBV61jlFlfzczfjWIgc/edit?usp=sharing"",""อุบลราชธานี!Q217"")"),99400)</f>
        <v>99400</v>
      </c>
      <c r="BG51" s="191">
        <f ca="1">IFERROR(__xludf.DUMMYFUNCTION("IMPORTRANGE(""https://docs.google.com/spreadsheets/d/1kfLP0j3INXRa8bTDpcEmoWewMBV61jlFlfzczfjWIgc/edit?usp=sharing"",""อุบลราชธานี!S217"")"),0)</f>
        <v>0</v>
      </c>
      <c r="BH51" s="218">
        <f t="shared" ca="1" si="122"/>
        <v>0</v>
      </c>
      <c r="BI51" s="191">
        <f ca="1">IFERROR(__xludf.DUMMYFUNCTION("IMPORTRANGE(""https://docs.google.com/spreadsheets/d/1kfLP0j3INXRa8bTDpcEmoWewMBV61jlFlfzczfjWIgc/edit?usp=sharing"",""อุบลราชธานี!I219"")"),2)</f>
        <v>2</v>
      </c>
      <c r="BJ51" s="191">
        <f ca="1">IFERROR(__xludf.DUMMYFUNCTION("IMPORTRANGE(""https://docs.google.com/spreadsheets/d/1kfLP0j3INXRa8bTDpcEmoWewMBV61jlFlfzczfjWIgc/edit?usp=sharing"",""อุบลราชธานี!J219"")"),2)</f>
        <v>2</v>
      </c>
      <c r="BK51" s="218">
        <f t="shared" ca="1" si="124"/>
        <v>100</v>
      </c>
      <c r="BL51" s="191">
        <f ca="1">IFERROR(__xludf.DUMMYFUNCTION("IMPORTRANGE(""https://docs.google.com/spreadsheets/d/1kfLP0j3INXRa8bTDpcEmoWewMBV61jlFlfzczfjWIgc/edit?usp=sharing"",""อุบลราชธานี!I220"")"),2)</f>
        <v>2</v>
      </c>
      <c r="BM51" s="191">
        <f ca="1">IFERROR(__xludf.DUMMYFUNCTION("IMPORTRANGE(""https://docs.google.com/spreadsheets/d/1kfLP0j3INXRa8bTDpcEmoWewMBV61jlFlfzczfjWIgc/edit?usp=sharing"",""อุบลราชธานี!J220"")"),2)</f>
        <v>2</v>
      </c>
      <c r="BN51" s="218">
        <f t="shared" ca="1" si="126"/>
        <v>100</v>
      </c>
      <c r="BO51" s="191">
        <f ca="1">IFERROR(__xludf.DUMMYFUNCTION("IMPORTRANGE(""https://docs.google.com/spreadsheets/d/1kfLP0j3INXRa8bTDpcEmoWewMBV61jlFlfzczfjWIgc/edit?usp=sharing"",""อุบลราชธานี!L223"")"),2500)</f>
        <v>2500</v>
      </c>
      <c r="BP51" s="191">
        <f ca="1">IFERROR(__xludf.DUMMYFUNCTION("IMPORTRANGE(""https://docs.google.com/spreadsheets/d/1kfLP0j3INXRa8bTDpcEmoWewMBV61jlFlfzczfjWIgc/edit?usp=sharing"",""อุบลราชธานี!N223"")"),2500)</f>
        <v>2500</v>
      </c>
      <c r="BQ51" s="218">
        <f t="shared" ca="1" si="128"/>
        <v>100</v>
      </c>
      <c r="BR51" s="191">
        <f ca="1">IFERROR(__xludf.DUMMYFUNCTION("IMPORTRANGE(""https://docs.google.com/spreadsheets/d/1kfLP0j3INXRa8bTDpcEmoWewMBV61jlFlfzczfjWIgc/edit?usp=sharing"",""อุบลราชธานี!L224"")"),4000)</f>
        <v>4000</v>
      </c>
      <c r="BS51" s="191">
        <f ca="1">IFERROR(__xludf.DUMMYFUNCTION("IMPORTRANGE(""https://docs.google.com/spreadsheets/d/1kfLP0j3INXRa8bTDpcEmoWewMBV61jlFlfzczfjWIgc/edit?usp=sharing"",""อุบลราชธานี!N224"")"),4000)</f>
        <v>4000</v>
      </c>
      <c r="BT51" s="218">
        <f t="shared" ca="1" si="130"/>
        <v>100</v>
      </c>
      <c r="BU51" s="191">
        <f ca="1">IFERROR(__xludf.DUMMYFUNCTION("IMPORTRANGE(""https://docs.google.com/spreadsheets/d/1kfLP0j3INXRa8bTDpcEmoWewMBV61jlFlfzczfjWIgc/edit?usp=sharing"",""อุบลราชธานี!I228"")"),30000)</f>
        <v>30000</v>
      </c>
      <c r="BV51" s="191">
        <f ca="1">IFERROR(__xludf.DUMMYFUNCTION("IMPORTRANGE(""https://docs.google.com/spreadsheets/d/1kfLP0j3INXRa8bTDpcEmoWewMBV61jlFlfzczfjWIgc/edit?usp=sharing"",""อุบลราชธานี!J228"")"),30000)</f>
        <v>30000</v>
      </c>
      <c r="BW51" s="218">
        <f t="shared" ca="1" si="132"/>
        <v>100</v>
      </c>
      <c r="BX51" s="191">
        <f ca="1">IFERROR(__xludf.DUMMYFUNCTION("IMPORTRANGE(""https://docs.google.com/spreadsheets/d/1kfLP0j3INXRa8bTDpcEmoWewMBV61jlFlfzczfjWIgc/edit?usp=sharing"",""อุบลราชธานี!I229"")"),30000)</f>
        <v>30000</v>
      </c>
      <c r="BY51" s="191">
        <f ca="1">IFERROR(__xludf.DUMMYFUNCTION("IMPORTRANGE(""https://docs.google.com/spreadsheets/d/1kfLP0j3INXRa8bTDpcEmoWewMBV61jlFlfzczfjWIgc/edit?usp=sharing"",""อุบลราชธานี!J229"")"),30000)</f>
        <v>30000</v>
      </c>
      <c r="BZ51" s="218">
        <f t="shared" ca="1" si="134"/>
        <v>100</v>
      </c>
      <c r="CA51" s="191">
        <f ca="1">IFERROR(__xludf.DUMMYFUNCTION("IMPORTRANGE(""https://docs.google.com/spreadsheets/d/1kfLP0j3INXRa8bTDpcEmoWewMBV61jlFlfzczfjWIgc/edit?usp=sharing"",""อุบลราชธานี!I230"")"),0)</f>
        <v>0</v>
      </c>
      <c r="CB51" s="191">
        <f ca="1">IFERROR(__xludf.DUMMYFUNCTION("IMPORTRANGE(""https://docs.google.com/spreadsheets/d/1kfLP0j3INXRa8bTDpcEmoWewMBV61jlFlfzczfjWIgc/edit?usp=sharing"",""อุบลราชธานี!J230"")"),0)</f>
        <v>0</v>
      </c>
      <c r="CC51" s="218">
        <f t="shared" ca="1" si="136"/>
        <v>0</v>
      </c>
      <c r="CD51" s="191">
        <f ca="1">IFERROR(__xludf.DUMMYFUNCTION("IMPORTRANGE(""https://docs.google.com/spreadsheets/d/1kfLP0j3INXRa8bTDpcEmoWewMBV61jlFlfzczfjWIgc/edit?usp=sharing"",""อุบลราชธานี!L233"")"),160000)</f>
        <v>160000</v>
      </c>
      <c r="CE51" s="191">
        <f ca="1">IFERROR(__xludf.DUMMYFUNCTION("IMPORTRANGE(""https://docs.google.com/spreadsheets/d/1kfLP0j3INXRa8bTDpcEmoWewMBV61jlFlfzczfjWIgc/edit?usp=sharing"",""อุบลราชธานี!N233"")"),12138.3)</f>
        <v>12138.3</v>
      </c>
      <c r="CF51" s="218">
        <f t="shared" ca="1" si="138"/>
        <v>7.5864374999999997</v>
      </c>
      <c r="CG51" s="191">
        <f ca="1">IFERROR(__xludf.DUMMYFUNCTION("IMPORTRANGE(""https://docs.google.com/spreadsheets/d/1kfLP0j3INXRa8bTDpcEmoWewMBV61jlFlfzczfjWIgc/edit?usp=sharing"",""อุบลราชธานี!L234"")"),3000)</f>
        <v>3000</v>
      </c>
      <c r="CH51" s="191">
        <f ca="1">IFERROR(__xludf.DUMMYFUNCTION("IMPORTRANGE(""https://docs.google.com/spreadsheets/d/1kfLP0j3INXRa8bTDpcEmoWewMBV61jlFlfzczfjWIgc/edit?usp=sharing"",""อุบลราชธานี!N234"")"),88402)</f>
        <v>88402</v>
      </c>
      <c r="CI51" s="218">
        <f t="shared" ca="1" si="140"/>
        <v>2946.7333333333331</v>
      </c>
      <c r="CJ51" s="191">
        <f ca="1">IFERROR(__xludf.DUMMYFUNCTION("IMPORTRANGE(""https://docs.google.com/spreadsheets/d/1kfLP0j3INXRa8bTDpcEmoWewMBV61jlFlfzczfjWIgc/edit?usp=sharing"",""อุบลราชธานี!L235"")"),48000)</f>
        <v>48000</v>
      </c>
      <c r="CK51" s="191">
        <f ca="1">IFERROR(__xludf.DUMMYFUNCTION("IMPORTRANGE(""https://docs.google.com/spreadsheets/d/1kfLP0j3INXRa8bTDpcEmoWewMBV61jlFlfzczfjWIgc/edit?usp=sharing"",""อุบลราชธานี!N235"")"),48000)</f>
        <v>48000</v>
      </c>
      <c r="CL51" s="218">
        <f t="shared" ca="1" si="142"/>
        <v>100</v>
      </c>
      <c r="CM51" s="253">
        <f ca="1">IFERROR(__xludf.DUMMYFUNCTION("IMPORTRANGE(""https://docs.google.com/spreadsheets/d/1kfLP0j3INXRa8bTDpcEmoWewMBV61jlFlfzczfjWIgc/edit?usp=sharing"",""อุบลราชธานี!Q235"")"),0)</f>
        <v>0</v>
      </c>
      <c r="CN51" s="253">
        <f ca="1">IFERROR(__xludf.DUMMYFUNCTION("IMPORTRANGE(""https://docs.google.com/spreadsheets/d/1kfLP0j3INXRa8bTDpcEmoWewMBV61jlFlfzczfjWIgc/edit?usp=sharing"",""อุบลราชธานี!S235"")"),0)</f>
        <v>0</v>
      </c>
      <c r="CO51" s="218">
        <f t="shared" ca="1" si="144"/>
        <v>0</v>
      </c>
      <c r="CP51" s="191">
        <f ca="1">IFERROR(__xludf.DUMMYFUNCTION("IMPORTRANGE(""https://docs.google.com/spreadsheets/d/1kfLP0j3INXRa8bTDpcEmoWewMBV61jlFlfzczfjWIgc/edit?usp=sharing"",""อุบลราชธานี!L236"")"),33000)</f>
        <v>33000</v>
      </c>
      <c r="CQ51" s="191">
        <f ca="1">IFERROR(__xludf.DUMMYFUNCTION("IMPORTRANGE(""https://docs.google.com/spreadsheets/d/1kfLP0j3INXRa8bTDpcEmoWewMBV61jlFlfzczfjWIgc/edit?usp=sharing"",""อุบลราชธานี!N236"")"),33000)</f>
        <v>33000</v>
      </c>
      <c r="CR51" s="218">
        <f t="shared" ca="1" si="146"/>
        <v>100</v>
      </c>
      <c r="CS51" s="191">
        <f ca="1">IFERROR(__xludf.DUMMYFUNCTION("IMPORTRANGE(""https://docs.google.com/spreadsheets/d/1kfLP0j3INXRa8bTDpcEmoWewMBV61jlFlfzczfjWIgc/edit?usp=sharing"",""อุบลราชธานี!I238"")"),40)</f>
        <v>40</v>
      </c>
      <c r="CT51" s="191">
        <f ca="1">IFERROR(__xludf.DUMMYFUNCTION("IMPORTRANGE(""https://docs.google.com/spreadsheets/d/1kfLP0j3INXRa8bTDpcEmoWewMBV61jlFlfzczfjWIgc/edit?usp=sharing"",""อุบลราชธานี!J238"")"),40)</f>
        <v>40</v>
      </c>
      <c r="CU51" s="218">
        <f t="shared" ca="1" si="148"/>
        <v>100</v>
      </c>
      <c r="CV51" s="191">
        <f ca="1">IFERROR(__xludf.DUMMYFUNCTION("IMPORTRANGE(""https://docs.google.com/spreadsheets/d/1kfLP0j3INXRa8bTDpcEmoWewMBV61jlFlfzczfjWIgc/edit?usp=sharing"",""อุบลราชธานี!J240"")"),40)</f>
        <v>40</v>
      </c>
      <c r="CW51" s="191">
        <f ca="1">IFERROR(__xludf.DUMMYFUNCTION("IMPORTRANGE(""https://docs.google.com/spreadsheets/d/1kfLP0j3INXRa8bTDpcEmoWewMBV61jlFlfzczfjWIgc/edit?usp=sharing"",""อุบลราชธานี!J241"")"),1)</f>
        <v>1</v>
      </c>
    </row>
    <row r="52" spans="1:101" ht="21" customHeight="1" x14ac:dyDescent="0.3">
      <c r="A52" s="716" t="s">
        <v>80</v>
      </c>
      <c r="B52" s="662"/>
      <c r="C52" s="161">
        <f t="shared" ca="1" si="90"/>
        <v>5836312</v>
      </c>
      <c r="D52" s="161">
        <f t="shared" ref="D52:I52" ca="1" si="179">SUM(D53:D73)</f>
        <v>4184312</v>
      </c>
      <c r="E52" s="161">
        <f t="shared" ca="1" si="179"/>
        <v>2114300</v>
      </c>
      <c r="F52" s="161">
        <f t="shared" ca="1" si="179"/>
        <v>2070012</v>
      </c>
      <c r="G52" s="161">
        <f t="shared" ca="1" si="179"/>
        <v>1652000</v>
      </c>
      <c r="H52" s="161">
        <f t="shared" ca="1" si="179"/>
        <v>4575424</v>
      </c>
      <c r="I52" s="161">
        <f t="shared" ca="1" si="179"/>
        <v>1652000</v>
      </c>
      <c r="J52" s="161">
        <f t="shared" ca="1" si="92"/>
        <v>3986406.55</v>
      </c>
      <c r="K52" s="162">
        <f t="shared" ca="1" si="93"/>
        <v>68.30352027102046</v>
      </c>
      <c r="L52" s="161">
        <f ca="1">SUM(L53:L73)</f>
        <v>3986406.55</v>
      </c>
      <c r="M52" s="94">
        <f t="shared" ca="1" si="94"/>
        <v>95.270298916524382</v>
      </c>
      <c r="N52" s="94">
        <f t="shared" ca="1" si="95"/>
        <v>87.126494724860478</v>
      </c>
      <c r="O52" s="93">
        <f ca="1">SUM(O53:O73)</f>
        <v>0</v>
      </c>
      <c r="P52" s="93">
        <f t="shared" ca="1" si="96"/>
        <v>0</v>
      </c>
      <c r="Q52" s="94">
        <f t="shared" ca="1" si="97"/>
        <v>0</v>
      </c>
      <c r="R52" s="93">
        <f t="shared" ref="R52:T52" ca="1" si="180">SUM(R53:R73)</f>
        <v>1356738</v>
      </c>
      <c r="S52" s="93">
        <f t="shared" ca="1" si="180"/>
        <v>1356738</v>
      </c>
      <c r="T52" s="93">
        <f t="shared" ca="1" si="180"/>
        <v>1231032.7</v>
      </c>
      <c r="U52" s="94">
        <f t="shared" ca="1" si="99"/>
        <v>90.734740237245518</v>
      </c>
      <c r="V52" s="94">
        <f t="shared" ca="1" si="100"/>
        <v>90.734740237245518</v>
      </c>
      <c r="W52" s="161">
        <f t="shared" ref="W52:X52" ca="1" si="181">SUM(W53:W73)</f>
        <v>126000</v>
      </c>
      <c r="X52" s="161">
        <f t="shared" ca="1" si="181"/>
        <v>78780</v>
      </c>
      <c r="Y52" s="94">
        <f t="shared" ca="1" si="102"/>
        <v>62.523809523809526</v>
      </c>
      <c r="Z52" s="161">
        <f t="shared" ref="Z52:AA52" ca="1" si="182">SUM(Z53:Z73)</f>
        <v>84</v>
      </c>
      <c r="AA52" s="161">
        <f t="shared" ca="1" si="182"/>
        <v>80</v>
      </c>
      <c r="AB52" s="94">
        <f t="shared" ca="1" si="104"/>
        <v>95.238095238095241</v>
      </c>
      <c r="AC52" s="161">
        <f t="shared" ref="AC52:AG52" ca="1" si="183">SUM(AC53:AC73)</f>
        <v>3282</v>
      </c>
      <c r="AD52" s="161">
        <f t="shared" ca="1" si="183"/>
        <v>3282</v>
      </c>
      <c r="AE52" s="161">
        <f t="shared" ca="1" si="183"/>
        <v>0</v>
      </c>
      <c r="AF52" s="161">
        <f t="shared" ca="1" si="183"/>
        <v>35000</v>
      </c>
      <c r="AG52" s="161">
        <f t="shared" ca="1" si="183"/>
        <v>22459</v>
      </c>
      <c r="AH52" s="94">
        <f t="shared" ca="1" si="106"/>
        <v>64.168571428571425</v>
      </c>
      <c r="AI52" s="161">
        <f t="shared" ref="AI52:AJ52" ca="1" si="184">SUM(AI53:AI73)</f>
        <v>36162</v>
      </c>
      <c r="AJ52" s="161">
        <f t="shared" ca="1" si="184"/>
        <v>36747</v>
      </c>
      <c r="AK52" s="94">
        <f t="shared" ca="1" si="108"/>
        <v>101.61772025883523</v>
      </c>
      <c r="AL52" s="161">
        <f t="shared" ref="AL52:AM52" ca="1" si="185">SUM(AL53:AL73)</f>
        <v>435838</v>
      </c>
      <c r="AM52" s="161">
        <f t="shared" ca="1" si="185"/>
        <v>351837.7</v>
      </c>
      <c r="AN52" s="94">
        <f t="shared" ca="1" si="110"/>
        <v>80.726714972076778</v>
      </c>
      <c r="AO52" s="161">
        <f t="shared" ref="AO52:AP52" ca="1" si="186">SUM(AO53:AO73)</f>
        <v>153000</v>
      </c>
      <c r="AP52" s="161">
        <f t="shared" ca="1" si="186"/>
        <v>84000</v>
      </c>
      <c r="AQ52" s="94">
        <f t="shared" ca="1" si="112"/>
        <v>54.901960784313722</v>
      </c>
      <c r="AR52" s="161">
        <f t="shared" ref="AR52:AS52" ca="1" si="187">SUM(AR53:AR73)</f>
        <v>35</v>
      </c>
      <c r="AS52" s="161">
        <f t="shared" ca="1" si="187"/>
        <v>31</v>
      </c>
      <c r="AT52" s="94">
        <f t="shared" ca="1" si="114"/>
        <v>88.571428571428569</v>
      </c>
      <c r="AU52" s="161">
        <f t="shared" ref="AU52:AX52" ca="1" si="188">SUM(AU53:AU73)</f>
        <v>27</v>
      </c>
      <c r="AV52" s="161">
        <f t="shared" ca="1" si="188"/>
        <v>3</v>
      </c>
      <c r="AW52" s="161">
        <f t="shared" ca="1" si="188"/>
        <v>17000</v>
      </c>
      <c r="AX52" s="161">
        <f t="shared" ca="1" si="188"/>
        <v>8480</v>
      </c>
      <c r="AY52" s="94">
        <f t="shared" ca="1" si="116"/>
        <v>49.882352941176471</v>
      </c>
      <c r="AZ52" s="161">
        <f t="shared" ref="AZ52:BA52" ca="1" si="189">SUM(AZ53:AZ73)</f>
        <v>85000</v>
      </c>
      <c r="BA52" s="161">
        <f t="shared" ca="1" si="189"/>
        <v>10000</v>
      </c>
      <c r="BB52" s="94">
        <f t="shared" ca="1" si="118"/>
        <v>11.764705882352942</v>
      </c>
      <c r="BC52" s="161">
        <f t="shared" ref="BC52:BD52" ca="1" si="190">SUM(BC53:BC73)</f>
        <v>8000</v>
      </c>
      <c r="BD52" s="161">
        <f t="shared" ca="1" si="190"/>
        <v>8000</v>
      </c>
      <c r="BE52" s="94">
        <f t="shared" ca="1" si="120"/>
        <v>100</v>
      </c>
      <c r="BF52" s="161">
        <f t="shared" ref="BF52:BG52" ca="1" si="191">SUM(BF53:BF73)</f>
        <v>836900</v>
      </c>
      <c r="BG52" s="161">
        <f t="shared" ca="1" si="191"/>
        <v>519820</v>
      </c>
      <c r="BH52" s="94">
        <f t="shared" ca="1" si="122"/>
        <v>62.112558250687059</v>
      </c>
      <c r="BI52" s="161">
        <f t="shared" ref="BI52:BJ52" ca="1" si="192">SUM(BI53:BI73)</f>
        <v>17</v>
      </c>
      <c r="BJ52" s="161">
        <f t="shared" ca="1" si="192"/>
        <v>2</v>
      </c>
      <c r="BK52" s="94">
        <f t="shared" ca="1" si="124"/>
        <v>11.764705882352942</v>
      </c>
      <c r="BL52" s="161">
        <f t="shared" ref="BL52:BM52" ca="1" si="193">SUM(BL53:BL73)</f>
        <v>17</v>
      </c>
      <c r="BM52" s="161">
        <f t="shared" ca="1" si="193"/>
        <v>17</v>
      </c>
      <c r="BN52" s="94">
        <f t="shared" ca="1" si="126"/>
        <v>100</v>
      </c>
      <c r="BO52" s="161">
        <f t="shared" ref="BO52:BP52" ca="1" si="194">SUM(BO53:BO73)</f>
        <v>52500</v>
      </c>
      <c r="BP52" s="161">
        <f t="shared" ca="1" si="194"/>
        <v>36530</v>
      </c>
      <c r="BQ52" s="94">
        <f t="shared" ca="1" si="128"/>
        <v>69.580952380952382</v>
      </c>
      <c r="BR52" s="161">
        <f t="shared" ref="BR52:BS52" ca="1" si="195">SUM(BR53:BR73)</f>
        <v>60000</v>
      </c>
      <c r="BS52" s="161">
        <f t="shared" ca="1" si="195"/>
        <v>31025</v>
      </c>
      <c r="BT52" s="94">
        <f t="shared" ca="1" si="130"/>
        <v>51.708333333333336</v>
      </c>
      <c r="BU52" s="161">
        <f t="shared" ref="BU52:BV52" ca="1" si="196">SUM(BU53:BU73)</f>
        <v>482200</v>
      </c>
      <c r="BV52" s="161">
        <f t="shared" ca="1" si="196"/>
        <v>502200</v>
      </c>
      <c r="BW52" s="94">
        <f t="shared" ca="1" si="132"/>
        <v>104.14765657403566</v>
      </c>
      <c r="BX52" s="161">
        <f t="shared" ref="BX52:BY52" ca="1" si="197">SUM(BX53:BX73)</f>
        <v>482200</v>
      </c>
      <c r="BY52" s="161">
        <f t="shared" ca="1" si="197"/>
        <v>472200</v>
      </c>
      <c r="BZ52" s="94">
        <f t="shared" ca="1" si="134"/>
        <v>97.926171712982168</v>
      </c>
      <c r="CA52" s="161">
        <f t="shared" ref="CA52:CB52" ca="1" si="198">SUM(CA53:CA73)</f>
        <v>0</v>
      </c>
      <c r="CB52" s="161">
        <f t="shared" ca="1" si="198"/>
        <v>0</v>
      </c>
      <c r="CC52" s="94">
        <f t="shared" ca="1" si="136"/>
        <v>0</v>
      </c>
      <c r="CD52" s="161">
        <f t="shared" ref="CD52:CE52" ca="1" si="199">SUM(CD53:CD73)</f>
        <v>340000</v>
      </c>
      <c r="CE52" s="161">
        <f t="shared" ca="1" si="199"/>
        <v>113122.99</v>
      </c>
      <c r="CF52" s="94">
        <f t="shared" ca="1" si="138"/>
        <v>33.27146764705882</v>
      </c>
      <c r="CG52" s="161">
        <f t="shared" ref="CG52:CH52" ca="1" si="200">SUM(CG53:CG73)</f>
        <v>44000</v>
      </c>
      <c r="CH52" s="161">
        <f t="shared" ca="1" si="200"/>
        <v>123345</v>
      </c>
      <c r="CI52" s="94">
        <f t="shared" ca="1" si="140"/>
        <v>280.32954545454544</v>
      </c>
      <c r="CJ52" s="161">
        <f t="shared" ref="CJ52:CK52" ca="1" si="201">SUM(CJ53:CJ73)</f>
        <v>565850</v>
      </c>
      <c r="CK52" s="161">
        <f t="shared" ca="1" si="201"/>
        <v>570360</v>
      </c>
      <c r="CL52" s="94">
        <f t="shared" ca="1" si="142"/>
        <v>100.79703101528673</v>
      </c>
      <c r="CM52" s="161">
        <f t="shared" ref="CM52:CN52" ca="1" si="202">SUM(CM53:CM73)</f>
        <v>0</v>
      </c>
      <c r="CN52" s="161">
        <f t="shared" ca="1" si="202"/>
        <v>0</v>
      </c>
      <c r="CO52" s="94">
        <f t="shared" ca="1" si="144"/>
        <v>0</v>
      </c>
      <c r="CP52" s="161">
        <f t="shared" ref="CP52:CQ52" ca="1" si="203">SUM(CP53:CP73)</f>
        <v>547500</v>
      </c>
      <c r="CQ52" s="161">
        <f t="shared" ca="1" si="203"/>
        <v>505545</v>
      </c>
      <c r="CR52" s="94">
        <f t="shared" ca="1" si="146"/>
        <v>92.336986301369862</v>
      </c>
      <c r="CS52" s="161">
        <f t="shared" ref="CS52:CT52" ca="1" si="204">SUM(CS53:CS73)</f>
        <v>460</v>
      </c>
      <c r="CT52" s="161">
        <f t="shared" ca="1" si="204"/>
        <v>472</v>
      </c>
      <c r="CU52" s="94">
        <f t="shared" ca="1" si="148"/>
        <v>102.60869565217391</v>
      </c>
      <c r="CV52" s="161">
        <f t="shared" ref="CV52:CW52" ca="1" si="205">SUM(CV53:CV73)</f>
        <v>365</v>
      </c>
      <c r="CW52" s="161">
        <f t="shared" ca="1" si="205"/>
        <v>12</v>
      </c>
    </row>
    <row r="53" spans="1:101" ht="21" customHeight="1" x14ac:dyDescent="0.3">
      <c r="A53" s="147">
        <v>1</v>
      </c>
      <c r="B53" s="148" t="s">
        <v>81</v>
      </c>
      <c r="C53" s="149">
        <f t="shared" ca="1" si="90"/>
        <v>201100</v>
      </c>
      <c r="D53" s="150">
        <f t="shared" ref="D53:D73" ca="1" si="206">+E53+F53</f>
        <v>201100</v>
      </c>
      <c r="E53" s="151">
        <f ca="1">IFERROR(__xludf.DUMMYFUNCTION("IMPORTRANGE(""https://docs.google.com/spreadsheets/d/1-uDff_7J0KD5mKrp0Vvzr7lt3OU09vwQwhkpOPPYv2Y/edit?usp=sharing"",""งบพรบ!CV53"")"),0)</f>
        <v>0</v>
      </c>
      <c r="F53" s="151">
        <f ca="1">IFERROR(__xludf.DUMMYFUNCTION("IMPORTRANGE(""https://docs.google.com/spreadsheets/d/1-uDff_7J0KD5mKrp0Vvzr7lt3OU09vwQwhkpOPPYv2Y/edit?usp=sharing"",""งบพรบ!CW53"")"),201100)</f>
        <v>201100</v>
      </c>
      <c r="G53" s="152">
        <f ca="1">IFERROR(__xludf.DUMMYFUNCTION("IMPORTRANGE(""https://docs.google.com/spreadsheets/d/1-uDff_7J0KD5mKrp0Vvzr7lt3OU09vwQwhkpOPPYv2Y/edit?usp=sharing"",""งบพรบ!CX53"")"),0)</f>
        <v>0</v>
      </c>
      <c r="H53" s="152">
        <f ca="1">IFERROR(__xludf.DUMMYFUNCTION("IMPORTRANGE(""https://docs.google.com/spreadsheets/d/1-uDff_7J0KD5mKrp0Vvzr7lt3OU09vwQwhkpOPPYv2Y/edit?usp=sharing"",""งบพรบ!CZ53"")"),208420)</f>
        <v>208420</v>
      </c>
      <c r="I53" s="152">
        <f ca="1">IFERROR(__xludf.DUMMYFUNCTION("IMPORTRANGE(""https://docs.google.com/spreadsheets/d/1-uDff_7J0KD5mKrp0Vvzr7lt3OU09vwQwhkpOPPYv2Y/edit?usp=sharing"",""งบพรบ!DA53"")"),0)</f>
        <v>0</v>
      </c>
      <c r="J53" s="152">
        <f t="shared" ca="1" si="92"/>
        <v>203835</v>
      </c>
      <c r="K53" s="153">
        <f t="shared" ca="1" si="93"/>
        <v>101.36001989060169</v>
      </c>
      <c r="L53" s="152">
        <f ca="1">IFERROR(__xludf.DUMMYFUNCTION("IMPORTRANGE(""https://docs.google.com/spreadsheets/d/1-uDff_7J0KD5mKrp0Vvzr7lt3OU09vwQwhkpOPPYv2Y/edit?usp=sharing"",""งบพรบ!DB53"")"),203835)</f>
        <v>203835</v>
      </c>
      <c r="M53" s="68">
        <f t="shared" ca="1" si="94"/>
        <v>101.36001989060169</v>
      </c>
      <c r="N53" s="68">
        <f t="shared" ca="1" si="95"/>
        <v>97.800115152096723</v>
      </c>
      <c r="O53" s="67">
        <f ca="1">IFERROR(__xludf.DUMMYFUNCTION("IMPORTRANGE(""https://docs.google.com/spreadsheets/d/1-uDff_7J0KD5mKrp0Vvzr7lt3OU09vwQwhkpOPPYv2Y/edit?usp=sharing"",""งบพรบ!DC53"")"),0)</f>
        <v>0</v>
      </c>
      <c r="P53" s="67">
        <f t="shared" ca="1" si="96"/>
        <v>0</v>
      </c>
      <c r="Q53" s="68">
        <f t="shared" ca="1" si="97"/>
        <v>0</v>
      </c>
      <c r="R53" s="67">
        <f ca="1">IFERROR(__xludf.DUMMYFUNCTION("IMPORTRANGE(""https://docs.google.com/spreadsheets/d/13wPX838HrBrQMCywv1BsuMkt4PEKTChp52zj44s2izQ/edit?usp=sharing"",""กาญจนบุรี!Q186"")"),340200)</f>
        <v>340200</v>
      </c>
      <c r="S53" s="67">
        <f ca="1">IFERROR(__xludf.DUMMYFUNCTION("IMPORTRANGE(""https://docs.google.com/spreadsheets/d/13wPX838HrBrQMCywv1BsuMkt4PEKTChp52zj44s2izQ/edit?usp=sharing"",""กาญจนบุรี!R186"")"),340200)</f>
        <v>340200</v>
      </c>
      <c r="T53" s="67">
        <f ca="1">IFERROR(__xludf.DUMMYFUNCTION("IMPORTRANGE(""https://docs.google.com/spreadsheets/d/13wPX838HrBrQMCywv1BsuMkt4PEKTChp52zj44s2izQ/edit?usp=sharing"",""กาญจนบุรี!S186"")"),340200)</f>
        <v>340200</v>
      </c>
      <c r="U53" s="68">
        <f t="shared" ca="1" si="99"/>
        <v>100</v>
      </c>
      <c r="V53" s="68">
        <f t="shared" ca="1" si="100"/>
        <v>100</v>
      </c>
      <c r="W53" s="152">
        <f ca="1">IFERROR(__xludf.DUMMYFUNCTION("IMPORTRANGE(""https://docs.google.com/spreadsheets/d/13wPX838HrBrQMCywv1BsuMkt4PEKTChp52zj44s2izQ/edit?usp=sharing"",""กาญจนบุรี!L196"")"),6000)</f>
        <v>6000</v>
      </c>
      <c r="X53" s="152">
        <f ca="1">IFERROR(__xludf.DUMMYFUNCTION("IMPORTRANGE(""https://docs.google.com/spreadsheets/d/13wPX838HrBrQMCywv1BsuMkt4PEKTChp52zj44s2izQ/edit?usp=sharing"",""กาญจนบุรี!N196"")"),3660)</f>
        <v>3660</v>
      </c>
      <c r="Y53" s="216">
        <f t="shared" ca="1" si="102"/>
        <v>61</v>
      </c>
      <c r="Z53" s="152">
        <f ca="1">IFERROR(__xludf.DUMMYFUNCTION("IMPORTRANGE(""https://docs.google.com/spreadsheets/d/13wPX838HrBrQMCywv1BsuMkt4PEKTChp52zj44s2izQ/edit?usp=sharing"",""กาญจนบุรี!I198"")"),4)</f>
        <v>4</v>
      </c>
      <c r="AA53" s="152">
        <f ca="1">IFERROR(__xludf.DUMMYFUNCTION("IMPORTRANGE(""https://docs.google.com/spreadsheets/d/13wPX838HrBrQMCywv1BsuMkt4PEKTChp52zj44s2izQ/edit?usp=sharing"",""กาญจนบุรี!J198"")"),4)</f>
        <v>4</v>
      </c>
      <c r="AB53" s="216">
        <f t="shared" ca="1" si="104"/>
        <v>100</v>
      </c>
      <c r="AC53" s="152">
        <f ca="1">IFERROR(__xludf.DUMMYFUNCTION("IMPORTRANGE(""https://docs.google.com/spreadsheets/d/13wPX838HrBrQMCywv1BsuMkt4PEKTChp52zj44s2izQ/edit?usp=sharing"",""กาญจนบุรี!J199"")"),118)</f>
        <v>118</v>
      </c>
      <c r="AD53" s="152">
        <f ca="1">IFERROR(__xludf.DUMMYFUNCTION("IMPORTRANGE(""https://docs.google.com/spreadsheets/d/13wPX838HrBrQMCywv1BsuMkt4PEKTChp52zj44s2izQ/edit?usp=sharing"",""กาญจนบุรี!J200"")"),118)</f>
        <v>118</v>
      </c>
      <c r="AE53" s="152">
        <f ca="1">IFERROR(__xludf.DUMMYFUNCTION("IMPORTRANGE(""https://docs.google.com/spreadsheets/d/13wPX838HrBrQMCywv1BsuMkt4PEKTChp52zj44s2izQ/edit?usp=sharing"",""กาญจนบุรี!J201"")"),0)</f>
        <v>0</v>
      </c>
      <c r="AF53" s="152">
        <f ca="1">IFERROR(__xludf.DUMMYFUNCTION("IMPORTRANGE(""https://docs.google.com/spreadsheets/d/13wPX838HrBrQMCywv1BsuMkt4PEKTChp52zj44s2izQ/edit?usp=sharing"",""กาญจนบุรี!L204"")"),3000)</f>
        <v>3000</v>
      </c>
      <c r="AG53" s="152">
        <f ca="1">IFERROR(__xludf.DUMMYFUNCTION("IMPORTRANGE(""https://docs.google.com/spreadsheets/d/13wPX838HrBrQMCywv1BsuMkt4PEKTChp52zj44s2izQ/edit?usp=sharing"",""กาญจนบุรี!N204"")"),3000)</f>
        <v>3000</v>
      </c>
      <c r="AH53" s="216">
        <f t="shared" ca="1" si="106"/>
        <v>100</v>
      </c>
      <c r="AI53" s="152">
        <f ca="1">IFERROR(__xludf.DUMMYFUNCTION("IMPORTRANGE(""https://docs.google.com/spreadsheets/d/13wPX838HrBrQMCywv1BsuMkt4PEKTChp52zj44s2izQ/edit?usp=sharing"",""กาญจนบุรี!L206"")"),0)</f>
        <v>0</v>
      </c>
      <c r="AJ53" s="152">
        <f ca="1">IFERROR(__xludf.DUMMYFUNCTION("IMPORTRANGE(""https://docs.google.com/spreadsheets/d/13wPX838HrBrQMCywv1BsuMkt4PEKTChp52zj44s2izQ/edit?usp=sharing"",""กาญจนบุรี!N206"")"),0)</f>
        <v>0</v>
      </c>
      <c r="AK53" s="216">
        <f t="shared" ca="1" si="108"/>
        <v>0</v>
      </c>
      <c r="AL53" s="152">
        <f ca="1">IFERROR(__xludf.DUMMYFUNCTION("IMPORTRANGE(""https://docs.google.com/spreadsheets/d/13wPX838HrBrQMCywv1BsuMkt4PEKTChp52zj44s2izQ/edit?usp=sharing"",""กาญจนบุรี!Q206"")"),42000)</f>
        <v>42000</v>
      </c>
      <c r="AM53" s="152">
        <f ca="1">IFERROR(__xludf.DUMMYFUNCTION("IMPORTRANGE(""https://docs.google.com/spreadsheets/d/13wPX838HrBrQMCywv1BsuMkt4PEKTChp52zj44s2izQ/edit?usp=sharing"",""กาญจนบุรี!S206"")"),42000)</f>
        <v>42000</v>
      </c>
      <c r="AN53" s="216">
        <f t="shared" ca="1" si="110"/>
        <v>100</v>
      </c>
      <c r="AO53" s="152">
        <f ca="1">IFERROR(__xludf.DUMMYFUNCTION("IMPORTRANGE(""https://docs.google.com/spreadsheets/d/13wPX838HrBrQMCywv1BsuMkt4PEKTChp52zj44s2izQ/edit?usp=sharing"",""กาญจนบุรี!L207"")"),12000)</f>
        <v>12000</v>
      </c>
      <c r="AP53" s="152">
        <f ca="1">IFERROR(__xludf.DUMMYFUNCTION("IMPORTRANGE(""https://docs.google.com/spreadsheets/d/13wPX838HrBrQMCywv1BsuMkt4PEKTChp52zj44s2izQ/edit?usp=sharing"",""กาญจนบุรี!N207"")"),0)</f>
        <v>0</v>
      </c>
      <c r="AQ53" s="216">
        <f t="shared" ca="1" si="112"/>
        <v>0</v>
      </c>
      <c r="AR53" s="152">
        <f ca="1">IFERROR(__xludf.DUMMYFUNCTION("IMPORTRANGE(""https://docs.google.com/spreadsheets/d/13wPX838HrBrQMCywv1BsuMkt4PEKTChp52zj44s2izQ/edit?usp=sharing"",""กาญจนบุรี!I209"")"),3)</f>
        <v>3</v>
      </c>
      <c r="AS53" s="152">
        <f ca="1">IFERROR(__xludf.DUMMYFUNCTION("IMPORTRANGE(""https://docs.google.com/spreadsheets/d/13wPX838HrBrQMCywv1BsuMkt4PEKTChp52zj44s2izQ/edit?usp=sharing"",""กาญจนบุรี!J209"")"),3)</f>
        <v>3</v>
      </c>
      <c r="AT53" s="216">
        <f t="shared" ca="1" si="114"/>
        <v>100</v>
      </c>
      <c r="AU53" s="152">
        <f ca="1">IFERROR(__xludf.DUMMYFUNCTION("IMPORTRANGE(""https://docs.google.com/spreadsheets/d/13wPX838HrBrQMCywv1BsuMkt4PEKTChp52zj44s2izQ/edit?usp=sharing"",""กาญจนบุรี!J211"")"),3)</f>
        <v>3</v>
      </c>
      <c r="AV53" s="152">
        <f ca="1">IFERROR(__xludf.DUMMYFUNCTION("IMPORTRANGE(""https://docs.google.com/spreadsheets/d/13wPX838HrBrQMCywv1BsuMkt4PEKTChp52zj44s2izQ/edit?usp=sharing"",""กาญจนบุรี!J212"")"),0)</f>
        <v>0</v>
      </c>
      <c r="AW53" s="152">
        <f ca="1">IFERROR(__xludf.DUMMYFUNCTION("IMPORTRANGE(""https://docs.google.com/spreadsheets/d/13wPX838HrBrQMCywv1BsuMkt4PEKTChp52zj44s2izQ/edit?usp=sharing"",""กาญจนบุรี!L215"")"),6000)</f>
        <v>6000</v>
      </c>
      <c r="AX53" s="152">
        <f ca="1">IFERROR(__xludf.DUMMYFUNCTION("IMPORTRANGE(""https://docs.google.com/spreadsheets/d/13wPX838HrBrQMCywv1BsuMkt4PEKTChp52zj44s2izQ/edit?usp=sharing"",""กาญจนบุรี!N215"")"),0)</f>
        <v>0</v>
      </c>
      <c r="AY53" s="216">
        <f t="shared" ca="1" si="116"/>
        <v>0</v>
      </c>
      <c r="AZ53" s="152">
        <f ca="1">IFERROR(__xludf.DUMMYFUNCTION("IMPORTRANGE(""https://docs.google.com/spreadsheets/d/13wPX838HrBrQMCywv1BsuMkt4PEKTChp52zj44s2izQ/edit?usp=sharing"",""กาญจนบุรี!L216"")"),30000)</f>
        <v>30000</v>
      </c>
      <c r="BA53" s="152">
        <f ca="1">IFERROR(__xludf.DUMMYFUNCTION("IMPORTRANGE(""https://docs.google.com/spreadsheets/d/13wPX838HrBrQMCywv1BsuMkt4PEKTChp52zj44s2izQ/edit?usp=sharing"",""กาญจนบุรี!N216"")"),0)</f>
        <v>0</v>
      </c>
      <c r="BB53" s="216">
        <f t="shared" ca="1" si="118"/>
        <v>0</v>
      </c>
      <c r="BC53" s="152">
        <f ca="1">IFERROR(__xludf.DUMMYFUNCTION("IMPORTRANGE(""https://docs.google.com/spreadsheets/d/13wPX838HrBrQMCywv1BsuMkt4PEKTChp52zj44s2izQ/edit?usp=sharing"",""กาญจนบุรี!L217"")"),0)</f>
        <v>0</v>
      </c>
      <c r="BD53" s="152">
        <f ca="1">IFERROR(__xludf.DUMMYFUNCTION("IMPORTRANGE(""https://docs.google.com/spreadsheets/d/13wPX838HrBrQMCywv1BsuMkt4PEKTChp52zj44s2izQ/edit?usp=sharing"",""กาญจนบุรี!N217"")"),0)</f>
        <v>0</v>
      </c>
      <c r="BE53" s="216">
        <f t="shared" ca="1" si="120"/>
        <v>0</v>
      </c>
      <c r="BF53" s="152">
        <f ca="1">IFERROR(__xludf.DUMMYFUNCTION("IMPORTRANGE(""https://docs.google.com/spreadsheets/d/13wPX838HrBrQMCywv1BsuMkt4PEKTChp52zj44s2izQ/edit?usp=sharing"",""กาญจนบุรี!Q217"")"),298200)</f>
        <v>298200</v>
      </c>
      <c r="BG53" s="152">
        <f ca="1">IFERROR(__xludf.DUMMYFUNCTION("IMPORTRANGE(""https://docs.google.com/spreadsheets/d/13wPX838HrBrQMCywv1BsuMkt4PEKTChp52zj44s2izQ/edit?usp=sharing"",""กาญจนบุรี!S217"")"),298220)</f>
        <v>298220</v>
      </c>
      <c r="BH53" s="216">
        <f t="shared" ca="1" si="122"/>
        <v>100.00670690811536</v>
      </c>
      <c r="BI53" s="152">
        <f ca="1">IFERROR(__xludf.DUMMYFUNCTION("IMPORTRANGE(""https://docs.google.com/spreadsheets/d/13wPX838HrBrQMCywv1BsuMkt4PEKTChp52zj44s2izQ/edit?usp=sharing"",""กาญจนบุรี!I219"")"),6)</f>
        <v>6</v>
      </c>
      <c r="BJ53" s="152">
        <f ca="1">IFERROR(__xludf.DUMMYFUNCTION("IMPORTRANGE(""https://docs.google.com/spreadsheets/d/13wPX838HrBrQMCywv1BsuMkt4PEKTChp52zj44s2izQ/edit?usp=sharing"",""กาญจนบุรี!J219"")"),0)</f>
        <v>0</v>
      </c>
      <c r="BK53" s="216">
        <f t="shared" ca="1" si="124"/>
        <v>0</v>
      </c>
      <c r="BL53" s="152">
        <f ca="1">IFERROR(__xludf.DUMMYFUNCTION("IMPORTRANGE(""https://docs.google.com/spreadsheets/d/13wPX838HrBrQMCywv1BsuMkt4PEKTChp52zj44s2izQ/edit?usp=sharing"",""กาญจนบุรี!I220"")"),6)</f>
        <v>6</v>
      </c>
      <c r="BM53" s="152">
        <f ca="1">IFERROR(__xludf.DUMMYFUNCTION("IMPORTRANGE(""https://docs.google.com/spreadsheets/d/13wPX838HrBrQMCywv1BsuMkt4PEKTChp52zj44s2izQ/edit?usp=sharing"",""กาญจนบุรี!J220"")"),6)</f>
        <v>6</v>
      </c>
      <c r="BN53" s="216">
        <f t="shared" ca="1" si="126"/>
        <v>100</v>
      </c>
      <c r="BO53" s="152">
        <f ca="1">IFERROR(__xludf.DUMMYFUNCTION("IMPORTRANGE(""https://docs.google.com/spreadsheets/d/13wPX838HrBrQMCywv1BsuMkt4PEKTChp52zj44s2izQ/edit?usp=sharing"",""กาญจนบุรี!L223"")"),2500)</f>
        <v>2500</v>
      </c>
      <c r="BP53" s="152">
        <f ca="1">IFERROR(__xludf.DUMMYFUNCTION("IMPORTRANGE(""https://docs.google.com/spreadsheets/d/13wPX838HrBrQMCywv1BsuMkt4PEKTChp52zj44s2izQ/edit?usp=sharing"",""กาญจนบุรี!N223"")"),5000)</f>
        <v>5000</v>
      </c>
      <c r="BQ53" s="216">
        <f t="shared" ca="1" si="128"/>
        <v>200</v>
      </c>
      <c r="BR53" s="152">
        <f ca="1">IFERROR(__xludf.DUMMYFUNCTION("IMPORTRANGE(""https://docs.google.com/spreadsheets/d/13wPX838HrBrQMCywv1BsuMkt4PEKTChp52zj44s2izQ/edit?usp=sharing"",""กาญจนบุรี!L224"")"),4000)</f>
        <v>4000</v>
      </c>
      <c r="BS53" s="152">
        <f ca="1">IFERROR(__xludf.DUMMYFUNCTION("IMPORTRANGE(""https://docs.google.com/spreadsheets/d/13wPX838HrBrQMCywv1BsuMkt4PEKTChp52zj44s2izQ/edit?usp=sharing"",""กาญจนบุรี!N224"")"),1500)</f>
        <v>1500</v>
      </c>
      <c r="BT53" s="216">
        <f t="shared" ca="1" si="130"/>
        <v>37.5</v>
      </c>
      <c r="BU53" s="152">
        <f ca="1">IFERROR(__xludf.DUMMYFUNCTION("IMPORTRANGE(""https://docs.google.com/spreadsheets/d/13wPX838HrBrQMCywv1BsuMkt4PEKTChp52zj44s2izQ/edit?usp=sharing"",""กาญจนบุรี!I228"")"),40000)</f>
        <v>40000</v>
      </c>
      <c r="BV53" s="152">
        <f ca="1">IFERROR(__xludf.DUMMYFUNCTION("IMPORTRANGE(""https://docs.google.com/spreadsheets/d/13wPX838HrBrQMCywv1BsuMkt4PEKTChp52zj44s2izQ/edit?usp=sharing"",""กาญจนบุรี!J228"")"),40000)</f>
        <v>40000</v>
      </c>
      <c r="BW53" s="216">
        <f t="shared" ca="1" si="132"/>
        <v>100</v>
      </c>
      <c r="BX53" s="152">
        <f ca="1">IFERROR(__xludf.DUMMYFUNCTION("IMPORTRANGE(""https://docs.google.com/spreadsheets/d/13wPX838HrBrQMCywv1BsuMkt4PEKTChp52zj44s2izQ/edit?usp=sharing"",""กาญจนบุรี!I229"")"),40000)</f>
        <v>40000</v>
      </c>
      <c r="BY53" s="152">
        <f ca="1">IFERROR(__xludf.DUMMYFUNCTION("IMPORTRANGE(""https://docs.google.com/spreadsheets/d/13wPX838HrBrQMCywv1BsuMkt4PEKTChp52zj44s2izQ/edit?usp=sharing"",""กาญจนบุรี!J229"")"),40000)</f>
        <v>40000</v>
      </c>
      <c r="BZ53" s="216">
        <f t="shared" ca="1" si="134"/>
        <v>100</v>
      </c>
      <c r="CA53" s="152">
        <f ca="1">IFERROR(__xludf.DUMMYFUNCTION("IMPORTRANGE(""https://docs.google.com/spreadsheets/d/13wPX838HrBrQMCywv1BsuMkt4PEKTChp52zj44s2izQ/edit?usp=sharing"",""กาญจนบุรี!I230"")"),0)</f>
        <v>0</v>
      </c>
      <c r="CB53" s="152">
        <f ca="1">IFERROR(__xludf.DUMMYFUNCTION("IMPORTRANGE(""https://docs.google.com/spreadsheets/d/13wPX838HrBrQMCywv1BsuMkt4PEKTChp52zj44s2izQ/edit?usp=sharing"",""กาญจนบุรี!J230"")"),0)</f>
        <v>0</v>
      </c>
      <c r="CC53" s="216">
        <f t="shared" ca="1" si="136"/>
        <v>0</v>
      </c>
      <c r="CD53" s="152">
        <f ca="1">IFERROR(__xludf.DUMMYFUNCTION("IMPORTRANGE(""https://docs.google.com/spreadsheets/d/13wPX838HrBrQMCywv1BsuMkt4PEKTChp52zj44s2izQ/edit?usp=sharing"",""กาญจนบุรี!L233"")"),14000)</f>
        <v>14000</v>
      </c>
      <c r="CE53" s="152">
        <f ca="1">IFERROR(__xludf.DUMMYFUNCTION("IMPORTRANGE(""https://docs.google.com/spreadsheets/d/13wPX838HrBrQMCywv1BsuMkt4PEKTChp52zj44s2izQ/edit?usp=sharing"",""กาญจนบุรี!N233"")"),9665)</f>
        <v>9665</v>
      </c>
      <c r="CF53" s="216">
        <f t="shared" ca="1" si="138"/>
        <v>69.035714285714292</v>
      </c>
      <c r="CG53" s="152">
        <f ca="1">IFERROR(__xludf.DUMMYFUNCTION("IMPORTRANGE(""https://docs.google.com/spreadsheets/d/13wPX838HrBrQMCywv1BsuMkt4PEKTChp52zj44s2izQ/edit?usp=sharing"",""กาญจนบุรี!L234"")"),2000)</f>
        <v>2000</v>
      </c>
      <c r="CH53" s="152">
        <f ca="1">IFERROR(__xludf.DUMMYFUNCTION("IMPORTRANGE(""https://docs.google.com/spreadsheets/d/13wPX838HrBrQMCywv1BsuMkt4PEKTChp52zj44s2izQ/edit?usp=sharing"",""กาญจนบุรี!N234"")"),0)</f>
        <v>0</v>
      </c>
      <c r="CI53" s="216">
        <f t="shared" ca="1" si="140"/>
        <v>0</v>
      </c>
      <c r="CJ53" s="152">
        <f ca="1">IFERROR(__xludf.DUMMYFUNCTION("IMPORTRANGE(""https://docs.google.com/spreadsheets/d/13wPX838HrBrQMCywv1BsuMkt4PEKTChp52zj44s2izQ/edit?usp=sharing"",""กาญจนบุรี!L235"")"),55600)</f>
        <v>55600</v>
      </c>
      <c r="CK53" s="152">
        <f ca="1">IFERROR(__xludf.DUMMYFUNCTION("IMPORTRANGE(""https://docs.google.com/spreadsheets/d/13wPX838HrBrQMCywv1BsuMkt4PEKTChp52zj44s2izQ/edit?usp=sharing"",""กาญจนบุรี!N235"")"),55600)</f>
        <v>55600</v>
      </c>
      <c r="CL53" s="216">
        <f t="shared" ca="1" si="142"/>
        <v>100</v>
      </c>
      <c r="CM53" s="251">
        <f ca="1">IFERROR(__xludf.DUMMYFUNCTION("IMPORTRANGE(""https://docs.google.com/spreadsheets/d/13wPX838HrBrQMCywv1BsuMkt4PEKTChp52zj44s2izQ/edit?usp=sharing"",""กาญจนบุรี!Q235"")"),0)</f>
        <v>0</v>
      </c>
      <c r="CN53" s="251">
        <f ca="1">IFERROR(__xludf.DUMMYFUNCTION("IMPORTRANGE(""https://docs.google.com/spreadsheets/d/13wPX838HrBrQMCywv1BsuMkt4PEKTChp52zj44s2izQ/edit?usp=sharing"",""กาญจนบุรี!S235"")"),0)</f>
        <v>0</v>
      </c>
      <c r="CO53" s="216">
        <f t="shared" ca="1" si="144"/>
        <v>0</v>
      </c>
      <c r="CP53" s="152">
        <f ca="1">IFERROR(__xludf.DUMMYFUNCTION("IMPORTRANGE(""https://docs.google.com/spreadsheets/d/13wPX838HrBrQMCywv1BsuMkt4PEKTChp52zj44s2izQ/edit?usp=sharing"",""กาญจนบุรี!L236"")"),66000)</f>
        <v>66000</v>
      </c>
      <c r="CQ53" s="152">
        <f ca="1">IFERROR(__xludf.DUMMYFUNCTION("IMPORTRANGE(""https://docs.google.com/spreadsheets/d/13wPX838HrBrQMCywv1BsuMkt4PEKTChp52zj44s2izQ/edit?usp=sharing"",""กาญจนบุรี!N236"")"),46000)</f>
        <v>46000</v>
      </c>
      <c r="CR53" s="216">
        <f t="shared" ca="1" si="146"/>
        <v>69.696969696969703</v>
      </c>
      <c r="CS53" s="152">
        <f ca="1">IFERROR(__xludf.DUMMYFUNCTION("IMPORTRANGE(""https://docs.google.com/spreadsheets/d/13wPX838HrBrQMCywv1BsuMkt4PEKTChp52zj44s2izQ/edit?usp=sharing"",""กาญจนบุรี!I238"")"),30)</f>
        <v>30</v>
      </c>
      <c r="CT53" s="152">
        <f ca="1">IFERROR(__xludf.DUMMYFUNCTION("IMPORTRANGE(""https://docs.google.com/spreadsheets/d/13wPX838HrBrQMCywv1BsuMkt4PEKTChp52zj44s2izQ/edit?usp=sharing"",""กาญจนบุรี!J238"")"),30)</f>
        <v>30</v>
      </c>
      <c r="CU53" s="216">
        <f t="shared" ca="1" si="148"/>
        <v>100</v>
      </c>
      <c r="CV53" s="152">
        <f ca="1">IFERROR(__xludf.DUMMYFUNCTION("IMPORTRANGE(""https://docs.google.com/spreadsheets/d/13wPX838HrBrQMCywv1BsuMkt4PEKTChp52zj44s2izQ/edit?usp=sharing"",""กาญจนบุรี!J240"")"),30)</f>
        <v>30</v>
      </c>
      <c r="CW53" s="152">
        <f ca="1">IFERROR(__xludf.DUMMYFUNCTION("IMPORTRANGE(""https://docs.google.com/spreadsheets/d/13wPX838HrBrQMCywv1BsuMkt4PEKTChp52zj44s2izQ/edit?usp=sharing"",""กาญจนบุรี!J241"")"),1)</f>
        <v>1</v>
      </c>
    </row>
    <row r="54" spans="1:101" ht="21" customHeight="1" x14ac:dyDescent="0.3">
      <c r="A54" s="147">
        <v>2</v>
      </c>
      <c r="B54" s="148" t="s">
        <v>82</v>
      </c>
      <c r="C54" s="149">
        <f t="shared" ca="1" si="90"/>
        <v>360900</v>
      </c>
      <c r="D54" s="150">
        <f t="shared" ca="1" si="206"/>
        <v>360900</v>
      </c>
      <c r="E54" s="151">
        <f ca="1">IFERROR(__xludf.DUMMYFUNCTION("IMPORTRANGE(""https://docs.google.com/spreadsheets/d/1-uDff_7J0KD5mKrp0Vvzr7lt3OU09vwQwhkpOPPYv2Y/edit?usp=sharing"",""งบพรบ!CV54"")"),262700)</f>
        <v>262700</v>
      </c>
      <c r="F54" s="151">
        <f ca="1">IFERROR(__xludf.DUMMYFUNCTION("IMPORTRANGE(""https://docs.google.com/spreadsheets/d/1-uDff_7J0KD5mKrp0Vvzr7lt3OU09vwQwhkpOPPYv2Y/edit?usp=sharing"",""งบพรบ!CW54"")"),98200)</f>
        <v>98200</v>
      </c>
      <c r="G54" s="151">
        <f ca="1">IFERROR(__xludf.DUMMYFUNCTION("IMPORTRANGE(""https://docs.google.com/spreadsheets/d/1-uDff_7J0KD5mKrp0Vvzr7lt3OU09vwQwhkpOPPYv2Y/edit?usp=sharing"",""งบพรบ!CX54"")"),0)</f>
        <v>0</v>
      </c>
      <c r="H54" s="151">
        <f ca="1">IFERROR(__xludf.DUMMYFUNCTION("IMPORTRANGE(""https://docs.google.com/spreadsheets/d/1-uDff_7J0KD5mKrp0Vvzr7lt3OU09vwQwhkpOPPYv2Y/edit?usp=sharing"",""งบพรบ!CZ54"")"),367900)</f>
        <v>367900</v>
      </c>
      <c r="I54" s="151">
        <f ca="1">IFERROR(__xludf.DUMMYFUNCTION("IMPORTRANGE(""https://docs.google.com/spreadsheets/d/1-uDff_7J0KD5mKrp0Vvzr7lt3OU09vwQwhkpOPPYv2Y/edit?usp=sharing"",""งบพรบ!DA54"")"),0)</f>
        <v>0</v>
      </c>
      <c r="J54" s="151">
        <f t="shared" ca="1" si="92"/>
        <v>278578.02</v>
      </c>
      <c r="K54" s="154">
        <f t="shared" ca="1" si="93"/>
        <v>77.18980881130507</v>
      </c>
      <c r="L54" s="151">
        <f ca="1">IFERROR(__xludf.DUMMYFUNCTION("IMPORTRANGE(""https://docs.google.com/spreadsheets/d/1-uDff_7J0KD5mKrp0Vvzr7lt3OU09vwQwhkpOPPYv2Y/edit?usp=sharing"",""งบพรบ!DB54"")"),278578.02)</f>
        <v>278578.02</v>
      </c>
      <c r="M54" s="68">
        <f t="shared" ca="1" si="94"/>
        <v>77.18980881130507</v>
      </c>
      <c r="N54" s="68">
        <f t="shared" ca="1" si="95"/>
        <v>75.721125305789613</v>
      </c>
      <c r="O54" s="67">
        <f ca="1">IFERROR(__xludf.DUMMYFUNCTION("IMPORTRANGE(""https://docs.google.com/spreadsheets/d/1-uDff_7J0KD5mKrp0Vvzr7lt3OU09vwQwhkpOPPYv2Y/edit?usp=sharing"",""งบพรบ!DC54"")"),0)</f>
        <v>0</v>
      </c>
      <c r="P54" s="67">
        <f t="shared" ca="1" si="96"/>
        <v>0</v>
      </c>
      <c r="Q54" s="68">
        <f t="shared" ca="1" si="97"/>
        <v>0</v>
      </c>
      <c r="R54" s="67">
        <f ca="1">IFERROR(__xludf.DUMMYFUNCTION("IMPORTRANGE(""https://docs.google.com/spreadsheets/d/1ddFKvqj1W1NEiWytbGlB1zMx_ykJDVtmfEQ-6-lIUBA/edit?usp=sharing"",""จันทบุรี!Q186"")"),63700)</f>
        <v>63700</v>
      </c>
      <c r="S54" s="67">
        <f ca="1">IFERROR(__xludf.DUMMYFUNCTION("IMPORTRANGE(""https://docs.google.com/spreadsheets/d/1ddFKvqj1W1NEiWytbGlB1zMx_ykJDVtmfEQ-6-lIUBA/edit?usp=sharing"",""จันทบุรี!R186"")"),63700)</f>
        <v>63700</v>
      </c>
      <c r="T54" s="67">
        <f ca="1">IFERROR(__xludf.DUMMYFUNCTION("IMPORTRANGE(""https://docs.google.com/spreadsheets/d/1ddFKvqj1W1NEiWytbGlB1zMx_ykJDVtmfEQ-6-lIUBA/edit?usp=sharing"",""จันทบุรี!S186"")"),63700)</f>
        <v>63700</v>
      </c>
      <c r="U54" s="68">
        <f t="shared" ca="1" si="99"/>
        <v>100</v>
      </c>
      <c r="V54" s="68">
        <f t="shared" ca="1" si="100"/>
        <v>100</v>
      </c>
      <c r="W54" s="152">
        <f ca="1">IFERROR(__xludf.DUMMYFUNCTION("IMPORTRANGE(""https://docs.google.com/spreadsheets/d/1ddFKvqj1W1NEiWytbGlB1zMx_ykJDVtmfEQ-6-lIUBA/edit?usp=sharing"",""จันทบุรี!L196"")"),6000)</f>
        <v>6000</v>
      </c>
      <c r="X54" s="152">
        <f ca="1">IFERROR(__xludf.DUMMYFUNCTION("IMPORTRANGE(""https://docs.google.com/spreadsheets/d/1ddFKvqj1W1NEiWytbGlB1zMx_ykJDVtmfEQ-6-lIUBA/edit?usp=sharing"",""จันทบุรี!N196"")"),7000)</f>
        <v>7000</v>
      </c>
      <c r="Y54" s="216">
        <f t="shared" ca="1" si="102"/>
        <v>116.66666666666667</v>
      </c>
      <c r="Z54" s="152">
        <f ca="1">IFERROR(__xludf.DUMMYFUNCTION("IMPORTRANGE(""https://docs.google.com/spreadsheets/d/1ddFKvqj1W1NEiWytbGlB1zMx_ykJDVtmfEQ-6-lIUBA/edit?usp=sharing"",""จันทบุรี!I198"")"),4)</f>
        <v>4</v>
      </c>
      <c r="AA54" s="152">
        <f ca="1">IFERROR(__xludf.DUMMYFUNCTION("IMPORTRANGE(""https://docs.google.com/spreadsheets/d/1ddFKvqj1W1NEiWytbGlB1zMx_ykJDVtmfEQ-6-lIUBA/edit?usp=sharing"",""จันทบุรี!J198"")"),4)</f>
        <v>4</v>
      </c>
      <c r="AB54" s="216">
        <f t="shared" ca="1" si="104"/>
        <v>100</v>
      </c>
      <c r="AC54" s="152">
        <f ca="1">IFERROR(__xludf.DUMMYFUNCTION("IMPORTRANGE(""https://docs.google.com/spreadsheets/d/1ddFKvqj1W1NEiWytbGlB1zMx_ykJDVtmfEQ-6-lIUBA/edit?usp=sharing"",""จันทบุรี!J199"")"),309)</f>
        <v>309</v>
      </c>
      <c r="AD54" s="152">
        <f ca="1">IFERROR(__xludf.DUMMYFUNCTION("IMPORTRANGE(""https://docs.google.com/spreadsheets/d/1ddFKvqj1W1NEiWytbGlB1zMx_ykJDVtmfEQ-6-lIUBA/edit?usp=sharing"",""จันทบุรี!J200"")"),309)</f>
        <v>309</v>
      </c>
      <c r="AE54" s="152">
        <f ca="1">IFERROR(__xludf.DUMMYFUNCTION("IMPORTRANGE(""https://docs.google.com/spreadsheets/d/1ddFKvqj1W1NEiWytbGlB1zMx_ykJDVtmfEQ-6-lIUBA/edit?usp=sharing"",""จันทบุรี!J201"")"),0)</f>
        <v>0</v>
      </c>
      <c r="AF54" s="152">
        <f ca="1">IFERROR(__xludf.DUMMYFUNCTION("IMPORTRANGE(""https://docs.google.com/spreadsheets/d/1ddFKvqj1W1NEiWytbGlB1zMx_ykJDVtmfEQ-6-lIUBA/edit?usp=sharing"",""จันทบุรี!L204"")"),2000)</f>
        <v>2000</v>
      </c>
      <c r="AG54" s="152">
        <f ca="1">IFERROR(__xludf.DUMMYFUNCTION("IMPORTRANGE(""https://docs.google.com/spreadsheets/d/1ddFKvqj1W1NEiWytbGlB1zMx_ykJDVtmfEQ-6-lIUBA/edit?usp=sharing"",""จันทบุรี!N204"")"),2000)</f>
        <v>2000</v>
      </c>
      <c r="AH54" s="216">
        <f t="shared" ca="1" si="106"/>
        <v>100</v>
      </c>
      <c r="AI54" s="152">
        <f ca="1">IFERROR(__xludf.DUMMYFUNCTION("IMPORTRANGE(""https://docs.google.com/spreadsheets/d/1ddFKvqj1W1NEiWytbGlB1zMx_ykJDVtmfEQ-6-lIUBA/edit?usp=sharing"",""จันทบุรี!L206"")"),8000)</f>
        <v>8000</v>
      </c>
      <c r="AJ54" s="152">
        <f ca="1">IFERROR(__xludf.DUMMYFUNCTION("IMPORTRANGE(""https://docs.google.com/spreadsheets/d/1ddFKvqj1W1NEiWytbGlB1zMx_ykJDVtmfEQ-6-lIUBA/edit?usp=sharing"",""จันทบุรี!N206"")"),8000)</f>
        <v>8000</v>
      </c>
      <c r="AK54" s="216">
        <f t="shared" ca="1" si="108"/>
        <v>100</v>
      </c>
      <c r="AL54" s="152">
        <f ca="1">IFERROR(__xludf.DUMMYFUNCTION("IMPORTRANGE(""https://docs.google.com/spreadsheets/d/1ddFKvqj1W1NEiWytbGlB1zMx_ykJDVtmfEQ-6-lIUBA/edit?usp=sharing"",""จันทบุรี!Q206"")"),14000)</f>
        <v>14000</v>
      </c>
      <c r="AM54" s="152">
        <f ca="1">IFERROR(__xludf.DUMMYFUNCTION("IMPORTRANGE(""https://docs.google.com/spreadsheets/d/1ddFKvqj1W1NEiWytbGlB1zMx_ykJDVtmfEQ-6-lIUBA/edit?usp=sharing"",""จันทบุรี!S206"")"),14000)</f>
        <v>14000</v>
      </c>
      <c r="AN54" s="216">
        <f t="shared" ca="1" si="110"/>
        <v>100</v>
      </c>
      <c r="AO54" s="152">
        <f ca="1">IFERROR(__xludf.DUMMYFUNCTION("IMPORTRANGE(""https://docs.google.com/spreadsheets/d/1ddFKvqj1W1NEiWytbGlB1zMx_ykJDVtmfEQ-6-lIUBA/edit?usp=sharing"",""จันทบุรี!L207"")"),8000)</f>
        <v>8000</v>
      </c>
      <c r="AP54" s="152">
        <f ca="1">IFERROR(__xludf.DUMMYFUNCTION("IMPORTRANGE(""https://docs.google.com/spreadsheets/d/1ddFKvqj1W1NEiWytbGlB1zMx_ykJDVtmfEQ-6-lIUBA/edit?usp=sharing"",""จันทบุรี!N207"")"),8000)</f>
        <v>8000</v>
      </c>
      <c r="AQ54" s="216">
        <f t="shared" ca="1" si="112"/>
        <v>100</v>
      </c>
      <c r="AR54" s="152">
        <f ca="1">IFERROR(__xludf.DUMMYFUNCTION("IMPORTRANGE(""https://docs.google.com/spreadsheets/d/1ddFKvqj1W1NEiWytbGlB1zMx_ykJDVtmfEQ-6-lIUBA/edit?usp=sharing"",""จันทบุรี!I209"")"),2)</f>
        <v>2</v>
      </c>
      <c r="AS54" s="152">
        <f ca="1">IFERROR(__xludf.DUMMYFUNCTION("IMPORTRANGE(""https://docs.google.com/spreadsheets/d/1ddFKvqj1W1NEiWytbGlB1zMx_ykJDVtmfEQ-6-lIUBA/edit?usp=sharing"",""จันทบุรี!J209"")"),2)</f>
        <v>2</v>
      </c>
      <c r="AT54" s="216">
        <f t="shared" ca="1" si="114"/>
        <v>100</v>
      </c>
      <c r="AU54" s="152">
        <f ca="1">IFERROR(__xludf.DUMMYFUNCTION("IMPORTRANGE(""https://docs.google.com/spreadsheets/d/1ddFKvqj1W1NEiWytbGlB1zMx_ykJDVtmfEQ-6-lIUBA/edit?usp=sharing"",""จันทบุรี!J211"")"),2)</f>
        <v>2</v>
      </c>
      <c r="AV54" s="152">
        <f ca="1">IFERROR(__xludf.DUMMYFUNCTION("IMPORTRANGE(""https://docs.google.com/spreadsheets/d/1ddFKvqj1W1NEiWytbGlB1zMx_ykJDVtmfEQ-6-lIUBA/edit?usp=sharing"",""จันทบุรี!J212"")"),0)</f>
        <v>0</v>
      </c>
      <c r="AW54" s="152">
        <f ca="1">IFERROR(__xludf.DUMMYFUNCTION("IMPORTRANGE(""https://docs.google.com/spreadsheets/d/1ddFKvqj1W1NEiWytbGlB1zMx_ykJDVtmfEQ-6-lIUBA/edit?usp=sharing"",""จันทบุรี!L215"")"),1000)</f>
        <v>1000</v>
      </c>
      <c r="AX54" s="152">
        <f ca="1">IFERROR(__xludf.DUMMYFUNCTION("IMPORTRANGE(""https://docs.google.com/spreadsheets/d/1ddFKvqj1W1NEiWytbGlB1zMx_ykJDVtmfEQ-6-lIUBA/edit?usp=sharing"",""จันทบุรี!N215"")"),1000)</f>
        <v>1000</v>
      </c>
      <c r="AY54" s="216">
        <f t="shared" ca="1" si="116"/>
        <v>100</v>
      </c>
      <c r="AZ54" s="152">
        <f ca="1">IFERROR(__xludf.DUMMYFUNCTION("IMPORTRANGE(""https://docs.google.com/spreadsheets/d/1ddFKvqj1W1NEiWytbGlB1zMx_ykJDVtmfEQ-6-lIUBA/edit?usp=sharing"",""จันทบุรี!L216"")"),5000)</f>
        <v>5000</v>
      </c>
      <c r="BA54" s="152">
        <f ca="1">IFERROR(__xludf.DUMMYFUNCTION("IMPORTRANGE(""https://docs.google.com/spreadsheets/d/1ddFKvqj1W1NEiWytbGlB1zMx_ykJDVtmfEQ-6-lIUBA/edit?usp=sharing"",""จันทบุรี!N216"")"),5000)</f>
        <v>5000</v>
      </c>
      <c r="BB54" s="216">
        <f t="shared" ca="1" si="118"/>
        <v>100</v>
      </c>
      <c r="BC54" s="152">
        <f ca="1">IFERROR(__xludf.DUMMYFUNCTION("IMPORTRANGE(""https://docs.google.com/spreadsheets/d/1ddFKvqj1W1NEiWytbGlB1zMx_ykJDVtmfEQ-6-lIUBA/edit?usp=sharing"",""จันทบุรี!L217"")"),0)</f>
        <v>0</v>
      </c>
      <c r="BD54" s="152">
        <f ca="1">IFERROR(__xludf.DUMMYFUNCTION("IMPORTRANGE(""https://docs.google.com/spreadsheets/d/1ddFKvqj1W1NEiWytbGlB1zMx_ykJDVtmfEQ-6-lIUBA/edit?usp=sharing"",""จันทบุรี!N217"")"),0)</f>
        <v>0</v>
      </c>
      <c r="BE54" s="216">
        <f t="shared" ca="1" si="120"/>
        <v>0</v>
      </c>
      <c r="BF54" s="152">
        <f ca="1">IFERROR(__xludf.DUMMYFUNCTION("IMPORTRANGE(""https://docs.google.com/spreadsheets/d/1ddFKvqj1W1NEiWytbGlB1zMx_ykJDVtmfEQ-6-lIUBA/edit?usp=sharing"",""จันทบุรี!Q217"")"),49700)</f>
        <v>49700</v>
      </c>
      <c r="BG54" s="152">
        <f ca="1">IFERROR(__xludf.DUMMYFUNCTION("IMPORTRANGE(""https://docs.google.com/spreadsheets/d/1ddFKvqj1W1NEiWytbGlB1zMx_ykJDVtmfEQ-6-lIUBA/edit?usp=sharing"",""จันทบุรี!S217"")"),49700)</f>
        <v>49700</v>
      </c>
      <c r="BH54" s="216">
        <f t="shared" ca="1" si="122"/>
        <v>100</v>
      </c>
      <c r="BI54" s="152">
        <f ca="1">IFERROR(__xludf.DUMMYFUNCTION("IMPORTRANGE(""https://docs.google.com/spreadsheets/d/1ddFKvqj1W1NEiWytbGlB1zMx_ykJDVtmfEQ-6-lIUBA/edit?usp=sharing"",""จันทบุรี!I219"")"),1)</f>
        <v>1</v>
      </c>
      <c r="BJ54" s="152">
        <f ca="1">IFERROR(__xludf.DUMMYFUNCTION("IMPORTRANGE(""https://docs.google.com/spreadsheets/d/1ddFKvqj1W1NEiWytbGlB1zMx_ykJDVtmfEQ-6-lIUBA/edit?usp=sharing"",""จันทบุรี!J219"")"),1)</f>
        <v>1</v>
      </c>
      <c r="BK54" s="216">
        <f t="shared" ca="1" si="124"/>
        <v>100</v>
      </c>
      <c r="BL54" s="152">
        <f ca="1">IFERROR(__xludf.DUMMYFUNCTION("IMPORTRANGE(""https://docs.google.com/spreadsheets/d/1ddFKvqj1W1NEiWytbGlB1zMx_ykJDVtmfEQ-6-lIUBA/edit?usp=sharing"",""จันทบุรี!I220"")"),1)</f>
        <v>1</v>
      </c>
      <c r="BM54" s="152">
        <f ca="1">IFERROR(__xludf.DUMMYFUNCTION("IMPORTRANGE(""https://docs.google.com/spreadsheets/d/1ddFKvqj1W1NEiWytbGlB1zMx_ykJDVtmfEQ-6-lIUBA/edit?usp=sharing"",""จันทบุรี!J220"")"),1)</f>
        <v>1</v>
      </c>
      <c r="BN54" s="216">
        <f t="shared" ca="1" si="126"/>
        <v>100</v>
      </c>
      <c r="BO54" s="152">
        <f ca="1">IFERROR(__xludf.DUMMYFUNCTION("IMPORTRANGE(""https://docs.google.com/spreadsheets/d/1ddFKvqj1W1NEiWytbGlB1zMx_ykJDVtmfEQ-6-lIUBA/edit?usp=sharing"",""จันทบุรี!L223"")"),2500)</f>
        <v>2500</v>
      </c>
      <c r="BP54" s="152">
        <f ca="1">IFERROR(__xludf.DUMMYFUNCTION("IMPORTRANGE(""https://docs.google.com/spreadsheets/d/1ddFKvqj1W1NEiWytbGlB1zMx_ykJDVtmfEQ-6-lIUBA/edit?usp=sharing"",""จันทบุรี!N223"")"),1500)</f>
        <v>1500</v>
      </c>
      <c r="BQ54" s="216">
        <f t="shared" ca="1" si="128"/>
        <v>60</v>
      </c>
      <c r="BR54" s="152">
        <f ca="1">IFERROR(__xludf.DUMMYFUNCTION("IMPORTRANGE(""https://docs.google.com/spreadsheets/d/1ddFKvqj1W1NEiWytbGlB1zMx_ykJDVtmfEQ-6-lIUBA/edit?usp=sharing"",""จันทบุรี!L224"")"),2000)</f>
        <v>2000</v>
      </c>
      <c r="BS54" s="152">
        <f ca="1">IFERROR(__xludf.DUMMYFUNCTION("IMPORTRANGE(""https://docs.google.com/spreadsheets/d/1ddFKvqj1W1NEiWytbGlB1zMx_ykJDVtmfEQ-6-lIUBA/edit?usp=sharing"",""จันทบุรี!N224"")"),2000)</f>
        <v>2000</v>
      </c>
      <c r="BT54" s="216">
        <f t="shared" ca="1" si="130"/>
        <v>100</v>
      </c>
      <c r="BU54" s="152">
        <f ca="1">IFERROR(__xludf.DUMMYFUNCTION("IMPORTRANGE(""https://docs.google.com/spreadsheets/d/1ddFKvqj1W1NEiWytbGlB1zMx_ykJDVtmfEQ-6-lIUBA/edit?usp=sharing"",""จันทบุรี!I228"")"),12800)</f>
        <v>12800</v>
      </c>
      <c r="BV54" s="152">
        <f ca="1">IFERROR(__xludf.DUMMYFUNCTION("IMPORTRANGE(""https://docs.google.com/spreadsheets/d/1ddFKvqj1W1NEiWytbGlB1zMx_ykJDVtmfEQ-6-lIUBA/edit?usp=sharing"",""จันทบุรี!J228"")"),12800)</f>
        <v>12800</v>
      </c>
      <c r="BW54" s="216">
        <f t="shared" ca="1" si="132"/>
        <v>100</v>
      </c>
      <c r="BX54" s="152">
        <f ca="1">IFERROR(__xludf.DUMMYFUNCTION("IMPORTRANGE(""https://docs.google.com/spreadsheets/d/1ddFKvqj1W1NEiWytbGlB1zMx_ykJDVtmfEQ-6-lIUBA/edit?usp=sharing"",""จันทบุรี!I229"")"),12800)</f>
        <v>12800</v>
      </c>
      <c r="BY54" s="152">
        <f ca="1">IFERROR(__xludf.DUMMYFUNCTION("IMPORTRANGE(""https://docs.google.com/spreadsheets/d/1ddFKvqj1W1NEiWytbGlB1zMx_ykJDVtmfEQ-6-lIUBA/edit?usp=sharing"",""จันทบุรี!J229"")"),12800)</f>
        <v>12800</v>
      </c>
      <c r="BZ54" s="216">
        <f t="shared" ca="1" si="134"/>
        <v>100</v>
      </c>
      <c r="CA54" s="152">
        <f ca="1">IFERROR(__xludf.DUMMYFUNCTION("IMPORTRANGE(""https://docs.google.com/spreadsheets/d/1ddFKvqj1W1NEiWytbGlB1zMx_ykJDVtmfEQ-6-lIUBA/edit?usp=sharing"",""จันทบุรี!I230"")"),0)</f>
        <v>0</v>
      </c>
      <c r="CB54" s="152">
        <f ca="1">IFERROR(__xludf.DUMMYFUNCTION("IMPORTRANGE(""https://docs.google.com/spreadsheets/d/1ddFKvqj1W1NEiWytbGlB1zMx_ykJDVtmfEQ-6-lIUBA/edit?usp=sharing"",""จันทบุรี!J230"")"),0)</f>
        <v>0</v>
      </c>
      <c r="CC54" s="216">
        <f t="shared" ca="1" si="136"/>
        <v>0</v>
      </c>
      <c r="CD54" s="152">
        <f ca="1">IFERROR(__xludf.DUMMYFUNCTION("IMPORTRANGE(""https://docs.google.com/spreadsheets/d/1ddFKvqj1W1NEiWytbGlB1zMx_ykJDVtmfEQ-6-lIUBA/edit?usp=sharing"",""จันทบุรี!L233"")"),14000)</f>
        <v>14000</v>
      </c>
      <c r="CE54" s="152">
        <f ca="1">IFERROR(__xludf.DUMMYFUNCTION("IMPORTRANGE(""https://docs.google.com/spreadsheets/d/1ddFKvqj1W1NEiWytbGlB1zMx_ykJDVtmfEQ-6-lIUBA/edit?usp=sharing"",""จันทบุรี!N233"")"),2895)</f>
        <v>2895</v>
      </c>
      <c r="CF54" s="216">
        <f t="shared" ca="1" si="138"/>
        <v>20.678571428571427</v>
      </c>
      <c r="CG54" s="152">
        <f ca="1">IFERROR(__xludf.DUMMYFUNCTION("IMPORTRANGE(""https://docs.google.com/spreadsheets/d/1ddFKvqj1W1NEiWytbGlB1zMx_ykJDVtmfEQ-6-lIUBA/edit?usp=sharing"",""จันทบุรี!L234"")"),2000)</f>
        <v>2000</v>
      </c>
      <c r="CH54" s="152">
        <f ca="1">IFERROR(__xludf.DUMMYFUNCTION("IMPORTRANGE(""https://docs.google.com/spreadsheets/d/1ddFKvqj1W1NEiWytbGlB1zMx_ykJDVtmfEQ-6-lIUBA/edit?usp=sharing"",""จันทบุรี!N234"")"),0)</f>
        <v>0</v>
      </c>
      <c r="CI54" s="216">
        <f t="shared" ca="1" si="140"/>
        <v>0</v>
      </c>
      <c r="CJ54" s="152">
        <f ca="1">IFERROR(__xludf.DUMMYFUNCTION("IMPORTRANGE(""https://docs.google.com/spreadsheets/d/1ddFKvqj1W1NEiWytbGlB1zMx_ykJDVtmfEQ-6-lIUBA/edit?usp=sharing"",""จันทบุรี!L235"")"),27700)</f>
        <v>27700</v>
      </c>
      <c r="CK54" s="152">
        <f ca="1">IFERROR(__xludf.DUMMYFUNCTION("IMPORTRANGE(""https://docs.google.com/spreadsheets/d/1ddFKvqj1W1NEiWytbGlB1zMx_ykJDVtmfEQ-6-lIUBA/edit?usp=sharing"",""จันทบุรี!N235"")"),27700)</f>
        <v>27700</v>
      </c>
      <c r="CL54" s="216">
        <f t="shared" ca="1" si="142"/>
        <v>100</v>
      </c>
      <c r="CM54" s="251">
        <f ca="1">IFERROR(__xludf.DUMMYFUNCTION("IMPORTRANGE(""https://docs.google.com/spreadsheets/d/1ddFKvqj1W1NEiWytbGlB1zMx_ykJDVtmfEQ-6-lIUBA/edit?usp=sharing"",""จันทบุรี!Q235"")"),0)</f>
        <v>0</v>
      </c>
      <c r="CN54" s="251">
        <f ca="1">IFERROR(__xludf.DUMMYFUNCTION("IMPORTRANGE(""https://docs.google.com/spreadsheets/d/1ddFKvqj1W1NEiWytbGlB1zMx_ykJDVtmfEQ-6-lIUBA/edit?usp=sharing"",""จันทบุรี!S235"")"),0)</f>
        <v>0</v>
      </c>
      <c r="CO54" s="216">
        <f t="shared" ca="1" si="144"/>
        <v>0</v>
      </c>
      <c r="CP54" s="152">
        <f ca="1">IFERROR(__xludf.DUMMYFUNCTION("IMPORTRANGE(""https://docs.google.com/spreadsheets/d/1ddFKvqj1W1NEiWytbGlB1zMx_ykJDVtmfEQ-6-lIUBA/edit?usp=sharing"",""จันทบุรี!L236"")"),20000)</f>
        <v>20000</v>
      </c>
      <c r="CQ54" s="152">
        <f ca="1">IFERROR(__xludf.DUMMYFUNCTION("IMPORTRANGE(""https://docs.google.com/spreadsheets/d/1ddFKvqj1W1NEiWytbGlB1zMx_ykJDVtmfEQ-6-lIUBA/edit?usp=sharing"",""จันทบุรี!N236"")"),20000)</f>
        <v>20000</v>
      </c>
      <c r="CR54" s="216">
        <f t="shared" ca="1" si="146"/>
        <v>100</v>
      </c>
      <c r="CS54" s="152">
        <f ca="1">IFERROR(__xludf.DUMMYFUNCTION("IMPORTRANGE(""https://docs.google.com/spreadsheets/d/1ddFKvqj1W1NEiWytbGlB1zMx_ykJDVtmfEQ-6-lIUBA/edit?usp=sharing"",""จันทบุรี!I238"")"),10)</f>
        <v>10</v>
      </c>
      <c r="CT54" s="152">
        <f ca="1">IFERROR(__xludf.DUMMYFUNCTION("IMPORTRANGE(""https://docs.google.com/spreadsheets/d/1ddFKvqj1W1NEiWytbGlB1zMx_ykJDVtmfEQ-6-lIUBA/edit?usp=sharing"",""จันทบุรี!J238"")"),10)</f>
        <v>10</v>
      </c>
      <c r="CU54" s="216">
        <f t="shared" ca="1" si="148"/>
        <v>100</v>
      </c>
      <c r="CV54" s="152">
        <f ca="1">IFERROR(__xludf.DUMMYFUNCTION("IMPORTRANGE(""https://docs.google.com/spreadsheets/d/1ddFKvqj1W1NEiWytbGlB1zMx_ykJDVtmfEQ-6-lIUBA/edit?usp=sharing"",""จันทบุรี!J240"")"),10)</f>
        <v>10</v>
      </c>
      <c r="CW54" s="152">
        <f ca="1">IFERROR(__xludf.DUMMYFUNCTION("IMPORTRANGE(""https://docs.google.com/spreadsheets/d/1ddFKvqj1W1NEiWytbGlB1zMx_ykJDVtmfEQ-6-lIUBA/edit?usp=sharing"",""จันทบุรี!J241"")"),1)</f>
        <v>1</v>
      </c>
    </row>
    <row r="55" spans="1:101" ht="21" customHeight="1" x14ac:dyDescent="0.3">
      <c r="A55" s="147">
        <v>3</v>
      </c>
      <c r="B55" s="148" t="s">
        <v>83</v>
      </c>
      <c r="C55" s="149">
        <f t="shared" ca="1" si="90"/>
        <v>377400</v>
      </c>
      <c r="D55" s="150">
        <f t="shared" ca="1" si="206"/>
        <v>377400</v>
      </c>
      <c r="E55" s="151">
        <f ca="1">IFERROR(__xludf.DUMMYFUNCTION("IMPORTRANGE(""https://docs.google.com/spreadsheets/d/1-uDff_7J0KD5mKrp0Vvzr7lt3OU09vwQwhkpOPPYv2Y/edit?usp=sharing"",""งบพรบ!CV55"")"),143000)</f>
        <v>143000</v>
      </c>
      <c r="F55" s="151">
        <f ca="1">IFERROR(__xludf.DUMMYFUNCTION("IMPORTRANGE(""https://docs.google.com/spreadsheets/d/1-uDff_7J0KD5mKrp0Vvzr7lt3OU09vwQwhkpOPPYv2Y/edit?usp=sharing"",""งบพรบ!CW55"")"),234400)</f>
        <v>234400</v>
      </c>
      <c r="G55" s="151">
        <f ca="1">IFERROR(__xludf.DUMMYFUNCTION("IMPORTRANGE(""https://docs.google.com/spreadsheets/d/1-uDff_7J0KD5mKrp0Vvzr7lt3OU09vwQwhkpOPPYv2Y/edit?usp=sharing"",""งบพรบ!CX55"")"),0)</f>
        <v>0</v>
      </c>
      <c r="H55" s="151">
        <f ca="1">IFERROR(__xludf.DUMMYFUNCTION("IMPORTRANGE(""https://docs.google.com/spreadsheets/d/1-uDff_7J0KD5mKrp0Vvzr7lt3OU09vwQwhkpOPPYv2Y/edit?usp=sharing"",""งบพรบ!CZ55"")"),382160)</f>
        <v>382160</v>
      </c>
      <c r="I55" s="151">
        <f ca="1">IFERROR(__xludf.DUMMYFUNCTION("IMPORTRANGE(""https://docs.google.com/spreadsheets/d/1-uDff_7J0KD5mKrp0Vvzr7lt3OU09vwQwhkpOPPYv2Y/edit?usp=sharing"",""งบพรบ!DA55"")"),0)</f>
        <v>0</v>
      </c>
      <c r="J55" s="151">
        <f t="shared" ca="1" si="92"/>
        <v>339468.9</v>
      </c>
      <c r="K55" s="154">
        <f t="shared" ca="1" si="93"/>
        <v>89.94936406995231</v>
      </c>
      <c r="L55" s="151">
        <f ca="1">IFERROR(__xludf.DUMMYFUNCTION("IMPORTRANGE(""https://docs.google.com/spreadsheets/d/1-uDff_7J0KD5mKrp0Vvzr7lt3OU09vwQwhkpOPPYv2Y/edit?usp=sharing"",""งบพรบ!DB55"")"),339468.9)</f>
        <v>339468.9</v>
      </c>
      <c r="M55" s="68">
        <f t="shared" ca="1" si="94"/>
        <v>89.94936406995231</v>
      </c>
      <c r="N55" s="68">
        <f t="shared" ca="1" si="95"/>
        <v>88.828998325308774</v>
      </c>
      <c r="O55" s="67">
        <f ca="1">IFERROR(__xludf.DUMMYFUNCTION("IMPORTRANGE(""https://docs.google.com/spreadsheets/d/1-uDff_7J0KD5mKrp0Vvzr7lt3OU09vwQwhkpOPPYv2Y/edit?usp=sharing"",""งบพรบ!DC55"")"),0)</f>
        <v>0</v>
      </c>
      <c r="P55" s="67">
        <f t="shared" ca="1" si="96"/>
        <v>0</v>
      </c>
      <c r="Q55" s="68">
        <f t="shared" ca="1" si="97"/>
        <v>0</v>
      </c>
      <c r="R55" s="67">
        <f ca="1">IFERROR(__xludf.DUMMYFUNCTION("IMPORTRANGE(""https://docs.google.com/spreadsheets/d/1T1PQvRODqOBZk8BRht_U031fIS1beLA0Ub2CEytj2q0/edit?usp=sharing"",""ฉะเชิงเทรา!Q186"")"),191100)</f>
        <v>191100</v>
      </c>
      <c r="S55" s="67">
        <f ca="1">IFERROR(__xludf.DUMMYFUNCTION("IMPORTRANGE(""https://docs.google.com/spreadsheets/d/1T1PQvRODqOBZk8BRht_U031fIS1beLA0Ub2CEytj2q0/edit?usp=sharing"",""ฉะเชิงเทรา!R186"")"),191100)</f>
        <v>191100</v>
      </c>
      <c r="T55" s="67">
        <f ca="1">IFERROR(__xludf.DUMMYFUNCTION("IMPORTRANGE(""https://docs.google.com/spreadsheets/d/1T1PQvRODqOBZk8BRht_U031fIS1beLA0Ub2CEytj2q0/edit?usp=sharing"",""ฉะเชิงเทรา!S186"")"),191099.7)</f>
        <v>191099.7</v>
      </c>
      <c r="U55" s="68">
        <f t="shared" ca="1" si="99"/>
        <v>99.999843014128729</v>
      </c>
      <c r="V55" s="68">
        <f t="shared" ca="1" si="100"/>
        <v>99.999843014128729</v>
      </c>
      <c r="W55" s="152">
        <f ca="1">IFERROR(__xludf.DUMMYFUNCTION("IMPORTRANGE(""https://docs.google.com/spreadsheets/d/1T1PQvRODqOBZk8BRht_U031fIS1beLA0Ub2CEytj2q0/edit?usp=sharing"",""ฉะเชิงเทรา!L196"")"),6000)</f>
        <v>6000</v>
      </c>
      <c r="X55" s="152">
        <f ca="1">IFERROR(__xludf.DUMMYFUNCTION("IMPORTRANGE(""https://docs.google.com/spreadsheets/d/1T1PQvRODqOBZk8BRht_U031fIS1beLA0Ub2CEytj2q0/edit?usp=sharing"",""ฉะเชิงเทรา!N196"")"),6000)</f>
        <v>6000</v>
      </c>
      <c r="Y55" s="216">
        <f t="shared" ca="1" si="102"/>
        <v>100</v>
      </c>
      <c r="Z55" s="152">
        <f ca="1">IFERROR(__xludf.DUMMYFUNCTION("IMPORTRANGE(""https://docs.google.com/spreadsheets/d/1T1PQvRODqOBZk8BRht_U031fIS1beLA0Ub2CEytj2q0/edit?usp=sharing"",""ฉะเชิงเทรา!I198"")"),4)</f>
        <v>4</v>
      </c>
      <c r="AA55" s="152">
        <f ca="1">IFERROR(__xludf.DUMMYFUNCTION("IMPORTRANGE(""https://docs.google.com/spreadsheets/d/1T1PQvRODqOBZk8BRht_U031fIS1beLA0Ub2CEytj2q0/edit?usp=sharing"",""ฉะเชิงเทรา!J198"")"),4)</f>
        <v>4</v>
      </c>
      <c r="AB55" s="216">
        <f t="shared" ca="1" si="104"/>
        <v>100</v>
      </c>
      <c r="AC55" s="152">
        <f ca="1">IFERROR(__xludf.DUMMYFUNCTION("IMPORTRANGE(""https://docs.google.com/spreadsheets/d/1T1PQvRODqOBZk8BRht_U031fIS1beLA0Ub2CEytj2q0/edit?usp=sharing"",""ฉะเชิงเทรา!J199"")"),310)</f>
        <v>310</v>
      </c>
      <c r="AD55" s="152">
        <f ca="1">IFERROR(__xludf.DUMMYFUNCTION("IMPORTRANGE(""https://docs.google.com/spreadsheets/d/1T1PQvRODqOBZk8BRht_U031fIS1beLA0Ub2CEytj2q0/edit?usp=sharing"",""ฉะเชิงเทรา!J200"")"),310)</f>
        <v>310</v>
      </c>
      <c r="AE55" s="152">
        <f ca="1">IFERROR(__xludf.DUMMYFUNCTION("IMPORTRANGE(""https://docs.google.com/spreadsheets/d/1T1PQvRODqOBZk8BRht_U031fIS1beLA0Ub2CEytj2q0/edit?usp=sharing"",""ฉะเชิงเทรา!J201"")"),0)</f>
        <v>0</v>
      </c>
      <c r="AF55" s="152">
        <f ca="1">IFERROR(__xludf.DUMMYFUNCTION("IMPORTRANGE(""https://docs.google.com/spreadsheets/d/1T1PQvRODqOBZk8BRht_U031fIS1beLA0Ub2CEytj2q0/edit?usp=sharing"",""ฉะเชิงเทรา!L204"")"),3000)</f>
        <v>3000</v>
      </c>
      <c r="AG55" s="152">
        <f ca="1">IFERROR(__xludf.DUMMYFUNCTION("IMPORTRANGE(""https://docs.google.com/spreadsheets/d/1T1PQvRODqOBZk8BRht_U031fIS1beLA0Ub2CEytj2q0/edit?usp=sharing"",""ฉะเชิงเทรา!N204"")"),2000)</f>
        <v>2000</v>
      </c>
      <c r="AH55" s="216">
        <f t="shared" ca="1" si="106"/>
        <v>66.666666666666671</v>
      </c>
      <c r="AI55" s="152">
        <f ca="1">IFERROR(__xludf.DUMMYFUNCTION("IMPORTRANGE(""https://docs.google.com/spreadsheets/d/1T1PQvRODqOBZk8BRht_U031fIS1beLA0Ub2CEytj2q0/edit?usp=sharing"",""ฉะเชิงเทรา!L206"")"),0)</f>
        <v>0</v>
      </c>
      <c r="AJ55" s="152">
        <f ca="1">IFERROR(__xludf.DUMMYFUNCTION("IMPORTRANGE(""https://docs.google.com/spreadsheets/d/1T1PQvRODqOBZk8BRht_U031fIS1beLA0Ub2CEytj2q0/edit?usp=sharing"",""ฉะเชิงเทรา!N206"")"),0)</f>
        <v>0</v>
      </c>
      <c r="AK55" s="216">
        <f t="shared" ca="1" si="108"/>
        <v>0</v>
      </c>
      <c r="AL55" s="152">
        <f ca="1">IFERROR(__xludf.DUMMYFUNCTION("IMPORTRANGE(""https://docs.google.com/spreadsheets/d/1T1PQvRODqOBZk8BRht_U031fIS1beLA0Ub2CEytj2q0/edit?usp=sharing"",""ฉะเชิงเทรา!Q206"")"),42000)</f>
        <v>42000</v>
      </c>
      <c r="AM55" s="152">
        <f ca="1">IFERROR(__xludf.DUMMYFUNCTION("IMPORTRANGE(""https://docs.google.com/spreadsheets/d/1T1PQvRODqOBZk8BRht_U031fIS1beLA0Ub2CEytj2q0/edit?usp=sharing"",""ฉะเชิงเทรา!S206"")"),41999.7)</f>
        <v>41999.7</v>
      </c>
      <c r="AN55" s="216">
        <f t="shared" ca="1" si="110"/>
        <v>99.999285714285719</v>
      </c>
      <c r="AO55" s="152">
        <f ca="1">IFERROR(__xludf.DUMMYFUNCTION("IMPORTRANGE(""https://docs.google.com/spreadsheets/d/1T1PQvRODqOBZk8BRht_U031fIS1beLA0Ub2CEytj2q0/edit?usp=sharing"",""ฉะเชิงเทรา!L207"")"),17000)</f>
        <v>17000</v>
      </c>
      <c r="AP55" s="152">
        <f ca="1">IFERROR(__xludf.DUMMYFUNCTION("IMPORTRANGE(""https://docs.google.com/spreadsheets/d/1T1PQvRODqOBZk8BRht_U031fIS1beLA0Ub2CEytj2q0/edit?usp=sharing"",""ฉะเชิงเทรา!N207"")"),0)</f>
        <v>0</v>
      </c>
      <c r="AQ55" s="216">
        <f t="shared" ca="1" si="112"/>
        <v>0</v>
      </c>
      <c r="AR55" s="152">
        <f ca="1">IFERROR(__xludf.DUMMYFUNCTION("IMPORTRANGE(""https://docs.google.com/spreadsheets/d/1T1PQvRODqOBZk8BRht_U031fIS1beLA0Ub2CEytj2q0/edit?usp=sharing"",""ฉะเชิงเทรา!I209"")"),3)</f>
        <v>3</v>
      </c>
      <c r="AS55" s="152">
        <f ca="1">IFERROR(__xludf.DUMMYFUNCTION("IMPORTRANGE(""https://docs.google.com/spreadsheets/d/1T1PQvRODqOBZk8BRht_U031fIS1beLA0Ub2CEytj2q0/edit?usp=sharing"",""ฉะเชิงเทรา!J209"")"),3)</f>
        <v>3</v>
      </c>
      <c r="AT55" s="216">
        <f t="shared" ca="1" si="114"/>
        <v>100</v>
      </c>
      <c r="AU55" s="152">
        <f ca="1">IFERROR(__xludf.DUMMYFUNCTION("IMPORTRANGE(""https://docs.google.com/spreadsheets/d/1T1PQvRODqOBZk8BRht_U031fIS1beLA0Ub2CEytj2q0/edit?usp=sharing"",""ฉะเชิงเทรา!J211"")"),3)</f>
        <v>3</v>
      </c>
      <c r="AV55" s="152">
        <f ca="1">IFERROR(__xludf.DUMMYFUNCTION("IMPORTRANGE(""https://docs.google.com/spreadsheets/d/1T1PQvRODqOBZk8BRht_U031fIS1beLA0Ub2CEytj2q0/edit?usp=sharing"",""ฉะเชิงเทรา!J212"")"),1)</f>
        <v>1</v>
      </c>
      <c r="AW55" s="152">
        <f ca="1">IFERROR(__xludf.DUMMYFUNCTION("IMPORTRANGE(""https://docs.google.com/spreadsheets/d/1T1PQvRODqOBZk8BRht_U031fIS1beLA0Ub2CEytj2q0/edit?usp=sharing"",""ฉะเชิงเทรา!L215"")"),3000)</f>
        <v>3000</v>
      </c>
      <c r="AX55" s="152">
        <f ca="1">IFERROR(__xludf.DUMMYFUNCTION("IMPORTRANGE(""https://docs.google.com/spreadsheets/d/1T1PQvRODqOBZk8BRht_U031fIS1beLA0Ub2CEytj2q0/edit?usp=sharing"",""ฉะเชิงเทรา!N215"")"),480)</f>
        <v>480</v>
      </c>
      <c r="AY55" s="216">
        <f t="shared" ca="1" si="116"/>
        <v>16</v>
      </c>
      <c r="AZ55" s="152">
        <f ca="1">IFERROR(__xludf.DUMMYFUNCTION("IMPORTRANGE(""https://docs.google.com/spreadsheets/d/1T1PQvRODqOBZk8BRht_U031fIS1beLA0Ub2CEytj2q0/edit?usp=sharing"",""ฉะเชิงเทรา!L216"")"),15000)</f>
        <v>15000</v>
      </c>
      <c r="BA55" s="152">
        <f ca="1">IFERROR(__xludf.DUMMYFUNCTION("IMPORTRANGE(""https://docs.google.com/spreadsheets/d/1T1PQvRODqOBZk8BRht_U031fIS1beLA0Ub2CEytj2q0/edit?usp=sharing"",""ฉะเชิงเทรา!N216"")"),0)</f>
        <v>0</v>
      </c>
      <c r="BB55" s="216">
        <f t="shared" ca="1" si="118"/>
        <v>0</v>
      </c>
      <c r="BC55" s="152">
        <f ca="1">IFERROR(__xludf.DUMMYFUNCTION("IMPORTRANGE(""https://docs.google.com/spreadsheets/d/1T1PQvRODqOBZk8BRht_U031fIS1beLA0Ub2CEytj2q0/edit?usp=sharing"",""ฉะเชิงเทรา!L217"")"),0)</f>
        <v>0</v>
      </c>
      <c r="BD55" s="152">
        <f ca="1">IFERROR(__xludf.DUMMYFUNCTION("IMPORTRANGE(""https://docs.google.com/spreadsheets/d/1T1PQvRODqOBZk8BRht_U031fIS1beLA0Ub2CEytj2q0/edit?usp=sharing"",""ฉะเชิงเทรา!N217"")"),0)</f>
        <v>0</v>
      </c>
      <c r="BE55" s="216">
        <f t="shared" ca="1" si="120"/>
        <v>0</v>
      </c>
      <c r="BF55" s="152">
        <f ca="1">IFERROR(__xludf.DUMMYFUNCTION("IMPORTRANGE(""https://docs.google.com/spreadsheets/d/1T1PQvRODqOBZk8BRht_U031fIS1beLA0Ub2CEytj2q0/edit?usp=sharing"",""ฉะเชิงเทรา!Q217"")"),149100)</f>
        <v>149100</v>
      </c>
      <c r="BG55" s="152">
        <f ca="1">IFERROR(__xludf.DUMMYFUNCTION("IMPORTRANGE(""https://docs.google.com/spreadsheets/d/1T1PQvRODqOBZk8BRht_U031fIS1beLA0Ub2CEytj2q0/edit?usp=sharing"",""ฉะเชิงเทรา!S217"")"),149100)</f>
        <v>149100</v>
      </c>
      <c r="BH55" s="216">
        <f t="shared" ca="1" si="122"/>
        <v>100</v>
      </c>
      <c r="BI55" s="152">
        <f ca="1">IFERROR(__xludf.DUMMYFUNCTION("IMPORTRANGE(""https://docs.google.com/spreadsheets/d/1T1PQvRODqOBZk8BRht_U031fIS1beLA0Ub2CEytj2q0/edit?usp=sharing"",""ฉะเชิงเทรา!I219"")"),3)</f>
        <v>3</v>
      </c>
      <c r="BJ55" s="152">
        <f ca="1">IFERROR(__xludf.DUMMYFUNCTION("IMPORTRANGE(""https://docs.google.com/spreadsheets/d/1T1PQvRODqOBZk8BRht_U031fIS1beLA0Ub2CEytj2q0/edit?usp=sharing"",""ฉะเชิงเทรา!J219"")"),0)</f>
        <v>0</v>
      </c>
      <c r="BK55" s="216">
        <f t="shared" ca="1" si="124"/>
        <v>0</v>
      </c>
      <c r="BL55" s="152">
        <f ca="1">IFERROR(__xludf.DUMMYFUNCTION("IMPORTRANGE(""https://docs.google.com/spreadsheets/d/1T1PQvRODqOBZk8BRht_U031fIS1beLA0Ub2CEytj2q0/edit?usp=sharing"",""ฉะเชิงเทรา!I220"")"),3)</f>
        <v>3</v>
      </c>
      <c r="BM55" s="152">
        <f ca="1">IFERROR(__xludf.DUMMYFUNCTION("IMPORTRANGE(""https://docs.google.com/spreadsheets/d/1T1PQvRODqOBZk8BRht_U031fIS1beLA0Ub2CEytj2q0/edit?usp=sharing"",""ฉะเชิงเทรา!J220"")"),3)</f>
        <v>3</v>
      </c>
      <c r="BN55" s="216">
        <f t="shared" ca="1" si="126"/>
        <v>100</v>
      </c>
      <c r="BO55" s="152">
        <f ca="1">IFERROR(__xludf.DUMMYFUNCTION("IMPORTRANGE(""https://docs.google.com/spreadsheets/d/1T1PQvRODqOBZk8BRht_U031fIS1beLA0Ub2CEytj2q0/edit?usp=sharing"",""ฉะเชิงเทรา!L223"")"),2500)</f>
        <v>2500</v>
      </c>
      <c r="BP55" s="152">
        <f ca="1">IFERROR(__xludf.DUMMYFUNCTION("IMPORTRANGE(""https://docs.google.com/spreadsheets/d/1T1PQvRODqOBZk8BRht_U031fIS1beLA0Ub2CEytj2q0/edit?usp=sharing"",""ฉะเชิงเทรา!N223"")"),2500)</f>
        <v>2500</v>
      </c>
      <c r="BQ55" s="216">
        <f t="shared" ca="1" si="128"/>
        <v>100</v>
      </c>
      <c r="BR55" s="152">
        <f ca="1">IFERROR(__xludf.DUMMYFUNCTION("IMPORTRANGE(""https://docs.google.com/spreadsheets/d/1T1PQvRODqOBZk8BRht_U031fIS1beLA0Ub2CEytj2q0/edit?usp=sharing"",""ฉะเชิงเทรา!L224"")"),4000)</f>
        <v>4000</v>
      </c>
      <c r="BS55" s="152">
        <f ca="1">IFERROR(__xludf.DUMMYFUNCTION("IMPORTRANGE(""https://docs.google.com/spreadsheets/d/1T1PQvRODqOBZk8BRht_U031fIS1beLA0Ub2CEytj2q0/edit?usp=sharing"",""ฉะเชิงเทรา!N224"")"),4000)</f>
        <v>4000</v>
      </c>
      <c r="BT55" s="216">
        <f t="shared" ca="1" si="130"/>
        <v>100</v>
      </c>
      <c r="BU55" s="152">
        <f ca="1">IFERROR(__xludf.DUMMYFUNCTION("IMPORTRANGE(""https://docs.google.com/spreadsheets/d/1T1PQvRODqOBZk8BRht_U031fIS1beLA0Ub2CEytj2q0/edit?usp=sharing"",""ฉะเชิงเทรา!I228"")"),40000)</f>
        <v>40000</v>
      </c>
      <c r="BV55" s="152">
        <f ca="1">IFERROR(__xludf.DUMMYFUNCTION("IMPORTRANGE(""https://docs.google.com/spreadsheets/d/1T1PQvRODqOBZk8BRht_U031fIS1beLA0Ub2CEytj2q0/edit?usp=sharing"",""ฉะเชิงเทรา!J228"")"),40000)</f>
        <v>40000</v>
      </c>
      <c r="BW55" s="216">
        <f t="shared" ca="1" si="132"/>
        <v>100</v>
      </c>
      <c r="BX55" s="152">
        <f ca="1">IFERROR(__xludf.DUMMYFUNCTION("IMPORTRANGE(""https://docs.google.com/spreadsheets/d/1T1PQvRODqOBZk8BRht_U031fIS1beLA0Ub2CEytj2q0/edit?usp=sharing"",""ฉะเชิงเทรา!I229"")"),40000)</f>
        <v>40000</v>
      </c>
      <c r="BY55" s="152">
        <f ca="1">IFERROR(__xludf.DUMMYFUNCTION("IMPORTRANGE(""https://docs.google.com/spreadsheets/d/1T1PQvRODqOBZk8BRht_U031fIS1beLA0Ub2CEytj2q0/edit?usp=sharing"",""ฉะเชิงเทรา!J229"")"),40000)</f>
        <v>40000</v>
      </c>
      <c r="BZ55" s="216">
        <f t="shared" ca="1" si="134"/>
        <v>100</v>
      </c>
      <c r="CA55" s="152">
        <f ca="1">IFERROR(__xludf.DUMMYFUNCTION("IMPORTRANGE(""https://docs.google.com/spreadsheets/d/1T1PQvRODqOBZk8BRht_U031fIS1beLA0Ub2CEytj2q0/edit?usp=sharing"",""ฉะเชิงเทรา!I230"")"),0)</f>
        <v>0</v>
      </c>
      <c r="CB55" s="152">
        <f ca="1">IFERROR(__xludf.DUMMYFUNCTION("IMPORTRANGE(""https://docs.google.com/spreadsheets/d/1T1PQvRODqOBZk8BRht_U031fIS1beLA0Ub2CEytj2q0/edit?usp=sharing"",""ฉะเชิงเทรา!J230"")"),0)</f>
        <v>0</v>
      </c>
      <c r="CC55" s="216">
        <f t="shared" ca="1" si="136"/>
        <v>0</v>
      </c>
      <c r="CD55" s="152">
        <f ca="1">IFERROR(__xludf.DUMMYFUNCTION("IMPORTRANGE(""https://docs.google.com/spreadsheets/d/1T1PQvRODqOBZk8BRht_U031fIS1beLA0Ub2CEytj2q0/edit?usp=sharing"",""ฉะเชิงเทรา!L233"")"),34000)</f>
        <v>34000</v>
      </c>
      <c r="CE55" s="152">
        <f ca="1">IFERROR(__xludf.DUMMYFUNCTION("IMPORTRANGE(""https://docs.google.com/spreadsheets/d/1T1PQvRODqOBZk8BRht_U031fIS1beLA0Ub2CEytj2q0/edit?usp=sharing"",""ฉะเชิงเทรา!N233"")"),29650)</f>
        <v>29650</v>
      </c>
      <c r="CF55" s="216">
        <f t="shared" ca="1" si="138"/>
        <v>87.205882352941174</v>
      </c>
      <c r="CG55" s="152">
        <f ca="1">IFERROR(__xludf.DUMMYFUNCTION("IMPORTRANGE(""https://docs.google.com/spreadsheets/d/1T1PQvRODqOBZk8BRht_U031fIS1beLA0Ub2CEytj2q0/edit?usp=sharing"",""ฉะเชิงเทรา!L234"")"),9000)</f>
        <v>9000</v>
      </c>
      <c r="CH55" s="152">
        <f ca="1">IFERROR(__xludf.DUMMYFUNCTION("IMPORTRANGE(""https://docs.google.com/spreadsheets/d/1T1PQvRODqOBZk8BRht_U031fIS1beLA0Ub2CEytj2q0/edit?usp=sharing"",""ฉะเชิงเทรา!N234"")"),0)</f>
        <v>0</v>
      </c>
      <c r="CI55" s="216">
        <f t="shared" ca="1" si="140"/>
        <v>0</v>
      </c>
      <c r="CJ55" s="152">
        <f ca="1">IFERROR(__xludf.DUMMYFUNCTION("IMPORTRANGE(""https://docs.google.com/spreadsheets/d/1T1PQvRODqOBZk8BRht_U031fIS1beLA0Ub2CEytj2q0/edit?usp=sharing"",""ฉะเชิงเทรา!L235"")"),80900)</f>
        <v>80900</v>
      </c>
      <c r="CK55" s="152">
        <f ca="1">IFERROR(__xludf.DUMMYFUNCTION("IMPORTRANGE(""https://docs.google.com/spreadsheets/d/1T1PQvRODqOBZk8BRht_U031fIS1beLA0Ub2CEytj2q0/edit?usp=sharing"",""ฉะเชิงเทรา!N235"")"),80900)</f>
        <v>80900</v>
      </c>
      <c r="CL55" s="216">
        <f t="shared" ca="1" si="142"/>
        <v>100</v>
      </c>
      <c r="CM55" s="251">
        <f ca="1">IFERROR(__xludf.DUMMYFUNCTION("IMPORTRANGE(""https://docs.google.com/spreadsheets/d/1T1PQvRODqOBZk8BRht_U031fIS1beLA0Ub2CEytj2q0/edit?usp=sharing"",""ฉะเชิงเทรา!Q235"")"),0)</f>
        <v>0</v>
      </c>
      <c r="CN55" s="251">
        <f ca="1">IFERROR(__xludf.DUMMYFUNCTION("IMPORTRANGE(""https://docs.google.com/spreadsheets/d/1T1PQvRODqOBZk8BRht_U031fIS1beLA0Ub2CEytj2q0/edit?usp=sharing"",""ฉะเชิงเทรา!S235"")"),0)</f>
        <v>0</v>
      </c>
      <c r="CO55" s="216">
        <f t="shared" ca="1" si="144"/>
        <v>0</v>
      </c>
      <c r="CP55" s="152">
        <f ca="1">IFERROR(__xludf.DUMMYFUNCTION("IMPORTRANGE(""https://docs.google.com/spreadsheets/d/1T1PQvRODqOBZk8BRht_U031fIS1beLA0Ub2CEytj2q0/edit?usp=sharing"",""ฉะเชิงเทรา!L236"")"),60000)</f>
        <v>60000</v>
      </c>
      <c r="CQ55" s="152">
        <f ca="1">IFERROR(__xludf.DUMMYFUNCTION("IMPORTRANGE(""https://docs.google.com/spreadsheets/d/1T1PQvRODqOBZk8BRht_U031fIS1beLA0Ub2CEytj2q0/edit?usp=sharing"",""ฉะเชิงเทรา!N236"")"),71065)</f>
        <v>71065</v>
      </c>
      <c r="CR55" s="216">
        <f t="shared" ca="1" si="146"/>
        <v>118.44166666666666</v>
      </c>
      <c r="CS55" s="152">
        <f ca="1">IFERROR(__xludf.DUMMYFUNCTION("IMPORTRANGE(""https://docs.google.com/spreadsheets/d/1T1PQvRODqOBZk8BRht_U031fIS1beLA0Ub2CEytj2q0/edit?usp=sharing"",""ฉะเชิงเทรา!I238"")"),45)</f>
        <v>45</v>
      </c>
      <c r="CT55" s="152">
        <f ca="1">IFERROR(__xludf.DUMMYFUNCTION("IMPORTRANGE(""https://docs.google.com/spreadsheets/d/1T1PQvRODqOBZk8BRht_U031fIS1beLA0Ub2CEytj2q0/edit?usp=sharing"",""ฉะเชิงเทรา!J238"")"),50)</f>
        <v>50</v>
      </c>
      <c r="CU55" s="216">
        <f t="shared" ca="1" si="148"/>
        <v>111.11111111111111</v>
      </c>
      <c r="CV55" s="152">
        <f ca="1">IFERROR(__xludf.DUMMYFUNCTION("IMPORTRANGE(""https://docs.google.com/spreadsheets/d/1T1PQvRODqOBZk8BRht_U031fIS1beLA0Ub2CEytj2q0/edit?usp=sharing"",""ฉะเชิงเทรา!J240"")"),50)</f>
        <v>50</v>
      </c>
      <c r="CW55" s="152">
        <f ca="1">IFERROR(__xludf.DUMMYFUNCTION("IMPORTRANGE(""https://docs.google.com/spreadsheets/d/1T1PQvRODqOBZk8BRht_U031fIS1beLA0Ub2CEytj2q0/edit?usp=sharing"",""ฉะเชิงเทรา!J241"")"),2)</f>
        <v>2</v>
      </c>
    </row>
    <row r="56" spans="1:101" ht="21" customHeight="1" x14ac:dyDescent="0.3">
      <c r="A56" s="147">
        <v>4</v>
      </c>
      <c r="B56" s="148" t="s">
        <v>84</v>
      </c>
      <c r="C56" s="149">
        <f t="shared" ca="1" si="90"/>
        <v>121662</v>
      </c>
      <c r="D56" s="150">
        <f t="shared" ca="1" si="206"/>
        <v>121662</v>
      </c>
      <c r="E56" s="151">
        <f ca="1">IFERROR(__xludf.DUMMYFUNCTION("IMPORTRANGE(""https://docs.google.com/spreadsheets/d/1-uDff_7J0KD5mKrp0Vvzr7lt3OU09vwQwhkpOPPYv2Y/edit?usp=sharing"",""งบพรบ!CV56"")"),0)</f>
        <v>0</v>
      </c>
      <c r="F56" s="151">
        <f ca="1">IFERROR(__xludf.DUMMYFUNCTION("IMPORTRANGE(""https://docs.google.com/spreadsheets/d/1-uDff_7J0KD5mKrp0Vvzr7lt3OU09vwQwhkpOPPYv2Y/edit?usp=sharing"",""งบพรบ!CW56"")"),121662)</f>
        <v>121662</v>
      </c>
      <c r="G56" s="151">
        <f ca="1">IFERROR(__xludf.DUMMYFUNCTION("IMPORTRANGE(""https://docs.google.com/spreadsheets/d/1-uDff_7J0KD5mKrp0Vvzr7lt3OU09vwQwhkpOPPYv2Y/edit?usp=sharing"",""งบพรบ!CX56"")"),0)</f>
        <v>0</v>
      </c>
      <c r="H56" s="151">
        <f ca="1">IFERROR(__xludf.DUMMYFUNCTION("IMPORTRANGE(""https://docs.google.com/spreadsheets/d/1-uDff_7J0KD5mKrp0Vvzr7lt3OU09vwQwhkpOPPYv2Y/edit?usp=sharing"",""งบพรบ!CZ56"")"),143769)</f>
        <v>143769</v>
      </c>
      <c r="I56" s="151">
        <f ca="1">IFERROR(__xludf.DUMMYFUNCTION("IMPORTRANGE(""https://docs.google.com/spreadsheets/d/1-uDff_7J0KD5mKrp0Vvzr7lt3OU09vwQwhkpOPPYv2Y/edit?usp=sharing"",""งบพรบ!DA56"")"),0)</f>
        <v>0</v>
      </c>
      <c r="J56" s="151">
        <f t="shared" ca="1" si="92"/>
        <v>143769</v>
      </c>
      <c r="K56" s="154">
        <f t="shared" ca="1" si="93"/>
        <v>118.17083394979534</v>
      </c>
      <c r="L56" s="151">
        <f ca="1">IFERROR(__xludf.DUMMYFUNCTION("IMPORTRANGE(""https://docs.google.com/spreadsheets/d/1-uDff_7J0KD5mKrp0Vvzr7lt3OU09vwQwhkpOPPYv2Y/edit?usp=sharing"",""งบพรบ!DB56"")"),143769)</f>
        <v>143769</v>
      </c>
      <c r="M56" s="68">
        <f t="shared" ca="1" si="94"/>
        <v>118.17083394979534</v>
      </c>
      <c r="N56" s="68">
        <f t="shared" ca="1" si="95"/>
        <v>100</v>
      </c>
      <c r="O56" s="67">
        <f ca="1">IFERROR(__xludf.DUMMYFUNCTION("IMPORTRANGE(""https://docs.google.com/spreadsheets/d/1-uDff_7J0KD5mKrp0Vvzr7lt3OU09vwQwhkpOPPYv2Y/edit?usp=sharing"",""งบพรบ!DC56"")"),0)</f>
        <v>0</v>
      </c>
      <c r="P56" s="67">
        <f t="shared" ca="1" si="96"/>
        <v>0</v>
      </c>
      <c r="Q56" s="68">
        <f t="shared" ca="1" si="97"/>
        <v>0</v>
      </c>
      <c r="R56" s="67">
        <f ca="1">IFERROR(__xludf.DUMMYFUNCTION("IMPORTRANGE(""https://docs.google.com/spreadsheets/d/11tr1B-Bhyr79v2bkwVh5h_fR-PStkgjlZtkrZpYurG0/edit?usp=sharing"",""ชลบุรี!Q186"")"),43838)</f>
        <v>43838</v>
      </c>
      <c r="S56" s="67">
        <f ca="1">IFERROR(__xludf.DUMMYFUNCTION("IMPORTRANGE(""https://docs.google.com/spreadsheets/d/11tr1B-Bhyr79v2bkwVh5h_fR-PStkgjlZtkrZpYurG0/edit?usp=sharing"",""ชลบุรี!R186"")"),43838)</f>
        <v>43838</v>
      </c>
      <c r="T56" s="67">
        <f ca="1">IFERROR(__xludf.DUMMYFUNCTION("IMPORTRANGE(""https://docs.google.com/spreadsheets/d/11tr1B-Bhyr79v2bkwVh5h_fR-PStkgjlZtkrZpYurG0/edit?usp=sharing"",""ชลบุรี!S186"")"),43838)</f>
        <v>43838</v>
      </c>
      <c r="U56" s="68">
        <f t="shared" ca="1" si="99"/>
        <v>100</v>
      </c>
      <c r="V56" s="68">
        <f t="shared" ca="1" si="100"/>
        <v>100</v>
      </c>
      <c r="W56" s="152">
        <f ca="1">IFERROR(__xludf.DUMMYFUNCTION("IMPORTRANGE(""https://docs.google.com/spreadsheets/d/11tr1B-Bhyr79v2bkwVh5h_fR-PStkgjlZtkrZpYurG0/edit?usp=sharing"",""ชลบุรี!L196"")"),6000)</f>
        <v>6000</v>
      </c>
      <c r="X56" s="152">
        <f ca="1">IFERROR(__xludf.DUMMYFUNCTION("IMPORTRANGE(""https://docs.google.com/spreadsheets/d/11tr1B-Bhyr79v2bkwVh5h_fR-PStkgjlZtkrZpYurG0/edit?usp=sharing"",""ชลบุรี!N196"")"),8000)</f>
        <v>8000</v>
      </c>
      <c r="Y56" s="216">
        <f t="shared" ca="1" si="102"/>
        <v>133.33333333333334</v>
      </c>
      <c r="Z56" s="152">
        <f ca="1">IFERROR(__xludf.DUMMYFUNCTION("IMPORTRANGE(""https://docs.google.com/spreadsheets/d/11tr1B-Bhyr79v2bkwVh5h_fR-PStkgjlZtkrZpYurG0/edit?usp=sharing"",""ชลบุรี!I198"")"),4)</f>
        <v>4</v>
      </c>
      <c r="AA56" s="152">
        <f ca="1">IFERROR(__xludf.DUMMYFUNCTION("IMPORTRANGE(""https://docs.google.com/spreadsheets/d/11tr1B-Bhyr79v2bkwVh5h_fR-PStkgjlZtkrZpYurG0/edit?usp=sharing"",""ชลบุรี!J198"")"),4)</f>
        <v>4</v>
      </c>
      <c r="AB56" s="216">
        <f t="shared" ca="1" si="104"/>
        <v>100</v>
      </c>
      <c r="AC56" s="152">
        <f ca="1">IFERROR(__xludf.DUMMYFUNCTION("IMPORTRANGE(""https://docs.google.com/spreadsheets/d/11tr1B-Bhyr79v2bkwVh5h_fR-PStkgjlZtkrZpYurG0/edit?usp=sharing"",""ชลบุรี!J199"")"),273)</f>
        <v>273</v>
      </c>
      <c r="AD56" s="152">
        <f ca="1">IFERROR(__xludf.DUMMYFUNCTION("IMPORTRANGE(""https://docs.google.com/spreadsheets/d/11tr1B-Bhyr79v2bkwVh5h_fR-PStkgjlZtkrZpYurG0/edit?usp=sharing"",""ชลบุรี!J200"")"),273)</f>
        <v>273</v>
      </c>
      <c r="AE56" s="152">
        <f ca="1">IFERROR(__xludf.DUMMYFUNCTION("IMPORTRANGE(""https://docs.google.com/spreadsheets/d/11tr1B-Bhyr79v2bkwVh5h_fR-PStkgjlZtkrZpYurG0/edit?usp=sharing"",""ชลบุรี!J201"")"),0)</f>
        <v>0</v>
      </c>
      <c r="AF56" s="152">
        <f ca="1">IFERROR(__xludf.DUMMYFUNCTION("IMPORTRANGE(""https://docs.google.com/spreadsheets/d/11tr1B-Bhyr79v2bkwVh5h_fR-PStkgjlZtkrZpYurG0/edit?usp=sharing"",""ชลบุรี!L204"")"),4000)</f>
        <v>4000</v>
      </c>
      <c r="AG56" s="152">
        <f ca="1">IFERROR(__xludf.DUMMYFUNCTION("IMPORTRANGE(""https://docs.google.com/spreadsheets/d/11tr1B-Bhyr79v2bkwVh5h_fR-PStkgjlZtkrZpYurG0/edit?usp=sharing"",""ชลบุรี!N204"")"),4000)</f>
        <v>4000</v>
      </c>
      <c r="AH56" s="216">
        <f t="shared" ca="1" si="106"/>
        <v>100</v>
      </c>
      <c r="AI56" s="152">
        <f ca="1">IFERROR(__xludf.DUMMYFUNCTION("IMPORTRANGE(""https://docs.google.com/spreadsheets/d/11tr1B-Bhyr79v2bkwVh5h_fR-PStkgjlZtkrZpYurG0/edit?usp=sharing"",""ชลบุรี!L206"")"),12162)</f>
        <v>12162</v>
      </c>
      <c r="AJ56" s="152">
        <f ca="1">IFERROR(__xludf.DUMMYFUNCTION("IMPORTRANGE(""https://docs.google.com/spreadsheets/d/11tr1B-Bhyr79v2bkwVh5h_fR-PStkgjlZtkrZpYurG0/edit?usp=sharing"",""ชลบุรี!N206"")"),12162)</f>
        <v>12162</v>
      </c>
      <c r="AK56" s="216">
        <f t="shared" ca="1" si="108"/>
        <v>100</v>
      </c>
      <c r="AL56" s="152">
        <f ca="1">IFERROR(__xludf.DUMMYFUNCTION("IMPORTRANGE(""https://docs.google.com/spreadsheets/d/11tr1B-Bhyr79v2bkwVh5h_fR-PStkgjlZtkrZpYurG0/edit?usp=sharing"",""ชลบุรี!Q206"")"),43838)</f>
        <v>43838</v>
      </c>
      <c r="AM56" s="152">
        <f ca="1">IFERROR(__xludf.DUMMYFUNCTION("IMPORTRANGE(""https://docs.google.com/spreadsheets/d/11tr1B-Bhyr79v2bkwVh5h_fR-PStkgjlZtkrZpYurG0/edit?usp=sharing"",""ชลบุรี!S206"")"),43838)</f>
        <v>43838</v>
      </c>
      <c r="AN56" s="216">
        <f t="shared" ca="1" si="110"/>
        <v>100</v>
      </c>
      <c r="AO56" s="152">
        <f ca="1">IFERROR(__xludf.DUMMYFUNCTION("IMPORTRANGE(""https://docs.google.com/spreadsheets/d/11tr1B-Bhyr79v2bkwVh5h_fR-PStkgjlZtkrZpYurG0/edit?usp=sharing"",""ชลบุรี!L207"")"),19000)</f>
        <v>19000</v>
      </c>
      <c r="AP56" s="152">
        <f ca="1">IFERROR(__xludf.DUMMYFUNCTION("IMPORTRANGE(""https://docs.google.com/spreadsheets/d/11tr1B-Bhyr79v2bkwVh5h_fR-PStkgjlZtkrZpYurG0/edit?usp=sharing"",""ชลบุรี!N207"")"),19000)</f>
        <v>19000</v>
      </c>
      <c r="AQ56" s="216">
        <f t="shared" ca="1" si="112"/>
        <v>100</v>
      </c>
      <c r="AR56" s="152">
        <f ca="1">IFERROR(__xludf.DUMMYFUNCTION("IMPORTRANGE(""https://docs.google.com/spreadsheets/d/11tr1B-Bhyr79v2bkwVh5h_fR-PStkgjlZtkrZpYurG0/edit?usp=sharing"",""ชลบุรี!I209"")"),4)</f>
        <v>4</v>
      </c>
      <c r="AS56" s="152">
        <f ca="1">IFERROR(__xludf.DUMMYFUNCTION("IMPORTRANGE(""https://docs.google.com/spreadsheets/d/11tr1B-Bhyr79v2bkwVh5h_fR-PStkgjlZtkrZpYurG0/edit?usp=sharing"",""ชลบุรี!J209"")"),4)</f>
        <v>4</v>
      </c>
      <c r="AT56" s="216">
        <f t="shared" ca="1" si="114"/>
        <v>100</v>
      </c>
      <c r="AU56" s="152">
        <f ca="1">IFERROR(__xludf.DUMMYFUNCTION("IMPORTRANGE(""https://docs.google.com/spreadsheets/d/11tr1B-Bhyr79v2bkwVh5h_fR-PStkgjlZtkrZpYurG0/edit?usp=sharing"",""ชลบุรี!J211"")"),2)</f>
        <v>2</v>
      </c>
      <c r="AV56" s="152">
        <f ca="1">IFERROR(__xludf.DUMMYFUNCTION("IMPORTRANGE(""https://docs.google.com/spreadsheets/d/11tr1B-Bhyr79v2bkwVh5h_fR-PStkgjlZtkrZpYurG0/edit?usp=sharing"",""ชลบุรี!J212"")"),1)</f>
        <v>1</v>
      </c>
      <c r="AW56" s="152">
        <f ca="1">IFERROR(__xludf.DUMMYFUNCTION("IMPORTRANGE(""https://docs.google.com/spreadsheets/d/11tr1B-Bhyr79v2bkwVh5h_fR-PStkgjlZtkrZpYurG0/edit?usp=sharing"",""ชลบุรี!L215"")"),0)</f>
        <v>0</v>
      </c>
      <c r="AX56" s="152">
        <f ca="1">IFERROR(__xludf.DUMMYFUNCTION("IMPORTRANGE(""https://docs.google.com/spreadsheets/d/11tr1B-Bhyr79v2bkwVh5h_fR-PStkgjlZtkrZpYurG0/edit?usp=sharing"",""ชลบุรี!N215"")"),0)</f>
        <v>0</v>
      </c>
      <c r="AY56" s="216">
        <f t="shared" ca="1" si="116"/>
        <v>0</v>
      </c>
      <c r="AZ56" s="152">
        <f ca="1">IFERROR(__xludf.DUMMYFUNCTION("IMPORTRANGE(""https://docs.google.com/spreadsheets/d/11tr1B-Bhyr79v2bkwVh5h_fR-PStkgjlZtkrZpYurG0/edit?usp=sharing"",""ชลบุรี!L216"")"),0)</f>
        <v>0</v>
      </c>
      <c r="BA56" s="152">
        <f ca="1">IFERROR(__xludf.DUMMYFUNCTION("IMPORTRANGE(""https://docs.google.com/spreadsheets/d/11tr1B-Bhyr79v2bkwVh5h_fR-PStkgjlZtkrZpYurG0/edit?usp=sharing"",""ชลบุรี!N216"")"),0)</f>
        <v>0</v>
      </c>
      <c r="BB56" s="216">
        <f t="shared" ca="1" si="118"/>
        <v>0</v>
      </c>
      <c r="BC56" s="152">
        <f ca="1">IFERROR(__xludf.DUMMYFUNCTION("IMPORTRANGE(""https://docs.google.com/spreadsheets/d/11tr1B-Bhyr79v2bkwVh5h_fR-PStkgjlZtkrZpYurG0/edit?usp=sharing"",""ชลบุรี!L217"")"),0)</f>
        <v>0</v>
      </c>
      <c r="BD56" s="152">
        <f ca="1">IFERROR(__xludf.DUMMYFUNCTION("IMPORTRANGE(""https://docs.google.com/spreadsheets/d/11tr1B-Bhyr79v2bkwVh5h_fR-PStkgjlZtkrZpYurG0/edit?usp=sharing"",""ชลบุรี!N217"")"),0)</f>
        <v>0</v>
      </c>
      <c r="BE56" s="216">
        <f t="shared" ca="1" si="120"/>
        <v>0</v>
      </c>
      <c r="BF56" s="152">
        <f ca="1">IFERROR(__xludf.DUMMYFUNCTION("IMPORTRANGE(""https://docs.google.com/spreadsheets/d/11tr1B-Bhyr79v2bkwVh5h_fR-PStkgjlZtkrZpYurG0/edit?usp=sharing"",""ชลบุรี!Q217"")"),0)</f>
        <v>0</v>
      </c>
      <c r="BG56" s="152">
        <f ca="1">IFERROR(__xludf.DUMMYFUNCTION("IMPORTRANGE(""https://docs.google.com/spreadsheets/d/11tr1B-Bhyr79v2bkwVh5h_fR-PStkgjlZtkrZpYurG0/edit?usp=sharing"",""ชลบุรี!S217"")"),0)</f>
        <v>0</v>
      </c>
      <c r="BH56" s="216">
        <f t="shared" ca="1" si="122"/>
        <v>0</v>
      </c>
      <c r="BI56" s="152">
        <f ca="1">IFERROR(__xludf.DUMMYFUNCTION("IMPORTRANGE(""https://docs.google.com/spreadsheets/d/11tr1B-Bhyr79v2bkwVh5h_fR-PStkgjlZtkrZpYurG0/edit?usp=sharing"",""ชลบุรี!I219"")"),0)</f>
        <v>0</v>
      </c>
      <c r="BJ56" s="152">
        <f ca="1">IFERROR(__xludf.DUMMYFUNCTION("IMPORTRANGE(""https://docs.google.com/spreadsheets/d/11tr1B-Bhyr79v2bkwVh5h_fR-PStkgjlZtkrZpYurG0/edit?usp=sharing"",""ชลบุรี!J219"")"),0)</f>
        <v>0</v>
      </c>
      <c r="BK56" s="216">
        <f t="shared" ca="1" si="124"/>
        <v>0</v>
      </c>
      <c r="BL56" s="152">
        <f ca="1">IFERROR(__xludf.DUMMYFUNCTION("IMPORTRANGE(""https://docs.google.com/spreadsheets/d/11tr1B-Bhyr79v2bkwVh5h_fR-PStkgjlZtkrZpYurG0/edit?usp=sharing"",""ชลบุรี!I220"")"),0)</f>
        <v>0</v>
      </c>
      <c r="BM56" s="152">
        <f ca="1">IFERROR(__xludf.DUMMYFUNCTION("IMPORTRANGE(""https://docs.google.com/spreadsheets/d/11tr1B-Bhyr79v2bkwVh5h_fR-PStkgjlZtkrZpYurG0/edit?usp=sharing"",""ชลบุรี!J220"")"),0)</f>
        <v>0</v>
      </c>
      <c r="BN56" s="216">
        <f t="shared" ca="1" si="126"/>
        <v>0</v>
      </c>
      <c r="BO56" s="152">
        <f ca="1">IFERROR(__xludf.DUMMYFUNCTION("IMPORTRANGE(""https://docs.google.com/spreadsheets/d/11tr1B-Bhyr79v2bkwVh5h_fR-PStkgjlZtkrZpYurG0/edit?usp=sharing"",""ชลบุรี!L223"")"),2500)</f>
        <v>2500</v>
      </c>
      <c r="BP56" s="152">
        <f ca="1">IFERROR(__xludf.DUMMYFUNCTION("IMPORTRANGE(""https://docs.google.com/spreadsheets/d/11tr1B-Bhyr79v2bkwVh5h_fR-PStkgjlZtkrZpYurG0/edit?usp=sharing"",""ชลบุรี!N223"")"),2500)</f>
        <v>2500</v>
      </c>
      <c r="BQ56" s="216">
        <f t="shared" ca="1" si="128"/>
        <v>100</v>
      </c>
      <c r="BR56" s="152">
        <f ca="1">IFERROR(__xludf.DUMMYFUNCTION("IMPORTRANGE(""https://docs.google.com/spreadsheets/d/11tr1B-Bhyr79v2bkwVh5h_fR-PStkgjlZtkrZpYurG0/edit?usp=sharing"",""ชลบุรี!L224"")"),2000)</f>
        <v>2000</v>
      </c>
      <c r="BS56" s="152">
        <f ca="1">IFERROR(__xludf.DUMMYFUNCTION("IMPORTRANGE(""https://docs.google.com/spreadsheets/d/11tr1B-Bhyr79v2bkwVh5h_fR-PStkgjlZtkrZpYurG0/edit?usp=sharing"",""ชลบุรี!N224"")"),2000)</f>
        <v>2000</v>
      </c>
      <c r="BT56" s="216">
        <f t="shared" ca="1" si="130"/>
        <v>100</v>
      </c>
      <c r="BU56" s="152">
        <f ca="1">IFERROR(__xludf.DUMMYFUNCTION("IMPORTRANGE(""https://docs.google.com/spreadsheets/d/11tr1B-Bhyr79v2bkwVh5h_fR-PStkgjlZtkrZpYurG0/edit?usp=sharing"",""ชลบุรี!I228"")"),5000)</f>
        <v>5000</v>
      </c>
      <c r="BV56" s="152">
        <f ca="1">IFERROR(__xludf.DUMMYFUNCTION("IMPORTRANGE(""https://docs.google.com/spreadsheets/d/11tr1B-Bhyr79v2bkwVh5h_fR-PStkgjlZtkrZpYurG0/edit?usp=sharing"",""ชลบุรี!J228"")"),5000)</f>
        <v>5000</v>
      </c>
      <c r="BW56" s="216">
        <f t="shared" ca="1" si="132"/>
        <v>100</v>
      </c>
      <c r="BX56" s="152">
        <f ca="1">IFERROR(__xludf.DUMMYFUNCTION("IMPORTRANGE(""https://docs.google.com/spreadsheets/d/11tr1B-Bhyr79v2bkwVh5h_fR-PStkgjlZtkrZpYurG0/edit?usp=sharing"",""ชลบุรี!I229"")"),5000)</f>
        <v>5000</v>
      </c>
      <c r="BY56" s="152">
        <f ca="1">IFERROR(__xludf.DUMMYFUNCTION("IMPORTRANGE(""https://docs.google.com/spreadsheets/d/11tr1B-Bhyr79v2bkwVh5h_fR-PStkgjlZtkrZpYurG0/edit?usp=sharing"",""ชลบุรี!J229"")"),5000)</f>
        <v>5000</v>
      </c>
      <c r="BZ56" s="216">
        <f t="shared" ca="1" si="134"/>
        <v>100</v>
      </c>
      <c r="CA56" s="152">
        <f ca="1">IFERROR(__xludf.DUMMYFUNCTION("IMPORTRANGE(""https://docs.google.com/spreadsheets/d/11tr1B-Bhyr79v2bkwVh5h_fR-PStkgjlZtkrZpYurG0/edit?usp=sharing"",""ชลบุรี!I230"")"),0)</f>
        <v>0</v>
      </c>
      <c r="CB56" s="152">
        <f ca="1">IFERROR(__xludf.DUMMYFUNCTION("IMPORTRANGE(""https://docs.google.com/spreadsheets/d/11tr1B-Bhyr79v2bkwVh5h_fR-PStkgjlZtkrZpYurG0/edit?usp=sharing"",""ชลบุรี!J230"")"),0)</f>
        <v>0</v>
      </c>
      <c r="CC56" s="216">
        <f t="shared" ca="1" si="136"/>
        <v>0</v>
      </c>
      <c r="CD56" s="152">
        <f ca="1">IFERROR(__xludf.DUMMYFUNCTION("IMPORTRANGE(""https://docs.google.com/spreadsheets/d/11tr1B-Bhyr79v2bkwVh5h_fR-PStkgjlZtkrZpYurG0/edit?usp=sharing"",""ชลบุรี!L233"")"),16000)</f>
        <v>16000</v>
      </c>
      <c r="CE56" s="152">
        <f ca="1">IFERROR(__xludf.DUMMYFUNCTION("IMPORTRANGE(""https://docs.google.com/spreadsheets/d/11tr1B-Bhyr79v2bkwVh5h_fR-PStkgjlZtkrZpYurG0/edit?usp=sharing"",""ชลบุรี!N233"")"),11363)</f>
        <v>11363</v>
      </c>
      <c r="CF56" s="216">
        <f t="shared" ca="1" si="138"/>
        <v>71.018749999999997</v>
      </c>
      <c r="CG56" s="152">
        <f ca="1">IFERROR(__xludf.DUMMYFUNCTION("IMPORTRANGE(""https://docs.google.com/spreadsheets/d/11tr1B-Bhyr79v2bkwVh5h_fR-PStkgjlZtkrZpYurG0/edit?usp=sharing"",""ชลบุรี!L234"")"),4000)</f>
        <v>4000</v>
      </c>
      <c r="CH56" s="152">
        <f ca="1">IFERROR(__xludf.DUMMYFUNCTION("IMPORTRANGE(""https://docs.google.com/spreadsheets/d/11tr1B-Bhyr79v2bkwVh5h_fR-PStkgjlZtkrZpYurG0/edit?usp=sharing"",""ชลบุรี!N234"")"),2000)</f>
        <v>2000</v>
      </c>
      <c r="CI56" s="216">
        <f t="shared" ca="1" si="140"/>
        <v>50</v>
      </c>
      <c r="CJ56" s="152">
        <f ca="1">IFERROR(__xludf.DUMMYFUNCTION("IMPORTRANGE(""https://docs.google.com/spreadsheets/d/11tr1B-Bhyr79v2bkwVh5h_fR-PStkgjlZtkrZpYurG0/edit?usp=sharing"",""ชลบุรี!L235"")"),21000)</f>
        <v>21000</v>
      </c>
      <c r="CK56" s="152">
        <f ca="1">IFERROR(__xludf.DUMMYFUNCTION("IMPORTRANGE(""https://docs.google.com/spreadsheets/d/11tr1B-Bhyr79v2bkwVh5h_fR-PStkgjlZtkrZpYurG0/edit?usp=sharing"",""ชลบุรี!N235"")"),21630)</f>
        <v>21630</v>
      </c>
      <c r="CL56" s="216">
        <f t="shared" ca="1" si="142"/>
        <v>103</v>
      </c>
      <c r="CM56" s="251">
        <f ca="1">IFERROR(__xludf.DUMMYFUNCTION("IMPORTRANGE(""https://docs.google.com/spreadsheets/d/11tr1B-Bhyr79v2bkwVh5h_fR-PStkgjlZtkrZpYurG0/edit?usp=sharing"",""ชลบุรี!Q235"")"),0)</f>
        <v>0</v>
      </c>
      <c r="CN56" s="251">
        <f ca="1">IFERROR(__xludf.DUMMYFUNCTION("IMPORTRANGE(""https://docs.google.com/spreadsheets/d/11tr1B-Bhyr79v2bkwVh5h_fR-PStkgjlZtkrZpYurG0/edit?usp=sharing"",""ชลบุรี!S235"")"),0)</f>
        <v>0</v>
      </c>
      <c r="CO56" s="216">
        <f t="shared" ca="1" si="144"/>
        <v>0</v>
      </c>
      <c r="CP56" s="152">
        <f ca="1">IFERROR(__xludf.DUMMYFUNCTION("IMPORTRANGE(""https://docs.google.com/spreadsheets/d/11tr1B-Bhyr79v2bkwVh5h_fR-PStkgjlZtkrZpYurG0/edit?usp=sharing"",""ชลบุรี!L236"")"),35000)</f>
        <v>35000</v>
      </c>
      <c r="CQ56" s="152">
        <f ca="1">IFERROR(__xludf.DUMMYFUNCTION("IMPORTRANGE(""https://docs.google.com/spreadsheets/d/11tr1B-Bhyr79v2bkwVh5h_fR-PStkgjlZtkrZpYurG0/edit?usp=sharing"",""ชลบุรี!N236"")"),35000)</f>
        <v>35000</v>
      </c>
      <c r="CR56" s="216">
        <f t="shared" ca="1" si="146"/>
        <v>100</v>
      </c>
      <c r="CS56" s="152">
        <f ca="1">IFERROR(__xludf.DUMMYFUNCTION("IMPORTRANGE(""https://docs.google.com/spreadsheets/d/11tr1B-Bhyr79v2bkwVh5h_fR-PStkgjlZtkrZpYurG0/edit?usp=sharing"",""ชลบุรี!I238"")"),30)</f>
        <v>30</v>
      </c>
      <c r="CT56" s="152">
        <f ca="1">IFERROR(__xludf.DUMMYFUNCTION("IMPORTRANGE(""https://docs.google.com/spreadsheets/d/11tr1B-Bhyr79v2bkwVh5h_fR-PStkgjlZtkrZpYurG0/edit?usp=sharing"",""ชลบุรี!J238"")"),30)</f>
        <v>30</v>
      </c>
      <c r="CU56" s="216">
        <f t="shared" ca="1" si="148"/>
        <v>100</v>
      </c>
      <c r="CV56" s="152">
        <f ca="1">IFERROR(__xludf.DUMMYFUNCTION("IMPORTRANGE(""https://docs.google.com/spreadsheets/d/11tr1B-Bhyr79v2bkwVh5h_fR-PStkgjlZtkrZpYurG0/edit?usp=sharing"",""ชลบุรี!J240"")"),20)</f>
        <v>20</v>
      </c>
      <c r="CW56" s="152">
        <f ca="1">IFERROR(__xludf.DUMMYFUNCTION("IMPORTRANGE(""https://docs.google.com/spreadsheets/d/11tr1B-Bhyr79v2bkwVh5h_fR-PStkgjlZtkrZpYurG0/edit?usp=sharing"",""ชลบุรี!J241"")"),1)</f>
        <v>1</v>
      </c>
    </row>
    <row r="57" spans="1:101" ht="21" customHeight="1" x14ac:dyDescent="0.3">
      <c r="A57" s="147">
        <v>5</v>
      </c>
      <c r="B57" s="148" t="s">
        <v>85</v>
      </c>
      <c r="C57" s="149">
        <f t="shared" ca="1" si="90"/>
        <v>90200</v>
      </c>
      <c r="D57" s="150">
        <f t="shared" ca="1" si="206"/>
        <v>90200</v>
      </c>
      <c r="E57" s="151">
        <f ca="1">IFERROR(__xludf.DUMMYFUNCTION("IMPORTRANGE(""https://docs.google.com/spreadsheets/d/1-uDff_7J0KD5mKrp0Vvzr7lt3OU09vwQwhkpOPPYv2Y/edit?usp=sharing"",""งบพรบ!CV57"")"),74700)</f>
        <v>74700</v>
      </c>
      <c r="F57" s="151">
        <f ca="1">IFERROR(__xludf.DUMMYFUNCTION("IMPORTRANGE(""https://docs.google.com/spreadsheets/d/1-uDff_7J0KD5mKrp0Vvzr7lt3OU09vwQwhkpOPPYv2Y/edit?usp=sharing"",""งบพรบ!CW57"")"),15500)</f>
        <v>15500</v>
      </c>
      <c r="G57" s="151">
        <f ca="1">IFERROR(__xludf.DUMMYFUNCTION("IMPORTRANGE(""https://docs.google.com/spreadsheets/d/1-uDff_7J0KD5mKrp0Vvzr7lt3OU09vwQwhkpOPPYv2Y/edit?usp=sharing"",""งบพรบ!CX57"")"),0)</f>
        <v>0</v>
      </c>
      <c r="H57" s="151">
        <f ca="1">IFERROR(__xludf.DUMMYFUNCTION("IMPORTRANGE(""https://docs.google.com/spreadsheets/d/1-uDff_7J0KD5mKrp0Vvzr7lt3OU09vwQwhkpOPPYv2Y/edit?usp=sharing"",""งบพรบ!CZ57"")"),95760)</f>
        <v>95760</v>
      </c>
      <c r="I57" s="151">
        <f ca="1">IFERROR(__xludf.DUMMYFUNCTION("IMPORTRANGE(""https://docs.google.com/spreadsheets/d/1-uDff_7J0KD5mKrp0Vvzr7lt3OU09vwQwhkpOPPYv2Y/edit?usp=sharing"",""งบพรบ!DA57"")"),0)</f>
        <v>0</v>
      </c>
      <c r="J57" s="151">
        <f t="shared" ca="1" si="92"/>
        <v>91556.5</v>
      </c>
      <c r="K57" s="154">
        <f t="shared" ca="1" si="93"/>
        <v>101.50388026607538</v>
      </c>
      <c r="L57" s="151">
        <f ca="1">IFERROR(__xludf.DUMMYFUNCTION("IMPORTRANGE(""https://docs.google.com/spreadsheets/d/1-uDff_7J0KD5mKrp0Vvzr7lt3OU09vwQwhkpOPPYv2Y/edit?usp=sharing"",""งบพรบ!DB57"")"),91556.5)</f>
        <v>91556.5</v>
      </c>
      <c r="M57" s="68">
        <f t="shared" ca="1" si="94"/>
        <v>101.50388026607538</v>
      </c>
      <c r="N57" s="68">
        <f t="shared" ca="1" si="95"/>
        <v>95.610380116959064</v>
      </c>
      <c r="O57" s="67">
        <f ca="1">IFERROR(__xludf.DUMMYFUNCTION("IMPORTRANGE(""https://docs.google.com/spreadsheets/d/1-uDff_7J0KD5mKrp0Vvzr7lt3OU09vwQwhkpOPPYv2Y/edit?usp=sharing"",""งบพรบ!DC57"")"),0)</f>
        <v>0</v>
      </c>
      <c r="P57" s="67">
        <f t="shared" ca="1" si="96"/>
        <v>0</v>
      </c>
      <c r="Q57" s="68">
        <f t="shared" ca="1" si="97"/>
        <v>0</v>
      </c>
      <c r="R57" s="67">
        <f ca="1">IFERROR(__xludf.DUMMYFUNCTION("IMPORTRANGE(""https://docs.google.com/spreadsheets/d/1hh-FVnSX0vozXhGluamEcS54Dw9_zqW0N7qJUWgJ0Sw/edit?usp=sharing"",""ชัยนาท!Q186"")"),14000)</f>
        <v>14000</v>
      </c>
      <c r="S57" s="67">
        <f ca="1">IFERROR(__xludf.DUMMYFUNCTION("IMPORTRANGE(""https://docs.google.com/spreadsheets/d/1hh-FVnSX0vozXhGluamEcS54Dw9_zqW0N7qJUWgJ0Sw/edit?usp=sharing"",""ชัยนาท!R186"")"),14000)</f>
        <v>14000</v>
      </c>
      <c r="T57" s="67">
        <f ca="1">IFERROR(__xludf.DUMMYFUNCTION("IMPORTRANGE(""https://docs.google.com/spreadsheets/d/1hh-FVnSX0vozXhGluamEcS54Dw9_zqW0N7qJUWgJ0Sw/edit?usp=sharing"",""ชัยนาท!S186"")"),14000)</f>
        <v>14000</v>
      </c>
      <c r="U57" s="68">
        <f t="shared" ca="1" si="99"/>
        <v>100</v>
      </c>
      <c r="V57" s="68">
        <f t="shared" ca="1" si="100"/>
        <v>100</v>
      </c>
      <c r="W57" s="152">
        <f ca="1">IFERROR(__xludf.DUMMYFUNCTION("IMPORTRANGE(""https://docs.google.com/spreadsheets/d/1hh-FVnSX0vozXhGluamEcS54Dw9_zqW0N7qJUWgJ0Sw/edit?usp=sharing"",""ชัยนาท!L196"")"),6000)</f>
        <v>6000</v>
      </c>
      <c r="X57" s="152">
        <f ca="1">IFERROR(__xludf.DUMMYFUNCTION("IMPORTRANGE(""https://docs.google.com/spreadsheets/d/1hh-FVnSX0vozXhGluamEcS54Dw9_zqW0N7qJUWgJ0Sw/edit?usp=sharing"",""ชัยนาท!N196"")"),6000)</f>
        <v>6000</v>
      </c>
      <c r="Y57" s="216">
        <f t="shared" ca="1" si="102"/>
        <v>100</v>
      </c>
      <c r="Z57" s="152">
        <f ca="1">IFERROR(__xludf.DUMMYFUNCTION("IMPORTRANGE(""https://docs.google.com/spreadsheets/d/1hh-FVnSX0vozXhGluamEcS54Dw9_zqW0N7qJUWgJ0Sw/edit?usp=sharing"",""ชัยนาท!I198"")"),4)</f>
        <v>4</v>
      </c>
      <c r="AA57" s="152">
        <f ca="1">IFERROR(__xludf.DUMMYFUNCTION("IMPORTRANGE(""https://docs.google.com/spreadsheets/d/1hh-FVnSX0vozXhGluamEcS54Dw9_zqW0N7qJUWgJ0Sw/edit?usp=sharing"",""ชัยนาท!J198"")"),4)</f>
        <v>4</v>
      </c>
      <c r="AB57" s="216">
        <f t="shared" ca="1" si="104"/>
        <v>100</v>
      </c>
      <c r="AC57" s="152">
        <f ca="1">IFERROR(__xludf.DUMMYFUNCTION("IMPORTRANGE(""https://docs.google.com/spreadsheets/d/1hh-FVnSX0vozXhGluamEcS54Dw9_zqW0N7qJUWgJ0Sw/edit?usp=sharing"",""ชัยนาท!J199"")"),389)</f>
        <v>389</v>
      </c>
      <c r="AD57" s="152">
        <f ca="1">IFERROR(__xludf.DUMMYFUNCTION("IMPORTRANGE(""https://docs.google.com/spreadsheets/d/1hh-FVnSX0vozXhGluamEcS54Dw9_zqW0N7qJUWgJ0Sw/edit?usp=sharing"",""ชัยนาท!J200"")"),389)</f>
        <v>389</v>
      </c>
      <c r="AE57" s="152">
        <f ca="1">IFERROR(__xludf.DUMMYFUNCTION("IMPORTRANGE(""https://docs.google.com/spreadsheets/d/1hh-FVnSX0vozXhGluamEcS54Dw9_zqW0N7qJUWgJ0Sw/edit?usp=sharing"",""ชัยนาท!J201"")"),0)</f>
        <v>0</v>
      </c>
      <c r="AF57" s="152">
        <f ca="1">IFERROR(__xludf.DUMMYFUNCTION("IMPORTRANGE(""https://docs.google.com/spreadsheets/d/1hh-FVnSX0vozXhGluamEcS54Dw9_zqW0N7qJUWgJ0Sw/edit?usp=sharing"",""ชัยนาท!L204"")"),1000)</f>
        <v>1000</v>
      </c>
      <c r="AG57" s="152">
        <f ca="1">IFERROR(__xludf.DUMMYFUNCTION("IMPORTRANGE(""https://docs.google.com/spreadsheets/d/1hh-FVnSX0vozXhGluamEcS54Dw9_zqW0N7qJUWgJ0Sw/edit?usp=sharing"",""ชัยนาท!N204"")"),1000)</f>
        <v>1000</v>
      </c>
      <c r="AH57" s="216">
        <f t="shared" ca="1" si="106"/>
        <v>100</v>
      </c>
      <c r="AI57" s="152">
        <f ca="1">IFERROR(__xludf.DUMMYFUNCTION("IMPORTRANGE(""https://docs.google.com/spreadsheets/d/1hh-FVnSX0vozXhGluamEcS54Dw9_zqW0N7qJUWgJ0Sw/edit?usp=sharing"",""ชัยนาท!L206"")"),0)</f>
        <v>0</v>
      </c>
      <c r="AJ57" s="152">
        <f ca="1">IFERROR(__xludf.DUMMYFUNCTION("IMPORTRANGE(""https://docs.google.com/spreadsheets/d/1hh-FVnSX0vozXhGluamEcS54Dw9_zqW0N7qJUWgJ0Sw/edit?usp=sharing"",""ชัยนาท!N206"")"),0)</f>
        <v>0</v>
      </c>
      <c r="AK57" s="216">
        <f t="shared" ca="1" si="108"/>
        <v>0</v>
      </c>
      <c r="AL57" s="152">
        <f ca="1">IFERROR(__xludf.DUMMYFUNCTION("IMPORTRANGE(""https://docs.google.com/spreadsheets/d/1hh-FVnSX0vozXhGluamEcS54Dw9_zqW0N7qJUWgJ0Sw/edit?usp=sharing"",""ชัยนาท!Q206"")"),14000)</f>
        <v>14000</v>
      </c>
      <c r="AM57" s="152">
        <f ca="1">IFERROR(__xludf.DUMMYFUNCTION("IMPORTRANGE(""https://docs.google.com/spreadsheets/d/1hh-FVnSX0vozXhGluamEcS54Dw9_zqW0N7qJUWgJ0Sw/edit?usp=sharing"",""ชัยนาท!S206"")"),14000)</f>
        <v>14000</v>
      </c>
      <c r="AN57" s="216">
        <f t="shared" ca="1" si="110"/>
        <v>100</v>
      </c>
      <c r="AO57" s="152">
        <f ca="1">IFERROR(__xludf.DUMMYFUNCTION("IMPORTRANGE(""https://docs.google.com/spreadsheets/d/1hh-FVnSX0vozXhGluamEcS54Dw9_zqW0N7qJUWgJ0Sw/edit?usp=sharing"",""ชัยนาท!L207"")"),4000)</f>
        <v>4000</v>
      </c>
      <c r="AP57" s="152">
        <f ca="1">IFERROR(__xludf.DUMMYFUNCTION("IMPORTRANGE(""https://docs.google.com/spreadsheets/d/1hh-FVnSX0vozXhGluamEcS54Dw9_zqW0N7qJUWgJ0Sw/edit?usp=sharing"",""ชัยนาท!N207"")"),4000)</f>
        <v>4000</v>
      </c>
      <c r="AQ57" s="216">
        <f t="shared" ca="1" si="112"/>
        <v>100</v>
      </c>
      <c r="AR57" s="152">
        <f ca="1">IFERROR(__xludf.DUMMYFUNCTION("IMPORTRANGE(""https://docs.google.com/spreadsheets/d/1hh-FVnSX0vozXhGluamEcS54Dw9_zqW0N7qJUWgJ0Sw/edit?usp=sharing"",""ชัยนาท!I209"")"),1)</f>
        <v>1</v>
      </c>
      <c r="AS57" s="152">
        <f ca="1">IFERROR(__xludf.DUMMYFUNCTION("IMPORTRANGE(""https://docs.google.com/spreadsheets/d/1hh-FVnSX0vozXhGluamEcS54Dw9_zqW0N7qJUWgJ0Sw/edit?usp=sharing"",""ชัยนาท!J209"")"),1)</f>
        <v>1</v>
      </c>
      <c r="AT57" s="216">
        <f t="shared" ca="1" si="114"/>
        <v>100</v>
      </c>
      <c r="AU57" s="152">
        <f ca="1">IFERROR(__xludf.DUMMYFUNCTION("IMPORTRANGE(""https://docs.google.com/spreadsheets/d/1hh-FVnSX0vozXhGluamEcS54Dw9_zqW0N7qJUWgJ0Sw/edit?usp=sharing"",""ชัยนาท!J211"")"),1)</f>
        <v>1</v>
      </c>
      <c r="AV57" s="152">
        <f ca="1">IFERROR(__xludf.DUMMYFUNCTION("IMPORTRANGE(""https://docs.google.com/spreadsheets/d/1hh-FVnSX0vozXhGluamEcS54Dw9_zqW0N7qJUWgJ0Sw/edit?usp=sharing"",""ชัยนาท!J212"")"),0)</f>
        <v>0</v>
      </c>
      <c r="AW57" s="152">
        <f ca="1">IFERROR(__xludf.DUMMYFUNCTION("IMPORTRANGE(""https://docs.google.com/spreadsheets/d/1hh-FVnSX0vozXhGluamEcS54Dw9_zqW0N7qJUWgJ0Sw/edit?usp=sharing"",""ชัยนาท!L215"")"),0)</f>
        <v>0</v>
      </c>
      <c r="AX57" s="152">
        <f ca="1">IFERROR(__xludf.DUMMYFUNCTION("IMPORTRANGE(""https://docs.google.com/spreadsheets/d/1hh-FVnSX0vozXhGluamEcS54Dw9_zqW0N7qJUWgJ0Sw/edit?usp=sharing"",""ชัยนาท!N215"")"),0)</f>
        <v>0</v>
      </c>
      <c r="AY57" s="216">
        <f t="shared" ca="1" si="116"/>
        <v>0</v>
      </c>
      <c r="AZ57" s="152">
        <f ca="1">IFERROR(__xludf.DUMMYFUNCTION("IMPORTRANGE(""https://docs.google.com/spreadsheets/d/1hh-FVnSX0vozXhGluamEcS54Dw9_zqW0N7qJUWgJ0Sw/edit?usp=sharing"",""ชัยนาท!L216"")"),0)</f>
        <v>0</v>
      </c>
      <c r="BA57" s="152">
        <f ca="1">IFERROR(__xludf.DUMMYFUNCTION("IMPORTRANGE(""https://docs.google.com/spreadsheets/d/1hh-FVnSX0vozXhGluamEcS54Dw9_zqW0N7qJUWgJ0Sw/edit?usp=sharing"",""ชัยนาท!N216"")"),0)</f>
        <v>0</v>
      </c>
      <c r="BB57" s="216">
        <f t="shared" ca="1" si="118"/>
        <v>0</v>
      </c>
      <c r="BC57" s="152">
        <f ca="1">IFERROR(__xludf.DUMMYFUNCTION("IMPORTRANGE(""https://docs.google.com/spreadsheets/d/1hh-FVnSX0vozXhGluamEcS54Dw9_zqW0N7qJUWgJ0Sw/edit?usp=sharing"",""ชัยนาท!L217"")"),0)</f>
        <v>0</v>
      </c>
      <c r="BD57" s="152">
        <f ca="1">IFERROR(__xludf.DUMMYFUNCTION("IMPORTRANGE(""https://docs.google.com/spreadsheets/d/1hh-FVnSX0vozXhGluamEcS54Dw9_zqW0N7qJUWgJ0Sw/edit?usp=sharing"",""ชัยนาท!N217"")"),0)</f>
        <v>0</v>
      </c>
      <c r="BE57" s="216">
        <f t="shared" ca="1" si="120"/>
        <v>0</v>
      </c>
      <c r="BF57" s="152">
        <f ca="1">IFERROR(__xludf.DUMMYFUNCTION("IMPORTRANGE(""https://docs.google.com/spreadsheets/d/1hh-FVnSX0vozXhGluamEcS54Dw9_zqW0N7qJUWgJ0Sw/edit?usp=sharing"",""ชัยนาท!Q217"")"),0)</f>
        <v>0</v>
      </c>
      <c r="BG57" s="152">
        <f ca="1">IFERROR(__xludf.DUMMYFUNCTION("IMPORTRANGE(""https://docs.google.com/spreadsheets/d/1hh-FVnSX0vozXhGluamEcS54Dw9_zqW0N7qJUWgJ0Sw/edit?usp=sharing"",""ชัยนาท!S217"")"),0)</f>
        <v>0</v>
      </c>
      <c r="BH57" s="216">
        <f t="shared" ca="1" si="122"/>
        <v>0</v>
      </c>
      <c r="BI57" s="152">
        <f ca="1">IFERROR(__xludf.DUMMYFUNCTION("IMPORTRANGE(""https://docs.google.com/spreadsheets/d/1hh-FVnSX0vozXhGluamEcS54Dw9_zqW0N7qJUWgJ0Sw/edit?usp=sharing"",""ชัยนาท!I219"")"),0)</f>
        <v>0</v>
      </c>
      <c r="BJ57" s="152">
        <f ca="1">IFERROR(__xludf.DUMMYFUNCTION("IMPORTRANGE(""https://docs.google.com/spreadsheets/d/1hh-FVnSX0vozXhGluamEcS54Dw9_zqW0N7qJUWgJ0Sw/edit?usp=sharing"",""ชัยนาท!J219"")"),0)</f>
        <v>0</v>
      </c>
      <c r="BK57" s="216">
        <f t="shared" ca="1" si="124"/>
        <v>0</v>
      </c>
      <c r="BL57" s="152">
        <f ca="1">IFERROR(__xludf.DUMMYFUNCTION("IMPORTRANGE(""https://docs.google.com/spreadsheets/d/1hh-FVnSX0vozXhGluamEcS54Dw9_zqW0N7qJUWgJ0Sw/edit?usp=sharing"",""ชัยนาท!I220"")"),0)</f>
        <v>0</v>
      </c>
      <c r="BM57" s="152">
        <f ca="1">IFERROR(__xludf.DUMMYFUNCTION("IMPORTRANGE(""https://docs.google.com/spreadsheets/d/1hh-FVnSX0vozXhGluamEcS54Dw9_zqW0N7qJUWgJ0Sw/edit?usp=sharing"",""ชัยนาท!J220"")"),0)</f>
        <v>0</v>
      </c>
      <c r="BN57" s="216">
        <f t="shared" ca="1" si="126"/>
        <v>0</v>
      </c>
      <c r="BO57" s="152">
        <f ca="1">IFERROR(__xludf.DUMMYFUNCTION("IMPORTRANGE(""https://docs.google.com/spreadsheets/d/1hh-FVnSX0vozXhGluamEcS54Dw9_zqW0N7qJUWgJ0Sw/edit?usp=sharing"",""ชัยนาท!L223"")"),2500)</f>
        <v>2500</v>
      </c>
      <c r="BP57" s="152">
        <f ca="1">IFERROR(__xludf.DUMMYFUNCTION("IMPORTRANGE(""https://docs.google.com/spreadsheets/d/1hh-FVnSX0vozXhGluamEcS54Dw9_zqW0N7qJUWgJ0Sw/edit?usp=sharing"",""ชัยนาท!N223"")"),2500)</f>
        <v>2500</v>
      </c>
      <c r="BQ57" s="216">
        <f t="shared" ca="1" si="128"/>
        <v>100</v>
      </c>
      <c r="BR57" s="152">
        <f ca="1">IFERROR(__xludf.DUMMYFUNCTION("IMPORTRANGE(""https://docs.google.com/spreadsheets/d/1hh-FVnSX0vozXhGluamEcS54Dw9_zqW0N7qJUWgJ0Sw/edit?usp=sharing"",""ชัยนาท!L224"")"),2000)</f>
        <v>2000</v>
      </c>
      <c r="BS57" s="152">
        <f ca="1">IFERROR(__xludf.DUMMYFUNCTION("IMPORTRANGE(""https://docs.google.com/spreadsheets/d/1hh-FVnSX0vozXhGluamEcS54Dw9_zqW0N7qJUWgJ0Sw/edit?usp=sharing"",""ชัยนาท!N224"")"),2000)</f>
        <v>2000</v>
      </c>
      <c r="BT57" s="216">
        <f t="shared" ca="1" si="130"/>
        <v>100</v>
      </c>
      <c r="BU57" s="152">
        <f ca="1">IFERROR(__xludf.DUMMYFUNCTION("IMPORTRANGE(""https://docs.google.com/spreadsheets/d/1hh-FVnSX0vozXhGluamEcS54Dw9_zqW0N7qJUWgJ0Sw/edit?usp=sharing"",""ชัยนาท!I228"")"),12800)</f>
        <v>12800</v>
      </c>
      <c r="BV57" s="152">
        <f ca="1">IFERROR(__xludf.DUMMYFUNCTION("IMPORTRANGE(""https://docs.google.com/spreadsheets/d/1hh-FVnSX0vozXhGluamEcS54Dw9_zqW0N7qJUWgJ0Sw/edit?usp=sharing"",""ชัยนาท!J228"")"),12800)</f>
        <v>12800</v>
      </c>
      <c r="BW57" s="216">
        <f t="shared" ca="1" si="132"/>
        <v>100</v>
      </c>
      <c r="BX57" s="152">
        <f ca="1">IFERROR(__xludf.DUMMYFUNCTION("IMPORTRANGE(""https://docs.google.com/spreadsheets/d/1hh-FVnSX0vozXhGluamEcS54Dw9_zqW0N7qJUWgJ0Sw/edit?usp=sharing"",""ชัยนาท!I229"")"),12800)</f>
        <v>12800</v>
      </c>
      <c r="BY57" s="152">
        <f ca="1">IFERROR(__xludf.DUMMYFUNCTION("IMPORTRANGE(""https://docs.google.com/spreadsheets/d/1hh-FVnSX0vozXhGluamEcS54Dw9_zqW0N7qJUWgJ0Sw/edit?usp=sharing"",""ชัยนาท!J229"")"),12800)</f>
        <v>12800</v>
      </c>
      <c r="BZ57" s="216">
        <f t="shared" ca="1" si="134"/>
        <v>100</v>
      </c>
      <c r="CA57" s="152">
        <f ca="1">IFERROR(__xludf.DUMMYFUNCTION("IMPORTRANGE(""https://docs.google.com/spreadsheets/d/1hh-FVnSX0vozXhGluamEcS54Dw9_zqW0N7qJUWgJ0Sw/edit?usp=sharing"",""ชัยนาท!I230"")"),0)</f>
        <v>0</v>
      </c>
      <c r="CB57" s="152">
        <f ca="1">IFERROR(__xludf.DUMMYFUNCTION("IMPORTRANGE(""https://docs.google.com/spreadsheets/d/1hh-FVnSX0vozXhGluamEcS54Dw9_zqW0N7qJUWgJ0Sw/edit?usp=sharing"",""ชัยนาท!J230"")"),0)</f>
        <v>0</v>
      </c>
      <c r="CC57" s="216">
        <f t="shared" ca="1" si="136"/>
        <v>0</v>
      </c>
      <c r="CD57" s="152">
        <f ca="1">IFERROR(__xludf.DUMMYFUNCTION("IMPORTRANGE(""https://docs.google.com/spreadsheets/d/1hh-FVnSX0vozXhGluamEcS54Dw9_zqW0N7qJUWgJ0Sw/edit?usp=sharing"",""ชัยนาท!L233"")"),0)</f>
        <v>0</v>
      </c>
      <c r="CE57" s="152">
        <f ca="1">IFERROR(__xludf.DUMMYFUNCTION("IMPORTRANGE(""https://docs.google.com/spreadsheets/d/1hh-FVnSX0vozXhGluamEcS54Dw9_zqW0N7qJUWgJ0Sw/edit?usp=sharing"",""ชัยนาท!N233"")"),0)</f>
        <v>0</v>
      </c>
      <c r="CF57" s="216">
        <f t="shared" ca="1" si="138"/>
        <v>0</v>
      </c>
      <c r="CG57" s="152">
        <f ca="1">IFERROR(__xludf.DUMMYFUNCTION("IMPORTRANGE(""https://docs.google.com/spreadsheets/d/1hh-FVnSX0vozXhGluamEcS54Dw9_zqW0N7qJUWgJ0Sw/edit?usp=sharing"",""ชัยนาท!L234"")"),0)</f>
        <v>0</v>
      </c>
      <c r="CH57" s="152">
        <f ca="1">IFERROR(__xludf.DUMMYFUNCTION("IMPORTRANGE(""https://docs.google.com/spreadsheets/d/1hh-FVnSX0vozXhGluamEcS54Dw9_zqW0N7qJUWgJ0Sw/edit?usp=sharing"",""ชัยนาท!N234"")"),0)</f>
        <v>0</v>
      </c>
      <c r="CI57" s="216">
        <f t="shared" ca="1" si="140"/>
        <v>0</v>
      </c>
      <c r="CJ57" s="152">
        <f ca="1">IFERROR(__xludf.DUMMYFUNCTION("IMPORTRANGE(""https://docs.google.com/spreadsheets/d/1hh-FVnSX0vozXhGluamEcS54Dw9_zqW0N7qJUWgJ0Sw/edit?usp=sharing"",""ชัยนาท!L235"")"),0)</f>
        <v>0</v>
      </c>
      <c r="CK57" s="152">
        <f ca="1">IFERROR(__xludf.DUMMYFUNCTION("IMPORTRANGE(""https://docs.google.com/spreadsheets/d/1hh-FVnSX0vozXhGluamEcS54Dw9_zqW0N7qJUWgJ0Sw/edit?usp=sharing"",""ชัยนาท!N235"")"),0)</f>
        <v>0</v>
      </c>
      <c r="CL57" s="216">
        <f t="shared" ca="1" si="142"/>
        <v>0</v>
      </c>
      <c r="CM57" s="251">
        <f ca="1">IFERROR(__xludf.DUMMYFUNCTION("IMPORTRANGE(""https://docs.google.com/spreadsheets/d/1hh-FVnSX0vozXhGluamEcS54Dw9_zqW0N7qJUWgJ0Sw/edit?usp=sharing"",""ชัยนาท!Q235"")"),0)</f>
        <v>0</v>
      </c>
      <c r="CN57" s="251">
        <f ca="1">IFERROR(__xludf.DUMMYFUNCTION("IMPORTRANGE(""https://docs.google.com/spreadsheets/d/1hh-FVnSX0vozXhGluamEcS54Dw9_zqW0N7qJUWgJ0Sw/edit?usp=sharing"",""ชัยนาท!S235"")"),0)</f>
        <v>0</v>
      </c>
      <c r="CO57" s="216">
        <f t="shared" ca="1" si="144"/>
        <v>0</v>
      </c>
      <c r="CP57" s="152">
        <f ca="1">IFERROR(__xludf.DUMMYFUNCTION("IMPORTRANGE(""https://docs.google.com/spreadsheets/d/1hh-FVnSX0vozXhGluamEcS54Dw9_zqW0N7qJUWgJ0Sw/edit?usp=sharing"",""ชัยนาท!L236"")"),0)</f>
        <v>0</v>
      </c>
      <c r="CQ57" s="152">
        <f ca="1">IFERROR(__xludf.DUMMYFUNCTION("IMPORTRANGE(""https://docs.google.com/spreadsheets/d/1hh-FVnSX0vozXhGluamEcS54Dw9_zqW0N7qJUWgJ0Sw/edit?usp=sharing"",""ชัยนาท!N236"")"),0)</f>
        <v>0</v>
      </c>
      <c r="CR57" s="216">
        <f t="shared" ca="1" si="146"/>
        <v>0</v>
      </c>
      <c r="CS57" s="152">
        <f ca="1">IFERROR(__xludf.DUMMYFUNCTION("IMPORTRANGE(""https://docs.google.com/spreadsheets/d/1hh-FVnSX0vozXhGluamEcS54Dw9_zqW0N7qJUWgJ0Sw/edit?usp=sharing"",""ชัยนาท!I238"")"),0)</f>
        <v>0</v>
      </c>
      <c r="CT57" s="152">
        <f ca="1">IFERROR(__xludf.DUMMYFUNCTION("IMPORTRANGE(""https://docs.google.com/spreadsheets/d/1hh-FVnSX0vozXhGluamEcS54Dw9_zqW0N7qJUWgJ0Sw/edit?usp=sharing"",""ชัยนาท!J238"")"),0)</f>
        <v>0</v>
      </c>
      <c r="CU57" s="216">
        <f t="shared" ca="1" si="148"/>
        <v>0</v>
      </c>
      <c r="CV57" s="152">
        <f ca="1">IFERROR(__xludf.DUMMYFUNCTION("IMPORTRANGE(""https://docs.google.com/spreadsheets/d/1hh-FVnSX0vozXhGluamEcS54Dw9_zqW0N7qJUWgJ0Sw/edit?usp=sharing"",""ชัยนาท!J240"")"),0)</f>
        <v>0</v>
      </c>
      <c r="CW57" s="152">
        <f ca="1">IFERROR(__xludf.DUMMYFUNCTION("IMPORTRANGE(""https://docs.google.com/spreadsheets/d/1hh-FVnSX0vozXhGluamEcS54Dw9_zqW0N7qJUWgJ0Sw/edit?usp=sharing"",""ชัยนาท!J241"")"),0)</f>
        <v>0</v>
      </c>
    </row>
    <row r="58" spans="1:101" ht="21" customHeight="1" x14ac:dyDescent="0.3">
      <c r="A58" s="147">
        <v>6</v>
      </c>
      <c r="B58" s="148" t="s">
        <v>86</v>
      </c>
      <c r="C58" s="149">
        <f t="shared" ca="1" si="90"/>
        <v>111200</v>
      </c>
      <c r="D58" s="150">
        <f t="shared" ca="1" si="206"/>
        <v>111200</v>
      </c>
      <c r="E58" s="151">
        <f ca="1">IFERROR(__xludf.DUMMYFUNCTION("IMPORTRANGE(""https://docs.google.com/spreadsheets/d/1-uDff_7J0KD5mKrp0Vvzr7lt3OU09vwQwhkpOPPYv2Y/edit?usp=sharing"",""งบพรบ!CV58"")"),73700)</f>
        <v>73700</v>
      </c>
      <c r="F58" s="151">
        <f ca="1">IFERROR(__xludf.DUMMYFUNCTION("IMPORTRANGE(""https://docs.google.com/spreadsheets/d/1-uDff_7J0KD5mKrp0Vvzr7lt3OU09vwQwhkpOPPYv2Y/edit?usp=sharing"",""งบพรบ!CW58"")"),37500)</f>
        <v>37500</v>
      </c>
      <c r="G58" s="151">
        <f ca="1">IFERROR(__xludf.DUMMYFUNCTION("IMPORTRANGE(""https://docs.google.com/spreadsheets/d/1-uDff_7J0KD5mKrp0Vvzr7lt3OU09vwQwhkpOPPYv2Y/edit?usp=sharing"",""งบพรบ!CX58"")"),0)</f>
        <v>0</v>
      </c>
      <c r="H58" s="151">
        <f ca="1">IFERROR(__xludf.DUMMYFUNCTION("IMPORTRANGE(""https://docs.google.com/spreadsheets/d/1-uDff_7J0KD5mKrp0Vvzr7lt3OU09vwQwhkpOPPYv2Y/edit?usp=sharing"",""งบพรบ!CZ58"")"),113200)</f>
        <v>113200</v>
      </c>
      <c r="I58" s="151">
        <f ca="1">IFERROR(__xludf.DUMMYFUNCTION("IMPORTRANGE(""https://docs.google.com/spreadsheets/d/1-uDff_7J0KD5mKrp0Vvzr7lt3OU09vwQwhkpOPPYv2Y/edit?usp=sharing"",""งบพรบ!DA58"")"),0)</f>
        <v>0</v>
      </c>
      <c r="J58" s="151">
        <f t="shared" ca="1" si="92"/>
        <v>113029</v>
      </c>
      <c r="K58" s="154">
        <f t="shared" ca="1" si="93"/>
        <v>101.64478417266187</v>
      </c>
      <c r="L58" s="151">
        <f ca="1">IFERROR(__xludf.DUMMYFUNCTION("IMPORTRANGE(""https://docs.google.com/spreadsheets/d/1-uDff_7J0KD5mKrp0Vvzr7lt3OU09vwQwhkpOPPYv2Y/edit?usp=sharing"",""งบพรบ!DB58"")"),113029)</f>
        <v>113029</v>
      </c>
      <c r="M58" s="68">
        <f t="shared" ca="1" si="94"/>
        <v>101.64478417266187</v>
      </c>
      <c r="N58" s="68">
        <f t="shared" ca="1" si="95"/>
        <v>99.848939929328623</v>
      </c>
      <c r="O58" s="67">
        <f ca="1">IFERROR(__xludf.DUMMYFUNCTION("IMPORTRANGE(""https://docs.google.com/spreadsheets/d/1-uDff_7J0KD5mKrp0Vvzr7lt3OU09vwQwhkpOPPYv2Y/edit?usp=sharing"",""งบพรบ!DC58"")"),0)</f>
        <v>0</v>
      </c>
      <c r="P58" s="67">
        <f t="shared" ca="1" si="96"/>
        <v>0</v>
      </c>
      <c r="Q58" s="68">
        <f t="shared" ca="1" si="97"/>
        <v>0</v>
      </c>
      <c r="R58" s="67">
        <f ca="1">IFERROR(__xludf.DUMMYFUNCTION("IMPORTRANGE(""https://docs.google.com/spreadsheets/d/1jkqa6GXxSacMcY1eN8AHjMNJ_7dDXMJVRLDlaFSOdPM/edit?usp=sharing"",""ตราด!Q186"")"),41700)</f>
        <v>41700</v>
      </c>
      <c r="S58" s="67">
        <f ca="1">IFERROR(__xludf.DUMMYFUNCTION("IMPORTRANGE(""https://docs.google.com/spreadsheets/d/1jkqa6GXxSacMcY1eN8AHjMNJ_7dDXMJVRLDlaFSOdPM/edit?usp=sharing"",""ตราด!R186"")"),41700)</f>
        <v>41700</v>
      </c>
      <c r="T58" s="67">
        <f ca="1">IFERROR(__xludf.DUMMYFUNCTION("IMPORTRANGE(""https://docs.google.com/spreadsheets/d/1jkqa6GXxSacMcY1eN8AHjMNJ_7dDXMJVRLDlaFSOdPM/edit?usp=sharing"",""ตราด!S186"")"),0)</f>
        <v>0</v>
      </c>
      <c r="U58" s="68">
        <f t="shared" ca="1" si="99"/>
        <v>0</v>
      </c>
      <c r="V58" s="68">
        <f t="shared" ca="1" si="100"/>
        <v>0</v>
      </c>
      <c r="W58" s="152">
        <f ca="1">IFERROR(__xludf.DUMMYFUNCTION("IMPORTRANGE(""https://docs.google.com/spreadsheets/d/1jkqa6GXxSacMcY1eN8AHjMNJ_7dDXMJVRLDlaFSOdPM/edit?usp=sharing"",""ตราด!L196"")"),6000)</f>
        <v>6000</v>
      </c>
      <c r="X58" s="152">
        <f ca="1">IFERROR(__xludf.DUMMYFUNCTION("IMPORTRANGE(""https://docs.google.com/spreadsheets/d/1jkqa6GXxSacMcY1eN8AHjMNJ_7dDXMJVRLDlaFSOdPM/edit?usp=sharing"",""ตราด!N196"")"),6000)</f>
        <v>6000</v>
      </c>
      <c r="Y58" s="216">
        <f t="shared" ca="1" si="102"/>
        <v>100</v>
      </c>
      <c r="Z58" s="152">
        <f ca="1">IFERROR(__xludf.DUMMYFUNCTION("IMPORTRANGE(""https://docs.google.com/spreadsheets/d/1jkqa6GXxSacMcY1eN8AHjMNJ_7dDXMJVRLDlaFSOdPM/edit?usp=sharing"",""ตราด!I198"")"),4)</f>
        <v>4</v>
      </c>
      <c r="AA58" s="152">
        <f ca="1">IFERROR(__xludf.DUMMYFUNCTION("IMPORTRANGE(""https://docs.google.com/spreadsheets/d/1jkqa6GXxSacMcY1eN8AHjMNJ_7dDXMJVRLDlaFSOdPM/edit?usp=sharing"",""ตราด!J198"")"),4)</f>
        <v>4</v>
      </c>
      <c r="AB58" s="216">
        <f t="shared" ca="1" si="104"/>
        <v>100</v>
      </c>
      <c r="AC58" s="152">
        <f ca="1">IFERROR(__xludf.DUMMYFUNCTION("IMPORTRANGE(""https://docs.google.com/spreadsheets/d/1jkqa6GXxSacMcY1eN8AHjMNJ_7dDXMJVRLDlaFSOdPM/edit?usp=sharing"",""ตราด!J199"")"),152)</f>
        <v>152</v>
      </c>
      <c r="AD58" s="152">
        <f ca="1">IFERROR(__xludf.DUMMYFUNCTION("IMPORTRANGE(""https://docs.google.com/spreadsheets/d/1jkqa6GXxSacMcY1eN8AHjMNJ_7dDXMJVRLDlaFSOdPM/edit?usp=sharing"",""ตราด!J200"")"),152)</f>
        <v>152</v>
      </c>
      <c r="AE58" s="152">
        <f ca="1">IFERROR(__xludf.DUMMYFUNCTION("IMPORTRANGE(""https://docs.google.com/spreadsheets/d/1jkqa6GXxSacMcY1eN8AHjMNJ_7dDXMJVRLDlaFSOdPM/edit?usp=sharing"",""ตราด!J201"")"),0)</f>
        <v>0</v>
      </c>
      <c r="AF58" s="152">
        <f ca="1">IFERROR(__xludf.DUMMYFUNCTION("IMPORTRANGE(""https://docs.google.com/spreadsheets/d/1jkqa6GXxSacMcY1eN8AHjMNJ_7dDXMJVRLDlaFSOdPM/edit?usp=sharing"",""ตราด!L204"")"),1000)</f>
        <v>1000</v>
      </c>
      <c r="AG58" s="152">
        <f ca="1">IFERROR(__xludf.DUMMYFUNCTION("IMPORTRANGE(""https://docs.google.com/spreadsheets/d/1jkqa6GXxSacMcY1eN8AHjMNJ_7dDXMJVRLDlaFSOdPM/edit?usp=sharing"",""ตราด!N204"")"),1000)</f>
        <v>1000</v>
      </c>
      <c r="AH58" s="216">
        <f t="shared" ca="1" si="106"/>
        <v>100</v>
      </c>
      <c r="AI58" s="152">
        <f ca="1">IFERROR(__xludf.DUMMYFUNCTION("IMPORTRANGE(""https://docs.google.com/spreadsheets/d/1jkqa6GXxSacMcY1eN8AHjMNJ_7dDXMJVRLDlaFSOdPM/edit?usp=sharing"",""ตราด!L206"")"),8000)</f>
        <v>8000</v>
      </c>
      <c r="AJ58" s="152">
        <f ca="1">IFERROR(__xludf.DUMMYFUNCTION("IMPORTRANGE(""https://docs.google.com/spreadsheets/d/1jkqa6GXxSacMcY1eN8AHjMNJ_7dDXMJVRLDlaFSOdPM/edit?usp=sharing"",""ตราด!N206"")"),8000)</f>
        <v>8000</v>
      </c>
      <c r="AK58" s="216">
        <f t="shared" ca="1" si="108"/>
        <v>100</v>
      </c>
      <c r="AL58" s="152">
        <f ca="1">IFERROR(__xludf.DUMMYFUNCTION("IMPORTRANGE(""https://docs.google.com/spreadsheets/d/1jkqa6GXxSacMcY1eN8AHjMNJ_7dDXMJVRLDlaFSOdPM/edit?usp=sharing"",""ตราด!Q206"")"),0)</f>
        <v>0</v>
      </c>
      <c r="AM58" s="152">
        <f ca="1">IFERROR(__xludf.DUMMYFUNCTION("IMPORTRANGE(""https://docs.google.com/spreadsheets/d/1jkqa6GXxSacMcY1eN8AHjMNJ_7dDXMJVRLDlaFSOdPM/edit?usp=sharing"",""ตราด!S206"")"),0)</f>
        <v>0</v>
      </c>
      <c r="AN58" s="216">
        <f t="shared" ca="1" si="110"/>
        <v>0</v>
      </c>
      <c r="AO58" s="152">
        <f ca="1">IFERROR(__xludf.DUMMYFUNCTION("IMPORTRANGE(""https://docs.google.com/spreadsheets/d/1jkqa6GXxSacMcY1eN8AHjMNJ_7dDXMJVRLDlaFSOdPM/edit?usp=sharing"",""ตราด!L207"")"),4000)</f>
        <v>4000</v>
      </c>
      <c r="AP58" s="152">
        <f ca="1">IFERROR(__xludf.DUMMYFUNCTION("IMPORTRANGE(""https://docs.google.com/spreadsheets/d/1jkqa6GXxSacMcY1eN8AHjMNJ_7dDXMJVRLDlaFSOdPM/edit?usp=sharing"",""ตราด!N207"")"),4000)</f>
        <v>4000</v>
      </c>
      <c r="AQ58" s="216">
        <f t="shared" ca="1" si="112"/>
        <v>100</v>
      </c>
      <c r="AR58" s="152">
        <f ca="1">IFERROR(__xludf.DUMMYFUNCTION("IMPORTRANGE(""https://docs.google.com/spreadsheets/d/1jkqa6GXxSacMcY1eN8AHjMNJ_7dDXMJVRLDlaFSOdPM/edit?usp=sharing"",""ตราด!I209"")"),1)</f>
        <v>1</v>
      </c>
      <c r="AS58" s="152">
        <f ca="1">IFERROR(__xludf.DUMMYFUNCTION("IMPORTRANGE(""https://docs.google.com/spreadsheets/d/1jkqa6GXxSacMcY1eN8AHjMNJ_7dDXMJVRLDlaFSOdPM/edit?usp=sharing"",""ตราด!J209"")"),1)</f>
        <v>1</v>
      </c>
      <c r="AT58" s="216">
        <f t="shared" ca="1" si="114"/>
        <v>100</v>
      </c>
      <c r="AU58" s="152">
        <f ca="1">IFERROR(__xludf.DUMMYFUNCTION("IMPORTRANGE(""https://docs.google.com/spreadsheets/d/1jkqa6GXxSacMcY1eN8AHjMNJ_7dDXMJVRLDlaFSOdPM/edit?usp=sharing"",""ตราด!J211"")"),1)</f>
        <v>1</v>
      </c>
      <c r="AV58" s="152">
        <f ca="1">IFERROR(__xludf.DUMMYFUNCTION("IMPORTRANGE(""https://docs.google.com/spreadsheets/d/1jkqa6GXxSacMcY1eN8AHjMNJ_7dDXMJVRLDlaFSOdPM/edit?usp=sharing"",""ตราด!J212"")"),0)</f>
        <v>0</v>
      </c>
      <c r="AW58" s="152">
        <f ca="1">IFERROR(__xludf.DUMMYFUNCTION("IMPORTRANGE(""https://docs.google.com/spreadsheets/d/1jkqa6GXxSacMcY1eN8AHjMNJ_7dDXMJVRLDlaFSOdPM/edit?usp=sharing"",""ตราด!L215"")"),1000)</f>
        <v>1000</v>
      </c>
      <c r="AX58" s="152">
        <f ca="1">IFERROR(__xludf.DUMMYFUNCTION("IMPORTRANGE(""https://docs.google.com/spreadsheets/d/1jkqa6GXxSacMcY1eN8AHjMNJ_7dDXMJVRLDlaFSOdPM/edit?usp=sharing"",""ตราด!N215"")"),1000)</f>
        <v>1000</v>
      </c>
      <c r="AY58" s="216">
        <f t="shared" ca="1" si="116"/>
        <v>100</v>
      </c>
      <c r="AZ58" s="152">
        <f ca="1">IFERROR(__xludf.DUMMYFUNCTION("IMPORTRANGE(""https://docs.google.com/spreadsheets/d/1jkqa6GXxSacMcY1eN8AHjMNJ_7dDXMJVRLDlaFSOdPM/edit?usp=sharing"",""ตราด!L216"")"),5000)</f>
        <v>5000</v>
      </c>
      <c r="BA58" s="152">
        <f ca="1">IFERROR(__xludf.DUMMYFUNCTION("IMPORTRANGE(""https://docs.google.com/spreadsheets/d/1jkqa6GXxSacMcY1eN8AHjMNJ_7dDXMJVRLDlaFSOdPM/edit?usp=sharing"",""ตราด!N216"")"),5000)</f>
        <v>5000</v>
      </c>
      <c r="BB58" s="216">
        <f t="shared" ca="1" si="118"/>
        <v>100</v>
      </c>
      <c r="BC58" s="152">
        <f ca="1">IFERROR(__xludf.DUMMYFUNCTION("IMPORTRANGE(""https://docs.google.com/spreadsheets/d/1jkqa6GXxSacMcY1eN8AHjMNJ_7dDXMJVRLDlaFSOdPM/edit?usp=sharing"",""ตราด!L217"")"),8000)</f>
        <v>8000</v>
      </c>
      <c r="BD58" s="152">
        <f ca="1">IFERROR(__xludf.DUMMYFUNCTION("IMPORTRANGE(""https://docs.google.com/spreadsheets/d/1jkqa6GXxSacMcY1eN8AHjMNJ_7dDXMJVRLDlaFSOdPM/edit?usp=sharing"",""ตราด!N217"")"),8000)</f>
        <v>8000</v>
      </c>
      <c r="BE58" s="216">
        <f t="shared" ca="1" si="120"/>
        <v>100</v>
      </c>
      <c r="BF58" s="152">
        <f ca="1">IFERROR(__xludf.DUMMYFUNCTION("IMPORTRANGE(""https://docs.google.com/spreadsheets/d/1jkqa6GXxSacMcY1eN8AHjMNJ_7dDXMJVRLDlaFSOdPM/edit?usp=sharing"",""ตราด!Q217"")"),41700)</f>
        <v>41700</v>
      </c>
      <c r="BG58" s="152">
        <f ca="1">IFERROR(__xludf.DUMMYFUNCTION("IMPORTRANGE(""https://docs.google.com/spreadsheets/d/1jkqa6GXxSacMcY1eN8AHjMNJ_7dDXMJVRLDlaFSOdPM/edit?usp=sharing"",""ตราด!S217"")"),0)</f>
        <v>0</v>
      </c>
      <c r="BH58" s="216">
        <f t="shared" ca="1" si="122"/>
        <v>0</v>
      </c>
      <c r="BI58" s="152">
        <f ca="1">IFERROR(__xludf.DUMMYFUNCTION("IMPORTRANGE(""https://docs.google.com/spreadsheets/d/1jkqa6GXxSacMcY1eN8AHjMNJ_7dDXMJVRLDlaFSOdPM/edit?usp=sharing"",""ตราด!I219"")"),1)</f>
        <v>1</v>
      </c>
      <c r="BJ58" s="152">
        <f ca="1">IFERROR(__xludf.DUMMYFUNCTION("IMPORTRANGE(""https://docs.google.com/spreadsheets/d/1jkqa6GXxSacMcY1eN8AHjMNJ_7dDXMJVRLDlaFSOdPM/edit?usp=sharing"",""ตราด!J219"")"),1)</f>
        <v>1</v>
      </c>
      <c r="BK58" s="216">
        <f t="shared" ca="1" si="124"/>
        <v>100</v>
      </c>
      <c r="BL58" s="152">
        <f ca="1">IFERROR(__xludf.DUMMYFUNCTION("IMPORTRANGE(""https://docs.google.com/spreadsheets/d/1jkqa6GXxSacMcY1eN8AHjMNJ_7dDXMJVRLDlaFSOdPM/edit?usp=sharing"",""ตราด!I220"")"),1)</f>
        <v>1</v>
      </c>
      <c r="BM58" s="152">
        <f ca="1">IFERROR(__xludf.DUMMYFUNCTION("IMPORTRANGE(""https://docs.google.com/spreadsheets/d/1jkqa6GXxSacMcY1eN8AHjMNJ_7dDXMJVRLDlaFSOdPM/edit?usp=sharing"",""ตราด!J220"")"),1)</f>
        <v>1</v>
      </c>
      <c r="BN58" s="216">
        <f t="shared" ca="1" si="126"/>
        <v>100</v>
      </c>
      <c r="BO58" s="152">
        <f ca="1">IFERROR(__xludf.DUMMYFUNCTION("IMPORTRANGE(""https://docs.google.com/spreadsheets/d/1jkqa6GXxSacMcY1eN8AHjMNJ_7dDXMJVRLDlaFSOdPM/edit?usp=sharing"",""ตราด!L223"")"),2500)</f>
        <v>2500</v>
      </c>
      <c r="BP58" s="152">
        <f ca="1">IFERROR(__xludf.DUMMYFUNCTION("IMPORTRANGE(""https://docs.google.com/spreadsheets/d/1jkqa6GXxSacMcY1eN8AHjMNJ_7dDXMJVRLDlaFSOdPM/edit?usp=sharing"",""ตราด!N223"")"),3500)</f>
        <v>3500</v>
      </c>
      <c r="BQ58" s="216">
        <f t="shared" ca="1" si="128"/>
        <v>140</v>
      </c>
      <c r="BR58" s="152">
        <f ca="1">IFERROR(__xludf.DUMMYFUNCTION("IMPORTRANGE(""https://docs.google.com/spreadsheets/d/1jkqa6GXxSacMcY1eN8AHjMNJ_7dDXMJVRLDlaFSOdPM/edit?usp=sharing"",""ตราด!L224"")"),2000)</f>
        <v>2000</v>
      </c>
      <c r="BS58" s="152">
        <f ca="1">IFERROR(__xludf.DUMMYFUNCTION("IMPORTRANGE(""https://docs.google.com/spreadsheets/d/1jkqa6GXxSacMcY1eN8AHjMNJ_7dDXMJVRLDlaFSOdPM/edit?usp=sharing"",""ตราด!N224"")"),1000)</f>
        <v>1000</v>
      </c>
      <c r="BT58" s="216">
        <f t="shared" ca="1" si="130"/>
        <v>50</v>
      </c>
      <c r="BU58" s="152">
        <f ca="1">IFERROR(__xludf.DUMMYFUNCTION("IMPORTRANGE(""https://docs.google.com/spreadsheets/d/1jkqa6GXxSacMcY1eN8AHjMNJ_7dDXMJVRLDlaFSOdPM/edit?usp=sharing"",""ตราด!I228"")"),3200)</f>
        <v>3200</v>
      </c>
      <c r="BV58" s="152">
        <f ca="1">IFERROR(__xludf.DUMMYFUNCTION("IMPORTRANGE(""https://docs.google.com/spreadsheets/d/1jkqa6GXxSacMcY1eN8AHjMNJ_7dDXMJVRLDlaFSOdPM/edit?usp=sharing"",""ตราด!J228"")"),3200)</f>
        <v>3200</v>
      </c>
      <c r="BW58" s="216">
        <f t="shared" ca="1" si="132"/>
        <v>100</v>
      </c>
      <c r="BX58" s="152">
        <f ca="1">IFERROR(__xludf.DUMMYFUNCTION("IMPORTRANGE(""https://docs.google.com/spreadsheets/d/1jkqa6GXxSacMcY1eN8AHjMNJ_7dDXMJVRLDlaFSOdPM/edit?usp=sharing"",""ตราด!I229"")"),3200)</f>
        <v>3200</v>
      </c>
      <c r="BY58" s="152">
        <f ca="1">IFERROR(__xludf.DUMMYFUNCTION("IMPORTRANGE(""https://docs.google.com/spreadsheets/d/1jkqa6GXxSacMcY1eN8AHjMNJ_7dDXMJVRLDlaFSOdPM/edit?usp=sharing"",""ตราด!J229"")"),3200)</f>
        <v>3200</v>
      </c>
      <c r="BZ58" s="216">
        <f t="shared" ca="1" si="134"/>
        <v>100</v>
      </c>
      <c r="CA58" s="152">
        <f ca="1">IFERROR(__xludf.DUMMYFUNCTION("IMPORTRANGE(""https://docs.google.com/spreadsheets/d/1jkqa6GXxSacMcY1eN8AHjMNJ_7dDXMJVRLDlaFSOdPM/edit?usp=sharing"",""ตราด!I230"")"),0)</f>
        <v>0</v>
      </c>
      <c r="CB58" s="152">
        <f ca="1">IFERROR(__xludf.DUMMYFUNCTION("IMPORTRANGE(""https://docs.google.com/spreadsheets/d/1jkqa6GXxSacMcY1eN8AHjMNJ_7dDXMJVRLDlaFSOdPM/edit?usp=sharing"",""ตราด!J230"")"),0)</f>
        <v>0</v>
      </c>
      <c r="CC58" s="216">
        <f t="shared" ca="1" si="136"/>
        <v>0</v>
      </c>
      <c r="CD58" s="152">
        <f ca="1">IFERROR(__xludf.DUMMYFUNCTION("IMPORTRANGE(""https://docs.google.com/spreadsheets/d/1jkqa6GXxSacMcY1eN8AHjMNJ_7dDXMJVRLDlaFSOdPM/edit?usp=sharing"",""ตราด!L233"")"),0)</f>
        <v>0</v>
      </c>
      <c r="CE58" s="152">
        <f ca="1">IFERROR(__xludf.DUMMYFUNCTION("IMPORTRANGE(""https://docs.google.com/spreadsheets/d/1jkqa6GXxSacMcY1eN8AHjMNJ_7dDXMJVRLDlaFSOdPM/edit?usp=sharing"",""ตราด!N233"")"),0)</f>
        <v>0</v>
      </c>
      <c r="CF58" s="216">
        <f t="shared" ca="1" si="138"/>
        <v>0</v>
      </c>
      <c r="CG58" s="152">
        <f ca="1">IFERROR(__xludf.DUMMYFUNCTION("IMPORTRANGE(""https://docs.google.com/spreadsheets/d/1jkqa6GXxSacMcY1eN8AHjMNJ_7dDXMJVRLDlaFSOdPM/edit?usp=sharing"",""ตราด!L234"")"),0)</f>
        <v>0</v>
      </c>
      <c r="CH58" s="152">
        <f ca="1">IFERROR(__xludf.DUMMYFUNCTION("IMPORTRANGE(""https://docs.google.com/spreadsheets/d/1jkqa6GXxSacMcY1eN8AHjMNJ_7dDXMJVRLDlaFSOdPM/edit?usp=sharing"",""ตราด!N234"")"),0)</f>
        <v>0</v>
      </c>
      <c r="CI58" s="216">
        <f t="shared" ca="1" si="140"/>
        <v>0</v>
      </c>
      <c r="CJ58" s="152">
        <f ca="1">IFERROR(__xludf.DUMMYFUNCTION("IMPORTRANGE(""https://docs.google.com/spreadsheets/d/1jkqa6GXxSacMcY1eN8AHjMNJ_7dDXMJVRLDlaFSOdPM/edit?usp=sharing"",""ตราด!L235"")"),0)</f>
        <v>0</v>
      </c>
      <c r="CK58" s="152">
        <f ca="1">IFERROR(__xludf.DUMMYFUNCTION("IMPORTRANGE(""https://docs.google.com/spreadsheets/d/1jkqa6GXxSacMcY1eN8AHjMNJ_7dDXMJVRLDlaFSOdPM/edit?usp=sharing"",""ตราด!N235"")"),0)</f>
        <v>0</v>
      </c>
      <c r="CL58" s="216">
        <f t="shared" ca="1" si="142"/>
        <v>0</v>
      </c>
      <c r="CM58" s="251">
        <f ca="1">IFERROR(__xludf.DUMMYFUNCTION("IMPORTRANGE(""https://docs.google.com/spreadsheets/d/1jkqa6GXxSacMcY1eN8AHjMNJ_7dDXMJVRLDlaFSOdPM/edit?usp=sharing"",""ตราด!Q235"")"),0)</f>
        <v>0</v>
      </c>
      <c r="CN58" s="251">
        <f ca="1">IFERROR(__xludf.DUMMYFUNCTION("IMPORTRANGE(""https://docs.google.com/spreadsheets/d/1jkqa6GXxSacMcY1eN8AHjMNJ_7dDXMJVRLDlaFSOdPM/edit?usp=sharing"",""ตราด!S235"")"),0)</f>
        <v>0</v>
      </c>
      <c r="CO58" s="216">
        <f t="shared" ca="1" si="144"/>
        <v>0</v>
      </c>
      <c r="CP58" s="152">
        <f ca="1">IFERROR(__xludf.DUMMYFUNCTION("IMPORTRANGE(""https://docs.google.com/spreadsheets/d/1jkqa6GXxSacMcY1eN8AHjMNJ_7dDXMJVRLDlaFSOdPM/edit?usp=sharing"",""ตราด!L236"")"),0)</f>
        <v>0</v>
      </c>
      <c r="CQ58" s="152">
        <f ca="1">IFERROR(__xludf.DUMMYFUNCTION("IMPORTRANGE(""https://docs.google.com/spreadsheets/d/1jkqa6GXxSacMcY1eN8AHjMNJ_7dDXMJVRLDlaFSOdPM/edit?usp=sharing"",""ตราด!N236"")"),0)</f>
        <v>0</v>
      </c>
      <c r="CR58" s="216">
        <f t="shared" ca="1" si="146"/>
        <v>0</v>
      </c>
      <c r="CS58" s="152">
        <f ca="1">IFERROR(__xludf.DUMMYFUNCTION("IMPORTRANGE(""https://docs.google.com/spreadsheets/d/1jkqa6GXxSacMcY1eN8AHjMNJ_7dDXMJVRLDlaFSOdPM/edit?usp=sharing"",""ตราด!I238"")"),0)</f>
        <v>0</v>
      </c>
      <c r="CT58" s="152">
        <f ca="1">IFERROR(__xludf.DUMMYFUNCTION("IMPORTRANGE(""https://docs.google.com/spreadsheets/d/1jkqa6GXxSacMcY1eN8AHjMNJ_7dDXMJVRLDlaFSOdPM/edit?usp=sharing"",""ตราด!J238"")"),0)</f>
        <v>0</v>
      </c>
      <c r="CU58" s="216">
        <f t="shared" ca="1" si="148"/>
        <v>0</v>
      </c>
      <c r="CV58" s="152">
        <f ca="1">IFERROR(__xludf.DUMMYFUNCTION("IMPORTRANGE(""https://docs.google.com/spreadsheets/d/1jkqa6GXxSacMcY1eN8AHjMNJ_7dDXMJVRLDlaFSOdPM/edit?usp=sharing"",""ตราด!J240"")"),0)</f>
        <v>0</v>
      </c>
      <c r="CW58" s="152">
        <f ca="1">IFERROR(__xludf.DUMMYFUNCTION("IMPORTRANGE(""https://docs.google.com/spreadsheets/d/1jkqa6GXxSacMcY1eN8AHjMNJ_7dDXMJVRLDlaFSOdPM/edit?usp=sharing"",""ตราด!J241"")"),0)</f>
        <v>0</v>
      </c>
    </row>
    <row r="59" spans="1:101" ht="21" customHeight="1" x14ac:dyDescent="0.3">
      <c r="A59" s="147">
        <v>7</v>
      </c>
      <c r="B59" s="148" t="s">
        <v>87</v>
      </c>
      <c r="C59" s="149">
        <f t="shared" ca="1" si="90"/>
        <v>284300</v>
      </c>
      <c r="D59" s="150">
        <f t="shared" ca="1" si="206"/>
        <v>284300</v>
      </c>
      <c r="E59" s="151">
        <f ca="1">IFERROR(__xludf.DUMMYFUNCTION("IMPORTRANGE(""https://docs.google.com/spreadsheets/d/1-uDff_7J0KD5mKrp0Vvzr7lt3OU09vwQwhkpOPPYv2Y/edit?usp=sharing"",""งบพรบ!CV59"")"),219200)</f>
        <v>219200</v>
      </c>
      <c r="F59" s="151">
        <f ca="1">IFERROR(__xludf.DUMMYFUNCTION("IMPORTRANGE(""https://docs.google.com/spreadsheets/d/1-uDff_7J0KD5mKrp0Vvzr7lt3OU09vwQwhkpOPPYv2Y/edit?usp=sharing"",""งบพรบ!CW59"")"),65100)</f>
        <v>65100</v>
      </c>
      <c r="G59" s="151">
        <f ca="1">IFERROR(__xludf.DUMMYFUNCTION("IMPORTRANGE(""https://docs.google.com/spreadsheets/d/1-uDff_7J0KD5mKrp0Vvzr7lt3OU09vwQwhkpOPPYv2Y/edit?usp=sharing"",""งบพรบ!CX59"")"),0)</f>
        <v>0</v>
      </c>
      <c r="H59" s="151">
        <f ca="1">IFERROR(__xludf.DUMMYFUNCTION("IMPORTRANGE(""https://docs.google.com/spreadsheets/d/1-uDff_7J0KD5mKrp0Vvzr7lt3OU09vwQwhkpOPPYv2Y/edit?usp=sharing"",""งบพรบ!CZ59"")"),289260)</f>
        <v>289260</v>
      </c>
      <c r="I59" s="151">
        <f ca="1">IFERROR(__xludf.DUMMYFUNCTION("IMPORTRANGE(""https://docs.google.com/spreadsheets/d/1-uDff_7J0KD5mKrp0Vvzr7lt3OU09vwQwhkpOPPYv2Y/edit?usp=sharing"",""งบพรบ!DA59"")"),0)</f>
        <v>0</v>
      </c>
      <c r="J59" s="151">
        <f t="shared" ca="1" si="92"/>
        <v>221320</v>
      </c>
      <c r="K59" s="154">
        <f t="shared" ca="1" si="93"/>
        <v>77.847344354555048</v>
      </c>
      <c r="L59" s="151">
        <f ca="1">IFERROR(__xludf.DUMMYFUNCTION("IMPORTRANGE(""https://docs.google.com/spreadsheets/d/1-uDff_7J0KD5mKrp0Vvzr7lt3OU09vwQwhkpOPPYv2Y/edit?usp=sharing"",""งบพรบ!DB59"")"),221320)</f>
        <v>221320</v>
      </c>
      <c r="M59" s="68">
        <f t="shared" ca="1" si="94"/>
        <v>77.847344354555048</v>
      </c>
      <c r="N59" s="68">
        <f t="shared" ca="1" si="95"/>
        <v>76.512480121689833</v>
      </c>
      <c r="O59" s="67">
        <f ca="1">IFERROR(__xludf.DUMMYFUNCTION("IMPORTRANGE(""https://docs.google.com/spreadsheets/d/1-uDff_7J0KD5mKrp0Vvzr7lt3OU09vwQwhkpOPPYv2Y/edit?usp=sharing"",""งบพรบ!DC59"")"),0)</f>
        <v>0</v>
      </c>
      <c r="P59" s="67">
        <f t="shared" ca="1" si="96"/>
        <v>0</v>
      </c>
      <c r="Q59" s="68">
        <f t="shared" ca="1" si="97"/>
        <v>0</v>
      </c>
      <c r="R59" s="67">
        <f ca="1">IFERROR(__xludf.DUMMYFUNCTION("IMPORTRANGE(""https://docs.google.com/spreadsheets/d/18hSgUJ3VwClqi_qtULmmW3cLr0oe3OKaSYoKzdpTsYQ/edit?usp=sharing"",""นครนายก!Q186"")"),14000)</f>
        <v>14000</v>
      </c>
      <c r="S59" s="67">
        <f ca="1">IFERROR(__xludf.DUMMYFUNCTION("IMPORTRANGE(""https://docs.google.com/spreadsheets/d/18hSgUJ3VwClqi_qtULmmW3cLr0oe3OKaSYoKzdpTsYQ/edit?usp=sharing"",""นครนายก!R186"")"),14000)</f>
        <v>14000</v>
      </c>
      <c r="T59" s="67">
        <f ca="1">IFERROR(__xludf.DUMMYFUNCTION("IMPORTRANGE(""https://docs.google.com/spreadsheets/d/18hSgUJ3VwClqi_qtULmmW3cLr0oe3OKaSYoKzdpTsYQ/edit?usp=sharing"",""นครนายก!S186"")"),14000)</f>
        <v>14000</v>
      </c>
      <c r="U59" s="68">
        <f t="shared" ca="1" si="99"/>
        <v>100</v>
      </c>
      <c r="V59" s="68">
        <f t="shared" ca="1" si="100"/>
        <v>100</v>
      </c>
      <c r="W59" s="152">
        <f ca="1">IFERROR(__xludf.DUMMYFUNCTION("IMPORTRANGE(""https://docs.google.com/spreadsheets/d/18hSgUJ3VwClqi_qtULmmW3cLr0oe3OKaSYoKzdpTsYQ/edit?usp=sharing"",""นครนายก!L196"")"),6000)</f>
        <v>6000</v>
      </c>
      <c r="X59" s="152">
        <f ca="1">IFERROR(__xludf.DUMMYFUNCTION("IMPORTRANGE(""https://docs.google.com/spreadsheets/d/18hSgUJ3VwClqi_qtULmmW3cLr0oe3OKaSYoKzdpTsYQ/edit?usp=sharing"",""นครนายก!N196"")"),3860)</f>
        <v>3860</v>
      </c>
      <c r="Y59" s="216">
        <f t="shared" ca="1" si="102"/>
        <v>64.333333333333329</v>
      </c>
      <c r="Z59" s="152">
        <f ca="1">IFERROR(__xludf.DUMMYFUNCTION("IMPORTRANGE(""https://docs.google.com/spreadsheets/d/18hSgUJ3VwClqi_qtULmmW3cLr0oe3OKaSYoKzdpTsYQ/edit?usp=sharing"",""นครนายก!I198"")"),4)</f>
        <v>4</v>
      </c>
      <c r="AA59" s="152">
        <f ca="1">IFERROR(__xludf.DUMMYFUNCTION("IMPORTRANGE(""https://docs.google.com/spreadsheets/d/18hSgUJ3VwClqi_qtULmmW3cLr0oe3OKaSYoKzdpTsYQ/edit?usp=sharing"",""นครนายก!J198"")"),4)</f>
        <v>4</v>
      </c>
      <c r="AB59" s="216">
        <f t="shared" ca="1" si="104"/>
        <v>100</v>
      </c>
      <c r="AC59" s="152">
        <f ca="1">IFERROR(__xludf.DUMMYFUNCTION("IMPORTRANGE(""https://docs.google.com/spreadsheets/d/18hSgUJ3VwClqi_qtULmmW3cLr0oe3OKaSYoKzdpTsYQ/edit?usp=sharing"",""นครนายก!J199"")"),281)</f>
        <v>281</v>
      </c>
      <c r="AD59" s="152">
        <f ca="1">IFERROR(__xludf.DUMMYFUNCTION("IMPORTRANGE(""https://docs.google.com/spreadsheets/d/18hSgUJ3VwClqi_qtULmmW3cLr0oe3OKaSYoKzdpTsYQ/edit?usp=sharing"",""นครนายก!J200"")"),281)</f>
        <v>281</v>
      </c>
      <c r="AE59" s="152">
        <f ca="1">IFERROR(__xludf.DUMMYFUNCTION("IMPORTRANGE(""https://docs.google.com/spreadsheets/d/18hSgUJ3VwClqi_qtULmmW3cLr0oe3OKaSYoKzdpTsYQ/edit?usp=sharing"",""นครนายก!J201"")"),0)</f>
        <v>0</v>
      </c>
      <c r="AF59" s="152">
        <f ca="1">IFERROR(__xludf.DUMMYFUNCTION("IMPORTRANGE(""https://docs.google.com/spreadsheets/d/18hSgUJ3VwClqi_qtULmmW3cLr0oe3OKaSYoKzdpTsYQ/edit?usp=sharing"",""นครนายก!L204"")"),1000)</f>
        <v>1000</v>
      </c>
      <c r="AG59" s="152">
        <f ca="1">IFERROR(__xludf.DUMMYFUNCTION("IMPORTRANGE(""https://docs.google.com/spreadsheets/d/18hSgUJ3VwClqi_qtULmmW3cLr0oe3OKaSYoKzdpTsYQ/edit?usp=sharing"",""นครนายก!N204"")"),0)</f>
        <v>0</v>
      </c>
      <c r="AH59" s="216">
        <f t="shared" ca="1" si="106"/>
        <v>0</v>
      </c>
      <c r="AI59" s="152">
        <f ca="1">IFERROR(__xludf.DUMMYFUNCTION("IMPORTRANGE(""https://docs.google.com/spreadsheets/d/18hSgUJ3VwClqi_qtULmmW3cLr0oe3OKaSYoKzdpTsYQ/edit?usp=sharing"",""นครนายก!L206"")"),0)</f>
        <v>0</v>
      </c>
      <c r="AJ59" s="152">
        <f ca="1">IFERROR(__xludf.DUMMYFUNCTION("IMPORTRANGE(""https://docs.google.com/spreadsheets/d/18hSgUJ3VwClqi_qtULmmW3cLr0oe3OKaSYoKzdpTsYQ/edit?usp=sharing"",""นครนายก!N206"")"),0)</f>
        <v>0</v>
      </c>
      <c r="AK59" s="216">
        <f t="shared" ca="1" si="108"/>
        <v>0</v>
      </c>
      <c r="AL59" s="152">
        <f ca="1">IFERROR(__xludf.DUMMYFUNCTION("IMPORTRANGE(""https://docs.google.com/spreadsheets/d/18hSgUJ3VwClqi_qtULmmW3cLr0oe3OKaSYoKzdpTsYQ/edit?usp=sharing"",""นครนายก!Q206"")"),14000)</f>
        <v>14000</v>
      </c>
      <c r="AM59" s="152">
        <f ca="1">IFERROR(__xludf.DUMMYFUNCTION("IMPORTRANGE(""https://docs.google.com/spreadsheets/d/18hSgUJ3VwClqi_qtULmmW3cLr0oe3OKaSYoKzdpTsYQ/edit?usp=sharing"",""นครนายก!S206"")"),14000)</f>
        <v>14000</v>
      </c>
      <c r="AN59" s="216">
        <f t="shared" ca="1" si="110"/>
        <v>100</v>
      </c>
      <c r="AO59" s="152">
        <f ca="1">IFERROR(__xludf.DUMMYFUNCTION("IMPORTRANGE(""https://docs.google.com/spreadsheets/d/18hSgUJ3VwClqi_qtULmmW3cLr0oe3OKaSYoKzdpTsYQ/edit?usp=sharing"",""นครนายก!L207"")"),4000)</f>
        <v>4000</v>
      </c>
      <c r="AP59" s="152">
        <f ca="1">IFERROR(__xludf.DUMMYFUNCTION("IMPORTRANGE(""https://docs.google.com/spreadsheets/d/18hSgUJ3VwClqi_qtULmmW3cLr0oe3OKaSYoKzdpTsYQ/edit?usp=sharing"",""นครนายก!N207"")"),0)</f>
        <v>0</v>
      </c>
      <c r="AQ59" s="216">
        <f t="shared" ca="1" si="112"/>
        <v>0</v>
      </c>
      <c r="AR59" s="152">
        <f ca="1">IFERROR(__xludf.DUMMYFUNCTION("IMPORTRANGE(""https://docs.google.com/spreadsheets/d/18hSgUJ3VwClqi_qtULmmW3cLr0oe3OKaSYoKzdpTsYQ/edit?usp=sharing"",""นครนายก!I209"")"),1)</f>
        <v>1</v>
      </c>
      <c r="AS59" s="152">
        <f ca="1">IFERROR(__xludf.DUMMYFUNCTION("IMPORTRANGE(""https://docs.google.com/spreadsheets/d/18hSgUJ3VwClqi_qtULmmW3cLr0oe3OKaSYoKzdpTsYQ/edit?usp=sharing"",""นครนายก!J209"")"),1)</f>
        <v>1</v>
      </c>
      <c r="AT59" s="216">
        <f t="shared" ca="1" si="114"/>
        <v>100</v>
      </c>
      <c r="AU59" s="152">
        <f ca="1">IFERROR(__xludf.DUMMYFUNCTION("IMPORTRANGE(""https://docs.google.com/spreadsheets/d/18hSgUJ3VwClqi_qtULmmW3cLr0oe3OKaSYoKzdpTsYQ/edit?usp=sharing"",""นครนายก!J211"")"),1)</f>
        <v>1</v>
      </c>
      <c r="AV59" s="152">
        <f ca="1">IFERROR(__xludf.DUMMYFUNCTION("IMPORTRANGE(""https://docs.google.com/spreadsheets/d/18hSgUJ3VwClqi_qtULmmW3cLr0oe3OKaSYoKzdpTsYQ/edit?usp=sharing"",""นครนายก!J212"")"),0)</f>
        <v>0</v>
      </c>
      <c r="AW59" s="152">
        <f ca="1">IFERROR(__xludf.DUMMYFUNCTION("IMPORTRANGE(""https://docs.google.com/spreadsheets/d/18hSgUJ3VwClqi_qtULmmW3cLr0oe3OKaSYoKzdpTsYQ/edit?usp=sharing"",""นครนายก!L215"")"),0)</f>
        <v>0</v>
      </c>
      <c r="AX59" s="152">
        <f ca="1">IFERROR(__xludf.DUMMYFUNCTION("IMPORTRANGE(""https://docs.google.com/spreadsheets/d/18hSgUJ3VwClqi_qtULmmW3cLr0oe3OKaSYoKzdpTsYQ/edit?usp=sharing"",""นครนายก!N215"")"),0)</f>
        <v>0</v>
      </c>
      <c r="AY59" s="216">
        <f t="shared" ca="1" si="116"/>
        <v>0</v>
      </c>
      <c r="AZ59" s="152">
        <f ca="1">IFERROR(__xludf.DUMMYFUNCTION("IMPORTRANGE(""https://docs.google.com/spreadsheets/d/18hSgUJ3VwClqi_qtULmmW3cLr0oe3OKaSYoKzdpTsYQ/edit?usp=sharing"",""นครนายก!L216"")"),0)</f>
        <v>0</v>
      </c>
      <c r="BA59" s="152">
        <f ca="1">IFERROR(__xludf.DUMMYFUNCTION("IMPORTRANGE(""https://docs.google.com/spreadsheets/d/18hSgUJ3VwClqi_qtULmmW3cLr0oe3OKaSYoKzdpTsYQ/edit?usp=sharing"",""นครนายก!N216"")"),0)</f>
        <v>0</v>
      </c>
      <c r="BB59" s="216">
        <f t="shared" ca="1" si="118"/>
        <v>0</v>
      </c>
      <c r="BC59" s="152">
        <f ca="1">IFERROR(__xludf.DUMMYFUNCTION("IMPORTRANGE(""https://docs.google.com/spreadsheets/d/18hSgUJ3VwClqi_qtULmmW3cLr0oe3OKaSYoKzdpTsYQ/edit?usp=sharing"",""นครนายก!L217"")"),0)</f>
        <v>0</v>
      </c>
      <c r="BD59" s="152">
        <f ca="1">IFERROR(__xludf.DUMMYFUNCTION("IMPORTRANGE(""https://docs.google.com/spreadsheets/d/18hSgUJ3VwClqi_qtULmmW3cLr0oe3OKaSYoKzdpTsYQ/edit?usp=sharing"",""นครนายก!N217"")"),0)</f>
        <v>0</v>
      </c>
      <c r="BE59" s="216">
        <f t="shared" ca="1" si="120"/>
        <v>0</v>
      </c>
      <c r="BF59" s="152">
        <f ca="1">IFERROR(__xludf.DUMMYFUNCTION("IMPORTRANGE(""https://docs.google.com/spreadsheets/d/18hSgUJ3VwClqi_qtULmmW3cLr0oe3OKaSYoKzdpTsYQ/edit?usp=sharing"",""นครนายก!Q217"")"),0)</f>
        <v>0</v>
      </c>
      <c r="BG59" s="152">
        <f ca="1">IFERROR(__xludf.DUMMYFUNCTION("IMPORTRANGE(""https://docs.google.com/spreadsheets/d/18hSgUJ3VwClqi_qtULmmW3cLr0oe3OKaSYoKzdpTsYQ/edit?usp=sharing"",""นครนายก!S217"")"),0)</f>
        <v>0</v>
      </c>
      <c r="BH59" s="216">
        <f t="shared" ca="1" si="122"/>
        <v>0</v>
      </c>
      <c r="BI59" s="152">
        <f ca="1">IFERROR(__xludf.DUMMYFUNCTION("IMPORTRANGE(""https://docs.google.com/spreadsheets/d/18hSgUJ3VwClqi_qtULmmW3cLr0oe3OKaSYoKzdpTsYQ/edit?usp=sharing"",""นครนายก!I219"")"),0)</f>
        <v>0</v>
      </c>
      <c r="BJ59" s="152">
        <f ca="1">IFERROR(__xludf.DUMMYFUNCTION("IMPORTRANGE(""https://docs.google.com/spreadsheets/d/18hSgUJ3VwClqi_qtULmmW3cLr0oe3OKaSYoKzdpTsYQ/edit?usp=sharing"",""นครนายก!J219"")"),0)</f>
        <v>0</v>
      </c>
      <c r="BK59" s="216">
        <f t="shared" ca="1" si="124"/>
        <v>0</v>
      </c>
      <c r="BL59" s="152">
        <f ca="1">IFERROR(__xludf.DUMMYFUNCTION("IMPORTRANGE(""https://docs.google.com/spreadsheets/d/18hSgUJ3VwClqi_qtULmmW3cLr0oe3OKaSYoKzdpTsYQ/edit?usp=sharing"",""นครนายก!I220"")"),0)</f>
        <v>0</v>
      </c>
      <c r="BM59" s="152">
        <f ca="1">IFERROR(__xludf.DUMMYFUNCTION("IMPORTRANGE(""https://docs.google.com/spreadsheets/d/18hSgUJ3VwClqi_qtULmmW3cLr0oe3OKaSYoKzdpTsYQ/edit?usp=sharing"",""นครนายก!J220"")"),0)</f>
        <v>0</v>
      </c>
      <c r="BN59" s="216">
        <f t="shared" ca="1" si="126"/>
        <v>0</v>
      </c>
      <c r="BO59" s="152">
        <f ca="1">IFERROR(__xludf.DUMMYFUNCTION("IMPORTRANGE(""https://docs.google.com/spreadsheets/d/18hSgUJ3VwClqi_qtULmmW3cLr0oe3OKaSYoKzdpTsYQ/edit?usp=sharing"",""นครนายก!L223"")"),2500)</f>
        <v>2500</v>
      </c>
      <c r="BP59" s="152">
        <f ca="1">IFERROR(__xludf.DUMMYFUNCTION("IMPORTRANGE(""https://docs.google.com/spreadsheets/d/18hSgUJ3VwClqi_qtULmmW3cLr0oe3OKaSYoKzdpTsYQ/edit?usp=sharing"",""นครนายก!N223"")"),2500)</f>
        <v>2500</v>
      </c>
      <c r="BQ59" s="216">
        <f t="shared" ca="1" si="128"/>
        <v>100</v>
      </c>
      <c r="BR59" s="152">
        <f ca="1">IFERROR(__xludf.DUMMYFUNCTION("IMPORTRANGE(""https://docs.google.com/spreadsheets/d/18hSgUJ3VwClqi_qtULmmW3cLr0oe3OKaSYoKzdpTsYQ/edit?usp=sharing"",""นครนายก!L224"")"),4000)</f>
        <v>4000</v>
      </c>
      <c r="BS59" s="152">
        <f ca="1">IFERROR(__xludf.DUMMYFUNCTION("IMPORTRANGE(""https://docs.google.com/spreadsheets/d/18hSgUJ3VwClqi_qtULmmW3cLr0oe3OKaSYoKzdpTsYQ/edit?usp=sharing"",""นครนายก!N224"")"),4000)</f>
        <v>4000</v>
      </c>
      <c r="BT59" s="216">
        <f t="shared" ca="1" si="130"/>
        <v>100</v>
      </c>
      <c r="BU59" s="152">
        <f ca="1">IFERROR(__xludf.DUMMYFUNCTION("IMPORTRANGE(""https://docs.google.com/spreadsheets/d/18hSgUJ3VwClqi_qtULmmW3cLr0oe3OKaSYoKzdpTsYQ/edit?usp=sharing"",""นครนายก!I228"")"),30000)</f>
        <v>30000</v>
      </c>
      <c r="BV59" s="152">
        <f ca="1">IFERROR(__xludf.DUMMYFUNCTION("IMPORTRANGE(""https://docs.google.com/spreadsheets/d/18hSgUJ3VwClqi_qtULmmW3cLr0oe3OKaSYoKzdpTsYQ/edit?usp=sharing"",""นครนายก!J228"")"),30000)</f>
        <v>30000</v>
      </c>
      <c r="BW59" s="216">
        <f t="shared" ca="1" si="132"/>
        <v>100</v>
      </c>
      <c r="BX59" s="152">
        <f ca="1">IFERROR(__xludf.DUMMYFUNCTION("IMPORTRANGE(""https://docs.google.com/spreadsheets/d/18hSgUJ3VwClqi_qtULmmW3cLr0oe3OKaSYoKzdpTsYQ/edit?usp=sharing"",""นครนายก!I229"")"),30000)</f>
        <v>30000</v>
      </c>
      <c r="BY59" s="152">
        <f ca="1">IFERROR(__xludf.DUMMYFUNCTION("IMPORTRANGE(""https://docs.google.com/spreadsheets/d/18hSgUJ3VwClqi_qtULmmW3cLr0oe3OKaSYoKzdpTsYQ/edit?usp=sharing"",""นครนายก!J229"")"),30000)</f>
        <v>30000</v>
      </c>
      <c r="BZ59" s="216">
        <f t="shared" ca="1" si="134"/>
        <v>100</v>
      </c>
      <c r="CA59" s="152">
        <f ca="1">IFERROR(__xludf.DUMMYFUNCTION("IMPORTRANGE(""https://docs.google.com/spreadsheets/d/18hSgUJ3VwClqi_qtULmmW3cLr0oe3OKaSYoKzdpTsYQ/edit?usp=sharing"",""นครนายก!I230"")"),0)</f>
        <v>0</v>
      </c>
      <c r="CB59" s="152">
        <f ca="1">IFERROR(__xludf.DUMMYFUNCTION("IMPORTRANGE(""https://docs.google.com/spreadsheets/d/18hSgUJ3VwClqi_qtULmmW3cLr0oe3OKaSYoKzdpTsYQ/edit?usp=sharing"",""นครนายก!J230"")"),0)</f>
        <v>0</v>
      </c>
      <c r="CC59" s="216">
        <f t="shared" ca="1" si="136"/>
        <v>0</v>
      </c>
      <c r="CD59" s="152">
        <f ca="1">IFERROR(__xludf.DUMMYFUNCTION("IMPORTRANGE(""https://docs.google.com/spreadsheets/d/18hSgUJ3VwClqi_qtULmmW3cLr0oe3OKaSYoKzdpTsYQ/edit?usp=sharing"",""นครนายก!L233"")"),14000)</f>
        <v>14000</v>
      </c>
      <c r="CE59" s="152">
        <f ca="1">IFERROR(__xludf.DUMMYFUNCTION("IMPORTRANGE(""https://docs.google.com/spreadsheets/d/18hSgUJ3VwClqi_qtULmmW3cLr0oe3OKaSYoKzdpTsYQ/edit?usp=sharing"",""นครนายก!N233"")"),14000)</f>
        <v>14000</v>
      </c>
      <c r="CF59" s="216">
        <f t="shared" ca="1" si="138"/>
        <v>100</v>
      </c>
      <c r="CG59" s="152">
        <f ca="1">IFERROR(__xludf.DUMMYFUNCTION("IMPORTRANGE(""https://docs.google.com/spreadsheets/d/18hSgUJ3VwClqi_qtULmmW3cLr0oe3OKaSYoKzdpTsYQ/edit?usp=sharing"",""นครนายก!L234"")"),2000)</f>
        <v>2000</v>
      </c>
      <c r="CH59" s="152">
        <f ca="1">IFERROR(__xludf.DUMMYFUNCTION("IMPORTRANGE(""https://docs.google.com/spreadsheets/d/18hSgUJ3VwClqi_qtULmmW3cLr0oe3OKaSYoKzdpTsYQ/edit?usp=sharing"",""นครนายก!N234"")"),0)</f>
        <v>0</v>
      </c>
      <c r="CI59" s="216">
        <f t="shared" ca="1" si="140"/>
        <v>0</v>
      </c>
      <c r="CJ59" s="152">
        <f ca="1">IFERROR(__xludf.DUMMYFUNCTION("IMPORTRANGE(""https://docs.google.com/spreadsheets/d/18hSgUJ3VwClqi_qtULmmW3cLr0oe3OKaSYoKzdpTsYQ/edit?usp=sharing"",""นครนายก!L235"")"),12600)</f>
        <v>12600</v>
      </c>
      <c r="CK59" s="152">
        <f ca="1">IFERROR(__xludf.DUMMYFUNCTION("IMPORTRANGE(""https://docs.google.com/spreadsheets/d/18hSgUJ3VwClqi_qtULmmW3cLr0oe3OKaSYoKzdpTsYQ/edit?usp=sharing"",""นครนายก!N235"")"),12600)</f>
        <v>12600</v>
      </c>
      <c r="CL59" s="216">
        <f t="shared" ca="1" si="142"/>
        <v>100</v>
      </c>
      <c r="CM59" s="251">
        <f ca="1">IFERROR(__xludf.DUMMYFUNCTION("IMPORTRANGE(""https://docs.google.com/spreadsheets/d/18hSgUJ3VwClqi_qtULmmW3cLr0oe3OKaSYoKzdpTsYQ/edit?usp=sharing"",""นครนายก!Q235"")"),0)</f>
        <v>0</v>
      </c>
      <c r="CN59" s="251">
        <f ca="1">IFERROR(__xludf.DUMMYFUNCTION("IMPORTRANGE(""https://docs.google.com/spreadsheets/d/18hSgUJ3VwClqi_qtULmmW3cLr0oe3OKaSYoKzdpTsYQ/edit?usp=sharing"",""นครนายก!S235"")"),0)</f>
        <v>0</v>
      </c>
      <c r="CO59" s="216">
        <f t="shared" ca="1" si="144"/>
        <v>0</v>
      </c>
      <c r="CP59" s="152">
        <f ca="1">IFERROR(__xludf.DUMMYFUNCTION("IMPORTRANGE(""https://docs.google.com/spreadsheets/d/18hSgUJ3VwClqi_qtULmmW3cLr0oe3OKaSYoKzdpTsYQ/edit?usp=sharing"",""นครนายก!L236"")"),19000)</f>
        <v>19000</v>
      </c>
      <c r="CQ59" s="152">
        <f ca="1">IFERROR(__xludf.DUMMYFUNCTION("IMPORTRANGE(""https://docs.google.com/spreadsheets/d/18hSgUJ3VwClqi_qtULmmW3cLr0oe3OKaSYoKzdpTsYQ/edit?usp=sharing"",""นครนายก!N236"")"),0)</f>
        <v>0</v>
      </c>
      <c r="CR59" s="216">
        <f t="shared" ca="1" si="146"/>
        <v>0</v>
      </c>
      <c r="CS59" s="152">
        <f ca="1">IFERROR(__xludf.DUMMYFUNCTION("IMPORTRANGE(""https://docs.google.com/spreadsheets/d/18hSgUJ3VwClqi_qtULmmW3cLr0oe3OKaSYoKzdpTsYQ/edit?usp=sharing"",""นครนายก!I238"")"),20)</f>
        <v>20</v>
      </c>
      <c r="CT59" s="152">
        <f ca="1">IFERROR(__xludf.DUMMYFUNCTION("IMPORTRANGE(""https://docs.google.com/spreadsheets/d/18hSgUJ3VwClqi_qtULmmW3cLr0oe3OKaSYoKzdpTsYQ/edit?usp=sharing"",""นครนายก!J238"")"),20)</f>
        <v>20</v>
      </c>
      <c r="CU59" s="216">
        <f t="shared" ca="1" si="148"/>
        <v>100</v>
      </c>
      <c r="CV59" s="152">
        <f ca="1">IFERROR(__xludf.DUMMYFUNCTION("IMPORTRANGE(""https://docs.google.com/spreadsheets/d/18hSgUJ3VwClqi_qtULmmW3cLr0oe3OKaSYoKzdpTsYQ/edit?usp=sharing"",""นครนายก!J240"")"),0)</f>
        <v>0</v>
      </c>
      <c r="CW59" s="152">
        <f ca="1">IFERROR(__xludf.DUMMYFUNCTION("IMPORTRANGE(""https://docs.google.com/spreadsheets/d/18hSgUJ3VwClqi_qtULmmW3cLr0oe3OKaSYoKzdpTsYQ/edit?usp=sharing"",""นครนายก!J241"")"),0)</f>
        <v>0</v>
      </c>
    </row>
    <row r="60" spans="1:101" ht="21" customHeight="1" x14ac:dyDescent="0.3">
      <c r="A60" s="147">
        <v>8</v>
      </c>
      <c r="B60" s="148" t="s">
        <v>88</v>
      </c>
      <c r="C60" s="149">
        <f t="shared" ca="1" si="90"/>
        <v>284700</v>
      </c>
      <c r="D60" s="150">
        <f t="shared" ca="1" si="206"/>
        <v>284700</v>
      </c>
      <c r="E60" s="151">
        <f ca="1">IFERROR(__xludf.DUMMYFUNCTION("IMPORTRANGE(""https://docs.google.com/spreadsheets/d/1-uDff_7J0KD5mKrp0Vvzr7lt3OU09vwQwhkpOPPYv2Y/edit?usp=sharing"",""งบพรบ!CV60"")"),221700)</f>
        <v>221700</v>
      </c>
      <c r="F60" s="151">
        <f ca="1">IFERROR(__xludf.DUMMYFUNCTION("IMPORTRANGE(""https://docs.google.com/spreadsheets/d/1-uDff_7J0KD5mKrp0Vvzr7lt3OU09vwQwhkpOPPYv2Y/edit?usp=sharing"",""งบพรบ!CW60"")"),63000)</f>
        <v>63000</v>
      </c>
      <c r="G60" s="151">
        <f ca="1">IFERROR(__xludf.DUMMYFUNCTION("IMPORTRANGE(""https://docs.google.com/spreadsheets/d/1-uDff_7J0KD5mKrp0Vvzr7lt3OU09vwQwhkpOPPYv2Y/edit?usp=sharing"",""งบพรบ!CX60"")"),0)</f>
        <v>0</v>
      </c>
      <c r="H60" s="151">
        <f ca="1">IFERROR(__xludf.DUMMYFUNCTION("IMPORTRANGE(""https://docs.google.com/spreadsheets/d/1-uDff_7J0KD5mKrp0Vvzr7lt3OU09vwQwhkpOPPYv2Y/edit?usp=sharing"",""งบพรบ!CZ60"")"),288220)</f>
        <v>288220</v>
      </c>
      <c r="I60" s="151">
        <f ca="1">IFERROR(__xludf.DUMMYFUNCTION("IMPORTRANGE(""https://docs.google.com/spreadsheets/d/1-uDff_7J0KD5mKrp0Vvzr7lt3OU09vwQwhkpOPPYv2Y/edit?usp=sharing"",""งบพรบ!DA60"")"),0)</f>
        <v>0</v>
      </c>
      <c r="J60" s="151">
        <f t="shared" ca="1" si="92"/>
        <v>233194.13</v>
      </c>
      <c r="K60" s="154">
        <f t="shared" ca="1" si="93"/>
        <v>81.908721461187213</v>
      </c>
      <c r="L60" s="151">
        <f ca="1">IFERROR(__xludf.DUMMYFUNCTION("IMPORTRANGE(""https://docs.google.com/spreadsheets/d/1-uDff_7J0KD5mKrp0Vvzr7lt3OU09vwQwhkpOPPYv2Y/edit?usp=sharing"",""งบพรบ!DB60"")"),233194.13)</f>
        <v>233194.13</v>
      </c>
      <c r="M60" s="68">
        <f t="shared" ca="1" si="94"/>
        <v>81.908721461187213</v>
      </c>
      <c r="N60" s="68">
        <f t="shared" ca="1" si="95"/>
        <v>80.908379016029428</v>
      </c>
      <c r="O60" s="67">
        <f ca="1">IFERROR(__xludf.DUMMYFUNCTION("IMPORTRANGE(""https://docs.google.com/spreadsheets/d/1-uDff_7J0KD5mKrp0Vvzr7lt3OU09vwQwhkpOPPYv2Y/edit?usp=sharing"",""งบพรบ!DC60"")"),0)</f>
        <v>0</v>
      </c>
      <c r="P60" s="67">
        <f t="shared" ca="1" si="96"/>
        <v>0</v>
      </c>
      <c r="Q60" s="68">
        <f t="shared" ca="1" si="97"/>
        <v>0</v>
      </c>
      <c r="R60" s="67">
        <f ca="1">IFERROR(__xludf.DUMMYFUNCTION("IMPORTRANGE(""https://docs.google.com/spreadsheets/d/1YTZo6WM2dQ6Ix6FSdnL5P7uVnVKu40sxZu975tgG10E/edit?usp=sharing"",""นครปฐม!Q186"")"),0)</f>
        <v>0</v>
      </c>
      <c r="S60" s="67">
        <f ca="1">IFERROR(__xludf.DUMMYFUNCTION("IMPORTRANGE(""https://docs.google.com/spreadsheets/d/1YTZo6WM2dQ6Ix6FSdnL5P7uVnVKu40sxZu975tgG10E/edit?usp=sharing"",""นครปฐม!R186"")"),0)</f>
        <v>0</v>
      </c>
      <c r="T60" s="67">
        <f ca="1">IFERROR(__xludf.DUMMYFUNCTION("IMPORTRANGE(""https://docs.google.com/spreadsheets/d/1YTZo6WM2dQ6Ix6FSdnL5P7uVnVKu40sxZu975tgG10E/edit?usp=sharing"",""นครปฐม!S186"")"),0)</f>
        <v>0</v>
      </c>
      <c r="U60" s="68">
        <f t="shared" ca="1" si="99"/>
        <v>0</v>
      </c>
      <c r="V60" s="68">
        <f t="shared" ca="1" si="100"/>
        <v>0</v>
      </c>
      <c r="W60" s="152">
        <f ca="1">IFERROR(__xludf.DUMMYFUNCTION("IMPORTRANGE(""https://docs.google.com/spreadsheets/d/1YTZo6WM2dQ6Ix6FSdnL5P7uVnVKu40sxZu975tgG10E/edit?usp=sharing"",""นครปฐม!L196"")"),6000)</f>
        <v>6000</v>
      </c>
      <c r="X60" s="152">
        <f ca="1">IFERROR(__xludf.DUMMYFUNCTION("IMPORTRANGE(""https://docs.google.com/spreadsheets/d/1YTZo6WM2dQ6Ix6FSdnL5P7uVnVKu40sxZu975tgG10E/edit?usp=sharing"",""นครปฐม!N196"")"),2000)</f>
        <v>2000</v>
      </c>
      <c r="Y60" s="216">
        <f t="shared" ca="1" si="102"/>
        <v>33.333333333333336</v>
      </c>
      <c r="Z60" s="152">
        <f ca="1">IFERROR(__xludf.DUMMYFUNCTION("IMPORTRANGE(""https://docs.google.com/spreadsheets/d/1YTZo6WM2dQ6Ix6FSdnL5P7uVnVKu40sxZu975tgG10E/edit?usp=sharing"",""นครปฐม!I198"")"),4)</f>
        <v>4</v>
      </c>
      <c r="AA60" s="152">
        <f ca="1">IFERROR(__xludf.DUMMYFUNCTION("IMPORTRANGE(""https://docs.google.com/spreadsheets/d/1YTZo6WM2dQ6Ix6FSdnL5P7uVnVKu40sxZu975tgG10E/edit?usp=sharing"",""นครปฐม!J198"")"),4)</f>
        <v>4</v>
      </c>
      <c r="AB60" s="216">
        <f t="shared" ca="1" si="104"/>
        <v>100</v>
      </c>
      <c r="AC60" s="152">
        <f ca="1">IFERROR(__xludf.DUMMYFUNCTION("IMPORTRANGE(""https://docs.google.com/spreadsheets/d/1YTZo6WM2dQ6Ix6FSdnL5P7uVnVKu40sxZu975tgG10E/edit?usp=sharing"",""นครปฐม!J199"")"),0)</f>
        <v>0</v>
      </c>
      <c r="AD60" s="152">
        <f ca="1">IFERROR(__xludf.DUMMYFUNCTION("IMPORTRANGE(""https://docs.google.com/spreadsheets/d/1YTZo6WM2dQ6Ix6FSdnL5P7uVnVKu40sxZu975tgG10E/edit?usp=sharing"",""นครปฐม!J200"")"),0)</f>
        <v>0</v>
      </c>
      <c r="AE60" s="152">
        <f ca="1">IFERROR(__xludf.DUMMYFUNCTION("IMPORTRANGE(""https://docs.google.com/spreadsheets/d/1YTZo6WM2dQ6Ix6FSdnL5P7uVnVKu40sxZu975tgG10E/edit?usp=sharing"",""นครปฐม!J201"")"),0)</f>
        <v>0</v>
      </c>
      <c r="AF60" s="152">
        <f ca="1">IFERROR(__xludf.DUMMYFUNCTION("IMPORTRANGE(""https://docs.google.com/spreadsheets/d/1YTZo6WM2dQ6Ix6FSdnL5P7uVnVKu40sxZu975tgG10E/edit?usp=sharing"",""นครปฐม!L204"")"),0)</f>
        <v>0</v>
      </c>
      <c r="AG60" s="152">
        <f ca="1">IFERROR(__xludf.DUMMYFUNCTION("IMPORTRANGE(""https://docs.google.com/spreadsheets/d/1YTZo6WM2dQ6Ix6FSdnL5P7uVnVKu40sxZu975tgG10E/edit?usp=sharing"",""นครปฐม!N204"")"),0)</f>
        <v>0</v>
      </c>
      <c r="AH60" s="216">
        <f t="shared" ca="1" si="106"/>
        <v>0</v>
      </c>
      <c r="AI60" s="152">
        <f ca="1">IFERROR(__xludf.DUMMYFUNCTION("IMPORTRANGE(""https://docs.google.com/spreadsheets/d/1YTZo6WM2dQ6Ix6FSdnL5P7uVnVKu40sxZu975tgG10E/edit?usp=sharing"",""นครปฐม!L206"")"),0)</f>
        <v>0</v>
      </c>
      <c r="AJ60" s="152">
        <f ca="1">IFERROR(__xludf.DUMMYFUNCTION("IMPORTRANGE(""https://docs.google.com/spreadsheets/d/1YTZo6WM2dQ6Ix6FSdnL5P7uVnVKu40sxZu975tgG10E/edit?usp=sharing"",""นครปฐม!N206"")"),0)</f>
        <v>0</v>
      </c>
      <c r="AK60" s="216">
        <f t="shared" ca="1" si="108"/>
        <v>0</v>
      </c>
      <c r="AL60" s="152">
        <f ca="1">IFERROR(__xludf.DUMMYFUNCTION("IMPORTRANGE(""https://docs.google.com/spreadsheets/d/1YTZo6WM2dQ6Ix6FSdnL5P7uVnVKu40sxZu975tgG10E/edit?usp=sharing"",""นครปฐม!Q206"")"),0)</f>
        <v>0</v>
      </c>
      <c r="AM60" s="152">
        <f ca="1">IFERROR(__xludf.DUMMYFUNCTION("IMPORTRANGE(""https://docs.google.com/spreadsheets/d/1YTZo6WM2dQ6Ix6FSdnL5P7uVnVKu40sxZu975tgG10E/edit?usp=sharing"",""นครปฐม!S206"")"),0)</f>
        <v>0</v>
      </c>
      <c r="AN60" s="216">
        <f t="shared" ca="1" si="110"/>
        <v>0</v>
      </c>
      <c r="AO60" s="152">
        <f ca="1">IFERROR(__xludf.DUMMYFUNCTION("IMPORTRANGE(""https://docs.google.com/spreadsheets/d/1YTZo6WM2dQ6Ix6FSdnL5P7uVnVKu40sxZu975tgG10E/edit?usp=sharing"",""นครปฐม!L207"")"),0)</f>
        <v>0</v>
      </c>
      <c r="AP60" s="152">
        <f ca="1">IFERROR(__xludf.DUMMYFUNCTION("IMPORTRANGE(""https://docs.google.com/spreadsheets/d/1YTZo6WM2dQ6Ix6FSdnL5P7uVnVKu40sxZu975tgG10E/edit?usp=sharing"",""นครปฐม!N207"")"),0)</f>
        <v>0</v>
      </c>
      <c r="AQ60" s="216">
        <f t="shared" ca="1" si="112"/>
        <v>0</v>
      </c>
      <c r="AR60" s="152">
        <f ca="1">IFERROR(__xludf.DUMMYFUNCTION("IMPORTRANGE(""https://docs.google.com/spreadsheets/d/1YTZo6WM2dQ6Ix6FSdnL5P7uVnVKu40sxZu975tgG10E/edit?usp=sharing"",""นครปฐม!I209"")"),0)</f>
        <v>0</v>
      </c>
      <c r="AS60" s="152">
        <f ca="1">IFERROR(__xludf.DUMMYFUNCTION("IMPORTRANGE(""https://docs.google.com/spreadsheets/d/1YTZo6WM2dQ6Ix6FSdnL5P7uVnVKu40sxZu975tgG10E/edit?usp=sharing"",""นครปฐม!J209"")"),0)</f>
        <v>0</v>
      </c>
      <c r="AT60" s="216">
        <f t="shared" ca="1" si="114"/>
        <v>0</v>
      </c>
      <c r="AU60" s="152">
        <f ca="1">IFERROR(__xludf.DUMMYFUNCTION("IMPORTRANGE(""https://docs.google.com/spreadsheets/d/1YTZo6WM2dQ6Ix6FSdnL5P7uVnVKu40sxZu975tgG10E/edit?usp=sharing"",""นครปฐม!J211"")"),0)</f>
        <v>0</v>
      </c>
      <c r="AV60" s="152">
        <f ca="1">IFERROR(__xludf.DUMMYFUNCTION("IMPORTRANGE(""https://docs.google.com/spreadsheets/d/1YTZo6WM2dQ6Ix6FSdnL5P7uVnVKu40sxZu975tgG10E/edit?usp=sharing"",""นครปฐม!J212"")"),0)</f>
        <v>0</v>
      </c>
      <c r="AW60" s="152">
        <f ca="1">IFERROR(__xludf.DUMMYFUNCTION("IMPORTRANGE(""https://docs.google.com/spreadsheets/d/1YTZo6WM2dQ6Ix6FSdnL5P7uVnVKu40sxZu975tgG10E/edit?usp=sharing"",""นครปฐม!L215"")"),0)</f>
        <v>0</v>
      </c>
      <c r="AX60" s="152">
        <f ca="1">IFERROR(__xludf.DUMMYFUNCTION("IMPORTRANGE(""https://docs.google.com/spreadsheets/d/1YTZo6WM2dQ6Ix6FSdnL5P7uVnVKu40sxZu975tgG10E/edit?usp=sharing"",""นครปฐม!N215"")"),0)</f>
        <v>0</v>
      </c>
      <c r="AY60" s="216">
        <f t="shared" ca="1" si="116"/>
        <v>0</v>
      </c>
      <c r="AZ60" s="152">
        <f ca="1">IFERROR(__xludf.DUMMYFUNCTION("IMPORTRANGE(""https://docs.google.com/spreadsheets/d/1YTZo6WM2dQ6Ix6FSdnL5P7uVnVKu40sxZu975tgG10E/edit?usp=sharing"",""นครปฐม!L216"")"),0)</f>
        <v>0</v>
      </c>
      <c r="BA60" s="152">
        <f ca="1">IFERROR(__xludf.DUMMYFUNCTION("IMPORTRANGE(""https://docs.google.com/spreadsheets/d/1YTZo6WM2dQ6Ix6FSdnL5P7uVnVKu40sxZu975tgG10E/edit?usp=sharing"",""นครปฐม!N216"")"),0)</f>
        <v>0</v>
      </c>
      <c r="BB60" s="216">
        <f t="shared" ca="1" si="118"/>
        <v>0</v>
      </c>
      <c r="BC60" s="152">
        <f ca="1">IFERROR(__xludf.DUMMYFUNCTION("IMPORTRANGE(""https://docs.google.com/spreadsheets/d/1YTZo6WM2dQ6Ix6FSdnL5P7uVnVKu40sxZu975tgG10E/edit?usp=sharing"",""นครปฐม!L217"")"),0)</f>
        <v>0</v>
      </c>
      <c r="BD60" s="152">
        <f ca="1">IFERROR(__xludf.DUMMYFUNCTION("IMPORTRANGE(""https://docs.google.com/spreadsheets/d/1YTZo6WM2dQ6Ix6FSdnL5P7uVnVKu40sxZu975tgG10E/edit?usp=sharing"",""นครปฐม!N217"")"),0)</f>
        <v>0</v>
      </c>
      <c r="BE60" s="216">
        <f t="shared" ca="1" si="120"/>
        <v>0</v>
      </c>
      <c r="BF60" s="152">
        <f ca="1">IFERROR(__xludf.DUMMYFUNCTION("IMPORTRANGE(""https://docs.google.com/spreadsheets/d/1YTZo6WM2dQ6Ix6FSdnL5P7uVnVKu40sxZu975tgG10E/edit?usp=sharing"",""นครปฐม!Q217"")"),0)</f>
        <v>0</v>
      </c>
      <c r="BG60" s="152">
        <f ca="1">IFERROR(__xludf.DUMMYFUNCTION("IMPORTRANGE(""https://docs.google.com/spreadsheets/d/1YTZo6WM2dQ6Ix6FSdnL5P7uVnVKu40sxZu975tgG10E/edit?usp=sharing"",""นครปฐม!S217"")"),0)</f>
        <v>0</v>
      </c>
      <c r="BH60" s="216">
        <f t="shared" ca="1" si="122"/>
        <v>0</v>
      </c>
      <c r="BI60" s="152">
        <f ca="1">IFERROR(__xludf.DUMMYFUNCTION("IMPORTRANGE(""https://docs.google.com/spreadsheets/d/1YTZo6WM2dQ6Ix6FSdnL5P7uVnVKu40sxZu975tgG10E/edit?usp=sharing"",""นครปฐม!I219"")"),0)</f>
        <v>0</v>
      </c>
      <c r="BJ60" s="152">
        <f ca="1">IFERROR(__xludf.DUMMYFUNCTION("IMPORTRANGE(""https://docs.google.com/spreadsheets/d/1YTZo6WM2dQ6Ix6FSdnL5P7uVnVKu40sxZu975tgG10E/edit?usp=sharing"",""นครปฐม!J219"")"),0)</f>
        <v>0</v>
      </c>
      <c r="BK60" s="216">
        <f t="shared" ca="1" si="124"/>
        <v>0</v>
      </c>
      <c r="BL60" s="152">
        <f ca="1">IFERROR(__xludf.DUMMYFUNCTION("IMPORTRANGE(""https://docs.google.com/spreadsheets/d/1YTZo6WM2dQ6Ix6FSdnL5P7uVnVKu40sxZu975tgG10E/edit?usp=sharing"",""นครปฐม!I220"")"),0)</f>
        <v>0</v>
      </c>
      <c r="BM60" s="152">
        <f ca="1">IFERROR(__xludf.DUMMYFUNCTION("IMPORTRANGE(""https://docs.google.com/spreadsheets/d/1YTZo6WM2dQ6Ix6FSdnL5P7uVnVKu40sxZu975tgG10E/edit?usp=sharing"",""นครปฐม!J220"")"),0)</f>
        <v>0</v>
      </c>
      <c r="BN60" s="216">
        <f t="shared" ca="1" si="126"/>
        <v>0</v>
      </c>
      <c r="BO60" s="152">
        <f ca="1">IFERROR(__xludf.DUMMYFUNCTION("IMPORTRANGE(""https://docs.google.com/spreadsheets/d/1YTZo6WM2dQ6Ix6FSdnL5P7uVnVKu40sxZu975tgG10E/edit?usp=sharing"",""นครปฐม!L223"")"),2500)</f>
        <v>2500</v>
      </c>
      <c r="BP60" s="152">
        <f ca="1">IFERROR(__xludf.DUMMYFUNCTION("IMPORTRANGE(""https://docs.google.com/spreadsheets/d/1YTZo6WM2dQ6Ix6FSdnL5P7uVnVKu40sxZu975tgG10E/edit?usp=sharing"",""นครปฐม!N223"")"),0)</f>
        <v>0</v>
      </c>
      <c r="BQ60" s="216">
        <f t="shared" ca="1" si="128"/>
        <v>0</v>
      </c>
      <c r="BR60" s="152">
        <f ca="1">IFERROR(__xludf.DUMMYFUNCTION("IMPORTRANGE(""https://docs.google.com/spreadsheets/d/1YTZo6WM2dQ6Ix6FSdnL5P7uVnVKu40sxZu975tgG10E/edit?usp=sharing"",""นครปฐม!L224"")"),2000)</f>
        <v>2000</v>
      </c>
      <c r="BS60" s="152">
        <f ca="1">IFERROR(__xludf.DUMMYFUNCTION("IMPORTRANGE(""https://docs.google.com/spreadsheets/d/1YTZo6WM2dQ6Ix6FSdnL5P7uVnVKu40sxZu975tgG10E/edit?usp=sharing"",""นครปฐม!N224"")"),0)</f>
        <v>0</v>
      </c>
      <c r="BT60" s="216">
        <f t="shared" ca="1" si="130"/>
        <v>0</v>
      </c>
      <c r="BU60" s="152">
        <f ca="1">IFERROR(__xludf.DUMMYFUNCTION("IMPORTRANGE(""https://docs.google.com/spreadsheets/d/1YTZo6WM2dQ6Ix6FSdnL5P7uVnVKu40sxZu975tgG10E/edit?usp=sharing"",""นครปฐม!I228"")"),5000)</f>
        <v>5000</v>
      </c>
      <c r="BV60" s="152">
        <f ca="1">IFERROR(__xludf.DUMMYFUNCTION("IMPORTRANGE(""https://docs.google.com/spreadsheets/d/1YTZo6WM2dQ6Ix6FSdnL5P7uVnVKu40sxZu975tgG10E/edit?usp=sharing"",""นครปฐม!J228"")"),5000)</f>
        <v>5000</v>
      </c>
      <c r="BW60" s="216">
        <f t="shared" ca="1" si="132"/>
        <v>100</v>
      </c>
      <c r="BX60" s="152">
        <f ca="1">IFERROR(__xludf.DUMMYFUNCTION("IMPORTRANGE(""https://docs.google.com/spreadsheets/d/1YTZo6WM2dQ6Ix6FSdnL5P7uVnVKu40sxZu975tgG10E/edit?usp=sharing"",""นครปฐม!I229"")"),5000)</f>
        <v>5000</v>
      </c>
      <c r="BY60" s="152">
        <f ca="1">IFERROR(__xludf.DUMMYFUNCTION("IMPORTRANGE(""https://docs.google.com/spreadsheets/d/1YTZo6WM2dQ6Ix6FSdnL5P7uVnVKu40sxZu975tgG10E/edit?usp=sharing"",""นครปฐม!J229"")"),5000)</f>
        <v>5000</v>
      </c>
      <c r="BZ60" s="216">
        <f t="shared" ca="1" si="134"/>
        <v>100</v>
      </c>
      <c r="CA60" s="152">
        <f ca="1">IFERROR(__xludf.DUMMYFUNCTION("IMPORTRANGE(""https://docs.google.com/spreadsheets/d/1YTZo6WM2dQ6Ix6FSdnL5P7uVnVKu40sxZu975tgG10E/edit?usp=sharing"",""นครปฐม!I230"")"),0)</f>
        <v>0</v>
      </c>
      <c r="CB60" s="152">
        <f ca="1">IFERROR(__xludf.DUMMYFUNCTION("IMPORTRANGE(""https://docs.google.com/spreadsheets/d/1YTZo6WM2dQ6Ix6FSdnL5P7uVnVKu40sxZu975tgG10E/edit?usp=sharing"",""นครปฐม!J230"")"),0)</f>
        <v>0</v>
      </c>
      <c r="CC60" s="216">
        <f t="shared" ca="1" si="136"/>
        <v>0</v>
      </c>
      <c r="CD60" s="152">
        <f ca="1">IFERROR(__xludf.DUMMYFUNCTION("IMPORTRANGE(""https://docs.google.com/spreadsheets/d/1YTZo6WM2dQ6Ix6FSdnL5P7uVnVKu40sxZu975tgG10E/edit?usp=sharing"",""นครปฐม!L233"")"),14000)</f>
        <v>14000</v>
      </c>
      <c r="CE60" s="152">
        <f ca="1">IFERROR(__xludf.DUMMYFUNCTION("IMPORTRANGE(""https://docs.google.com/spreadsheets/d/1YTZo6WM2dQ6Ix6FSdnL5P7uVnVKu40sxZu975tgG10E/edit?usp=sharing"",""นครปฐม!N233"")"),2600)</f>
        <v>2600</v>
      </c>
      <c r="CF60" s="216">
        <f t="shared" ca="1" si="138"/>
        <v>18.571428571428573</v>
      </c>
      <c r="CG60" s="152">
        <f ca="1">IFERROR(__xludf.DUMMYFUNCTION("IMPORTRANGE(""https://docs.google.com/spreadsheets/d/1YTZo6WM2dQ6Ix6FSdnL5P7uVnVKu40sxZu975tgG10E/edit?usp=sharing"",""นครปฐม!L234"")"),2000)</f>
        <v>2000</v>
      </c>
      <c r="CH60" s="152">
        <f ca="1">IFERROR(__xludf.DUMMYFUNCTION("IMPORTRANGE(""https://docs.google.com/spreadsheets/d/1YTZo6WM2dQ6Ix6FSdnL5P7uVnVKu40sxZu975tgG10E/edit?usp=sharing"",""นครปฐม!N234"")"),0)</f>
        <v>0</v>
      </c>
      <c r="CI60" s="216">
        <f t="shared" ca="1" si="140"/>
        <v>0</v>
      </c>
      <c r="CJ60" s="152">
        <f ca="1">IFERROR(__xludf.DUMMYFUNCTION("IMPORTRANGE(""https://docs.google.com/spreadsheets/d/1YTZo6WM2dQ6Ix6FSdnL5P7uVnVKu40sxZu975tgG10E/edit?usp=sharing"",""นครปฐม!L235"")"),21000)</f>
        <v>21000</v>
      </c>
      <c r="CK60" s="152">
        <f ca="1">IFERROR(__xludf.DUMMYFUNCTION("IMPORTRANGE(""https://docs.google.com/spreadsheets/d/1YTZo6WM2dQ6Ix6FSdnL5P7uVnVKu40sxZu975tgG10E/edit?usp=sharing"",""นครปฐม!N235"")"),20120)</f>
        <v>20120</v>
      </c>
      <c r="CL60" s="216">
        <f t="shared" ca="1" si="142"/>
        <v>95.80952380952381</v>
      </c>
      <c r="CM60" s="251">
        <f ca="1">IFERROR(__xludf.DUMMYFUNCTION("IMPORTRANGE(""https://docs.google.com/spreadsheets/d/1YTZo6WM2dQ6Ix6FSdnL5P7uVnVKu40sxZu975tgG10E/edit?usp=sharing"",""นครปฐม!Q235"")"),0)</f>
        <v>0</v>
      </c>
      <c r="CN60" s="251">
        <f ca="1">IFERROR(__xludf.DUMMYFUNCTION("IMPORTRANGE(""https://docs.google.com/spreadsheets/d/1YTZo6WM2dQ6Ix6FSdnL5P7uVnVKu40sxZu975tgG10E/edit?usp=sharing"",""นครปฐม!S235"")"),0)</f>
        <v>0</v>
      </c>
      <c r="CO60" s="216">
        <f t="shared" ca="1" si="144"/>
        <v>0</v>
      </c>
      <c r="CP60" s="152">
        <f ca="1">IFERROR(__xludf.DUMMYFUNCTION("IMPORTRANGE(""https://docs.google.com/spreadsheets/d/1YTZo6WM2dQ6Ix6FSdnL5P7uVnVKu40sxZu975tgG10E/edit?usp=sharing"",""นครปฐม!L236"")"),15500)</f>
        <v>15500</v>
      </c>
      <c r="CQ60" s="152">
        <f ca="1">IFERROR(__xludf.DUMMYFUNCTION("IMPORTRANGE(""https://docs.google.com/spreadsheets/d/1YTZo6WM2dQ6Ix6FSdnL5P7uVnVKu40sxZu975tgG10E/edit?usp=sharing"",""นครปฐม!N236"")"),15500)</f>
        <v>15500</v>
      </c>
      <c r="CR60" s="216">
        <f t="shared" ca="1" si="146"/>
        <v>100</v>
      </c>
      <c r="CS60" s="152">
        <f ca="1">IFERROR(__xludf.DUMMYFUNCTION("IMPORTRANGE(""https://docs.google.com/spreadsheets/d/1YTZo6WM2dQ6Ix6FSdnL5P7uVnVKu40sxZu975tgG10E/edit?usp=sharing"",""นครปฐม!I238"")"),15)</f>
        <v>15</v>
      </c>
      <c r="CT60" s="152">
        <f ca="1">IFERROR(__xludf.DUMMYFUNCTION("IMPORTRANGE(""https://docs.google.com/spreadsheets/d/1YTZo6WM2dQ6Ix6FSdnL5P7uVnVKu40sxZu975tgG10E/edit?usp=sharing"",""นครปฐม!J238"")"),15)</f>
        <v>15</v>
      </c>
      <c r="CU60" s="216">
        <f t="shared" ca="1" si="148"/>
        <v>100</v>
      </c>
      <c r="CV60" s="152">
        <f ca="1">IFERROR(__xludf.DUMMYFUNCTION("IMPORTRANGE(""https://docs.google.com/spreadsheets/d/1YTZo6WM2dQ6Ix6FSdnL5P7uVnVKu40sxZu975tgG10E/edit?usp=sharing"",""นครปฐม!J240"")"),15)</f>
        <v>15</v>
      </c>
      <c r="CW60" s="152">
        <f ca="1">IFERROR(__xludf.DUMMYFUNCTION("IMPORTRANGE(""https://docs.google.com/spreadsheets/d/1YTZo6WM2dQ6Ix6FSdnL5P7uVnVKu40sxZu975tgG10E/edit?usp=sharing"",""นครปฐม!J241"")"),1)</f>
        <v>1</v>
      </c>
    </row>
    <row r="61" spans="1:101" ht="21" customHeight="1" x14ac:dyDescent="0.3">
      <c r="A61" s="147">
        <v>9</v>
      </c>
      <c r="B61" s="148" t="s">
        <v>89</v>
      </c>
      <c r="C61" s="149">
        <f t="shared" ca="1" si="90"/>
        <v>624200</v>
      </c>
      <c r="D61" s="150">
        <f t="shared" ca="1" si="206"/>
        <v>624200</v>
      </c>
      <c r="E61" s="151">
        <f ca="1">IFERROR(__xludf.DUMMYFUNCTION("IMPORTRANGE(""https://docs.google.com/spreadsheets/d/1-uDff_7J0KD5mKrp0Vvzr7lt3OU09vwQwhkpOPPYv2Y/edit?usp=sharing"",""งบพรบ!CV61"")"),367200)</f>
        <v>367200</v>
      </c>
      <c r="F61" s="151">
        <f ca="1">IFERROR(__xludf.DUMMYFUNCTION("IMPORTRANGE(""https://docs.google.com/spreadsheets/d/1-uDff_7J0KD5mKrp0Vvzr7lt3OU09vwQwhkpOPPYv2Y/edit?usp=sharing"",""งบพรบ!CW61"")"),257000)</f>
        <v>257000</v>
      </c>
      <c r="G61" s="151">
        <f ca="1">IFERROR(__xludf.DUMMYFUNCTION("IMPORTRANGE(""https://docs.google.com/spreadsheets/d/1-uDff_7J0KD5mKrp0Vvzr7lt3OU09vwQwhkpOPPYv2Y/edit?usp=sharing"",""งบพรบ!CX61"")"),0)</f>
        <v>0</v>
      </c>
      <c r="H61" s="151">
        <f ca="1">IFERROR(__xludf.DUMMYFUNCTION("IMPORTRANGE(""https://docs.google.com/spreadsheets/d/1-uDff_7J0KD5mKrp0Vvzr7lt3OU09vwQwhkpOPPYv2Y/edit?usp=sharing"",""งบพรบ!CZ61"")"),627720)</f>
        <v>627720</v>
      </c>
      <c r="I61" s="151">
        <f ca="1">IFERROR(__xludf.DUMMYFUNCTION("IMPORTRANGE(""https://docs.google.com/spreadsheets/d/1-uDff_7J0KD5mKrp0Vvzr7lt3OU09vwQwhkpOPPYv2Y/edit?usp=sharing"",""งบพรบ!DA61"")"),0)</f>
        <v>0</v>
      </c>
      <c r="J61" s="151">
        <f t="shared" ca="1" si="92"/>
        <v>549902.06999999995</v>
      </c>
      <c r="K61" s="154">
        <f t="shared" ca="1" si="93"/>
        <v>88.097095482217227</v>
      </c>
      <c r="L61" s="151">
        <f ca="1">IFERROR(__xludf.DUMMYFUNCTION("IMPORTRANGE(""https://docs.google.com/spreadsheets/d/1-uDff_7J0KD5mKrp0Vvzr7lt3OU09vwQwhkpOPPYv2Y/edit?usp=sharing"",""งบพรบ!DB61"")"),549902.07)</f>
        <v>549902.06999999995</v>
      </c>
      <c r="M61" s="68">
        <f t="shared" ca="1" si="94"/>
        <v>88.097095482217227</v>
      </c>
      <c r="N61" s="68">
        <f t="shared" ca="1" si="95"/>
        <v>87.603082584591846</v>
      </c>
      <c r="O61" s="67">
        <f ca="1">IFERROR(__xludf.DUMMYFUNCTION("IMPORTRANGE(""https://docs.google.com/spreadsheets/d/1-uDff_7J0KD5mKrp0Vvzr7lt3OU09vwQwhkpOPPYv2Y/edit?usp=sharing"",""งบพรบ!DC61"")"),0)</f>
        <v>0</v>
      </c>
      <c r="P61" s="67">
        <f t="shared" ca="1" si="96"/>
        <v>0</v>
      </c>
      <c r="Q61" s="68">
        <f t="shared" ca="1" si="97"/>
        <v>0</v>
      </c>
      <c r="R61" s="67">
        <f ca="1">IFERROR(__xludf.DUMMYFUNCTION("IMPORTRANGE(""https://docs.google.com/spreadsheets/d/1OYoGg4WDg5RIzwGeB10padOxJF9E_Vljuvvct_M7RDo/edit?usp=sharing"",""ปทุมธานี!Q186"")"),0)</f>
        <v>0</v>
      </c>
      <c r="S61" s="67">
        <f ca="1">IFERROR(__xludf.DUMMYFUNCTION("IMPORTRANGE(""https://docs.google.com/spreadsheets/d/1OYoGg4WDg5RIzwGeB10padOxJF9E_Vljuvvct_M7RDo/edit?usp=sharing"",""ปทุมธานี!R186"")"),0)</f>
        <v>0</v>
      </c>
      <c r="T61" s="67">
        <f ca="1">IFERROR(__xludf.DUMMYFUNCTION("IMPORTRANGE(""https://docs.google.com/spreadsheets/d/1OYoGg4WDg5RIzwGeB10padOxJF9E_Vljuvvct_M7RDo/edit?usp=sharing"",""ปทุมธานี!S186"")"),0)</f>
        <v>0</v>
      </c>
      <c r="U61" s="68">
        <f t="shared" ca="1" si="99"/>
        <v>0</v>
      </c>
      <c r="V61" s="68">
        <f t="shared" ca="1" si="100"/>
        <v>0</v>
      </c>
      <c r="W61" s="152">
        <f ca="1">IFERROR(__xludf.DUMMYFUNCTION("IMPORTRANGE(""https://docs.google.com/spreadsheets/d/1OYoGg4WDg5RIzwGeB10padOxJF9E_Vljuvvct_M7RDo/edit?usp=sharing"",""ปทุมธานี!L196"")"),6000)</f>
        <v>6000</v>
      </c>
      <c r="X61" s="152">
        <f ca="1">IFERROR(__xludf.DUMMYFUNCTION("IMPORTRANGE(""https://docs.google.com/spreadsheets/d/1OYoGg4WDg5RIzwGeB10padOxJF9E_Vljuvvct_M7RDo/edit?usp=sharing"",""ปทุมธานี!N196"")"),6000)</f>
        <v>6000</v>
      </c>
      <c r="Y61" s="216">
        <f t="shared" ca="1" si="102"/>
        <v>100</v>
      </c>
      <c r="Z61" s="152">
        <f ca="1">IFERROR(__xludf.DUMMYFUNCTION("IMPORTRANGE(""https://docs.google.com/spreadsheets/d/1OYoGg4WDg5RIzwGeB10padOxJF9E_Vljuvvct_M7RDo/edit?usp=sharing"",""ปทุมธานี!I198"")"),4)</f>
        <v>4</v>
      </c>
      <c r="AA61" s="152">
        <f ca="1">IFERROR(__xludf.DUMMYFUNCTION("IMPORTRANGE(""https://docs.google.com/spreadsheets/d/1OYoGg4WDg5RIzwGeB10padOxJF9E_Vljuvvct_M7RDo/edit?usp=sharing"",""ปทุมธานี!J198"")"),4)</f>
        <v>4</v>
      </c>
      <c r="AB61" s="216">
        <f t="shared" ca="1" si="104"/>
        <v>100</v>
      </c>
      <c r="AC61" s="152">
        <f ca="1">IFERROR(__xludf.DUMMYFUNCTION("IMPORTRANGE(""https://docs.google.com/spreadsheets/d/1OYoGg4WDg5RIzwGeB10padOxJF9E_Vljuvvct_M7RDo/edit?usp=sharing"",""ปทุมธานี!J199"")"),110)</f>
        <v>110</v>
      </c>
      <c r="AD61" s="152">
        <f ca="1">IFERROR(__xludf.DUMMYFUNCTION("IMPORTRANGE(""https://docs.google.com/spreadsheets/d/1OYoGg4WDg5RIzwGeB10padOxJF9E_Vljuvvct_M7RDo/edit?usp=sharing"",""ปทุมธานี!J200"")"),110)</f>
        <v>110</v>
      </c>
      <c r="AE61" s="152">
        <f ca="1">IFERROR(__xludf.DUMMYFUNCTION("IMPORTRANGE(""https://docs.google.com/spreadsheets/d/1OYoGg4WDg5RIzwGeB10padOxJF9E_Vljuvvct_M7RDo/edit?usp=sharing"",""ปทุมธานี!J201"")"),0)</f>
        <v>0</v>
      </c>
      <c r="AF61" s="152">
        <f ca="1">IFERROR(__xludf.DUMMYFUNCTION("IMPORTRANGE(""https://docs.google.com/spreadsheets/d/1OYoGg4WDg5RIzwGeB10padOxJF9E_Vljuvvct_M7RDo/edit?usp=sharing"",""ปทุมธานี!L204"")"),1000)</f>
        <v>1000</v>
      </c>
      <c r="AG61" s="152">
        <f ca="1">IFERROR(__xludf.DUMMYFUNCTION("IMPORTRANGE(""https://docs.google.com/spreadsheets/d/1OYoGg4WDg5RIzwGeB10padOxJF9E_Vljuvvct_M7RDo/edit?usp=sharing"",""ปทุมธานี!N204"")"),415)</f>
        <v>415</v>
      </c>
      <c r="AH61" s="216">
        <f t="shared" ca="1" si="106"/>
        <v>41.5</v>
      </c>
      <c r="AI61" s="152">
        <f ca="1">IFERROR(__xludf.DUMMYFUNCTION("IMPORTRANGE(""https://docs.google.com/spreadsheets/d/1OYoGg4WDg5RIzwGeB10padOxJF9E_Vljuvvct_M7RDo/edit?usp=sharing"",""ปทุมธานี!L206"")"),8000)</f>
        <v>8000</v>
      </c>
      <c r="AJ61" s="152">
        <f ca="1">IFERROR(__xludf.DUMMYFUNCTION("IMPORTRANGE(""https://docs.google.com/spreadsheets/d/1OYoGg4WDg5RIzwGeB10padOxJF9E_Vljuvvct_M7RDo/edit?usp=sharing"",""ปทุมธานี!N206"")"),8585)</f>
        <v>8585</v>
      </c>
      <c r="AK61" s="216">
        <f t="shared" ca="1" si="108"/>
        <v>107.3125</v>
      </c>
      <c r="AL61" s="152">
        <f ca="1">IFERROR(__xludf.DUMMYFUNCTION("IMPORTRANGE(""https://docs.google.com/spreadsheets/d/1OYoGg4WDg5RIzwGeB10padOxJF9E_Vljuvvct_M7RDo/edit?usp=sharing"",""ปทุมธานี!Q206"")"),0)</f>
        <v>0</v>
      </c>
      <c r="AM61" s="152">
        <f ca="1">IFERROR(__xludf.DUMMYFUNCTION("IMPORTRANGE(""https://docs.google.com/spreadsheets/d/1OYoGg4WDg5RIzwGeB10padOxJF9E_Vljuvvct_M7RDo/edit?usp=sharing"",""ปทุมธานี!S206"")"),0)</f>
        <v>0</v>
      </c>
      <c r="AN61" s="216">
        <f t="shared" ca="1" si="110"/>
        <v>0</v>
      </c>
      <c r="AO61" s="152">
        <f ca="1">IFERROR(__xludf.DUMMYFUNCTION("IMPORTRANGE(""https://docs.google.com/spreadsheets/d/1OYoGg4WDg5RIzwGeB10padOxJF9E_Vljuvvct_M7RDo/edit?usp=sharing"",""ปทุมธานี!L207"")"),4000)</f>
        <v>4000</v>
      </c>
      <c r="AP61" s="152">
        <f ca="1">IFERROR(__xludf.DUMMYFUNCTION("IMPORTRANGE(""https://docs.google.com/spreadsheets/d/1OYoGg4WDg5RIzwGeB10padOxJF9E_Vljuvvct_M7RDo/edit?usp=sharing"",""ปทุมธานี!N207"")"),4000)</f>
        <v>4000</v>
      </c>
      <c r="AQ61" s="216">
        <f t="shared" ca="1" si="112"/>
        <v>100</v>
      </c>
      <c r="AR61" s="152">
        <f ca="1">IFERROR(__xludf.DUMMYFUNCTION("IMPORTRANGE(""https://docs.google.com/spreadsheets/d/1OYoGg4WDg5RIzwGeB10padOxJF9E_Vljuvvct_M7RDo/edit?usp=sharing"",""ปทุมธานี!I209"")"),1)</f>
        <v>1</v>
      </c>
      <c r="AS61" s="152">
        <f ca="1">IFERROR(__xludf.DUMMYFUNCTION("IMPORTRANGE(""https://docs.google.com/spreadsheets/d/1OYoGg4WDg5RIzwGeB10padOxJF9E_Vljuvvct_M7RDo/edit?usp=sharing"",""ปทุมธานี!J209"")"),1)</f>
        <v>1</v>
      </c>
      <c r="AT61" s="216">
        <f t="shared" ca="1" si="114"/>
        <v>100</v>
      </c>
      <c r="AU61" s="152">
        <f ca="1">IFERROR(__xludf.DUMMYFUNCTION("IMPORTRANGE(""https://docs.google.com/spreadsheets/d/1OYoGg4WDg5RIzwGeB10padOxJF9E_Vljuvvct_M7RDo/edit?usp=sharing"",""ปทุมธานี!J211"")"),1)</f>
        <v>1</v>
      </c>
      <c r="AV61" s="152">
        <f ca="1">IFERROR(__xludf.DUMMYFUNCTION("IMPORTRANGE(""https://docs.google.com/spreadsheets/d/1OYoGg4WDg5RIzwGeB10padOxJF9E_Vljuvvct_M7RDo/edit?usp=sharing"",""ปทุมธานี!J212"")"),0)</f>
        <v>0</v>
      </c>
      <c r="AW61" s="152">
        <f ca="1">IFERROR(__xludf.DUMMYFUNCTION("IMPORTRANGE(""https://docs.google.com/spreadsheets/d/1OYoGg4WDg5RIzwGeB10padOxJF9E_Vljuvvct_M7RDo/edit?usp=sharing"",""ปทุมธานี!L215"")"),0)</f>
        <v>0</v>
      </c>
      <c r="AX61" s="152">
        <f ca="1">IFERROR(__xludf.DUMMYFUNCTION("IMPORTRANGE(""https://docs.google.com/spreadsheets/d/1OYoGg4WDg5RIzwGeB10padOxJF9E_Vljuvvct_M7RDo/edit?usp=sharing"",""ปทุมธานี!N215"")"),0)</f>
        <v>0</v>
      </c>
      <c r="AY61" s="216">
        <f t="shared" ca="1" si="116"/>
        <v>0</v>
      </c>
      <c r="AZ61" s="152">
        <f ca="1">IFERROR(__xludf.DUMMYFUNCTION("IMPORTRANGE(""https://docs.google.com/spreadsheets/d/1OYoGg4WDg5RIzwGeB10padOxJF9E_Vljuvvct_M7RDo/edit?usp=sharing"",""ปทุมธานี!L216"")"),0)</f>
        <v>0</v>
      </c>
      <c r="BA61" s="152">
        <f ca="1">IFERROR(__xludf.DUMMYFUNCTION("IMPORTRANGE(""https://docs.google.com/spreadsheets/d/1OYoGg4WDg5RIzwGeB10padOxJF9E_Vljuvvct_M7RDo/edit?usp=sharing"",""ปทุมธานี!N216"")"),0)</f>
        <v>0</v>
      </c>
      <c r="BB61" s="216">
        <f t="shared" ca="1" si="118"/>
        <v>0</v>
      </c>
      <c r="BC61" s="152">
        <f ca="1">IFERROR(__xludf.DUMMYFUNCTION("IMPORTRANGE(""https://docs.google.com/spreadsheets/d/1OYoGg4WDg5RIzwGeB10padOxJF9E_Vljuvvct_M7RDo/edit?usp=sharing"",""ปทุมธานี!L217"")"),0)</f>
        <v>0</v>
      </c>
      <c r="BD61" s="152">
        <f ca="1">IFERROR(__xludf.DUMMYFUNCTION("IMPORTRANGE(""https://docs.google.com/spreadsheets/d/1OYoGg4WDg5RIzwGeB10padOxJF9E_Vljuvvct_M7RDo/edit?usp=sharing"",""ปทุมธานี!N217"")"),0)</f>
        <v>0</v>
      </c>
      <c r="BE61" s="216">
        <f t="shared" ca="1" si="120"/>
        <v>0</v>
      </c>
      <c r="BF61" s="152">
        <f ca="1">IFERROR(__xludf.DUMMYFUNCTION("IMPORTRANGE(""https://docs.google.com/spreadsheets/d/1OYoGg4WDg5RIzwGeB10padOxJF9E_Vljuvvct_M7RDo/edit?usp=sharing"",""ปทุมธานี!Q217"")"),0)</f>
        <v>0</v>
      </c>
      <c r="BG61" s="152">
        <f ca="1">IFERROR(__xludf.DUMMYFUNCTION("IMPORTRANGE(""https://docs.google.com/spreadsheets/d/1OYoGg4WDg5RIzwGeB10padOxJF9E_Vljuvvct_M7RDo/edit?usp=sharing"",""ปทุมธานี!S217"")"),0)</f>
        <v>0</v>
      </c>
      <c r="BH61" s="216">
        <f t="shared" ca="1" si="122"/>
        <v>0</v>
      </c>
      <c r="BI61" s="152">
        <f ca="1">IFERROR(__xludf.DUMMYFUNCTION("IMPORTRANGE(""https://docs.google.com/spreadsheets/d/1OYoGg4WDg5RIzwGeB10padOxJF9E_Vljuvvct_M7RDo/edit?usp=sharing"",""ปทุมธานี!I219"")"),0)</f>
        <v>0</v>
      </c>
      <c r="BJ61" s="152">
        <f ca="1">IFERROR(__xludf.DUMMYFUNCTION("IMPORTRANGE(""https://docs.google.com/spreadsheets/d/1OYoGg4WDg5RIzwGeB10padOxJF9E_Vljuvvct_M7RDo/edit?usp=sharing"",""ปทุมธานี!J219"")"),0)</f>
        <v>0</v>
      </c>
      <c r="BK61" s="216">
        <f t="shared" ca="1" si="124"/>
        <v>0</v>
      </c>
      <c r="BL61" s="152">
        <f ca="1">IFERROR(__xludf.DUMMYFUNCTION("IMPORTRANGE(""https://docs.google.com/spreadsheets/d/1OYoGg4WDg5RIzwGeB10padOxJF9E_Vljuvvct_M7RDo/edit?usp=sharing"",""ปทุมธานี!I220"")"),0)</f>
        <v>0</v>
      </c>
      <c r="BM61" s="152">
        <f ca="1">IFERROR(__xludf.DUMMYFUNCTION("IMPORTRANGE(""https://docs.google.com/spreadsheets/d/1OYoGg4WDg5RIzwGeB10padOxJF9E_Vljuvvct_M7RDo/edit?usp=sharing"",""ปทุมธานี!J220"")"),0)</f>
        <v>0</v>
      </c>
      <c r="BN61" s="216">
        <f t="shared" ca="1" si="126"/>
        <v>0</v>
      </c>
      <c r="BO61" s="152">
        <f ca="1">IFERROR(__xludf.DUMMYFUNCTION("IMPORTRANGE(""https://docs.google.com/spreadsheets/d/1OYoGg4WDg5RIzwGeB10padOxJF9E_Vljuvvct_M7RDo/edit?usp=sharing"",""ปทุมธานี!L223"")"),2500)</f>
        <v>2500</v>
      </c>
      <c r="BP61" s="152">
        <f ca="1">IFERROR(__xludf.DUMMYFUNCTION("IMPORTRANGE(""https://docs.google.com/spreadsheets/d/1OYoGg4WDg5RIzwGeB10padOxJF9E_Vljuvvct_M7RDo/edit?usp=sharing"",""ปทุมธานี!N223"")"),2500)</f>
        <v>2500</v>
      </c>
      <c r="BQ61" s="216">
        <f t="shared" ca="1" si="128"/>
        <v>100</v>
      </c>
      <c r="BR61" s="152">
        <f ca="1">IFERROR(__xludf.DUMMYFUNCTION("IMPORTRANGE(""https://docs.google.com/spreadsheets/d/1OYoGg4WDg5RIzwGeB10padOxJF9E_Vljuvvct_M7RDo/edit?usp=sharing"",""ปทุมธานี!L224"")"),2000)</f>
        <v>2000</v>
      </c>
      <c r="BS61" s="152">
        <f ca="1">IFERROR(__xludf.DUMMYFUNCTION("IMPORTRANGE(""https://docs.google.com/spreadsheets/d/1OYoGg4WDg5RIzwGeB10padOxJF9E_Vljuvvct_M7RDo/edit?usp=sharing"",""ปทุมธานี!N224"")"),2000)</f>
        <v>2000</v>
      </c>
      <c r="BT61" s="216">
        <f t="shared" ca="1" si="130"/>
        <v>100</v>
      </c>
      <c r="BU61" s="152">
        <f ca="1">IFERROR(__xludf.DUMMYFUNCTION("IMPORTRANGE(""https://docs.google.com/spreadsheets/d/1OYoGg4WDg5RIzwGeB10padOxJF9E_Vljuvvct_M7RDo/edit?usp=sharing"",""ปทุมธานี!I228"")"),20000)</f>
        <v>20000</v>
      </c>
      <c r="BV61" s="152">
        <f ca="1">IFERROR(__xludf.DUMMYFUNCTION("IMPORTRANGE(""https://docs.google.com/spreadsheets/d/1OYoGg4WDg5RIzwGeB10padOxJF9E_Vljuvvct_M7RDo/edit?usp=sharing"",""ปทุมธานี!J228"")"),20000)</f>
        <v>20000</v>
      </c>
      <c r="BW61" s="216">
        <f t="shared" ca="1" si="132"/>
        <v>100</v>
      </c>
      <c r="BX61" s="152">
        <f ca="1">IFERROR(__xludf.DUMMYFUNCTION("IMPORTRANGE(""https://docs.google.com/spreadsheets/d/1OYoGg4WDg5RIzwGeB10padOxJF9E_Vljuvvct_M7RDo/edit?usp=sharing"",""ปทุมธานี!I229"")"),20000)</f>
        <v>20000</v>
      </c>
      <c r="BY61" s="152">
        <f ca="1">IFERROR(__xludf.DUMMYFUNCTION("IMPORTRANGE(""https://docs.google.com/spreadsheets/d/1OYoGg4WDg5RIzwGeB10padOxJF9E_Vljuvvct_M7RDo/edit?usp=sharing"",""ปทุมธานี!J229"")"),20000)</f>
        <v>20000</v>
      </c>
      <c r="BZ61" s="216">
        <f t="shared" ca="1" si="134"/>
        <v>100</v>
      </c>
      <c r="CA61" s="152">
        <f ca="1">IFERROR(__xludf.DUMMYFUNCTION("IMPORTRANGE(""https://docs.google.com/spreadsheets/d/1OYoGg4WDg5RIzwGeB10padOxJF9E_Vljuvvct_M7RDo/edit?usp=sharing"",""ปทุมธานี!I230"")"),0)</f>
        <v>0</v>
      </c>
      <c r="CB61" s="152">
        <f ca="1">IFERROR(__xludf.DUMMYFUNCTION("IMPORTRANGE(""https://docs.google.com/spreadsheets/d/1OYoGg4WDg5RIzwGeB10padOxJF9E_Vljuvvct_M7RDo/edit?usp=sharing"",""ปทุมธานี!J230"")"),0)</f>
        <v>0</v>
      </c>
      <c r="CC61" s="216">
        <f t="shared" ca="1" si="136"/>
        <v>0</v>
      </c>
      <c r="CD61" s="152">
        <f ca="1">IFERROR(__xludf.DUMMYFUNCTION("IMPORTRANGE(""https://docs.google.com/spreadsheets/d/1OYoGg4WDg5RIzwGeB10padOxJF9E_Vljuvvct_M7RDo/edit?usp=sharing"",""ปทุมธานี!L233"")"),19000)</f>
        <v>19000</v>
      </c>
      <c r="CE61" s="152">
        <f ca="1">IFERROR(__xludf.DUMMYFUNCTION("IMPORTRANGE(""https://docs.google.com/spreadsheets/d/1OYoGg4WDg5RIzwGeB10padOxJF9E_Vljuvvct_M7RDo/edit?usp=sharing"",""ปทุมธานี!N233"")"),6310)</f>
        <v>6310</v>
      </c>
      <c r="CF61" s="216">
        <f t="shared" ca="1" si="138"/>
        <v>33.210526315789473</v>
      </c>
      <c r="CG61" s="152">
        <f ca="1">IFERROR(__xludf.DUMMYFUNCTION("IMPORTRANGE(""https://docs.google.com/spreadsheets/d/1OYoGg4WDg5RIzwGeB10padOxJF9E_Vljuvvct_M7RDo/edit?usp=sharing"",""ปทุมธานี!L234"")"),6000)</f>
        <v>6000</v>
      </c>
      <c r="CH61" s="152">
        <f ca="1">IFERROR(__xludf.DUMMYFUNCTION("IMPORTRANGE(""https://docs.google.com/spreadsheets/d/1OYoGg4WDg5RIzwGeB10padOxJF9E_Vljuvvct_M7RDo/edit?usp=sharing"",""ปทุมธานี!N234"")"),345)</f>
        <v>345</v>
      </c>
      <c r="CI61" s="216">
        <f t="shared" ca="1" si="140"/>
        <v>5.75</v>
      </c>
      <c r="CJ61" s="152">
        <f ca="1">IFERROR(__xludf.DUMMYFUNCTION("IMPORTRANGE(""https://docs.google.com/spreadsheets/d/1OYoGg4WDg5RIzwGeB10padOxJF9E_Vljuvvct_M7RDo/edit?usp=sharing"",""ปทุมธานี!L235"")"),93500)</f>
        <v>93500</v>
      </c>
      <c r="CK61" s="152">
        <f ca="1">IFERROR(__xludf.DUMMYFUNCTION("IMPORTRANGE(""https://docs.google.com/spreadsheets/d/1OYoGg4WDg5RIzwGeB10padOxJF9E_Vljuvvct_M7RDo/edit?usp=sharing"",""ปทุมธานี!N235"")"),93500)</f>
        <v>93500</v>
      </c>
      <c r="CL61" s="216">
        <f t="shared" ca="1" si="142"/>
        <v>100</v>
      </c>
      <c r="CM61" s="251">
        <f ca="1">IFERROR(__xludf.DUMMYFUNCTION("IMPORTRANGE(""https://docs.google.com/spreadsheets/d/1OYoGg4WDg5RIzwGeB10padOxJF9E_Vljuvvct_M7RDo/edit?usp=sharing"",""ปทุมธานี!Q235"")"),0)</f>
        <v>0</v>
      </c>
      <c r="CN61" s="251">
        <f ca="1">IFERROR(__xludf.DUMMYFUNCTION("IMPORTRANGE(""https://docs.google.com/spreadsheets/d/1OYoGg4WDg5RIzwGeB10padOxJF9E_Vljuvvct_M7RDo/edit?usp=sharing"",""ปทุมธานี!S235"")"),0)</f>
        <v>0</v>
      </c>
      <c r="CO61" s="216">
        <f t="shared" ca="1" si="144"/>
        <v>0</v>
      </c>
      <c r="CP61" s="152">
        <f ca="1">IFERROR(__xludf.DUMMYFUNCTION("IMPORTRANGE(""https://docs.google.com/spreadsheets/d/1OYoGg4WDg5RIzwGeB10padOxJF9E_Vljuvvct_M7RDo/edit?usp=sharing"",""ปทุมธานี!L236"")"),115000)</f>
        <v>115000</v>
      </c>
      <c r="CQ61" s="152">
        <f ca="1">IFERROR(__xludf.DUMMYFUNCTION("IMPORTRANGE(""https://docs.google.com/spreadsheets/d/1OYoGg4WDg5RIzwGeB10padOxJF9E_Vljuvvct_M7RDo/edit?usp=sharing"",""ปทุมธานี!N236"")"),115000)</f>
        <v>115000</v>
      </c>
      <c r="CR61" s="216">
        <f t="shared" ca="1" si="146"/>
        <v>100</v>
      </c>
      <c r="CS61" s="152">
        <f ca="1">IFERROR(__xludf.DUMMYFUNCTION("IMPORTRANGE(""https://docs.google.com/spreadsheets/d/1OYoGg4WDg5RIzwGeB10padOxJF9E_Vljuvvct_M7RDo/edit?usp=sharing"",""ปทุมธานี!I238"")"),110)</f>
        <v>110</v>
      </c>
      <c r="CT61" s="152">
        <f ca="1">IFERROR(__xludf.DUMMYFUNCTION("IMPORTRANGE(""https://docs.google.com/spreadsheets/d/1OYoGg4WDg5RIzwGeB10padOxJF9E_Vljuvvct_M7RDo/edit?usp=sharing"",""ปทุมธานี!J238"")"),117)</f>
        <v>117</v>
      </c>
      <c r="CU61" s="216">
        <f t="shared" ca="1" si="148"/>
        <v>106.36363636363636</v>
      </c>
      <c r="CV61" s="152">
        <f ca="1">IFERROR(__xludf.DUMMYFUNCTION("IMPORTRANGE(""https://docs.google.com/spreadsheets/d/1OYoGg4WDg5RIzwGeB10padOxJF9E_Vljuvvct_M7RDo/edit?usp=sharing"",""ปทุมธานี!J240"")"),60)</f>
        <v>60</v>
      </c>
      <c r="CW61" s="152">
        <f ca="1">IFERROR(__xludf.DUMMYFUNCTION("IMPORTRANGE(""https://docs.google.com/spreadsheets/d/1OYoGg4WDg5RIzwGeB10padOxJF9E_Vljuvvct_M7RDo/edit?usp=sharing"",""ปทุมธานี!J241"")"),1)</f>
        <v>1</v>
      </c>
    </row>
    <row r="62" spans="1:101" ht="21" customHeight="1" x14ac:dyDescent="0.3">
      <c r="A62" s="147">
        <v>10</v>
      </c>
      <c r="B62" s="148" t="s">
        <v>90</v>
      </c>
      <c r="C62" s="149">
        <f t="shared" ca="1" si="90"/>
        <v>99200</v>
      </c>
      <c r="D62" s="150">
        <f t="shared" ca="1" si="206"/>
        <v>99200</v>
      </c>
      <c r="E62" s="151">
        <f ca="1">IFERROR(__xludf.DUMMYFUNCTION("IMPORTRANGE(""https://docs.google.com/spreadsheets/d/1-uDff_7J0KD5mKrp0Vvzr7lt3OU09vwQwhkpOPPYv2Y/edit?usp=sharing"",""งบพรบ!CV62"")"),78700)</f>
        <v>78700</v>
      </c>
      <c r="F62" s="151">
        <f ca="1">IFERROR(__xludf.DUMMYFUNCTION("IMPORTRANGE(""https://docs.google.com/spreadsheets/d/1-uDff_7J0KD5mKrp0Vvzr7lt3OU09vwQwhkpOPPYv2Y/edit?usp=sharing"",""งบพรบ!CW62"")"),20500)</f>
        <v>20500</v>
      </c>
      <c r="G62" s="151">
        <f ca="1">IFERROR(__xludf.DUMMYFUNCTION("IMPORTRANGE(""https://docs.google.com/spreadsheets/d/1-uDff_7J0KD5mKrp0Vvzr7lt3OU09vwQwhkpOPPYv2Y/edit?usp=sharing"",""งบพรบ!CX62"")"),0)</f>
        <v>0</v>
      </c>
      <c r="H62" s="151">
        <f ca="1">IFERROR(__xludf.DUMMYFUNCTION("IMPORTRANGE(""https://docs.google.com/spreadsheets/d/1-uDff_7J0KD5mKrp0Vvzr7lt3OU09vwQwhkpOPPYv2Y/edit?usp=sharing"",""งบพรบ!CZ62"")"),101200)</f>
        <v>101200</v>
      </c>
      <c r="I62" s="151">
        <f ca="1">IFERROR(__xludf.DUMMYFUNCTION("IMPORTRANGE(""https://docs.google.com/spreadsheets/d/1-uDff_7J0KD5mKrp0Vvzr7lt3OU09vwQwhkpOPPYv2Y/edit?usp=sharing"",""งบพรบ!DA62"")"),0)</f>
        <v>0</v>
      </c>
      <c r="J62" s="151">
        <f t="shared" ca="1" si="92"/>
        <v>86980</v>
      </c>
      <c r="K62" s="154">
        <f t="shared" ca="1" si="93"/>
        <v>87.681451612903231</v>
      </c>
      <c r="L62" s="151">
        <f ca="1">IFERROR(__xludf.DUMMYFUNCTION("IMPORTRANGE(""https://docs.google.com/spreadsheets/d/1-uDff_7J0KD5mKrp0Vvzr7lt3OU09vwQwhkpOPPYv2Y/edit?usp=sharing"",""งบพรบ!DB62"")"),86980)</f>
        <v>86980</v>
      </c>
      <c r="M62" s="68">
        <f t="shared" ca="1" si="94"/>
        <v>87.681451612903231</v>
      </c>
      <c r="N62" s="68">
        <f t="shared" ca="1" si="95"/>
        <v>85.948616600790515</v>
      </c>
      <c r="O62" s="67">
        <f ca="1">IFERROR(__xludf.DUMMYFUNCTION("IMPORTRANGE(""https://docs.google.com/spreadsheets/d/1-uDff_7J0KD5mKrp0Vvzr7lt3OU09vwQwhkpOPPYv2Y/edit?usp=sharing"",""งบพรบ!DC62"")"),0)</f>
        <v>0</v>
      </c>
      <c r="P62" s="67">
        <f t="shared" ca="1" si="96"/>
        <v>0</v>
      </c>
      <c r="Q62" s="68">
        <f t="shared" ca="1" si="97"/>
        <v>0</v>
      </c>
      <c r="R62" s="67">
        <f ca="1">IFERROR(__xludf.DUMMYFUNCTION("IMPORTRANGE(""https://docs.google.com/spreadsheets/d/1GbCIE4D4wk9FUozzqk7SxfDMxDVBwVmI5zcaVUSzKAc/edit?usp=sharing"",""ประจวบคีรีขันธ์!Q186"")"),28000)</f>
        <v>28000</v>
      </c>
      <c r="S62" s="67">
        <f ca="1">IFERROR(__xludf.DUMMYFUNCTION("IMPORTRANGE(""https://docs.google.com/spreadsheets/d/1GbCIE4D4wk9FUozzqk7SxfDMxDVBwVmI5zcaVUSzKAc/edit?usp=sharing"",""ประจวบคีรีขันธ์!R186"")"),28000)</f>
        <v>28000</v>
      </c>
      <c r="T62" s="67">
        <f ca="1">IFERROR(__xludf.DUMMYFUNCTION("IMPORTRANGE(""https://docs.google.com/spreadsheets/d/1GbCIE4D4wk9FUozzqk7SxfDMxDVBwVmI5zcaVUSzKAc/edit?usp=sharing"",""ประจวบคีรีขันธ์!S186"")"),0)</f>
        <v>0</v>
      </c>
      <c r="U62" s="68">
        <f t="shared" ca="1" si="99"/>
        <v>0</v>
      </c>
      <c r="V62" s="68">
        <f t="shared" ca="1" si="100"/>
        <v>0</v>
      </c>
      <c r="W62" s="152">
        <f ca="1">IFERROR(__xludf.DUMMYFUNCTION("IMPORTRANGE(""https://docs.google.com/spreadsheets/d/1GbCIE4D4wk9FUozzqk7SxfDMxDVBwVmI5zcaVUSzKAc/edit?usp=sharing"",""ประจวบคีรีขันธ์!L196"")"),6000)</f>
        <v>6000</v>
      </c>
      <c r="X62" s="152">
        <f ca="1">IFERROR(__xludf.DUMMYFUNCTION("IMPORTRANGE(""https://docs.google.com/spreadsheets/d/1GbCIE4D4wk9FUozzqk7SxfDMxDVBwVmI5zcaVUSzKAc/edit?usp=sharing"",""ประจวบคีรีขันธ์!N196"")"),0)</f>
        <v>0</v>
      </c>
      <c r="Y62" s="216">
        <f t="shared" ca="1" si="102"/>
        <v>0</v>
      </c>
      <c r="Z62" s="152">
        <f ca="1">IFERROR(__xludf.DUMMYFUNCTION("IMPORTRANGE(""https://docs.google.com/spreadsheets/d/1GbCIE4D4wk9FUozzqk7SxfDMxDVBwVmI5zcaVUSzKAc/edit?usp=sharing"",""ประจวบคีรีขันธ์!I198"")"),4)</f>
        <v>4</v>
      </c>
      <c r="AA62" s="152">
        <f ca="1">IFERROR(__xludf.DUMMYFUNCTION("IMPORTRANGE(""https://docs.google.com/spreadsheets/d/1GbCIE4D4wk9FUozzqk7SxfDMxDVBwVmI5zcaVUSzKAc/edit?usp=sharing"",""ประจวบคีรีขันธ์!J198"")"),4)</f>
        <v>4</v>
      </c>
      <c r="AB62" s="216">
        <f t="shared" ca="1" si="104"/>
        <v>100</v>
      </c>
      <c r="AC62" s="152">
        <f ca="1">IFERROR(__xludf.DUMMYFUNCTION("IMPORTRANGE(""https://docs.google.com/spreadsheets/d/1GbCIE4D4wk9FUozzqk7SxfDMxDVBwVmI5zcaVUSzKAc/edit?usp=sharing"",""ประจวบคีรีขันธ์!J199"")"),139)</f>
        <v>139</v>
      </c>
      <c r="AD62" s="152">
        <f ca="1">IFERROR(__xludf.DUMMYFUNCTION("IMPORTRANGE(""https://docs.google.com/spreadsheets/d/1GbCIE4D4wk9FUozzqk7SxfDMxDVBwVmI5zcaVUSzKAc/edit?usp=sharing"",""ประจวบคีรีขันธ์!J200"")"),139)</f>
        <v>139</v>
      </c>
      <c r="AE62" s="152">
        <f ca="1">IFERROR(__xludf.DUMMYFUNCTION("IMPORTRANGE(""https://docs.google.com/spreadsheets/d/1GbCIE4D4wk9FUozzqk7SxfDMxDVBwVmI5zcaVUSzKAc/edit?usp=sharing"",""ประจวบคีรีขันธ์!J201"")"),0)</f>
        <v>0</v>
      </c>
      <c r="AF62" s="152">
        <f ca="1">IFERROR(__xludf.DUMMYFUNCTION("IMPORTRANGE(""https://docs.google.com/spreadsheets/d/1GbCIE4D4wk9FUozzqk7SxfDMxDVBwVmI5zcaVUSzKAc/edit?usp=sharing"",""ประจวบคีรีขันธ์!L204"")"),2000)</f>
        <v>2000</v>
      </c>
      <c r="AG62" s="152">
        <f ca="1">IFERROR(__xludf.DUMMYFUNCTION("IMPORTRANGE(""https://docs.google.com/spreadsheets/d/1GbCIE4D4wk9FUozzqk7SxfDMxDVBwVmI5zcaVUSzKAc/edit?usp=sharing"",""ประจวบคีรีขันธ์!N204"")"),0)</f>
        <v>0</v>
      </c>
      <c r="AH62" s="216">
        <f t="shared" ca="1" si="106"/>
        <v>0</v>
      </c>
      <c r="AI62" s="152">
        <f ca="1">IFERROR(__xludf.DUMMYFUNCTION("IMPORTRANGE(""https://docs.google.com/spreadsheets/d/1GbCIE4D4wk9FUozzqk7SxfDMxDVBwVmI5zcaVUSzKAc/edit?usp=sharing"",""ประจวบคีรีขันธ์!L206"")"),0)</f>
        <v>0</v>
      </c>
      <c r="AJ62" s="152">
        <f ca="1">IFERROR(__xludf.DUMMYFUNCTION("IMPORTRANGE(""https://docs.google.com/spreadsheets/d/1GbCIE4D4wk9FUozzqk7SxfDMxDVBwVmI5zcaVUSzKAc/edit?usp=sharing"",""ประจวบคีรีขันธ์!N206"")"),0)</f>
        <v>0</v>
      </c>
      <c r="AK62" s="216">
        <f t="shared" ca="1" si="108"/>
        <v>0</v>
      </c>
      <c r="AL62" s="152">
        <f ca="1">IFERROR(__xludf.DUMMYFUNCTION("IMPORTRANGE(""https://docs.google.com/spreadsheets/d/1GbCIE4D4wk9FUozzqk7SxfDMxDVBwVmI5zcaVUSzKAc/edit?usp=sharing"",""ประจวบคีรีขันธ์!Q206"")"),28000)</f>
        <v>28000</v>
      </c>
      <c r="AM62" s="152">
        <f ca="1">IFERROR(__xludf.DUMMYFUNCTION("IMPORTRANGE(""https://docs.google.com/spreadsheets/d/1GbCIE4D4wk9FUozzqk7SxfDMxDVBwVmI5zcaVUSzKAc/edit?usp=sharing"",""ประจวบคีรีขันธ์!S206"")"),0)</f>
        <v>0</v>
      </c>
      <c r="AN62" s="216">
        <f t="shared" ca="1" si="110"/>
        <v>0</v>
      </c>
      <c r="AO62" s="152">
        <f ca="1">IFERROR(__xludf.DUMMYFUNCTION("IMPORTRANGE(""https://docs.google.com/spreadsheets/d/1GbCIE4D4wk9FUozzqk7SxfDMxDVBwVmI5zcaVUSzKAc/edit?usp=sharing"",""ประจวบคีรีขันธ์!L207"")"),8000)</f>
        <v>8000</v>
      </c>
      <c r="AP62" s="152">
        <f ca="1">IFERROR(__xludf.DUMMYFUNCTION("IMPORTRANGE(""https://docs.google.com/spreadsheets/d/1GbCIE4D4wk9FUozzqk7SxfDMxDVBwVmI5zcaVUSzKAc/edit?usp=sharing"",""ประจวบคีรีขันธ์!N207"")"),0)</f>
        <v>0</v>
      </c>
      <c r="AQ62" s="216">
        <f t="shared" ca="1" si="112"/>
        <v>0</v>
      </c>
      <c r="AR62" s="152">
        <f ca="1">IFERROR(__xludf.DUMMYFUNCTION("IMPORTRANGE(""https://docs.google.com/spreadsheets/d/1GbCIE4D4wk9FUozzqk7SxfDMxDVBwVmI5zcaVUSzKAc/edit?usp=sharing"",""ประจวบคีรีขันธ์!I209"")"),2)</f>
        <v>2</v>
      </c>
      <c r="AS62" s="152">
        <f ca="1">IFERROR(__xludf.DUMMYFUNCTION("IMPORTRANGE(""https://docs.google.com/spreadsheets/d/1GbCIE4D4wk9FUozzqk7SxfDMxDVBwVmI5zcaVUSzKAc/edit?usp=sharing"",""ประจวบคีรีขันธ์!J209"")"),0)</f>
        <v>0</v>
      </c>
      <c r="AT62" s="216">
        <f t="shared" ca="1" si="114"/>
        <v>0</v>
      </c>
      <c r="AU62" s="152">
        <f ca="1">IFERROR(__xludf.DUMMYFUNCTION("IMPORTRANGE(""https://docs.google.com/spreadsheets/d/1GbCIE4D4wk9FUozzqk7SxfDMxDVBwVmI5zcaVUSzKAc/edit?usp=sharing"",""ประจวบคีรีขันธ์!J211"")"),0)</f>
        <v>0</v>
      </c>
      <c r="AV62" s="152">
        <f ca="1">IFERROR(__xludf.DUMMYFUNCTION("IMPORTRANGE(""https://docs.google.com/spreadsheets/d/1GbCIE4D4wk9FUozzqk7SxfDMxDVBwVmI5zcaVUSzKAc/edit?usp=sharing"",""ประจวบคีรีขันธ์!J212"")"),0)</f>
        <v>0</v>
      </c>
      <c r="AW62" s="152">
        <f ca="1">IFERROR(__xludf.DUMMYFUNCTION("IMPORTRANGE(""https://docs.google.com/spreadsheets/d/1GbCIE4D4wk9FUozzqk7SxfDMxDVBwVmI5zcaVUSzKAc/edit?usp=sharing"",""ประจวบคีรีขันธ์!L215"")"),0)</f>
        <v>0</v>
      </c>
      <c r="AX62" s="152">
        <f ca="1">IFERROR(__xludf.DUMMYFUNCTION("IMPORTRANGE(""https://docs.google.com/spreadsheets/d/1GbCIE4D4wk9FUozzqk7SxfDMxDVBwVmI5zcaVUSzKAc/edit?usp=sharing"",""ประจวบคีรีขันธ์!N215"")"),0)</f>
        <v>0</v>
      </c>
      <c r="AY62" s="216">
        <f t="shared" ca="1" si="116"/>
        <v>0</v>
      </c>
      <c r="AZ62" s="152">
        <f ca="1">IFERROR(__xludf.DUMMYFUNCTION("IMPORTRANGE(""https://docs.google.com/spreadsheets/d/1GbCIE4D4wk9FUozzqk7SxfDMxDVBwVmI5zcaVUSzKAc/edit?usp=sharing"",""ประจวบคีรีขันธ์!L216"")"),0)</f>
        <v>0</v>
      </c>
      <c r="BA62" s="152">
        <f ca="1">IFERROR(__xludf.DUMMYFUNCTION("IMPORTRANGE(""https://docs.google.com/spreadsheets/d/1GbCIE4D4wk9FUozzqk7SxfDMxDVBwVmI5zcaVUSzKAc/edit?usp=sharing"",""ประจวบคีรีขันธ์!N216"")"),0)</f>
        <v>0</v>
      </c>
      <c r="BB62" s="216">
        <f t="shared" ca="1" si="118"/>
        <v>0</v>
      </c>
      <c r="BC62" s="152">
        <f ca="1">IFERROR(__xludf.DUMMYFUNCTION("IMPORTRANGE(""https://docs.google.com/spreadsheets/d/1GbCIE4D4wk9FUozzqk7SxfDMxDVBwVmI5zcaVUSzKAc/edit?usp=sharing"",""ประจวบคีรีขันธ์!L217"")"),0)</f>
        <v>0</v>
      </c>
      <c r="BD62" s="152">
        <f ca="1">IFERROR(__xludf.DUMMYFUNCTION("IMPORTRANGE(""https://docs.google.com/spreadsheets/d/1GbCIE4D4wk9FUozzqk7SxfDMxDVBwVmI5zcaVUSzKAc/edit?usp=sharing"",""ประจวบคีรีขันธ์!N217"")"),0)</f>
        <v>0</v>
      </c>
      <c r="BE62" s="216">
        <f t="shared" ca="1" si="120"/>
        <v>0</v>
      </c>
      <c r="BF62" s="152">
        <f ca="1">IFERROR(__xludf.DUMMYFUNCTION("IMPORTRANGE(""https://docs.google.com/spreadsheets/d/1GbCIE4D4wk9FUozzqk7SxfDMxDVBwVmI5zcaVUSzKAc/edit?usp=sharing"",""ประจวบคีรีขันธ์!Q217"")"),0)</f>
        <v>0</v>
      </c>
      <c r="BG62" s="152">
        <f ca="1">IFERROR(__xludf.DUMMYFUNCTION("IMPORTRANGE(""https://docs.google.com/spreadsheets/d/1GbCIE4D4wk9FUozzqk7SxfDMxDVBwVmI5zcaVUSzKAc/edit?usp=sharing"",""ประจวบคีรีขันธ์!S217"")"),0)</f>
        <v>0</v>
      </c>
      <c r="BH62" s="216">
        <f t="shared" ca="1" si="122"/>
        <v>0</v>
      </c>
      <c r="BI62" s="152">
        <f ca="1">IFERROR(__xludf.DUMMYFUNCTION("IMPORTRANGE(""https://docs.google.com/spreadsheets/d/1GbCIE4D4wk9FUozzqk7SxfDMxDVBwVmI5zcaVUSzKAc/edit?usp=sharing"",""ประจวบคีรีขันธ์!I219"")"),0)</f>
        <v>0</v>
      </c>
      <c r="BJ62" s="152">
        <f ca="1">IFERROR(__xludf.DUMMYFUNCTION("IMPORTRANGE(""https://docs.google.com/spreadsheets/d/1GbCIE4D4wk9FUozzqk7SxfDMxDVBwVmI5zcaVUSzKAc/edit?usp=sharing"",""ประจวบคีรีขันธ์!J219"")"),0)</f>
        <v>0</v>
      </c>
      <c r="BK62" s="216">
        <f t="shared" ca="1" si="124"/>
        <v>0</v>
      </c>
      <c r="BL62" s="152">
        <f ca="1">IFERROR(__xludf.DUMMYFUNCTION("IMPORTRANGE(""https://docs.google.com/spreadsheets/d/1GbCIE4D4wk9FUozzqk7SxfDMxDVBwVmI5zcaVUSzKAc/edit?usp=sharing"",""ประจวบคีรีขันธ์!I220"")"),0)</f>
        <v>0</v>
      </c>
      <c r="BM62" s="152">
        <f ca="1">IFERROR(__xludf.DUMMYFUNCTION("IMPORTRANGE(""https://docs.google.com/spreadsheets/d/1GbCIE4D4wk9FUozzqk7SxfDMxDVBwVmI5zcaVUSzKAc/edit?usp=sharing"",""ประจวบคีรีขันธ์!J220"")"),0)</f>
        <v>0</v>
      </c>
      <c r="BN62" s="216">
        <f t="shared" ca="1" si="126"/>
        <v>0</v>
      </c>
      <c r="BO62" s="152">
        <f ca="1">IFERROR(__xludf.DUMMYFUNCTION("IMPORTRANGE(""https://docs.google.com/spreadsheets/d/1GbCIE4D4wk9FUozzqk7SxfDMxDVBwVmI5zcaVUSzKAc/edit?usp=sharing"",""ประจวบคีรีขันธ์!L223"")"),2500)</f>
        <v>2500</v>
      </c>
      <c r="BP62" s="152">
        <f ca="1">IFERROR(__xludf.DUMMYFUNCTION("IMPORTRANGE(""https://docs.google.com/spreadsheets/d/1GbCIE4D4wk9FUozzqk7SxfDMxDVBwVmI5zcaVUSzKAc/edit?usp=sharing"",""ประจวบคีรีขันธ์!N223"")"),0)</f>
        <v>0</v>
      </c>
      <c r="BQ62" s="216">
        <f t="shared" ca="1" si="128"/>
        <v>0</v>
      </c>
      <c r="BR62" s="152">
        <f ca="1">IFERROR(__xludf.DUMMYFUNCTION("IMPORTRANGE(""https://docs.google.com/spreadsheets/d/1GbCIE4D4wk9FUozzqk7SxfDMxDVBwVmI5zcaVUSzKAc/edit?usp=sharing"",""ประจวบคีรีขันธ์!L224"")"),2000)</f>
        <v>2000</v>
      </c>
      <c r="BS62" s="152">
        <f ca="1">IFERROR(__xludf.DUMMYFUNCTION("IMPORTRANGE(""https://docs.google.com/spreadsheets/d/1GbCIE4D4wk9FUozzqk7SxfDMxDVBwVmI5zcaVUSzKAc/edit?usp=sharing"",""ประจวบคีรีขันธ์!N224"")"),0)</f>
        <v>0</v>
      </c>
      <c r="BT62" s="216">
        <f t="shared" ca="1" si="130"/>
        <v>0</v>
      </c>
      <c r="BU62" s="152">
        <f ca="1">IFERROR(__xludf.DUMMYFUNCTION("IMPORTRANGE(""https://docs.google.com/spreadsheets/d/1GbCIE4D4wk9FUozzqk7SxfDMxDVBwVmI5zcaVUSzKAc/edit?usp=sharing"",""ประจวบคีรีขันธ์!I228"")"),20000)</f>
        <v>20000</v>
      </c>
      <c r="BV62" s="152">
        <f ca="1">IFERROR(__xludf.DUMMYFUNCTION("IMPORTRANGE(""https://docs.google.com/spreadsheets/d/1GbCIE4D4wk9FUozzqk7SxfDMxDVBwVmI5zcaVUSzKAc/edit?usp=sharing"",""ประจวบคีรีขันธ์!J228"")"),20000)</f>
        <v>20000</v>
      </c>
      <c r="BW62" s="216">
        <f t="shared" ca="1" si="132"/>
        <v>100</v>
      </c>
      <c r="BX62" s="152">
        <f ca="1">IFERROR(__xludf.DUMMYFUNCTION("IMPORTRANGE(""https://docs.google.com/spreadsheets/d/1GbCIE4D4wk9FUozzqk7SxfDMxDVBwVmI5zcaVUSzKAc/edit?usp=sharing"",""ประจวบคีรีขันธ์!I229"")"),20000)</f>
        <v>20000</v>
      </c>
      <c r="BY62" s="152">
        <f ca="1">IFERROR(__xludf.DUMMYFUNCTION("IMPORTRANGE(""https://docs.google.com/spreadsheets/d/1GbCIE4D4wk9FUozzqk7SxfDMxDVBwVmI5zcaVUSzKAc/edit?usp=sharing"",""ประจวบคีรีขันธ์!J229"")"),20000)</f>
        <v>20000</v>
      </c>
      <c r="BZ62" s="216">
        <f t="shared" ca="1" si="134"/>
        <v>100</v>
      </c>
      <c r="CA62" s="152">
        <f ca="1">IFERROR(__xludf.DUMMYFUNCTION("IMPORTRANGE(""https://docs.google.com/spreadsheets/d/1GbCIE4D4wk9FUozzqk7SxfDMxDVBwVmI5zcaVUSzKAc/edit?usp=sharing"",""ประจวบคีรีขันธ์!I230"")"),0)</f>
        <v>0</v>
      </c>
      <c r="CB62" s="152">
        <f ca="1">IFERROR(__xludf.DUMMYFUNCTION("IMPORTRANGE(""https://docs.google.com/spreadsheets/d/1GbCIE4D4wk9FUozzqk7SxfDMxDVBwVmI5zcaVUSzKAc/edit?usp=sharing"",""ประจวบคีรีขันธ์!J230"")"),0)</f>
        <v>0</v>
      </c>
      <c r="CC62" s="216">
        <f t="shared" ca="1" si="136"/>
        <v>0</v>
      </c>
      <c r="CD62" s="152">
        <f ca="1">IFERROR(__xludf.DUMMYFUNCTION("IMPORTRANGE(""https://docs.google.com/spreadsheets/d/1GbCIE4D4wk9FUozzqk7SxfDMxDVBwVmI5zcaVUSzKAc/edit?usp=sharing"",""ประจวบคีรีขันธ์!L233"")"),0)</f>
        <v>0</v>
      </c>
      <c r="CE62" s="152">
        <f ca="1">IFERROR(__xludf.DUMMYFUNCTION("IMPORTRANGE(""https://docs.google.com/spreadsheets/d/1GbCIE4D4wk9FUozzqk7SxfDMxDVBwVmI5zcaVUSzKAc/edit?usp=sharing"",""ประจวบคีรีขันธ์!N233"")"),0)</f>
        <v>0</v>
      </c>
      <c r="CF62" s="216">
        <f t="shared" ca="1" si="138"/>
        <v>0</v>
      </c>
      <c r="CG62" s="152">
        <f ca="1">IFERROR(__xludf.DUMMYFUNCTION("IMPORTRANGE(""https://docs.google.com/spreadsheets/d/1GbCIE4D4wk9FUozzqk7SxfDMxDVBwVmI5zcaVUSzKAc/edit?usp=sharing"",""ประจวบคีรีขันธ์!L234"")"),0)</f>
        <v>0</v>
      </c>
      <c r="CH62" s="152">
        <f ca="1">IFERROR(__xludf.DUMMYFUNCTION("IMPORTRANGE(""https://docs.google.com/spreadsheets/d/1GbCIE4D4wk9FUozzqk7SxfDMxDVBwVmI5zcaVUSzKAc/edit?usp=sharing"",""ประจวบคีรีขันธ์!N234"")"),0)</f>
        <v>0</v>
      </c>
      <c r="CI62" s="216">
        <f t="shared" ca="1" si="140"/>
        <v>0</v>
      </c>
      <c r="CJ62" s="152">
        <f ca="1">IFERROR(__xludf.DUMMYFUNCTION("IMPORTRANGE(""https://docs.google.com/spreadsheets/d/1GbCIE4D4wk9FUozzqk7SxfDMxDVBwVmI5zcaVUSzKAc/edit?usp=sharing"",""ประจวบคีรีขันธ์!L235"")"),0)</f>
        <v>0</v>
      </c>
      <c r="CK62" s="152">
        <f ca="1">IFERROR(__xludf.DUMMYFUNCTION("IMPORTRANGE(""https://docs.google.com/spreadsheets/d/1GbCIE4D4wk9FUozzqk7SxfDMxDVBwVmI5zcaVUSzKAc/edit?usp=sharing"",""ประจวบคีรีขันธ์!N235"")"),0)</f>
        <v>0</v>
      </c>
      <c r="CL62" s="216">
        <f t="shared" ca="1" si="142"/>
        <v>0</v>
      </c>
      <c r="CM62" s="251">
        <f ca="1">IFERROR(__xludf.DUMMYFUNCTION("IMPORTRANGE(""https://docs.google.com/spreadsheets/d/1GbCIE4D4wk9FUozzqk7SxfDMxDVBwVmI5zcaVUSzKAc/edit?usp=sharing"",""ประจวบคีรีขันธ์!Q235"")"),0)</f>
        <v>0</v>
      </c>
      <c r="CN62" s="251">
        <f ca="1">IFERROR(__xludf.DUMMYFUNCTION("IMPORTRANGE(""https://docs.google.com/spreadsheets/d/1GbCIE4D4wk9FUozzqk7SxfDMxDVBwVmI5zcaVUSzKAc/edit?usp=sharing"",""ประจวบคีรีขันธ์!S235"")"),0)</f>
        <v>0</v>
      </c>
      <c r="CO62" s="216">
        <f t="shared" ca="1" si="144"/>
        <v>0</v>
      </c>
      <c r="CP62" s="152">
        <f ca="1">IFERROR(__xludf.DUMMYFUNCTION("IMPORTRANGE(""https://docs.google.com/spreadsheets/d/1GbCIE4D4wk9FUozzqk7SxfDMxDVBwVmI5zcaVUSzKAc/edit?usp=sharing"",""ประจวบคีรีขันธ์!L236"")"),0)</f>
        <v>0</v>
      </c>
      <c r="CQ62" s="152">
        <f ca="1">IFERROR(__xludf.DUMMYFUNCTION("IMPORTRANGE(""https://docs.google.com/spreadsheets/d/1GbCIE4D4wk9FUozzqk7SxfDMxDVBwVmI5zcaVUSzKAc/edit?usp=sharing"",""ประจวบคีรีขันธ์!N236"")"),0)</f>
        <v>0</v>
      </c>
      <c r="CR62" s="216">
        <f t="shared" ca="1" si="146"/>
        <v>0</v>
      </c>
      <c r="CS62" s="152">
        <f ca="1">IFERROR(__xludf.DUMMYFUNCTION("IMPORTRANGE(""https://docs.google.com/spreadsheets/d/1GbCIE4D4wk9FUozzqk7SxfDMxDVBwVmI5zcaVUSzKAc/edit?usp=sharing"",""ประจวบคีรีขันธ์!I238"")"),0)</f>
        <v>0</v>
      </c>
      <c r="CT62" s="152">
        <f ca="1">IFERROR(__xludf.DUMMYFUNCTION("IMPORTRANGE(""https://docs.google.com/spreadsheets/d/1GbCIE4D4wk9FUozzqk7SxfDMxDVBwVmI5zcaVUSzKAc/edit?usp=sharing"",""ประจวบคีรีขันธ์!J238"")"),0)</f>
        <v>0</v>
      </c>
      <c r="CU62" s="216">
        <f t="shared" ca="1" si="148"/>
        <v>0</v>
      </c>
      <c r="CV62" s="152">
        <f ca="1">IFERROR(__xludf.DUMMYFUNCTION("IMPORTRANGE(""https://docs.google.com/spreadsheets/d/1GbCIE4D4wk9FUozzqk7SxfDMxDVBwVmI5zcaVUSzKAc/edit?usp=sharing"",""ประจวบคีรีขันธ์!J240"")"),0)</f>
        <v>0</v>
      </c>
      <c r="CW62" s="152">
        <f ca="1">IFERROR(__xludf.DUMMYFUNCTION("IMPORTRANGE(""https://docs.google.com/spreadsheets/d/1GbCIE4D4wk9FUozzqk7SxfDMxDVBwVmI5zcaVUSzKAc/edit?usp=sharing"",""ประจวบคีรีขันธ์!J241"")"),0)</f>
        <v>0</v>
      </c>
    </row>
    <row r="63" spans="1:101" ht="21" customHeight="1" x14ac:dyDescent="0.3">
      <c r="A63" s="147">
        <v>11</v>
      </c>
      <c r="B63" s="148" t="s">
        <v>91</v>
      </c>
      <c r="C63" s="149">
        <f t="shared" ca="1" si="90"/>
        <v>68100</v>
      </c>
      <c r="D63" s="150">
        <f t="shared" ca="1" si="206"/>
        <v>68100</v>
      </c>
      <c r="E63" s="151">
        <f ca="1">IFERROR(__xludf.DUMMYFUNCTION("IMPORTRANGE(""https://docs.google.com/spreadsheets/d/1-uDff_7J0KD5mKrp0Vvzr7lt3OU09vwQwhkpOPPYv2Y/edit?usp=sharing"",""งบพรบ!CV63"")"),0)</f>
        <v>0</v>
      </c>
      <c r="F63" s="151">
        <f ca="1">IFERROR(__xludf.DUMMYFUNCTION("IMPORTRANGE(""https://docs.google.com/spreadsheets/d/1-uDff_7J0KD5mKrp0Vvzr7lt3OU09vwQwhkpOPPYv2Y/edit?usp=sharing"",""งบพรบ!CW63"")"),68100)</f>
        <v>68100</v>
      </c>
      <c r="G63" s="151">
        <f ca="1">IFERROR(__xludf.DUMMYFUNCTION("IMPORTRANGE(""https://docs.google.com/spreadsheets/d/1-uDff_7J0KD5mKrp0Vvzr7lt3OU09vwQwhkpOPPYv2Y/edit?usp=sharing"",""งบพรบ!CX63"")"),0)</f>
        <v>0</v>
      </c>
      <c r="H63" s="151">
        <f ca="1">IFERROR(__xludf.DUMMYFUNCTION("IMPORTRANGE(""https://docs.google.com/spreadsheets/d/1-uDff_7J0KD5mKrp0Vvzr7lt3OU09vwQwhkpOPPYv2Y/edit?usp=sharing"",""งบพรบ!CZ63"")"),73260)</f>
        <v>73260</v>
      </c>
      <c r="I63" s="151">
        <f ca="1">IFERROR(__xludf.DUMMYFUNCTION("IMPORTRANGE(""https://docs.google.com/spreadsheets/d/1-uDff_7J0KD5mKrp0Vvzr7lt3OU09vwQwhkpOPPYv2Y/edit?usp=sharing"",""งบพรบ!DA63"")"),0)</f>
        <v>0</v>
      </c>
      <c r="J63" s="151">
        <f t="shared" ca="1" si="92"/>
        <v>48784</v>
      </c>
      <c r="K63" s="154">
        <f t="shared" ca="1" si="93"/>
        <v>71.635829662261386</v>
      </c>
      <c r="L63" s="151">
        <f ca="1">IFERROR(__xludf.DUMMYFUNCTION("IMPORTRANGE(""https://docs.google.com/spreadsheets/d/1-uDff_7J0KD5mKrp0Vvzr7lt3OU09vwQwhkpOPPYv2Y/edit?usp=sharing"",""งบพรบ!DB63"")"),48784)</f>
        <v>48784</v>
      </c>
      <c r="M63" s="68">
        <f t="shared" ca="1" si="94"/>
        <v>71.635829662261386</v>
      </c>
      <c r="N63" s="68">
        <f t="shared" ca="1" si="95"/>
        <v>66.590226590226592</v>
      </c>
      <c r="O63" s="67">
        <f ca="1">IFERROR(__xludf.DUMMYFUNCTION("IMPORTRANGE(""https://docs.google.com/spreadsheets/d/1-uDff_7J0KD5mKrp0Vvzr7lt3OU09vwQwhkpOPPYv2Y/edit?usp=sharing"",""งบพรบ!DC63"")"),0)</f>
        <v>0</v>
      </c>
      <c r="P63" s="67">
        <f t="shared" ca="1" si="96"/>
        <v>0</v>
      </c>
      <c r="Q63" s="68">
        <f t="shared" ca="1" si="97"/>
        <v>0</v>
      </c>
      <c r="R63" s="67">
        <f ca="1">IFERROR(__xludf.DUMMYFUNCTION("IMPORTRANGE(""https://docs.google.com/spreadsheets/d/1vVf6wykvW_lAyu7Yo9L4hUTqHqIeP_qcVuxCtosJEbg/edit?usp=sharing"",""ปราจีนบุรี!Q186"")"),28000)</f>
        <v>28000</v>
      </c>
      <c r="S63" s="67">
        <f ca="1">IFERROR(__xludf.DUMMYFUNCTION("IMPORTRANGE(""https://docs.google.com/spreadsheets/d/1vVf6wykvW_lAyu7Yo9L4hUTqHqIeP_qcVuxCtosJEbg/edit?usp=sharing"",""ปราจีนบุรี!R186"")"),28000)</f>
        <v>28000</v>
      </c>
      <c r="T63" s="67">
        <f ca="1">IFERROR(__xludf.DUMMYFUNCTION("IMPORTRANGE(""https://docs.google.com/spreadsheets/d/1vVf6wykvW_lAyu7Yo9L4hUTqHqIeP_qcVuxCtosJEbg/edit?usp=sharing"",""ปราจีนบุรี!S186"")"),28000)</f>
        <v>28000</v>
      </c>
      <c r="U63" s="68">
        <f t="shared" ca="1" si="99"/>
        <v>100</v>
      </c>
      <c r="V63" s="68">
        <f t="shared" ca="1" si="100"/>
        <v>100</v>
      </c>
      <c r="W63" s="152">
        <f ca="1">IFERROR(__xludf.DUMMYFUNCTION("IMPORTRANGE(""https://docs.google.com/spreadsheets/d/1vVf6wykvW_lAyu7Yo9L4hUTqHqIeP_qcVuxCtosJEbg/edit?usp=sharing"",""ปราจีนบุรี!L196"")"),6000)</f>
        <v>6000</v>
      </c>
      <c r="X63" s="152">
        <f ca="1">IFERROR(__xludf.DUMMYFUNCTION("IMPORTRANGE(""https://docs.google.com/spreadsheets/d/1vVf6wykvW_lAyu7Yo9L4hUTqHqIeP_qcVuxCtosJEbg/edit?usp=sharing"",""ปราจีนบุรี!N196"")"),1000)</f>
        <v>1000</v>
      </c>
      <c r="Y63" s="216">
        <f t="shared" ca="1" si="102"/>
        <v>16.666666666666668</v>
      </c>
      <c r="Z63" s="152">
        <f ca="1">IFERROR(__xludf.DUMMYFUNCTION("IMPORTRANGE(""https://docs.google.com/spreadsheets/d/1vVf6wykvW_lAyu7Yo9L4hUTqHqIeP_qcVuxCtosJEbg/edit?usp=sharing"",""ปราจีนบุรี!I198"")"),4)</f>
        <v>4</v>
      </c>
      <c r="AA63" s="152">
        <f ca="1">IFERROR(__xludf.DUMMYFUNCTION("IMPORTRANGE(""https://docs.google.com/spreadsheets/d/1vVf6wykvW_lAyu7Yo9L4hUTqHqIeP_qcVuxCtosJEbg/edit?usp=sharing"",""ปราจีนบุรี!J198"")"),3)</f>
        <v>3</v>
      </c>
      <c r="AB63" s="216">
        <f t="shared" ca="1" si="104"/>
        <v>75</v>
      </c>
      <c r="AC63" s="152">
        <f ca="1">IFERROR(__xludf.DUMMYFUNCTION("IMPORTRANGE(""https://docs.google.com/spreadsheets/d/1vVf6wykvW_lAyu7Yo9L4hUTqHqIeP_qcVuxCtosJEbg/edit?usp=sharing"",""ปราจีนบุรี!J199"")"),0)</f>
        <v>0</v>
      </c>
      <c r="AD63" s="152">
        <f ca="1">IFERROR(__xludf.DUMMYFUNCTION("IMPORTRANGE(""https://docs.google.com/spreadsheets/d/1vVf6wykvW_lAyu7Yo9L4hUTqHqIeP_qcVuxCtosJEbg/edit?usp=sharing"",""ปราจีนบุรี!J200"")"),0)</f>
        <v>0</v>
      </c>
      <c r="AE63" s="152">
        <f ca="1">IFERROR(__xludf.DUMMYFUNCTION("IMPORTRANGE(""https://docs.google.com/spreadsheets/d/1vVf6wykvW_lAyu7Yo9L4hUTqHqIeP_qcVuxCtosJEbg/edit?usp=sharing"",""ปราจีนบุรี!J201"")"),0)</f>
        <v>0</v>
      </c>
      <c r="AF63" s="152">
        <f ca="1">IFERROR(__xludf.DUMMYFUNCTION("IMPORTRANGE(""https://docs.google.com/spreadsheets/d/1vVf6wykvW_lAyu7Yo9L4hUTqHqIeP_qcVuxCtosJEbg/edit?usp=sharing"",""ปราจีนบุรี!L204"")"),2000)</f>
        <v>2000</v>
      </c>
      <c r="AG63" s="152">
        <f ca="1">IFERROR(__xludf.DUMMYFUNCTION("IMPORTRANGE(""https://docs.google.com/spreadsheets/d/1vVf6wykvW_lAyu7Yo9L4hUTqHqIeP_qcVuxCtosJEbg/edit?usp=sharing"",""ปราจีนบุรี!N204"")"),1804)</f>
        <v>1804</v>
      </c>
      <c r="AH63" s="216">
        <f t="shared" ca="1" si="106"/>
        <v>90.2</v>
      </c>
      <c r="AI63" s="152">
        <f ca="1">IFERROR(__xludf.DUMMYFUNCTION("IMPORTRANGE(""https://docs.google.com/spreadsheets/d/1vVf6wykvW_lAyu7Yo9L4hUTqHqIeP_qcVuxCtosJEbg/edit?usp=sharing"",""ปราจีนบุรี!L206"")"),0)</f>
        <v>0</v>
      </c>
      <c r="AJ63" s="152">
        <f ca="1">IFERROR(__xludf.DUMMYFUNCTION("IMPORTRANGE(""https://docs.google.com/spreadsheets/d/1vVf6wykvW_lAyu7Yo9L4hUTqHqIeP_qcVuxCtosJEbg/edit?usp=sharing"",""ปราจีนบุรี!N206"")"),0)</f>
        <v>0</v>
      </c>
      <c r="AK63" s="216">
        <f t="shared" ca="1" si="108"/>
        <v>0</v>
      </c>
      <c r="AL63" s="152">
        <f ca="1">IFERROR(__xludf.DUMMYFUNCTION("IMPORTRANGE(""https://docs.google.com/spreadsheets/d/1vVf6wykvW_lAyu7Yo9L4hUTqHqIeP_qcVuxCtosJEbg/edit?usp=sharing"",""ปราจีนบุรี!Q206"")"),28000)</f>
        <v>28000</v>
      </c>
      <c r="AM63" s="152">
        <f ca="1">IFERROR(__xludf.DUMMYFUNCTION("IMPORTRANGE(""https://docs.google.com/spreadsheets/d/1vVf6wykvW_lAyu7Yo9L4hUTqHqIeP_qcVuxCtosJEbg/edit?usp=sharing"",""ปราจีนบุรี!S206"")"),28000)</f>
        <v>28000</v>
      </c>
      <c r="AN63" s="216">
        <f t="shared" ca="1" si="110"/>
        <v>100</v>
      </c>
      <c r="AO63" s="152">
        <f ca="1">IFERROR(__xludf.DUMMYFUNCTION("IMPORTRANGE(""https://docs.google.com/spreadsheets/d/1vVf6wykvW_lAyu7Yo9L4hUTqHqIeP_qcVuxCtosJEbg/edit?usp=sharing"",""ปราจีนบุรี!L207"")"),8000)</f>
        <v>8000</v>
      </c>
      <c r="AP63" s="152">
        <f ca="1">IFERROR(__xludf.DUMMYFUNCTION("IMPORTRANGE(""https://docs.google.com/spreadsheets/d/1vVf6wykvW_lAyu7Yo9L4hUTqHqIeP_qcVuxCtosJEbg/edit?usp=sharing"",""ปราจีนบุรี!N207"")"),8000)</f>
        <v>8000</v>
      </c>
      <c r="AQ63" s="216">
        <f t="shared" ca="1" si="112"/>
        <v>100</v>
      </c>
      <c r="AR63" s="152">
        <f ca="1">IFERROR(__xludf.DUMMYFUNCTION("IMPORTRANGE(""https://docs.google.com/spreadsheets/d/1vVf6wykvW_lAyu7Yo9L4hUTqHqIeP_qcVuxCtosJEbg/edit?usp=sharing"",""ปราจีนบุรี!I209"")"),2)</f>
        <v>2</v>
      </c>
      <c r="AS63" s="152">
        <f ca="1">IFERROR(__xludf.DUMMYFUNCTION("IMPORTRANGE(""https://docs.google.com/spreadsheets/d/1vVf6wykvW_lAyu7Yo9L4hUTqHqIeP_qcVuxCtosJEbg/edit?usp=sharing"",""ปราจีนบุรี!J209"")"),2)</f>
        <v>2</v>
      </c>
      <c r="AT63" s="216">
        <f t="shared" ca="1" si="114"/>
        <v>100</v>
      </c>
      <c r="AU63" s="152">
        <f ca="1">IFERROR(__xludf.DUMMYFUNCTION("IMPORTRANGE(""https://docs.google.com/spreadsheets/d/1vVf6wykvW_lAyu7Yo9L4hUTqHqIeP_qcVuxCtosJEbg/edit?usp=sharing"",""ปราจีนบุรี!J211"")"),2)</f>
        <v>2</v>
      </c>
      <c r="AV63" s="152">
        <f ca="1">IFERROR(__xludf.DUMMYFUNCTION("IMPORTRANGE(""https://docs.google.com/spreadsheets/d/1vVf6wykvW_lAyu7Yo9L4hUTqHqIeP_qcVuxCtosJEbg/edit?usp=sharing"",""ปราจีนบุรี!J212"")"),0)</f>
        <v>0</v>
      </c>
      <c r="AW63" s="152">
        <f ca="1">IFERROR(__xludf.DUMMYFUNCTION("IMPORTRANGE(""https://docs.google.com/spreadsheets/d/1vVf6wykvW_lAyu7Yo9L4hUTqHqIeP_qcVuxCtosJEbg/edit?usp=sharing"",""ปราจีนบุรี!L215"")"),0)</f>
        <v>0</v>
      </c>
      <c r="AX63" s="152">
        <f ca="1">IFERROR(__xludf.DUMMYFUNCTION("IMPORTRANGE(""https://docs.google.com/spreadsheets/d/1vVf6wykvW_lAyu7Yo9L4hUTqHqIeP_qcVuxCtosJEbg/edit?usp=sharing"",""ปราจีนบุรี!N215"")"),0)</f>
        <v>0</v>
      </c>
      <c r="AY63" s="216">
        <f t="shared" ca="1" si="116"/>
        <v>0</v>
      </c>
      <c r="AZ63" s="152">
        <f ca="1">IFERROR(__xludf.DUMMYFUNCTION("IMPORTRANGE(""https://docs.google.com/spreadsheets/d/1vVf6wykvW_lAyu7Yo9L4hUTqHqIeP_qcVuxCtosJEbg/edit?usp=sharing"",""ปราจีนบุรี!L216"")"),0)</f>
        <v>0</v>
      </c>
      <c r="BA63" s="152">
        <f ca="1">IFERROR(__xludf.DUMMYFUNCTION("IMPORTRANGE(""https://docs.google.com/spreadsheets/d/1vVf6wykvW_lAyu7Yo9L4hUTqHqIeP_qcVuxCtosJEbg/edit?usp=sharing"",""ปราจีนบุรี!N216"")"),0)</f>
        <v>0</v>
      </c>
      <c r="BB63" s="216">
        <f t="shared" ca="1" si="118"/>
        <v>0</v>
      </c>
      <c r="BC63" s="152">
        <f ca="1">IFERROR(__xludf.DUMMYFUNCTION("IMPORTRANGE(""https://docs.google.com/spreadsheets/d/1vVf6wykvW_lAyu7Yo9L4hUTqHqIeP_qcVuxCtosJEbg/edit?usp=sharing"",""ปราจีนบุรี!L217"")"),0)</f>
        <v>0</v>
      </c>
      <c r="BD63" s="152">
        <f ca="1">IFERROR(__xludf.DUMMYFUNCTION("IMPORTRANGE(""https://docs.google.com/spreadsheets/d/1vVf6wykvW_lAyu7Yo9L4hUTqHqIeP_qcVuxCtosJEbg/edit?usp=sharing"",""ปราจีนบุรี!N217"")"),0)</f>
        <v>0</v>
      </c>
      <c r="BE63" s="216">
        <f t="shared" ca="1" si="120"/>
        <v>0</v>
      </c>
      <c r="BF63" s="152">
        <f ca="1">IFERROR(__xludf.DUMMYFUNCTION("IMPORTRANGE(""https://docs.google.com/spreadsheets/d/1vVf6wykvW_lAyu7Yo9L4hUTqHqIeP_qcVuxCtosJEbg/edit?usp=sharing"",""ปราจีนบุรี!Q217"")"),0)</f>
        <v>0</v>
      </c>
      <c r="BG63" s="152">
        <f ca="1">IFERROR(__xludf.DUMMYFUNCTION("IMPORTRANGE(""https://docs.google.com/spreadsheets/d/1vVf6wykvW_lAyu7Yo9L4hUTqHqIeP_qcVuxCtosJEbg/edit?usp=sharing"",""ปราจีนบุรี!S217"")"),0)</f>
        <v>0</v>
      </c>
      <c r="BH63" s="216">
        <f t="shared" ca="1" si="122"/>
        <v>0</v>
      </c>
      <c r="BI63" s="152">
        <f ca="1">IFERROR(__xludf.DUMMYFUNCTION("IMPORTRANGE(""https://docs.google.com/spreadsheets/d/1vVf6wykvW_lAyu7Yo9L4hUTqHqIeP_qcVuxCtosJEbg/edit?usp=sharing"",""ปราจีนบุรี!I219"")"),0)</f>
        <v>0</v>
      </c>
      <c r="BJ63" s="152">
        <f ca="1">IFERROR(__xludf.DUMMYFUNCTION("IMPORTRANGE(""https://docs.google.com/spreadsheets/d/1vVf6wykvW_lAyu7Yo9L4hUTqHqIeP_qcVuxCtosJEbg/edit?usp=sharing"",""ปราจีนบุรี!J219"")"),0)</f>
        <v>0</v>
      </c>
      <c r="BK63" s="216">
        <f t="shared" ca="1" si="124"/>
        <v>0</v>
      </c>
      <c r="BL63" s="152">
        <f ca="1">IFERROR(__xludf.DUMMYFUNCTION("IMPORTRANGE(""https://docs.google.com/spreadsheets/d/1vVf6wykvW_lAyu7Yo9L4hUTqHqIeP_qcVuxCtosJEbg/edit?usp=sharing"",""ปราจีนบุรี!I220"")"),0)</f>
        <v>0</v>
      </c>
      <c r="BM63" s="152">
        <f ca="1">IFERROR(__xludf.DUMMYFUNCTION("IMPORTRANGE(""https://docs.google.com/spreadsheets/d/1vVf6wykvW_lAyu7Yo9L4hUTqHqIeP_qcVuxCtosJEbg/edit?usp=sharing"",""ปราจีนบุรี!J220"")"),0)</f>
        <v>0</v>
      </c>
      <c r="BN63" s="216">
        <f t="shared" ca="1" si="126"/>
        <v>0</v>
      </c>
      <c r="BO63" s="152">
        <f ca="1">IFERROR(__xludf.DUMMYFUNCTION("IMPORTRANGE(""https://docs.google.com/spreadsheets/d/1vVf6wykvW_lAyu7Yo9L4hUTqHqIeP_qcVuxCtosJEbg/edit?usp=sharing"",""ปราจีนบุรี!L223"")"),2500)</f>
        <v>2500</v>
      </c>
      <c r="BP63" s="152">
        <f ca="1">IFERROR(__xludf.DUMMYFUNCTION("IMPORTRANGE(""https://docs.google.com/spreadsheets/d/1vVf6wykvW_lAyu7Yo9L4hUTqHqIeP_qcVuxCtosJEbg/edit?usp=sharing"",""ปราจีนบุรี!N223"")"),1080)</f>
        <v>1080</v>
      </c>
      <c r="BQ63" s="216">
        <f t="shared" ca="1" si="128"/>
        <v>43.2</v>
      </c>
      <c r="BR63" s="152">
        <f ca="1">IFERROR(__xludf.DUMMYFUNCTION("IMPORTRANGE(""https://docs.google.com/spreadsheets/d/1vVf6wykvW_lAyu7Yo9L4hUTqHqIeP_qcVuxCtosJEbg/edit?usp=sharing"",""ปราจีนบุรี!L224"")"),2000)</f>
        <v>2000</v>
      </c>
      <c r="BS63" s="152">
        <f ca="1">IFERROR(__xludf.DUMMYFUNCTION("IMPORTRANGE(""https://docs.google.com/spreadsheets/d/1vVf6wykvW_lAyu7Yo9L4hUTqHqIeP_qcVuxCtosJEbg/edit?usp=sharing"",""ปราจีนบุรี!N224"")"),2000)</f>
        <v>2000</v>
      </c>
      <c r="BT63" s="216">
        <f t="shared" ca="1" si="130"/>
        <v>100</v>
      </c>
      <c r="BU63" s="152">
        <f ca="1">IFERROR(__xludf.DUMMYFUNCTION("IMPORTRANGE(""https://docs.google.com/spreadsheets/d/1vVf6wykvW_lAyu7Yo9L4hUTqHqIeP_qcVuxCtosJEbg/edit?usp=sharing"",""ปราจีนบุรี!I228"")"),20000)</f>
        <v>20000</v>
      </c>
      <c r="BV63" s="152">
        <f ca="1">IFERROR(__xludf.DUMMYFUNCTION("IMPORTRANGE(""https://docs.google.com/spreadsheets/d/1vVf6wykvW_lAyu7Yo9L4hUTqHqIeP_qcVuxCtosJEbg/edit?usp=sharing"",""ปราจีนบุรี!J228"")"),40000)</f>
        <v>40000</v>
      </c>
      <c r="BW63" s="216">
        <f t="shared" ca="1" si="132"/>
        <v>200</v>
      </c>
      <c r="BX63" s="152">
        <f ca="1">IFERROR(__xludf.DUMMYFUNCTION("IMPORTRANGE(""https://docs.google.com/spreadsheets/d/1vVf6wykvW_lAyu7Yo9L4hUTqHqIeP_qcVuxCtosJEbg/edit?usp=sharing"",""ปราจีนบุรี!I229"")"),20000)</f>
        <v>20000</v>
      </c>
      <c r="BY63" s="152">
        <f ca="1">IFERROR(__xludf.DUMMYFUNCTION("IMPORTRANGE(""https://docs.google.com/spreadsheets/d/1vVf6wykvW_lAyu7Yo9L4hUTqHqIeP_qcVuxCtosJEbg/edit?usp=sharing"",""ปราจีนบุรี!J229"")"),40000)</f>
        <v>40000</v>
      </c>
      <c r="BZ63" s="216">
        <f t="shared" ca="1" si="134"/>
        <v>200</v>
      </c>
      <c r="CA63" s="152">
        <f ca="1">IFERROR(__xludf.DUMMYFUNCTION("IMPORTRANGE(""https://docs.google.com/spreadsheets/d/1vVf6wykvW_lAyu7Yo9L4hUTqHqIeP_qcVuxCtosJEbg/edit?usp=sharing"",""ปราจีนบุรี!I230"")"),0)</f>
        <v>0</v>
      </c>
      <c r="CB63" s="152">
        <f ca="1">IFERROR(__xludf.DUMMYFUNCTION("IMPORTRANGE(""https://docs.google.com/spreadsheets/d/1vVf6wykvW_lAyu7Yo9L4hUTqHqIeP_qcVuxCtosJEbg/edit?usp=sharing"",""ปราจีนบุรี!J230"")"),0)</f>
        <v>0</v>
      </c>
      <c r="CC63" s="216">
        <f t="shared" ca="1" si="136"/>
        <v>0</v>
      </c>
      <c r="CD63" s="152">
        <f ca="1">IFERROR(__xludf.DUMMYFUNCTION("IMPORTRANGE(""https://docs.google.com/spreadsheets/d/1vVf6wykvW_lAyu7Yo9L4hUTqHqIeP_qcVuxCtosJEbg/edit?usp=sharing"",""ปราจีนบุรี!L233"")"),11000)</f>
        <v>11000</v>
      </c>
      <c r="CE63" s="152">
        <f ca="1">IFERROR(__xludf.DUMMYFUNCTION("IMPORTRANGE(""https://docs.google.com/spreadsheets/d/1vVf6wykvW_lAyu7Yo9L4hUTqHqIeP_qcVuxCtosJEbg/edit?usp=sharing"",""ปราจีนบุรี!N233"")"),0)</f>
        <v>0</v>
      </c>
      <c r="CF63" s="216">
        <f t="shared" ca="1" si="138"/>
        <v>0</v>
      </c>
      <c r="CG63" s="152">
        <f ca="1">IFERROR(__xludf.DUMMYFUNCTION("IMPORTRANGE(""https://docs.google.com/spreadsheets/d/1vVf6wykvW_lAyu7Yo9L4hUTqHqIeP_qcVuxCtosJEbg/edit?usp=sharing"",""ปราจีนบุรี!L234"")"),2000)</f>
        <v>2000</v>
      </c>
      <c r="CH63" s="152">
        <f ca="1">IFERROR(__xludf.DUMMYFUNCTION("IMPORTRANGE(""https://docs.google.com/spreadsheets/d/1vVf6wykvW_lAyu7Yo9L4hUTqHqIeP_qcVuxCtosJEbg/edit?usp=sharing"",""ปราจีนบุรี!N234"")"),0)</f>
        <v>0</v>
      </c>
      <c r="CI63" s="216">
        <f t="shared" ca="1" si="140"/>
        <v>0</v>
      </c>
      <c r="CJ63" s="152">
        <f ca="1">IFERROR(__xludf.DUMMYFUNCTION("IMPORTRANGE(""https://docs.google.com/spreadsheets/d/1vVf6wykvW_lAyu7Yo9L4hUTqHqIeP_qcVuxCtosJEbg/edit?usp=sharing"",""ปราจีนบุรี!L235"")"),15600)</f>
        <v>15600</v>
      </c>
      <c r="CK63" s="152">
        <f ca="1">IFERROR(__xludf.DUMMYFUNCTION("IMPORTRANGE(""https://docs.google.com/spreadsheets/d/1vVf6wykvW_lAyu7Yo9L4hUTqHqIeP_qcVuxCtosJEbg/edit?usp=sharing"",""ปราจีนบุรี!N235"")"),20360)</f>
        <v>20360</v>
      </c>
      <c r="CL63" s="216">
        <f t="shared" ca="1" si="142"/>
        <v>130.51282051282053</v>
      </c>
      <c r="CM63" s="251">
        <f ca="1">IFERROR(__xludf.DUMMYFUNCTION("IMPORTRANGE(""https://docs.google.com/spreadsheets/d/1vVf6wykvW_lAyu7Yo9L4hUTqHqIeP_qcVuxCtosJEbg/edit?usp=sharing"",""ปราจีนบุรี!Q235"")"),0)</f>
        <v>0</v>
      </c>
      <c r="CN63" s="251">
        <f ca="1">IFERROR(__xludf.DUMMYFUNCTION("IMPORTRANGE(""https://docs.google.com/spreadsheets/d/1vVf6wykvW_lAyu7Yo9L4hUTqHqIeP_qcVuxCtosJEbg/edit?usp=sharing"",""ปราจีนบุรี!S235"")"),0)</f>
        <v>0</v>
      </c>
      <c r="CO63" s="216">
        <f t="shared" ca="1" si="144"/>
        <v>0</v>
      </c>
      <c r="CP63" s="152">
        <f ca="1">IFERROR(__xludf.DUMMYFUNCTION("IMPORTRANGE(""https://docs.google.com/spreadsheets/d/1vVf6wykvW_lAyu7Yo9L4hUTqHqIeP_qcVuxCtosJEbg/edit?usp=sharing"",""ปราจีนบุรี!L236"")"),19000)</f>
        <v>19000</v>
      </c>
      <c r="CQ63" s="152">
        <f ca="1">IFERROR(__xludf.DUMMYFUNCTION("IMPORTRANGE(""https://docs.google.com/spreadsheets/d/1vVf6wykvW_lAyu7Yo9L4hUTqHqIeP_qcVuxCtosJEbg/edit?usp=sharing"",""ปราจีนบุรี!N236"")"),4980)</f>
        <v>4980</v>
      </c>
      <c r="CR63" s="216">
        <f t="shared" ca="1" si="146"/>
        <v>26.210526315789473</v>
      </c>
      <c r="CS63" s="152">
        <f ca="1">IFERROR(__xludf.DUMMYFUNCTION("IMPORTRANGE(""https://docs.google.com/spreadsheets/d/1vVf6wykvW_lAyu7Yo9L4hUTqHqIeP_qcVuxCtosJEbg/edit?usp=sharing"",""ปราจีนบุรี!I238"")"),20)</f>
        <v>20</v>
      </c>
      <c r="CT63" s="152">
        <f ca="1">IFERROR(__xludf.DUMMYFUNCTION("IMPORTRANGE(""https://docs.google.com/spreadsheets/d/1vVf6wykvW_lAyu7Yo9L4hUTqHqIeP_qcVuxCtosJEbg/edit?usp=sharing"",""ปราจีนบุรี!J238"")"),20)</f>
        <v>20</v>
      </c>
      <c r="CU63" s="216">
        <f t="shared" ca="1" si="148"/>
        <v>100</v>
      </c>
      <c r="CV63" s="152">
        <f ca="1">IFERROR(__xludf.DUMMYFUNCTION("IMPORTRANGE(""https://docs.google.com/spreadsheets/d/1vVf6wykvW_lAyu7Yo9L4hUTqHqIeP_qcVuxCtosJEbg/edit?usp=sharing"",""ปราจีนบุรี!J240"")"),0)</f>
        <v>0</v>
      </c>
      <c r="CW63" s="152">
        <f ca="1">IFERROR(__xludf.DUMMYFUNCTION("IMPORTRANGE(""https://docs.google.com/spreadsheets/d/1vVf6wykvW_lAyu7Yo9L4hUTqHqIeP_qcVuxCtosJEbg/edit?usp=sharing"",""ปราจีนบุรี!J241"")"),1)</f>
        <v>1</v>
      </c>
    </row>
    <row r="64" spans="1:101" ht="21" customHeight="1" x14ac:dyDescent="0.3">
      <c r="A64" s="147">
        <v>12</v>
      </c>
      <c r="B64" s="148" t="s">
        <v>92</v>
      </c>
      <c r="C64" s="149">
        <f t="shared" ca="1" si="90"/>
        <v>2465250</v>
      </c>
      <c r="D64" s="150">
        <f t="shared" ca="1" si="206"/>
        <v>813250</v>
      </c>
      <c r="E64" s="151">
        <f ca="1">IFERROR(__xludf.DUMMYFUNCTION("IMPORTRANGE(""https://docs.google.com/spreadsheets/d/1-uDff_7J0KD5mKrp0Vvzr7lt3OU09vwQwhkpOPPYv2Y/edit?usp=sharing"",""งบพรบ!CV64"")"),367600)</f>
        <v>367600</v>
      </c>
      <c r="F64" s="151">
        <f ca="1">IFERROR(__xludf.DUMMYFUNCTION("IMPORTRANGE(""https://docs.google.com/spreadsheets/d/1-uDff_7J0KD5mKrp0Vvzr7lt3OU09vwQwhkpOPPYv2Y/edit?usp=sharing"",""งบพรบ!CW64"")"),445650)</f>
        <v>445650</v>
      </c>
      <c r="G64" s="151">
        <f ca="1">IFERROR(__xludf.DUMMYFUNCTION("IMPORTRANGE(""https://docs.google.com/spreadsheets/d/1-uDff_7J0KD5mKrp0Vvzr7lt3OU09vwQwhkpOPPYv2Y/edit?usp=sharing"",""งบพรบ!CX64"")"),1652000)</f>
        <v>1652000</v>
      </c>
      <c r="H64" s="151">
        <f ca="1">IFERROR(__xludf.DUMMYFUNCTION("IMPORTRANGE(""https://docs.google.com/spreadsheets/d/1-uDff_7J0KD5mKrp0Vvzr7lt3OU09vwQwhkpOPPYv2Y/edit?usp=sharing"",""งบพรบ!CZ64"")"),1008495)</f>
        <v>1008495</v>
      </c>
      <c r="I64" s="151">
        <f ca="1">IFERROR(__xludf.DUMMYFUNCTION("IMPORTRANGE(""https://docs.google.com/spreadsheets/d/1-uDff_7J0KD5mKrp0Vvzr7lt3OU09vwQwhkpOPPYv2Y/edit?usp=sharing"",""งบพรบ!DA64"")"),1652000)</f>
        <v>1652000</v>
      </c>
      <c r="J64" s="151">
        <f t="shared" ca="1" si="92"/>
        <v>910900.33</v>
      </c>
      <c r="K64" s="154">
        <f t="shared" ca="1" si="93"/>
        <v>36.949612818172596</v>
      </c>
      <c r="L64" s="151">
        <f ca="1">IFERROR(__xludf.DUMMYFUNCTION("IMPORTRANGE(""https://docs.google.com/spreadsheets/d/1-uDff_7J0KD5mKrp0Vvzr7lt3OU09vwQwhkpOPPYv2Y/edit?usp=sharing"",""งบพรบ!DB64"")"),910900.33)</f>
        <v>910900.33</v>
      </c>
      <c r="M64" s="68">
        <f t="shared" ca="1" si="94"/>
        <v>112.00741838303105</v>
      </c>
      <c r="N64" s="68">
        <f t="shared" ca="1" si="95"/>
        <v>90.322741312549894</v>
      </c>
      <c r="O64" s="67">
        <f ca="1">IFERROR(__xludf.DUMMYFUNCTION("IMPORTRANGE(""https://docs.google.com/spreadsheets/d/1-uDff_7J0KD5mKrp0Vvzr7lt3OU09vwQwhkpOPPYv2Y/edit?usp=sharing"",""งบพรบ!DC64"")"),0)</f>
        <v>0</v>
      </c>
      <c r="P64" s="67">
        <f t="shared" ca="1" si="96"/>
        <v>0</v>
      </c>
      <c r="Q64" s="68">
        <f t="shared" ca="1" si="97"/>
        <v>0</v>
      </c>
      <c r="R64" s="67">
        <f ca="1">IFERROR(__xludf.DUMMYFUNCTION("IMPORTRANGE(""https://docs.google.com/spreadsheets/d/1BIDqLLg5jk3v59G8NlR8rk5xfQDKne0sAvZHSj7TI6I/edit?usp=sharing"",""พระนครศรีอยุธยา!Q186"")"),84000)</f>
        <v>84000</v>
      </c>
      <c r="S64" s="67">
        <f ca="1">IFERROR(__xludf.DUMMYFUNCTION("IMPORTRANGE(""https://docs.google.com/spreadsheets/d/1BIDqLLg5jk3v59G8NlR8rk5xfQDKne0sAvZHSj7TI6I/edit?usp=sharing"",""พระนครศรีอยุธยา!R186"")"),84000)</f>
        <v>84000</v>
      </c>
      <c r="T64" s="67">
        <f ca="1">IFERROR(__xludf.DUMMYFUNCTION("IMPORTRANGE(""https://docs.google.com/spreadsheets/d/1BIDqLLg5jk3v59G8NlR8rk5xfQDKne0sAvZHSj7TI6I/edit?usp=sharing"",""พระนครศรีอยุธยา!S186"")"),83995)</f>
        <v>83995</v>
      </c>
      <c r="U64" s="68">
        <f t="shared" ca="1" si="99"/>
        <v>99.99404761904762</v>
      </c>
      <c r="V64" s="68">
        <f t="shared" ca="1" si="100"/>
        <v>99.99404761904762</v>
      </c>
      <c r="W64" s="152">
        <f ca="1">IFERROR(__xludf.DUMMYFUNCTION("IMPORTRANGE(""https://docs.google.com/spreadsheets/d/1BIDqLLg5jk3v59G8NlR8rk5xfQDKne0sAvZHSj7TI6I/edit?usp=sharing"",""พระนครศรีอยุธยา!L196"")"),6000)</f>
        <v>6000</v>
      </c>
      <c r="X64" s="152">
        <f ca="1">IFERROR(__xludf.DUMMYFUNCTION("IMPORTRANGE(""https://docs.google.com/spreadsheets/d/1BIDqLLg5jk3v59G8NlR8rk5xfQDKne0sAvZHSj7TI6I/edit?usp=sharing"",""พระนครศรีอยุธยา!N196"")"),6000)</f>
        <v>6000</v>
      </c>
      <c r="Y64" s="216">
        <f t="shared" ca="1" si="102"/>
        <v>100</v>
      </c>
      <c r="Z64" s="152">
        <f ca="1">IFERROR(__xludf.DUMMYFUNCTION("IMPORTRANGE(""https://docs.google.com/spreadsheets/d/1BIDqLLg5jk3v59G8NlR8rk5xfQDKne0sAvZHSj7TI6I/edit?usp=sharing"",""พระนครศรีอยุธยา!I198"")"),4)</f>
        <v>4</v>
      </c>
      <c r="AA64" s="152">
        <f ca="1">IFERROR(__xludf.DUMMYFUNCTION("IMPORTRANGE(""https://docs.google.com/spreadsheets/d/1BIDqLLg5jk3v59G8NlR8rk5xfQDKne0sAvZHSj7TI6I/edit?usp=sharing"",""พระนครศรีอยุธยา!J198"")"),4)</f>
        <v>4</v>
      </c>
      <c r="AB64" s="216">
        <f t="shared" ca="1" si="104"/>
        <v>100</v>
      </c>
      <c r="AC64" s="152">
        <f ca="1">IFERROR(__xludf.DUMMYFUNCTION("IMPORTRANGE(""https://docs.google.com/spreadsheets/d/1BIDqLLg5jk3v59G8NlR8rk5xfQDKne0sAvZHSj7TI6I/edit?usp=sharing"",""พระนครศรีอยุธยา!J199"")"),194)</f>
        <v>194</v>
      </c>
      <c r="AD64" s="152">
        <f ca="1">IFERROR(__xludf.DUMMYFUNCTION("IMPORTRANGE(""https://docs.google.com/spreadsheets/d/1BIDqLLg5jk3v59G8NlR8rk5xfQDKne0sAvZHSj7TI6I/edit?usp=sharing"",""พระนครศรีอยุธยา!J200"")"),194)</f>
        <v>194</v>
      </c>
      <c r="AE64" s="152">
        <f ca="1">IFERROR(__xludf.DUMMYFUNCTION("IMPORTRANGE(""https://docs.google.com/spreadsheets/d/1BIDqLLg5jk3v59G8NlR8rk5xfQDKne0sAvZHSj7TI6I/edit?usp=sharing"",""พระนครศรีอยุธยา!J201"")"),0)</f>
        <v>0</v>
      </c>
      <c r="AF64" s="152">
        <f ca="1">IFERROR(__xludf.DUMMYFUNCTION("IMPORTRANGE(""https://docs.google.com/spreadsheets/d/1BIDqLLg5jk3v59G8NlR8rk5xfQDKne0sAvZHSj7TI6I/edit?usp=sharing"",""พระนครศรีอยุธยา!L204"")"),0)</f>
        <v>0</v>
      </c>
      <c r="AG64" s="152">
        <f ca="1">IFERROR(__xludf.DUMMYFUNCTION("IMPORTRANGE(""https://docs.google.com/spreadsheets/d/1BIDqLLg5jk3v59G8NlR8rk5xfQDKne0sAvZHSj7TI6I/edit?usp=sharing"",""พระนครศรีอยุธยา!N204"")"),0)</f>
        <v>0</v>
      </c>
      <c r="AH64" s="216">
        <f t="shared" ca="1" si="106"/>
        <v>0</v>
      </c>
      <c r="AI64" s="152">
        <f ca="1">IFERROR(__xludf.DUMMYFUNCTION("IMPORTRANGE(""https://docs.google.com/spreadsheets/d/1BIDqLLg5jk3v59G8NlR8rk5xfQDKne0sAvZHSj7TI6I/edit?usp=sharing"",""พระนครศรีอยุธยา!L206"")"),0)</f>
        <v>0</v>
      </c>
      <c r="AJ64" s="152">
        <f ca="1">IFERROR(__xludf.DUMMYFUNCTION("IMPORTRANGE(""https://docs.google.com/spreadsheets/d/1BIDqLLg5jk3v59G8NlR8rk5xfQDKne0sAvZHSj7TI6I/edit?usp=sharing"",""พระนครศรีอยุธยา!N206"")"),0)</f>
        <v>0</v>
      </c>
      <c r="AK64" s="216">
        <f t="shared" ca="1" si="108"/>
        <v>0</v>
      </c>
      <c r="AL64" s="152">
        <f ca="1">IFERROR(__xludf.DUMMYFUNCTION("IMPORTRANGE(""https://docs.google.com/spreadsheets/d/1BIDqLLg5jk3v59G8NlR8rk5xfQDKne0sAvZHSj7TI6I/edit?usp=sharing"",""พระนครศรีอยุธยา!Q206"")"),0)</f>
        <v>0</v>
      </c>
      <c r="AM64" s="152">
        <f ca="1">IFERROR(__xludf.DUMMYFUNCTION("IMPORTRANGE(""https://docs.google.com/spreadsheets/d/1BIDqLLg5jk3v59G8NlR8rk5xfQDKne0sAvZHSj7TI6I/edit?usp=sharing"",""พระนครศรีอยุธยา!S206"")"),0)</f>
        <v>0</v>
      </c>
      <c r="AN64" s="216">
        <f t="shared" ca="1" si="110"/>
        <v>0</v>
      </c>
      <c r="AO64" s="152">
        <f ca="1">IFERROR(__xludf.DUMMYFUNCTION("IMPORTRANGE(""https://docs.google.com/spreadsheets/d/1BIDqLLg5jk3v59G8NlR8rk5xfQDKne0sAvZHSj7TI6I/edit?usp=sharing"",""พระนครศรีอยุธยา!L207"")"),0)</f>
        <v>0</v>
      </c>
      <c r="AP64" s="152">
        <f ca="1">IFERROR(__xludf.DUMMYFUNCTION("IMPORTRANGE(""https://docs.google.com/spreadsheets/d/1BIDqLLg5jk3v59G8NlR8rk5xfQDKne0sAvZHSj7TI6I/edit?usp=sharing"",""พระนครศรีอยุธยา!N207"")"),0)</f>
        <v>0</v>
      </c>
      <c r="AQ64" s="216">
        <f t="shared" ca="1" si="112"/>
        <v>0</v>
      </c>
      <c r="AR64" s="152">
        <f ca="1">IFERROR(__xludf.DUMMYFUNCTION("IMPORTRANGE(""https://docs.google.com/spreadsheets/d/1BIDqLLg5jk3v59G8NlR8rk5xfQDKne0sAvZHSj7TI6I/edit?usp=sharing"",""พระนครศรีอยุธยา!I209"")"),0)</f>
        <v>0</v>
      </c>
      <c r="AS64" s="152">
        <f ca="1">IFERROR(__xludf.DUMMYFUNCTION("IMPORTRANGE(""https://docs.google.com/spreadsheets/d/1BIDqLLg5jk3v59G8NlR8rk5xfQDKne0sAvZHSj7TI6I/edit?usp=sharing"",""พระนครศรีอยุธยา!J209"")"),0)</f>
        <v>0</v>
      </c>
      <c r="AT64" s="216">
        <f t="shared" ca="1" si="114"/>
        <v>0</v>
      </c>
      <c r="AU64" s="152">
        <f ca="1">IFERROR(__xludf.DUMMYFUNCTION("IMPORTRANGE(""https://docs.google.com/spreadsheets/d/1BIDqLLg5jk3v59G8NlR8rk5xfQDKne0sAvZHSj7TI6I/edit?usp=sharing"",""พระนครศรีอยุธยา!J211"")"),0)</f>
        <v>0</v>
      </c>
      <c r="AV64" s="152">
        <f ca="1">IFERROR(__xludf.DUMMYFUNCTION("IMPORTRANGE(""https://docs.google.com/spreadsheets/d/1BIDqLLg5jk3v59G8NlR8rk5xfQDKne0sAvZHSj7TI6I/edit?usp=sharing"",""พระนครศรีอยุธยา!J212"")"),0)</f>
        <v>0</v>
      </c>
      <c r="AW64" s="152">
        <f ca="1">IFERROR(__xludf.DUMMYFUNCTION("IMPORTRANGE(""https://docs.google.com/spreadsheets/d/1BIDqLLg5jk3v59G8NlR8rk5xfQDKne0sAvZHSj7TI6I/edit?usp=sharing"",""พระนครศรีอยุธยา!L215"")"),0)</f>
        <v>0</v>
      </c>
      <c r="AX64" s="152">
        <f ca="1">IFERROR(__xludf.DUMMYFUNCTION("IMPORTRANGE(""https://docs.google.com/spreadsheets/d/1BIDqLLg5jk3v59G8NlR8rk5xfQDKne0sAvZHSj7TI6I/edit?usp=sharing"",""พระนครศรีอยุธยา!N215"")"),0)</f>
        <v>0</v>
      </c>
      <c r="AY64" s="216">
        <f t="shared" ca="1" si="116"/>
        <v>0</v>
      </c>
      <c r="AZ64" s="152">
        <f ca="1">IFERROR(__xludf.DUMMYFUNCTION("IMPORTRANGE(""https://docs.google.com/spreadsheets/d/1BIDqLLg5jk3v59G8NlR8rk5xfQDKne0sAvZHSj7TI6I/edit?usp=sharing"",""พระนครศรีอยุธยา!L216"")"),0)</f>
        <v>0</v>
      </c>
      <c r="BA64" s="152">
        <f ca="1">IFERROR(__xludf.DUMMYFUNCTION("IMPORTRANGE(""https://docs.google.com/spreadsheets/d/1BIDqLLg5jk3v59G8NlR8rk5xfQDKne0sAvZHSj7TI6I/edit?usp=sharing"",""พระนครศรีอยุธยา!N216"")"),0)</f>
        <v>0</v>
      </c>
      <c r="BB64" s="216">
        <f t="shared" ca="1" si="118"/>
        <v>0</v>
      </c>
      <c r="BC64" s="152">
        <f ca="1">IFERROR(__xludf.DUMMYFUNCTION("IMPORTRANGE(""https://docs.google.com/spreadsheets/d/1BIDqLLg5jk3v59G8NlR8rk5xfQDKne0sAvZHSj7TI6I/edit?usp=sharing"",""พระนครศรีอยุธยา!L217"")"),0)</f>
        <v>0</v>
      </c>
      <c r="BD64" s="152">
        <f ca="1">IFERROR(__xludf.DUMMYFUNCTION("IMPORTRANGE(""https://docs.google.com/spreadsheets/d/1BIDqLLg5jk3v59G8NlR8rk5xfQDKne0sAvZHSj7TI6I/edit?usp=sharing"",""พระนครศรีอยุธยา!N217"")"),0)</f>
        <v>0</v>
      </c>
      <c r="BE64" s="216">
        <f t="shared" ca="1" si="120"/>
        <v>0</v>
      </c>
      <c r="BF64" s="152">
        <f ca="1">IFERROR(__xludf.DUMMYFUNCTION("IMPORTRANGE(""https://docs.google.com/spreadsheets/d/1BIDqLLg5jk3v59G8NlR8rk5xfQDKne0sAvZHSj7TI6I/edit?usp=sharing"",""พระนครศรีอยุธยา!Q217"")"),0)</f>
        <v>0</v>
      </c>
      <c r="BG64" s="152">
        <f ca="1">IFERROR(__xludf.DUMMYFUNCTION("IMPORTRANGE(""https://docs.google.com/spreadsheets/d/1BIDqLLg5jk3v59G8NlR8rk5xfQDKne0sAvZHSj7TI6I/edit?usp=sharing"",""พระนครศรีอยุธยา!S217"")"),0)</f>
        <v>0</v>
      </c>
      <c r="BH64" s="216">
        <f t="shared" ca="1" si="122"/>
        <v>0</v>
      </c>
      <c r="BI64" s="152">
        <f ca="1">IFERROR(__xludf.DUMMYFUNCTION("IMPORTRANGE(""https://docs.google.com/spreadsheets/d/1BIDqLLg5jk3v59G8NlR8rk5xfQDKne0sAvZHSj7TI6I/edit?usp=sharing"",""พระนครศรีอยุธยา!I219"")"),0)</f>
        <v>0</v>
      </c>
      <c r="BJ64" s="152">
        <f ca="1">IFERROR(__xludf.DUMMYFUNCTION("IMPORTRANGE(""https://docs.google.com/spreadsheets/d/1BIDqLLg5jk3v59G8NlR8rk5xfQDKne0sAvZHSj7TI6I/edit?usp=sharing"",""พระนครศรีอยุธยา!J219"")"),0)</f>
        <v>0</v>
      </c>
      <c r="BK64" s="216">
        <f t="shared" ca="1" si="124"/>
        <v>0</v>
      </c>
      <c r="BL64" s="152">
        <f ca="1">IFERROR(__xludf.DUMMYFUNCTION("IMPORTRANGE(""https://docs.google.com/spreadsheets/d/1BIDqLLg5jk3v59G8NlR8rk5xfQDKne0sAvZHSj7TI6I/edit?usp=sharing"",""พระนครศรีอยุธยา!I220"")"),0)</f>
        <v>0</v>
      </c>
      <c r="BM64" s="152">
        <f ca="1">IFERROR(__xludf.DUMMYFUNCTION("IMPORTRANGE(""https://docs.google.com/spreadsheets/d/1BIDqLLg5jk3v59G8NlR8rk5xfQDKne0sAvZHSj7TI6I/edit?usp=sharing"",""พระนครศรีอยุธยา!J220"")"),0)</f>
        <v>0</v>
      </c>
      <c r="BN64" s="216">
        <f t="shared" ca="1" si="126"/>
        <v>0</v>
      </c>
      <c r="BO64" s="152">
        <f ca="1">IFERROR(__xludf.DUMMYFUNCTION("IMPORTRANGE(""https://docs.google.com/spreadsheets/d/1BIDqLLg5jk3v59G8NlR8rk5xfQDKne0sAvZHSj7TI6I/edit?usp=sharing"",""พระนครศรีอยุธยา!L223"")"),2500)</f>
        <v>2500</v>
      </c>
      <c r="BP64" s="152">
        <f ca="1">IFERROR(__xludf.DUMMYFUNCTION("IMPORTRANGE(""https://docs.google.com/spreadsheets/d/1BIDqLLg5jk3v59G8NlR8rk5xfQDKne0sAvZHSj7TI6I/edit?usp=sharing"",""พระนครศรีอยุธยา!N223"")"),3000)</f>
        <v>3000</v>
      </c>
      <c r="BQ64" s="216">
        <f t="shared" ca="1" si="128"/>
        <v>120</v>
      </c>
      <c r="BR64" s="152">
        <f ca="1">IFERROR(__xludf.DUMMYFUNCTION("IMPORTRANGE(""https://docs.google.com/spreadsheets/d/1BIDqLLg5jk3v59G8NlR8rk5xfQDKne0sAvZHSj7TI6I/edit?usp=sharing"",""พระนครศรีอยุธยา!L224"")"),2000)</f>
        <v>2000</v>
      </c>
      <c r="BS64" s="152">
        <f ca="1">IFERROR(__xludf.DUMMYFUNCTION("IMPORTRANGE(""https://docs.google.com/spreadsheets/d/1BIDqLLg5jk3v59G8NlR8rk5xfQDKne0sAvZHSj7TI6I/edit?usp=sharing"",""พระนครศรีอยุธยา!N224"")"),1500)</f>
        <v>1500</v>
      </c>
      <c r="BT64" s="216">
        <f t="shared" ca="1" si="130"/>
        <v>75</v>
      </c>
      <c r="BU64" s="152">
        <f ca="1">IFERROR(__xludf.DUMMYFUNCTION("IMPORTRANGE(""https://docs.google.com/spreadsheets/d/1BIDqLLg5jk3v59G8NlR8rk5xfQDKne0sAvZHSj7TI6I/edit?usp=sharing"",""พระนครศรีอยุธยา!I228"")"),20000)</f>
        <v>20000</v>
      </c>
      <c r="BV64" s="152">
        <f ca="1">IFERROR(__xludf.DUMMYFUNCTION("IMPORTRANGE(""https://docs.google.com/spreadsheets/d/1BIDqLLg5jk3v59G8NlR8rk5xfQDKne0sAvZHSj7TI6I/edit?usp=sharing"",""พระนครศรีอยุธยา!J228"")"),20000)</f>
        <v>20000</v>
      </c>
      <c r="BW64" s="216">
        <f t="shared" ca="1" si="132"/>
        <v>100</v>
      </c>
      <c r="BX64" s="152">
        <f ca="1">IFERROR(__xludf.DUMMYFUNCTION("IMPORTRANGE(""https://docs.google.com/spreadsheets/d/1BIDqLLg5jk3v59G8NlR8rk5xfQDKne0sAvZHSj7TI6I/edit?usp=sharing"",""พระนครศรีอยุธยา!I229"")"),20000)</f>
        <v>20000</v>
      </c>
      <c r="BY64" s="152">
        <f ca="1">IFERROR(__xludf.DUMMYFUNCTION("IMPORTRANGE(""https://docs.google.com/spreadsheets/d/1BIDqLLg5jk3v59G8NlR8rk5xfQDKne0sAvZHSj7TI6I/edit?usp=sharing"",""พระนครศรีอยุธยา!J229"")"),20000)</f>
        <v>20000</v>
      </c>
      <c r="BZ64" s="216">
        <f t="shared" ca="1" si="134"/>
        <v>100</v>
      </c>
      <c r="CA64" s="152">
        <f ca="1">IFERROR(__xludf.DUMMYFUNCTION("IMPORTRANGE(""https://docs.google.com/spreadsheets/d/1BIDqLLg5jk3v59G8NlR8rk5xfQDKne0sAvZHSj7TI6I/edit?usp=sharing"",""พระนครศรีอยุธยา!I230"")"),0)</f>
        <v>0</v>
      </c>
      <c r="CB64" s="152">
        <f ca="1">IFERROR(__xludf.DUMMYFUNCTION("IMPORTRANGE(""https://docs.google.com/spreadsheets/d/1BIDqLLg5jk3v59G8NlR8rk5xfQDKne0sAvZHSj7TI6I/edit?usp=sharing"",""พระนครศรีอยุธยา!J230"")"),0)</f>
        <v>0</v>
      </c>
      <c r="CC64" s="216">
        <f t="shared" ca="1" si="136"/>
        <v>0</v>
      </c>
      <c r="CD64" s="152">
        <f ca="1">IFERROR(__xludf.DUMMYFUNCTION("IMPORTRANGE(""https://docs.google.com/spreadsheets/d/1BIDqLLg5jk3v59G8NlR8rk5xfQDKne0sAvZHSj7TI6I/edit?usp=sharing"",""พระนครศรีอยุธยา!L233"")"),162000)</f>
        <v>162000</v>
      </c>
      <c r="CE64" s="152">
        <f ca="1">IFERROR(__xludf.DUMMYFUNCTION("IMPORTRANGE(""https://docs.google.com/spreadsheets/d/1BIDqLLg5jk3v59G8NlR8rk5xfQDKne0sAvZHSj7TI6I/edit?usp=sharing"",""พระนครศรีอยุธยา!N233"")"),12329.99)</f>
        <v>12329.99</v>
      </c>
      <c r="CF64" s="216">
        <f t="shared" ca="1" si="138"/>
        <v>7.6111049382716045</v>
      </c>
      <c r="CG64" s="152">
        <f ca="1">IFERROR(__xludf.DUMMYFUNCTION("IMPORTRANGE(""https://docs.google.com/spreadsheets/d/1BIDqLLg5jk3v59G8NlR8rk5xfQDKne0sAvZHSj7TI6I/edit?usp=sharing"",""พระนครศรีอยุธยา!L234"")"),6000)</f>
        <v>6000</v>
      </c>
      <c r="CH64" s="152">
        <f ca="1">IFERROR(__xludf.DUMMYFUNCTION("IMPORTRANGE(""https://docs.google.com/spreadsheets/d/1BIDqLLg5jk3v59G8NlR8rk5xfQDKne0sAvZHSj7TI6I/edit?usp=sharing"",""พระนครศรีอยุธยา!N234"")"),117000)</f>
        <v>117000</v>
      </c>
      <c r="CI64" s="216">
        <f t="shared" ca="1" si="140"/>
        <v>1950</v>
      </c>
      <c r="CJ64" s="152">
        <f ca="1">IFERROR(__xludf.DUMMYFUNCTION("IMPORTRANGE(""https://docs.google.com/spreadsheets/d/1BIDqLLg5jk3v59G8NlR8rk5xfQDKne0sAvZHSj7TI6I/edit?usp=sharing"",""พระนครศรีอยุธยา!L235"")"),162150)</f>
        <v>162150</v>
      </c>
      <c r="CK64" s="152">
        <f ca="1">IFERROR(__xludf.DUMMYFUNCTION("IMPORTRANGE(""https://docs.google.com/spreadsheets/d/1BIDqLLg5jk3v59G8NlR8rk5xfQDKne0sAvZHSj7TI6I/edit?usp=sharing"",""พระนครศรีอยุธยา!N235"")"),162150)</f>
        <v>162150</v>
      </c>
      <c r="CL64" s="216">
        <f t="shared" ca="1" si="142"/>
        <v>100</v>
      </c>
      <c r="CM64" s="251">
        <f ca="1">IFERROR(__xludf.DUMMYFUNCTION("IMPORTRANGE(""https://docs.google.com/spreadsheets/d/1BIDqLLg5jk3v59G8NlR8rk5xfQDKne0sAvZHSj7TI6I/edit?usp=sharing"",""พระนครศรีอยุธยา!Q235"")"),0)</f>
        <v>0</v>
      </c>
      <c r="CN64" s="251">
        <f ca="1">IFERROR(__xludf.DUMMYFUNCTION("IMPORTRANGE(""https://docs.google.com/spreadsheets/d/1BIDqLLg5jk3v59G8NlR8rk5xfQDKne0sAvZHSj7TI6I/edit?usp=sharing"",""พระนครศรีอยุธยา!S235"")"),0)</f>
        <v>0</v>
      </c>
      <c r="CO64" s="216">
        <f t="shared" ca="1" si="144"/>
        <v>0</v>
      </c>
      <c r="CP64" s="152">
        <f ca="1">IFERROR(__xludf.DUMMYFUNCTION("IMPORTRANGE(""https://docs.google.com/spreadsheets/d/1BIDqLLg5jk3v59G8NlR8rk5xfQDKne0sAvZHSj7TI6I/edit?usp=sharing"",""พระนครศรีอยุธยา!L236"")"),105000)</f>
        <v>105000</v>
      </c>
      <c r="CQ64" s="152">
        <f ca="1">IFERROR(__xludf.DUMMYFUNCTION("IMPORTRANGE(""https://docs.google.com/spreadsheets/d/1BIDqLLg5jk3v59G8NlR8rk5xfQDKne0sAvZHSj7TI6I/edit?usp=sharing"",""พระนครศรีอยุธยา!N236"")"),105000)</f>
        <v>105000</v>
      </c>
      <c r="CR64" s="216">
        <f t="shared" ca="1" si="146"/>
        <v>100</v>
      </c>
      <c r="CS64" s="152">
        <f ca="1">IFERROR(__xludf.DUMMYFUNCTION("IMPORTRANGE(""https://docs.google.com/spreadsheets/d/1BIDqLLg5jk3v59G8NlR8rk5xfQDKne0sAvZHSj7TI6I/edit?usp=sharing"",""พระนครศรีอยุธยา!I238"")"),100)</f>
        <v>100</v>
      </c>
      <c r="CT64" s="152">
        <f ca="1">IFERROR(__xludf.DUMMYFUNCTION("IMPORTRANGE(""https://docs.google.com/spreadsheets/d/1BIDqLLg5jk3v59G8NlR8rk5xfQDKne0sAvZHSj7TI6I/edit?usp=sharing"",""พระนครศรีอยุธยา!J238"")"),100)</f>
        <v>100</v>
      </c>
      <c r="CU64" s="216">
        <f t="shared" ca="1" si="148"/>
        <v>100</v>
      </c>
      <c r="CV64" s="152">
        <f ca="1">IFERROR(__xludf.DUMMYFUNCTION("IMPORTRANGE(""https://docs.google.com/spreadsheets/d/1BIDqLLg5jk3v59G8NlR8rk5xfQDKne0sAvZHSj7TI6I/edit?usp=sharing"",""พระนครศรีอยุธยา!J240"")"),100)</f>
        <v>100</v>
      </c>
      <c r="CW64" s="152">
        <f ca="1">IFERROR(__xludf.DUMMYFUNCTION("IMPORTRANGE(""https://docs.google.com/spreadsheets/d/1BIDqLLg5jk3v59G8NlR8rk5xfQDKne0sAvZHSj7TI6I/edit?usp=sharing"",""พระนครศรีอยุธยา!J241"")"),1)</f>
        <v>1</v>
      </c>
    </row>
    <row r="65" spans="1:101" ht="21" customHeight="1" x14ac:dyDescent="0.3">
      <c r="A65" s="147">
        <v>13</v>
      </c>
      <c r="B65" s="148" t="s">
        <v>93</v>
      </c>
      <c r="C65" s="149">
        <f t="shared" ca="1" si="90"/>
        <v>22500</v>
      </c>
      <c r="D65" s="150">
        <f t="shared" ca="1" si="206"/>
        <v>22500</v>
      </c>
      <c r="E65" s="151">
        <f ca="1">IFERROR(__xludf.DUMMYFUNCTION("IMPORTRANGE(""https://docs.google.com/spreadsheets/d/1-uDff_7J0KD5mKrp0Vvzr7lt3OU09vwQwhkpOPPYv2Y/edit?usp=sharing"",""งบพรบ!CV65"")"),0)</f>
        <v>0</v>
      </c>
      <c r="F65" s="151">
        <f ca="1">IFERROR(__xludf.DUMMYFUNCTION("IMPORTRANGE(""https://docs.google.com/spreadsheets/d/1-uDff_7J0KD5mKrp0Vvzr7lt3OU09vwQwhkpOPPYv2Y/edit?usp=sharing"",""งบพรบ!CW65"")"),22500)</f>
        <v>22500</v>
      </c>
      <c r="G65" s="151">
        <f ca="1">IFERROR(__xludf.DUMMYFUNCTION("IMPORTRANGE(""https://docs.google.com/spreadsheets/d/1-uDff_7J0KD5mKrp0Vvzr7lt3OU09vwQwhkpOPPYv2Y/edit?usp=sharing"",""งบพรบ!CX65"")"),0)</f>
        <v>0</v>
      </c>
      <c r="H65" s="151">
        <f ca="1">IFERROR(__xludf.DUMMYFUNCTION("IMPORTRANGE(""https://docs.google.com/spreadsheets/d/1-uDff_7J0KD5mKrp0Vvzr7lt3OU09vwQwhkpOPPYv2Y/edit?usp=sharing"",""งบพรบ!CZ65"")"),24500)</f>
        <v>24500</v>
      </c>
      <c r="I65" s="151">
        <f ca="1">IFERROR(__xludf.DUMMYFUNCTION("IMPORTRANGE(""https://docs.google.com/spreadsheets/d/1-uDff_7J0KD5mKrp0Vvzr7lt3OU09vwQwhkpOPPYv2Y/edit?usp=sharing"",""งบพรบ!DA65"")"),0)</f>
        <v>0</v>
      </c>
      <c r="J65" s="151">
        <f t="shared" ca="1" si="92"/>
        <v>6820</v>
      </c>
      <c r="K65" s="154">
        <f t="shared" ca="1" si="93"/>
        <v>30.31111111111111</v>
      </c>
      <c r="L65" s="151">
        <f ca="1">IFERROR(__xludf.DUMMYFUNCTION("IMPORTRANGE(""https://docs.google.com/spreadsheets/d/1-uDff_7J0KD5mKrp0Vvzr7lt3OU09vwQwhkpOPPYv2Y/edit?usp=sharing"",""งบพรบ!DB65"")"),6820)</f>
        <v>6820</v>
      </c>
      <c r="M65" s="68">
        <f t="shared" ca="1" si="94"/>
        <v>30.31111111111111</v>
      </c>
      <c r="N65" s="68">
        <f t="shared" ca="1" si="95"/>
        <v>27.836734693877553</v>
      </c>
      <c r="O65" s="67">
        <f ca="1">IFERROR(__xludf.DUMMYFUNCTION("IMPORTRANGE(""https://docs.google.com/spreadsheets/d/1-uDff_7J0KD5mKrp0Vvzr7lt3OU09vwQwhkpOPPYv2Y/edit?usp=sharing"",""งบพรบ!DC65"")"),0)</f>
        <v>0</v>
      </c>
      <c r="P65" s="67">
        <f t="shared" ca="1" si="96"/>
        <v>0</v>
      </c>
      <c r="Q65" s="68">
        <f t="shared" ca="1" si="97"/>
        <v>0</v>
      </c>
      <c r="R65" s="67">
        <f ca="1">IFERROR(__xludf.DUMMYFUNCTION("IMPORTRANGE(""https://docs.google.com/spreadsheets/d/1YXvxf8Yu6_rV4hTBrwMqAcAnv6DfhUxh5emyM3CJp_w/edit?usp=sharing"",""เพชรบุรี!Q186"")"),28000)</f>
        <v>28000</v>
      </c>
      <c r="S65" s="67">
        <f ca="1">IFERROR(__xludf.DUMMYFUNCTION("IMPORTRANGE(""https://docs.google.com/spreadsheets/d/1YXvxf8Yu6_rV4hTBrwMqAcAnv6DfhUxh5emyM3CJp_w/edit?usp=sharing"",""เพชรบุรี!R186"")"),28000)</f>
        <v>28000</v>
      </c>
      <c r="T65" s="67">
        <f ca="1">IFERROR(__xludf.DUMMYFUNCTION("IMPORTRANGE(""https://docs.google.com/spreadsheets/d/1YXvxf8Yu6_rV4hTBrwMqAcAnv6DfhUxh5emyM3CJp_w/edit?usp=sharing"",""เพชรบุรี!S186"")"),0)</f>
        <v>0</v>
      </c>
      <c r="U65" s="68">
        <f t="shared" ca="1" si="99"/>
        <v>0</v>
      </c>
      <c r="V65" s="68">
        <f t="shared" ca="1" si="100"/>
        <v>0</v>
      </c>
      <c r="W65" s="152">
        <f ca="1">IFERROR(__xludf.DUMMYFUNCTION("IMPORTRANGE(""https://docs.google.com/spreadsheets/d/1YXvxf8Yu6_rV4hTBrwMqAcAnv6DfhUxh5emyM3CJp_w/edit?usp=sharing"",""เพชรบุรี!L196"")"),6000)</f>
        <v>6000</v>
      </c>
      <c r="X65" s="152">
        <f ca="1">IFERROR(__xludf.DUMMYFUNCTION("IMPORTRANGE(""https://docs.google.com/spreadsheets/d/1YXvxf8Yu6_rV4hTBrwMqAcAnv6DfhUxh5emyM3CJp_w/edit?usp=sharing"",""เพชรบุรี!N196"")"),0)</f>
        <v>0</v>
      </c>
      <c r="Y65" s="216">
        <f t="shared" ca="1" si="102"/>
        <v>0</v>
      </c>
      <c r="Z65" s="152">
        <f ca="1">IFERROR(__xludf.DUMMYFUNCTION("IMPORTRANGE(""https://docs.google.com/spreadsheets/d/1YXvxf8Yu6_rV4hTBrwMqAcAnv6DfhUxh5emyM3CJp_w/edit?usp=sharing"",""เพชรบุรี!I198"")"),4)</f>
        <v>4</v>
      </c>
      <c r="AA65" s="152">
        <f ca="1">IFERROR(__xludf.DUMMYFUNCTION("IMPORTRANGE(""https://docs.google.com/spreadsheets/d/1YXvxf8Yu6_rV4hTBrwMqAcAnv6DfhUxh5emyM3CJp_w/edit?usp=sharing"",""เพชรบุรี!J198"")"),4)</f>
        <v>4</v>
      </c>
      <c r="AB65" s="216">
        <f t="shared" ca="1" si="104"/>
        <v>100</v>
      </c>
      <c r="AC65" s="152">
        <f ca="1">IFERROR(__xludf.DUMMYFUNCTION("IMPORTRANGE(""https://docs.google.com/spreadsheets/d/1YXvxf8Yu6_rV4hTBrwMqAcAnv6DfhUxh5emyM3CJp_w/edit?usp=sharing"",""เพชรบุรี!J199"")"),168)</f>
        <v>168</v>
      </c>
      <c r="AD65" s="152">
        <f ca="1">IFERROR(__xludf.DUMMYFUNCTION("IMPORTRANGE(""https://docs.google.com/spreadsheets/d/1YXvxf8Yu6_rV4hTBrwMqAcAnv6DfhUxh5emyM3CJp_w/edit?usp=sharing"",""เพชรบุรี!J200"")"),168)</f>
        <v>168</v>
      </c>
      <c r="AE65" s="152">
        <f ca="1">IFERROR(__xludf.DUMMYFUNCTION("IMPORTRANGE(""https://docs.google.com/spreadsheets/d/1YXvxf8Yu6_rV4hTBrwMqAcAnv6DfhUxh5emyM3CJp_w/edit?usp=sharing"",""เพชรบุรี!J201"")"),0)</f>
        <v>0</v>
      </c>
      <c r="AF65" s="152">
        <f ca="1">IFERROR(__xludf.DUMMYFUNCTION("IMPORTRANGE(""https://docs.google.com/spreadsheets/d/1YXvxf8Yu6_rV4hTBrwMqAcAnv6DfhUxh5emyM3CJp_w/edit?usp=sharing"",""เพชรบุรี!L204"")"),2000)</f>
        <v>2000</v>
      </c>
      <c r="AG65" s="152">
        <f ca="1">IFERROR(__xludf.DUMMYFUNCTION("IMPORTRANGE(""https://docs.google.com/spreadsheets/d/1YXvxf8Yu6_rV4hTBrwMqAcAnv6DfhUxh5emyM3CJp_w/edit?usp=sharing"",""เพชรบุรี!N204"")"),0)</f>
        <v>0</v>
      </c>
      <c r="AH65" s="216">
        <f t="shared" ca="1" si="106"/>
        <v>0</v>
      </c>
      <c r="AI65" s="152">
        <f ca="1">IFERROR(__xludf.DUMMYFUNCTION("IMPORTRANGE(""https://docs.google.com/spreadsheets/d/1YXvxf8Yu6_rV4hTBrwMqAcAnv6DfhUxh5emyM3CJp_w/edit?usp=sharing"",""เพชรบุรี!L206"")"),0)</f>
        <v>0</v>
      </c>
      <c r="AJ65" s="152">
        <f ca="1">IFERROR(__xludf.DUMMYFUNCTION("IMPORTRANGE(""https://docs.google.com/spreadsheets/d/1YXvxf8Yu6_rV4hTBrwMqAcAnv6DfhUxh5emyM3CJp_w/edit?usp=sharing"",""เพชรบุรี!N206"")"),0)</f>
        <v>0</v>
      </c>
      <c r="AK65" s="216">
        <f t="shared" ca="1" si="108"/>
        <v>0</v>
      </c>
      <c r="AL65" s="152">
        <f ca="1">IFERROR(__xludf.DUMMYFUNCTION("IMPORTRANGE(""https://docs.google.com/spreadsheets/d/1YXvxf8Yu6_rV4hTBrwMqAcAnv6DfhUxh5emyM3CJp_w/edit?usp=sharing"",""เพชรบุรี!Q206"")"),28000)</f>
        <v>28000</v>
      </c>
      <c r="AM65" s="152">
        <f ca="1">IFERROR(__xludf.DUMMYFUNCTION("IMPORTRANGE(""https://docs.google.com/spreadsheets/d/1YXvxf8Yu6_rV4hTBrwMqAcAnv6DfhUxh5emyM3CJp_w/edit?usp=sharing"",""เพชรบุรี!S206"")"),0)</f>
        <v>0</v>
      </c>
      <c r="AN65" s="216">
        <f t="shared" ca="1" si="110"/>
        <v>0</v>
      </c>
      <c r="AO65" s="152">
        <f ca="1">IFERROR(__xludf.DUMMYFUNCTION("IMPORTRANGE(""https://docs.google.com/spreadsheets/d/1YXvxf8Yu6_rV4hTBrwMqAcAnv6DfhUxh5emyM3CJp_w/edit?usp=sharing"",""เพชรบุรี!L207"")"),8000)</f>
        <v>8000</v>
      </c>
      <c r="AP65" s="152">
        <f ca="1">IFERROR(__xludf.DUMMYFUNCTION("IMPORTRANGE(""https://docs.google.com/spreadsheets/d/1YXvxf8Yu6_rV4hTBrwMqAcAnv6DfhUxh5emyM3CJp_w/edit?usp=sharing"",""เพชรบุรี!N207"")"),0)</f>
        <v>0</v>
      </c>
      <c r="AQ65" s="216">
        <f t="shared" ca="1" si="112"/>
        <v>0</v>
      </c>
      <c r="AR65" s="152">
        <f ca="1">IFERROR(__xludf.DUMMYFUNCTION("IMPORTRANGE(""https://docs.google.com/spreadsheets/d/1YXvxf8Yu6_rV4hTBrwMqAcAnv6DfhUxh5emyM3CJp_w/edit?usp=sharing"",""เพชรบุรี!I209"")"),2)</f>
        <v>2</v>
      </c>
      <c r="AS65" s="152">
        <f ca="1">IFERROR(__xludf.DUMMYFUNCTION("IMPORTRANGE(""https://docs.google.com/spreadsheets/d/1YXvxf8Yu6_rV4hTBrwMqAcAnv6DfhUxh5emyM3CJp_w/edit?usp=sharing"",""เพชรบุรี!J209"")"),0)</f>
        <v>0</v>
      </c>
      <c r="AT65" s="216">
        <f t="shared" ca="1" si="114"/>
        <v>0</v>
      </c>
      <c r="AU65" s="152">
        <f ca="1">IFERROR(__xludf.DUMMYFUNCTION("IMPORTRANGE(""https://docs.google.com/spreadsheets/d/1YXvxf8Yu6_rV4hTBrwMqAcAnv6DfhUxh5emyM3CJp_w/edit?usp=sharing"",""เพชรบุรี!J211"")"),0)</f>
        <v>0</v>
      </c>
      <c r="AV65" s="152">
        <f ca="1">IFERROR(__xludf.DUMMYFUNCTION("IMPORTRANGE(""https://docs.google.com/spreadsheets/d/1YXvxf8Yu6_rV4hTBrwMqAcAnv6DfhUxh5emyM3CJp_w/edit?usp=sharing"",""เพชรบุรี!J212"")"),0)</f>
        <v>0</v>
      </c>
      <c r="AW65" s="152">
        <f ca="1">IFERROR(__xludf.DUMMYFUNCTION("IMPORTRANGE(""https://docs.google.com/spreadsheets/d/1YXvxf8Yu6_rV4hTBrwMqAcAnv6DfhUxh5emyM3CJp_w/edit?usp=sharing"",""เพชรบุรี!L215"")"),0)</f>
        <v>0</v>
      </c>
      <c r="AX65" s="152">
        <f ca="1">IFERROR(__xludf.DUMMYFUNCTION("IMPORTRANGE(""https://docs.google.com/spreadsheets/d/1YXvxf8Yu6_rV4hTBrwMqAcAnv6DfhUxh5emyM3CJp_w/edit?usp=sharing"",""เพชรบุรี!N215"")"),0)</f>
        <v>0</v>
      </c>
      <c r="AY65" s="216">
        <f t="shared" ca="1" si="116"/>
        <v>0</v>
      </c>
      <c r="AZ65" s="152">
        <f ca="1">IFERROR(__xludf.DUMMYFUNCTION("IMPORTRANGE(""https://docs.google.com/spreadsheets/d/1YXvxf8Yu6_rV4hTBrwMqAcAnv6DfhUxh5emyM3CJp_w/edit?usp=sharing"",""เพชรบุรี!L216"")"),0)</f>
        <v>0</v>
      </c>
      <c r="BA65" s="152">
        <f ca="1">IFERROR(__xludf.DUMMYFUNCTION("IMPORTRANGE(""https://docs.google.com/spreadsheets/d/1YXvxf8Yu6_rV4hTBrwMqAcAnv6DfhUxh5emyM3CJp_w/edit?usp=sharing"",""เพชรบุรี!N216"")"),0)</f>
        <v>0</v>
      </c>
      <c r="BB65" s="216">
        <f t="shared" ca="1" si="118"/>
        <v>0</v>
      </c>
      <c r="BC65" s="152">
        <f ca="1">IFERROR(__xludf.DUMMYFUNCTION("IMPORTRANGE(""https://docs.google.com/spreadsheets/d/1YXvxf8Yu6_rV4hTBrwMqAcAnv6DfhUxh5emyM3CJp_w/edit?usp=sharing"",""เพชรบุรี!L217"")"),0)</f>
        <v>0</v>
      </c>
      <c r="BD65" s="152">
        <f ca="1">IFERROR(__xludf.DUMMYFUNCTION("IMPORTRANGE(""https://docs.google.com/spreadsheets/d/1YXvxf8Yu6_rV4hTBrwMqAcAnv6DfhUxh5emyM3CJp_w/edit?usp=sharing"",""เพชรบุรี!N217"")"),0)</f>
        <v>0</v>
      </c>
      <c r="BE65" s="216">
        <f t="shared" ca="1" si="120"/>
        <v>0</v>
      </c>
      <c r="BF65" s="152">
        <f ca="1">IFERROR(__xludf.DUMMYFUNCTION("IMPORTRANGE(""https://docs.google.com/spreadsheets/d/1YXvxf8Yu6_rV4hTBrwMqAcAnv6DfhUxh5emyM3CJp_w/edit?usp=sharing"",""เพชรบุรี!Q217"")"),0)</f>
        <v>0</v>
      </c>
      <c r="BG65" s="152">
        <f ca="1">IFERROR(__xludf.DUMMYFUNCTION("IMPORTRANGE(""https://docs.google.com/spreadsheets/d/1YXvxf8Yu6_rV4hTBrwMqAcAnv6DfhUxh5emyM3CJp_w/edit?usp=sharing"",""เพชรบุรี!S217"")"),0)</f>
        <v>0</v>
      </c>
      <c r="BH65" s="216">
        <f t="shared" ca="1" si="122"/>
        <v>0</v>
      </c>
      <c r="BI65" s="152">
        <f ca="1">IFERROR(__xludf.DUMMYFUNCTION("IMPORTRANGE(""https://docs.google.com/spreadsheets/d/1YXvxf8Yu6_rV4hTBrwMqAcAnv6DfhUxh5emyM3CJp_w/edit?usp=sharing"",""เพชรบุรี!I219"")"),0)</f>
        <v>0</v>
      </c>
      <c r="BJ65" s="152">
        <f ca="1">IFERROR(__xludf.DUMMYFUNCTION("IMPORTRANGE(""https://docs.google.com/spreadsheets/d/1YXvxf8Yu6_rV4hTBrwMqAcAnv6DfhUxh5emyM3CJp_w/edit?usp=sharing"",""เพชรบุรี!J219"")"),0)</f>
        <v>0</v>
      </c>
      <c r="BK65" s="216">
        <f t="shared" ca="1" si="124"/>
        <v>0</v>
      </c>
      <c r="BL65" s="152">
        <f ca="1">IFERROR(__xludf.DUMMYFUNCTION("IMPORTRANGE(""https://docs.google.com/spreadsheets/d/1YXvxf8Yu6_rV4hTBrwMqAcAnv6DfhUxh5emyM3CJp_w/edit?usp=sharing"",""เพชรบุรี!I220"")"),0)</f>
        <v>0</v>
      </c>
      <c r="BM65" s="152">
        <f ca="1">IFERROR(__xludf.DUMMYFUNCTION("IMPORTRANGE(""https://docs.google.com/spreadsheets/d/1YXvxf8Yu6_rV4hTBrwMqAcAnv6DfhUxh5emyM3CJp_w/edit?usp=sharing"",""เพชรบุรี!J220"")"),0)</f>
        <v>0</v>
      </c>
      <c r="BN65" s="216">
        <f t="shared" ca="1" si="126"/>
        <v>0</v>
      </c>
      <c r="BO65" s="152">
        <f ca="1">IFERROR(__xludf.DUMMYFUNCTION("IMPORTRANGE(""https://docs.google.com/spreadsheets/d/1YXvxf8Yu6_rV4hTBrwMqAcAnv6DfhUxh5emyM3CJp_w/edit?usp=sharing"",""เพชรบุรี!L223"")"),2500)</f>
        <v>2500</v>
      </c>
      <c r="BP65" s="152">
        <f ca="1">IFERROR(__xludf.DUMMYFUNCTION("IMPORTRANGE(""https://docs.google.com/spreadsheets/d/1YXvxf8Yu6_rV4hTBrwMqAcAnv6DfhUxh5emyM3CJp_w/edit?usp=sharing"",""เพชรบุรี!N223"")"),0)</f>
        <v>0</v>
      </c>
      <c r="BQ65" s="216">
        <f t="shared" ca="1" si="128"/>
        <v>0</v>
      </c>
      <c r="BR65" s="152">
        <f ca="1">IFERROR(__xludf.DUMMYFUNCTION("IMPORTRANGE(""https://docs.google.com/spreadsheets/d/1YXvxf8Yu6_rV4hTBrwMqAcAnv6DfhUxh5emyM3CJp_w/edit?usp=sharing"",""เพชรบุรี!L224"")"),4000)</f>
        <v>4000</v>
      </c>
      <c r="BS65" s="152">
        <f ca="1">IFERROR(__xludf.DUMMYFUNCTION("IMPORTRANGE(""https://docs.google.com/spreadsheets/d/1YXvxf8Yu6_rV4hTBrwMqAcAnv6DfhUxh5emyM3CJp_w/edit?usp=sharing"",""เพชรบุรี!N224"")"),0)</f>
        <v>0</v>
      </c>
      <c r="BT65" s="216">
        <f t="shared" ca="1" si="130"/>
        <v>0</v>
      </c>
      <c r="BU65" s="152">
        <f ca="1">IFERROR(__xludf.DUMMYFUNCTION("IMPORTRANGE(""https://docs.google.com/spreadsheets/d/1YXvxf8Yu6_rV4hTBrwMqAcAnv6DfhUxh5emyM3CJp_w/edit?usp=sharing"",""เพชรบุรี!I228"")"),30000)</f>
        <v>30000</v>
      </c>
      <c r="BV65" s="152">
        <f ca="1">IFERROR(__xludf.DUMMYFUNCTION("IMPORTRANGE(""https://docs.google.com/spreadsheets/d/1YXvxf8Yu6_rV4hTBrwMqAcAnv6DfhUxh5emyM3CJp_w/edit?usp=sharing"",""เพชรบุรี!J228"")"),30000)</f>
        <v>30000</v>
      </c>
      <c r="BW65" s="216">
        <f t="shared" ca="1" si="132"/>
        <v>100</v>
      </c>
      <c r="BX65" s="152">
        <f ca="1">IFERROR(__xludf.DUMMYFUNCTION("IMPORTRANGE(""https://docs.google.com/spreadsheets/d/1YXvxf8Yu6_rV4hTBrwMqAcAnv6DfhUxh5emyM3CJp_w/edit?usp=sharing"",""เพชรบุรี!I229"")"),30000)</f>
        <v>30000</v>
      </c>
      <c r="BY65" s="152">
        <f ca="1">IFERROR(__xludf.DUMMYFUNCTION("IMPORTRANGE(""https://docs.google.com/spreadsheets/d/1YXvxf8Yu6_rV4hTBrwMqAcAnv6DfhUxh5emyM3CJp_w/edit?usp=sharing"",""เพชรบุรี!J229"")"),0)</f>
        <v>0</v>
      </c>
      <c r="BZ65" s="216">
        <f t="shared" ca="1" si="134"/>
        <v>0</v>
      </c>
      <c r="CA65" s="152">
        <f ca="1">IFERROR(__xludf.DUMMYFUNCTION("IMPORTRANGE(""https://docs.google.com/spreadsheets/d/1YXvxf8Yu6_rV4hTBrwMqAcAnv6DfhUxh5emyM3CJp_w/edit?usp=sharing"",""เพชรบุรี!I230"")"),0)</f>
        <v>0</v>
      </c>
      <c r="CB65" s="152">
        <f ca="1">IFERROR(__xludf.DUMMYFUNCTION("IMPORTRANGE(""https://docs.google.com/spreadsheets/d/1YXvxf8Yu6_rV4hTBrwMqAcAnv6DfhUxh5emyM3CJp_w/edit?usp=sharing"",""เพชรบุรี!J230"")"),0)</f>
        <v>0</v>
      </c>
      <c r="CC65" s="216">
        <f t="shared" ca="1" si="136"/>
        <v>0</v>
      </c>
      <c r="CD65" s="152">
        <f ca="1">IFERROR(__xludf.DUMMYFUNCTION("IMPORTRANGE(""https://docs.google.com/spreadsheets/d/1YXvxf8Yu6_rV4hTBrwMqAcAnv6DfhUxh5emyM3CJp_w/edit?usp=sharing"",""เพชรบุรี!L233"")"),0)</f>
        <v>0</v>
      </c>
      <c r="CE65" s="152">
        <f ca="1">IFERROR(__xludf.DUMMYFUNCTION("IMPORTRANGE(""https://docs.google.com/spreadsheets/d/1YXvxf8Yu6_rV4hTBrwMqAcAnv6DfhUxh5emyM3CJp_w/edit?usp=sharing"",""เพชรบุรี!N233"")"),0)</f>
        <v>0</v>
      </c>
      <c r="CF65" s="216">
        <f t="shared" ca="1" si="138"/>
        <v>0</v>
      </c>
      <c r="CG65" s="152">
        <f ca="1">IFERROR(__xludf.DUMMYFUNCTION("IMPORTRANGE(""https://docs.google.com/spreadsheets/d/1YXvxf8Yu6_rV4hTBrwMqAcAnv6DfhUxh5emyM3CJp_w/edit?usp=sharing"",""เพชรบุรี!L234"")"),0)</f>
        <v>0</v>
      </c>
      <c r="CH65" s="152">
        <f ca="1">IFERROR(__xludf.DUMMYFUNCTION("IMPORTRANGE(""https://docs.google.com/spreadsheets/d/1YXvxf8Yu6_rV4hTBrwMqAcAnv6DfhUxh5emyM3CJp_w/edit?usp=sharing"",""เพชรบุรี!N234"")"),0)</f>
        <v>0</v>
      </c>
      <c r="CI65" s="216">
        <f t="shared" ca="1" si="140"/>
        <v>0</v>
      </c>
      <c r="CJ65" s="152">
        <f ca="1">IFERROR(__xludf.DUMMYFUNCTION("IMPORTRANGE(""https://docs.google.com/spreadsheets/d/1YXvxf8Yu6_rV4hTBrwMqAcAnv6DfhUxh5emyM3CJp_w/edit?usp=sharing"",""เพชรบุรี!L235"")"),0)</f>
        <v>0</v>
      </c>
      <c r="CK65" s="152">
        <f ca="1">IFERROR(__xludf.DUMMYFUNCTION("IMPORTRANGE(""https://docs.google.com/spreadsheets/d/1YXvxf8Yu6_rV4hTBrwMqAcAnv6DfhUxh5emyM3CJp_w/edit?usp=sharing"",""เพชรบุรี!N235"")"),0)</f>
        <v>0</v>
      </c>
      <c r="CL65" s="216">
        <f t="shared" ca="1" si="142"/>
        <v>0</v>
      </c>
      <c r="CM65" s="251">
        <f ca="1">IFERROR(__xludf.DUMMYFUNCTION("IMPORTRANGE(""https://docs.google.com/spreadsheets/d/1YXvxf8Yu6_rV4hTBrwMqAcAnv6DfhUxh5emyM3CJp_w/edit?usp=sharing"",""เพชรบุรี!Q235"")"),0)</f>
        <v>0</v>
      </c>
      <c r="CN65" s="251">
        <f ca="1">IFERROR(__xludf.DUMMYFUNCTION("IMPORTRANGE(""https://docs.google.com/spreadsheets/d/1YXvxf8Yu6_rV4hTBrwMqAcAnv6DfhUxh5emyM3CJp_w/edit?usp=sharing"",""เพชรบุรี!S235"")"),0)</f>
        <v>0</v>
      </c>
      <c r="CO65" s="216">
        <f t="shared" ca="1" si="144"/>
        <v>0</v>
      </c>
      <c r="CP65" s="152">
        <f ca="1">IFERROR(__xludf.DUMMYFUNCTION("IMPORTRANGE(""https://docs.google.com/spreadsheets/d/1YXvxf8Yu6_rV4hTBrwMqAcAnv6DfhUxh5emyM3CJp_w/edit?usp=sharing"",""เพชรบุรี!L236"")"),0)</f>
        <v>0</v>
      </c>
      <c r="CQ65" s="152">
        <f ca="1">IFERROR(__xludf.DUMMYFUNCTION("IMPORTRANGE(""https://docs.google.com/spreadsheets/d/1YXvxf8Yu6_rV4hTBrwMqAcAnv6DfhUxh5emyM3CJp_w/edit?usp=sharing"",""เพชรบุรี!N236"")"),0)</f>
        <v>0</v>
      </c>
      <c r="CR65" s="216">
        <f t="shared" ca="1" si="146"/>
        <v>0</v>
      </c>
      <c r="CS65" s="152">
        <f ca="1">IFERROR(__xludf.DUMMYFUNCTION("IMPORTRANGE(""https://docs.google.com/spreadsheets/d/1YXvxf8Yu6_rV4hTBrwMqAcAnv6DfhUxh5emyM3CJp_w/edit?usp=sharing"",""เพชรบุรี!I238"")"),0)</f>
        <v>0</v>
      </c>
      <c r="CT65" s="152">
        <f ca="1">IFERROR(__xludf.DUMMYFUNCTION("IMPORTRANGE(""https://docs.google.com/spreadsheets/d/1YXvxf8Yu6_rV4hTBrwMqAcAnv6DfhUxh5emyM3CJp_w/edit?usp=sharing"",""เพชรบุรี!J238"")"),0)</f>
        <v>0</v>
      </c>
      <c r="CU65" s="216">
        <f t="shared" ca="1" si="148"/>
        <v>0</v>
      </c>
      <c r="CV65" s="152">
        <f ca="1">IFERROR(__xludf.DUMMYFUNCTION("IMPORTRANGE(""https://docs.google.com/spreadsheets/d/1YXvxf8Yu6_rV4hTBrwMqAcAnv6DfhUxh5emyM3CJp_w/edit?usp=sharing"",""เพชรบุรี!J240"")"),0)</f>
        <v>0</v>
      </c>
      <c r="CW65" s="152">
        <f ca="1">IFERROR(__xludf.DUMMYFUNCTION("IMPORTRANGE(""https://docs.google.com/spreadsheets/d/1YXvxf8Yu6_rV4hTBrwMqAcAnv6DfhUxh5emyM3CJp_w/edit?usp=sharing"",""เพชรบุรี!J241"")"),0)</f>
        <v>0</v>
      </c>
    </row>
    <row r="66" spans="1:101" ht="21" customHeight="1" x14ac:dyDescent="0.3">
      <c r="A66" s="147">
        <v>14</v>
      </c>
      <c r="B66" s="148" t="s">
        <v>94</v>
      </c>
      <c r="C66" s="149">
        <f t="shared" ca="1" si="90"/>
        <v>165700</v>
      </c>
      <c r="D66" s="150">
        <f t="shared" ca="1" si="206"/>
        <v>165700</v>
      </c>
      <c r="E66" s="151">
        <f ca="1">IFERROR(__xludf.DUMMYFUNCTION("IMPORTRANGE(""https://docs.google.com/spreadsheets/d/1-uDff_7J0KD5mKrp0Vvzr7lt3OU09vwQwhkpOPPYv2Y/edit?usp=sharing"",""งบพรบ!CV66"")"),77200)</f>
        <v>77200</v>
      </c>
      <c r="F66" s="151">
        <f ca="1">IFERROR(__xludf.DUMMYFUNCTION("IMPORTRANGE(""https://docs.google.com/spreadsheets/d/1-uDff_7J0KD5mKrp0Vvzr7lt3OU09vwQwhkpOPPYv2Y/edit?usp=sharing"",""งบพรบ!CW66"")"),88500)</f>
        <v>88500</v>
      </c>
      <c r="G66" s="151">
        <f ca="1">IFERROR(__xludf.DUMMYFUNCTION("IMPORTRANGE(""https://docs.google.com/spreadsheets/d/1-uDff_7J0KD5mKrp0Vvzr7lt3OU09vwQwhkpOPPYv2Y/edit?usp=sharing"",""งบพรบ!CX66"")"),0)</f>
        <v>0</v>
      </c>
      <c r="H66" s="151">
        <f ca="1">IFERROR(__xludf.DUMMYFUNCTION("IMPORTRANGE(""https://docs.google.com/spreadsheets/d/1-uDff_7J0KD5mKrp0Vvzr7lt3OU09vwQwhkpOPPYv2Y/edit?usp=sharing"",""งบพรบ!CZ66"")"),191260)</f>
        <v>191260</v>
      </c>
      <c r="I66" s="151">
        <f ca="1">IFERROR(__xludf.DUMMYFUNCTION("IMPORTRANGE(""https://docs.google.com/spreadsheets/d/1-uDff_7J0KD5mKrp0Vvzr7lt3OU09vwQwhkpOPPYv2Y/edit?usp=sharing"",""งบพรบ!DA66"")"),0)</f>
        <v>0</v>
      </c>
      <c r="J66" s="151">
        <f t="shared" ca="1" si="92"/>
        <v>190861.6</v>
      </c>
      <c r="K66" s="154">
        <f t="shared" ca="1" si="93"/>
        <v>115.1850331925166</v>
      </c>
      <c r="L66" s="151">
        <f ca="1">IFERROR(__xludf.DUMMYFUNCTION("IMPORTRANGE(""https://docs.google.com/spreadsheets/d/1-uDff_7J0KD5mKrp0Vvzr7lt3OU09vwQwhkpOPPYv2Y/edit?usp=sharing"",""งบพรบ!DB66"")"),190861.6)</f>
        <v>190861.6</v>
      </c>
      <c r="M66" s="68">
        <f t="shared" ca="1" si="94"/>
        <v>115.1850331925166</v>
      </c>
      <c r="N66" s="68">
        <f t="shared" ca="1" si="95"/>
        <v>99.791697166161242</v>
      </c>
      <c r="O66" s="67">
        <f ca="1">IFERROR(__xludf.DUMMYFUNCTION("IMPORTRANGE(""https://docs.google.com/spreadsheets/d/1-uDff_7J0KD5mKrp0Vvzr7lt3OU09vwQwhkpOPPYv2Y/edit?usp=sharing"",""งบพรบ!DC66"")"),0)</f>
        <v>0</v>
      </c>
      <c r="P66" s="67">
        <f t="shared" ca="1" si="96"/>
        <v>0</v>
      </c>
      <c r="Q66" s="68">
        <f t="shared" ca="1" si="97"/>
        <v>0</v>
      </c>
      <c r="R66" s="67">
        <f ca="1">IFERROR(__xludf.DUMMYFUNCTION("IMPORTRANGE(""https://docs.google.com/spreadsheets/d/19KBlQQs7uwvsao6t2n-KvW3Ax8J8uRRfZPq1zPbXgKc/edit?usp=sharing"",""ระยอง!Q186"")"),14000)</f>
        <v>14000</v>
      </c>
      <c r="S66" s="67">
        <f ca="1">IFERROR(__xludf.DUMMYFUNCTION("IMPORTRANGE(""https://docs.google.com/spreadsheets/d/19KBlQQs7uwvsao6t2n-KvW3Ax8J8uRRfZPq1zPbXgKc/edit?usp=sharing"",""ระยอง!R186"")"),14000)</f>
        <v>14000</v>
      </c>
      <c r="T66" s="67">
        <f ca="1">IFERROR(__xludf.DUMMYFUNCTION("IMPORTRANGE(""https://docs.google.com/spreadsheets/d/19KBlQQs7uwvsao6t2n-KvW3Ax8J8uRRfZPq1zPbXgKc/edit?usp=sharing"",""ระยอง!S186"")"),14000)</f>
        <v>14000</v>
      </c>
      <c r="U66" s="68">
        <f t="shared" ca="1" si="99"/>
        <v>100</v>
      </c>
      <c r="V66" s="68">
        <f t="shared" ca="1" si="100"/>
        <v>100</v>
      </c>
      <c r="W66" s="152">
        <f ca="1">IFERROR(__xludf.DUMMYFUNCTION("IMPORTRANGE(""https://docs.google.com/spreadsheets/d/19KBlQQs7uwvsao6t2n-KvW3Ax8J8uRRfZPq1zPbXgKc/edit?usp=sharing"",""ระยอง!L196"")"),6000)</f>
        <v>6000</v>
      </c>
      <c r="X66" s="152">
        <f ca="1">IFERROR(__xludf.DUMMYFUNCTION("IMPORTRANGE(""https://docs.google.com/spreadsheets/d/19KBlQQs7uwvsao6t2n-KvW3Ax8J8uRRfZPq1zPbXgKc/edit?usp=sharing"",""ระยอง!N196"")"),3050)</f>
        <v>3050</v>
      </c>
      <c r="Y66" s="216">
        <f t="shared" ca="1" si="102"/>
        <v>50.833333333333336</v>
      </c>
      <c r="Z66" s="152">
        <f ca="1">IFERROR(__xludf.DUMMYFUNCTION("IMPORTRANGE(""https://docs.google.com/spreadsheets/d/19KBlQQs7uwvsao6t2n-KvW3Ax8J8uRRfZPq1zPbXgKc/edit?usp=sharing"",""ระยอง!I198"")"),4)</f>
        <v>4</v>
      </c>
      <c r="AA66" s="152">
        <f ca="1">IFERROR(__xludf.DUMMYFUNCTION("IMPORTRANGE(""https://docs.google.com/spreadsheets/d/19KBlQQs7uwvsao6t2n-KvW3Ax8J8uRRfZPq1zPbXgKc/edit?usp=sharing"",""ระยอง!J198"")"),2)</f>
        <v>2</v>
      </c>
      <c r="AB66" s="216">
        <f t="shared" ca="1" si="104"/>
        <v>50</v>
      </c>
      <c r="AC66" s="152">
        <f ca="1">IFERROR(__xludf.DUMMYFUNCTION("IMPORTRANGE(""https://docs.google.com/spreadsheets/d/19KBlQQs7uwvsao6t2n-KvW3Ax8J8uRRfZPq1zPbXgKc/edit?usp=sharing"",""ระยอง!J199"")"),103)</f>
        <v>103</v>
      </c>
      <c r="AD66" s="152">
        <f ca="1">IFERROR(__xludf.DUMMYFUNCTION("IMPORTRANGE(""https://docs.google.com/spreadsheets/d/19KBlQQs7uwvsao6t2n-KvW3Ax8J8uRRfZPq1zPbXgKc/edit?usp=sharing"",""ระยอง!J200"")"),103)</f>
        <v>103</v>
      </c>
      <c r="AE66" s="152">
        <f ca="1">IFERROR(__xludf.DUMMYFUNCTION("IMPORTRANGE(""https://docs.google.com/spreadsheets/d/19KBlQQs7uwvsao6t2n-KvW3Ax8J8uRRfZPq1zPbXgKc/edit?usp=sharing"",""ระยอง!J201"")"),0)</f>
        <v>0</v>
      </c>
      <c r="AF66" s="152">
        <f ca="1">IFERROR(__xludf.DUMMYFUNCTION("IMPORTRANGE(""https://docs.google.com/spreadsheets/d/19KBlQQs7uwvsao6t2n-KvW3Ax8J8uRRfZPq1zPbXgKc/edit?usp=sharing"",""ระยอง!L204"")"),1000)</f>
        <v>1000</v>
      </c>
      <c r="AG66" s="152">
        <f ca="1">IFERROR(__xludf.DUMMYFUNCTION("IMPORTRANGE(""https://docs.google.com/spreadsheets/d/19KBlQQs7uwvsao6t2n-KvW3Ax8J8uRRfZPq1zPbXgKc/edit?usp=sharing"",""ระยอง!N204"")"),240)</f>
        <v>240</v>
      </c>
      <c r="AH66" s="216">
        <f t="shared" ca="1" si="106"/>
        <v>24</v>
      </c>
      <c r="AI66" s="152">
        <f ca="1">IFERROR(__xludf.DUMMYFUNCTION("IMPORTRANGE(""https://docs.google.com/spreadsheets/d/19KBlQQs7uwvsao6t2n-KvW3Ax8J8uRRfZPq1zPbXgKc/edit?usp=sharing"",""ระยอง!L206"")"),0)</f>
        <v>0</v>
      </c>
      <c r="AJ66" s="152">
        <f ca="1">IFERROR(__xludf.DUMMYFUNCTION("IMPORTRANGE(""https://docs.google.com/spreadsheets/d/19KBlQQs7uwvsao6t2n-KvW3Ax8J8uRRfZPq1zPbXgKc/edit?usp=sharing"",""ระยอง!N206"")"),0)</f>
        <v>0</v>
      </c>
      <c r="AK66" s="216">
        <f t="shared" ca="1" si="108"/>
        <v>0</v>
      </c>
      <c r="AL66" s="152">
        <f ca="1">IFERROR(__xludf.DUMMYFUNCTION("IMPORTRANGE(""https://docs.google.com/spreadsheets/d/19KBlQQs7uwvsao6t2n-KvW3Ax8J8uRRfZPq1zPbXgKc/edit?usp=sharing"",""ระยอง!Q206"")"),14000)</f>
        <v>14000</v>
      </c>
      <c r="AM66" s="152">
        <f ca="1">IFERROR(__xludf.DUMMYFUNCTION("IMPORTRANGE(""https://docs.google.com/spreadsheets/d/19KBlQQs7uwvsao6t2n-KvW3Ax8J8uRRfZPq1zPbXgKc/edit?usp=sharing"",""ระยอง!S206"")"),14000)</f>
        <v>14000</v>
      </c>
      <c r="AN66" s="216">
        <f t="shared" ca="1" si="110"/>
        <v>100</v>
      </c>
      <c r="AO66" s="152">
        <f ca="1">IFERROR(__xludf.DUMMYFUNCTION("IMPORTRANGE(""https://docs.google.com/spreadsheets/d/19KBlQQs7uwvsao6t2n-KvW3Ax8J8uRRfZPq1zPbXgKc/edit?usp=sharing"",""ระยอง!L207"")"),4000)</f>
        <v>4000</v>
      </c>
      <c r="AP66" s="152">
        <f ca="1">IFERROR(__xludf.DUMMYFUNCTION("IMPORTRANGE(""https://docs.google.com/spreadsheets/d/19KBlQQs7uwvsao6t2n-KvW3Ax8J8uRRfZPq1zPbXgKc/edit?usp=sharing"",""ระยอง!N207"")"),4000)</f>
        <v>4000</v>
      </c>
      <c r="AQ66" s="216">
        <f t="shared" ca="1" si="112"/>
        <v>100</v>
      </c>
      <c r="AR66" s="152">
        <f ca="1">IFERROR(__xludf.DUMMYFUNCTION("IMPORTRANGE(""https://docs.google.com/spreadsheets/d/19KBlQQs7uwvsao6t2n-KvW3Ax8J8uRRfZPq1zPbXgKc/edit?usp=sharing"",""ระยอง!I209"")"),1)</f>
        <v>1</v>
      </c>
      <c r="AS66" s="152">
        <f ca="1">IFERROR(__xludf.DUMMYFUNCTION("IMPORTRANGE(""https://docs.google.com/spreadsheets/d/19KBlQQs7uwvsao6t2n-KvW3Ax8J8uRRfZPq1zPbXgKc/edit?usp=sharing"",""ระยอง!J209"")"),1)</f>
        <v>1</v>
      </c>
      <c r="AT66" s="216">
        <f t="shared" ca="1" si="114"/>
        <v>100</v>
      </c>
      <c r="AU66" s="152">
        <f ca="1">IFERROR(__xludf.DUMMYFUNCTION("IMPORTRANGE(""https://docs.google.com/spreadsheets/d/19KBlQQs7uwvsao6t2n-KvW3Ax8J8uRRfZPq1zPbXgKc/edit?usp=sharing"",""ระยอง!J211"")"),1)</f>
        <v>1</v>
      </c>
      <c r="AV66" s="152">
        <f ca="1">IFERROR(__xludf.DUMMYFUNCTION("IMPORTRANGE(""https://docs.google.com/spreadsheets/d/19KBlQQs7uwvsao6t2n-KvW3Ax8J8uRRfZPq1zPbXgKc/edit?usp=sharing"",""ระยอง!J212"")"),0)</f>
        <v>0</v>
      </c>
      <c r="AW66" s="152">
        <f ca="1">IFERROR(__xludf.DUMMYFUNCTION("IMPORTRANGE(""https://docs.google.com/spreadsheets/d/19KBlQQs7uwvsao6t2n-KvW3Ax8J8uRRfZPq1zPbXgKc/edit?usp=sharing"",""ระยอง!L215"")"),0)</f>
        <v>0</v>
      </c>
      <c r="AX66" s="152">
        <f ca="1">IFERROR(__xludf.DUMMYFUNCTION("IMPORTRANGE(""https://docs.google.com/spreadsheets/d/19KBlQQs7uwvsao6t2n-KvW3Ax8J8uRRfZPq1zPbXgKc/edit?usp=sharing"",""ระยอง!N215"")"),0)</f>
        <v>0</v>
      </c>
      <c r="AY66" s="216">
        <f t="shared" ca="1" si="116"/>
        <v>0</v>
      </c>
      <c r="AZ66" s="152">
        <f ca="1">IFERROR(__xludf.DUMMYFUNCTION("IMPORTRANGE(""https://docs.google.com/spreadsheets/d/19KBlQQs7uwvsao6t2n-KvW3Ax8J8uRRfZPq1zPbXgKc/edit?usp=sharing"",""ระยอง!L216"")"),0)</f>
        <v>0</v>
      </c>
      <c r="BA66" s="152">
        <f ca="1">IFERROR(__xludf.DUMMYFUNCTION("IMPORTRANGE(""https://docs.google.com/spreadsheets/d/19KBlQQs7uwvsao6t2n-KvW3Ax8J8uRRfZPq1zPbXgKc/edit?usp=sharing"",""ระยอง!N216"")"),0)</f>
        <v>0</v>
      </c>
      <c r="BB66" s="216">
        <f t="shared" ca="1" si="118"/>
        <v>0</v>
      </c>
      <c r="BC66" s="152">
        <f ca="1">IFERROR(__xludf.DUMMYFUNCTION("IMPORTRANGE(""https://docs.google.com/spreadsheets/d/19KBlQQs7uwvsao6t2n-KvW3Ax8J8uRRfZPq1zPbXgKc/edit?usp=sharing"",""ระยอง!L217"")"),0)</f>
        <v>0</v>
      </c>
      <c r="BD66" s="152">
        <f ca="1">IFERROR(__xludf.DUMMYFUNCTION("IMPORTRANGE(""https://docs.google.com/spreadsheets/d/19KBlQQs7uwvsao6t2n-KvW3Ax8J8uRRfZPq1zPbXgKc/edit?usp=sharing"",""ระยอง!N217"")"),0)</f>
        <v>0</v>
      </c>
      <c r="BE66" s="216">
        <f t="shared" ca="1" si="120"/>
        <v>0</v>
      </c>
      <c r="BF66" s="152">
        <f ca="1">IFERROR(__xludf.DUMMYFUNCTION("IMPORTRANGE(""https://docs.google.com/spreadsheets/d/19KBlQQs7uwvsao6t2n-KvW3Ax8J8uRRfZPq1zPbXgKc/edit?usp=sharing"",""ระยอง!Q217"")"),0)</f>
        <v>0</v>
      </c>
      <c r="BG66" s="152">
        <f ca="1">IFERROR(__xludf.DUMMYFUNCTION("IMPORTRANGE(""https://docs.google.com/spreadsheets/d/19KBlQQs7uwvsao6t2n-KvW3Ax8J8uRRfZPq1zPbXgKc/edit?usp=sharing"",""ระยอง!S217"")"),0)</f>
        <v>0</v>
      </c>
      <c r="BH66" s="216">
        <f t="shared" ca="1" si="122"/>
        <v>0</v>
      </c>
      <c r="BI66" s="152">
        <f ca="1">IFERROR(__xludf.DUMMYFUNCTION("IMPORTRANGE(""https://docs.google.com/spreadsheets/d/19KBlQQs7uwvsao6t2n-KvW3Ax8J8uRRfZPq1zPbXgKc/edit?usp=sharing"",""ระยอง!I219"")"),0)</f>
        <v>0</v>
      </c>
      <c r="BJ66" s="152">
        <f ca="1">IFERROR(__xludf.DUMMYFUNCTION("IMPORTRANGE(""https://docs.google.com/spreadsheets/d/19KBlQQs7uwvsao6t2n-KvW3Ax8J8uRRfZPq1zPbXgKc/edit?usp=sharing"",""ระยอง!J219"")"),0)</f>
        <v>0</v>
      </c>
      <c r="BK66" s="216">
        <f t="shared" ca="1" si="124"/>
        <v>0</v>
      </c>
      <c r="BL66" s="152">
        <f ca="1">IFERROR(__xludf.DUMMYFUNCTION("IMPORTRANGE(""https://docs.google.com/spreadsheets/d/19KBlQQs7uwvsao6t2n-KvW3Ax8J8uRRfZPq1zPbXgKc/edit?usp=sharing"",""ระยอง!I220"")"),0)</f>
        <v>0</v>
      </c>
      <c r="BM66" s="152">
        <f ca="1">IFERROR(__xludf.DUMMYFUNCTION("IMPORTRANGE(""https://docs.google.com/spreadsheets/d/19KBlQQs7uwvsao6t2n-KvW3Ax8J8uRRfZPq1zPbXgKc/edit?usp=sharing"",""ระยอง!J220"")"),0)</f>
        <v>0</v>
      </c>
      <c r="BN66" s="216">
        <f t="shared" ca="1" si="126"/>
        <v>0</v>
      </c>
      <c r="BO66" s="152">
        <f ca="1">IFERROR(__xludf.DUMMYFUNCTION("IMPORTRANGE(""https://docs.google.com/spreadsheets/d/19KBlQQs7uwvsao6t2n-KvW3Ax8J8uRRfZPq1zPbXgKc/edit?usp=sharing"",""ระยอง!L223"")"),2500)</f>
        <v>2500</v>
      </c>
      <c r="BP66" s="152">
        <f ca="1">IFERROR(__xludf.DUMMYFUNCTION("IMPORTRANGE(""https://docs.google.com/spreadsheets/d/19KBlQQs7uwvsao6t2n-KvW3Ax8J8uRRfZPq1zPbXgKc/edit?usp=sharing"",""ระยอง!N223"")"),2500)</f>
        <v>2500</v>
      </c>
      <c r="BQ66" s="216">
        <f t="shared" ca="1" si="128"/>
        <v>100</v>
      </c>
      <c r="BR66" s="152">
        <f ca="1">IFERROR(__xludf.DUMMYFUNCTION("IMPORTRANGE(""https://docs.google.com/spreadsheets/d/19KBlQQs7uwvsao6t2n-KvW3Ax8J8uRRfZPq1zPbXgKc/edit?usp=sharing"",""ระยอง!L224"")"),2000)</f>
        <v>2000</v>
      </c>
      <c r="BS66" s="152">
        <f ca="1">IFERROR(__xludf.DUMMYFUNCTION("IMPORTRANGE(""https://docs.google.com/spreadsheets/d/19KBlQQs7uwvsao6t2n-KvW3Ax8J8uRRfZPq1zPbXgKc/edit?usp=sharing"",""ระยอง!N224"")"),2000)</f>
        <v>2000</v>
      </c>
      <c r="BT66" s="216">
        <f t="shared" ca="1" si="130"/>
        <v>100</v>
      </c>
      <c r="BU66" s="152">
        <f ca="1">IFERROR(__xludf.DUMMYFUNCTION("IMPORTRANGE(""https://docs.google.com/spreadsheets/d/19KBlQQs7uwvsao6t2n-KvW3Ax8J8uRRfZPq1zPbXgKc/edit?usp=sharing"",""ระยอง!I228"")"),6400)</f>
        <v>6400</v>
      </c>
      <c r="BV66" s="152">
        <f ca="1">IFERROR(__xludf.DUMMYFUNCTION("IMPORTRANGE(""https://docs.google.com/spreadsheets/d/19KBlQQs7uwvsao6t2n-KvW3Ax8J8uRRfZPq1zPbXgKc/edit?usp=sharing"",""ระยอง!J228"")"),6400)</f>
        <v>6400</v>
      </c>
      <c r="BW66" s="216">
        <f t="shared" ca="1" si="132"/>
        <v>100</v>
      </c>
      <c r="BX66" s="152">
        <f ca="1">IFERROR(__xludf.DUMMYFUNCTION("IMPORTRANGE(""https://docs.google.com/spreadsheets/d/19KBlQQs7uwvsao6t2n-KvW3Ax8J8uRRfZPq1zPbXgKc/edit?usp=sharing"",""ระยอง!I229"")"),6400)</f>
        <v>6400</v>
      </c>
      <c r="BY66" s="152">
        <f ca="1">IFERROR(__xludf.DUMMYFUNCTION("IMPORTRANGE(""https://docs.google.com/spreadsheets/d/19KBlQQs7uwvsao6t2n-KvW3Ax8J8uRRfZPq1zPbXgKc/edit?usp=sharing"",""ระยอง!J229"")"),6400)</f>
        <v>6400</v>
      </c>
      <c r="BZ66" s="216">
        <f t="shared" ca="1" si="134"/>
        <v>100</v>
      </c>
      <c r="CA66" s="152">
        <f ca="1">IFERROR(__xludf.DUMMYFUNCTION("IMPORTRANGE(""https://docs.google.com/spreadsheets/d/19KBlQQs7uwvsao6t2n-KvW3Ax8J8uRRfZPq1zPbXgKc/edit?usp=sharing"",""ระยอง!I230"")"),0)</f>
        <v>0</v>
      </c>
      <c r="CB66" s="152">
        <f ca="1">IFERROR(__xludf.DUMMYFUNCTION("IMPORTRANGE(""https://docs.google.com/spreadsheets/d/19KBlQQs7uwvsao6t2n-KvW3Ax8J8uRRfZPq1zPbXgKc/edit?usp=sharing"",""ระยอง!J230"")"),0)</f>
        <v>0</v>
      </c>
      <c r="CC66" s="216">
        <f t="shared" ca="1" si="136"/>
        <v>0</v>
      </c>
      <c r="CD66" s="152">
        <f ca="1">IFERROR(__xludf.DUMMYFUNCTION("IMPORTRANGE(""https://docs.google.com/spreadsheets/d/19KBlQQs7uwvsao6t2n-KvW3Ax8J8uRRfZPq1zPbXgKc/edit?usp=sharing"",""ระยอง!L233"")"),16000)</f>
        <v>16000</v>
      </c>
      <c r="CE66" s="152">
        <f ca="1">IFERROR(__xludf.DUMMYFUNCTION("IMPORTRANGE(""https://docs.google.com/spreadsheets/d/19KBlQQs7uwvsao6t2n-KvW3Ax8J8uRRfZPq1zPbXgKc/edit?usp=sharing"",""ระยอง!N233"")"),16000)</f>
        <v>16000</v>
      </c>
      <c r="CF66" s="216">
        <f t="shared" ca="1" si="138"/>
        <v>100</v>
      </c>
      <c r="CG66" s="152">
        <f ca="1">IFERROR(__xludf.DUMMYFUNCTION("IMPORTRANGE(""https://docs.google.com/spreadsheets/d/19KBlQQs7uwvsao6t2n-KvW3Ax8J8uRRfZPq1zPbXgKc/edit?usp=sharing"",""ระยอง!L234"")"),4000)</f>
        <v>4000</v>
      </c>
      <c r="CH66" s="152">
        <f ca="1">IFERROR(__xludf.DUMMYFUNCTION("IMPORTRANGE(""https://docs.google.com/spreadsheets/d/19KBlQQs7uwvsao6t2n-KvW3Ax8J8uRRfZPq1zPbXgKc/edit?usp=sharing"",""ระยอง!N234"")"),4000)</f>
        <v>4000</v>
      </c>
      <c r="CI66" s="216">
        <f t="shared" ca="1" si="140"/>
        <v>100</v>
      </c>
      <c r="CJ66" s="152">
        <f ca="1">IFERROR(__xludf.DUMMYFUNCTION("IMPORTRANGE(""https://docs.google.com/spreadsheets/d/19KBlQQs7uwvsao6t2n-KvW3Ax8J8uRRfZPq1zPbXgKc/edit?usp=sharing"",""ระยอง!L235"")"),28000)</f>
        <v>28000</v>
      </c>
      <c r="CK66" s="152">
        <f ca="1">IFERROR(__xludf.DUMMYFUNCTION("IMPORTRANGE(""https://docs.google.com/spreadsheets/d/19KBlQQs7uwvsao6t2n-KvW3Ax8J8uRRfZPq1zPbXgKc/edit?usp=sharing"",""ระยอง!N235"")"),28000)</f>
        <v>28000</v>
      </c>
      <c r="CL66" s="216">
        <f t="shared" ca="1" si="142"/>
        <v>100</v>
      </c>
      <c r="CM66" s="251">
        <f ca="1">IFERROR(__xludf.DUMMYFUNCTION("IMPORTRANGE(""https://docs.google.com/spreadsheets/d/19KBlQQs7uwvsao6t2n-KvW3Ax8J8uRRfZPq1zPbXgKc/edit?usp=sharing"",""ระยอง!Q235"")"),0)</f>
        <v>0</v>
      </c>
      <c r="CN66" s="251">
        <f ca="1">IFERROR(__xludf.DUMMYFUNCTION("IMPORTRANGE(""https://docs.google.com/spreadsheets/d/19KBlQQs7uwvsao6t2n-KvW3Ax8J8uRRfZPq1zPbXgKc/edit?usp=sharing"",""ระยอง!S235"")"),0)</f>
        <v>0</v>
      </c>
      <c r="CO66" s="216">
        <f t="shared" ca="1" si="144"/>
        <v>0</v>
      </c>
      <c r="CP66" s="152">
        <f ca="1">IFERROR(__xludf.DUMMYFUNCTION("IMPORTRANGE(""https://docs.google.com/spreadsheets/d/19KBlQQs7uwvsao6t2n-KvW3Ax8J8uRRfZPq1zPbXgKc/edit?usp=sharing"",""ระยอง!L236"")"),25000)</f>
        <v>25000</v>
      </c>
      <c r="CQ66" s="152">
        <f ca="1">IFERROR(__xludf.DUMMYFUNCTION("IMPORTRANGE(""https://docs.google.com/spreadsheets/d/19KBlQQs7uwvsao6t2n-KvW3Ax8J8uRRfZPq1zPbXgKc/edit?usp=sharing"",""ระยอง!N236"")"),25000)</f>
        <v>25000</v>
      </c>
      <c r="CR66" s="216">
        <f t="shared" ca="1" si="146"/>
        <v>100</v>
      </c>
      <c r="CS66" s="152">
        <f ca="1">IFERROR(__xludf.DUMMYFUNCTION("IMPORTRANGE(""https://docs.google.com/spreadsheets/d/19KBlQQs7uwvsao6t2n-KvW3Ax8J8uRRfZPq1zPbXgKc/edit?usp=sharing"",""ระยอง!I238"")"),20)</f>
        <v>20</v>
      </c>
      <c r="CT66" s="152">
        <f ca="1">IFERROR(__xludf.DUMMYFUNCTION("IMPORTRANGE(""https://docs.google.com/spreadsheets/d/19KBlQQs7uwvsao6t2n-KvW3Ax8J8uRRfZPq1zPbXgKc/edit?usp=sharing"",""ระยอง!J238"")"),20)</f>
        <v>20</v>
      </c>
      <c r="CU66" s="216">
        <f t="shared" ca="1" si="148"/>
        <v>100</v>
      </c>
      <c r="CV66" s="152">
        <f ca="1">IFERROR(__xludf.DUMMYFUNCTION("IMPORTRANGE(""https://docs.google.com/spreadsheets/d/19KBlQQs7uwvsao6t2n-KvW3Ax8J8uRRfZPq1zPbXgKc/edit?usp=sharing"",""ระยอง!J240"")"),20)</f>
        <v>20</v>
      </c>
      <c r="CW66" s="152">
        <f ca="1">IFERROR(__xludf.DUMMYFUNCTION("IMPORTRANGE(""https://docs.google.com/spreadsheets/d/19KBlQQs7uwvsao6t2n-KvW3Ax8J8uRRfZPq1zPbXgKc/edit?usp=sharing"",""ระยอง!J241"")"),1)</f>
        <v>1</v>
      </c>
    </row>
    <row r="67" spans="1:101" ht="21" customHeight="1" x14ac:dyDescent="0.3">
      <c r="A67" s="147">
        <v>15</v>
      </c>
      <c r="B67" s="148" t="s">
        <v>95</v>
      </c>
      <c r="C67" s="149">
        <f t="shared" ca="1" si="90"/>
        <v>20500</v>
      </c>
      <c r="D67" s="150">
        <f t="shared" ca="1" si="206"/>
        <v>20500</v>
      </c>
      <c r="E67" s="151">
        <f ca="1">IFERROR(__xludf.DUMMYFUNCTION("IMPORTRANGE(""https://docs.google.com/spreadsheets/d/1-uDff_7J0KD5mKrp0Vvzr7lt3OU09vwQwhkpOPPYv2Y/edit?usp=sharing"",""งบพรบ!CV67"")"),0)</f>
        <v>0</v>
      </c>
      <c r="F67" s="151">
        <f ca="1">IFERROR(__xludf.DUMMYFUNCTION("IMPORTRANGE(""https://docs.google.com/spreadsheets/d/1-uDff_7J0KD5mKrp0Vvzr7lt3OU09vwQwhkpOPPYv2Y/edit?usp=sharing"",""งบพรบ!CW67"")"),20500)</f>
        <v>20500</v>
      </c>
      <c r="G67" s="151">
        <f ca="1">IFERROR(__xludf.DUMMYFUNCTION("IMPORTRANGE(""https://docs.google.com/spreadsheets/d/1-uDff_7J0KD5mKrp0Vvzr7lt3OU09vwQwhkpOPPYv2Y/edit?usp=sharing"",""งบพรบ!CX67"")"),0)</f>
        <v>0</v>
      </c>
      <c r="H67" s="151">
        <f ca="1">IFERROR(__xludf.DUMMYFUNCTION("IMPORTRANGE(""https://docs.google.com/spreadsheets/d/1-uDff_7J0KD5mKrp0Vvzr7lt3OU09vwQwhkpOPPYv2Y/edit?usp=sharing"",""งบพรบ!CZ67"")"),42500)</f>
        <v>42500</v>
      </c>
      <c r="I67" s="151">
        <f ca="1">IFERROR(__xludf.DUMMYFUNCTION("IMPORTRANGE(""https://docs.google.com/spreadsheets/d/1-uDff_7J0KD5mKrp0Vvzr7lt3OU09vwQwhkpOPPYv2Y/edit?usp=sharing"",""งบพรบ!DA67"")"),0)</f>
        <v>0</v>
      </c>
      <c r="J67" s="151">
        <f t="shared" ca="1" si="92"/>
        <v>33033</v>
      </c>
      <c r="K67" s="154">
        <f t="shared" ca="1" si="93"/>
        <v>161.13658536585365</v>
      </c>
      <c r="L67" s="151">
        <f ca="1">IFERROR(__xludf.DUMMYFUNCTION("IMPORTRANGE(""https://docs.google.com/spreadsheets/d/1-uDff_7J0KD5mKrp0Vvzr7lt3OU09vwQwhkpOPPYv2Y/edit?usp=sharing"",""งบพรบ!DB67"")"),33033)</f>
        <v>33033</v>
      </c>
      <c r="M67" s="68">
        <f t="shared" ca="1" si="94"/>
        <v>161.13658536585365</v>
      </c>
      <c r="N67" s="68">
        <f t="shared" ca="1" si="95"/>
        <v>77.724705882352936</v>
      </c>
      <c r="O67" s="67">
        <f ca="1">IFERROR(__xludf.DUMMYFUNCTION("IMPORTRANGE(""https://docs.google.com/spreadsheets/d/1-uDff_7J0KD5mKrp0Vvzr7lt3OU09vwQwhkpOPPYv2Y/edit?usp=sharing"",""งบพรบ!DC67"")"),0)</f>
        <v>0</v>
      </c>
      <c r="P67" s="67">
        <f t="shared" ca="1" si="96"/>
        <v>0</v>
      </c>
      <c r="Q67" s="68">
        <f t="shared" ca="1" si="97"/>
        <v>0</v>
      </c>
      <c r="R67" s="67">
        <f ca="1">IFERROR(__xludf.DUMMYFUNCTION("IMPORTRANGE(""https://docs.google.com/spreadsheets/d/1jQ6P4QcrGM89YfqcC_PxOHGCMq5ezhucwJd8ci-NHng/edit?usp=sharing"",""ราชบุรี!Q186"")"),28000)</f>
        <v>28000</v>
      </c>
      <c r="S67" s="67">
        <f ca="1">IFERROR(__xludf.DUMMYFUNCTION("IMPORTRANGE(""https://docs.google.com/spreadsheets/d/1jQ6P4QcrGM89YfqcC_PxOHGCMq5ezhucwJd8ci-NHng/edit?usp=sharing"",""ราชบุรี!R186"")"),28000)</f>
        <v>28000</v>
      </c>
      <c r="T67" s="67">
        <f ca="1">IFERROR(__xludf.DUMMYFUNCTION("IMPORTRANGE(""https://docs.google.com/spreadsheets/d/1jQ6P4QcrGM89YfqcC_PxOHGCMq5ezhucwJd8ci-NHng/edit?usp=sharing"",""ราชบุรี!S186"")"),0)</f>
        <v>0</v>
      </c>
      <c r="U67" s="68">
        <f t="shared" ca="1" si="99"/>
        <v>0</v>
      </c>
      <c r="V67" s="68">
        <f t="shared" ca="1" si="100"/>
        <v>0</v>
      </c>
      <c r="W67" s="152">
        <f ca="1">IFERROR(__xludf.DUMMYFUNCTION("IMPORTRANGE(""https://docs.google.com/spreadsheets/d/1jQ6P4QcrGM89YfqcC_PxOHGCMq5ezhucwJd8ci-NHng/edit?usp=sharing"",""ราชบุรี!L196"")"),6000)</f>
        <v>6000</v>
      </c>
      <c r="X67" s="152">
        <f ca="1">IFERROR(__xludf.DUMMYFUNCTION("IMPORTRANGE(""https://docs.google.com/spreadsheets/d/1jQ6P4QcrGM89YfqcC_PxOHGCMq5ezhucwJd8ci-NHng/edit?usp=sharing"",""ราชบุรี!N196"")"),5110)</f>
        <v>5110</v>
      </c>
      <c r="Y67" s="216">
        <f t="shared" ca="1" si="102"/>
        <v>85.166666666666671</v>
      </c>
      <c r="Z67" s="152">
        <f ca="1">IFERROR(__xludf.DUMMYFUNCTION("IMPORTRANGE(""https://docs.google.com/spreadsheets/d/1jQ6P4QcrGM89YfqcC_PxOHGCMq5ezhucwJd8ci-NHng/edit?usp=sharing"",""ราชบุรี!I198"")"),4)</f>
        <v>4</v>
      </c>
      <c r="AA67" s="152">
        <f ca="1">IFERROR(__xludf.DUMMYFUNCTION("IMPORTRANGE(""https://docs.google.com/spreadsheets/d/1jQ6P4QcrGM89YfqcC_PxOHGCMq5ezhucwJd8ci-NHng/edit?usp=sharing"",""ราชบุรี!J198"")"),4)</f>
        <v>4</v>
      </c>
      <c r="AB67" s="216">
        <f t="shared" ca="1" si="104"/>
        <v>100</v>
      </c>
      <c r="AC67" s="152">
        <f ca="1">IFERROR(__xludf.DUMMYFUNCTION("IMPORTRANGE(""https://docs.google.com/spreadsheets/d/1jQ6P4QcrGM89YfqcC_PxOHGCMq5ezhucwJd8ci-NHng/edit?usp=sharing"",""ราชบุรี!J199"")"),173)</f>
        <v>173</v>
      </c>
      <c r="AD67" s="152">
        <f ca="1">IFERROR(__xludf.DUMMYFUNCTION("IMPORTRANGE(""https://docs.google.com/spreadsheets/d/1jQ6P4QcrGM89YfqcC_PxOHGCMq5ezhucwJd8ci-NHng/edit?usp=sharing"",""ราชบุรี!J200"")"),173)</f>
        <v>173</v>
      </c>
      <c r="AE67" s="152">
        <f ca="1">IFERROR(__xludf.DUMMYFUNCTION("IMPORTRANGE(""https://docs.google.com/spreadsheets/d/1jQ6P4QcrGM89YfqcC_PxOHGCMq5ezhucwJd8ci-NHng/edit?usp=sharing"",""ราชบุรี!J201"")"),0)</f>
        <v>0</v>
      </c>
      <c r="AF67" s="152">
        <f ca="1">IFERROR(__xludf.DUMMYFUNCTION("IMPORTRANGE(""https://docs.google.com/spreadsheets/d/1jQ6P4QcrGM89YfqcC_PxOHGCMq5ezhucwJd8ci-NHng/edit?usp=sharing"",""ราชบุรี!L204"")"),2000)</f>
        <v>2000</v>
      </c>
      <c r="AG67" s="152">
        <f ca="1">IFERROR(__xludf.DUMMYFUNCTION("IMPORTRANGE(""https://docs.google.com/spreadsheets/d/1jQ6P4QcrGM89YfqcC_PxOHGCMq5ezhucwJd8ci-NHng/edit?usp=sharing"",""ราชบุรี!N204"")"),0)</f>
        <v>0</v>
      </c>
      <c r="AH67" s="216">
        <f t="shared" ca="1" si="106"/>
        <v>0</v>
      </c>
      <c r="AI67" s="152">
        <f ca="1">IFERROR(__xludf.DUMMYFUNCTION("IMPORTRANGE(""https://docs.google.com/spreadsheets/d/1jQ6P4QcrGM89YfqcC_PxOHGCMq5ezhucwJd8ci-NHng/edit?usp=sharing"",""ราชบุรี!L206"")"),0)</f>
        <v>0</v>
      </c>
      <c r="AJ67" s="152">
        <f ca="1">IFERROR(__xludf.DUMMYFUNCTION("IMPORTRANGE(""https://docs.google.com/spreadsheets/d/1jQ6P4QcrGM89YfqcC_PxOHGCMq5ezhucwJd8ci-NHng/edit?usp=sharing"",""ราชบุรี!N206"")"),0)</f>
        <v>0</v>
      </c>
      <c r="AK67" s="216">
        <f t="shared" ca="1" si="108"/>
        <v>0</v>
      </c>
      <c r="AL67" s="152">
        <f ca="1">IFERROR(__xludf.DUMMYFUNCTION("IMPORTRANGE(""https://docs.google.com/spreadsheets/d/1jQ6P4QcrGM89YfqcC_PxOHGCMq5ezhucwJd8ci-NHng/edit?usp=sharing"",""ราชบุรี!Q206"")"),28000)</f>
        <v>28000</v>
      </c>
      <c r="AM67" s="152">
        <f ca="1">IFERROR(__xludf.DUMMYFUNCTION("IMPORTRANGE(""https://docs.google.com/spreadsheets/d/1jQ6P4QcrGM89YfqcC_PxOHGCMq5ezhucwJd8ci-NHng/edit?usp=sharing"",""ราชบุรี!S206"")"),0)</f>
        <v>0</v>
      </c>
      <c r="AN67" s="216">
        <f t="shared" ca="1" si="110"/>
        <v>0</v>
      </c>
      <c r="AO67" s="152">
        <f ca="1">IFERROR(__xludf.DUMMYFUNCTION("IMPORTRANGE(""https://docs.google.com/spreadsheets/d/1jQ6P4QcrGM89YfqcC_PxOHGCMq5ezhucwJd8ci-NHng/edit?usp=sharing"",""ราชบุรี!L207"")"),8000)</f>
        <v>8000</v>
      </c>
      <c r="AP67" s="152">
        <f ca="1">IFERROR(__xludf.DUMMYFUNCTION("IMPORTRANGE(""https://docs.google.com/spreadsheets/d/1jQ6P4QcrGM89YfqcC_PxOHGCMq5ezhucwJd8ci-NHng/edit?usp=sharing"",""ราชบุรี!N207"")"),0)</f>
        <v>0</v>
      </c>
      <c r="AQ67" s="216">
        <f t="shared" ca="1" si="112"/>
        <v>0</v>
      </c>
      <c r="AR67" s="152">
        <f ca="1">IFERROR(__xludf.DUMMYFUNCTION("IMPORTRANGE(""https://docs.google.com/spreadsheets/d/1jQ6P4QcrGM89YfqcC_PxOHGCMq5ezhucwJd8ci-NHng/edit?usp=sharing"",""ราชบุรี!I209"")"),2)</f>
        <v>2</v>
      </c>
      <c r="AS67" s="152">
        <f ca="1">IFERROR(__xludf.DUMMYFUNCTION("IMPORTRANGE(""https://docs.google.com/spreadsheets/d/1jQ6P4QcrGM89YfqcC_PxOHGCMq5ezhucwJd8ci-NHng/edit?usp=sharing"",""ราชบุรี!J209"")"),2)</f>
        <v>2</v>
      </c>
      <c r="AT67" s="216">
        <f t="shared" ca="1" si="114"/>
        <v>100</v>
      </c>
      <c r="AU67" s="152">
        <f ca="1">IFERROR(__xludf.DUMMYFUNCTION("IMPORTRANGE(""https://docs.google.com/spreadsheets/d/1jQ6P4QcrGM89YfqcC_PxOHGCMq5ezhucwJd8ci-NHng/edit?usp=sharing"",""ราชบุรี!J211"")"),0)</f>
        <v>0</v>
      </c>
      <c r="AV67" s="152">
        <f ca="1">IFERROR(__xludf.DUMMYFUNCTION("IMPORTRANGE(""https://docs.google.com/spreadsheets/d/1jQ6P4QcrGM89YfqcC_PxOHGCMq5ezhucwJd8ci-NHng/edit?usp=sharing"",""ราชบุรี!J212"")"),0)</f>
        <v>0</v>
      </c>
      <c r="AW67" s="152">
        <f ca="1">IFERROR(__xludf.DUMMYFUNCTION("IMPORTRANGE(""https://docs.google.com/spreadsheets/d/1jQ6P4QcrGM89YfqcC_PxOHGCMq5ezhucwJd8ci-NHng/edit?usp=sharing"",""ราชบุรี!L215"")"),0)</f>
        <v>0</v>
      </c>
      <c r="AX67" s="152">
        <f ca="1">IFERROR(__xludf.DUMMYFUNCTION("IMPORTRANGE(""https://docs.google.com/spreadsheets/d/1jQ6P4QcrGM89YfqcC_PxOHGCMq5ezhucwJd8ci-NHng/edit?usp=sharing"",""ราชบุรี!N215"")"),0)</f>
        <v>0</v>
      </c>
      <c r="AY67" s="216">
        <f t="shared" ca="1" si="116"/>
        <v>0</v>
      </c>
      <c r="AZ67" s="152">
        <f ca="1">IFERROR(__xludf.DUMMYFUNCTION("IMPORTRANGE(""https://docs.google.com/spreadsheets/d/1jQ6P4QcrGM89YfqcC_PxOHGCMq5ezhucwJd8ci-NHng/edit?usp=sharing"",""ราชบุรี!L216"")"),0)</f>
        <v>0</v>
      </c>
      <c r="BA67" s="152">
        <f ca="1">IFERROR(__xludf.DUMMYFUNCTION("IMPORTRANGE(""https://docs.google.com/spreadsheets/d/1jQ6P4QcrGM89YfqcC_PxOHGCMq5ezhucwJd8ci-NHng/edit?usp=sharing"",""ราชบุรี!N216"")"),0)</f>
        <v>0</v>
      </c>
      <c r="BB67" s="216">
        <f t="shared" ca="1" si="118"/>
        <v>0</v>
      </c>
      <c r="BC67" s="152">
        <f ca="1">IFERROR(__xludf.DUMMYFUNCTION("IMPORTRANGE(""https://docs.google.com/spreadsheets/d/1jQ6P4QcrGM89YfqcC_PxOHGCMq5ezhucwJd8ci-NHng/edit?usp=sharing"",""ราชบุรี!L217"")"),0)</f>
        <v>0</v>
      </c>
      <c r="BD67" s="152">
        <f ca="1">IFERROR(__xludf.DUMMYFUNCTION("IMPORTRANGE(""https://docs.google.com/spreadsheets/d/1jQ6P4QcrGM89YfqcC_PxOHGCMq5ezhucwJd8ci-NHng/edit?usp=sharing"",""ราชบุรี!N217"")"),0)</f>
        <v>0</v>
      </c>
      <c r="BE67" s="216">
        <f t="shared" ca="1" si="120"/>
        <v>0</v>
      </c>
      <c r="BF67" s="152">
        <f ca="1">IFERROR(__xludf.DUMMYFUNCTION("IMPORTRANGE(""https://docs.google.com/spreadsheets/d/1jQ6P4QcrGM89YfqcC_PxOHGCMq5ezhucwJd8ci-NHng/edit?usp=sharing"",""ราชบุรี!Q217"")"),0)</f>
        <v>0</v>
      </c>
      <c r="BG67" s="152">
        <f ca="1">IFERROR(__xludf.DUMMYFUNCTION("IMPORTRANGE(""https://docs.google.com/spreadsheets/d/1jQ6P4QcrGM89YfqcC_PxOHGCMq5ezhucwJd8ci-NHng/edit?usp=sharing"",""ราชบุรี!S217"")"),0)</f>
        <v>0</v>
      </c>
      <c r="BH67" s="216">
        <f t="shared" ca="1" si="122"/>
        <v>0</v>
      </c>
      <c r="BI67" s="152">
        <f ca="1">IFERROR(__xludf.DUMMYFUNCTION("IMPORTRANGE(""https://docs.google.com/spreadsheets/d/1jQ6P4QcrGM89YfqcC_PxOHGCMq5ezhucwJd8ci-NHng/edit?usp=sharing"",""ราชบุรี!I219"")"),0)</f>
        <v>0</v>
      </c>
      <c r="BJ67" s="152">
        <f ca="1">IFERROR(__xludf.DUMMYFUNCTION("IMPORTRANGE(""https://docs.google.com/spreadsheets/d/1jQ6P4QcrGM89YfqcC_PxOHGCMq5ezhucwJd8ci-NHng/edit?usp=sharing"",""ราชบุรี!J219"")"),0)</f>
        <v>0</v>
      </c>
      <c r="BK67" s="216">
        <f t="shared" ca="1" si="124"/>
        <v>0</v>
      </c>
      <c r="BL67" s="152">
        <f ca="1">IFERROR(__xludf.DUMMYFUNCTION("IMPORTRANGE(""https://docs.google.com/spreadsheets/d/1jQ6P4QcrGM89YfqcC_PxOHGCMq5ezhucwJd8ci-NHng/edit?usp=sharing"",""ราชบุรี!I220"")"),0)</f>
        <v>0</v>
      </c>
      <c r="BM67" s="152">
        <f ca="1">IFERROR(__xludf.DUMMYFUNCTION("IMPORTRANGE(""https://docs.google.com/spreadsheets/d/1jQ6P4QcrGM89YfqcC_PxOHGCMq5ezhucwJd8ci-NHng/edit?usp=sharing"",""ราชบุรี!J220"")"),0)</f>
        <v>0</v>
      </c>
      <c r="BN67" s="216">
        <f t="shared" ca="1" si="126"/>
        <v>0</v>
      </c>
      <c r="BO67" s="152">
        <f ca="1">IFERROR(__xludf.DUMMYFUNCTION("IMPORTRANGE(""https://docs.google.com/spreadsheets/d/1jQ6P4QcrGM89YfqcC_PxOHGCMq5ezhucwJd8ci-NHng/edit?usp=sharing"",""ราชบุรี!L223"")"),2500)</f>
        <v>2500</v>
      </c>
      <c r="BP67" s="152">
        <f ca="1">IFERROR(__xludf.DUMMYFUNCTION("IMPORTRANGE(""https://docs.google.com/spreadsheets/d/1jQ6P4QcrGM89YfqcC_PxOHGCMq5ezhucwJd8ci-NHng/edit?usp=sharing"",""ราชบุรี!N223"")"),0)</f>
        <v>0</v>
      </c>
      <c r="BQ67" s="216">
        <f t="shared" ca="1" si="128"/>
        <v>0</v>
      </c>
      <c r="BR67" s="152">
        <f ca="1">IFERROR(__xludf.DUMMYFUNCTION("IMPORTRANGE(""https://docs.google.com/spreadsheets/d/1jQ6P4QcrGM89YfqcC_PxOHGCMq5ezhucwJd8ci-NHng/edit?usp=sharing"",""ราชบุรี!L224"")"),2000)</f>
        <v>2000</v>
      </c>
      <c r="BS67" s="152">
        <f ca="1">IFERROR(__xludf.DUMMYFUNCTION("IMPORTRANGE(""https://docs.google.com/spreadsheets/d/1jQ6P4QcrGM89YfqcC_PxOHGCMq5ezhucwJd8ci-NHng/edit?usp=sharing"",""ราชบุรี!N224"")"),0)</f>
        <v>0</v>
      </c>
      <c r="BT67" s="216">
        <f t="shared" ca="1" si="130"/>
        <v>0</v>
      </c>
      <c r="BU67" s="152">
        <f ca="1">IFERROR(__xludf.DUMMYFUNCTION("IMPORTRANGE(""https://docs.google.com/spreadsheets/d/1jQ6P4QcrGM89YfqcC_PxOHGCMq5ezhucwJd8ci-NHng/edit?usp=sharing"",""ราชบุรี!I228"")"),20000)</f>
        <v>20000</v>
      </c>
      <c r="BV67" s="152">
        <f ca="1">IFERROR(__xludf.DUMMYFUNCTION("IMPORTRANGE(""https://docs.google.com/spreadsheets/d/1jQ6P4QcrGM89YfqcC_PxOHGCMq5ezhucwJd8ci-NHng/edit?usp=sharing"",""ราชบุรี!J228"")"),20000)</f>
        <v>20000</v>
      </c>
      <c r="BW67" s="216">
        <f t="shared" ca="1" si="132"/>
        <v>100</v>
      </c>
      <c r="BX67" s="152">
        <f ca="1">IFERROR(__xludf.DUMMYFUNCTION("IMPORTRANGE(""https://docs.google.com/spreadsheets/d/1jQ6P4QcrGM89YfqcC_PxOHGCMq5ezhucwJd8ci-NHng/edit?usp=sharing"",""ราชบุรี!I229"")"),20000)</f>
        <v>20000</v>
      </c>
      <c r="BY67" s="152">
        <f ca="1">IFERROR(__xludf.DUMMYFUNCTION("IMPORTRANGE(""https://docs.google.com/spreadsheets/d/1jQ6P4QcrGM89YfqcC_PxOHGCMq5ezhucwJd8ci-NHng/edit?usp=sharing"",""ราชบุรี!J229"")"),20000)</f>
        <v>20000</v>
      </c>
      <c r="BZ67" s="216">
        <f t="shared" ca="1" si="134"/>
        <v>100</v>
      </c>
      <c r="CA67" s="152">
        <f ca="1">IFERROR(__xludf.DUMMYFUNCTION("IMPORTRANGE(""https://docs.google.com/spreadsheets/d/1jQ6P4QcrGM89YfqcC_PxOHGCMq5ezhucwJd8ci-NHng/edit?usp=sharing"",""ราชบุรี!I230"")"),0)</f>
        <v>0</v>
      </c>
      <c r="CB67" s="152">
        <f ca="1">IFERROR(__xludf.DUMMYFUNCTION("IMPORTRANGE(""https://docs.google.com/spreadsheets/d/1jQ6P4QcrGM89YfqcC_PxOHGCMq5ezhucwJd8ci-NHng/edit?usp=sharing"",""ราชบุรี!J230"")"),0)</f>
        <v>0</v>
      </c>
      <c r="CC67" s="216">
        <f t="shared" ca="1" si="136"/>
        <v>0</v>
      </c>
      <c r="CD67" s="152">
        <f ca="1">IFERROR(__xludf.DUMMYFUNCTION("IMPORTRANGE(""https://docs.google.com/spreadsheets/d/1jQ6P4QcrGM89YfqcC_PxOHGCMq5ezhucwJd8ci-NHng/edit?usp=sharing"",""ราชบุรี!L233"")"),0)</f>
        <v>0</v>
      </c>
      <c r="CE67" s="152">
        <f ca="1">IFERROR(__xludf.DUMMYFUNCTION("IMPORTRANGE(""https://docs.google.com/spreadsheets/d/1jQ6P4QcrGM89YfqcC_PxOHGCMq5ezhucwJd8ci-NHng/edit?usp=sharing"",""ราชบุรี!N233"")"),0)</f>
        <v>0</v>
      </c>
      <c r="CF67" s="216">
        <f t="shared" ca="1" si="138"/>
        <v>0</v>
      </c>
      <c r="CG67" s="152">
        <f ca="1">IFERROR(__xludf.DUMMYFUNCTION("IMPORTRANGE(""https://docs.google.com/spreadsheets/d/1jQ6P4QcrGM89YfqcC_PxOHGCMq5ezhucwJd8ci-NHng/edit?usp=sharing"",""ราชบุรี!L234"")"),0)</f>
        <v>0</v>
      </c>
      <c r="CH67" s="152">
        <f ca="1">IFERROR(__xludf.DUMMYFUNCTION("IMPORTRANGE(""https://docs.google.com/spreadsheets/d/1jQ6P4QcrGM89YfqcC_PxOHGCMq5ezhucwJd8ci-NHng/edit?usp=sharing"",""ราชบุรี!N234"")"),0)</f>
        <v>0</v>
      </c>
      <c r="CI67" s="216">
        <f t="shared" ca="1" si="140"/>
        <v>0</v>
      </c>
      <c r="CJ67" s="152">
        <f ca="1">IFERROR(__xludf.DUMMYFUNCTION("IMPORTRANGE(""https://docs.google.com/spreadsheets/d/1jQ6P4QcrGM89YfqcC_PxOHGCMq5ezhucwJd8ci-NHng/edit?usp=sharing"",""ราชบุรี!L235"")"),0)</f>
        <v>0</v>
      </c>
      <c r="CK67" s="152">
        <f ca="1">IFERROR(__xludf.DUMMYFUNCTION("IMPORTRANGE(""https://docs.google.com/spreadsheets/d/1jQ6P4QcrGM89YfqcC_PxOHGCMq5ezhucwJd8ci-NHng/edit?usp=sharing"",""ราชบุรี!N235"")"),0)</f>
        <v>0</v>
      </c>
      <c r="CL67" s="216">
        <f t="shared" ca="1" si="142"/>
        <v>0</v>
      </c>
      <c r="CM67" s="251">
        <f ca="1">IFERROR(__xludf.DUMMYFUNCTION("IMPORTRANGE(""https://docs.google.com/spreadsheets/d/1jQ6P4QcrGM89YfqcC_PxOHGCMq5ezhucwJd8ci-NHng/edit?usp=sharing"",""ราชบุรี!Q235"")"),0)</f>
        <v>0</v>
      </c>
      <c r="CN67" s="251">
        <f ca="1">IFERROR(__xludf.DUMMYFUNCTION("IMPORTRANGE(""https://docs.google.com/spreadsheets/d/1jQ6P4QcrGM89YfqcC_PxOHGCMq5ezhucwJd8ci-NHng/edit?usp=sharing"",""ราชบุรี!S235"")"),0)</f>
        <v>0</v>
      </c>
      <c r="CO67" s="216">
        <f t="shared" ca="1" si="144"/>
        <v>0</v>
      </c>
      <c r="CP67" s="152">
        <f ca="1">IFERROR(__xludf.DUMMYFUNCTION("IMPORTRANGE(""https://docs.google.com/spreadsheets/d/1jQ6P4QcrGM89YfqcC_PxOHGCMq5ezhucwJd8ci-NHng/edit?usp=sharing"",""ราชบุรี!L236"")"),0)</f>
        <v>0</v>
      </c>
      <c r="CQ67" s="152">
        <f ca="1">IFERROR(__xludf.DUMMYFUNCTION("IMPORTRANGE(""https://docs.google.com/spreadsheets/d/1jQ6P4QcrGM89YfqcC_PxOHGCMq5ezhucwJd8ci-NHng/edit?usp=sharing"",""ราชบุรี!N236"")"),0)</f>
        <v>0</v>
      </c>
      <c r="CR67" s="216">
        <f t="shared" ca="1" si="146"/>
        <v>0</v>
      </c>
      <c r="CS67" s="152">
        <f ca="1">IFERROR(__xludf.DUMMYFUNCTION("IMPORTRANGE(""https://docs.google.com/spreadsheets/d/1jQ6P4QcrGM89YfqcC_PxOHGCMq5ezhucwJd8ci-NHng/edit?usp=sharing"",""ราชบุรี!I238"")"),0)</f>
        <v>0</v>
      </c>
      <c r="CT67" s="152">
        <f ca="1">IFERROR(__xludf.DUMMYFUNCTION("IMPORTRANGE(""https://docs.google.com/spreadsheets/d/1jQ6P4QcrGM89YfqcC_PxOHGCMq5ezhucwJd8ci-NHng/edit?usp=sharing"",""ราชบุรี!J238"")"),0)</f>
        <v>0</v>
      </c>
      <c r="CU67" s="216">
        <f t="shared" ca="1" si="148"/>
        <v>0</v>
      </c>
      <c r="CV67" s="152">
        <f ca="1">IFERROR(__xludf.DUMMYFUNCTION("IMPORTRANGE(""https://docs.google.com/spreadsheets/d/1jQ6P4QcrGM89YfqcC_PxOHGCMq5ezhucwJd8ci-NHng/edit?usp=sharing"",""ราชบุรี!J240"")"),0)</f>
        <v>0</v>
      </c>
      <c r="CW67" s="152">
        <f ca="1">IFERROR(__xludf.DUMMYFUNCTION("IMPORTRANGE(""https://docs.google.com/spreadsheets/d/1jQ6P4QcrGM89YfqcC_PxOHGCMq5ezhucwJd8ci-NHng/edit?usp=sharing"",""ราชบุรี!J241"")"),0)</f>
        <v>0</v>
      </c>
    </row>
    <row r="68" spans="1:101" ht="24" customHeight="1" x14ac:dyDescent="0.3">
      <c r="A68" s="147">
        <v>16</v>
      </c>
      <c r="B68" s="148" t="s">
        <v>96</v>
      </c>
      <c r="C68" s="149">
        <f t="shared" ca="1" si="90"/>
        <v>38500</v>
      </c>
      <c r="D68" s="150">
        <f t="shared" ca="1" si="206"/>
        <v>38500</v>
      </c>
      <c r="E68" s="151">
        <f ca="1">IFERROR(__xludf.DUMMYFUNCTION("IMPORTRANGE(""https://docs.google.com/spreadsheets/d/1-uDff_7J0KD5mKrp0Vvzr7lt3OU09vwQwhkpOPPYv2Y/edit?usp=sharing"",""งบพรบ!CV68"")"),0)</f>
        <v>0</v>
      </c>
      <c r="F68" s="151">
        <f ca="1">IFERROR(__xludf.DUMMYFUNCTION("IMPORTRANGE(""https://docs.google.com/spreadsheets/d/1-uDff_7J0KD5mKrp0Vvzr7lt3OU09vwQwhkpOPPYv2Y/edit?usp=sharing"",""งบพรบ!CW68"")"),38500)</f>
        <v>38500</v>
      </c>
      <c r="G68" s="151">
        <f ca="1">IFERROR(__xludf.DUMMYFUNCTION("IMPORTRANGE(""https://docs.google.com/spreadsheets/d/1-uDff_7J0KD5mKrp0Vvzr7lt3OU09vwQwhkpOPPYv2Y/edit?usp=sharing"",""งบพรบ!CX68"")"),0)</f>
        <v>0</v>
      </c>
      <c r="H68" s="151">
        <f ca="1">IFERROR(__xludf.DUMMYFUNCTION("IMPORTRANGE(""https://docs.google.com/spreadsheets/d/1-uDff_7J0KD5mKrp0Vvzr7lt3OU09vwQwhkpOPPYv2Y/edit?usp=sharing"",""งบพรบ!CZ68"")"),98860)</f>
        <v>98860</v>
      </c>
      <c r="I68" s="151">
        <f ca="1">IFERROR(__xludf.DUMMYFUNCTION("IMPORTRANGE(""https://docs.google.com/spreadsheets/d/1-uDff_7J0KD5mKrp0Vvzr7lt3OU09vwQwhkpOPPYv2Y/edit?usp=sharing"",""งบพรบ!DA68"")"),0)</f>
        <v>0</v>
      </c>
      <c r="J68" s="151">
        <f t="shared" ca="1" si="92"/>
        <v>97425</v>
      </c>
      <c r="K68" s="154">
        <f t="shared" ca="1" si="93"/>
        <v>253.05194805194805</v>
      </c>
      <c r="L68" s="151">
        <f ca="1">IFERROR(__xludf.DUMMYFUNCTION("IMPORTRANGE(""https://docs.google.com/spreadsheets/d/1-uDff_7J0KD5mKrp0Vvzr7lt3OU09vwQwhkpOPPYv2Y/edit?usp=sharing"",""งบพรบ!DB68"")"),97425)</f>
        <v>97425</v>
      </c>
      <c r="M68" s="68">
        <f t="shared" ca="1" si="94"/>
        <v>253.05194805194805</v>
      </c>
      <c r="N68" s="68">
        <f t="shared" ca="1" si="95"/>
        <v>98.548452356868296</v>
      </c>
      <c r="O68" s="67">
        <f ca="1">IFERROR(__xludf.DUMMYFUNCTION("IMPORTRANGE(""https://docs.google.com/spreadsheets/d/1-uDff_7J0KD5mKrp0Vvzr7lt3OU09vwQwhkpOPPYv2Y/edit?usp=sharing"",""งบพรบ!DC68"")"),0)</f>
        <v>0</v>
      </c>
      <c r="P68" s="67">
        <f t="shared" ca="1" si="96"/>
        <v>0</v>
      </c>
      <c r="Q68" s="68">
        <f t="shared" ca="1" si="97"/>
        <v>0</v>
      </c>
      <c r="R68" s="67">
        <f ca="1">IFERROR(__xludf.DUMMYFUNCTION("IMPORTRANGE(""https://docs.google.com/spreadsheets/d/1lufeA2cfFqM-elVq2hznhDzC6Pr7wkJ9ZG_sYNGCMCU/edit?usp=sharing"",""ลพบุรี!Q186"")"),42000)</f>
        <v>42000</v>
      </c>
      <c r="S68" s="67">
        <f ca="1">IFERROR(__xludf.DUMMYFUNCTION("IMPORTRANGE(""https://docs.google.com/spreadsheets/d/1lufeA2cfFqM-elVq2hznhDzC6Pr7wkJ9ZG_sYNGCMCU/edit?usp=sharing"",""ลพบุรี!R186"")"),42000)</f>
        <v>42000</v>
      </c>
      <c r="T68" s="67">
        <f ca="1">IFERROR(__xludf.DUMMYFUNCTION("IMPORTRANGE(""https://docs.google.com/spreadsheets/d/1lufeA2cfFqM-elVq2hznhDzC6Pr7wkJ9ZG_sYNGCMCU/edit?usp=sharing"",""ลพบุรี!S186"")"),42000)</f>
        <v>42000</v>
      </c>
      <c r="U68" s="68">
        <f t="shared" ca="1" si="99"/>
        <v>100</v>
      </c>
      <c r="V68" s="68">
        <f t="shared" ca="1" si="100"/>
        <v>100</v>
      </c>
      <c r="W68" s="152">
        <f ca="1">IFERROR(__xludf.DUMMYFUNCTION("IMPORTRANGE(""https://docs.google.com/spreadsheets/d/1lufeA2cfFqM-elVq2hznhDzC6Pr7wkJ9ZG_sYNGCMCU/edit?usp=sharing"",""ลพบุรี!L196"")"),6000)</f>
        <v>6000</v>
      </c>
      <c r="X68" s="152">
        <f ca="1">IFERROR(__xludf.DUMMYFUNCTION("IMPORTRANGE(""https://docs.google.com/spreadsheets/d/1lufeA2cfFqM-elVq2hznhDzC6Pr7wkJ9ZG_sYNGCMCU/edit?usp=sharing"",""ลพบุรี!N196"")"),0)</f>
        <v>0</v>
      </c>
      <c r="Y68" s="216">
        <f t="shared" ca="1" si="102"/>
        <v>0</v>
      </c>
      <c r="Z68" s="152">
        <f ca="1">IFERROR(__xludf.DUMMYFUNCTION("IMPORTRANGE(""https://docs.google.com/spreadsheets/d/1lufeA2cfFqM-elVq2hznhDzC6Pr7wkJ9ZG_sYNGCMCU/edit?usp=sharing"",""ลพบุรี!I198"")"),4)</f>
        <v>4</v>
      </c>
      <c r="AA68" s="152">
        <f ca="1">IFERROR(__xludf.DUMMYFUNCTION("IMPORTRANGE(""https://docs.google.com/spreadsheets/d/1lufeA2cfFqM-elVq2hznhDzC6Pr7wkJ9ZG_sYNGCMCU/edit?usp=sharing"",""ลพบุรี!J198"")"),4)</f>
        <v>4</v>
      </c>
      <c r="AB68" s="216">
        <f t="shared" ca="1" si="104"/>
        <v>100</v>
      </c>
      <c r="AC68" s="152">
        <f ca="1">IFERROR(__xludf.DUMMYFUNCTION("IMPORTRANGE(""https://docs.google.com/spreadsheets/d/1lufeA2cfFqM-elVq2hznhDzC6Pr7wkJ9ZG_sYNGCMCU/edit?usp=sharing"",""ลพบุรี!J199"")"),80)</f>
        <v>80</v>
      </c>
      <c r="AD68" s="152">
        <f ca="1">IFERROR(__xludf.DUMMYFUNCTION("IMPORTRANGE(""https://docs.google.com/spreadsheets/d/1lufeA2cfFqM-elVq2hznhDzC6Pr7wkJ9ZG_sYNGCMCU/edit?usp=sharing"",""ลพบุรี!J200"")"),80)</f>
        <v>80</v>
      </c>
      <c r="AE68" s="152">
        <f ca="1">IFERROR(__xludf.DUMMYFUNCTION("IMPORTRANGE(""https://docs.google.com/spreadsheets/d/1lufeA2cfFqM-elVq2hznhDzC6Pr7wkJ9ZG_sYNGCMCU/edit?usp=sharing"",""ลพบุรี!J201"")"),0)</f>
        <v>0</v>
      </c>
      <c r="AF68" s="152">
        <f ca="1">IFERROR(__xludf.DUMMYFUNCTION("IMPORTRANGE(""https://docs.google.com/spreadsheets/d/1lufeA2cfFqM-elVq2hznhDzC6Pr7wkJ9ZG_sYNGCMCU/edit?usp=sharing"",""ลพบุรี!L204"")"),3000)</f>
        <v>3000</v>
      </c>
      <c r="AG68" s="152">
        <f ca="1">IFERROR(__xludf.DUMMYFUNCTION("IMPORTRANGE(""https://docs.google.com/spreadsheets/d/1lufeA2cfFqM-elVq2hznhDzC6Pr7wkJ9ZG_sYNGCMCU/edit?usp=sharing"",""ลพบุรี!N204"")"),3000)</f>
        <v>3000</v>
      </c>
      <c r="AH68" s="216">
        <f t="shared" ca="1" si="106"/>
        <v>100</v>
      </c>
      <c r="AI68" s="152">
        <f ca="1">IFERROR(__xludf.DUMMYFUNCTION("IMPORTRANGE(""https://docs.google.com/spreadsheets/d/1lufeA2cfFqM-elVq2hznhDzC6Pr7wkJ9ZG_sYNGCMCU/edit?usp=sharing"",""ลพบุรี!L206"")"),0)</f>
        <v>0</v>
      </c>
      <c r="AJ68" s="152">
        <f ca="1">IFERROR(__xludf.DUMMYFUNCTION("IMPORTRANGE(""https://docs.google.com/spreadsheets/d/1lufeA2cfFqM-elVq2hznhDzC6Pr7wkJ9ZG_sYNGCMCU/edit?usp=sharing"",""ลพบุรี!N206"")"),0)</f>
        <v>0</v>
      </c>
      <c r="AK68" s="216">
        <f t="shared" ca="1" si="108"/>
        <v>0</v>
      </c>
      <c r="AL68" s="152">
        <f ca="1">IFERROR(__xludf.DUMMYFUNCTION("IMPORTRANGE(""https://docs.google.com/spreadsheets/d/1lufeA2cfFqM-elVq2hznhDzC6Pr7wkJ9ZG_sYNGCMCU/edit?usp=sharing"",""ลพบุรี!Q206"")"),42000)</f>
        <v>42000</v>
      </c>
      <c r="AM68" s="152">
        <f ca="1">IFERROR(__xludf.DUMMYFUNCTION("IMPORTRANGE(""https://docs.google.com/spreadsheets/d/1lufeA2cfFqM-elVq2hznhDzC6Pr7wkJ9ZG_sYNGCMCU/edit?usp=sharing"",""ลพบุรี!S206"")"),42000)</f>
        <v>42000</v>
      </c>
      <c r="AN68" s="216">
        <f t="shared" ca="1" si="110"/>
        <v>100</v>
      </c>
      <c r="AO68" s="152">
        <f ca="1">IFERROR(__xludf.DUMMYFUNCTION("IMPORTRANGE(""https://docs.google.com/spreadsheets/d/1lufeA2cfFqM-elVq2hznhDzC6Pr7wkJ9ZG_sYNGCMCU/edit?usp=sharing"",""ลพบุรี!L207"")"),17000)</f>
        <v>17000</v>
      </c>
      <c r="AP68" s="152">
        <f ca="1">IFERROR(__xludf.DUMMYFUNCTION("IMPORTRANGE(""https://docs.google.com/spreadsheets/d/1lufeA2cfFqM-elVq2hznhDzC6Pr7wkJ9ZG_sYNGCMCU/edit?usp=sharing"",""ลพบุรี!N207"")"),17000)</f>
        <v>17000</v>
      </c>
      <c r="AQ68" s="216">
        <f t="shared" ca="1" si="112"/>
        <v>100</v>
      </c>
      <c r="AR68" s="152">
        <f ca="1">IFERROR(__xludf.DUMMYFUNCTION("IMPORTRANGE(""https://docs.google.com/spreadsheets/d/1lufeA2cfFqM-elVq2hznhDzC6Pr7wkJ9ZG_sYNGCMCU/edit?usp=sharing"",""ลพบุรี!I209"")"),3)</f>
        <v>3</v>
      </c>
      <c r="AS68" s="152">
        <f ca="1">IFERROR(__xludf.DUMMYFUNCTION("IMPORTRANGE(""https://docs.google.com/spreadsheets/d/1lufeA2cfFqM-elVq2hznhDzC6Pr7wkJ9ZG_sYNGCMCU/edit?usp=sharing"",""ลพบุรี!J209"")"),3)</f>
        <v>3</v>
      </c>
      <c r="AT68" s="216">
        <f t="shared" ca="1" si="114"/>
        <v>100</v>
      </c>
      <c r="AU68" s="152">
        <f ca="1">IFERROR(__xludf.DUMMYFUNCTION("IMPORTRANGE(""https://docs.google.com/spreadsheets/d/1lufeA2cfFqM-elVq2hznhDzC6Pr7wkJ9ZG_sYNGCMCU/edit?usp=sharing"",""ลพบุรี!J211"")"),3)</f>
        <v>3</v>
      </c>
      <c r="AV68" s="152">
        <f ca="1">IFERROR(__xludf.DUMMYFUNCTION("IMPORTRANGE(""https://docs.google.com/spreadsheets/d/1lufeA2cfFqM-elVq2hznhDzC6Pr7wkJ9ZG_sYNGCMCU/edit?usp=sharing"",""ลพบุรี!J212"")"),1)</f>
        <v>1</v>
      </c>
      <c r="AW68" s="152">
        <f ca="1">IFERROR(__xludf.DUMMYFUNCTION("IMPORTRANGE(""https://docs.google.com/spreadsheets/d/1lufeA2cfFqM-elVq2hznhDzC6Pr7wkJ9ZG_sYNGCMCU/edit?usp=sharing"",""ลพบุรี!L215"")"),0)</f>
        <v>0</v>
      </c>
      <c r="AX68" s="152">
        <f ca="1">IFERROR(__xludf.DUMMYFUNCTION("IMPORTRANGE(""https://docs.google.com/spreadsheets/d/1lufeA2cfFqM-elVq2hznhDzC6Pr7wkJ9ZG_sYNGCMCU/edit?usp=sharing"",""ลพบุรี!N215"")"),0)</f>
        <v>0</v>
      </c>
      <c r="AY68" s="216">
        <f t="shared" ca="1" si="116"/>
        <v>0</v>
      </c>
      <c r="AZ68" s="152">
        <f ca="1">IFERROR(__xludf.DUMMYFUNCTION("IMPORTRANGE(""https://docs.google.com/spreadsheets/d/1lufeA2cfFqM-elVq2hznhDzC6Pr7wkJ9ZG_sYNGCMCU/edit?usp=sharing"",""ลพบุรี!L216"")"),0)</f>
        <v>0</v>
      </c>
      <c r="BA68" s="152">
        <f ca="1">IFERROR(__xludf.DUMMYFUNCTION("IMPORTRANGE(""https://docs.google.com/spreadsheets/d/1lufeA2cfFqM-elVq2hznhDzC6Pr7wkJ9ZG_sYNGCMCU/edit?usp=sharing"",""ลพบุรี!N216"")"),0)</f>
        <v>0</v>
      </c>
      <c r="BB68" s="216">
        <f t="shared" ca="1" si="118"/>
        <v>0</v>
      </c>
      <c r="BC68" s="152">
        <f ca="1">IFERROR(__xludf.DUMMYFUNCTION("IMPORTRANGE(""https://docs.google.com/spreadsheets/d/1lufeA2cfFqM-elVq2hznhDzC6Pr7wkJ9ZG_sYNGCMCU/edit?usp=sharing"",""ลพบุรี!L217"")"),0)</f>
        <v>0</v>
      </c>
      <c r="BD68" s="152">
        <f ca="1">IFERROR(__xludf.DUMMYFUNCTION("IMPORTRANGE(""https://docs.google.com/spreadsheets/d/1lufeA2cfFqM-elVq2hznhDzC6Pr7wkJ9ZG_sYNGCMCU/edit?usp=sharing"",""ลพบุรี!N217"")"),0)</f>
        <v>0</v>
      </c>
      <c r="BE68" s="216">
        <f t="shared" ca="1" si="120"/>
        <v>0</v>
      </c>
      <c r="BF68" s="152">
        <f ca="1">IFERROR(__xludf.DUMMYFUNCTION("IMPORTRANGE(""https://docs.google.com/spreadsheets/d/1lufeA2cfFqM-elVq2hznhDzC6Pr7wkJ9ZG_sYNGCMCU/edit?usp=sharing"",""ลพบุรี!Q217"")"),0)</f>
        <v>0</v>
      </c>
      <c r="BG68" s="152">
        <f ca="1">IFERROR(__xludf.DUMMYFUNCTION("IMPORTRANGE(""https://docs.google.com/spreadsheets/d/1lufeA2cfFqM-elVq2hznhDzC6Pr7wkJ9ZG_sYNGCMCU/edit?usp=sharing"",""ลพบุรี!S217"")"),0)</f>
        <v>0</v>
      </c>
      <c r="BH68" s="216">
        <f t="shared" ca="1" si="122"/>
        <v>0</v>
      </c>
      <c r="BI68" s="152">
        <f ca="1">IFERROR(__xludf.DUMMYFUNCTION("IMPORTRANGE(""https://docs.google.com/spreadsheets/d/1lufeA2cfFqM-elVq2hznhDzC6Pr7wkJ9ZG_sYNGCMCU/edit?usp=sharing"",""ลพบุรี!I219"")"),0)</f>
        <v>0</v>
      </c>
      <c r="BJ68" s="152">
        <f ca="1">IFERROR(__xludf.DUMMYFUNCTION("IMPORTRANGE(""https://docs.google.com/spreadsheets/d/1lufeA2cfFqM-elVq2hznhDzC6Pr7wkJ9ZG_sYNGCMCU/edit?usp=sharing"",""ลพบุรี!J219"")"),0)</f>
        <v>0</v>
      </c>
      <c r="BK68" s="216">
        <f t="shared" ca="1" si="124"/>
        <v>0</v>
      </c>
      <c r="BL68" s="152">
        <f ca="1">IFERROR(__xludf.DUMMYFUNCTION("IMPORTRANGE(""https://docs.google.com/spreadsheets/d/1lufeA2cfFqM-elVq2hznhDzC6Pr7wkJ9ZG_sYNGCMCU/edit?usp=sharing"",""ลพบุรี!I220"")"),0)</f>
        <v>0</v>
      </c>
      <c r="BM68" s="152">
        <f ca="1">IFERROR(__xludf.DUMMYFUNCTION("IMPORTRANGE(""https://docs.google.com/spreadsheets/d/1lufeA2cfFqM-elVq2hznhDzC6Pr7wkJ9ZG_sYNGCMCU/edit?usp=sharing"",""ลพบุรี!J220"")"),0)</f>
        <v>0</v>
      </c>
      <c r="BN68" s="216">
        <f t="shared" ca="1" si="126"/>
        <v>0</v>
      </c>
      <c r="BO68" s="152">
        <f ca="1">IFERROR(__xludf.DUMMYFUNCTION("IMPORTRANGE(""https://docs.google.com/spreadsheets/d/1lufeA2cfFqM-elVq2hznhDzC6Pr7wkJ9ZG_sYNGCMCU/edit?usp=sharing"",""ลพบุรี!L223"")"),2500)</f>
        <v>2500</v>
      </c>
      <c r="BP68" s="152">
        <f ca="1">IFERROR(__xludf.DUMMYFUNCTION("IMPORTRANGE(""https://docs.google.com/spreadsheets/d/1lufeA2cfFqM-elVq2hznhDzC6Pr7wkJ9ZG_sYNGCMCU/edit?usp=sharing"",""ลพบุรี!N223"")"),0)</f>
        <v>0</v>
      </c>
      <c r="BQ68" s="216">
        <f t="shared" ca="1" si="128"/>
        <v>0</v>
      </c>
      <c r="BR68" s="152">
        <f ca="1">IFERROR(__xludf.DUMMYFUNCTION("IMPORTRANGE(""https://docs.google.com/spreadsheets/d/1lufeA2cfFqM-elVq2hznhDzC6Pr7wkJ9ZG_sYNGCMCU/edit?usp=sharing"",""ลพบุรี!L224"")"),10000)</f>
        <v>10000</v>
      </c>
      <c r="BS68" s="152">
        <f ca="1">IFERROR(__xludf.DUMMYFUNCTION("IMPORTRANGE(""https://docs.google.com/spreadsheets/d/1lufeA2cfFqM-elVq2hznhDzC6Pr7wkJ9ZG_sYNGCMCU/edit?usp=sharing"",""ลพบุรี!N224"")"),1225)</f>
        <v>1225</v>
      </c>
      <c r="BT68" s="216">
        <f t="shared" ca="1" si="130"/>
        <v>12.25</v>
      </c>
      <c r="BU68" s="152">
        <f ca="1">IFERROR(__xludf.DUMMYFUNCTION("IMPORTRANGE(""https://docs.google.com/spreadsheets/d/1lufeA2cfFqM-elVq2hznhDzC6Pr7wkJ9ZG_sYNGCMCU/edit?usp=sharing"",""ลพบุรี!I228"")"),100000)</f>
        <v>100000</v>
      </c>
      <c r="BV68" s="152">
        <f ca="1">IFERROR(__xludf.DUMMYFUNCTION("IMPORTRANGE(""https://docs.google.com/spreadsheets/d/1lufeA2cfFqM-elVq2hznhDzC6Pr7wkJ9ZG_sYNGCMCU/edit?usp=sharing"",""ลพบุรี!J228"")"),100000)</f>
        <v>100000</v>
      </c>
      <c r="BW68" s="216">
        <f t="shared" ca="1" si="132"/>
        <v>100</v>
      </c>
      <c r="BX68" s="152">
        <f ca="1">IFERROR(__xludf.DUMMYFUNCTION("IMPORTRANGE(""https://docs.google.com/spreadsheets/d/1lufeA2cfFqM-elVq2hznhDzC6Pr7wkJ9ZG_sYNGCMCU/edit?usp=sharing"",""ลพบุรี!I229"")"),100000)</f>
        <v>100000</v>
      </c>
      <c r="BY68" s="152">
        <f ca="1">IFERROR(__xludf.DUMMYFUNCTION("IMPORTRANGE(""https://docs.google.com/spreadsheets/d/1lufeA2cfFqM-elVq2hznhDzC6Pr7wkJ9ZG_sYNGCMCU/edit?usp=sharing"",""ลพบุรี!J229"")"),100000)</f>
        <v>100000</v>
      </c>
      <c r="BZ68" s="216">
        <f t="shared" ca="1" si="134"/>
        <v>100</v>
      </c>
      <c r="CA68" s="152">
        <f ca="1">IFERROR(__xludf.DUMMYFUNCTION("IMPORTRANGE(""https://docs.google.com/spreadsheets/d/1lufeA2cfFqM-elVq2hznhDzC6Pr7wkJ9ZG_sYNGCMCU/edit?usp=sharing"",""ลพบุรี!I230"")"),0)</f>
        <v>0</v>
      </c>
      <c r="CB68" s="152">
        <f ca="1">IFERROR(__xludf.DUMMYFUNCTION("IMPORTRANGE(""https://docs.google.com/spreadsheets/d/1lufeA2cfFqM-elVq2hznhDzC6Pr7wkJ9ZG_sYNGCMCU/edit?usp=sharing"",""ลพบุรี!J230"")"),0)</f>
        <v>0</v>
      </c>
      <c r="CC68" s="216">
        <f t="shared" ca="1" si="136"/>
        <v>0</v>
      </c>
      <c r="CD68" s="152">
        <f ca="1">IFERROR(__xludf.DUMMYFUNCTION("IMPORTRANGE(""https://docs.google.com/spreadsheets/d/1lufeA2cfFqM-elVq2hznhDzC6Pr7wkJ9ZG_sYNGCMCU/edit?usp=sharing"",""ลพบุรี!L233"")"),0)</f>
        <v>0</v>
      </c>
      <c r="CE68" s="152">
        <f ca="1">IFERROR(__xludf.DUMMYFUNCTION("IMPORTRANGE(""https://docs.google.com/spreadsheets/d/1lufeA2cfFqM-elVq2hznhDzC6Pr7wkJ9ZG_sYNGCMCU/edit?usp=sharing"",""ลพบุรี!N233"")"),0)</f>
        <v>0</v>
      </c>
      <c r="CF68" s="216">
        <f t="shared" ca="1" si="138"/>
        <v>0</v>
      </c>
      <c r="CG68" s="152">
        <f ca="1">IFERROR(__xludf.DUMMYFUNCTION("IMPORTRANGE(""https://docs.google.com/spreadsheets/d/1lufeA2cfFqM-elVq2hznhDzC6Pr7wkJ9ZG_sYNGCMCU/edit?usp=sharing"",""ลพบุรี!L234"")"),0)</f>
        <v>0</v>
      </c>
      <c r="CH68" s="152">
        <f ca="1">IFERROR(__xludf.DUMMYFUNCTION("IMPORTRANGE(""https://docs.google.com/spreadsheets/d/1lufeA2cfFqM-elVq2hznhDzC6Pr7wkJ9ZG_sYNGCMCU/edit?usp=sharing"",""ลพบุรี!N234"")"),0)</f>
        <v>0</v>
      </c>
      <c r="CI68" s="216">
        <f t="shared" ca="1" si="140"/>
        <v>0</v>
      </c>
      <c r="CJ68" s="152">
        <f ca="1">IFERROR(__xludf.DUMMYFUNCTION("IMPORTRANGE(""https://docs.google.com/spreadsheets/d/1lufeA2cfFqM-elVq2hznhDzC6Pr7wkJ9ZG_sYNGCMCU/edit?usp=sharing"",""ลพบุรี!L235"")"),0)</f>
        <v>0</v>
      </c>
      <c r="CK68" s="152">
        <f ca="1">IFERROR(__xludf.DUMMYFUNCTION("IMPORTRANGE(""https://docs.google.com/spreadsheets/d/1lufeA2cfFqM-elVq2hznhDzC6Pr7wkJ9ZG_sYNGCMCU/edit?usp=sharing"",""ลพบุรี!N235"")"),0)</f>
        <v>0</v>
      </c>
      <c r="CL68" s="216">
        <f t="shared" ca="1" si="142"/>
        <v>0</v>
      </c>
      <c r="CM68" s="251">
        <f ca="1">IFERROR(__xludf.DUMMYFUNCTION("IMPORTRANGE(""https://docs.google.com/spreadsheets/d/1lufeA2cfFqM-elVq2hznhDzC6Pr7wkJ9ZG_sYNGCMCU/edit?usp=sharing"",""ลพบุรี!Q235"")"),0)</f>
        <v>0</v>
      </c>
      <c r="CN68" s="251">
        <f ca="1">IFERROR(__xludf.DUMMYFUNCTION("IMPORTRANGE(""https://docs.google.com/spreadsheets/d/1lufeA2cfFqM-elVq2hznhDzC6Pr7wkJ9ZG_sYNGCMCU/edit?usp=sharing"",""ลพบุรี!S235"")"),0)</f>
        <v>0</v>
      </c>
      <c r="CO68" s="216">
        <f t="shared" ca="1" si="144"/>
        <v>0</v>
      </c>
      <c r="CP68" s="152">
        <f ca="1">IFERROR(__xludf.DUMMYFUNCTION("IMPORTRANGE(""https://docs.google.com/spreadsheets/d/1lufeA2cfFqM-elVq2hznhDzC6Pr7wkJ9ZG_sYNGCMCU/edit?usp=sharing"",""ลพบุรี!L236"")"),0)</f>
        <v>0</v>
      </c>
      <c r="CQ68" s="152">
        <f ca="1">IFERROR(__xludf.DUMMYFUNCTION("IMPORTRANGE(""https://docs.google.com/spreadsheets/d/1lufeA2cfFqM-elVq2hznhDzC6Pr7wkJ9ZG_sYNGCMCU/edit?usp=sharing"",""ลพบุรี!N236"")"),0)</f>
        <v>0</v>
      </c>
      <c r="CR68" s="216">
        <f t="shared" ca="1" si="146"/>
        <v>0</v>
      </c>
      <c r="CS68" s="152">
        <f ca="1">IFERROR(__xludf.DUMMYFUNCTION("IMPORTRANGE(""https://docs.google.com/spreadsheets/d/1lufeA2cfFqM-elVq2hznhDzC6Pr7wkJ9ZG_sYNGCMCU/edit?usp=sharing"",""ลพบุรี!I238"")"),0)</f>
        <v>0</v>
      </c>
      <c r="CT68" s="152">
        <f ca="1">IFERROR(__xludf.DUMMYFUNCTION("IMPORTRANGE(""https://docs.google.com/spreadsheets/d/1lufeA2cfFqM-elVq2hznhDzC6Pr7wkJ9ZG_sYNGCMCU/edit?usp=sharing"",""ลพบุรี!J238"")"),0)</f>
        <v>0</v>
      </c>
      <c r="CU68" s="216">
        <f t="shared" ca="1" si="148"/>
        <v>0</v>
      </c>
      <c r="CV68" s="152">
        <f ca="1">IFERROR(__xludf.DUMMYFUNCTION("IMPORTRANGE(""https://docs.google.com/spreadsheets/d/1lufeA2cfFqM-elVq2hznhDzC6Pr7wkJ9ZG_sYNGCMCU/edit?usp=sharing"",""ลพบุรี!J240"")"),0)</f>
        <v>0</v>
      </c>
      <c r="CW68" s="152">
        <f ca="1">IFERROR(__xludf.DUMMYFUNCTION("IMPORTRANGE(""https://docs.google.com/spreadsheets/d/1lufeA2cfFqM-elVq2hznhDzC6Pr7wkJ9ZG_sYNGCMCU/edit?usp=sharing"",""ลพบุรี!J241"")"),0)</f>
        <v>0</v>
      </c>
    </row>
    <row r="69" spans="1:101" ht="21" customHeight="1" x14ac:dyDescent="0.3">
      <c r="A69" s="147">
        <v>17</v>
      </c>
      <c r="B69" s="148" t="s">
        <v>97</v>
      </c>
      <c r="C69" s="149">
        <f t="shared" ca="1" si="90"/>
        <v>210300</v>
      </c>
      <c r="D69" s="150">
        <f t="shared" ca="1" si="206"/>
        <v>210300</v>
      </c>
      <c r="E69" s="151">
        <f ca="1">IFERROR(__xludf.DUMMYFUNCTION("IMPORTRANGE(""https://docs.google.com/spreadsheets/d/1-uDff_7J0KD5mKrp0Vvzr7lt3OU09vwQwhkpOPPYv2Y/edit?usp=sharing"",""งบพรบ!CV69"")"),0)</f>
        <v>0</v>
      </c>
      <c r="F69" s="151">
        <f ca="1">IFERROR(__xludf.DUMMYFUNCTION("IMPORTRANGE(""https://docs.google.com/spreadsheets/d/1-uDff_7J0KD5mKrp0Vvzr7lt3OU09vwQwhkpOPPYv2Y/edit?usp=sharing"",""งบพรบ!CW69"")"),210300)</f>
        <v>210300</v>
      </c>
      <c r="G69" s="151">
        <f ca="1">IFERROR(__xludf.DUMMYFUNCTION("IMPORTRANGE(""https://docs.google.com/spreadsheets/d/1-uDff_7J0KD5mKrp0Vvzr7lt3OU09vwQwhkpOPPYv2Y/edit?usp=sharing"",""งบพรบ!CX69"")"),0)</f>
        <v>0</v>
      </c>
      <c r="H69" s="151">
        <f ca="1">IFERROR(__xludf.DUMMYFUNCTION("IMPORTRANGE(""https://docs.google.com/spreadsheets/d/1-uDff_7J0KD5mKrp0Vvzr7lt3OU09vwQwhkpOPPYv2Y/edit?usp=sharing"",""งบพรบ!CZ69"")"),220500)</f>
        <v>220500</v>
      </c>
      <c r="I69" s="151">
        <f ca="1">IFERROR(__xludf.DUMMYFUNCTION("IMPORTRANGE(""https://docs.google.com/spreadsheets/d/1-uDff_7J0KD5mKrp0Vvzr7lt3OU09vwQwhkpOPPYv2Y/edit?usp=sharing"",""งบพรบ!DA69"")"),0)</f>
        <v>0</v>
      </c>
      <c r="J69" s="151">
        <f t="shared" ca="1" si="92"/>
        <v>144010</v>
      </c>
      <c r="K69" s="154">
        <f t="shared" ca="1" si="93"/>
        <v>68.478364241559674</v>
      </c>
      <c r="L69" s="151">
        <f ca="1">IFERROR(__xludf.DUMMYFUNCTION("IMPORTRANGE(""https://docs.google.com/spreadsheets/d/1-uDff_7J0KD5mKrp0Vvzr7lt3OU09vwQwhkpOPPYv2Y/edit?usp=sharing"",""งบพรบ!DB69"")"),144010)</f>
        <v>144010</v>
      </c>
      <c r="M69" s="68">
        <f t="shared" ca="1" si="94"/>
        <v>68.478364241559674</v>
      </c>
      <c r="N69" s="68">
        <f t="shared" ca="1" si="95"/>
        <v>65.310657596371883</v>
      </c>
      <c r="O69" s="67">
        <f ca="1">IFERROR(__xludf.DUMMYFUNCTION("IMPORTRANGE(""https://docs.google.com/spreadsheets/d/1-uDff_7J0KD5mKrp0Vvzr7lt3OU09vwQwhkpOPPYv2Y/edit?usp=sharing"",""งบพรบ!DC69"")"),0)</f>
        <v>0</v>
      </c>
      <c r="P69" s="67">
        <f t="shared" ca="1" si="96"/>
        <v>0</v>
      </c>
      <c r="Q69" s="68">
        <f t="shared" ca="1" si="97"/>
        <v>0</v>
      </c>
      <c r="R69" s="67">
        <f ca="1">IFERROR(__xludf.DUMMYFUNCTION("IMPORTRANGE(""https://docs.google.com/spreadsheets/d/10oOiF7loTyfsTkbd4MpaIm0HQ9SwB7IYHdIUvt-U1Uc/edit?usp=sharing"",""สระแก้ว!Q186"")"),340200)</f>
        <v>340200</v>
      </c>
      <c r="S69" s="67">
        <f ca="1">IFERROR(__xludf.DUMMYFUNCTION("IMPORTRANGE(""https://docs.google.com/spreadsheets/d/10oOiF7loTyfsTkbd4MpaIm0HQ9SwB7IYHdIUvt-U1Uc/edit?usp=sharing"",""สระแก้ว!R186"")"),340200)</f>
        <v>340200</v>
      </c>
      <c r="T69" s="67">
        <f ca="1">IFERROR(__xludf.DUMMYFUNCTION("IMPORTRANGE(""https://docs.google.com/spreadsheets/d/10oOiF7loTyfsTkbd4MpaIm0HQ9SwB7IYHdIUvt-U1Uc/edit?usp=sharing"",""สระแก้ว!S186"")"),340200)</f>
        <v>340200</v>
      </c>
      <c r="U69" s="68">
        <f t="shared" ca="1" si="99"/>
        <v>100</v>
      </c>
      <c r="V69" s="68">
        <f t="shared" ca="1" si="100"/>
        <v>100</v>
      </c>
      <c r="W69" s="152">
        <f ca="1">IFERROR(__xludf.DUMMYFUNCTION("IMPORTRANGE(""https://docs.google.com/spreadsheets/d/10oOiF7loTyfsTkbd4MpaIm0HQ9SwB7IYHdIUvt-U1Uc/edit?usp=sharing"",""สระแก้ว!L196"")"),6000)</f>
        <v>6000</v>
      </c>
      <c r="X69" s="152">
        <f ca="1">IFERROR(__xludf.DUMMYFUNCTION("IMPORTRANGE(""https://docs.google.com/spreadsheets/d/10oOiF7loTyfsTkbd4MpaIm0HQ9SwB7IYHdIUvt-U1Uc/edit?usp=sharing"",""สระแก้ว!N196"")"),1500)</f>
        <v>1500</v>
      </c>
      <c r="Y69" s="216">
        <f t="shared" ca="1" si="102"/>
        <v>25</v>
      </c>
      <c r="Z69" s="152">
        <f ca="1">IFERROR(__xludf.DUMMYFUNCTION("IMPORTRANGE(""https://docs.google.com/spreadsheets/d/10oOiF7loTyfsTkbd4MpaIm0HQ9SwB7IYHdIUvt-U1Uc/edit?usp=sharing"",""สระแก้ว!I198"")"),4)</f>
        <v>4</v>
      </c>
      <c r="AA69" s="152">
        <f ca="1">IFERROR(__xludf.DUMMYFUNCTION("IMPORTRANGE(""https://docs.google.com/spreadsheets/d/10oOiF7loTyfsTkbd4MpaIm0HQ9SwB7IYHdIUvt-U1Uc/edit?usp=sharing"",""สระแก้ว!J198"")"),3)</f>
        <v>3</v>
      </c>
      <c r="AB69" s="216">
        <f t="shared" ca="1" si="104"/>
        <v>75</v>
      </c>
      <c r="AC69" s="152">
        <f ca="1">IFERROR(__xludf.DUMMYFUNCTION("IMPORTRANGE(""https://docs.google.com/spreadsheets/d/10oOiF7loTyfsTkbd4MpaIm0HQ9SwB7IYHdIUvt-U1Uc/edit?usp=sharing"",""สระแก้ว!J199"")"),80)</f>
        <v>80</v>
      </c>
      <c r="AD69" s="152">
        <f ca="1">IFERROR(__xludf.DUMMYFUNCTION("IMPORTRANGE(""https://docs.google.com/spreadsheets/d/10oOiF7loTyfsTkbd4MpaIm0HQ9SwB7IYHdIUvt-U1Uc/edit?usp=sharing"",""สระแก้ว!J200"")"),80)</f>
        <v>80</v>
      </c>
      <c r="AE69" s="152">
        <f ca="1">IFERROR(__xludf.DUMMYFUNCTION("IMPORTRANGE(""https://docs.google.com/spreadsheets/d/10oOiF7loTyfsTkbd4MpaIm0HQ9SwB7IYHdIUvt-U1Uc/edit?usp=sharing"",""สระแก้ว!J201"")"),0)</f>
        <v>0</v>
      </c>
      <c r="AF69" s="152">
        <f ca="1">IFERROR(__xludf.DUMMYFUNCTION("IMPORTRANGE(""https://docs.google.com/spreadsheets/d/10oOiF7loTyfsTkbd4MpaIm0HQ9SwB7IYHdIUvt-U1Uc/edit?usp=sharing"",""สระแก้ว!L204"")"),3000)</f>
        <v>3000</v>
      </c>
      <c r="AG69" s="152">
        <f ca="1">IFERROR(__xludf.DUMMYFUNCTION("IMPORTRANGE(""https://docs.google.com/spreadsheets/d/10oOiF7loTyfsTkbd4MpaIm0HQ9SwB7IYHdIUvt-U1Uc/edit?usp=sharing"",""สระแก้ว!N204"")"),0)</f>
        <v>0</v>
      </c>
      <c r="AH69" s="216">
        <f t="shared" ca="1" si="106"/>
        <v>0</v>
      </c>
      <c r="AI69" s="152">
        <f ca="1">IFERROR(__xludf.DUMMYFUNCTION("IMPORTRANGE(""https://docs.google.com/spreadsheets/d/10oOiF7loTyfsTkbd4MpaIm0HQ9SwB7IYHdIUvt-U1Uc/edit?usp=sharing"",""สระแก้ว!L206"")"),0)</f>
        <v>0</v>
      </c>
      <c r="AJ69" s="152">
        <f ca="1">IFERROR(__xludf.DUMMYFUNCTION("IMPORTRANGE(""https://docs.google.com/spreadsheets/d/10oOiF7loTyfsTkbd4MpaIm0HQ9SwB7IYHdIUvt-U1Uc/edit?usp=sharing"",""สระแก้ว!N206"")"),0)</f>
        <v>0</v>
      </c>
      <c r="AK69" s="216">
        <f t="shared" ca="1" si="108"/>
        <v>0</v>
      </c>
      <c r="AL69" s="152">
        <f ca="1">IFERROR(__xludf.DUMMYFUNCTION("IMPORTRANGE(""https://docs.google.com/spreadsheets/d/10oOiF7loTyfsTkbd4MpaIm0HQ9SwB7IYHdIUvt-U1Uc/edit?usp=sharing"",""สระแก้ว!Q206"")"),42000)</f>
        <v>42000</v>
      </c>
      <c r="AM69" s="152">
        <f ca="1">IFERROR(__xludf.DUMMYFUNCTION("IMPORTRANGE(""https://docs.google.com/spreadsheets/d/10oOiF7loTyfsTkbd4MpaIm0HQ9SwB7IYHdIUvt-U1Uc/edit?usp=sharing"",""สระแก้ว!S206"")"),42000)</f>
        <v>42000</v>
      </c>
      <c r="AN69" s="216">
        <f t="shared" ca="1" si="110"/>
        <v>100</v>
      </c>
      <c r="AO69" s="152">
        <f ca="1">IFERROR(__xludf.DUMMYFUNCTION("IMPORTRANGE(""https://docs.google.com/spreadsheets/d/10oOiF7loTyfsTkbd4MpaIm0HQ9SwB7IYHdIUvt-U1Uc/edit?usp=sharing"",""สระแก้ว!L207"")"),12000)</f>
        <v>12000</v>
      </c>
      <c r="AP69" s="152">
        <f ca="1">IFERROR(__xludf.DUMMYFUNCTION("IMPORTRANGE(""https://docs.google.com/spreadsheets/d/10oOiF7loTyfsTkbd4MpaIm0HQ9SwB7IYHdIUvt-U1Uc/edit?usp=sharing"",""สระแก้ว!N207"")"),0)</f>
        <v>0</v>
      </c>
      <c r="AQ69" s="216">
        <f t="shared" ca="1" si="112"/>
        <v>0</v>
      </c>
      <c r="AR69" s="152">
        <f ca="1">IFERROR(__xludf.DUMMYFUNCTION("IMPORTRANGE(""https://docs.google.com/spreadsheets/d/10oOiF7loTyfsTkbd4MpaIm0HQ9SwB7IYHdIUvt-U1Uc/edit?usp=sharing"",""สระแก้ว!I209"")"),3)</f>
        <v>3</v>
      </c>
      <c r="AS69" s="152">
        <f ca="1">IFERROR(__xludf.DUMMYFUNCTION("IMPORTRANGE(""https://docs.google.com/spreadsheets/d/10oOiF7loTyfsTkbd4MpaIm0HQ9SwB7IYHdIUvt-U1Uc/edit?usp=sharing"",""สระแก้ว!J209"")"),3)</f>
        <v>3</v>
      </c>
      <c r="AT69" s="216">
        <f t="shared" ca="1" si="114"/>
        <v>100</v>
      </c>
      <c r="AU69" s="152">
        <f ca="1">IFERROR(__xludf.DUMMYFUNCTION("IMPORTRANGE(""https://docs.google.com/spreadsheets/d/10oOiF7loTyfsTkbd4MpaIm0HQ9SwB7IYHdIUvt-U1Uc/edit?usp=sharing"",""สระแก้ว!J211"")"),3)</f>
        <v>3</v>
      </c>
      <c r="AV69" s="152">
        <f ca="1">IFERROR(__xludf.DUMMYFUNCTION("IMPORTRANGE(""https://docs.google.com/spreadsheets/d/10oOiF7loTyfsTkbd4MpaIm0HQ9SwB7IYHdIUvt-U1Uc/edit?usp=sharing"",""สระแก้ว!J212"")"),0)</f>
        <v>0</v>
      </c>
      <c r="AW69" s="152">
        <f ca="1">IFERROR(__xludf.DUMMYFUNCTION("IMPORTRANGE(""https://docs.google.com/spreadsheets/d/10oOiF7loTyfsTkbd4MpaIm0HQ9SwB7IYHdIUvt-U1Uc/edit?usp=sharing"",""สระแก้ว!L215"")"),6000)</f>
        <v>6000</v>
      </c>
      <c r="AX69" s="152">
        <f ca="1">IFERROR(__xludf.DUMMYFUNCTION("IMPORTRANGE(""https://docs.google.com/spreadsheets/d/10oOiF7loTyfsTkbd4MpaIm0HQ9SwB7IYHdIUvt-U1Uc/edit?usp=sharing"",""สระแก้ว!N215"")"),6000)</f>
        <v>6000</v>
      </c>
      <c r="AY69" s="216">
        <f t="shared" ca="1" si="116"/>
        <v>100</v>
      </c>
      <c r="AZ69" s="152">
        <f ca="1">IFERROR(__xludf.DUMMYFUNCTION("IMPORTRANGE(""https://docs.google.com/spreadsheets/d/10oOiF7loTyfsTkbd4MpaIm0HQ9SwB7IYHdIUvt-U1Uc/edit?usp=sharing"",""สระแก้ว!L216"")"),30000)</f>
        <v>30000</v>
      </c>
      <c r="BA69" s="152">
        <f ca="1">IFERROR(__xludf.DUMMYFUNCTION("IMPORTRANGE(""https://docs.google.com/spreadsheets/d/10oOiF7loTyfsTkbd4MpaIm0HQ9SwB7IYHdIUvt-U1Uc/edit?usp=sharing"",""สระแก้ว!N216"")"),0)</f>
        <v>0</v>
      </c>
      <c r="BB69" s="216">
        <f t="shared" ca="1" si="118"/>
        <v>0</v>
      </c>
      <c r="BC69" s="152">
        <f ca="1">IFERROR(__xludf.DUMMYFUNCTION("IMPORTRANGE(""https://docs.google.com/spreadsheets/d/10oOiF7loTyfsTkbd4MpaIm0HQ9SwB7IYHdIUvt-U1Uc/edit?usp=sharing"",""สระแก้ว!L217"")"),0)</f>
        <v>0</v>
      </c>
      <c r="BD69" s="152">
        <f ca="1">IFERROR(__xludf.DUMMYFUNCTION("IMPORTRANGE(""https://docs.google.com/spreadsheets/d/10oOiF7loTyfsTkbd4MpaIm0HQ9SwB7IYHdIUvt-U1Uc/edit?usp=sharing"",""สระแก้ว!N217"")"),0)</f>
        <v>0</v>
      </c>
      <c r="BE69" s="216">
        <f t="shared" ca="1" si="120"/>
        <v>0</v>
      </c>
      <c r="BF69" s="152">
        <f ca="1">IFERROR(__xludf.DUMMYFUNCTION("IMPORTRANGE(""https://docs.google.com/spreadsheets/d/10oOiF7loTyfsTkbd4MpaIm0HQ9SwB7IYHdIUvt-U1Uc/edit?usp=sharing"",""สระแก้ว!Q217"")"),298200)</f>
        <v>298200</v>
      </c>
      <c r="BG69" s="152">
        <f ca="1">IFERROR(__xludf.DUMMYFUNCTION("IMPORTRANGE(""https://docs.google.com/spreadsheets/d/10oOiF7loTyfsTkbd4MpaIm0HQ9SwB7IYHdIUvt-U1Uc/edit?usp=sharing"",""สระแก้ว!S217"")"),22800)</f>
        <v>22800</v>
      </c>
      <c r="BH69" s="216">
        <f t="shared" ca="1" si="122"/>
        <v>7.6458752515090547</v>
      </c>
      <c r="BI69" s="152">
        <f ca="1">IFERROR(__xludf.DUMMYFUNCTION("IMPORTRANGE(""https://docs.google.com/spreadsheets/d/10oOiF7loTyfsTkbd4MpaIm0HQ9SwB7IYHdIUvt-U1Uc/edit?usp=sharing"",""สระแก้ว!I219"")"),6)</f>
        <v>6</v>
      </c>
      <c r="BJ69" s="152">
        <f ca="1">IFERROR(__xludf.DUMMYFUNCTION("IMPORTRANGE(""https://docs.google.com/spreadsheets/d/10oOiF7loTyfsTkbd4MpaIm0HQ9SwB7IYHdIUvt-U1Uc/edit?usp=sharing"",""สระแก้ว!J219"")"),0)</f>
        <v>0</v>
      </c>
      <c r="BK69" s="216">
        <f t="shared" ca="1" si="124"/>
        <v>0</v>
      </c>
      <c r="BL69" s="152">
        <f ca="1">IFERROR(__xludf.DUMMYFUNCTION("IMPORTRANGE(""https://docs.google.com/spreadsheets/d/10oOiF7loTyfsTkbd4MpaIm0HQ9SwB7IYHdIUvt-U1Uc/edit?usp=sharing"",""สระแก้ว!I220"")"),6)</f>
        <v>6</v>
      </c>
      <c r="BM69" s="152">
        <f ca="1">IFERROR(__xludf.DUMMYFUNCTION("IMPORTRANGE(""https://docs.google.com/spreadsheets/d/10oOiF7loTyfsTkbd4MpaIm0HQ9SwB7IYHdIUvt-U1Uc/edit?usp=sharing"",""สระแก้ว!J220"")"),6)</f>
        <v>6</v>
      </c>
      <c r="BN69" s="216">
        <f t="shared" ca="1" si="126"/>
        <v>100</v>
      </c>
      <c r="BO69" s="152">
        <f ca="1">IFERROR(__xludf.DUMMYFUNCTION("IMPORTRANGE(""https://docs.google.com/spreadsheets/d/10oOiF7loTyfsTkbd4MpaIm0HQ9SwB7IYHdIUvt-U1Uc/edit?usp=sharing"",""สระแก้ว!L223"")"),2500)</f>
        <v>2500</v>
      </c>
      <c r="BP69" s="152">
        <f ca="1">IFERROR(__xludf.DUMMYFUNCTION("IMPORTRANGE(""https://docs.google.com/spreadsheets/d/10oOiF7loTyfsTkbd4MpaIm0HQ9SwB7IYHdIUvt-U1Uc/edit?usp=sharing"",""สระแก้ว!N223"")"),1500)</f>
        <v>1500</v>
      </c>
      <c r="BQ69" s="216">
        <f t="shared" ca="1" si="128"/>
        <v>60</v>
      </c>
      <c r="BR69" s="152">
        <f ca="1">IFERROR(__xludf.DUMMYFUNCTION("IMPORTRANGE(""https://docs.google.com/spreadsheets/d/10oOiF7loTyfsTkbd4MpaIm0HQ9SwB7IYHdIUvt-U1Uc/edit?usp=sharing"",""สระแก้ว!L224"")"),4000)</f>
        <v>4000</v>
      </c>
      <c r="BS69" s="152">
        <f ca="1">IFERROR(__xludf.DUMMYFUNCTION("IMPORTRANGE(""https://docs.google.com/spreadsheets/d/10oOiF7loTyfsTkbd4MpaIm0HQ9SwB7IYHdIUvt-U1Uc/edit?usp=sharing"",""สระแก้ว!N224"")"),0)</f>
        <v>0</v>
      </c>
      <c r="BT69" s="216">
        <f t="shared" ca="1" si="130"/>
        <v>0</v>
      </c>
      <c r="BU69" s="152">
        <f ca="1">IFERROR(__xludf.DUMMYFUNCTION("IMPORTRANGE(""https://docs.google.com/spreadsheets/d/10oOiF7loTyfsTkbd4MpaIm0HQ9SwB7IYHdIUvt-U1Uc/edit?usp=sharing"",""สระแก้ว!I228"")"),40000)</f>
        <v>40000</v>
      </c>
      <c r="BV69" s="152">
        <f ca="1">IFERROR(__xludf.DUMMYFUNCTION("IMPORTRANGE(""https://docs.google.com/spreadsheets/d/10oOiF7loTyfsTkbd4MpaIm0HQ9SwB7IYHdIUvt-U1Uc/edit?usp=sharing"",""สระแก้ว!J228"")"),40000)</f>
        <v>40000</v>
      </c>
      <c r="BW69" s="216">
        <f t="shared" ca="1" si="132"/>
        <v>100</v>
      </c>
      <c r="BX69" s="152">
        <f ca="1">IFERROR(__xludf.DUMMYFUNCTION("IMPORTRANGE(""https://docs.google.com/spreadsheets/d/10oOiF7loTyfsTkbd4MpaIm0HQ9SwB7IYHdIUvt-U1Uc/edit?usp=sharing"",""สระแก้ว!I229"")"),40000)</f>
        <v>40000</v>
      </c>
      <c r="BY69" s="152">
        <f ca="1">IFERROR(__xludf.DUMMYFUNCTION("IMPORTRANGE(""https://docs.google.com/spreadsheets/d/10oOiF7loTyfsTkbd4MpaIm0HQ9SwB7IYHdIUvt-U1Uc/edit?usp=sharing"",""สระแก้ว!J229"")"),40000)</f>
        <v>40000</v>
      </c>
      <c r="BZ69" s="216">
        <f t="shared" ca="1" si="134"/>
        <v>100</v>
      </c>
      <c r="CA69" s="152">
        <f ca="1">IFERROR(__xludf.DUMMYFUNCTION("IMPORTRANGE(""https://docs.google.com/spreadsheets/d/10oOiF7loTyfsTkbd4MpaIm0HQ9SwB7IYHdIUvt-U1Uc/edit?usp=sharing"",""สระแก้ว!I230"")"),0)</f>
        <v>0</v>
      </c>
      <c r="CB69" s="152">
        <f ca="1">IFERROR(__xludf.DUMMYFUNCTION("IMPORTRANGE(""https://docs.google.com/spreadsheets/d/10oOiF7loTyfsTkbd4MpaIm0HQ9SwB7IYHdIUvt-U1Uc/edit?usp=sharing"",""สระแก้ว!J230"")"),0)</f>
        <v>0</v>
      </c>
      <c r="CC69" s="216">
        <f t="shared" ca="1" si="136"/>
        <v>0</v>
      </c>
      <c r="CD69" s="152">
        <f ca="1">IFERROR(__xludf.DUMMYFUNCTION("IMPORTRANGE(""https://docs.google.com/spreadsheets/d/10oOiF7loTyfsTkbd4MpaIm0HQ9SwB7IYHdIUvt-U1Uc/edit?usp=sharing"",""สระแก้ว!L233"")"),26000)</f>
        <v>26000</v>
      </c>
      <c r="CE69" s="152">
        <f ca="1">IFERROR(__xludf.DUMMYFUNCTION("IMPORTRANGE(""https://docs.google.com/spreadsheets/d/10oOiF7loTyfsTkbd4MpaIm0HQ9SwB7IYHdIUvt-U1Uc/edit?usp=sharing"",""สระแก้ว!N233"")"),8310)</f>
        <v>8310</v>
      </c>
      <c r="CF69" s="216">
        <f t="shared" ca="1" si="138"/>
        <v>31.96153846153846</v>
      </c>
      <c r="CG69" s="152">
        <f ca="1">IFERROR(__xludf.DUMMYFUNCTION("IMPORTRANGE(""https://docs.google.com/spreadsheets/d/10oOiF7loTyfsTkbd4MpaIm0HQ9SwB7IYHdIUvt-U1Uc/edit?usp=sharing"",""สระแก้ว!L234"")"),5000)</f>
        <v>5000</v>
      </c>
      <c r="CH69" s="152">
        <f ca="1">IFERROR(__xludf.DUMMYFUNCTION("IMPORTRANGE(""https://docs.google.com/spreadsheets/d/10oOiF7loTyfsTkbd4MpaIm0HQ9SwB7IYHdIUvt-U1Uc/edit?usp=sharing"",""สระแก้ว!N234"")"),0)</f>
        <v>0</v>
      </c>
      <c r="CI69" s="216">
        <f t="shared" ca="1" si="140"/>
        <v>0</v>
      </c>
      <c r="CJ69" s="152">
        <f ca="1">IFERROR(__xludf.DUMMYFUNCTION("IMPORTRANGE(""https://docs.google.com/spreadsheets/d/10oOiF7loTyfsTkbd4MpaIm0HQ9SwB7IYHdIUvt-U1Uc/edit?usp=sharing"",""สระแก้ว!L235"")"),47800)</f>
        <v>47800</v>
      </c>
      <c r="CK69" s="152">
        <f ca="1">IFERROR(__xludf.DUMMYFUNCTION("IMPORTRANGE(""https://docs.google.com/spreadsheets/d/10oOiF7loTyfsTkbd4MpaIm0HQ9SwB7IYHdIUvt-U1Uc/edit?usp=sharing"",""สระแก้ว!N235"")"),47800)</f>
        <v>47800</v>
      </c>
      <c r="CL69" s="216">
        <f t="shared" ca="1" si="142"/>
        <v>100</v>
      </c>
      <c r="CM69" s="251">
        <f ca="1">IFERROR(__xludf.DUMMYFUNCTION("IMPORTRANGE(""https://docs.google.com/spreadsheets/d/10oOiF7loTyfsTkbd4MpaIm0HQ9SwB7IYHdIUvt-U1Uc/edit?usp=sharing"",""สระแก้ว!Q235"")"),0)</f>
        <v>0</v>
      </c>
      <c r="CN69" s="251">
        <f ca="1">IFERROR(__xludf.DUMMYFUNCTION("IMPORTRANGE(""https://docs.google.com/spreadsheets/d/10oOiF7loTyfsTkbd4MpaIm0HQ9SwB7IYHdIUvt-U1Uc/edit?usp=sharing"",""สระแก้ว!S235"")"),0)</f>
        <v>0</v>
      </c>
      <c r="CO69" s="216">
        <f t="shared" ca="1" si="144"/>
        <v>0</v>
      </c>
      <c r="CP69" s="152">
        <f ca="1">IFERROR(__xludf.DUMMYFUNCTION("IMPORTRANGE(""https://docs.google.com/spreadsheets/d/10oOiF7loTyfsTkbd4MpaIm0HQ9SwB7IYHdIUvt-U1Uc/edit?usp=sharing"",""สระแก้ว!L236"")"),68000)</f>
        <v>68000</v>
      </c>
      <c r="CQ69" s="152">
        <f ca="1">IFERROR(__xludf.DUMMYFUNCTION("IMPORTRANGE(""https://docs.google.com/spreadsheets/d/10oOiF7loTyfsTkbd4MpaIm0HQ9SwB7IYHdIUvt-U1Uc/edit?usp=sharing"",""สระแก้ว!N236"")"),68000)</f>
        <v>68000</v>
      </c>
      <c r="CR69" s="216">
        <f t="shared" ca="1" si="146"/>
        <v>100</v>
      </c>
      <c r="CS69" s="152">
        <f ca="1">IFERROR(__xludf.DUMMYFUNCTION("IMPORTRANGE(""https://docs.google.com/spreadsheets/d/10oOiF7loTyfsTkbd4MpaIm0HQ9SwB7IYHdIUvt-U1Uc/edit?usp=sharing"",""สระแก้ว!I238"")"),60)</f>
        <v>60</v>
      </c>
      <c r="CT69" s="152">
        <f ca="1">IFERROR(__xludf.DUMMYFUNCTION("IMPORTRANGE(""https://docs.google.com/spreadsheets/d/10oOiF7loTyfsTkbd4MpaIm0HQ9SwB7IYHdIUvt-U1Uc/edit?usp=sharing"",""สระแก้ว!J238"")"),60)</f>
        <v>60</v>
      </c>
      <c r="CU69" s="216">
        <f t="shared" ca="1" si="148"/>
        <v>100</v>
      </c>
      <c r="CV69" s="152">
        <f ca="1">IFERROR(__xludf.DUMMYFUNCTION("IMPORTRANGE(""https://docs.google.com/spreadsheets/d/10oOiF7loTyfsTkbd4MpaIm0HQ9SwB7IYHdIUvt-U1Uc/edit?usp=sharing"",""สระแก้ว!J240"")"),60)</f>
        <v>60</v>
      </c>
      <c r="CW69" s="152">
        <f ca="1">IFERROR(__xludf.DUMMYFUNCTION("IMPORTRANGE(""https://docs.google.com/spreadsheets/d/10oOiF7loTyfsTkbd4MpaIm0HQ9SwB7IYHdIUvt-U1Uc/edit?usp=sharing"",""สระแก้ว!J241"")"),2)</f>
        <v>2</v>
      </c>
    </row>
    <row r="70" spans="1:101" ht="21" customHeight="1" x14ac:dyDescent="0.3">
      <c r="A70" s="147">
        <v>18</v>
      </c>
      <c r="B70" s="148" t="s">
        <v>98</v>
      </c>
      <c r="C70" s="149">
        <f t="shared" ca="1" si="90"/>
        <v>25500</v>
      </c>
      <c r="D70" s="150">
        <f t="shared" ca="1" si="206"/>
        <v>25500</v>
      </c>
      <c r="E70" s="151">
        <f ca="1">IFERROR(__xludf.DUMMYFUNCTION("IMPORTRANGE(""https://docs.google.com/spreadsheets/d/1-uDff_7J0KD5mKrp0Vvzr7lt3OU09vwQwhkpOPPYv2Y/edit?usp=sharing"",""งบพรบ!CV70"")"),0)</f>
        <v>0</v>
      </c>
      <c r="F70" s="151">
        <f ca="1">IFERROR(__xludf.DUMMYFUNCTION("IMPORTRANGE(""https://docs.google.com/spreadsheets/d/1-uDff_7J0KD5mKrp0Vvzr7lt3OU09vwQwhkpOPPYv2Y/edit?usp=sharing"",""งบพรบ!CW70"")"),25500)</f>
        <v>25500</v>
      </c>
      <c r="G70" s="151">
        <f ca="1">IFERROR(__xludf.DUMMYFUNCTION("IMPORTRANGE(""https://docs.google.com/spreadsheets/d/1-uDff_7J0KD5mKrp0Vvzr7lt3OU09vwQwhkpOPPYv2Y/edit?usp=sharing"",""งบพรบ!CX70"")"),0)</f>
        <v>0</v>
      </c>
      <c r="H70" s="151">
        <f ca="1">IFERROR(__xludf.DUMMYFUNCTION("IMPORTRANGE(""https://docs.google.com/spreadsheets/d/1-uDff_7J0KD5mKrp0Vvzr7lt3OU09vwQwhkpOPPYv2Y/edit?usp=sharing"",""งบพรบ!CZ70"")"),27340)</f>
        <v>27340</v>
      </c>
      <c r="I70" s="151">
        <f ca="1">IFERROR(__xludf.DUMMYFUNCTION("IMPORTRANGE(""https://docs.google.com/spreadsheets/d/1-uDff_7J0KD5mKrp0Vvzr7lt3OU09vwQwhkpOPPYv2Y/edit?usp=sharing"",""งบพรบ!DA70"")"),0)</f>
        <v>0</v>
      </c>
      <c r="J70" s="151">
        <f t="shared" ca="1" si="92"/>
        <v>24340</v>
      </c>
      <c r="K70" s="154">
        <f t="shared" ca="1" si="93"/>
        <v>95.450980392156865</v>
      </c>
      <c r="L70" s="151">
        <f ca="1">IFERROR(__xludf.DUMMYFUNCTION("IMPORTRANGE(""https://docs.google.com/spreadsheets/d/1-uDff_7J0KD5mKrp0Vvzr7lt3OU09vwQwhkpOPPYv2Y/edit?usp=sharing"",""งบพรบ!DB70"")"),24340)</f>
        <v>24340</v>
      </c>
      <c r="M70" s="68">
        <f t="shared" ca="1" si="94"/>
        <v>95.450980392156865</v>
      </c>
      <c r="N70" s="68">
        <f t="shared" ca="1" si="95"/>
        <v>89.027066569129474</v>
      </c>
      <c r="O70" s="67">
        <f ca="1">IFERROR(__xludf.DUMMYFUNCTION("IMPORTRANGE(""https://docs.google.com/spreadsheets/d/1-uDff_7J0KD5mKrp0Vvzr7lt3OU09vwQwhkpOPPYv2Y/edit?usp=sharing"",""งบพรบ!DC70"")"),0)</f>
        <v>0</v>
      </c>
      <c r="P70" s="67">
        <f t="shared" ca="1" si="96"/>
        <v>0</v>
      </c>
      <c r="Q70" s="68">
        <f t="shared" ca="1" si="97"/>
        <v>0</v>
      </c>
      <c r="R70" s="67">
        <f ca="1">IFERROR(__xludf.DUMMYFUNCTION("IMPORTRANGE(""https://docs.google.com/spreadsheets/d/1xmPlrr1QbdSIKvl1dWUl9K4PjAfSL9oeMr_37QVzcxc/edit?usp=sharing"",""สระบุรี!Q186"")"),42000)</f>
        <v>42000</v>
      </c>
      <c r="S70" s="67">
        <f ca="1">IFERROR(__xludf.DUMMYFUNCTION("IMPORTRANGE(""https://docs.google.com/spreadsheets/d/1xmPlrr1QbdSIKvl1dWUl9K4PjAfSL9oeMr_37QVzcxc/edit?usp=sharing"",""สระบุรี!R186"")"),42000)</f>
        <v>42000</v>
      </c>
      <c r="T70" s="67">
        <f ca="1">IFERROR(__xludf.DUMMYFUNCTION("IMPORTRANGE(""https://docs.google.com/spreadsheets/d/1xmPlrr1QbdSIKvl1dWUl9K4PjAfSL9oeMr_37QVzcxc/edit?usp=sharing"",""สระบุรี!S186"")"),42000)</f>
        <v>42000</v>
      </c>
      <c r="U70" s="68">
        <f t="shared" ca="1" si="99"/>
        <v>100</v>
      </c>
      <c r="V70" s="68">
        <f t="shared" ca="1" si="100"/>
        <v>100</v>
      </c>
      <c r="W70" s="152">
        <f ca="1">IFERROR(__xludf.DUMMYFUNCTION("IMPORTRANGE(""https://docs.google.com/spreadsheets/d/1xmPlrr1QbdSIKvl1dWUl9K4PjAfSL9oeMr_37QVzcxc/edit?usp=sharing"",""สระบุรี!L196"")"),6000)</f>
        <v>6000</v>
      </c>
      <c r="X70" s="152">
        <f ca="1">IFERROR(__xludf.DUMMYFUNCTION("IMPORTRANGE(""https://docs.google.com/spreadsheets/d/1xmPlrr1QbdSIKvl1dWUl9K4PjAfSL9oeMr_37QVzcxc/edit?usp=sharing"",""สระบุรี!N196"")"),1600)</f>
        <v>1600</v>
      </c>
      <c r="Y70" s="216">
        <f t="shared" ca="1" si="102"/>
        <v>26.666666666666668</v>
      </c>
      <c r="Z70" s="152">
        <f ca="1">IFERROR(__xludf.DUMMYFUNCTION("IMPORTRANGE(""https://docs.google.com/spreadsheets/d/1xmPlrr1QbdSIKvl1dWUl9K4PjAfSL9oeMr_37QVzcxc/edit?usp=sharing"",""สระบุรี!I198"")"),4)</f>
        <v>4</v>
      </c>
      <c r="AA70" s="152">
        <f ca="1">IFERROR(__xludf.DUMMYFUNCTION("IMPORTRANGE(""https://docs.google.com/spreadsheets/d/1xmPlrr1QbdSIKvl1dWUl9K4PjAfSL9oeMr_37QVzcxc/edit?usp=sharing"",""สระบุรี!J198"")"),4)</f>
        <v>4</v>
      </c>
      <c r="AB70" s="216">
        <f t="shared" ca="1" si="104"/>
        <v>100</v>
      </c>
      <c r="AC70" s="152">
        <f ca="1">IFERROR(__xludf.DUMMYFUNCTION("IMPORTRANGE(""https://docs.google.com/spreadsheets/d/1xmPlrr1QbdSIKvl1dWUl9K4PjAfSL9oeMr_37QVzcxc/edit?usp=sharing"",""สระบุรี!J199"")"),0)</f>
        <v>0</v>
      </c>
      <c r="AD70" s="152">
        <f ca="1">IFERROR(__xludf.DUMMYFUNCTION("IMPORTRANGE(""https://docs.google.com/spreadsheets/d/1xmPlrr1QbdSIKvl1dWUl9K4PjAfSL9oeMr_37QVzcxc/edit?usp=sharing"",""สระบุรี!J200"")"),0)</f>
        <v>0</v>
      </c>
      <c r="AE70" s="152">
        <f ca="1">IFERROR(__xludf.DUMMYFUNCTION("IMPORTRANGE(""https://docs.google.com/spreadsheets/d/1xmPlrr1QbdSIKvl1dWUl9K4PjAfSL9oeMr_37QVzcxc/edit?usp=sharing"",""สระบุรี!J201"")"),0)</f>
        <v>0</v>
      </c>
      <c r="AF70" s="152">
        <f ca="1">IFERROR(__xludf.DUMMYFUNCTION("IMPORTRANGE(""https://docs.google.com/spreadsheets/d/1xmPlrr1QbdSIKvl1dWUl9K4PjAfSL9oeMr_37QVzcxc/edit?usp=sharing"",""สระบุรี!L204"")"),3000)</f>
        <v>3000</v>
      </c>
      <c r="AG70" s="152">
        <f ca="1">IFERROR(__xludf.DUMMYFUNCTION("IMPORTRANGE(""https://docs.google.com/spreadsheets/d/1xmPlrr1QbdSIKvl1dWUl9K4PjAfSL9oeMr_37QVzcxc/edit?usp=sharing"",""สระบุรี!N204"")"),3000)</f>
        <v>3000</v>
      </c>
      <c r="AH70" s="216">
        <f t="shared" ca="1" si="106"/>
        <v>100</v>
      </c>
      <c r="AI70" s="152">
        <f ca="1">IFERROR(__xludf.DUMMYFUNCTION("IMPORTRANGE(""https://docs.google.com/spreadsheets/d/1xmPlrr1QbdSIKvl1dWUl9K4PjAfSL9oeMr_37QVzcxc/edit?usp=sharing"",""สระบุรี!L206"")"),0)</f>
        <v>0</v>
      </c>
      <c r="AJ70" s="152">
        <f ca="1">IFERROR(__xludf.DUMMYFUNCTION("IMPORTRANGE(""https://docs.google.com/spreadsheets/d/1xmPlrr1QbdSIKvl1dWUl9K4PjAfSL9oeMr_37QVzcxc/edit?usp=sharing"",""สระบุรี!N206"")"),0)</f>
        <v>0</v>
      </c>
      <c r="AK70" s="216">
        <f t="shared" ca="1" si="108"/>
        <v>0</v>
      </c>
      <c r="AL70" s="152">
        <f ca="1">IFERROR(__xludf.DUMMYFUNCTION("IMPORTRANGE(""https://docs.google.com/spreadsheets/d/1xmPlrr1QbdSIKvl1dWUl9K4PjAfSL9oeMr_37QVzcxc/edit?usp=sharing"",""สระบุรี!Q206"")"),42000)</f>
        <v>42000</v>
      </c>
      <c r="AM70" s="152">
        <f ca="1">IFERROR(__xludf.DUMMYFUNCTION("IMPORTRANGE(""https://docs.google.com/spreadsheets/d/1xmPlrr1QbdSIKvl1dWUl9K4PjAfSL9oeMr_37QVzcxc/edit?usp=sharing"",""สระบุรี!S206"")"),42000)</f>
        <v>42000</v>
      </c>
      <c r="AN70" s="216">
        <f t="shared" ca="1" si="110"/>
        <v>100</v>
      </c>
      <c r="AO70" s="152">
        <f ca="1">IFERROR(__xludf.DUMMYFUNCTION("IMPORTRANGE(""https://docs.google.com/spreadsheets/d/1xmPlrr1QbdSIKvl1dWUl9K4PjAfSL9oeMr_37QVzcxc/edit?usp=sharing"",""สระบุรี!L207"")"),12000)</f>
        <v>12000</v>
      </c>
      <c r="AP70" s="152">
        <f ca="1">IFERROR(__xludf.DUMMYFUNCTION("IMPORTRANGE(""https://docs.google.com/spreadsheets/d/1xmPlrr1QbdSIKvl1dWUl9K4PjAfSL9oeMr_37QVzcxc/edit?usp=sharing"",""สระบุรี!N207"")"),12000)</f>
        <v>12000</v>
      </c>
      <c r="AQ70" s="216">
        <f t="shared" ca="1" si="112"/>
        <v>100</v>
      </c>
      <c r="AR70" s="152">
        <f ca="1">IFERROR(__xludf.DUMMYFUNCTION("IMPORTRANGE(""https://docs.google.com/spreadsheets/d/1xmPlrr1QbdSIKvl1dWUl9K4PjAfSL9oeMr_37QVzcxc/edit?usp=sharing"",""สระบุรี!I209"")"),3)</f>
        <v>3</v>
      </c>
      <c r="AS70" s="152">
        <f ca="1">IFERROR(__xludf.DUMMYFUNCTION("IMPORTRANGE(""https://docs.google.com/spreadsheets/d/1xmPlrr1QbdSIKvl1dWUl9K4PjAfSL9oeMr_37QVzcxc/edit?usp=sharing"",""สระบุรี!J209"")"),3)</f>
        <v>3</v>
      </c>
      <c r="AT70" s="216">
        <f t="shared" ca="1" si="114"/>
        <v>100</v>
      </c>
      <c r="AU70" s="152">
        <f ca="1">IFERROR(__xludf.DUMMYFUNCTION("IMPORTRANGE(""https://docs.google.com/spreadsheets/d/1xmPlrr1QbdSIKvl1dWUl9K4PjAfSL9oeMr_37QVzcxc/edit?usp=sharing"",""สระบุรี!J211"")"),3)</f>
        <v>3</v>
      </c>
      <c r="AV70" s="152">
        <f ca="1">IFERROR(__xludf.DUMMYFUNCTION("IMPORTRANGE(""https://docs.google.com/spreadsheets/d/1xmPlrr1QbdSIKvl1dWUl9K4PjAfSL9oeMr_37QVzcxc/edit?usp=sharing"",""สระบุรี!J212"")"),0)</f>
        <v>0</v>
      </c>
      <c r="AW70" s="152">
        <f ca="1">IFERROR(__xludf.DUMMYFUNCTION("IMPORTRANGE(""https://docs.google.com/spreadsheets/d/1xmPlrr1QbdSIKvl1dWUl9K4PjAfSL9oeMr_37QVzcxc/edit?usp=sharing"",""สระบุรี!L215"")"),0)</f>
        <v>0</v>
      </c>
      <c r="AX70" s="152">
        <f ca="1">IFERROR(__xludf.DUMMYFUNCTION("IMPORTRANGE(""https://docs.google.com/spreadsheets/d/1xmPlrr1QbdSIKvl1dWUl9K4PjAfSL9oeMr_37QVzcxc/edit?usp=sharing"",""สระบุรี!N215"")"),0)</f>
        <v>0</v>
      </c>
      <c r="AY70" s="216">
        <f t="shared" ca="1" si="116"/>
        <v>0</v>
      </c>
      <c r="AZ70" s="152">
        <f ca="1">IFERROR(__xludf.DUMMYFUNCTION("IMPORTRANGE(""https://docs.google.com/spreadsheets/d/1xmPlrr1QbdSIKvl1dWUl9K4PjAfSL9oeMr_37QVzcxc/edit?usp=sharing"",""สระบุรี!L216"")"),0)</f>
        <v>0</v>
      </c>
      <c r="BA70" s="152">
        <f ca="1">IFERROR(__xludf.DUMMYFUNCTION("IMPORTRANGE(""https://docs.google.com/spreadsheets/d/1xmPlrr1QbdSIKvl1dWUl9K4PjAfSL9oeMr_37QVzcxc/edit?usp=sharing"",""สระบุรี!N216"")"),0)</f>
        <v>0</v>
      </c>
      <c r="BB70" s="216">
        <f t="shared" ca="1" si="118"/>
        <v>0</v>
      </c>
      <c r="BC70" s="152">
        <f ca="1">IFERROR(__xludf.DUMMYFUNCTION("IMPORTRANGE(""https://docs.google.com/spreadsheets/d/1xmPlrr1QbdSIKvl1dWUl9K4PjAfSL9oeMr_37QVzcxc/edit?usp=sharing"",""สระบุรี!L217"")"),0)</f>
        <v>0</v>
      </c>
      <c r="BD70" s="152">
        <f ca="1">IFERROR(__xludf.DUMMYFUNCTION("IMPORTRANGE(""https://docs.google.com/spreadsheets/d/1xmPlrr1QbdSIKvl1dWUl9K4PjAfSL9oeMr_37QVzcxc/edit?usp=sharing"",""สระบุรี!N217"")"),0)</f>
        <v>0</v>
      </c>
      <c r="BE70" s="216">
        <f t="shared" ca="1" si="120"/>
        <v>0</v>
      </c>
      <c r="BF70" s="152">
        <f ca="1">IFERROR(__xludf.DUMMYFUNCTION("IMPORTRANGE(""https://docs.google.com/spreadsheets/d/1xmPlrr1QbdSIKvl1dWUl9K4PjAfSL9oeMr_37QVzcxc/edit?usp=sharing"",""สระบุรี!Q217"")"),0)</f>
        <v>0</v>
      </c>
      <c r="BG70" s="152">
        <f ca="1">IFERROR(__xludf.DUMMYFUNCTION("IMPORTRANGE(""https://docs.google.com/spreadsheets/d/1xmPlrr1QbdSIKvl1dWUl9K4PjAfSL9oeMr_37QVzcxc/edit?usp=sharing"",""สระบุรี!S217"")"),0)</f>
        <v>0</v>
      </c>
      <c r="BH70" s="216">
        <f t="shared" ca="1" si="122"/>
        <v>0</v>
      </c>
      <c r="BI70" s="152">
        <f ca="1">IFERROR(__xludf.DUMMYFUNCTION("IMPORTRANGE(""https://docs.google.com/spreadsheets/d/1xmPlrr1QbdSIKvl1dWUl9K4PjAfSL9oeMr_37QVzcxc/edit?usp=sharing"",""สระบุรี!I219"")"),0)</f>
        <v>0</v>
      </c>
      <c r="BJ70" s="152">
        <f ca="1">IFERROR(__xludf.DUMMYFUNCTION("IMPORTRANGE(""https://docs.google.com/spreadsheets/d/1xmPlrr1QbdSIKvl1dWUl9K4PjAfSL9oeMr_37QVzcxc/edit?usp=sharing"",""สระบุรี!J219"")"),0)</f>
        <v>0</v>
      </c>
      <c r="BK70" s="216">
        <f t="shared" ca="1" si="124"/>
        <v>0</v>
      </c>
      <c r="BL70" s="152">
        <f ca="1">IFERROR(__xludf.DUMMYFUNCTION("IMPORTRANGE(""https://docs.google.com/spreadsheets/d/1xmPlrr1QbdSIKvl1dWUl9K4PjAfSL9oeMr_37QVzcxc/edit?usp=sharing"",""สระบุรี!I220"")"),0)</f>
        <v>0</v>
      </c>
      <c r="BM70" s="152">
        <f ca="1">IFERROR(__xludf.DUMMYFUNCTION("IMPORTRANGE(""https://docs.google.com/spreadsheets/d/1xmPlrr1QbdSIKvl1dWUl9K4PjAfSL9oeMr_37QVzcxc/edit?usp=sharing"",""สระบุรี!J220"")"),0)</f>
        <v>0</v>
      </c>
      <c r="BN70" s="216">
        <f t="shared" ca="1" si="126"/>
        <v>0</v>
      </c>
      <c r="BO70" s="152">
        <f ca="1">IFERROR(__xludf.DUMMYFUNCTION("IMPORTRANGE(""https://docs.google.com/spreadsheets/d/1xmPlrr1QbdSIKvl1dWUl9K4PjAfSL9oeMr_37QVzcxc/edit?usp=sharing"",""สระบุรี!L223"")"),2500)</f>
        <v>2500</v>
      </c>
      <c r="BP70" s="152">
        <f ca="1">IFERROR(__xludf.DUMMYFUNCTION("IMPORTRANGE(""https://docs.google.com/spreadsheets/d/1xmPlrr1QbdSIKvl1dWUl9K4PjAfSL9oeMr_37QVzcxc/edit?usp=sharing"",""สระบุรี!N223"")"),2500)</f>
        <v>2500</v>
      </c>
      <c r="BQ70" s="216">
        <f t="shared" ca="1" si="128"/>
        <v>100</v>
      </c>
      <c r="BR70" s="152">
        <f ca="1">IFERROR(__xludf.DUMMYFUNCTION("IMPORTRANGE(""https://docs.google.com/spreadsheets/d/1xmPlrr1QbdSIKvl1dWUl9K4PjAfSL9oeMr_37QVzcxc/edit?usp=sharing"",""สระบุรี!L224"")"),2000)</f>
        <v>2000</v>
      </c>
      <c r="BS70" s="152">
        <f ca="1">IFERROR(__xludf.DUMMYFUNCTION("IMPORTRANGE(""https://docs.google.com/spreadsheets/d/1xmPlrr1QbdSIKvl1dWUl9K4PjAfSL9oeMr_37QVzcxc/edit?usp=sharing"",""สระบุรี!N224"")"),2000)</f>
        <v>2000</v>
      </c>
      <c r="BT70" s="216">
        <f t="shared" ca="1" si="130"/>
        <v>100</v>
      </c>
      <c r="BU70" s="152">
        <f ca="1">IFERROR(__xludf.DUMMYFUNCTION("IMPORTRANGE(""https://docs.google.com/spreadsheets/d/1xmPlrr1QbdSIKvl1dWUl9K4PjAfSL9oeMr_37QVzcxc/edit?usp=sharing"",""สระบุรี!I228"")"),20000)</f>
        <v>20000</v>
      </c>
      <c r="BV70" s="152">
        <f ca="1">IFERROR(__xludf.DUMMYFUNCTION("IMPORTRANGE(""https://docs.google.com/spreadsheets/d/1xmPlrr1QbdSIKvl1dWUl9K4PjAfSL9oeMr_37QVzcxc/edit?usp=sharing"",""สระบุรี!J228"")"),20000)</f>
        <v>20000</v>
      </c>
      <c r="BW70" s="216">
        <f t="shared" ca="1" si="132"/>
        <v>100</v>
      </c>
      <c r="BX70" s="152">
        <f ca="1">IFERROR(__xludf.DUMMYFUNCTION("IMPORTRANGE(""https://docs.google.com/spreadsheets/d/1xmPlrr1QbdSIKvl1dWUl9K4PjAfSL9oeMr_37QVzcxc/edit?usp=sharing"",""สระบุรี!I229"")"),20000)</f>
        <v>20000</v>
      </c>
      <c r="BY70" s="152">
        <f ca="1">IFERROR(__xludf.DUMMYFUNCTION("IMPORTRANGE(""https://docs.google.com/spreadsheets/d/1xmPlrr1QbdSIKvl1dWUl9K4PjAfSL9oeMr_37QVzcxc/edit?usp=sharing"",""สระบุรี!J229"")"),20000)</f>
        <v>20000</v>
      </c>
      <c r="BZ70" s="216">
        <f t="shared" ca="1" si="134"/>
        <v>100</v>
      </c>
      <c r="CA70" s="152">
        <f ca="1">IFERROR(__xludf.DUMMYFUNCTION("IMPORTRANGE(""https://docs.google.com/spreadsheets/d/1xmPlrr1QbdSIKvl1dWUl9K4PjAfSL9oeMr_37QVzcxc/edit?usp=sharing"",""สระบุรี!I230"")"),0)</f>
        <v>0</v>
      </c>
      <c r="CB70" s="152">
        <f ca="1">IFERROR(__xludf.DUMMYFUNCTION("IMPORTRANGE(""https://docs.google.com/spreadsheets/d/1xmPlrr1QbdSIKvl1dWUl9K4PjAfSL9oeMr_37QVzcxc/edit?usp=sharing"",""สระบุรี!J230"")"),0)</f>
        <v>0</v>
      </c>
      <c r="CC70" s="216">
        <f t="shared" ca="1" si="136"/>
        <v>0</v>
      </c>
      <c r="CD70" s="152">
        <f ca="1">IFERROR(__xludf.DUMMYFUNCTION("IMPORTRANGE(""https://docs.google.com/spreadsheets/d/1xmPlrr1QbdSIKvl1dWUl9K4PjAfSL9oeMr_37QVzcxc/edit?usp=sharing"",""สระบุรี!L233"")"),0)</f>
        <v>0</v>
      </c>
      <c r="CE70" s="152">
        <f ca="1">IFERROR(__xludf.DUMMYFUNCTION("IMPORTRANGE(""https://docs.google.com/spreadsheets/d/1xmPlrr1QbdSIKvl1dWUl9K4PjAfSL9oeMr_37QVzcxc/edit?usp=sharing"",""สระบุรี!N233"")"),0)</f>
        <v>0</v>
      </c>
      <c r="CF70" s="216">
        <f t="shared" ca="1" si="138"/>
        <v>0</v>
      </c>
      <c r="CG70" s="152">
        <f ca="1">IFERROR(__xludf.DUMMYFUNCTION("IMPORTRANGE(""https://docs.google.com/spreadsheets/d/1xmPlrr1QbdSIKvl1dWUl9K4PjAfSL9oeMr_37QVzcxc/edit?usp=sharing"",""สระบุรี!L234"")"),0)</f>
        <v>0</v>
      </c>
      <c r="CH70" s="152">
        <f ca="1">IFERROR(__xludf.DUMMYFUNCTION("IMPORTRANGE(""https://docs.google.com/spreadsheets/d/1xmPlrr1QbdSIKvl1dWUl9K4PjAfSL9oeMr_37QVzcxc/edit?usp=sharing"",""สระบุรี!N234"")"),0)</f>
        <v>0</v>
      </c>
      <c r="CI70" s="216">
        <f t="shared" ca="1" si="140"/>
        <v>0</v>
      </c>
      <c r="CJ70" s="152">
        <f ca="1">IFERROR(__xludf.DUMMYFUNCTION("IMPORTRANGE(""https://docs.google.com/spreadsheets/d/1xmPlrr1QbdSIKvl1dWUl9K4PjAfSL9oeMr_37QVzcxc/edit?usp=sharing"",""สระบุรี!L235"")"),0)</f>
        <v>0</v>
      </c>
      <c r="CK70" s="152">
        <f ca="1">IFERROR(__xludf.DUMMYFUNCTION("IMPORTRANGE(""https://docs.google.com/spreadsheets/d/1xmPlrr1QbdSIKvl1dWUl9K4PjAfSL9oeMr_37QVzcxc/edit?usp=sharing"",""สระบุรี!N235"")"),0)</f>
        <v>0</v>
      </c>
      <c r="CL70" s="216">
        <f t="shared" ca="1" si="142"/>
        <v>0</v>
      </c>
      <c r="CM70" s="251">
        <f ca="1">IFERROR(__xludf.DUMMYFUNCTION("IMPORTRANGE(""https://docs.google.com/spreadsheets/d/1xmPlrr1QbdSIKvl1dWUl9K4PjAfSL9oeMr_37QVzcxc/edit?usp=sharing"",""สระบุรี!Q235"")"),0)</f>
        <v>0</v>
      </c>
      <c r="CN70" s="251">
        <f ca="1">IFERROR(__xludf.DUMMYFUNCTION("IMPORTRANGE(""https://docs.google.com/spreadsheets/d/1xmPlrr1QbdSIKvl1dWUl9K4PjAfSL9oeMr_37QVzcxc/edit?usp=sharing"",""สระบุรี!S235"")"),0)</f>
        <v>0</v>
      </c>
      <c r="CO70" s="216">
        <f t="shared" ca="1" si="144"/>
        <v>0</v>
      </c>
      <c r="CP70" s="152">
        <f ca="1">IFERROR(__xludf.DUMMYFUNCTION("IMPORTRANGE(""https://docs.google.com/spreadsheets/d/1xmPlrr1QbdSIKvl1dWUl9K4PjAfSL9oeMr_37QVzcxc/edit?usp=sharing"",""สระบุรี!L236"")"),0)</f>
        <v>0</v>
      </c>
      <c r="CQ70" s="152">
        <f ca="1">IFERROR(__xludf.DUMMYFUNCTION("IMPORTRANGE(""https://docs.google.com/spreadsheets/d/1xmPlrr1QbdSIKvl1dWUl9K4PjAfSL9oeMr_37QVzcxc/edit?usp=sharing"",""สระบุรี!N236"")"),0)</f>
        <v>0</v>
      </c>
      <c r="CR70" s="216">
        <f t="shared" ca="1" si="146"/>
        <v>0</v>
      </c>
      <c r="CS70" s="152">
        <f ca="1">IFERROR(__xludf.DUMMYFUNCTION("IMPORTRANGE(""https://docs.google.com/spreadsheets/d/1xmPlrr1QbdSIKvl1dWUl9K4PjAfSL9oeMr_37QVzcxc/edit?usp=sharing"",""สระบุรี!I238"")"),0)</f>
        <v>0</v>
      </c>
      <c r="CT70" s="152">
        <f ca="1">IFERROR(__xludf.DUMMYFUNCTION("IMPORTRANGE(""https://docs.google.com/spreadsheets/d/1xmPlrr1QbdSIKvl1dWUl9K4PjAfSL9oeMr_37QVzcxc/edit?usp=sharing"",""สระบุรี!J238"")"),0)</f>
        <v>0</v>
      </c>
      <c r="CU70" s="216">
        <f t="shared" ca="1" si="148"/>
        <v>0</v>
      </c>
      <c r="CV70" s="152">
        <f ca="1">IFERROR(__xludf.DUMMYFUNCTION("IMPORTRANGE(""https://docs.google.com/spreadsheets/d/1xmPlrr1QbdSIKvl1dWUl9K4PjAfSL9oeMr_37QVzcxc/edit?usp=sharing"",""สระบุรี!J240"")"),0)</f>
        <v>0</v>
      </c>
      <c r="CW70" s="152">
        <f ca="1">IFERROR(__xludf.DUMMYFUNCTION("IMPORTRANGE(""https://docs.google.com/spreadsheets/d/1xmPlrr1QbdSIKvl1dWUl9K4PjAfSL9oeMr_37QVzcxc/edit?usp=sharing"",""สระบุรี!J241"")"),0)</f>
        <v>0</v>
      </c>
    </row>
    <row r="71" spans="1:101" ht="21" customHeight="1" x14ac:dyDescent="0.3">
      <c r="A71" s="147">
        <v>19</v>
      </c>
      <c r="B71" s="148" t="s">
        <v>99</v>
      </c>
      <c r="C71" s="149">
        <f t="shared" ca="1" si="90"/>
        <v>124800</v>
      </c>
      <c r="D71" s="150">
        <f t="shared" ca="1" si="206"/>
        <v>124800</v>
      </c>
      <c r="E71" s="151">
        <f ca="1">IFERROR(__xludf.DUMMYFUNCTION("IMPORTRANGE(""https://docs.google.com/spreadsheets/d/1-uDff_7J0KD5mKrp0Vvzr7lt3OU09vwQwhkpOPPYv2Y/edit?usp=sharing"",""งบพรบ!CV71"")"),114300)</f>
        <v>114300</v>
      </c>
      <c r="F71" s="151">
        <f ca="1">IFERROR(__xludf.DUMMYFUNCTION("IMPORTRANGE(""https://docs.google.com/spreadsheets/d/1-uDff_7J0KD5mKrp0Vvzr7lt3OU09vwQwhkpOPPYv2Y/edit?usp=sharing"",""งบพรบ!CW71"")"),10500)</f>
        <v>10500</v>
      </c>
      <c r="G71" s="151">
        <f ca="1">IFERROR(__xludf.DUMMYFUNCTION("IMPORTRANGE(""https://docs.google.com/spreadsheets/d/1-uDff_7J0KD5mKrp0Vvzr7lt3OU09vwQwhkpOPPYv2Y/edit?usp=sharing"",""งบพรบ!CX71"")"),0)</f>
        <v>0</v>
      </c>
      <c r="H71" s="151">
        <f ca="1">IFERROR(__xludf.DUMMYFUNCTION("IMPORTRANGE(""https://docs.google.com/spreadsheets/d/1-uDff_7J0KD5mKrp0Vvzr7lt3OU09vwQwhkpOPPYv2Y/edit?usp=sharing"",""งบพรบ!CZ71"")"),126800)</f>
        <v>126800</v>
      </c>
      <c r="I71" s="151">
        <f ca="1">IFERROR(__xludf.DUMMYFUNCTION("IMPORTRANGE(""https://docs.google.com/spreadsheets/d/1-uDff_7J0KD5mKrp0Vvzr7lt3OU09vwQwhkpOPPYv2Y/edit?usp=sharing"",""งบพรบ!DA71"")"),0)</f>
        <v>0</v>
      </c>
      <c r="J71" s="151">
        <f t="shared" ca="1" si="92"/>
        <v>126800</v>
      </c>
      <c r="K71" s="154">
        <f t="shared" ca="1" si="93"/>
        <v>101.6025641025641</v>
      </c>
      <c r="L71" s="151">
        <f ca="1">IFERROR(__xludf.DUMMYFUNCTION("IMPORTRANGE(""https://docs.google.com/spreadsheets/d/1-uDff_7J0KD5mKrp0Vvzr7lt3OU09vwQwhkpOPPYv2Y/edit?usp=sharing"",""งบพรบ!DB71"")"),126800)</f>
        <v>126800</v>
      </c>
      <c r="M71" s="68">
        <f t="shared" ca="1" si="94"/>
        <v>101.6025641025641</v>
      </c>
      <c r="N71" s="68">
        <f t="shared" ca="1" si="95"/>
        <v>100</v>
      </c>
      <c r="O71" s="67">
        <f ca="1">IFERROR(__xludf.DUMMYFUNCTION("IMPORTRANGE(""https://docs.google.com/spreadsheets/d/1-uDff_7J0KD5mKrp0Vvzr7lt3OU09vwQwhkpOPPYv2Y/edit?usp=sharing"",""งบพรบ!DC71"")"),0)</f>
        <v>0</v>
      </c>
      <c r="P71" s="67">
        <f t="shared" ca="1" si="96"/>
        <v>0</v>
      </c>
      <c r="Q71" s="68">
        <f t="shared" ca="1" si="97"/>
        <v>0</v>
      </c>
      <c r="R71" s="67">
        <f ca="1">IFERROR(__xludf.DUMMYFUNCTION("IMPORTRANGE(""https://docs.google.com/spreadsheets/d/1j51vR6CYVGhABJpv6tkstgok82RLpXieLzW1yOY5rHw/edit?usp=sharing"",""สิงห์บุรี!Q186"")"),0)</f>
        <v>0</v>
      </c>
      <c r="S71" s="67">
        <f ca="1">IFERROR(__xludf.DUMMYFUNCTION("IMPORTRANGE(""https://docs.google.com/spreadsheets/d/1j51vR6CYVGhABJpv6tkstgok82RLpXieLzW1yOY5rHw/edit?usp=sharing"",""สิงห์บุรี!R186"")"),0)</f>
        <v>0</v>
      </c>
      <c r="T71" s="67">
        <f ca="1">IFERROR(__xludf.DUMMYFUNCTION("IMPORTRANGE(""https://docs.google.com/spreadsheets/d/1j51vR6CYVGhABJpv6tkstgok82RLpXieLzW1yOY5rHw/edit?usp=sharing"",""สิงห์บุรี!S186"")"),0)</f>
        <v>0</v>
      </c>
      <c r="U71" s="68">
        <f t="shared" ca="1" si="99"/>
        <v>0</v>
      </c>
      <c r="V71" s="68">
        <f t="shared" ca="1" si="100"/>
        <v>0</v>
      </c>
      <c r="W71" s="152">
        <f ca="1">IFERROR(__xludf.DUMMYFUNCTION("IMPORTRANGE(""https://docs.google.com/spreadsheets/d/1j51vR6CYVGhABJpv6tkstgok82RLpXieLzW1yOY5rHw/edit?usp=sharing"",""สิงห์บุรี!L196"")"),6000)</f>
        <v>6000</v>
      </c>
      <c r="X71" s="152">
        <f ca="1">IFERROR(__xludf.DUMMYFUNCTION("IMPORTRANGE(""https://docs.google.com/spreadsheets/d/1j51vR6CYVGhABJpv6tkstgok82RLpXieLzW1yOY5rHw/edit?usp=sharing"",""สิงห์บุรี!N196"")"),6000)</f>
        <v>6000</v>
      </c>
      <c r="Y71" s="216">
        <f t="shared" ca="1" si="102"/>
        <v>100</v>
      </c>
      <c r="Z71" s="152">
        <f ca="1">IFERROR(__xludf.DUMMYFUNCTION("IMPORTRANGE(""https://docs.google.com/spreadsheets/d/1j51vR6CYVGhABJpv6tkstgok82RLpXieLzW1yOY5rHw/edit?usp=sharing"",""สิงห์บุรี!I198"")"),4)</f>
        <v>4</v>
      </c>
      <c r="AA71" s="152">
        <f ca="1">IFERROR(__xludf.DUMMYFUNCTION("IMPORTRANGE(""https://docs.google.com/spreadsheets/d/1j51vR6CYVGhABJpv6tkstgok82RLpXieLzW1yOY5rHw/edit?usp=sharing"",""สิงห์บุรี!J198"")"),4)</f>
        <v>4</v>
      </c>
      <c r="AB71" s="216">
        <f t="shared" ca="1" si="104"/>
        <v>100</v>
      </c>
      <c r="AC71" s="152">
        <f ca="1">IFERROR(__xludf.DUMMYFUNCTION("IMPORTRANGE(""https://docs.google.com/spreadsheets/d/1j51vR6CYVGhABJpv6tkstgok82RLpXieLzW1yOY5rHw/edit?usp=sharing"",""สิงห์บุรี!J199"")"),182)</f>
        <v>182</v>
      </c>
      <c r="AD71" s="152">
        <f ca="1">IFERROR(__xludf.DUMMYFUNCTION("IMPORTRANGE(""https://docs.google.com/spreadsheets/d/1j51vR6CYVGhABJpv6tkstgok82RLpXieLzW1yOY5rHw/edit?usp=sharing"",""สิงห์บุรี!J200"")"),182)</f>
        <v>182</v>
      </c>
      <c r="AE71" s="152">
        <f ca="1">IFERROR(__xludf.DUMMYFUNCTION("IMPORTRANGE(""https://docs.google.com/spreadsheets/d/1j51vR6CYVGhABJpv6tkstgok82RLpXieLzW1yOY5rHw/edit?usp=sharing"",""สิงห์บุรี!J201"")"),0)</f>
        <v>0</v>
      </c>
      <c r="AF71" s="152">
        <f ca="1">IFERROR(__xludf.DUMMYFUNCTION("IMPORTRANGE(""https://docs.google.com/spreadsheets/d/1j51vR6CYVGhABJpv6tkstgok82RLpXieLzW1yOY5rHw/edit?usp=sharing"",""สิงห์บุรี!L204"")"),0)</f>
        <v>0</v>
      </c>
      <c r="AG71" s="152">
        <f ca="1">IFERROR(__xludf.DUMMYFUNCTION("IMPORTRANGE(""https://docs.google.com/spreadsheets/d/1j51vR6CYVGhABJpv6tkstgok82RLpXieLzW1yOY5rHw/edit?usp=sharing"",""สิงห์บุรี!N204"")"),0)</f>
        <v>0</v>
      </c>
      <c r="AH71" s="216">
        <f t="shared" ca="1" si="106"/>
        <v>0</v>
      </c>
      <c r="AI71" s="152">
        <f ca="1">IFERROR(__xludf.DUMMYFUNCTION("IMPORTRANGE(""https://docs.google.com/spreadsheets/d/1j51vR6CYVGhABJpv6tkstgok82RLpXieLzW1yOY5rHw/edit?usp=sharing"",""สิงห์บุรี!L206"")"),0)</f>
        <v>0</v>
      </c>
      <c r="AJ71" s="152">
        <f ca="1">IFERROR(__xludf.DUMMYFUNCTION("IMPORTRANGE(""https://docs.google.com/spreadsheets/d/1j51vR6CYVGhABJpv6tkstgok82RLpXieLzW1yOY5rHw/edit?usp=sharing"",""สิงห์บุรี!N206"")"),0)</f>
        <v>0</v>
      </c>
      <c r="AK71" s="216">
        <f t="shared" ca="1" si="108"/>
        <v>0</v>
      </c>
      <c r="AL71" s="152">
        <f ca="1">IFERROR(__xludf.DUMMYFUNCTION("IMPORTRANGE(""https://docs.google.com/spreadsheets/d/1j51vR6CYVGhABJpv6tkstgok82RLpXieLzW1yOY5rHw/edit?usp=sharing"",""สิงห์บุรี!Q206"")"),0)</f>
        <v>0</v>
      </c>
      <c r="AM71" s="152">
        <f ca="1">IFERROR(__xludf.DUMMYFUNCTION("IMPORTRANGE(""https://docs.google.com/spreadsheets/d/1j51vR6CYVGhABJpv6tkstgok82RLpXieLzW1yOY5rHw/edit?usp=sharing"",""สิงห์บุรี!S206"")"),0)</f>
        <v>0</v>
      </c>
      <c r="AN71" s="216">
        <f t="shared" ca="1" si="110"/>
        <v>0</v>
      </c>
      <c r="AO71" s="152">
        <f ca="1">IFERROR(__xludf.DUMMYFUNCTION("IMPORTRANGE(""https://docs.google.com/spreadsheets/d/1j51vR6CYVGhABJpv6tkstgok82RLpXieLzW1yOY5rHw/edit?usp=sharing"",""สิงห์บุรี!L207"")"),0)</f>
        <v>0</v>
      </c>
      <c r="AP71" s="152">
        <f ca="1">IFERROR(__xludf.DUMMYFUNCTION("IMPORTRANGE(""https://docs.google.com/spreadsheets/d/1j51vR6CYVGhABJpv6tkstgok82RLpXieLzW1yOY5rHw/edit?usp=sharing"",""สิงห์บุรี!N207"")"),0)</f>
        <v>0</v>
      </c>
      <c r="AQ71" s="216">
        <f t="shared" ca="1" si="112"/>
        <v>0</v>
      </c>
      <c r="AR71" s="152">
        <f ca="1">IFERROR(__xludf.DUMMYFUNCTION("IMPORTRANGE(""https://docs.google.com/spreadsheets/d/1j51vR6CYVGhABJpv6tkstgok82RLpXieLzW1yOY5rHw/edit?usp=sharing"",""สิงห์บุรี!I209"")"),0)</f>
        <v>0</v>
      </c>
      <c r="AS71" s="152">
        <f ca="1">IFERROR(__xludf.DUMMYFUNCTION("IMPORTRANGE(""https://docs.google.com/spreadsheets/d/1j51vR6CYVGhABJpv6tkstgok82RLpXieLzW1yOY5rHw/edit?usp=sharing"",""สิงห์บุรี!J209"")"),0)</f>
        <v>0</v>
      </c>
      <c r="AT71" s="216">
        <f t="shared" ca="1" si="114"/>
        <v>0</v>
      </c>
      <c r="AU71" s="152">
        <f ca="1">IFERROR(__xludf.DUMMYFUNCTION("IMPORTRANGE(""https://docs.google.com/spreadsheets/d/1j51vR6CYVGhABJpv6tkstgok82RLpXieLzW1yOY5rHw/edit?usp=sharing"",""สิงห์บุรี!J211"")"),0)</f>
        <v>0</v>
      </c>
      <c r="AV71" s="152">
        <f ca="1">IFERROR(__xludf.DUMMYFUNCTION("IMPORTRANGE(""https://docs.google.com/spreadsheets/d/1j51vR6CYVGhABJpv6tkstgok82RLpXieLzW1yOY5rHw/edit?usp=sharing"",""สิงห์บุรี!J212"")"),0)</f>
        <v>0</v>
      </c>
      <c r="AW71" s="152">
        <f ca="1">IFERROR(__xludf.DUMMYFUNCTION("IMPORTRANGE(""https://docs.google.com/spreadsheets/d/1j51vR6CYVGhABJpv6tkstgok82RLpXieLzW1yOY5rHw/edit?usp=sharing"",""สิงห์บุรี!L215"")"),0)</f>
        <v>0</v>
      </c>
      <c r="AX71" s="152">
        <f ca="1">IFERROR(__xludf.DUMMYFUNCTION("IMPORTRANGE(""https://docs.google.com/spreadsheets/d/1j51vR6CYVGhABJpv6tkstgok82RLpXieLzW1yOY5rHw/edit?usp=sharing"",""สิงห์บุรี!N215"")"),0)</f>
        <v>0</v>
      </c>
      <c r="AY71" s="216">
        <f t="shared" ca="1" si="116"/>
        <v>0</v>
      </c>
      <c r="AZ71" s="152">
        <f ca="1">IFERROR(__xludf.DUMMYFUNCTION("IMPORTRANGE(""https://docs.google.com/spreadsheets/d/1j51vR6CYVGhABJpv6tkstgok82RLpXieLzW1yOY5rHw/edit?usp=sharing"",""สิงห์บุรี!L216"")"),0)</f>
        <v>0</v>
      </c>
      <c r="BA71" s="152">
        <f ca="1">IFERROR(__xludf.DUMMYFUNCTION("IMPORTRANGE(""https://docs.google.com/spreadsheets/d/1j51vR6CYVGhABJpv6tkstgok82RLpXieLzW1yOY5rHw/edit?usp=sharing"",""สิงห์บุรี!N216"")"),0)</f>
        <v>0</v>
      </c>
      <c r="BB71" s="216">
        <f t="shared" ca="1" si="118"/>
        <v>0</v>
      </c>
      <c r="BC71" s="152">
        <f ca="1">IFERROR(__xludf.DUMMYFUNCTION("IMPORTRANGE(""https://docs.google.com/spreadsheets/d/1j51vR6CYVGhABJpv6tkstgok82RLpXieLzW1yOY5rHw/edit?usp=sharing"",""สิงห์บุรี!L217"")"),0)</f>
        <v>0</v>
      </c>
      <c r="BD71" s="152">
        <f ca="1">IFERROR(__xludf.DUMMYFUNCTION("IMPORTRANGE(""https://docs.google.com/spreadsheets/d/1j51vR6CYVGhABJpv6tkstgok82RLpXieLzW1yOY5rHw/edit?usp=sharing"",""สิงห์บุรี!N217"")"),0)</f>
        <v>0</v>
      </c>
      <c r="BE71" s="216">
        <f t="shared" ca="1" si="120"/>
        <v>0</v>
      </c>
      <c r="BF71" s="152">
        <f ca="1">IFERROR(__xludf.DUMMYFUNCTION("IMPORTRANGE(""https://docs.google.com/spreadsheets/d/1j51vR6CYVGhABJpv6tkstgok82RLpXieLzW1yOY5rHw/edit?usp=sharing"",""สิงห์บุรี!Q217"")"),0)</f>
        <v>0</v>
      </c>
      <c r="BG71" s="152">
        <f ca="1">IFERROR(__xludf.DUMMYFUNCTION("IMPORTRANGE(""https://docs.google.com/spreadsheets/d/1j51vR6CYVGhABJpv6tkstgok82RLpXieLzW1yOY5rHw/edit?usp=sharing"",""สิงห์บุรี!S217"")"),0)</f>
        <v>0</v>
      </c>
      <c r="BH71" s="216">
        <f t="shared" ca="1" si="122"/>
        <v>0</v>
      </c>
      <c r="BI71" s="152">
        <f ca="1">IFERROR(__xludf.DUMMYFUNCTION("IMPORTRANGE(""https://docs.google.com/spreadsheets/d/1j51vR6CYVGhABJpv6tkstgok82RLpXieLzW1yOY5rHw/edit?usp=sharing"",""สิงห์บุรี!I219"")"),0)</f>
        <v>0</v>
      </c>
      <c r="BJ71" s="152">
        <f ca="1">IFERROR(__xludf.DUMMYFUNCTION("IMPORTRANGE(""https://docs.google.com/spreadsheets/d/1j51vR6CYVGhABJpv6tkstgok82RLpXieLzW1yOY5rHw/edit?usp=sharing"",""สิงห์บุรี!J219"")"),0)</f>
        <v>0</v>
      </c>
      <c r="BK71" s="216">
        <f t="shared" ca="1" si="124"/>
        <v>0</v>
      </c>
      <c r="BL71" s="152">
        <f ca="1">IFERROR(__xludf.DUMMYFUNCTION("IMPORTRANGE(""https://docs.google.com/spreadsheets/d/1j51vR6CYVGhABJpv6tkstgok82RLpXieLzW1yOY5rHw/edit?usp=sharing"",""สิงห์บุรี!I220"")"),0)</f>
        <v>0</v>
      </c>
      <c r="BM71" s="152">
        <f ca="1">IFERROR(__xludf.DUMMYFUNCTION("IMPORTRANGE(""https://docs.google.com/spreadsheets/d/1j51vR6CYVGhABJpv6tkstgok82RLpXieLzW1yOY5rHw/edit?usp=sharing"",""สิงห์บุรี!J220"")"),0)</f>
        <v>0</v>
      </c>
      <c r="BN71" s="216">
        <f t="shared" ca="1" si="126"/>
        <v>0</v>
      </c>
      <c r="BO71" s="152">
        <f ca="1">IFERROR(__xludf.DUMMYFUNCTION("IMPORTRANGE(""https://docs.google.com/spreadsheets/d/1j51vR6CYVGhABJpv6tkstgok82RLpXieLzW1yOY5rHw/edit?usp=sharing"",""สิงห์บุรี!L223"")"),2500)</f>
        <v>2500</v>
      </c>
      <c r="BP71" s="152">
        <f ca="1">IFERROR(__xludf.DUMMYFUNCTION("IMPORTRANGE(""https://docs.google.com/spreadsheets/d/1j51vR6CYVGhABJpv6tkstgok82RLpXieLzW1yOY5rHw/edit?usp=sharing"",""สิงห์บุรี!N223"")"),1900)</f>
        <v>1900</v>
      </c>
      <c r="BQ71" s="216">
        <f t="shared" ca="1" si="128"/>
        <v>76</v>
      </c>
      <c r="BR71" s="152">
        <f ca="1">IFERROR(__xludf.DUMMYFUNCTION("IMPORTRANGE(""https://docs.google.com/spreadsheets/d/1j51vR6CYVGhABJpv6tkstgok82RLpXieLzW1yOY5rHw/edit?usp=sharing"",""สิงห์บุรี!L224"")"),2000)</f>
        <v>2000</v>
      </c>
      <c r="BS71" s="152">
        <f ca="1">IFERROR(__xludf.DUMMYFUNCTION("IMPORTRANGE(""https://docs.google.com/spreadsheets/d/1j51vR6CYVGhABJpv6tkstgok82RLpXieLzW1yOY5rHw/edit?usp=sharing"",""สิงห์บุรี!N224"")"),2000)</f>
        <v>2000</v>
      </c>
      <c r="BT71" s="216">
        <f t="shared" ca="1" si="130"/>
        <v>100</v>
      </c>
      <c r="BU71" s="152">
        <f ca="1">IFERROR(__xludf.DUMMYFUNCTION("IMPORTRANGE(""https://docs.google.com/spreadsheets/d/1j51vR6CYVGhABJpv6tkstgok82RLpXieLzW1yOY5rHw/edit?usp=sharing"",""สิงห์บุรี!I228"")"),12000)</f>
        <v>12000</v>
      </c>
      <c r="BV71" s="152">
        <f ca="1">IFERROR(__xludf.DUMMYFUNCTION("IMPORTRANGE(""https://docs.google.com/spreadsheets/d/1j51vR6CYVGhABJpv6tkstgok82RLpXieLzW1yOY5rHw/edit?usp=sharing"",""สิงห์บุรี!J228"")"),12000)</f>
        <v>12000</v>
      </c>
      <c r="BW71" s="216">
        <f t="shared" ca="1" si="132"/>
        <v>100</v>
      </c>
      <c r="BX71" s="152">
        <f ca="1">IFERROR(__xludf.DUMMYFUNCTION("IMPORTRANGE(""https://docs.google.com/spreadsheets/d/1j51vR6CYVGhABJpv6tkstgok82RLpXieLzW1yOY5rHw/edit?usp=sharing"",""สิงห์บุรี!I229"")"),12000)</f>
        <v>12000</v>
      </c>
      <c r="BY71" s="152">
        <f ca="1">IFERROR(__xludf.DUMMYFUNCTION("IMPORTRANGE(""https://docs.google.com/spreadsheets/d/1j51vR6CYVGhABJpv6tkstgok82RLpXieLzW1yOY5rHw/edit?usp=sharing"",""สิงห์บุรี!J229"")"),12000)</f>
        <v>12000</v>
      </c>
      <c r="BZ71" s="216">
        <f t="shared" ca="1" si="134"/>
        <v>100</v>
      </c>
      <c r="CA71" s="152">
        <f ca="1">IFERROR(__xludf.DUMMYFUNCTION("IMPORTRANGE(""https://docs.google.com/spreadsheets/d/1j51vR6CYVGhABJpv6tkstgok82RLpXieLzW1yOY5rHw/edit?usp=sharing"",""สิงห์บุรี!I230"")"),0)</f>
        <v>0</v>
      </c>
      <c r="CB71" s="152">
        <f ca="1">IFERROR(__xludf.DUMMYFUNCTION("IMPORTRANGE(""https://docs.google.com/spreadsheets/d/1j51vR6CYVGhABJpv6tkstgok82RLpXieLzW1yOY5rHw/edit?usp=sharing"",""สิงห์บุรี!J230"")"),0)</f>
        <v>0</v>
      </c>
      <c r="CC71" s="216">
        <f t="shared" ca="1" si="136"/>
        <v>0</v>
      </c>
      <c r="CD71" s="152">
        <f ca="1">IFERROR(__xludf.DUMMYFUNCTION("IMPORTRANGE(""https://docs.google.com/spreadsheets/d/1j51vR6CYVGhABJpv6tkstgok82RLpXieLzW1yOY5rHw/edit?usp=sharing"",""สิงห์บุรี!L233"")"),0)</f>
        <v>0</v>
      </c>
      <c r="CE71" s="152">
        <f ca="1">IFERROR(__xludf.DUMMYFUNCTION("IMPORTRANGE(""https://docs.google.com/spreadsheets/d/1j51vR6CYVGhABJpv6tkstgok82RLpXieLzW1yOY5rHw/edit?usp=sharing"",""สิงห์บุรี!N233"")"),0)</f>
        <v>0</v>
      </c>
      <c r="CF71" s="216">
        <f t="shared" ca="1" si="138"/>
        <v>0</v>
      </c>
      <c r="CG71" s="152">
        <f ca="1">IFERROR(__xludf.DUMMYFUNCTION("IMPORTRANGE(""https://docs.google.com/spreadsheets/d/1j51vR6CYVGhABJpv6tkstgok82RLpXieLzW1yOY5rHw/edit?usp=sharing"",""สิงห์บุรี!L234"")"),0)</f>
        <v>0</v>
      </c>
      <c r="CH71" s="152">
        <f ca="1">IFERROR(__xludf.DUMMYFUNCTION("IMPORTRANGE(""https://docs.google.com/spreadsheets/d/1j51vR6CYVGhABJpv6tkstgok82RLpXieLzW1yOY5rHw/edit?usp=sharing"",""สิงห์บุรี!N234"")"),0)</f>
        <v>0</v>
      </c>
      <c r="CI71" s="216">
        <f t="shared" ca="1" si="140"/>
        <v>0</v>
      </c>
      <c r="CJ71" s="152">
        <f ca="1">IFERROR(__xludf.DUMMYFUNCTION("IMPORTRANGE(""https://docs.google.com/spreadsheets/d/1j51vR6CYVGhABJpv6tkstgok82RLpXieLzW1yOY5rHw/edit?usp=sharing"",""สิงห์บุรี!L235"")"),0)</f>
        <v>0</v>
      </c>
      <c r="CK71" s="152">
        <f ca="1">IFERROR(__xludf.DUMMYFUNCTION("IMPORTRANGE(""https://docs.google.com/spreadsheets/d/1j51vR6CYVGhABJpv6tkstgok82RLpXieLzW1yOY5rHw/edit?usp=sharing"",""สิงห์บุรี!N235"")"),0)</f>
        <v>0</v>
      </c>
      <c r="CL71" s="216">
        <f t="shared" ca="1" si="142"/>
        <v>0</v>
      </c>
      <c r="CM71" s="251">
        <f ca="1">IFERROR(__xludf.DUMMYFUNCTION("IMPORTRANGE(""https://docs.google.com/spreadsheets/d/1j51vR6CYVGhABJpv6tkstgok82RLpXieLzW1yOY5rHw/edit?usp=sharing"",""สิงห์บุรี!Q235"")"),0)</f>
        <v>0</v>
      </c>
      <c r="CN71" s="251">
        <f ca="1">IFERROR(__xludf.DUMMYFUNCTION("IMPORTRANGE(""https://docs.google.com/spreadsheets/d/1j51vR6CYVGhABJpv6tkstgok82RLpXieLzW1yOY5rHw/edit?usp=sharing"",""สิงห์บุรี!S235"")"),0)</f>
        <v>0</v>
      </c>
      <c r="CO71" s="216">
        <f t="shared" ca="1" si="144"/>
        <v>0</v>
      </c>
      <c r="CP71" s="152">
        <f ca="1">IFERROR(__xludf.DUMMYFUNCTION("IMPORTRANGE(""https://docs.google.com/spreadsheets/d/1j51vR6CYVGhABJpv6tkstgok82RLpXieLzW1yOY5rHw/edit?usp=sharing"",""สิงห์บุรี!L236"")"),0)</f>
        <v>0</v>
      </c>
      <c r="CQ71" s="152">
        <f ca="1">IFERROR(__xludf.DUMMYFUNCTION("IMPORTRANGE(""https://docs.google.com/spreadsheets/d/1j51vR6CYVGhABJpv6tkstgok82RLpXieLzW1yOY5rHw/edit?usp=sharing"",""สิงห์บุรี!N236"")"),0)</f>
        <v>0</v>
      </c>
      <c r="CR71" s="216">
        <f t="shared" ca="1" si="146"/>
        <v>0</v>
      </c>
      <c r="CS71" s="152">
        <f ca="1">IFERROR(__xludf.DUMMYFUNCTION("IMPORTRANGE(""https://docs.google.com/spreadsheets/d/1j51vR6CYVGhABJpv6tkstgok82RLpXieLzW1yOY5rHw/edit?usp=sharing"",""สิงห์บุรี!I238"")"),0)</f>
        <v>0</v>
      </c>
      <c r="CT71" s="152">
        <f ca="1">IFERROR(__xludf.DUMMYFUNCTION("IMPORTRANGE(""https://docs.google.com/spreadsheets/d/1j51vR6CYVGhABJpv6tkstgok82RLpXieLzW1yOY5rHw/edit?usp=sharing"",""สิงห์บุรี!J238"")"),0)</f>
        <v>0</v>
      </c>
      <c r="CU71" s="216">
        <f t="shared" ca="1" si="148"/>
        <v>0</v>
      </c>
      <c r="CV71" s="152">
        <f ca="1">IFERROR(__xludf.DUMMYFUNCTION("IMPORTRANGE(""https://docs.google.com/spreadsheets/d/1j51vR6CYVGhABJpv6tkstgok82RLpXieLzW1yOY5rHw/edit?usp=sharing"",""สิงห์บุรี!J240"")"),0)</f>
        <v>0</v>
      </c>
      <c r="CW71" s="152">
        <f ca="1">IFERROR(__xludf.DUMMYFUNCTION("IMPORTRANGE(""https://docs.google.com/spreadsheets/d/1j51vR6CYVGhABJpv6tkstgok82RLpXieLzW1yOY5rHw/edit?usp=sharing"",""สิงห์บุรี!J241"")"),0)</f>
        <v>0</v>
      </c>
    </row>
    <row r="72" spans="1:101" ht="21" customHeight="1" x14ac:dyDescent="0.3">
      <c r="A72" s="147">
        <v>20</v>
      </c>
      <c r="B72" s="148" t="s">
        <v>100</v>
      </c>
      <c r="C72" s="149">
        <f t="shared" ca="1" si="90"/>
        <v>15500</v>
      </c>
      <c r="D72" s="150">
        <f t="shared" ca="1" si="206"/>
        <v>15500</v>
      </c>
      <c r="E72" s="151">
        <f ca="1">IFERROR(__xludf.DUMMYFUNCTION("IMPORTRANGE(""https://docs.google.com/spreadsheets/d/1-uDff_7J0KD5mKrp0Vvzr7lt3OU09vwQwhkpOPPYv2Y/edit?usp=sharing"",""งบพรบ!CV72"")"),0)</f>
        <v>0</v>
      </c>
      <c r="F72" s="151">
        <f ca="1">IFERROR(__xludf.DUMMYFUNCTION("IMPORTRANGE(""https://docs.google.com/spreadsheets/d/1-uDff_7J0KD5mKrp0Vvzr7lt3OU09vwQwhkpOPPYv2Y/edit?usp=sharing"",""งบพรบ!CW72"")"),15500)</f>
        <v>15500</v>
      </c>
      <c r="G72" s="151">
        <f ca="1">IFERROR(__xludf.DUMMYFUNCTION("IMPORTRANGE(""https://docs.google.com/spreadsheets/d/1-uDff_7J0KD5mKrp0Vvzr7lt3OU09vwQwhkpOPPYv2Y/edit?usp=sharing"",""งบพรบ!CX72"")"),0)</f>
        <v>0</v>
      </c>
      <c r="H72" s="151">
        <f ca="1">IFERROR(__xludf.DUMMYFUNCTION("IMPORTRANGE(""https://docs.google.com/spreadsheets/d/1-uDff_7J0KD5mKrp0Vvzr7lt3OU09vwQwhkpOPPYv2Y/edit?usp=sharing"",""งบพรบ!CZ72"")"),17500)</f>
        <v>17500</v>
      </c>
      <c r="I72" s="151">
        <f ca="1">IFERROR(__xludf.DUMMYFUNCTION("IMPORTRANGE(""https://docs.google.com/spreadsheets/d/1-uDff_7J0KD5mKrp0Vvzr7lt3OU09vwQwhkpOPPYv2Y/edit?usp=sharing"",""งบพรบ!DA72"")"),0)</f>
        <v>0</v>
      </c>
      <c r="J72" s="151">
        <f t="shared" ca="1" si="92"/>
        <v>15000</v>
      </c>
      <c r="K72" s="154">
        <f t="shared" ca="1" si="93"/>
        <v>96.774193548387103</v>
      </c>
      <c r="L72" s="151">
        <f ca="1">IFERROR(__xludf.DUMMYFUNCTION("IMPORTRANGE(""https://docs.google.com/spreadsheets/d/1-uDff_7J0KD5mKrp0Vvzr7lt3OU09vwQwhkpOPPYv2Y/edit?usp=sharing"",""งบพรบ!DB72"")"),15000)</f>
        <v>15000</v>
      </c>
      <c r="M72" s="68">
        <f t="shared" ca="1" si="94"/>
        <v>96.774193548387103</v>
      </c>
      <c r="N72" s="68">
        <f t="shared" ca="1" si="95"/>
        <v>85.714285714285708</v>
      </c>
      <c r="O72" s="67">
        <f ca="1">IFERROR(__xludf.DUMMYFUNCTION("IMPORTRANGE(""https://docs.google.com/spreadsheets/d/1-uDff_7J0KD5mKrp0Vvzr7lt3OU09vwQwhkpOPPYv2Y/edit?usp=sharing"",""งบพรบ!DC72"")"),0)</f>
        <v>0</v>
      </c>
      <c r="P72" s="67">
        <f t="shared" ca="1" si="96"/>
        <v>0</v>
      </c>
      <c r="Q72" s="68">
        <f t="shared" ca="1" si="97"/>
        <v>0</v>
      </c>
      <c r="R72" s="67">
        <f ca="1">IFERROR(__xludf.DUMMYFUNCTION("IMPORTRANGE(""https://docs.google.com/spreadsheets/d/1H1EalTWKUSzO4Z1-1CwzoDUaVffgrThEBe2sl74kKG0/edit?usp=sharing"",""สุพรรณบุรี!Q186"")"),14000)</f>
        <v>14000</v>
      </c>
      <c r="S72" s="67">
        <f ca="1">IFERROR(__xludf.DUMMYFUNCTION("IMPORTRANGE(""https://docs.google.com/spreadsheets/d/1H1EalTWKUSzO4Z1-1CwzoDUaVffgrThEBe2sl74kKG0/edit?usp=sharing"",""สุพรรณบุรี!R186"")"),14000)</f>
        <v>14000</v>
      </c>
      <c r="T72" s="67">
        <f ca="1">IFERROR(__xludf.DUMMYFUNCTION("IMPORTRANGE(""https://docs.google.com/spreadsheets/d/1H1EalTWKUSzO4Z1-1CwzoDUaVffgrThEBe2sl74kKG0/edit?usp=sharing"",""สุพรรณบุรี!S186"")"),14000)</f>
        <v>14000</v>
      </c>
      <c r="U72" s="68">
        <f t="shared" ca="1" si="99"/>
        <v>100</v>
      </c>
      <c r="V72" s="68">
        <f t="shared" ca="1" si="100"/>
        <v>100</v>
      </c>
      <c r="W72" s="152">
        <f ca="1">IFERROR(__xludf.DUMMYFUNCTION("IMPORTRANGE(""https://docs.google.com/spreadsheets/d/1H1EalTWKUSzO4Z1-1CwzoDUaVffgrThEBe2sl74kKG0/edit?usp=sharing"",""สุพรรณบุรี!L196"")"),6000)</f>
        <v>6000</v>
      </c>
      <c r="X72" s="152">
        <f ca="1">IFERROR(__xludf.DUMMYFUNCTION("IMPORTRANGE(""https://docs.google.com/spreadsheets/d/1H1EalTWKUSzO4Z1-1CwzoDUaVffgrThEBe2sl74kKG0/edit?usp=sharing"",""สุพรรณบุรี!N196"")"),0)</f>
        <v>0</v>
      </c>
      <c r="Y72" s="216">
        <f t="shared" ca="1" si="102"/>
        <v>0</v>
      </c>
      <c r="Z72" s="152">
        <f ca="1">IFERROR(__xludf.DUMMYFUNCTION("IMPORTRANGE(""https://docs.google.com/spreadsheets/d/1H1EalTWKUSzO4Z1-1CwzoDUaVffgrThEBe2sl74kKG0/edit?usp=sharing"",""สุพรรณบุรี!I198"")"),4)</f>
        <v>4</v>
      </c>
      <c r="AA72" s="152">
        <f ca="1">IFERROR(__xludf.DUMMYFUNCTION("IMPORTRANGE(""https://docs.google.com/spreadsheets/d/1H1EalTWKUSzO4Z1-1CwzoDUaVffgrThEBe2sl74kKG0/edit?usp=sharing"",""สุพรรณบุรี!J198"")"),4)</f>
        <v>4</v>
      </c>
      <c r="AB72" s="216">
        <f t="shared" ca="1" si="104"/>
        <v>100</v>
      </c>
      <c r="AC72" s="152">
        <f ca="1">IFERROR(__xludf.DUMMYFUNCTION("IMPORTRANGE(""https://docs.google.com/spreadsheets/d/1H1EalTWKUSzO4Z1-1CwzoDUaVffgrThEBe2sl74kKG0/edit?usp=sharing"",""สุพรรณบุรี!J199"")"),100)</f>
        <v>100</v>
      </c>
      <c r="AD72" s="152">
        <f ca="1">IFERROR(__xludf.DUMMYFUNCTION("IMPORTRANGE(""https://docs.google.com/spreadsheets/d/1H1EalTWKUSzO4Z1-1CwzoDUaVffgrThEBe2sl74kKG0/edit?usp=sharing"",""สุพรรณบุรี!J200"")"),100)</f>
        <v>100</v>
      </c>
      <c r="AE72" s="152">
        <f ca="1">IFERROR(__xludf.DUMMYFUNCTION("IMPORTRANGE(""https://docs.google.com/spreadsheets/d/1H1EalTWKUSzO4Z1-1CwzoDUaVffgrThEBe2sl74kKG0/edit?usp=sharing"",""สุพรรณบุรี!J201"")"),0)</f>
        <v>0</v>
      </c>
      <c r="AF72" s="152">
        <f ca="1">IFERROR(__xludf.DUMMYFUNCTION("IMPORTRANGE(""https://docs.google.com/spreadsheets/d/1H1EalTWKUSzO4Z1-1CwzoDUaVffgrThEBe2sl74kKG0/edit?usp=sharing"",""สุพรรณบุรี!L204"")"),1000)</f>
        <v>1000</v>
      </c>
      <c r="AG72" s="152">
        <f ca="1">IFERROR(__xludf.DUMMYFUNCTION("IMPORTRANGE(""https://docs.google.com/spreadsheets/d/1H1EalTWKUSzO4Z1-1CwzoDUaVffgrThEBe2sl74kKG0/edit?usp=sharing"",""สุพรรณบุรี!N204"")"),1000)</f>
        <v>1000</v>
      </c>
      <c r="AH72" s="216">
        <f t="shared" ca="1" si="106"/>
        <v>100</v>
      </c>
      <c r="AI72" s="152">
        <f ca="1">IFERROR(__xludf.DUMMYFUNCTION("IMPORTRANGE(""https://docs.google.com/spreadsheets/d/1H1EalTWKUSzO4Z1-1CwzoDUaVffgrThEBe2sl74kKG0/edit?usp=sharing"",""สุพรรณบุรี!L206"")"),0)</f>
        <v>0</v>
      </c>
      <c r="AJ72" s="152">
        <f ca="1">IFERROR(__xludf.DUMMYFUNCTION("IMPORTRANGE(""https://docs.google.com/spreadsheets/d/1H1EalTWKUSzO4Z1-1CwzoDUaVffgrThEBe2sl74kKG0/edit?usp=sharing"",""สุพรรณบุรี!N206"")"),0)</f>
        <v>0</v>
      </c>
      <c r="AK72" s="216">
        <f t="shared" ca="1" si="108"/>
        <v>0</v>
      </c>
      <c r="AL72" s="152">
        <f ca="1">IFERROR(__xludf.DUMMYFUNCTION("IMPORTRANGE(""https://docs.google.com/spreadsheets/d/1H1EalTWKUSzO4Z1-1CwzoDUaVffgrThEBe2sl74kKG0/edit?usp=sharing"",""สุพรรณบุรี!Q206"")"),14000)</f>
        <v>14000</v>
      </c>
      <c r="AM72" s="152">
        <f ca="1">IFERROR(__xludf.DUMMYFUNCTION("IMPORTRANGE(""https://docs.google.com/spreadsheets/d/1H1EalTWKUSzO4Z1-1CwzoDUaVffgrThEBe2sl74kKG0/edit?usp=sharing"",""สุพรรณบุรี!S206"")"),14000)</f>
        <v>14000</v>
      </c>
      <c r="AN72" s="216">
        <f t="shared" ca="1" si="110"/>
        <v>100</v>
      </c>
      <c r="AO72" s="152">
        <f ca="1">IFERROR(__xludf.DUMMYFUNCTION("IMPORTRANGE(""https://docs.google.com/spreadsheets/d/1H1EalTWKUSzO4Z1-1CwzoDUaVffgrThEBe2sl74kKG0/edit?usp=sharing"",""สุพรรณบุรี!L207"")"),4000)</f>
        <v>4000</v>
      </c>
      <c r="AP72" s="152">
        <f ca="1">IFERROR(__xludf.DUMMYFUNCTION("IMPORTRANGE(""https://docs.google.com/spreadsheets/d/1H1EalTWKUSzO4Z1-1CwzoDUaVffgrThEBe2sl74kKG0/edit?usp=sharing"",""สุพรรณบุรี!N207"")"),4000)</f>
        <v>4000</v>
      </c>
      <c r="AQ72" s="216">
        <f t="shared" ca="1" si="112"/>
        <v>100</v>
      </c>
      <c r="AR72" s="152">
        <f ca="1">IFERROR(__xludf.DUMMYFUNCTION("IMPORTRANGE(""https://docs.google.com/spreadsheets/d/1H1EalTWKUSzO4Z1-1CwzoDUaVffgrThEBe2sl74kKG0/edit?usp=sharing"",""สุพรรณบุรี!I209"")"),1)</f>
        <v>1</v>
      </c>
      <c r="AS72" s="152">
        <f ca="1">IFERROR(__xludf.DUMMYFUNCTION("IMPORTRANGE(""https://docs.google.com/spreadsheets/d/1H1EalTWKUSzO4Z1-1CwzoDUaVffgrThEBe2sl74kKG0/edit?usp=sharing"",""สุพรรณบุรี!J209"")"),1)</f>
        <v>1</v>
      </c>
      <c r="AT72" s="216">
        <f t="shared" ca="1" si="114"/>
        <v>100</v>
      </c>
      <c r="AU72" s="152">
        <f ca="1">IFERROR(__xludf.DUMMYFUNCTION("IMPORTRANGE(""https://docs.google.com/spreadsheets/d/1H1EalTWKUSzO4Z1-1CwzoDUaVffgrThEBe2sl74kKG0/edit?usp=sharing"",""สุพรรณบุรี!J211"")"),1)</f>
        <v>1</v>
      </c>
      <c r="AV72" s="152">
        <f ca="1">IFERROR(__xludf.DUMMYFUNCTION("IMPORTRANGE(""https://docs.google.com/spreadsheets/d/1H1EalTWKUSzO4Z1-1CwzoDUaVffgrThEBe2sl74kKG0/edit?usp=sharing"",""สุพรรณบุรี!J212"")"),0)</f>
        <v>0</v>
      </c>
      <c r="AW72" s="152">
        <f ca="1">IFERROR(__xludf.DUMMYFUNCTION("IMPORTRANGE(""https://docs.google.com/spreadsheets/d/1H1EalTWKUSzO4Z1-1CwzoDUaVffgrThEBe2sl74kKG0/edit?usp=sharing"",""สุพรรณบุรี!L215"")"),0)</f>
        <v>0</v>
      </c>
      <c r="AX72" s="152">
        <f ca="1">IFERROR(__xludf.DUMMYFUNCTION("IMPORTRANGE(""https://docs.google.com/spreadsheets/d/1H1EalTWKUSzO4Z1-1CwzoDUaVffgrThEBe2sl74kKG0/edit?usp=sharing"",""สุพรรณบุรี!N215"")"),0)</f>
        <v>0</v>
      </c>
      <c r="AY72" s="216">
        <f t="shared" ca="1" si="116"/>
        <v>0</v>
      </c>
      <c r="AZ72" s="152">
        <f ca="1">IFERROR(__xludf.DUMMYFUNCTION("IMPORTRANGE(""https://docs.google.com/spreadsheets/d/1H1EalTWKUSzO4Z1-1CwzoDUaVffgrThEBe2sl74kKG0/edit?usp=sharing"",""สุพรรณบุรี!L216"")"),0)</f>
        <v>0</v>
      </c>
      <c r="BA72" s="152">
        <f ca="1">IFERROR(__xludf.DUMMYFUNCTION("IMPORTRANGE(""https://docs.google.com/spreadsheets/d/1H1EalTWKUSzO4Z1-1CwzoDUaVffgrThEBe2sl74kKG0/edit?usp=sharing"",""สุพรรณบุรี!N216"")"),0)</f>
        <v>0</v>
      </c>
      <c r="BB72" s="216">
        <f t="shared" ca="1" si="118"/>
        <v>0</v>
      </c>
      <c r="BC72" s="152">
        <f ca="1">IFERROR(__xludf.DUMMYFUNCTION("IMPORTRANGE(""https://docs.google.com/spreadsheets/d/1H1EalTWKUSzO4Z1-1CwzoDUaVffgrThEBe2sl74kKG0/edit?usp=sharing"",""สุพรรณบุรี!L217"")"),0)</f>
        <v>0</v>
      </c>
      <c r="BD72" s="152">
        <f ca="1">IFERROR(__xludf.DUMMYFUNCTION("IMPORTRANGE(""https://docs.google.com/spreadsheets/d/1H1EalTWKUSzO4Z1-1CwzoDUaVffgrThEBe2sl74kKG0/edit?usp=sharing"",""สุพรรณบุรี!N217"")"),0)</f>
        <v>0</v>
      </c>
      <c r="BE72" s="216">
        <f t="shared" ca="1" si="120"/>
        <v>0</v>
      </c>
      <c r="BF72" s="152">
        <f ca="1">IFERROR(__xludf.DUMMYFUNCTION("IMPORTRANGE(""https://docs.google.com/spreadsheets/d/1H1EalTWKUSzO4Z1-1CwzoDUaVffgrThEBe2sl74kKG0/edit?usp=sharing"",""สุพรรณบุรี!Q217"")"),0)</f>
        <v>0</v>
      </c>
      <c r="BG72" s="152">
        <f ca="1">IFERROR(__xludf.DUMMYFUNCTION("IMPORTRANGE(""https://docs.google.com/spreadsheets/d/1H1EalTWKUSzO4Z1-1CwzoDUaVffgrThEBe2sl74kKG0/edit?usp=sharing"",""สุพรรณบุรี!S217"")"),0)</f>
        <v>0</v>
      </c>
      <c r="BH72" s="216">
        <f t="shared" ca="1" si="122"/>
        <v>0</v>
      </c>
      <c r="BI72" s="152">
        <f ca="1">IFERROR(__xludf.DUMMYFUNCTION("IMPORTRANGE(""https://docs.google.com/spreadsheets/d/1H1EalTWKUSzO4Z1-1CwzoDUaVffgrThEBe2sl74kKG0/edit?usp=sharing"",""สุพรรณบุรี!I219"")"),0)</f>
        <v>0</v>
      </c>
      <c r="BJ72" s="152">
        <f ca="1">IFERROR(__xludf.DUMMYFUNCTION("IMPORTRANGE(""https://docs.google.com/spreadsheets/d/1H1EalTWKUSzO4Z1-1CwzoDUaVffgrThEBe2sl74kKG0/edit?usp=sharing"",""สุพรรณบุรี!J219"")"),0)</f>
        <v>0</v>
      </c>
      <c r="BK72" s="216">
        <f t="shared" ca="1" si="124"/>
        <v>0</v>
      </c>
      <c r="BL72" s="152">
        <f ca="1">IFERROR(__xludf.DUMMYFUNCTION("IMPORTRANGE(""https://docs.google.com/spreadsheets/d/1H1EalTWKUSzO4Z1-1CwzoDUaVffgrThEBe2sl74kKG0/edit?usp=sharing"",""สุพรรณบุรี!I220"")"),0)</f>
        <v>0</v>
      </c>
      <c r="BM72" s="152">
        <f ca="1">IFERROR(__xludf.DUMMYFUNCTION("IMPORTRANGE(""https://docs.google.com/spreadsheets/d/1H1EalTWKUSzO4Z1-1CwzoDUaVffgrThEBe2sl74kKG0/edit?usp=sharing"",""สุพรรณบุรี!J220"")"),0)</f>
        <v>0</v>
      </c>
      <c r="BN72" s="216">
        <f t="shared" ca="1" si="126"/>
        <v>0</v>
      </c>
      <c r="BO72" s="152">
        <f ca="1">IFERROR(__xludf.DUMMYFUNCTION("IMPORTRANGE(""https://docs.google.com/spreadsheets/d/1H1EalTWKUSzO4Z1-1CwzoDUaVffgrThEBe2sl74kKG0/edit?usp=sharing"",""สุพรรณบุรี!L223"")"),2500)</f>
        <v>2500</v>
      </c>
      <c r="BP72" s="152">
        <f ca="1">IFERROR(__xludf.DUMMYFUNCTION("IMPORTRANGE(""https://docs.google.com/spreadsheets/d/1H1EalTWKUSzO4Z1-1CwzoDUaVffgrThEBe2sl74kKG0/edit?usp=sharing"",""สุพรรณบุรี!N223"")"),0)</f>
        <v>0</v>
      </c>
      <c r="BQ72" s="216">
        <f t="shared" ca="1" si="128"/>
        <v>0</v>
      </c>
      <c r="BR72" s="152">
        <f ca="1">IFERROR(__xludf.DUMMYFUNCTION("IMPORTRANGE(""https://docs.google.com/spreadsheets/d/1H1EalTWKUSzO4Z1-1CwzoDUaVffgrThEBe2sl74kKG0/edit?usp=sharing"",""สุพรรณบุรี!L224"")"),2000)</f>
        <v>2000</v>
      </c>
      <c r="BS72" s="152">
        <f ca="1">IFERROR(__xludf.DUMMYFUNCTION("IMPORTRANGE(""https://docs.google.com/spreadsheets/d/1H1EalTWKUSzO4Z1-1CwzoDUaVffgrThEBe2sl74kKG0/edit?usp=sharing"",""สุพรรณบุรี!N224"")"),0)</f>
        <v>0</v>
      </c>
      <c r="BT72" s="216">
        <f t="shared" ca="1" si="130"/>
        <v>0</v>
      </c>
      <c r="BU72" s="152">
        <f ca="1">IFERROR(__xludf.DUMMYFUNCTION("IMPORTRANGE(""https://docs.google.com/spreadsheets/d/1H1EalTWKUSzO4Z1-1CwzoDUaVffgrThEBe2sl74kKG0/edit?usp=sharing"",""สุพรรณบุรี!I228"")"),20000)</f>
        <v>20000</v>
      </c>
      <c r="BV72" s="152">
        <f ca="1">IFERROR(__xludf.DUMMYFUNCTION("IMPORTRANGE(""https://docs.google.com/spreadsheets/d/1H1EalTWKUSzO4Z1-1CwzoDUaVffgrThEBe2sl74kKG0/edit?usp=sharing"",""สุพรรณบุรี!J228"")"),20000)</f>
        <v>20000</v>
      </c>
      <c r="BW72" s="216">
        <f t="shared" ca="1" si="132"/>
        <v>100</v>
      </c>
      <c r="BX72" s="152">
        <f ca="1">IFERROR(__xludf.DUMMYFUNCTION("IMPORTRANGE(""https://docs.google.com/spreadsheets/d/1H1EalTWKUSzO4Z1-1CwzoDUaVffgrThEBe2sl74kKG0/edit?usp=sharing"",""สุพรรณบุรี!I229"")"),20000)</f>
        <v>20000</v>
      </c>
      <c r="BY72" s="152">
        <f ca="1">IFERROR(__xludf.DUMMYFUNCTION("IMPORTRANGE(""https://docs.google.com/spreadsheets/d/1H1EalTWKUSzO4Z1-1CwzoDUaVffgrThEBe2sl74kKG0/edit?usp=sharing"",""สุพรรณบุรี!J229"")"),20000)</f>
        <v>20000</v>
      </c>
      <c r="BZ72" s="216">
        <f t="shared" ca="1" si="134"/>
        <v>100</v>
      </c>
      <c r="CA72" s="152">
        <f ca="1">IFERROR(__xludf.DUMMYFUNCTION("IMPORTRANGE(""https://docs.google.com/spreadsheets/d/1H1EalTWKUSzO4Z1-1CwzoDUaVffgrThEBe2sl74kKG0/edit?usp=sharing"",""สุพรรณบุรี!I230"")"),0)</f>
        <v>0</v>
      </c>
      <c r="CB72" s="152">
        <f ca="1">IFERROR(__xludf.DUMMYFUNCTION("IMPORTRANGE(""https://docs.google.com/spreadsheets/d/1H1EalTWKUSzO4Z1-1CwzoDUaVffgrThEBe2sl74kKG0/edit?usp=sharing"",""สุพรรณบุรี!J230"")"),0)</f>
        <v>0</v>
      </c>
      <c r="CC72" s="216">
        <f t="shared" ca="1" si="136"/>
        <v>0</v>
      </c>
      <c r="CD72" s="152">
        <f ca="1">IFERROR(__xludf.DUMMYFUNCTION("IMPORTRANGE(""https://docs.google.com/spreadsheets/d/1H1EalTWKUSzO4Z1-1CwzoDUaVffgrThEBe2sl74kKG0/edit?usp=sharing"",""สุพรรณบุรี!L233"")"),0)</f>
        <v>0</v>
      </c>
      <c r="CE72" s="152">
        <f ca="1">IFERROR(__xludf.DUMMYFUNCTION("IMPORTRANGE(""https://docs.google.com/spreadsheets/d/1H1EalTWKUSzO4Z1-1CwzoDUaVffgrThEBe2sl74kKG0/edit?usp=sharing"",""สุพรรณบุรี!N233"")"),0)</f>
        <v>0</v>
      </c>
      <c r="CF72" s="216">
        <f t="shared" ca="1" si="138"/>
        <v>0</v>
      </c>
      <c r="CG72" s="152">
        <f ca="1">IFERROR(__xludf.DUMMYFUNCTION("IMPORTRANGE(""https://docs.google.com/spreadsheets/d/1H1EalTWKUSzO4Z1-1CwzoDUaVffgrThEBe2sl74kKG0/edit?usp=sharing"",""สุพรรณบุรี!L234"")"),0)</f>
        <v>0</v>
      </c>
      <c r="CH72" s="152">
        <f ca="1">IFERROR(__xludf.DUMMYFUNCTION("IMPORTRANGE(""https://docs.google.com/spreadsheets/d/1H1EalTWKUSzO4Z1-1CwzoDUaVffgrThEBe2sl74kKG0/edit?usp=sharing"",""สุพรรณบุรี!N234"")"),0)</f>
        <v>0</v>
      </c>
      <c r="CI72" s="216">
        <f t="shared" ca="1" si="140"/>
        <v>0</v>
      </c>
      <c r="CJ72" s="152">
        <f ca="1">IFERROR(__xludf.DUMMYFUNCTION("IMPORTRANGE(""https://docs.google.com/spreadsheets/d/1H1EalTWKUSzO4Z1-1CwzoDUaVffgrThEBe2sl74kKG0/edit?usp=sharing"",""สุพรรณบุรี!L235"")"),0)</f>
        <v>0</v>
      </c>
      <c r="CK72" s="152">
        <f ca="1">IFERROR(__xludf.DUMMYFUNCTION("IMPORTRANGE(""https://docs.google.com/spreadsheets/d/1H1EalTWKUSzO4Z1-1CwzoDUaVffgrThEBe2sl74kKG0/edit?usp=sharing"",""สุพรรณบุรี!N235"")"),0)</f>
        <v>0</v>
      </c>
      <c r="CL72" s="216">
        <f t="shared" ca="1" si="142"/>
        <v>0</v>
      </c>
      <c r="CM72" s="251">
        <f ca="1">IFERROR(__xludf.DUMMYFUNCTION("IMPORTRANGE(""https://docs.google.com/spreadsheets/d/1H1EalTWKUSzO4Z1-1CwzoDUaVffgrThEBe2sl74kKG0/edit?usp=sharing"",""สุพรรณบุรี!Q235"")"),0)</f>
        <v>0</v>
      </c>
      <c r="CN72" s="251">
        <f ca="1">IFERROR(__xludf.DUMMYFUNCTION("IMPORTRANGE(""https://docs.google.com/spreadsheets/d/1H1EalTWKUSzO4Z1-1CwzoDUaVffgrThEBe2sl74kKG0/edit?usp=sharing"",""สุพรรณบุรี!S235"")"),0)</f>
        <v>0</v>
      </c>
      <c r="CO72" s="216">
        <f t="shared" ca="1" si="144"/>
        <v>0</v>
      </c>
      <c r="CP72" s="152">
        <f ca="1">IFERROR(__xludf.DUMMYFUNCTION("IMPORTRANGE(""https://docs.google.com/spreadsheets/d/1H1EalTWKUSzO4Z1-1CwzoDUaVffgrThEBe2sl74kKG0/edit?usp=sharing"",""สุพรรณบุรี!L236"")"),0)</f>
        <v>0</v>
      </c>
      <c r="CQ72" s="152">
        <f ca="1">IFERROR(__xludf.DUMMYFUNCTION("IMPORTRANGE(""https://docs.google.com/spreadsheets/d/1H1EalTWKUSzO4Z1-1CwzoDUaVffgrThEBe2sl74kKG0/edit?usp=sharing"",""สุพรรณบุรี!N236"")"),0)</f>
        <v>0</v>
      </c>
      <c r="CR72" s="216">
        <f t="shared" ca="1" si="146"/>
        <v>0</v>
      </c>
      <c r="CS72" s="152">
        <f ca="1">IFERROR(__xludf.DUMMYFUNCTION("IMPORTRANGE(""https://docs.google.com/spreadsheets/d/1H1EalTWKUSzO4Z1-1CwzoDUaVffgrThEBe2sl74kKG0/edit?usp=sharing"",""สุพรรณบุรี!I238"")"),0)</f>
        <v>0</v>
      </c>
      <c r="CT72" s="152">
        <f ca="1">IFERROR(__xludf.DUMMYFUNCTION("IMPORTRANGE(""https://docs.google.com/spreadsheets/d/1H1EalTWKUSzO4Z1-1CwzoDUaVffgrThEBe2sl74kKG0/edit?usp=sharing"",""สุพรรณบุรี!J238"")"),0)</f>
        <v>0</v>
      </c>
      <c r="CU72" s="216">
        <f t="shared" ca="1" si="148"/>
        <v>0</v>
      </c>
      <c r="CV72" s="152">
        <f ca="1">IFERROR(__xludf.DUMMYFUNCTION("IMPORTRANGE(""https://docs.google.com/spreadsheets/d/1H1EalTWKUSzO4Z1-1CwzoDUaVffgrThEBe2sl74kKG0/edit?usp=sharing"",""สุพรรณบุรี!J240"")"),0)</f>
        <v>0</v>
      </c>
      <c r="CW72" s="152">
        <f ca="1">IFERROR(__xludf.DUMMYFUNCTION("IMPORTRANGE(""https://docs.google.com/spreadsheets/d/1H1EalTWKUSzO4Z1-1CwzoDUaVffgrThEBe2sl74kKG0/edit?usp=sharing"",""สุพรรณบุรี!J241"")"),0)</f>
        <v>0</v>
      </c>
    </row>
    <row r="73" spans="1:101" ht="21" customHeight="1" x14ac:dyDescent="0.3">
      <c r="A73" s="155">
        <v>21</v>
      </c>
      <c r="B73" s="156" t="s">
        <v>101</v>
      </c>
      <c r="C73" s="157">
        <f t="shared" ca="1" si="90"/>
        <v>124800</v>
      </c>
      <c r="D73" s="158">
        <f t="shared" ca="1" si="206"/>
        <v>124800</v>
      </c>
      <c r="E73" s="159">
        <f ca="1">IFERROR(__xludf.DUMMYFUNCTION("IMPORTRANGE(""https://docs.google.com/spreadsheets/d/1-uDff_7J0KD5mKrp0Vvzr7lt3OU09vwQwhkpOPPYv2Y/edit?usp=sharing"",""งบพรบ!CV73"")"),114300)</f>
        <v>114300</v>
      </c>
      <c r="F73" s="159">
        <f ca="1">IFERROR(__xludf.DUMMYFUNCTION("IMPORTRANGE(""https://docs.google.com/spreadsheets/d/1-uDff_7J0KD5mKrp0Vvzr7lt3OU09vwQwhkpOPPYv2Y/edit?usp=sharing"",""งบพรบ!CW73"")"),10500)</f>
        <v>10500</v>
      </c>
      <c r="G73" s="159">
        <f ca="1">IFERROR(__xludf.DUMMYFUNCTION("IMPORTRANGE(""https://docs.google.com/spreadsheets/d/1-uDff_7J0KD5mKrp0Vvzr7lt3OU09vwQwhkpOPPYv2Y/edit?usp=sharing"",""งบพรบ!CX73"")"),0)</f>
        <v>0</v>
      </c>
      <c r="H73" s="159">
        <f ca="1">IFERROR(__xludf.DUMMYFUNCTION("IMPORTRANGE(""https://docs.google.com/spreadsheets/d/1-uDff_7J0KD5mKrp0Vvzr7lt3OU09vwQwhkpOPPYv2Y/edit?usp=sharing"",""งบพรบ!CZ73"")"),126800)</f>
        <v>126800</v>
      </c>
      <c r="I73" s="159">
        <f ca="1">IFERROR(__xludf.DUMMYFUNCTION("IMPORTRANGE(""https://docs.google.com/spreadsheets/d/1-uDff_7J0KD5mKrp0Vvzr7lt3OU09vwQwhkpOPPYv2Y/edit?usp=sharing"",""งบพรบ!DA73"")"),0)</f>
        <v>0</v>
      </c>
      <c r="J73" s="159">
        <f t="shared" ca="1" si="92"/>
        <v>126800</v>
      </c>
      <c r="K73" s="160">
        <f t="shared" ca="1" si="93"/>
        <v>101.6025641025641</v>
      </c>
      <c r="L73" s="159">
        <f ca="1">IFERROR(__xludf.DUMMYFUNCTION("IMPORTRANGE(""https://docs.google.com/spreadsheets/d/1-uDff_7J0KD5mKrp0Vvzr7lt3OU09vwQwhkpOPPYv2Y/edit?usp=sharing"",""งบพรบ!DB73"")"),126800)</f>
        <v>126800</v>
      </c>
      <c r="M73" s="89">
        <f t="shared" ca="1" si="94"/>
        <v>101.6025641025641</v>
      </c>
      <c r="N73" s="89">
        <f t="shared" ca="1" si="95"/>
        <v>100</v>
      </c>
      <c r="O73" s="88">
        <f ca="1">IFERROR(__xludf.DUMMYFUNCTION("IMPORTRANGE(""https://docs.google.com/spreadsheets/d/1-uDff_7J0KD5mKrp0Vvzr7lt3OU09vwQwhkpOPPYv2Y/edit?usp=sharing"",""งบพรบ!DC73"")"),0)</f>
        <v>0</v>
      </c>
      <c r="P73" s="88">
        <f t="shared" ca="1" si="96"/>
        <v>0</v>
      </c>
      <c r="Q73" s="89">
        <f t="shared" ca="1" si="97"/>
        <v>0</v>
      </c>
      <c r="R73" s="88">
        <f ca="1">IFERROR(__xludf.DUMMYFUNCTION("IMPORTRANGE(""https://docs.google.com/spreadsheets/d/1BmIruG_sIrJLYao_Pdr7zVArWsfoBt2692TMi6x_854/edit?usp=sharing"",""อ่างทอง!Q186"")"),0)</f>
        <v>0</v>
      </c>
      <c r="S73" s="88">
        <f ca="1">IFERROR(__xludf.DUMMYFUNCTION("IMPORTRANGE(""https://docs.google.com/spreadsheets/d/1BmIruG_sIrJLYao_Pdr7zVArWsfoBt2692TMi6x_854/edit?usp=sharing"",""อ่างทอง!R186"")"),0)</f>
        <v>0</v>
      </c>
      <c r="T73" s="88">
        <f ca="1">IFERROR(__xludf.DUMMYFUNCTION("IMPORTRANGE(""https://docs.google.com/spreadsheets/d/1BmIruG_sIrJLYao_Pdr7zVArWsfoBt2692TMi6x_854/edit?usp=sharing"",""อ่างทอง!S186"")"),0)</f>
        <v>0</v>
      </c>
      <c r="U73" s="89">
        <f t="shared" ca="1" si="99"/>
        <v>0</v>
      </c>
      <c r="V73" s="89">
        <f t="shared" ca="1" si="100"/>
        <v>0</v>
      </c>
      <c r="W73" s="191">
        <f ca="1">IFERROR(__xludf.DUMMYFUNCTION("IMPORTRANGE(""https://docs.google.com/spreadsheets/d/1BmIruG_sIrJLYao_Pdr7zVArWsfoBt2692TMi6x_854/edit?usp=sharing"",""อ่างทอง!L196"")"),6000)</f>
        <v>6000</v>
      </c>
      <c r="X73" s="191">
        <f ca="1">IFERROR(__xludf.DUMMYFUNCTION("IMPORTRANGE(""https://docs.google.com/spreadsheets/d/1BmIruG_sIrJLYao_Pdr7zVArWsfoBt2692TMi6x_854/edit?usp=sharing"",""อ่างทอง!N196"")"),6000)</f>
        <v>6000</v>
      </c>
      <c r="Y73" s="218">
        <f t="shared" ca="1" si="102"/>
        <v>100</v>
      </c>
      <c r="Z73" s="191">
        <f ca="1">IFERROR(__xludf.DUMMYFUNCTION("IMPORTRANGE(""https://docs.google.com/spreadsheets/d/1BmIruG_sIrJLYao_Pdr7zVArWsfoBt2692TMi6x_854/edit?usp=sharing"",""อ่างทอง!I198"")"),4)</f>
        <v>4</v>
      </c>
      <c r="AA73" s="191">
        <f ca="1">IFERROR(__xludf.DUMMYFUNCTION("IMPORTRANGE(""https://docs.google.com/spreadsheets/d/1BmIruG_sIrJLYao_Pdr7zVArWsfoBt2692TMi6x_854/edit?usp=sharing"",""อ่างทอง!J198"")"),4)</f>
        <v>4</v>
      </c>
      <c r="AB73" s="218">
        <f t="shared" ca="1" si="104"/>
        <v>100</v>
      </c>
      <c r="AC73" s="191">
        <f ca="1">IFERROR(__xludf.DUMMYFUNCTION("IMPORTRANGE(""https://docs.google.com/spreadsheets/d/1BmIruG_sIrJLYao_Pdr7zVArWsfoBt2692TMi6x_854/edit?usp=sharing"",""อ่างทอง!J199"")"),121)</f>
        <v>121</v>
      </c>
      <c r="AD73" s="191">
        <f ca="1">IFERROR(__xludf.DUMMYFUNCTION("IMPORTRANGE(""https://docs.google.com/spreadsheets/d/1BmIruG_sIrJLYao_Pdr7zVArWsfoBt2692TMi6x_854/edit?usp=sharing"",""อ่างทอง!J200"")"),121)</f>
        <v>121</v>
      </c>
      <c r="AE73" s="191">
        <f ca="1">IFERROR(__xludf.DUMMYFUNCTION("IMPORTRANGE(""https://docs.google.com/spreadsheets/d/1BmIruG_sIrJLYao_Pdr7zVArWsfoBt2692TMi6x_854/edit?usp=sharing"",""อ่างทอง!J201"")"),0)</f>
        <v>0</v>
      </c>
      <c r="AF73" s="191">
        <f ca="1">IFERROR(__xludf.DUMMYFUNCTION("IMPORTRANGE(""https://docs.google.com/spreadsheets/d/1BmIruG_sIrJLYao_Pdr7zVArWsfoBt2692TMi6x_854/edit?usp=sharing"",""อ่างทอง!L204"")"),0)</f>
        <v>0</v>
      </c>
      <c r="AG73" s="191">
        <f ca="1">IFERROR(__xludf.DUMMYFUNCTION("IMPORTRANGE(""https://docs.google.com/spreadsheets/d/1BmIruG_sIrJLYao_Pdr7zVArWsfoBt2692TMi6x_854/edit?usp=sharing"",""อ่างทอง!N204"")"),0)</f>
        <v>0</v>
      </c>
      <c r="AH73" s="218">
        <f t="shared" ca="1" si="106"/>
        <v>0</v>
      </c>
      <c r="AI73" s="191">
        <f ca="1">IFERROR(__xludf.DUMMYFUNCTION("IMPORTRANGE(""https://docs.google.com/spreadsheets/d/1BmIruG_sIrJLYao_Pdr7zVArWsfoBt2692TMi6x_854/edit?usp=sharing"",""อ่างทอง!L206"")"),0)</f>
        <v>0</v>
      </c>
      <c r="AJ73" s="191">
        <f ca="1">IFERROR(__xludf.DUMMYFUNCTION("IMPORTRANGE(""https://docs.google.com/spreadsheets/d/1BmIruG_sIrJLYao_Pdr7zVArWsfoBt2692TMi6x_854/edit?usp=sharing"",""อ่างทอง!N206"")"),0)</f>
        <v>0</v>
      </c>
      <c r="AK73" s="218">
        <f t="shared" ca="1" si="108"/>
        <v>0</v>
      </c>
      <c r="AL73" s="191">
        <f ca="1">IFERROR(__xludf.DUMMYFUNCTION("IMPORTRANGE(""https://docs.google.com/spreadsheets/d/1BmIruG_sIrJLYao_Pdr7zVArWsfoBt2692TMi6x_854/edit?usp=sharing"",""อ่างทอง!Q206"")"),0)</f>
        <v>0</v>
      </c>
      <c r="AM73" s="191">
        <f ca="1">IFERROR(__xludf.DUMMYFUNCTION("IMPORTRANGE(""https://docs.google.com/spreadsheets/d/1BmIruG_sIrJLYao_Pdr7zVArWsfoBt2692TMi6x_854/edit?usp=sharing"",""อ่างทอง!S206"")"),0)</f>
        <v>0</v>
      </c>
      <c r="AN73" s="218">
        <f t="shared" ca="1" si="110"/>
        <v>0</v>
      </c>
      <c r="AO73" s="191">
        <f ca="1">IFERROR(__xludf.DUMMYFUNCTION("IMPORTRANGE(""https://docs.google.com/spreadsheets/d/1BmIruG_sIrJLYao_Pdr7zVArWsfoBt2692TMi6x_854/edit?usp=sharing"",""อ่างทอง!L207"")"),0)</f>
        <v>0</v>
      </c>
      <c r="AP73" s="191">
        <f ca="1">IFERROR(__xludf.DUMMYFUNCTION("IMPORTRANGE(""https://docs.google.com/spreadsheets/d/1BmIruG_sIrJLYao_Pdr7zVArWsfoBt2692TMi6x_854/edit?usp=sharing"",""อ่างทอง!N207"")"),0)</f>
        <v>0</v>
      </c>
      <c r="AQ73" s="218">
        <f t="shared" ca="1" si="112"/>
        <v>0</v>
      </c>
      <c r="AR73" s="191">
        <f ca="1">IFERROR(__xludf.DUMMYFUNCTION("IMPORTRANGE(""https://docs.google.com/spreadsheets/d/1BmIruG_sIrJLYao_Pdr7zVArWsfoBt2692TMi6x_854/edit?usp=sharing"",""อ่างทอง!I209"")"),0)</f>
        <v>0</v>
      </c>
      <c r="AS73" s="191">
        <f ca="1">IFERROR(__xludf.DUMMYFUNCTION("IMPORTRANGE(""https://docs.google.com/spreadsheets/d/1BmIruG_sIrJLYao_Pdr7zVArWsfoBt2692TMi6x_854/edit?usp=sharing"",""อ่างทอง!J209"")"),0)</f>
        <v>0</v>
      </c>
      <c r="AT73" s="218">
        <f t="shared" ca="1" si="114"/>
        <v>0</v>
      </c>
      <c r="AU73" s="191">
        <f ca="1">IFERROR(__xludf.DUMMYFUNCTION("IMPORTRANGE(""https://docs.google.com/spreadsheets/d/1BmIruG_sIrJLYao_Pdr7zVArWsfoBt2692TMi6x_854/edit?usp=sharing"",""อ่างทอง!J211"")"),0)</f>
        <v>0</v>
      </c>
      <c r="AV73" s="191">
        <f ca="1">IFERROR(__xludf.DUMMYFUNCTION("IMPORTRANGE(""https://docs.google.com/spreadsheets/d/1BmIruG_sIrJLYao_Pdr7zVArWsfoBt2692TMi6x_854/edit?usp=sharing"",""อ่างทอง!J212"")"),0)</f>
        <v>0</v>
      </c>
      <c r="AW73" s="191">
        <f ca="1">IFERROR(__xludf.DUMMYFUNCTION("IMPORTRANGE(""https://docs.google.com/spreadsheets/d/1BmIruG_sIrJLYao_Pdr7zVArWsfoBt2692TMi6x_854/edit?usp=sharing"",""อ่างทอง!L215"")"),0)</f>
        <v>0</v>
      </c>
      <c r="AX73" s="191">
        <f ca="1">IFERROR(__xludf.DUMMYFUNCTION("IMPORTRANGE(""https://docs.google.com/spreadsheets/d/1BmIruG_sIrJLYao_Pdr7zVArWsfoBt2692TMi6x_854/edit?usp=sharing"",""อ่างทอง!N215"")"),0)</f>
        <v>0</v>
      </c>
      <c r="AY73" s="218">
        <f t="shared" ca="1" si="116"/>
        <v>0</v>
      </c>
      <c r="AZ73" s="191">
        <f ca="1">IFERROR(__xludf.DUMMYFUNCTION("IMPORTRANGE(""https://docs.google.com/spreadsheets/d/1BmIruG_sIrJLYao_Pdr7zVArWsfoBt2692TMi6x_854/edit?usp=sharing"",""อ่างทอง!L216"")"),0)</f>
        <v>0</v>
      </c>
      <c r="BA73" s="191">
        <f ca="1">IFERROR(__xludf.DUMMYFUNCTION("IMPORTRANGE(""https://docs.google.com/spreadsheets/d/1BmIruG_sIrJLYao_Pdr7zVArWsfoBt2692TMi6x_854/edit?usp=sharing"",""อ่างทอง!N216"")"),0)</f>
        <v>0</v>
      </c>
      <c r="BB73" s="218">
        <f t="shared" ca="1" si="118"/>
        <v>0</v>
      </c>
      <c r="BC73" s="191">
        <f ca="1">IFERROR(__xludf.DUMMYFUNCTION("IMPORTRANGE(""https://docs.google.com/spreadsheets/d/1BmIruG_sIrJLYao_Pdr7zVArWsfoBt2692TMi6x_854/edit?usp=sharing"",""อ่างทอง!L217"")"),0)</f>
        <v>0</v>
      </c>
      <c r="BD73" s="191">
        <f ca="1">IFERROR(__xludf.DUMMYFUNCTION("IMPORTRANGE(""https://docs.google.com/spreadsheets/d/1BmIruG_sIrJLYao_Pdr7zVArWsfoBt2692TMi6x_854/edit?usp=sharing"",""อ่างทอง!N217"")"),0)</f>
        <v>0</v>
      </c>
      <c r="BE73" s="218">
        <f t="shared" ca="1" si="120"/>
        <v>0</v>
      </c>
      <c r="BF73" s="191">
        <f ca="1">IFERROR(__xludf.DUMMYFUNCTION("IMPORTRANGE(""https://docs.google.com/spreadsheets/d/1BmIruG_sIrJLYao_Pdr7zVArWsfoBt2692TMi6x_854/edit?usp=sharing"",""อ่างทอง!Q217"")"),0)</f>
        <v>0</v>
      </c>
      <c r="BG73" s="191">
        <f ca="1">IFERROR(__xludf.DUMMYFUNCTION("IMPORTRANGE(""https://docs.google.com/spreadsheets/d/1BmIruG_sIrJLYao_Pdr7zVArWsfoBt2692TMi6x_854/edit?usp=sharing"",""อ่างทอง!S217"")"),0)</f>
        <v>0</v>
      </c>
      <c r="BH73" s="218">
        <f t="shared" ca="1" si="122"/>
        <v>0</v>
      </c>
      <c r="BI73" s="191">
        <f ca="1">IFERROR(__xludf.DUMMYFUNCTION("IMPORTRANGE(""https://docs.google.com/spreadsheets/d/1BmIruG_sIrJLYao_Pdr7zVArWsfoBt2692TMi6x_854/edit?usp=sharing"",""อ่างทอง!I219"")"),0)</f>
        <v>0</v>
      </c>
      <c r="BJ73" s="191">
        <f ca="1">IFERROR(__xludf.DUMMYFUNCTION("IMPORTRANGE(""https://docs.google.com/spreadsheets/d/1BmIruG_sIrJLYao_Pdr7zVArWsfoBt2692TMi6x_854/edit?usp=sharing"",""อ่างทอง!J219"")"),0)</f>
        <v>0</v>
      </c>
      <c r="BK73" s="218">
        <f t="shared" ca="1" si="124"/>
        <v>0</v>
      </c>
      <c r="BL73" s="191">
        <f ca="1">IFERROR(__xludf.DUMMYFUNCTION("IMPORTRANGE(""https://docs.google.com/spreadsheets/d/1BmIruG_sIrJLYao_Pdr7zVArWsfoBt2692TMi6x_854/edit?usp=sharing"",""อ่างทอง!I220"")"),0)</f>
        <v>0</v>
      </c>
      <c r="BM73" s="191">
        <f ca="1">IFERROR(__xludf.DUMMYFUNCTION("IMPORTRANGE(""https://docs.google.com/spreadsheets/d/1BmIruG_sIrJLYao_Pdr7zVArWsfoBt2692TMi6x_854/edit?usp=sharing"",""อ่างทอง!J220"")"),0)</f>
        <v>0</v>
      </c>
      <c r="BN73" s="218">
        <f t="shared" ca="1" si="126"/>
        <v>0</v>
      </c>
      <c r="BO73" s="191">
        <f ca="1">IFERROR(__xludf.DUMMYFUNCTION("IMPORTRANGE(""https://docs.google.com/spreadsheets/d/1BmIruG_sIrJLYao_Pdr7zVArWsfoBt2692TMi6x_854/edit?usp=sharing"",""อ่างทอง!L223"")"),2500)</f>
        <v>2500</v>
      </c>
      <c r="BP73" s="191">
        <f ca="1">IFERROR(__xludf.DUMMYFUNCTION("IMPORTRANGE(""https://docs.google.com/spreadsheets/d/1BmIruG_sIrJLYao_Pdr7zVArWsfoBt2692TMi6x_854/edit?usp=sharing"",""อ่างทอง!N223"")"),1550)</f>
        <v>1550</v>
      </c>
      <c r="BQ73" s="218">
        <f t="shared" ca="1" si="128"/>
        <v>62</v>
      </c>
      <c r="BR73" s="191">
        <f ca="1">IFERROR(__xludf.DUMMYFUNCTION("IMPORTRANGE(""https://docs.google.com/spreadsheets/d/1BmIruG_sIrJLYao_Pdr7zVArWsfoBt2692TMi6x_854/edit?usp=sharing"",""อ่างทอง!L224"")"),2000)</f>
        <v>2000</v>
      </c>
      <c r="BS73" s="191">
        <f ca="1">IFERROR(__xludf.DUMMYFUNCTION("IMPORTRANGE(""https://docs.google.com/spreadsheets/d/1BmIruG_sIrJLYao_Pdr7zVArWsfoBt2692TMi6x_854/edit?usp=sharing"",""อ่างทอง!N224"")"),1800)</f>
        <v>1800</v>
      </c>
      <c r="BT73" s="218">
        <f t="shared" ca="1" si="130"/>
        <v>90</v>
      </c>
      <c r="BU73" s="191">
        <f ca="1">IFERROR(__xludf.DUMMYFUNCTION("IMPORTRANGE(""https://docs.google.com/spreadsheets/d/1BmIruG_sIrJLYao_Pdr7zVArWsfoBt2692TMi6x_854/edit?usp=sharing"",""อ่างทอง!I228"")"),5000)</f>
        <v>5000</v>
      </c>
      <c r="BV73" s="191">
        <f ca="1">IFERROR(__xludf.DUMMYFUNCTION("IMPORTRANGE(""https://docs.google.com/spreadsheets/d/1BmIruG_sIrJLYao_Pdr7zVArWsfoBt2692TMi6x_854/edit?usp=sharing"",""อ่างทอง!J228"")"),5000)</f>
        <v>5000</v>
      </c>
      <c r="BW73" s="218">
        <f t="shared" ca="1" si="132"/>
        <v>100</v>
      </c>
      <c r="BX73" s="191">
        <f ca="1">IFERROR(__xludf.DUMMYFUNCTION("IMPORTRANGE(""https://docs.google.com/spreadsheets/d/1BmIruG_sIrJLYao_Pdr7zVArWsfoBt2692TMi6x_854/edit?usp=sharing"",""อ่างทอง!I229"")"),5000)</f>
        <v>5000</v>
      </c>
      <c r="BY73" s="191">
        <f ca="1">IFERROR(__xludf.DUMMYFUNCTION("IMPORTRANGE(""https://docs.google.com/spreadsheets/d/1BmIruG_sIrJLYao_Pdr7zVArWsfoBt2692TMi6x_854/edit?usp=sharing"",""อ่างทอง!J229"")"),5000)</f>
        <v>5000</v>
      </c>
      <c r="BZ73" s="218">
        <f t="shared" ca="1" si="134"/>
        <v>100</v>
      </c>
      <c r="CA73" s="191">
        <f ca="1">IFERROR(__xludf.DUMMYFUNCTION("IMPORTRANGE(""https://docs.google.com/spreadsheets/d/1BmIruG_sIrJLYao_Pdr7zVArWsfoBt2692TMi6x_854/edit?usp=sharing"",""อ่างทอง!I230"")"),0)</f>
        <v>0</v>
      </c>
      <c r="CB73" s="191">
        <f ca="1">IFERROR(__xludf.DUMMYFUNCTION("IMPORTRANGE(""https://docs.google.com/spreadsheets/d/1BmIruG_sIrJLYao_Pdr7zVArWsfoBt2692TMi6x_854/edit?usp=sharing"",""อ่างทอง!J230"")"),0)</f>
        <v>0</v>
      </c>
      <c r="CC73" s="218">
        <f t="shared" ca="1" si="136"/>
        <v>0</v>
      </c>
      <c r="CD73" s="191">
        <f ca="1">IFERROR(__xludf.DUMMYFUNCTION("IMPORTRANGE(""https://docs.google.com/spreadsheets/d/1BmIruG_sIrJLYao_Pdr7zVArWsfoBt2692TMi6x_854/edit?usp=sharing"",""อ่างทอง!L233"")"),0)</f>
        <v>0</v>
      </c>
      <c r="CE73" s="191">
        <f ca="1">IFERROR(__xludf.DUMMYFUNCTION("IMPORTRANGE(""https://docs.google.com/spreadsheets/d/1BmIruG_sIrJLYao_Pdr7zVArWsfoBt2692TMi6x_854/edit?usp=sharing"",""อ่างทอง!N233"")"),0)</f>
        <v>0</v>
      </c>
      <c r="CF73" s="218">
        <f t="shared" ca="1" si="138"/>
        <v>0</v>
      </c>
      <c r="CG73" s="191">
        <f ca="1">IFERROR(__xludf.DUMMYFUNCTION("IMPORTRANGE(""https://docs.google.com/spreadsheets/d/1BmIruG_sIrJLYao_Pdr7zVArWsfoBt2692TMi6x_854/edit?usp=sharing"",""อ่างทอง!L234"")"),0)</f>
        <v>0</v>
      </c>
      <c r="CH73" s="191">
        <f ca="1">IFERROR(__xludf.DUMMYFUNCTION("IMPORTRANGE(""https://docs.google.com/spreadsheets/d/1BmIruG_sIrJLYao_Pdr7zVArWsfoBt2692TMi6x_854/edit?usp=sharing"",""อ่างทอง!N234"")"),0)</f>
        <v>0</v>
      </c>
      <c r="CI73" s="218">
        <f t="shared" ca="1" si="140"/>
        <v>0</v>
      </c>
      <c r="CJ73" s="191">
        <f ca="1">IFERROR(__xludf.DUMMYFUNCTION("IMPORTRANGE(""https://docs.google.com/spreadsheets/d/1BmIruG_sIrJLYao_Pdr7zVArWsfoBt2692TMi6x_854/edit?usp=sharing"",""อ่างทอง!L235"")"),0)</f>
        <v>0</v>
      </c>
      <c r="CK73" s="191">
        <f ca="1">IFERROR(__xludf.DUMMYFUNCTION("IMPORTRANGE(""https://docs.google.com/spreadsheets/d/1BmIruG_sIrJLYao_Pdr7zVArWsfoBt2692TMi6x_854/edit?usp=sharing"",""อ่างทอง!N235"")"),0)</f>
        <v>0</v>
      </c>
      <c r="CL73" s="218">
        <f t="shared" ca="1" si="142"/>
        <v>0</v>
      </c>
      <c r="CM73" s="253">
        <f ca="1">IFERROR(__xludf.DUMMYFUNCTION("IMPORTRANGE(""https://docs.google.com/spreadsheets/d/1BmIruG_sIrJLYao_Pdr7zVArWsfoBt2692TMi6x_854/edit?usp=sharing"",""อ่างทอง!Q235"")"),0)</f>
        <v>0</v>
      </c>
      <c r="CN73" s="253">
        <f ca="1">IFERROR(__xludf.DUMMYFUNCTION("IMPORTRANGE(""https://docs.google.com/spreadsheets/d/1BmIruG_sIrJLYao_Pdr7zVArWsfoBt2692TMi6x_854/edit?usp=sharing"",""อ่างทอง!S235"")"),0)</f>
        <v>0</v>
      </c>
      <c r="CO73" s="218">
        <f t="shared" ca="1" si="144"/>
        <v>0</v>
      </c>
      <c r="CP73" s="191">
        <f ca="1">IFERROR(__xludf.DUMMYFUNCTION("IMPORTRANGE(""https://docs.google.com/spreadsheets/d/1BmIruG_sIrJLYao_Pdr7zVArWsfoBt2692TMi6x_854/edit?usp=sharing"",""อ่างทอง!L236"")"),0)</f>
        <v>0</v>
      </c>
      <c r="CQ73" s="191">
        <f ca="1">IFERROR(__xludf.DUMMYFUNCTION("IMPORTRANGE(""https://docs.google.com/spreadsheets/d/1BmIruG_sIrJLYao_Pdr7zVArWsfoBt2692TMi6x_854/edit?usp=sharing"",""อ่างทอง!N236"")"),0)</f>
        <v>0</v>
      </c>
      <c r="CR73" s="218">
        <f t="shared" ca="1" si="146"/>
        <v>0</v>
      </c>
      <c r="CS73" s="191">
        <f ca="1">IFERROR(__xludf.DUMMYFUNCTION("IMPORTRANGE(""https://docs.google.com/spreadsheets/d/1BmIruG_sIrJLYao_Pdr7zVArWsfoBt2692TMi6x_854/edit?usp=sharing"",""อ่างทอง!I238"")"),0)</f>
        <v>0</v>
      </c>
      <c r="CT73" s="191">
        <f ca="1">IFERROR(__xludf.DUMMYFUNCTION("IMPORTRANGE(""https://docs.google.com/spreadsheets/d/1BmIruG_sIrJLYao_Pdr7zVArWsfoBt2692TMi6x_854/edit?usp=sharing"",""อ่างทอง!J238"")"),0)</f>
        <v>0</v>
      </c>
      <c r="CU73" s="218">
        <f t="shared" ca="1" si="148"/>
        <v>0</v>
      </c>
      <c r="CV73" s="191">
        <f ca="1">IFERROR(__xludf.DUMMYFUNCTION("IMPORTRANGE(""https://docs.google.com/spreadsheets/d/1BmIruG_sIrJLYao_Pdr7zVArWsfoBt2692TMi6x_854/edit?usp=sharing"",""อ่างทอง!J240"")"),0)</f>
        <v>0</v>
      </c>
      <c r="CW73" s="191">
        <f ca="1">IFERROR(__xludf.DUMMYFUNCTION("IMPORTRANGE(""https://docs.google.com/spreadsheets/d/1BmIruG_sIrJLYao_Pdr7zVArWsfoBt2692TMi6x_854/edit?usp=sharing"",""อ่างทอง!J241"")"),0)</f>
        <v>0</v>
      </c>
    </row>
    <row r="74" spans="1:101" ht="21" customHeight="1" x14ac:dyDescent="0.3">
      <c r="A74" s="696" t="s">
        <v>102</v>
      </c>
      <c r="B74" s="662"/>
      <c r="C74" s="161">
        <f t="shared" ca="1" si="90"/>
        <v>2562900</v>
      </c>
      <c r="D74" s="161">
        <f t="shared" ref="D74:I74" ca="1" si="207">SUM(D75:D88)</f>
        <v>2562900</v>
      </c>
      <c r="E74" s="161">
        <f t="shared" ca="1" si="207"/>
        <v>1766800</v>
      </c>
      <c r="F74" s="161">
        <f t="shared" ca="1" si="207"/>
        <v>796100</v>
      </c>
      <c r="G74" s="161">
        <f t="shared" ca="1" si="207"/>
        <v>0</v>
      </c>
      <c r="H74" s="161">
        <f t="shared" ca="1" si="207"/>
        <v>2733315</v>
      </c>
      <c r="I74" s="161">
        <f t="shared" ca="1" si="207"/>
        <v>0</v>
      </c>
      <c r="J74" s="161">
        <f t="shared" ca="1" si="92"/>
        <v>2307018.6999999997</v>
      </c>
      <c r="K74" s="162">
        <f t="shared" ca="1" si="93"/>
        <v>90.015946779039353</v>
      </c>
      <c r="L74" s="161">
        <f ca="1">SUM(L75:L88)</f>
        <v>2307018.6999999997</v>
      </c>
      <c r="M74" s="94">
        <f t="shared" ca="1" si="94"/>
        <v>90.015946779039353</v>
      </c>
      <c r="N74" s="94">
        <f t="shared" ca="1" si="95"/>
        <v>84.403689293037928</v>
      </c>
      <c r="O74" s="93">
        <f ca="1">SUM(O75:O88)</f>
        <v>0</v>
      </c>
      <c r="P74" s="93">
        <f t="shared" ca="1" si="96"/>
        <v>0</v>
      </c>
      <c r="Q74" s="94">
        <f t="shared" ca="1" si="97"/>
        <v>0</v>
      </c>
      <c r="R74" s="93">
        <f t="shared" ref="R74:T74" ca="1" si="208">SUM(R75:R88)</f>
        <v>903000</v>
      </c>
      <c r="S74" s="93">
        <f t="shared" ca="1" si="208"/>
        <v>903000</v>
      </c>
      <c r="T74" s="93">
        <f t="shared" ca="1" si="208"/>
        <v>649945</v>
      </c>
      <c r="U74" s="94">
        <f t="shared" ca="1" si="99"/>
        <v>71.976190476190482</v>
      </c>
      <c r="V74" s="94">
        <f t="shared" ca="1" si="100"/>
        <v>71.976190476190482</v>
      </c>
      <c r="W74" s="161">
        <f t="shared" ref="W74:X74" ca="1" si="209">SUM(W75:W88)</f>
        <v>84000</v>
      </c>
      <c r="X74" s="161">
        <f t="shared" ca="1" si="209"/>
        <v>65716</v>
      </c>
      <c r="Y74" s="94">
        <f t="shared" ca="1" si="102"/>
        <v>78.233333333333334</v>
      </c>
      <c r="Z74" s="161">
        <f t="shared" ref="Z74:AA74" ca="1" si="210">SUM(Z75:Z88)</f>
        <v>56</v>
      </c>
      <c r="AA74" s="161">
        <f t="shared" ca="1" si="210"/>
        <v>55</v>
      </c>
      <c r="AB74" s="94">
        <f t="shared" ca="1" si="104"/>
        <v>98.214285714285708</v>
      </c>
      <c r="AC74" s="161">
        <f t="shared" ref="AC74:AG74" ca="1" si="211">SUM(AC75:AC88)</f>
        <v>2067</v>
      </c>
      <c r="AD74" s="161">
        <f t="shared" ca="1" si="211"/>
        <v>2067</v>
      </c>
      <c r="AE74" s="161">
        <f t="shared" ca="1" si="211"/>
        <v>0</v>
      </c>
      <c r="AF74" s="161">
        <f t="shared" ca="1" si="211"/>
        <v>30000</v>
      </c>
      <c r="AG74" s="161">
        <f t="shared" ca="1" si="211"/>
        <v>15197</v>
      </c>
      <c r="AH74" s="94">
        <f t="shared" ca="1" si="106"/>
        <v>50.656666666666666</v>
      </c>
      <c r="AI74" s="161">
        <f t="shared" ref="AI74:AJ74" ca="1" si="212">SUM(AI75:AI88)</f>
        <v>8000</v>
      </c>
      <c r="AJ74" s="161">
        <f t="shared" ca="1" si="212"/>
        <v>8000</v>
      </c>
      <c r="AK74" s="94">
        <f t="shared" ca="1" si="108"/>
        <v>100</v>
      </c>
      <c r="AL74" s="161">
        <f t="shared" ref="AL74:AM74" ca="1" si="213">SUM(AL75:AL88)</f>
        <v>406000</v>
      </c>
      <c r="AM74" s="161">
        <f t="shared" ca="1" si="213"/>
        <v>280000</v>
      </c>
      <c r="AN74" s="94">
        <f t="shared" ca="1" si="110"/>
        <v>68.965517241379317</v>
      </c>
      <c r="AO74" s="161">
        <f t="shared" ref="AO74:AP74" ca="1" si="214">SUM(AO75:AO88)</f>
        <v>138000</v>
      </c>
      <c r="AP74" s="161">
        <f t="shared" ca="1" si="214"/>
        <v>100595</v>
      </c>
      <c r="AQ74" s="94">
        <f t="shared" ca="1" si="112"/>
        <v>72.89492753623189</v>
      </c>
      <c r="AR74" s="161">
        <f t="shared" ref="AR74:AS74" ca="1" si="215">SUM(AR75:AR88)</f>
        <v>30</v>
      </c>
      <c r="AS74" s="161">
        <f t="shared" ca="1" si="215"/>
        <v>23</v>
      </c>
      <c r="AT74" s="94">
        <f t="shared" ca="1" si="114"/>
        <v>76.666666666666671</v>
      </c>
      <c r="AU74" s="161">
        <f t="shared" ref="AU74:AX74" ca="1" si="216">SUM(AU75:AU88)</f>
        <v>22</v>
      </c>
      <c r="AV74" s="161">
        <f t="shared" ca="1" si="216"/>
        <v>2</v>
      </c>
      <c r="AW74" s="161">
        <f t="shared" ca="1" si="216"/>
        <v>10000</v>
      </c>
      <c r="AX74" s="161">
        <f t="shared" ca="1" si="216"/>
        <v>7000</v>
      </c>
      <c r="AY74" s="94">
        <f t="shared" ca="1" si="116"/>
        <v>70</v>
      </c>
      <c r="AZ74" s="161">
        <f t="shared" ref="AZ74:BA74" ca="1" si="217">SUM(AZ75:AZ88)</f>
        <v>50000</v>
      </c>
      <c r="BA74" s="161">
        <f t="shared" ca="1" si="217"/>
        <v>35000</v>
      </c>
      <c r="BB74" s="94">
        <f t="shared" ca="1" si="118"/>
        <v>70</v>
      </c>
      <c r="BC74" s="161">
        <f t="shared" ref="BC74:BD74" ca="1" si="218">SUM(BC75:BC88)</f>
        <v>0</v>
      </c>
      <c r="BD74" s="161">
        <f t="shared" ca="1" si="218"/>
        <v>0</v>
      </c>
      <c r="BE74" s="94">
        <f t="shared" ca="1" si="120"/>
        <v>0</v>
      </c>
      <c r="BF74" s="161">
        <f t="shared" ref="BF74:BG74" ca="1" si="219">SUM(BF75:BF88)</f>
        <v>497000</v>
      </c>
      <c r="BG74" s="161">
        <f t="shared" ca="1" si="219"/>
        <v>347900</v>
      </c>
      <c r="BH74" s="94">
        <f t="shared" ca="1" si="122"/>
        <v>70</v>
      </c>
      <c r="BI74" s="161">
        <f t="shared" ref="BI74:BJ74" ca="1" si="220">SUM(BI75:BI88)</f>
        <v>10</v>
      </c>
      <c r="BJ74" s="161">
        <f t="shared" ca="1" si="220"/>
        <v>7</v>
      </c>
      <c r="BK74" s="94">
        <f t="shared" ca="1" si="124"/>
        <v>70</v>
      </c>
      <c r="BL74" s="161">
        <f t="shared" ref="BL74:BM74" ca="1" si="221">SUM(BL75:BL88)</f>
        <v>10</v>
      </c>
      <c r="BM74" s="161">
        <f t="shared" ca="1" si="221"/>
        <v>7</v>
      </c>
      <c r="BN74" s="94">
        <f t="shared" ca="1" si="126"/>
        <v>70</v>
      </c>
      <c r="BO74" s="161">
        <f t="shared" ref="BO74:BP74" ca="1" si="222">SUM(BO75:BO88)</f>
        <v>32500</v>
      </c>
      <c r="BP74" s="161">
        <f t="shared" ca="1" si="222"/>
        <v>14780</v>
      </c>
      <c r="BQ74" s="94">
        <f t="shared" ca="1" si="128"/>
        <v>45.476923076923079</v>
      </c>
      <c r="BR74" s="161">
        <f t="shared" ref="BR74:BS74" ca="1" si="223">SUM(BR75:BR88)</f>
        <v>34000</v>
      </c>
      <c r="BS74" s="161">
        <f t="shared" ca="1" si="223"/>
        <v>18480</v>
      </c>
      <c r="BT74" s="94">
        <f t="shared" ca="1" si="130"/>
        <v>54.352941176470587</v>
      </c>
      <c r="BU74" s="161">
        <f t="shared" ref="BU74:BV74" ca="1" si="224">SUM(BU75:BU88)</f>
        <v>239000</v>
      </c>
      <c r="BV74" s="161">
        <f t="shared" ca="1" si="224"/>
        <v>191200</v>
      </c>
      <c r="BW74" s="94">
        <f t="shared" ca="1" si="132"/>
        <v>80</v>
      </c>
      <c r="BX74" s="161">
        <f t="shared" ref="BX74:BY74" ca="1" si="225">SUM(BX75:BX88)</f>
        <v>239000</v>
      </c>
      <c r="BY74" s="161">
        <f t="shared" ca="1" si="225"/>
        <v>121200</v>
      </c>
      <c r="BZ74" s="94">
        <f t="shared" ca="1" si="134"/>
        <v>50.711297071129707</v>
      </c>
      <c r="CA74" s="161">
        <f t="shared" ref="CA74:CB74" ca="1" si="226">SUM(CA75:CA88)</f>
        <v>0</v>
      </c>
      <c r="CB74" s="161">
        <f t="shared" ca="1" si="226"/>
        <v>0</v>
      </c>
      <c r="CC74" s="94">
        <f t="shared" ca="1" si="136"/>
        <v>0</v>
      </c>
      <c r="CD74" s="161">
        <f t="shared" ref="CD74:CE74" ca="1" si="227">SUM(CD75:CD88)</f>
        <v>167000</v>
      </c>
      <c r="CE74" s="161">
        <f t="shared" ca="1" si="227"/>
        <v>20796.400000000001</v>
      </c>
      <c r="CF74" s="94">
        <f t="shared" ca="1" si="138"/>
        <v>12.452934131736528</v>
      </c>
      <c r="CG74" s="161">
        <f t="shared" ref="CG74:CH74" ca="1" si="228">SUM(CG75:CG88)</f>
        <v>10000</v>
      </c>
      <c r="CH74" s="161">
        <f t="shared" ca="1" si="228"/>
        <v>114400.01</v>
      </c>
      <c r="CI74" s="94">
        <f t="shared" ca="1" si="140"/>
        <v>1144.0001</v>
      </c>
      <c r="CJ74" s="161">
        <f t="shared" ref="CJ74:CK74" ca="1" si="229">SUM(CJ75:CJ88)</f>
        <v>92600</v>
      </c>
      <c r="CK74" s="161">
        <f t="shared" ca="1" si="229"/>
        <v>51013</v>
      </c>
      <c r="CL74" s="94">
        <f t="shared" ca="1" si="142"/>
        <v>55.089632829373649</v>
      </c>
      <c r="CM74" s="161">
        <f t="shared" ref="CM74:CN74" ca="1" si="230">SUM(CM75:CM88)</f>
        <v>0</v>
      </c>
      <c r="CN74" s="161">
        <f t="shared" ca="1" si="230"/>
        <v>0</v>
      </c>
      <c r="CO74" s="94">
        <f t="shared" ca="1" si="144"/>
        <v>0</v>
      </c>
      <c r="CP74" s="161">
        <f t="shared" ref="CP74:CQ74" ca="1" si="231">SUM(CP75:CP88)</f>
        <v>140000</v>
      </c>
      <c r="CQ74" s="161">
        <f t="shared" ca="1" si="231"/>
        <v>81030</v>
      </c>
      <c r="CR74" s="94">
        <f t="shared" ca="1" si="146"/>
        <v>57.878571428571426</v>
      </c>
      <c r="CS74" s="161">
        <f t="shared" ref="CS74:CT74" ca="1" si="232">SUM(CS75:CS88)</f>
        <v>110</v>
      </c>
      <c r="CT74" s="161">
        <f t="shared" ca="1" si="232"/>
        <v>63</v>
      </c>
      <c r="CU74" s="94">
        <f t="shared" ca="1" si="148"/>
        <v>57.272727272727273</v>
      </c>
      <c r="CV74" s="161">
        <f t="shared" ref="CV74:CW74" ca="1" si="233">SUM(CV75:CV88)</f>
        <v>60</v>
      </c>
      <c r="CW74" s="161">
        <f t="shared" ca="1" si="233"/>
        <v>6</v>
      </c>
    </row>
    <row r="75" spans="1:101" ht="21" customHeight="1" x14ac:dyDescent="0.3">
      <c r="A75" s="147">
        <v>1</v>
      </c>
      <c r="B75" s="148" t="s">
        <v>103</v>
      </c>
      <c r="C75" s="149">
        <f t="shared" ca="1" si="90"/>
        <v>112400</v>
      </c>
      <c r="D75" s="150">
        <f t="shared" ref="D75:D88" ca="1" si="234">+E75+F75</f>
        <v>112400</v>
      </c>
      <c r="E75" s="151">
        <f ca="1">IFERROR(__xludf.DUMMYFUNCTION("IMPORTRANGE(""https://docs.google.com/spreadsheets/d/1-uDff_7J0KD5mKrp0Vvzr7lt3OU09vwQwhkpOPPYv2Y/edit?usp=sharing"",""งบพรบ!CV75"")"),82900)</f>
        <v>82900</v>
      </c>
      <c r="F75" s="151">
        <f ca="1">IFERROR(__xludf.DUMMYFUNCTION("IMPORTRANGE(""https://docs.google.com/spreadsheets/d/1-uDff_7J0KD5mKrp0Vvzr7lt3OU09vwQwhkpOPPYv2Y/edit?usp=sharing"",""งบพรบ!CW75"")"),29500)</f>
        <v>29500</v>
      </c>
      <c r="G75" s="151">
        <f ca="1">IFERROR(__xludf.DUMMYFUNCTION("IMPORTRANGE(""https://docs.google.com/spreadsheets/d/1-uDff_7J0KD5mKrp0Vvzr7lt3OU09vwQwhkpOPPYv2Y/edit?usp=sharing"",""งบพรบ!CX75"")"),0)</f>
        <v>0</v>
      </c>
      <c r="H75" s="151">
        <f ca="1">IFERROR(__xludf.DUMMYFUNCTION("IMPORTRANGE(""https://docs.google.com/spreadsheets/d/1-uDff_7J0KD5mKrp0Vvzr7lt3OU09vwQwhkpOPPYv2Y/edit?usp=sharing"",""งบพรบ!CZ75"")"),123100)</f>
        <v>123100</v>
      </c>
      <c r="I75" s="151">
        <f ca="1">IFERROR(__xludf.DUMMYFUNCTION("IMPORTRANGE(""https://docs.google.com/spreadsheets/d/1-uDff_7J0KD5mKrp0Vvzr7lt3OU09vwQwhkpOPPYv2Y/edit?usp=sharing"",""งบพรบ!DA75"")"),0)</f>
        <v>0</v>
      </c>
      <c r="J75" s="151">
        <f t="shared" ca="1" si="92"/>
        <v>120451</v>
      </c>
      <c r="K75" s="154">
        <f t="shared" ca="1" si="93"/>
        <v>107.16281138790036</v>
      </c>
      <c r="L75" s="151">
        <f ca="1">IFERROR(__xludf.DUMMYFUNCTION("IMPORTRANGE(""https://docs.google.com/spreadsheets/d/1-uDff_7J0KD5mKrp0Vvzr7lt3OU09vwQwhkpOPPYv2Y/edit?usp=sharing"",""งบพรบ!DB75"")"),120451)</f>
        <v>120451</v>
      </c>
      <c r="M75" s="68">
        <f t="shared" ca="1" si="94"/>
        <v>107.16281138790036</v>
      </c>
      <c r="N75" s="68">
        <f t="shared" ca="1" si="95"/>
        <v>97.848090982940704</v>
      </c>
      <c r="O75" s="67">
        <f ca="1">IFERROR(__xludf.DUMMYFUNCTION("IMPORTRANGE(""https://docs.google.com/spreadsheets/d/1-uDff_7J0KD5mKrp0Vvzr7lt3OU09vwQwhkpOPPYv2Y/edit?usp=sharing"",""งบพรบ!DC75"")"),0)</f>
        <v>0</v>
      </c>
      <c r="P75" s="67">
        <f t="shared" ca="1" si="96"/>
        <v>0</v>
      </c>
      <c r="Q75" s="68">
        <f t="shared" ca="1" si="97"/>
        <v>0</v>
      </c>
      <c r="R75" s="67">
        <f ca="1">IFERROR(__xludf.DUMMYFUNCTION("IMPORTRANGE(""https://docs.google.com/spreadsheets/d/1kKUcYdkIfrgTSj8iHHHB2MD2FAtwyyocFgqGQn6ADyI/edit?usp=sharing"",""กระบี่!Q186"")"),42000)</f>
        <v>42000</v>
      </c>
      <c r="S75" s="67">
        <f ca="1">IFERROR(__xludf.DUMMYFUNCTION("IMPORTRANGE(""https://docs.google.com/spreadsheets/d/1kKUcYdkIfrgTSj8iHHHB2MD2FAtwyyocFgqGQn6ADyI/edit?usp=sharing"",""กระบี่!R186"")"),42000)</f>
        <v>42000</v>
      </c>
      <c r="T75" s="67">
        <f ca="1">IFERROR(__xludf.DUMMYFUNCTION("IMPORTRANGE(""https://docs.google.com/spreadsheets/d/1kKUcYdkIfrgTSj8iHHHB2MD2FAtwyyocFgqGQn6ADyI/edit?usp=sharing"",""กระบี่!S186"")"),32900)</f>
        <v>32900</v>
      </c>
      <c r="U75" s="68">
        <f t="shared" ca="1" si="99"/>
        <v>78.333333333333329</v>
      </c>
      <c r="V75" s="68">
        <f t="shared" ca="1" si="100"/>
        <v>78.333333333333329</v>
      </c>
      <c r="W75" s="152">
        <f ca="1">IFERROR(__xludf.DUMMYFUNCTION("IMPORTRANGE(""https://docs.google.com/spreadsheets/d/1kKUcYdkIfrgTSj8iHHHB2MD2FAtwyyocFgqGQn6ADyI/edit?usp=sharing"",""กระบี่!L196"")"),6000)</f>
        <v>6000</v>
      </c>
      <c r="X75" s="152">
        <f ca="1">IFERROR(__xludf.DUMMYFUNCTION("IMPORTRANGE(""https://docs.google.com/spreadsheets/d/1kKUcYdkIfrgTSj8iHHHB2MD2FAtwyyocFgqGQn6ADyI/edit?usp=sharing"",""กระบี่!N196"")"),0)</f>
        <v>0</v>
      </c>
      <c r="Y75" s="216">
        <f t="shared" ca="1" si="102"/>
        <v>0</v>
      </c>
      <c r="Z75" s="152">
        <f ca="1">IFERROR(__xludf.DUMMYFUNCTION("IMPORTRANGE(""https://docs.google.com/spreadsheets/d/1kKUcYdkIfrgTSj8iHHHB2MD2FAtwyyocFgqGQn6ADyI/edit?usp=sharing"",""กระบี่!I198"")"),4)</f>
        <v>4</v>
      </c>
      <c r="AA75" s="152">
        <f ca="1">IFERROR(__xludf.DUMMYFUNCTION("IMPORTRANGE(""https://docs.google.com/spreadsheets/d/1kKUcYdkIfrgTSj8iHHHB2MD2FAtwyyocFgqGQn6ADyI/edit?usp=sharing"",""กระบี่!J198"")"),4)</f>
        <v>4</v>
      </c>
      <c r="AB75" s="216">
        <f t="shared" ca="1" si="104"/>
        <v>100</v>
      </c>
      <c r="AC75" s="152">
        <f ca="1">IFERROR(__xludf.DUMMYFUNCTION("IMPORTRANGE(""https://docs.google.com/spreadsheets/d/1kKUcYdkIfrgTSj8iHHHB2MD2FAtwyyocFgqGQn6ADyI/edit?usp=sharing"",""กระบี่!J199"")"),0)</f>
        <v>0</v>
      </c>
      <c r="AD75" s="152">
        <f ca="1">IFERROR(__xludf.DUMMYFUNCTION("IMPORTRANGE(""https://docs.google.com/spreadsheets/d/1kKUcYdkIfrgTSj8iHHHB2MD2FAtwyyocFgqGQn6ADyI/edit?usp=sharing"",""กระบี่!J200"")"),0)</f>
        <v>0</v>
      </c>
      <c r="AE75" s="152">
        <f ca="1">IFERROR(__xludf.DUMMYFUNCTION("IMPORTRANGE(""https://docs.google.com/spreadsheets/d/1kKUcYdkIfrgTSj8iHHHB2MD2FAtwyyocFgqGQn6ADyI/edit?usp=sharing"",""กระบี่!J201"")"),0)</f>
        <v>0</v>
      </c>
      <c r="AF75" s="152">
        <f ca="1">IFERROR(__xludf.DUMMYFUNCTION("IMPORTRANGE(""https://docs.google.com/spreadsheets/d/1kKUcYdkIfrgTSj8iHHHB2MD2FAtwyyocFgqGQn6ADyI/edit?usp=sharing"",""กระบี่!L204"")"),3000)</f>
        <v>3000</v>
      </c>
      <c r="AG75" s="152">
        <f ca="1">IFERROR(__xludf.DUMMYFUNCTION("IMPORTRANGE(""https://docs.google.com/spreadsheets/d/1kKUcYdkIfrgTSj8iHHHB2MD2FAtwyyocFgqGQn6ADyI/edit?usp=sharing"",""กระบี่!N204"")"),2197)</f>
        <v>2197</v>
      </c>
      <c r="AH75" s="216">
        <f t="shared" ca="1" si="106"/>
        <v>73.233333333333334</v>
      </c>
      <c r="AI75" s="152">
        <f ca="1">IFERROR(__xludf.DUMMYFUNCTION("IMPORTRANGE(""https://docs.google.com/spreadsheets/d/1kKUcYdkIfrgTSj8iHHHB2MD2FAtwyyocFgqGQn6ADyI/edit?usp=sharing"",""กระบี่!L206"")"),0)</f>
        <v>0</v>
      </c>
      <c r="AJ75" s="152">
        <f ca="1">IFERROR(__xludf.DUMMYFUNCTION("IMPORTRANGE(""https://docs.google.com/spreadsheets/d/1kKUcYdkIfrgTSj8iHHHB2MD2FAtwyyocFgqGQn6ADyI/edit?usp=sharing"",""กระบี่!N206"")"),0)</f>
        <v>0</v>
      </c>
      <c r="AK75" s="216">
        <f t="shared" ca="1" si="108"/>
        <v>0</v>
      </c>
      <c r="AL75" s="152">
        <f ca="1">IFERROR(__xludf.DUMMYFUNCTION("IMPORTRANGE(""https://docs.google.com/spreadsheets/d/1kKUcYdkIfrgTSj8iHHHB2MD2FAtwyyocFgqGQn6ADyI/edit?usp=sharing"",""กระบี่!Q206"")"),42000)</f>
        <v>42000</v>
      </c>
      <c r="AM75" s="152">
        <f ca="1">IFERROR(__xludf.DUMMYFUNCTION("IMPORTRANGE(""https://docs.google.com/spreadsheets/d/1kKUcYdkIfrgTSj8iHHHB2MD2FAtwyyocFgqGQn6ADyI/edit?usp=sharing"",""กระบี่!S206"")"),32900)</f>
        <v>32900</v>
      </c>
      <c r="AN75" s="216">
        <f t="shared" ca="1" si="110"/>
        <v>78.333333333333329</v>
      </c>
      <c r="AO75" s="152">
        <f ca="1">IFERROR(__xludf.DUMMYFUNCTION("IMPORTRANGE(""https://docs.google.com/spreadsheets/d/1kKUcYdkIfrgTSj8iHHHB2MD2FAtwyyocFgqGQn6ADyI/edit?usp=sharing"",""กระบี่!L207"")"),12000)</f>
        <v>12000</v>
      </c>
      <c r="AP75" s="152">
        <f ca="1">IFERROR(__xludf.DUMMYFUNCTION("IMPORTRANGE(""https://docs.google.com/spreadsheets/d/1kKUcYdkIfrgTSj8iHHHB2MD2FAtwyyocFgqGQn6ADyI/edit?usp=sharing"",""กระบี่!N207"")"),12370)</f>
        <v>12370</v>
      </c>
      <c r="AQ75" s="216">
        <f t="shared" ca="1" si="112"/>
        <v>103.08333333333333</v>
      </c>
      <c r="AR75" s="152">
        <f ca="1">IFERROR(__xludf.DUMMYFUNCTION("IMPORTRANGE(""https://docs.google.com/spreadsheets/d/1kKUcYdkIfrgTSj8iHHHB2MD2FAtwyyocFgqGQn6ADyI/edit?usp=sharing"",""กระบี่!I209"")"),3)</f>
        <v>3</v>
      </c>
      <c r="AS75" s="152">
        <f ca="1">IFERROR(__xludf.DUMMYFUNCTION("IMPORTRANGE(""https://docs.google.com/spreadsheets/d/1kKUcYdkIfrgTSj8iHHHB2MD2FAtwyyocFgqGQn6ADyI/edit?usp=sharing"",""กระบี่!J209"")"),3)</f>
        <v>3</v>
      </c>
      <c r="AT75" s="216">
        <f t="shared" ca="1" si="114"/>
        <v>100</v>
      </c>
      <c r="AU75" s="152">
        <f ca="1">IFERROR(__xludf.DUMMYFUNCTION("IMPORTRANGE(""https://docs.google.com/spreadsheets/d/1kKUcYdkIfrgTSj8iHHHB2MD2FAtwyyocFgqGQn6ADyI/edit?usp=sharing"",""กระบี่!J211"")"),3)</f>
        <v>3</v>
      </c>
      <c r="AV75" s="152">
        <f ca="1">IFERROR(__xludf.DUMMYFUNCTION("IMPORTRANGE(""https://docs.google.com/spreadsheets/d/1kKUcYdkIfrgTSj8iHHHB2MD2FAtwyyocFgqGQn6ADyI/edit?usp=sharing"",""กระบี่!J212"")"),0)</f>
        <v>0</v>
      </c>
      <c r="AW75" s="152">
        <f ca="1">IFERROR(__xludf.DUMMYFUNCTION("IMPORTRANGE(""https://docs.google.com/spreadsheets/d/1kKUcYdkIfrgTSj8iHHHB2MD2FAtwyyocFgqGQn6ADyI/edit?usp=sharing"",""กระบี่!L215"")"),0)</f>
        <v>0</v>
      </c>
      <c r="AX75" s="152">
        <f ca="1">IFERROR(__xludf.DUMMYFUNCTION("IMPORTRANGE(""https://docs.google.com/spreadsheets/d/1kKUcYdkIfrgTSj8iHHHB2MD2FAtwyyocFgqGQn6ADyI/edit?usp=sharing"",""กระบี่!N215"")"),0)</f>
        <v>0</v>
      </c>
      <c r="AY75" s="216">
        <f t="shared" ca="1" si="116"/>
        <v>0</v>
      </c>
      <c r="AZ75" s="152">
        <f ca="1">IFERROR(__xludf.DUMMYFUNCTION("IMPORTRANGE(""https://docs.google.com/spreadsheets/d/1kKUcYdkIfrgTSj8iHHHB2MD2FAtwyyocFgqGQn6ADyI/edit?usp=sharing"",""กระบี่!L216"")"),0)</f>
        <v>0</v>
      </c>
      <c r="BA75" s="152">
        <f ca="1">IFERROR(__xludf.DUMMYFUNCTION("IMPORTRANGE(""https://docs.google.com/spreadsheets/d/1kKUcYdkIfrgTSj8iHHHB2MD2FAtwyyocFgqGQn6ADyI/edit?usp=sharing"",""กระบี่!N216"")"),0)</f>
        <v>0</v>
      </c>
      <c r="BB75" s="216">
        <f t="shared" ca="1" si="118"/>
        <v>0</v>
      </c>
      <c r="BC75" s="152">
        <f ca="1">IFERROR(__xludf.DUMMYFUNCTION("IMPORTRANGE(""https://docs.google.com/spreadsheets/d/1kKUcYdkIfrgTSj8iHHHB2MD2FAtwyyocFgqGQn6ADyI/edit?usp=sharing"",""กระบี่!L217"")"),0)</f>
        <v>0</v>
      </c>
      <c r="BD75" s="152">
        <f ca="1">IFERROR(__xludf.DUMMYFUNCTION("IMPORTRANGE(""https://docs.google.com/spreadsheets/d/1kKUcYdkIfrgTSj8iHHHB2MD2FAtwyyocFgqGQn6ADyI/edit?usp=sharing"",""กระบี่!N217"")"),0)</f>
        <v>0</v>
      </c>
      <c r="BE75" s="216">
        <f t="shared" ca="1" si="120"/>
        <v>0</v>
      </c>
      <c r="BF75" s="152">
        <f ca="1">IFERROR(__xludf.DUMMYFUNCTION("IMPORTRANGE(""https://docs.google.com/spreadsheets/d/1kKUcYdkIfrgTSj8iHHHB2MD2FAtwyyocFgqGQn6ADyI/edit?usp=sharing"",""กระบี่!Q217"")"),0)</f>
        <v>0</v>
      </c>
      <c r="BG75" s="152">
        <f ca="1">IFERROR(__xludf.DUMMYFUNCTION("IMPORTRANGE(""https://docs.google.com/spreadsheets/d/1kKUcYdkIfrgTSj8iHHHB2MD2FAtwyyocFgqGQn6ADyI/edit?usp=sharing"",""กระบี่!S217"")"),0)</f>
        <v>0</v>
      </c>
      <c r="BH75" s="216">
        <f t="shared" ca="1" si="122"/>
        <v>0</v>
      </c>
      <c r="BI75" s="152">
        <f ca="1">IFERROR(__xludf.DUMMYFUNCTION("IMPORTRANGE(""https://docs.google.com/spreadsheets/d/1kKUcYdkIfrgTSj8iHHHB2MD2FAtwyyocFgqGQn6ADyI/edit?usp=sharing"",""กระบี่!I219"")"),0)</f>
        <v>0</v>
      </c>
      <c r="BJ75" s="152">
        <f ca="1">IFERROR(__xludf.DUMMYFUNCTION("IMPORTRANGE(""https://docs.google.com/spreadsheets/d/1kKUcYdkIfrgTSj8iHHHB2MD2FAtwyyocFgqGQn6ADyI/edit?usp=sharing"",""กระบี่!J219"")"),0)</f>
        <v>0</v>
      </c>
      <c r="BK75" s="216">
        <f t="shared" ca="1" si="124"/>
        <v>0</v>
      </c>
      <c r="BL75" s="152">
        <f ca="1">IFERROR(__xludf.DUMMYFUNCTION("IMPORTRANGE(""https://docs.google.com/spreadsheets/d/1kKUcYdkIfrgTSj8iHHHB2MD2FAtwyyocFgqGQn6ADyI/edit?usp=sharing"",""กระบี่!I220"")"),0)</f>
        <v>0</v>
      </c>
      <c r="BM75" s="152">
        <f ca="1">IFERROR(__xludf.DUMMYFUNCTION("IMPORTRANGE(""https://docs.google.com/spreadsheets/d/1kKUcYdkIfrgTSj8iHHHB2MD2FAtwyyocFgqGQn6ADyI/edit?usp=sharing"",""กระบี่!J220"")"),0)</f>
        <v>0</v>
      </c>
      <c r="BN75" s="216">
        <f t="shared" ca="1" si="126"/>
        <v>0</v>
      </c>
      <c r="BO75" s="152">
        <f ca="1">IFERROR(__xludf.DUMMYFUNCTION("IMPORTRANGE(""https://docs.google.com/spreadsheets/d/1kKUcYdkIfrgTSj8iHHHB2MD2FAtwyyocFgqGQn6ADyI/edit?usp=sharing"",""กระบี่!L223"")"),2500)</f>
        <v>2500</v>
      </c>
      <c r="BP75" s="152">
        <f ca="1">IFERROR(__xludf.DUMMYFUNCTION("IMPORTRANGE(""https://docs.google.com/spreadsheets/d/1kKUcYdkIfrgTSj8iHHHB2MD2FAtwyyocFgqGQn6ADyI/edit?usp=sharing"",""กระบี่!N223"")"),0)</f>
        <v>0</v>
      </c>
      <c r="BQ75" s="216">
        <f t="shared" ca="1" si="128"/>
        <v>0</v>
      </c>
      <c r="BR75" s="152">
        <f ca="1">IFERROR(__xludf.DUMMYFUNCTION("IMPORTRANGE(""https://docs.google.com/spreadsheets/d/1kKUcYdkIfrgTSj8iHHHB2MD2FAtwyyocFgqGQn6ADyI/edit?usp=sharing"",""กระบี่!L224"")"),6000)</f>
        <v>6000</v>
      </c>
      <c r="BS75" s="152">
        <f ca="1">IFERROR(__xludf.DUMMYFUNCTION("IMPORTRANGE(""https://docs.google.com/spreadsheets/d/1kKUcYdkIfrgTSj8iHHHB2MD2FAtwyyocFgqGQn6ADyI/edit?usp=sharing"",""กระบี่!N224"")"),0)</f>
        <v>0</v>
      </c>
      <c r="BT75" s="216">
        <f t="shared" ca="1" si="130"/>
        <v>0</v>
      </c>
      <c r="BU75" s="152">
        <f ca="1">IFERROR(__xludf.DUMMYFUNCTION("IMPORTRANGE(""https://docs.google.com/spreadsheets/d/1kKUcYdkIfrgTSj8iHHHB2MD2FAtwyyocFgqGQn6ADyI/edit?usp=sharing"",""กระบี่!I228"")"),50000)</f>
        <v>50000</v>
      </c>
      <c r="BV75" s="152">
        <f ca="1">IFERROR(__xludf.DUMMYFUNCTION("IMPORTRANGE(""https://docs.google.com/spreadsheets/d/1kKUcYdkIfrgTSj8iHHHB2MD2FAtwyyocFgqGQn6ADyI/edit?usp=sharing"",""กระบี่!J228"")"),50000)</f>
        <v>50000</v>
      </c>
      <c r="BW75" s="216">
        <f t="shared" ca="1" si="132"/>
        <v>100</v>
      </c>
      <c r="BX75" s="152">
        <f ca="1">IFERROR(__xludf.DUMMYFUNCTION("IMPORTRANGE(""https://docs.google.com/spreadsheets/d/1kKUcYdkIfrgTSj8iHHHB2MD2FAtwyyocFgqGQn6ADyI/edit?usp=sharing"",""กระบี่!I229"")"),50000)</f>
        <v>50000</v>
      </c>
      <c r="BY75" s="152">
        <f ca="1">IFERROR(__xludf.DUMMYFUNCTION("IMPORTRANGE(""https://docs.google.com/spreadsheets/d/1kKUcYdkIfrgTSj8iHHHB2MD2FAtwyyocFgqGQn6ADyI/edit?usp=sharing"",""กระบี่!J229"")"),0)</f>
        <v>0</v>
      </c>
      <c r="BZ75" s="216">
        <f t="shared" ca="1" si="134"/>
        <v>0</v>
      </c>
      <c r="CA75" s="152">
        <f ca="1">IFERROR(__xludf.DUMMYFUNCTION("IMPORTRANGE(""https://docs.google.com/spreadsheets/d/1kKUcYdkIfrgTSj8iHHHB2MD2FAtwyyocFgqGQn6ADyI/edit?usp=sharing"",""กระบี่!I230"")"),0)</f>
        <v>0</v>
      </c>
      <c r="CB75" s="152">
        <f ca="1">IFERROR(__xludf.DUMMYFUNCTION("IMPORTRANGE(""https://docs.google.com/spreadsheets/d/1kKUcYdkIfrgTSj8iHHHB2MD2FAtwyyocFgqGQn6ADyI/edit?usp=sharing"",""กระบี่!J230"")"),0)</f>
        <v>0</v>
      </c>
      <c r="CC75" s="216">
        <f t="shared" ca="1" si="136"/>
        <v>0</v>
      </c>
      <c r="CD75" s="152">
        <f ca="1">IFERROR(__xludf.DUMMYFUNCTION("IMPORTRANGE(""https://docs.google.com/spreadsheets/d/1kKUcYdkIfrgTSj8iHHHB2MD2FAtwyyocFgqGQn6ADyI/edit?usp=sharing"",""กระบี่!L233"")"),0)</f>
        <v>0</v>
      </c>
      <c r="CE75" s="152">
        <f ca="1">IFERROR(__xludf.DUMMYFUNCTION("IMPORTRANGE(""https://docs.google.com/spreadsheets/d/1kKUcYdkIfrgTSj8iHHHB2MD2FAtwyyocFgqGQn6ADyI/edit?usp=sharing"",""กระบี่!N233"")"),0)</f>
        <v>0</v>
      </c>
      <c r="CF75" s="216">
        <f t="shared" ca="1" si="138"/>
        <v>0</v>
      </c>
      <c r="CG75" s="152">
        <f ca="1">IFERROR(__xludf.DUMMYFUNCTION("IMPORTRANGE(""https://docs.google.com/spreadsheets/d/1kKUcYdkIfrgTSj8iHHHB2MD2FAtwyyocFgqGQn6ADyI/edit?usp=sharing"",""กระบี่!L234"")"),0)</f>
        <v>0</v>
      </c>
      <c r="CH75" s="152">
        <f ca="1">IFERROR(__xludf.DUMMYFUNCTION("IMPORTRANGE(""https://docs.google.com/spreadsheets/d/1kKUcYdkIfrgTSj8iHHHB2MD2FAtwyyocFgqGQn6ADyI/edit?usp=sharing"",""กระบี่!N234"")"),0)</f>
        <v>0</v>
      </c>
      <c r="CI75" s="216">
        <f t="shared" ca="1" si="140"/>
        <v>0</v>
      </c>
      <c r="CJ75" s="152">
        <f ca="1">IFERROR(__xludf.DUMMYFUNCTION("IMPORTRANGE(""https://docs.google.com/spreadsheets/d/1kKUcYdkIfrgTSj8iHHHB2MD2FAtwyyocFgqGQn6ADyI/edit?usp=sharing"",""กระบี่!L235"")"),0)</f>
        <v>0</v>
      </c>
      <c r="CK75" s="152">
        <f ca="1">IFERROR(__xludf.DUMMYFUNCTION("IMPORTRANGE(""https://docs.google.com/spreadsheets/d/1kKUcYdkIfrgTSj8iHHHB2MD2FAtwyyocFgqGQn6ADyI/edit?usp=sharing"",""กระบี่!N235"")"),0)</f>
        <v>0</v>
      </c>
      <c r="CL75" s="216">
        <f t="shared" ca="1" si="142"/>
        <v>0</v>
      </c>
      <c r="CM75" s="251">
        <f ca="1">IFERROR(__xludf.DUMMYFUNCTION("IMPORTRANGE(""https://docs.google.com/spreadsheets/d/1kKUcYdkIfrgTSj8iHHHB2MD2FAtwyyocFgqGQn6ADyI/edit?usp=sharing"",""กระบี่!Q235"")"),0)</f>
        <v>0</v>
      </c>
      <c r="CN75" s="251">
        <f ca="1">IFERROR(__xludf.DUMMYFUNCTION("IMPORTRANGE(""https://docs.google.com/spreadsheets/d/1kKUcYdkIfrgTSj8iHHHB2MD2FAtwyyocFgqGQn6ADyI/edit?usp=sharing"",""กระบี่!S235"")"),0)</f>
        <v>0</v>
      </c>
      <c r="CO75" s="216">
        <f t="shared" ca="1" si="144"/>
        <v>0</v>
      </c>
      <c r="CP75" s="152">
        <f ca="1">IFERROR(__xludf.DUMMYFUNCTION("IMPORTRANGE(""https://docs.google.com/spreadsheets/d/1kKUcYdkIfrgTSj8iHHHB2MD2FAtwyyocFgqGQn6ADyI/edit?usp=sharing"",""กระบี่!L236"")"),0)</f>
        <v>0</v>
      </c>
      <c r="CQ75" s="152">
        <f ca="1">IFERROR(__xludf.DUMMYFUNCTION("IMPORTRANGE(""https://docs.google.com/spreadsheets/d/1kKUcYdkIfrgTSj8iHHHB2MD2FAtwyyocFgqGQn6ADyI/edit?usp=sharing"",""กระบี่!N236"")"),0)</f>
        <v>0</v>
      </c>
      <c r="CR75" s="216">
        <f t="shared" ca="1" si="146"/>
        <v>0</v>
      </c>
      <c r="CS75" s="152">
        <f ca="1">IFERROR(__xludf.DUMMYFUNCTION("IMPORTRANGE(""https://docs.google.com/spreadsheets/d/1kKUcYdkIfrgTSj8iHHHB2MD2FAtwyyocFgqGQn6ADyI/edit?usp=sharing"",""กระบี่!I238"")"),0)</f>
        <v>0</v>
      </c>
      <c r="CT75" s="152">
        <f ca="1">IFERROR(__xludf.DUMMYFUNCTION("IMPORTRANGE(""https://docs.google.com/spreadsheets/d/1kKUcYdkIfrgTSj8iHHHB2MD2FAtwyyocFgqGQn6ADyI/edit?usp=sharing"",""กระบี่!J238"")"),0)</f>
        <v>0</v>
      </c>
      <c r="CU75" s="216">
        <f t="shared" ca="1" si="148"/>
        <v>0</v>
      </c>
      <c r="CV75" s="152">
        <f ca="1">IFERROR(__xludf.DUMMYFUNCTION("IMPORTRANGE(""https://docs.google.com/spreadsheets/d/1kKUcYdkIfrgTSj8iHHHB2MD2FAtwyyocFgqGQn6ADyI/edit?usp=sharing"",""กระบี่!J240"")"),0)</f>
        <v>0</v>
      </c>
      <c r="CW75" s="152">
        <f ca="1">IFERROR(__xludf.DUMMYFUNCTION("IMPORTRANGE(""https://docs.google.com/spreadsheets/d/1kKUcYdkIfrgTSj8iHHHB2MD2FAtwyyocFgqGQn6ADyI/edit?usp=sharing"",""กระบี่!J241"")"),0)</f>
        <v>0</v>
      </c>
    </row>
    <row r="76" spans="1:101" ht="21" customHeight="1" x14ac:dyDescent="0.3">
      <c r="A76" s="147">
        <v>2</v>
      </c>
      <c r="B76" s="148" t="s">
        <v>104</v>
      </c>
      <c r="C76" s="149">
        <f t="shared" ca="1" si="90"/>
        <v>41500</v>
      </c>
      <c r="D76" s="150">
        <f t="shared" ca="1" si="234"/>
        <v>41500</v>
      </c>
      <c r="E76" s="151">
        <f ca="1">IFERROR(__xludf.DUMMYFUNCTION("IMPORTRANGE(""https://docs.google.com/spreadsheets/d/1-uDff_7J0KD5mKrp0Vvzr7lt3OU09vwQwhkpOPPYv2Y/edit?usp=sharing"",""งบพรบ!CV76"")"),0)</f>
        <v>0</v>
      </c>
      <c r="F76" s="151">
        <f ca="1">IFERROR(__xludf.DUMMYFUNCTION("IMPORTRANGE(""https://docs.google.com/spreadsheets/d/1-uDff_7J0KD5mKrp0Vvzr7lt3OU09vwQwhkpOPPYv2Y/edit?usp=sharing"",""งบพรบ!CW76"")"),41500)</f>
        <v>41500</v>
      </c>
      <c r="G76" s="151">
        <f ca="1">IFERROR(__xludf.DUMMYFUNCTION("IMPORTRANGE(""https://docs.google.com/spreadsheets/d/1-uDff_7J0KD5mKrp0Vvzr7lt3OU09vwQwhkpOPPYv2Y/edit?usp=sharing"",""งบพรบ!CX76"")"),0)</f>
        <v>0</v>
      </c>
      <c r="H76" s="151">
        <f ca="1">IFERROR(__xludf.DUMMYFUNCTION("IMPORTRANGE(""https://docs.google.com/spreadsheets/d/1-uDff_7J0KD5mKrp0Vvzr7lt3OU09vwQwhkpOPPYv2Y/edit?usp=sharing"",""งบพรบ!CZ76"")"),88750)</f>
        <v>88750</v>
      </c>
      <c r="I76" s="151">
        <f ca="1">IFERROR(__xludf.DUMMYFUNCTION("IMPORTRANGE(""https://docs.google.com/spreadsheets/d/1-uDff_7J0KD5mKrp0Vvzr7lt3OU09vwQwhkpOPPYv2Y/edit?usp=sharing"",""งบพรบ!DA76"")"),0)</f>
        <v>0</v>
      </c>
      <c r="J76" s="151">
        <f t="shared" ca="1" si="92"/>
        <v>70102</v>
      </c>
      <c r="K76" s="154">
        <f t="shared" ca="1" si="93"/>
        <v>168.92048192771085</v>
      </c>
      <c r="L76" s="151">
        <f ca="1">IFERROR(__xludf.DUMMYFUNCTION("IMPORTRANGE(""https://docs.google.com/spreadsheets/d/1-uDff_7J0KD5mKrp0Vvzr7lt3OU09vwQwhkpOPPYv2Y/edit?usp=sharing"",""งบพรบ!DB76"")"),70102)</f>
        <v>70102</v>
      </c>
      <c r="M76" s="68">
        <f t="shared" ca="1" si="94"/>
        <v>168.92048192771085</v>
      </c>
      <c r="N76" s="68">
        <f t="shared" ca="1" si="95"/>
        <v>78.988169014084505</v>
      </c>
      <c r="O76" s="67">
        <f ca="1">IFERROR(__xludf.DUMMYFUNCTION("IMPORTRANGE(""https://docs.google.com/spreadsheets/d/1-uDff_7J0KD5mKrp0Vvzr7lt3OU09vwQwhkpOPPYv2Y/edit?usp=sharing"",""งบพรบ!DC76"")"),0)</f>
        <v>0</v>
      </c>
      <c r="P76" s="67">
        <f t="shared" ca="1" si="96"/>
        <v>0</v>
      </c>
      <c r="Q76" s="68">
        <f t="shared" ca="1" si="97"/>
        <v>0</v>
      </c>
      <c r="R76" s="67">
        <f ca="1">IFERROR(__xludf.DUMMYFUNCTION("IMPORTRANGE(""https://docs.google.com/spreadsheets/d/1GwtLaSlNZkLk7iDqcyZz22giiy40b_usZZBXYciEN1U/edit?usp=sharing"",""ชุมพร!Q186"")"),105700)</f>
        <v>105700</v>
      </c>
      <c r="S76" s="67">
        <f ca="1">IFERROR(__xludf.DUMMYFUNCTION("IMPORTRANGE(""https://docs.google.com/spreadsheets/d/1GwtLaSlNZkLk7iDqcyZz22giiy40b_usZZBXYciEN1U/edit?usp=sharing"",""ชุมพร!R186"")"),105700)</f>
        <v>105700</v>
      </c>
      <c r="T76" s="67">
        <f ca="1">IFERROR(__xludf.DUMMYFUNCTION("IMPORTRANGE(""https://docs.google.com/spreadsheets/d/1GwtLaSlNZkLk7iDqcyZz22giiy40b_usZZBXYciEN1U/edit?usp=sharing"",""ชุมพร!S186"")"),22800)</f>
        <v>22800</v>
      </c>
      <c r="U76" s="68">
        <f t="shared" ca="1" si="99"/>
        <v>21.570482497634817</v>
      </c>
      <c r="V76" s="68">
        <f t="shared" ca="1" si="100"/>
        <v>21.570482497634817</v>
      </c>
      <c r="W76" s="152">
        <f ca="1">IFERROR(__xludf.DUMMYFUNCTION("IMPORTRANGE(""https://docs.google.com/spreadsheets/d/1GwtLaSlNZkLk7iDqcyZz22giiy40b_usZZBXYciEN1U/edit?usp=sharing"",""ชุมพร!L196"")"),6000)</f>
        <v>6000</v>
      </c>
      <c r="X76" s="152">
        <f ca="1">IFERROR(__xludf.DUMMYFUNCTION("IMPORTRANGE(""https://docs.google.com/spreadsheets/d/1GwtLaSlNZkLk7iDqcyZz22giiy40b_usZZBXYciEN1U/edit?usp=sharing"",""ชุมพร!N196"")"),6000)</f>
        <v>6000</v>
      </c>
      <c r="Y76" s="216">
        <f t="shared" ca="1" si="102"/>
        <v>100</v>
      </c>
      <c r="Z76" s="152">
        <f ca="1">IFERROR(__xludf.DUMMYFUNCTION("IMPORTRANGE(""https://docs.google.com/spreadsheets/d/1GwtLaSlNZkLk7iDqcyZz22giiy40b_usZZBXYciEN1U/edit?usp=sharing"",""ชุมพร!I198"")"),4)</f>
        <v>4</v>
      </c>
      <c r="AA76" s="152">
        <f ca="1">IFERROR(__xludf.DUMMYFUNCTION("IMPORTRANGE(""https://docs.google.com/spreadsheets/d/1GwtLaSlNZkLk7iDqcyZz22giiy40b_usZZBXYciEN1U/edit?usp=sharing"",""ชุมพร!J198"")"),4)</f>
        <v>4</v>
      </c>
      <c r="AB76" s="216">
        <f t="shared" ca="1" si="104"/>
        <v>100</v>
      </c>
      <c r="AC76" s="152">
        <f ca="1">IFERROR(__xludf.DUMMYFUNCTION("IMPORTRANGE(""https://docs.google.com/spreadsheets/d/1GwtLaSlNZkLk7iDqcyZz22giiy40b_usZZBXYciEN1U/edit?usp=sharing"",""ชุมพร!J199"")"),0)</f>
        <v>0</v>
      </c>
      <c r="AD76" s="152">
        <f ca="1">IFERROR(__xludf.DUMMYFUNCTION("IMPORTRANGE(""https://docs.google.com/spreadsheets/d/1GwtLaSlNZkLk7iDqcyZz22giiy40b_usZZBXYciEN1U/edit?usp=sharing"",""ชุมพร!J200"")"),0)</f>
        <v>0</v>
      </c>
      <c r="AE76" s="152">
        <f ca="1">IFERROR(__xludf.DUMMYFUNCTION("IMPORTRANGE(""https://docs.google.com/spreadsheets/d/1GwtLaSlNZkLk7iDqcyZz22giiy40b_usZZBXYciEN1U/edit?usp=sharing"",""ชุมพร!J201"")"),0)</f>
        <v>0</v>
      </c>
      <c r="AF76" s="152">
        <f ca="1">IFERROR(__xludf.DUMMYFUNCTION("IMPORTRANGE(""https://docs.google.com/spreadsheets/d/1GwtLaSlNZkLk7iDqcyZz22giiy40b_usZZBXYciEN1U/edit?usp=sharing"",""ชุมพร!L204"")"),4000)</f>
        <v>4000</v>
      </c>
      <c r="AG76" s="152">
        <f ca="1">IFERROR(__xludf.DUMMYFUNCTION("IMPORTRANGE(""https://docs.google.com/spreadsheets/d/1GwtLaSlNZkLk7iDqcyZz22giiy40b_usZZBXYciEN1U/edit?usp=sharing"",""ชุมพร!N204"")"),0)</f>
        <v>0</v>
      </c>
      <c r="AH76" s="216">
        <f t="shared" ca="1" si="106"/>
        <v>0</v>
      </c>
      <c r="AI76" s="152">
        <f ca="1">IFERROR(__xludf.DUMMYFUNCTION("IMPORTRANGE(""https://docs.google.com/spreadsheets/d/1GwtLaSlNZkLk7iDqcyZz22giiy40b_usZZBXYciEN1U/edit?usp=sharing"",""ชุมพร!L206"")"),0)</f>
        <v>0</v>
      </c>
      <c r="AJ76" s="152">
        <f ca="1">IFERROR(__xludf.DUMMYFUNCTION("IMPORTRANGE(""https://docs.google.com/spreadsheets/d/1GwtLaSlNZkLk7iDqcyZz22giiy40b_usZZBXYciEN1U/edit?usp=sharing"",""ชุมพร!N206"")"),0)</f>
        <v>0</v>
      </c>
      <c r="AK76" s="216">
        <f t="shared" ca="1" si="108"/>
        <v>0</v>
      </c>
      <c r="AL76" s="152">
        <f ca="1">IFERROR(__xludf.DUMMYFUNCTION("IMPORTRANGE(""https://docs.google.com/spreadsheets/d/1GwtLaSlNZkLk7iDqcyZz22giiy40b_usZZBXYciEN1U/edit?usp=sharing"",""ชุมพร!Q206"")"),56000)</f>
        <v>56000</v>
      </c>
      <c r="AM76" s="152">
        <f ca="1">IFERROR(__xludf.DUMMYFUNCTION("IMPORTRANGE(""https://docs.google.com/spreadsheets/d/1GwtLaSlNZkLk7iDqcyZz22giiy40b_usZZBXYciEN1U/edit?usp=sharing"",""ชุมพร!S206"")"),0)</f>
        <v>0</v>
      </c>
      <c r="AN76" s="216">
        <f t="shared" ca="1" si="110"/>
        <v>0</v>
      </c>
      <c r="AO76" s="152">
        <f ca="1">IFERROR(__xludf.DUMMYFUNCTION("IMPORTRANGE(""https://docs.google.com/spreadsheets/d/1GwtLaSlNZkLk7iDqcyZz22giiy40b_usZZBXYciEN1U/edit?usp=sharing"",""ชุมพร!L207"")"),21000)</f>
        <v>21000</v>
      </c>
      <c r="AP76" s="152">
        <f ca="1">IFERROR(__xludf.DUMMYFUNCTION("IMPORTRANGE(""https://docs.google.com/spreadsheets/d/1GwtLaSlNZkLk7iDqcyZz22giiy40b_usZZBXYciEN1U/edit?usp=sharing"",""ชุมพร!N207"")"),0)</f>
        <v>0</v>
      </c>
      <c r="AQ76" s="216">
        <f t="shared" ca="1" si="112"/>
        <v>0</v>
      </c>
      <c r="AR76" s="152">
        <f ca="1">IFERROR(__xludf.DUMMYFUNCTION("IMPORTRANGE(""https://docs.google.com/spreadsheets/d/1GwtLaSlNZkLk7iDqcyZz22giiy40b_usZZBXYciEN1U/edit?usp=sharing"",""ชุมพร!I209"")"),4)</f>
        <v>4</v>
      </c>
      <c r="AS76" s="152">
        <f ca="1">IFERROR(__xludf.DUMMYFUNCTION("IMPORTRANGE(""https://docs.google.com/spreadsheets/d/1GwtLaSlNZkLk7iDqcyZz22giiy40b_usZZBXYciEN1U/edit?usp=sharing"",""ชุมพร!J209"")"),0)</f>
        <v>0</v>
      </c>
      <c r="AT76" s="216">
        <f t="shared" ca="1" si="114"/>
        <v>0</v>
      </c>
      <c r="AU76" s="152">
        <f ca="1">IFERROR(__xludf.DUMMYFUNCTION("IMPORTRANGE(""https://docs.google.com/spreadsheets/d/1GwtLaSlNZkLk7iDqcyZz22giiy40b_usZZBXYciEN1U/edit?usp=sharing"",""ชุมพร!J211"")"),0)</f>
        <v>0</v>
      </c>
      <c r="AV76" s="152">
        <f ca="1">IFERROR(__xludf.DUMMYFUNCTION("IMPORTRANGE(""https://docs.google.com/spreadsheets/d/1GwtLaSlNZkLk7iDqcyZz22giiy40b_usZZBXYciEN1U/edit?usp=sharing"",""ชุมพร!J212"")"),0)</f>
        <v>0</v>
      </c>
      <c r="AW76" s="152">
        <f ca="1">IFERROR(__xludf.DUMMYFUNCTION("IMPORTRANGE(""https://docs.google.com/spreadsheets/d/1GwtLaSlNZkLk7iDqcyZz22giiy40b_usZZBXYciEN1U/edit?usp=sharing"",""ชุมพร!L215"")"),1000)</f>
        <v>1000</v>
      </c>
      <c r="AX76" s="152">
        <f ca="1">IFERROR(__xludf.DUMMYFUNCTION("IMPORTRANGE(""https://docs.google.com/spreadsheets/d/1GwtLaSlNZkLk7iDqcyZz22giiy40b_usZZBXYciEN1U/edit?usp=sharing"",""ชุมพร!N215"")"),0)</f>
        <v>0</v>
      </c>
      <c r="AY76" s="216">
        <f t="shared" ca="1" si="116"/>
        <v>0</v>
      </c>
      <c r="AZ76" s="152">
        <f ca="1">IFERROR(__xludf.DUMMYFUNCTION("IMPORTRANGE(""https://docs.google.com/spreadsheets/d/1GwtLaSlNZkLk7iDqcyZz22giiy40b_usZZBXYciEN1U/edit?usp=sharing"",""ชุมพร!L216"")"),5000)</f>
        <v>5000</v>
      </c>
      <c r="BA76" s="152">
        <f ca="1">IFERROR(__xludf.DUMMYFUNCTION("IMPORTRANGE(""https://docs.google.com/spreadsheets/d/1GwtLaSlNZkLk7iDqcyZz22giiy40b_usZZBXYciEN1U/edit?usp=sharing"",""ชุมพร!N216"")"),0)</f>
        <v>0</v>
      </c>
      <c r="BB76" s="216">
        <f t="shared" ca="1" si="118"/>
        <v>0</v>
      </c>
      <c r="BC76" s="152">
        <f ca="1">IFERROR(__xludf.DUMMYFUNCTION("IMPORTRANGE(""https://docs.google.com/spreadsheets/d/1GwtLaSlNZkLk7iDqcyZz22giiy40b_usZZBXYciEN1U/edit?usp=sharing"",""ชุมพร!L217"")"),0)</f>
        <v>0</v>
      </c>
      <c r="BD76" s="152">
        <f ca="1">IFERROR(__xludf.DUMMYFUNCTION("IMPORTRANGE(""https://docs.google.com/spreadsheets/d/1GwtLaSlNZkLk7iDqcyZz22giiy40b_usZZBXYciEN1U/edit?usp=sharing"",""ชุมพร!N217"")"),0)</f>
        <v>0</v>
      </c>
      <c r="BE76" s="216">
        <f t="shared" ca="1" si="120"/>
        <v>0</v>
      </c>
      <c r="BF76" s="152">
        <f ca="1">IFERROR(__xludf.DUMMYFUNCTION("IMPORTRANGE(""https://docs.google.com/spreadsheets/d/1GwtLaSlNZkLk7iDqcyZz22giiy40b_usZZBXYciEN1U/edit?usp=sharing"",""ชุมพร!Q217"")"),49700)</f>
        <v>49700</v>
      </c>
      <c r="BG76" s="152">
        <f ca="1">IFERROR(__xludf.DUMMYFUNCTION("IMPORTRANGE(""https://docs.google.com/spreadsheets/d/1GwtLaSlNZkLk7iDqcyZz22giiy40b_usZZBXYciEN1U/edit?usp=sharing"",""ชุมพร!S217"")"),0)</f>
        <v>0</v>
      </c>
      <c r="BH76" s="216">
        <f t="shared" ca="1" si="122"/>
        <v>0</v>
      </c>
      <c r="BI76" s="152">
        <f ca="1">IFERROR(__xludf.DUMMYFUNCTION("IMPORTRANGE(""https://docs.google.com/spreadsheets/d/1GwtLaSlNZkLk7iDqcyZz22giiy40b_usZZBXYciEN1U/edit?usp=sharing"",""ชุมพร!I219"")"),1)</f>
        <v>1</v>
      </c>
      <c r="BJ76" s="152">
        <f ca="1">IFERROR(__xludf.DUMMYFUNCTION("IMPORTRANGE(""https://docs.google.com/spreadsheets/d/1GwtLaSlNZkLk7iDqcyZz22giiy40b_usZZBXYciEN1U/edit?usp=sharing"",""ชุมพร!J219"")"),0)</f>
        <v>0</v>
      </c>
      <c r="BK76" s="216">
        <f t="shared" ca="1" si="124"/>
        <v>0</v>
      </c>
      <c r="BL76" s="152">
        <f ca="1">IFERROR(__xludf.DUMMYFUNCTION("IMPORTRANGE(""https://docs.google.com/spreadsheets/d/1GwtLaSlNZkLk7iDqcyZz22giiy40b_usZZBXYciEN1U/edit?usp=sharing"",""ชุมพร!I220"")"),1)</f>
        <v>1</v>
      </c>
      <c r="BM76" s="152">
        <f ca="1">IFERROR(__xludf.DUMMYFUNCTION("IMPORTRANGE(""https://docs.google.com/spreadsheets/d/1GwtLaSlNZkLk7iDqcyZz22giiy40b_usZZBXYciEN1U/edit?usp=sharing"",""ชุมพร!J220"")"),0)</f>
        <v>0</v>
      </c>
      <c r="BN76" s="216">
        <f t="shared" ca="1" si="126"/>
        <v>0</v>
      </c>
      <c r="BO76" s="152">
        <f ca="1">IFERROR(__xludf.DUMMYFUNCTION("IMPORTRANGE(""https://docs.google.com/spreadsheets/d/1GwtLaSlNZkLk7iDqcyZz22giiy40b_usZZBXYciEN1U/edit?usp=sharing"",""ชุมพร!L223"")"),2500)</f>
        <v>2500</v>
      </c>
      <c r="BP76" s="152">
        <f ca="1">IFERROR(__xludf.DUMMYFUNCTION("IMPORTRANGE(""https://docs.google.com/spreadsheets/d/1GwtLaSlNZkLk7iDqcyZz22giiy40b_usZZBXYciEN1U/edit?usp=sharing"",""ชุมพร!N223"")"),0)</f>
        <v>0</v>
      </c>
      <c r="BQ76" s="216">
        <f t="shared" ca="1" si="128"/>
        <v>0</v>
      </c>
      <c r="BR76" s="152">
        <f ca="1">IFERROR(__xludf.DUMMYFUNCTION("IMPORTRANGE(""https://docs.google.com/spreadsheets/d/1GwtLaSlNZkLk7iDqcyZz22giiy40b_usZZBXYciEN1U/edit?usp=sharing"",""ชุมพร!L224"")"),2000)</f>
        <v>2000</v>
      </c>
      <c r="BS76" s="152">
        <f ca="1">IFERROR(__xludf.DUMMYFUNCTION("IMPORTRANGE(""https://docs.google.com/spreadsheets/d/1GwtLaSlNZkLk7iDqcyZz22giiy40b_usZZBXYciEN1U/edit?usp=sharing"",""ชุมพร!N224"")"),0)</f>
        <v>0</v>
      </c>
      <c r="BT76" s="216">
        <f t="shared" ca="1" si="130"/>
        <v>0</v>
      </c>
      <c r="BU76" s="152">
        <f ca="1">IFERROR(__xludf.DUMMYFUNCTION("IMPORTRANGE(""https://docs.google.com/spreadsheets/d/1GwtLaSlNZkLk7iDqcyZz22giiy40b_usZZBXYciEN1U/edit?usp=sharing"",""ชุมพร!I228"")"),20000)</f>
        <v>20000</v>
      </c>
      <c r="BV76" s="152">
        <f ca="1">IFERROR(__xludf.DUMMYFUNCTION("IMPORTRANGE(""https://docs.google.com/spreadsheets/d/1GwtLaSlNZkLk7iDqcyZz22giiy40b_usZZBXYciEN1U/edit?usp=sharing"",""ชุมพร!J228"")"),20000)</f>
        <v>20000</v>
      </c>
      <c r="BW76" s="216">
        <f t="shared" ca="1" si="132"/>
        <v>100</v>
      </c>
      <c r="BX76" s="152">
        <f ca="1">IFERROR(__xludf.DUMMYFUNCTION("IMPORTRANGE(""https://docs.google.com/spreadsheets/d/1GwtLaSlNZkLk7iDqcyZz22giiy40b_usZZBXYciEN1U/edit?usp=sharing"",""ชุมพร!I229"")"),20000)</f>
        <v>20000</v>
      </c>
      <c r="BY76" s="152">
        <f ca="1">IFERROR(__xludf.DUMMYFUNCTION("IMPORTRANGE(""https://docs.google.com/spreadsheets/d/1GwtLaSlNZkLk7iDqcyZz22giiy40b_usZZBXYciEN1U/edit?usp=sharing"",""ชุมพร!J229"")"),0)</f>
        <v>0</v>
      </c>
      <c r="BZ76" s="216">
        <f t="shared" ca="1" si="134"/>
        <v>0</v>
      </c>
      <c r="CA76" s="152">
        <f ca="1">IFERROR(__xludf.DUMMYFUNCTION("IMPORTRANGE(""https://docs.google.com/spreadsheets/d/1GwtLaSlNZkLk7iDqcyZz22giiy40b_usZZBXYciEN1U/edit?usp=sharing"",""ชุมพร!I230"")"),0)</f>
        <v>0</v>
      </c>
      <c r="CB76" s="152">
        <f ca="1">IFERROR(__xludf.DUMMYFUNCTION("IMPORTRANGE(""https://docs.google.com/spreadsheets/d/1GwtLaSlNZkLk7iDqcyZz22giiy40b_usZZBXYciEN1U/edit?usp=sharing"",""ชุมพร!J230"")"),0)</f>
        <v>0</v>
      </c>
      <c r="CC76" s="216">
        <f t="shared" ca="1" si="136"/>
        <v>0</v>
      </c>
      <c r="CD76" s="152">
        <f ca="1">IFERROR(__xludf.DUMMYFUNCTION("IMPORTRANGE(""https://docs.google.com/spreadsheets/d/1GwtLaSlNZkLk7iDqcyZz22giiy40b_usZZBXYciEN1U/edit?usp=sharing"",""ชุมพร!L233"")"),0)</f>
        <v>0</v>
      </c>
      <c r="CE76" s="152">
        <f ca="1">IFERROR(__xludf.DUMMYFUNCTION("IMPORTRANGE(""https://docs.google.com/spreadsheets/d/1GwtLaSlNZkLk7iDqcyZz22giiy40b_usZZBXYciEN1U/edit?usp=sharing"",""ชุมพร!N233"")"),0)</f>
        <v>0</v>
      </c>
      <c r="CF76" s="216">
        <f t="shared" ca="1" si="138"/>
        <v>0</v>
      </c>
      <c r="CG76" s="152">
        <f ca="1">IFERROR(__xludf.DUMMYFUNCTION("IMPORTRANGE(""https://docs.google.com/spreadsheets/d/1GwtLaSlNZkLk7iDqcyZz22giiy40b_usZZBXYciEN1U/edit?usp=sharing"",""ชุมพร!L234"")"),0)</f>
        <v>0</v>
      </c>
      <c r="CH76" s="152">
        <f ca="1">IFERROR(__xludf.DUMMYFUNCTION("IMPORTRANGE(""https://docs.google.com/spreadsheets/d/1GwtLaSlNZkLk7iDqcyZz22giiy40b_usZZBXYciEN1U/edit?usp=sharing"",""ชุมพร!N234"")"),0)</f>
        <v>0</v>
      </c>
      <c r="CI76" s="216">
        <f t="shared" ca="1" si="140"/>
        <v>0</v>
      </c>
      <c r="CJ76" s="152">
        <f ca="1">IFERROR(__xludf.DUMMYFUNCTION("IMPORTRANGE(""https://docs.google.com/spreadsheets/d/1GwtLaSlNZkLk7iDqcyZz22giiy40b_usZZBXYciEN1U/edit?usp=sharing"",""ชุมพร!L235"")"),0)</f>
        <v>0</v>
      </c>
      <c r="CK76" s="152">
        <f ca="1">IFERROR(__xludf.DUMMYFUNCTION("IMPORTRANGE(""https://docs.google.com/spreadsheets/d/1GwtLaSlNZkLk7iDqcyZz22giiy40b_usZZBXYciEN1U/edit?usp=sharing"",""ชุมพร!N235"")"),0)</f>
        <v>0</v>
      </c>
      <c r="CL76" s="216">
        <f t="shared" ca="1" si="142"/>
        <v>0</v>
      </c>
      <c r="CM76" s="251">
        <f ca="1">IFERROR(__xludf.DUMMYFUNCTION("IMPORTRANGE(""https://docs.google.com/spreadsheets/d/1GwtLaSlNZkLk7iDqcyZz22giiy40b_usZZBXYciEN1U/edit?usp=sharing"",""ชุมพร!Q235"")"),0)</f>
        <v>0</v>
      </c>
      <c r="CN76" s="251">
        <f ca="1">IFERROR(__xludf.DUMMYFUNCTION("IMPORTRANGE(""https://docs.google.com/spreadsheets/d/1GwtLaSlNZkLk7iDqcyZz22giiy40b_usZZBXYciEN1U/edit?usp=sharing"",""ชุมพร!S235"")"),0)</f>
        <v>0</v>
      </c>
      <c r="CO76" s="216">
        <f t="shared" ca="1" si="144"/>
        <v>0</v>
      </c>
      <c r="CP76" s="152">
        <f ca="1">IFERROR(__xludf.DUMMYFUNCTION("IMPORTRANGE(""https://docs.google.com/spreadsheets/d/1GwtLaSlNZkLk7iDqcyZz22giiy40b_usZZBXYciEN1U/edit?usp=sharing"",""ชุมพร!L236"")"),0)</f>
        <v>0</v>
      </c>
      <c r="CQ76" s="152">
        <f ca="1">IFERROR(__xludf.DUMMYFUNCTION("IMPORTRANGE(""https://docs.google.com/spreadsheets/d/1GwtLaSlNZkLk7iDqcyZz22giiy40b_usZZBXYciEN1U/edit?usp=sharing"",""ชุมพร!N236"")"),0)</f>
        <v>0</v>
      </c>
      <c r="CR76" s="216">
        <f t="shared" ca="1" si="146"/>
        <v>0</v>
      </c>
      <c r="CS76" s="152">
        <f ca="1">IFERROR(__xludf.DUMMYFUNCTION("IMPORTRANGE(""https://docs.google.com/spreadsheets/d/1GwtLaSlNZkLk7iDqcyZz22giiy40b_usZZBXYciEN1U/edit?usp=sharing"",""ชุมพร!I238"")"),0)</f>
        <v>0</v>
      </c>
      <c r="CT76" s="152">
        <f ca="1">IFERROR(__xludf.DUMMYFUNCTION("IMPORTRANGE(""https://docs.google.com/spreadsheets/d/1GwtLaSlNZkLk7iDqcyZz22giiy40b_usZZBXYciEN1U/edit?usp=sharing"",""ชุมพร!J238"")"),0)</f>
        <v>0</v>
      </c>
      <c r="CU76" s="216">
        <f t="shared" ca="1" si="148"/>
        <v>0</v>
      </c>
      <c r="CV76" s="152">
        <f ca="1">IFERROR(__xludf.DUMMYFUNCTION("IMPORTRANGE(""https://docs.google.com/spreadsheets/d/1GwtLaSlNZkLk7iDqcyZz22giiy40b_usZZBXYciEN1U/edit?usp=sharing"",""ชุมพร!J240"")"),0)</f>
        <v>0</v>
      </c>
      <c r="CW76" s="152">
        <f ca="1">IFERROR(__xludf.DUMMYFUNCTION("IMPORTRANGE(""https://docs.google.com/spreadsheets/d/1GwtLaSlNZkLk7iDqcyZz22giiy40b_usZZBXYciEN1U/edit?usp=sharing"",""ชุมพร!J241"")"),0)</f>
        <v>0</v>
      </c>
    </row>
    <row r="77" spans="1:101" ht="21" customHeight="1" x14ac:dyDescent="0.3">
      <c r="A77" s="147">
        <v>3</v>
      </c>
      <c r="B77" s="148" t="s">
        <v>105</v>
      </c>
      <c r="C77" s="149">
        <f t="shared" ca="1" si="90"/>
        <v>15500</v>
      </c>
      <c r="D77" s="150">
        <f t="shared" ca="1" si="234"/>
        <v>15500</v>
      </c>
      <c r="E77" s="151">
        <f ca="1">IFERROR(__xludf.DUMMYFUNCTION("IMPORTRANGE(""https://docs.google.com/spreadsheets/d/1-uDff_7J0KD5mKrp0Vvzr7lt3OU09vwQwhkpOPPYv2Y/edit?usp=sharing"",""งบพรบ!CV77"")"),0)</f>
        <v>0</v>
      </c>
      <c r="F77" s="151">
        <f ca="1">IFERROR(__xludf.DUMMYFUNCTION("IMPORTRANGE(""https://docs.google.com/spreadsheets/d/1-uDff_7J0KD5mKrp0Vvzr7lt3OU09vwQwhkpOPPYv2Y/edit?usp=sharing"",""งบพรบ!CW77"")"),15500)</f>
        <v>15500</v>
      </c>
      <c r="G77" s="151">
        <f ca="1">IFERROR(__xludf.DUMMYFUNCTION("IMPORTRANGE(""https://docs.google.com/spreadsheets/d/1-uDff_7J0KD5mKrp0Vvzr7lt3OU09vwQwhkpOPPYv2Y/edit?usp=sharing"",""งบพรบ!CX77"")"),0)</f>
        <v>0</v>
      </c>
      <c r="H77" s="151">
        <f ca="1">IFERROR(__xludf.DUMMYFUNCTION("IMPORTRANGE(""https://docs.google.com/spreadsheets/d/1-uDff_7J0KD5mKrp0Vvzr7lt3OU09vwQwhkpOPPYv2Y/edit?usp=sharing"",""งบพรบ!CZ77"")"),26200)</f>
        <v>26200</v>
      </c>
      <c r="I77" s="151">
        <f ca="1">IFERROR(__xludf.DUMMYFUNCTION("IMPORTRANGE(""https://docs.google.com/spreadsheets/d/1-uDff_7J0KD5mKrp0Vvzr7lt3OU09vwQwhkpOPPYv2Y/edit?usp=sharing"",""งบพรบ!DA77"")"),0)</f>
        <v>0</v>
      </c>
      <c r="J77" s="151">
        <f t="shared" ca="1" si="92"/>
        <v>20012</v>
      </c>
      <c r="K77" s="154">
        <f t="shared" ca="1" si="93"/>
        <v>129.10967741935485</v>
      </c>
      <c r="L77" s="151">
        <f ca="1">IFERROR(__xludf.DUMMYFUNCTION("IMPORTRANGE(""https://docs.google.com/spreadsheets/d/1-uDff_7J0KD5mKrp0Vvzr7lt3OU09vwQwhkpOPPYv2Y/edit?usp=sharing"",""งบพรบ!DB77"")"),20012)</f>
        <v>20012</v>
      </c>
      <c r="M77" s="68">
        <f t="shared" ca="1" si="94"/>
        <v>129.10967741935485</v>
      </c>
      <c r="N77" s="68">
        <f t="shared" ca="1" si="95"/>
        <v>76.381679389312978</v>
      </c>
      <c r="O77" s="67">
        <f ca="1">IFERROR(__xludf.DUMMYFUNCTION("IMPORTRANGE(""https://docs.google.com/spreadsheets/d/1-uDff_7J0KD5mKrp0Vvzr7lt3OU09vwQwhkpOPPYv2Y/edit?usp=sharing"",""งบพรบ!DC77"")"),0)</f>
        <v>0</v>
      </c>
      <c r="P77" s="67">
        <f t="shared" ca="1" si="96"/>
        <v>0</v>
      </c>
      <c r="Q77" s="68">
        <f t="shared" ca="1" si="97"/>
        <v>0</v>
      </c>
      <c r="R77" s="67">
        <f ca="1">IFERROR(__xludf.DUMMYFUNCTION("IMPORTRANGE(""https://docs.google.com/spreadsheets/d/16pAz3pOhQEZBhvFNMa5KGgZS6iKWpsKX0pg6tQmwFpo/edit?usp=sharing"",""ตรัง!Q186"")"),14000)</f>
        <v>14000</v>
      </c>
      <c r="S77" s="67">
        <f ca="1">IFERROR(__xludf.DUMMYFUNCTION("IMPORTRANGE(""https://docs.google.com/spreadsheets/d/16pAz3pOhQEZBhvFNMa5KGgZS6iKWpsKX0pg6tQmwFpo/edit?usp=sharing"",""ตรัง!R186"")"),14000)</f>
        <v>14000</v>
      </c>
      <c r="T77" s="67">
        <f ca="1">IFERROR(__xludf.DUMMYFUNCTION("IMPORTRANGE(""https://docs.google.com/spreadsheets/d/16pAz3pOhQEZBhvFNMa5KGgZS6iKWpsKX0pg6tQmwFpo/edit?usp=sharing"",""ตรัง!S186"")"),14000)</f>
        <v>14000</v>
      </c>
      <c r="U77" s="68">
        <f t="shared" ca="1" si="99"/>
        <v>100</v>
      </c>
      <c r="V77" s="68">
        <f t="shared" ca="1" si="100"/>
        <v>100</v>
      </c>
      <c r="W77" s="152">
        <f ca="1">IFERROR(__xludf.DUMMYFUNCTION("IMPORTRANGE(""https://docs.google.com/spreadsheets/d/16pAz3pOhQEZBhvFNMa5KGgZS6iKWpsKX0pg6tQmwFpo/edit?usp=sharing"",""ตรัง!L196"")"),6000)</f>
        <v>6000</v>
      </c>
      <c r="X77" s="152">
        <f ca="1">IFERROR(__xludf.DUMMYFUNCTION("IMPORTRANGE(""https://docs.google.com/spreadsheets/d/16pAz3pOhQEZBhvFNMa5KGgZS6iKWpsKX0pg6tQmwFpo/edit?usp=sharing"",""ตรัง!N196"")"),1440)</f>
        <v>1440</v>
      </c>
      <c r="Y77" s="216">
        <f t="shared" ca="1" si="102"/>
        <v>24</v>
      </c>
      <c r="Z77" s="152">
        <f ca="1">IFERROR(__xludf.DUMMYFUNCTION("IMPORTRANGE(""https://docs.google.com/spreadsheets/d/16pAz3pOhQEZBhvFNMa5KGgZS6iKWpsKX0pg6tQmwFpo/edit?usp=sharing"",""ตรัง!I198"")"),4)</f>
        <v>4</v>
      </c>
      <c r="AA77" s="152">
        <f ca="1">IFERROR(__xludf.DUMMYFUNCTION("IMPORTRANGE(""https://docs.google.com/spreadsheets/d/16pAz3pOhQEZBhvFNMa5KGgZS6iKWpsKX0pg6tQmwFpo/edit?usp=sharing"",""ตรัง!J198"")"),4)</f>
        <v>4</v>
      </c>
      <c r="AB77" s="216">
        <f t="shared" ca="1" si="104"/>
        <v>100</v>
      </c>
      <c r="AC77" s="152">
        <f ca="1">IFERROR(__xludf.DUMMYFUNCTION("IMPORTRANGE(""https://docs.google.com/spreadsheets/d/16pAz3pOhQEZBhvFNMa5KGgZS6iKWpsKX0pg6tQmwFpo/edit?usp=sharing"",""ตรัง!J199"")"),136)</f>
        <v>136</v>
      </c>
      <c r="AD77" s="152">
        <f ca="1">IFERROR(__xludf.DUMMYFUNCTION("IMPORTRANGE(""https://docs.google.com/spreadsheets/d/16pAz3pOhQEZBhvFNMa5KGgZS6iKWpsKX0pg6tQmwFpo/edit?usp=sharing"",""ตรัง!J200"")"),136)</f>
        <v>136</v>
      </c>
      <c r="AE77" s="152">
        <f ca="1">IFERROR(__xludf.DUMMYFUNCTION("IMPORTRANGE(""https://docs.google.com/spreadsheets/d/16pAz3pOhQEZBhvFNMa5KGgZS6iKWpsKX0pg6tQmwFpo/edit?usp=sharing"",""ตรัง!J201"")"),0)</f>
        <v>0</v>
      </c>
      <c r="AF77" s="152">
        <f ca="1">IFERROR(__xludf.DUMMYFUNCTION("IMPORTRANGE(""https://docs.google.com/spreadsheets/d/16pAz3pOhQEZBhvFNMa5KGgZS6iKWpsKX0pg6tQmwFpo/edit?usp=sharing"",""ตรัง!L204"")"),1000)</f>
        <v>1000</v>
      </c>
      <c r="AG77" s="152">
        <f ca="1">IFERROR(__xludf.DUMMYFUNCTION("IMPORTRANGE(""https://docs.google.com/spreadsheets/d/16pAz3pOhQEZBhvFNMa5KGgZS6iKWpsKX0pg6tQmwFpo/edit?usp=sharing"",""ตรัง!N204"")"),1000)</f>
        <v>1000</v>
      </c>
      <c r="AH77" s="216">
        <f t="shared" ca="1" si="106"/>
        <v>100</v>
      </c>
      <c r="AI77" s="152">
        <f ca="1">IFERROR(__xludf.DUMMYFUNCTION("IMPORTRANGE(""https://docs.google.com/spreadsheets/d/16pAz3pOhQEZBhvFNMa5KGgZS6iKWpsKX0pg6tQmwFpo/edit?usp=sharing"",""ตรัง!L206"")"),0)</f>
        <v>0</v>
      </c>
      <c r="AJ77" s="152">
        <f ca="1">IFERROR(__xludf.DUMMYFUNCTION("IMPORTRANGE(""https://docs.google.com/spreadsheets/d/16pAz3pOhQEZBhvFNMa5KGgZS6iKWpsKX0pg6tQmwFpo/edit?usp=sharing"",""ตรัง!N206"")"),0)</f>
        <v>0</v>
      </c>
      <c r="AK77" s="216">
        <f t="shared" ca="1" si="108"/>
        <v>0</v>
      </c>
      <c r="AL77" s="152">
        <f ca="1">IFERROR(__xludf.DUMMYFUNCTION("IMPORTRANGE(""https://docs.google.com/spreadsheets/d/16pAz3pOhQEZBhvFNMa5KGgZS6iKWpsKX0pg6tQmwFpo/edit?usp=sharing"",""ตรัง!Q206"")"),14000)</f>
        <v>14000</v>
      </c>
      <c r="AM77" s="152">
        <f ca="1">IFERROR(__xludf.DUMMYFUNCTION("IMPORTRANGE(""https://docs.google.com/spreadsheets/d/16pAz3pOhQEZBhvFNMa5KGgZS6iKWpsKX0pg6tQmwFpo/edit?usp=sharing"",""ตรัง!S206"")"),14000)</f>
        <v>14000</v>
      </c>
      <c r="AN77" s="216">
        <f t="shared" ca="1" si="110"/>
        <v>100</v>
      </c>
      <c r="AO77" s="152">
        <f ca="1">IFERROR(__xludf.DUMMYFUNCTION("IMPORTRANGE(""https://docs.google.com/spreadsheets/d/16pAz3pOhQEZBhvFNMa5KGgZS6iKWpsKX0pg6tQmwFpo/edit?usp=sharing"",""ตรัง!L207"")"),4000)</f>
        <v>4000</v>
      </c>
      <c r="AP77" s="152">
        <f ca="1">IFERROR(__xludf.DUMMYFUNCTION("IMPORTRANGE(""https://docs.google.com/spreadsheets/d/16pAz3pOhQEZBhvFNMa5KGgZS6iKWpsKX0pg6tQmwFpo/edit?usp=sharing"",""ตรัง!N207"")"),4000)</f>
        <v>4000</v>
      </c>
      <c r="AQ77" s="216">
        <f t="shared" ca="1" si="112"/>
        <v>100</v>
      </c>
      <c r="AR77" s="152">
        <f ca="1">IFERROR(__xludf.DUMMYFUNCTION("IMPORTRANGE(""https://docs.google.com/spreadsheets/d/16pAz3pOhQEZBhvFNMa5KGgZS6iKWpsKX0pg6tQmwFpo/edit?usp=sharing"",""ตรัง!I209"")"),1)</f>
        <v>1</v>
      </c>
      <c r="AS77" s="152">
        <f ca="1">IFERROR(__xludf.DUMMYFUNCTION("IMPORTRANGE(""https://docs.google.com/spreadsheets/d/16pAz3pOhQEZBhvFNMa5KGgZS6iKWpsKX0pg6tQmwFpo/edit?usp=sharing"",""ตรัง!J209"")"),1)</f>
        <v>1</v>
      </c>
      <c r="AT77" s="216">
        <f t="shared" ca="1" si="114"/>
        <v>100</v>
      </c>
      <c r="AU77" s="152">
        <f ca="1">IFERROR(__xludf.DUMMYFUNCTION("IMPORTRANGE(""https://docs.google.com/spreadsheets/d/16pAz3pOhQEZBhvFNMa5KGgZS6iKWpsKX0pg6tQmwFpo/edit?usp=sharing"",""ตรัง!J211"")"),1)</f>
        <v>1</v>
      </c>
      <c r="AV77" s="152">
        <f ca="1">IFERROR(__xludf.DUMMYFUNCTION("IMPORTRANGE(""https://docs.google.com/spreadsheets/d/16pAz3pOhQEZBhvFNMa5KGgZS6iKWpsKX0pg6tQmwFpo/edit?usp=sharing"",""ตรัง!J212"")"),0)</f>
        <v>0</v>
      </c>
      <c r="AW77" s="152">
        <f ca="1">IFERROR(__xludf.DUMMYFUNCTION("IMPORTRANGE(""https://docs.google.com/spreadsheets/d/16pAz3pOhQEZBhvFNMa5KGgZS6iKWpsKX0pg6tQmwFpo/edit?usp=sharing"",""ตรัง!L215"")"),0)</f>
        <v>0</v>
      </c>
      <c r="AX77" s="152">
        <f ca="1">IFERROR(__xludf.DUMMYFUNCTION("IMPORTRANGE(""https://docs.google.com/spreadsheets/d/16pAz3pOhQEZBhvFNMa5KGgZS6iKWpsKX0pg6tQmwFpo/edit?usp=sharing"",""ตรัง!N215"")"),0)</f>
        <v>0</v>
      </c>
      <c r="AY77" s="216">
        <f t="shared" ca="1" si="116"/>
        <v>0</v>
      </c>
      <c r="AZ77" s="152">
        <f ca="1">IFERROR(__xludf.DUMMYFUNCTION("IMPORTRANGE(""https://docs.google.com/spreadsheets/d/16pAz3pOhQEZBhvFNMa5KGgZS6iKWpsKX0pg6tQmwFpo/edit?usp=sharing"",""ตรัง!L216"")"),0)</f>
        <v>0</v>
      </c>
      <c r="BA77" s="152">
        <f ca="1">IFERROR(__xludf.DUMMYFUNCTION("IMPORTRANGE(""https://docs.google.com/spreadsheets/d/16pAz3pOhQEZBhvFNMa5KGgZS6iKWpsKX0pg6tQmwFpo/edit?usp=sharing"",""ตรัง!N216"")"),0)</f>
        <v>0</v>
      </c>
      <c r="BB77" s="216">
        <f t="shared" ca="1" si="118"/>
        <v>0</v>
      </c>
      <c r="BC77" s="152">
        <f ca="1">IFERROR(__xludf.DUMMYFUNCTION("IMPORTRANGE(""https://docs.google.com/spreadsheets/d/16pAz3pOhQEZBhvFNMa5KGgZS6iKWpsKX0pg6tQmwFpo/edit?usp=sharing"",""ตรัง!L217"")"),0)</f>
        <v>0</v>
      </c>
      <c r="BD77" s="152">
        <f ca="1">IFERROR(__xludf.DUMMYFUNCTION("IMPORTRANGE(""https://docs.google.com/spreadsheets/d/16pAz3pOhQEZBhvFNMa5KGgZS6iKWpsKX0pg6tQmwFpo/edit?usp=sharing"",""ตรัง!N217"")"),0)</f>
        <v>0</v>
      </c>
      <c r="BE77" s="216">
        <f t="shared" ca="1" si="120"/>
        <v>0</v>
      </c>
      <c r="BF77" s="152">
        <f ca="1">IFERROR(__xludf.DUMMYFUNCTION("IMPORTRANGE(""https://docs.google.com/spreadsheets/d/16pAz3pOhQEZBhvFNMa5KGgZS6iKWpsKX0pg6tQmwFpo/edit?usp=sharing"",""ตรัง!Q217"")"),0)</f>
        <v>0</v>
      </c>
      <c r="BG77" s="152">
        <f ca="1">IFERROR(__xludf.DUMMYFUNCTION("IMPORTRANGE(""https://docs.google.com/spreadsheets/d/16pAz3pOhQEZBhvFNMa5KGgZS6iKWpsKX0pg6tQmwFpo/edit?usp=sharing"",""ตรัง!S217"")"),0)</f>
        <v>0</v>
      </c>
      <c r="BH77" s="216">
        <f t="shared" ca="1" si="122"/>
        <v>0</v>
      </c>
      <c r="BI77" s="152">
        <f ca="1">IFERROR(__xludf.DUMMYFUNCTION("IMPORTRANGE(""https://docs.google.com/spreadsheets/d/16pAz3pOhQEZBhvFNMa5KGgZS6iKWpsKX0pg6tQmwFpo/edit?usp=sharing"",""ตรัง!I219"")"),0)</f>
        <v>0</v>
      </c>
      <c r="BJ77" s="152">
        <f ca="1">IFERROR(__xludf.DUMMYFUNCTION("IMPORTRANGE(""https://docs.google.com/spreadsheets/d/16pAz3pOhQEZBhvFNMa5KGgZS6iKWpsKX0pg6tQmwFpo/edit?usp=sharing"",""ตรัง!J219"")"),0)</f>
        <v>0</v>
      </c>
      <c r="BK77" s="216">
        <f t="shared" ca="1" si="124"/>
        <v>0</v>
      </c>
      <c r="BL77" s="152">
        <f ca="1">IFERROR(__xludf.DUMMYFUNCTION("IMPORTRANGE(""https://docs.google.com/spreadsheets/d/16pAz3pOhQEZBhvFNMa5KGgZS6iKWpsKX0pg6tQmwFpo/edit?usp=sharing"",""ตรัง!I220"")"),0)</f>
        <v>0</v>
      </c>
      <c r="BM77" s="152">
        <f ca="1">IFERROR(__xludf.DUMMYFUNCTION("IMPORTRANGE(""https://docs.google.com/spreadsheets/d/16pAz3pOhQEZBhvFNMa5KGgZS6iKWpsKX0pg6tQmwFpo/edit?usp=sharing"",""ตรัง!J220"")"),0)</f>
        <v>0</v>
      </c>
      <c r="BN77" s="216">
        <f t="shared" ca="1" si="126"/>
        <v>0</v>
      </c>
      <c r="BO77" s="152">
        <f ca="1">IFERROR(__xludf.DUMMYFUNCTION("IMPORTRANGE(""https://docs.google.com/spreadsheets/d/16pAz3pOhQEZBhvFNMa5KGgZS6iKWpsKX0pg6tQmwFpo/edit?usp=sharing"",""ตรัง!L223"")"),2500)</f>
        <v>2500</v>
      </c>
      <c r="BP77" s="152">
        <f ca="1">IFERROR(__xludf.DUMMYFUNCTION("IMPORTRANGE(""https://docs.google.com/spreadsheets/d/16pAz3pOhQEZBhvFNMa5KGgZS6iKWpsKX0pg6tQmwFpo/edit?usp=sharing"",""ตรัง!N223"")"),0)</f>
        <v>0</v>
      </c>
      <c r="BQ77" s="216">
        <f t="shared" ca="1" si="128"/>
        <v>0</v>
      </c>
      <c r="BR77" s="152">
        <f ca="1">IFERROR(__xludf.DUMMYFUNCTION("IMPORTRANGE(""https://docs.google.com/spreadsheets/d/16pAz3pOhQEZBhvFNMa5KGgZS6iKWpsKX0pg6tQmwFpo/edit?usp=sharing"",""ตรัง!L224"")"),2000)</f>
        <v>2000</v>
      </c>
      <c r="BS77" s="152">
        <f ca="1">IFERROR(__xludf.DUMMYFUNCTION("IMPORTRANGE(""https://docs.google.com/spreadsheets/d/16pAz3pOhQEZBhvFNMa5KGgZS6iKWpsKX0pg6tQmwFpo/edit?usp=sharing"",""ตรัง!N224"")"),2000)</f>
        <v>2000</v>
      </c>
      <c r="BT77" s="216">
        <f t="shared" ca="1" si="130"/>
        <v>100</v>
      </c>
      <c r="BU77" s="152">
        <f ca="1">IFERROR(__xludf.DUMMYFUNCTION("IMPORTRANGE(""https://docs.google.com/spreadsheets/d/16pAz3pOhQEZBhvFNMa5KGgZS6iKWpsKX0pg6tQmwFpo/edit?usp=sharing"",""ตรัง!I228"")"),10000)</f>
        <v>10000</v>
      </c>
      <c r="BV77" s="152">
        <f ca="1">IFERROR(__xludf.DUMMYFUNCTION("IMPORTRANGE(""https://docs.google.com/spreadsheets/d/16pAz3pOhQEZBhvFNMa5KGgZS6iKWpsKX0pg6tQmwFpo/edit?usp=sharing"",""ตรัง!J228"")"),10000)</f>
        <v>10000</v>
      </c>
      <c r="BW77" s="216">
        <f t="shared" ca="1" si="132"/>
        <v>100</v>
      </c>
      <c r="BX77" s="152">
        <f ca="1">IFERROR(__xludf.DUMMYFUNCTION("IMPORTRANGE(""https://docs.google.com/spreadsheets/d/16pAz3pOhQEZBhvFNMa5KGgZS6iKWpsKX0pg6tQmwFpo/edit?usp=sharing"",""ตรัง!I229"")"),10000)</f>
        <v>10000</v>
      </c>
      <c r="BY77" s="152">
        <f ca="1">IFERROR(__xludf.DUMMYFUNCTION("IMPORTRANGE(""https://docs.google.com/spreadsheets/d/16pAz3pOhQEZBhvFNMa5KGgZS6iKWpsKX0pg6tQmwFpo/edit?usp=sharing"",""ตรัง!J229"")"),10000)</f>
        <v>10000</v>
      </c>
      <c r="BZ77" s="216">
        <f t="shared" ca="1" si="134"/>
        <v>100</v>
      </c>
      <c r="CA77" s="152">
        <f ca="1">IFERROR(__xludf.DUMMYFUNCTION("IMPORTRANGE(""https://docs.google.com/spreadsheets/d/16pAz3pOhQEZBhvFNMa5KGgZS6iKWpsKX0pg6tQmwFpo/edit?usp=sharing"",""ตรัง!I230"")"),0)</f>
        <v>0</v>
      </c>
      <c r="CB77" s="152">
        <f ca="1">IFERROR(__xludf.DUMMYFUNCTION("IMPORTRANGE(""https://docs.google.com/spreadsheets/d/16pAz3pOhQEZBhvFNMa5KGgZS6iKWpsKX0pg6tQmwFpo/edit?usp=sharing"",""ตรัง!J230"")"),0)</f>
        <v>0</v>
      </c>
      <c r="CC77" s="216">
        <f t="shared" ca="1" si="136"/>
        <v>0</v>
      </c>
      <c r="CD77" s="152">
        <f ca="1">IFERROR(__xludf.DUMMYFUNCTION("IMPORTRANGE(""https://docs.google.com/spreadsheets/d/16pAz3pOhQEZBhvFNMa5KGgZS6iKWpsKX0pg6tQmwFpo/edit?usp=sharing"",""ตรัง!L233"")"),0)</f>
        <v>0</v>
      </c>
      <c r="CE77" s="152">
        <f ca="1">IFERROR(__xludf.DUMMYFUNCTION("IMPORTRANGE(""https://docs.google.com/spreadsheets/d/16pAz3pOhQEZBhvFNMa5KGgZS6iKWpsKX0pg6tQmwFpo/edit?usp=sharing"",""ตรัง!N233"")"),0)</f>
        <v>0</v>
      </c>
      <c r="CF77" s="216">
        <f t="shared" ca="1" si="138"/>
        <v>0</v>
      </c>
      <c r="CG77" s="152">
        <f ca="1">IFERROR(__xludf.DUMMYFUNCTION("IMPORTRANGE(""https://docs.google.com/spreadsheets/d/16pAz3pOhQEZBhvFNMa5KGgZS6iKWpsKX0pg6tQmwFpo/edit?usp=sharing"",""ตรัง!L234"")"),0)</f>
        <v>0</v>
      </c>
      <c r="CH77" s="152">
        <f ca="1">IFERROR(__xludf.DUMMYFUNCTION("IMPORTRANGE(""https://docs.google.com/spreadsheets/d/16pAz3pOhQEZBhvFNMa5KGgZS6iKWpsKX0pg6tQmwFpo/edit?usp=sharing"",""ตรัง!N234"")"),0)</f>
        <v>0</v>
      </c>
      <c r="CI77" s="216">
        <f t="shared" ca="1" si="140"/>
        <v>0</v>
      </c>
      <c r="CJ77" s="152">
        <f ca="1">IFERROR(__xludf.DUMMYFUNCTION("IMPORTRANGE(""https://docs.google.com/spreadsheets/d/16pAz3pOhQEZBhvFNMa5KGgZS6iKWpsKX0pg6tQmwFpo/edit?usp=sharing"",""ตรัง!L235"")"),0)</f>
        <v>0</v>
      </c>
      <c r="CK77" s="152">
        <f ca="1">IFERROR(__xludf.DUMMYFUNCTION("IMPORTRANGE(""https://docs.google.com/spreadsheets/d/16pAz3pOhQEZBhvFNMa5KGgZS6iKWpsKX0pg6tQmwFpo/edit?usp=sharing"",""ตรัง!N235"")"),0)</f>
        <v>0</v>
      </c>
      <c r="CL77" s="216">
        <f t="shared" ca="1" si="142"/>
        <v>0</v>
      </c>
      <c r="CM77" s="251">
        <f ca="1">IFERROR(__xludf.DUMMYFUNCTION("IMPORTRANGE(""https://docs.google.com/spreadsheets/d/16pAz3pOhQEZBhvFNMa5KGgZS6iKWpsKX0pg6tQmwFpo/edit?usp=sharing"",""ตรัง!Q235"")"),0)</f>
        <v>0</v>
      </c>
      <c r="CN77" s="251">
        <f ca="1">IFERROR(__xludf.DUMMYFUNCTION("IMPORTRANGE(""https://docs.google.com/spreadsheets/d/16pAz3pOhQEZBhvFNMa5KGgZS6iKWpsKX0pg6tQmwFpo/edit?usp=sharing"",""ตรัง!S235"")"),0)</f>
        <v>0</v>
      </c>
      <c r="CO77" s="216">
        <f t="shared" ca="1" si="144"/>
        <v>0</v>
      </c>
      <c r="CP77" s="152">
        <f ca="1">IFERROR(__xludf.DUMMYFUNCTION("IMPORTRANGE(""https://docs.google.com/spreadsheets/d/16pAz3pOhQEZBhvFNMa5KGgZS6iKWpsKX0pg6tQmwFpo/edit?usp=sharing"",""ตรัง!L236"")"),0)</f>
        <v>0</v>
      </c>
      <c r="CQ77" s="152">
        <f ca="1">IFERROR(__xludf.DUMMYFUNCTION("IMPORTRANGE(""https://docs.google.com/spreadsheets/d/16pAz3pOhQEZBhvFNMa5KGgZS6iKWpsKX0pg6tQmwFpo/edit?usp=sharing"",""ตรัง!N236"")"),0)</f>
        <v>0</v>
      </c>
      <c r="CR77" s="216">
        <f t="shared" ca="1" si="146"/>
        <v>0</v>
      </c>
      <c r="CS77" s="152">
        <f ca="1">IFERROR(__xludf.DUMMYFUNCTION("IMPORTRANGE(""https://docs.google.com/spreadsheets/d/16pAz3pOhQEZBhvFNMa5KGgZS6iKWpsKX0pg6tQmwFpo/edit?usp=sharing"",""ตรัง!I238"")"),0)</f>
        <v>0</v>
      </c>
      <c r="CT77" s="152">
        <f ca="1">IFERROR(__xludf.DUMMYFUNCTION("IMPORTRANGE(""https://docs.google.com/spreadsheets/d/16pAz3pOhQEZBhvFNMa5KGgZS6iKWpsKX0pg6tQmwFpo/edit?usp=sharing"",""ตรัง!J238"")"),0)</f>
        <v>0</v>
      </c>
      <c r="CU77" s="216">
        <f t="shared" ca="1" si="148"/>
        <v>0</v>
      </c>
      <c r="CV77" s="152">
        <f ca="1">IFERROR(__xludf.DUMMYFUNCTION("IMPORTRANGE(""https://docs.google.com/spreadsheets/d/16pAz3pOhQEZBhvFNMa5KGgZS6iKWpsKX0pg6tQmwFpo/edit?usp=sharing"",""ตรัง!J240"")"),0)</f>
        <v>0</v>
      </c>
      <c r="CW77" s="152">
        <f ca="1">IFERROR(__xludf.DUMMYFUNCTION("IMPORTRANGE(""https://docs.google.com/spreadsheets/d/16pAz3pOhQEZBhvFNMa5KGgZS6iKWpsKX0pg6tQmwFpo/edit?usp=sharing"",""ตรัง!J241"")"),0)</f>
        <v>0</v>
      </c>
    </row>
    <row r="78" spans="1:101" ht="21" customHeight="1" x14ac:dyDescent="0.3">
      <c r="A78" s="147">
        <v>4</v>
      </c>
      <c r="B78" s="148" t="s">
        <v>106</v>
      </c>
      <c r="C78" s="149">
        <f t="shared" ca="1" si="90"/>
        <v>456100</v>
      </c>
      <c r="D78" s="150">
        <f t="shared" ca="1" si="234"/>
        <v>456100</v>
      </c>
      <c r="E78" s="151">
        <f ca="1">IFERROR(__xludf.DUMMYFUNCTION("IMPORTRANGE(""https://docs.google.com/spreadsheets/d/1-uDff_7J0KD5mKrp0Vvzr7lt3OU09vwQwhkpOPPYv2Y/edit?usp=sharing"",""งบพรบ!CV78"")"),0)</f>
        <v>0</v>
      </c>
      <c r="F78" s="151">
        <f ca="1">IFERROR(__xludf.DUMMYFUNCTION("IMPORTRANGE(""https://docs.google.com/spreadsheets/d/1-uDff_7J0KD5mKrp0Vvzr7lt3OU09vwQwhkpOPPYv2Y/edit?usp=sharing"",""งบพรบ!CW78"")"),456100)</f>
        <v>456100</v>
      </c>
      <c r="G78" s="151">
        <f ca="1">IFERROR(__xludf.DUMMYFUNCTION("IMPORTRANGE(""https://docs.google.com/spreadsheets/d/1-uDff_7J0KD5mKrp0Vvzr7lt3OU09vwQwhkpOPPYv2Y/edit?usp=sharing"",""งบพรบ!CX78"")"),0)</f>
        <v>0</v>
      </c>
      <c r="H78" s="151">
        <f ca="1">IFERROR(__xludf.DUMMYFUNCTION("IMPORTRANGE(""https://docs.google.com/spreadsheets/d/1-uDff_7J0KD5mKrp0Vvzr7lt3OU09vwQwhkpOPPYv2Y/edit?usp=sharing"",""งบพรบ!CZ78"")"),470000)</f>
        <v>470000</v>
      </c>
      <c r="I78" s="151">
        <f ca="1">IFERROR(__xludf.DUMMYFUNCTION("IMPORTRANGE(""https://docs.google.com/spreadsheets/d/1-uDff_7J0KD5mKrp0Vvzr7lt3OU09vwQwhkpOPPYv2Y/edit?usp=sharing"",""งบพรบ!DA78"")"),0)</f>
        <v>0</v>
      </c>
      <c r="J78" s="151">
        <f t="shared" ca="1" si="92"/>
        <v>308727.40999999997</v>
      </c>
      <c r="K78" s="154">
        <f t="shared" ca="1" si="93"/>
        <v>67.688535408901544</v>
      </c>
      <c r="L78" s="151">
        <f ca="1">IFERROR(__xludf.DUMMYFUNCTION("IMPORTRANGE(""https://docs.google.com/spreadsheets/d/1-uDff_7J0KD5mKrp0Vvzr7lt3OU09vwQwhkpOPPYv2Y/edit?usp=sharing"",""งบพรบ!DB78"")"),308727.41)</f>
        <v>308727.40999999997</v>
      </c>
      <c r="M78" s="68">
        <f t="shared" ca="1" si="94"/>
        <v>67.688535408901544</v>
      </c>
      <c r="N78" s="68">
        <f t="shared" ca="1" si="95"/>
        <v>65.686682978723397</v>
      </c>
      <c r="O78" s="67">
        <f ca="1">IFERROR(__xludf.DUMMYFUNCTION("IMPORTRANGE(""https://docs.google.com/spreadsheets/d/1-uDff_7J0KD5mKrp0Vvzr7lt3OU09vwQwhkpOPPYv2Y/edit?usp=sharing"",""งบพรบ!DC78"")"),0)</f>
        <v>0</v>
      </c>
      <c r="P78" s="67">
        <f t="shared" ca="1" si="96"/>
        <v>0</v>
      </c>
      <c r="Q78" s="68">
        <f t="shared" ca="1" si="97"/>
        <v>0</v>
      </c>
      <c r="R78" s="67">
        <f ca="1">IFERROR(__xludf.DUMMYFUNCTION("IMPORTRANGE(""https://docs.google.com/spreadsheets/d/1Dj4jcHCTV9JXKCaMoheSXS52JE63kDKyG7bPXnFogHk/edit?usp=sharing"",""นครศรีธรรมราช!Q186"")"),141400)</f>
        <v>141400</v>
      </c>
      <c r="S78" s="67">
        <f ca="1">IFERROR(__xludf.DUMMYFUNCTION("IMPORTRANGE(""https://docs.google.com/spreadsheets/d/1Dj4jcHCTV9JXKCaMoheSXS52JE63kDKyG7bPXnFogHk/edit?usp=sharing"",""นครศรีธรรมราช!R186"")"),141400)</f>
        <v>141400</v>
      </c>
      <c r="T78" s="67">
        <f ca="1">IFERROR(__xludf.DUMMYFUNCTION("IMPORTRANGE(""https://docs.google.com/spreadsheets/d/1Dj4jcHCTV9JXKCaMoheSXS52JE63kDKyG7bPXnFogHk/edit?usp=sharing"",""นครศรีธรรมราช!S186"")"),0)</f>
        <v>0</v>
      </c>
      <c r="U78" s="68">
        <f t="shared" ca="1" si="99"/>
        <v>0</v>
      </c>
      <c r="V78" s="68">
        <f t="shared" ca="1" si="100"/>
        <v>0</v>
      </c>
      <c r="W78" s="152">
        <f ca="1">IFERROR(__xludf.DUMMYFUNCTION("IMPORTRANGE(""https://docs.google.com/spreadsheets/d/1Dj4jcHCTV9JXKCaMoheSXS52JE63kDKyG7bPXnFogHk/edit?usp=sharing"",""นครศรีธรรมราช!L196"")"),6000)</f>
        <v>6000</v>
      </c>
      <c r="X78" s="152">
        <f ca="1">IFERROR(__xludf.DUMMYFUNCTION("IMPORTRANGE(""https://docs.google.com/spreadsheets/d/1Dj4jcHCTV9JXKCaMoheSXS52JE63kDKyG7bPXnFogHk/edit?usp=sharing"",""นครศรีธรรมราช!N196"")"),6000)</f>
        <v>6000</v>
      </c>
      <c r="Y78" s="216">
        <f t="shared" ca="1" si="102"/>
        <v>100</v>
      </c>
      <c r="Z78" s="152">
        <f ca="1">IFERROR(__xludf.DUMMYFUNCTION("IMPORTRANGE(""https://docs.google.com/spreadsheets/d/1Dj4jcHCTV9JXKCaMoheSXS52JE63kDKyG7bPXnFogHk/edit?usp=sharing"",""นครศรีธรรมราช!I198"")"),4)</f>
        <v>4</v>
      </c>
      <c r="AA78" s="152">
        <f ca="1">IFERROR(__xludf.DUMMYFUNCTION("IMPORTRANGE(""https://docs.google.com/spreadsheets/d/1Dj4jcHCTV9JXKCaMoheSXS52JE63kDKyG7bPXnFogHk/edit?usp=sharing"",""นครศรีธรรมราช!J198"")"),4)</f>
        <v>4</v>
      </c>
      <c r="AB78" s="216">
        <f t="shared" ca="1" si="104"/>
        <v>100</v>
      </c>
      <c r="AC78" s="152">
        <f ca="1">IFERROR(__xludf.DUMMYFUNCTION("IMPORTRANGE(""https://docs.google.com/spreadsheets/d/1Dj4jcHCTV9JXKCaMoheSXS52JE63kDKyG7bPXnFogHk/edit?usp=sharing"",""นครศรีธรรมราช!J199"")"),180)</f>
        <v>180</v>
      </c>
      <c r="AD78" s="152">
        <f ca="1">IFERROR(__xludf.DUMMYFUNCTION("IMPORTRANGE(""https://docs.google.com/spreadsheets/d/1Dj4jcHCTV9JXKCaMoheSXS52JE63kDKyG7bPXnFogHk/edit?usp=sharing"",""นครศรีธรรมราช!J200"")"),180)</f>
        <v>180</v>
      </c>
      <c r="AE78" s="152">
        <f ca="1">IFERROR(__xludf.DUMMYFUNCTION("IMPORTRANGE(""https://docs.google.com/spreadsheets/d/1Dj4jcHCTV9JXKCaMoheSXS52JE63kDKyG7bPXnFogHk/edit?usp=sharing"",""นครศรีธรรมราช!J201"")"),0)</f>
        <v>0</v>
      </c>
      <c r="AF78" s="152">
        <f ca="1">IFERROR(__xludf.DUMMYFUNCTION("IMPORTRANGE(""https://docs.google.com/spreadsheets/d/1Dj4jcHCTV9JXKCaMoheSXS52JE63kDKyG7bPXnFogHk/edit?usp=sharing"",""นครศรีธรรมราช!L204"")"),3000)</f>
        <v>3000</v>
      </c>
      <c r="AG78" s="152">
        <f ca="1">IFERROR(__xludf.DUMMYFUNCTION("IMPORTRANGE(""https://docs.google.com/spreadsheets/d/1Dj4jcHCTV9JXKCaMoheSXS52JE63kDKyG7bPXnFogHk/edit?usp=sharing"",""นครศรีธรรมราช!N204"")"),0)</f>
        <v>0</v>
      </c>
      <c r="AH78" s="216">
        <f t="shared" ca="1" si="106"/>
        <v>0</v>
      </c>
      <c r="AI78" s="152">
        <f ca="1">IFERROR(__xludf.DUMMYFUNCTION("IMPORTRANGE(""https://docs.google.com/spreadsheets/d/1Dj4jcHCTV9JXKCaMoheSXS52JE63kDKyG7bPXnFogHk/edit?usp=sharing"",""นครศรีธรรมราช!L206"")"),0)</f>
        <v>0</v>
      </c>
      <c r="AJ78" s="152">
        <f ca="1">IFERROR(__xludf.DUMMYFUNCTION("IMPORTRANGE(""https://docs.google.com/spreadsheets/d/1Dj4jcHCTV9JXKCaMoheSXS52JE63kDKyG7bPXnFogHk/edit?usp=sharing"",""นครศรีธรรมราช!N206"")"),0)</f>
        <v>0</v>
      </c>
      <c r="AK78" s="216">
        <f t="shared" ca="1" si="108"/>
        <v>0</v>
      </c>
      <c r="AL78" s="152">
        <f ca="1">IFERROR(__xludf.DUMMYFUNCTION("IMPORTRANGE(""https://docs.google.com/spreadsheets/d/1Dj4jcHCTV9JXKCaMoheSXS52JE63kDKyG7bPXnFogHk/edit?usp=sharing"",""นครศรีธรรมราช!Q206"")"),42000)</f>
        <v>42000</v>
      </c>
      <c r="AM78" s="152">
        <f ca="1">IFERROR(__xludf.DUMMYFUNCTION("IMPORTRANGE(""https://docs.google.com/spreadsheets/d/1Dj4jcHCTV9JXKCaMoheSXS52JE63kDKyG7bPXnFogHk/edit?usp=sharing"",""นครศรีธรรมราช!S206"")"),0)</f>
        <v>0</v>
      </c>
      <c r="AN78" s="216">
        <f t="shared" ca="1" si="110"/>
        <v>0</v>
      </c>
      <c r="AO78" s="152">
        <f ca="1">IFERROR(__xludf.DUMMYFUNCTION("IMPORTRANGE(""https://docs.google.com/spreadsheets/d/1Dj4jcHCTV9JXKCaMoheSXS52JE63kDKyG7bPXnFogHk/edit?usp=sharing"",""นครศรีธรรมราช!L207"")"),17000)</f>
        <v>17000</v>
      </c>
      <c r="AP78" s="152">
        <f ca="1">IFERROR(__xludf.DUMMYFUNCTION("IMPORTRANGE(""https://docs.google.com/spreadsheets/d/1Dj4jcHCTV9JXKCaMoheSXS52JE63kDKyG7bPXnFogHk/edit?usp=sharing"",""นครศรีธรรมราช!N207"")"),0)</f>
        <v>0</v>
      </c>
      <c r="AQ78" s="216">
        <f t="shared" ca="1" si="112"/>
        <v>0</v>
      </c>
      <c r="AR78" s="152">
        <f ca="1">IFERROR(__xludf.DUMMYFUNCTION("IMPORTRANGE(""https://docs.google.com/spreadsheets/d/1Dj4jcHCTV9JXKCaMoheSXS52JE63kDKyG7bPXnFogHk/edit?usp=sharing"",""นครศรีธรรมราช!I209"")"),3)</f>
        <v>3</v>
      </c>
      <c r="AS78" s="152">
        <f ca="1">IFERROR(__xludf.DUMMYFUNCTION("IMPORTRANGE(""https://docs.google.com/spreadsheets/d/1Dj4jcHCTV9JXKCaMoheSXS52JE63kDKyG7bPXnFogHk/edit?usp=sharing"",""นครศรีธรรมราช!J209"")"),0)</f>
        <v>0</v>
      </c>
      <c r="AT78" s="216">
        <f t="shared" ca="1" si="114"/>
        <v>0</v>
      </c>
      <c r="AU78" s="152">
        <f ca="1">IFERROR(__xludf.DUMMYFUNCTION("IMPORTRANGE(""https://docs.google.com/spreadsheets/d/1Dj4jcHCTV9JXKCaMoheSXS52JE63kDKyG7bPXnFogHk/edit?usp=sharing"",""นครศรีธรรมราช!J211"")"),0)</f>
        <v>0</v>
      </c>
      <c r="AV78" s="152">
        <f ca="1">IFERROR(__xludf.DUMMYFUNCTION("IMPORTRANGE(""https://docs.google.com/spreadsheets/d/1Dj4jcHCTV9JXKCaMoheSXS52JE63kDKyG7bPXnFogHk/edit?usp=sharing"",""นครศรีธรรมราช!J212"")"),0)</f>
        <v>0</v>
      </c>
      <c r="AW78" s="152">
        <f ca="1">IFERROR(__xludf.DUMMYFUNCTION("IMPORTRANGE(""https://docs.google.com/spreadsheets/d/1Dj4jcHCTV9JXKCaMoheSXS52JE63kDKyG7bPXnFogHk/edit?usp=sharing"",""นครศรีธรรมราช!L215"")"),2000)</f>
        <v>2000</v>
      </c>
      <c r="AX78" s="152">
        <f ca="1">IFERROR(__xludf.DUMMYFUNCTION("IMPORTRANGE(""https://docs.google.com/spreadsheets/d/1Dj4jcHCTV9JXKCaMoheSXS52JE63kDKyG7bPXnFogHk/edit?usp=sharing"",""นครศรีธรรมราช!N215"")"),0)</f>
        <v>0</v>
      </c>
      <c r="AY78" s="216">
        <f t="shared" ca="1" si="116"/>
        <v>0</v>
      </c>
      <c r="AZ78" s="152">
        <f ca="1">IFERROR(__xludf.DUMMYFUNCTION("IMPORTRANGE(""https://docs.google.com/spreadsheets/d/1Dj4jcHCTV9JXKCaMoheSXS52JE63kDKyG7bPXnFogHk/edit?usp=sharing"",""นครศรีธรรมราช!L216"")"),10000)</f>
        <v>10000</v>
      </c>
      <c r="BA78" s="152">
        <f ca="1">IFERROR(__xludf.DUMMYFUNCTION("IMPORTRANGE(""https://docs.google.com/spreadsheets/d/1Dj4jcHCTV9JXKCaMoheSXS52JE63kDKyG7bPXnFogHk/edit?usp=sharing"",""นครศรีธรรมราช!N216"")"),0)</f>
        <v>0</v>
      </c>
      <c r="BB78" s="216">
        <f t="shared" ca="1" si="118"/>
        <v>0</v>
      </c>
      <c r="BC78" s="152">
        <f ca="1">IFERROR(__xludf.DUMMYFUNCTION("IMPORTRANGE(""https://docs.google.com/spreadsheets/d/1Dj4jcHCTV9JXKCaMoheSXS52JE63kDKyG7bPXnFogHk/edit?usp=sharing"",""นครศรีธรรมราช!L217"")"),0)</f>
        <v>0</v>
      </c>
      <c r="BD78" s="152">
        <f ca="1">IFERROR(__xludf.DUMMYFUNCTION("IMPORTRANGE(""https://docs.google.com/spreadsheets/d/1Dj4jcHCTV9JXKCaMoheSXS52JE63kDKyG7bPXnFogHk/edit?usp=sharing"",""นครศรีธรรมราช!N217"")"),0)</f>
        <v>0</v>
      </c>
      <c r="BE78" s="216">
        <f t="shared" ca="1" si="120"/>
        <v>0</v>
      </c>
      <c r="BF78" s="152">
        <f ca="1">IFERROR(__xludf.DUMMYFUNCTION("IMPORTRANGE(""https://docs.google.com/spreadsheets/d/1Dj4jcHCTV9JXKCaMoheSXS52JE63kDKyG7bPXnFogHk/edit?usp=sharing"",""นครศรีธรรมราช!Q217"")"),99400)</f>
        <v>99400</v>
      </c>
      <c r="BG78" s="152">
        <f ca="1">IFERROR(__xludf.DUMMYFUNCTION("IMPORTRANGE(""https://docs.google.com/spreadsheets/d/1Dj4jcHCTV9JXKCaMoheSXS52JE63kDKyG7bPXnFogHk/edit?usp=sharing"",""นครศรีธรรมราช!S217"")"),0)</f>
        <v>0</v>
      </c>
      <c r="BH78" s="216">
        <f t="shared" ca="1" si="122"/>
        <v>0</v>
      </c>
      <c r="BI78" s="152">
        <f ca="1">IFERROR(__xludf.DUMMYFUNCTION("IMPORTRANGE(""https://docs.google.com/spreadsheets/d/1Dj4jcHCTV9JXKCaMoheSXS52JE63kDKyG7bPXnFogHk/edit?usp=sharing"",""นครศรีธรรมราช!I219"")"),2)</f>
        <v>2</v>
      </c>
      <c r="BJ78" s="152">
        <f ca="1">IFERROR(__xludf.DUMMYFUNCTION("IMPORTRANGE(""https://docs.google.com/spreadsheets/d/1Dj4jcHCTV9JXKCaMoheSXS52JE63kDKyG7bPXnFogHk/edit?usp=sharing"",""นครศรีธรรมราช!J219"")"),0)</f>
        <v>0</v>
      </c>
      <c r="BK78" s="216">
        <f t="shared" ca="1" si="124"/>
        <v>0</v>
      </c>
      <c r="BL78" s="152">
        <f ca="1">IFERROR(__xludf.DUMMYFUNCTION("IMPORTRANGE(""https://docs.google.com/spreadsheets/d/1Dj4jcHCTV9JXKCaMoheSXS52JE63kDKyG7bPXnFogHk/edit?usp=sharing"",""นครศรีธรรมราช!I220"")"),2)</f>
        <v>2</v>
      </c>
      <c r="BM78" s="152">
        <f ca="1">IFERROR(__xludf.DUMMYFUNCTION("IMPORTRANGE(""https://docs.google.com/spreadsheets/d/1Dj4jcHCTV9JXKCaMoheSXS52JE63kDKyG7bPXnFogHk/edit?usp=sharing"",""นครศรีธรรมราช!J220"")"),0)</f>
        <v>0</v>
      </c>
      <c r="BN78" s="216">
        <f t="shared" ca="1" si="126"/>
        <v>0</v>
      </c>
      <c r="BO78" s="152">
        <f ca="1">IFERROR(__xludf.DUMMYFUNCTION("IMPORTRANGE(""https://docs.google.com/spreadsheets/d/1Dj4jcHCTV9JXKCaMoheSXS52JE63kDKyG7bPXnFogHk/edit?usp=sharing"",""นครศรีธรรมราช!L223"")"),2500)</f>
        <v>2500</v>
      </c>
      <c r="BP78" s="152">
        <f ca="1">IFERROR(__xludf.DUMMYFUNCTION("IMPORTRANGE(""https://docs.google.com/spreadsheets/d/1Dj4jcHCTV9JXKCaMoheSXS52JE63kDKyG7bPXnFogHk/edit?usp=sharing"",""นครศรีธรรมราช!N223"")"),0)</f>
        <v>0</v>
      </c>
      <c r="BQ78" s="216">
        <f t="shared" ca="1" si="128"/>
        <v>0</v>
      </c>
      <c r="BR78" s="152">
        <f ca="1">IFERROR(__xludf.DUMMYFUNCTION("IMPORTRANGE(""https://docs.google.com/spreadsheets/d/1Dj4jcHCTV9JXKCaMoheSXS52JE63kDKyG7bPXnFogHk/edit?usp=sharing"",""นครศรีธรรมราช!L224"")"),6000)</f>
        <v>6000</v>
      </c>
      <c r="BS78" s="152">
        <f ca="1">IFERROR(__xludf.DUMMYFUNCTION("IMPORTRANGE(""https://docs.google.com/spreadsheets/d/1Dj4jcHCTV9JXKCaMoheSXS52JE63kDKyG7bPXnFogHk/edit?usp=sharing"",""นครศรีธรรมราช!N224"")"),0)</f>
        <v>0</v>
      </c>
      <c r="BT78" s="216">
        <f t="shared" ca="1" si="130"/>
        <v>0</v>
      </c>
      <c r="BU78" s="152">
        <f ca="1">IFERROR(__xludf.DUMMYFUNCTION("IMPORTRANGE(""https://docs.google.com/spreadsheets/d/1Dj4jcHCTV9JXKCaMoheSXS52JE63kDKyG7bPXnFogHk/edit?usp=sharing"",""นครศรีธรรมราช!I228"")"),50000)</f>
        <v>50000</v>
      </c>
      <c r="BV78" s="152">
        <f ca="1">IFERROR(__xludf.DUMMYFUNCTION("IMPORTRANGE(""https://docs.google.com/spreadsheets/d/1Dj4jcHCTV9JXKCaMoheSXS52JE63kDKyG7bPXnFogHk/edit?usp=sharing"",""นครศรีธรรมราช!J228"")"),0)</f>
        <v>0</v>
      </c>
      <c r="BW78" s="216">
        <f t="shared" ca="1" si="132"/>
        <v>0</v>
      </c>
      <c r="BX78" s="152">
        <f ca="1">IFERROR(__xludf.DUMMYFUNCTION("IMPORTRANGE(""https://docs.google.com/spreadsheets/d/1Dj4jcHCTV9JXKCaMoheSXS52JE63kDKyG7bPXnFogHk/edit?usp=sharing"",""นครศรีธรรมราช!I229"")"),50000)</f>
        <v>50000</v>
      </c>
      <c r="BY78" s="152">
        <f ca="1">IFERROR(__xludf.DUMMYFUNCTION("IMPORTRANGE(""https://docs.google.com/spreadsheets/d/1Dj4jcHCTV9JXKCaMoheSXS52JE63kDKyG7bPXnFogHk/edit?usp=sharing"",""นครศรีธรรมราช!J229"")"),0)</f>
        <v>0</v>
      </c>
      <c r="BZ78" s="216">
        <f t="shared" ca="1" si="134"/>
        <v>0</v>
      </c>
      <c r="CA78" s="152">
        <f ca="1">IFERROR(__xludf.DUMMYFUNCTION("IMPORTRANGE(""https://docs.google.com/spreadsheets/d/1Dj4jcHCTV9JXKCaMoheSXS52JE63kDKyG7bPXnFogHk/edit?usp=sharing"",""นครศรีธรรมราช!I230"")"),0)</f>
        <v>0</v>
      </c>
      <c r="CB78" s="152">
        <f ca="1">IFERROR(__xludf.DUMMYFUNCTION("IMPORTRANGE(""https://docs.google.com/spreadsheets/d/1Dj4jcHCTV9JXKCaMoheSXS52JE63kDKyG7bPXnFogHk/edit?usp=sharing"",""นครศรีธรรมราช!J230"")"),0)</f>
        <v>0</v>
      </c>
      <c r="CC78" s="216">
        <f t="shared" ca="1" si="136"/>
        <v>0</v>
      </c>
      <c r="CD78" s="152">
        <f ca="1">IFERROR(__xludf.DUMMYFUNCTION("IMPORTRANGE(""https://docs.google.com/spreadsheets/d/1Dj4jcHCTV9JXKCaMoheSXS52JE63kDKyG7bPXnFogHk/edit?usp=sharing"",""นครศรีธรรมราช!L233"")"),167000)</f>
        <v>167000</v>
      </c>
      <c r="CE78" s="152">
        <f ca="1">IFERROR(__xludf.DUMMYFUNCTION("IMPORTRANGE(""https://docs.google.com/spreadsheets/d/1Dj4jcHCTV9JXKCaMoheSXS52JE63kDKyG7bPXnFogHk/edit?usp=sharing"",""นครศรีธรรมราช!N233"")"),20796.4)</f>
        <v>20796.400000000001</v>
      </c>
      <c r="CF78" s="216">
        <f t="shared" ca="1" si="138"/>
        <v>12.452934131736528</v>
      </c>
      <c r="CG78" s="152">
        <f ca="1">IFERROR(__xludf.DUMMYFUNCTION("IMPORTRANGE(""https://docs.google.com/spreadsheets/d/1Dj4jcHCTV9JXKCaMoheSXS52JE63kDKyG7bPXnFogHk/edit?usp=sharing"",""นครศรีธรรมราช!L234"")"),10000)</f>
        <v>10000</v>
      </c>
      <c r="CH78" s="152">
        <f ca="1">IFERROR(__xludf.DUMMYFUNCTION("IMPORTRANGE(""https://docs.google.com/spreadsheets/d/1Dj4jcHCTV9JXKCaMoheSXS52JE63kDKyG7bPXnFogHk/edit?usp=sharing"",""นครศรีธรรมราช!N234"")"),114400.01)</f>
        <v>114400.01</v>
      </c>
      <c r="CI78" s="216">
        <f t="shared" ca="1" si="140"/>
        <v>1144.0001</v>
      </c>
      <c r="CJ78" s="152">
        <f ca="1">IFERROR(__xludf.DUMMYFUNCTION("IMPORTRANGE(""https://docs.google.com/spreadsheets/d/1Dj4jcHCTV9JXKCaMoheSXS52JE63kDKyG7bPXnFogHk/edit?usp=sharing"",""นครศรีธรรมราช!L235"")"),92600)</f>
        <v>92600</v>
      </c>
      <c r="CK78" s="152">
        <f ca="1">IFERROR(__xludf.DUMMYFUNCTION("IMPORTRANGE(""https://docs.google.com/spreadsheets/d/1Dj4jcHCTV9JXKCaMoheSXS52JE63kDKyG7bPXnFogHk/edit?usp=sharing"",""นครศรีธรรมราช!N235"")"),51013)</f>
        <v>51013</v>
      </c>
      <c r="CL78" s="216">
        <f t="shared" ca="1" si="142"/>
        <v>55.089632829373649</v>
      </c>
      <c r="CM78" s="251">
        <f ca="1">IFERROR(__xludf.DUMMYFUNCTION("IMPORTRANGE(""https://docs.google.com/spreadsheets/d/1Dj4jcHCTV9JXKCaMoheSXS52JE63kDKyG7bPXnFogHk/edit?usp=sharing"",""นครศรีธรรมราช!Q235"")"),0)</f>
        <v>0</v>
      </c>
      <c r="CN78" s="251">
        <f ca="1">IFERROR(__xludf.DUMMYFUNCTION("IMPORTRANGE(""https://docs.google.com/spreadsheets/d/1Dj4jcHCTV9JXKCaMoheSXS52JE63kDKyG7bPXnFogHk/edit?usp=sharing"",""นครศรีธรรมราช!S235"")"),0)</f>
        <v>0</v>
      </c>
      <c r="CO78" s="216">
        <f t="shared" ca="1" si="144"/>
        <v>0</v>
      </c>
      <c r="CP78" s="152">
        <f ca="1">IFERROR(__xludf.DUMMYFUNCTION("IMPORTRANGE(""https://docs.google.com/spreadsheets/d/1Dj4jcHCTV9JXKCaMoheSXS52JE63kDKyG7bPXnFogHk/edit?usp=sharing"",""นครศรีธรรมราช!L236"")"),140000)</f>
        <v>140000</v>
      </c>
      <c r="CQ78" s="152">
        <f ca="1">IFERROR(__xludf.DUMMYFUNCTION("IMPORTRANGE(""https://docs.google.com/spreadsheets/d/1Dj4jcHCTV9JXKCaMoheSXS52JE63kDKyG7bPXnFogHk/edit?usp=sharing"",""นครศรีธรรมราช!N236"")"),81030)</f>
        <v>81030</v>
      </c>
      <c r="CR78" s="216">
        <f t="shared" ca="1" si="146"/>
        <v>57.878571428571426</v>
      </c>
      <c r="CS78" s="152">
        <f ca="1">IFERROR(__xludf.DUMMYFUNCTION("IMPORTRANGE(""https://docs.google.com/spreadsheets/d/1Dj4jcHCTV9JXKCaMoheSXS52JE63kDKyG7bPXnFogHk/edit?usp=sharing"",""นครศรีธรรมราช!I238"")"),110)</f>
        <v>110</v>
      </c>
      <c r="CT78" s="152">
        <f ca="1">IFERROR(__xludf.DUMMYFUNCTION("IMPORTRANGE(""https://docs.google.com/spreadsheets/d/1Dj4jcHCTV9JXKCaMoheSXS52JE63kDKyG7bPXnFogHk/edit?usp=sharing"",""นครศรีธรรมราช!J238"")"),63)</f>
        <v>63</v>
      </c>
      <c r="CU78" s="216">
        <f t="shared" ca="1" si="148"/>
        <v>57.272727272727273</v>
      </c>
      <c r="CV78" s="152">
        <f ca="1">IFERROR(__xludf.DUMMYFUNCTION("IMPORTRANGE(""https://docs.google.com/spreadsheets/d/1Dj4jcHCTV9JXKCaMoheSXS52JE63kDKyG7bPXnFogHk/edit?usp=sharing"",""นครศรีธรรมราช!J240"")"),60)</f>
        <v>60</v>
      </c>
      <c r="CW78" s="152">
        <f ca="1">IFERROR(__xludf.DUMMYFUNCTION("IMPORTRANGE(""https://docs.google.com/spreadsheets/d/1Dj4jcHCTV9JXKCaMoheSXS52JE63kDKyG7bPXnFogHk/edit?usp=sharing"",""นครศรีธรรมราช!J241"")"),6)</f>
        <v>6</v>
      </c>
    </row>
    <row r="79" spans="1:101" ht="21" customHeight="1" x14ac:dyDescent="0.3">
      <c r="A79" s="147">
        <v>5</v>
      </c>
      <c r="B79" s="148" t="s">
        <v>107</v>
      </c>
      <c r="C79" s="149">
        <f t="shared" ca="1" si="90"/>
        <v>89900</v>
      </c>
      <c r="D79" s="150">
        <f t="shared" ca="1" si="234"/>
        <v>89900</v>
      </c>
      <c r="E79" s="151">
        <f ca="1">IFERROR(__xludf.DUMMYFUNCTION("IMPORTRANGE(""https://docs.google.com/spreadsheets/d/1-uDff_7J0KD5mKrp0Vvzr7lt3OU09vwQwhkpOPPYv2Y/edit?usp=sharing"",""งบพรบ!CV79"")"),79400)</f>
        <v>79400</v>
      </c>
      <c r="F79" s="151">
        <f ca="1">IFERROR(__xludf.DUMMYFUNCTION("IMPORTRANGE(""https://docs.google.com/spreadsheets/d/1-uDff_7J0KD5mKrp0Vvzr7lt3OU09vwQwhkpOPPYv2Y/edit?usp=sharing"",""งบพรบ!CW79"")"),10500)</f>
        <v>10500</v>
      </c>
      <c r="G79" s="151">
        <f ca="1">IFERROR(__xludf.DUMMYFUNCTION("IMPORTRANGE(""https://docs.google.com/spreadsheets/d/1-uDff_7J0KD5mKrp0Vvzr7lt3OU09vwQwhkpOPPYv2Y/edit?usp=sharing"",""งบพรบ!CX79"")"),0)</f>
        <v>0</v>
      </c>
      <c r="H79" s="151">
        <f ca="1">IFERROR(__xludf.DUMMYFUNCTION("IMPORTRANGE(""https://docs.google.com/spreadsheets/d/1-uDff_7J0KD5mKrp0Vvzr7lt3OU09vwQwhkpOPPYv2Y/edit?usp=sharing"",""งบพรบ!CZ79"")"),91900)</f>
        <v>91900</v>
      </c>
      <c r="I79" s="151">
        <f ca="1">IFERROR(__xludf.DUMMYFUNCTION("IMPORTRANGE(""https://docs.google.com/spreadsheets/d/1-uDff_7J0KD5mKrp0Vvzr7lt3OU09vwQwhkpOPPYv2Y/edit?usp=sharing"",""งบพรบ!DA79"")"),0)</f>
        <v>0</v>
      </c>
      <c r="J79" s="151">
        <f t="shared" ca="1" si="92"/>
        <v>91900</v>
      </c>
      <c r="K79" s="154">
        <f t="shared" ca="1" si="93"/>
        <v>102.22469410456063</v>
      </c>
      <c r="L79" s="151">
        <f ca="1">IFERROR(__xludf.DUMMYFUNCTION("IMPORTRANGE(""https://docs.google.com/spreadsheets/d/1-uDff_7J0KD5mKrp0Vvzr7lt3OU09vwQwhkpOPPYv2Y/edit?usp=sharing"",""งบพรบ!DB79"")"),91900)</f>
        <v>91900</v>
      </c>
      <c r="M79" s="68">
        <f t="shared" ca="1" si="94"/>
        <v>102.22469410456063</v>
      </c>
      <c r="N79" s="68">
        <f t="shared" ca="1" si="95"/>
        <v>100</v>
      </c>
      <c r="O79" s="67">
        <f ca="1">IFERROR(__xludf.DUMMYFUNCTION("IMPORTRANGE(""https://docs.google.com/spreadsheets/d/1-uDff_7J0KD5mKrp0Vvzr7lt3OU09vwQwhkpOPPYv2Y/edit?usp=sharing"",""งบพรบ!DC79"")"),0)</f>
        <v>0</v>
      </c>
      <c r="P79" s="67">
        <f t="shared" ca="1" si="96"/>
        <v>0</v>
      </c>
      <c r="Q79" s="68">
        <f t="shared" ca="1" si="97"/>
        <v>0</v>
      </c>
      <c r="R79" s="67">
        <f ca="1">IFERROR(__xludf.DUMMYFUNCTION("IMPORTRANGE(""https://docs.google.com/spreadsheets/d/1iodCdmuK2GR3jzUwk8tpccY2JHQQA-87DLOtJP-ooyU/edit?usp=sharing"",""นราธิวาส!Q186"")"),0)</f>
        <v>0</v>
      </c>
      <c r="S79" s="67">
        <f ca="1">IFERROR(__xludf.DUMMYFUNCTION("IMPORTRANGE(""https://docs.google.com/spreadsheets/d/1iodCdmuK2GR3jzUwk8tpccY2JHQQA-87DLOtJP-ooyU/edit?usp=sharing"",""นราธิวาส!R186"")"),0)</f>
        <v>0</v>
      </c>
      <c r="T79" s="67">
        <f ca="1">IFERROR(__xludf.DUMMYFUNCTION("IMPORTRANGE(""https://docs.google.com/spreadsheets/d/1iodCdmuK2GR3jzUwk8tpccY2JHQQA-87DLOtJP-ooyU/edit?usp=sharing"",""นราธิวาส!S186"")"),0)</f>
        <v>0</v>
      </c>
      <c r="U79" s="68">
        <f t="shared" ca="1" si="99"/>
        <v>0</v>
      </c>
      <c r="V79" s="68">
        <f t="shared" ca="1" si="100"/>
        <v>0</v>
      </c>
      <c r="W79" s="152">
        <f ca="1">IFERROR(__xludf.DUMMYFUNCTION("IMPORTRANGE(""https://docs.google.com/spreadsheets/d/1iodCdmuK2GR3jzUwk8tpccY2JHQQA-87DLOtJP-ooyU/edit?usp=sharing"",""นราธิวาส!L196"")"),6000)</f>
        <v>6000</v>
      </c>
      <c r="X79" s="152">
        <f ca="1">IFERROR(__xludf.DUMMYFUNCTION("IMPORTRANGE(""https://docs.google.com/spreadsheets/d/1iodCdmuK2GR3jzUwk8tpccY2JHQQA-87DLOtJP-ooyU/edit?usp=sharing"",""นราธิวาส!N196"")"),6000)</f>
        <v>6000</v>
      </c>
      <c r="Y79" s="216">
        <f t="shared" ca="1" si="102"/>
        <v>100</v>
      </c>
      <c r="Z79" s="152">
        <f ca="1">IFERROR(__xludf.DUMMYFUNCTION("IMPORTRANGE(""https://docs.google.com/spreadsheets/d/1iodCdmuK2GR3jzUwk8tpccY2JHQQA-87DLOtJP-ooyU/edit?usp=sharing"",""นราธิวาส!I198"")"),4)</f>
        <v>4</v>
      </c>
      <c r="AA79" s="152">
        <f ca="1">IFERROR(__xludf.DUMMYFUNCTION("IMPORTRANGE(""https://docs.google.com/spreadsheets/d/1iodCdmuK2GR3jzUwk8tpccY2JHQQA-87DLOtJP-ooyU/edit?usp=sharing"",""นราธิวาส!J198"")"),4)</f>
        <v>4</v>
      </c>
      <c r="AB79" s="216">
        <f t="shared" ca="1" si="104"/>
        <v>100</v>
      </c>
      <c r="AC79" s="152">
        <f ca="1">IFERROR(__xludf.DUMMYFUNCTION("IMPORTRANGE(""https://docs.google.com/spreadsheets/d/1iodCdmuK2GR3jzUwk8tpccY2JHQQA-87DLOtJP-ooyU/edit?usp=sharing"",""นราธิวาส!J199"")"),338)</f>
        <v>338</v>
      </c>
      <c r="AD79" s="152">
        <f ca="1">IFERROR(__xludf.DUMMYFUNCTION("IMPORTRANGE(""https://docs.google.com/spreadsheets/d/1iodCdmuK2GR3jzUwk8tpccY2JHQQA-87DLOtJP-ooyU/edit?usp=sharing"",""นราธิวาส!J200"")"),338)</f>
        <v>338</v>
      </c>
      <c r="AE79" s="152">
        <f ca="1">IFERROR(__xludf.DUMMYFUNCTION("IMPORTRANGE(""https://docs.google.com/spreadsheets/d/1iodCdmuK2GR3jzUwk8tpccY2JHQQA-87DLOtJP-ooyU/edit?usp=sharing"",""นราธิวาส!J201"")"),0)</f>
        <v>0</v>
      </c>
      <c r="AF79" s="152">
        <f ca="1">IFERROR(__xludf.DUMMYFUNCTION("IMPORTRANGE(""https://docs.google.com/spreadsheets/d/1iodCdmuK2GR3jzUwk8tpccY2JHQQA-87DLOtJP-ooyU/edit?usp=sharing"",""นราธิวาส!L204"")"),0)</f>
        <v>0</v>
      </c>
      <c r="AG79" s="152">
        <f ca="1">IFERROR(__xludf.DUMMYFUNCTION("IMPORTRANGE(""https://docs.google.com/spreadsheets/d/1iodCdmuK2GR3jzUwk8tpccY2JHQQA-87DLOtJP-ooyU/edit?usp=sharing"",""นราธิวาส!N204"")"),0)</f>
        <v>0</v>
      </c>
      <c r="AH79" s="216">
        <f t="shared" ca="1" si="106"/>
        <v>0</v>
      </c>
      <c r="AI79" s="152">
        <f ca="1">IFERROR(__xludf.DUMMYFUNCTION("IMPORTRANGE(""https://docs.google.com/spreadsheets/d/1iodCdmuK2GR3jzUwk8tpccY2JHQQA-87DLOtJP-ooyU/edit?usp=sharing"",""นราธิวาส!L206"")"),0)</f>
        <v>0</v>
      </c>
      <c r="AJ79" s="152">
        <f ca="1">IFERROR(__xludf.DUMMYFUNCTION("IMPORTRANGE(""https://docs.google.com/spreadsheets/d/1iodCdmuK2GR3jzUwk8tpccY2JHQQA-87DLOtJP-ooyU/edit?usp=sharing"",""นราธิวาส!N206"")"),0)</f>
        <v>0</v>
      </c>
      <c r="AK79" s="216">
        <f t="shared" ca="1" si="108"/>
        <v>0</v>
      </c>
      <c r="AL79" s="152">
        <f ca="1">IFERROR(__xludf.DUMMYFUNCTION("IMPORTRANGE(""https://docs.google.com/spreadsheets/d/1iodCdmuK2GR3jzUwk8tpccY2JHQQA-87DLOtJP-ooyU/edit?usp=sharing"",""นราธิวาส!Q206"")"),0)</f>
        <v>0</v>
      </c>
      <c r="AM79" s="152">
        <f ca="1">IFERROR(__xludf.DUMMYFUNCTION("IMPORTRANGE(""https://docs.google.com/spreadsheets/d/1iodCdmuK2GR3jzUwk8tpccY2JHQQA-87DLOtJP-ooyU/edit?usp=sharing"",""นราธิวาส!S206"")"),0)</f>
        <v>0</v>
      </c>
      <c r="AN79" s="216">
        <f t="shared" ca="1" si="110"/>
        <v>0</v>
      </c>
      <c r="AO79" s="152">
        <f ca="1">IFERROR(__xludf.DUMMYFUNCTION("IMPORTRANGE(""https://docs.google.com/spreadsheets/d/1iodCdmuK2GR3jzUwk8tpccY2JHQQA-87DLOtJP-ooyU/edit?usp=sharing"",""นราธิวาส!L207"")"),0)</f>
        <v>0</v>
      </c>
      <c r="AP79" s="152">
        <f ca="1">IFERROR(__xludf.DUMMYFUNCTION("IMPORTRANGE(""https://docs.google.com/spreadsheets/d/1iodCdmuK2GR3jzUwk8tpccY2JHQQA-87DLOtJP-ooyU/edit?usp=sharing"",""นราธิวาส!N207"")"),0)</f>
        <v>0</v>
      </c>
      <c r="AQ79" s="216">
        <f t="shared" ca="1" si="112"/>
        <v>0</v>
      </c>
      <c r="AR79" s="152">
        <f ca="1">IFERROR(__xludf.DUMMYFUNCTION("IMPORTRANGE(""https://docs.google.com/spreadsheets/d/1iodCdmuK2GR3jzUwk8tpccY2JHQQA-87DLOtJP-ooyU/edit?usp=sharing"",""นราธิวาส!I209"")"),0)</f>
        <v>0</v>
      </c>
      <c r="AS79" s="152">
        <f ca="1">IFERROR(__xludf.DUMMYFUNCTION("IMPORTRANGE(""https://docs.google.com/spreadsheets/d/1iodCdmuK2GR3jzUwk8tpccY2JHQQA-87DLOtJP-ooyU/edit?usp=sharing"",""นราธิวาส!J209"")"),0)</f>
        <v>0</v>
      </c>
      <c r="AT79" s="216">
        <f t="shared" ca="1" si="114"/>
        <v>0</v>
      </c>
      <c r="AU79" s="152">
        <f ca="1">IFERROR(__xludf.DUMMYFUNCTION("IMPORTRANGE(""https://docs.google.com/spreadsheets/d/1iodCdmuK2GR3jzUwk8tpccY2JHQQA-87DLOtJP-ooyU/edit?usp=sharing"",""นราธิวาส!J211"")"),0)</f>
        <v>0</v>
      </c>
      <c r="AV79" s="152">
        <f ca="1">IFERROR(__xludf.DUMMYFUNCTION("IMPORTRANGE(""https://docs.google.com/spreadsheets/d/1iodCdmuK2GR3jzUwk8tpccY2JHQQA-87DLOtJP-ooyU/edit?usp=sharing"",""นราธิวาส!J212"")"),0)</f>
        <v>0</v>
      </c>
      <c r="AW79" s="152">
        <f ca="1">IFERROR(__xludf.DUMMYFUNCTION("IMPORTRANGE(""https://docs.google.com/spreadsheets/d/1iodCdmuK2GR3jzUwk8tpccY2JHQQA-87DLOtJP-ooyU/edit?usp=sharing"",""นราธิวาส!L215"")"),0)</f>
        <v>0</v>
      </c>
      <c r="AX79" s="152">
        <f ca="1">IFERROR(__xludf.DUMMYFUNCTION("IMPORTRANGE(""https://docs.google.com/spreadsheets/d/1iodCdmuK2GR3jzUwk8tpccY2JHQQA-87DLOtJP-ooyU/edit?usp=sharing"",""นราธิวาส!N215"")"),0)</f>
        <v>0</v>
      </c>
      <c r="AY79" s="216">
        <f t="shared" ca="1" si="116"/>
        <v>0</v>
      </c>
      <c r="AZ79" s="152">
        <f ca="1">IFERROR(__xludf.DUMMYFUNCTION("IMPORTRANGE(""https://docs.google.com/spreadsheets/d/1iodCdmuK2GR3jzUwk8tpccY2JHQQA-87DLOtJP-ooyU/edit?usp=sharing"",""นราธิวาส!L216"")"),0)</f>
        <v>0</v>
      </c>
      <c r="BA79" s="152">
        <f ca="1">IFERROR(__xludf.DUMMYFUNCTION("IMPORTRANGE(""https://docs.google.com/spreadsheets/d/1iodCdmuK2GR3jzUwk8tpccY2JHQQA-87DLOtJP-ooyU/edit?usp=sharing"",""นราธิวาส!N216"")"),0)</f>
        <v>0</v>
      </c>
      <c r="BB79" s="216">
        <f t="shared" ca="1" si="118"/>
        <v>0</v>
      </c>
      <c r="BC79" s="152">
        <f ca="1">IFERROR(__xludf.DUMMYFUNCTION("IMPORTRANGE(""https://docs.google.com/spreadsheets/d/1iodCdmuK2GR3jzUwk8tpccY2JHQQA-87DLOtJP-ooyU/edit?usp=sharing"",""นราธิวาส!L217"")"),0)</f>
        <v>0</v>
      </c>
      <c r="BD79" s="152">
        <f ca="1">IFERROR(__xludf.DUMMYFUNCTION("IMPORTRANGE(""https://docs.google.com/spreadsheets/d/1iodCdmuK2GR3jzUwk8tpccY2JHQQA-87DLOtJP-ooyU/edit?usp=sharing"",""นราธิวาส!N217"")"),0)</f>
        <v>0</v>
      </c>
      <c r="BE79" s="216">
        <f t="shared" ca="1" si="120"/>
        <v>0</v>
      </c>
      <c r="BF79" s="152">
        <f ca="1">IFERROR(__xludf.DUMMYFUNCTION("IMPORTRANGE(""https://docs.google.com/spreadsheets/d/1iodCdmuK2GR3jzUwk8tpccY2JHQQA-87DLOtJP-ooyU/edit?usp=sharing"",""นราธิวาส!Q217"")"),0)</f>
        <v>0</v>
      </c>
      <c r="BG79" s="152">
        <f ca="1">IFERROR(__xludf.DUMMYFUNCTION("IMPORTRANGE(""https://docs.google.com/spreadsheets/d/1iodCdmuK2GR3jzUwk8tpccY2JHQQA-87DLOtJP-ooyU/edit?usp=sharing"",""นราธิวาส!S217"")"),0)</f>
        <v>0</v>
      </c>
      <c r="BH79" s="216">
        <f t="shared" ca="1" si="122"/>
        <v>0</v>
      </c>
      <c r="BI79" s="152">
        <f ca="1">IFERROR(__xludf.DUMMYFUNCTION("IMPORTRANGE(""https://docs.google.com/spreadsheets/d/1iodCdmuK2GR3jzUwk8tpccY2JHQQA-87DLOtJP-ooyU/edit?usp=sharing"",""นราธิวาส!I219"")"),0)</f>
        <v>0</v>
      </c>
      <c r="BJ79" s="152">
        <f ca="1">IFERROR(__xludf.DUMMYFUNCTION("IMPORTRANGE(""https://docs.google.com/spreadsheets/d/1iodCdmuK2GR3jzUwk8tpccY2JHQQA-87DLOtJP-ooyU/edit?usp=sharing"",""นราธิวาส!J219"")"),0)</f>
        <v>0</v>
      </c>
      <c r="BK79" s="216">
        <f t="shared" ca="1" si="124"/>
        <v>0</v>
      </c>
      <c r="BL79" s="152">
        <f ca="1">IFERROR(__xludf.DUMMYFUNCTION("IMPORTRANGE(""https://docs.google.com/spreadsheets/d/1iodCdmuK2GR3jzUwk8tpccY2JHQQA-87DLOtJP-ooyU/edit?usp=sharing"",""นราธิวาส!I220"")"),0)</f>
        <v>0</v>
      </c>
      <c r="BM79" s="152">
        <f ca="1">IFERROR(__xludf.DUMMYFUNCTION("IMPORTRANGE(""https://docs.google.com/spreadsheets/d/1iodCdmuK2GR3jzUwk8tpccY2JHQQA-87DLOtJP-ooyU/edit?usp=sharing"",""นราธิวาส!J220"")"),0)</f>
        <v>0</v>
      </c>
      <c r="BN79" s="216">
        <f t="shared" ca="1" si="126"/>
        <v>0</v>
      </c>
      <c r="BO79" s="152">
        <f ca="1">IFERROR(__xludf.DUMMYFUNCTION("IMPORTRANGE(""https://docs.google.com/spreadsheets/d/1iodCdmuK2GR3jzUwk8tpccY2JHQQA-87DLOtJP-ooyU/edit?usp=sharing"",""นราธิวาส!L223"")"),2500)</f>
        <v>2500</v>
      </c>
      <c r="BP79" s="152">
        <f ca="1">IFERROR(__xludf.DUMMYFUNCTION("IMPORTRANGE(""https://docs.google.com/spreadsheets/d/1iodCdmuK2GR3jzUwk8tpccY2JHQQA-87DLOtJP-ooyU/edit?usp=sharing"",""นราธิวาส!N223"")"),2500)</f>
        <v>2500</v>
      </c>
      <c r="BQ79" s="216">
        <f t="shared" ca="1" si="128"/>
        <v>100</v>
      </c>
      <c r="BR79" s="152">
        <f ca="1">IFERROR(__xludf.DUMMYFUNCTION("IMPORTRANGE(""https://docs.google.com/spreadsheets/d/1iodCdmuK2GR3jzUwk8tpccY2JHQQA-87DLOtJP-ooyU/edit?usp=sharing"",""นราธิวาส!L224"")"),2000)</f>
        <v>2000</v>
      </c>
      <c r="BS79" s="152">
        <f ca="1">IFERROR(__xludf.DUMMYFUNCTION("IMPORTRANGE(""https://docs.google.com/spreadsheets/d/1iodCdmuK2GR3jzUwk8tpccY2JHQQA-87DLOtJP-ooyU/edit?usp=sharing"",""นราธิวาส!N224"")"),2000)</f>
        <v>2000</v>
      </c>
      <c r="BT79" s="216">
        <f t="shared" ca="1" si="130"/>
        <v>100</v>
      </c>
      <c r="BU79" s="152">
        <f ca="1">IFERROR(__xludf.DUMMYFUNCTION("IMPORTRANGE(""https://docs.google.com/spreadsheets/d/1iodCdmuK2GR3jzUwk8tpccY2JHQQA-87DLOtJP-ooyU/edit?usp=sharing"",""นราธิวาส!I228"")"),10000)</f>
        <v>10000</v>
      </c>
      <c r="BV79" s="152">
        <f ca="1">IFERROR(__xludf.DUMMYFUNCTION("IMPORTRANGE(""https://docs.google.com/spreadsheets/d/1iodCdmuK2GR3jzUwk8tpccY2JHQQA-87DLOtJP-ooyU/edit?usp=sharing"",""นราธิวาส!J228"")"),10000)</f>
        <v>10000</v>
      </c>
      <c r="BW79" s="216">
        <f t="shared" ca="1" si="132"/>
        <v>100</v>
      </c>
      <c r="BX79" s="152">
        <f ca="1">IFERROR(__xludf.DUMMYFUNCTION("IMPORTRANGE(""https://docs.google.com/spreadsheets/d/1iodCdmuK2GR3jzUwk8tpccY2JHQQA-87DLOtJP-ooyU/edit?usp=sharing"",""นราธิวาส!I229"")"),10000)</f>
        <v>10000</v>
      </c>
      <c r="BY79" s="152">
        <f ca="1">IFERROR(__xludf.DUMMYFUNCTION("IMPORTRANGE(""https://docs.google.com/spreadsheets/d/1iodCdmuK2GR3jzUwk8tpccY2JHQQA-87DLOtJP-ooyU/edit?usp=sharing"",""นราธิวาส!J229"")"),10000)</f>
        <v>10000</v>
      </c>
      <c r="BZ79" s="216">
        <f t="shared" ca="1" si="134"/>
        <v>100</v>
      </c>
      <c r="CA79" s="152">
        <f ca="1">IFERROR(__xludf.DUMMYFUNCTION("IMPORTRANGE(""https://docs.google.com/spreadsheets/d/1iodCdmuK2GR3jzUwk8tpccY2JHQQA-87DLOtJP-ooyU/edit?usp=sharing"",""นราธิวาส!I230"")"),0)</f>
        <v>0</v>
      </c>
      <c r="CB79" s="152">
        <f ca="1">IFERROR(__xludf.DUMMYFUNCTION("IMPORTRANGE(""https://docs.google.com/spreadsheets/d/1iodCdmuK2GR3jzUwk8tpccY2JHQQA-87DLOtJP-ooyU/edit?usp=sharing"",""นราธิวาส!J230"")"),0)</f>
        <v>0</v>
      </c>
      <c r="CC79" s="216">
        <f t="shared" ca="1" si="136"/>
        <v>0</v>
      </c>
      <c r="CD79" s="152">
        <f ca="1">IFERROR(__xludf.DUMMYFUNCTION("IMPORTRANGE(""https://docs.google.com/spreadsheets/d/1iodCdmuK2GR3jzUwk8tpccY2JHQQA-87DLOtJP-ooyU/edit?usp=sharing"",""นราธิวาส!L233"")"),0)</f>
        <v>0</v>
      </c>
      <c r="CE79" s="152">
        <f ca="1">IFERROR(__xludf.DUMMYFUNCTION("IMPORTRANGE(""https://docs.google.com/spreadsheets/d/1iodCdmuK2GR3jzUwk8tpccY2JHQQA-87DLOtJP-ooyU/edit?usp=sharing"",""นราธิวาส!N233"")"),0)</f>
        <v>0</v>
      </c>
      <c r="CF79" s="216">
        <f t="shared" ca="1" si="138"/>
        <v>0</v>
      </c>
      <c r="CG79" s="152">
        <f ca="1">IFERROR(__xludf.DUMMYFUNCTION("IMPORTRANGE(""https://docs.google.com/spreadsheets/d/1iodCdmuK2GR3jzUwk8tpccY2JHQQA-87DLOtJP-ooyU/edit?usp=sharing"",""นราธิวาส!L234"")"),0)</f>
        <v>0</v>
      </c>
      <c r="CH79" s="152">
        <f ca="1">IFERROR(__xludf.DUMMYFUNCTION("IMPORTRANGE(""https://docs.google.com/spreadsheets/d/1iodCdmuK2GR3jzUwk8tpccY2JHQQA-87DLOtJP-ooyU/edit?usp=sharing"",""นราธิวาส!N234"")"),0)</f>
        <v>0</v>
      </c>
      <c r="CI79" s="216">
        <f t="shared" ca="1" si="140"/>
        <v>0</v>
      </c>
      <c r="CJ79" s="152">
        <f ca="1">IFERROR(__xludf.DUMMYFUNCTION("IMPORTRANGE(""https://docs.google.com/spreadsheets/d/1iodCdmuK2GR3jzUwk8tpccY2JHQQA-87DLOtJP-ooyU/edit?usp=sharing"",""นราธิวาส!L235"")"),0)</f>
        <v>0</v>
      </c>
      <c r="CK79" s="152">
        <f ca="1">IFERROR(__xludf.DUMMYFUNCTION("IMPORTRANGE(""https://docs.google.com/spreadsheets/d/1iodCdmuK2GR3jzUwk8tpccY2JHQQA-87DLOtJP-ooyU/edit?usp=sharing"",""นราธิวาส!N235"")"),0)</f>
        <v>0</v>
      </c>
      <c r="CL79" s="216">
        <f t="shared" ca="1" si="142"/>
        <v>0</v>
      </c>
      <c r="CM79" s="251">
        <f ca="1">IFERROR(__xludf.DUMMYFUNCTION("IMPORTRANGE(""https://docs.google.com/spreadsheets/d/1iodCdmuK2GR3jzUwk8tpccY2JHQQA-87DLOtJP-ooyU/edit?usp=sharing"",""นราธิวาส!Q235"")"),0)</f>
        <v>0</v>
      </c>
      <c r="CN79" s="251">
        <f ca="1">IFERROR(__xludf.DUMMYFUNCTION("IMPORTRANGE(""https://docs.google.com/spreadsheets/d/1iodCdmuK2GR3jzUwk8tpccY2JHQQA-87DLOtJP-ooyU/edit?usp=sharing"",""นราธิวาส!S235"")"),0)</f>
        <v>0</v>
      </c>
      <c r="CO79" s="216">
        <f t="shared" ca="1" si="144"/>
        <v>0</v>
      </c>
      <c r="CP79" s="152">
        <f ca="1">IFERROR(__xludf.DUMMYFUNCTION("IMPORTRANGE(""https://docs.google.com/spreadsheets/d/1iodCdmuK2GR3jzUwk8tpccY2JHQQA-87DLOtJP-ooyU/edit?usp=sharing"",""นราธิวาส!L236"")"),0)</f>
        <v>0</v>
      </c>
      <c r="CQ79" s="152">
        <f ca="1">IFERROR(__xludf.DUMMYFUNCTION("IMPORTRANGE(""https://docs.google.com/spreadsheets/d/1iodCdmuK2GR3jzUwk8tpccY2JHQQA-87DLOtJP-ooyU/edit?usp=sharing"",""นราธิวาส!N236"")"),0)</f>
        <v>0</v>
      </c>
      <c r="CR79" s="216">
        <f t="shared" ca="1" si="146"/>
        <v>0</v>
      </c>
      <c r="CS79" s="152">
        <f ca="1">IFERROR(__xludf.DUMMYFUNCTION("IMPORTRANGE(""https://docs.google.com/spreadsheets/d/1iodCdmuK2GR3jzUwk8tpccY2JHQQA-87DLOtJP-ooyU/edit?usp=sharing"",""นราธิวาส!I238"")"),0)</f>
        <v>0</v>
      </c>
      <c r="CT79" s="152">
        <f ca="1">IFERROR(__xludf.DUMMYFUNCTION("IMPORTRANGE(""https://docs.google.com/spreadsheets/d/1iodCdmuK2GR3jzUwk8tpccY2JHQQA-87DLOtJP-ooyU/edit?usp=sharing"",""นราธิวาส!J238"")"),0)</f>
        <v>0</v>
      </c>
      <c r="CU79" s="216">
        <f t="shared" ca="1" si="148"/>
        <v>0</v>
      </c>
      <c r="CV79" s="152">
        <f ca="1">IFERROR(__xludf.DUMMYFUNCTION("IMPORTRANGE(""https://docs.google.com/spreadsheets/d/1iodCdmuK2GR3jzUwk8tpccY2JHQQA-87DLOtJP-ooyU/edit?usp=sharing"",""นราธิวาส!J240"")"),0)</f>
        <v>0</v>
      </c>
      <c r="CW79" s="152">
        <f ca="1">IFERROR(__xludf.DUMMYFUNCTION("IMPORTRANGE(""https://docs.google.com/spreadsheets/d/1iodCdmuK2GR3jzUwk8tpccY2JHQQA-87DLOtJP-ooyU/edit?usp=sharing"",""นราธิวาส!J241"")"),0)</f>
        <v>0</v>
      </c>
    </row>
    <row r="80" spans="1:101" ht="21" customHeight="1" x14ac:dyDescent="0.3">
      <c r="A80" s="147">
        <v>6</v>
      </c>
      <c r="B80" s="148" t="s">
        <v>108</v>
      </c>
      <c r="C80" s="149">
        <f t="shared" ca="1" si="90"/>
        <v>105500</v>
      </c>
      <c r="D80" s="150">
        <f t="shared" ca="1" si="234"/>
        <v>105500</v>
      </c>
      <c r="E80" s="151">
        <f ca="1">IFERROR(__xludf.DUMMYFUNCTION("IMPORTRANGE(""https://docs.google.com/spreadsheets/d/1-uDff_7J0KD5mKrp0Vvzr7lt3OU09vwQwhkpOPPYv2Y/edit?usp=sharing"",""งบพรบ!CV80"")"),82000)</f>
        <v>82000</v>
      </c>
      <c r="F80" s="151">
        <f ca="1">IFERROR(__xludf.DUMMYFUNCTION("IMPORTRANGE(""https://docs.google.com/spreadsheets/d/1-uDff_7J0KD5mKrp0Vvzr7lt3OU09vwQwhkpOPPYv2Y/edit?usp=sharing"",""งบพรบ!CW80"")"),23500)</f>
        <v>23500</v>
      </c>
      <c r="G80" s="151">
        <f ca="1">IFERROR(__xludf.DUMMYFUNCTION("IMPORTRANGE(""https://docs.google.com/spreadsheets/d/1-uDff_7J0KD5mKrp0Vvzr7lt3OU09vwQwhkpOPPYv2Y/edit?usp=sharing"",""งบพรบ!CX80"")"),0)</f>
        <v>0</v>
      </c>
      <c r="H80" s="151">
        <f ca="1">IFERROR(__xludf.DUMMYFUNCTION("IMPORTRANGE(""https://docs.google.com/spreadsheets/d/1-uDff_7J0KD5mKrp0Vvzr7lt3OU09vwQwhkpOPPYv2Y/edit?usp=sharing"",""งบพรบ!CZ80"")"),107500)</f>
        <v>107500</v>
      </c>
      <c r="I80" s="151">
        <f ca="1">IFERROR(__xludf.DUMMYFUNCTION("IMPORTRANGE(""https://docs.google.com/spreadsheets/d/1-uDff_7J0KD5mKrp0Vvzr7lt3OU09vwQwhkpOPPYv2Y/edit?usp=sharing"",""งบพรบ!DA80"")"),0)</f>
        <v>0</v>
      </c>
      <c r="J80" s="151">
        <f t="shared" ca="1" si="92"/>
        <v>97784</v>
      </c>
      <c r="K80" s="154">
        <f t="shared" ca="1" si="93"/>
        <v>92.686255924170609</v>
      </c>
      <c r="L80" s="151">
        <f ca="1">IFERROR(__xludf.DUMMYFUNCTION("IMPORTRANGE(""https://docs.google.com/spreadsheets/d/1-uDff_7J0KD5mKrp0Vvzr7lt3OU09vwQwhkpOPPYv2Y/edit?usp=sharing"",""งบพรบ!DB80"")"),97784)</f>
        <v>97784</v>
      </c>
      <c r="M80" s="68">
        <f t="shared" ca="1" si="94"/>
        <v>92.686255924170609</v>
      </c>
      <c r="N80" s="68">
        <f t="shared" ca="1" si="95"/>
        <v>90.961860465116274</v>
      </c>
      <c r="O80" s="67">
        <f ca="1">IFERROR(__xludf.DUMMYFUNCTION("IMPORTRANGE(""https://docs.google.com/spreadsheets/d/1-uDff_7J0KD5mKrp0Vvzr7lt3OU09vwQwhkpOPPYv2Y/edit?usp=sharing"",""งบพรบ!DC80"")"),0)</f>
        <v>0</v>
      </c>
      <c r="P80" s="67">
        <f t="shared" ca="1" si="96"/>
        <v>0</v>
      </c>
      <c r="Q80" s="68">
        <f t="shared" ca="1" si="97"/>
        <v>0</v>
      </c>
      <c r="R80" s="67">
        <f ca="1">IFERROR(__xludf.DUMMYFUNCTION("IMPORTRANGE(""https://docs.google.com/spreadsheets/d/1SDNX3JhDdYRuIOsj0Wh2M-Qa_eaXl0NbWmhAOTbfQAs/edit?usp=sharing"",""ปัตตานี!Q186"")"),0)</f>
        <v>0</v>
      </c>
      <c r="S80" s="67">
        <f ca="1">IFERROR(__xludf.DUMMYFUNCTION("IMPORTRANGE(""https://docs.google.com/spreadsheets/d/1SDNX3JhDdYRuIOsj0Wh2M-Qa_eaXl0NbWmhAOTbfQAs/edit?usp=sharing"",""ปัตตานี!R186"")"),0)</f>
        <v>0</v>
      </c>
      <c r="T80" s="67">
        <f ca="1">IFERROR(__xludf.DUMMYFUNCTION("IMPORTRANGE(""https://docs.google.com/spreadsheets/d/1SDNX3JhDdYRuIOsj0Wh2M-Qa_eaXl0NbWmhAOTbfQAs/edit?usp=sharing"",""ปัตตานี!S186"")"),0)</f>
        <v>0</v>
      </c>
      <c r="U80" s="68">
        <f t="shared" ca="1" si="99"/>
        <v>0</v>
      </c>
      <c r="V80" s="68">
        <f t="shared" ca="1" si="100"/>
        <v>0</v>
      </c>
      <c r="W80" s="152">
        <f ca="1">IFERROR(__xludf.DUMMYFUNCTION("IMPORTRANGE(""https://docs.google.com/spreadsheets/d/1SDNX3JhDdYRuIOsj0Wh2M-Qa_eaXl0NbWmhAOTbfQAs/edit?usp=sharing"",""ปัตตานี!L196"")"),6000)</f>
        <v>6000</v>
      </c>
      <c r="X80" s="152">
        <f ca="1">IFERROR(__xludf.DUMMYFUNCTION("IMPORTRANGE(""https://docs.google.com/spreadsheets/d/1SDNX3JhDdYRuIOsj0Wh2M-Qa_eaXl0NbWmhAOTbfQAs/edit?usp=sharing"",""ปัตตานี!N196"")"),5200)</f>
        <v>5200</v>
      </c>
      <c r="Y80" s="216">
        <f t="shared" ca="1" si="102"/>
        <v>86.666666666666671</v>
      </c>
      <c r="Z80" s="152">
        <f ca="1">IFERROR(__xludf.DUMMYFUNCTION("IMPORTRANGE(""https://docs.google.com/spreadsheets/d/1SDNX3JhDdYRuIOsj0Wh2M-Qa_eaXl0NbWmhAOTbfQAs/edit?usp=sharing"",""ปัตตานี!I198"")"),4)</f>
        <v>4</v>
      </c>
      <c r="AA80" s="152">
        <f ca="1">IFERROR(__xludf.DUMMYFUNCTION("IMPORTRANGE(""https://docs.google.com/spreadsheets/d/1SDNX3JhDdYRuIOsj0Wh2M-Qa_eaXl0NbWmhAOTbfQAs/edit?usp=sharing"",""ปัตตานี!J198"")"),4)</f>
        <v>4</v>
      </c>
      <c r="AB80" s="216">
        <f t="shared" ca="1" si="104"/>
        <v>100</v>
      </c>
      <c r="AC80" s="152">
        <f ca="1">IFERROR(__xludf.DUMMYFUNCTION("IMPORTRANGE(""https://docs.google.com/spreadsheets/d/1SDNX3JhDdYRuIOsj0Wh2M-Qa_eaXl0NbWmhAOTbfQAs/edit?usp=sharing"",""ปัตตานี!J199"")"),100)</f>
        <v>100</v>
      </c>
      <c r="AD80" s="152">
        <f ca="1">IFERROR(__xludf.DUMMYFUNCTION("IMPORTRANGE(""https://docs.google.com/spreadsheets/d/1SDNX3JhDdYRuIOsj0Wh2M-Qa_eaXl0NbWmhAOTbfQAs/edit?usp=sharing"",""ปัตตานี!J200"")"),100)</f>
        <v>100</v>
      </c>
      <c r="AE80" s="152">
        <f ca="1">IFERROR(__xludf.DUMMYFUNCTION("IMPORTRANGE(""https://docs.google.com/spreadsheets/d/1SDNX3JhDdYRuIOsj0Wh2M-Qa_eaXl0NbWmhAOTbfQAs/edit?usp=sharing"",""ปัตตานี!J201"")"),0)</f>
        <v>0</v>
      </c>
      <c r="AF80" s="152">
        <f ca="1">IFERROR(__xludf.DUMMYFUNCTION("IMPORTRANGE(""https://docs.google.com/spreadsheets/d/1SDNX3JhDdYRuIOsj0Wh2M-Qa_eaXl0NbWmhAOTbfQAs/edit?usp=sharing"",""ปัตตานี!L204"")"),1000)</f>
        <v>1000</v>
      </c>
      <c r="AG80" s="152">
        <f ca="1">IFERROR(__xludf.DUMMYFUNCTION("IMPORTRANGE(""https://docs.google.com/spreadsheets/d/1SDNX3JhDdYRuIOsj0Wh2M-Qa_eaXl0NbWmhAOTbfQAs/edit?usp=sharing"",""ปัตตานี!N204"")"),1000)</f>
        <v>1000</v>
      </c>
      <c r="AH80" s="216">
        <f t="shared" ca="1" si="106"/>
        <v>100</v>
      </c>
      <c r="AI80" s="152">
        <f ca="1">IFERROR(__xludf.DUMMYFUNCTION("IMPORTRANGE(""https://docs.google.com/spreadsheets/d/1SDNX3JhDdYRuIOsj0Wh2M-Qa_eaXl0NbWmhAOTbfQAs/edit?usp=sharing"",""ปัตตานี!L206"")"),8000)</f>
        <v>8000</v>
      </c>
      <c r="AJ80" s="152">
        <f ca="1">IFERROR(__xludf.DUMMYFUNCTION("IMPORTRANGE(""https://docs.google.com/spreadsheets/d/1SDNX3JhDdYRuIOsj0Wh2M-Qa_eaXl0NbWmhAOTbfQAs/edit?usp=sharing"",""ปัตตานี!N206"")"),8000)</f>
        <v>8000</v>
      </c>
      <c r="AK80" s="216">
        <f t="shared" ca="1" si="108"/>
        <v>100</v>
      </c>
      <c r="AL80" s="152">
        <f ca="1">IFERROR(__xludf.DUMMYFUNCTION("IMPORTRANGE(""https://docs.google.com/spreadsheets/d/1SDNX3JhDdYRuIOsj0Wh2M-Qa_eaXl0NbWmhAOTbfQAs/edit?usp=sharing"",""ปัตตานี!Q206"")"),0)</f>
        <v>0</v>
      </c>
      <c r="AM80" s="152">
        <f ca="1">IFERROR(__xludf.DUMMYFUNCTION("IMPORTRANGE(""https://docs.google.com/spreadsheets/d/1SDNX3JhDdYRuIOsj0Wh2M-Qa_eaXl0NbWmhAOTbfQAs/edit?usp=sharing"",""ปัตตานี!S206"")"),0)</f>
        <v>0</v>
      </c>
      <c r="AN80" s="216">
        <f t="shared" ca="1" si="110"/>
        <v>0</v>
      </c>
      <c r="AO80" s="152">
        <f ca="1">IFERROR(__xludf.DUMMYFUNCTION("IMPORTRANGE(""https://docs.google.com/spreadsheets/d/1SDNX3JhDdYRuIOsj0Wh2M-Qa_eaXl0NbWmhAOTbfQAs/edit?usp=sharing"",""ปัตตานี!L207"")"),4000)</f>
        <v>4000</v>
      </c>
      <c r="AP80" s="152">
        <f ca="1">IFERROR(__xludf.DUMMYFUNCTION("IMPORTRANGE(""https://docs.google.com/spreadsheets/d/1SDNX3JhDdYRuIOsj0Wh2M-Qa_eaXl0NbWmhAOTbfQAs/edit?usp=sharing"",""ปัตตานี!N207"")"),4000)</f>
        <v>4000</v>
      </c>
      <c r="AQ80" s="216">
        <f t="shared" ca="1" si="112"/>
        <v>100</v>
      </c>
      <c r="AR80" s="152">
        <f ca="1">IFERROR(__xludf.DUMMYFUNCTION("IMPORTRANGE(""https://docs.google.com/spreadsheets/d/1SDNX3JhDdYRuIOsj0Wh2M-Qa_eaXl0NbWmhAOTbfQAs/edit?usp=sharing"",""ปัตตานี!I209"")"),1)</f>
        <v>1</v>
      </c>
      <c r="AS80" s="152">
        <f ca="1">IFERROR(__xludf.DUMMYFUNCTION("IMPORTRANGE(""https://docs.google.com/spreadsheets/d/1SDNX3JhDdYRuIOsj0Wh2M-Qa_eaXl0NbWmhAOTbfQAs/edit?usp=sharing"",""ปัตตานี!J209"")"),1)</f>
        <v>1</v>
      </c>
      <c r="AT80" s="216">
        <f t="shared" ca="1" si="114"/>
        <v>100</v>
      </c>
      <c r="AU80" s="152">
        <f ca="1">IFERROR(__xludf.DUMMYFUNCTION("IMPORTRANGE(""https://docs.google.com/spreadsheets/d/1SDNX3JhDdYRuIOsj0Wh2M-Qa_eaXl0NbWmhAOTbfQAs/edit?usp=sharing"",""ปัตตานี!J211"")"),1)</f>
        <v>1</v>
      </c>
      <c r="AV80" s="152">
        <f ca="1">IFERROR(__xludf.DUMMYFUNCTION("IMPORTRANGE(""https://docs.google.com/spreadsheets/d/1SDNX3JhDdYRuIOsj0Wh2M-Qa_eaXl0NbWmhAOTbfQAs/edit?usp=sharing"",""ปัตตานี!J212"")"),0)</f>
        <v>0</v>
      </c>
      <c r="AW80" s="152">
        <f ca="1">IFERROR(__xludf.DUMMYFUNCTION("IMPORTRANGE(""https://docs.google.com/spreadsheets/d/1SDNX3JhDdYRuIOsj0Wh2M-Qa_eaXl0NbWmhAOTbfQAs/edit?usp=sharing"",""ปัตตานี!L215"")"),0)</f>
        <v>0</v>
      </c>
      <c r="AX80" s="152">
        <f ca="1">IFERROR(__xludf.DUMMYFUNCTION("IMPORTRANGE(""https://docs.google.com/spreadsheets/d/1SDNX3JhDdYRuIOsj0Wh2M-Qa_eaXl0NbWmhAOTbfQAs/edit?usp=sharing"",""ปัตตานี!N215"")"),0)</f>
        <v>0</v>
      </c>
      <c r="AY80" s="216">
        <f t="shared" ca="1" si="116"/>
        <v>0</v>
      </c>
      <c r="AZ80" s="152">
        <f ca="1">IFERROR(__xludf.DUMMYFUNCTION("IMPORTRANGE(""https://docs.google.com/spreadsheets/d/1SDNX3JhDdYRuIOsj0Wh2M-Qa_eaXl0NbWmhAOTbfQAs/edit?usp=sharing"",""ปัตตานี!L216"")"),0)</f>
        <v>0</v>
      </c>
      <c r="BA80" s="152">
        <f ca="1">IFERROR(__xludf.DUMMYFUNCTION("IMPORTRANGE(""https://docs.google.com/spreadsheets/d/1SDNX3JhDdYRuIOsj0Wh2M-Qa_eaXl0NbWmhAOTbfQAs/edit?usp=sharing"",""ปัตตานี!N216"")"),0)</f>
        <v>0</v>
      </c>
      <c r="BB80" s="216">
        <f t="shared" ca="1" si="118"/>
        <v>0</v>
      </c>
      <c r="BC80" s="152">
        <f ca="1">IFERROR(__xludf.DUMMYFUNCTION("IMPORTRANGE(""https://docs.google.com/spreadsheets/d/1SDNX3JhDdYRuIOsj0Wh2M-Qa_eaXl0NbWmhAOTbfQAs/edit?usp=sharing"",""ปัตตานี!L217"")"),0)</f>
        <v>0</v>
      </c>
      <c r="BD80" s="152">
        <f ca="1">IFERROR(__xludf.DUMMYFUNCTION("IMPORTRANGE(""https://docs.google.com/spreadsheets/d/1SDNX3JhDdYRuIOsj0Wh2M-Qa_eaXl0NbWmhAOTbfQAs/edit?usp=sharing"",""ปัตตานี!N217"")"),0)</f>
        <v>0</v>
      </c>
      <c r="BE80" s="216">
        <f t="shared" ca="1" si="120"/>
        <v>0</v>
      </c>
      <c r="BF80" s="152">
        <f ca="1">IFERROR(__xludf.DUMMYFUNCTION("IMPORTRANGE(""https://docs.google.com/spreadsheets/d/1SDNX3JhDdYRuIOsj0Wh2M-Qa_eaXl0NbWmhAOTbfQAs/edit?usp=sharing"",""ปัตตานี!Q217"")"),0)</f>
        <v>0</v>
      </c>
      <c r="BG80" s="152">
        <f ca="1">IFERROR(__xludf.DUMMYFUNCTION("IMPORTRANGE(""https://docs.google.com/spreadsheets/d/1SDNX3JhDdYRuIOsj0Wh2M-Qa_eaXl0NbWmhAOTbfQAs/edit?usp=sharing"",""ปัตตานี!S217"")"),0)</f>
        <v>0</v>
      </c>
      <c r="BH80" s="216">
        <f t="shared" ca="1" si="122"/>
        <v>0</v>
      </c>
      <c r="BI80" s="152">
        <f ca="1">IFERROR(__xludf.DUMMYFUNCTION("IMPORTRANGE(""https://docs.google.com/spreadsheets/d/1SDNX3JhDdYRuIOsj0Wh2M-Qa_eaXl0NbWmhAOTbfQAs/edit?usp=sharing"",""ปัตตานี!I219"")"),0)</f>
        <v>0</v>
      </c>
      <c r="BJ80" s="152">
        <f ca="1">IFERROR(__xludf.DUMMYFUNCTION("IMPORTRANGE(""https://docs.google.com/spreadsheets/d/1SDNX3JhDdYRuIOsj0Wh2M-Qa_eaXl0NbWmhAOTbfQAs/edit?usp=sharing"",""ปัตตานี!J219"")"),0)</f>
        <v>0</v>
      </c>
      <c r="BK80" s="216">
        <f t="shared" ca="1" si="124"/>
        <v>0</v>
      </c>
      <c r="BL80" s="152">
        <f ca="1">IFERROR(__xludf.DUMMYFUNCTION("IMPORTRANGE(""https://docs.google.com/spreadsheets/d/1SDNX3JhDdYRuIOsj0Wh2M-Qa_eaXl0NbWmhAOTbfQAs/edit?usp=sharing"",""ปัตตานี!I220"")"),0)</f>
        <v>0</v>
      </c>
      <c r="BM80" s="152">
        <f ca="1">IFERROR(__xludf.DUMMYFUNCTION("IMPORTRANGE(""https://docs.google.com/spreadsheets/d/1SDNX3JhDdYRuIOsj0Wh2M-Qa_eaXl0NbWmhAOTbfQAs/edit?usp=sharing"",""ปัตตานี!J220"")"),0)</f>
        <v>0</v>
      </c>
      <c r="BN80" s="216">
        <f t="shared" ca="1" si="126"/>
        <v>0</v>
      </c>
      <c r="BO80" s="152">
        <f ca="1">IFERROR(__xludf.DUMMYFUNCTION("IMPORTRANGE(""https://docs.google.com/spreadsheets/d/1SDNX3JhDdYRuIOsj0Wh2M-Qa_eaXl0NbWmhAOTbfQAs/edit?usp=sharing"",""ปัตตานี!L223"")"),2500)</f>
        <v>2500</v>
      </c>
      <c r="BP80" s="152">
        <f ca="1">IFERROR(__xludf.DUMMYFUNCTION("IMPORTRANGE(""https://docs.google.com/spreadsheets/d/1SDNX3JhDdYRuIOsj0Wh2M-Qa_eaXl0NbWmhAOTbfQAs/edit?usp=sharing"",""ปัตตานี!N223"")"),1020)</f>
        <v>1020</v>
      </c>
      <c r="BQ80" s="216">
        <f t="shared" ca="1" si="128"/>
        <v>40.799999999999997</v>
      </c>
      <c r="BR80" s="152">
        <f ca="1">IFERROR(__xludf.DUMMYFUNCTION("IMPORTRANGE(""https://docs.google.com/spreadsheets/d/1SDNX3JhDdYRuIOsj0Wh2M-Qa_eaXl0NbWmhAOTbfQAs/edit?usp=sharing"",""ปัตตานี!L224"")"),2000)</f>
        <v>2000</v>
      </c>
      <c r="BS80" s="152">
        <f ca="1">IFERROR(__xludf.DUMMYFUNCTION("IMPORTRANGE(""https://docs.google.com/spreadsheets/d/1SDNX3JhDdYRuIOsj0Wh2M-Qa_eaXl0NbWmhAOTbfQAs/edit?usp=sharing"",""ปัตตานี!N224"")"),3000)</f>
        <v>3000</v>
      </c>
      <c r="BT80" s="216">
        <f t="shared" ca="1" si="130"/>
        <v>150</v>
      </c>
      <c r="BU80" s="152">
        <f ca="1">IFERROR(__xludf.DUMMYFUNCTION("IMPORTRANGE(""https://docs.google.com/spreadsheets/d/1SDNX3JhDdYRuIOsj0Wh2M-Qa_eaXl0NbWmhAOTbfQAs/edit?usp=sharing"",""ปัตตานี!I228"")"),12800)</f>
        <v>12800</v>
      </c>
      <c r="BV80" s="152">
        <f ca="1">IFERROR(__xludf.DUMMYFUNCTION("IMPORTRANGE(""https://docs.google.com/spreadsheets/d/1SDNX3JhDdYRuIOsj0Wh2M-Qa_eaXl0NbWmhAOTbfQAs/edit?usp=sharing"",""ปัตตานี!J228"")"),12800)</f>
        <v>12800</v>
      </c>
      <c r="BW80" s="216">
        <f t="shared" ca="1" si="132"/>
        <v>100</v>
      </c>
      <c r="BX80" s="152">
        <f ca="1">IFERROR(__xludf.DUMMYFUNCTION("IMPORTRANGE(""https://docs.google.com/spreadsheets/d/1SDNX3JhDdYRuIOsj0Wh2M-Qa_eaXl0NbWmhAOTbfQAs/edit?usp=sharing"",""ปัตตานี!I229"")"),12800)</f>
        <v>12800</v>
      </c>
      <c r="BY80" s="152">
        <f ca="1">IFERROR(__xludf.DUMMYFUNCTION("IMPORTRANGE(""https://docs.google.com/spreadsheets/d/1SDNX3JhDdYRuIOsj0Wh2M-Qa_eaXl0NbWmhAOTbfQAs/edit?usp=sharing"",""ปัตตานี!J229"")"),12800)</f>
        <v>12800</v>
      </c>
      <c r="BZ80" s="216">
        <f t="shared" ca="1" si="134"/>
        <v>100</v>
      </c>
      <c r="CA80" s="152">
        <f ca="1">IFERROR(__xludf.DUMMYFUNCTION("IMPORTRANGE(""https://docs.google.com/spreadsheets/d/1SDNX3JhDdYRuIOsj0Wh2M-Qa_eaXl0NbWmhAOTbfQAs/edit?usp=sharing"",""ปัตตานี!I230"")"),0)</f>
        <v>0</v>
      </c>
      <c r="CB80" s="152">
        <f ca="1">IFERROR(__xludf.DUMMYFUNCTION("IMPORTRANGE(""https://docs.google.com/spreadsheets/d/1SDNX3JhDdYRuIOsj0Wh2M-Qa_eaXl0NbWmhAOTbfQAs/edit?usp=sharing"",""ปัตตานี!J230"")"),0)</f>
        <v>0</v>
      </c>
      <c r="CC80" s="216">
        <f t="shared" ca="1" si="136"/>
        <v>0</v>
      </c>
      <c r="CD80" s="152">
        <f ca="1">IFERROR(__xludf.DUMMYFUNCTION("IMPORTRANGE(""https://docs.google.com/spreadsheets/d/1SDNX3JhDdYRuIOsj0Wh2M-Qa_eaXl0NbWmhAOTbfQAs/edit?usp=sharing"",""ปัตตานี!L233"")"),0)</f>
        <v>0</v>
      </c>
      <c r="CE80" s="152">
        <f ca="1">IFERROR(__xludf.DUMMYFUNCTION("IMPORTRANGE(""https://docs.google.com/spreadsheets/d/1SDNX3JhDdYRuIOsj0Wh2M-Qa_eaXl0NbWmhAOTbfQAs/edit?usp=sharing"",""ปัตตานี!N233"")"),0)</f>
        <v>0</v>
      </c>
      <c r="CF80" s="216">
        <f t="shared" ca="1" si="138"/>
        <v>0</v>
      </c>
      <c r="CG80" s="152">
        <f ca="1">IFERROR(__xludf.DUMMYFUNCTION("IMPORTRANGE(""https://docs.google.com/spreadsheets/d/1SDNX3JhDdYRuIOsj0Wh2M-Qa_eaXl0NbWmhAOTbfQAs/edit?usp=sharing"",""ปัตตานี!L234"")"),0)</f>
        <v>0</v>
      </c>
      <c r="CH80" s="152">
        <f ca="1">IFERROR(__xludf.DUMMYFUNCTION("IMPORTRANGE(""https://docs.google.com/spreadsheets/d/1SDNX3JhDdYRuIOsj0Wh2M-Qa_eaXl0NbWmhAOTbfQAs/edit?usp=sharing"",""ปัตตานี!N234"")"),0)</f>
        <v>0</v>
      </c>
      <c r="CI80" s="216">
        <f t="shared" ca="1" si="140"/>
        <v>0</v>
      </c>
      <c r="CJ80" s="152">
        <f ca="1">IFERROR(__xludf.DUMMYFUNCTION("IMPORTRANGE(""https://docs.google.com/spreadsheets/d/1SDNX3JhDdYRuIOsj0Wh2M-Qa_eaXl0NbWmhAOTbfQAs/edit?usp=sharing"",""ปัตตานี!L235"")"),0)</f>
        <v>0</v>
      </c>
      <c r="CK80" s="152">
        <f ca="1">IFERROR(__xludf.DUMMYFUNCTION("IMPORTRANGE(""https://docs.google.com/spreadsheets/d/1SDNX3JhDdYRuIOsj0Wh2M-Qa_eaXl0NbWmhAOTbfQAs/edit?usp=sharing"",""ปัตตานี!N235"")"),0)</f>
        <v>0</v>
      </c>
      <c r="CL80" s="216">
        <f t="shared" ca="1" si="142"/>
        <v>0</v>
      </c>
      <c r="CM80" s="251">
        <f ca="1">IFERROR(__xludf.DUMMYFUNCTION("IMPORTRANGE(""https://docs.google.com/spreadsheets/d/1SDNX3JhDdYRuIOsj0Wh2M-Qa_eaXl0NbWmhAOTbfQAs/edit?usp=sharing"",""ปัตตานี!Q235"")"),0)</f>
        <v>0</v>
      </c>
      <c r="CN80" s="251">
        <f ca="1">IFERROR(__xludf.DUMMYFUNCTION("IMPORTRANGE(""https://docs.google.com/spreadsheets/d/1SDNX3JhDdYRuIOsj0Wh2M-Qa_eaXl0NbWmhAOTbfQAs/edit?usp=sharing"",""ปัตตานี!S235"")"),0)</f>
        <v>0</v>
      </c>
      <c r="CO80" s="216">
        <f t="shared" ca="1" si="144"/>
        <v>0</v>
      </c>
      <c r="CP80" s="152">
        <f ca="1">IFERROR(__xludf.DUMMYFUNCTION("IMPORTRANGE(""https://docs.google.com/spreadsheets/d/1SDNX3JhDdYRuIOsj0Wh2M-Qa_eaXl0NbWmhAOTbfQAs/edit?usp=sharing"",""ปัตตานี!L236"")"),0)</f>
        <v>0</v>
      </c>
      <c r="CQ80" s="152">
        <f ca="1">IFERROR(__xludf.DUMMYFUNCTION("IMPORTRANGE(""https://docs.google.com/spreadsheets/d/1SDNX3JhDdYRuIOsj0Wh2M-Qa_eaXl0NbWmhAOTbfQAs/edit?usp=sharing"",""ปัตตานี!N236"")"),0)</f>
        <v>0</v>
      </c>
      <c r="CR80" s="216">
        <f t="shared" ca="1" si="146"/>
        <v>0</v>
      </c>
      <c r="CS80" s="152">
        <f ca="1">IFERROR(__xludf.DUMMYFUNCTION("IMPORTRANGE(""https://docs.google.com/spreadsheets/d/1SDNX3JhDdYRuIOsj0Wh2M-Qa_eaXl0NbWmhAOTbfQAs/edit?usp=sharing"",""ปัตตานี!I238"")"),0)</f>
        <v>0</v>
      </c>
      <c r="CT80" s="152">
        <f ca="1">IFERROR(__xludf.DUMMYFUNCTION("IMPORTRANGE(""https://docs.google.com/spreadsheets/d/1SDNX3JhDdYRuIOsj0Wh2M-Qa_eaXl0NbWmhAOTbfQAs/edit?usp=sharing"",""ปัตตานี!J238"")"),0)</f>
        <v>0</v>
      </c>
      <c r="CU80" s="216">
        <f t="shared" ca="1" si="148"/>
        <v>0</v>
      </c>
      <c r="CV80" s="152">
        <f ca="1">IFERROR(__xludf.DUMMYFUNCTION("IMPORTRANGE(""https://docs.google.com/spreadsheets/d/1SDNX3JhDdYRuIOsj0Wh2M-Qa_eaXl0NbWmhAOTbfQAs/edit?usp=sharing"",""ปัตตานี!J240"")"),0)</f>
        <v>0</v>
      </c>
      <c r="CW80" s="152">
        <f ca="1">IFERROR(__xludf.DUMMYFUNCTION("IMPORTRANGE(""https://docs.google.com/spreadsheets/d/1SDNX3JhDdYRuIOsj0Wh2M-Qa_eaXl0NbWmhAOTbfQAs/edit?usp=sharing"",""ปัตตานี!J241"")"),0)</f>
        <v>0</v>
      </c>
    </row>
    <row r="81" spans="1:101" ht="21" customHeight="1" x14ac:dyDescent="0.3">
      <c r="A81" s="147">
        <v>7</v>
      </c>
      <c r="B81" s="148" t="s">
        <v>109</v>
      </c>
      <c r="C81" s="149">
        <f t="shared" ca="1" si="90"/>
        <v>105500</v>
      </c>
      <c r="D81" s="150">
        <f t="shared" ca="1" si="234"/>
        <v>105500</v>
      </c>
      <c r="E81" s="151">
        <f ca="1">IFERROR(__xludf.DUMMYFUNCTION("IMPORTRANGE(""https://docs.google.com/spreadsheets/d/1-uDff_7J0KD5mKrp0Vvzr7lt3OU09vwQwhkpOPPYv2Y/edit?usp=sharing"",""งบพรบ!CV81"")"),82000)</f>
        <v>82000</v>
      </c>
      <c r="F81" s="151">
        <f ca="1">IFERROR(__xludf.DUMMYFUNCTION("IMPORTRANGE(""https://docs.google.com/spreadsheets/d/1-uDff_7J0KD5mKrp0Vvzr7lt3OU09vwQwhkpOPPYv2Y/edit?usp=sharing"",""งบพรบ!CW81"")"),23500)</f>
        <v>23500</v>
      </c>
      <c r="G81" s="151">
        <f ca="1">IFERROR(__xludf.DUMMYFUNCTION("IMPORTRANGE(""https://docs.google.com/spreadsheets/d/1-uDff_7J0KD5mKrp0Vvzr7lt3OU09vwQwhkpOPPYv2Y/edit?usp=sharing"",""งบพรบ!CX81"")"),0)</f>
        <v>0</v>
      </c>
      <c r="H81" s="151">
        <f ca="1">IFERROR(__xludf.DUMMYFUNCTION("IMPORTRANGE(""https://docs.google.com/spreadsheets/d/1-uDff_7J0KD5mKrp0Vvzr7lt3OU09vwQwhkpOPPYv2Y/edit?usp=sharing"",""งบพรบ!CZ81"")"),107500)</f>
        <v>107500</v>
      </c>
      <c r="I81" s="151">
        <f ca="1">IFERROR(__xludf.DUMMYFUNCTION("IMPORTRANGE(""https://docs.google.com/spreadsheets/d/1-uDff_7J0KD5mKrp0Vvzr7lt3OU09vwQwhkpOPPYv2Y/edit?usp=sharing"",""งบพรบ!DA81"")"),0)</f>
        <v>0</v>
      </c>
      <c r="J81" s="151">
        <f t="shared" ca="1" si="92"/>
        <v>105180.5</v>
      </c>
      <c r="K81" s="154">
        <f t="shared" ca="1" si="93"/>
        <v>99.697156398104269</v>
      </c>
      <c r="L81" s="151">
        <f ca="1">IFERROR(__xludf.DUMMYFUNCTION("IMPORTRANGE(""https://docs.google.com/spreadsheets/d/1-uDff_7J0KD5mKrp0Vvzr7lt3OU09vwQwhkpOPPYv2Y/edit?usp=sharing"",""งบพรบ!DB81"")"),105180.5)</f>
        <v>105180.5</v>
      </c>
      <c r="M81" s="68">
        <f t="shared" ca="1" si="94"/>
        <v>99.697156398104269</v>
      </c>
      <c r="N81" s="68">
        <f t="shared" ca="1" si="95"/>
        <v>97.842325581395343</v>
      </c>
      <c r="O81" s="67">
        <f ca="1">IFERROR(__xludf.DUMMYFUNCTION("IMPORTRANGE(""https://docs.google.com/spreadsheets/d/1-uDff_7J0KD5mKrp0Vvzr7lt3OU09vwQwhkpOPPYv2Y/edit?usp=sharing"",""งบพรบ!DC81"")"),0)</f>
        <v>0</v>
      </c>
      <c r="P81" s="67">
        <f t="shared" ca="1" si="96"/>
        <v>0</v>
      </c>
      <c r="Q81" s="68">
        <f t="shared" ca="1" si="97"/>
        <v>0</v>
      </c>
      <c r="R81" s="67">
        <f ca="1">IFERROR(__xludf.DUMMYFUNCTION("IMPORTRANGE(""https://docs.google.com/spreadsheets/d/16JDLGguT8s5DsGCND1KcwHP_AWR_zDMTqLHPLJUKhaU/edit?usp=sharing"",""พังงา!Q186"")"),28000)</f>
        <v>28000</v>
      </c>
      <c r="S81" s="67">
        <f ca="1">IFERROR(__xludf.DUMMYFUNCTION("IMPORTRANGE(""https://docs.google.com/spreadsheets/d/16JDLGguT8s5DsGCND1KcwHP_AWR_zDMTqLHPLJUKhaU/edit?usp=sharing"",""พังงา!R186"")"),28000)</f>
        <v>28000</v>
      </c>
      <c r="T81" s="67">
        <f ca="1">IFERROR(__xludf.DUMMYFUNCTION("IMPORTRANGE(""https://docs.google.com/spreadsheets/d/16JDLGguT8s5DsGCND1KcwHP_AWR_zDMTqLHPLJUKhaU/edit?usp=sharing"",""พังงา!S186"")"),28000)</f>
        <v>28000</v>
      </c>
      <c r="U81" s="68">
        <f t="shared" ca="1" si="99"/>
        <v>100</v>
      </c>
      <c r="V81" s="68">
        <f t="shared" ca="1" si="100"/>
        <v>100</v>
      </c>
      <c r="W81" s="152">
        <f ca="1">IFERROR(__xludf.DUMMYFUNCTION("IMPORTRANGE(""https://docs.google.com/spreadsheets/d/16JDLGguT8s5DsGCND1KcwHP_AWR_zDMTqLHPLJUKhaU/edit?usp=sharing"",""พังงา!L196"")"),6000)</f>
        <v>6000</v>
      </c>
      <c r="X81" s="152">
        <f ca="1">IFERROR(__xludf.DUMMYFUNCTION("IMPORTRANGE(""https://docs.google.com/spreadsheets/d/16JDLGguT8s5DsGCND1KcwHP_AWR_zDMTqLHPLJUKhaU/edit?usp=sharing"",""พังงา!N196"")"),2620)</f>
        <v>2620</v>
      </c>
      <c r="Y81" s="216">
        <f t="shared" ca="1" si="102"/>
        <v>43.666666666666664</v>
      </c>
      <c r="Z81" s="152">
        <f ca="1">IFERROR(__xludf.DUMMYFUNCTION("IMPORTRANGE(""https://docs.google.com/spreadsheets/d/16JDLGguT8s5DsGCND1KcwHP_AWR_zDMTqLHPLJUKhaU/edit?usp=sharing"",""พังงา!I198"")"),4)</f>
        <v>4</v>
      </c>
      <c r="AA81" s="152">
        <f ca="1">IFERROR(__xludf.DUMMYFUNCTION("IMPORTRANGE(""https://docs.google.com/spreadsheets/d/16JDLGguT8s5DsGCND1KcwHP_AWR_zDMTqLHPLJUKhaU/edit?usp=sharing"",""พังงา!J198"")"),3)</f>
        <v>3</v>
      </c>
      <c r="AB81" s="216">
        <f t="shared" ca="1" si="104"/>
        <v>75</v>
      </c>
      <c r="AC81" s="152">
        <f ca="1">IFERROR(__xludf.DUMMYFUNCTION("IMPORTRANGE(""https://docs.google.com/spreadsheets/d/16JDLGguT8s5DsGCND1KcwHP_AWR_zDMTqLHPLJUKhaU/edit?usp=sharing"",""พังงา!J199"")"),128)</f>
        <v>128</v>
      </c>
      <c r="AD81" s="152">
        <f ca="1">IFERROR(__xludf.DUMMYFUNCTION("IMPORTRANGE(""https://docs.google.com/spreadsheets/d/16JDLGguT8s5DsGCND1KcwHP_AWR_zDMTqLHPLJUKhaU/edit?usp=sharing"",""พังงา!J200"")"),128)</f>
        <v>128</v>
      </c>
      <c r="AE81" s="152">
        <f ca="1">IFERROR(__xludf.DUMMYFUNCTION("IMPORTRANGE(""https://docs.google.com/spreadsheets/d/16JDLGguT8s5DsGCND1KcwHP_AWR_zDMTqLHPLJUKhaU/edit?usp=sharing"",""พังงา!J201"")"),0)</f>
        <v>0</v>
      </c>
      <c r="AF81" s="152">
        <f ca="1">IFERROR(__xludf.DUMMYFUNCTION("IMPORTRANGE(""https://docs.google.com/spreadsheets/d/16JDLGguT8s5DsGCND1KcwHP_AWR_zDMTqLHPLJUKhaU/edit?usp=sharing"",""พังงา!L204"")"),2000)</f>
        <v>2000</v>
      </c>
      <c r="AG81" s="152">
        <f ca="1">IFERROR(__xludf.DUMMYFUNCTION("IMPORTRANGE(""https://docs.google.com/spreadsheets/d/16JDLGguT8s5DsGCND1KcwHP_AWR_zDMTqLHPLJUKhaU/edit?usp=sharing"",""พังงา!N204"")"),1000)</f>
        <v>1000</v>
      </c>
      <c r="AH81" s="216">
        <f t="shared" ca="1" si="106"/>
        <v>50</v>
      </c>
      <c r="AI81" s="152">
        <f ca="1">IFERROR(__xludf.DUMMYFUNCTION("IMPORTRANGE(""https://docs.google.com/spreadsheets/d/16JDLGguT8s5DsGCND1KcwHP_AWR_zDMTqLHPLJUKhaU/edit?usp=sharing"",""พังงา!L206"")"),0)</f>
        <v>0</v>
      </c>
      <c r="AJ81" s="152">
        <f ca="1">IFERROR(__xludf.DUMMYFUNCTION("IMPORTRANGE(""https://docs.google.com/spreadsheets/d/16JDLGguT8s5DsGCND1KcwHP_AWR_zDMTqLHPLJUKhaU/edit?usp=sharing"",""พังงา!N206"")"),0)</f>
        <v>0</v>
      </c>
      <c r="AK81" s="216">
        <f t="shared" ca="1" si="108"/>
        <v>0</v>
      </c>
      <c r="AL81" s="152">
        <f ca="1">IFERROR(__xludf.DUMMYFUNCTION("IMPORTRANGE(""https://docs.google.com/spreadsheets/d/16JDLGguT8s5DsGCND1KcwHP_AWR_zDMTqLHPLJUKhaU/edit?usp=sharing"",""พังงา!Q206"")"),28000)</f>
        <v>28000</v>
      </c>
      <c r="AM81" s="152">
        <f ca="1">IFERROR(__xludf.DUMMYFUNCTION("IMPORTRANGE(""https://docs.google.com/spreadsheets/d/16JDLGguT8s5DsGCND1KcwHP_AWR_zDMTqLHPLJUKhaU/edit?usp=sharing"",""พังงา!S206"")"),28000)</f>
        <v>28000</v>
      </c>
      <c r="AN81" s="216">
        <f t="shared" ca="1" si="110"/>
        <v>100</v>
      </c>
      <c r="AO81" s="152">
        <f ca="1">IFERROR(__xludf.DUMMYFUNCTION("IMPORTRANGE(""https://docs.google.com/spreadsheets/d/16JDLGguT8s5DsGCND1KcwHP_AWR_zDMTqLHPLJUKhaU/edit?usp=sharing"",""พังงา!L207"")"),11000)</f>
        <v>11000</v>
      </c>
      <c r="AP81" s="152">
        <f ca="1">IFERROR(__xludf.DUMMYFUNCTION("IMPORTRANGE(""https://docs.google.com/spreadsheets/d/16JDLGguT8s5DsGCND1KcwHP_AWR_zDMTqLHPLJUKhaU/edit?usp=sharing"",""พังงา!N207"")"),11000)</f>
        <v>11000</v>
      </c>
      <c r="AQ81" s="216">
        <f t="shared" ca="1" si="112"/>
        <v>100</v>
      </c>
      <c r="AR81" s="152">
        <f ca="1">IFERROR(__xludf.DUMMYFUNCTION("IMPORTRANGE(""https://docs.google.com/spreadsheets/d/16JDLGguT8s5DsGCND1KcwHP_AWR_zDMTqLHPLJUKhaU/edit?usp=sharing"",""พังงา!I209"")"),2)</f>
        <v>2</v>
      </c>
      <c r="AS81" s="152">
        <f ca="1">IFERROR(__xludf.DUMMYFUNCTION("IMPORTRANGE(""https://docs.google.com/spreadsheets/d/16JDLGguT8s5DsGCND1KcwHP_AWR_zDMTqLHPLJUKhaU/edit?usp=sharing"",""พังงา!J209"")"),2)</f>
        <v>2</v>
      </c>
      <c r="AT81" s="216">
        <f t="shared" ca="1" si="114"/>
        <v>100</v>
      </c>
      <c r="AU81" s="152">
        <f ca="1">IFERROR(__xludf.DUMMYFUNCTION("IMPORTRANGE(""https://docs.google.com/spreadsheets/d/16JDLGguT8s5DsGCND1KcwHP_AWR_zDMTqLHPLJUKhaU/edit?usp=sharing"",""พังงา!J211"")"),2)</f>
        <v>2</v>
      </c>
      <c r="AV81" s="152">
        <f ca="1">IFERROR(__xludf.DUMMYFUNCTION("IMPORTRANGE(""https://docs.google.com/spreadsheets/d/16JDLGguT8s5DsGCND1KcwHP_AWR_zDMTqLHPLJUKhaU/edit?usp=sharing"",""พังงา!J212"")"),1)</f>
        <v>1</v>
      </c>
      <c r="AW81" s="152">
        <f ca="1">IFERROR(__xludf.DUMMYFUNCTION("IMPORTRANGE(""https://docs.google.com/spreadsheets/d/16JDLGguT8s5DsGCND1KcwHP_AWR_zDMTqLHPLJUKhaU/edit?usp=sharing"",""พังงา!L215"")"),0)</f>
        <v>0</v>
      </c>
      <c r="AX81" s="152">
        <f ca="1">IFERROR(__xludf.DUMMYFUNCTION("IMPORTRANGE(""https://docs.google.com/spreadsheets/d/16JDLGguT8s5DsGCND1KcwHP_AWR_zDMTqLHPLJUKhaU/edit?usp=sharing"",""พังงา!N215"")"),0)</f>
        <v>0</v>
      </c>
      <c r="AY81" s="216">
        <f t="shared" ca="1" si="116"/>
        <v>0</v>
      </c>
      <c r="AZ81" s="152">
        <f ca="1">IFERROR(__xludf.DUMMYFUNCTION("IMPORTRANGE(""https://docs.google.com/spreadsheets/d/16JDLGguT8s5DsGCND1KcwHP_AWR_zDMTqLHPLJUKhaU/edit?usp=sharing"",""พังงา!L216"")"),0)</f>
        <v>0</v>
      </c>
      <c r="BA81" s="152">
        <f ca="1">IFERROR(__xludf.DUMMYFUNCTION("IMPORTRANGE(""https://docs.google.com/spreadsheets/d/16JDLGguT8s5DsGCND1KcwHP_AWR_zDMTqLHPLJUKhaU/edit?usp=sharing"",""พังงา!N216"")"),0)</f>
        <v>0</v>
      </c>
      <c r="BB81" s="216">
        <f t="shared" ca="1" si="118"/>
        <v>0</v>
      </c>
      <c r="BC81" s="152">
        <f ca="1">IFERROR(__xludf.DUMMYFUNCTION("IMPORTRANGE(""https://docs.google.com/spreadsheets/d/16JDLGguT8s5DsGCND1KcwHP_AWR_zDMTqLHPLJUKhaU/edit?usp=sharing"",""พังงา!L217"")"),0)</f>
        <v>0</v>
      </c>
      <c r="BD81" s="152">
        <f ca="1">IFERROR(__xludf.DUMMYFUNCTION("IMPORTRANGE(""https://docs.google.com/spreadsheets/d/16JDLGguT8s5DsGCND1KcwHP_AWR_zDMTqLHPLJUKhaU/edit?usp=sharing"",""พังงา!N217"")"),0)</f>
        <v>0</v>
      </c>
      <c r="BE81" s="216">
        <f t="shared" ca="1" si="120"/>
        <v>0</v>
      </c>
      <c r="BF81" s="152">
        <f ca="1">IFERROR(__xludf.DUMMYFUNCTION("IMPORTRANGE(""https://docs.google.com/spreadsheets/d/16JDLGguT8s5DsGCND1KcwHP_AWR_zDMTqLHPLJUKhaU/edit?usp=sharing"",""พังงา!Q217"")"),0)</f>
        <v>0</v>
      </c>
      <c r="BG81" s="152">
        <f ca="1">IFERROR(__xludf.DUMMYFUNCTION("IMPORTRANGE(""https://docs.google.com/spreadsheets/d/16JDLGguT8s5DsGCND1KcwHP_AWR_zDMTqLHPLJUKhaU/edit?usp=sharing"",""พังงา!S217"")"),0)</f>
        <v>0</v>
      </c>
      <c r="BH81" s="216">
        <f t="shared" ca="1" si="122"/>
        <v>0</v>
      </c>
      <c r="BI81" s="152">
        <f ca="1">IFERROR(__xludf.DUMMYFUNCTION("IMPORTRANGE(""https://docs.google.com/spreadsheets/d/16JDLGguT8s5DsGCND1KcwHP_AWR_zDMTqLHPLJUKhaU/edit?usp=sharing"",""พังงา!I219"")"),0)</f>
        <v>0</v>
      </c>
      <c r="BJ81" s="152">
        <f ca="1">IFERROR(__xludf.DUMMYFUNCTION("IMPORTRANGE(""https://docs.google.com/spreadsheets/d/16JDLGguT8s5DsGCND1KcwHP_AWR_zDMTqLHPLJUKhaU/edit?usp=sharing"",""พังงา!J219"")"),0)</f>
        <v>0</v>
      </c>
      <c r="BK81" s="216">
        <f t="shared" ca="1" si="124"/>
        <v>0</v>
      </c>
      <c r="BL81" s="152">
        <f ca="1">IFERROR(__xludf.DUMMYFUNCTION("IMPORTRANGE(""https://docs.google.com/spreadsheets/d/16JDLGguT8s5DsGCND1KcwHP_AWR_zDMTqLHPLJUKhaU/edit?usp=sharing"",""พังงา!I220"")"),0)</f>
        <v>0</v>
      </c>
      <c r="BM81" s="152">
        <f ca="1">IFERROR(__xludf.DUMMYFUNCTION("IMPORTRANGE(""https://docs.google.com/spreadsheets/d/16JDLGguT8s5DsGCND1KcwHP_AWR_zDMTqLHPLJUKhaU/edit?usp=sharing"",""พังงา!J220"")"),0)</f>
        <v>0</v>
      </c>
      <c r="BN81" s="216">
        <f t="shared" ca="1" si="126"/>
        <v>0</v>
      </c>
      <c r="BO81" s="152">
        <f ca="1">IFERROR(__xludf.DUMMYFUNCTION("IMPORTRANGE(""https://docs.google.com/spreadsheets/d/16JDLGguT8s5DsGCND1KcwHP_AWR_zDMTqLHPLJUKhaU/edit?usp=sharing"",""พังงา!L223"")"),2500)</f>
        <v>2500</v>
      </c>
      <c r="BP81" s="152">
        <f ca="1">IFERROR(__xludf.DUMMYFUNCTION("IMPORTRANGE(""https://docs.google.com/spreadsheets/d/16JDLGguT8s5DsGCND1KcwHP_AWR_zDMTqLHPLJUKhaU/edit?usp=sharing"",""พังงา!N223"")"),1500)</f>
        <v>1500</v>
      </c>
      <c r="BQ81" s="216">
        <f t="shared" ca="1" si="128"/>
        <v>60</v>
      </c>
      <c r="BR81" s="152">
        <f ca="1">IFERROR(__xludf.DUMMYFUNCTION("IMPORTRANGE(""https://docs.google.com/spreadsheets/d/16JDLGguT8s5DsGCND1KcwHP_AWR_zDMTqLHPLJUKhaU/edit?usp=sharing"",""พังงา!L224"")"),2000)</f>
        <v>2000</v>
      </c>
      <c r="BS81" s="152">
        <f ca="1">IFERROR(__xludf.DUMMYFUNCTION("IMPORTRANGE(""https://docs.google.com/spreadsheets/d/16JDLGguT8s5DsGCND1KcwHP_AWR_zDMTqLHPLJUKhaU/edit?usp=sharing"",""พังงา!N224"")"),1500)</f>
        <v>1500</v>
      </c>
      <c r="BT81" s="216">
        <f t="shared" ca="1" si="130"/>
        <v>75</v>
      </c>
      <c r="BU81" s="152">
        <f ca="1">IFERROR(__xludf.DUMMYFUNCTION("IMPORTRANGE(""https://docs.google.com/spreadsheets/d/16JDLGguT8s5DsGCND1KcwHP_AWR_zDMTqLHPLJUKhaU/edit?usp=sharing"",""พังงา!I228"")"),20000)</f>
        <v>20000</v>
      </c>
      <c r="BV81" s="152">
        <f ca="1">IFERROR(__xludf.DUMMYFUNCTION("IMPORTRANGE(""https://docs.google.com/spreadsheets/d/16JDLGguT8s5DsGCND1KcwHP_AWR_zDMTqLHPLJUKhaU/edit?usp=sharing"",""พังงา!J228"")"),20000)</f>
        <v>20000</v>
      </c>
      <c r="BW81" s="216">
        <f t="shared" ca="1" si="132"/>
        <v>100</v>
      </c>
      <c r="BX81" s="152">
        <f ca="1">IFERROR(__xludf.DUMMYFUNCTION("IMPORTRANGE(""https://docs.google.com/spreadsheets/d/16JDLGguT8s5DsGCND1KcwHP_AWR_zDMTqLHPLJUKhaU/edit?usp=sharing"",""พังงา!I229"")"),20000)</f>
        <v>20000</v>
      </c>
      <c r="BY81" s="152">
        <f ca="1">IFERROR(__xludf.DUMMYFUNCTION("IMPORTRANGE(""https://docs.google.com/spreadsheets/d/16JDLGguT8s5DsGCND1KcwHP_AWR_zDMTqLHPLJUKhaU/edit?usp=sharing"",""พังงา!J229"")"),20000)</f>
        <v>20000</v>
      </c>
      <c r="BZ81" s="216">
        <f t="shared" ca="1" si="134"/>
        <v>100</v>
      </c>
      <c r="CA81" s="152">
        <f ca="1">IFERROR(__xludf.DUMMYFUNCTION("IMPORTRANGE(""https://docs.google.com/spreadsheets/d/16JDLGguT8s5DsGCND1KcwHP_AWR_zDMTqLHPLJUKhaU/edit?usp=sharing"",""พังงา!I230"")"),0)</f>
        <v>0</v>
      </c>
      <c r="CB81" s="152">
        <f ca="1">IFERROR(__xludf.DUMMYFUNCTION("IMPORTRANGE(""https://docs.google.com/spreadsheets/d/16JDLGguT8s5DsGCND1KcwHP_AWR_zDMTqLHPLJUKhaU/edit?usp=sharing"",""พังงา!J230"")"),0)</f>
        <v>0</v>
      </c>
      <c r="CC81" s="216">
        <f t="shared" ca="1" si="136"/>
        <v>0</v>
      </c>
      <c r="CD81" s="152">
        <f ca="1">IFERROR(__xludf.DUMMYFUNCTION("IMPORTRANGE(""https://docs.google.com/spreadsheets/d/16JDLGguT8s5DsGCND1KcwHP_AWR_zDMTqLHPLJUKhaU/edit?usp=sharing"",""พังงา!L233"")"),0)</f>
        <v>0</v>
      </c>
      <c r="CE81" s="152">
        <f ca="1">IFERROR(__xludf.DUMMYFUNCTION("IMPORTRANGE(""https://docs.google.com/spreadsheets/d/16JDLGguT8s5DsGCND1KcwHP_AWR_zDMTqLHPLJUKhaU/edit?usp=sharing"",""พังงา!N233"")"),0)</f>
        <v>0</v>
      </c>
      <c r="CF81" s="216">
        <f t="shared" ca="1" si="138"/>
        <v>0</v>
      </c>
      <c r="CG81" s="152">
        <f ca="1">IFERROR(__xludf.DUMMYFUNCTION("IMPORTRANGE(""https://docs.google.com/spreadsheets/d/16JDLGguT8s5DsGCND1KcwHP_AWR_zDMTqLHPLJUKhaU/edit?usp=sharing"",""พังงา!L234"")"),0)</f>
        <v>0</v>
      </c>
      <c r="CH81" s="152">
        <f ca="1">IFERROR(__xludf.DUMMYFUNCTION("IMPORTRANGE(""https://docs.google.com/spreadsheets/d/16JDLGguT8s5DsGCND1KcwHP_AWR_zDMTqLHPLJUKhaU/edit?usp=sharing"",""พังงา!N234"")"),0)</f>
        <v>0</v>
      </c>
      <c r="CI81" s="216">
        <f t="shared" ca="1" si="140"/>
        <v>0</v>
      </c>
      <c r="CJ81" s="152">
        <f ca="1">IFERROR(__xludf.DUMMYFUNCTION("IMPORTRANGE(""https://docs.google.com/spreadsheets/d/16JDLGguT8s5DsGCND1KcwHP_AWR_zDMTqLHPLJUKhaU/edit?usp=sharing"",""พังงา!L235"")"),0)</f>
        <v>0</v>
      </c>
      <c r="CK81" s="152">
        <f ca="1">IFERROR(__xludf.DUMMYFUNCTION("IMPORTRANGE(""https://docs.google.com/spreadsheets/d/16JDLGguT8s5DsGCND1KcwHP_AWR_zDMTqLHPLJUKhaU/edit?usp=sharing"",""พังงา!N235"")"),0)</f>
        <v>0</v>
      </c>
      <c r="CL81" s="216">
        <f t="shared" ca="1" si="142"/>
        <v>0</v>
      </c>
      <c r="CM81" s="251">
        <f ca="1">IFERROR(__xludf.DUMMYFUNCTION("IMPORTRANGE(""https://docs.google.com/spreadsheets/d/16JDLGguT8s5DsGCND1KcwHP_AWR_zDMTqLHPLJUKhaU/edit?usp=sharing"",""พังงา!Q235"")"),0)</f>
        <v>0</v>
      </c>
      <c r="CN81" s="251">
        <f ca="1">IFERROR(__xludf.DUMMYFUNCTION("IMPORTRANGE(""https://docs.google.com/spreadsheets/d/16JDLGguT8s5DsGCND1KcwHP_AWR_zDMTqLHPLJUKhaU/edit?usp=sharing"",""พังงา!S235"")"),0)</f>
        <v>0</v>
      </c>
      <c r="CO81" s="216">
        <f t="shared" ca="1" si="144"/>
        <v>0</v>
      </c>
      <c r="CP81" s="152">
        <f ca="1">IFERROR(__xludf.DUMMYFUNCTION("IMPORTRANGE(""https://docs.google.com/spreadsheets/d/16JDLGguT8s5DsGCND1KcwHP_AWR_zDMTqLHPLJUKhaU/edit?usp=sharing"",""พังงา!L236"")"),0)</f>
        <v>0</v>
      </c>
      <c r="CQ81" s="152">
        <f ca="1">IFERROR(__xludf.DUMMYFUNCTION("IMPORTRANGE(""https://docs.google.com/spreadsheets/d/16JDLGguT8s5DsGCND1KcwHP_AWR_zDMTqLHPLJUKhaU/edit?usp=sharing"",""พังงา!N236"")"),0)</f>
        <v>0</v>
      </c>
      <c r="CR81" s="216">
        <f t="shared" ca="1" si="146"/>
        <v>0</v>
      </c>
      <c r="CS81" s="152">
        <f ca="1">IFERROR(__xludf.DUMMYFUNCTION("IMPORTRANGE(""https://docs.google.com/spreadsheets/d/16JDLGguT8s5DsGCND1KcwHP_AWR_zDMTqLHPLJUKhaU/edit?usp=sharing"",""พังงา!I238"")"),0)</f>
        <v>0</v>
      </c>
      <c r="CT81" s="152">
        <f ca="1">IFERROR(__xludf.DUMMYFUNCTION("IMPORTRANGE(""https://docs.google.com/spreadsheets/d/16JDLGguT8s5DsGCND1KcwHP_AWR_zDMTqLHPLJUKhaU/edit?usp=sharing"",""พังงา!J238"")"),0)</f>
        <v>0</v>
      </c>
      <c r="CU81" s="216">
        <f t="shared" ca="1" si="148"/>
        <v>0</v>
      </c>
      <c r="CV81" s="152">
        <f ca="1">IFERROR(__xludf.DUMMYFUNCTION("IMPORTRANGE(""https://docs.google.com/spreadsheets/d/16JDLGguT8s5DsGCND1KcwHP_AWR_zDMTqLHPLJUKhaU/edit?usp=sharing"",""พังงา!J240"")"),0)</f>
        <v>0</v>
      </c>
      <c r="CW81" s="152">
        <f ca="1">IFERROR(__xludf.DUMMYFUNCTION("IMPORTRANGE(""https://docs.google.com/spreadsheets/d/16JDLGguT8s5DsGCND1KcwHP_AWR_zDMTqLHPLJUKhaU/edit?usp=sharing"",""พังงา!J241"")"),0)</f>
        <v>0</v>
      </c>
    </row>
    <row r="82" spans="1:101" ht="21" customHeight="1" x14ac:dyDescent="0.3">
      <c r="A82" s="147">
        <v>8</v>
      </c>
      <c r="B82" s="148" t="s">
        <v>110</v>
      </c>
      <c r="C82" s="149">
        <f t="shared" ca="1" si="90"/>
        <v>66200</v>
      </c>
      <c r="D82" s="150">
        <f t="shared" ca="1" si="234"/>
        <v>66200</v>
      </c>
      <c r="E82" s="151">
        <f ca="1">IFERROR(__xludf.DUMMYFUNCTION("IMPORTRANGE(""https://docs.google.com/spreadsheets/d/1-uDff_7J0KD5mKrp0Vvzr7lt3OU09vwQwhkpOPPYv2Y/edit?usp=sharing"",""งบพรบ!CV82"")"),45700)</f>
        <v>45700</v>
      </c>
      <c r="F82" s="151">
        <f ca="1">IFERROR(__xludf.DUMMYFUNCTION("IMPORTRANGE(""https://docs.google.com/spreadsheets/d/1-uDff_7J0KD5mKrp0Vvzr7lt3OU09vwQwhkpOPPYv2Y/edit?usp=sharing"",""งบพรบ!CW82"")"),20500)</f>
        <v>20500</v>
      </c>
      <c r="G82" s="151">
        <f ca="1">IFERROR(__xludf.DUMMYFUNCTION("IMPORTRANGE(""https://docs.google.com/spreadsheets/d/1-uDff_7J0KD5mKrp0Vvzr7lt3OU09vwQwhkpOPPYv2Y/edit?usp=sharing"",""งบพรบ!CX82"")"),0)</f>
        <v>0</v>
      </c>
      <c r="H82" s="151">
        <f ca="1">IFERROR(__xludf.DUMMYFUNCTION("IMPORTRANGE(""https://docs.google.com/spreadsheets/d/1-uDff_7J0KD5mKrp0Vvzr7lt3OU09vwQwhkpOPPYv2Y/edit?usp=sharing"",""งบพรบ!CZ82"")"),68200)</f>
        <v>68200</v>
      </c>
      <c r="I82" s="151">
        <f ca="1">IFERROR(__xludf.DUMMYFUNCTION("IMPORTRANGE(""https://docs.google.com/spreadsheets/d/1-uDff_7J0KD5mKrp0Vvzr7lt3OU09vwQwhkpOPPYv2Y/edit?usp=sharing"",""งบพรบ!DA82"")"),0)</f>
        <v>0</v>
      </c>
      <c r="J82" s="151">
        <f t="shared" ca="1" si="92"/>
        <v>31584</v>
      </c>
      <c r="K82" s="154">
        <f t="shared" ca="1" si="93"/>
        <v>47.709969788519636</v>
      </c>
      <c r="L82" s="151">
        <f ca="1">IFERROR(__xludf.DUMMYFUNCTION("IMPORTRANGE(""https://docs.google.com/spreadsheets/d/1-uDff_7J0KD5mKrp0Vvzr7lt3OU09vwQwhkpOPPYv2Y/edit?usp=sharing"",""งบพรบ!DB82"")"),31584)</f>
        <v>31584</v>
      </c>
      <c r="M82" s="68">
        <f t="shared" ca="1" si="94"/>
        <v>47.709969788519636</v>
      </c>
      <c r="N82" s="68">
        <f t="shared" ca="1" si="95"/>
        <v>46.310850439882699</v>
      </c>
      <c r="O82" s="67">
        <f ca="1">IFERROR(__xludf.DUMMYFUNCTION("IMPORTRANGE(""https://docs.google.com/spreadsheets/d/1-uDff_7J0KD5mKrp0Vvzr7lt3OU09vwQwhkpOPPYv2Y/edit?usp=sharing"",""งบพรบ!DC82"")"),0)</f>
        <v>0</v>
      </c>
      <c r="P82" s="67">
        <f t="shared" ca="1" si="96"/>
        <v>0</v>
      </c>
      <c r="Q82" s="68">
        <f t="shared" ca="1" si="97"/>
        <v>0</v>
      </c>
      <c r="R82" s="67">
        <f ca="1">IFERROR(__xludf.DUMMYFUNCTION("IMPORTRANGE(""https://docs.google.com/spreadsheets/d/17ht0gPKzzT3PObBL1XJkeRmntBXI7wGjpLV7QorqlTk/edit?usp=sharing"",""พัทลุง!Q186"")"),28000)</f>
        <v>28000</v>
      </c>
      <c r="S82" s="67">
        <f ca="1">IFERROR(__xludf.DUMMYFUNCTION("IMPORTRANGE(""https://docs.google.com/spreadsheets/d/17ht0gPKzzT3PObBL1XJkeRmntBXI7wGjpLV7QorqlTk/edit?usp=sharing"",""พัทลุง!R186"")"),28000)</f>
        <v>28000</v>
      </c>
      <c r="T82" s="67">
        <f ca="1">IFERROR(__xludf.DUMMYFUNCTION("IMPORTRANGE(""https://docs.google.com/spreadsheets/d/17ht0gPKzzT3PObBL1XJkeRmntBXI7wGjpLV7QorqlTk/edit?usp=sharing"",""พัทลุง!S186"")"),28000)</f>
        <v>28000</v>
      </c>
      <c r="U82" s="68">
        <f t="shared" ca="1" si="99"/>
        <v>100</v>
      </c>
      <c r="V82" s="68">
        <f t="shared" ca="1" si="100"/>
        <v>100</v>
      </c>
      <c r="W82" s="152">
        <f ca="1">IFERROR(__xludf.DUMMYFUNCTION("IMPORTRANGE(""https://docs.google.com/spreadsheets/d/17ht0gPKzzT3PObBL1XJkeRmntBXI7wGjpLV7QorqlTk/edit?usp=sharing"",""พัทลุง!L196"")"),6000)</f>
        <v>6000</v>
      </c>
      <c r="X82" s="152">
        <f ca="1">IFERROR(__xludf.DUMMYFUNCTION("IMPORTRANGE(""https://docs.google.com/spreadsheets/d/17ht0gPKzzT3PObBL1XJkeRmntBXI7wGjpLV7QorqlTk/edit?usp=sharing"",""พัทลุง!N196"")"),8000)</f>
        <v>8000</v>
      </c>
      <c r="Y82" s="216">
        <f t="shared" ca="1" si="102"/>
        <v>133.33333333333334</v>
      </c>
      <c r="Z82" s="152">
        <f ca="1">IFERROR(__xludf.DUMMYFUNCTION("IMPORTRANGE(""https://docs.google.com/spreadsheets/d/17ht0gPKzzT3PObBL1XJkeRmntBXI7wGjpLV7QorqlTk/edit?usp=sharing"",""พัทลุง!I198"")"),4)</f>
        <v>4</v>
      </c>
      <c r="AA82" s="152">
        <f ca="1">IFERROR(__xludf.DUMMYFUNCTION("IMPORTRANGE(""https://docs.google.com/spreadsheets/d/17ht0gPKzzT3PObBL1XJkeRmntBXI7wGjpLV7QorqlTk/edit?usp=sharing"",""พัทลุง!J198"")"),4)</f>
        <v>4</v>
      </c>
      <c r="AB82" s="216">
        <f t="shared" ca="1" si="104"/>
        <v>100</v>
      </c>
      <c r="AC82" s="152">
        <f ca="1">IFERROR(__xludf.DUMMYFUNCTION("IMPORTRANGE(""https://docs.google.com/spreadsheets/d/17ht0gPKzzT3PObBL1XJkeRmntBXI7wGjpLV7QorqlTk/edit?usp=sharing"",""พัทลุง!J199"")"),124)</f>
        <v>124</v>
      </c>
      <c r="AD82" s="152">
        <f ca="1">IFERROR(__xludf.DUMMYFUNCTION("IMPORTRANGE(""https://docs.google.com/spreadsheets/d/17ht0gPKzzT3PObBL1XJkeRmntBXI7wGjpLV7QorqlTk/edit?usp=sharing"",""พัทลุง!J200"")"),124)</f>
        <v>124</v>
      </c>
      <c r="AE82" s="152">
        <f ca="1">IFERROR(__xludf.DUMMYFUNCTION("IMPORTRANGE(""https://docs.google.com/spreadsheets/d/17ht0gPKzzT3PObBL1XJkeRmntBXI7wGjpLV7QorqlTk/edit?usp=sharing"",""พัทลุง!J201"")"),0)</f>
        <v>0</v>
      </c>
      <c r="AF82" s="152">
        <f ca="1">IFERROR(__xludf.DUMMYFUNCTION("IMPORTRANGE(""https://docs.google.com/spreadsheets/d/17ht0gPKzzT3PObBL1XJkeRmntBXI7wGjpLV7QorqlTk/edit?usp=sharing"",""พัทลุง!L204"")"),2000)</f>
        <v>2000</v>
      </c>
      <c r="AG82" s="152">
        <f ca="1">IFERROR(__xludf.DUMMYFUNCTION("IMPORTRANGE(""https://docs.google.com/spreadsheets/d/17ht0gPKzzT3PObBL1XJkeRmntBXI7wGjpLV7QorqlTk/edit?usp=sharing"",""พัทลุง!N204"")"),2000)</f>
        <v>2000</v>
      </c>
      <c r="AH82" s="216">
        <f t="shared" ca="1" si="106"/>
        <v>100</v>
      </c>
      <c r="AI82" s="152">
        <f ca="1">IFERROR(__xludf.DUMMYFUNCTION("IMPORTRANGE(""https://docs.google.com/spreadsheets/d/17ht0gPKzzT3PObBL1XJkeRmntBXI7wGjpLV7QorqlTk/edit?usp=sharing"",""พัทลุง!L206"")"),0)</f>
        <v>0</v>
      </c>
      <c r="AJ82" s="152">
        <f ca="1">IFERROR(__xludf.DUMMYFUNCTION("IMPORTRANGE(""https://docs.google.com/spreadsheets/d/17ht0gPKzzT3PObBL1XJkeRmntBXI7wGjpLV7QorqlTk/edit?usp=sharing"",""พัทลุง!N206"")"),0)</f>
        <v>0</v>
      </c>
      <c r="AK82" s="216">
        <f t="shared" ca="1" si="108"/>
        <v>0</v>
      </c>
      <c r="AL82" s="152">
        <f ca="1">IFERROR(__xludf.DUMMYFUNCTION("IMPORTRANGE(""https://docs.google.com/spreadsheets/d/17ht0gPKzzT3PObBL1XJkeRmntBXI7wGjpLV7QorqlTk/edit?usp=sharing"",""พัทลุง!Q206"")"),28000)</f>
        <v>28000</v>
      </c>
      <c r="AM82" s="152">
        <f ca="1">IFERROR(__xludf.DUMMYFUNCTION("IMPORTRANGE(""https://docs.google.com/spreadsheets/d/17ht0gPKzzT3PObBL1XJkeRmntBXI7wGjpLV7QorqlTk/edit?usp=sharing"",""พัทลุง!S206"")"),28000)</f>
        <v>28000</v>
      </c>
      <c r="AN82" s="216">
        <f t="shared" ca="1" si="110"/>
        <v>100</v>
      </c>
      <c r="AO82" s="152">
        <f ca="1">IFERROR(__xludf.DUMMYFUNCTION("IMPORTRANGE(""https://docs.google.com/spreadsheets/d/17ht0gPKzzT3PObBL1XJkeRmntBXI7wGjpLV7QorqlTk/edit?usp=sharing"",""พัทลุง!L207"")"),8000)</f>
        <v>8000</v>
      </c>
      <c r="AP82" s="152">
        <f ca="1">IFERROR(__xludf.DUMMYFUNCTION("IMPORTRANGE(""https://docs.google.com/spreadsheets/d/17ht0gPKzzT3PObBL1XJkeRmntBXI7wGjpLV7QorqlTk/edit?usp=sharing"",""พัทลุง!N207"")"),8000)</f>
        <v>8000</v>
      </c>
      <c r="AQ82" s="216">
        <f t="shared" ca="1" si="112"/>
        <v>100</v>
      </c>
      <c r="AR82" s="152">
        <f ca="1">IFERROR(__xludf.DUMMYFUNCTION("IMPORTRANGE(""https://docs.google.com/spreadsheets/d/17ht0gPKzzT3PObBL1XJkeRmntBXI7wGjpLV7QorqlTk/edit?usp=sharing"",""พัทลุง!I209"")"),2)</f>
        <v>2</v>
      </c>
      <c r="AS82" s="152">
        <f ca="1">IFERROR(__xludf.DUMMYFUNCTION("IMPORTRANGE(""https://docs.google.com/spreadsheets/d/17ht0gPKzzT3PObBL1XJkeRmntBXI7wGjpLV7QorqlTk/edit?usp=sharing"",""พัทลุง!J209"")"),2)</f>
        <v>2</v>
      </c>
      <c r="AT82" s="216">
        <f t="shared" ca="1" si="114"/>
        <v>100</v>
      </c>
      <c r="AU82" s="152">
        <f ca="1">IFERROR(__xludf.DUMMYFUNCTION("IMPORTRANGE(""https://docs.google.com/spreadsheets/d/17ht0gPKzzT3PObBL1XJkeRmntBXI7wGjpLV7QorqlTk/edit?usp=sharing"",""พัทลุง!J211"")"),2)</f>
        <v>2</v>
      </c>
      <c r="AV82" s="152">
        <f ca="1">IFERROR(__xludf.DUMMYFUNCTION("IMPORTRANGE(""https://docs.google.com/spreadsheets/d/17ht0gPKzzT3PObBL1XJkeRmntBXI7wGjpLV7QorqlTk/edit?usp=sharing"",""พัทลุง!J212"")"),0)</f>
        <v>0</v>
      </c>
      <c r="AW82" s="152">
        <f ca="1">IFERROR(__xludf.DUMMYFUNCTION("IMPORTRANGE(""https://docs.google.com/spreadsheets/d/17ht0gPKzzT3PObBL1XJkeRmntBXI7wGjpLV7QorqlTk/edit?usp=sharing"",""พัทลุง!L215"")"),0)</f>
        <v>0</v>
      </c>
      <c r="AX82" s="152">
        <f ca="1">IFERROR(__xludf.DUMMYFUNCTION("IMPORTRANGE(""https://docs.google.com/spreadsheets/d/17ht0gPKzzT3PObBL1XJkeRmntBXI7wGjpLV7QorqlTk/edit?usp=sharing"",""พัทลุง!N215"")"),0)</f>
        <v>0</v>
      </c>
      <c r="AY82" s="216">
        <f t="shared" ca="1" si="116"/>
        <v>0</v>
      </c>
      <c r="AZ82" s="152">
        <f ca="1">IFERROR(__xludf.DUMMYFUNCTION("IMPORTRANGE(""https://docs.google.com/spreadsheets/d/17ht0gPKzzT3PObBL1XJkeRmntBXI7wGjpLV7QorqlTk/edit?usp=sharing"",""พัทลุง!L216"")"),0)</f>
        <v>0</v>
      </c>
      <c r="BA82" s="152">
        <f ca="1">IFERROR(__xludf.DUMMYFUNCTION("IMPORTRANGE(""https://docs.google.com/spreadsheets/d/17ht0gPKzzT3PObBL1XJkeRmntBXI7wGjpLV7QorqlTk/edit?usp=sharing"",""พัทลุง!N216"")"),0)</f>
        <v>0</v>
      </c>
      <c r="BB82" s="216">
        <f t="shared" ca="1" si="118"/>
        <v>0</v>
      </c>
      <c r="BC82" s="152">
        <f ca="1">IFERROR(__xludf.DUMMYFUNCTION("IMPORTRANGE(""https://docs.google.com/spreadsheets/d/17ht0gPKzzT3PObBL1XJkeRmntBXI7wGjpLV7QorqlTk/edit?usp=sharing"",""พัทลุง!L217"")"),0)</f>
        <v>0</v>
      </c>
      <c r="BD82" s="152">
        <f ca="1">IFERROR(__xludf.DUMMYFUNCTION("IMPORTRANGE(""https://docs.google.com/spreadsheets/d/17ht0gPKzzT3PObBL1XJkeRmntBXI7wGjpLV7QorqlTk/edit?usp=sharing"",""พัทลุง!N217"")"),0)</f>
        <v>0</v>
      </c>
      <c r="BE82" s="216">
        <f t="shared" ca="1" si="120"/>
        <v>0</v>
      </c>
      <c r="BF82" s="152">
        <f ca="1">IFERROR(__xludf.DUMMYFUNCTION("IMPORTRANGE(""https://docs.google.com/spreadsheets/d/17ht0gPKzzT3PObBL1XJkeRmntBXI7wGjpLV7QorqlTk/edit?usp=sharing"",""พัทลุง!Q217"")"),0)</f>
        <v>0</v>
      </c>
      <c r="BG82" s="152">
        <f ca="1">IFERROR(__xludf.DUMMYFUNCTION("IMPORTRANGE(""https://docs.google.com/spreadsheets/d/17ht0gPKzzT3PObBL1XJkeRmntBXI7wGjpLV7QorqlTk/edit?usp=sharing"",""พัทลุง!S217"")"),0)</f>
        <v>0</v>
      </c>
      <c r="BH82" s="216">
        <f t="shared" ca="1" si="122"/>
        <v>0</v>
      </c>
      <c r="BI82" s="152">
        <f ca="1">IFERROR(__xludf.DUMMYFUNCTION("IMPORTRANGE(""https://docs.google.com/spreadsheets/d/17ht0gPKzzT3PObBL1XJkeRmntBXI7wGjpLV7QorqlTk/edit?usp=sharing"",""พัทลุง!I219"")"),0)</f>
        <v>0</v>
      </c>
      <c r="BJ82" s="152">
        <f ca="1">IFERROR(__xludf.DUMMYFUNCTION("IMPORTRANGE(""https://docs.google.com/spreadsheets/d/17ht0gPKzzT3PObBL1XJkeRmntBXI7wGjpLV7QorqlTk/edit?usp=sharing"",""พัทลุง!J219"")"),0)</f>
        <v>0</v>
      </c>
      <c r="BK82" s="216">
        <f t="shared" ca="1" si="124"/>
        <v>0</v>
      </c>
      <c r="BL82" s="152">
        <f ca="1">IFERROR(__xludf.DUMMYFUNCTION("IMPORTRANGE(""https://docs.google.com/spreadsheets/d/17ht0gPKzzT3PObBL1XJkeRmntBXI7wGjpLV7QorqlTk/edit?usp=sharing"",""พัทลุง!I220"")"),0)</f>
        <v>0</v>
      </c>
      <c r="BM82" s="152">
        <f ca="1">IFERROR(__xludf.DUMMYFUNCTION("IMPORTRANGE(""https://docs.google.com/spreadsheets/d/17ht0gPKzzT3PObBL1XJkeRmntBXI7wGjpLV7QorqlTk/edit?usp=sharing"",""พัทลุง!J220"")"),0)</f>
        <v>0</v>
      </c>
      <c r="BN82" s="216">
        <f t="shared" ca="1" si="126"/>
        <v>0</v>
      </c>
      <c r="BO82" s="152">
        <f ca="1">IFERROR(__xludf.DUMMYFUNCTION("IMPORTRANGE(""https://docs.google.com/spreadsheets/d/17ht0gPKzzT3PObBL1XJkeRmntBXI7wGjpLV7QorqlTk/edit?usp=sharing"",""พัทลุง!L223"")"),2500)</f>
        <v>2500</v>
      </c>
      <c r="BP82" s="152">
        <f ca="1">IFERROR(__xludf.DUMMYFUNCTION("IMPORTRANGE(""https://docs.google.com/spreadsheets/d/17ht0gPKzzT3PObBL1XJkeRmntBXI7wGjpLV7QorqlTk/edit?usp=sharing"",""พัทลุง!N223"")"),1000)</f>
        <v>1000</v>
      </c>
      <c r="BQ82" s="216">
        <f t="shared" ca="1" si="128"/>
        <v>40</v>
      </c>
      <c r="BR82" s="152">
        <f ca="1">IFERROR(__xludf.DUMMYFUNCTION("IMPORTRANGE(""https://docs.google.com/spreadsheets/d/17ht0gPKzzT3PObBL1XJkeRmntBXI7wGjpLV7QorqlTk/edit?usp=sharing"",""พัทลุง!L224"")"),2000)</f>
        <v>2000</v>
      </c>
      <c r="BS82" s="152">
        <f ca="1">IFERROR(__xludf.DUMMYFUNCTION("IMPORTRANGE(""https://docs.google.com/spreadsheets/d/17ht0gPKzzT3PObBL1XJkeRmntBXI7wGjpLV7QorqlTk/edit?usp=sharing"",""พัทลุง!N224"")"),2000)</f>
        <v>2000</v>
      </c>
      <c r="BT82" s="216">
        <f t="shared" ca="1" si="130"/>
        <v>100</v>
      </c>
      <c r="BU82" s="152">
        <f ca="1">IFERROR(__xludf.DUMMYFUNCTION("IMPORTRANGE(""https://docs.google.com/spreadsheets/d/17ht0gPKzzT3PObBL1XJkeRmntBXI7wGjpLV7QorqlTk/edit?usp=sharing"",""พัทลุง!I228"")"),10000)</f>
        <v>10000</v>
      </c>
      <c r="BV82" s="152">
        <f ca="1">IFERROR(__xludf.DUMMYFUNCTION("IMPORTRANGE(""https://docs.google.com/spreadsheets/d/17ht0gPKzzT3PObBL1XJkeRmntBXI7wGjpLV7QorqlTk/edit?usp=sharing"",""พัทลุง!J228"")"),10000)</f>
        <v>10000</v>
      </c>
      <c r="BW82" s="216">
        <f t="shared" ca="1" si="132"/>
        <v>100</v>
      </c>
      <c r="BX82" s="152">
        <f ca="1">IFERROR(__xludf.DUMMYFUNCTION("IMPORTRANGE(""https://docs.google.com/spreadsheets/d/17ht0gPKzzT3PObBL1XJkeRmntBXI7wGjpLV7QorqlTk/edit?usp=sharing"",""พัทลุง!I229"")"),10000)</f>
        <v>10000</v>
      </c>
      <c r="BY82" s="152">
        <f ca="1">IFERROR(__xludf.DUMMYFUNCTION("IMPORTRANGE(""https://docs.google.com/spreadsheets/d/17ht0gPKzzT3PObBL1XJkeRmntBXI7wGjpLV7QorqlTk/edit?usp=sharing"",""พัทลุง!J229"")"),10000)</f>
        <v>10000</v>
      </c>
      <c r="BZ82" s="216">
        <f t="shared" ca="1" si="134"/>
        <v>100</v>
      </c>
      <c r="CA82" s="152">
        <f ca="1">IFERROR(__xludf.DUMMYFUNCTION("IMPORTRANGE(""https://docs.google.com/spreadsheets/d/17ht0gPKzzT3PObBL1XJkeRmntBXI7wGjpLV7QorqlTk/edit?usp=sharing"",""พัทลุง!I230"")"),0)</f>
        <v>0</v>
      </c>
      <c r="CB82" s="152">
        <f ca="1">IFERROR(__xludf.DUMMYFUNCTION("IMPORTRANGE(""https://docs.google.com/spreadsheets/d/17ht0gPKzzT3PObBL1XJkeRmntBXI7wGjpLV7QorqlTk/edit?usp=sharing"",""พัทลุง!J230"")"),0)</f>
        <v>0</v>
      </c>
      <c r="CC82" s="216">
        <f t="shared" ca="1" si="136"/>
        <v>0</v>
      </c>
      <c r="CD82" s="152">
        <f ca="1">IFERROR(__xludf.DUMMYFUNCTION("IMPORTRANGE(""https://docs.google.com/spreadsheets/d/17ht0gPKzzT3PObBL1XJkeRmntBXI7wGjpLV7QorqlTk/edit?usp=sharing"",""พัทลุง!L233"")"),0)</f>
        <v>0</v>
      </c>
      <c r="CE82" s="152">
        <f ca="1">IFERROR(__xludf.DUMMYFUNCTION("IMPORTRANGE(""https://docs.google.com/spreadsheets/d/17ht0gPKzzT3PObBL1XJkeRmntBXI7wGjpLV7QorqlTk/edit?usp=sharing"",""พัทลุง!N233"")"),0)</f>
        <v>0</v>
      </c>
      <c r="CF82" s="216">
        <f t="shared" ca="1" si="138"/>
        <v>0</v>
      </c>
      <c r="CG82" s="152">
        <f ca="1">IFERROR(__xludf.DUMMYFUNCTION("IMPORTRANGE(""https://docs.google.com/spreadsheets/d/17ht0gPKzzT3PObBL1XJkeRmntBXI7wGjpLV7QorqlTk/edit?usp=sharing"",""พัทลุง!L234"")"),0)</f>
        <v>0</v>
      </c>
      <c r="CH82" s="152">
        <f ca="1">IFERROR(__xludf.DUMMYFUNCTION("IMPORTRANGE(""https://docs.google.com/spreadsheets/d/17ht0gPKzzT3PObBL1XJkeRmntBXI7wGjpLV7QorqlTk/edit?usp=sharing"",""พัทลุง!N234"")"),0)</f>
        <v>0</v>
      </c>
      <c r="CI82" s="216">
        <f t="shared" ca="1" si="140"/>
        <v>0</v>
      </c>
      <c r="CJ82" s="152">
        <f ca="1">IFERROR(__xludf.DUMMYFUNCTION("IMPORTRANGE(""https://docs.google.com/spreadsheets/d/17ht0gPKzzT3PObBL1XJkeRmntBXI7wGjpLV7QorqlTk/edit?usp=sharing"",""พัทลุง!L235"")"),0)</f>
        <v>0</v>
      </c>
      <c r="CK82" s="152">
        <f ca="1">IFERROR(__xludf.DUMMYFUNCTION("IMPORTRANGE(""https://docs.google.com/spreadsheets/d/17ht0gPKzzT3PObBL1XJkeRmntBXI7wGjpLV7QorqlTk/edit?usp=sharing"",""พัทลุง!N235"")"),0)</f>
        <v>0</v>
      </c>
      <c r="CL82" s="216">
        <f t="shared" ca="1" si="142"/>
        <v>0</v>
      </c>
      <c r="CM82" s="251">
        <f ca="1">IFERROR(__xludf.DUMMYFUNCTION("IMPORTRANGE(""https://docs.google.com/spreadsheets/d/17ht0gPKzzT3PObBL1XJkeRmntBXI7wGjpLV7QorqlTk/edit?usp=sharing"",""พัทลุง!Q235"")"),0)</f>
        <v>0</v>
      </c>
      <c r="CN82" s="251">
        <f ca="1">IFERROR(__xludf.DUMMYFUNCTION("IMPORTRANGE(""https://docs.google.com/spreadsheets/d/17ht0gPKzzT3PObBL1XJkeRmntBXI7wGjpLV7QorqlTk/edit?usp=sharing"",""พัทลุง!S235"")"),0)</f>
        <v>0</v>
      </c>
      <c r="CO82" s="216">
        <f t="shared" ca="1" si="144"/>
        <v>0</v>
      </c>
      <c r="CP82" s="152">
        <f ca="1">IFERROR(__xludf.DUMMYFUNCTION("IMPORTRANGE(""https://docs.google.com/spreadsheets/d/17ht0gPKzzT3PObBL1XJkeRmntBXI7wGjpLV7QorqlTk/edit?usp=sharing"",""พัทลุง!L236"")"),0)</f>
        <v>0</v>
      </c>
      <c r="CQ82" s="152">
        <f ca="1">IFERROR(__xludf.DUMMYFUNCTION("IMPORTRANGE(""https://docs.google.com/spreadsheets/d/17ht0gPKzzT3PObBL1XJkeRmntBXI7wGjpLV7QorqlTk/edit?usp=sharing"",""พัทลุง!N236"")"),0)</f>
        <v>0</v>
      </c>
      <c r="CR82" s="216">
        <f t="shared" ca="1" si="146"/>
        <v>0</v>
      </c>
      <c r="CS82" s="152">
        <f ca="1">IFERROR(__xludf.DUMMYFUNCTION("IMPORTRANGE(""https://docs.google.com/spreadsheets/d/17ht0gPKzzT3PObBL1XJkeRmntBXI7wGjpLV7QorqlTk/edit?usp=sharing"",""พัทลุง!I238"")"),0)</f>
        <v>0</v>
      </c>
      <c r="CT82" s="152">
        <f ca="1">IFERROR(__xludf.DUMMYFUNCTION("IMPORTRANGE(""https://docs.google.com/spreadsheets/d/17ht0gPKzzT3PObBL1XJkeRmntBXI7wGjpLV7QorqlTk/edit?usp=sharing"",""พัทลุง!J238"")"),0)</f>
        <v>0</v>
      </c>
      <c r="CU82" s="216">
        <f t="shared" ca="1" si="148"/>
        <v>0</v>
      </c>
      <c r="CV82" s="152">
        <f ca="1">IFERROR(__xludf.DUMMYFUNCTION("IMPORTRANGE(""https://docs.google.com/spreadsheets/d/17ht0gPKzzT3PObBL1XJkeRmntBXI7wGjpLV7QorqlTk/edit?usp=sharing"",""พัทลุง!J240"")"),0)</f>
        <v>0</v>
      </c>
      <c r="CW82" s="152">
        <f ca="1">IFERROR(__xludf.DUMMYFUNCTION("IMPORTRANGE(""https://docs.google.com/spreadsheets/d/17ht0gPKzzT3PObBL1XJkeRmntBXI7wGjpLV7QorqlTk/edit?usp=sharing"",""พัทลุง!J241"")"),0)</f>
        <v>0</v>
      </c>
    </row>
    <row r="83" spans="1:101" ht="21" customHeight="1" x14ac:dyDescent="0.3">
      <c r="A83" s="147">
        <v>9</v>
      </c>
      <c r="B83" s="148" t="s">
        <v>111</v>
      </c>
      <c r="C83" s="149">
        <f t="shared" ca="1" si="90"/>
        <v>80500</v>
      </c>
      <c r="D83" s="150">
        <f t="shared" ca="1" si="234"/>
        <v>80500</v>
      </c>
      <c r="E83" s="151">
        <f ca="1">IFERROR(__xludf.DUMMYFUNCTION("IMPORTRANGE(""https://docs.google.com/spreadsheets/d/1-uDff_7J0KD5mKrp0Vvzr7lt3OU09vwQwhkpOPPYv2Y/edit?usp=sharing"",""งบพรบ!CV83"")"),74500)</f>
        <v>74500</v>
      </c>
      <c r="F83" s="151">
        <f ca="1">IFERROR(__xludf.DUMMYFUNCTION("IMPORTRANGE(""https://docs.google.com/spreadsheets/d/1-uDff_7J0KD5mKrp0Vvzr7lt3OU09vwQwhkpOPPYv2Y/edit?usp=sharing"",""งบพรบ!CW83"")"),6000)</f>
        <v>6000</v>
      </c>
      <c r="G83" s="151">
        <f ca="1">IFERROR(__xludf.DUMMYFUNCTION("IMPORTRANGE(""https://docs.google.com/spreadsheets/d/1-uDff_7J0KD5mKrp0Vvzr7lt3OU09vwQwhkpOPPYv2Y/edit?usp=sharing"",""งบพรบ!CX83"")"),0)</f>
        <v>0</v>
      </c>
      <c r="H83" s="151">
        <f ca="1">IFERROR(__xludf.DUMMYFUNCTION("IMPORTRANGE(""https://docs.google.com/spreadsheets/d/1-uDff_7J0KD5mKrp0Vvzr7lt3OU09vwQwhkpOPPYv2Y/edit?usp=sharing"",""งบพรบ!CZ83"")"),82500)</f>
        <v>82500</v>
      </c>
      <c r="I83" s="151">
        <f ca="1">IFERROR(__xludf.DUMMYFUNCTION("IMPORTRANGE(""https://docs.google.com/spreadsheets/d/1-uDff_7J0KD5mKrp0Vvzr7lt3OU09vwQwhkpOPPYv2Y/edit?usp=sharing"",""งบพรบ!DA83"")"),0)</f>
        <v>0</v>
      </c>
      <c r="J83" s="151">
        <f t="shared" ca="1" si="92"/>
        <v>82472.94</v>
      </c>
      <c r="K83" s="154">
        <f t="shared" ca="1" si="93"/>
        <v>102.45085714285715</v>
      </c>
      <c r="L83" s="151">
        <f ca="1">IFERROR(__xludf.DUMMYFUNCTION("IMPORTRANGE(""https://docs.google.com/spreadsheets/d/1-uDff_7J0KD5mKrp0Vvzr7lt3OU09vwQwhkpOPPYv2Y/edit?usp=sharing"",""งบพรบ!DB83"")"),82472.94)</f>
        <v>82472.94</v>
      </c>
      <c r="M83" s="68">
        <f t="shared" ca="1" si="94"/>
        <v>102.45085714285715</v>
      </c>
      <c r="N83" s="68">
        <f t="shared" ca="1" si="95"/>
        <v>99.967200000000005</v>
      </c>
      <c r="O83" s="67">
        <f ca="1">IFERROR(__xludf.DUMMYFUNCTION("IMPORTRANGE(""https://docs.google.com/spreadsheets/d/1-uDff_7J0KD5mKrp0Vvzr7lt3OU09vwQwhkpOPPYv2Y/edit?usp=sharing"",""งบพรบ!DC83"")"),0)</f>
        <v>0</v>
      </c>
      <c r="P83" s="67">
        <f t="shared" ca="1" si="96"/>
        <v>0</v>
      </c>
      <c r="Q83" s="68">
        <f t="shared" ca="1" si="97"/>
        <v>0</v>
      </c>
      <c r="R83" s="67">
        <f ca="1">IFERROR(__xludf.DUMMYFUNCTION("IMPORTRANGE(""https://docs.google.com/spreadsheets/d/1rd4qoM1q_hsgaolqNGfrim9gbsoLxQsda4-vOz5x_BM/edit?usp=sharing"",""ภูเก็ต!Q186"")"),0)</f>
        <v>0</v>
      </c>
      <c r="S83" s="67">
        <f ca="1">IFERROR(__xludf.DUMMYFUNCTION("IMPORTRANGE(""https://docs.google.com/spreadsheets/d/1rd4qoM1q_hsgaolqNGfrim9gbsoLxQsda4-vOz5x_BM/edit?usp=sharing"",""ภูเก็ต!R186"")"),0)</f>
        <v>0</v>
      </c>
      <c r="T83" s="67">
        <f ca="1">IFERROR(__xludf.DUMMYFUNCTION("IMPORTRANGE(""https://docs.google.com/spreadsheets/d/1rd4qoM1q_hsgaolqNGfrim9gbsoLxQsda4-vOz5x_BM/edit?usp=sharing"",""ภูเก็ต!S186"")"),0)</f>
        <v>0</v>
      </c>
      <c r="U83" s="68">
        <f t="shared" ca="1" si="99"/>
        <v>0</v>
      </c>
      <c r="V83" s="68">
        <f t="shared" ca="1" si="100"/>
        <v>0</v>
      </c>
      <c r="W83" s="152">
        <f ca="1">IFERROR(__xludf.DUMMYFUNCTION("IMPORTRANGE(""https://docs.google.com/spreadsheets/d/1rd4qoM1q_hsgaolqNGfrim9gbsoLxQsda4-vOz5x_BM/edit?usp=sharing"",""ภูเก็ต!L196"")"),6000)</f>
        <v>6000</v>
      </c>
      <c r="X83" s="152">
        <f ca="1">IFERROR(__xludf.DUMMYFUNCTION("IMPORTRANGE(""https://docs.google.com/spreadsheets/d/1rd4qoM1q_hsgaolqNGfrim9gbsoLxQsda4-vOz5x_BM/edit?usp=sharing"",""ภูเก็ต!N196"")"),6000)</f>
        <v>6000</v>
      </c>
      <c r="Y83" s="216">
        <f t="shared" ca="1" si="102"/>
        <v>100</v>
      </c>
      <c r="Z83" s="152">
        <f ca="1">IFERROR(__xludf.DUMMYFUNCTION("IMPORTRANGE(""https://docs.google.com/spreadsheets/d/1rd4qoM1q_hsgaolqNGfrim9gbsoLxQsda4-vOz5x_BM/edit?usp=sharing"",""ภูเก็ต!I198"")"),4)</f>
        <v>4</v>
      </c>
      <c r="AA83" s="152">
        <f ca="1">IFERROR(__xludf.DUMMYFUNCTION("IMPORTRANGE(""https://docs.google.com/spreadsheets/d/1rd4qoM1q_hsgaolqNGfrim9gbsoLxQsda4-vOz5x_BM/edit?usp=sharing"",""ภูเก็ต!J198"")"),4)</f>
        <v>4</v>
      </c>
      <c r="AB83" s="216">
        <f t="shared" ca="1" si="104"/>
        <v>100</v>
      </c>
      <c r="AC83" s="152">
        <f ca="1">IFERROR(__xludf.DUMMYFUNCTION("IMPORTRANGE(""https://docs.google.com/spreadsheets/d/1rd4qoM1q_hsgaolqNGfrim9gbsoLxQsda4-vOz5x_BM/edit?usp=sharing"",""ภูเก็ต!J199"")"),188)</f>
        <v>188</v>
      </c>
      <c r="AD83" s="152">
        <f ca="1">IFERROR(__xludf.DUMMYFUNCTION("IMPORTRANGE(""https://docs.google.com/spreadsheets/d/1rd4qoM1q_hsgaolqNGfrim9gbsoLxQsda4-vOz5x_BM/edit?usp=sharing"",""ภูเก็ต!J200"")"),188)</f>
        <v>188</v>
      </c>
      <c r="AE83" s="152">
        <f ca="1">IFERROR(__xludf.DUMMYFUNCTION("IMPORTRANGE(""https://docs.google.com/spreadsheets/d/1rd4qoM1q_hsgaolqNGfrim9gbsoLxQsda4-vOz5x_BM/edit?usp=sharing"",""ภูเก็ต!J201"")"),0)</f>
        <v>0</v>
      </c>
      <c r="AF83" s="152">
        <f ca="1">IFERROR(__xludf.DUMMYFUNCTION("IMPORTRANGE(""https://docs.google.com/spreadsheets/d/1rd4qoM1q_hsgaolqNGfrim9gbsoLxQsda4-vOz5x_BM/edit?usp=sharing"",""ภูเก็ต!L204"")"),0)</f>
        <v>0</v>
      </c>
      <c r="AG83" s="152">
        <f ca="1">IFERROR(__xludf.DUMMYFUNCTION("IMPORTRANGE(""https://docs.google.com/spreadsheets/d/1rd4qoM1q_hsgaolqNGfrim9gbsoLxQsda4-vOz5x_BM/edit?usp=sharing"",""ภูเก็ต!N204"")"),0)</f>
        <v>0</v>
      </c>
      <c r="AH83" s="216">
        <f t="shared" ca="1" si="106"/>
        <v>0</v>
      </c>
      <c r="AI83" s="152">
        <f ca="1">IFERROR(__xludf.DUMMYFUNCTION("IMPORTRANGE(""https://docs.google.com/spreadsheets/d/1rd4qoM1q_hsgaolqNGfrim9gbsoLxQsda4-vOz5x_BM/edit?usp=sharing"",""ภูเก็ต!L206"")"),0)</f>
        <v>0</v>
      </c>
      <c r="AJ83" s="152">
        <f ca="1">IFERROR(__xludf.DUMMYFUNCTION("IMPORTRANGE(""https://docs.google.com/spreadsheets/d/1rd4qoM1q_hsgaolqNGfrim9gbsoLxQsda4-vOz5x_BM/edit?usp=sharing"",""ภูเก็ต!N206"")"),0)</f>
        <v>0</v>
      </c>
      <c r="AK83" s="216">
        <f t="shared" ca="1" si="108"/>
        <v>0</v>
      </c>
      <c r="AL83" s="152">
        <f ca="1">IFERROR(__xludf.DUMMYFUNCTION("IMPORTRANGE(""https://docs.google.com/spreadsheets/d/1rd4qoM1q_hsgaolqNGfrim9gbsoLxQsda4-vOz5x_BM/edit?usp=sharing"",""ภูเก็ต!Q206"")"),0)</f>
        <v>0</v>
      </c>
      <c r="AM83" s="152">
        <f ca="1">IFERROR(__xludf.DUMMYFUNCTION("IMPORTRANGE(""https://docs.google.com/spreadsheets/d/1rd4qoM1q_hsgaolqNGfrim9gbsoLxQsda4-vOz5x_BM/edit?usp=sharing"",""ภูเก็ต!S206"")"),0)</f>
        <v>0</v>
      </c>
      <c r="AN83" s="216">
        <f t="shared" ca="1" si="110"/>
        <v>0</v>
      </c>
      <c r="AO83" s="152">
        <f ca="1">IFERROR(__xludf.DUMMYFUNCTION("IMPORTRANGE(""https://docs.google.com/spreadsheets/d/1rd4qoM1q_hsgaolqNGfrim9gbsoLxQsda4-vOz5x_BM/edit?usp=sharing"",""ภูเก็ต!L207"")"),0)</f>
        <v>0</v>
      </c>
      <c r="AP83" s="152">
        <f ca="1">IFERROR(__xludf.DUMMYFUNCTION("IMPORTRANGE(""https://docs.google.com/spreadsheets/d/1rd4qoM1q_hsgaolqNGfrim9gbsoLxQsda4-vOz5x_BM/edit?usp=sharing"",""ภูเก็ต!N207"")"),0)</f>
        <v>0</v>
      </c>
      <c r="AQ83" s="216">
        <f t="shared" ca="1" si="112"/>
        <v>0</v>
      </c>
      <c r="AR83" s="152">
        <f ca="1">IFERROR(__xludf.DUMMYFUNCTION("IMPORTRANGE(""https://docs.google.com/spreadsheets/d/1rd4qoM1q_hsgaolqNGfrim9gbsoLxQsda4-vOz5x_BM/edit?usp=sharing"",""ภูเก็ต!I209"")"),0)</f>
        <v>0</v>
      </c>
      <c r="AS83" s="152">
        <f ca="1">IFERROR(__xludf.DUMMYFUNCTION("IMPORTRANGE(""https://docs.google.com/spreadsheets/d/1rd4qoM1q_hsgaolqNGfrim9gbsoLxQsda4-vOz5x_BM/edit?usp=sharing"",""ภูเก็ต!J209"")"),0)</f>
        <v>0</v>
      </c>
      <c r="AT83" s="216">
        <f t="shared" ca="1" si="114"/>
        <v>0</v>
      </c>
      <c r="AU83" s="152">
        <f ca="1">IFERROR(__xludf.DUMMYFUNCTION("IMPORTRANGE(""https://docs.google.com/spreadsheets/d/1rd4qoM1q_hsgaolqNGfrim9gbsoLxQsda4-vOz5x_BM/edit?usp=sharing"",""ภูเก็ต!J211"")"),0)</f>
        <v>0</v>
      </c>
      <c r="AV83" s="152">
        <f ca="1">IFERROR(__xludf.DUMMYFUNCTION("IMPORTRANGE(""https://docs.google.com/spreadsheets/d/1rd4qoM1q_hsgaolqNGfrim9gbsoLxQsda4-vOz5x_BM/edit?usp=sharing"",""ภูเก็ต!J212"")"),0)</f>
        <v>0</v>
      </c>
      <c r="AW83" s="152">
        <f ca="1">IFERROR(__xludf.DUMMYFUNCTION("IMPORTRANGE(""https://docs.google.com/spreadsheets/d/1rd4qoM1q_hsgaolqNGfrim9gbsoLxQsda4-vOz5x_BM/edit?usp=sharing"",""ภูเก็ต!L215"")"),0)</f>
        <v>0</v>
      </c>
      <c r="AX83" s="152">
        <f ca="1">IFERROR(__xludf.DUMMYFUNCTION("IMPORTRANGE(""https://docs.google.com/spreadsheets/d/1rd4qoM1q_hsgaolqNGfrim9gbsoLxQsda4-vOz5x_BM/edit?usp=sharing"",""ภูเก็ต!N215"")"),0)</f>
        <v>0</v>
      </c>
      <c r="AY83" s="216">
        <f t="shared" ca="1" si="116"/>
        <v>0</v>
      </c>
      <c r="AZ83" s="152">
        <f ca="1">IFERROR(__xludf.DUMMYFUNCTION("IMPORTRANGE(""https://docs.google.com/spreadsheets/d/1rd4qoM1q_hsgaolqNGfrim9gbsoLxQsda4-vOz5x_BM/edit?usp=sharing"",""ภูเก็ต!L216"")"),0)</f>
        <v>0</v>
      </c>
      <c r="BA83" s="152">
        <f ca="1">IFERROR(__xludf.DUMMYFUNCTION("IMPORTRANGE(""https://docs.google.com/spreadsheets/d/1rd4qoM1q_hsgaolqNGfrim9gbsoLxQsda4-vOz5x_BM/edit?usp=sharing"",""ภูเก็ต!N216"")"),0)</f>
        <v>0</v>
      </c>
      <c r="BB83" s="216">
        <f t="shared" ca="1" si="118"/>
        <v>0</v>
      </c>
      <c r="BC83" s="152">
        <f ca="1">IFERROR(__xludf.DUMMYFUNCTION("IMPORTRANGE(""https://docs.google.com/spreadsheets/d/1rd4qoM1q_hsgaolqNGfrim9gbsoLxQsda4-vOz5x_BM/edit?usp=sharing"",""ภูเก็ต!L217"")"),0)</f>
        <v>0</v>
      </c>
      <c r="BD83" s="152">
        <f ca="1">IFERROR(__xludf.DUMMYFUNCTION("IMPORTRANGE(""https://docs.google.com/spreadsheets/d/1rd4qoM1q_hsgaolqNGfrim9gbsoLxQsda4-vOz5x_BM/edit?usp=sharing"",""ภูเก็ต!N217"")"),0)</f>
        <v>0</v>
      </c>
      <c r="BE83" s="216">
        <f t="shared" ca="1" si="120"/>
        <v>0</v>
      </c>
      <c r="BF83" s="152">
        <f ca="1">IFERROR(__xludf.DUMMYFUNCTION("IMPORTRANGE(""https://docs.google.com/spreadsheets/d/1rd4qoM1q_hsgaolqNGfrim9gbsoLxQsda4-vOz5x_BM/edit?usp=sharing"",""ภูเก็ต!Q217"")"),0)</f>
        <v>0</v>
      </c>
      <c r="BG83" s="152">
        <f ca="1">IFERROR(__xludf.DUMMYFUNCTION("IMPORTRANGE(""https://docs.google.com/spreadsheets/d/1rd4qoM1q_hsgaolqNGfrim9gbsoLxQsda4-vOz5x_BM/edit?usp=sharing"",""ภูเก็ต!S217"")"),0)</f>
        <v>0</v>
      </c>
      <c r="BH83" s="216">
        <f t="shared" ca="1" si="122"/>
        <v>0</v>
      </c>
      <c r="BI83" s="152">
        <f ca="1">IFERROR(__xludf.DUMMYFUNCTION("IMPORTRANGE(""https://docs.google.com/spreadsheets/d/1rd4qoM1q_hsgaolqNGfrim9gbsoLxQsda4-vOz5x_BM/edit?usp=sharing"",""ภูเก็ต!I219"")"),0)</f>
        <v>0</v>
      </c>
      <c r="BJ83" s="152">
        <f ca="1">IFERROR(__xludf.DUMMYFUNCTION("IMPORTRANGE(""https://docs.google.com/spreadsheets/d/1rd4qoM1q_hsgaolqNGfrim9gbsoLxQsda4-vOz5x_BM/edit?usp=sharing"",""ภูเก็ต!J219"")"),0)</f>
        <v>0</v>
      </c>
      <c r="BK83" s="216">
        <f t="shared" ca="1" si="124"/>
        <v>0</v>
      </c>
      <c r="BL83" s="152">
        <f ca="1">IFERROR(__xludf.DUMMYFUNCTION("IMPORTRANGE(""https://docs.google.com/spreadsheets/d/1rd4qoM1q_hsgaolqNGfrim9gbsoLxQsda4-vOz5x_BM/edit?usp=sharing"",""ภูเก็ต!I220"")"),0)</f>
        <v>0</v>
      </c>
      <c r="BM83" s="152">
        <f ca="1">IFERROR(__xludf.DUMMYFUNCTION("IMPORTRANGE(""https://docs.google.com/spreadsheets/d/1rd4qoM1q_hsgaolqNGfrim9gbsoLxQsda4-vOz5x_BM/edit?usp=sharing"",""ภูเก็ต!J220"")"),0)</f>
        <v>0</v>
      </c>
      <c r="BN83" s="216">
        <f t="shared" ca="1" si="126"/>
        <v>0</v>
      </c>
      <c r="BO83" s="152">
        <f ca="1">IFERROR(__xludf.DUMMYFUNCTION("IMPORTRANGE(""https://docs.google.com/spreadsheets/d/1rd4qoM1q_hsgaolqNGfrim9gbsoLxQsda4-vOz5x_BM/edit?usp=sharing"",""ภูเก็ต!L223"")"),0)</f>
        <v>0</v>
      </c>
      <c r="BP83" s="152">
        <f ca="1">IFERROR(__xludf.DUMMYFUNCTION("IMPORTRANGE(""https://docs.google.com/spreadsheets/d/1rd4qoM1q_hsgaolqNGfrim9gbsoLxQsda4-vOz5x_BM/edit?usp=sharing"",""ภูเก็ต!N223"")"),0)</f>
        <v>0</v>
      </c>
      <c r="BQ83" s="216">
        <f t="shared" ca="1" si="128"/>
        <v>0</v>
      </c>
      <c r="BR83" s="152">
        <f ca="1">IFERROR(__xludf.DUMMYFUNCTION("IMPORTRANGE(""https://docs.google.com/spreadsheets/d/1rd4qoM1q_hsgaolqNGfrim9gbsoLxQsda4-vOz5x_BM/edit?usp=sharing"",""ภูเก็ต!L224"")"),0)</f>
        <v>0</v>
      </c>
      <c r="BS83" s="152">
        <f ca="1">IFERROR(__xludf.DUMMYFUNCTION("IMPORTRANGE(""https://docs.google.com/spreadsheets/d/1rd4qoM1q_hsgaolqNGfrim9gbsoLxQsda4-vOz5x_BM/edit?usp=sharing"",""ภูเก็ต!N224"")"),0)</f>
        <v>0</v>
      </c>
      <c r="BT83" s="216">
        <f t="shared" ca="1" si="130"/>
        <v>0</v>
      </c>
      <c r="BU83" s="152">
        <f ca="1">IFERROR(__xludf.DUMMYFUNCTION("IMPORTRANGE(""https://docs.google.com/spreadsheets/d/1rd4qoM1q_hsgaolqNGfrim9gbsoLxQsda4-vOz5x_BM/edit?usp=sharing"",""ภูเก็ต!I228"")"),0)</f>
        <v>0</v>
      </c>
      <c r="BV83" s="152">
        <f ca="1">IFERROR(__xludf.DUMMYFUNCTION("IMPORTRANGE(""https://docs.google.com/spreadsheets/d/1rd4qoM1q_hsgaolqNGfrim9gbsoLxQsda4-vOz5x_BM/edit?usp=sharing"",""ภูเก็ต!J228"")"),0)</f>
        <v>0</v>
      </c>
      <c r="BW83" s="216">
        <f t="shared" ca="1" si="132"/>
        <v>0</v>
      </c>
      <c r="BX83" s="152">
        <f ca="1">IFERROR(__xludf.DUMMYFUNCTION("IMPORTRANGE(""https://docs.google.com/spreadsheets/d/1rd4qoM1q_hsgaolqNGfrim9gbsoLxQsda4-vOz5x_BM/edit?usp=sharing"",""ภูเก็ต!I229"")"),0)</f>
        <v>0</v>
      </c>
      <c r="BY83" s="152">
        <f ca="1">IFERROR(__xludf.DUMMYFUNCTION("IMPORTRANGE(""https://docs.google.com/spreadsheets/d/1rd4qoM1q_hsgaolqNGfrim9gbsoLxQsda4-vOz5x_BM/edit?usp=sharing"",""ภูเก็ต!J229"")"),0)</f>
        <v>0</v>
      </c>
      <c r="BZ83" s="216">
        <f t="shared" ca="1" si="134"/>
        <v>0</v>
      </c>
      <c r="CA83" s="152">
        <f ca="1">IFERROR(__xludf.DUMMYFUNCTION("IMPORTRANGE(""https://docs.google.com/spreadsheets/d/1rd4qoM1q_hsgaolqNGfrim9gbsoLxQsda4-vOz5x_BM/edit?usp=sharing"",""ภูเก็ต!I230"")"),0)</f>
        <v>0</v>
      </c>
      <c r="CB83" s="152">
        <f ca="1">IFERROR(__xludf.DUMMYFUNCTION("IMPORTRANGE(""https://docs.google.com/spreadsheets/d/1rd4qoM1q_hsgaolqNGfrim9gbsoLxQsda4-vOz5x_BM/edit?usp=sharing"",""ภูเก็ต!J230"")"),0)</f>
        <v>0</v>
      </c>
      <c r="CC83" s="216">
        <f t="shared" ca="1" si="136"/>
        <v>0</v>
      </c>
      <c r="CD83" s="152">
        <f ca="1">IFERROR(__xludf.DUMMYFUNCTION("IMPORTRANGE(""https://docs.google.com/spreadsheets/d/1rd4qoM1q_hsgaolqNGfrim9gbsoLxQsda4-vOz5x_BM/edit?usp=sharing"",""ภูเก็ต!L233"")"),0)</f>
        <v>0</v>
      </c>
      <c r="CE83" s="152">
        <f ca="1">IFERROR(__xludf.DUMMYFUNCTION("IMPORTRANGE(""https://docs.google.com/spreadsheets/d/1rd4qoM1q_hsgaolqNGfrim9gbsoLxQsda4-vOz5x_BM/edit?usp=sharing"",""ภูเก็ต!N233"")"),0)</f>
        <v>0</v>
      </c>
      <c r="CF83" s="216">
        <f t="shared" ca="1" si="138"/>
        <v>0</v>
      </c>
      <c r="CG83" s="152">
        <f ca="1">IFERROR(__xludf.DUMMYFUNCTION("IMPORTRANGE(""https://docs.google.com/spreadsheets/d/1rd4qoM1q_hsgaolqNGfrim9gbsoLxQsda4-vOz5x_BM/edit?usp=sharing"",""ภูเก็ต!L234"")"),0)</f>
        <v>0</v>
      </c>
      <c r="CH83" s="152">
        <f ca="1">IFERROR(__xludf.DUMMYFUNCTION("IMPORTRANGE(""https://docs.google.com/spreadsheets/d/1rd4qoM1q_hsgaolqNGfrim9gbsoLxQsda4-vOz5x_BM/edit?usp=sharing"",""ภูเก็ต!N234"")"),0)</f>
        <v>0</v>
      </c>
      <c r="CI83" s="216">
        <f t="shared" ca="1" si="140"/>
        <v>0</v>
      </c>
      <c r="CJ83" s="152">
        <f ca="1">IFERROR(__xludf.DUMMYFUNCTION("IMPORTRANGE(""https://docs.google.com/spreadsheets/d/1rd4qoM1q_hsgaolqNGfrim9gbsoLxQsda4-vOz5x_BM/edit?usp=sharing"",""ภูเก็ต!L235"")"),0)</f>
        <v>0</v>
      </c>
      <c r="CK83" s="152">
        <f ca="1">IFERROR(__xludf.DUMMYFUNCTION("IMPORTRANGE(""https://docs.google.com/spreadsheets/d/1rd4qoM1q_hsgaolqNGfrim9gbsoLxQsda4-vOz5x_BM/edit?usp=sharing"",""ภูเก็ต!N235"")"),0)</f>
        <v>0</v>
      </c>
      <c r="CL83" s="216">
        <f t="shared" ca="1" si="142"/>
        <v>0</v>
      </c>
      <c r="CM83" s="251">
        <f ca="1">IFERROR(__xludf.DUMMYFUNCTION("IMPORTRANGE(""https://docs.google.com/spreadsheets/d/1rd4qoM1q_hsgaolqNGfrim9gbsoLxQsda4-vOz5x_BM/edit?usp=sharing"",""ภูเก็ต!Q235"")"),0)</f>
        <v>0</v>
      </c>
      <c r="CN83" s="251">
        <f ca="1">IFERROR(__xludf.DUMMYFUNCTION("IMPORTRANGE(""https://docs.google.com/spreadsheets/d/1rd4qoM1q_hsgaolqNGfrim9gbsoLxQsda4-vOz5x_BM/edit?usp=sharing"",""ภูเก็ต!S235"")"),0)</f>
        <v>0</v>
      </c>
      <c r="CO83" s="216">
        <f t="shared" ca="1" si="144"/>
        <v>0</v>
      </c>
      <c r="CP83" s="152">
        <f ca="1">IFERROR(__xludf.DUMMYFUNCTION("IMPORTRANGE(""https://docs.google.com/spreadsheets/d/1rd4qoM1q_hsgaolqNGfrim9gbsoLxQsda4-vOz5x_BM/edit?usp=sharing"",""ภูเก็ต!L236"")"),0)</f>
        <v>0</v>
      </c>
      <c r="CQ83" s="152">
        <f ca="1">IFERROR(__xludf.DUMMYFUNCTION("IMPORTRANGE(""https://docs.google.com/spreadsheets/d/1rd4qoM1q_hsgaolqNGfrim9gbsoLxQsda4-vOz5x_BM/edit?usp=sharing"",""ภูเก็ต!N236"")"),0)</f>
        <v>0</v>
      </c>
      <c r="CR83" s="216">
        <f t="shared" ca="1" si="146"/>
        <v>0</v>
      </c>
      <c r="CS83" s="152">
        <f ca="1">IFERROR(__xludf.DUMMYFUNCTION("IMPORTRANGE(""https://docs.google.com/spreadsheets/d/1rd4qoM1q_hsgaolqNGfrim9gbsoLxQsda4-vOz5x_BM/edit?usp=sharing"",""ภูเก็ต!I238"")"),0)</f>
        <v>0</v>
      </c>
      <c r="CT83" s="152">
        <f ca="1">IFERROR(__xludf.DUMMYFUNCTION("IMPORTRANGE(""https://docs.google.com/spreadsheets/d/1rd4qoM1q_hsgaolqNGfrim9gbsoLxQsda4-vOz5x_BM/edit?usp=sharing"",""ภูเก็ต!J238"")"),0)</f>
        <v>0</v>
      </c>
      <c r="CU83" s="216">
        <f t="shared" ca="1" si="148"/>
        <v>0</v>
      </c>
      <c r="CV83" s="152">
        <f ca="1">IFERROR(__xludf.DUMMYFUNCTION("IMPORTRANGE(""https://docs.google.com/spreadsheets/d/1rd4qoM1q_hsgaolqNGfrim9gbsoLxQsda4-vOz5x_BM/edit?usp=sharing"",""ภูเก็ต!J240"")"),0)</f>
        <v>0</v>
      </c>
      <c r="CW83" s="152">
        <f ca="1">IFERROR(__xludf.DUMMYFUNCTION("IMPORTRANGE(""https://docs.google.com/spreadsheets/d/1rd4qoM1q_hsgaolqNGfrim9gbsoLxQsda4-vOz5x_BM/edit?usp=sharing"",""ภูเก็ต!J241"")"),0)</f>
        <v>0</v>
      </c>
    </row>
    <row r="84" spans="1:101" ht="21" customHeight="1" x14ac:dyDescent="0.3">
      <c r="A84" s="147">
        <v>10</v>
      </c>
      <c r="B84" s="148" t="s">
        <v>112</v>
      </c>
      <c r="C84" s="149">
        <f t="shared" ca="1" si="90"/>
        <v>142600</v>
      </c>
      <c r="D84" s="150">
        <f t="shared" ca="1" si="234"/>
        <v>142600</v>
      </c>
      <c r="E84" s="151">
        <f ca="1">IFERROR(__xludf.DUMMYFUNCTION("IMPORTRANGE(""https://docs.google.com/spreadsheets/d/1-uDff_7J0KD5mKrp0Vvzr7lt3OU09vwQwhkpOPPYv2Y/edit?usp=sharing"",""งบพรบ!CV84"")"),127100)</f>
        <v>127100</v>
      </c>
      <c r="F84" s="151">
        <f ca="1">IFERROR(__xludf.DUMMYFUNCTION("IMPORTRANGE(""https://docs.google.com/spreadsheets/d/1-uDff_7J0KD5mKrp0Vvzr7lt3OU09vwQwhkpOPPYv2Y/edit?usp=sharing"",""งบพรบ!CW84"")"),15500)</f>
        <v>15500</v>
      </c>
      <c r="G84" s="151">
        <f ca="1">IFERROR(__xludf.DUMMYFUNCTION("IMPORTRANGE(""https://docs.google.com/spreadsheets/d/1-uDff_7J0KD5mKrp0Vvzr7lt3OU09vwQwhkpOPPYv2Y/edit?usp=sharing"",""งบพรบ!CX84"")"),0)</f>
        <v>0</v>
      </c>
      <c r="H84" s="151">
        <f ca="1">IFERROR(__xludf.DUMMYFUNCTION("IMPORTRANGE(""https://docs.google.com/spreadsheets/d/1-uDff_7J0KD5mKrp0Vvzr7lt3OU09vwQwhkpOPPYv2Y/edit?usp=sharing"",""งบพรบ!CZ84"")"),144600)</f>
        <v>144600</v>
      </c>
      <c r="I84" s="151">
        <f ca="1">IFERROR(__xludf.DUMMYFUNCTION("IMPORTRANGE(""https://docs.google.com/spreadsheets/d/1-uDff_7J0KD5mKrp0Vvzr7lt3OU09vwQwhkpOPPYv2Y/edit?usp=sharing"",""งบพรบ!DA84"")"),0)</f>
        <v>0</v>
      </c>
      <c r="J84" s="151">
        <f t="shared" ca="1" si="92"/>
        <v>129886.57</v>
      </c>
      <c r="K84" s="154">
        <f t="shared" ca="1" si="93"/>
        <v>91.084551192145867</v>
      </c>
      <c r="L84" s="151">
        <f ca="1">IFERROR(__xludf.DUMMYFUNCTION("IMPORTRANGE(""https://docs.google.com/spreadsheets/d/1-uDff_7J0KD5mKrp0Vvzr7lt3OU09vwQwhkpOPPYv2Y/edit?usp=sharing"",""งบพรบ!DB84"")"),129886.57)</f>
        <v>129886.57</v>
      </c>
      <c r="M84" s="68">
        <f t="shared" ca="1" si="94"/>
        <v>91.084551192145867</v>
      </c>
      <c r="N84" s="68">
        <f t="shared" ca="1" si="95"/>
        <v>89.824737206085757</v>
      </c>
      <c r="O84" s="67">
        <f ca="1">IFERROR(__xludf.DUMMYFUNCTION("IMPORTRANGE(""https://docs.google.com/spreadsheets/d/1-uDff_7J0KD5mKrp0Vvzr7lt3OU09vwQwhkpOPPYv2Y/edit?usp=sharing"",""งบพรบ!DC84"")"),0)</f>
        <v>0</v>
      </c>
      <c r="P84" s="67">
        <f t="shared" ca="1" si="96"/>
        <v>0</v>
      </c>
      <c r="Q84" s="68">
        <f t="shared" ca="1" si="97"/>
        <v>0</v>
      </c>
      <c r="R84" s="67">
        <f ca="1">IFERROR(__xludf.DUMMYFUNCTION("IMPORTRANGE(""https://docs.google.com/spreadsheets/d/1woKwKjgoLssDvPcPeVyezB5izizAn4X1JDrys69n6xI/edit?usp=sharing"",""ยะลา!Q186"")"),14000)</f>
        <v>14000</v>
      </c>
      <c r="S84" s="67">
        <f ca="1">IFERROR(__xludf.DUMMYFUNCTION("IMPORTRANGE(""https://docs.google.com/spreadsheets/d/1woKwKjgoLssDvPcPeVyezB5izizAn4X1JDrys69n6xI/edit?usp=sharing"",""ยะลา!R186"")"),14000)</f>
        <v>14000</v>
      </c>
      <c r="T84" s="67">
        <f ca="1">IFERROR(__xludf.DUMMYFUNCTION("IMPORTRANGE(""https://docs.google.com/spreadsheets/d/1woKwKjgoLssDvPcPeVyezB5izizAn4X1JDrys69n6xI/edit?usp=sharing"",""ยะลา!S186"")"),14000)</f>
        <v>14000</v>
      </c>
      <c r="U84" s="68">
        <f t="shared" ca="1" si="99"/>
        <v>100</v>
      </c>
      <c r="V84" s="68">
        <f t="shared" ca="1" si="100"/>
        <v>100</v>
      </c>
      <c r="W84" s="152">
        <f ca="1">IFERROR(__xludf.DUMMYFUNCTION("IMPORTRANGE(""https://docs.google.com/spreadsheets/d/1woKwKjgoLssDvPcPeVyezB5izizAn4X1JDrys69n6xI/edit?usp=sharing"",""ยะลา!L196"")"),6000)</f>
        <v>6000</v>
      </c>
      <c r="X84" s="152">
        <f ca="1">IFERROR(__xludf.DUMMYFUNCTION("IMPORTRANGE(""https://docs.google.com/spreadsheets/d/1woKwKjgoLssDvPcPeVyezB5izizAn4X1JDrys69n6xI/edit?usp=sharing"",""ยะลา!N196"")"),6000)</f>
        <v>6000</v>
      </c>
      <c r="Y84" s="216">
        <f t="shared" ca="1" si="102"/>
        <v>100</v>
      </c>
      <c r="Z84" s="152">
        <f ca="1">IFERROR(__xludf.DUMMYFUNCTION("IMPORTRANGE(""https://docs.google.com/spreadsheets/d/1woKwKjgoLssDvPcPeVyezB5izizAn4X1JDrys69n6xI/edit?usp=sharing"",""ยะลา!I198"")"),4)</f>
        <v>4</v>
      </c>
      <c r="AA84" s="152">
        <f ca="1">IFERROR(__xludf.DUMMYFUNCTION("IMPORTRANGE(""https://docs.google.com/spreadsheets/d/1woKwKjgoLssDvPcPeVyezB5izizAn4X1JDrys69n6xI/edit?usp=sharing"",""ยะลา!J198"")"),4)</f>
        <v>4</v>
      </c>
      <c r="AB84" s="216">
        <f t="shared" ca="1" si="104"/>
        <v>100</v>
      </c>
      <c r="AC84" s="152">
        <f ca="1">IFERROR(__xludf.DUMMYFUNCTION("IMPORTRANGE(""https://docs.google.com/spreadsheets/d/1woKwKjgoLssDvPcPeVyezB5izizAn4X1JDrys69n6xI/edit?usp=sharing"",""ยะลา!J199"")"),177)</f>
        <v>177</v>
      </c>
      <c r="AD84" s="152">
        <f ca="1">IFERROR(__xludf.DUMMYFUNCTION("IMPORTRANGE(""https://docs.google.com/spreadsheets/d/1woKwKjgoLssDvPcPeVyezB5izizAn4X1JDrys69n6xI/edit?usp=sharing"",""ยะลา!J200"")"),177)</f>
        <v>177</v>
      </c>
      <c r="AE84" s="152">
        <f ca="1">IFERROR(__xludf.DUMMYFUNCTION("IMPORTRANGE(""https://docs.google.com/spreadsheets/d/1woKwKjgoLssDvPcPeVyezB5izizAn4X1JDrys69n6xI/edit?usp=sharing"",""ยะลา!J201"")"),0)</f>
        <v>0</v>
      </c>
      <c r="AF84" s="152">
        <f ca="1">IFERROR(__xludf.DUMMYFUNCTION("IMPORTRANGE(""https://docs.google.com/spreadsheets/d/1woKwKjgoLssDvPcPeVyezB5izizAn4X1JDrys69n6xI/edit?usp=sharing"",""ยะลา!L204"")"),1000)</f>
        <v>1000</v>
      </c>
      <c r="AG84" s="152">
        <f ca="1">IFERROR(__xludf.DUMMYFUNCTION("IMPORTRANGE(""https://docs.google.com/spreadsheets/d/1woKwKjgoLssDvPcPeVyezB5izizAn4X1JDrys69n6xI/edit?usp=sharing"",""ยะลา!N204"")"),1000)</f>
        <v>1000</v>
      </c>
      <c r="AH84" s="216">
        <f t="shared" ca="1" si="106"/>
        <v>100</v>
      </c>
      <c r="AI84" s="152">
        <f ca="1">IFERROR(__xludf.DUMMYFUNCTION("IMPORTRANGE(""https://docs.google.com/spreadsheets/d/1woKwKjgoLssDvPcPeVyezB5izizAn4X1JDrys69n6xI/edit?usp=sharing"",""ยะลา!L206"")"),0)</f>
        <v>0</v>
      </c>
      <c r="AJ84" s="152">
        <f ca="1">IFERROR(__xludf.DUMMYFUNCTION("IMPORTRANGE(""https://docs.google.com/spreadsheets/d/1woKwKjgoLssDvPcPeVyezB5izizAn4X1JDrys69n6xI/edit?usp=sharing"",""ยะลา!N206"")"),0)</f>
        <v>0</v>
      </c>
      <c r="AK84" s="216">
        <f t="shared" ca="1" si="108"/>
        <v>0</v>
      </c>
      <c r="AL84" s="152">
        <f ca="1">IFERROR(__xludf.DUMMYFUNCTION("IMPORTRANGE(""https://docs.google.com/spreadsheets/d/1woKwKjgoLssDvPcPeVyezB5izizAn4X1JDrys69n6xI/edit?usp=sharing"",""ยะลา!Q206"")"),14000)</f>
        <v>14000</v>
      </c>
      <c r="AM84" s="152">
        <f ca="1">IFERROR(__xludf.DUMMYFUNCTION("IMPORTRANGE(""https://docs.google.com/spreadsheets/d/1woKwKjgoLssDvPcPeVyezB5izizAn4X1JDrys69n6xI/edit?usp=sharing"",""ยะลา!S206"")"),14000)</f>
        <v>14000</v>
      </c>
      <c r="AN84" s="216">
        <f t="shared" ca="1" si="110"/>
        <v>100</v>
      </c>
      <c r="AO84" s="152">
        <f ca="1">IFERROR(__xludf.DUMMYFUNCTION("IMPORTRANGE(""https://docs.google.com/spreadsheets/d/1woKwKjgoLssDvPcPeVyezB5izizAn4X1JDrys69n6xI/edit?usp=sharing"",""ยะลา!L207"")"),4000)</f>
        <v>4000</v>
      </c>
      <c r="AP84" s="152">
        <f ca="1">IFERROR(__xludf.DUMMYFUNCTION("IMPORTRANGE(""https://docs.google.com/spreadsheets/d/1woKwKjgoLssDvPcPeVyezB5izizAn4X1JDrys69n6xI/edit?usp=sharing"",""ยะลา!N207"")"),4000)</f>
        <v>4000</v>
      </c>
      <c r="AQ84" s="216">
        <f t="shared" ca="1" si="112"/>
        <v>100</v>
      </c>
      <c r="AR84" s="152">
        <f ca="1">IFERROR(__xludf.DUMMYFUNCTION("IMPORTRANGE(""https://docs.google.com/spreadsheets/d/1woKwKjgoLssDvPcPeVyezB5izizAn4X1JDrys69n6xI/edit?usp=sharing"",""ยะลา!I209"")"),1)</f>
        <v>1</v>
      </c>
      <c r="AS84" s="152">
        <f ca="1">IFERROR(__xludf.DUMMYFUNCTION("IMPORTRANGE(""https://docs.google.com/spreadsheets/d/1woKwKjgoLssDvPcPeVyezB5izizAn4X1JDrys69n6xI/edit?usp=sharing"",""ยะลา!J209"")"),1)</f>
        <v>1</v>
      </c>
      <c r="AT84" s="216">
        <f t="shared" ca="1" si="114"/>
        <v>100</v>
      </c>
      <c r="AU84" s="152">
        <f ca="1">IFERROR(__xludf.DUMMYFUNCTION("IMPORTRANGE(""https://docs.google.com/spreadsheets/d/1woKwKjgoLssDvPcPeVyezB5izizAn4X1JDrys69n6xI/edit?usp=sharing"",""ยะลา!J211"")"),1)</f>
        <v>1</v>
      </c>
      <c r="AV84" s="252">
        <f ca="1">IFERROR(__xludf.DUMMYFUNCTION("IMPORTRANGE(""https://docs.google.com/spreadsheets/d/1woKwKjgoLssDvPcPeVyezB5izizAn4X1JDrys69n6xI/edit?usp=sharing"",""ยะลา!J212"")"),0)</f>
        <v>0</v>
      </c>
      <c r="AW84" s="152">
        <f ca="1">IFERROR(__xludf.DUMMYFUNCTION("IMPORTRANGE(""https://docs.google.com/spreadsheets/d/1woKwKjgoLssDvPcPeVyezB5izizAn4X1JDrys69n6xI/edit?usp=sharing"",""ยะลา!L215"")"),0)</f>
        <v>0</v>
      </c>
      <c r="AX84" s="152">
        <f ca="1">IFERROR(__xludf.DUMMYFUNCTION("IMPORTRANGE(""https://docs.google.com/spreadsheets/d/1woKwKjgoLssDvPcPeVyezB5izizAn4X1JDrys69n6xI/edit?usp=sharing"",""ยะลา!N215"")"),0)</f>
        <v>0</v>
      </c>
      <c r="AY84" s="216">
        <f t="shared" ca="1" si="116"/>
        <v>0</v>
      </c>
      <c r="AZ84" s="152">
        <f ca="1">IFERROR(__xludf.DUMMYFUNCTION("IMPORTRANGE(""https://docs.google.com/spreadsheets/d/1woKwKjgoLssDvPcPeVyezB5izizAn4X1JDrys69n6xI/edit?usp=sharing"",""ยะลา!L216"")"),0)</f>
        <v>0</v>
      </c>
      <c r="BA84" s="152">
        <f ca="1">IFERROR(__xludf.DUMMYFUNCTION("IMPORTRANGE(""https://docs.google.com/spreadsheets/d/1woKwKjgoLssDvPcPeVyezB5izizAn4X1JDrys69n6xI/edit?usp=sharing"",""ยะลา!N216"")"),0)</f>
        <v>0</v>
      </c>
      <c r="BB84" s="216">
        <f t="shared" ca="1" si="118"/>
        <v>0</v>
      </c>
      <c r="BC84" s="152">
        <f ca="1">IFERROR(__xludf.DUMMYFUNCTION("IMPORTRANGE(""https://docs.google.com/spreadsheets/d/1woKwKjgoLssDvPcPeVyezB5izizAn4X1JDrys69n6xI/edit?usp=sharing"",""ยะลา!L217"")"),0)</f>
        <v>0</v>
      </c>
      <c r="BD84" s="152">
        <f ca="1">IFERROR(__xludf.DUMMYFUNCTION("IMPORTRANGE(""https://docs.google.com/spreadsheets/d/1woKwKjgoLssDvPcPeVyezB5izizAn4X1JDrys69n6xI/edit?usp=sharing"",""ยะลา!N217"")"),0)</f>
        <v>0</v>
      </c>
      <c r="BE84" s="216">
        <f t="shared" ca="1" si="120"/>
        <v>0</v>
      </c>
      <c r="BF84" s="152">
        <f ca="1">IFERROR(__xludf.DUMMYFUNCTION("IMPORTRANGE(""https://docs.google.com/spreadsheets/d/1woKwKjgoLssDvPcPeVyezB5izizAn4X1JDrys69n6xI/edit?usp=sharing"",""ยะลา!Q217"")"),0)</f>
        <v>0</v>
      </c>
      <c r="BG84" s="152">
        <f ca="1">IFERROR(__xludf.DUMMYFUNCTION("IMPORTRANGE(""https://docs.google.com/spreadsheets/d/1woKwKjgoLssDvPcPeVyezB5izizAn4X1JDrys69n6xI/edit?usp=sharing"",""ยะลา!S217"")"),0)</f>
        <v>0</v>
      </c>
      <c r="BH84" s="216">
        <f t="shared" ca="1" si="122"/>
        <v>0</v>
      </c>
      <c r="BI84" s="152">
        <f ca="1">IFERROR(__xludf.DUMMYFUNCTION("IMPORTRANGE(""https://docs.google.com/spreadsheets/d/1woKwKjgoLssDvPcPeVyezB5izizAn4X1JDrys69n6xI/edit?usp=sharing"",""ยะลา!I219"")"),0)</f>
        <v>0</v>
      </c>
      <c r="BJ84" s="152">
        <f ca="1">IFERROR(__xludf.DUMMYFUNCTION("IMPORTRANGE(""https://docs.google.com/spreadsheets/d/1woKwKjgoLssDvPcPeVyezB5izizAn4X1JDrys69n6xI/edit?usp=sharing"",""ยะลา!J219"")"),0)</f>
        <v>0</v>
      </c>
      <c r="BK84" s="216">
        <f t="shared" ca="1" si="124"/>
        <v>0</v>
      </c>
      <c r="BL84" s="152">
        <f ca="1">IFERROR(__xludf.DUMMYFUNCTION("IMPORTRANGE(""https://docs.google.com/spreadsheets/d/1woKwKjgoLssDvPcPeVyezB5izizAn4X1JDrys69n6xI/edit?usp=sharing"",""ยะลา!I220"")"),0)</f>
        <v>0</v>
      </c>
      <c r="BM84" s="152">
        <f ca="1">IFERROR(__xludf.DUMMYFUNCTION("IMPORTRANGE(""https://docs.google.com/spreadsheets/d/1woKwKjgoLssDvPcPeVyezB5izizAn4X1JDrys69n6xI/edit?usp=sharing"",""ยะลา!J220"")"),0)</f>
        <v>0</v>
      </c>
      <c r="BN84" s="216">
        <f t="shared" ca="1" si="126"/>
        <v>0</v>
      </c>
      <c r="BO84" s="152">
        <f ca="1">IFERROR(__xludf.DUMMYFUNCTION("IMPORTRANGE(""https://docs.google.com/spreadsheets/d/1woKwKjgoLssDvPcPeVyezB5izizAn4X1JDrys69n6xI/edit?usp=sharing"",""ยะลา!L223"")"),2500)</f>
        <v>2500</v>
      </c>
      <c r="BP84" s="152">
        <f ca="1">IFERROR(__xludf.DUMMYFUNCTION("IMPORTRANGE(""https://docs.google.com/spreadsheets/d/1woKwKjgoLssDvPcPeVyezB5izizAn4X1JDrys69n6xI/edit?usp=sharing"",""ยะลา!N223"")"),2500)</f>
        <v>2500</v>
      </c>
      <c r="BQ84" s="216">
        <f t="shared" ca="1" si="128"/>
        <v>100</v>
      </c>
      <c r="BR84" s="152">
        <f ca="1">IFERROR(__xludf.DUMMYFUNCTION("IMPORTRANGE(""https://docs.google.com/spreadsheets/d/1woKwKjgoLssDvPcPeVyezB5izizAn4X1JDrys69n6xI/edit?usp=sharing"",""ยะลา!L224"")"),2000)</f>
        <v>2000</v>
      </c>
      <c r="BS84" s="152">
        <f ca="1">IFERROR(__xludf.DUMMYFUNCTION("IMPORTRANGE(""https://docs.google.com/spreadsheets/d/1woKwKjgoLssDvPcPeVyezB5izizAn4X1JDrys69n6xI/edit?usp=sharing"",""ยะลา!N224"")"),2000)</f>
        <v>2000</v>
      </c>
      <c r="BT84" s="216">
        <f t="shared" ca="1" si="130"/>
        <v>100</v>
      </c>
      <c r="BU84" s="152">
        <f ca="1">IFERROR(__xludf.DUMMYFUNCTION("IMPORTRANGE(""https://docs.google.com/spreadsheets/d/1woKwKjgoLssDvPcPeVyezB5izizAn4X1JDrys69n6xI/edit?usp=sharing"",""ยะลา!I228"")"),12000)</f>
        <v>12000</v>
      </c>
      <c r="BV84" s="152">
        <f ca="1">IFERROR(__xludf.DUMMYFUNCTION("IMPORTRANGE(""https://docs.google.com/spreadsheets/d/1woKwKjgoLssDvPcPeVyezB5izizAn4X1JDrys69n6xI/edit?usp=sharing"",""ยะลา!J228"")"),12000)</f>
        <v>12000</v>
      </c>
      <c r="BW84" s="216">
        <f t="shared" ca="1" si="132"/>
        <v>100</v>
      </c>
      <c r="BX84" s="152">
        <f ca="1">IFERROR(__xludf.DUMMYFUNCTION("IMPORTRANGE(""https://docs.google.com/spreadsheets/d/1woKwKjgoLssDvPcPeVyezB5izizAn4X1JDrys69n6xI/edit?usp=sharing"",""ยะลา!I229"")"),12000)</f>
        <v>12000</v>
      </c>
      <c r="BY84" s="152">
        <f ca="1">IFERROR(__xludf.DUMMYFUNCTION("IMPORTRANGE(""https://docs.google.com/spreadsheets/d/1woKwKjgoLssDvPcPeVyezB5izizAn4X1JDrys69n6xI/edit?usp=sharing"",""ยะลา!J229"")"),12000)</f>
        <v>12000</v>
      </c>
      <c r="BZ84" s="216">
        <f t="shared" ca="1" si="134"/>
        <v>100</v>
      </c>
      <c r="CA84" s="152">
        <f ca="1">IFERROR(__xludf.DUMMYFUNCTION("IMPORTRANGE(""https://docs.google.com/spreadsheets/d/1woKwKjgoLssDvPcPeVyezB5izizAn4X1JDrys69n6xI/edit?usp=sharing"",""ยะลา!I230"")"),0)</f>
        <v>0</v>
      </c>
      <c r="CB84" s="152">
        <f ca="1">IFERROR(__xludf.DUMMYFUNCTION("IMPORTRANGE(""https://docs.google.com/spreadsheets/d/1woKwKjgoLssDvPcPeVyezB5izizAn4X1JDrys69n6xI/edit?usp=sharing"",""ยะลา!J230"")"),0)</f>
        <v>0</v>
      </c>
      <c r="CC84" s="216">
        <f t="shared" ca="1" si="136"/>
        <v>0</v>
      </c>
      <c r="CD84" s="152">
        <f ca="1">IFERROR(__xludf.DUMMYFUNCTION("IMPORTRANGE(""https://docs.google.com/spreadsheets/d/1woKwKjgoLssDvPcPeVyezB5izizAn4X1JDrys69n6xI/edit?usp=sharing"",""ยะลา!L233"")"),0)</f>
        <v>0</v>
      </c>
      <c r="CE84" s="152">
        <f ca="1">IFERROR(__xludf.DUMMYFUNCTION("IMPORTRANGE(""https://docs.google.com/spreadsheets/d/1woKwKjgoLssDvPcPeVyezB5izizAn4X1JDrys69n6xI/edit?usp=sharing"",""ยะลา!N233"")"),0)</f>
        <v>0</v>
      </c>
      <c r="CF84" s="216">
        <f t="shared" ca="1" si="138"/>
        <v>0</v>
      </c>
      <c r="CG84" s="152">
        <f ca="1">IFERROR(__xludf.DUMMYFUNCTION("IMPORTRANGE(""https://docs.google.com/spreadsheets/d/1woKwKjgoLssDvPcPeVyezB5izizAn4X1JDrys69n6xI/edit?usp=sharing"",""ยะลา!L234"")"),0)</f>
        <v>0</v>
      </c>
      <c r="CH84" s="152">
        <f ca="1">IFERROR(__xludf.DUMMYFUNCTION("IMPORTRANGE(""https://docs.google.com/spreadsheets/d/1woKwKjgoLssDvPcPeVyezB5izizAn4X1JDrys69n6xI/edit?usp=sharing"",""ยะลา!N234"")"),0)</f>
        <v>0</v>
      </c>
      <c r="CI84" s="216">
        <f t="shared" ca="1" si="140"/>
        <v>0</v>
      </c>
      <c r="CJ84" s="152">
        <f ca="1">IFERROR(__xludf.DUMMYFUNCTION("IMPORTRANGE(""https://docs.google.com/spreadsheets/d/1woKwKjgoLssDvPcPeVyezB5izizAn4X1JDrys69n6xI/edit?usp=sharing"",""ยะลา!L235"")"),0)</f>
        <v>0</v>
      </c>
      <c r="CK84" s="152">
        <f ca="1">IFERROR(__xludf.DUMMYFUNCTION("IMPORTRANGE(""https://docs.google.com/spreadsheets/d/1woKwKjgoLssDvPcPeVyezB5izizAn4X1JDrys69n6xI/edit?usp=sharing"",""ยะลา!N235"")"),0)</f>
        <v>0</v>
      </c>
      <c r="CL84" s="216">
        <f t="shared" ca="1" si="142"/>
        <v>0</v>
      </c>
      <c r="CM84" s="251">
        <f ca="1">IFERROR(__xludf.DUMMYFUNCTION("IMPORTRANGE(""https://docs.google.com/spreadsheets/d/1woKwKjgoLssDvPcPeVyezB5izizAn4X1JDrys69n6xI/edit?usp=sharing"",""ยะลา!Q235"")"),0)</f>
        <v>0</v>
      </c>
      <c r="CN84" s="251">
        <f ca="1">IFERROR(__xludf.DUMMYFUNCTION("IMPORTRANGE(""https://docs.google.com/spreadsheets/d/1woKwKjgoLssDvPcPeVyezB5izizAn4X1JDrys69n6xI/edit?usp=sharing"",""ยะลา!S235"")"),0)</f>
        <v>0</v>
      </c>
      <c r="CO84" s="216">
        <f t="shared" ca="1" si="144"/>
        <v>0</v>
      </c>
      <c r="CP84" s="152">
        <f ca="1">IFERROR(__xludf.DUMMYFUNCTION("IMPORTRANGE(""https://docs.google.com/spreadsheets/d/1woKwKjgoLssDvPcPeVyezB5izizAn4X1JDrys69n6xI/edit?usp=sharing"",""ยะลา!L236"")"),0)</f>
        <v>0</v>
      </c>
      <c r="CQ84" s="152">
        <f ca="1">IFERROR(__xludf.DUMMYFUNCTION("IMPORTRANGE(""https://docs.google.com/spreadsheets/d/1woKwKjgoLssDvPcPeVyezB5izizAn4X1JDrys69n6xI/edit?usp=sharing"",""ยะลา!N236"")"),0)</f>
        <v>0</v>
      </c>
      <c r="CR84" s="216">
        <f t="shared" ca="1" si="146"/>
        <v>0</v>
      </c>
      <c r="CS84" s="152">
        <f ca="1">IFERROR(__xludf.DUMMYFUNCTION("IMPORTRANGE(""https://docs.google.com/spreadsheets/d/1woKwKjgoLssDvPcPeVyezB5izizAn4X1JDrys69n6xI/edit?usp=sharing"",""ยะลา!I238"")"),0)</f>
        <v>0</v>
      </c>
      <c r="CT84" s="152">
        <f ca="1">IFERROR(__xludf.DUMMYFUNCTION("IMPORTRANGE(""https://docs.google.com/spreadsheets/d/1woKwKjgoLssDvPcPeVyezB5izizAn4X1JDrys69n6xI/edit?usp=sharing"",""ยะลา!J238"")"),0)</f>
        <v>0</v>
      </c>
      <c r="CU84" s="216">
        <f t="shared" ca="1" si="148"/>
        <v>0</v>
      </c>
      <c r="CV84" s="152">
        <f ca="1">IFERROR(__xludf.DUMMYFUNCTION("IMPORTRANGE(""https://docs.google.com/spreadsheets/d/1woKwKjgoLssDvPcPeVyezB5izizAn4X1JDrys69n6xI/edit?usp=sharing"",""ยะลา!J240"")"),0)</f>
        <v>0</v>
      </c>
      <c r="CW84" s="152">
        <f ca="1">IFERROR(__xludf.DUMMYFUNCTION("IMPORTRANGE(""https://docs.google.com/spreadsheets/d/1woKwKjgoLssDvPcPeVyezB5izizAn4X1JDrys69n6xI/edit?usp=sharing"",""ยะลา!J241"")"),0)</f>
        <v>0</v>
      </c>
    </row>
    <row r="85" spans="1:101" ht="21" customHeight="1" x14ac:dyDescent="0.3">
      <c r="A85" s="147">
        <v>11</v>
      </c>
      <c r="B85" s="148" t="s">
        <v>113</v>
      </c>
      <c r="C85" s="149">
        <f t="shared" ca="1" si="90"/>
        <v>401900</v>
      </c>
      <c r="D85" s="150">
        <f t="shared" ca="1" si="234"/>
        <v>401900</v>
      </c>
      <c r="E85" s="151">
        <f ca="1">IFERROR(__xludf.DUMMYFUNCTION("IMPORTRANGE(""https://docs.google.com/spreadsheets/d/1-uDff_7J0KD5mKrp0Vvzr7lt3OU09vwQwhkpOPPYv2Y/edit?usp=sharing"",""งบพรบ!CV85"")"),381400)</f>
        <v>381400</v>
      </c>
      <c r="F85" s="151">
        <f ca="1">IFERROR(__xludf.DUMMYFUNCTION("IMPORTRANGE(""https://docs.google.com/spreadsheets/d/1-uDff_7J0KD5mKrp0Vvzr7lt3OU09vwQwhkpOPPYv2Y/edit?usp=sharing"",""งบพรบ!CW85"")"),20500)</f>
        <v>20500</v>
      </c>
      <c r="G85" s="151">
        <f ca="1">IFERROR(__xludf.DUMMYFUNCTION("IMPORTRANGE(""https://docs.google.com/spreadsheets/d/1-uDff_7J0KD5mKrp0Vvzr7lt3OU09vwQwhkpOPPYv2Y/edit?usp=sharing"",""งบพรบ!CX85"")"),0)</f>
        <v>0</v>
      </c>
      <c r="H85" s="151">
        <f ca="1">IFERROR(__xludf.DUMMYFUNCTION("IMPORTRANGE(""https://docs.google.com/spreadsheets/d/1-uDff_7J0KD5mKrp0Vvzr7lt3OU09vwQwhkpOPPYv2Y/edit?usp=sharing"",""งบพรบ!CZ85"")"),403900)</f>
        <v>403900</v>
      </c>
      <c r="I85" s="151">
        <f ca="1">IFERROR(__xludf.DUMMYFUNCTION("IMPORTRANGE(""https://docs.google.com/spreadsheets/d/1-uDff_7J0KD5mKrp0Vvzr7lt3OU09vwQwhkpOPPYv2Y/edit?usp=sharing"",""งบพรบ!DA85"")"),0)</f>
        <v>0</v>
      </c>
      <c r="J85" s="151">
        <f t="shared" ca="1" si="92"/>
        <v>347960.68</v>
      </c>
      <c r="K85" s="154">
        <f t="shared" ca="1" si="93"/>
        <v>86.578920129385423</v>
      </c>
      <c r="L85" s="151">
        <f ca="1">IFERROR(__xludf.DUMMYFUNCTION("IMPORTRANGE(""https://docs.google.com/spreadsheets/d/1-uDff_7J0KD5mKrp0Vvzr7lt3OU09vwQwhkpOPPYv2Y/edit?usp=sharing"",""งบพรบ!DB85"")"),347960.68)</f>
        <v>347960.68</v>
      </c>
      <c r="M85" s="68">
        <f t="shared" ca="1" si="94"/>
        <v>86.578920129385423</v>
      </c>
      <c r="N85" s="68">
        <f t="shared" ca="1" si="95"/>
        <v>86.150205496409995</v>
      </c>
      <c r="O85" s="67">
        <f ca="1">IFERROR(__xludf.DUMMYFUNCTION("IMPORTRANGE(""https://docs.google.com/spreadsheets/d/1-uDff_7J0KD5mKrp0Vvzr7lt3OU09vwQwhkpOPPYv2Y/edit?usp=sharing"",""งบพรบ!DC85"")"),0)</f>
        <v>0</v>
      </c>
      <c r="P85" s="67">
        <f t="shared" ca="1" si="96"/>
        <v>0</v>
      </c>
      <c r="Q85" s="68">
        <f t="shared" ca="1" si="97"/>
        <v>0</v>
      </c>
      <c r="R85" s="67">
        <f ca="1">IFERROR(__xludf.DUMMYFUNCTION("IMPORTRANGE(""https://docs.google.com/spreadsheets/d/1qfrKjzMhm2HJfxQ-qVlJlJQ25Hne1d0khsySbZyGtPA/edit?usp=sharing"",""ระนอง!Q186"")"),28000)</f>
        <v>28000</v>
      </c>
      <c r="S85" s="67">
        <f ca="1">IFERROR(__xludf.DUMMYFUNCTION("IMPORTRANGE(""https://docs.google.com/spreadsheets/d/1qfrKjzMhm2HJfxQ-qVlJlJQ25Hne1d0khsySbZyGtPA/edit?usp=sharing"",""ระนอง!R186"")"),28000)</f>
        <v>28000</v>
      </c>
      <c r="T85" s="67">
        <f ca="1">IFERROR(__xludf.DUMMYFUNCTION("IMPORTRANGE(""https://docs.google.com/spreadsheets/d/1qfrKjzMhm2HJfxQ-qVlJlJQ25Hne1d0khsySbZyGtPA/edit?usp=sharing"",""ระนอง!S186"")"),17100)</f>
        <v>17100</v>
      </c>
      <c r="U85" s="68">
        <f t="shared" ca="1" si="99"/>
        <v>61.071428571428569</v>
      </c>
      <c r="V85" s="68">
        <f t="shared" ca="1" si="100"/>
        <v>61.071428571428569</v>
      </c>
      <c r="W85" s="152">
        <f ca="1">IFERROR(__xludf.DUMMYFUNCTION("IMPORTRANGE(""https://docs.google.com/spreadsheets/d/1qfrKjzMhm2HJfxQ-qVlJlJQ25Hne1d0khsySbZyGtPA/edit?usp=sharing"",""ระนอง!L196"")"),6000)</f>
        <v>6000</v>
      </c>
      <c r="X85" s="152">
        <f ca="1">IFERROR(__xludf.DUMMYFUNCTION("IMPORTRANGE(""https://docs.google.com/spreadsheets/d/1qfrKjzMhm2HJfxQ-qVlJlJQ25Hne1d0khsySbZyGtPA/edit?usp=sharing"",""ระนอง!N196"")"),3000)</f>
        <v>3000</v>
      </c>
      <c r="Y85" s="216">
        <f t="shared" ca="1" si="102"/>
        <v>50</v>
      </c>
      <c r="Z85" s="152">
        <f ca="1">IFERROR(__xludf.DUMMYFUNCTION("IMPORTRANGE(""https://docs.google.com/spreadsheets/d/1qfrKjzMhm2HJfxQ-qVlJlJQ25Hne1d0khsySbZyGtPA/edit?usp=sharing"",""ระนอง!I198"")"),4)</f>
        <v>4</v>
      </c>
      <c r="AA85" s="152">
        <f ca="1">IFERROR(__xludf.DUMMYFUNCTION("IMPORTRANGE(""https://docs.google.com/spreadsheets/d/1qfrKjzMhm2HJfxQ-qVlJlJQ25Hne1d0khsySbZyGtPA/edit?usp=sharing"",""ระนอง!J198"")"),4)</f>
        <v>4</v>
      </c>
      <c r="AB85" s="216">
        <f t="shared" ca="1" si="104"/>
        <v>100</v>
      </c>
      <c r="AC85" s="152">
        <f ca="1">IFERROR(__xludf.DUMMYFUNCTION("IMPORTRANGE(""https://docs.google.com/spreadsheets/d/1qfrKjzMhm2HJfxQ-qVlJlJQ25Hne1d0khsySbZyGtPA/edit?usp=sharing"",""ระนอง!J199"")"),160)</f>
        <v>160</v>
      </c>
      <c r="AD85" s="152">
        <f ca="1">IFERROR(__xludf.DUMMYFUNCTION("IMPORTRANGE(""https://docs.google.com/spreadsheets/d/1qfrKjzMhm2HJfxQ-qVlJlJQ25Hne1d0khsySbZyGtPA/edit?usp=sharing"",""ระนอง!J200"")"),160)</f>
        <v>160</v>
      </c>
      <c r="AE85" s="152">
        <f ca="1">IFERROR(__xludf.DUMMYFUNCTION("IMPORTRANGE(""https://docs.google.com/spreadsheets/d/1qfrKjzMhm2HJfxQ-qVlJlJQ25Hne1d0khsySbZyGtPA/edit?usp=sharing"",""ระนอง!J201"")"),0)</f>
        <v>0</v>
      </c>
      <c r="AF85" s="152">
        <f ca="1">IFERROR(__xludf.DUMMYFUNCTION("IMPORTRANGE(""https://docs.google.com/spreadsheets/d/1qfrKjzMhm2HJfxQ-qVlJlJQ25Hne1d0khsySbZyGtPA/edit?usp=sharing"",""ระนอง!L204"")"),2000)</f>
        <v>2000</v>
      </c>
      <c r="AG85" s="152">
        <f ca="1">IFERROR(__xludf.DUMMYFUNCTION("IMPORTRANGE(""https://docs.google.com/spreadsheets/d/1qfrKjzMhm2HJfxQ-qVlJlJQ25Hne1d0khsySbZyGtPA/edit?usp=sharing"",""ระนอง!N204"")"),0)</f>
        <v>0</v>
      </c>
      <c r="AH85" s="216">
        <f t="shared" ca="1" si="106"/>
        <v>0</v>
      </c>
      <c r="AI85" s="152">
        <f ca="1">IFERROR(__xludf.DUMMYFUNCTION("IMPORTRANGE(""https://docs.google.com/spreadsheets/d/1qfrKjzMhm2HJfxQ-qVlJlJQ25Hne1d0khsySbZyGtPA/edit?usp=sharing"",""ระนอง!L206"")"),0)</f>
        <v>0</v>
      </c>
      <c r="AJ85" s="152">
        <f ca="1">IFERROR(__xludf.DUMMYFUNCTION("IMPORTRANGE(""https://docs.google.com/spreadsheets/d/1qfrKjzMhm2HJfxQ-qVlJlJQ25Hne1d0khsySbZyGtPA/edit?usp=sharing"",""ระนอง!N206"")"),0)</f>
        <v>0</v>
      </c>
      <c r="AK85" s="216">
        <f t="shared" ca="1" si="108"/>
        <v>0</v>
      </c>
      <c r="AL85" s="152">
        <f ca="1">IFERROR(__xludf.DUMMYFUNCTION("IMPORTRANGE(""https://docs.google.com/spreadsheets/d/1qfrKjzMhm2HJfxQ-qVlJlJQ25Hne1d0khsySbZyGtPA/edit?usp=sharing"",""ระนอง!Q206"")"),28000)</f>
        <v>28000</v>
      </c>
      <c r="AM85" s="152">
        <f ca="1">IFERROR(__xludf.DUMMYFUNCTION("IMPORTRANGE(""https://docs.google.com/spreadsheets/d/1qfrKjzMhm2HJfxQ-qVlJlJQ25Hne1d0khsySbZyGtPA/edit?usp=sharing"",""ระนอง!S206"")"),17100)</f>
        <v>17100</v>
      </c>
      <c r="AN85" s="216">
        <f t="shared" ca="1" si="110"/>
        <v>61.071428571428569</v>
      </c>
      <c r="AO85" s="152">
        <f ca="1">IFERROR(__xludf.DUMMYFUNCTION("IMPORTRANGE(""https://docs.google.com/spreadsheets/d/1qfrKjzMhm2HJfxQ-qVlJlJQ25Hne1d0khsySbZyGtPA/edit?usp=sharing"",""ระนอง!L207"")"),8000)</f>
        <v>8000</v>
      </c>
      <c r="AP85" s="152">
        <f ca="1">IFERROR(__xludf.DUMMYFUNCTION("IMPORTRANGE(""https://docs.google.com/spreadsheets/d/1qfrKjzMhm2HJfxQ-qVlJlJQ25Hne1d0khsySbZyGtPA/edit?usp=sharing"",""ระนอง!N207"")"),8225)</f>
        <v>8225</v>
      </c>
      <c r="AQ85" s="216">
        <f t="shared" ca="1" si="112"/>
        <v>102.8125</v>
      </c>
      <c r="AR85" s="152">
        <f ca="1">IFERROR(__xludf.DUMMYFUNCTION("IMPORTRANGE(""https://docs.google.com/spreadsheets/d/1qfrKjzMhm2HJfxQ-qVlJlJQ25Hne1d0khsySbZyGtPA/edit?usp=sharing"",""ระนอง!I209"")"),2)</f>
        <v>2</v>
      </c>
      <c r="AS85" s="152">
        <f ca="1">IFERROR(__xludf.DUMMYFUNCTION("IMPORTRANGE(""https://docs.google.com/spreadsheets/d/1qfrKjzMhm2HJfxQ-qVlJlJQ25Hne1d0khsySbZyGtPA/edit?usp=sharing"",""ระนอง!J209"")"),2)</f>
        <v>2</v>
      </c>
      <c r="AT85" s="216">
        <f t="shared" ca="1" si="114"/>
        <v>100</v>
      </c>
      <c r="AU85" s="152">
        <f ca="1">IFERROR(__xludf.DUMMYFUNCTION("IMPORTRANGE(""https://docs.google.com/spreadsheets/d/1qfrKjzMhm2HJfxQ-qVlJlJQ25Hne1d0khsySbZyGtPA/edit?usp=sharing"",""ระนอง!J211"")"),1)</f>
        <v>1</v>
      </c>
      <c r="AV85" s="152">
        <f ca="1">IFERROR(__xludf.DUMMYFUNCTION("IMPORTRANGE(""https://docs.google.com/spreadsheets/d/1qfrKjzMhm2HJfxQ-qVlJlJQ25Hne1d0khsySbZyGtPA/edit?usp=sharing"",""ระนอง!J212"")"),0)</f>
        <v>0</v>
      </c>
      <c r="AW85" s="152">
        <f ca="1">IFERROR(__xludf.DUMMYFUNCTION("IMPORTRANGE(""https://docs.google.com/spreadsheets/d/1qfrKjzMhm2HJfxQ-qVlJlJQ25Hne1d0khsySbZyGtPA/edit?usp=sharing"",""ระนอง!L215"")"),0)</f>
        <v>0</v>
      </c>
      <c r="AX85" s="152">
        <f ca="1">IFERROR(__xludf.DUMMYFUNCTION("IMPORTRANGE(""https://docs.google.com/spreadsheets/d/1qfrKjzMhm2HJfxQ-qVlJlJQ25Hne1d0khsySbZyGtPA/edit?usp=sharing"",""ระนอง!N215"")"),0)</f>
        <v>0</v>
      </c>
      <c r="AY85" s="216">
        <f t="shared" ca="1" si="116"/>
        <v>0</v>
      </c>
      <c r="AZ85" s="152">
        <f ca="1">IFERROR(__xludf.DUMMYFUNCTION("IMPORTRANGE(""https://docs.google.com/spreadsheets/d/1qfrKjzMhm2HJfxQ-qVlJlJQ25Hne1d0khsySbZyGtPA/edit?usp=sharing"",""ระนอง!L216"")"),0)</f>
        <v>0</v>
      </c>
      <c r="BA85" s="152">
        <f ca="1">IFERROR(__xludf.DUMMYFUNCTION("IMPORTRANGE(""https://docs.google.com/spreadsheets/d/1qfrKjzMhm2HJfxQ-qVlJlJQ25Hne1d0khsySbZyGtPA/edit?usp=sharing"",""ระนอง!N216"")"),0)</f>
        <v>0</v>
      </c>
      <c r="BB85" s="216">
        <f t="shared" ca="1" si="118"/>
        <v>0</v>
      </c>
      <c r="BC85" s="152">
        <f ca="1">IFERROR(__xludf.DUMMYFUNCTION("IMPORTRANGE(""https://docs.google.com/spreadsheets/d/1qfrKjzMhm2HJfxQ-qVlJlJQ25Hne1d0khsySbZyGtPA/edit?usp=sharing"",""ระนอง!L217"")"),0)</f>
        <v>0</v>
      </c>
      <c r="BD85" s="152">
        <f ca="1">IFERROR(__xludf.DUMMYFUNCTION("IMPORTRANGE(""https://docs.google.com/spreadsheets/d/1qfrKjzMhm2HJfxQ-qVlJlJQ25Hne1d0khsySbZyGtPA/edit?usp=sharing"",""ระนอง!N217"")"),0)</f>
        <v>0</v>
      </c>
      <c r="BE85" s="216">
        <f t="shared" ca="1" si="120"/>
        <v>0</v>
      </c>
      <c r="BF85" s="152">
        <f ca="1">IFERROR(__xludf.DUMMYFUNCTION("IMPORTRANGE(""https://docs.google.com/spreadsheets/d/1qfrKjzMhm2HJfxQ-qVlJlJQ25Hne1d0khsySbZyGtPA/edit?usp=sharing"",""ระนอง!Q217"")"),0)</f>
        <v>0</v>
      </c>
      <c r="BG85" s="152">
        <f ca="1">IFERROR(__xludf.DUMMYFUNCTION("IMPORTRANGE(""https://docs.google.com/spreadsheets/d/1qfrKjzMhm2HJfxQ-qVlJlJQ25Hne1d0khsySbZyGtPA/edit?usp=sharing"",""ระนอง!S217"")"),0)</f>
        <v>0</v>
      </c>
      <c r="BH85" s="216">
        <f t="shared" ca="1" si="122"/>
        <v>0</v>
      </c>
      <c r="BI85" s="152">
        <f ca="1">IFERROR(__xludf.DUMMYFUNCTION("IMPORTRANGE(""https://docs.google.com/spreadsheets/d/1qfrKjzMhm2HJfxQ-qVlJlJQ25Hne1d0khsySbZyGtPA/edit?usp=sharing"",""ระนอง!I219"")"),0)</f>
        <v>0</v>
      </c>
      <c r="BJ85" s="152">
        <f ca="1">IFERROR(__xludf.DUMMYFUNCTION("IMPORTRANGE(""https://docs.google.com/spreadsheets/d/1qfrKjzMhm2HJfxQ-qVlJlJQ25Hne1d0khsySbZyGtPA/edit?usp=sharing"",""ระนอง!J219"")"),0)</f>
        <v>0</v>
      </c>
      <c r="BK85" s="216">
        <f t="shared" ca="1" si="124"/>
        <v>0</v>
      </c>
      <c r="BL85" s="152">
        <f ca="1">IFERROR(__xludf.DUMMYFUNCTION("IMPORTRANGE(""https://docs.google.com/spreadsheets/d/1qfrKjzMhm2HJfxQ-qVlJlJQ25Hne1d0khsySbZyGtPA/edit?usp=sharing"",""ระนอง!I220"")"),0)</f>
        <v>0</v>
      </c>
      <c r="BM85" s="152">
        <f ca="1">IFERROR(__xludf.DUMMYFUNCTION("IMPORTRANGE(""https://docs.google.com/spreadsheets/d/1qfrKjzMhm2HJfxQ-qVlJlJQ25Hne1d0khsySbZyGtPA/edit?usp=sharing"",""ระนอง!J220"")"),0)</f>
        <v>0</v>
      </c>
      <c r="BN85" s="216">
        <f t="shared" ca="1" si="126"/>
        <v>0</v>
      </c>
      <c r="BO85" s="152">
        <f ca="1">IFERROR(__xludf.DUMMYFUNCTION("IMPORTRANGE(""https://docs.google.com/spreadsheets/d/1qfrKjzMhm2HJfxQ-qVlJlJQ25Hne1d0khsySbZyGtPA/edit?usp=sharing"",""ระนอง!L223"")"),2500)</f>
        <v>2500</v>
      </c>
      <c r="BP85" s="152">
        <f ca="1">IFERROR(__xludf.DUMMYFUNCTION("IMPORTRANGE(""https://docs.google.com/spreadsheets/d/1qfrKjzMhm2HJfxQ-qVlJlJQ25Hne1d0khsySbZyGtPA/edit?usp=sharing"",""ระนอง!N223"")"),1400)</f>
        <v>1400</v>
      </c>
      <c r="BQ85" s="216">
        <f t="shared" ca="1" si="128"/>
        <v>56</v>
      </c>
      <c r="BR85" s="152">
        <f ca="1">IFERROR(__xludf.DUMMYFUNCTION("IMPORTRANGE(""https://docs.google.com/spreadsheets/d/1qfrKjzMhm2HJfxQ-qVlJlJQ25Hne1d0khsySbZyGtPA/edit?usp=sharing"",""ระนอง!L224"")"),2000)</f>
        <v>2000</v>
      </c>
      <c r="BS85" s="152">
        <f ca="1">IFERROR(__xludf.DUMMYFUNCTION("IMPORTRANGE(""https://docs.google.com/spreadsheets/d/1qfrKjzMhm2HJfxQ-qVlJlJQ25Hne1d0khsySbZyGtPA/edit?usp=sharing"",""ระนอง!N224"")"),2500)</f>
        <v>2500</v>
      </c>
      <c r="BT85" s="216">
        <f t="shared" ca="1" si="130"/>
        <v>125</v>
      </c>
      <c r="BU85" s="152">
        <f ca="1">IFERROR(__xludf.DUMMYFUNCTION("IMPORTRANGE(""https://docs.google.com/spreadsheets/d/1qfrKjzMhm2HJfxQ-qVlJlJQ25Hne1d0khsySbZyGtPA/edit?usp=sharing"",""ระนอง!I228"")"),12800)</f>
        <v>12800</v>
      </c>
      <c r="BV85" s="152">
        <f ca="1">IFERROR(__xludf.DUMMYFUNCTION("IMPORTRANGE(""https://docs.google.com/spreadsheets/d/1qfrKjzMhm2HJfxQ-qVlJlJQ25Hne1d0khsySbZyGtPA/edit?usp=sharing"",""ระนอง!J228"")"),15000)</f>
        <v>15000</v>
      </c>
      <c r="BW85" s="216">
        <f t="shared" ca="1" si="132"/>
        <v>117.1875</v>
      </c>
      <c r="BX85" s="152">
        <f ca="1">IFERROR(__xludf.DUMMYFUNCTION("IMPORTRANGE(""https://docs.google.com/spreadsheets/d/1qfrKjzMhm2HJfxQ-qVlJlJQ25Hne1d0khsySbZyGtPA/edit?usp=sharing"",""ระนอง!I229"")"),12800)</f>
        <v>12800</v>
      </c>
      <c r="BY85" s="152">
        <f ca="1">IFERROR(__xludf.DUMMYFUNCTION("IMPORTRANGE(""https://docs.google.com/spreadsheets/d/1qfrKjzMhm2HJfxQ-qVlJlJQ25Hne1d0khsySbZyGtPA/edit?usp=sharing"",""ระนอง!J229"")"),15000)</f>
        <v>15000</v>
      </c>
      <c r="BZ85" s="216">
        <f t="shared" ca="1" si="134"/>
        <v>117.1875</v>
      </c>
      <c r="CA85" s="152">
        <f ca="1">IFERROR(__xludf.DUMMYFUNCTION("IMPORTRANGE(""https://docs.google.com/spreadsheets/d/1qfrKjzMhm2HJfxQ-qVlJlJQ25Hne1d0khsySbZyGtPA/edit?usp=sharing"",""ระนอง!I230"")"),0)</f>
        <v>0</v>
      </c>
      <c r="CB85" s="152">
        <f ca="1">IFERROR(__xludf.DUMMYFUNCTION("IMPORTRANGE(""https://docs.google.com/spreadsheets/d/1qfrKjzMhm2HJfxQ-qVlJlJQ25Hne1d0khsySbZyGtPA/edit?usp=sharing"",""ระนอง!J230"")"),0)</f>
        <v>0</v>
      </c>
      <c r="CC85" s="216">
        <f t="shared" ca="1" si="136"/>
        <v>0</v>
      </c>
      <c r="CD85" s="152">
        <f ca="1">IFERROR(__xludf.DUMMYFUNCTION("IMPORTRANGE(""https://docs.google.com/spreadsheets/d/1qfrKjzMhm2HJfxQ-qVlJlJQ25Hne1d0khsySbZyGtPA/edit?usp=sharing"",""ระนอง!L233"")"),0)</f>
        <v>0</v>
      </c>
      <c r="CE85" s="152">
        <f ca="1">IFERROR(__xludf.DUMMYFUNCTION("IMPORTRANGE(""https://docs.google.com/spreadsheets/d/1qfrKjzMhm2HJfxQ-qVlJlJQ25Hne1d0khsySbZyGtPA/edit?usp=sharing"",""ระนอง!N233"")"),0)</f>
        <v>0</v>
      </c>
      <c r="CF85" s="216">
        <f t="shared" ca="1" si="138"/>
        <v>0</v>
      </c>
      <c r="CG85" s="152">
        <f ca="1">IFERROR(__xludf.DUMMYFUNCTION("IMPORTRANGE(""https://docs.google.com/spreadsheets/d/1qfrKjzMhm2HJfxQ-qVlJlJQ25Hne1d0khsySbZyGtPA/edit?usp=sharing"",""ระนอง!L234"")"),0)</f>
        <v>0</v>
      </c>
      <c r="CH85" s="152">
        <f ca="1">IFERROR(__xludf.DUMMYFUNCTION("IMPORTRANGE(""https://docs.google.com/spreadsheets/d/1qfrKjzMhm2HJfxQ-qVlJlJQ25Hne1d0khsySbZyGtPA/edit?usp=sharing"",""ระนอง!N234"")"),0)</f>
        <v>0</v>
      </c>
      <c r="CI85" s="216">
        <f t="shared" ca="1" si="140"/>
        <v>0</v>
      </c>
      <c r="CJ85" s="152">
        <f ca="1">IFERROR(__xludf.DUMMYFUNCTION("IMPORTRANGE(""https://docs.google.com/spreadsheets/d/1qfrKjzMhm2HJfxQ-qVlJlJQ25Hne1d0khsySbZyGtPA/edit?usp=sharing"",""ระนอง!L235"")"),0)</f>
        <v>0</v>
      </c>
      <c r="CK85" s="152">
        <f ca="1">IFERROR(__xludf.DUMMYFUNCTION("IMPORTRANGE(""https://docs.google.com/spreadsheets/d/1qfrKjzMhm2HJfxQ-qVlJlJQ25Hne1d0khsySbZyGtPA/edit?usp=sharing"",""ระนอง!N235"")"),0)</f>
        <v>0</v>
      </c>
      <c r="CL85" s="216">
        <f t="shared" ca="1" si="142"/>
        <v>0</v>
      </c>
      <c r="CM85" s="251">
        <f ca="1">IFERROR(__xludf.DUMMYFUNCTION("IMPORTRANGE(""https://docs.google.com/spreadsheets/d/1qfrKjzMhm2HJfxQ-qVlJlJQ25Hne1d0khsySbZyGtPA/edit?usp=sharing"",""ระนอง!Q235"")"),0)</f>
        <v>0</v>
      </c>
      <c r="CN85" s="251">
        <f ca="1">IFERROR(__xludf.DUMMYFUNCTION("IMPORTRANGE(""https://docs.google.com/spreadsheets/d/1qfrKjzMhm2HJfxQ-qVlJlJQ25Hne1d0khsySbZyGtPA/edit?usp=sharing"",""ระนอง!S235"")"),0)</f>
        <v>0</v>
      </c>
      <c r="CO85" s="216">
        <f t="shared" ca="1" si="144"/>
        <v>0</v>
      </c>
      <c r="CP85" s="152">
        <f ca="1">IFERROR(__xludf.DUMMYFUNCTION("IMPORTRANGE(""https://docs.google.com/spreadsheets/d/1qfrKjzMhm2HJfxQ-qVlJlJQ25Hne1d0khsySbZyGtPA/edit?usp=sharing"",""ระนอง!L236"")"),0)</f>
        <v>0</v>
      </c>
      <c r="CQ85" s="152">
        <f ca="1">IFERROR(__xludf.DUMMYFUNCTION("IMPORTRANGE(""https://docs.google.com/spreadsheets/d/1qfrKjzMhm2HJfxQ-qVlJlJQ25Hne1d0khsySbZyGtPA/edit?usp=sharing"",""ระนอง!N236"")"),0)</f>
        <v>0</v>
      </c>
      <c r="CR85" s="216">
        <f t="shared" ca="1" si="146"/>
        <v>0</v>
      </c>
      <c r="CS85" s="152">
        <f ca="1">IFERROR(__xludf.DUMMYFUNCTION("IMPORTRANGE(""https://docs.google.com/spreadsheets/d/1qfrKjzMhm2HJfxQ-qVlJlJQ25Hne1d0khsySbZyGtPA/edit?usp=sharing"",""ระนอง!I238"")"),0)</f>
        <v>0</v>
      </c>
      <c r="CT85" s="152">
        <f ca="1">IFERROR(__xludf.DUMMYFUNCTION("IMPORTRANGE(""https://docs.google.com/spreadsheets/d/1qfrKjzMhm2HJfxQ-qVlJlJQ25Hne1d0khsySbZyGtPA/edit?usp=sharing"",""ระนอง!J238"")"),0)</f>
        <v>0</v>
      </c>
      <c r="CU85" s="216">
        <f t="shared" ca="1" si="148"/>
        <v>0</v>
      </c>
      <c r="CV85" s="152">
        <f ca="1">IFERROR(__xludf.DUMMYFUNCTION("IMPORTRANGE(""https://docs.google.com/spreadsheets/d/1qfrKjzMhm2HJfxQ-qVlJlJQ25Hne1d0khsySbZyGtPA/edit?usp=sharing"",""ระนอง!J240"")"),0)</f>
        <v>0</v>
      </c>
      <c r="CW85" s="152">
        <f ca="1">IFERROR(__xludf.DUMMYFUNCTION("IMPORTRANGE(""https://docs.google.com/spreadsheets/d/1qfrKjzMhm2HJfxQ-qVlJlJQ25Hne1d0khsySbZyGtPA/edit?usp=sharing"",""ระนอง!J241"")"),0)</f>
        <v>0</v>
      </c>
    </row>
    <row r="86" spans="1:101" ht="24" customHeight="1" x14ac:dyDescent="0.3">
      <c r="A86" s="147">
        <v>12</v>
      </c>
      <c r="B86" s="148" t="s">
        <v>114</v>
      </c>
      <c r="C86" s="149">
        <f t="shared" ca="1" si="90"/>
        <v>327800</v>
      </c>
      <c r="D86" s="150">
        <f t="shared" ca="1" si="234"/>
        <v>327800</v>
      </c>
      <c r="E86" s="151">
        <f ca="1">IFERROR(__xludf.DUMMYFUNCTION("IMPORTRANGE(""https://docs.google.com/spreadsheets/d/1-uDff_7J0KD5mKrp0Vvzr7lt3OU09vwQwhkpOPPYv2Y/edit?usp=sharing"",""งบพรบ!CV86"")"),250300)</f>
        <v>250300</v>
      </c>
      <c r="F86" s="151">
        <f ca="1">IFERROR(__xludf.DUMMYFUNCTION("IMPORTRANGE(""https://docs.google.com/spreadsheets/d/1-uDff_7J0KD5mKrp0Vvzr7lt3OU09vwQwhkpOPPYv2Y/edit?usp=sharing"",""งบพรบ!CW86"")"),77500)</f>
        <v>77500</v>
      </c>
      <c r="G86" s="151">
        <f ca="1">IFERROR(__xludf.DUMMYFUNCTION("IMPORTRANGE(""https://docs.google.com/spreadsheets/d/1-uDff_7J0KD5mKrp0Vvzr7lt3OU09vwQwhkpOPPYv2Y/edit?usp=sharing"",""งบพรบ!CX86"")"),0)</f>
        <v>0</v>
      </c>
      <c r="H86" s="151">
        <f ca="1">IFERROR(__xludf.DUMMYFUNCTION("IMPORTRANGE(""https://docs.google.com/spreadsheets/d/1-uDff_7J0KD5mKrp0Vvzr7lt3OU09vwQwhkpOPPYv2Y/edit?usp=sharing"",""งบพรบ!CZ86"")"),339500)</f>
        <v>339500</v>
      </c>
      <c r="I86" s="151">
        <f ca="1">IFERROR(__xludf.DUMMYFUNCTION("IMPORTRANGE(""https://docs.google.com/spreadsheets/d/1-uDff_7J0KD5mKrp0Vvzr7lt3OU09vwQwhkpOPPYv2Y/edit?usp=sharing"",""งบพรบ!DA86"")"),0)</f>
        <v>0</v>
      </c>
      <c r="J86" s="151">
        <f t="shared" ca="1" si="92"/>
        <v>310440.45</v>
      </c>
      <c r="K86" s="154">
        <f t="shared" ca="1" si="93"/>
        <v>94.704225137278826</v>
      </c>
      <c r="L86" s="151">
        <f ca="1">IFERROR(__xludf.DUMMYFUNCTION("IMPORTRANGE(""https://docs.google.com/spreadsheets/d/1-uDff_7J0KD5mKrp0Vvzr7lt3OU09vwQwhkpOPPYv2Y/edit?usp=sharing"",""งบพรบ!DB86"")"),310440.45)</f>
        <v>310440.45</v>
      </c>
      <c r="M86" s="68">
        <f t="shared" ca="1" si="94"/>
        <v>94.704225137278826</v>
      </c>
      <c r="N86" s="68">
        <f t="shared" ca="1" si="95"/>
        <v>91.44048600883653</v>
      </c>
      <c r="O86" s="67">
        <f ca="1">IFERROR(__xludf.DUMMYFUNCTION("IMPORTRANGE(""https://docs.google.com/spreadsheets/d/1-uDff_7J0KD5mKrp0Vvzr7lt3OU09vwQwhkpOPPYv2Y/edit?usp=sharing"",""งบพรบ!DC86"")"),0)</f>
        <v>0</v>
      </c>
      <c r="P86" s="67">
        <f t="shared" ca="1" si="96"/>
        <v>0</v>
      </c>
      <c r="Q86" s="68">
        <f t="shared" ca="1" si="97"/>
        <v>0</v>
      </c>
      <c r="R86" s="67">
        <f ca="1">IFERROR(__xludf.DUMMYFUNCTION("IMPORTRANGE(""https://docs.google.com/spreadsheets/d/1IbSCnFOKpZsnFogBHJnL_isstZVaOMnFiIN0fGTPZZw/edit?usp=sharing"",""สงขลา!Q186"")"),417900)</f>
        <v>417900</v>
      </c>
      <c r="S86" s="67">
        <f ca="1">IFERROR(__xludf.DUMMYFUNCTION("IMPORTRANGE(""https://docs.google.com/spreadsheets/d/1IbSCnFOKpZsnFogBHJnL_isstZVaOMnFiIN0fGTPZZw/edit?usp=sharing"",""สงขลา!R186"")"),417900)</f>
        <v>417900</v>
      </c>
      <c r="T86" s="67">
        <f ca="1">IFERROR(__xludf.DUMMYFUNCTION("IMPORTRANGE(""https://docs.google.com/spreadsheets/d/1IbSCnFOKpZsnFogBHJnL_isstZVaOMnFiIN0fGTPZZw/edit?usp=sharing"",""สงขลา!S186"")"),417900)</f>
        <v>417900</v>
      </c>
      <c r="U86" s="68">
        <f t="shared" ca="1" si="99"/>
        <v>100</v>
      </c>
      <c r="V86" s="68">
        <f t="shared" ca="1" si="100"/>
        <v>100</v>
      </c>
      <c r="W86" s="152">
        <f ca="1">IFERROR(__xludf.DUMMYFUNCTION("IMPORTRANGE(""https://docs.google.com/spreadsheets/d/1IbSCnFOKpZsnFogBHJnL_isstZVaOMnFiIN0fGTPZZw/edit?usp=sharing"",""สงขลา!L196"")"),6000)</f>
        <v>6000</v>
      </c>
      <c r="X86" s="152">
        <f ca="1">IFERROR(__xludf.DUMMYFUNCTION("IMPORTRANGE(""https://docs.google.com/spreadsheets/d/1IbSCnFOKpZsnFogBHJnL_isstZVaOMnFiIN0fGTPZZw/edit?usp=sharing"",""สงขลา!N196"")"),6000)</f>
        <v>6000</v>
      </c>
      <c r="Y86" s="216">
        <f t="shared" ca="1" si="102"/>
        <v>100</v>
      </c>
      <c r="Z86" s="152">
        <f ca="1">IFERROR(__xludf.DUMMYFUNCTION("IMPORTRANGE(""https://docs.google.com/spreadsheets/d/1IbSCnFOKpZsnFogBHJnL_isstZVaOMnFiIN0fGTPZZw/edit?usp=sharing"",""สงขลา!I198"")"),4)</f>
        <v>4</v>
      </c>
      <c r="AA86" s="152">
        <f ca="1">IFERROR(__xludf.DUMMYFUNCTION("IMPORTRANGE(""https://docs.google.com/spreadsheets/d/1IbSCnFOKpZsnFogBHJnL_isstZVaOMnFiIN0fGTPZZw/edit?usp=sharing"",""สงขลา!J198"")"),4)</f>
        <v>4</v>
      </c>
      <c r="AB86" s="216">
        <f t="shared" ca="1" si="104"/>
        <v>100</v>
      </c>
      <c r="AC86" s="152">
        <f ca="1">IFERROR(__xludf.DUMMYFUNCTION("IMPORTRANGE(""https://docs.google.com/spreadsheets/d/1IbSCnFOKpZsnFogBHJnL_isstZVaOMnFiIN0fGTPZZw/edit?usp=sharing"",""สงขลา!J199"")"),183)</f>
        <v>183</v>
      </c>
      <c r="AD86" s="152">
        <f ca="1">IFERROR(__xludf.DUMMYFUNCTION("IMPORTRANGE(""https://docs.google.com/spreadsheets/d/1IbSCnFOKpZsnFogBHJnL_isstZVaOMnFiIN0fGTPZZw/edit?usp=sharing"",""สงขลา!J200"")"),183)</f>
        <v>183</v>
      </c>
      <c r="AE86" s="152">
        <f ca="1">IFERROR(__xludf.DUMMYFUNCTION("IMPORTRANGE(""https://docs.google.com/spreadsheets/d/1IbSCnFOKpZsnFogBHJnL_isstZVaOMnFiIN0fGTPZZw/edit?usp=sharing"",""สงขลา!J201"")"),0)</f>
        <v>0</v>
      </c>
      <c r="AF86" s="152">
        <f ca="1">IFERROR(__xludf.DUMMYFUNCTION("IMPORTRANGE(""https://docs.google.com/spreadsheets/d/1IbSCnFOKpZsnFogBHJnL_isstZVaOMnFiIN0fGTPZZw/edit?usp=sharing"",""สงขลา!L204"")"),5000)</f>
        <v>5000</v>
      </c>
      <c r="AG86" s="152">
        <f ca="1">IFERROR(__xludf.DUMMYFUNCTION("IMPORTRANGE(""https://docs.google.com/spreadsheets/d/1IbSCnFOKpZsnFogBHJnL_isstZVaOMnFiIN0fGTPZZw/edit?usp=sharing"",""สงขลา!N204"")"),5000)</f>
        <v>5000</v>
      </c>
      <c r="AH86" s="216">
        <f t="shared" ca="1" si="106"/>
        <v>100</v>
      </c>
      <c r="AI86" s="152">
        <f ca="1">IFERROR(__xludf.DUMMYFUNCTION("IMPORTRANGE(""https://docs.google.com/spreadsheets/d/1IbSCnFOKpZsnFogBHJnL_isstZVaOMnFiIN0fGTPZZw/edit?usp=sharing"",""สงขลา!L206"")"),0)</f>
        <v>0</v>
      </c>
      <c r="AJ86" s="152">
        <f ca="1">IFERROR(__xludf.DUMMYFUNCTION("IMPORTRANGE(""https://docs.google.com/spreadsheets/d/1IbSCnFOKpZsnFogBHJnL_isstZVaOMnFiIN0fGTPZZw/edit?usp=sharing"",""สงขลา!N206"")"),0)</f>
        <v>0</v>
      </c>
      <c r="AK86" s="216">
        <f t="shared" ca="1" si="108"/>
        <v>0</v>
      </c>
      <c r="AL86" s="152">
        <f ca="1">IFERROR(__xludf.DUMMYFUNCTION("IMPORTRANGE(""https://docs.google.com/spreadsheets/d/1IbSCnFOKpZsnFogBHJnL_isstZVaOMnFiIN0fGTPZZw/edit?usp=sharing"",""สงขลา!Q206"")"),70000)</f>
        <v>70000</v>
      </c>
      <c r="AM86" s="152">
        <f ca="1">IFERROR(__xludf.DUMMYFUNCTION("IMPORTRANGE(""https://docs.google.com/spreadsheets/d/1IbSCnFOKpZsnFogBHJnL_isstZVaOMnFiIN0fGTPZZw/edit?usp=sharing"",""สงขลา!S206"")"),70000)</f>
        <v>70000</v>
      </c>
      <c r="AN86" s="216">
        <f t="shared" ca="1" si="110"/>
        <v>100</v>
      </c>
      <c r="AO86" s="152">
        <f ca="1">IFERROR(__xludf.DUMMYFUNCTION("IMPORTRANGE(""https://docs.google.com/spreadsheets/d/1IbSCnFOKpZsnFogBHJnL_isstZVaOMnFiIN0fGTPZZw/edit?usp=sharing"",""สงขลา!L207"")"),20000)</f>
        <v>20000</v>
      </c>
      <c r="AP86" s="152">
        <f ca="1">IFERROR(__xludf.DUMMYFUNCTION("IMPORTRANGE(""https://docs.google.com/spreadsheets/d/1IbSCnFOKpZsnFogBHJnL_isstZVaOMnFiIN0fGTPZZw/edit?usp=sharing"",""สงขลา!N207"")"),20000)</f>
        <v>20000</v>
      </c>
      <c r="AQ86" s="216">
        <f t="shared" ca="1" si="112"/>
        <v>100</v>
      </c>
      <c r="AR86" s="152">
        <f ca="1">IFERROR(__xludf.DUMMYFUNCTION("IMPORTRANGE(""https://docs.google.com/spreadsheets/d/1IbSCnFOKpZsnFogBHJnL_isstZVaOMnFiIN0fGTPZZw/edit?usp=sharing"",""สงขลา!I209"")"),5)</f>
        <v>5</v>
      </c>
      <c r="AS86" s="152">
        <f ca="1">IFERROR(__xludf.DUMMYFUNCTION("IMPORTRANGE(""https://docs.google.com/spreadsheets/d/1IbSCnFOKpZsnFogBHJnL_isstZVaOMnFiIN0fGTPZZw/edit?usp=sharing"",""สงขลา!J209"")"),5)</f>
        <v>5</v>
      </c>
      <c r="AT86" s="216">
        <f t="shared" ca="1" si="114"/>
        <v>100</v>
      </c>
      <c r="AU86" s="152">
        <f ca="1">IFERROR(__xludf.DUMMYFUNCTION("IMPORTRANGE(""https://docs.google.com/spreadsheets/d/1IbSCnFOKpZsnFogBHJnL_isstZVaOMnFiIN0fGTPZZw/edit?usp=sharing"",""สงขลา!J211"")"),5)</f>
        <v>5</v>
      </c>
      <c r="AV86" s="152">
        <f ca="1">IFERROR(__xludf.DUMMYFUNCTION("IMPORTRANGE(""https://docs.google.com/spreadsheets/d/1IbSCnFOKpZsnFogBHJnL_isstZVaOMnFiIN0fGTPZZw/edit?usp=sharing"",""สงขลา!J212"")"),0)</f>
        <v>0</v>
      </c>
      <c r="AW86" s="152">
        <f ca="1">IFERROR(__xludf.DUMMYFUNCTION("IMPORTRANGE(""https://docs.google.com/spreadsheets/d/1IbSCnFOKpZsnFogBHJnL_isstZVaOMnFiIN0fGTPZZw/edit?usp=sharing"",""สงขลา!L215"")"),7000)</f>
        <v>7000</v>
      </c>
      <c r="AX86" s="152">
        <f ca="1">IFERROR(__xludf.DUMMYFUNCTION("IMPORTRANGE(""https://docs.google.com/spreadsheets/d/1IbSCnFOKpZsnFogBHJnL_isstZVaOMnFiIN0fGTPZZw/edit?usp=sharing"",""สงขลา!N215"")"),7000)</f>
        <v>7000</v>
      </c>
      <c r="AY86" s="216">
        <f t="shared" ca="1" si="116"/>
        <v>100</v>
      </c>
      <c r="AZ86" s="152">
        <f ca="1">IFERROR(__xludf.DUMMYFUNCTION("IMPORTRANGE(""https://docs.google.com/spreadsheets/d/1IbSCnFOKpZsnFogBHJnL_isstZVaOMnFiIN0fGTPZZw/edit?usp=sharing"",""สงขลา!L216"")"),35000)</f>
        <v>35000</v>
      </c>
      <c r="BA86" s="152">
        <f ca="1">IFERROR(__xludf.DUMMYFUNCTION("IMPORTRANGE(""https://docs.google.com/spreadsheets/d/1IbSCnFOKpZsnFogBHJnL_isstZVaOMnFiIN0fGTPZZw/edit?usp=sharing"",""สงขลา!N216"")"),35000)</f>
        <v>35000</v>
      </c>
      <c r="BB86" s="216">
        <f t="shared" ca="1" si="118"/>
        <v>100</v>
      </c>
      <c r="BC86" s="152">
        <f ca="1">IFERROR(__xludf.DUMMYFUNCTION("IMPORTRANGE(""https://docs.google.com/spreadsheets/d/1IbSCnFOKpZsnFogBHJnL_isstZVaOMnFiIN0fGTPZZw/edit?usp=sharing"",""สงขลา!L217"")"),0)</f>
        <v>0</v>
      </c>
      <c r="BD86" s="152">
        <f ca="1">IFERROR(__xludf.DUMMYFUNCTION("IMPORTRANGE(""https://docs.google.com/spreadsheets/d/1IbSCnFOKpZsnFogBHJnL_isstZVaOMnFiIN0fGTPZZw/edit?usp=sharing"",""สงขลา!N217"")"),0)</f>
        <v>0</v>
      </c>
      <c r="BE86" s="216">
        <f t="shared" ca="1" si="120"/>
        <v>0</v>
      </c>
      <c r="BF86" s="152">
        <f ca="1">IFERROR(__xludf.DUMMYFUNCTION("IMPORTRANGE(""https://docs.google.com/spreadsheets/d/1IbSCnFOKpZsnFogBHJnL_isstZVaOMnFiIN0fGTPZZw/edit?usp=sharing"",""สงขลา!Q217"")"),347900)</f>
        <v>347900</v>
      </c>
      <c r="BG86" s="152">
        <f ca="1">IFERROR(__xludf.DUMMYFUNCTION("IMPORTRANGE(""https://docs.google.com/spreadsheets/d/1IbSCnFOKpZsnFogBHJnL_isstZVaOMnFiIN0fGTPZZw/edit?usp=sharing"",""สงขลา!S217"")"),347900)</f>
        <v>347900</v>
      </c>
      <c r="BH86" s="216">
        <f t="shared" ca="1" si="122"/>
        <v>100</v>
      </c>
      <c r="BI86" s="152">
        <f ca="1">IFERROR(__xludf.DUMMYFUNCTION("IMPORTRANGE(""https://docs.google.com/spreadsheets/d/1IbSCnFOKpZsnFogBHJnL_isstZVaOMnFiIN0fGTPZZw/edit?usp=sharing"",""สงขลา!I219"")"),7)</f>
        <v>7</v>
      </c>
      <c r="BJ86" s="152">
        <f ca="1">IFERROR(__xludf.DUMMYFUNCTION("IMPORTRANGE(""https://docs.google.com/spreadsheets/d/1IbSCnFOKpZsnFogBHJnL_isstZVaOMnFiIN0fGTPZZw/edit?usp=sharing"",""สงขลา!J219"")"),7)</f>
        <v>7</v>
      </c>
      <c r="BK86" s="216">
        <f t="shared" ca="1" si="124"/>
        <v>100</v>
      </c>
      <c r="BL86" s="152">
        <f ca="1">IFERROR(__xludf.DUMMYFUNCTION("IMPORTRANGE(""https://docs.google.com/spreadsheets/d/1IbSCnFOKpZsnFogBHJnL_isstZVaOMnFiIN0fGTPZZw/edit?usp=sharing"",""สงขลา!I220"")"),7)</f>
        <v>7</v>
      </c>
      <c r="BM86" s="152">
        <f ca="1">IFERROR(__xludf.DUMMYFUNCTION("IMPORTRANGE(""https://docs.google.com/spreadsheets/d/1IbSCnFOKpZsnFogBHJnL_isstZVaOMnFiIN0fGTPZZw/edit?usp=sharing"",""สงขลา!J220"")"),7)</f>
        <v>7</v>
      </c>
      <c r="BN86" s="216">
        <f t="shared" ca="1" si="126"/>
        <v>100</v>
      </c>
      <c r="BO86" s="152">
        <f ca="1">IFERROR(__xludf.DUMMYFUNCTION("IMPORTRANGE(""https://docs.google.com/spreadsheets/d/1IbSCnFOKpZsnFogBHJnL_isstZVaOMnFiIN0fGTPZZw/edit?usp=sharing"",""สงขลา!L223"")"),2500)</f>
        <v>2500</v>
      </c>
      <c r="BP86" s="152">
        <f ca="1">IFERROR(__xludf.DUMMYFUNCTION("IMPORTRANGE(""https://docs.google.com/spreadsheets/d/1IbSCnFOKpZsnFogBHJnL_isstZVaOMnFiIN0fGTPZZw/edit?usp=sharing"",""สงขลา!N223"")"),0)</f>
        <v>0</v>
      </c>
      <c r="BQ86" s="216">
        <f t="shared" ca="1" si="128"/>
        <v>0</v>
      </c>
      <c r="BR86" s="152">
        <f ca="1">IFERROR(__xludf.DUMMYFUNCTION("IMPORTRANGE(""https://docs.google.com/spreadsheets/d/1IbSCnFOKpZsnFogBHJnL_isstZVaOMnFiIN0fGTPZZw/edit?usp=sharing"",""สงขลา!L224"")"),2000)</f>
        <v>2000</v>
      </c>
      <c r="BS86" s="152">
        <f ca="1">IFERROR(__xludf.DUMMYFUNCTION("IMPORTRANGE(""https://docs.google.com/spreadsheets/d/1IbSCnFOKpZsnFogBHJnL_isstZVaOMnFiIN0fGTPZZw/edit?usp=sharing"",""สงขลา!N224"")"),0)</f>
        <v>0</v>
      </c>
      <c r="BT86" s="216">
        <f t="shared" ca="1" si="130"/>
        <v>0</v>
      </c>
      <c r="BU86" s="152">
        <f ca="1">IFERROR(__xludf.DUMMYFUNCTION("IMPORTRANGE(""https://docs.google.com/spreadsheets/d/1IbSCnFOKpZsnFogBHJnL_isstZVaOMnFiIN0fGTPZZw/edit?usp=sharing"",""สงขลา!I228"")"),15000)</f>
        <v>15000</v>
      </c>
      <c r="BV86" s="152">
        <f ca="1">IFERROR(__xludf.DUMMYFUNCTION("IMPORTRANGE(""https://docs.google.com/spreadsheets/d/1IbSCnFOKpZsnFogBHJnL_isstZVaOMnFiIN0fGTPZZw/edit?usp=sharing"",""สงขลา!J228"")"),15000)</f>
        <v>15000</v>
      </c>
      <c r="BW86" s="216">
        <f t="shared" ca="1" si="132"/>
        <v>100</v>
      </c>
      <c r="BX86" s="152">
        <f ca="1">IFERROR(__xludf.DUMMYFUNCTION("IMPORTRANGE(""https://docs.google.com/spreadsheets/d/1IbSCnFOKpZsnFogBHJnL_isstZVaOMnFiIN0fGTPZZw/edit?usp=sharing"",""สงขลา!I229"")"),15000)</f>
        <v>15000</v>
      </c>
      <c r="BY86" s="152">
        <f ca="1">IFERROR(__xludf.DUMMYFUNCTION("IMPORTRANGE(""https://docs.google.com/spreadsheets/d/1IbSCnFOKpZsnFogBHJnL_isstZVaOMnFiIN0fGTPZZw/edit?usp=sharing"",""สงขลา!J229"")"),15000)</f>
        <v>15000</v>
      </c>
      <c r="BZ86" s="216">
        <f t="shared" ca="1" si="134"/>
        <v>100</v>
      </c>
      <c r="CA86" s="152">
        <f ca="1">IFERROR(__xludf.DUMMYFUNCTION("IMPORTRANGE(""https://docs.google.com/spreadsheets/d/1IbSCnFOKpZsnFogBHJnL_isstZVaOMnFiIN0fGTPZZw/edit?usp=sharing"",""สงขลา!I230"")"),0)</f>
        <v>0</v>
      </c>
      <c r="CB86" s="152">
        <f ca="1">IFERROR(__xludf.DUMMYFUNCTION("IMPORTRANGE(""https://docs.google.com/spreadsheets/d/1IbSCnFOKpZsnFogBHJnL_isstZVaOMnFiIN0fGTPZZw/edit?usp=sharing"",""สงขลา!J230"")"),0)</f>
        <v>0</v>
      </c>
      <c r="CC86" s="216">
        <f t="shared" ca="1" si="136"/>
        <v>0</v>
      </c>
      <c r="CD86" s="152">
        <f ca="1">IFERROR(__xludf.DUMMYFUNCTION("IMPORTRANGE(""https://docs.google.com/spreadsheets/d/1IbSCnFOKpZsnFogBHJnL_isstZVaOMnFiIN0fGTPZZw/edit?usp=sharing"",""สงขลา!L233"")"),0)</f>
        <v>0</v>
      </c>
      <c r="CE86" s="152">
        <f ca="1">IFERROR(__xludf.DUMMYFUNCTION("IMPORTRANGE(""https://docs.google.com/spreadsheets/d/1IbSCnFOKpZsnFogBHJnL_isstZVaOMnFiIN0fGTPZZw/edit?usp=sharing"",""สงขลา!N233"")"),0)</f>
        <v>0</v>
      </c>
      <c r="CF86" s="216">
        <f t="shared" ca="1" si="138"/>
        <v>0</v>
      </c>
      <c r="CG86" s="152">
        <f ca="1">IFERROR(__xludf.DUMMYFUNCTION("IMPORTRANGE(""https://docs.google.com/spreadsheets/d/1IbSCnFOKpZsnFogBHJnL_isstZVaOMnFiIN0fGTPZZw/edit?usp=sharing"",""สงขลา!L234"")"),0)</f>
        <v>0</v>
      </c>
      <c r="CH86" s="152">
        <f ca="1">IFERROR(__xludf.DUMMYFUNCTION("IMPORTRANGE(""https://docs.google.com/spreadsheets/d/1IbSCnFOKpZsnFogBHJnL_isstZVaOMnFiIN0fGTPZZw/edit?usp=sharing"",""สงขลา!N234"")"),0)</f>
        <v>0</v>
      </c>
      <c r="CI86" s="216">
        <f t="shared" ca="1" si="140"/>
        <v>0</v>
      </c>
      <c r="CJ86" s="152">
        <f ca="1">IFERROR(__xludf.DUMMYFUNCTION("IMPORTRANGE(""https://docs.google.com/spreadsheets/d/1IbSCnFOKpZsnFogBHJnL_isstZVaOMnFiIN0fGTPZZw/edit?usp=sharing"",""สงขลา!L235"")"),0)</f>
        <v>0</v>
      </c>
      <c r="CK86" s="152">
        <f ca="1">IFERROR(__xludf.DUMMYFUNCTION("IMPORTRANGE(""https://docs.google.com/spreadsheets/d/1IbSCnFOKpZsnFogBHJnL_isstZVaOMnFiIN0fGTPZZw/edit?usp=sharing"",""สงขลา!N235"")"),0)</f>
        <v>0</v>
      </c>
      <c r="CL86" s="216">
        <f t="shared" ca="1" si="142"/>
        <v>0</v>
      </c>
      <c r="CM86" s="251">
        <f ca="1">IFERROR(__xludf.DUMMYFUNCTION("IMPORTRANGE(""https://docs.google.com/spreadsheets/d/1IbSCnFOKpZsnFogBHJnL_isstZVaOMnFiIN0fGTPZZw/edit?usp=sharing"",""สงขลา!Q235"")"),0)</f>
        <v>0</v>
      </c>
      <c r="CN86" s="251">
        <f ca="1">IFERROR(__xludf.DUMMYFUNCTION("IMPORTRANGE(""https://docs.google.com/spreadsheets/d/1IbSCnFOKpZsnFogBHJnL_isstZVaOMnFiIN0fGTPZZw/edit?usp=sharing"",""สงขลา!S235"")"),0)</f>
        <v>0</v>
      </c>
      <c r="CO86" s="216">
        <f t="shared" ca="1" si="144"/>
        <v>0</v>
      </c>
      <c r="CP86" s="152">
        <f ca="1">IFERROR(__xludf.DUMMYFUNCTION("IMPORTRANGE(""https://docs.google.com/spreadsheets/d/1IbSCnFOKpZsnFogBHJnL_isstZVaOMnFiIN0fGTPZZw/edit?usp=sharing"",""สงขลา!L236"")"),0)</f>
        <v>0</v>
      </c>
      <c r="CQ86" s="152">
        <f ca="1">IFERROR(__xludf.DUMMYFUNCTION("IMPORTRANGE(""https://docs.google.com/spreadsheets/d/1IbSCnFOKpZsnFogBHJnL_isstZVaOMnFiIN0fGTPZZw/edit?usp=sharing"",""สงขลา!N236"")"),0)</f>
        <v>0</v>
      </c>
      <c r="CR86" s="216">
        <f t="shared" ca="1" si="146"/>
        <v>0</v>
      </c>
      <c r="CS86" s="152">
        <f ca="1">IFERROR(__xludf.DUMMYFUNCTION("IMPORTRANGE(""https://docs.google.com/spreadsheets/d/1IbSCnFOKpZsnFogBHJnL_isstZVaOMnFiIN0fGTPZZw/edit?usp=sharing"",""สงขลา!I238"")"),0)</f>
        <v>0</v>
      </c>
      <c r="CT86" s="152">
        <f ca="1">IFERROR(__xludf.DUMMYFUNCTION("IMPORTRANGE(""https://docs.google.com/spreadsheets/d/1IbSCnFOKpZsnFogBHJnL_isstZVaOMnFiIN0fGTPZZw/edit?usp=sharing"",""สงขลา!J238"")"),0)</f>
        <v>0</v>
      </c>
      <c r="CU86" s="216">
        <f t="shared" ca="1" si="148"/>
        <v>0</v>
      </c>
      <c r="CV86" s="152">
        <f ca="1">IFERROR(__xludf.DUMMYFUNCTION("IMPORTRANGE(""https://docs.google.com/spreadsheets/d/1IbSCnFOKpZsnFogBHJnL_isstZVaOMnFiIN0fGTPZZw/edit?usp=sharing"",""สงขลา!J240"")"),0)</f>
        <v>0</v>
      </c>
      <c r="CW86" s="152">
        <f ca="1">IFERROR(__xludf.DUMMYFUNCTION("IMPORTRANGE(""https://docs.google.com/spreadsheets/d/1IbSCnFOKpZsnFogBHJnL_isstZVaOMnFiIN0fGTPZZw/edit?usp=sharing"",""สงขลา!J241"")"),0)</f>
        <v>0</v>
      </c>
    </row>
    <row r="87" spans="1:101" ht="24" customHeight="1" x14ac:dyDescent="0.3">
      <c r="A87" s="147">
        <v>13</v>
      </c>
      <c r="B87" s="148" t="s">
        <v>115</v>
      </c>
      <c r="C87" s="149">
        <f t="shared" ca="1" si="90"/>
        <v>400000</v>
      </c>
      <c r="D87" s="150">
        <f t="shared" ca="1" si="234"/>
        <v>400000</v>
      </c>
      <c r="E87" s="151">
        <f ca="1">IFERROR(__xludf.DUMMYFUNCTION("IMPORTRANGE(""https://docs.google.com/spreadsheets/d/1-uDff_7J0KD5mKrp0Vvzr7lt3OU09vwQwhkpOPPYv2Y/edit?usp=sharing"",""งบพรบ!CV87"")"),379500)</f>
        <v>379500</v>
      </c>
      <c r="F87" s="151">
        <f ca="1">IFERROR(__xludf.DUMMYFUNCTION("IMPORTRANGE(""https://docs.google.com/spreadsheets/d/1-uDff_7J0KD5mKrp0Vvzr7lt3OU09vwQwhkpOPPYv2Y/edit?usp=sharing"",""งบพรบ!CW87"")"),20500)</f>
        <v>20500</v>
      </c>
      <c r="G87" s="151">
        <f ca="1">IFERROR(__xludf.DUMMYFUNCTION("IMPORTRANGE(""https://docs.google.com/spreadsheets/d/1-uDff_7J0KD5mKrp0Vvzr7lt3OU09vwQwhkpOPPYv2Y/edit?usp=sharing"",""งบพรบ!CX87"")"),0)</f>
        <v>0</v>
      </c>
      <c r="H87" s="151">
        <f ca="1">IFERROR(__xludf.DUMMYFUNCTION("IMPORTRANGE(""https://docs.google.com/spreadsheets/d/1-uDff_7J0KD5mKrp0Vvzr7lt3OU09vwQwhkpOPPYv2Y/edit?usp=sharing"",""งบพรบ!CZ87"")"),411700)</f>
        <v>411700</v>
      </c>
      <c r="I87" s="151">
        <f ca="1">IFERROR(__xludf.DUMMYFUNCTION("IMPORTRANGE(""https://docs.google.com/spreadsheets/d/1-uDff_7J0KD5mKrp0Vvzr7lt3OU09vwQwhkpOPPYv2Y/edit?usp=sharing"",""งบพรบ!DA87"")"),0)</f>
        <v>0</v>
      </c>
      <c r="J87" s="151">
        <f t="shared" ca="1" si="92"/>
        <v>329478.8</v>
      </c>
      <c r="K87" s="154">
        <f t="shared" ca="1" si="93"/>
        <v>82.369699999999995</v>
      </c>
      <c r="L87" s="151">
        <f ca="1">IFERROR(__xludf.DUMMYFUNCTION("IMPORTRANGE(""https://docs.google.com/spreadsheets/d/1-uDff_7J0KD5mKrp0Vvzr7lt3OU09vwQwhkpOPPYv2Y/edit?usp=sharing"",""งบพรบ!DB87"")"),329478.8)</f>
        <v>329478.8</v>
      </c>
      <c r="M87" s="68">
        <f t="shared" ca="1" si="94"/>
        <v>82.369699999999995</v>
      </c>
      <c r="N87" s="68">
        <f t="shared" ca="1" si="95"/>
        <v>80.028855963079906</v>
      </c>
      <c r="O87" s="67">
        <f ca="1">IFERROR(__xludf.DUMMYFUNCTION("IMPORTRANGE(""https://docs.google.com/spreadsheets/d/1-uDff_7J0KD5mKrp0Vvzr7lt3OU09vwQwhkpOPPYv2Y/edit?usp=sharing"",""งบพรบ!DC87"")"),0)</f>
        <v>0</v>
      </c>
      <c r="P87" s="67">
        <f t="shared" ca="1" si="96"/>
        <v>0</v>
      </c>
      <c r="Q87" s="68">
        <f t="shared" ca="1" si="97"/>
        <v>0</v>
      </c>
      <c r="R87" s="67">
        <f ca="1">IFERROR(__xludf.DUMMYFUNCTION("IMPORTRANGE(""https://docs.google.com/spreadsheets/d/1q9nWasZJ-K8bFGvbE9n0qSRuKGA4Toe3Y89cKCiVtCU/edit?usp=sharing"",""สตูล!Q186"")"),28000)</f>
        <v>28000</v>
      </c>
      <c r="S87" s="67">
        <f ca="1">IFERROR(__xludf.DUMMYFUNCTION("IMPORTRANGE(""https://docs.google.com/spreadsheets/d/1q9nWasZJ-K8bFGvbE9n0qSRuKGA4Toe3Y89cKCiVtCU/edit?usp=sharing"",""สตูล!R186"")"),28000)</f>
        <v>28000</v>
      </c>
      <c r="T87" s="67">
        <f ca="1">IFERROR(__xludf.DUMMYFUNCTION("IMPORTRANGE(""https://docs.google.com/spreadsheets/d/1q9nWasZJ-K8bFGvbE9n0qSRuKGA4Toe3Y89cKCiVtCU/edit?usp=sharing"",""สตูล!S186"")"),20000)</f>
        <v>20000</v>
      </c>
      <c r="U87" s="68">
        <f t="shared" ca="1" si="99"/>
        <v>71.428571428571431</v>
      </c>
      <c r="V87" s="68">
        <f t="shared" ca="1" si="100"/>
        <v>71.428571428571431</v>
      </c>
      <c r="W87" s="152">
        <f ca="1">IFERROR(__xludf.DUMMYFUNCTION("IMPORTRANGE(""https://docs.google.com/spreadsheets/d/1q9nWasZJ-K8bFGvbE9n0qSRuKGA4Toe3Y89cKCiVtCU/edit?usp=sharing"",""สตูล!L196"")"),6000)</f>
        <v>6000</v>
      </c>
      <c r="X87" s="152">
        <f ca="1">IFERROR(__xludf.DUMMYFUNCTION("IMPORTRANGE(""https://docs.google.com/spreadsheets/d/1q9nWasZJ-K8bFGvbE9n0qSRuKGA4Toe3Y89cKCiVtCU/edit?usp=sharing"",""สตูล!N196"")"),6000)</f>
        <v>6000</v>
      </c>
      <c r="Y87" s="216">
        <f t="shared" ca="1" si="102"/>
        <v>100</v>
      </c>
      <c r="Z87" s="152">
        <f ca="1">IFERROR(__xludf.DUMMYFUNCTION("IMPORTRANGE(""https://docs.google.com/spreadsheets/d/1q9nWasZJ-K8bFGvbE9n0qSRuKGA4Toe3Y89cKCiVtCU/edit?usp=sharing"",""สตูล!I198"")"),4)</f>
        <v>4</v>
      </c>
      <c r="AA87" s="152">
        <f ca="1">IFERROR(__xludf.DUMMYFUNCTION("IMPORTRANGE(""https://docs.google.com/spreadsheets/d/1q9nWasZJ-K8bFGvbE9n0qSRuKGA4Toe3Y89cKCiVtCU/edit?usp=sharing"",""สตูล!J198"")"),4)</f>
        <v>4</v>
      </c>
      <c r="AB87" s="216">
        <f t="shared" ca="1" si="104"/>
        <v>100</v>
      </c>
      <c r="AC87" s="152">
        <f ca="1">IFERROR(__xludf.DUMMYFUNCTION("IMPORTRANGE(""https://docs.google.com/spreadsheets/d/1q9nWasZJ-K8bFGvbE9n0qSRuKGA4Toe3Y89cKCiVtCU/edit?usp=sharing"",""สตูล!J199"")"),52)</f>
        <v>52</v>
      </c>
      <c r="AD87" s="152">
        <f ca="1">IFERROR(__xludf.DUMMYFUNCTION("IMPORTRANGE(""https://docs.google.com/spreadsheets/d/1q9nWasZJ-K8bFGvbE9n0qSRuKGA4Toe3Y89cKCiVtCU/edit?usp=sharing"",""สตูล!J200"")"),52)</f>
        <v>52</v>
      </c>
      <c r="AE87" s="152">
        <f ca="1">IFERROR(__xludf.DUMMYFUNCTION("IMPORTRANGE(""https://docs.google.com/spreadsheets/d/1q9nWasZJ-K8bFGvbE9n0qSRuKGA4Toe3Y89cKCiVtCU/edit?usp=sharing"",""สตูล!J201"")"),0)</f>
        <v>0</v>
      </c>
      <c r="AF87" s="152">
        <f ca="1">IFERROR(__xludf.DUMMYFUNCTION("IMPORTRANGE(""https://docs.google.com/spreadsheets/d/1q9nWasZJ-K8bFGvbE9n0qSRuKGA4Toe3Y89cKCiVtCU/edit?usp=sharing"",""สตูล!L204"")"),2000)</f>
        <v>2000</v>
      </c>
      <c r="AG87" s="152">
        <f ca="1">IFERROR(__xludf.DUMMYFUNCTION("IMPORTRANGE(""https://docs.google.com/spreadsheets/d/1q9nWasZJ-K8bFGvbE9n0qSRuKGA4Toe3Y89cKCiVtCU/edit?usp=sharing"",""สตูล!N204"")"),2000)</f>
        <v>2000</v>
      </c>
      <c r="AH87" s="216">
        <f t="shared" ca="1" si="106"/>
        <v>100</v>
      </c>
      <c r="AI87" s="152">
        <f ca="1">IFERROR(__xludf.DUMMYFUNCTION("IMPORTRANGE(""https://docs.google.com/spreadsheets/d/1q9nWasZJ-K8bFGvbE9n0qSRuKGA4Toe3Y89cKCiVtCU/edit?usp=sharing"",""สตูล!L206"")"),0)</f>
        <v>0</v>
      </c>
      <c r="AJ87" s="152">
        <f ca="1">IFERROR(__xludf.DUMMYFUNCTION("IMPORTRANGE(""https://docs.google.com/spreadsheets/d/1q9nWasZJ-K8bFGvbE9n0qSRuKGA4Toe3Y89cKCiVtCU/edit?usp=sharing"",""สตูล!N206"")"),0)</f>
        <v>0</v>
      </c>
      <c r="AK87" s="216">
        <f t="shared" ca="1" si="108"/>
        <v>0</v>
      </c>
      <c r="AL87" s="152">
        <f ca="1">IFERROR(__xludf.DUMMYFUNCTION("IMPORTRANGE(""https://docs.google.com/spreadsheets/d/1q9nWasZJ-K8bFGvbE9n0qSRuKGA4Toe3Y89cKCiVtCU/edit?usp=sharing"",""สตูล!Q206"")"),28000)</f>
        <v>28000</v>
      </c>
      <c r="AM87" s="152">
        <f ca="1">IFERROR(__xludf.DUMMYFUNCTION("IMPORTRANGE(""https://docs.google.com/spreadsheets/d/1q9nWasZJ-K8bFGvbE9n0qSRuKGA4Toe3Y89cKCiVtCU/edit?usp=sharing"",""สตูล!S206"")"),20000)</f>
        <v>20000</v>
      </c>
      <c r="AN87" s="216">
        <f t="shared" ca="1" si="110"/>
        <v>71.428571428571431</v>
      </c>
      <c r="AO87" s="152">
        <f ca="1">IFERROR(__xludf.DUMMYFUNCTION("IMPORTRANGE(""https://docs.google.com/spreadsheets/d/1q9nWasZJ-K8bFGvbE9n0qSRuKGA4Toe3Y89cKCiVtCU/edit?usp=sharing"",""สตูล!L207"")"),8000)</f>
        <v>8000</v>
      </c>
      <c r="AP87" s="152">
        <f ca="1">IFERROR(__xludf.DUMMYFUNCTION("IMPORTRANGE(""https://docs.google.com/spreadsheets/d/1q9nWasZJ-K8bFGvbE9n0qSRuKGA4Toe3Y89cKCiVtCU/edit?usp=sharing"",""สตูล!N207"")"),8000)</f>
        <v>8000</v>
      </c>
      <c r="AQ87" s="216">
        <f t="shared" ca="1" si="112"/>
        <v>100</v>
      </c>
      <c r="AR87" s="152">
        <f ca="1">IFERROR(__xludf.DUMMYFUNCTION("IMPORTRANGE(""https://docs.google.com/spreadsheets/d/1q9nWasZJ-K8bFGvbE9n0qSRuKGA4Toe3Y89cKCiVtCU/edit?usp=sharing"",""สตูล!I209"")"),2)</f>
        <v>2</v>
      </c>
      <c r="AS87" s="152">
        <f ca="1">IFERROR(__xludf.DUMMYFUNCTION("IMPORTRANGE(""https://docs.google.com/spreadsheets/d/1q9nWasZJ-K8bFGvbE9n0qSRuKGA4Toe3Y89cKCiVtCU/edit?usp=sharing"",""สตูล!J209"")"),2)</f>
        <v>2</v>
      </c>
      <c r="AT87" s="216">
        <f t="shared" ca="1" si="114"/>
        <v>100</v>
      </c>
      <c r="AU87" s="152">
        <f ca="1">IFERROR(__xludf.DUMMYFUNCTION("IMPORTRANGE(""https://docs.google.com/spreadsheets/d/1q9nWasZJ-K8bFGvbE9n0qSRuKGA4Toe3Y89cKCiVtCU/edit?usp=sharing"",""สตูล!J211"")"),2)</f>
        <v>2</v>
      </c>
      <c r="AV87" s="152">
        <f ca="1">IFERROR(__xludf.DUMMYFUNCTION("IMPORTRANGE(""https://docs.google.com/spreadsheets/d/1q9nWasZJ-K8bFGvbE9n0qSRuKGA4Toe3Y89cKCiVtCU/edit?usp=sharing"",""สตูล!J212"")"),0)</f>
        <v>0</v>
      </c>
      <c r="AW87" s="152">
        <f ca="1">IFERROR(__xludf.DUMMYFUNCTION("IMPORTRANGE(""https://docs.google.com/spreadsheets/d/1q9nWasZJ-K8bFGvbE9n0qSRuKGA4Toe3Y89cKCiVtCU/edit?usp=sharing"",""สตูล!L215"")"),0)</f>
        <v>0</v>
      </c>
      <c r="AX87" s="152">
        <f ca="1">IFERROR(__xludf.DUMMYFUNCTION("IMPORTRANGE(""https://docs.google.com/spreadsheets/d/1q9nWasZJ-K8bFGvbE9n0qSRuKGA4Toe3Y89cKCiVtCU/edit?usp=sharing"",""สตูล!N215"")"),0)</f>
        <v>0</v>
      </c>
      <c r="AY87" s="216">
        <f t="shared" ca="1" si="116"/>
        <v>0</v>
      </c>
      <c r="AZ87" s="152">
        <f ca="1">IFERROR(__xludf.DUMMYFUNCTION("IMPORTRANGE(""https://docs.google.com/spreadsheets/d/1q9nWasZJ-K8bFGvbE9n0qSRuKGA4Toe3Y89cKCiVtCU/edit?usp=sharing"",""สตูล!L216"")"),0)</f>
        <v>0</v>
      </c>
      <c r="BA87" s="152">
        <f ca="1">IFERROR(__xludf.DUMMYFUNCTION("IMPORTRANGE(""https://docs.google.com/spreadsheets/d/1q9nWasZJ-K8bFGvbE9n0qSRuKGA4Toe3Y89cKCiVtCU/edit?usp=sharing"",""สตูล!N216"")"),0)</f>
        <v>0</v>
      </c>
      <c r="BB87" s="216">
        <f t="shared" ca="1" si="118"/>
        <v>0</v>
      </c>
      <c r="BC87" s="152">
        <f ca="1">IFERROR(__xludf.DUMMYFUNCTION("IMPORTRANGE(""https://docs.google.com/spreadsheets/d/1q9nWasZJ-K8bFGvbE9n0qSRuKGA4Toe3Y89cKCiVtCU/edit?usp=sharing"",""สตูล!L217"")"),0)</f>
        <v>0</v>
      </c>
      <c r="BD87" s="152">
        <f ca="1">IFERROR(__xludf.DUMMYFUNCTION("IMPORTRANGE(""https://docs.google.com/spreadsheets/d/1q9nWasZJ-K8bFGvbE9n0qSRuKGA4Toe3Y89cKCiVtCU/edit?usp=sharing"",""สตูล!N217"")"),0)</f>
        <v>0</v>
      </c>
      <c r="BE87" s="216">
        <f t="shared" ca="1" si="120"/>
        <v>0</v>
      </c>
      <c r="BF87" s="152">
        <f ca="1">IFERROR(__xludf.DUMMYFUNCTION("IMPORTRANGE(""https://docs.google.com/spreadsheets/d/1q9nWasZJ-K8bFGvbE9n0qSRuKGA4Toe3Y89cKCiVtCU/edit?usp=sharing"",""สตูล!Q217"")"),0)</f>
        <v>0</v>
      </c>
      <c r="BG87" s="152">
        <f ca="1">IFERROR(__xludf.DUMMYFUNCTION("IMPORTRANGE(""https://docs.google.com/spreadsheets/d/1q9nWasZJ-K8bFGvbE9n0qSRuKGA4Toe3Y89cKCiVtCU/edit?usp=sharing"",""สตูล!S217"")"),0)</f>
        <v>0</v>
      </c>
      <c r="BH87" s="216">
        <f t="shared" ca="1" si="122"/>
        <v>0</v>
      </c>
      <c r="BI87" s="152">
        <f ca="1">IFERROR(__xludf.DUMMYFUNCTION("IMPORTRANGE(""https://docs.google.com/spreadsheets/d/1q9nWasZJ-K8bFGvbE9n0qSRuKGA4Toe3Y89cKCiVtCU/edit?usp=sharing"",""สตูล!I219"")"),0)</f>
        <v>0</v>
      </c>
      <c r="BJ87" s="152">
        <f ca="1">IFERROR(__xludf.DUMMYFUNCTION("IMPORTRANGE(""https://docs.google.com/spreadsheets/d/1q9nWasZJ-K8bFGvbE9n0qSRuKGA4Toe3Y89cKCiVtCU/edit?usp=sharing"",""สตูล!J219"")"),0)</f>
        <v>0</v>
      </c>
      <c r="BK87" s="216">
        <f t="shared" ca="1" si="124"/>
        <v>0</v>
      </c>
      <c r="BL87" s="152">
        <f ca="1">IFERROR(__xludf.DUMMYFUNCTION("IMPORTRANGE(""https://docs.google.com/spreadsheets/d/1q9nWasZJ-K8bFGvbE9n0qSRuKGA4Toe3Y89cKCiVtCU/edit?usp=sharing"",""สตูล!I220"")"),0)</f>
        <v>0</v>
      </c>
      <c r="BM87" s="152">
        <f ca="1">IFERROR(__xludf.DUMMYFUNCTION("IMPORTRANGE(""https://docs.google.com/spreadsheets/d/1q9nWasZJ-K8bFGvbE9n0qSRuKGA4Toe3Y89cKCiVtCU/edit?usp=sharing"",""สตูล!J220"")"),0)</f>
        <v>0</v>
      </c>
      <c r="BN87" s="216">
        <f t="shared" ca="1" si="126"/>
        <v>0</v>
      </c>
      <c r="BO87" s="152">
        <f ca="1">IFERROR(__xludf.DUMMYFUNCTION("IMPORTRANGE(""https://docs.google.com/spreadsheets/d/1q9nWasZJ-K8bFGvbE9n0qSRuKGA4Toe3Y89cKCiVtCU/edit?usp=sharing"",""สตูล!L223"")"),2500)</f>
        <v>2500</v>
      </c>
      <c r="BP87" s="152">
        <f ca="1">IFERROR(__xludf.DUMMYFUNCTION("IMPORTRANGE(""https://docs.google.com/spreadsheets/d/1q9nWasZJ-K8bFGvbE9n0qSRuKGA4Toe3Y89cKCiVtCU/edit?usp=sharing"",""สตูล!N223"")"),2360)</f>
        <v>2360</v>
      </c>
      <c r="BQ87" s="216">
        <f t="shared" ca="1" si="128"/>
        <v>94.4</v>
      </c>
      <c r="BR87" s="152">
        <f ca="1">IFERROR(__xludf.DUMMYFUNCTION("IMPORTRANGE(""https://docs.google.com/spreadsheets/d/1q9nWasZJ-K8bFGvbE9n0qSRuKGA4Toe3Y89cKCiVtCU/edit?usp=sharing"",""สตูล!L224"")"),2000)</f>
        <v>2000</v>
      </c>
      <c r="BS87" s="152">
        <f ca="1">IFERROR(__xludf.DUMMYFUNCTION("IMPORTRANGE(""https://docs.google.com/spreadsheets/d/1q9nWasZJ-K8bFGvbE9n0qSRuKGA4Toe3Y89cKCiVtCU/edit?usp=sharing"",""สตูล!N224"")"),1480)</f>
        <v>1480</v>
      </c>
      <c r="BT87" s="216">
        <f t="shared" ca="1" si="130"/>
        <v>74</v>
      </c>
      <c r="BU87" s="152">
        <f ca="1">IFERROR(__xludf.DUMMYFUNCTION("IMPORTRANGE(""https://docs.google.com/spreadsheets/d/1q9nWasZJ-K8bFGvbE9n0qSRuKGA4Toe3Y89cKCiVtCU/edit?usp=sharing"",""สตูล!I228"")"),6400)</f>
        <v>6400</v>
      </c>
      <c r="BV87" s="152">
        <f ca="1">IFERROR(__xludf.DUMMYFUNCTION("IMPORTRANGE(""https://docs.google.com/spreadsheets/d/1q9nWasZJ-K8bFGvbE9n0qSRuKGA4Toe3Y89cKCiVtCU/edit?usp=sharing"",""สตูล!J228"")"),6400)</f>
        <v>6400</v>
      </c>
      <c r="BW87" s="216">
        <f t="shared" ca="1" si="132"/>
        <v>100</v>
      </c>
      <c r="BX87" s="152">
        <f ca="1">IFERROR(__xludf.DUMMYFUNCTION("IMPORTRANGE(""https://docs.google.com/spreadsheets/d/1q9nWasZJ-K8bFGvbE9n0qSRuKGA4Toe3Y89cKCiVtCU/edit?usp=sharing"",""สตูล!I229"")"),6400)</f>
        <v>6400</v>
      </c>
      <c r="BY87" s="152">
        <f ca="1">IFERROR(__xludf.DUMMYFUNCTION("IMPORTRANGE(""https://docs.google.com/spreadsheets/d/1q9nWasZJ-K8bFGvbE9n0qSRuKGA4Toe3Y89cKCiVtCU/edit?usp=sharing"",""สตูล!J229"")"),6400)</f>
        <v>6400</v>
      </c>
      <c r="BZ87" s="216">
        <f t="shared" ca="1" si="134"/>
        <v>100</v>
      </c>
      <c r="CA87" s="152">
        <f ca="1">IFERROR(__xludf.DUMMYFUNCTION("IMPORTRANGE(""https://docs.google.com/spreadsheets/d/1q9nWasZJ-K8bFGvbE9n0qSRuKGA4Toe3Y89cKCiVtCU/edit?usp=sharing"",""สตูล!I230"")"),0)</f>
        <v>0</v>
      </c>
      <c r="CB87" s="152">
        <f ca="1">IFERROR(__xludf.DUMMYFUNCTION("IMPORTRANGE(""https://docs.google.com/spreadsheets/d/1q9nWasZJ-K8bFGvbE9n0qSRuKGA4Toe3Y89cKCiVtCU/edit?usp=sharing"",""สตูล!J230"")"),0)</f>
        <v>0</v>
      </c>
      <c r="CC87" s="216">
        <f t="shared" ca="1" si="136"/>
        <v>0</v>
      </c>
      <c r="CD87" s="152">
        <f ca="1">IFERROR(__xludf.DUMMYFUNCTION("IMPORTRANGE(""https://docs.google.com/spreadsheets/d/1q9nWasZJ-K8bFGvbE9n0qSRuKGA4Toe3Y89cKCiVtCU/edit?usp=sharing"",""สตูล!L233"")"),0)</f>
        <v>0</v>
      </c>
      <c r="CE87" s="152">
        <f ca="1">IFERROR(__xludf.DUMMYFUNCTION("IMPORTRANGE(""https://docs.google.com/spreadsheets/d/1q9nWasZJ-K8bFGvbE9n0qSRuKGA4Toe3Y89cKCiVtCU/edit?usp=sharing"",""สตูล!N233"")"),0)</f>
        <v>0</v>
      </c>
      <c r="CF87" s="216">
        <f t="shared" ca="1" si="138"/>
        <v>0</v>
      </c>
      <c r="CG87" s="152">
        <f ca="1">IFERROR(__xludf.DUMMYFUNCTION("IMPORTRANGE(""https://docs.google.com/spreadsheets/d/1q9nWasZJ-K8bFGvbE9n0qSRuKGA4Toe3Y89cKCiVtCU/edit?usp=sharing"",""สตูล!L234"")"),0)</f>
        <v>0</v>
      </c>
      <c r="CH87" s="152">
        <f ca="1">IFERROR(__xludf.DUMMYFUNCTION("IMPORTRANGE(""https://docs.google.com/spreadsheets/d/1q9nWasZJ-K8bFGvbE9n0qSRuKGA4Toe3Y89cKCiVtCU/edit?usp=sharing"",""สตูล!N234"")"),0)</f>
        <v>0</v>
      </c>
      <c r="CI87" s="216">
        <f t="shared" ca="1" si="140"/>
        <v>0</v>
      </c>
      <c r="CJ87" s="152">
        <f ca="1">IFERROR(__xludf.DUMMYFUNCTION("IMPORTRANGE(""https://docs.google.com/spreadsheets/d/1q9nWasZJ-K8bFGvbE9n0qSRuKGA4Toe3Y89cKCiVtCU/edit?usp=sharing"",""สตูล!L235"")"),0)</f>
        <v>0</v>
      </c>
      <c r="CK87" s="152">
        <f ca="1">IFERROR(__xludf.DUMMYFUNCTION("IMPORTRANGE(""https://docs.google.com/spreadsheets/d/1q9nWasZJ-K8bFGvbE9n0qSRuKGA4Toe3Y89cKCiVtCU/edit?usp=sharing"",""สตูล!N235"")"),0)</f>
        <v>0</v>
      </c>
      <c r="CL87" s="216">
        <f t="shared" ca="1" si="142"/>
        <v>0</v>
      </c>
      <c r="CM87" s="251">
        <f ca="1">IFERROR(__xludf.DUMMYFUNCTION("IMPORTRANGE(""https://docs.google.com/spreadsheets/d/1q9nWasZJ-K8bFGvbE9n0qSRuKGA4Toe3Y89cKCiVtCU/edit?usp=sharing"",""สตูล!Q235"")"),0)</f>
        <v>0</v>
      </c>
      <c r="CN87" s="251">
        <f ca="1">IFERROR(__xludf.DUMMYFUNCTION("IMPORTRANGE(""https://docs.google.com/spreadsheets/d/1q9nWasZJ-K8bFGvbE9n0qSRuKGA4Toe3Y89cKCiVtCU/edit?usp=sharing"",""สตูล!S235"")"),0)</f>
        <v>0</v>
      </c>
      <c r="CO87" s="216">
        <f t="shared" ca="1" si="144"/>
        <v>0</v>
      </c>
      <c r="CP87" s="152">
        <f ca="1">IFERROR(__xludf.DUMMYFUNCTION("IMPORTRANGE(""https://docs.google.com/spreadsheets/d/1q9nWasZJ-K8bFGvbE9n0qSRuKGA4Toe3Y89cKCiVtCU/edit?usp=sharing"",""สตูล!L236"")"),0)</f>
        <v>0</v>
      </c>
      <c r="CQ87" s="152">
        <f ca="1">IFERROR(__xludf.DUMMYFUNCTION("IMPORTRANGE(""https://docs.google.com/spreadsheets/d/1q9nWasZJ-K8bFGvbE9n0qSRuKGA4Toe3Y89cKCiVtCU/edit?usp=sharing"",""สตูล!N236"")"),0)</f>
        <v>0</v>
      </c>
      <c r="CR87" s="216">
        <f t="shared" ca="1" si="146"/>
        <v>0</v>
      </c>
      <c r="CS87" s="152">
        <f ca="1">IFERROR(__xludf.DUMMYFUNCTION("IMPORTRANGE(""https://docs.google.com/spreadsheets/d/1q9nWasZJ-K8bFGvbE9n0qSRuKGA4Toe3Y89cKCiVtCU/edit?usp=sharing"",""สตูล!I238"")"),0)</f>
        <v>0</v>
      </c>
      <c r="CT87" s="152">
        <f ca="1">IFERROR(__xludf.DUMMYFUNCTION("IMPORTRANGE(""https://docs.google.com/spreadsheets/d/1q9nWasZJ-K8bFGvbE9n0qSRuKGA4Toe3Y89cKCiVtCU/edit?usp=sharing"",""สตูล!J238"")"),0)</f>
        <v>0</v>
      </c>
      <c r="CU87" s="216">
        <f t="shared" ca="1" si="148"/>
        <v>0</v>
      </c>
      <c r="CV87" s="152">
        <f ca="1">IFERROR(__xludf.DUMMYFUNCTION("IMPORTRANGE(""https://docs.google.com/spreadsheets/d/1q9nWasZJ-K8bFGvbE9n0qSRuKGA4Toe3Y89cKCiVtCU/edit?usp=sharing"",""สตูล!J240"")"),0)</f>
        <v>0</v>
      </c>
      <c r="CW87" s="152">
        <f ca="1">IFERROR(__xludf.DUMMYFUNCTION("IMPORTRANGE(""https://docs.google.com/spreadsheets/d/1q9nWasZJ-K8bFGvbE9n0qSRuKGA4Toe3Y89cKCiVtCU/edit?usp=sharing"",""สตูล!J241"")"),0)</f>
        <v>0</v>
      </c>
    </row>
    <row r="88" spans="1:101" ht="24" customHeight="1" x14ac:dyDescent="0.3">
      <c r="A88" s="155">
        <v>14</v>
      </c>
      <c r="B88" s="156" t="s">
        <v>116</v>
      </c>
      <c r="C88" s="157">
        <f t="shared" ca="1" si="90"/>
        <v>217500</v>
      </c>
      <c r="D88" s="158">
        <f t="shared" ca="1" si="234"/>
        <v>217500</v>
      </c>
      <c r="E88" s="159">
        <f ca="1">IFERROR(__xludf.DUMMYFUNCTION("IMPORTRANGE(""https://docs.google.com/spreadsheets/d/1-uDff_7J0KD5mKrp0Vvzr7lt3OU09vwQwhkpOPPYv2Y/edit?usp=sharing"",""งบพรบ!CV88"")"),182000)</f>
        <v>182000</v>
      </c>
      <c r="F88" s="159">
        <f ca="1">IFERROR(__xludf.DUMMYFUNCTION("IMPORTRANGE(""https://docs.google.com/spreadsheets/d/1-uDff_7J0KD5mKrp0Vvzr7lt3OU09vwQwhkpOPPYv2Y/edit?usp=sharing"",""งบพรบ!CW88"")"),35500)</f>
        <v>35500</v>
      </c>
      <c r="G88" s="159">
        <f ca="1">IFERROR(__xludf.DUMMYFUNCTION("IMPORTRANGE(""https://docs.google.com/spreadsheets/d/1-uDff_7J0KD5mKrp0Vvzr7lt3OU09vwQwhkpOPPYv2Y/edit?usp=sharing"",""งบพรบ!CX88"")"),0)</f>
        <v>0</v>
      </c>
      <c r="H88" s="159">
        <f ca="1">IFERROR(__xludf.DUMMYFUNCTION("IMPORTRANGE(""https://docs.google.com/spreadsheets/d/1-uDff_7J0KD5mKrp0Vvzr7lt3OU09vwQwhkpOPPYv2Y/edit?usp=sharing"",""งบพรบ!CZ88"")"),267965)</f>
        <v>267965</v>
      </c>
      <c r="I88" s="159">
        <f ca="1">IFERROR(__xludf.DUMMYFUNCTION("IMPORTRANGE(""https://docs.google.com/spreadsheets/d/1-uDff_7J0KD5mKrp0Vvzr7lt3OU09vwQwhkpOPPYv2Y/edit?usp=sharing"",""งบพรบ!DA88"")"),0)</f>
        <v>0</v>
      </c>
      <c r="J88" s="159">
        <f t="shared" ca="1" si="92"/>
        <v>261038.35</v>
      </c>
      <c r="K88" s="160">
        <f t="shared" ca="1" si="93"/>
        <v>120.01763218390805</v>
      </c>
      <c r="L88" s="159">
        <f ca="1">IFERROR(__xludf.DUMMYFUNCTION("IMPORTRANGE(""https://docs.google.com/spreadsheets/d/1-uDff_7J0KD5mKrp0Vvzr7lt3OU09vwQwhkpOPPYv2Y/edit?usp=sharing"",""งบพรบ!DB88"")"),261038.35)</f>
        <v>261038.35</v>
      </c>
      <c r="M88" s="89">
        <f t="shared" ca="1" si="94"/>
        <v>120.01763218390805</v>
      </c>
      <c r="N88" s="89">
        <f t="shared" ca="1" si="95"/>
        <v>97.415091523146685</v>
      </c>
      <c r="O88" s="88">
        <f ca="1">IFERROR(__xludf.DUMMYFUNCTION("IMPORTRANGE(""https://docs.google.com/spreadsheets/d/1-uDff_7J0KD5mKrp0Vvzr7lt3OU09vwQwhkpOPPYv2Y/edit?usp=sharing"",""งบพรบ!DC88"")"),0)</f>
        <v>0</v>
      </c>
      <c r="P88" s="88">
        <f t="shared" ca="1" si="96"/>
        <v>0</v>
      </c>
      <c r="Q88" s="89">
        <f t="shared" ca="1" si="97"/>
        <v>0</v>
      </c>
      <c r="R88" s="88">
        <f ca="1">IFERROR(__xludf.DUMMYFUNCTION("IMPORTRANGE(""https://docs.google.com/spreadsheets/d/18T20gbkS_WBjdscyTOV05cvq_JqvqQ17C81mpxf7Ncs/edit?usp=sharing"",""สุราษฎร์ธานี!Q186"")"),56000)</f>
        <v>56000</v>
      </c>
      <c r="S88" s="88">
        <f ca="1">IFERROR(__xludf.DUMMYFUNCTION("IMPORTRANGE(""https://docs.google.com/spreadsheets/d/18T20gbkS_WBjdscyTOV05cvq_JqvqQ17C81mpxf7Ncs/edit?usp=sharing"",""สุราษฎร์ธานี!R186"")"),56000)</f>
        <v>56000</v>
      </c>
      <c r="T88" s="88">
        <f ca="1">IFERROR(__xludf.DUMMYFUNCTION("IMPORTRANGE(""https://docs.google.com/spreadsheets/d/18T20gbkS_WBjdscyTOV05cvq_JqvqQ17C81mpxf7Ncs/edit?usp=sharing"",""สุราษฎร์ธานี!S186"")"),55245)</f>
        <v>55245</v>
      </c>
      <c r="U88" s="89">
        <f t="shared" ca="1" si="99"/>
        <v>98.651785714285708</v>
      </c>
      <c r="V88" s="89">
        <f t="shared" ca="1" si="100"/>
        <v>98.651785714285708</v>
      </c>
      <c r="W88" s="191">
        <f ca="1">IFERROR(__xludf.DUMMYFUNCTION("IMPORTRANGE(""https://docs.google.com/spreadsheets/d/18T20gbkS_WBjdscyTOV05cvq_JqvqQ17C81mpxf7Ncs/edit?usp=sharing"",""สุราษฎร์ธานี!L196"")"),6000)</f>
        <v>6000</v>
      </c>
      <c r="X88" s="191">
        <f ca="1">IFERROR(__xludf.DUMMYFUNCTION("IMPORTRANGE(""https://docs.google.com/spreadsheets/d/18T20gbkS_WBjdscyTOV05cvq_JqvqQ17C81mpxf7Ncs/edit?usp=sharing"",""สุราษฎร์ธานี!N196"")"),3456)</f>
        <v>3456</v>
      </c>
      <c r="Y88" s="218">
        <f t="shared" ca="1" si="102"/>
        <v>57.6</v>
      </c>
      <c r="Z88" s="191">
        <f ca="1">IFERROR(__xludf.DUMMYFUNCTION("IMPORTRANGE(""https://docs.google.com/spreadsheets/d/18T20gbkS_WBjdscyTOV05cvq_JqvqQ17C81mpxf7Ncs/edit?usp=sharing"",""สุราษฎร์ธานี!I198"")"),4)</f>
        <v>4</v>
      </c>
      <c r="AA88" s="191">
        <f ca="1">IFERROR(__xludf.DUMMYFUNCTION("IMPORTRANGE(""https://docs.google.com/spreadsheets/d/18T20gbkS_WBjdscyTOV05cvq_JqvqQ17C81mpxf7Ncs/edit?usp=sharing"",""สุราษฎร์ธานี!J198"")"),4)</f>
        <v>4</v>
      </c>
      <c r="AB88" s="218">
        <f t="shared" ca="1" si="104"/>
        <v>100</v>
      </c>
      <c r="AC88" s="191">
        <f ca="1">IFERROR(__xludf.DUMMYFUNCTION("IMPORTRANGE(""https://docs.google.com/spreadsheets/d/18T20gbkS_WBjdscyTOV05cvq_JqvqQ17C81mpxf7Ncs/edit?usp=sharing"",""สุราษฎร์ธานี!J199"")"),301)</f>
        <v>301</v>
      </c>
      <c r="AD88" s="191">
        <f ca="1">IFERROR(__xludf.DUMMYFUNCTION("IMPORTRANGE(""https://docs.google.com/spreadsheets/d/18T20gbkS_WBjdscyTOV05cvq_JqvqQ17C81mpxf7Ncs/edit?usp=sharing"",""สุราษฎร์ธานี!J200"")"),301)</f>
        <v>301</v>
      </c>
      <c r="AE88" s="191">
        <f ca="1">IFERROR(__xludf.DUMMYFUNCTION("IMPORTRANGE(""https://docs.google.com/spreadsheets/d/18T20gbkS_WBjdscyTOV05cvq_JqvqQ17C81mpxf7Ncs/edit?usp=sharing"",""สุราษฎร์ธานี!J201"")"),0)</f>
        <v>0</v>
      </c>
      <c r="AF88" s="191">
        <f ca="1">IFERROR(__xludf.DUMMYFUNCTION("IMPORTRANGE(""https://docs.google.com/spreadsheets/d/18T20gbkS_WBjdscyTOV05cvq_JqvqQ17C81mpxf7Ncs/edit?usp=sharing"",""สุราษฎร์ธานี!L204"")"),4000)</f>
        <v>4000</v>
      </c>
      <c r="AG88" s="191">
        <f ca="1">IFERROR(__xludf.DUMMYFUNCTION("IMPORTRANGE(""https://docs.google.com/spreadsheets/d/18T20gbkS_WBjdscyTOV05cvq_JqvqQ17C81mpxf7Ncs/edit?usp=sharing"",""สุราษฎร์ธานี!N204"")"),0)</f>
        <v>0</v>
      </c>
      <c r="AH88" s="218">
        <f t="shared" ca="1" si="106"/>
        <v>0</v>
      </c>
      <c r="AI88" s="191">
        <f ca="1">IFERROR(__xludf.DUMMYFUNCTION("IMPORTRANGE(""https://docs.google.com/spreadsheets/d/18T20gbkS_WBjdscyTOV05cvq_JqvqQ17C81mpxf7Ncs/edit?usp=sharing"",""สุราษฎร์ธานี!L206"")"),0)</f>
        <v>0</v>
      </c>
      <c r="AJ88" s="191">
        <f ca="1">IFERROR(__xludf.DUMMYFUNCTION("IMPORTRANGE(""https://docs.google.com/spreadsheets/d/18T20gbkS_WBjdscyTOV05cvq_JqvqQ17C81mpxf7Ncs/edit?usp=sharing"",""สุราษฎร์ธานี!N206"")"),0)</f>
        <v>0</v>
      </c>
      <c r="AK88" s="218">
        <f t="shared" ca="1" si="108"/>
        <v>0</v>
      </c>
      <c r="AL88" s="191">
        <f ca="1">IFERROR(__xludf.DUMMYFUNCTION("IMPORTRANGE(""https://docs.google.com/spreadsheets/d/18T20gbkS_WBjdscyTOV05cvq_JqvqQ17C81mpxf7Ncs/edit?usp=sharing"",""สุราษฎร์ธานี!Q206"")"),56000)</f>
        <v>56000</v>
      </c>
      <c r="AM88" s="191">
        <f ca="1">IFERROR(__xludf.DUMMYFUNCTION("IMPORTRANGE(""https://docs.google.com/spreadsheets/d/18T20gbkS_WBjdscyTOV05cvq_JqvqQ17C81mpxf7Ncs/edit?usp=sharing"",""สุราษฎร์ธานี!S206"")"),56000)</f>
        <v>56000</v>
      </c>
      <c r="AN88" s="218">
        <f t="shared" ca="1" si="110"/>
        <v>100</v>
      </c>
      <c r="AO88" s="191">
        <f ca="1">IFERROR(__xludf.DUMMYFUNCTION("IMPORTRANGE(""https://docs.google.com/spreadsheets/d/18T20gbkS_WBjdscyTOV05cvq_JqvqQ17C81mpxf7Ncs/edit?usp=sharing"",""สุราษฎร์ธานี!L207"")"),21000)</f>
        <v>21000</v>
      </c>
      <c r="AP88" s="191">
        <f ca="1">IFERROR(__xludf.DUMMYFUNCTION("IMPORTRANGE(""https://docs.google.com/spreadsheets/d/18T20gbkS_WBjdscyTOV05cvq_JqvqQ17C81mpxf7Ncs/edit?usp=sharing"",""สุราษฎร์ธานี!N207"")"),21000)</f>
        <v>21000</v>
      </c>
      <c r="AQ88" s="218">
        <f t="shared" ca="1" si="112"/>
        <v>100</v>
      </c>
      <c r="AR88" s="191">
        <f ca="1">IFERROR(__xludf.DUMMYFUNCTION("IMPORTRANGE(""https://docs.google.com/spreadsheets/d/18T20gbkS_WBjdscyTOV05cvq_JqvqQ17C81mpxf7Ncs/edit?usp=sharing"",""สุราษฎร์ธานี!I209"")"),4)</f>
        <v>4</v>
      </c>
      <c r="AS88" s="191">
        <f ca="1">IFERROR(__xludf.DUMMYFUNCTION("IMPORTRANGE(""https://docs.google.com/spreadsheets/d/18T20gbkS_WBjdscyTOV05cvq_JqvqQ17C81mpxf7Ncs/edit?usp=sharing"",""สุราษฎร์ธานี!J209"")"),4)</f>
        <v>4</v>
      </c>
      <c r="AT88" s="218">
        <f t="shared" ca="1" si="114"/>
        <v>100</v>
      </c>
      <c r="AU88" s="191">
        <f ca="1">IFERROR(__xludf.DUMMYFUNCTION("IMPORTRANGE(""https://docs.google.com/spreadsheets/d/18T20gbkS_WBjdscyTOV05cvq_JqvqQ17C81mpxf7Ncs/edit?usp=sharing"",""สุราษฎร์ธานี!J211"")"),4)</f>
        <v>4</v>
      </c>
      <c r="AV88" s="191">
        <f ca="1">IFERROR(__xludf.DUMMYFUNCTION("IMPORTRANGE(""https://docs.google.com/spreadsheets/d/18T20gbkS_WBjdscyTOV05cvq_JqvqQ17C81mpxf7Ncs/edit?usp=sharing"",""สุราษฎร์ธานี!J212"")"),1)</f>
        <v>1</v>
      </c>
      <c r="AW88" s="191">
        <f ca="1">IFERROR(__xludf.DUMMYFUNCTION("IMPORTRANGE(""https://docs.google.com/spreadsheets/d/18T20gbkS_WBjdscyTOV05cvq_JqvqQ17C81mpxf7Ncs/edit?usp=sharing"",""สุราษฎร์ธานี!L215"")"),0)</f>
        <v>0</v>
      </c>
      <c r="AX88" s="191">
        <f ca="1">IFERROR(__xludf.DUMMYFUNCTION("IMPORTRANGE(""https://docs.google.com/spreadsheets/d/18T20gbkS_WBjdscyTOV05cvq_JqvqQ17C81mpxf7Ncs/edit?usp=sharing"",""สุราษฎร์ธานี!N215"")"),0)</f>
        <v>0</v>
      </c>
      <c r="AY88" s="218">
        <f t="shared" ca="1" si="116"/>
        <v>0</v>
      </c>
      <c r="AZ88" s="191">
        <f ca="1">IFERROR(__xludf.DUMMYFUNCTION("IMPORTRANGE(""https://docs.google.com/spreadsheets/d/18T20gbkS_WBjdscyTOV05cvq_JqvqQ17C81mpxf7Ncs/edit?usp=sharing"",""สุราษฎร์ธานี!L216"")"),0)</f>
        <v>0</v>
      </c>
      <c r="BA88" s="191">
        <f ca="1">IFERROR(__xludf.DUMMYFUNCTION("IMPORTRANGE(""https://docs.google.com/spreadsheets/d/18T20gbkS_WBjdscyTOV05cvq_JqvqQ17C81mpxf7Ncs/edit?usp=sharing"",""สุราษฎร์ธานี!N216"")"),0)</f>
        <v>0</v>
      </c>
      <c r="BB88" s="218">
        <f t="shared" ca="1" si="118"/>
        <v>0</v>
      </c>
      <c r="BC88" s="191">
        <f ca="1">IFERROR(__xludf.DUMMYFUNCTION("IMPORTRANGE(""https://docs.google.com/spreadsheets/d/18T20gbkS_WBjdscyTOV05cvq_JqvqQ17C81mpxf7Ncs/edit?usp=sharing"",""สุราษฎร์ธานี!L217"")"),0)</f>
        <v>0</v>
      </c>
      <c r="BD88" s="191">
        <f ca="1">IFERROR(__xludf.DUMMYFUNCTION("IMPORTRANGE(""https://docs.google.com/spreadsheets/d/18T20gbkS_WBjdscyTOV05cvq_JqvqQ17C81mpxf7Ncs/edit?usp=sharing"",""สุราษฎร์ธานี!N217"")"),0)</f>
        <v>0</v>
      </c>
      <c r="BE88" s="218">
        <f t="shared" ca="1" si="120"/>
        <v>0</v>
      </c>
      <c r="BF88" s="191">
        <f ca="1">IFERROR(__xludf.DUMMYFUNCTION("IMPORTRANGE(""https://docs.google.com/spreadsheets/d/18T20gbkS_WBjdscyTOV05cvq_JqvqQ17C81mpxf7Ncs/edit?usp=sharing"",""สุราษฎร์ธานี!Q217"")"),0)</f>
        <v>0</v>
      </c>
      <c r="BG88" s="191">
        <f ca="1">IFERROR(__xludf.DUMMYFUNCTION("IMPORTRANGE(""https://docs.google.com/spreadsheets/d/18T20gbkS_WBjdscyTOV05cvq_JqvqQ17C81mpxf7Ncs/edit?usp=sharing"",""สุราษฎร์ธานี!S217"")"),0)</f>
        <v>0</v>
      </c>
      <c r="BH88" s="218">
        <f t="shared" ca="1" si="122"/>
        <v>0</v>
      </c>
      <c r="BI88" s="191">
        <f ca="1">IFERROR(__xludf.DUMMYFUNCTION("IMPORTRANGE(""https://docs.google.com/spreadsheets/d/18T20gbkS_WBjdscyTOV05cvq_JqvqQ17C81mpxf7Ncs/edit?usp=sharing"",""สุราษฎร์ธานี!I219"")"),0)</f>
        <v>0</v>
      </c>
      <c r="BJ88" s="191">
        <f ca="1">IFERROR(__xludf.DUMMYFUNCTION("IMPORTRANGE(""https://docs.google.com/spreadsheets/d/18T20gbkS_WBjdscyTOV05cvq_JqvqQ17C81mpxf7Ncs/edit?usp=sharing"",""สุราษฎร์ธานี!J219"")"),0)</f>
        <v>0</v>
      </c>
      <c r="BK88" s="218">
        <f t="shared" ca="1" si="124"/>
        <v>0</v>
      </c>
      <c r="BL88" s="191">
        <f ca="1">IFERROR(__xludf.DUMMYFUNCTION("IMPORTRANGE(""https://docs.google.com/spreadsheets/d/18T20gbkS_WBjdscyTOV05cvq_JqvqQ17C81mpxf7Ncs/edit?usp=sharing"",""สุราษฎร์ธานี!I220"")"),0)</f>
        <v>0</v>
      </c>
      <c r="BM88" s="191">
        <f ca="1">IFERROR(__xludf.DUMMYFUNCTION("IMPORTRANGE(""https://docs.google.com/spreadsheets/d/18T20gbkS_WBjdscyTOV05cvq_JqvqQ17C81mpxf7Ncs/edit?usp=sharing"",""สุราษฎร์ธานี!J220"")"),0)</f>
        <v>0</v>
      </c>
      <c r="BN88" s="218">
        <f t="shared" ca="1" si="126"/>
        <v>0</v>
      </c>
      <c r="BO88" s="191">
        <f ca="1">IFERROR(__xludf.DUMMYFUNCTION("IMPORTRANGE(""https://docs.google.com/spreadsheets/d/18T20gbkS_WBjdscyTOV05cvq_JqvqQ17C81mpxf7Ncs/edit?usp=sharing"",""สุราษฎร์ธานี!L223"")"),2500)</f>
        <v>2500</v>
      </c>
      <c r="BP88" s="191">
        <f ca="1">IFERROR(__xludf.DUMMYFUNCTION("IMPORTRANGE(""https://docs.google.com/spreadsheets/d/18T20gbkS_WBjdscyTOV05cvq_JqvqQ17C81mpxf7Ncs/edit?usp=sharing"",""สุราษฎร์ธานี!N223"")"),2500)</f>
        <v>2500</v>
      </c>
      <c r="BQ88" s="218">
        <f t="shared" ca="1" si="128"/>
        <v>100</v>
      </c>
      <c r="BR88" s="191">
        <f ca="1">IFERROR(__xludf.DUMMYFUNCTION("IMPORTRANGE(""https://docs.google.com/spreadsheets/d/18T20gbkS_WBjdscyTOV05cvq_JqvqQ17C81mpxf7Ncs/edit?usp=sharing"",""สุราษฎร์ธานี!L224"")"),2000)</f>
        <v>2000</v>
      </c>
      <c r="BS88" s="191">
        <f ca="1">IFERROR(__xludf.DUMMYFUNCTION("IMPORTRANGE(""https://docs.google.com/spreadsheets/d/18T20gbkS_WBjdscyTOV05cvq_JqvqQ17C81mpxf7Ncs/edit?usp=sharing"",""สุราษฎร์ธานี!N224"")"),2000)</f>
        <v>2000</v>
      </c>
      <c r="BT88" s="218">
        <f t="shared" ca="1" si="130"/>
        <v>100</v>
      </c>
      <c r="BU88" s="191">
        <f ca="1">IFERROR(__xludf.DUMMYFUNCTION("IMPORTRANGE(""https://docs.google.com/spreadsheets/d/18T20gbkS_WBjdscyTOV05cvq_JqvqQ17C81mpxf7Ncs/edit?usp=sharing"",""สุราษฎร์ธานี!I228"")"),10000)</f>
        <v>10000</v>
      </c>
      <c r="BV88" s="191">
        <f ca="1">IFERROR(__xludf.DUMMYFUNCTION("IMPORTRANGE(""https://docs.google.com/spreadsheets/d/18T20gbkS_WBjdscyTOV05cvq_JqvqQ17C81mpxf7Ncs/edit?usp=sharing"",""สุราษฎร์ธานี!J228"")"),10000)</f>
        <v>10000</v>
      </c>
      <c r="BW88" s="218">
        <f t="shared" ca="1" si="132"/>
        <v>100</v>
      </c>
      <c r="BX88" s="191">
        <f ca="1">IFERROR(__xludf.DUMMYFUNCTION("IMPORTRANGE(""https://docs.google.com/spreadsheets/d/18T20gbkS_WBjdscyTOV05cvq_JqvqQ17C81mpxf7Ncs/edit?usp=sharing"",""สุราษฎร์ธานี!I229"")"),10000)</f>
        <v>10000</v>
      </c>
      <c r="BY88" s="191">
        <f ca="1">IFERROR(__xludf.DUMMYFUNCTION("IMPORTRANGE(""https://docs.google.com/spreadsheets/d/18T20gbkS_WBjdscyTOV05cvq_JqvqQ17C81mpxf7Ncs/edit?usp=sharing"",""สุราษฎร์ธานี!J229"")"),10000)</f>
        <v>10000</v>
      </c>
      <c r="BZ88" s="218">
        <f t="shared" ca="1" si="134"/>
        <v>100</v>
      </c>
      <c r="CA88" s="191">
        <f ca="1">IFERROR(__xludf.DUMMYFUNCTION("IMPORTRANGE(""https://docs.google.com/spreadsheets/d/18T20gbkS_WBjdscyTOV05cvq_JqvqQ17C81mpxf7Ncs/edit?usp=sharing"",""สุราษฎร์ธานี!I230"")"),0)</f>
        <v>0</v>
      </c>
      <c r="CB88" s="191">
        <f ca="1">IFERROR(__xludf.DUMMYFUNCTION("IMPORTRANGE(""https://docs.google.com/spreadsheets/d/18T20gbkS_WBjdscyTOV05cvq_JqvqQ17C81mpxf7Ncs/edit?usp=sharing"",""สุราษฎร์ธานี!J230"")"),0)</f>
        <v>0</v>
      </c>
      <c r="CC88" s="218">
        <f t="shared" ca="1" si="136"/>
        <v>0</v>
      </c>
      <c r="CD88" s="191">
        <f ca="1">IFERROR(__xludf.DUMMYFUNCTION("IMPORTRANGE(""https://docs.google.com/spreadsheets/d/18T20gbkS_WBjdscyTOV05cvq_JqvqQ17C81mpxf7Ncs/edit?usp=sharing"",""สุราษฎร์ธานี!L233"")"),0)</f>
        <v>0</v>
      </c>
      <c r="CE88" s="191">
        <f ca="1">IFERROR(__xludf.DUMMYFUNCTION("IMPORTRANGE(""https://docs.google.com/spreadsheets/d/18T20gbkS_WBjdscyTOV05cvq_JqvqQ17C81mpxf7Ncs/edit?usp=sharing"",""สุราษฎร์ธานี!N233"")"),0)</f>
        <v>0</v>
      </c>
      <c r="CF88" s="218">
        <f t="shared" ca="1" si="138"/>
        <v>0</v>
      </c>
      <c r="CG88" s="191">
        <f ca="1">IFERROR(__xludf.DUMMYFUNCTION("IMPORTRANGE(""https://docs.google.com/spreadsheets/d/18T20gbkS_WBjdscyTOV05cvq_JqvqQ17C81mpxf7Ncs/edit?usp=sharing"",""สุราษฎร์ธานี!L234"")"),0)</f>
        <v>0</v>
      </c>
      <c r="CH88" s="191">
        <f ca="1">IFERROR(__xludf.DUMMYFUNCTION("IMPORTRANGE(""https://docs.google.com/spreadsheets/d/18T20gbkS_WBjdscyTOV05cvq_JqvqQ17C81mpxf7Ncs/edit?usp=sharing"",""สุราษฎร์ธานี!N234"")"),0)</f>
        <v>0</v>
      </c>
      <c r="CI88" s="218">
        <f t="shared" ca="1" si="140"/>
        <v>0</v>
      </c>
      <c r="CJ88" s="191">
        <f ca="1">IFERROR(__xludf.DUMMYFUNCTION("IMPORTRANGE(""https://docs.google.com/spreadsheets/d/18T20gbkS_WBjdscyTOV05cvq_JqvqQ17C81mpxf7Ncs/edit?usp=sharing"",""สุราษฎร์ธานี!L235"")"),0)</f>
        <v>0</v>
      </c>
      <c r="CK88" s="191">
        <f ca="1">IFERROR(__xludf.DUMMYFUNCTION("IMPORTRANGE(""https://docs.google.com/spreadsheets/d/18T20gbkS_WBjdscyTOV05cvq_JqvqQ17C81mpxf7Ncs/edit?usp=sharing"",""สุราษฎร์ธานี!N235"")"),0)</f>
        <v>0</v>
      </c>
      <c r="CL88" s="218">
        <f t="shared" ca="1" si="142"/>
        <v>0</v>
      </c>
      <c r="CM88" s="253">
        <f ca="1">IFERROR(__xludf.DUMMYFUNCTION("IMPORTRANGE(""https://docs.google.com/spreadsheets/d/18T20gbkS_WBjdscyTOV05cvq_JqvqQ17C81mpxf7Ncs/edit?usp=sharing"",""สุราษฎร์ธานี!Q235"")"),0)</f>
        <v>0</v>
      </c>
      <c r="CN88" s="253">
        <f ca="1">IFERROR(__xludf.DUMMYFUNCTION("IMPORTRANGE(""https://docs.google.com/spreadsheets/d/18T20gbkS_WBjdscyTOV05cvq_JqvqQ17C81mpxf7Ncs/edit?usp=sharing"",""สุราษฎร์ธานี!S235"")"),0)</f>
        <v>0</v>
      </c>
      <c r="CO88" s="218">
        <f t="shared" ca="1" si="144"/>
        <v>0</v>
      </c>
      <c r="CP88" s="191">
        <f ca="1">IFERROR(__xludf.DUMMYFUNCTION("IMPORTRANGE(""https://docs.google.com/spreadsheets/d/18T20gbkS_WBjdscyTOV05cvq_JqvqQ17C81mpxf7Ncs/edit?usp=sharing"",""สุราษฎร์ธานี!L236"")"),0)</f>
        <v>0</v>
      </c>
      <c r="CQ88" s="191">
        <f ca="1">IFERROR(__xludf.DUMMYFUNCTION("IMPORTRANGE(""https://docs.google.com/spreadsheets/d/18T20gbkS_WBjdscyTOV05cvq_JqvqQ17C81mpxf7Ncs/edit?usp=sharing"",""สุราษฎร์ธานี!N236"")"),0)</f>
        <v>0</v>
      </c>
      <c r="CR88" s="218">
        <f t="shared" ca="1" si="146"/>
        <v>0</v>
      </c>
      <c r="CS88" s="191">
        <f ca="1">IFERROR(__xludf.DUMMYFUNCTION("IMPORTRANGE(""https://docs.google.com/spreadsheets/d/18T20gbkS_WBjdscyTOV05cvq_JqvqQ17C81mpxf7Ncs/edit?usp=sharing"",""สุราษฎร์ธานี!I238"")"),0)</f>
        <v>0</v>
      </c>
      <c r="CT88" s="191">
        <f ca="1">IFERROR(__xludf.DUMMYFUNCTION("IMPORTRANGE(""https://docs.google.com/spreadsheets/d/18T20gbkS_WBjdscyTOV05cvq_JqvqQ17C81mpxf7Ncs/edit?usp=sharing"",""สุราษฎร์ธานี!J238"")"),0)</f>
        <v>0</v>
      </c>
      <c r="CU88" s="218">
        <f t="shared" ca="1" si="148"/>
        <v>0</v>
      </c>
      <c r="CV88" s="191">
        <f ca="1">IFERROR(__xludf.DUMMYFUNCTION("IMPORTRANGE(""https://docs.google.com/spreadsheets/d/18T20gbkS_WBjdscyTOV05cvq_JqvqQ17C81mpxf7Ncs/edit?usp=sharing"",""สุราษฎร์ธานี!J240"")"),0)</f>
        <v>0</v>
      </c>
      <c r="CW88" s="191">
        <f ca="1">IFERROR(__xludf.DUMMYFUNCTION("IMPORTRANGE(""https://docs.google.com/spreadsheets/d/18T20gbkS_WBjdscyTOV05cvq_JqvqQ17C81mpxf7Ncs/edit?usp=sharing"",""สุราษฎร์ธานี!J241"")"),0)</f>
        <v>0</v>
      </c>
    </row>
    <row r="89" spans="1:101" ht="21" customHeight="1" x14ac:dyDescent="0.3">
      <c r="A89" s="698" t="s">
        <v>117</v>
      </c>
      <c r="B89" s="662"/>
      <c r="C89" s="202">
        <f t="shared" ref="C89:T89" ca="1" si="235">SUM(C90:C106)</f>
        <v>4186900</v>
      </c>
      <c r="D89" s="202">
        <f t="shared" ca="1" si="235"/>
        <v>4186900</v>
      </c>
      <c r="E89" s="202">
        <f t="shared" ca="1" si="235"/>
        <v>962900</v>
      </c>
      <c r="F89" s="202">
        <f t="shared" ca="1" si="235"/>
        <v>3224000</v>
      </c>
      <c r="G89" s="202">
        <f t="shared" ca="1" si="235"/>
        <v>0</v>
      </c>
      <c r="H89" s="202">
        <f t="shared" ca="1" si="235"/>
        <v>2618203</v>
      </c>
      <c r="I89" s="202">
        <f t="shared" ca="1" si="235"/>
        <v>0</v>
      </c>
      <c r="J89" s="202">
        <f t="shared" ca="1" si="235"/>
        <v>1979564.17</v>
      </c>
      <c r="K89" s="254">
        <f t="shared" ca="1" si="235"/>
        <v>74.067516652630587</v>
      </c>
      <c r="L89" s="202">
        <f t="shared" ca="1" si="235"/>
        <v>1979564.17</v>
      </c>
      <c r="M89" s="254">
        <f t="shared" ca="1" si="235"/>
        <v>74.067516652630587</v>
      </c>
      <c r="N89" s="254">
        <f t="shared" ca="1" si="235"/>
        <v>174.63910455193644</v>
      </c>
      <c r="O89" s="202">
        <f t="shared" ca="1" si="235"/>
        <v>0</v>
      </c>
      <c r="P89" s="202">
        <f t="shared" ca="1" si="235"/>
        <v>0</v>
      </c>
      <c r="Q89" s="202">
        <f t="shared" ca="1" si="235"/>
        <v>0</v>
      </c>
      <c r="R89" s="202">
        <f t="shared" ca="1" si="235"/>
        <v>54000</v>
      </c>
      <c r="S89" s="202">
        <f t="shared" ca="1" si="235"/>
        <v>0</v>
      </c>
      <c r="T89" s="202">
        <f t="shared" ca="1" si="235"/>
        <v>0</v>
      </c>
      <c r="U89" s="202">
        <f t="shared" ca="1" si="99"/>
        <v>0</v>
      </c>
      <c r="V89" s="202">
        <f t="shared" ca="1" si="100"/>
        <v>0</v>
      </c>
      <c r="W89" s="169"/>
      <c r="X89" s="169"/>
      <c r="Y89" s="255"/>
      <c r="Z89" s="169"/>
      <c r="AA89" s="169"/>
      <c r="AB89" s="255"/>
      <c r="AC89" s="169"/>
      <c r="AD89" s="169"/>
      <c r="AE89" s="169"/>
      <c r="AF89" s="169"/>
      <c r="AG89" s="169"/>
      <c r="AH89" s="255"/>
      <c r="AI89" s="169"/>
      <c r="AJ89" s="169"/>
      <c r="AK89" s="255"/>
      <c r="AL89" s="255"/>
      <c r="AM89" s="255"/>
      <c r="AN89" s="255"/>
      <c r="AO89" s="169"/>
      <c r="AP89" s="169"/>
      <c r="AQ89" s="255"/>
      <c r="AR89" s="169"/>
      <c r="AS89" s="169"/>
      <c r="AT89" s="255"/>
      <c r="AU89" s="169"/>
      <c r="AV89" s="169"/>
      <c r="AW89" s="169"/>
      <c r="AX89" s="169"/>
      <c r="AY89" s="255"/>
      <c r="AZ89" s="169"/>
      <c r="BA89" s="169"/>
      <c r="BB89" s="255"/>
      <c r="BC89" s="169"/>
      <c r="BD89" s="169"/>
      <c r="BE89" s="255"/>
      <c r="BF89" s="255"/>
      <c r="BG89" s="255"/>
      <c r="BH89" s="255"/>
      <c r="BI89" s="169"/>
      <c r="BJ89" s="169"/>
      <c r="BK89" s="255"/>
      <c r="BL89" s="169"/>
      <c r="BM89" s="169"/>
      <c r="BN89" s="255"/>
      <c r="BO89" s="169"/>
      <c r="BP89" s="169"/>
      <c r="BQ89" s="255"/>
      <c r="BR89" s="169"/>
      <c r="BS89" s="169"/>
      <c r="BT89" s="255"/>
      <c r="BU89" s="169"/>
      <c r="BV89" s="169"/>
      <c r="BW89" s="255"/>
      <c r="BX89" s="169"/>
      <c r="BY89" s="169"/>
      <c r="BZ89" s="255"/>
      <c r="CA89" s="169"/>
      <c r="CB89" s="169"/>
      <c r="CC89" s="255"/>
      <c r="CD89" s="169"/>
      <c r="CE89" s="169"/>
      <c r="CF89" s="255"/>
      <c r="CG89" s="169"/>
      <c r="CH89" s="169"/>
      <c r="CI89" s="255"/>
      <c r="CJ89" s="169"/>
      <c r="CK89" s="169"/>
      <c r="CL89" s="255"/>
      <c r="CM89" s="256"/>
      <c r="CN89" s="256"/>
      <c r="CO89" s="255"/>
      <c r="CP89" s="169"/>
      <c r="CQ89" s="169"/>
      <c r="CR89" s="255"/>
      <c r="CS89" s="169"/>
      <c r="CT89" s="169"/>
      <c r="CU89" s="255"/>
      <c r="CV89" s="169"/>
      <c r="CW89" s="169"/>
    </row>
    <row r="90" spans="1:101" ht="24" customHeight="1" x14ac:dyDescent="0.3">
      <c r="A90" s="257"/>
      <c r="B90" s="258" t="s">
        <v>118</v>
      </c>
      <c r="C90" s="149">
        <f t="shared" ref="C90:C108" ca="1" si="236">D90+G90</f>
        <v>0</v>
      </c>
      <c r="D90" s="150">
        <f t="shared" ref="D90:D108" ca="1" si="237">+E90+F90</f>
        <v>0</v>
      </c>
      <c r="E90" s="151">
        <f ca="1">IFERROR(__xludf.DUMMYFUNCTION("IMPORTRANGE(""https://docs.google.com/spreadsheets/d/1-uDff_7J0KD5mKrp0Vvzr7lt3OU09vwQwhkpOPPYv2Y/edit?usp=sharing"",""งบพรบ!CV90"")"),0)</f>
        <v>0</v>
      </c>
      <c r="F90" s="151">
        <f ca="1">IFERROR(__xludf.DUMMYFUNCTION("IMPORTRANGE(""https://docs.google.com/spreadsheets/d/1-uDff_7J0KD5mKrp0Vvzr7lt3OU09vwQwhkpOPPYv2Y/edit?usp=sharing"",""งบพรบ!CW90"")"),0)</f>
        <v>0</v>
      </c>
      <c r="G90" s="151">
        <f ca="1">IFERROR(__xludf.DUMMYFUNCTION("IMPORTRANGE(""https://docs.google.com/spreadsheets/d/1-uDff_7J0KD5mKrp0Vvzr7lt3OU09vwQwhkpOPPYv2Y/edit?usp=sharing"",""งบพรบ!CX90"")"),0)</f>
        <v>0</v>
      </c>
      <c r="H90" s="151">
        <f ca="1">IFERROR(__xludf.DUMMYFUNCTION("IMPORTRANGE(""https://docs.google.com/spreadsheets/d/1-uDff_7J0KD5mKrp0Vvzr7lt3OU09vwQwhkpOPPYv2Y/edit?usp=sharing"",""งบพรบ!CZ90"")"),0)</f>
        <v>0</v>
      </c>
      <c r="I90" s="151">
        <f ca="1">IFERROR(__xludf.DUMMYFUNCTION("IMPORTRANGE(""https://docs.google.com/spreadsheets/d/1-uDff_7J0KD5mKrp0Vvzr7lt3OU09vwQwhkpOPPYv2Y/edit?usp=sharing"",""งบพรบ!DA90"")"),0)</f>
        <v>0</v>
      </c>
      <c r="J90" s="151">
        <f t="shared" ref="J90:J108" ca="1" si="238">L90+O90</f>
        <v>0</v>
      </c>
      <c r="K90" s="154">
        <f t="shared" ref="K90:K108" ca="1" si="239">IF(C90&gt;0,J90*100/C90,0)</f>
        <v>0</v>
      </c>
      <c r="L90" s="151">
        <f ca="1">IFERROR(__xludf.DUMMYFUNCTION("IMPORTRANGE(""https://docs.google.com/spreadsheets/d/1-uDff_7J0KD5mKrp0Vvzr7lt3OU09vwQwhkpOPPYv2Y/edit?usp=sharing"",""งบพรบ!DB90"")"),0)</f>
        <v>0</v>
      </c>
      <c r="M90" s="68">
        <f t="shared" ref="M90:M108" ca="1" si="240">IF(D90&gt;0,L90*100/D90,0)</f>
        <v>0</v>
      </c>
      <c r="N90" s="68">
        <f t="shared" ref="N90:N108" ca="1" si="241">IF(H90&gt;0,L90*100/H90,0)</f>
        <v>0</v>
      </c>
      <c r="O90" s="67">
        <f ca="1">IFERROR(__xludf.DUMMYFUNCTION("IMPORTRANGE(""https://docs.google.com/spreadsheets/d/1-uDff_7J0KD5mKrp0Vvzr7lt3OU09vwQwhkpOPPYv2Y/edit?usp=sharing"",""งบพรบ!DC90"")"),0)</f>
        <v>0</v>
      </c>
      <c r="P90" s="67">
        <f t="shared" ref="P90:P108" ca="1" si="242">IF(G90&gt;0,O90*100/G90,0)</f>
        <v>0</v>
      </c>
      <c r="Q90" s="68">
        <f t="shared" ref="Q90:Q108" ca="1" si="243">IF(I90&gt;0,O90*100/I90,0)</f>
        <v>0</v>
      </c>
      <c r="R90" s="67">
        <v>0</v>
      </c>
      <c r="S90" s="67">
        <v>0</v>
      </c>
      <c r="T90" s="67">
        <v>0</v>
      </c>
      <c r="U90" s="68">
        <f t="shared" si="99"/>
        <v>0</v>
      </c>
      <c r="V90" s="68">
        <f t="shared" si="100"/>
        <v>0</v>
      </c>
      <c r="W90" s="220"/>
      <c r="X90" s="220"/>
      <c r="Y90" s="259"/>
      <c r="Z90" s="220"/>
      <c r="AA90" s="220"/>
      <c r="AB90" s="259"/>
      <c r="AC90" s="220"/>
      <c r="AD90" s="220"/>
      <c r="AE90" s="220"/>
      <c r="AF90" s="220"/>
      <c r="AG90" s="220"/>
      <c r="AH90" s="259"/>
      <c r="AI90" s="220"/>
      <c r="AJ90" s="220"/>
      <c r="AK90" s="259"/>
      <c r="AL90" s="259"/>
      <c r="AM90" s="259"/>
      <c r="AN90" s="259"/>
      <c r="AO90" s="220"/>
      <c r="AP90" s="220"/>
      <c r="AQ90" s="259"/>
      <c r="AR90" s="220"/>
      <c r="AS90" s="220"/>
      <c r="AT90" s="259"/>
      <c r="AU90" s="220"/>
      <c r="AV90" s="220"/>
      <c r="AW90" s="220"/>
      <c r="AX90" s="220"/>
      <c r="AY90" s="259"/>
      <c r="AZ90" s="220"/>
      <c r="BA90" s="220"/>
      <c r="BB90" s="259"/>
      <c r="BC90" s="220"/>
      <c r="BD90" s="220"/>
      <c r="BE90" s="259"/>
      <c r="BF90" s="259"/>
      <c r="BG90" s="259"/>
      <c r="BH90" s="259"/>
      <c r="BI90" s="220"/>
      <c r="BJ90" s="220"/>
      <c r="BK90" s="259"/>
      <c r="BL90" s="220"/>
      <c r="BM90" s="220"/>
      <c r="BN90" s="259"/>
      <c r="BO90" s="220"/>
      <c r="BP90" s="220"/>
      <c r="BQ90" s="259"/>
      <c r="BR90" s="220"/>
      <c r="BS90" s="220"/>
      <c r="BT90" s="259"/>
      <c r="BU90" s="220"/>
      <c r="BV90" s="220"/>
      <c r="BW90" s="259"/>
      <c r="BX90" s="220"/>
      <c r="BY90" s="220"/>
      <c r="BZ90" s="259"/>
      <c r="CA90" s="220"/>
      <c r="CB90" s="220"/>
      <c r="CC90" s="259"/>
      <c r="CD90" s="220"/>
      <c r="CE90" s="220"/>
      <c r="CF90" s="259"/>
      <c r="CG90" s="220"/>
      <c r="CH90" s="220"/>
      <c r="CI90" s="259"/>
      <c r="CJ90" s="220"/>
      <c r="CK90" s="220"/>
      <c r="CL90" s="259"/>
      <c r="CM90" s="260"/>
      <c r="CN90" s="260"/>
      <c r="CO90" s="259"/>
      <c r="CP90" s="220"/>
      <c r="CQ90" s="220"/>
      <c r="CR90" s="259"/>
      <c r="CS90" s="220"/>
      <c r="CT90" s="220"/>
      <c r="CU90" s="259"/>
      <c r="CV90" s="220"/>
      <c r="CW90" s="220"/>
    </row>
    <row r="91" spans="1:101" ht="24" customHeight="1" x14ac:dyDescent="0.3">
      <c r="A91" s="257"/>
      <c r="B91" s="258" t="s">
        <v>119</v>
      </c>
      <c r="C91" s="149">
        <f t="shared" ca="1" si="236"/>
        <v>0</v>
      </c>
      <c r="D91" s="150">
        <f t="shared" ca="1" si="237"/>
        <v>0</v>
      </c>
      <c r="E91" s="151">
        <f ca="1">IFERROR(__xludf.DUMMYFUNCTION("IMPORTRANGE(""https://docs.google.com/spreadsheets/d/1-uDff_7J0KD5mKrp0Vvzr7lt3OU09vwQwhkpOPPYv2Y/edit?usp=sharing"",""งบพรบ!CV91"")"),0)</f>
        <v>0</v>
      </c>
      <c r="F91" s="151">
        <f ca="1">IFERROR(__xludf.DUMMYFUNCTION("IMPORTRANGE(""https://docs.google.com/spreadsheets/d/1-uDff_7J0KD5mKrp0Vvzr7lt3OU09vwQwhkpOPPYv2Y/edit?usp=sharing"",""งบพรบ!CW91"")"),0)</f>
        <v>0</v>
      </c>
      <c r="G91" s="151">
        <f ca="1">IFERROR(__xludf.DUMMYFUNCTION("IMPORTRANGE(""https://docs.google.com/spreadsheets/d/1-uDff_7J0KD5mKrp0Vvzr7lt3OU09vwQwhkpOPPYv2Y/edit?usp=sharing"",""งบพรบ!CX91"")"),0)</f>
        <v>0</v>
      </c>
      <c r="H91" s="151">
        <f ca="1">IFERROR(__xludf.DUMMYFUNCTION("IMPORTRANGE(""https://docs.google.com/spreadsheets/d/1-uDff_7J0KD5mKrp0Vvzr7lt3OU09vwQwhkpOPPYv2Y/edit?usp=sharing"",""งบพรบ!CZ91"")"),0)</f>
        <v>0</v>
      </c>
      <c r="I91" s="151">
        <f ca="1">IFERROR(__xludf.DUMMYFUNCTION("IMPORTRANGE(""https://docs.google.com/spreadsheets/d/1-uDff_7J0KD5mKrp0Vvzr7lt3OU09vwQwhkpOPPYv2Y/edit?usp=sharing"",""งบพรบ!DA91"")"),0)</f>
        <v>0</v>
      </c>
      <c r="J91" s="151">
        <f t="shared" ca="1" si="238"/>
        <v>0</v>
      </c>
      <c r="K91" s="154">
        <f t="shared" ca="1" si="239"/>
        <v>0</v>
      </c>
      <c r="L91" s="151">
        <f ca="1">IFERROR(__xludf.DUMMYFUNCTION("IMPORTRANGE(""https://docs.google.com/spreadsheets/d/1-uDff_7J0KD5mKrp0Vvzr7lt3OU09vwQwhkpOPPYv2Y/edit?usp=sharing"",""งบพรบ!DB91"")"),0)</f>
        <v>0</v>
      </c>
      <c r="M91" s="68">
        <f t="shared" ca="1" si="240"/>
        <v>0</v>
      </c>
      <c r="N91" s="68">
        <f t="shared" ca="1" si="241"/>
        <v>0</v>
      </c>
      <c r="O91" s="67">
        <f ca="1">IFERROR(__xludf.DUMMYFUNCTION("IMPORTRANGE(""https://docs.google.com/spreadsheets/d/1-uDff_7J0KD5mKrp0Vvzr7lt3OU09vwQwhkpOPPYv2Y/edit?usp=sharing"",""งบพรบ!DC91"")"),0)</f>
        <v>0</v>
      </c>
      <c r="P91" s="67">
        <f t="shared" ca="1" si="242"/>
        <v>0</v>
      </c>
      <c r="Q91" s="68">
        <f t="shared" ca="1" si="243"/>
        <v>0</v>
      </c>
      <c r="R91" s="67">
        <v>0</v>
      </c>
      <c r="S91" s="67">
        <v>0</v>
      </c>
      <c r="T91" s="67">
        <v>0</v>
      </c>
      <c r="U91" s="68">
        <f t="shared" si="99"/>
        <v>0</v>
      </c>
      <c r="V91" s="68">
        <f t="shared" si="100"/>
        <v>0</v>
      </c>
      <c r="W91" s="220"/>
      <c r="X91" s="220"/>
      <c r="Y91" s="259"/>
      <c r="Z91" s="220"/>
      <c r="AA91" s="220"/>
      <c r="AB91" s="259"/>
      <c r="AC91" s="220"/>
      <c r="AD91" s="220"/>
      <c r="AE91" s="220"/>
      <c r="AF91" s="220"/>
      <c r="AG91" s="220"/>
      <c r="AH91" s="259"/>
      <c r="AI91" s="220"/>
      <c r="AJ91" s="220"/>
      <c r="AK91" s="259"/>
      <c r="AL91" s="259"/>
      <c r="AM91" s="259"/>
      <c r="AN91" s="259"/>
      <c r="AO91" s="220"/>
      <c r="AP91" s="220"/>
      <c r="AQ91" s="259"/>
      <c r="AR91" s="220"/>
      <c r="AS91" s="220"/>
      <c r="AT91" s="259"/>
      <c r="AU91" s="220"/>
      <c r="AV91" s="220"/>
      <c r="AW91" s="220"/>
      <c r="AX91" s="220"/>
      <c r="AY91" s="259"/>
      <c r="AZ91" s="220"/>
      <c r="BA91" s="220"/>
      <c r="BB91" s="259"/>
      <c r="BC91" s="220"/>
      <c r="BD91" s="220"/>
      <c r="BE91" s="259"/>
      <c r="BF91" s="259"/>
      <c r="BG91" s="259"/>
      <c r="BH91" s="259"/>
      <c r="BI91" s="220"/>
      <c r="BJ91" s="220"/>
      <c r="BK91" s="259"/>
      <c r="BL91" s="220"/>
      <c r="BM91" s="220"/>
      <c r="BN91" s="259"/>
      <c r="BO91" s="220"/>
      <c r="BP91" s="220"/>
      <c r="BQ91" s="259"/>
      <c r="BR91" s="220"/>
      <c r="BS91" s="220"/>
      <c r="BT91" s="259"/>
      <c r="BU91" s="220"/>
      <c r="BV91" s="220"/>
      <c r="BW91" s="259"/>
      <c r="BX91" s="220"/>
      <c r="BY91" s="220"/>
      <c r="BZ91" s="259"/>
      <c r="CA91" s="220"/>
      <c r="CB91" s="220"/>
      <c r="CC91" s="259"/>
      <c r="CD91" s="220"/>
      <c r="CE91" s="220"/>
      <c r="CF91" s="259"/>
      <c r="CG91" s="220"/>
      <c r="CH91" s="220"/>
      <c r="CI91" s="259"/>
      <c r="CJ91" s="220"/>
      <c r="CK91" s="220"/>
      <c r="CL91" s="259"/>
      <c r="CM91" s="260"/>
      <c r="CN91" s="260"/>
      <c r="CO91" s="259"/>
      <c r="CP91" s="220"/>
      <c r="CQ91" s="220"/>
      <c r="CR91" s="259"/>
      <c r="CS91" s="220"/>
      <c r="CT91" s="220"/>
      <c r="CU91" s="259"/>
      <c r="CV91" s="220"/>
      <c r="CW91" s="220"/>
    </row>
    <row r="92" spans="1:101" ht="24" customHeight="1" x14ac:dyDescent="0.3">
      <c r="A92" s="257"/>
      <c r="B92" s="258" t="s">
        <v>120</v>
      </c>
      <c r="C92" s="149">
        <f t="shared" ca="1" si="236"/>
        <v>0</v>
      </c>
      <c r="D92" s="150">
        <f t="shared" ca="1" si="237"/>
        <v>0</v>
      </c>
      <c r="E92" s="151">
        <f ca="1">IFERROR(__xludf.DUMMYFUNCTION("IMPORTRANGE(""https://docs.google.com/spreadsheets/d/1-uDff_7J0KD5mKrp0Vvzr7lt3OU09vwQwhkpOPPYv2Y/edit?usp=sharing"",""งบพรบ!CV92"")"),0)</f>
        <v>0</v>
      </c>
      <c r="F92" s="151">
        <f ca="1">IFERROR(__xludf.DUMMYFUNCTION("IMPORTRANGE(""https://docs.google.com/spreadsheets/d/1-uDff_7J0KD5mKrp0Vvzr7lt3OU09vwQwhkpOPPYv2Y/edit?usp=sharing"",""งบพรบ!CW92"")"),0)</f>
        <v>0</v>
      </c>
      <c r="G92" s="151">
        <f ca="1">IFERROR(__xludf.DUMMYFUNCTION("IMPORTRANGE(""https://docs.google.com/spreadsheets/d/1-uDff_7J0KD5mKrp0Vvzr7lt3OU09vwQwhkpOPPYv2Y/edit?usp=sharing"",""งบพรบ!CX92"")"),0)</f>
        <v>0</v>
      </c>
      <c r="H92" s="151">
        <f ca="1">IFERROR(__xludf.DUMMYFUNCTION("IMPORTRANGE(""https://docs.google.com/spreadsheets/d/1-uDff_7J0KD5mKrp0Vvzr7lt3OU09vwQwhkpOPPYv2Y/edit?usp=sharing"",""งบพรบ!CZ92"")"),0)</f>
        <v>0</v>
      </c>
      <c r="I92" s="151">
        <f ca="1">IFERROR(__xludf.DUMMYFUNCTION("IMPORTRANGE(""https://docs.google.com/spreadsheets/d/1-uDff_7J0KD5mKrp0Vvzr7lt3OU09vwQwhkpOPPYv2Y/edit?usp=sharing"",""งบพรบ!DA92"")"),0)</f>
        <v>0</v>
      </c>
      <c r="J92" s="151">
        <f t="shared" ca="1" si="238"/>
        <v>0</v>
      </c>
      <c r="K92" s="154">
        <f t="shared" ca="1" si="239"/>
        <v>0</v>
      </c>
      <c r="L92" s="151">
        <f ca="1">IFERROR(__xludf.DUMMYFUNCTION("IMPORTRANGE(""https://docs.google.com/spreadsheets/d/1-uDff_7J0KD5mKrp0Vvzr7lt3OU09vwQwhkpOPPYv2Y/edit?usp=sharing"",""งบพรบ!DB92"")"),0)</f>
        <v>0</v>
      </c>
      <c r="M92" s="68">
        <f t="shared" ca="1" si="240"/>
        <v>0</v>
      </c>
      <c r="N92" s="68">
        <f t="shared" ca="1" si="241"/>
        <v>0</v>
      </c>
      <c r="O92" s="67">
        <f ca="1">IFERROR(__xludf.DUMMYFUNCTION("IMPORTRANGE(""https://docs.google.com/spreadsheets/d/1-uDff_7J0KD5mKrp0Vvzr7lt3OU09vwQwhkpOPPYv2Y/edit?usp=sharing"",""งบพรบ!DC92"")"),0)</f>
        <v>0</v>
      </c>
      <c r="P92" s="67">
        <f t="shared" ca="1" si="242"/>
        <v>0</v>
      </c>
      <c r="Q92" s="68">
        <f t="shared" ca="1" si="243"/>
        <v>0</v>
      </c>
      <c r="R92" s="67">
        <v>0</v>
      </c>
      <c r="S92" s="67">
        <v>0</v>
      </c>
      <c r="T92" s="67">
        <v>0</v>
      </c>
      <c r="U92" s="68">
        <f t="shared" si="99"/>
        <v>0</v>
      </c>
      <c r="V92" s="68">
        <f t="shared" si="100"/>
        <v>0</v>
      </c>
      <c r="W92" s="220"/>
      <c r="X92" s="220"/>
      <c r="Y92" s="259"/>
      <c r="Z92" s="220"/>
      <c r="AA92" s="220"/>
      <c r="AB92" s="259"/>
      <c r="AC92" s="220"/>
      <c r="AD92" s="220"/>
      <c r="AE92" s="220"/>
      <c r="AF92" s="220"/>
      <c r="AG92" s="220"/>
      <c r="AH92" s="259"/>
      <c r="AI92" s="220"/>
      <c r="AJ92" s="220"/>
      <c r="AK92" s="259"/>
      <c r="AL92" s="259"/>
      <c r="AM92" s="259"/>
      <c r="AN92" s="259"/>
      <c r="AO92" s="220"/>
      <c r="AP92" s="220"/>
      <c r="AQ92" s="259"/>
      <c r="AR92" s="220"/>
      <c r="AS92" s="220"/>
      <c r="AT92" s="259"/>
      <c r="AU92" s="220"/>
      <c r="AV92" s="220"/>
      <c r="AW92" s="220"/>
      <c r="AX92" s="220"/>
      <c r="AY92" s="259"/>
      <c r="AZ92" s="220"/>
      <c r="BA92" s="220"/>
      <c r="BB92" s="259"/>
      <c r="BC92" s="220"/>
      <c r="BD92" s="220"/>
      <c r="BE92" s="259"/>
      <c r="BF92" s="259"/>
      <c r="BG92" s="259"/>
      <c r="BH92" s="259"/>
      <c r="BI92" s="220"/>
      <c r="BJ92" s="220"/>
      <c r="BK92" s="259"/>
      <c r="BL92" s="220"/>
      <c r="BM92" s="220"/>
      <c r="BN92" s="259"/>
      <c r="BO92" s="220"/>
      <c r="BP92" s="220"/>
      <c r="BQ92" s="259"/>
      <c r="BR92" s="220"/>
      <c r="BS92" s="220"/>
      <c r="BT92" s="259"/>
      <c r="BU92" s="220"/>
      <c r="BV92" s="220"/>
      <c r="BW92" s="259"/>
      <c r="BX92" s="220"/>
      <c r="BY92" s="220"/>
      <c r="BZ92" s="259"/>
      <c r="CA92" s="220"/>
      <c r="CB92" s="220"/>
      <c r="CC92" s="259"/>
      <c r="CD92" s="220"/>
      <c r="CE92" s="220"/>
      <c r="CF92" s="259"/>
      <c r="CG92" s="220"/>
      <c r="CH92" s="220"/>
      <c r="CI92" s="259"/>
      <c r="CJ92" s="220"/>
      <c r="CK92" s="220"/>
      <c r="CL92" s="259"/>
      <c r="CM92" s="260"/>
      <c r="CN92" s="260"/>
      <c r="CO92" s="259"/>
      <c r="CP92" s="220"/>
      <c r="CQ92" s="220"/>
      <c r="CR92" s="259"/>
      <c r="CS92" s="220"/>
      <c r="CT92" s="220"/>
      <c r="CU92" s="259"/>
      <c r="CV92" s="220"/>
      <c r="CW92" s="220"/>
    </row>
    <row r="93" spans="1:101" ht="24" customHeight="1" x14ac:dyDescent="0.3">
      <c r="A93" s="257"/>
      <c r="B93" s="258" t="s">
        <v>121</v>
      </c>
      <c r="C93" s="149">
        <f t="shared" ca="1" si="236"/>
        <v>0</v>
      </c>
      <c r="D93" s="150">
        <f t="shared" ca="1" si="237"/>
        <v>0</v>
      </c>
      <c r="E93" s="151">
        <f ca="1">IFERROR(__xludf.DUMMYFUNCTION("IMPORTRANGE(""https://docs.google.com/spreadsheets/d/1-uDff_7J0KD5mKrp0Vvzr7lt3OU09vwQwhkpOPPYv2Y/edit?usp=sharing"",""งบพรบ!CV93"")"),0)</f>
        <v>0</v>
      </c>
      <c r="F93" s="151">
        <f ca="1">IFERROR(__xludf.DUMMYFUNCTION("IMPORTRANGE(""https://docs.google.com/spreadsheets/d/1-uDff_7J0KD5mKrp0Vvzr7lt3OU09vwQwhkpOPPYv2Y/edit?usp=sharing"",""งบพรบ!CW93"")"),0)</f>
        <v>0</v>
      </c>
      <c r="G93" s="151">
        <f ca="1">IFERROR(__xludf.DUMMYFUNCTION("IMPORTRANGE(""https://docs.google.com/spreadsheets/d/1-uDff_7J0KD5mKrp0Vvzr7lt3OU09vwQwhkpOPPYv2Y/edit?usp=sharing"",""งบพรบ!CX93"")"),0)</f>
        <v>0</v>
      </c>
      <c r="H93" s="151">
        <f ca="1">IFERROR(__xludf.DUMMYFUNCTION("IMPORTRANGE(""https://docs.google.com/spreadsheets/d/1-uDff_7J0KD5mKrp0Vvzr7lt3OU09vwQwhkpOPPYv2Y/edit?usp=sharing"",""งบพรบ!CZ93"")"),0)</f>
        <v>0</v>
      </c>
      <c r="I93" s="151">
        <f ca="1">IFERROR(__xludf.DUMMYFUNCTION("IMPORTRANGE(""https://docs.google.com/spreadsheets/d/1-uDff_7J0KD5mKrp0Vvzr7lt3OU09vwQwhkpOPPYv2Y/edit?usp=sharing"",""งบพรบ!DA93"")"),0)</f>
        <v>0</v>
      </c>
      <c r="J93" s="151">
        <f t="shared" ca="1" si="238"/>
        <v>0</v>
      </c>
      <c r="K93" s="154">
        <f t="shared" ca="1" si="239"/>
        <v>0</v>
      </c>
      <c r="L93" s="151">
        <f ca="1">IFERROR(__xludf.DUMMYFUNCTION("IMPORTRANGE(""https://docs.google.com/spreadsheets/d/1-uDff_7J0KD5mKrp0Vvzr7lt3OU09vwQwhkpOPPYv2Y/edit?usp=sharing"",""งบพรบ!DB93"")"),0)</f>
        <v>0</v>
      </c>
      <c r="M93" s="68">
        <f t="shared" ca="1" si="240"/>
        <v>0</v>
      </c>
      <c r="N93" s="68">
        <f t="shared" ca="1" si="241"/>
        <v>0</v>
      </c>
      <c r="O93" s="67">
        <f ca="1">IFERROR(__xludf.DUMMYFUNCTION("IMPORTRANGE(""https://docs.google.com/spreadsheets/d/1-uDff_7J0KD5mKrp0Vvzr7lt3OU09vwQwhkpOPPYv2Y/edit?usp=sharing"",""งบพรบ!DC93"")"),0)</f>
        <v>0</v>
      </c>
      <c r="P93" s="67">
        <f t="shared" ca="1" si="242"/>
        <v>0</v>
      </c>
      <c r="Q93" s="68">
        <f t="shared" ca="1" si="243"/>
        <v>0</v>
      </c>
      <c r="R93" s="67">
        <v>0</v>
      </c>
      <c r="S93" s="67">
        <v>0</v>
      </c>
      <c r="T93" s="67">
        <v>0</v>
      </c>
      <c r="U93" s="68">
        <f t="shared" si="99"/>
        <v>0</v>
      </c>
      <c r="V93" s="68">
        <f t="shared" si="100"/>
        <v>0</v>
      </c>
      <c r="W93" s="220"/>
      <c r="X93" s="220"/>
      <c r="Y93" s="259"/>
      <c r="Z93" s="220"/>
      <c r="AA93" s="220"/>
      <c r="AB93" s="259"/>
      <c r="AC93" s="220"/>
      <c r="AD93" s="220"/>
      <c r="AE93" s="220"/>
      <c r="AF93" s="220"/>
      <c r="AG93" s="220"/>
      <c r="AH93" s="259"/>
      <c r="AI93" s="220"/>
      <c r="AJ93" s="220"/>
      <c r="AK93" s="259"/>
      <c r="AL93" s="259"/>
      <c r="AM93" s="259"/>
      <c r="AN93" s="259"/>
      <c r="AO93" s="220"/>
      <c r="AP93" s="220"/>
      <c r="AQ93" s="259"/>
      <c r="AR93" s="220"/>
      <c r="AS93" s="220"/>
      <c r="AT93" s="259"/>
      <c r="AU93" s="220"/>
      <c r="AV93" s="220"/>
      <c r="AW93" s="220"/>
      <c r="AX93" s="220"/>
      <c r="AY93" s="259"/>
      <c r="AZ93" s="220"/>
      <c r="BA93" s="220"/>
      <c r="BB93" s="259"/>
      <c r="BC93" s="220"/>
      <c r="BD93" s="220"/>
      <c r="BE93" s="259"/>
      <c r="BF93" s="259"/>
      <c r="BG93" s="259"/>
      <c r="BH93" s="259"/>
      <c r="BI93" s="220"/>
      <c r="BJ93" s="220"/>
      <c r="BK93" s="259"/>
      <c r="BL93" s="220"/>
      <c r="BM93" s="220"/>
      <c r="BN93" s="259"/>
      <c r="BO93" s="220"/>
      <c r="BP93" s="220"/>
      <c r="BQ93" s="259"/>
      <c r="BR93" s="220"/>
      <c r="BS93" s="220"/>
      <c r="BT93" s="259"/>
      <c r="BU93" s="220"/>
      <c r="BV93" s="220"/>
      <c r="BW93" s="259"/>
      <c r="BX93" s="220"/>
      <c r="BY93" s="220"/>
      <c r="BZ93" s="259"/>
      <c r="CA93" s="220"/>
      <c r="CB93" s="220"/>
      <c r="CC93" s="259"/>
      <c r="CD93" s="220"/>
      <c r="CE93" s="220"/>
      <c r="CF93" s="259"/>
      <c r="CG93" s="220"/>
      <c r="CH93" s="220"/>
      <c r="CI93" s="259"/>
      <c r="CJ93" s="220"/>
      <c r="CK93" s="220"/>
      <c r="CL93" s="259"/>
      <c r="CM93" s="260"/>
      <c r="CN93" s="260"/>
      <c r="CO93" s="259"/>
      <c r="CP93" s="220"/>
      <c r="CQ93" s="220"/>
      <c r="CR93" s="259"/>
      <c r="CS93" s="220"/>
      <c r="CT93" s="220"/>
      <c r="CU93" s="259"/>
      <c r="CV93" s="220"/>
      <c r="CW93" s="220"/>
    </row>
    <row r="94" spans="1:101" ht="24" customHeight="1" x14ac:dyDescent="0.3">
      <c r="A94" s="257"/>
      <c r="B94" s="258" t="s">
        <v>122</v>
      </c>
      <c r="C94" s="149">
        <f t="shared" ca="1" si="236"/>
        <v>0</v>
      </c>
      <c r="D94" s="150">
        <f t="shared" ca="1" si="237"/>
        <v>0</v>
      </c>
      <c r="E94" s="151">
        <f ca="1">IFERROR(__xludf.DUMMYFUNCTION("IMPORTRANGE(""https://docs.google.com/spreadsheets/d/1-uDff_7J0KD5mKrp0Vvzr7lt3OU09vwQwhkpOPPYv2Y/edit?usp=sharing"",""งบพรบ!CV94"")"),0)</f>
        <v>0</v>
      </c>
      <c r="F94" s="151">
        <f ca="1">IFERROR(__xludf.DUMMYFUNCTION("IMPORTRANGE(""https://docs.google.com/spreadsheets/d/1-uDff_7J0KD5mKrp0Vvzr7lt3OU09vwQwhkpOPPYv2Y/edit?usp=sharing"",""งบพรบ!CW94"")"),0)</f>
        <v>0</v>
      </c>
      <c r="G94" s="151">
        <f ca="1">IFERROR(__xludf.DUMMYFUNCTION("IMPORTRANGE(""https://docs.google.com/spreadsheets/d/1-uDff_7J0KD5mKrp0Vvzr7lt3OU09vwQwhkpOPPYv2Y/edit?usp=sharing"",""งบพรบ!CX94"")"),0)</f>
        <v>0</v>
      </c>
      <c r="H94" s="151">
        <f ca="1">IFERROR(__xludf.DUMMYFUNCTION("IMPORTRANGE(""https://docs.google.com/spreadsheets/d/1-uDff_7J0KD5mKrp0Vvzr7lt3OU09vwQwhkpOPPYv2Y/edit?usp=sharing"",""งบพรบ!CZ94"")"),0)</f>
        <v>0</v>
      </c>
      <c r="I94" s="151">
        <f ca="1">IFERROR(__xludf.DUMMYFUNCTION("IMPORTRANGE(""https://docs.google.com/spreadsheets/d/1-uDff_7J0KD5mKrp0Vvzr7lt3OU09vwQwhkpOPPYv2Y/edit?usp=sharing"",""งบพรบ!DA94"")"),0)</f>
        <v>0</v>
      </c>
      <c r="J94" s="151">
        <f t="shared" ca="1" si="238"/>
        <v>0</v>
      </c>
      <c r="K94" s="154">
        <f t="shared" ca="1" si="239"/>
        <v>0</v>
      </c>
      <c r="L94" s="151">
        <f ca="1">IFERROR(__xludf.DUMMYFUNCTION("IMPORTRANGE(""https://docs.google.com/spreadsheets/d/1-uDff_7J0KD5mKrp0Vvzr7lt3OU09vwQwhkpOPPYv2Y/edit?usp=sharing"",""งบพรบ!DB94"")"),0)</f>
        <v>0</v>
      </c>
      <c r="M94" s="68">
        <f t="shared" ca="1" si="240"/>
        <v>0</v>
      </c>
      <c r="N94" s="68">
        <f t="shared" ca="1" si="241"/>
        <v>0</v>
      </c>
      <c r="O94" s="67">
        <f ca="1">IFERROR(__xludf.DUMMYFUNCTION("IMPORTRANGE(""https://docs.google.com/spreadsheets/d/1-uDff_7J0KD5mKrp0Vvzr7lt3OU09vwQwhkpOPPYv2Y/edit?usp=sharing"",""งบพรบ!DC94"")"),0)</f>
        <v>0</v>
      </c>
      <c r="P94" s="67">
        <f t="shared" ca="1" si="242"/>
        <v>0</v>
      </c>
      <c r="Q94" s="68">
        <f t="shared" ca="1" si="243"/>
        <v>0</v>
      </c>
      <c r="R94" s="67">
        <v>0</v>
      </c>
      <c r="S94" s="67">
        <v>0</v>
      </c>
      <c r="T94" s="67">
        <v>0</v>
      </c>
      <c r="U94" s="68">
        <f t="shared" si="99"/>
        <v>0</v>
      </c>
      <c r="V94" s="68">
        <f t="shared" si="100"/>
        <v>0</v>
      </c>
      <c r="W94" s="220"/>
      <c r="X94" s="220"/>
      <c r="Y94" s="259"/>
      <c r="Z94" s="220"/>
      <c r="AA94" s="220"/>
      <c r="AB94" s="259"/>
      <c r="AC94" s="220"/>
      <c r="AD94" s="220"/>
      <c r="AE94" s="220"/>
      <c r="AF94" s="220"/>
      <c r="AG94" s="220"/>
      <c r="AH94" s="259"/>
      <c r="AI94" s="220"/>
      <c r="AJ94" s="220"/>
      <c r="AK94" s="259"/>
      <c r="AL94" s="259"/>
      <c r="AM94" s="259"/>
      <c r="AN94" s="259"/>
      <c r="AO94" s="220"/>
      <c r="AP94" s="220"/>
      <c r="AQ94" s="259"/>
      <c r="AR94" s="220"/>
      <c r="AS94" s="220"/>
      <c r="AT94" s="259"/>
      <c r="AU94" s="220"/>
      <c r="AV94" s="220"/>
      <c r="AW94" s="220"/>
      <c r="AX94" s="220"/>
      <c r="AY94" s="259"/>
      <c r="AZ94" s="220"/>
      <c r="BA94" s="220"/>
      <c r="BB94" s="259"/>
      <c r="BC94" s="220"/>
      <c r="BD94" s="220"/>
      <c r="BE94" s="259"/>
      <c r="BF94" s="259"/>
      <c r="BG94" s="259"/>
      <c r="BH94" s="259"/>
      <c r="BI94" s="220"/>
      <c r="BJ94" s="220"/>
      <c r="BK94" s="259"/>
      <c r="BL94" s="220"/>
      <c r="BM94" s="220"/>
      <c r="BN94" s="259"/>
      <c r="BO94" s="220"/>
      <c r="BP94" s="220"/>
      <c r="BQ94" s="259"/>
      <c r="BR94" s="220"/>
      <c r="BS94" s="220"/>
      <c r="BT94" s="259"/>
      <c r="BU94" s="220"/>
      <c r="BV94" s="220"/>
      <c r="BW94" s="259"/>
      <c r="BX94" s="220"/>
      <c r="BY94" s="220"/>
      <c r="BZ94" s="259"/>
      <c r="CA94" s="220"/>
      <c r="CB94" s="220"/>
      <c r="CC94" s="259"/>
      <c r="CD94" s="220"/>
      <c r="CE94" s="220"/>
      <c r="CF94" s="259"/>
      <c r="CG94" s="220"/>
      <c r="CH94" s="220"/>
      <c r="CI94" s="259"/>
      <c r="CJ94" s="220"/>
      <c r="CK94" s="220"/>
      <c r="CL94" s="259"/>
      <c r="CM94" s="260"/>
      <c r="CN94" s="260"/>
      <c r="CO94" s="259"/>
      <c r="CP94" s="220"/>
      <c r="CQ94" s="220"/>
      <c r="CR94" s="259"/>
      <c r="CS94" s="220"/>
      <c r="CT94" s="220"/>
      <c r="CU94" s="259"/>
      <c r="CV94" s="220"/>
      <c r="CW94" s="220"/>
    </row>
    <row r="95" spans="1:101" ht="24" customHeight="1" x14ac:dyDescent="0.3">
      <c r="A95" s="257"/>
      <c r="B95" s="258" t="s">
        <v>123</v>
      </c>
      <c r="C95" s="149">
        <f t="shared" ca="1" si="236"/>
        <v>0</v>
      </c>
      <c r="D95" s="150">
        <f t="shared" ca="1" si="237"/>
        <v>0</v>
      </c>
      <c r="E95" s="151">
        <f ca="1">IFERROR(__xludf.DUMMYFUNCTION("IMPORTRANGE(""https://docs.google.com/spreadsheets/d/1-uDff_7J0KD5mKrp0Vvzr7lt3OU09vwQwhkpOPPYv2Y/edit?usp=sharing"",""งบพรบ!CV95"")"),0)</f>
        <v>0</v>
      </c>
      <c r="F95" s="151">
        <f ca="1">IFERROR(__xludf.DUMMYFUNCTION("IMPORTRANGE(""https://docs.google.com/spreadsheets/d/1-uDff_7J0KD5mKrp0Vvzr7lt3OU09vwQwhkpOPPYv2Y/edit?usp=sharing"",""งบพรบ!CW95"")"),0)</f>
        <v>0</v>
      </c>
      <c r="G95" s="151">
        <f ca="1">IFERROR(__xludf.DUMMYFUNCTION("IMPORTRANGE(""https://docs.google.com/spreadsheets/d/1-uDff_7J0KD5mKrp0Vvzr7lt3OU09vwQwhkpOPPYv2Y/edit?usp=sharing"",""งบพรบ!CX95"")"),0)</f>
        <v>0</v>
      </c>
      <c r="H95" s="151">
        <f ca="1">IFERROR(__xludf.DUMMYFUNCTION("IMPORTRANGE(""https://docs.google.com/spreadsheets/d/1-uDff_7J0KD5mKrp0Vvzr7lt3OU09vwQwhkpOPPYv2Y/edit?usp=sharing"",""งบพรบ!CZ95"")"),0)</f>
        <v>0</v>
      </c>
      <c r="I95" s="151">
        <f ca="1">IFERROR(__xludf.DUMMYFUNCTION("IMPORTRANGE(""https://docs.google.com/spreadsheets/d/1-uDff_7J0KD5mKrp0Vvzr7lt3OU09vwQwhkpOPPYv2Y/edit?usp=sharing"",""งบพรบ!DA95"")"),0)</f>
        <v>0</v>
      </c>
      <c r="J95" s="151">
        <f t="shared" ca="1" si="238"/>
        <v>0</v>
      </c>
      <c r="K95" s="154">
        <f t="shared" ca="1" si="239"/>
        <v>0</v>
      </c>
      <c r="L95" s="151">
        <f ca="1">IFERROR(__xludf.DUMMYFUNCTION("IMPORTRANGE(""https://docs.google.com/spreadsheets/d/1-uDff_7J0KD5mKrp0Vvzr7lt3OU09vwQwhkpOPPYv2Y/edit?usp=sharing"",""งบพรบ!DB95"")"),0)</f>
        <v>0</v>
      </c>
      <c r="M95" s="68">
        <f t="shared" ca="1" si="240"/>
        <v>0</v>
      </c>
      <c r="N95" s="68">
        <f t="shared" ca="1" si="241"/>
        <v>0</v>
      </c>
      <c r="O95" s="67">
        <f ca="1">IFERROR(__xludf.DUMMYFUNCTION("IMPORTRANGE(""https://docs.google.com/spreadsheets/d/1-uDff_7J0KD5mKrp0Vvzr7lt3OU09vwQwhkpOPPYv2Y/edit?usp=sharing"",""งบพรบ!DC95"")"),0)</f>
        <v>0</v>
      </c>
      <c r="P95" s="67">
        <f t="shared" ca="1" si="242"/>
        <v>0</v>
      </c>
      <c r="Q95" s="68">
        <f t="shared" ca="1" si="243"/>
        <v>0</v>
      </c>
      <c r="R95" s="67">
        <v>0</v>
      </c>
      <c r="S95" s="67">
        <v>0</v>
      </c>
      <c r="T95" s="67">
        <v>0</v>
      </c>
      <c r="U95" s="68">
        <f t="shared" si="99"/>
        <v>0</v>
      </c>
      <c r="V95" s="68">
        <f t="shared" si="100"/>
        <v>0</v>
      </c>
      <c r="W95" s="220"/>
      <c r="X95" s="220"/>
      <c r="Y95" s="259"/>
      <c r="Z95" s="220"/>
      <c r="AA95" s="220"/>
      <c r="AB95" s="259"/>
      <c r="AC95" s="220"/>
      <c r="AD95" s="220"/>
      <c r="AE95" s="220"/>
      <c r="AF95" s="220"/>
      <c r="AG95" s="220"/>
      <c r="AH95" s="259"/>
      <c r="AI95" s="220"/>
      <c r="AJ95" s="220"/>
      <c r="AK95" s="259"/>
      <c r="AL95" s="259"/>
      <c r="AM95" s="259"/>
      <c r="AN95" s="259"/>
      <c r="AO95" s="220"/>
      <c r="AP95" s="220"/>
      <c r="AQ95" s="259"/>
      <c r="AR95" s="220"/>
      <c r="AS95" s="220"/>
      <c r="AT95" s="259"/>
      <c r="AU95" s="220"/>
      <c r="AV95" s="220"/>
      <c r="AW95" s="220"/>
      <c r="AX95" s="220"/>
      <c r="AY95" s="259"/>
      <c r="AZ95" s="220"/>
      <c r="BA95" s="220"/>
      <c r="BB95" s="259"/>
      <c r="BC95" s="220"/>
      <c r="BD95" s="220"/>
      <c r="BE95" s="259"/>
      <c r="BF95" s="259"/>
      <c r="BG95" s="259"/>
      <c r="BH95" s="259"/>
      <c r="BI95" s="220"/>
      <c r="BJ95" s="220"/>
      <c r="BK95" s="259"/>
      <c r="BL95" s="220"/>
      <c r="BM95" s="220"/>
      <c r="BN95" s="259"/>
      <c r="BO95" s="220"/>
      <c r="BP95" s="220"/>
      <c r="BQ95" s="259"/>
      <c r="BR95" s="220"/>
      <c r="BS95" s="220"/>
      <c r="BT95" s="259"/>
      <c r="BU95" s="220"/>
      <c r="BV95" s="220"/>
      <c r="BW95" s="259"/>
      <c r="BX95" s="220"/>
      <c r="BY95" s="220"/>
      <c r="BZ95" s="259"/>
      <c r="CA95" s="220"/>
      <c r="CB95" s="220"/>
      <c r="CC95" s="259"/>
      <c r="CD95" s="220"/>
      <c r="CE95" s="220"/>
      <c r="CF95" s="259"/>
      <c r="CG95" s="220"/>
      <c r="CH95" s="220"/>
      <c r="CI95" s="259"/>
      <c r="CJ95" s="220"/>
      <c r="CK95" s="220"/>
      <c r="CL95" s="259"/>
      <c r="CM95" s="260"/>
      <c r="CN95" s="260"/>
      <c r="CO95" s="259"/>
      <c r="CP95" s="220"/>
      <c r="CQ95" s="220"/>
      <c r="CR95" s="259"/>
      <c r="CS95" s="220"/>
      <c r="CT95" s="220"/>
      <c r="CU95" s="259"/>
      <c r="CV95" s="220"/>
      <c r="CW95" s="220"/>
    </row>
    <row r="96" spans="1:101" ht="24" customHeight="1" x14ac:dyDescent="0.3">
      <c r="A96" s="257"/>
      <c r="B96" s="258" t="s">
        <v>124</v>
      </c>
      <c r="C96" s="149">
        <f t="shared" ca="1" si="236"/>
        <v>0</v>
      </c>
      <c r="D96" s="150">
        <f t="shared" ca="1" si="237"/>
        <v>0</v>
      </c>
      <c r="E96" s="151">
        <f ca="1">IFERROR(__xludf.DUMMYFUNCTION("IMPORTRANGE(""https://docs.google.com/spreadsheets/d/1-uDff_7J0KD5mKrp0Vvzr7lt3OU09vwQwhkpOPPYv2Y/edit?usp=sharing"",""งบพรบ!CV96"")"),0)</f>
        <v>0</v>
      </c>
      <c r="F96" s="151">
        <f ca="1">IFERROR(__xludf.DUMMYFUNCTION("IMPORTRANGE(""https://docs.google.com/spreadsheets/d/1-uDff_7J0KD5mKrp0Vvzr7lt3OU09vwQwhkpOPPYv2Y/edit?usp=sharing"",""งบพรบ!CW96"")"),0)</f>
        <v>0</v>
      </c>
      <c r="G96" s="151">
        <f ca="1">IFERROR(__xludf.DUMMYFUNCTION("IMPORTRANGE(""https://docs.google.com/spreadsheets/d/1-uDff_7J0KD5mKrp0Vvzr7lt3OU09vwQwhkpOPPYv2Y/edit?usp=sharing"",""งบพรบ!CX96"")"),0)</f>
        <v>0</v>
      </c>
      <c r="H96" s="151">
        <f ca="1">IFERROR(__xludf.DUMMYFUNCTION("IMPORTRANGE(""https://docs.google.com/spreadsheets/d/1-uDff_7J0KD5mKrp0Vvzr7lt3OU09vwQwhkpOPPYv2Y/edit?usp=sharing"",""งบพรบ!CZ96"")"),0)</f>
        <v>0</v>
      </c>
      <c r="I96" s="151">
        <f ca="1">IFERROR(__xludf.DUMMYFUNCTION("IMPORTRANGE(""https://docs.google.com/spreadsheets/d/1-uDff_7J0KD5mKrp0Vvzr7lt3OU09vwQwhkpOPPYv2Y/edit?usp=sharing"",""งบพรบ!DA96"")"),0)</f>
        <v>0</v>
      </c>
      <c r="J96" s="151">
        <f t="shared" ca="1" si="238"/>
        <v>0</v>
      </c>
      <c r="K96" s="154">
        <f t="shared" ca="1" si="239"/>
        <v>0</v>
      </c>
      <c r="L96" s="151">
        <f ca="1">IFERROR(__xludf.DUMMYFUNCTION("IMPORTRANGE(""https://docs.google.com/spreadsheets/d/1-uDff_7J0KD5mKrp0Vvzr7lt3OU09vwQwhkpOPPYv2Y/edit?usp=sharing"",""งบพรบ!DB96"")"),0)</f>
        <v>0</v>
      </c>
      <c r="M96" s="68">
        <f t="shared" ca="1" si="240"/>
        <v>0</v>
      </c>
      <c r="N96" s="68">
        <f t="shared" ca="1" si="241"/>
        <v>0</v>
      </c>
      <c r="O96" s="67">
        <f ca="1">IFERROR(__xludf.DUMMYFUNCTION("IMPORTRANGE(""https://docs.google.com/spreadsheets/d/1-uDff_7J0KD5mKrp0Vvzr7lt3OU09vwQwhkpOPPYv2Y/edit?usp=sharing"",""งบพรบ!DC96"")"),0)</f>
        <v>0</v>
      </c>
      <c r="P96" s="67">
        <f t="shared" ca="1" si="242"/>
        <v>0</v>
      </c>
      <c r="Q96" s="68">
        <f t="shared" ca="1" si="243"/>
        <v>0</v>
      </c>
      <c r="R96" s="67">
        <v>0</v>
      </c>
      <c r="S96" s="67">
        <v>0</v>
      </c>
      <c r="T96" s="67">
        <v>0</v>
      </c>
      <c r="U96" s="68">
        <f t="shared" si="99"/>
        <v>0</v>
      </c>
      <c r="V96" s="68">
        <f t="shared" si="100"/>
        <v>0</v>
      </c>
      <c r="W96" s="220"/>
      <c r="X96" s="220"/>
      <c r="Y96" s="259"/>
      <c r="Z96" s="220"/>
      <c r="AA96" s="220"/>
      <c r="AB96" s="259"/>
      <c r="AC96" s="220"/>
      <c r="AD96" s="220"/>
      <c r="AE96" s="220"/>
      <c r="AF96" s="220"/>
      <c r="AG96" s="220"/>
      <c r="AH96" s="259"/>
      <c r="AI96" s="220"/>
      <c r="AJ96" s="220"/>
      <c r="AK96" s="259"/>
      <c r="AL96" s="259"/>
      <c r="AM96" s="259"/>
      <c r="AN96" s="259"/>
      <c r="AO96" s="220"/>
      <c r="AP96" s="220"/>
      <c r="AQ96" s="259"/>
      <c r="AR96" s="220"/>
      <c r="AS96" s="220"/>
      <c r="AT96" s="259"/>
      <c r="AU96" s="220"/>
      <c r="AV96" s="220"/>
      <c r="AW96" s="220"/>
      <c r="AX96" s="220"/>
      <c r="AY96" s="259"/>
      <c r="AZ96" s="220"/>
      <c r="BA96" s="220"/>
      <c r="BB96" s="259"/>
      <c r="BC96" s="220"/>
      <c r="BD96" s="220"/>
      <c r="BE96" s="259"/>
      <c r="BF96" s="259"/>
      <c r="BG96" s="259"/>
      <c r="BH96" s="259"/>
      <c r="BI96" s="220"/>
      <c r="BJ96" s="220"/>
      <c r="BK96" s="259"/>
      <c r="BL96" s="220"/>
      <c r="BM96" s="220"/>
      <c r="BN96" s="259"/>
      <c r="BO96" s="220"/>
      <c r="BP96" s="220"/>
      <c r="BQ96" s="259"/>
      <c r="BR96" s="220"/>
      <c r="BS96" s="220"/>
      <c r="BT96" s="259"/>
      <c r="BU96" s="220"/>
      <c r="BV96" s="220"/>
      <c r="BW96" s="259"/>
      <c r="BX96" s="220"/>
      <c r="BY96" s="220"/>
      <c r="BZ96" s="259"/>
      <c r="CA96" s="220"/>
      <c r="CB96" s="220"/>
      <c r="CC96" s="259"/>
      <c r="CD96" s="220"/>
      <c r="CE96" s="220"/>
      <c r="CF96" s="259"/>
      <c r="CG96" s="220"/>
      <c r="CH96" s="220"/>
      <c r="CI96" s="259"/>
      <c r="CJ96" s="220"/>
      <c r="CK96" s="220"/>
      <c r="CL96" s="259"/>
      <c r="CM96" s="260"/>
      <c r="CN96" s="260"/>
      <c r="CO96" s="259"/>
      <c r="CP96" s="220"/>
      <c r="CQ96" s="220"/>
      <c r="CR96" s="259"/>
      <c r="CS96" s="220"/>
      <c r="CT96" s="220"/>
      <c r="CU96" s="259"/>
      <c r="CV96" s="220"/>
      <c r="CW96" s="220"/>
    </row>
    <row r="97" spans="1:101" ht="24" customHeight="1" x14ac:dyDescent="0.3">
      <c r="A97" s="257"/>
      <c r="B97" s="258" t="s">
        <v>125</v>
      </c>
      <c r="C97" s="149">
        <f t="shared" ca="1" si="236"/>
        <v>0</v>
      </c>
      <c r="D97" s="150">
        <f t="shared" ca="1" si="237"/>
        <v>0</v>
      </c>
      <c r="E97" s="151">
        <f ca="1">IFERROR(__xludf.DUMMYFUNCTION("IMPORTRANGE(""https://docs.google.com/spreadsheets/d/1-uDff_7J0KD5mKrp0Vvzr7lt3OU09vwQwhkpOPPYv2Y/edit?usp=sharing"",""งบพรบ!CV97"")"),0)</f>
        <v>0</v>
      </c>
      <c r="F97" s="151">
        <f ca="1">IFERROR(__xludf.DUMMYFUNCTION("IMPORTRANGE(""https://docs.google.com/spreadsheets/d/1-uDff_7J0KD5mKrp0Vvzr7lt3OU09vwQwhkpOPPYv2Y/edit?usp=sharing"",""งบพรบ!CW97"")"),0)</f>
        <v>0</v>
      </c>
      <c r="G97" s="151">
        <f ca="1">IFERROR(__xludf.DUMMYFUNCTION("IMPORTRANGE(""https://docs.google.com/spreadsheets/d/1-uDff_7J0KD5mKrp0Vvzr7lt3OU09vwQwhkpOPPYv2Y/edit?usp=sharing"",""งบพรบ!CX97"")"),0)</f>
        <v>0</v>
      </c>
      <c r="H97" s="151">
        <f ca="1">IFERROR(__xludf.DUMMYFUNCTION("IMPORTRANGE(""https://docs.google.com/spreadsheets/d/1-uDff_7J0KD5mKrp0Vvzr7lt3OU09vwQwhkpOPPYv2Y/edit?usp=sharing"",""งบพรบ!CZ97"")"),0)</f>
        <v>0</v>
      </c>
      <c r="I97" s="151">
        <f ca="1">IFERROR(__xludf.DUMMYFUNCTION("IMPORTRANGE(""https://docs.google.com/spreadsheets/d/1-uDff_7J0KD5mKrp0Vvzr7lt3OU09vwQwhkpOPPYv2Y/edit?usp=sharing"",""งบพรบ!DA97"")"),0)</f>
        <v>0</v>
      </c>
      <c r="J97" s="151">
        <f t="shared" ca="1" si="238"/>
        <v>0</v>
      </c>
      <c r="K97" s="154">
        <f t="shared" ca="1" si="239"/>
        <v>0</v>
      </c>
      <c r="L97" s="151">
        <f ca="1">IFERROR(__xludf.DUMMYFUNCTION("IMPORTRANGE(""https://docs.google.com/spreadsheets/d/1-uDff_7J0KD5mKrp0Vvzr7lt3OU09vwQwhkpOPPYv2Y/edit?usp=sharing"",""งบพรบ!DB97"")"),0)</f>
        <v>0</v>
      </c>
      <c r="M97" s="68">
        <f t="shared" ca="1" si="240"/>
        <v>0</v>
      </c>
      <c r="N97" s="68">
        <f t="shared" ca="1" si="241"/>
        <v>0</v>
      </c>
      <c r="O97" s="67">
        <f ca="1">IFERROR(__xludf.DUMMYFUNCTION("IMPORTRANGE(""https://docs.google.com/spreadsheets/d/1-uDff_7J0KD5mKrp0Vvzr7lt3OU09vwQwhkpOPPYv2Y/edit?usp=sharing"",""งบพรบ!DC97"")"),0)</f>
        <v>0</v>
      </c>
      <c r="P97" s="67">
        <f t="shared" ca="1" si="242"/>
        <v>0</v>
      </c>
      <c r="Q97" s="68">
        <f t="shared" ca="1" si="243"/>
        <v>0</v>
      </c>
      <c r="R97" s="67">
        <v>0</v>
      </c>
      <c r="S97" s="67">
        <v>0</v>
      </c>
      <c r="T97" s="67">
        <v>0</v>
      </c>
      <c r="U97" s="68">
        <f t="shared" si="99"/>
        <v>0</v>
      </c>
      <c r="V97" s="68">
        <f t="shared" si="100"/>
        <v>0</v>
      </c>
      <c r="W97" s="220"/>
      <c r="X97" s="220"/>
      <c r="Y97" s="259"/>
      <c r="Z97" s="220"/>
      <c r="AA97" s="220"/>
      <c r="AB97" s="259"/>
      <c r="AC97" s="220"/>
      <c r="AD97" s="220"/>
      <c r="AE97" s="220"/>
      <c r="AF97" s="220"/>
      <c r="AG97" s="220"/>
      <c r="AH97" s="259"/>
      <c r="AI97" s="220"/>
      <c r="AJ97" s="220"/>
      <c r="AK97" s="259"/>
      <c r="AL97" s="259"/>
      <c r="AM97" s="259"/>
      <c r="AN97" s="259"/>
      <c r="AO97" s="220"/>
      <c r="AP97" s="220"/>
      <c r="AQ97" s="259"/>
      <c r="AR97" s="220"/>
      <c r="AS97" s="220"/>
      <c r="AT97" s="259"/>
      <c r="AU97" s="220"/>
      <c r="AV97" s="220"/>
      <c r="AW97" s="220"/>
      <c r="AX97" s="220"/>
      <c r="AY97" s="259"/>
      <c r="AZ97" s="220"/>
      <c r="BA97" s="220"/>
      <c r="BB97" s="259"/>
      <c r="BC97" s="220"/>
      <c r="BD97" s="220"/>
      <c r="BE97" s="259"/>
      <c r="BF97" s="259"/>
      <c r="BG97" s="259"/>
      <c r="BH97" s="259"/>
      <c r="BI97" s="220"/>
      <c r="BJ97" s="220"/>
      <c r="BK97" s="259"/>
      <c r="BL97" s="220"/>
      <c r="BM97" s="220"/>
      <c r="BN97" s="259"/>
      <c r="BO97" s="220"/>
      <c r="BP97" s="220"/>
      <c r="BQ97" s="259"/>
      <c r="BR97" s="220"/>
      <c r="BS97" s="220"/>
      <c r="BT97" s="259"/>
      <c r="BU97" s="220"/>
      <c r="BV97" s="220"/>
      <c r="BW97" s="259"/>
      <c r="BX97" s="220"/>
      <c r="BY97" s="220"/>
      <c r="BZ97" s="259"/>
      <c r="CA97" s="220"/>
      <c r="CB97" s="220"/>
      <c r="CC97" s="259"/>
      <c r="CD97" s="220"/>
      <c r="CE97" s="220"/>
      <c r="CF97" s="259"/>
      <c r="CG97" s="220"/>
      <c r="CH97" s="220"/>
      <c r="CI97" s="259"/>
      <c r="CJ97" s="220"/>
      <c r="CK97" s="220"/>
      <c r="CL97" s="259"/>
      <c r="CM97" s="260"/>
      <c r="CN97" s="260"/>
      <c r="CO97" s="259"/>
      <c r="CP97" s="220"/>
      <c r="CQ97" s="220"/>
      <c r="CR97" s="259"/>
      <c r="CS97" s="220"/>
      <c r="CT97" s="220"/>
      <c r="CU97" s="259"/>
      <c r="CV97" s="220"/>
      <c r="CW97" s="220"/>
    </row>
    <row r="98" spans="1:101" ht="24" customHeight="1" x14ac:dyDescent="0.3">
      <c r="A98" s="257"/>
      <c r="B98" s="258" t="s">
        <v>126</v>
      </c>
      <c r="C98" s="149">
        <f t="shared" ca="1" si="236"/>
        <v>0</v>
      </c>
      <c r="D98" s="150">
        <f t="shared" ca="1" si="237"/>
        <v>0</v>
      </c>
      <c r="E98" s="151">
        <f ca="1">IFERROR(__xludf.DUMMYFUNCTION("IMPORTRANGE(""https://docs.google.com/spreadsheets/d/1-uDff_7J0KD5mKrp0Vvzr7lt3OU09vwQwhkpOPPYv2Y/edit?usp=sharing"",""งบพรบ!CV98"")"),0)</f>
        <v>0</v>
      </c>
      <c r="F98" s="151">
        <f ca="1">IFERROR(__xludf.DUMMYFUNCTION("IMPORTRANGE(""https://docs.google.com/spreadsheets/d/1-uDff_7J0KD5mKrp0Vvzr7lt3OU09vwQwhkpOPPYv2Y/edit?usp=sharing"",""งบพรบ!CW98"")"),0)</f>
        <v>0</v>
      </c>
      <c r="G98" s="151">
        <f ca="1">IFERROR(__xludf.DUMMYFUNCTION("IMPORTRANGE(""https://docs.google.com/spreadsheets/d/1-uDff_7J0KD5mKrp0Vvzr7lt3OU09vwQwhkpOPPYv2Y/edit?usp=sharing"",""งบพรบ!CX98"")"),0)</f>
        <v>0</v>
      </c>
      <c r="H98" s="151">
        <f ca="1">IFERROR(__xludf.DUMMYFUNCTION("IMPORTRANGE(""https://docs.google.com/spreadsheets/d/1-uDff_7J0KD5mKrp0Vvzr7lt3OU09vwQwhkpOPPYv2Y/edit?usp=sharing"",""งบพรบ!CZ98"")"),0)</f>
        <v>0</v>
      </c>
      <c r="I98" s="151">
        <f ca="1">IFERROR(__xludf.DUMMYFUNCTION("IMPORTRANGE(""https://docs.google.com/spreadsheets/d/1-uDff_7J0KD5mKrp0Vvzr7lt3OU09vwQwhkpOPPYv2Y/edit?usp=sharing"",""งบพรบ!DA98"")"),0)</f>
        <v>0</v>
      </c>
      <c r="J98" s="151">
        <f t="shared" ca="1" si="238"/>
        <v>0</v>
      </c>
      <c r="K98" s="154">
        <f t="shared" ca="1" si="239"/>
        <v>0</v>
      </c>
      <c r="L98" s="151">
        <f ca="1">IFERROR(__xludf.DUMMYFUNCTION("IMPORTRANGE(""https://docs.google.com/spreadsheets/d/1-uDff_7J0KD5mKrp0Vvzr7lt3OU09vwQwhkpOPPYv2Y/edit?usp=sharing"",""งบพรบ!DB98"")"),0)</f>
        <v>0</v>
      </c>
      <c r="M98" s="68">
        <f t="shared" ca="1" si="240"/>
        <v>0</v>
      </c>
      <c r="N98" s="68">
        <f t="shared" ca="1" si="241"/>
        <v>0</v>
      </c>
      <c r="O98" s="67">
        <f ca="1">IFERROR(__xludf.DUMMYFUNCTION("IMPORTRANGE(""https://docs.google.com/spreadsheets/d/1-uDff_7J0KD5mKrp0Vvzr7lt3OU09vwQwhkpOPPYv2Y/edit?usp=sharing"",""งบพรบ!DC98"")"),0)</f>
        <v>0</v>
      </c>
      <c r="P98" s="67">
        <f t="shared" ca="1" si="242"/>
        <v>0</v>
      </c>
      <c r="Q98" s="68">
        <f t="shared" ca="1" si="243"/>
        <v>0</v>
      </c>
      <c r="R98" s="67">
        <v>0</v>
      </c>
      <c r="S98" s="67">
        <v>0</v>
      </c>
      <c r="T98" s="67">
        <v>0</v>
      </c>
      <c r="U98" s="68">
        <f t="shared" si="99"/>
        <v>0</v>
      </c>
      <c r="V98" s="68">
        <f t="shared" si="100"/>
        <v>0</v>
      </c>
      <c r="W98" s="220"/>
      <c r="X98" s="220"/>
      <c r="Y98" s="259"/>
      <c r="Z98" s="220"/>
      <c r="AA98" s="220"/>
      <c r="AB98" s="259"/>
      <c r="AC98" s="220"/>
      <c r="AD98" s="220"/>
      <c r="AE98" s="220"/>
      <c r="AF98" s="220"/>
      <c r="AG98" s="220"/>
      <c r="AH98" s="259"/>
      <c r="AI98" s="220"/>
      <c r="AJ98" s="220"/>
      <c r="AK98" s="259"/>
      <c r="AL98" s="259"/>
      <c r="AM98" s="259"/>
      <c r="AN98" s="259"/>
      <c r="AO98" s="220"/>
      <c r="AP98" s="220"/>
      <c r="AQ98" s="259"/>
      <c r="AR98" s="220"/>
      <c r="AS98" s="220"/>
      <c r="AT98" s="259"/>
      <c r="AU98" s="220"/>
      <c r="AV98" s="220"/>
      <c r="AW98" s="220"/>
      <c r="AX98" s="220"/>
      <c r="AY98" s="259"/>
      <c r="AZ98" s="220"/>
      <c r="BA98" s="220"/>
      <c r="BB98" s="259"/>
      <c r="BC98" s="220"/>
      <c r="BD98" s="220"/>
      <c r="BE98" s="259"/>
      <c r="BF98" s="259"/>
      <c r="BG98" s="259"/>
      <c r="BH98" s="259"/>
      <c r="BI98" s="220"/>
      <c r="BJ98" s="220"/>
      <c r="BK98" s="259"/>
      <c r="BL98" s="220"/>
      <c r="BM98" s="220"/>
      <c r="BN98" s="259"/>
      <c r="BO98" s="220"/>
      <c r="BP98" s="220"/>
      <c r="BQ98" s="259"/>
      <c r="BR98" s="220"/>
      <c r="BS98" s="220"/>
      <c r="BT98" s="259"/>
      <c r="BU98" s="220"/>
      <c r="BV98" s="220"/>
      <c r="BW98" s="259"/>
      <c r="BX98" s="220"/>
      <c r="BY98" s="220"/>
      <c r="BZ98" s="259"/>
      <c r="CA98" s="220"/>
      <c r="CB98" s="220"/>
      <c r="CC98" s="259"/>
      <c r="CD98" s="220"/>
      <c r="CE98" s="220"/>
      <c r="CF98" s="259"/>
      <c r="CG98" s="220"/>
      <c r="CH98" s="220"/>
      <c r="CI98" s="259"/>
      <c r="CJ98" s="220"/>
      <c r="CK98" s="220"/>
      <c r="CL98" s="259"/>
      <c r="CM98" s="260"/>
      <c r="CN98" s="260"/>
      <c r="CO98" s="259"/>
      <c r="CP98" s="220"/>
      <c r="CQ98" s="220"/>
      <c r="CR98" s="259"/>
      <c r="CS98" s="220"/>
      <c r="CT98" s="220"/>
      <c r="CU98" s="259"/>
      <c r="CV98" s="220"/>
      <c r="CW98" s="220"/>
    </row>
    <row r="99" spans="1:101" ht="24" customHeight="1" x14ac:dyDescent="0.3">
      <c r="A99" s="257"/>
      <c r="B99" s="258" t="s">
        <v>127</v>
      </c>
      <c r="C99" s="149">
        <f t="shared" ca="1" si="236"/>
        <v>0</v>
      </c>
      <c r="D99" s="150">
        <f t="shared" ca="1" si="237"/>
        <v>0</v>
      </c>
      <c r="E99" s="151">
        <f ca="1">IFERROR(__xludf.DUMMYFUNCTION("IMPORTRANGE(""https://docs.google.com/spreadsheets/d/1-uDff_7J0KD5mKrp0Vvzr7lt3OU09vwQwhkpOPPYv2Y/edit?usp=sharing"",""งบพรบ!CV99"")"),0)</f>
        <v>0</v>
      </c>
      <c r="F99" s="151">
        <f ca="1">IFERROR(__xludf.DUMMYFUNCTION("IMPORTRANGE(""https://docs.google.com/spreadsheets/d/1-uDff_7J0KD5mKrp0Vvzr7lt3OU09vwQwhkpOPPYv2Y/edit?usp=sharing"",""งบพรบ!CW99"")"),0)</f>
        <v>0</v>
      </c>
      <c r="G99" s="151">
        <f ca="1">IFERROR(__xludf.DUMMYFUNCTION("IMPORTRANGE(""https://docs.google.com/spreadsheets/d/1-uDff_7J0KD5mKrp0Vvzr7lt3OU09vwQwhkpOPPYv2Y/edit?usp=sharing"",""งบพรบ!CX99"")"),0)</f>
        <v>0</v>
      </c>
      <c r="H99" s="151">
        <f ca="1">IFERROR(__xludf.DUMMYFUNCTION("IMPORTRANGE(""https://docs.google.com/spreadsheets/d/1-uDff_7J0KD5mKrp0Vvzr7lt3OU09vwQwhkpOPPYv2Y/edit?usp=sharing"",""งบพรบ!CZ99"")"),0)</f>
        <v>0</v>
      </c>
      <c r="I99" s="151">
        <f ca="1">IFERROR(__xludf.DUMMYFUNCTION("IMPORTRANGE(""https://docs.google.com/spreadsheets/d/1-uDff_7J0KD5mKrp0Vvzr7lt3OU09vwQwhkpOPPYv2Y/edit?usp=sharing"",""งบพรบ!DA99"")"),0)</f>
        <v>0</v>
      </c>
      <c r="J99" s="151">
        <f t="shared" ca="1" si="238"/>
        <v>0</v>
      </c>
      <c r="K99" s="154">
        <f t="shared" ca="1" si="239"/>
        <v>0</v>
      </c>
      <c r="L99" s="151">
        <f ca="1">IFERROR(__xludf.DUMMYFUNCTION("IMPORTRANGE(""https://docs.google.com/spreadsheets/d/1-uDff_7J0KD5mKrp0Vvzr7lt3OU09vwQwhkpOPPYv2Y/edit?usp=sharing"",""งบพรบ!DB99"")"),0)</f>
        <v>0</v>
      </c>
      <c r="M99" s="68">
        <f t="shared" ca="1" si="240"/>
        <v>0</v>
      </c>
      <c r="N99" s="68">
        <f t="shared" ca="1" si="241"/>
        <v>0</v>
      </c>
      <c r="O99" s="67">
        <f ca="1">IFERROR(__xludf.DUMMYFUNCTION("IMPORTRANGE(""https://docs.google.com/spreadsheets/d/1-uDff_7J0KD5mKrp0Vvzr7lt3OU09vwQwhkpOPPYv2Y/edit?usp=sharing"",""งบพรบ!DC99"")"),0)</f>
        <v>0</v>
      </c>
      <c r="P99" s="67">
        <f t="shared" ca="1" si="242"/>
        <v>0</v>
      </c>
      <c r="Q99" s="68">
        <f t="shared" ca="1" si="243"/>
        <v>0</v>
      </c>
      <c r="R99" s="67">
        <v>0</v>
      </c>
      <c r="S99" s="67">
        <v>0</v>
      </c>
      <c r="T99" s="67">
        <v>0</v>
      </c>
      <c r="U99" s="68">
        <f t="shared" si="99"/>
        <v>0</v>
      </c>
      <c r="V99" s="68">
        <f t="shared" si="100"/>
        <v>0</v>
      </c>
      <c r="W99" s="220"/>
      <c r="X99" s="220"/>
      <c r="Y99" s="259"/>
      <c r="Z99" s="220"/>
      <c r="AA99" s="220"/>
      <c r="AB99" s="259"/>
      <c r="AC99" s="220"/>
      <c r="AD99" s="220"/>
      <c r="AE99" s="220"/>
      <c r="AF99" s="220"/>
      <c r="AG99" s="220"/>
      <c r="AH99" s="259"/>
      <c r="AI99" s="220"/>
      <c r="AJ99" s="220"/>
      <c r="AK99" s="259"/>
      <c r="AL99" s="259"/>
      <c r="AM99" s="259"/>
      <c r="AN99" s="259"/>
      <c r="AO99" s="220"/>
      <c r="AP99" s="220"/>
      <c r="AQ99" s="259"/>
      <c r="AR99" s="220"/>
      <c r="AS99" s="220"/>
      <c r="AT99" s="259"/>
      <c r="AU99" s="220"/>
      <c r="AV99" s="220"/>
      <c r="AW99" s="220"/>
      <c r="AX99" s="220"/>
      <c r="AY99" s="259"/>
      <c r="AZ99" s="220"/>
      <c r="BA99" s="220"/>
      <c r="BB99" s="259"/>
      <c r="BC99" s="220"/>
      <c r="BD99" s="220"/>
      <c r="BE99" s="259"/>
      <c r="BF99" s="259"/>
      <c r="BG99" s="259"/>
      <c r="BH99" s="259"/>
      <c r="BI99" s="220"/>
      <c r="BJ99" s="220"/>
      <c r="BK99" s="259"/>
      <c r="BL99" s="220"/>
      <c r="BM99" s="220"/>
      <c r="BN99" s="259"/>
      <c r="BO99" s="220"/>
      <c r="BP99" s="220"/>
      <c r="BQ99" s="259"/>
      <c r="BR99" s="220"/>
      <c r="BS99" s="220"/>
      <c r="BT99" s="259"/>
      <c r="BU99" s="220"/>
      <c r="BV99" s="220"/>
      <c r="BW99" s="259"/>
      <c r="BX99" s="220"/>
      <c r="BY99" s="220"/>
      <c r="BZ99" s="259"/>
      <c r="CA99" s="220"/>
      <c r="CB99" s="220"/>
      <c r="CC99" s="259"/>
      <c r="CD99" s="220"/>
      <c r="CE99" s="220"/>
      <c r="CF99" s="259"/>
      <c r="CG99" s="220"/>
      <c r="CH99" s="220"/>
      <c r="CI99" s="259"/>
      <c r="CJ99" s="220"/>
      <c r="CK99" s="220"/>
      <c r="CL99" s="259"/>
      <c r="CM99" s="260"/>
      <c r="CN99" s="260"/>
      <c r="CO99" s="259"/>
      <c r="CP99" s="220"/>
      <c r="CQ99" s="220"/>
      <c r="CR99" s="259"/>
      <c r="CS99" s="220"/>
      <c r="CT99" s="220"/>
      <c r="CU99" s="259"/>
      <c r="CV99" s="220"/>
      <c r="CW99" s="220"/>
    </row>
    <row r="100" spans="1:101" ht="24" customHeight="1" x14ac:dyDescent="0.3">
      <c r="A100" s="257"/>
      <c r="B100" s="258" t="s">
        <v>128</v>
      </c>
      <c r="C100" s="149">
        <f t="shared" ca="1" si="236"/>
        <v>0</v>
      </c>
      <c r="D100" s="150">
        <f t="shared" ca="1" si="237"/>
        <v>0</v>
      </c>
      <c r="E100" s="151">
        <f ca="1">IFERROR(__xludf.DUMMYFUNCTION("IMPORTRANGE(""https://docs.google.com/spreadsheets/d/1-uDff_7J0KD5mKrp0Vvzr7lt3OU09vwQwhkpOPPYv2Y/edit?usp=sharing"",""งบพรบ!CV100"")"),0)</f>
        <v>0</v>
      </c>
      <c r="F100" s="151">
        <f ca="1">IFERROR(__xludf.DUMMYFUNCTION("IMPORTRANGE(""https://docs.google.com/spreadsheets/d/1-uDff_7J0KD5mKrp0Vvzr7lt3OU09vwQwhkpOPPYv2Y/edit?usp=sharing"",""งบพรบ!CW100"")"),0)</f>
        <v>0</v>
      </c>
      <c r="G100" s="151">
        <f ca="1">IFERROR(__xludf.DUMMYFUNCTION("IMPORTRANGE(""https://docs.google.com/spreadsheets/d/1-uDff_7J0KD5mKrp0Vvzr7lt3OU09vwQwhkpOPPYv2Y/edit?usp=sharing"",""งบพรบ!CX100"")"),0)</f>
        <v>0</v>
      </c>
      <c r="H100" s="151">
        <f ca="1">IFERROR(__xludf.DUMMYFUNCTION("IMPORTRANGE(""https://docs.google.com/spreadsheets/d/1-uDff_7J0KD5mKrp0Vvzr7lt3OU09vwQwhkpOPPYv2Y/edit?usp=sharing"",""งบพรบ!CZ100"")"),0)</f>
        <v>0</v>
      </c>
      <c r="I100" s="151">
        <f ca="1">IFERROR(__xludf.DUMMYFUNCTION("IMPORTRANGE(""https://docs.google.com/spreadsheets/d/1-uDff_7J0KD5mKrp0Vvzr7lt3OU09vwQwhkpOPPYv2Y/edit?usp=sharing"",""งบพรบ!DA100"")"),0)</f>
        <v>0</v>
      </c>
      <c r="J100" s="151">
        <f t="shared" ca="1" si="238"/>
        <v>0</v>
      </c>
      <c r="K100" s="154">
        <f t="shared" ca="1" si="239"/>
        <v>0</v>
      </c>
      <c r="L100" s="151">
        <f ca="1">IFERROR(__xludf.DUMMYFUNCTION("IMPORTRANGE(""https://docs.google.com/spreadsheets/d/1-uDff_7J0KD5mKrp0Vvzr7lt3OU09vwQwhkpOPPYv2Y/edit?usp=sharing"",""งบพรบ!DB100"")"),0)</f>
        <v>0</v>
      </c>
      <c r="M100" s="68">
        <f t="shared" ca="1" si="240"/>
        <v>0</v>
      </c>
      <c r="N100" s="68">
        <f t="shared" ca="1" si="241"/>
        <v>0</v>
      </c>
      <c r="O100" s="67">
        <f ca="1">IFERROR(__xludf.DUMMYFUNCTION("IMPORTRANGE(""https://docs.google.com/spreadsheets/d/1-uDff_7J0KD5mKrp0Vvzr7lt3OU09vwQwhkpOPPYv2Y/edit?usp=sharing"",""งบพรบ!DC100"")"),0)</f>
        <v>0</v>
      </c>
      <c r="P100" s="67">
        <f t="shared" ca="1" si="242"/>
        <v>0</v>
      </c>
      <c r="Q100" s="68">
        <f t="shared" ca="1" si="243"/>
        <v>0</v>
      </c>
      <c r="R100" s="67">
        <v>0</v>
      </c>
      <c r="S100" s="67">
        <v>0</v>
      </c>
      <c r="T100" s="67">
        <v>0</v>
      </c>
      <c r="U100" s="68">
        <f t="shared" si="99"/>
        <v>0</v>
      </c>
      <c r="V100" s="68">
        <f t="shared" si="100"/>
        <v>0</v>
      </c>
      <c r="W100" s="220"/>
      <c r="X100" s="220"/>
      <c r="Y100" s="259"/>
      <c r="Z100" s="220"/>
      <c r="AA100" s="220"/>
      <c r="AB100" s="259"/>
      <c r="AC100" s="220"/>
      <c r="AD100" s="220"/>
      <c r="AE100" s="220"/>
      <c r="AF100" s="220"/>
      <c r="AG100" s="220"/>
      <c r="AH100" s="259"/>
      <c r="AI100" s="220"/>
      <c r="AJ100" s="220"/>
      <c r="AK100" s="259"/>
      <c r="AL100" s="259"/>
      <c r="AM100" s="259"/>
      <c r="AN100" s="259"/>
      <c r="AO100" s="220"/>
      <c r="AP100" s="220"/>
      <c r="AQ100" s="259"/>
      <c r="AR100" s="220"/>
      <c r="AS100" s="220"/>
      <c r="AT100" s="259"/>
      <c r="AU100" s="220"/>
      <c r="AV100" s="220"/>
      <c r="AW100" s="220"/>
      <c r="AX100" s="220"/>
      <c r="AY100" s="259"/>
      <c r="AZ100" s="220"/>
      <c r="BA100" s="220"/>
      <c r="BB100" s="259"/>
      <c r="BC100" s="220"/>
      <c r="BD100" s="220"/>
      <c r="BE100" s="259"/>
      <c r="BF100" s="259"/>
      <c r="BG100" s="259"/>
      <c r="BH100" s="259"/>
      <c r="BI100" s="220"/>
      <c r="BJ100" s="220"/>
      <c r="BK100" s="259"/>
      <c r="BL100" s="220"/>
      <c r="BM100" s="220"/>
      <c r="BN100" s="259"/>
      <c r="BO100" s="220"/>
      <c r="BP100" s="220"/>
      <c r="BQ100" s="259"/>
      <c r="BR100" s="220"/>
      <c r="BS100" s="220"/>
      <c r="BT100" s="259"/>
      <c r="BU100" s="220"/>
      <c r="BV100" s="220"/>
      <c r="BW100" s="259"/>
      <c r="BX100" s="220"/>
      <c r="BY100" s="220"/>
      <c r="BZ100" s="259"/>
      <c r="CA100" s="220"/>
      <c r="CB100" s="220"/>
      <c r="CC100" s="259"/>
      <c r="CD100" s="220"/>
      <c r="CE100" s="220"/>
      <c r="CF100" s="259"/>
      <c r="CG100" s="220"/>
      <c r="CH100" s="220"/>
      <c r="CI100" s="259"/>
      <c r="CJ100" s="220"/>
      <c r="CK100" s="220"/>
      <c r="CL100" s="259"/>
      <c r="CM100" s="260"/>
      <c r="CN100" s="260"/>
      <c r="CO100" s="259"/>
      <c r="CP100" s="220"/>
      <c r="CQ100" s="220"/>
      <c r="CR100" s="259"/>
      <c r="CS100" s="220"/>
      <c r="CT100" s="220"/>
      <c r="CU100" s="259"/>
      <c r="CV100" s="220"/>
      <c r="CW100" s="220"/>
    </row>
    <row r="101" spans="1:101" ht="24" customHeight="1" x14ac:dyDescent="0.3">
      <c r="A101" s="257"/>
      <c r="B101" s="258" t="s">
        <v>129</v>
      </c>
      <c r="C101" s="149">
        <f t="shared" ca="1" si="236"/>
        <v>0</v>
      </c>
      <c r="D101" s="150">
        <f t="shared" ca="1" si="237"/>
        <v>0</v>
      </c>
      <c r="E101" s="151">
        <f ca="1">IFERROR(__xludf.DUMMYFUNCTION("IMPORTRANGE(""https://docs.google.com/spreadsheets/d/1-uDff_7J0KD5mKrp0Vvzr7lt3OU09vwQwhkpOPPYv2Y/edit?usp=sharing"",""งบพรบ!CV101"")"),0)</f>
        <v>0</v>
      </c>
      <c r="F101" s="151">
        <f ca="1">IFERROR(__xludf.DUMMYFUNCTION("IMPORTRANGE(""https://docs.google.com/spreadsheets/d/1-uDff_7J0KD5mKrp0Vvzr7lt3OU09vwQwhkpOPPYv2Y/edit?usp=sharing"",""งบพรบ!CW101"")"),0)</f>
        <v>0</v>
      </c>
      <c r="G101" s="151">
        <f ca="1">IFERROR(__xludf.DUMMYFUNCTION("IMPORTRANGE(""https://docs.google.com/spreadsheets/d/1-uDff_7J0KD5mKrp0Vvzr7lt3OU09vwQwhkpOPPYv2Y/edit?usp=sharing"",""งบพรบ!CX101"")"),0)</f>
        <v>0</v>
      </c>
      <c r="H101" s="151">
        <f ca="1">IFERROR(__xludf.DUMMYFUNCTION("IMPORTRANGE(""https://docs.google.com/spreadsheets/d/1-uDff_7J0KD5mKrp0Vvzr7lt3OU09vwQwhkpOPPYv2Y/edit?usp=sharing"",""งบพรบ!CZ101"")"),0)</f>
        <v>0</v>
      </c>
      <c r="I101" s="151">
        <f ca="1">IFERROR(__xludf.DUMMYFUNCTION("IMPORTRANGE(""https://docs.google.com/spreadsheets/d/1-uDff_7J0KD5mKrp0Vvzr7lt3OU09vwQwhkpOPPYv2Y/edit?usp=sharing"",""งบพรบ!DA101"")"),0)</f>
        <v>0</v>
      </c>
      <c r="J101" s="151">
        <f t="shared" ca="1" si="238"/>
        <v>0</v>
      </c>
      <c r="K101" s="154">
        <f t="shared" ca="1" si="239"/>
        <v>0</v>
      </c>
      <c r="L101" s="151">
        <f ca="1">IFERROR(__xludf.DUMMYFUNCTION("IMPORTRANGE(""https://docs.google.com/spreadsheets/d/1-uDff_7J0KD5mKrp0Vvzr7lt3OU09vwQwhkpOPPYv2Y/edit?usp=sharing"",""งบพรบ!DB101"")"),0)</f>
        <v>0</v>
      </c>
      <c r="M101" s="68">
        <f t="shared" ca="1" si="240"/>
        <v>0</v>
      </c>
      <c r="N101" s="68">
        <f t="shared" ca="1" si="241"/>
        <v>0</v>
      </c>
      <c r="O101" s="67">
        <f ca="1">IFERROR(__xludf.DUMMYFUNCTION("IMPORTRANGE(""https://docs.google.com/spreadsheets/d/1-uDff_7J0KD5mKrp0Vvzr7lt3OU09vwQwhkpOPPYv2Y/edit?usp=sharing"",""งบพรบ!DC101"")"),0)</f>
        <v>0</v>
      </c>
      <c r="P101" s="67">
        <f t="shared" ca="1" si="242"/>
        <v>0</v>
      </c>
      <c r="Q101" s="68">
        <f t="shared" ca="1" si="243"/>
        <v>0</v>
      </c>
      <c r="R101" s="67">
        <v>0</v>
      </c>
      <c r="S101" s="67">
        <v>0</v>
      </c>
      <c r="T101" s="67">
        <v>0</v>
      </c>
      <c r="U101" s="68">
        <f t="shared" si="99"/>
        <v>0</v>
      </c>
      <c r="V101" s="68">
        <f t="shared" si="100"/>
        <v>0</v>
      </c>
      <c r="W101" s="220"/>
      <c r="X101" s="220"/>
      <c r="Y101" s="259"/>
      <c r="Z101" s="220"/>
      <c r="AA101" s="220"/>
      <c r="AB101" s="259"/>
      <c r="AC101" s="220"/>
      <c r="AD101" s="220"/>
      <c r="AE101" s="220"/>
      <c r="AF101" s="220"/>
      <c r="AG101" s="220"/>
      <c r="AH101" s="259"/>
      <c r="AI101" s="220"/>
      <c r="AJ101" s="220"/>
      <c r="AK101" s="259"/>
      <c r="AL101" s="259"/>
      <c r="AM101" s="259"/>
      <c r="AN101" s="259"/>
      <c r="AO101" s="220"/>
      <c r="AP101" s="220"/>
      <c r="AQ101" s="259"/>
      <c r="AR101" s="220"/>
      <c r="AS101" s="220"/>
      <c r="AT101" s="259"/>
      <c r="AU101" s="220"/>
      <c r="AV101" s="220"/>
      <c r="AW101" s="220"/>
      <c r="AX101" s="220"/>
      <c r="AY101" s="259"/>
      <c r="AZ101" s="220"/>
      <c r="BA101" s="220"/>
      <c r="BB101" s="259"/>
      <c r="BC101" s="220"/>
      <c r="BD101" s="220"/>
      <c r="BE101" s="259"/>
      <c r="BF101" s="259"/>
      <c r="BG101" s="259"/>
      <c r="BH101" s="259"/>
      <c r="BI101" s="220"/>
      <c r="BJ101" s="220"/>
      <c r="BK101" s="259"/>
      <c r="BL101" s="220"/>
      <c r="BM101" s="220"/>
      <c r="BN101" s="259"/>
      <c r="BO101" s="220"/>
      <c r="BP101" s="220"/>
      <c r="BQ101" s="259"/>
      <c r="BR101" s="220"/>
      <c r="BS101" s="220"/>
      <c r="BT101" s="259"/>
      <c r="BU101" s="220"/>
      <c r="BV101" s="220"/>
      <c r="BW101" s="259"/>
      <c r="BX101" s="220"/>
      <c r="BY101" s="220"/>
      <c r="BZ101" s="259"/>
      <c r="CA101" s="220"/>
      <c r="CB101" s="220"/>
      <c r="CC101" s="259"/>
      <c r="CD101" s="220"/>
      <c r="CE101" s="220"/>
      <c r="CF101" s="259"/>
      <c r="CG101" s="220"/>
      <c r="CH101" s="220"/>
      <c r="CI101" s="259"/>
      <c r="CJ101" s="220"/>
      <c r="CK101" s="220"/>
      <c r="CL101" s="259"/>
      <c r="CM101" s="260"/>
      <c r="CN101" s="260"/>
      <c r="CO101" s="259"/>
      <c r="CP101" s="220"/>
      <c r="CQ101" s="220"/>
      <c r="CR101" s="259"/>
      <c r="CS101" s="220"/>
      <c r="CT101" s="220"/>
      <c r="CU101" s="259"/>
      <c r="CV101" s="220"/>
      <c r="CW101" s="220"/>
    </row>
    <row r="102" spans="1:101" ht="24" customHeight="1" x14ac:dyDescent="0.3">
      <c r="A102" s="257"/>
      <c r="B102" s="258" t="s">
        <v>130</v>
      </c>
      <c r="C102" s="149">
        <f t="shared" ca="1" si="236"/>
        <v>0</v>
      </c>
      <c r="D102" s="150">
        <f t="shared" ca="1" si="237"/>
        <v>0</v>
      </c>
      <c r="E102" s="151">
        <f ca="1">IFERROR(__xludf.DUMMYFUNCTION("IMPORTRANGE(""https://docs.google.com/spreadsheets/d/1-uDff_7J0KD5mKrp0Vvzr7lt3OU09vwQwhkpOPPYv2Y/edit?usp=sharing"",""งบพรบ!CV102"")"),0)</f>
        <v>0</v>
      </c>
      <c r="F102" s="151">
        <f ca="1">IFERROR(__xludf.DUMMYFUNCTION("IMPORTRANGE(""https://docs.google.com/spreadsheets/d/1-uDff_7J0KD5mKrp0Vvzr7lt3OU09vwQwhkpOPPYv2Y/edit?usp=sharing"",""งบพรบ!CW102"")"),0)</f>
        <v>0</v>
      </c>
      <c r="G102" s="151">
        <f ca="1">IFERROR(__xludf.DUMMYFUNCTION("IMPORTRANGE(""https://docs.google.com/spreadsheets/d/1-uDff_7J0KD5mKrp0Vvzr7lt3OU09vwQwhkpOPPYv2Y/edit?usp=sharing"",""งบพรบ!CX102"")"),0)</f>
        <v>0</v>
      </c>
      <c r="H102" s="151">
        <f ca="1">IFERROR(__xludf.DUMMYFUNCTION("IMPORTRANGE(""https://docs.google.com/spreadsheets/d/1-uDff_7J0KD5mKrp0Vvzr7lt3OU09vwQwhkpOPPYv2Y/edit?usp=sharing"",""งบพรบ!CZ102"")"),0)</f>
        <v>0</v>
      </c>
      <c r="I102" s="151">
        <f ca="1">IFERROR(__xludf.DUMMYFUNCTION("IMPORTRANGE(""https://docs.google.com/spreadsheets/d/1-uDff_7J0KD5mKrp0Vvzr7lt3OU09vwQwhkpOPPYv2Y/edit?usp=sharing"",""งบพรบ!DA102"")"),0)</f>
        <v>0</v>
      </c>
      <c r="J102" s="151">
        <f t="shared" ca="1" si="238"/>
        <v>0</v>
      </c>
      <c r="K102" s="154">
        <f t="shared" ca="1" si="239"/>
        <v>0</v>
      </c>
      <c r="L102" s="151">
        <f ca="1">IFERROR(__xludf.DUMMYFUNCTION("IMPORTRANGE(""https://docs.google.com/spreadsheets/d/1-uDff_7J0KD5mKrp0Vvzr7lt3OU09vwQwhkpOPPYv2Y/edit?usp=sharing"",""งบพรบ!DB102"")"),0)</f>
        <v>0</v>
      </c>
      <c r="M102" s="68">
        <f t="shared" ca="1" si="240"/>
        <v>0</v>
      </c>
      <c r="N102" s="68">
        <f t="shared" ca="1" si="241"/>
        <v>0</v>
      </c>
      <c r="O102" s="67">
        <f ca="1">IFERROR(__xludf.DUMMYFUNCTION("IMPORTRANGE(""https://docs.google.com/spreadsheets/d/1-uDff_7J0KD5mKrp0Vvzr7lt3OU09vwQwhkpOPPYv2Y/edit?usp=sharing"",""งบพรบ!DC102"")"),0)</f>
        <v>0</v>
      </c>
      <c r="P102" s="67">
        <f t="shared" ca="1" si="242"/>
        <v>0</v>
      </c>
      <c r="Q102" s="68">
        <f t="shared" ca="1" si="243"/>
        <v>0</v>
      </c>
      <c r="R102" s="67">
        <v>0</v>
      </c>
      <c r="S102" s="67">
        <v>0</v>
      </c>
      <c r="T102" s="67">
        <v>0</v>
      </c>
      <c r="U102" s="68">
        <f t="shared" si="99"/>
        <v>0</v>
      </c>
      <c r="V102" s="68">
        <f t="shared" si="100"/>
        <v>0</v>
      </c>
      <c r="W102" s="220"/>
      <c r="X102" s="220"/>
      <c r="Y102" s="259"/>
      <c r="Z102" s="220"/>
      <c r="AA102" s="220"/>
      <c r="AB102" s="259"/>
      <c r="AC102" s="220"/>
      <c r="AD102" s="220"/>
      <c r="AE102" s="220"/>
      <c r="AF102" s="220"/>
      <c r="AG102" s="220"/>
      <c r="AH102" s="259"/>
      <c r="AI102" s="220"/>
      <c r="AJ102" s="220"/>
      <c r="AK102" s="259"/>
      <c r="AL102" s="259"/>
      <c r="AM102" s="259"/>
      <c r="AN102" s="259"/>
      <c r="AO102" s="220"/>
      <c r="AP102" s="220"/>
      <c r="AQ102" s="259"/>
      <c r="AR102" s="220"/>
      <c r="AS102" s="220"/>
      <c r="AT102" s="259"/>
      <c r="AU102" s="220"/>
      <c r="AV102" s="220"/>
      <c r="AW102" s="220"/>
      <c r="AX102" s="220"/>
      <c r="AY102" s="259"/>
      <c r="AZ102" s="220"/>
      <c r="BA102" s="220"/>
      <c r="BB102" s="259"/>
      <c r="BC102" s="220"/>
      <c r="BD102" s="220"/>
      <c r="BE102" s="259"/>
      <c r="BF102" s="259"/>
      <c r="BG102" s="259"/>
      <c r="BH102" s="259"/>
      <c r="BI102" s="220"/>
      <c r="BJ102" s="220"/>
      <c r="BK102" s="259"/>
      <c r="BL102" s="220"/>
      <c r="BM102" s="220"/>
      <c r="BN102" s="259"/>
      <c r="BO102" s="220"/>
      <c r="BP102" s="220"/>
      <c r="BQ102" s="259"/>
      <c r="BR102" s="220"/>
      <c r="BS102" s="220"/>
      <c r="BT102" s="259"/>
      <c r="BU102" s="220"/>
      <c r="BV102" s="220"/>
      <c r="BW102" s="259"/>
      <c r="BX102" s="220"/>
      <c r="BY102" s="220"/>
      <c r="BZ102" s="259"/>
      <c r="CA102" s="220"/>
      <c r="CB102" s="220"/>
      <c r="CC102" s="259"/>
      <c r="CD102" s="220"/>
      <c r="CE102" s="220"/>
      <c r="CF102" s="259"/>
      <c r="CG102" s="220"/>
      <c r="CH102" s="220"/>
      <c r="CI102" s="259"/>
      <c r="CJ102" s="220"/>
      <c r="CK102" s="220"/>
      <c r="CL102" s="259"/>
      <c r="CM102" s="260"/>
      <c r="CN102" s="260"/>
      <c r="CO102" s="259"/>
      <c r="CP102" s="220"/>
      <c r="CQ102" s="220"/>
      <c r="CR102" s="259"/>
      <c r="CS102" s="220"/>
      <c r="CT102" s="220"/>
      <c r="CU102" s="259"/>
      <c r="CV102" s="220"/>
      <c r="CW102" s="220"/>
    </row>
    <row r="103" spans="1:101" ht="24" customHeight="1" x14ac:dyDescent="0.3">
      <c r="A103" s="257"/>
      <c r="B103" s="258" t="s">
        <v>131</v>
      </c>
      <c r="C103" s="149">
        <f t="shared" ca="1" si="236"/>
        <v>3775000</v>
      </c>
      <c r="D103" s="150">
        <f t="shared" ca="1" si="237"/>
        <v>3775000</v>
      </c>
      <c r="E103" s="151">
        <f ca="1">IFERROR(__xludf.DUMMYFUNCTION("IMPORTRANGE(""https://docs.google.com/spreadsheets/d/1-uDff_7J0KD5mKrp0Vvzr7lt3OU09vwQwhkpOPPYv2Y/edit?usp=sharing"",""งบพรบ!CV103"")"),551000)</f>
        <v>551000</v>
      </c>
      <c r="F103" s="151">
        <f ca="1">IFERROR(__xludf.DUMMYFUNCTION("IMPORTRANGE(""https://docs.google.com/spreadsheets/d/1-uDff_7J0KD5mKrp0Vvzr7lt3OU09vwQwhkpOPPYv2Y/edit?usp=sharing"",""งบพรบ!CW103"")"),3224000)</f>
        <v>3224000</v>
      </c>
      <c r="G103" s="151">
        <f ca="1">IFERROR(__xludf.DUMMYFUNCTION("IMPORTRANGE(""https://docs.google.com/spreadsheets/d/1-uDff_7J0KD5mKrp0Vvzr7lt3OU09vwQwhkpOPPYv2Y/edit?usp=sharing"",""งบพรบ!CX103"")"),0)</f>
        <v>0</v>
      </c>
      <c r="H103" s="151">
        <f ca="1">IFERROR(__xludf.DUMMYFUNCTION("IMPORTRANGE(""https://docs.google.com/spreadsheets/d/1-uDff_7J0KD5mKrp0Vvzr7lt3OU09vwQwhkpOPPYv2Y/edit?usp=sharing"",""งบพรบ!CZ103"")"),2518203)</f>
        <v>2518203</v>
      </c>
      <c r="I103" s="151">
        <f ca="1">IFERROR(__xludf.DUMMYFUNCTION("IMPORTRANGE(""https://docs.google.com/spreadsheets/d/1-uDff_7J0KD5mKrp0Vvzr7lt3OU09vwQwhkpOPPYv2Y/edit?usp=sharing"",""งบพรบ!DA103"")"),0)</f>
        <v>0</v>
      </c>
      <c r="J103" s="151">
        <f t="shared" ca="1" si="238"/>
        <v>1879564.17</v>
      </c>
      <c r="K103" s="154">
        <f t="shared" ca="1" si="239"/>
        <v>49.789779337748342</v>
      </c>
      <c r="L103" s="151">
        <f ca="1">IFERROR(__xludf.DUMMYFUNCTION("IMPORTRANGE(""https://docs.google.com/spreadsheets/d/1-uDff_7J0KD5mKrp0Vvzr7lt3OU09vwQwhkpOPPYv2Y/edit?usp=sharing"",""งบพรบ!DB103"")"),1879564.17)</f>
        <v>1879564.17</v>
      </c>
      <c r="M103" s="68">
        <f t="shared" ca="1" si="240"/>
        <v>49.789779337748342</v>
      </c>
      <c r="N103" s="68">
        <f t="shared" ca="1" si="241"/>
        <v>74.639104551936441</v>
      </c>
      <c r="O103" s="67">
        <f ca="1">IFERROR(__xludf.DUMMYFUNCTION("IMPORTRANGE(""https://docs.google.com/spreadsheets/d/1-uDff_7J0KD5mKrp0Vvzr7lt3OU09vwQwhkpOPPYv2Y/edit?usp=sharing"",""งบพรบ!DC103"")"),0)</f>
        <v>0</v>
      </c>
      <c r="P103" s="67">
        <f t="shared" ca="1" si="242"/>
        <v>0</v>
      </c>
      <c r="Q103" s="68">
        <f t="shared" ca="1" si="243"/>
        <v>0</v>
      </c>
      <c r="R103" s="67">
        <f ca="1">IFERROR(__xludf.DUMMYFUNCTION("IMPORTRANGE(""https://docs.google.com/spreadsheets/d/1ItG2mGa2ceCfYo0BwxsXqNm01IGEUdYcSSLTEv9YCik/edit?usp=sharing"",""เบิกจ่ายกองทุน!BN96"")"),54000)</f>
        <v>54000</v>
      </c>
      <c r="S103" s="67">
        <f ca="1">IFERROR(__xludf.DUMMYFUNCTION("IMPORTRANGE(""https://docs.google.com/spreadsheets/d/1ItG2mGa2ceCfYo0BwxsXqNm01IGEUdYcSSLTEv9YCik/edit?usp=sharing"",""เบิกจ่ายกองทุน!BO96"")"),0)</f>
        <v>0</v>
      </c>
      <c r="T103" s="67">
        <f ca="1">IFERROR(__xludf.DUMMYFUNCTION("IMPORTRANGE(""https://docs.google.com/spreadsheets/d/1ItG2mGa2ceCfYo0BwxsXqNm01IGEUdYcSSLTEv9YCik/edit?usp=sharing"",""เบิกจ่ายกองทุน!BP96"")"),0)</f>
        <v>0</v>
      </c>
      <c r="U103" s="68">
        <f t="shared" ca="1" si="99"/>
        <v>0</v>
      </c>
      <c r="V103" s="68">
        <f t="shared" ca="1" si="100"/>
        <v>0</v>
      </c>
      <c r="W103" s="220"/>
      <c r="X103" s="220"/>
      <c r="Y103" s="259"/>
      <c r="Z103" s="220"/>
      <c r="AA103" s="220"/>
      <c r="AB103" s="259"/>
      <c r="AC103" s="220"/>
      <c r="AD103" s="220"/>
      <c r="AE103" s="220"/>
      <c r="AF103" s="220"/>
      <c r="AG103" s="220"/>
      <c r="AH103" s="259"/>
      <c r="AI103" s="220"/>
      <c r="AJ103" s="220"/>
      <c r="AK103" s="259"/>
      <c r="AL103" s="259"/>
      <c r="AM103" s="259"/>
      <c r="AN103" s="259"/>
      <c r="AO103" s="220"/>
      <c r="AP103" s="220"/>
      <c r="AQ103" s="259"/>
      <c r="AR103" s="220"/>
      <c r="AS103" s="220"/>
      <c r="AT103" s="259"/>
      <c r="AU103" s="220"/>
      <c r="AV103" s="220"/>
      <c r="AW103" s="220"/>
      <c r="AX103" s="220"/>
      <c r="AY103" s="259"/>
      <c r="AZ103" s="220"/>
      <c r="BA103" s="220"/>
      <c r="BB103" s="259"/>
      <c r="BC103" s="220"/>
      <c r="BD103" s="220"/>
      <c r="BE103" s="259"/>
      <c r="BF103" s="259"/>
      <c r="BG103" s="259"/>
      <c r="BH103" s="259"/>
      <c r="BI103" s="220"/>
      <c r="BJ103" s="220"/>
      <c r="BK103" s="259"/>
      <c r="BL103" s="220"/>
      <c r="BM103" s="220"/>
      <c r="BN103" s="259"/>
      <c r="BO103" s="220"/>
      <c r="BP103" s="220"/>
      <c r="BQ103" s="259"/>
      <c r="BR103" s="220"/>
      <c r="BS103" s="220"/>
      <c r="BT103" s="259"/>
      <c r="BU103" s="220"/>
      <c r="BV103" s="220"/>
      <c r="BW103" s="259"/>
      <c r="BX103" s="220"/>
      <c r="BY103" s="220"/>
      <c r="BZ103" s="259"/>
      <c r="CA103" s="220"/>
      <c r="CB103" s="220"/>
      <c r="CC103" s="259"/>
      <c r="CD103" s="220"/>
      <c r="CE103" s="220"/>
      <c r="CF103" s="259"/>
      <c r="CG103" s="220"/>
      <c r="CH103" s="220"/>
      <c r="CI103" s="259"/>
      <c r="CJ103" s="220"/>
      <c r="CK103" s="220"/>
      <c r="CL103" s="259"/>
      <c r="CM103" s="260"/>
      <c r="CN103" s="260"/>
      <c r="CO103" s="259"/>
      <c r="CP103" s="220"/>
      <c r="CQ103" s="220"/>
      <c r="CR103" s="259"/>
      <c r="CS103" s="220"/>
      <c r="CT103" s="220"/>
      <c r="CU103" s="259"/>
      <c r="CV103" s="220"/>
      <c r="CW103" s="220"/>
    </row>
    <row r="104" spans="1:101" ht="24" customHeight="1" x14ac:dyDescent="0.3">
      <c r="A104" s="257"/>
      <c r="B104" s="258" t="s">
        <v>132</v>
      </c>
      <c r="C104" s="149">
        <f t="shared" ca="1" si="236"/>
        <v>411900</v>
      </c>
      <c r="D104" s="150">
        <f t="shared" ca="1" si="237"/>
        <v>411900</v>
      </c>
      <c r="E104" s="151">
        <f ca="1">IFERROR(__xludf.DUMMYFUNCTION("IMPORTRANGE(""https://docs.google.com/spreadsheets/d/1-uDff_7J0KD5mKrp0Vvzr7lt3OU09vwQwhkpOPPYv2Y/edit?usp=sharing"",""งบพรบ!CV104"")"),411900)</f>
        <v>411900</v>
      </c>
      <c r="F104" s="151">
        <f ca="1">IFERROR(__xludf.DUMMYFUNCTION("IMPORTRANGE(""https://docs.google.com/spreadsheets/d/1-uDff_7J0KD5mKrp0Vvzr7lt3OU09vwQwhkpOPPYv2Y/edit?usp=sharing"",""งบพรบ!CW104"")"),0)</f>
        <v>0</v>
      </c>
      <c r="G104" s="151">
        <f ca="1">IFERROR(__xludf.DUMMYFUNCTION("IMPORTRANGE(""https://docs.google.com/spreadsheets/d/1-uDff_7J0KD5mKrp0Vvzr7lt3OU09vwQwhkpOPPYv2Y/edit?usp=sharing"",""งบพรบ!CX104"")"),0)</f>
        <v>0</v>
      </c>
      <c r="H104" s="151">
        <f ca="1">IFERROR(__xludf.DUMMYFUNCTION("IMPORTRANGE(""https://docs.google.com/spreadsheets/d/1-uDff_7J0KD5mKrp0Vvzr7lt3OU09vwQwhkpOPPYv2Y/edit?usp=sharing"",""งบพรบ!CZ104"")"),100000)</f>
        <v>100000</v>
      </c>
      <c r="I104" s="151">
        <f ca="1">IFERROR(__xludf.DUMMYFUNCTION("IMPORTRANGE(""https://docs.google.com/spreadsheets/d/1-uDff_7J0KD5mKrp0Vvzr7lt3OU09vwQwhkpOPPYv2Y/edit?usp=sharing"",""งบพรบ!DA104"")"),0)</f>
        <v>0</v>
      </c>
      <c r="J104" s="151">
        <f t="shared" ca="1" si="238"/>
        <v>100000</v>
      </c>
      <c r="K104" s="154">
        <f t="shared" ca="1" si="239"/>
        <v>24.277737314882252</v>
      </c>
      <c r="L104" s="151">
        <f ca="1">IFERROR(__xludf.DUMMYFUNCTION("IMPORTRANGE(""https://docs.google.com/spreadsheets/d/1-uDff_7J0KD5mKrp0Vvzr7lt3OU09vwQwhkpOPPYv2Y/edit?usp=sharing"",""งบพรบ!DB104"")"),100000)</f>
        <v>100000</v>
      </c>
      <c r="M104" s="68">
        <f t="shared" ca="1" si="240"/>
        <v>24.277737314882252</v>
      </c>
      <c r="N104" s="68">
        <f t="shared" ca="1" si="241"/>
        <v>100</v>
      </c>
      <c r="O104" s="67">
        <f ca="1">IFERROR(__xludf.DUMMYFUNCTION("IMPORTRANGE(""https://docs.google.com/spreadsheets/d/1-uDff_7J0KD5mKrp0Vvzr7lt3OU09vwQwhkpOPPYv2Y/edit?usp=sharing"",""งบพรบ!DC104"")"),0)</f>
        <v>0</v>
      </c>
      <c r="P104" s="67">
        <f t="shared" ca="1" si="242"/>
        <v>0</v>
      </c>
      <c r="Q104" s="68">
        <f t="shared" ca="1" si="243"/>
        <v>0</v>
      </c>
      <c r="R104" s="67">
        <v>0</v>
      </c>
      <c r="S104" s="67">
        <v>0</v>
      </c>
      <c r="T104" s="67">
        <v>0</v>
      </c>
      <c r="U104" s="68">
        <f t="shared" si="99"/>
        <v>0</v>
      </c>
      <c r="V104" s="68">
        <f t="shared" si="100"/>
        <v>0</v>
      </c>
      <c r="W104" s="220"/>
      <c r="X104" s="220"/>
      <c r="Y104" s="259"/>
      <c r="Z104" s="220"/>
      <c r="AA104" s="220"/>
      <c r="AB104" s="259"/>
      <c r="AC104" s="220"/>
      <c r="AD104" s="220"/>
      <c r="AE104" s="220"/>
      <c r="AF104" s="220"/>
      <c r="AG104" s="220"/>
      <c r="AH104" s="259"/>
      <c r="AI104" s="220"/>
      <c r="AJ104" s="220"/>
      <c r="AK104" s="259"/>
      <c r="AL104" s="259"/>
      <c r="AM104" s="259"/>
      <c r="AN104" s="259"/>
      <c r="AO104" s="220"/>
      <c r="AP104" s="220"/>
      <c r="AQ104" s="259"/>
      <c r="AR104" s="220"/>
      <c r="AS104" s="220"/>
      <c r="AT104" s="259"/>
      <c r="AU104" s="220"/>
      <c r="AV104" s="220"/>
      <c r="AW104" s="220"/>
      <c r="AX104" s="220"/>
      <c r="AY104" s="259"/>
      <c r="AZ104" s="220"/>
      <c r="BA104" s="220"/>
      <c r="BB104" s="259"/>
      <c r="BC104" s="220"/>
      <c r="BD104" s="220"/>
      <c r="BE104" s="259"/>
      <c r="BF104" s="259"/>
      <c r="BG104" s="259"/>
      <c r="BH104" s="259"/>
      <c r="BI104" s="220"/>
      <c r="BJ104" s="220"/>
      <c r="BK104" s="259"/>
      <c r="BL104" s="220"/>
      <c r="BM104" s="220"/>
      <c r="BN104" s="259"/>
      <c r="BO104" s="220"/>
      <c r="BP104" s="220"/>
      <c r="BQ104" s="259"/>
      <c r="BR104" s="220"/>
      <c r="BS104" s="220"/>
      <c r="BT104" s="259"/>
      <c r="BU104" s="220"/>
      <c r="BV104" s="220"/>
      <c r="BW104" s="259"/>
      <c r="BX104" s="220"/>
      <c r="BY104" s="220"/>
      <c r="BZ104" s="259"/>
      <c r="CA104" s="220"/>
      <c r="CB104" s="220"/>
      <c r="CC104" s="259"/>
      <c r="CD104" s="220"/>
      <c r="CE104" s="220"/>
      <c r="CF104" s="259"/>
      <c r="CG104" s="220"/>
      <c r="CH104" s="220"/>
      <c r="CI104" s="259"/>
      <c r="CJ104" s="220"/>
      <c r="CK104" s="220"/>
      <c r="CL104" s="259"/>
      <c r="CM104" s="260"/>
      <c r="CN104" s="260"/>
      <c r="CO104" s="259"/>
      <c r="CP104" s="220"/>
      <c r="CQ104" s="220"/>
      <c r="CR104" s="259"/>
      <c r="CS104" s="220"/>
      <c r="CT104" s="220"/>
      <c r="CU104" s="259"/>
      <c r="CV104" s="220"/>
      <c r="CW104" s="220"/>
    </row>
    <row r="105" spans="1:101" ht="24" customHeight="1" x14ac:dyDescent="0.3">
      <c r="A105" s="257"/>
      <c r="B105" s="261" t="s">
        <v>133</v>
      </c>
      <c r="C105" s="149">
        <f t="shared" ca="1" si="236"/>
        <v>0</v>
      </c>
      <c r="D105" s="150">
        <f t="shared" ca="1" si="237"/>
        <v>0</v>
      </c>
      <c r="E105" s="151">
        <f ca="1">IFERROR(__xludf.DUMMYFUNCTION("IMPORTRANGE(""https://docs.google.com/spreadsheets/d/1-uDff_7J0KD5mKrp0Vvzr7lt3OU09vwQwhkpOPPYv2Y/edit?usp=sharing"",""งบพรบ!CV105"")"),0)</f>
        <v>0</v>
      </c>
      <c r="F105" s="151">
        <f ca="1">IFERROR(__xludf.DUMMYFUNCTION("IMPORTRANGE(""https://docs.google.com/spreadsheets/d/1-uDff_7J0KD5mKrp0Vvzr7lt3OU09vwQwhkpOPPYv2Y/edit?usp=sharing"",""งบพรบ!CW105"")"),0)</f>
        <v>0</v>
      </c>
      <c r="G105" s="151">
        <f ca="1">IFERROR(__xludf.DUMMYFUNCTION("IMPORTRANGE(""https://docs.google.com/spreadsheets/d/1-uDff_7J0KD5mKrp0Vvzr7lt3OU09vwQwhkpOPPYv2Y/edit?usp=sharing"",""งบพรบ!CX105"")"),0)</f>
        <v>0</v>
      </c>
      <c r="H105" s="151">
        <f ca="1">IFERROR(__xludf.DUMMYFUNCTION("IMPORTRANGE(""https://docs.google.com/spreadsheets/d/1-uDff_7J0KD5mKrp0Vvzr7lt3OU09vwQwhkpOPPYv2Y/edit?usp=sharing"",""งบพรบ!CZ105"")"),0)</f>
        <v>0</v>
      </c>
      <c r="I105" s="151">
        <f ca="1">IFERROR(__xludf.DUMMYFUNCTION("IMPORTRANGE(""https://docs.google.com/spreadsheets/d/1-uDff_7J0KD5mKrp0Vvzr7lt3OU09vwQwhkpOPPYv2Y/edit?usp=sharing"",""งบพรบ!DA105"")"),0)</f>
        <v>0</v>
      </c>
      <c r="J105" s="151">
        <f t="shared" ca="1" si="238"/>
        <v>0</v>
      </c>
      <c r="K105" s="154">
        <f t="shared" ca="1" si="239"/>
        <v>0</v>
      </c>
      <c r="L105" s="151">
        <f ca="1">IFERROR(__xludf.DUMMYFUNCTION("IMPORTRANGE(""https://docs.google.com/spreadsheets/d/1-uDff_7J0KD5mKrp0Vvzr7lt3OU09vwQwhkpOPPYv2Y/edit?usp=sharing"",""งบพรบ!DB105"")"),0)</f>
        <v>0</v>
      </c>
      <c r="M105" s="68">
        <f t="shared" ca="1" si="240"/>
        <v>0</v>
      </c>
      <c r="N105" s="68">
        <f t="shared" ca="1" si="241"/>
        <v>0</v>
      </c>
      <c r="O105" s="67">
        <f ca="1">IFERROR(__xludf.DUMMYFUNCTION("IMPORTRANGE(""https://docs.google.com/spreadsheets/d/1-uDff_7J0KD5mKrp0Vvzr7lt3OU09vwQwhkpOPPYv2Y/edit?usp=sharing"",""งบพรบ!DC105"")"),0)</f>
        <v>0</v>
      </c>
      <c r="P105" s="67">
        <f t="shared" ca="1" si="242"/>
        <v>0</v>
      </c>
      <c r="Q105" s="68">
        <f t="shared" ca="1" si="243"/>
        <v>0</v>
      </c>
      <c r="R105" s="67">
        <v>0</v>
      </c>
      <c r="S105" s="67">
        <v>0</v>
      </c>
      <c r="T105" s="67">
        <v>0</v>
      </c>
      <c r="U105" s="68">
        <f t="shared" si="99"/>
        <v>0</v>
      </c>
      <c r="V105" s="68">
        <f t="shared" si="100"/>
        <v>0</v>
      </c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0"/>
      <c r="BN105" s="220"/>
      <c r="BO105" s="220"/>
      <c r="BP105" s="220"/>
      <c r="BQ105" s="220"/>
      <c r="BR105" s="220"/>
      <c r="BS105" s="220"/>
      <c r="BT105" s="220"/>
      <c r="BU105" s="220"/>
      <c r="BV105" s="220"/>
      <c r="BW105" s="220"/>
      <c r="BX105" s="220"/>
      <c r="BY105" s="220"/>
      <c r="BZ105" s="220"/>
      <c r="CA105" s="220"/>
      <c r="CB105" s="220"/>
      <c r="CC105" s="220"/>
      <c r="CD105" s="220"/>
      <c r="CE105" s="220"/>
      <c r="CF105" s="220"/>
      <c r="CG105" s="220"/>
      <c r="CH105" s="220"/>
      <c r="CI105" s="220"/>
      <c r="CJ105" s="220"/>
      <c r="CK105" s="220"/>
      <c r="CL105" s="220"/>
      <c r="CM105" s="262"/>
      <c r="CN105" s="262"/>
      <c r="CO105" s="220"/>
      <c r="CP105" s="220"/>
      <c r="CQ105" s="220"/>
      <c r="CR105" s="220"/>
      <c r="CS105" s="220"/>
      <c r="CT105" s="220"/>
      <c r="CU105" s="220"/>
      <c r="CV105" s="220"/>
      <c r="CW105" s="220"/>
    </row>
    <row r="106" spans="1:101" ht="24" customHeight="1" x14ac:dyDescent="0.3">
      <c r="A106" s="257"/>
      <c r="B106" s="261" t="s">
        <v>134</v>
      </c>
      <c r="C106" s="149">
        <f t="shared" ca="1" si="236"/>
        <v>0</v>
      </c>
      <c r="D106" s="150">
        <f t="shared" ca="1" si="237"/>
        <v>0</v>
      </c>
      <c r="E106" s="151">
        <f ca="1">IFERROR(__xludf.DUMMYFUNCTION("IMPORTRANGE(""https://docs.google.com/spreadsheets/d/1-uDff_7J0KD5mKrp0Vvzr7lt3OU09vwQwhkpOPPYv2Y/edit?usp=sharing"",""งบพรบ!CV106"")"),0)</f>
        <v>0</v>
      </c>
      <c r="F106" s="151">
        <f ca="1">IFERROR(__xludf.DUMMYFUNCTION("IMPORTRANGE(""https://docs.google.com/spreadsheets/d/1-uDff_7J0KD5mKrp0Vvzr7lt3OU09vwQwhkpOPPYv2Y/edit?usp=sharing"",""งบพรบ!CW106"")"),0)</f>
        <v>0</v>
      </c>
      <c r="G106" s="151">
        <f ca="1">IFERROR(__xludf.DUMMYFUNCTION("IMPORTRANGE(""https://docs.google.com/spreadsheets/d/1-uDff_7J0KD5mKrp0Vvzr7lt3OU09vwQwhkpOPPYv2Y/edit?usp=sharing"",""งบพรบ!CX106"")"),0)</f>
        <v>0</v>
      </c>
      <c r="H106" s="151">
        <f ca="1">IFERROR(__xludf.DUMMYFUNCTION("IMPORTRANGE(""https://docs.google.com/spreadsheets/d/1-uDff_7J0KD5mKrp0Vvzr7lt3OU09vwQwhkpOPPYv2Y/edit?usp=sharing"",""งบพรบ!CZ106"")"),0)</f>
        <v>0</v>
      </c>
      <c r="I106" s="151">
        <f ca="1">IFERROR(__xludf.DUMMYFUNCTION("IMPORTRANGE(""https://docs.google.com/spreadsheets/d/1-uDff_7J0KD5mKrp0Vvzr7lt3OU09vwQwhkpOPPYv2Y/edit?usp=sharing"",""งบพรบ!DA106"")"),0)</f>
        <v>0</v>
      </c>
      <c r="J106" s="151">
        <f t="shared" ca="1" si="238"/>
        <v>0</v>
      </c>
      <c r="K106" s="154">
        <f t="shared" ca="1" si="239"/>
        <v>0</v>
      </c>
      <c r="L106" s="151">
        <f ca="1">IFERROR(__xludf.DUMMYFUNCTION("IMPORTRANGE(""https://docs.google.com/spreadsheets/d/1-uDff_7J0KD5mKrp0Vvzr7lt3OU09vwQwhkpOPPYv2Y/edit?usp=sharing"",""งบพรบ!DB106"")"),0)</f>
        <v>0</v>
      </c>
      <c r="M106" s="68">
        <f t="shared" ca="1" si="240"/>
        <v>0</v>
      </c>
      <c r="N106" s="68">
        <f t="shared" ca="1" si="241"/>
        <v>0</v>
      </c>
      <c r="O106" s="67">
        <f ca="1">IFERROR(__xludf.DUMMYFUNCTION("IMPORTRANGE(""https://docs.google.com/spreadsheets/d/1-uDff_7J0KD5mKrp0Vvzr7lt3OU09vwQwhkpOPPYv2Y/edit?usp=sharing"",""งบพรบ!DC106"")"),0)</f>
        <v>0</v>
      </c>
      <c r="P106" s="67">
        <f t="shared" ca="1" si="242"/>
        <v>0</v>
      </c>
      <c r="Q106" s="68">
        <f t="shared" ca="1" si="243"/>
        <v>0</v>
      </c>
      <c r="R106" s="67">
        <v>0</v>
      </c>
      <c r="S106" s="67">
        <v>0</v>
      </c>
      <c r="T106" s="67">
        <v>0</v>
      </c>
      <c r="U106" s="68">
        <f t="shared" si="99"/>
        <v>0</v>
      </c>
      <c r="V106" s="68">
        <f t="shared" si="100"/>
        <v>0</v>
      </c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0"/>
      <c r="BN106" s="220"/>
      <c r="BO106" s="220"/>
      <c r="BP106" s="220"/>
      <c r="BQ106" s="220"/>
      <c r="BR106" s="220"/>
      <c r="BS106" s="220"/>
      <c r="BT106" s="220"/>
      <c r="BU106" s="220"/>
      <c r="BV106" s="220"/>
      <c r="BW106" s="220"/>
      <c r="BX106" s="220"/>
      <c r="BY106" s="220"/>
      <c r="BZ106" s="220"/>
      <c r="CA106" s="220"/>
      <c r="CB106" s="220"/>
      <c r="CC106" s="220"/>
      <c r="CD106" s="220"/>
      <c r="CE106" s="220"/>
      <c r="CF106" s="220"/>
      <c r="CG106" s="220"/>
      <c r="CH106" s="220"/>
      <c r="CI106" s="220"/>
      <c r="CJ106" s="220"/>
      <c r="CK106" s="220"/>
      <c r="CL106" s="220"/>
      <c r="CM106" s="262"/>
      <c r="CN106" s="262"/>
      <c r="CO106" s="220"/>
      <c r="CP106" s="220"/>
      <c r="CQ106" s="220"/>
      <c r="CR106" s="220"/>
      <c r="CS106" s="220"/>
      <c r="CT106" s="220"/>
      <c r="CU106" s="220"/>
      <c r="CV106" s="220"/>
      <c r="CW106" s="220"/>
    </row>
    <row r="107" spans="1:101" ht="24" customHeight="1" x14ac:dyDescent="0.3">
      <c r="A107" s="263"/>
      <c r="B107" s="264" t="s">
        <v>26</v>
      </c>
      <c r="C107" s="173">
        <f t="shared" ca="1" si="236"/>
        <v>0</v>
      </c>
      <c r="D107" s="174">
        <f t="shared" ca="1" si="237"/>
        <v>0</v>
      </c>
      <c r="E107" s="265">
        <f ca="1">IFERROR(__xludf.DUMMYFUNCTION("IMPORTRANGE(""https://docs.google.com/spreadsheets/d/1-uDff_7J0KD5mKrp0Vvzr7lt3OU09vwQwhkpOPPYv2Y/edit?usp=sharing"",""งบพรบ!CV107"")"),0)</f>
        <v>0</v>
      </c>
      <c r="F107" s="265">
        <f ca="1">IFERROR(__xludf.DUMMYFUNCTION("IMPORTRANGE(""https://docs.google.com/spreadsheets/d/1-uDff_7J0KD5mKrp0Vvzr7lt3OU09vwQwhkpOPPYv2Y/edit?usp=sharing"",""งบพรบ!CW107"")"),0)</f>
        <v>0</v>
      </c>
      <c r="G107" s="265">
        <f ca="1">IFERROR(__xludf.DUMMYFUNCTION("IMPORTRANGE(""https://docs.google.com/spreadsheets/d/1-uDff_7J0KD5mKrp0Vvzr7lt3OU09vwQwhkpOPPYv2Y/edit?usp=sharing"",""งบพรบ!CX107"")"),0)</f>
        <v>0</v>
      </c>
      <c r="H107" s="265">
        <f ca="1">IFERROR(__xludf.DUMMYFUNCTION("IMPORTRANGE(""https://docs.google.com/spreadsheets/d/1-uDff_7J0KD5mKrp0Vvzr7lt3OU09vwQwhkpOPPYv2Y/edit?usp=sharing"",""งบพรบ!CZ107"")"),0)</f>
        <v>0</v>
      </c>
      <c r="I107" s="265">
        <f ca="1">IFERROR(__xludf.DUMMYFUNCTION("IMPORTRANGE(""https://docs.google.com/spreadsheets/d/1-uDff_7J0KD5mKrp0Vvzr7lt3OU09vwQwhkpOPPYv2Y/edit?usp=sharing"",""งบพรบ!DA107"")"),0)</f>
        <v>0</v>
      </c>
      <c r="J107" s="265">
        <f t="shared" ca="1" si="238"/>
        <v>0</v>
      </c>
      <c r="K107" s="266">
        <f t="shared" ca="1" si="239"/>
        <v>0</v>
      </c>
      <c r="L107" s="265">
        <f ca="1">IFERROR(__xludf.DUMMYFUNCTION("IMPORTRANGE(""https://docs.google.com/spreadsheets/d/1-uDff_7J0KD5mKrp0Vvzr7lt3OU09vwQwhkpOPPYv2Y/edit?usp=sharing"",""งบพรบ!DB107"")"),0)</f>
        <v>0</v>
      </c>
      <c r="M107" s="206">
        <f t="shared" ca="1" si="240"/>
        <v>0</v>
      </c>
      <c r="N107" s="206">
        <f t="shared" ca="1" si="241"/>
        <v>0</v>
      </c>
      <c r="O107" s="205">
        <f ca="1">IFERROR(__xludf.DUMMYFUNCTION("IMPORTRANGE(""https://docs.google.com/spreadsheets/d/1-uDff_7J0KD5mKrp0Vvzr7lt3OU09vwQwhkpOPPYv2Y/edit?usp=sharing"",""งบพรบ!DC107"")"),0)</f>
        <v>0</v>
      </c>
      <c r="P107" s="205">
        <f t="shared" ca="1" si="242"/>
        <v>0</v>
      </c>
      <c r="Q107" s="206">
        <f t="shared" ca="1" si="243"/>
        <v>0</v>
      </c>
      <c r="R107" s="205">
        <v>0</v>
      </c>
      <c r="S107" s="205">
        <v>0</v>
      </c>
      <c r="T107" s="205">
        <v>0</v>
      </c>
      <c r="U107" s="206">
        <f t="shared" si="99"/>
        <v>0</v>
      </c>
      <c r="V107" s="206">
        <f t="shared" si="100"/>
        <v>0</v>
      </c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5"/>
      <c r="BF107" s="175"/>
      <c r="BG107" s="175"/>
      <c r="BH107" s="175"/>
      <c r="BI107" s="175"/>
      <c r="BJ107" s="175"/>
      <c r="BK107" s="175"/>
      <c r="BL107" s="175"/>
      <c r="BM107" s="175"/>
      <c r="BN107" s="175"/>
      <c r="BO107" s="175"/>
      <c r="BP107" s="175"/>
      <c r="BQ107" s="175"/>
      <c r="BR107" s="175"/>
      <c r="BS107" s="175"/>
      <c r="BT107" s="175"/>
      <c r="BU107" s="175"/>
      <c r="BV107" s="175"/>
      <c r="BW107" s="175"/>
      <c r="BX107" s="175"/>
      <c r="BY107" s="175"/>
      <c r="BZ107" s="175"/>
      <c r="CA107" s="175"/>
      <c r="CB107" s="175"/>
      <c r="CC107" s="175"/>
      <c r="CD107" s="175"/>
      <c r="CE107" s="175"/>
      <c r="CF107" s="175"/>
      <c r="CG107" s="175"/>
      <c r="CH107" s="175"/>
      <c r="CI107" s="175"/>
      <c r="CJ107" s="175"/>
      <c r="CK107" s="175"/>
      <c r="CL107" s="175"/>
      <c r="CM107" s="267"/>
      <c r="CN107" s="267"/>
      <c r="CO107" s="175"/>
      <c r="CP107" s="175"/>
      <c r="CQ107" s="175"/>
      <c r="CR107" s="175"/>
      <c r="CS107" s="175"/>
      <c r="CT107" s="175"/>
      <c r="CU107" s="175"/>
      <c r="CV107" s="175"/>
      <c r="CW107" s="175"/>
    </row>
    <row r="108" spans="1:101" ht="24" customHeight="1" x14ac:dyDescent="0.3">
      <c r="A108" s="268"/>
      <c r="B108" s="269" t="s">
        <v>135</v>
      </c>
      <c r="C108" s="193">
        <f t="shared" ca="1" si="236"/>
        <v>0</v>
      </c>
      <c r="D108" s="194">
        <f t="shared" ca="1" si="237"/>
        <v>0</v>
      </c>
      <c r="E108" s="270">
        <f ca="1">IFERROR(__xludf.DUMMYFUNCTION("IMPORTRANGE(""https://docs.google.com/spreadsheets/d/1-uDff_7J0KD5mKrp0Vvzr7lt3OU09vwQwhkpOPPYv2Y/edit?usp=sharing"",""งบพรบ!CV108"")"),0)</f>
        <v>0</v>
      </c>
      <c r="F108" s="270">
        <f ca="1">IFERROR(__xludf.DUMMYFUNCTION("IMPORTRANGE(""https://docs.google.com/spreadsheets/d/1-uDff_7J0KD5mKrp0Vvzr7lt3OU09vwQwhkpOPPYv2Y/edit?usp=sharing"",""งบพรบ!CW108"")"),0)</f>
        <v>0</v>
      </c>
      <c r="G108" s="270">
        <f ca="1">IFERROR(__xludf.DUMMYFUNCTION("IMPORTRANGE(""https://docs.google.com/spreadsheets/d/1-uDff_7J0KD5mKrp0Vvzr7lt3OU09vwQwhkpOPPYv2Y/edit?usp=sharing"",""งบพรบ!CX108"")"),0)</f>
        <v>0</v>
      </c>
      <c r="H108" s="270">
        <f ca="1">IFERROR(__xludf.DUMMYFUNCTION("IMPORTRANGE(""https://docs.google.com/spreadsheets/d/1-uDff_7J0KD5mKrp0Vvzr7lt3OU09vwQwhkpOPPYv2Y/edit?usp=sharing"",""งบพรบ!CZ108"")"),0)</f>
        <v>0</v>
      </c>
      <c r="I108" s="270">
        <f ca="1">IFERROR(__xludf.DUMMYFUNCTION("IMPORTRANGE(""https://docs.google.com/spreadsheets/d/1-uDff_7J0KD5mKrp0Vvzr7lt3OU09vwQwhkpOPPYv2Y/edit?usp=sharing"",""งบพรบ!DA108"")"),0)</f>
        <v>0</v>
      </c>
      <c r="J108" s="270">
        <f t="shared" ca="1" si="238"/>
        <v>0</v>
      </c>
      <c r="K108" s="271">
        <f t="shared" ca="1" si="239"/>
        <v>0</v>
      </c>
      <c r="L108" s="270">
        <f ca="1">IFERROR(__xludf.DUMMYFUNCTION("IMPORTRANGE(""https://docs.google.com/spreadsheets/d/1-uDff_7J0KD5mKrp0Vvzr7lt3OU09vwQwhkpOPPYv2Y/edit?usp=sharing"",""งบพรบ!DB108"")"),0)</f>
        <v>0</v>
      </c>
      <c r="M108" s="209">
        <f t="shared" ca="1" si="240"/>
        <v>0</v>
      </c>
      <c r="N108" s="209">
        <f t="shared" ca="1" si="241"/>
        <v>0</v>
      </c>
      <c r="O108" s="208">
        <f ca="1">IFERROR(__xludf.DUMMYFUNCTION("IMPORTRANGE(""https://docs.google.com/spreadsheets/d/1-uDff_7J0KD5mKrp0Vvzr7lt3OU09vwQwhkpOPPYv2Y/edit?usp=sharing"",""งบพรบ!DC108"")"),0)</f>
        <v>0</v>
      </c>
      <c r="P108" s="208">
        <f t="shared" ca="1" si="242"/>
        <v>0</v>
      </c>
      <c r="Q108" s="209">
        <f t="shared" ca="1" si="243"/>
        <v>0</v>
      </c>
      <c r="R108" s="208">
        <v>0</v>
      </c>
      <c r="S108" s="208">
        <v>0</v>
      </c>
      <c r="T108" s="208">
        <v>0</v>
      </c>
      <c r="U108" s="209">
        <f t="shared" si="99"/>
        <v>0</v>
      </c>
      <c r="V108" s="209">
        <f t="shared" si="100"/>
        <v>0</v>
      </c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222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72"/>
      <c r="CN108" s="272"/>
      <c r="CO108" s="222"/>
      <c r="CP108" s="222"/>
      <c r="CQ108" s="222"/>
      <c r="CR108" s="222"/>
      <c r="CS108" s="222"/>
      <c r="CT108" s="222"/>
      <c r="CU108" s="222"/>
      <c r="CV108" s="222"/>
      <c r="CW108" s="222"/>
    </row>
  </sheetData>
  <mergeCells count="86">
    <mergeCell ref="CB5:CC5"/>
    <mergeCell ref="CE5:CF5"/>
    <mergeCell ref="BM5:BN5"/>
    <mergeCell ref="BP5:BQ5"/>
    <mergeCell ref="BS5:BT5"/>
    <mergeCell ref="BV5:BW5"/>
    <mergeCell ref="BY5:BZ5"/>
    <mergeCell ref="AW3:BN3"/>
    <mergeCell ref="BO3:CC3"/>
    <mergeCell ref="A2:B6"/>
    <mergeCell ref="C2:V2"/>
    <mergeCell ref="W2:CW2"/>
    <mergeCell ref="R3:V3"/>
    <mergeCell ref="W3:AE3"/>
    <mergeCell ref="AF3:AV3"/>
    <mergeCell ref="CD3:CW3"/>
    <mergeCell ref="AS5:AT5"/>
    <mergeCell ref="AU5:AV5"/>
    <mergeCell ref="AX5:AY5"/>
    <mergeCell ref="BA5:BB5"/>
    <mergeCell ref="BD5:BE5"/>
    <mergeCell ref="BG5:BH5"/>
    <mergeCell ref="BJ5:BK5"/>
    <mergeCell ref="CP4:CR4"/>
    <mergeCell ref="CN5:CO5"/>
    <mergeCell ref="CQ5:CR5"/>
    <mergeCell ref="CS4:CU4"/>
    <mergeCell ref="CV4:CW4"/>
    <mergeCell ref="CT5:CU5"/>
    <mergeCell ref="CG4:CI4"/>
    <mergeCell ref="CJ4:CL4"/>
    <mergeCell ref="CH5:CI5"/>
    <mergeCell ref="CK5:CL5"/>
    <mergeCell ref="CM4:CO4"/>
    <mergeCell ref="AL4:AN4"/>
    <mergeCell ref="AO4:AQ4"/>
    <mergeCell ref="AP5:AQ5"/>
    <mergeCell ref="F5:F6"/>
    <mergeCell ref="G5:G6"/>
    <mergeCell ref="J5:K5"/>
    <mergeCell ref="L5:N5"/>
    <mergeCell ref="O5:Q5"/>
    <mergeCell ref="X5:Y5"/>
    <mergeCell ref="AA5:AB5"/>
    <mergeCell ref="AG5:AH5"/>
    <mergeCell ref="AJ5:AK5"/>
    <mergeCell ref="AM5:AN5"/>
    <mergeCell ref="A89:B89"/>
    <mergeCell ref="C3:Q3"/>
    <mergeCell ref="C4:G4"/>
    <mergeCell ref="H4:I4"/>
    <mergeCell ref="J4:Q4"/>
    <mergeCell ref="C5:C6"/>
    <mergeCell ref="D5:D6"/>
    <mergeCell ref="E5:E6"/>
    <mergeCell ref="A7:B7"/>
    <mergeCell ref="A13:B13"/>
    <mergeCell ref="A31:B31"/>
    <mergeCell ref="A52:B52"/>
    <mergeCell ref="A74:B74"/>
    <mergeCell ref="BU4:BW4"/>
    <mergeCell ref="BX4:BZ4"/>
    <mergeCell ref="CA4:CC4"/>
    <mergeCell ref="CD4:CF4"/>
    <mergeCell ref="H5:H6"/>
    <mergeCell ref="I5:I6"/>
    <mergeCell ref="R4:R6"/>
    <mergeCell ref="S4:S6"/>
    <mergeCell ref="T4:T6"/>
    <mergeCell ref="U4:U6"/>
    <mergeCell ref="V4:V6"/>
    <mergeCell ref="W4:Y4"/>
    <mergeCell ref="Z4:AB4"/>
    <mergeCell ref="AC4:AE4"/>
    <mergeCell ref="AF4:AH4"/>
    <mergeCell ref="AI4:AK4"/>
    <mergeCell ref="BF4:BH4"/>
    <mergeCell ref="BI4:BK4"/>
    <mergeCell ref="BL4:BN4"/>
    <mergeCell ref="BO4:BQ4"/>
    <mergeCell ref="BR4:BT4"/>
    <mergeCell ref="AR4:AT4"/>
    <mergeCell ref="AU4:AV4"/>
    <mergeCell ref="AW4:AY4"/>
    <mergeCell ref="AZ4:BB4"/>
    <mergeCell ref="BC4:BE4"/>
  </mergeCells>
  <conditionalFormatting sqref="K14:K30 K26 K32:K51 K53:K73 K75:K88 K90:K108">
    <cfRule type="colorScale" priority="3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U14:U108">
    <cfRule type="colorScale" priority="2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AB14:AB30 AT14:AT30 BK14:BK30 BN14:BN30 BZ14:BZ30 CU14:CU30 AB32:AB51 AT32:AT51 BK32:BK51 BN32:BN51 BZ32:BZ51 CU32:CU51 AB53:AB73 AT53:AT73 BK53:BK73 BN53:BN73 BZ53:BZ73 CU53:CU73 AB75:AB88 AT75:AT88 BK75:BK88 BN75:BN88 BZ75:BZ88 CU75:CU88">
    <cfRule type="colorScale" priority="1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tabColor rgb="FF00FF00"/>
    <outlinePr summaryBelow="0" summaryRight="0"/>
  </sheetPr>
  <dimension ref="A1:AB124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18" width="16.42578125" customWidth="1"/>
    <col min="19" max="20" width="13.85546875" customWidth="1"/>
    <col min="23" max="28" width="14.140625" customWidth="1"/>
  </cols>
  <sheetData>
    <row r="1" spans="1:28" ht="19.5" x14ac:dyDescent="0.3">
      <c r="A1" s="1" t="s">
        <v>0</v>
      </c>
      <c r="B1" s="114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6"/>
      <c r="N1" s="116"/>
      <c r="O1" s="117"/>
      <c r="P1" s="117"/>
      <c r="Q1" s="117"/>
      <c r="R1" s="117"/>
      <c r="S1" s="117"/>
      <c r="T1" s="117"/>
      <c r="U1" s="117"/>
      <c r="V1" s="117"/>
      <c r="W1" s="114"/>
      <c r="X1" s="114"/>
      <c r="Y1" s="114"/>
      <c r="Z1" s="114"/>
      <c r="AA1" s="114"/>
      <c r="AB1" s="114"/>
    </row>
    <row r="2" spans="1:28" ht="19.5" x14ac:dyDescent="0.2">
      <c r="A2" s="692" t="s">
        <v>1</v>
      </c>
      <c r="B2" s="658"/>
      <c r="C2" s="689" t="s">
        <v>197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90" t="s">
        <v>198</v>
      </c>
      <c r="X2" s="646"/>
      <c r="Y2" s="646"/>
      <c r="Z2" s="646"/>
      <c r="AA2" s="646"/>
      <c r="AB2" s="647"/>
    </row>
    <row r="3" spans="1:28" ht="19.5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645" t="s">
        <v>5</v>
      </c>
      <c r="S3" s="646"/>
      <c r="T3" s="646"/>
      <c r="U3" s="646"/>
      <c r="V3" s="647"/>
      <c r="W3" s="687" t="s">
        <v>199</v>
      </c>
      <c r="X3" s="674"/>
      <c r="Y3" s="658"/>
      <c r="Z3" s="687" t="s">
        <v>200</v>
      </c>
      <c r="AA3" s="674"/>
      <c r="AB3" s="658"/>
    </row>
    <row r="4" spans="1:28" ht="19.5" x14ac:dyDescent="0.2">
      <c r="A4" s="659"/>
      <c r="B4" s="660"/>
      <c r="C4" s="684" t="s">
        <v>8</v>
      </c>
      <c r="D4" s="646"/>
      <c r="E4" s="646"/>
      <c r="F4" s="646"/>
      <c r="G4" s="647"/>
      <c r="H4" s="685" t="s">
        <v>9</v>
      </c>
      <c r="I4" s="647"/>
      <c r="J4" s="686" t="s">
        <v>10</v>
      </c>
      <c r="K4" s="646"/>
      <c r="L4" s="646"/>
      <c r="M4" s="646"/>
      <c r="N4" s="646"/>
      <c r="O4" s="646"/>
      <c r="P4" s="646"/>
      <c r="Q4" s="647"/>
      <c r="R4" s="648" t="s">
        <v>11</v>
      </c>
      <c r="S4" s="651" t="s">
        <v>12</v>
      </c>
      <c r="T4" s="652" t="s">
        <v>13</v>
      </c>
      <c r="U4" s="652" t="s">
        <v>14</v>
      </c>
      <c r="V4" s="652" t="s">
        <v>15</v>
      </c>
      <c r="W4" s="661"/>
      <c r="X4" s="675"/>
      <c r="Y4" s="662"/>
      <c r="Z4" s="661"/>
      <c r="AA4" s="675"/>
      <c r="AB4" s="662"/>
    </row>
    <row r="5" spans="1:28" ht="19.5" x14ac:dyDescent="0.2">
      <c r="A5" s="659"/>
      <c r="B5" s="660"/>
      <c r="C5" s="693" t="s">
        <v>20</v>
      </c>
      <c r="D5" s="699" t="s">
        <v>21</v>
      </c>
      <c r="E5" s="700" t="s">
        <v>22</v>
      </c>
      <c r="F5" s="701" t="s">
        <v>23</v>
      </c>
      <c r="G5" s="702" t="s">
        <v>24</v>
      </c>
      <c r="H5" s="703" t="s">
        <v>25</v>
      </c>
      <c r="I5" s="703" t="s">
        <v>26</v>
      </c>
      <c r="J5" s="704" t="s">
        <v>27</v>
      </c>
      <c r="K5" s="647"/>
      <c r="L5" s="704" t="s">
        <v>25</v>
      </c>
      <c r="M5" s="646"/>
      <c r="N5" s="647"/>
      <c r="O5" s="691" t="s">
        <v>26</v>
      </c>
      <c r="P5" s="646"/>
      <c r="Q5" s="647"/>
      <c r="R5" s="649"/>
      <c r="S5" s="649"/>
      <c r="T5" s="649"/>
      <c r="U5" s="649"/>
      <c r="V5" s="649"/>
      <c r="W5" s="119" t="s">
        <v>28</v>
      </c>
      <c r="X5" s="688" t="s">
        <v>29</v>
      </c>
      <c r="Y5" s="647"/>
      <c r="Z5" s="119" t="s">
        <v>28</v>
      </c>
      <c r="AA5" s="688" t="s">
        <v>29</v>
      </c>
      <c r="AB5" s="647"/>
    </row>
    <row r="6" spans="1:28" ht="19.5" x14ac:dyDescent="0.2">
      <c r="A6" s="661"/>
      <c r="B6" s="662"/>
      <c r="C6" s="650"/>
      <c r="D6" s="650"/>
      <c r="E6" s="650"/>
      <c r="F6" s="650"/>
      <c r="G6" s="650"/>
      <c r="H6" s="650"/>
      <c r="I6" s="650"/>
      <c r="J6" s="120" t="s">
        <v>30</v>
      </c>
      <c r="K6" s="121" t="s">
        <v>31</v>
      </c>
      <c r="L6" s="120" t="s">
        <v>30</v>
      </c>
      <c r="M6" s="122" t="s">
        <v>32</v>
      </c>
      <c r="N6" s="122" t="s">
        <v>33</v>
      </c>
      <c r="O6" s="123" t="s">
        <v>30</v>
      </c>
      <c r="P6" s="122" t="s">
        <v>32</v>
      </c>
      <c r="Q6" s="122" t="s">
        <v>33</v>
      </c>
      <c r="R6" s="650"/>
      <c r="S6" s="650"/>
      <c r="T6" s="650"/>
      <c r="U6" s="650"/>
      <c r="V6" s="650"/>
      <c r="W6" s="124" t="s">
        <v>35</v>
      </c>
      <c r="X6" s="125" t="s">
        <v>35</v>
      </c>
      <c r="Y6" s="125" t="s">
        <v>31</v>
      </c>
      <c r="Z6" s="124" t="s">
        <v>35</v>
      </c>
      <c r="AA6" s="125" t="s">
        <v>35</v>
      </c>
      <c r="AB6" s="125" t="s">
        <v>31</v>
      </c>
    </row>
    <row r="7" spans="1:28" ht="19.5" x14ac:dyDescent="0.3">
      <c r="A7" s="694" t="s">
        <v>38</v>
      </c>
      <c r="B7" s="647"/>
      <c r="C7" s="126">
        <f t="shared" ref="C7:C9" ca="1" si="0">D7+G7</f>
        <v>4016300</v>
      </c>
      <c r="D7" s="127">
        <f t="shared" ref="D7:E7" ca="1" si="1">D8+D9+D12</f>
        <v>4016300</v>
      </c>
      <c r="E7" s="128">
        <f t="shared" ca="1" si="1"/>
        <v>1807300</v>
      </c>
      <c r="F7" s="129">
        <f ca="1">F8+F9</f>
        <v>2209000</v>
      </c>
      <c r="G7" s="130">
        <f t="shared" ref="G7:I7" ca="1" si="2">G8+G9+G12</f>
        <v>0</v>
      </c>
      <c r="H7" s="131">
        <f t="shared" ca="1" si="2"/>
        <v>4016300</v>
      </c>
      <c r="I7" s="131">
        <f t="shared" ca="1" si="2"/>
        <v>0</v>
      </c>
      <c r="J7" s="132">
        <f t="shared" ref="J7:J9" ca="1" si="3">L7+O7</f>
        <v>2760864.35</v>
      </c>
      <c r="K7" s="133">
        <f t="shared" ref="K7:K9" ca="1" si="4">IF(C7&gt;0,J7*100/C7,0)</f>
        <v>68.741487189701971</v>
      </c>
      <c r="L7" s="132">
        <f ca="1">L8+L9+L12</f>
        <v>2760864.35</v>
      </c>
      <c r="M7" s="27">
        <f t="shared" ref="M7:M9" ca="1" si="5">IF(D7&gt;0,L7*100/D7,0)</f>
        <v>68.741487189701971</v>
      </c>
      <c r="N7" s="27">
        <f t="shared" ref="N7:N9" ca="1" si="6">IF(H7&gt;0,L7*100/H7,0)</f>
        <v>68.741487189701971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3669760</v>
      </c>
      <c r="S7" s="26">
        <f t="shared" ca="1" si="9"/>
        <v>3617636</v>
      </c>
      <c r="T7" s="26">
        <f t="shared" ca="1" si="9"/>
        <v>3154239.5</v>
      </c>
      <c r="U7" s="27">
        <f t="shared" ref="U7:U9" ca="1" si="10">IF(R7&gt;0,T7*100/R7,0)</f>
        <v>85.952201233868152</v>
      </c>
      <c r="V7" s="27">
        <f t="shared" ref="V7:V9" ca="1" si="11">IF(S7&gt;0,T7*100/S7,0)</f>
        <v>87.190626696549899</v>
      </c>
      <c r="W7" s="28">
        <f t="shared" ref="W7:X7" ca="1" si="12">W8</f>
        <v>1600</v>
      </c>
      <c r="X7" s="29">
        <f t="shared" ca="1" si="12"/>
        <v>1510</v>
      </c>
      <c r="Y7" s="212">
        <f t="shared" ref="Y7:Y8" ca="1" si="13">IF(W7&gt;0,X7*100/W7,0)</f>
        <v>94.375</v>
      </c>
      <c r="Z7" s="28">
        <f t="shared" ref="Z7:AA7" ca="1" si="14">Z9</f>
        <v>0</v>
      </c>
      <c r="AA7" s="29">
        <f t="shared" ca="1" si="14"/>
        <v>0</v>
      </c>
      <c r="AB7" s="212">
        <f t="shared" ref="AB7:AB9" ca="1" si="15">IF(Z7&gt;0,AA7*100/Z7,0)</f>
        <v>0</v>
      </c>
    </row>
    <row r="8" spans="1:28" ht="19.5" x14ac:dyDescent="0.3">
      <c r="A8" s="134" t="s">
        <v>39</v>
      </c>
      <c r="B8" s="135"/>
      <c r="C8" s="136">
        <f t="shared" ca="1" si="0"/>
        <v>360000</v>
      </c>
      <c r="D8" s="136">
        <f t="shared" ref="D8:I8" ca="1" si="16">+D13+D31+D52+D74</f>
        <v>360000</v>
      </c>
      <c r="E8" s="136">
        <f t="shared" ca="1" si="16"/>
        <v>0</v>
      </c>
      <c r="F8" s="136">
        <f t="shared" ca="1" si="16"/>
        <v>360000</v>
      </c>
      <c r="G8" s="136">
        <f t="shared" ca="1" si="16"/>
        <v>0</v>
      </c>
      <c r="H8" s="136">
        <f t="shared" ca="1" si="16"/>
        <v>1411695</v>
      </c>
      <c r="I8" s="136">
        <f t="shared" ca="1" si="16"/>
        <v>0</v>
      </c>
      <c r="J8" s="136">
        <f t="shared" ca="1" si="3"/>
        <v>996382</v>
      </c>
      <c r="K8" s="137">
        <f t="shared" ca="1" si="4"/>
        <v>276.77277777777778</v>
      </c>
      <c r="L8" s="136">
        <f ca="1">+L13+L31+L52+L74</f>
        <v>996382</v>
      </c>
      <c r="M8" s="37">
        <f t="shared" ca="1" si="5"/>
        <v>276.77277777777778</v>
      </c>
      <c r="N8" s="37">
        <f t="shared" ca="1" si="6"/>
        <v>70.58054324765618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17">+R13+R31+R52+R74</f>
        <v>3669760</v>
      </c>
      <c r="S8" s="36">
        <f t="shared" ca="1" si="17"/>
        <v>3617636</v>
      </c>
      <c r="T8" s="36">
        <f t="shared" ca="1" si="17"/>
        <v>3154239.5</v>
      </c>
      <c r="U8" s="37">
        <f t="shared" ca="1" si="10"/>
        <v>85.952201233868152</v>
      </c>
      <c r="V8" s="37">
        <f t="shared" ca="1" si="11"/>
        <v>87.190626696549899</v>
      </c>
      <c r="W8" s="32">
        <f t="shared" ref="W8:X8" ca="1" si="18">+W13+W31+W52+W74</f>
        <v>1600</v>
      </c>
      <c r="X8" s="32">
        <f t="shared" ca="1" si="18"/>
        <v>1510</v>
      </c>
      <c r="Y8" s="136">
        <f t="shared" ca="1" si="13"/>
        <v>94.375</v>
      </c>
      <c r="Z8" s="32">
        <f t="shared" ref="Z8:AA8" si="19">+Z13+Z31+Z52+Z74</f>
        <v>0</v>
      </c>
      <c r="AA8" s="32">
        <f t="shared" si="19"/>
        <v>0</v>
      </c>
      <c r="AB8" s="136">
        <f t="shared" si="15"/>
        <v>0</v>
      </c>
    </row>
    <row r="9" spans="1:28" ht="19.5" x14ac:dyDescent="0.3">
      <c r="A9" s="38" t="s">
        <v>40</v>
      </c>
      <c r="B9" s="138"/>
      <c r="C9" s="139">
        <f t="shared" ca="1" si="0"/>
        <v>3656300</v>
      </c>
      <c r="D9" s="139">
        <f t="shared" ref="D9:I9" ca="1" si="20">+D89</f>
        <v>3656300</v>
      </c>
      <c r="E9" s="139">
        <f t="shared" ca="1" si="20"/>
        <v>1807300</v>
      </c>
      <c r="F9" s="139">
        <f t="shared" ca="1" si="20"/>
        <v>1849000</v>
      </c>
      <c r="G9" s="139">
        <f t="shared" ca="1" si="20"/>
        <v>0</v>
      </c>
      <c r="H9" s="139">
        <f t="shared" ca="1" si="20"/>
        <v>2604605</v>
      </c>
      <c r="I9" s="139">
        <f t="shared" ca="1" si="20"/>
        <v>0</v>
      </c>
      <c r="J9" s="139">
        <f t="shared" ca="1" si="3"/>
        <v>1764482.35</v>
      </c>
      <c r="K9" s="140">
        <f t="shared" ca="1" si="4"/>
        <v>48.258686376938435</v>
      </c>
      <c r="L9" s="139">
        <f ca="1">+L89</f>
        <v>1764482.35</v>
      </c>
      <c r="M9" s="44">
        <f t="shared" ca="1" si="5"/>
        <v>48.258686376938435</v>
      </c>
      <c r="N9" s="44">
        <f t="shared" ca="1" si="6"/>
        <v>67.74471944882238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ca="1">IFERROR(__xludf.DUMMYFUNCTION("IMPORTRANGE(""https://docs.google.com/spreadsheets/d/1ItG2mGa2ceCfYo0BwxsXqNm01IGEUdYcSSLTEv9YCik/edit?usp=sharing"",""เบิกจ่ายกองทุน!AP11"")"),0)</f>
        <v>0</v>
      </c>
      <c r="S9" s="43">
        <f ca="1">IFERROR(__xludf.DUMMYFUNCTION("IMPORTRANGE(""https://docs.google.com/spreadsheets/d/1ItG2mGa2ceCfYo0BwxsXqNm01IGEUdYcSSLTEv9YCik/edit?usp=sharing"",""เบิกจ่ายกองทุน!AQ11"")"),0)</f>
        <v>0</v>
      </c>
      <c r="T9" s="43">
        <f ca="1">IFERROR(__xludf.DUMMYFUNCTION("IMPORTRANGE(""https://docs.google.com/spreadsheets/d/1ItG2mGa2ceCfYo0BwxsXqNm01IGEUdYcSSLTEv9YCik/edit?usp=sharing"",""เบิกจ่ายกองทุน!AR11"")"),0)</f>
        <v>0</v>
      </c>
      <c r="U9" s="44">
        <f t="shared" ca="1" si="10"/>
        <v>0</v>
      </c>
      <c r="V9" s="44">
        <f t="shared" ca="1" si="11"/>
        <v>0</v>
      </c>
      <c r="W9" s="39">
        <v>0</v>
      </c>
      <c r="X9" s="39">
        <v>0</v>
      </c>
      <c r="Y9" s="139">
        <v>0</v>
      </c>
      <c r="Z9" s="39">
        <f ca="1">IFERROR(__xludf.DUMMYFUNCTION("IMPORTRANGE(""https://docs.google.com/spreadsheets/d/1W-HhGofCdyidljablT5AVQ143BAUWsE-bKbHVeok6Og/edit?usp=sharing"",""ทั้งประเทศ!I277"")"),0)</f>
        <v>0</v>
      </c>
      <c r="AA9" s="39">
        <f ca="1">IFERROR(__xludf.DUMMYFUNCTION("IMPORTRANGE(""https://docs.google.com/spreadsheets/d/1W-HhGofCdyidljablT5AVQ143BAUWsE-bKbHVeok6Og/edit?usp=sharing"",""ทั้งประเทศ!J277"")"),0)</f>
        <v>0</v>
      </c>
      <c r="AB9" s="139">
        <f t="shared" ca="1" si="15"/>
        <v>0</v>
      </c>
    </row>
    <row r="10" spans="1:28" ht="19.5" hidden="1" x14ac:dyDescent="0.3">
      <c r="A10" s="141"/>
      <c r="B10" s="142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50"/>
      <c r="S10" s="50"/>
      <c r="T10" s="50"/>
      <c r="U10" s="51"/>
      <c r="V10" s="51"/>
      <c r="W10" s="46"/>
      <c r="X10" s="46"/>
      <c r="Y10" s="143"/>
      <c r="Z10" s="46"/>
      <c r="AA10" s="46"/>
      <c r="AB10" s="143"/>
    </row>
    <row r="11" spans="1:28" ht="19.5" hidden="1" x14ac:dyDescent="0.3">
      <c r="A11" s="141"/>
      <c r="B11" s="142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50"/>
      <c r="S11" s="50"/>
      <c r="T11" s="50"/>
      <c r="U11" s="51"/>
      <c r="V11" s="51"/>
      <c r="W11" s="46"/>
      <c r="X11" s="46"/>
      <c r="Y11" s="143"/>
      <c r="Z11" s="46"/>
      <c r="AA11" s="46"/>
      <c r="AB11" s="143"/>
    </row>
    <row r="12" spans="1:28" ht="19.5" hidden="1" x14ac:dyDescent="0.3">
      <c r="A12" s="141"/>
      <c r="B12" s="142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50"/>
      <c r="S12" s="50"/>
      <c r="T12" s="50"/>
      <c r="U12" s="51"/>
      <c r="V12" s="51"/>
      <c r="W12" s="46"/>
      <c r="X12" s="46"/>
      <c r="Y12" s="143"/>
      <c r="Z12" s="46"/>
      <c r="AA12" s="46"/>
      <c r="AB12" s="143"/>
    </row>
    <row r="13" spans="1:28" ht="19.5" x14ac:dyDescent="0.3">
      <c r="A13" s="695" t="s">
        <v>41</v>
      </c>
      <c r="B13" s="647"/>
      <c r="C13" s="145">
        <f t="shared" ref="C13:C88" ca="1" si="21">D13+G13</f>
        <v>85000</v>
      </c>
      <c r="D13" s="145">
        <f t="shared" ref="D13:I13" ca="1" si="22">SUM(D14:D30)</f>
        <v>85000</v>
      </c>
      <c r="E13" s="145">
        <f t="shared" ca="1" si="22"/>
        <v>0</v>
      </c>
      <c r="F13" s="145">
        <f t="shared" ca="1" si="22"/>
        <v>85000</v>
      </c>
      <c r="G13" s="145">
        <f t="shared" ca="1" si="22"/>
        <v>0</v>
      </c>
      <c r="H13" s="145">
        <f t="shared" ca="1" si="22"/>
        <v>342100</v>
      </c>
      <c r="I13" s="145">
        <f t="shared" ca="1" si="22"/>
        <v>0</v>
      </c>
      <c r="J13" s="145">
        <f t="shared" ref="J13:J88" ca="1" si="23">L13+O13</f>
        <v>239061</v>
      </c>
      <c r="K13" s="146">
        <f t="shared" ref="K13:K88" ca="1" si="24">IF(C13&gt;0,J13*100/C13,0)</f>
        <v>281.24823529411765</v>
      </c>
      <c r="L13" s="145">
        <f ca="1">SUM(L14:L30)</f>
        <v>239061</v>
      </c>
      <c r="M13" s="57">
        <f t="shared" ref="M13:M88" ca="1" si="25">IF(D13&gt;0,L13*100/D13,0)</f>
        <v>281.24823529411765</v>
      </c>
      <c r="N13" s="57">
        <f t="shared" ref="N13:N88" ca="1" si="26">IF(H13&gt;0,L13*100/H13,0)</f>
        <v>69.880444314527921</v>
      </c>
      <c r="O13" s="56">
        <f ca="1">SUM(O14:O30)</f>
        <v>0</v>
      </c>
      <c r="P13" s="56">
        <f t="shared" ref="P13:P88" ca="1" si="27">IF(G13&gt;0,O13*100/G13,0)</f>
        <v>0</v>
      </c>
      <c r="Q13" s="57">
        <f t="shared" ref="Q13:Q88" ca="1" si="28">IF(I13&gt;0,O13*100/I13,0)</f>
        <v>0</v>
      </c>
      <c r="R13" s="56">
        <f t="shared" ref="R13:T13" ca="1" si="29">SUM(R14:R30)</f>
        <v>875120</v>
      </c>
      <c r="S13" s="56">
        <f t="shared" ca="1" si="29"/>
        <v>875120</v>
      </c>
      <c r="T13" s="56">
        <f t="shared" ca="1" si="29"/>
        <v>775209.5</v>
      </c>
      <c r="U13" s="57">
        <f t="shared" ref="U13:U108" ca="1" si="30">IF(R13&gt;0,T13*100/R13,0)</f>
        <v>88.583222872291799</v>
      </c>
      <c r="V13" s="57">
        <f t="shared" ref="V13:V108" ca="1" si="31">IF(S13&gt;0,T13*100/S13,0)</f>
        <v>88.583222872291799</v>
      </c>
      <c r="W13" s="52">
        <f t="shared" ref="W13:X13" ca="1" si="32">SUM(W14:W30)</f>
        <v>384</v>
      </c>
      <c r="X13" s="52">
        <f t="shared" ca="1" si="32"/>
        <v>383</v>
      </c>
      <c r="Y13" s="145">
        <f t="shared" ref="Y13:Y88" ca="1" si="33">IF(W13&gt;0,X13*100/W13,0)</f>
        <v>99.739583333333329</v>
      </c>
      <c r="Z13" s="52">
        <v>0</v>
      </c>
      <c r="AA13" s="52">
        <v>0</v>
      </c>
      <c r="AB13" s="145">
        <v>0</v>
      </c>
    </row>
    <row r="14" spans="1:28" ht="19.5" x14ac:dyDescent="0.3">
      <c r="A14" s="147">
        <v>1</v>
      </c>
      <c r="B14" s="148" t="s">
        <v>42</v>
      </c>
      <c r="C14" s="149">
        <f t="shared" ca="1" si="21"/>
        <v>5000</v>
      </c>
      <c r="D14" s="150">
        <f t="shared" ref="D14:D30" ca="1" si="34">+E14+F14</f>
        <v>5000</v>
      </c>
      <c r="E14" s="151">
        <f ca="1">IFERROR(__xludf.DUMMYFUNCTION("IMPORTRANGE(""https://docs.google.com/spreadsheets/d/1-uDff_7J0KD5mKrp0Vvzr7lt3OU09vwQwhkpOPPYv2Y/edit?usp=sharing"",""งบพรบ!DF14"")"),0)</f>
        <v>0</v>
      </c>
      <c r="F14" s="151">
        <f ca="1">IFERROR(__xludf.DUMMYFUNCTION("IMPORTRANGE(""https://docs.google.com/spreadsheets/d/1-uDff_7J0KD5mKrp0Vvzr7lt3OU09vwQwhkpOPPYv2Y/edit?usp=sharing"",""งบพรบ!DG14"")"),5000)</f>
        <v>5000</v>
      </c>
      <c r="G14" s="152">
        <f ca="1">IFERROR(__xludf.DUMMYFUNCTION("IMPORTRANGE(""https://docs.google.com/spreadsheets/d/1-uDff_7J0KD5mKrp0Vvzr7lt3OU09vwQwhkpOPPYv2Y/edit?usp=sharing"",""งบพรบ!DH14"")"),0)</f>
        <v>0</v>
      </c>
      <c r="H14" s="152">
        <f ca="1">IFERROR(__xludf.DUMMYFUNCTION("IMPORTRANGE(""https://docs.google.com/spreadsheets/d/1-uDff_7J0KD5mKrp0Vvzr7lt3OU09vwQwhkpOPPYv2Y/edit?usp=sharing"",""งบพรบ!DJ14"")"),19100)</f>
        <v>19100</v>
      </c>
      <c r="I14" s="152">
        <f ca="1">IFERROR(__xludf.DUMMYFUNCTION("IMPORTRANGE(""https://docs.google.com/spreadsheets/d/1-uDff_7J0KD5mKrp0Vvzr7lt3OU09vwQwhkpOPPYv2Y/edit?usp=sharing"",""งบพรบ!DK14"")"),0)</f>
        <v>0</v>
      </c>
      <c r="J14" s="152">
        <f t="shared" ca="1" si="23"/>
        <v>5000</v>
      </c>
      <c r="K14" s="153">
        <f t="shared" ca="1" si="24"/>
        <v>100</v>
      </c>
      <c r="L14" s="152">
        <f ca="1">IFERROR(__xludf.DUMMYFUNCTION("IMPORTRANGE(""https://docs.google.com/spreadsheets/d/1-uDff_7J0KD5mKrp0Vvzr7lt3OU09vwQwhkpOPPYv2Y/edit?usp=sharing"",""งบพรบ!DL14"")"),5000)</f>
        <v>5000</v>
      </c>
      <c r="M14" s="68">
        <f t="shared" ca="1" si="25"/>
        <v>100</v>
      </c>
      <c r="N14" s="68">
        <f t="shared" ca="1" si="26"/>
        <v>26.178010471204189</v>
      </c>
      <c r="O14" s="67">
        <f ca="1">IFERROR(__xludf.DUMMYFUNCTION("IMPORTRANGE(""https://docs.google.com/spreadsheets/d/1-uDff_7J0KD5mKrp0Vvzr7lt3OU09vwQwhkpOPPYv2Y/edit?usp=sharing"",""งบพรบ!DM14"")"),0)</f>
        <v>0</v>
      </c>
      <c r="P14" s="67">
        <f t="shared" ca="1" si="27"/>
        <v>0</v>
      </c>
      <c r="Q14" s="68">
        <f t="shared" ca="1" si="28"/>
        <v>0</v>
      </c>
      <c r="R14" s="67">
        <f ca="1">IFERROR(__xludf.DUMMYFUNCTION("IMPORTRANGE(""https://docs.google.com/spreadsheets/d/1jTcq05yEiRwXcBMLjiodW9e4biSGYWAHcDj22rKWQ3s/edit?usp=sharing"",""กำแพงเพชร!Q266"")"),50660)</f>
        <v>50660</v>
      </c>
      <c r="S14" s="67">
        <f ca="1">IFERROR(__xludf.DUMMYFUNCTION("IMPORTRANGE(""https://docs.google.com/spreadsheets/d/1jTcq05yEiRwXcBMLjiodW9e4biSGYWAHcDj22rKWQ3s/edit?usp=sharing"",""กำแพงเพชร!R266"")"),50660)</f>
        <v>50660</v>
      </c>
      <c r="T14" s="67">
        <f ca="1">IFERROR(__xludf.DUMMYFUNCTION("IMPORTRANGE(""https://docs.google.com/spreadsheets/d/1jTcq05yEiRwXcBMLjiodW9e4biSGYWAHcDj22rKWQ3s/edit?usp=sharing"",""กำแพงเพชร!S266"")"),44000)</f>
        <v>44000</v>
      </c>
      <c r="U14" s="68">
        <f t="shared" ca="1" si="30"/>
        <v>86.853533359652587</v>
      </c>
      <c r="V14" s="68">
        <f t="shared" ca="1" si="31"/>
        <v>86.853533359652587</v>
      </c>
      <c r="W14" s="62">
        <f ca="1">IFERROR(__xludf.DUMMYFUNCTION("IMPORTRANGE(""https://docs.google.com/spreadsheets/d/1jTcq05yEiRwXcBMLjiodW9e4biSGYWAHcDj22rKWQ3s/edit?usp=sharing"",""กำแพงเพชร!I276"")"),22)</f>
        <v>22</v>
      </c>
      <c r="X14" s="62">
        <f ca="1">IFERROR(__xludf.DUMMYFUNCTION("IMPORTRANGE(""https://docs.google.com/spreadsheets/d/1jTcq05yEiRwXcBMLjiodW9e4biSGYWAHcDj22rKWQ3s/edit?usp=sharing"",""กำแพงเพชร!J276"")"),22)</f>
        <v>22</v>
      </c>
      <c r="Y14" s="152">
        <f t="shared" ca="1" si="33"/>
        <v>100</v>
      </c>
      <c r="Z14" s="62">
        <v>0</v>
      </c>
      <c r="AA14" s="62">
        <v>0</v>
      </c>
      <c r="AB14" s="62">
        <v>0</v>
      </c>
    </row>
    <row r="15" spans="1:28" ht="19.5" x14ac:dyDescent="0.3">
      <c r="A15" s="147">
        <v>2</v>
      </c>
      <c r="B15" s="148" t="s">
        <v>43</v>
      </c>
      <c r="C15" s="149">
        <f t="shared" ca="1" si="21"/>
        <v>5000</v>
      </c>
      <c r="D15" s="150">
        <f t="shared" ca="1" si="34"/>
        <v>5000</v>
      </c>
      <c r="E15" s="151">
        <f ca="1">IFERROR(__xludf.DUMMYFUNCTION("IMPORTRANGE(""https://docs.google.com/spreadsheets/d/1-uDff_7J0KD5mKrp0Vvzr7lt3OU09vwQwhkpOPPYv2Y/edit?usp=sharing"",""งบพรบ!DF15"")"),0)</f>
        <v>0</v>
      </c>
      <c r="F15" s="151">
        <f ca="1">IFERROR(__xludf.DUMMYFUNCTION("IMPORTRANGE(""https://docs.google.com/spreadsheets/d/1-uDff_7J0KD5mKrp0Vvzr7lt3OU09vwQwhkpOPPYv2Y/edit?usp=sharing"",""งบพรบ!DG15"")"),5000)</f>
        <v>5000</v>
      </c>
      <c r="G15" s="151">
        <f ca="1">IFERROR(__xludf.DUMMYFUNCTION("IMPORTRANGE(""https://docs.google.com/spreadsheets/d/1-uDff_7J0KD5mKrp0Vvzr7lt3OU09vwQwhkpOPPYv2Y/edit?usp=sharing"",""งบพรบ!DH15"")"),0)</f>
        <v>0</v>
      </c>
      <c r="H15" s="151">
        <f ca="1">IFERROR(__xludf.DUMMYFUNCTION("IMPORTRANGE(""https://docs.google.com/spreadsheets/d/1-uDff_7J0KD5mKrp0Vvzr7lt3OU09vwQwhkpOPPYv2Y/edit?usp=sharing"",""งบพรบ!DJ15"")"),22800)</f>
        <v>22800</v>
      </c>
      <c r="I15" s="151">
        <f ca="1">IFERROR(__xludf.DUMMYFUNCTION("IMPORTRANGE(""https://docs.google.com/spreadsheets/d/1-uDff_7J0KD5mKrp0Vvzr7lt3OU09vwQwhkpOPPYv2Y/edit?usp=sharing"",""งบพรบ!DK15"")"),0)</f>
        <v>0</v>
      </c>
      <c r="J15" s="151">
        <f t="shared" ca="1" si="23"/>
        <v>17800</v>
      </c>
      <c r="K15" s="154">
        <f t="shared" ca="1" si="24"/>
        <v>356</v>
      </c>
      <c r="L15" s="151">
        <f ca="1">IFERROR(__xludf.DUMMYFUNCTION("IMPORTRANGE(""https://docs.google.com/spreadsheets/d/1-uDff_7J0KD5mKrp0Vvzr7lt3OU09vwQwhkpOPPYv2Y/edit?usp=sharing"",""งบพรบ!DL15"")"),17800)</f>
        <v>17800</v>
      </c>
      <c r="M15" s="68">
        <f t="shared" ca="1" si="25"/>
        <v>356</v>
      </c>
      <c r="N15" s="68">
        <f t="shared" ca="1" si="26"/>
        <v>78.070175438596493</v>
      </c>
      <c r="O15" s="67">
        <f ca="1">IFERROR(__xludf.DUMMYFUNCTION("IMPORTRANGE(""https://docs.google.com/spreadsheets/d/1-uDff_7J0KD5mKrp0Vvzr7lt3OU09vwQwhkpOPPYv2Y/edit?usp=sharing"",""งบพรบ!DM15"")"),0)</f>
        <v>0</v>
      </c>
      <c r="P15" s="67">
        <f t="shared" ca="1" si="27"/>
        <v>0</v>
      </c>
      <c r="Q15" s="68">
        <f t="shared" ca="1" si="28"/>
        <v>0</v>
      </c>
      <c r="R15" s="67">
        <f ca="1">IFERROR(__xludf.DUMMYFUNCTION("IMPORTRANGE(""https://docs.google.com/spreadsheets/d/1KS0zmDSZPk8KnTAbGN-Xk6MtX1YRZD0ldgdt20K4CRk/edit?usp=sharing"",""เชียงราย!Q266"")"),53440)</f>
        <v>53440</v>
      </c>
      <c r="S15" s="67">
        <f ca="1">IFERROR(__xludf.DUMMYFUNCTION("IMPORTRANGE(""https://docs.google.com/spreadsheets/d/1KS0zmDSZPk8KnTAbGN-Xk6MtX1YRZD0ldgdt20K4CRk/edit?usp=sharing"",""เชียงราย!R266"")"),53440)</f>
        <v>53440</v>
      </c>
      <c r="T15" s="67">
        <f ca="1">IFERROR(__xludf.DUMMYFUNCTION("IMPORTRANGE(""https://docs.google.com/spreadsheets/d/1KS0zmDSZPk8KnTAbGN-Xk6MtX1YRZD0ldgdt20K4CRk/edit?usp=sharing"",""เชียงราย!S266"")"),43610)</f>
        <v>43610</v>
      </c>
      <c r="U15" s="68">
        <f t="shared" ca="1" si="30"/>
        <v>81.605538922155688</v>
      </c>
      <c r="V15" s="68">
        <f t="shared" ca="1" si="31"/>
        <v>81.605538922155688</v>
      </c>
      <c r="W15" s="78">
        <f ca="1">IFERROR(__xludf.DUMMYFUNCTION("IMPORTRANGE(""https://docs.google.com/spreadsheets/d/1KS0zmDSZPk8KnTAbGN-Xk6MtX1YRZD0ldgdt20K4CRk/edit?usp=sharing"",""เชียงราย!I276"")"),24)</f>
        <v>24</v>
      </c>
      <c r="X15" s="78">
        <f ca="1">IFERROR(__xludf.DUMMYFUNCTION("IMPORTRANGE(""https://docs.google.com/spreadsheets/d/1KS0zmDSZPk8KnTAbGN-Xk6MtX1YRZD0ldgdt20K4CRk/edit?usp=sharing"",""เชียงราย!J276"")"),24)</f>
        <v>24</v>
      </c>
      <c r="Y15" s="152">
        <f t="shared" ca="1" si="33"/>
        <v>100</v>
      </c>
      <c r="Z15" s="78">
        <v>0</v>
      </c>
      <c r="AA15" s="78">
        <v>0</v>
      </c>
      <c r="AB15" s="78">
        <v>0</v>
      </c>
    </row>
    <row r="16" spans="1:28" ht="19.5" x14ac:dyDescent="0.3">
      <c r="A16" s="147">
        <v>3</v>
      </c>
      <c r="B16" s="148" t="s">
        <v>44</v>
      </c>
      <c r="C16" s="149">
        <f t="shared" ca="1" si="21"/>
        <v>5000</v>
      </c>
      <c r="D16" s="150">
        <f t="shared" ca="1" si="34"/>
        <v>5000</v>
      </c>
      <c r="E16" s="151">
        <f ca="1">IFERROR(__xludf.DUMMYFUNCTION("IMPORTRANGE(""https://docs.google.com/spreadsheets/d/1-uDff_7J0KD5mKrp0Vvzr7lt3OU09vwQwhkpOPPYv2Y/edit?usp=sharing"",""งบพรบ!DF16"")"),0)</f>
        <v>0</v>
      </c>
      <c r="F16" s="151">
        <f ca="1">IFERROR(__xludf.DUMMYFUNCTION("IMPORTRANGE(""https://docs.google.com/spreadsheets/d/1-uDff_7J0KD5mKrp0Vvzr7lt3OU09vwQwhkpOPPYv2Y/edit?usp=sharing"",""งบพรบ!DG16"")"),5000)</f>
        <v>5000</v>
      </c>
      <c r="G16" s="151">
        <f ca="1">IFERROR(__xludf.DUMMYFUNCTION("IMPORTRANGE(""https://docs.google.com/spreadsheets/d/1-uDff_7J0KD5mKrp0Vvzr7lt3OU09vwQwhkpOPPYv2Y/edit?usp=sharing"",""งบพรบ!DH16"")"),0)</f>
        <v>0</v>
      </c>
      <c r="H16" s="151">
        <f ca="1">IFERROR(__xludf.DUMMYFUNCTION("IMPORTRANGE(""https://docs.google.com/spreadsheets/d/1-uDff_7J0KD5mKrp0Vvzr7lt3OU09vwQwhkpOPPYv2Y/edit?usp=sharing"",""งบพรบ!DJ16"")"),21700)</f>
        <v>21700</v>
      </c>
      <c r="I16" s="151">
        <f ca="1">IFERROR(__xludf.DUMMYFUNCTION("IMPORTRANGE(""https://docs.google.com/spreadsheets/d/1-uDff_7J0KD5mKrp0Vvzr7lt3OU09vwQwhkpOPPYv2Y/edit?usp=sharing"",""งบพรบ!DK16"")"),0)</f>
        <v>0</v>
      </c>
      <c r="J16" s="151">
        <f t="shared" ca="1" si="23"/>
        <v>21700</v>
      </c>
      <c r="K16" s="154">
        <f t="shared" ca="1" si="24"/>
        <v>434</v>
      </c>
      <c r="L16" s="151">
        <f ca="1">IFERROR(__xludf.DUMMYFUNCTION("IMPORTRANGE(""https://docs.google.com/spreadsheets/d/1-uDff_7J0KD5mKrp0Vvzr7lt3OU09vwQwhkpOPPYv2Y/edit?usp=sharing"",""งบพรบ!DL16"")"),21700)</f>
        <v>21700</v>
      </c>
      <c r="M16" s="68">
        <f t="shared" ca="1" si="25"/>
        <v>434</v>
      </c>
      <c r="N16" s="68">
        <f t="shared" ca="1" si="26"/>
        <v>100</v>
      </c>
      <c r="O16" s="67">
        <f ca="1">IFERROR(__xludf.DUMMYFUNCTION("IMPORTRANGE(""https://docs.google.com/spreadsheets/d/1-uDff_7J0KD5mKrp0Vvzr7lt3OU09vwQwhkpOPPYv2Y/edit?usp=sharing"",""งบพรบ!DM16"")"),0)</f>
        <v>0</v>
      </c>
      <c r="P16" s="67">
        <f t="shared" ca="1" si="27"/>
        <v>0</v>
      </c>
      <c r="Q16" s="68">
        <f t="shared" ca="1" si="28"/>
        <v>0</v>
      </c>
      <c r="R16" s="67">
        <f ca="1">IFERROR(__xludf.DUMMYFUNCTION("IMPORTRANGE(""https://docs.google.com/spreadsheets/d/1rEDxBtusbi64tE0zunoIbsTVV16HeL0oJ6trHQeQ7K8/edit?usp=sharing"",""เชียงใหม่!Q266"")"),53440)</f>
        <v>53440</v>
      </c>
      <c r="S16" s="67">
        <f ca="1">IFERROR(__xludf.DUMMYFUNCTION("IMPORTRANGE(""https://docs.google.com/spreadsheets/d/1rEDxBtusbi64tE0zunoIbsTVV16HeL0oJ6trHQeQ7K8/edit?usp=sharing"",""เชียงใหม่!R266"")"),53440)</f>
        <v>53440</v>
      </c>
      <c r="T16" s="67">
        <f ca="1">IFERROR(__xludf.DUMMYFUNCTION("IMPORTRANGE(""https://docs.google.com/spreadsheets/d/1rEDxBtusbi64tE0zunoIbsTVV16HeL0oJ6trHQeQ7K8/edit?usp=sharing"",""เชียงใหม่!S266"")"),46560)</f>
        <v>46560</v>
      </c>
      <c r="U16" s="68">
        <f t="shared" ca="1" si="30"/>
        <v>87.125748502994014</v>
      </c>
      <c r="V16" s="68">
        <f t="shared" ca="1" si="31"/>
        <v>87.125748502994014</v>
      </c>
      <c r="W16" s="74">
        <f ca="1">IFERROR(__xludf.DUMMYFUNCTION("IMPORTRANGE(""https://docs.google.com/spreadsheets/d/1rEDxBtusbi64tE0zunoIbsTVV16HeL0oJ6trHQeQ7K8/edit?usp=sharing"",""เชียงใหม่!I276"")"),24)</f>
        <v>24</v>
      </c>
      <c r="X16" s="74">
        <f ca="1">IFERROR(__xludf.DUMMYFUNCTION("IMPORTRANGE(""https://docs.google.com/spreadsheets/d/1rEDxBtusbi64tE0zunoIbsTVV16HeL0oJ6trHQeQ7K8/edit?usp=sharing"",""เชียงใหม่!J276"")"),24)</f>
        <v>24</v>
      </c>
      <c r="Y16" s="152">
        <f t="shared" ca="1" si="33"/>
        <v>100</v>
      </c>
      <c r="Z16" s="74">
        <v>0</v>
      </c>
      <c r="AA16" s="74">
        <v>0</v>
      </c>
      <c r="AB16" s="74">
        <v>0</v>
      </c>
    </row>
    <row r="17" spans="1:28" ht="19.5" x14ac:dyDescent="0.3">
      <c r="A17" s="147">
        <v>4</v>
      </c>
      <c r="B17" s="148" t="s">
        <v>45</v>
      </c>
      <c r="C17" s="149">
        <f t="shared" ca="1" si="21"/>
        <v>5000</v>
      </c>
      <c r="D17" s="150">
        <f t="shared" ca="1" si="34"/>
        <v>5000</v>
      </c>
      <c r="E17" s="151">
        <f ca="1">IFERROR(__xludf.DUMMYFUNCTION("IMPORTRANGE(""https://docs.google.com/spreadsheets/d/1-uDff_7J0KD5mKrp0Vvzr7lt3OU09vwQwhkpOPPYv2Y/edit?usp=sharing"",""งบพรบ!DF17"")"),0)</f>
        <v>0</v>
      </c>
      <c r="F17" s="151">
        <f ca="1">IFERROR(__xludf.DUMMYFUNCTION("IMPORTRANGE(""https://docs.google.com/spreadsheets/d/1-uDff_7J0KD5mKrp0Vvzr7lt3OU09vwQwhkpOPPYv2Y/edit?usp=sharing"",""งบพรบ!DG17"")"),5000)</f>
        <v>5000</v>
      </c>
      <c r="G17" s="151">
        <f ca="1">IFERROR(__xludf.DUMMYFUNCTION("IMPORTRANGE(""https://docs.google.com/spreadsheets/d/1-uDff_7J0KD5mKrp0Vvzr7lt3OU09vwQwhkpOPPYv2Y/edit?usp=sharing"",""งบพรบ!DH17"")"),0)</f>
        <v>0</v>
      </c>
      <c r="H17" s="151">
        <f ca="1">IFERROR(__xludf.DUMMYFUNCTION("IMPORTRANGE(""https://docs.google.com/spreadsheets/d/1-uDff_7J0KD5mKrp0Vvzr7lt3OU09vwQwhkpOPPYv2Y/edit?usp=sharing"",""งบพรบ!DJ17"")"),19500)</f>
        <v>19500</v>
      </c>
      <c r="I17" s="151">
        <f ca="1">IFERROR(__xludf.DUMMYFUNCTION("IMPORTRANGE(""https://docs.google.com/spreadsheets/d/1-uDff_7J0KD5mKrp0Vvzr7lt3OU09vwQwhkpOPPYv2Y/edit?usp=sharing"",""งบพรบ!DK17"")"),0)</f>
        <v>0</v>
      </c>
      <c r="J17" s="151">
        <f t="shared" ca="1" si="23"/>
        <v>2946</v>
      </c>
      <c r="K17" s="154">
        <f t="shared" ca="1" si="24"/>
        <v>58.92</v>
      </c>
      <c r="L17" s="151">
        <f ca="1">IFERROR(__xludf.DUMMYFUNCTION("IMPORTRANGE(""https://docs.google.com/spreadsheets/d/1-uDff_7J0KD5mKrp0Vvzr7lt3OU09vwQwhkpOPPYv2Y/edit?usp=sharing"",""งบพรบ!DL17"")"),2946)</f>
        <v>2946</v>
      </c>
      <c r="M17" s="68">
        <f t="shared" ca="1" si="25"/>
        <v>58.92</v>
      </c>
      <c r="N17" s="68">
        <f t="shared" ca="1" si="26"/>
        <v>15.107692307692307</v>
      </c>
      <c r="O17" s="67">
        <f ca="1">IFERROR(__xludf.DUMMYFUNCTION("IMPORTRANGE(""https://docs.google.com/spreadsheets/d/1-uDff_7J0KD5mKrp0Vvzr7lt3OU09vwQwhkpOPPYv2Y/edit?usp=sharing"",""งบพรบ!DM17"")"),0)</f>
        <v>0</v>
      </c>
      <c r="P17" s="67">
        <f t="shared" ca="1" si="27"/>
        <v>0</v>
      </c>
      <c r="Q17" s="68">
        <f t="shared" ca="1" si="28"/>
        <v>0</v>
      </c>
      <c r="R17" s="67">
        <f ca="1">IFERROR(__xludf.DUMMYFUNCTION("IMPORTRANGE(""https://docs.google.com/spreadsheets/d/1W6MnUbDkMi6xHnHko_XkFDO9kkuL6Wqyc-6OCDFjW9I/edit?usp=sharing"",""ตาก!Q266"")"),50660)</f>
        <v>50660</v>
      </c>
      <c r="S17" s="67">
        <f ca="1">IFERROR(__xludf.DUMMYFUNCTION("IMPORTRANGE(""https://docs.google.com/spreadsheets/d/1W6MnUbDkMi6xHnHko_XkFDO9kkuL6Wqyc-6OCDFjW9I/edit?usp=sharing"",""ตาก!R266"")"),50660)</f>
        <v>50660</v>
      </c>
      <c r="T17" s="67">
        <f ca="1">IFERROR(__xludf.DUMMYFUNCTION("IMPORTRANGE(""https://docs.google.com/spreadsheets/d/1W6MnUbDkMi6xHnHko_XkFDO9kkuL6Wqyc-6OCDFjW9I/edit?usp=sharing"",""ตาก!S266"")"),47460)</f>
        <v>47460</v>
      </c>
      <c r="U17" s="68">
        <f t="shared" ca="1" si="30"/>
        <v>93.683379392025273</v>
      </c>
      <c r="V17" s="68">
        <f t="shared" ca="1" si="31"/>
        <v>93.683379392025273</v>
      </c>
      <c r="W17" s="74">
        <f ca="1">IFERROR(__xludf.DUMMYFUNCTION("IMPORTRANGE(""https://docs.google.com/spreadsheets/d/1W6MnUbDkMi6xHnHko_XkFDO9kkuL6Wqyc-6OCDFjW9I/edit?usp=sharing"",""ตาก!I276"")"),22)</f>
        <v>22</v>
      </c>
      <c r="X17" s="74">
        <f ca="1">IFERROR(__xludf.DUMMYFUNCTION("IMPORTRANGE(""https://docs.google.com/spreadsheets/d/1W6MnUbDkMi6xHnHko_XkFDO9kkuL6Wqyc-6OCDFjW9I/edit?usp=sharing"",""ตาก!J276"")"),22)</f>
        <v>22</v>
      </c>
      <c r="Y17" s="152">
        <f t="shared" ca="1" si="33"/>
        <v>100</v>
      </c>
      <c r="Z17" s="74">
        <v>0</v>
      </c>
      <c r="AA17" s="74">
        <v>0</v>
      </c>
      <c r="AB17" s="74">
        <v>0</v>
      </c>
    </row>
    <row r="18" spans="1:28" ht="19.5" x14ac:dyDescent="0.3">
      <c r="A18" s="147">
        <v>5</v>
      </c>
      <c r="B18" s="148" t="s">
        <v>46</v>
      </c>
      <c r="C18" s="149">
        <f t="shared" ca="1" si="21"/>
        <v>5000</v>
      </c>
      <c r="D18" s="150">
        <f t="shared" ca="1" si="34"/>
        <v>5000</v>
      </c>
      <c r="E18" s="151">
        <f ca="1">IFERROR(__xludf.DUMMYFUNCTION("IMPORTRANGE(""https://docs.google.com/spreadsheets/d/1-uDff_7J0KD5mKrp0Vvzr7lt3OU09vwQwhkpOPPYv2Y/edit?usp=sharing"",""งบพรบ!DF18"")"),0)</f>
        <v>0</v>
      </c>
      <c r="F18" s="151">
        <f ca="1">IFERROR(__xludf.DUMMYFUNCTION("IMPORTRANGE(""https://docs.google.com/spreadsheets/d/1-uDff_7J0KD5mKrp0Vvzr7lt3OU09vwQwhkpOPPYv2Y/edit?usp=sharing"",""งบพรบ!DG18"")"),5000)</f>
        <v>5000</v>
      </c>
      <c r="G18" s="151">
        <f ca="1">IFERROR(__xludf.DUMMYFUNCTION("IMPORTRANGE(""https://docs.google.com/spreadsheets/d/1-uDff_7J0KD5mKrp0Vvzr7lt3OU09vwQwhkpOPPYv2Y/edit?usp=sharing"",""งบพรบ!DH18"")"),0)</f>
        <v>0</v>
      </c>
      <c r="H18" s="151">
        <f ca="1">IFERROR(__xludf.DUMMYFUNCTION("IMPORTRANGE(""https://docs.google.com/spreadsheets/d/1-uDff_7J0KD5mKrp0Vvzr7lt3OU09vwQwhkpOPPYv2Y/edit?usp=sharing"",""งบพรบ!DJ18"")"),18000)</f>
        <v>18000</v>
      </c>
      <c r="I18" s="151">
        <f ca="1">IFERROR(__xludf.DUMMYFUNCTION("IMPORTRANGE(""https://docs.google.com/spreadsheets/d/1-uDff_7J0KD5mKrp0Vvzr7lt3OU09vwQwhkpOPPYv2Y/edit?usp=sharing"",""งบพรบ!DK18"")"),0)</f>
        <v>0</v>
      </c>
      <c r="J18" s="151">
        <f t="shared" ca="1" si="23"/>
        <v>18000</v>
      </c>
      <c r="K18" s="154">
        <f t="shared" ca="1" si="24"/>
        <v>360</v>
      </c>
      <c r="L18" s="151">
        <f ca="1">IFERROR(__xludf.DUMMYFUNCTION("IMPORTRANGE(""https://docs.google.com/spreadsheets/d/1-uDff_7J0KD5mKrp0Vvzr7lt3OU09vwQwhkpOPPYv2Y/edit?usp=sharing"",""งบพรบ!DL18"")"),18000)</f>
        <v>18000</v>
      </c>
      <c r="M18" s="68">
        <f t="shared" ca="1" si="25"/>
        <v>360</v>
      </c>
      <c r="N18" s="68">
        <f t="shared" ca="1" si="26"/>
        <v>100</v>
      </c>
      <c r="O18" s="67">
        <f ca="1">IFERROR(__xludf.DUMMYFUNCTION("IMPORTRANGE(""https://docs.google.com/spreadsheets/d/1-uDff_7J0KD5mKrp0Vvzr7lt3OU09vwQwhkpOPPYv2Y/edit?usp=sharing"",""งบพรบ!DM18"")"),0)</f>
        <v>0</v>
      </c>
      <c r="P18" s="67">
        <f t="shared" ca="1" si="27"/>
        <v>0</v>
      </c>
      <c r="Q18" s="68">
        <f t="shared" ca="1" si="28"/>
        <v>0</v>
      </c>
      <c r="R18" s="67">
        <f ca="1">IFERROR(__xludf.DUMMYFUNCTION("IMPORTRANGE(""https://docs.google.com/spreadsheets/d/1IQAWArduLkta9LpYo4a_ULsyqdta6-6aDDiwpUnQT6c/edit?usp=sharing"",""นครสวรรค์!Q266"")"),53440)</f>
        <v>53440</v>
      </c>
      <c r="S18" s="67">
        <f ca="1">IFERROR(__xludf.DUMMYFUNCTION("IMPORTRANGE(""https://docs.google.com/spreadsheets/d/1IQAWArduLkta9LpYo4a_ULsyqdta6-6aDDiwpUnQT6c/edit?usp=sharing"",""นครสวรรค์!R266"")"),53440)</f>
        <v>53440</v>
      </c>
      <c r="T18" s="67">
        <f ca="1">IFERROR(__xludf.DUMMYFUNCTION("IMPORTRANGE(""https://docs.google.com/spreadsheets/d/1IQAWArduLkta9LpYo4a_ULsyqdta6-6aDDiwpUnQT6c/edit?usp=sharing"",""นครสวรรค์!S266"")"),48240)</f>
        <v>48240</v>
      </c>
      <c r="U18" s="68">
        <f t="shared" ca="1" si="30"/>
        <v>90.269461077844312</v>
      </c>
      <c r="V18" s="68">
        <f t="shared" ca="1" si="31"/>
        <v>90.269461077844312</v>
      </c>
      <c r="W18" s="74">
        <f ca="1">IFERROR(__xludf.DUMMYFUNCTION("IMPORTRANGE(""https://docs.google.com/spreadsheets/d/1IQAWArduLkta9LpYo4a_ULsyqdta6-6aDDiwpUnQT6c/edit?usp=sharing"",""นครสวรรค์!I276"")"),24)</f>
        <v>24</v>
      </c>
      <c r="X18" s="74">
        <f ca="1">IFERROR(__xludf.DUMMYFUNCTION("IMPORTRANGE(""https://docs.google.com/spreadsheets/d/1IQAWArduLkta9LpYo4a_ULsyqdta6-6aDDiwpUnQT6c/edit?usp=sharing"",""นครสวรรค์!J276"")"),23)</f>
        <v>23</v>
      </c>
      <c r="Y18" s="152">
        <f t="shared" ca="1" si="33"/>
        <v>95.833333333333329</v>
      </c>
      <c r="Z18" s="74">
        <v>0</v>
      </c>
      <c r="AA18" s="74">
        <v>0</v>
      </c>
      <c r="AB18" s="74">
        <v>0</v>
      </c>
    </row>
    <row r="19" spans="1:28" ht="19.5" x14ac:dyDescent="0.3">
      <c r="A19" s="147">
        <v>6</v>
      </c>
      <c r="B19" s="148" t="s">
        <v>47</v>
      </c>
      <c r="C19" s="149">
        <f t="shared" ca="1" si="21"/>
        <v>5000</v>
      </c>
      <c r="D19" s="150">
        <f t="shared" ca="1" si="34"/>
        <v>5000</v>
      </c>
      <c r="E19" s="151">
        <f ca="1">IFERROR(__xludf.DUMMYFUNCTION("IMPORTRANGE(""https://docs.google.com/spreadsheets/d/1-uDff_7J0KD5mKrp0Vvzr7lt3OU09vwQwhkpOPPYv2Y/edit?usp=sharing"",""งบพรบ!DF19"")"),0)</f>
        <v>0</v>
      </c>
      <c r="F19" s="151">
        <f ca="1">IFERROR(__xludf.DUMMYFUNCTION("IMPORTRANGE(""https://docs.google.com/spreadsheets/d/1-uDff_7J0KD5mKrp0Vvzr7lt3OU09vwQwhkpOPPYv2Y/edit?usp=sharing"",""งบพรบ!DG19"")"),5000)</f>
        <v>5000</v>
      </c>
      <c r="G19" s="151">
        <f ca="1">IFERROR(__xludf.DUMMYFUNCTION("IMPORTRANGE(""https://docs.google.com/spreadsheets/d/1-uDff_7J0KD5mKrp0Vvzr7lt3OU09vwQwhkpOPPYv2Y/edit?usp=sharing"",""งบพรบ!DH19"")"),0)</f>
        <v>0</v>
      </c>
      <c r="H19" s="151">
        <f ca="1">IFERROR(__xludf.DUMMYFUNCTION("IMPORTRANGE(""https://docs.google.com/spreadsheets/d/1-uDff_7J0KD5mKrp0Vvzr7lt3OU09vwQwhkpOPPYv2Y/edit?usp=sharing"",""งบพรบ!DJ19"")"),21500)</f>
        <v>21500</v>
      </c>
      <c r="I19" s="151">
        <f ca="1">IFERROR(__xludf.DUMMYFUNCTION("IMPORTRANGE(""https://docs.google.com/spreadsheets/d/1-uDff_7J0KD5mKrp0Vvzr7lt3OU09vwQwhkpOPPYv2Y/edit?usp=sharing"",""งบพรบ!DK19"")"),0)</f>
        <v>0</v>
      </c>
      <c r="J19" s="151">
        <f t="shared" ca="1" si="23"/>
        <v>16500</v>
      </c>
      <c r="K19" s="154">
        <f t="shared" ca="1" si="24"/>
        <v>330</v>
      </c>
      <c r="L19" s="151">
        <f ca="1">IFERROR(__xludf.DUMMYFUNCTION("IMPORTRANGE(""https://docs.google.com/spreadsheets/d/1-uDff_7J0KD5mKrp0Vvzr7lt3OU09vwQwhkpOPPYv2Y/edit?usp=sharing"",""งบพรบ!DL19"")"),16500)</f>
        <v>16500</v>
      </c>
      <c r="M19" s="68">
        <f t="shared" ca="1" si="25"/>
        <v>330</v>
      </c>
      <c r="N19" s="68">
        <f t="shared" ca="1" si="26"/>
        <v>76.744186046511629</v>
      </c>
      <c r="O19" s="67">
        <f ca="1">IFERROR(__xludf.DUMMYFUNCTION("IMPORTRANGE(""https://docs.google.com/spreadsheets/d/1-uDff_7J0KD5mKrp0Vvzr7lt3OU09vwQwhkpOPPYv2Y/edit?usp=sharing"",""งบพรบ!DM19"")"),0)</f>
        <v>0</v>
      </c>
      <c r="P19" s="67">
        <f t="shared" ca="1" si="27"/>
        <v>0</v>
      </c>
      <c r="Q19" s="68">
        <f t="shared" ca="1" si="28"/>
        <v>0</v>
      </c>
      <c r="R19" s="67">
        <f ca="1">IFERROR(__xludf.DUMMYFUNCTION("IMPORTRANGE(""https://docs.google.com/spreadsheets/d/10s13Sk5xrltsiR-Zkbmk5DwIaDIKO8XlbJAfqyT7Gvg/edit?usp=sharing"",""น่าน!Q266"")"),50660)</f>
        <v>50660</v>
      </c>
      <c r="S19" s="67">
        <f ca="1">IFERROR(__xludf.DUMMYFUNCTION("IMPORTRANGE(""https://docs.google.com/spreadsheets/d/10s13Sk5xrltsiR-Zkbmk5DwIaDIKO8XlbJAfqyT7Gvg/edit?usp=sharing"",""น่าน!R266"")"),50660)</f>
        <v>50660</v>
      </c>
      <c r="T19" s="67">
        <f ca="1">IFERROR(__xludf.DUMMYFUNCTION("IMPORTRANGE(""https://docs.google.com/spreadsheets/d/10s13Sk5xrltsiR-Zkbmk5DwIaDIKO8XlbJAfqyT7Gvg/edit?usp=sharing"",""น่าน!S266"")"),46940)</f>
        <v>46940</v>
      </c>
      <c r="U19" s="68">
        <f t="shared" ca="1" si="30"/>
        <v>92.65692854322937</v>
      </c>
      <c r="V19" s="68">
        <f t="shared" ca="1" si="31"/>
        <v>92.65692854322937</v>
      </c>
      <c r="W19" s="74">
        <f ca="1">IFERROR(__xludf.DUMMYFUNCTION("IMPORTRANGE(""https://docs.google.com/spreadsheets/d/10s13Sk5xrltsiR-Zkbmk5DwIaDIKO8XlbJAfqyT7Gvg/edit?usp=sharing"",""น่าน!I276"")"),22)</f>
        <v>22</v>
      </c>
      <c r="X19" s="74">
        <f ca="1">IFERROR(__xludf.DUMMYFUNCTION("IMPORTRANGE(""https://docs.google.com/spreadsheets/d/10s13Sk5xrltsiR-Zkbmk5DwIaDIKO8XlbJAfqyT7Gvg/edit?usp=sharing"",""น่าน!J276"")"),22)</f>
        <v>22</v>
      </c>
      <c r="Y19" s="152">
        <f t="shared" ca="1" si="33"/>
        <v>100</v>
      </c>
      <c r="Z19" s="74">
        <v>0</v>
      </c>
      <c r="AA19" s="74">
        <v>0</v>
      </c>
      <c r="AB19" s="74">
        <v>0</v>
      </c>
    </row>
    <row r="20" spans="1:28" ht="19.5" x14ac:dyDescent="0.3">
      <c r="A20" s="147">
        <v>7</v>
      </c>
      <c r="B20" s="148" t="s">
        <v>48</v>
      </c>
      <c r="C20" s="149">
        <f t="shared" ca="1" si="21"/>
        <v>5000</v>
      </c>
      <c r="D20" s="150">
        <f t="shared" ca="1" si="34"/>
        <v>5000</v>
      </c>
      <c r="E20" s="151">
        <f ca="1">IFERROR(__xludf.DUMMYFUNCTION("IMPORTRANGE(""https://docs.google.com/spreadsheets/d/1-uDff_7J0KD5mKrp0Vvzr7lt3OU09vwQwhkpOPPYv2Y/edit?usp=sharing"",""งบพรบ!DF20"")"),0)</f>
        <v>0</v>
      </c>
      <c r="F20" s="151">
        <f ca="1">IFERROR(__xludf.DUMMYFUNCTION("IMPORTRANGE(""https://docs.google.com/spreadsheets/d/1-uDff_7J0KD5mKrp0Vvzr7lt3OU09vwQwhkpOPPYv2Y/edit?usp=sharing"",""งบพรบ!DG20"")"),5000)</f>
        <v>5000</v>
      </c>
      <c r="G20" s="151">
        <f ca="1">IFERROR(__xludf.DUMMYFUNCTION("IMPORTRANGE(""https://docs.google.com/spreadsheets/d/1-uDff_7J0KD5mKrp0Vvzr7lt3OU09vwQwhkpOPPYv2Y/edit?usp=sharing"",""งบพรบ!DH20"")"),0)</f>
        <v>0</v>
      </c>
      <c r="H20" s="151">
        <f ca="1">IFERROR(__xludf.DUMMYFUNCTION("IMPORTRANGE(""https://docs.google.com/spreadsheets/d/1-uDff_7J0KD5mKrp0Vvzr7lt3OU09vwQwhkpOPPYv2Y/edit?usp=sharing"",""งบพรบ!DJ20"")"),21700)</f>
        <v>21700</v>
      </c>
      <c r="I20" s="151">
        <f ca="1">IFERROR(__xludf.DUMMYFUNCTION("IMPORTRANGE(""https://docs.google.com/spreadsheets/d/1-uDff_7J0KD5mKrp0Vvzr7lt3OU09vwQwhkpOPPYv2Y/edit?usp=sharing"",""งบพรบ!DK20"")"),0)</f>
        <v>0</v>
      </c>
      <c r="J20" s="151">
        <f t="shared" ca="1" si="23"/>
        <v>21700</v>
      </c>
      <c r="K20" s="154">
        <f t="shared" ca="1" si="24"/>
        <v>434</v>
      </c>
      <c r="L20" s="151">
        <f ca="1">IFERROR(__xludf.DUMMYFUNCTION("IMPORTRANGE(""https://docs.google.com/spreadsheets/d/1-uDff_7J0KD5mKrp0Vvzr7lt3OU09vwQwhkpOPPYv2Y/edit?usp=sharing"",""งบพรบ!DL20"")"),21700)</f>
        <v>21700</v>
      </c>
      <c r="M20" s="68">
        <f t="shared" ca="1" si="25"/>
        <v>434</v>
      </c>
      <c r="N20" s="68">
        <f t="shared" ca="1" si="26"/>
        <v>100</v>
      </c>
      <c r="O20" s="67">
        <f ca="1">IFERROR(__xludf.DUMMYFUNCTION("IMPORTRANGE(""https://docs.google.com/spreadsheets/d/1-uDff_7J0KD5mKrp0Vvzr7lt3OU09vwQwhkpOPPYv2Y/edit?usp=sharing"",""งบพรบ!DM20"")"),0)</f>
        <v>0</v>
      </c>
      <c r="P20" s="67">
        <f t="shared" ca="1" si="27"/>
        <v>0</v>
      </c>
      <c r="Q20" s="68">
        <f t="shared" ca="1" si="28"/>
        <v>0</v>
      </c>
      <c r="R20" s="67">
        <f ca="1">IFERROR(__xludf.DUMMYFUNCTION("IMPORTRANGE(""https://docs.google.com/spreadsheets/d/1uu4nAn4Dbi1XREnLKKotUANlKXa7yCgRcgq8HEzQYW8/edit?usp=sharing"",""พะเยา!Q266"")"),53440)</f>
        <v>53440</v>
      </c>
      <c r="S20" s="67">
        <f ca="1">IFERROR(__xludf.DUMMYFUNCTION("IMPORTRANGE(""https://docs.google.com/spreadsheets/d/1uu4nAn4Dbi1XREnLKKotUANlKXa7yCgRcgq8HEzQYW8/edit?usp=sharing"",""พะเยา!R266"")"),53440)</f>
        <v>53440</v>
      </c>
      <c r="T20" s="67">
        <f ca="1">IFERROR(__xludf.DUMMYFUNCTION("IMPORTRANGE(""https://docs.google.com/spreadsheets/d/1uu4nAn4Dbi1XREnLKKotUANlKXa7yCgRcgq8HEzQYW8/edit?usp=sharing"",""พะเยา!S266"")"),44045)</f>
        <v>44045</v>
      </c>
      <c r="U20" s="68">
        <f t="shared" ca="1" si="30"/>
        <v>82.419535928143716</v>
      </c>
      <c r="V20" s="68">
        <f t="shared" ca="1" si="31"/>
        <v>82.419535928143716</v>
      </c>
      <c r="W20" s="74">
        <f ca="1">IFERROR(__xludf.DUMMYFUNCTION("IMPORTRANGE(""https://docs.google.com/spreadsheets/d/1uu4nAn4Dbi1XREnLKKotUANlKXa7yCgRcgq8HEzQYW8/edit?usp=sharing"",""พะเยา!I276"")"),24)</f>
        <v>24</v>
      </c>
      <c r="X20" s="74">
        <f ca="1">IFERROR(__xludf.DUMMYFUNCTION("IMPORTRANGE(""https://docs.google.com/spreadsheets/d/1uu4nAn4Dbi1XREnLKKotUANlKXa7yCgRcgq8HEzQYW8/edit?usp=sharing"",""พะเยา!J276"")"),24)</f>
        <v>24</v>
      </c>
      <c r="Y20" s="152">
        <f t="shared" ca="1" si="33"/>
        <v>100</v>
      </c>
      <c r="Z20" s="74">
        <v>0</v>
      </c>
      <c r="AA20" s="74">
        <v>0</v>
      </c>
      <c r="AB20" s="74">
        <v>0</v>
      </c>
    </row>
    <row r="21" spans="1:28" ht="19.5" x14ac:dyDescent="0.3">
      <c r="A21" s="147">
        <v>8</v>
      </c>
      <c r="B21" s="148" t="s">
        <v>49</v>
      </c>
      <c r="C21" s="149">
        <f t="shared" ca="1" si="21"/>
        <v>5000</v>
      </c>
      <c r="D21" s="150">
        <f t="shared" ca="1" si="34"/>
        <v>5000</v>
      </c>
      <c r="E21" s="151">
        <f ca="1">IFERROR(__xludf.DUMMYFUNCTION("IMPORTRANGE(""https://docs.google.com/spreadsheets/d/1-uDff_7J0KD5mKrp0Vvzr7lt3OU09vwQwhkpOPPYv2Y/edit?usp=sharing"",""งบพรบ!DF21"")"),0)</f>
        <v>0</v>
      </c>
      <c r="F21" s="151">
        <f ca="1">IFERROR(__xludf.DUMMYFUNCTION("IMPORTRANGE(""https://docs.google.com/spreadsheets/d/1-uDff_7J0KD5mKrp0Vvzr7lt3OU09vwQwhkpOPPYv2Y/edit?usp=sharing"",""งบพรบ!DG21"")"),5000)</f>
        <v>5000</v>
      </c>
      <c r="G21" s="151">
        <f ca="1">IFERROR(__xludf.DUMMYFUNCTION("IMPORTRANGE(""https://docs.google.com/spreadsheets/d/1-uDff_7J0KD5mKrp0Vvzr7lt3OU09vwQwhkpOPPYv2Y/edit?usp=sharing"",""งบพรบ!DH21"")"),0)</f>
        <v>0</v>
      </c>
      <c r="H21" s="151">
        <f ca="1">IFERROR(__xludf.DUMMYFUNCTION("IMPORTRANGE(""https://docs.google.com/spreadsheets/d/1-uDff_7J0KD5mKrp0Vvzr7lt3OU09vwQwhkpOPPYv2Y/edit?usp=sharing"",""งบพรบ!DJ21"")"),18900)</f>
        <v>18900</v>
      </c>
      <c r="I21" s="151">
        <f ca="1">IFERROR(__xludf.DUMMYFUNCTION("IMPORTRANGE(""https://docs.google.com/spreadsheets/d/1-uDff_7J0KD5mKrp0Vvzr7lt3OU09vwQwhkpOPPYv2Y/edit?usp=sharing"",""งบพรบ!DK21"")"),0)</f>
        <v>0</v>
      </c>
      <c r="J21" s="151">
        <f t="shared" ca="1" si="23"/>
        <v>5000</v>
      </c>
      <c r="K21" s="154">
        <f t="shared" ca="1" si="24"/>
        <v>100</v>
      </c>
      <c r="L21" s="151">
        <f ca="1">IFERROR(__xludf.DUMMYFUNCTION("IMPORTRANGE(""https://docs.google.com/spreadsheets/d/1-uDff_7J0KD5mKrp0Vvzr7lt3OU09vwQwhkpOPPYv2Y/edit?usp=sharing"",""งบพรบ!DL21"")"),5000)</f>
        <v>5000</v>
      </c>
      <c r="M21" s="68">
        <f t="shared" ca="1" si="25"/>
        <v>100</v>
      </c>
      <c r="N21" s="68">
        <f t="shared" ca="1" si="26"/>
        <v>26.455026455026456</v>
      </c>
      <c r="O21" s="67">
        <f ca="1">IFERROR(__xludf.DUMMYFUNCTION("IMPORTRANGE(""https://docs.google.com/spreadsheets/d/1-uDff_7J0KD5mKrp0Vvzr7lt3OU09vwQwhkpOPPYv2Y/edit?usp=sharing"",""งบพรบ!DM21"")"),0)</f>
        <v>0</v>
      </c>
      <c r="P21" s="67">
        <f t="shared" ca="1" si="27"/>
        <v>0</v>
      </c>
      <c r="Q21" s="68">
        <f t="shared" ca="1" si="28"/>
        <v>0</v>
      </c>
      <c r="R21" s="67">
        <f ca="1">IFERROR(__xludf.DUMMYFUNCTION("IMPORTRANGE(""https://docs.google.com/spreadsheets/d/1xfJKIQxVOaPDIICqsflNlLu3JacTDk1FP9RH4phX7mI/edit?usp=sharing"",""พิจิตร!Q266"")"),50660)</f>
        <v>50660</v>
      </c>
      <c r="S21" s="67">
        <f ca="1">IFERROR(__xludf.DUMMYFUNCTION("IMPORTRANGE(""https://docs.google.com/spreadsheets/d/1xfJKIQxVOaPDIICqsflNlLu3JacTDk1FP9RH4phX7mI/edit?usp=sharing"",""พิจิตร!R266"")"),50660)</f>
        <v>50660</v>
      </c>
      <c r="T21" s="67">
        <f ca="1">IFERROR(__xludf.DUMMYFUNCTION("IMPORTRANGE(""https://docs.google.com/spreadsheets/d/1xfJKIQxVOaPDIICqsflNlLu3JacTDk1FP9RH4phX7mI/edit?usp=sharing"",""พิจิตร!S266"")"),36460)</f>
        <v>36460</v>
      </c>
      <c r="U21" s="68">
        <f t="shared" ca="1" si="30"/>
        <v>71.969996052112123</v>
      </c>
      <c r="V21" s="68">
        <f t="shared" ca="1" si="31"/>
        <v>71.969996052112123</v>
      </c>
      <c r="W21" s="74">
        <f ca="1">IFERROR(__xludf.DUMMYFUNCTION("IMPORTRANGE(""https://docs.google.com/spreadsheets/d/1xfJKIQxVOaPDIICqsflNlLu3JacTDk1FP9RH4phX7mI/edit?usp=sharing"",""พิจิตร!I276"")"),22)</f>
        <v>22</v>
      </c>
      <c r="X21" s="74">
        <f ca="1">IFERROR(__xludf.DUMMYFUNCTION("IMPORTRANGE(""https://docs.google.com/spreadsheets/d/1xfJKIQxVOaPDIICqsflNlLu3JacTDk1FP9RH4phX7mI/edit?usp=sharing"",""พิจิตร!J276"")"),22)</f>
        <v>22</v>
      </c>
      <c r="Y21" s="152">
        <f t="shared" ca="1" si="33"/>
        <v>100</v>
      </c>
      <c r="Z21" s="74">
        <v>0</v>
      </c>
      <c r="AA21" s="74">
        <v>0</v>
      </c>
      <c r="AB21" s="74">
        <v>0</v>
      </c>
    </row>
    <row r="22" spans="1:28" ht="19.5" x14ac:dyDescent="0.3">
      <c r="A22" s="147">
        <v>9</v>
      </c>
      <c r="B22" s="148" t="s">
        <v>50</v>
      </c>
      <c r="C22" s="149">
        <f t="shared" ca="1" si="21"/>
        <v>5000</v>
      </c>
      <c r="D22" s="150">
        <f t="shared" ca="1" si="34"/>
        <v>5000</v>
      </c>
      <c r="E22" s="151">
        <f ca="1">IFERROR(__xludf.DUMMYFUNCTION("IMPORTRANGE(""https://docs.google.com/spreadsheets/d/1-uDff_7J0KD5mKrp0Vvzr7lt3OU09vwQwhkpOPPYv2Y/edit?usp=sharing"",""งบพรบ!DF22"")"),0)</f>
        <v>0</v>
      </c>
      <c r="F22" s="151">
        <f ca="1">IFERROR(__xludf.DUMMYFUNCTION("IMPORTRANGE(""https://docs.google.com/spreadsheets/d/1-uDff_7J0KD5mKrp0Vvzr7lt3OU09vwQwhkpOPPYv2Y/edit?usp=sharing"",""งบพรบ!DG22"")"),5000)</f>
        <v>5000</v>
      </c>
      <c r="G22" s="151">
        <f ca="1">IFERROR(__xludf.DUMMYFUNCTION("IMPORTRANGE(""https://docs.google.com/spreadsheets/d/1-uDff_7J0KD5mKrp0Vvzr7lt3OU09vwQwhkpOPPYv2Y/edit?usp=sharing"",""งบพรบ!DH22"")"),0)</f>
        <v>0</v>
      </c>
      <c r="H22" s="151">
        <f ca="1">IFERROR(__xludf.DUMMYFUNCTION("IMPORTRANGE(""https://docs.google.com/spreadsheets/d/1-uDff_7J0KD5mKrp0Vvzr7lt3OU09vwQwhkpOPPYv2Y/edit?usp=sharing"",""งบพรบ!DJ22"")"),19100)</f>
        <v>19100</v>
      </c>
      <c r="I22" s="151">
        <f ca="1">IFERROR(__xludf.DUMMYFUNCTION("IMPORTRANGE(""https://docs.google.com/spreadsheets/d/1-uDff_7J0KD5mKrp0Vvzr7lt3OU09vwQwhkpOPPYv2Y/edit?usp=sharing"",""งบพรบ!DK22"")"),0)</f>
        <v>0</v>
      </c>
      <c r="J22" s="151">
        <f t="shared" ca="1" si="23"/>
        <v>16520</v>
      </c>
      <c r="K22" s="154">
        <f t="shared" ca="1" si="24"/>
        <v>330.4</v>
      </c>
      <c r="L22" s="151">
        <f ca="1">IFERROR(__xludf.DUMMYFUNCTION("IMPORTRANGE(""https://docs.google.com/spreadsheets/d/1-uDff_7J0KD5mKrp0Vvzr7lt3OU09vwQwhkpOPPYv2Y/edit?usp=sharing"",""งบพรบ!DL22"")"),16520)</f>
        <v>16520</v>
      </c>
      <c r="M22" s="68">
        <f t="shared" ca="1" si="25"/>
        <v>330.4</v>
      </c>
      <c r="N22" s="68">
        <f t="shared" ca="1" si="26"/>
        <v>86.492146596858632</v>
      </c>
      <c r="O22" s="67">
        <f ca="1">IFERROR(__xludf.DUMMYFUNCTION("IMPORTRANGE(""https://docs.google.com/spreadsheets/d/1-uDff_7J0KD5mKrp0Vvzr7lt3OU09vwQwhkpOPPYv2Y/edit?usp=sharing"",""งบพรบ!DM22"")"),0)</f>
        <v>0</v>
      </c>
      <c r="P22" s="67">
        <f t="shared" ca="1" si="27"/>
        <v>0</v>
      </c>
      <c r="Q22" s="68">
        <f t="shared" ca="1" si="28"/>
        <v>0</v>
      </c>
      <c r="R22" s="67">
        <f ca="1">IFERROR(__xludf.DUMMYFUNCTION("IMPORTRANGE(""https://docs.google.com/spreadsheets/d/1JtRfZkJMHtEhI5RdRHxYUG4FIZHqKDpNyIuN7A1Q0_k/edit?usp=sharing"",""พิษณุโลก!Q266"")"),53440)</f>
        <v>53440</v>
      </c>
      <c r="S22" s="67">
        <f ca="1">IFERROR(__xludf.DUMMYFUNCTION("IMPORTRANGE(""https://docs.google.com/spreadsheets/d/1JtRfZkJMHtEhI5RdRHxYUG4FIZHqKDpNyIuN7A1Q0_k/edit?usp=sharing"",""พิษณุโลก!R266"")"),53440)</f>
        <v>53440</v>
      </c>
      <c r="T22" s="67">
        <f ca="1">IFERROR(__xludf.DUMMYFUNCTION("IMPORTRANGE(""https://docs.google.com/spreadsheets/d/1JtRfZkJMHtEhI5RdRHxYUG4FIZHqKDpNyIuN7A1Q0_k/edit?usp=sharing"",""พิษณุโลก!S266"")"),53440)</f>
        <v>53440</v>
      </c>
      <c r="U22" s="68">
        <f t="shared" ca="1" si="30"/>
        <v>100</v>
      </c>
      <c r="V22" s="68">
        <f t="shared" ca="1" si="31"/>
        <v>100</v>
      </c>
      <c r="W22" s="74">
        <f ca="1">IFERROR(__xludf.DUMMYFUNCTION("IMPORTRANGE(""https://docs.google.com/spreadsheets/d/1JtRfZkJMHtEhI5RdRHxYUG4FIZHqKDpNyIuN7A1Q0_k/edit?usp=sharing"",""พิษณุโลก!I276"")"),24)</f>
        <v>24</v>
      </c>
      <c r="X22" s="74">
        <f ca="1">IFERROR(__xludf.DUMMYFUNCTION("IMPORTRANGE(""https://docs.google.com/spreadsheets/d/1JtRfZkJMHtEhI5RdRHxYUG4FIZHqKDpNyIuN7A1Q0_k/edit?usp=sharing"",""พิษณุโลก!J276"")"),24)</f>
        <v>24</v>
      </c>
      <c r="Y22" s="152">
        <f t="shared" ca="1" si="33"/>
        <v>100</v>
      </c>
      <c r="Z22" s="74">
        <v>0</v>
      </c>
      <c r="AA22" s="74">
        <v>0</v>
      </c>
      <c r="AB22" s="74">
        <v>0</v>
      </c>
    </row>
    <row r="23" spans="1:28" ht="19.5" x14ac:dyDescent="0.3">
      <c r="A23" s="147">
        <v>10</v>
      </c>
      <c r="B23" s="148" t="s">
        <v>51</v>
      </c>
      <c r="C23" s="149">
        <f t="shared" ca="1" si="21"/>
        <v>5000</v>
      </c>
      <c r="D23" s="150">
        <f t="shared" ca="1" si="34"/>
        <v>5000</v>
      </c>
      <c r="E23" s="151">
        <f ca="1">IFERROR(__xludf.DUMMYFUNCTION("IMPORTRANGE(""https://docs.google.com/spreadsheets/d/1-uDff_7J0KD5mKrp0Vvzr7lt3OU09vwQwhkpOPPYv2Y/edit?usp=sharing"",""งบพรบ!DF23"")"),0)</f>
        <v>0</v>
      </c>
      <c r="F23" s="151">
        <f ca="1">IFERROR(__xludf.DUMMYFUNCTION("IMPORTRANGE(""https://docs.google.com/spreadsheets/d/1-uDff_7J0KD5mKrp0Vvzr7lt3OU09vwQwhkpOPPYv2Y/edit?usp=sharing"",""งบพรบ!DG23"")"),5000)</f>
        <v>5000</v>
      </c>
      <c r="G23" s="151">
        <f ca="1">IFERROR(__xludf.DUMMYFUNCTION("IMPORTRANGE(""https://docs.google.com/spreadsheets/d/1-uDff_7J0KD5mKrp0Vvzr7lt3OU09vwQwhkpOPPYv2Y/edit?usp=sharing"",""งบพรบ!DH23"")"),0)</f>
        <v>0</v>
      </c>
      <c r="H23" s="151">
        <f ca="1">IFERROR(__xludf.DUMMYFUNCTION("IMPORTRANGE(""https://docs.google.com/spreadsheets/d/1-uDff_7J0KD5mKrp0Vvzr7lt3OU09vwQwhkpOPPYv2Y/edit?usp=sharing"",""งบพรบ!DJ23"")"),19100)</f>
        <v>19100</v>
      </c>
      <c r="I23" s="151">
        <f ca="1">IFERROR(__xludf.DUMMYFUNCTION("IMPORTRANGE(""https://docs.google.com/spreadsheets/d/1-uDff_7J0KD5mKrp0Vvzr7lt3OU09vwQwhkpOPPYv2Y/edit?usp=sharing"",""งบพรบ!DK23"")"),0)</f>
        <v>0</v>
      </c>
      <c r="J23" s="151">
        <f t="shared" ca="1" si="23"/>
        <v>16505</v>
      </c>
      <c r="K23" s="154">
        <f t="shared" ca="1" si="24"/>
        <v>330.1</v>
      </c>
      <c r="L23" s="151">
        <f ca="1">IFERROR(__xludf.DUMMYFUNCTION("IMPORTRANGE(""https://docs.google.com/spreadsheets/d/1-uDff_7J0KD5mKrp0Vvzr7lt3OU09vwQwhkpOPPYv2Y/edit?usp=sharing"",""งบพรบ!DL23"")"),16505)</f>
        <v>16505</v>
      </c>
      <c r="M23" s="68">
        <f t="shared" ca="1" si="25"/>
        <v>330.1</v>
      </c>
      <c r="N23" s="68">
        <f t="shared" ca="1" si="26"/>
        <v>86.413612565445021</v>
      </c>
      <c r="O23" s="67">
        <f ca="1">IFERROR(__xludf.DUMMYFUNCTION("IMPORTRANGE(""https://docs.google.com/spreadsheets/d/1-uDff_7J0KD5mKrp0Vvzr7lt3OU09vwQwhkpOPPYv2Y/edit?usp=sharing"",""งบพรบ!DM23"")"),0)</f>
        <v>0</v>
      </c>
      <c r="P23" s="67">
        <f t="shared" ca="1" si="27"/>
        <v>0</v>
      </c>
      <c r="Q23" s="68">
        <f t="shared" ca="1" si="28"/>
        <v>0</v>
      </c>
      <c r="R23" s="67">
        <f ca="1">IFERROR(__xludf.DUMMYFUNCTION("IMPORTRANGE(""https://docs.google.com/spreadsheets/d/1xlcVZWUNn6SuWm0c307h32SiGkd9BaeQWlAktfD3KO8/edit?usp=sharing"",""เพชรบูรณ์!Q266"")"),50660)</f>
        <v>50660</v>
      </c>
      <c r="S23" s="67">
        <f ca="1">IFERROR(__xludf.DUMMYFUNCTION("IMPORTRANGE(""https://docs.google.com/spreadsheets/d/1xlcVZWUNn6SuWm0c307h32SiGkd9BaeQWlAktfD3KO8/edit?usp=sharing"",""เพชรบูรณ์!R266"")"),50660)</f>
        <v>50660</v>
      </c>
      <c r="T23" s="67">
        <f ca="1">IFERROR(__xludf.DUMMYFUNCTION("IMPORTRANGE(""https://docs.google.com/spreadsheets/d/1xlcVZWUNn6SuWm0c307h32SiGkd9BaeQWlAktfD3KO8/edit?usp=sharing"",""เพชรบูรณ์!S266"")"),39653.5)</f>
        <v>39653.5</v>
      </c>
      <c r="U23" s="68">
        <f t="shared" ca="1" si="30"/>
        <v>78.273786024476905</v>
      </c>
      <c r="V23" s="68">
        <f t="shared" ca="1" si="31"/>
        <v>78.273786024476905</v>
      </c>
      <c r="W23" s="74">
        <f ca="1">IFERROR(__xludf.DUMMYFUNCTION("IMPORTRANGE(""https://docs.google.com/spreadsheets/d/1xlcVZWUNn6SuWm0c307h32SiGkd9BaeQWlAktfD3KO8/edit?usp=sharing"",""เพชรบูรณ์!I276"")"),22)</f>
        <v>22</v>
      </c>
      <c r="X23" s="74">
        <f ca="1">IFERROR(__xludf.DUMMYFUNCTION("IMPORTRANGE(""https://docs.google.com/spreadsheets/d/1xlcVZWUNn6SuWm0c307h32SiGkd9BaeQWlAktfD3KO8/edit?usp=sharing"",""เพชรบูรณ์!J276"")"),22)</f>
        <v>22</v>
      </c>
      <c r="Y23" s="152">
        <f t="shared" ca="1" si="33"/>
        <v>100</v>
      </c>
      <c r="Z23" s="74">
        <v>0</v>
      </c>
      <c r="AA23" s="74">
        <v>0</v>
      </c>
      <c r="AB23" s="74">
        <v>0</v>
      </c>
    </row>
    <row r="24" spans="1:28" ht="19.5" x14ac:dyDescent="0.3">
      <c r="A24" s="147">
        <v>11</v>
      </c>
      <c r="B24" s="148" t="s">
        <v>52</v>
      </c>
      <c r="C24" s="149">
        <f t="shared" ca="1" si="21"/>
        <v>5000</v>
      </c>
      <c r="D24" s="150">
        <f t="shared" ca="1" si="34"/>
        <v>5000</v>
      </c>
      <c r="E24" s="151">
        <f ca="1">IFERROR(__xludf.DUMMYFUNCTION("IMPORTRANGE(""https://docs.google.com/spreadsheets/d/1-uDff_7J0KD5mKrp0Vvzr7lt3OU09vwQwhkpOPPYv2Y/edit?usp=sharing"",""งบพรบ!DF24"")"),0)</f>
        <v>0</v>
      </c>
      <c r="F24" s="151">
        <f ca="1">IFERROR(__xludf.DUMMYFUNCTION("IMPORTRANGE(""https://docs.google.com/spreadsheets/d/1-uDff_7J0KD5mKrp0Vvzr7lt3OU09vwQwhkpOPPYv2Y/edit?usp=sharing"",""งบพรบ!DG24"")"),5000)</f>
        <v>5000</v>
      </c>
      <c r="G24" s="151">
        <f ca="1">IFERROR(__xludf.DUMMYFUNCTION("IMPORTRANGE(""https://docs.google.com/spreadsheets/d/1-uDff_7J0KD5mKrp0Vvzr7lt3OU09vwQwhkpOPPYv2Y/edit?usp=sharing"",""งบพรบ!DH24"")"),0)</f>
        <v>0</v>
      </c>
      <c r="H24" s="151">
        <f ca="1">IFERROR(__xludf.DUMMYFUNCTION("IMPORTRANGE(""https://docs.google.com/spreadsheets/d/1-uDff_7J0KD5mKrp0Vvzr7lt3OU09vwQwhkpOPPYv2Y/edit?usp=sharing"",""งบพรบ!DJ24"")"),20500)</f>
        <v>20500</v>
      </c>
      <c r="I24" s="151">
        <f ca="1">IFERROR(__xludf.DUMMYFUNCTION("IMPORTRANGE(""https://docs.google.com/spreadsheets/d/1-uDff_7J0KD5mKrp0Vvzr7lt3OU09vwQwhkpOPPYv2Y/edit?usp=sharing"",""งบพรบ!DK24"")"),0)</f>
        <v>0</v>
      </c>
      <c r="J24" s="151">
        <f t="shared" ca="1" si="23"/>
        <v>16390</v>
      </c>
      <c r="K24" s="154">
        <f t="shared" ca="1" si="24"/>
        <v>327.8</v>
      </c>
      <c r="L24" s="151">
        <f ca="1">IFERROR(__xludf.DUMMYFUNCTION("IMPORTRANGE(""https://docs.google.com/spreadsheets/d/1-uDff_7J0KD5mKrp0Vvzr7lt3OU09vwQwhkpOPPYv2Y/edit?usp=sharing"",""งบพรบ!DL24"")"),16390)</f>
        <v>16390</v>
      </c>
      <c r="M24" s="68">
        <f t="shared" ca="1" si="25"/>
        <v>327.8</v>
      </c>
      <c r="N24" s="68">
        <f t="shared" ca="1" si="26"/>
        <v>79.951219512195124</v>
      </c>
      <c r="O24" s="67">
        <f ca="1">IFERROR(__xludf.DUMMYFUNCTION("IMPORTRANGE(""https://docs.google.com/spreadsheets/d/1-uDff_7J0KD5mKrp0Vvzr7lt3OU09vwQwhkpOPPYv2Y/edit?usp=sharing"",""งบพรบ!DM24"")"),0)</f>
        <v>0</v>
      </c>
      <c r="P24" s="67">
        <f t="shared" ca="1" si="27"/>
        <v>0</v>
      </c>
      <c r="Q24" s="68">
        <f t="shared" ca="1" si="28"/>
        <v>0</v>
      </c>
      <c r="R24" s="67">
        <f ca="1">IFERROR(__xludf.DUMMYFUNCTION("IMPORTRANGE(""https://docs.google.com/spreadsheets/d/1lOVebEIsI9qjGXl6EX66luk7wiuP2tBaryw-wKvv4e0/edit?usp=sharing"",""แพร่!Q266"")"),50660)</f>
        <v>50660</v>
      </c>
      <c r="S24" s="67">
        <f ca="1">IFERROR(__xludf.DUMMYFUNCTION("IMPORTRANGE(""https://docs.google.com/spreadsheets/d/1lOVebEIsI9qjGXl6EX66luk7wiuP2tBaryw-wKvv4e0/edit?usp=sharing"",""แพร่!R266"")"),50660)</f>
        <v>50660</v>
      </c>
      <c r="T24" s="67">
        <f ca="1">IFERROR(__xludf.DUMMYFUNCTION("IMPORTRANGE(""https://docs.google.com/spreadsheets/d/1lOVebEIsI9qjGXl6EX66luk7wiuP2tBaryw-wKvv4e0/edit?usp=sharing"",""แพร่!S266"")"),45220)</f>
        <v>45220</v>
      </c>
      <c r="U24" s="68">
        <f t="shared" ca="1" si="30"/>
        <v>89.261744966442947</v>
      </c>
      <c r="V24" s="68">
        <f t="shared" ca="1" si="31"/>
        <v>89.261744966442947</v>
      </c>
      <c r="W24" s="74">
        <f ca="1">IFERROR(__xludf.DUMMYFUNCTION("IMPORTRANGE(""https://docs.google.com/spreadsheets/d/1lOVebEIsI9qjGXl6EX66luk7wiuP2tBaryw-wKvv4e0/edit?usp=sharing"",""แพร่!I276"")"),22)</f>
        <v>22</v>
      </c>
      <c r="X24" s="74">
        <f ca="1">IFERROR(__xludf.DUMMYFUNCTION("IMPORTRANGE(""https://docs.google.com/spreadsheets/d/1lOVebEIsI9qjGXl6EX66luk7wiuP2tBaryw-wKvv4e0/edit?usp=sharing"",""แพร่!J276"")"),22)</f>
        <v>22</v>
      </c>
      <c r="Y24" s="152">
        <f t="shared" ca="1" si="33"/>
        <v>100</v>
      </c>
      <c r="Z24" s="74">
        <v>0</v>
      </c>
      <c r="AA24" s="74">
        <v>0</v>
      </c>
      <c r="AB24" s="74">
        <v>0</v>
      </c>
    </row>
    <row r="25" spans="1:28" ht="19.5" x14ac:dyDescent="0.3">
      <c r="A25" s="147">
        <v>12</v>
      </c>
      <c r="B25" s="148" t="s">
        <v>53</v>
      </c>
      <c r="C25" s="149">
        <f t="shared" ca="1" si="21"/>
        <v>5000</v>
      </c>
      <c r="D25" s="150">
        <f t="shared" ca="1" si="34"/>
        <v>5000</v>
      </c>
      <c r="E25" s="151">
        <f ca="1">IFERROR(__xludf.DUMMYFUNCTION("IMPORTRANGE(""https://docs.google.com/spreadsheets/d/1-uDff_7J0KD5mKrp0Vvzr7lt3OU09vwQwhkpOPPYv2Y/edit?usp=sharing"",""งบพรบ!DF25"")"),0)</f>
        <v>0</v>
      </c>
      <c r="F25" s="151">
        <f ca="1">IFERROR(__xludf.DUMMYFUNCTION("IMPORTRANGE(""https://docs.google.com/spreadsheets/d/1-uDff_7J0KD5mKrp0Vvzr7lt3OU09vwQwhkpOPPYv2Y/edit?usp=sharing"",""งบพรบ!DG25"")"),5000)</f>
        <v>5000</v>
      </c>
      <c r="G25" s="151">
        <f ca="1">IFERROR(__xludf.DUMMYFUNCTION("IMPORTRANGE(""https://docs.google.com/spreadsheets/d/1-uDff_7J0KD5mKrp0Vvzr7lt3OU09vwQwhkpOPPYv2Y/edit?usp=sharing"",""งบพรบ!DH25"")"),0)</f>
        <v>0</v>
      </c>
      <c r="H25" s="151">
        <f ca="1">IFERROR(__xludf.DUMMYFUNCTION("IMPORTRANGE(""https://docs.google.com/spreadsheets/d/1-uDff_7J0KD5mKrp0Vvzr7lt3OU09vwQwhkpOPPYv2Y/edit?usp=sharing"",""งบพรบ!DJ25"")"),23600)</f>
        <v>23600</v>
      </c>
      <c r="I25" s="151">
        <f ca="1">IFERROR(__xludf.DUMMYFUNCTION("IMPORTRANGE(""https://docs.google.com/spreadsheets/d/1-uDff_7J0KD5mKrp0Vvzr7lt3OU09vwQwhkpOPPYv2Y/edit?usp=sharing"",""งบพรบ!DK25"")"),0)</f>
        <v>0</v>
      </c>
      <c r="J25" s="151">
        <f t="shared" ca="1" si="23"/>
        <v>14570</v>
      </c>
      <c r="K25" s="154">
        <f t="shared" ca="1" si="24"/>
        <v>291.39999999999998</v>
      </c>
      <c r="L25" s="151">
        <f ca="1">IFERROR(__xludf.DUMMYFUNCTION("IMPORTRANGE(""https://docs.google.com/spreadsheets/d/1-uDff_7J0KD5mKrp0Vvzr7lt3OU09vwQwhkpOPPYv2Y/edit?usp=sharing"",""งบพรบ!DL25"")"),14570)</f>
        <v>14570</v>
      </c>
      <c r="M25" s="68">
        <f t="shared" ca="1" si="25"/>
        <v>291.39999999999998</v>
      </c>
      <c r="N25" s="68">
        <f t="shared" ca="1" si="26"/>
        <v>61.737288135593218</v>
      </c>
      <c r="O25" s="67">
        <f ca="1">IFERROR(__xludf.DUMMYFUNCTION("IMPORTRANGE(""https://docs.google.com/spreadsheets/d/1-uDff_7J0KD5mKrp0Vvzr7lt3OU09vwQwhkpOPPYv2Y/edit?usp=sharing"",""งบพรบ!DM25"")"),0)</f>
        <v>0</v>
      </c>
      <c r="P25" s="67">
        <f t="shared" ca="1" si="27"/>
        <v>0</v>
      </c>
      <c r="Q25" s="68">
        <f t="shared" ca="1" si="28"/>
        <v>0</v>
      </c>
      <c r="R25" s="67">
        <f ca="1">IFERROR(__xludf.DUMMYFUNCTION("IMPORTRANGE(""https://docs.google.com/spreadsheets/d/1dQrvX0vEcN7Gu0fnZ0B5S90AeR19zth4XlExFBeExMY/edit?usp=sharing"",""แม่ฮ่องสอน!Q266"")"),47880)</f>
        <v>47880</v>
      </c>
      <c r="S25" s="67">
        <f ca="1">IFERROR(__xludf.DUMMYFUNCTION("IMPORTRANGE(""https://docs.google.com/spreadsheets/d/1dQrvX0vEcN7Gu0fnZ0B5S90AeR19zth4XlExFBeExMY/edit?usp=sharing"",""แม่ฮ่องสอน!R266"")"),47880)</f>
        <v>47880</v>
      </c>
      <c r="T25" s="67">
        <f ca="1">IFERROR(__xludf.DUMMYFUNCTION("IMPORTRANGE(""https://docs.google.com/spreadsheets/d/1dQrvX0vEcN7Gu0fnZ0B5S90AeR19zth4XlExFBeExMY/edit?usp=sharing"",""แม่ฮ่องสอน!S266"")"),41740)</f>
        <v>41740</v>
      </c>
      <c r="U25" s="68">
        <f t="shared" ca="1" si="30"/>
        <v>87.176274018379289</v>
      </c>
      <c r="V25" s="68">
        <f t="shared" ca="1" si="31"/>
        <v>87.176274018379289</v>
      </c>
      <c r="W25" s="74">
        <f ca="1">IFERROR(__xludf.DUMMYFUNCTION("IMPORTRANGE(""https://docs.google.com/spreadsheets/d/1dQrvX0vEcN7Gu0fnZ0B5S90AeR19zth4XlExFBeExMY/edit?usp=sharing"",""แม่ฮ่องสอน!I276"")"),20)</f>
        <v>20</v>
      </c>
      <c r="X25" s="74">
        <f ca="1">IFERROR(__xludf.DUMMYFUNCTION("IMPORTRANGE(""https://docs.google.com/spreadsheets/d/1dQrvX0vEcN7Gu0fnZ0B5S90AeR19zth4XlExFBeExMY/edit?usp=sharing"",""แม่ฮ่องสอน!J276"")"),20)</f>
        <v>20</v>
      </c>
      <c r="Y25" s="152">
        <f t="shared" ca="1" si="33"/>
        <v>100</v>
      </c>
      <c r="Z25" s="74">
        <v>0</v>
      </c>
      <c r="AA25" s="74">
        <v>0</v>
      </c>
      <c r="AB25" s="74">
        <v>0</v>
      </c>
    </row>
    <row r="26" spans="1:28" ht="19.5" x14ac:dyDescent="0.3">
      <c r="A26" s="147">
        <v>13</v>
      </c>
      <c r="B26" s="148" t="s">
        <v>54</v>
      </c>
      <c r="C26" s="149">
        <f t="shared" ca="1" si="21"/>
        <v>5000</v>
      </c>
      <c r="D26" s="150">
        <f t="shared" ca="1" si="34"/>
        <v>5000</v>
      </c>
      <c r="E26" s="151">
        <f ca="1">IFERROR(__xludf.DUMMYFUNCTION("IMPORTRANGE(""https://docs.google.com/spreadsheets/d/1-uDff_7J0KD5mKrp0Vvzr7lt3OU09vwQwhkpOPPYv2Y/edit?usp=sharing"",""งบพรบ!DF26"")"),0)</f>
        <v>0</v>
      </c>
      <c r="F26" s="151">
        <f ca="1">IFERROR(__xludf.DUMMYFUNCTION("IMPORTRANGE(""https://docs.google.com/spreadsheets/d/1-uDff_7J0KD5mKrp0Vvzr7lt3OU09vwQwhkpOPPYv2Y/edit?usp=sharing"",""งบพรบ!DG26"")"),5000)</f>
        <v>5000</v>
      </c>
      <c r="G26" s="151">
        <f ca="1">IFERROR(__xludf.DUMMYFUNCTION("IMPORTRANGE(""https://docs.google.com/spreadsheets/d/1-uDff_7J0KD5mKrp0Vvzr7lt3OU09vwQwhkpOPPYv2Y/edit?usp=sharing"",""งบพรบ!DH26"")"),0)</f>
        <v>0</v>
      </c>
      <c r="H26" s="151">
        <f ca="1">IFERROR(__xludf.DUMMYFUNCTION("IMPORTRANGE(""https://docs.google.com/spreadsheets/d/1-uDff_7J0KD5mKrp0Vvzr7lt3OU09vwQwhkpOPPYv2Y/edit?usp=sharing"",""งบพรบ!DJ26"")"),21000)</f>
        <v>21000</v>
      </c>
      <c r="I26" s="151">
        <f ca="1">IFERROR(__xludf.DUMMYFUNCTION("IMPORTRANGE(""https://docs.google.com/spreadsheets/d/1-uDff_7J0KD5mKrp0Vvzr7lt3OU09vwQwhkpOPPYv2Y/edit?usp=sharing"",""งบพรบ!DK26"")"),0)</f>
        <v>0</v>
      </c>
      <c r="J26" s="151">
        <f t="shared" ca="1" si="23"/>
        <v>21000</v>
      </c>
      <c r="K26" s="154">
        <f t="shared" ca="1" si="24"/>
        <v>420</v>
      </c>
      <c r="L26" s="151">
        <f ca="1">IFERROR(__xludf.DUMMYFUNCTION("IMPORTRANGE(""https://docs.google.com/spreadsheets/d/1-uDff_7J0KD5mKrp0Vvzr7lt3OU09vwQwhkpOPPYv2Y/edit?usp=sharing"",""งบพรบ!DL26"")"),21000)</f>
        <v>21000</v>
      </c>
      <c r="M26" s="68">
        <f t="shared" ca="1" si="25"/>
        <v>420</v>
      </c>
      <c r="N26" s="68">
        <f t="shared" ca="1" si="26"/>
        <v>100</v>
      </c>
      <c r="O26" s="67">
        <f ca="1">IFERROR(__xludf.DUMMYFUNCTION("IMPORTRANGE(""https://docs.google.com/spreadsheets/d/1-uDff_7J0KD5mKrp0Vvzr7lt3OU09vwQwhkpOPPYv2Y/edit?usp=sharing"",""งบพรบ!DM26"")"),0)</f>
        <v>0</v>
      </c>
      <c r="P26" s="67">
        <f t="shared" ca="1" si="27"/>
        <v>0</v>
      </c>
      <c r="Q26" s="68">
        <f t="shared" ca="1" si="28"/>
        <v>0</v>
      </c>
      <c r="R26" s="67">
        <f ca="1">IFERROR(__xludf.DUMMYFUNCTION("IMPORTRANGE(""https://docs.google.com/spreadsheets/d/1DY4XTNNwjluuxqdfdn6qvOSlMRrZqUtmYcZR0ttFiG4/edit?usp=sharing"",""ลำปาง!Q266"")"),50660)</f>
        <v>50660</v>
      </c>
      <c r="S26" s="67">
        <f ca="1">IFERROR(__xludf.DUMMYFUNCTION("IMPORTRANGE(""https://docs.google.com/spreadsheets/d/1DY4XTNNwjluuxqdfdn6qvOSlMRrZqUtmYcZR0ttFiG4/edit?usp=sharing"",""ลำปาง!R266"")"),50660)</f>
        <v>50660</v>
      </c>
      <c r="T26" s="67">
        <f ca="1">IFERROR(__xludf.DUMMYFUNCTION("IMPORTRANGE(""https://docs.google.com/spreadsheets/d/1DY4XTNNwjluuxqdfdn6qvOSlMRrZqUtmYcZR0ttFiG4/edit?usp=sharing"",""ลำปาง!S266"")"),47380)</f>
        <v>47380</v>
      </c>
      <c r="U26" s="68">
        <f t="shared" ca="1" si="30"/>
        <v>93.525463876825896</v>
      </c>
      <c r="V26" s="68">
        <f t="shared" ca="1" si="31"/>
        <v>93.525463876825896</v>
      </c>
      <c r="W26" s="74">
        <f ca="1">IFERROR(__xludf.DUMMYFUNCTION("IMPORTRANGE(""https://docs.google.com/spreadsheets/d/1DY4XTNNwjluuxqdfdn6qvOSlMRrZqUtmYcZR0ttFiG4/edit?usp=sharing"",""ลำปาง!I276"")"),22)</f>
        <v>22</v>
      </c>
      <c r="X26" s="74">
        <f ca="1">IFERROR(__xludf.DUMMYFUNCTION("IMPORTRANGE(""https://docs.google.com/spreadsheets/d/1DY4XTNNwjluuxqdfdn6qvOSlMRrZqUtmYcZR0ttFiG4/edit?usp=sharing"",""ลำปาง!J276"")"),22)</f>
        <v>22</v>
      </c>
      <c r="Y26" s="152">
        <f t="shared" ca="1" si="33"/>
        <v>100</v>
      </c>
      <c r="Z26" s="74">
        <v>0</v>
      </c>
      <c r="AA26" s="74">
        <v>0</v>
      </c>
      <c r="AB26" s="74">
        <v>0</v>
      </c>
    </row>
    <row r="27" spans="1:28" ht="19.5" x14ac:dyDescent="0.3">
      <c r="A27" s="147">
        <v>14</v>
      </c>
      <c r="B27" s="148" t="s">
        <v>55</v>
      </c>
      <c r="C27" s="149">
        <f t="shared" ca="1" si="21"/>
        <v>5000</v>
      </c>
      <c r="D27" s="150">
        <f t="shared" ca="1" si="34"/>
        <v>5000</v>
      </c>
      <c r="E27" s="151">
        <f ca="1">IFERROR(__xludf.DUMMYFUNCTION("IMPORTRANGE(""https://docs.google.com/spreadsheets/d/1-uDff_7J0KD5mKrp0Vvzr7lt3OU09vwQwhkpOPPYv2Y/edit?usp=sharing"",""งบพรบ!DF27"")"),0)</f>
        <v>0</v>
      </c>
      <c r="F27" s="151">
        <f ca="1">IFERROR(__xludf.DUMMYFUNCTION("IMPORTRANGE(""https://docs.google.com/spreadsheets/d/1-uDff_7J0KD5mKrp0Vvzr7lt3OU09vwQwhkpOPPYv2Y/edit?usp=sharing"",""งบพรบ!DG27"")"),5000)</f>
        <v>5000</v>
      </c>
      <c r="G27" s="151">
        <f ca="1">IFERROR(__xludf.DUMMYFUNCTION("IMPORTRANGE(""https://docs.google.com/spreadsheets/d/1-uDff_7J0KD5mKrp0Vvzr7lt3OU09vwQwhkpOPPYv2Y/edit?usp=sharing"",""งบพรบ!DH27"")"),0)</f>
        <v>0</v>
      </c>
      <c r="H27" s="151">
        <f ca="1">IFERROR(__xludf.DUMMYFUNCTION("IMPORTRANGE(""https://docs.google.com/spreadsheets/d/1-uDff_7J0KD5mKrp0Vvzr7lt3OU09vwQwhkpOPPYv2Y/edit?usp=sharing"",""งบพรบ!DJ27"")"),21500)</f>
        <v>21500</v>
      </c>
      <c r="I27" s="151">
        <f ca="1">IFERROR(__xludf.DUMMYFUNCTION("IMPORTRANGE(""https://docs.google.com/spreadsheets/d/1-uDff_7J0KD5mKrp0Vvzr7lt3OU09vwQwhkpOPPYv2Y/edit?usp=sharing"",""งบพรบ!DK27"")"),0)</f>
        <v>0</v>
      </c>
      <c r="J27" s="151">
        <f t="shared" ca="1" si="23"/>
        <v>18230</v>
      </c>
      <c r="K27" s="154">
        <f t="shared" ca="1" si="24"/>
        <v>364.6</v>
      </c>
      <c r="L27" s="151">
        <f ca="1">IFERROR(__xludf.DUMMYFUNCTION("IMPORTRANGE(""https://docs.google.com/spreadsheets/d/1-uDff_7J0KD5mKrp0Vvzr7lt3OU09vwQwhkpOPPYv2Y/edit?usp=sharing"",""งบพรบ!DL27"")"),18230)</f>
        <v>18230</v>
      </c>
      <c r="M27" s="68">
        <f t="shared" ca="1" si="25"/>
        <v>364.6</v>
      </c>
      <c r="N27" s="68">
        <f t="shared" ca="1" si="26"/>
        <v>84.79069767441861</v>
      </c>
      <c r="O27" s="67">
        <f ca="1">IFERROR(__xludf.DUMMYFUNCTION("IMPORTRANGE(""https://docs.google.com/spreadsheets/d/1-uDff_7J0KD5mKrp0Vvzr7lt3OU09vwQwhkpOPPYv2Y/edit?usp=sharing"",""งบพรบ!DM27"")"),0)</f>
        <v>0</v>
      </c>
      <c r="P27" s="67">
        <f t="shared" ca="1" si="27"/>
        <v>0</v>
      </c>
      <c r="Q27" s="68">
        <f t="shared" ca="1" si="28"/>
        <v>0</v>
      </c>
      <c r="R27" s="67">
        <f ca="1">IFERROR(__xludf.DUMMYFUNCTION("IMPORTRANGE(""https://docs.google.com/spreadsheets/d/1ICwG78r0OFT8biBlxnBF8r7she7gNSzOvJ958PWT09c/edit?usp=sharing"",""ลำพูน!Q266"")"),50660)</f>
        <v>50660</v>
      </c>
      <c r="S27" s="67">
        <f ca="1">IFERROR(__xludf.DUMMYFUNCTION("IMPORTRANGE(""https://docs.google.com/spreadsheets/d/1ICwG78r0OFT8biBlxnBF8r7she7gNSzOvJ958PWT09c/edit?usp=sharing"",""ลำพูน!R266"")"),50660)</f>
        <v>50660</v>
      </c>
      <c r="T27" s="67">
        <f ca="1">IFERROR(__xludf.DUMMYFUNCTION("IMPORTRANGE(""https://docs.google.com/spreadsheets/d/1ICwG78r0OFT8biBlxnBF8r7she7gNSzOvJ958PWT09c/edit?usp=sharing"",""ลำพูน!S266"")"),45611)</f>
        <v>45611</v>
      </c>
      <c r="U27" s="68">
        <f t="shared" ca="1" si="30"/>
        <v>90.033557046979865</v>
      </c>
      <c r="V27" s="68">
        <f t="shared" ca="1" si="31"/>
        <v>90.033557046979865</v>
      </c>
      <c r="W27" s="74">
        <f ca="1">IFERROR(__xludf.DUMMYFUNCTION("IMPORTRANGE(""https://docs.google.com/spreadsheets/d/1ICwG78r0OFT8biBlxnBF8r7she7gNSzOvJ958PWT09c/edit?usp=sharing"",""ลำพูน!I276"")"),22)</f>
        <v>22</v>
      </c>
      <c r="X27" s="74">
        <f ca="1">IFERROR(__xludf.DUMMYFUNCTION("IMPORTRANGE(""https://docs.google.com/spreadsheets/d/1ICwG78r0OFT8biBlxnBF8r7she7gNSzOvJ958PWT09c/edit?usp=sharing"",""ลำพูน!J276"")"),22)</f>
        <v>22</v>
      </c>
      <c r="Y27" s="152">
        <f t="shared" ca="1" si="33"/>
        <v>100</v>
      </c>
      <c r="Z27" s="74">
        <v>0</v>
      </c>
      <c r="AA27" s="74">
        <v>0</v>
      </c>
      <c r="AB27" s="74">
        <v>0</v>
      </c>
    </row>
    <row r="28" spans="1:28" ht="19.5" x14ac:dyDescent="0.3">
      <c r="A28" s="147">
        <v>15</v>
      </c>
      <c r="B28" s="148" t="s">
        <v>56</v>
      </c>
      <c r="C28" s="149">
        <f t="shared" ca="1" si="21"/>
        <v>5000</v>
      </c>
      <c r="D28" s="150">
        <f t="shared" ca="1" si="34"/>
        <v>5000</v>
      </c>
      <c r="E28" s="151">
        <f ca="1">IFERROR(__xludf.DUMMYFUNCTION("IMPORTRANGE(""https://docs.google.com/spreadsheets/d/1-uDff_7J0KD5mKrp0Vvzr7lt3OU09vwQwhkpOPPYv2Y/edit?usp=sharing"",""งบพรบ!DF28"")"),0)</f>
        <v>0</v>
      </c>
      <c r="F28" s="151">
        <f ca="1">IFERROR(__xludf.DUMMYFUNCTION("IMPORTRANGE(""https://docs.google.com/spreadsheets/d/1-uDff_7J0KD5mKrp0Vvzr7lt3OU09vwQwhkpOPPYv2Y/edit?usp=sharing"",""งบพรบ!DG28"")"),5000)</f>
        <v>5000</v>
      </c>
      <c r="G28" s="151">
        <f ca="1">IFERROR(__xludf.DUMMYFUNCTION("IMPORTRANGE(""https://docs.google.com/spreadsheets/d/1-uDff_7J0KD5mKrp0Vvzr7lt3OU09vwQwhkpOPPYv2Y/edit?usp=sharing"",""งบพรบ!DH28"")"),0)</f>
        <v>0</v>
      </c>
      <c r="H28" s="151">
        <f ca="1">IFERROR(__xludf.DUMMYFUNCTION("IMPORTRANGE(""https://docs.google.com/spreadsheets/d/1-uDff_7J0KD5mKrp0Vvzr7lt3OU09vwQwhkpOPPYv2Y/edit?usp=sharing"",""งบพรบ!DJ28"")"),19500)</f>
        <v>19500</v>
      </c>
      <c r="I28" s="151">
        <f ca="1">IFERROR(__xludf.DUMMYFUNCTION("IMPORTRANGE(""https://docs.google.com/spreadsheets/d/1-uDff_7J0KD5mKrp0Vvzr7lt3OU09vwQwhkpOPPYv2Y/edit?usp=sharing"",""งบพรบ!DK28"")"),0)</f>
        <v>0</v>
      </c>
      <c r="J28" s="151">
        <f t="shared" ca="1" si="23"/>
        <v>0</v>
      </c>
      <c r="K28" s="154">
        <f t="shared" ca="1" si="24"/>
        <v>0</v>
      </c>
      <c r="L28" s="151">
        <f ca="1">IFERROR(__xludf.DUMMYFUNCTION("IMPORTRANGE(""https://docs.google.com/spreadsheets/d/1-uDff_7J0KD5mKrp0Vvzr7lt3OU09vwQwhkpOPPYv2Y/edit?usp=sharing"",""งบพรบ!DL28"")"),0)</f>
        <v>0</v>
      </c>
      <c r="M28" s="68">
        <f t="shared" ca="1" si="25"/>
        <v>0</v>
      </c>
      <c r="N28" s="68">
        <f t="shared" ca="1" si="26"/>
        <v>0</v>
      </c>
      <c r="O28" s="67">
        <f ca="1">IFERROR(__xludf.DUMMYFUNCTION("IMPORTRANGE(""https://docs.google.com/spreadsheets/d/1-uDff_7J0KD5mKrp0Vvzr7lt3OU09vwQwhkpOPPYv2Y/edit?usp=sharing"",""งบพรบ!DM28"")"),0)</f>
        <v>0</v>
      </c>
      <c r="P28" s="67">
        <f t="shared" ca="1" si="27"/>
        <v>0</v>
      </c>
      <c r="Q28" s="68">
        <f t="shared" ca="1" si="28"/>
        <v>0</v>
      </c>
      <c r="R28" s="67">
        <f ca="1">IFERROR(__xludf.DUMMYFUNCTION("IMPORTRANGE(""https://docs.google.com/spreadsheets/d/1B0f2xJpZUC6Z0xXnqKlZtEPzsf6L84eP1r1Q15seqRM/edit?usp=sharing"",""สุโขทัย!Q266"")"),53440)</f>
        <v>53440</v>
      </c>
      <c r="S28" s="67">
        <f ca="1">IFERROR(__xludf.DUMMYFUNCTION("IMPORTRANGE(""https://docs.google.com/spreadsheets/d/1B0f2xJpZUC6Z0xXnqKlZtEPzsf6L84eP1r1Q15seqRM/edit?usp=sharing"",""สุโขทัย!R266"")"),53440)</f>
        <v>53440</v>
      </c>
      <c r="T28" s="67">
        <f ca="1">IFERROR(__xludf.DUMMYFUNCTION("IMPORTRANGE(""https://docs.google.com/spreadsheets/d/1B0f2xJpZUC6Z0xXnqKlZtEPzsf6L84eP1r1Q15seqRM/edit?usp=sharing"",""สุโขทัย!S266"")"),46560)</f>
        <v>46560</v>
      </c>
      <c r="U28" s="68">
        <f t="shared" ca="1" si="30"/>
        <v>87.125748502994014</v>
      </c>
      <c r="V28" s="68">
        <f t="shared" ca="1" si="31"/>
        <v>87.125748502994014</v>
      </c>
      <c r="W28" s="74">
        <f ca="1">IFERROR(__xludf.DUMMYFUNCTION("IMPORTRANGE(""https://docs.google.com/spreadsheets/d/1B0f2xJpZUC6Z0xXnqKlZtEPzsf6L84eP1r1Q15seqRM/edit?usp=sharing"",""สุโขทัย!I276"")"),24)</f>
        <v>24</v>
      </c>
      <c r="X28" s="74">
        <f ca="1">IFERROR(__xludf.DUMMYFUNCTION("IMPORTRANGE(""https://docs.google.com/spreadsheets/d/1B0f2xJpZUC6Z0xXnqKlZtEPzsf6L84eP1r1Q15seqRM/edit?usp=sharing"",""สุโขทัย!J276"")"),24)</f>
        <v>24</v>
      </c>
      <c r="Y28" s="152">
        <f t="shared" ca="1" si="33"/>
        <v>100</v>
      </c>
      <c r="Z28" s="74">
        <v>0</v>
      </c>
      <c r="AA28" s="74">
        <v>0</v>
      </c>
      <c r="AB28" s="74">
        <v>0</v>
      </c>
    </row>
    <row r="29" spans="1:28" ht="19.5" x14ac:dyDescent="0.3">
      <c r="A29" s="147">
        <v>16</v>
      </c>
      <c r="B29" s="148" t="s">
        <v>57</v>
      </c>
      <c r="C29" s="149">
        <f t="shared" ca="1" si="21"/>
        <v>5000</v>
      </c>
      <c r="D29" s="150">
        <f t="shared" ca="1" si="34"/>
        <v>5000</v>
      </c>
      <c r="E29" s="151">
        <f ca="1">IFERROR(__xludf.DUMMYFUNCTION("IMPORTRANGE(""https://docs.google.com/spreadsheets/d/1-uDff_7J0KD5mKrp0Vvzr7lt3OU09vwQwhkpOPPYv2Y/edit?usp=sharing"",""งบพรบ!DF29"")"),0)</f>
        <v>0</v>
      </c>
      <c r="F29" s="151">
        <f ca="1">IFERROR(__xludf.DUMMYFUNCTION("IMPORTRANGE(""https://docs.google.com/spreadsheets/d/1-uDff_7J0KD5mKrp0Vvzr7lt3OU09vwQwhkpOPPYv2Y/edit?usp=sharing"",""งบพรบ!DG29"")"),5000)</f>
        <v>5000</v>
      </c>
      <c r="G29" s="151">
        <f ca="1">IFERROR(__xludf.DUMMYFUNCTION("IMPORTRANGE(""https://docs.google.com/spreadsheets/d/1-uDff_7J0KD5mKrp0Vvzr7lt3OU09vwQwhkpOPPYv2Y/edit?usp=sharing"",""งบพรบ!DH29"")"),0)</f>
        <v>0</v>
      </c>
      <c r="H29" s="151">
        <f ca="1">IFERROR(__xludf.DUMMYFUNCTION("IMPORTRANGE(""https://docs.google.com/spreadsheets/d/1-uDff_7J0KD5mKrp0Vvzr7lt3OU09vwQwhkpOPPYv2Y/edit?usp=sharing"",""งบพรบ!DJ29"")"),20000)</f>
        <v>20000</v>
      </c>
      <c r="I29" s="151">
        <f ca="1">IFERROR(__xludf.DUMMYFUNCTION("IMPORTRANGE(""https://docs.google.com/spreadsheets/d/1-uDff_7J0KD5mKrp0Vvzr7lt3OU09vwQwhkpOPPYv2Y/edit?usp=sharing"",""งบพรบ!DK29"")"),0)</f>
        <v>0</v>
      </c>
      <c r="J29" s="151">
        <f t="shared" ca="1" si="23"/>
        <v>15540</v>
      </c>
      <c r="K29" s="154">
        <f t="shared" ca="1" si="24"/>
        <v>310.8</v>
      </c>
      <c r="L29" s="151">
        <f ca="1">IFERROR(__xludf.DUMMYFUNCTION("IMPORTRANGE(""https://docs.google.com/spreadsheets/d/1-uDff_7J0KD5mKrp0Vvzr7lt3OU09vwQwhkpOPPYv2Y/edit?usp=sharing"",""งบพรบ!DL29"")"),15540)</f>
        <v>15540</v>
      </c>
      <c r="M29" s="68">
        <f t="shared" ca="1" si="25"/>
        <v>310.8</v>
      </c>
      <c r="N29" s="68">
        <f t="shared" ca="1" si="26"/>
        <v>77.7</v>
      </c>
      <c r="O29" s="67">
        <f ca="1">IFERROR(__xludf.DUMMYFUNCTION("IMPORTRANGE(""https://docs.google.com/spreadsheets/d/1-uDff_7J0KD5mKrp0Vvzr7lt3OU09vwQwhkpOPPYv2Y/edit?usp=sharing"",""งบพรบ!DM29"")"),0)</f>
        <v>0</v>
      </c>
      <c r="P29" s="67">
        <f t="shared" ca="1" si="27"/>
        <v>0</v>
      </c>
      <c r="Q29" s="68">
        <f t="shared" ca="1" si="28"/>
        <v>0</v>
      </c>
      <c r="R29" s="67">
        <f ca="1">IFERROR(__xludf.DUMMYFUNCTION("IMPORTRANGE(""https://docs.google.com/spreadsheets/d/1v0b9pFQCsKUVExMei7AgY2yQkdeNQvtOssygGsXbiKo/edit?usp=sharing"",""อุตรดิตถ์!Q266"")"),50660)</f>
        <v>50660</v>
      </c>
      <c r="S29" s="67">
        <f ca="1">IFERROR(__xludf.DUMMYFUNCTION("IMPORTRANGE(""https://docs.google.com/spreadsheets/d/1v0b9pFQCsKUVExMei7AgY2yQkdeNQvtOssygGsXbiKo/edit?usp=sharing"",""อุตรดิตถ์!R266"")"),50660)</f>
        <v>50660</v>
      </c>
      <c r="T29" s="67">
        <f ca="1">IFERROR(__xludf.DUMMYFUNCTION("IMPORTRANGE(""https://docs.google.com/spreadsheets/d/1v0b9pFQCsKUVExMei7AgY2yQkdeNQvtOssygGsXbiKo/edit?usp=sharing"",""อุตรดิตถ์!S266"")"),50660)</f>
        <v>50660</v>
      </c>
      <c r="U29" s="68">
        <f t="shared" ca="1" si="30"/>
        <v>100</v>
      </c>
      <c r="V29" s="68">
        <f t="shared" ca="1" si="31"/>
        <v>100</v>
      </c>
      <c r="W29" s="74">
        <f ca="1">IFERROR(__xludf.DUMMYFUNCTION("IMPORTRANGE(""https://docs.google.com/spreadsheets/d/1v0b9pFQCsKUVExMei7AgY2yQkdeNQvtOssygGsXbiKo/edit?usp=sharing"",""อุตรดิตถ์!I276"")"),22)</f>
        <v>22</v>
      </c>
      <c r="X29" s="74">
        <f ca="1">IFERROR(__xludf.DUMMYFUNCTION("IMPORTRANGE(""https://docs.google.com/spreadsheets/d/1v0b9pFQCsKUVExMei7AgY2yQkdeNQvtOssygGsXbiKo/edit?usp=sharing"",""อุตรดิตถ์!J276"")"),22)</f>
        <v>22</v>
      </c>
      <c r="Y29" s="152">
        <f t="shared" ca="1" si="33"/>
        <v>100</v>
      </c>
      <c r="Z29" s="74">
        <v>0</v>
      </c>
      <c r="AA29" s="74">
        <v>0</v>
      </c>
      <c r="AB29" s="74">
        <v>0</v>
      </c>
    </row>
    <row r="30" spans="1:28" ht="19.5" x14ac:dyDescent="0.3">
      <c r="A30" s="155">
        <v>17</v>
      </c>
      <c r="B30" s="156" t="s">
        <v>58</v>
      </c>
      <c r="C30" s="157">
        <f t="shared" ca="1" si="21"/>
        <v>5000</v>
      </c>
      <c r="D30" s="158">
        <f t="shared" ca="1" si="34"/>
        <v>5000</v>
      </c>
      <c r="E30" s="159">
        <f ca="1">IFERROR(__xludf.DUMMYFUNCTION("IMPORTRANGE(""https://docs.google.com/spreadsheets/d/1-uDff_7J0KD5mKrp0Vvzr7lt3OU09vwQwhkpOPPYv2Y/edit?usp=sharing"",""งบพรบ!DF30"")"),0)</f>
        <v>0</v>
      </c>
      <c r="F30" s="159">
        <f ca="1">IFERROR(__xludf.DUMMYFUNCTION("IMPORTRANGE(""https://docs.google.com/spreadsheets/d/1-uDff_7J0KD5mKrp0Vvzr7lt3OU09vwQwhkpOPPYv2Y/edit?usp=sharing"",""งบพรบ!DG30"")"),5000)</f>
        <v>5000</v>
      </c>
      <c r="G30" s="159">
        <f ca="1">IFERROR(__xludf.DUMMYFUNCTION("IMPORTRANGE(""https://docs.google.com/spreadsheets/d/1-uDff_7J0KD5mKrp0Vvzr7lt3OU09vwQwhkpOPPYv2Y/edit?usp=sharing"",""งบพรบ!DH30"")"),0)</f>
        <v>0</v>
      </c>
      <c r="H30" s="159">
        <f ca="1">IFERROR(__xludf.DUMMYFUNCTION("IMPORTRANGE(""https://docs.google.com/spreadsheets/d/1-uDff_7J0KD5mKrp0Vvzr7lt3OU09vwQwhkpOPPYv2Y/edit?usp=sharing"",""งบพรบ!DJ30"")"),14600)</f>
        <v>14600</v>
      </c>
      <c r="I30" s="159">
        <f ca="1">IFERROR(__xludf.DUMMYFUNCTION("IMPORTRANGE(""https://docs.google.com/spreadsheets/d/1-uDff_7J0KD5mKrp0Vvzr7lt3OU09vwQwhkpOPPYv2Y/edit?usp=sharing"",""งบพรบ!DK30"")"),0)</f>
        <v>0</v>
      </c>
      <c r="J30" s="159">
        <f t="shared" ca="1" si="23"/>
        <v>11660</v>
      </c>
      <c r="K30" s="160">
        <f t="shared" ca="1" si="24"/>
        <v>233.2</v>
      </c>
      <c r="L30" s="159">
        <f ca="1">IFERROR(__xludf.DUMMYFUNCTION("IMPORTRANGE(""https://docs.google.com/spreadsheets/d/1-uDff_7J0KD5mKrp0Vvzr7lt3OU09vwQwhkpOPPYv2Y/edit?usp=sharing"",""งบพรบ!DL30"")"),11660)</f>
        <v>11660</v>
      </c>
      <c r="M30" s="89">
        <f t="shared" ca="1" si="25"/>
        <v>233.2</v>
      </c>
      <c r="N30" s="89">
        <f t="shared" ca="1" si="26"/>
        <v>79.863013698630141</v>
      </c>
      <c r="O30" s="88">
        <f ca="1">IFERROR(__xludf.DUMMYFUNCTION("IMPORTRANGE(""https://docs.google.com/spreadsheets/d/1-uDff_7J0KD5mKrp0Vvzr7lt3OU09vwQwhkpOPPYv2Y/edit?usp=sharing"",""งบพรบ!DM30"")"),0)</f>
        <v>0</v>
      </c>
      <c r="P30" s="88">
        <f t="shared" ca="1" si="27"/>
        <v>0</v>
      </c>
      <c r="Q30" s="89">
        <f t="shared" ca="1" si="28"/>
        <v>0</v>
      </c>
      <c r="R30" s="88">
        <f ca="1">IFERROR(__xludf.DUMMYFUNCTION("IMPORTRANGE(""https://docs.google.com/spreadsheets/d/1UsNK1e-WWiCo2PvGqdNfdme4m17_Ezd3J69EeeiQPD0/edit?usp=sharing"",""อุทัยธานี!Q266"")"),50660)</f>
        <v>50660</v>
      </c>
      <c r="S30" s="88">
        <f ca="1">IFERROR(__xludf.DUMMYFUNCTION("IMPORTRANGE(""https://docs.google.com/spreadsheets/d/1UsNK1e-WWiCo2PvGqdNfdme4m17_Ezd3J69EeeiQPD0/edit?usp=sharing"",""อุทัยธานี!R266"")"),50660)</f>
        <v>50660</v>
      </c>
      <c r="T30" s="88">
        <f ca="1">IFERROR(__xludf.DUMMYFUNCTION("IMPORTRANGE(""https://docs.google.com/spreadsheets/d/1UsNK1e-WWiCo2PvGqdNfdme4m17_Ezd3J69EeeiQPD0/edit?usp=sharing"",""อุทัยธานี!S266"")"),47630)</f>
        <v>47630</v>
      </c>
      <c r="U30" s="89">
        <f t="shared" ca="1" si="30"/>
        <v>94.018949861823927</v>
      </c>
      <c r="V30" s="89">
        <f t="shared" ca="1" si="31"/>
        <v>94.018949861823927</v>
      </c>
      <c r="W30" s="84">
        <f ca="1">IFERROR(__xludf.DUMMYFUNCTION("IMPORTRANGE(""https://docs.google.com/spreadsheets/d/1UsNK1e-WWiCo2PvGqdNfdme4m17_Ezd3J69EeeiQPD0/edit?usp=sharing"",""อุทัยธานี!I276"")"),22)</f>
        <v>22</v>
      </c>
      <c r="X30" s="84">
        <f ca="1">IFERROR(__xludf.DUMMYFUNCTION("IMPORTRANGE(""https://docs.google.com/spreadsheets/d/1UsNK1e-WWiCo2PvGqdNfdme4m17_Ezd3J69EeeiQPD0/edit?usp=sharing"",""อุทัยธานี!J276"")"),22)</f>
        <v>22</v>
      </c>
      <c r="Y30" s="191">
        <f t="shared" ca="1" si="33"/>
        <v>100</v>
      </c>
      <c r="Z30" s="84">
        <v>0</v>
      </c>
      <c r="AA30" s="84">
        <v>0</v>
      </c>
      <c r="AB30" s="84">
        <v>0</v>
      </c>
    </row>
    <row r="31" spans="1:28" ht="19.5" x14ac:dyDescent="0.3">
      <c r="A31" s="696" t="s">
        <v>59</v>
      </c>
      <c r="B31" s="662"/>
      <c r="C31" s="161">
        <f t="shared" ca="1" si="21"/>
        <v>100000</v>
      </c>
      <c r="D31" s="161">
        <f t="shared" ref="D31:I31" ca="1" si="35">SUM(D32:D51)</f>
        <v>100000</v>
      </c>
      <c r="E31" s="161">
        <f t="shared" ca="1" si="35"/>
        <v>0</v>
      </c>
      <c r="F31" s="161">
        <f t="shared" ca="1" si="35"/>
        <v>100000</v>
      </c>
      <c r="G31" s="161">
        <f t="shared" ca="1" si="35"/>
        <v>0</v>
      </c>
      <c r="H31" s="161">
        <f t="shared" ca="1" si="35"/>
        <v>402400</v>
      </c>
      <c r="I31" s="161">
        <f t="shared" ca="1" si="35"/>
        <v>0</v>
      </c>
      <c r="J31" s="161">
        <f t="shared" ca="1" si="23"/>
        <v>308520</v>
      </c>
      <c r="K31" s="162">
        <f t="shared" ca="1" si="24"/>
        <v>308.52</v>
      </c>
      <c r="L31" s="161">
        <f ca="1">SUM(L32:L51)</f>
        <v>308520</v>
      </c>
      <c r="M31" s="94">
        <f t="shared" ca="1" si="25"/>
        <v>308.52</v>
      </c>
      <c r="N31" s="94">
        <f t="shared" ca="1" si="26"/>
        <v>76.66998011928429</v>
      </c>
      <c r="O31" s="93">
        <f ca="1">SUM(O32:O51)</f>
        <v>0</v>
      </c>
      <c r="P31" s="93">
        <f t="shared" ca="1" si="27"/>
        <v>0</v>
      </c>
      <c r="Q31" s="94">
        <f t="shared" ca="1" si="28"/>
        <v>0</v>
      </c>
      <c r="R31" s="93">
        <f t="shared" ref="R31:T31" ca="1" si="36">SUM(R32:R51)</f>
        <v>1046560</v>
      </c>
      <c r="S31" s="93">
        <f t="shared" ca="1" si="36"/>
        <v>1035222</v>
      </c>
      <c r="T31" s="93">
        <f t="shared" ca="1" si="36"/>
        <v>880716</v>
      </c>
      <c r="U31" s="94">
        <f t="shared" ca="1" si="30"/>
        <v>84.153416908729554</v>
      </c>
      <c r="V31" s="94">
        <f t="shared" ca="1" si="31"/>
        <v>85.075085344013175</v>
      </c>
      <c r="W31" s="52">
        <f t="shared" ref="W31:X31" ca="1" si="37">SUM(W32:W51)</f>
        <v>464</v>
      </c>
      <c r="X31" s="52">
        <f t="shared" ca="1" si="37"/>
        <v>441</v>
      </c>
      <c r="Y31" s="161">
        <f t="shared" ca="1" si="33"/>
        <v>95.043103448275858</v>
      </c>
      <c r="Z31" s="52">
        <v>0</v>
      </c>
      <c r="AA31" s="52">
        <v>0</v>
      </c>
      <c r="AB31" s="161">
        <v>0</v>
      </c>
    </row>
    <row r="32" spans="1:28" ht="19.5" x14ac:dyDescent="0.3">
      <c r="A32" s="147">
        <v>1</v>
      </c>
      <c r="B32" s="148" t="s">
        <v>60</v>
      </c>
      <c r="C32" s="149">
        <f t="shared" ca="1" si="21"/>
        <v>5000</v>
      </c>
      <c r="D32" s="150">
        <f t="shared" ref="D32:D51" ca="1" si="38">+E32+F32</f>
        <v>5000</v>
      </c>
      <c r="E32" s="151">
        <f ca="1">IFERROR(__xludf.DUMMYFUNCTION("IMPORTRANGE(""https://docs.google.com/spreadsheets/d/1-uDff_7J0KD5mKrp0Vvzr7lt3OU09vwQwhkpOPPYv2Y/edit?usp=sharing"",""งบพรบ!DF32"")"),0)</f>
        <v>0</v>
      </c>
      <c r="F32" s="151">
        <f ca="1">IFERROR(__xludf.DUMMYFUNCTION("IMPORTRANGE(""https://docs.google.com/spreadsheets/d/1-uDff_7J0KD5mKrp0Vvzr7lt3OU09vwQwhkpOPPYv2Y/edit?usp=sharing"",""งบพรบ!DG32"")"),5000)</f>
        <v>5000</v>
      </c>
      <c r="G32" s="152">
        <f ca="1">IFERROR(__xludf.DUMMYFUNCTION("IMPORTRANGE(""https://docs.google.com/spreadsheets/d/1-uDff_7J0KD5mKrp0Vvzr7lt3OU09vwQwhkpOPPYv2Y/edit?usp=sharing"",""งบพรบ!DH32"")"),0)</f>
        <v>0</v>
      </c>
      <c r="H32" s="152">
        <f ca="1">IFERROR(__xludf.DUMMYFUNCTION("IMPORTRANGE(""https://docs.google.com/spreadsheets/d/1-uDff_7J0KD5mKrp0Vvzr7lt3OU09vwQwhkpOPPYv2Y/edit?usp=sharing"",""งบพรบ!DJ32"")"),20400)</f>
        <v>20400</v>
      </c>
      <c r="I32" s="152">
        <f ca="1">IFERROR(__xludf.DUMMYFUNCTION("IMPORTRANGE(""https://docs.google.com/spreadsheets/d/1-uDff_7J0KD5mKrp0Vvzr7lt3OU09vwQwhkpOPPYv2Y/edit?usp=sharing"",""งบพรบ!DK32"")"),0)</f>
        <v>0</v>
      </c>
      <c r="J32" s="152">
        <f t="shared" ca="1" si="23"/>
        <v>16760</v>
      </c>
      <c r="K32" s="153">
        <f t="shared" ca="1" si="24"/>
        <v>335.2</v>
      </c>
      <c r="L32" s="152">
        <f ca="1">IFERROR(__xludf.DUMMYFUNCTION("IMPORTRANGE(""https://docs.google.com/spreadsheets/d/1-uDff_7J0KD5mKrp0Vvzr7lt3OU09vwQwhkpOPPYv2Y/edit?usp=sharing"",""งบพรบ!DL32"")"),16760)</f>
        <v>16760</v>
      </c>
      <c r="M32" s="68">
        <f t="shared" ca="1" si="25"/>
        <v>335.2</v>
      </c>
      <c r="N32" s="68">
        <f t="shared" ca="1" si="26"/>
        <v>82.156862745098039</v>
      </c>
      <c r="O32" s="67">
        <f ca="1">IFERROR(__xludf.DUMMYFUNCTION("IMPORTRANGE(""https://docs.google.com/spreadsheets/d/1-uDff_7J0KD5mKrp0Vvzr7lt3OU09vwQwhkpOPPYv2Y/edit?usp=sharing"",""งบพรบ!DM32"")"),0)</f>
        <v>0</v>
      </c>
      <c r="P32" s="67">
        <f t="shared" ca="1" si="27"/>
        <v>0</v>
      </c>
      <c r="Q32" s="68">
        <f t="shared" ca="1" si="28"/>
        <v>0</v>
      </c>
      <c r="R32" s="67">
        <f ca="1">IFERROR(__xludf.DUMMYFUNCTION("IMPORTRANGE(""https://docs.google.com/spreadsheets/d/1yhBcrRPreicbMKl9Bu_Snb2-OcQAF62RKfhTLhJ2eAA/edit?usp=sharing"",""กาฬสินธุ์!Q266"")"),53440)</f>
        <v>53440</v>
      </c>
      <c r="S32" s="67">
        <f ca="1">IFERROR(__xludf.DUMMYFUNCTION("IMPORTRANGE(""https://docs.google.com/spreadsheets/d/1yhBcrRPreicbMKl9Bu_Snb2-OcQAF62RKfhTLhJ2eAA/edit?usp=sharing"",""กาฬสินธุ์!R266"")"),42102)</f>
        <v>42102</v>
      </c>
      <c r="T32" s="67">
        <f ca="1">IFERROR(__xludf.DUMMYFUNCTION("IMPORTRANGE(""https://docs.google.com/spreadsheets/d/1yhBcrRPreicbMKl9Bu_Snb2-OcQAF62RKfhTLhJ2eAA/edit?usp=sharing"",""กาฬสินธุ์!S266"")"),42102)</f>
        <v>42102</v>
      </c>
      <c r="U32" s="68">
        <f t="shared" ca="1" si="30"/>
        <v>78.783682634730539</v>
      </c>
      <c r="V32" s="68">
        <f t="shared" ca="1" si="31"/>
        <v>100</v>
      </c>
      <c r="W32" s="62">
        <f ca="1">IFERROR(__xludf.DUMMYFUNCTION("IMPORTRANGE(""https://docs.google.com/spreadsheets/d/1yhBcrRPreicbMKl9Bu_Snb2-OcQAF62RKfhTLhJ2eAA/edit?usp=sharing"",""กาฬสินธุ์!I276"")"),24)</f>
        <v>24</v>
      </c>
      <c r="X32" s="62">
        <f ca="1">IFERROR(__xludf.DUMMYFUNCTION("IMPORTRANGE(""https://docs.google.com/spreadsheets/d/1yhBcrRPreicbMKl9Bu_Snb2-OcQAF62RKfhTLhJ2eAA/edit?usp=sharing"",""กาฬสินธุ์!J276"")"),24)</f>
        <v>24</v>
      </c>
      <c r="Y32" s="152">
        <f t="shared" ca="1" si="33"/>
        <v>100</v>
      </c>
      <c r="Z32" s="62">
        <v>0</v>
      </c>
      <c r="AA32" s="62">
        <v>0</v>
      </c>
      <c r="AB32" s="152">
        <v>0</v>
      </c>
    </row>
    <row r="33" spans="1:28" ht="19.5" x14ac:dyDescent="0.3">
      <c r="A33" s="147">
        <v>2</v>
      </c>
      <c r="B33" s="148" t="s">
        <v>61</v>
      </c>
      <c r="C33" s="149">
        <f t="shared" ca="1" si="21"/>
        <v>5000</v>
      </c>
      <c r="D33" s="150">
        <f t="shared" ca="1" si="38"/>
        <v>5000</v>
      </c>
      <c r="E33" s="151">
        <f ca="1">IFERROR(__xludf.DUMMYFUNCTION("IMPORTRANGE(""https://docs.google.com/spreadsheets/d/1-uDff_7J0KD5mKrp0Vvzr7lt3OU09vwQwhkpOPPYv2Y/edit?usp=sharing"",""งบพรบ!DF33"")"),0)</f>
        <v>0</v>
      </c>
      <c r="F33" s="151">
        <f ca="1">IFERROR(__xludf.DUMMYFUNCTION("IMPORTRANGE(""https://docs.google.com/spreadsheets/d/1-uDff_7J0KD5mKrp0Vvzr7lt3OU09vwQwhkpOPPYv2Y/edit?usp=sharing"",""งบพรบ!DG33"")"),5000)</f>
        <v>5000</v>
      </c>
      <c r="G33" s="151">
        <f ca="1">IFERROR(__xludf.DUMMYFUNCTION("IMPORTRANGE(""https://docs.google.com/spreadsheets/d/1-uDff_7J0KD5mKrp0Vvzr7lt3OU09vwQwhkpOPPYv2Y/edit?usp=sharing"",""งบพรบ!DH33"")"),0)</f>
        <v>0</v>
      </c>
      <c r="H33" s="151">
        <f ca="1">IFERROR(__xludf.DUMMYFUNCTION("IMPORTRANGE(""https://docs.google.com/spreadsheets/d/1-uDff_7J0KD5mKrp0Vvzr7lt3OU09vwQwhkpOPPYv2Y/edit?usp=sharing"",""งบพรบ!DJ33"")"),19900)</f>
        <v>19900</v>
      </c>
      <c r="I33" s="151">
        <f ca="1">IFERROR(__xludf.DUMMYFUNCTION("IMPORTRANGE(""https://docs.google.com/spreadsheets/d/1-uDff_7J0KD5mKrp0Vvzr7lt3OU09vwQwhkpOPPYv2Y/edit?usp=sharing"",""งบพรบ!DK33"")"),0)</f>
        <v>0</v>
      </c>
      <c r="J33" s="151">
        <f t="shared" ca="1" si="23"/>
        <v>15060</v>
      </c>
      <c r="K33" s="154">
        <f t="shared" ca="1" si="24"/>
        <v>301.2</v>
      </c>
      <c r="L33" s="151">
        <f ca="1">IFERROR(__xludf.DUMMYFUNCTION("IMPORTRANGE(""https://docs.google.com/spreadsheets/d/1-uDff_7J0KD5mKrp0Vvzr7lt3OU09vwQwhkpOPPYv2Y/edit?usp=sharing"",""งบพรบ!DL33"")"),15060)</f>
        <v>15060</v>
      </c>
      <c r="M33" s="68">
        <f t="shared" ca="1" si="25"/>
        <v>301.2</v>
      </c>
      <c r="N33" s="68">
        <f t="shared" ca="1" si="26"/>
        <v>75.678391959799001</v>
      </c>
      <c r="O33" s="67">
        <f ca="1">IFERROR(__xludf.DUMMYFUNCTION("IMPORTRANGE(""https://docs.google.com/spreadsheets/d/1-uDff_7J0KD5mKrp0Vvzr7lt3OU09vwQwhkpOPPYv2Y/edit?usp=sharing"",""งบพรบ!DM33"")"),0)</f>
        <v>0</v>
      </c>
      <c r="P33" s="67">
        <f t="shared" ca="1" si="27"/>
        <v>0</v>
      </c>
      <c r="Q33" s="68">
        <f t="shared" ca="1" si="28"/>
        <v>0</v>
      </c>
      <c r="R33" s="67">
        <f ca="1">IFERROR(__xludf.DUMMYFUNCTION("IMPORTRANGE(""https://docs.google.com/spreadsheets/d/1aHkj4IaQMThhwWwevcOymEh837vdxeC_PycurhTbGFA/edit?usp=sharing"",""ขอนแก่น!Q266"")"),53440)</f>
        <v>53440</v>
      </c>
      <c r="S33" s="67">
        <f ca="1">IFERROR(__xludf.DUMMYFUNCTION("IMPORTRANGE(""https://docs.google.com/spreadsheets/d/1aHkj4IaQMThhwWwevcOymEh837vdxeC_PycurhTbGFA/edit?usp=sharing"",""ขอนแก่น!R266"")"),53440)</f>
        <v>53440</v>
      </c>
      <c r="T33" s="67">
        <f ca="1">IFERROR(__xludf.DUMMYFUNCTION("IMPORTRANGE(""https://docs.google.com/spreadsheets/d/1aHkj4IaQMThhwWwevcOymEh837vdxeC_PycurhTbGFA/edit?usp=sharing"",""ขอนแก่น!S266"")"),50294)</f>
        <v>50294</v>
      </c>
      <c r="U33" s="68">
        <f t="shared" ca="1" si="30"/>
        <v>94.113023952095801</v>
      </c>
      <c r="V33" s="68">
        <f t="shared" ca="1" si="31"/>
        <v>94.113023952095801</v>
      </c>
      <c r="W33" s="74">
        <f ca="1">IFERROR(__xludf.DUMMYFUNCTION("IMPORTRANGE(""https://docs.google.com/spreadsheets/d/1aHkj4IaQMThhwWwevcOymEh837vdxeC_PycurhTbGFA/edit?usp=sharing"",""ขอนแก่น!I276"")"),24)</f>
        <v>24</v>
      </c>
      <c r="X33" s="74">
        <f ca="1">IFERROR(__xludf.DUMMYFUNCTION("IMPORTRANGE(""https://docs.google.com/spreadsheets/d/1aHkj4IaQMThhwWwevcOymEh837vdxeC_PycurhTbGFA/edit?usp=sharing"",""ขอนแก่น!J276"")"),24)</f>
        <v>24</v>
      </c>
      <c r="Y33" s="152">
        <f t="shared" ca="1" si="33"/>
        <v>100</v>
      </c>
      <c r="Z33" s="74">
        <v>0</v>
      </c>
      <c r="AA33" s="74">
        <v>0</v>
      </c>
      <c r="AB33" s="152">
        <v>0</v>
      </c>
    </row>
    <row r="34" spans="1:28" ht="19.5" x14ac:dyDescent="0.3">
      <c r="A34" s="147">
        <v>3</v>
      </c>
      <c r="B34" s="148" t="s">
        <v>62</v>
      </c>
      <c r="C34" s="149">
        <f t="shared" ca="1" si="21"/>
        <v>5000</v>
      </c>
      <c r="D34" s="150">
        <f t="shared" ca="1" si="38"/>
        <v>5000</v>
      </c>
      <c r="E34" s="151">
        <f ca="1">IFERROR(__xludf.DUMMYFUNCTION("IMPORTRANGE(""https://docs.google.com/spreadsheets/d/1-uDff_7J0KD5mKrp0Vvzr7lt3OU09vwQwhkpOPPYv2Y/edit?usp=sharing"",""งบพรบ!DF34"")"),0)</f>
        <v>0</v>
      </c>
      <c r="F34" s="151">
        <f ca="1">IFERROR(__xludf.DUMMYFUNCTION("IMPORTRANGE(""https://docs.google.com/spreadsheets/d/1-uDff_7J0KD5mKrp0Vvzr7lt3OU09vwQwhkpOPPYv2Y/edit?usp=sharing"",""งบพรบ!DG34"")"),5000)</f>
        <v>5000</v>
      </c>
      <c r="G34" s="151">
        <f ca="1">IFERROR(__xludf.DUMMYFUNCTION("IMPORTRANGE(""https://docs.google.com/spreadsheets/d/1-uDff_7J0KD5mKrp0Vvzr7lt3OU09vwQwhkpOPPYv2Y/edit?usp=sharing"",""งบพรบ!DH34"")"),0)</f>
        <v>0</v>
      </c>
      <c r="H34" s="151">
        <f ca="1">IFERROR(__xludf.DUMMYFUNCTION("IMPORTRANGE(""https://docs.google.com/spreadsheets/d/1-uDff_7J0KD5mKrp0Vvzr7lt3OU09vwQwhkpOPPYv2Y/edit?usp=sharing"",""งบพรบ!DJ34"")"),19000)</f>
        <v>19000</v>
      </c>
      <c r="I34" s="151">
        <f ca="1">IFERROR(__xludf.DUMMYFUNCTION("IMPORTRANGE(""https://docs.google.com/spreadsheets/d/1-uDff_7J0KD5mKrp0Vvzr7lt3OU09vwQwhkpOPPYv2Y/edit?usp=sharing"",""งบพรบ!DK34"")"),0)</f>
        <v>0</v>
      </c>
      <c r="J34" s="151">
        <f t="shared" ca="1" si="23"/>
        <v>14000</v>
      </c>
      <c r="K34" s="154">
        <f t="shared" ca="1" si="24"/>
        <v>280</v>
      </c>
      <c r="L34" s="151">
        <f ca="1">IFERROR(__xludf.DUMMYFUNCTION("IMPORTRANGE(""https://docs.google.com/spreadsheets/d/1-uDff_7J0KD5mKrp0Vvzr7lt3OU09vwQwhkpOPPYv2Y/edit?usp=sharing"",""งบพรบ!DL34"")"),14000)</f>
        <v>14000</v>
      </c>
      <c r="M34" s="68">
        <f t="shared" ca="1" si="25"/>
        <v>280</v>
      </c>
      <c r="N34" s="68">
        <f t="shared" ca="1" si="26"/>
        <v>73.684210526315795</v>
      </c>
      <c r="O34" s="67">
        <f ca="1">IFERROR(__xludf.DUMMYFUNCTION("IMPORTRANGE(""https://docs.google.com/spreadsheets/d/1-uDff_7J0KD5mKrp0Vvzr7lt3OU09vwQwhkpOPPYv2Y/edit?usp=sharing"",""งบพรบ!DM34"")"),0)</f>
        <v>0</v>
      </c>
      <c r="P34" s="67">
        <f t="shared" ca="1" si="27"/>
        <v>0</v>
      </c>
      <c r="Q34" s="68">
        <f t="shared" ca="1" si="28"/>
        <v>0</v>
      </c>
      <c r="R34" s="67">
        <f ca="1">IFERROR(__xludf.DUMMYFUNCTION("IMPORTRANGE(""https://docs.google.com/spreadsheets/d/1FvTu2DsIWUjP6WCWra38Bkj_oOl_sOMf14r5Fg5srxU/edit?usp=sharing"",""ชัยภูมิ!Q266"")"),50660)</f>
        <v>50660</v>
      </c>
      <c r="S34" s="67">
        <f ca="1">IFERROR(__xludf.DUMMYFUNCTION("IMPORTRANGE(""https://docs.google.com/spreadsheets/d/1FvTu2DsIWUjP6WCWra38Bkj_oOl_sOMf14r5Fg5srxU/edit?usp=sharing"",""ชัยภูมิ!R266"")"),50660)</f>
        <v>50660</v>
      </c>
      <c r="T34" s="67">
        <f ca="1">IFERROR(__xludf.DUMMYFUNCTION("IMPORTRANGE(""https://docs.google.com/spreadsheets/d/1FvTu2DsIWUjP6WCWra38Bkj_oOl_sOMf14r5Fg5srxU/edit?usp=sharing"",""ชัยภูมิ!S266"")"),39446)</f>
        <v>39446</v>
      </c>
      <c r="U34" s="68">
        <f t="shared" ca="1" si="30"/>
        <v>77.864192656928537</v>
      </c>
      <c r="V34" s="68">
        <f t="shared" ca="1" si="31"/>
        <v>77.864192656928537</v>
      </c>
      <c r="W34" s="74">
        <f ca="1">IFERROR(__xludf.DUMMYFUNCTION("IMPORTRANGE(""https://docs.google.com/spreadsheets/d/1FvTu2DsIWUjP6WCWra38Bkj_oOl_sOMf14r5Fg5srxU/edit?usp=sharing"",""ชัยภูมิ!I276"")"),22)</f>
        <v>22</v>
      </c>
      <c r="X34" s="74">
        <f ca="1">IFERROR(__xludf.DUMMYFUNCTION("IMPORTRANGE(""https://docs.google.com/spreadsheets/d/1FvTu2DsIWUjP6WCWra38Bkj_oOl_sOMf14r5Fg5srxU/edit?usp=sharing"",""ชัยภูมิ!J276"")"),22)</f>
        <v>22</v>
      </c>
      <c r="Y34" s="152">
        <f t="shared" ca="1" si="33"/>
        <v>100</v>
      </c>
      <c r="Z34" s="74">
        <v>0</v>
      </c>
      <c r="AA34" s="74">
        <v>0</v>
      </c>
      <c r="AB34" s="152">
        <v>0</v>
      </c>
    </row>
    <row r="35" spans="1:28" ht="19.5" x14ac:dyDescent="0.3">
      <c r="A35" s="147">
        <v>4</v>
      </c>
      <c r="B35" s="148" t="s">
        <v>63</v>
      </c>
      <c r="C35" s="149">
        <f t="shared" ca="1" si="21"/>
        <v>5000</v>
      </c>
      <c r="D35" s="150">
        <f t="shared" ca="1" si="38"/>
        <v>5000</v>
      </c>
      <c r="E35" s="151">
        <f ca="1">IFERROR(__xludf.DUMMYFUNCTION("IMPORTRANGE(""https://docs.google.com/spreadsheets/d/1-uDff_7J0KD5mKrp0Vvzr7lt3OU09vwQwhkpOPPYv2Y/edit?usp=sharing"",""งบพรบ!DF35"")"),0)</f>
        <v>0</v>
      </c>
      <c r="F35" s="151">
        <f ca="1">IFERROR(__xludf.DUMMYFUNCTION("IMPORTRANGE(""https://docs.google.com/spreadsheets/d/1-uDff_7J0KD5mKrp0Vvzr7lt3OU09vwQwhkpOPPYv2Y/edit?usp=sharing"",""งบพรบ!DG35"")"),5000)</f>
        <v>5000</v>
      </c>
      <c r="G35" s="151">
        <f ca="1">IFERROR(__xludf.DUMMYFUNCTION("IMPORTRANGE(""https://docs.google.com/spreadsheets/d/1-uDff_7J0KD5mKrp0Vvzr7lt3OU09vwQwhkpOPPYv2Y/edit?usp=sharing"",""งบพรบ!DH35"")"),0)</f>
        <v>0</v>
      </c>
      <c r="H35" s="151">
        <f ca="1">IFERROR(__xludf.DUMMYFUNCTION("IMPORTRANGE(""https://docs.google.com/spreadsheets/d/1-uDff_7J0KD5mKrp0Vvzr7lt3OU09vwQwhkpOPPYv2Y/edit?usp=sharing"",""งบพรบ!DJ35"")"),22200)</f>
        <v>22200</v>
      </c>
      <c r="I35" s="151">
        <f ca="1">IFERROR(__xludf.DUMMYFUNCTION("IMPORTRANGE(""https://docs.google.com/spreadsheets/d/1-uDff_7J0KD5mKrp0Vvzr7lt3OU09vwQwhkpOPPYv2Y/edit?usp=sharing"",""งบพรบ!DK35"")"),0)</f>
        <v>0</v>
      </c>
      <c r="J35" s="151">
        <f t="shared" ca="1" si="23"/>
        <v>5000</v>
      </c>
      <c r="K35" s="154">
        <f t="shared" ca="1" si="24"/>
        <v>100</v>
      </c>
      <c r="L35" s="151">
        <f ca="1">IFERROR(__xludf.DUMMYFUNCTION("IMPORTRANGE(""https://docs.google.com/spreadsheets/d/1-uDff_7J0KD5mKrp0Vvzr7lt3OU09vwQwhkpOPPYv2Y/edit?usp=sharing"",""งบพรบ!DL35"")"),5000)</f>
        <v>5000</v>
      </c>
      <c r="M35" s="68">
        <f t="shared" ca="1" si="25"/>
        <v>100</v>
      </c>
      <c r="N35" s="68">
        <f t="shared" ca="1" si="26"/>
        <v>22.522522522522522</v>
      </c>
      <c r="O35" s="67">
        <f ca="1">IFERROR(__xludf.DUMMYFUNCTION("IMPORTRANGE(""https://docs.google.com/spreadsheets/d/1-uDff_7J0KD5mKrp0Vvzr7lt3OU09vwQwhkpOPPYv2Y/edit?usp=sharing"",""งบพรบ!DM35"")"),0)</f>
        <v>0</v>
      </c>
      <c r="P35" s="67">
        <f t="shared" ca="1" si="27"/>
        <v>0</v>
      </c>
      <c r="Q35" s="68">
        <f t="shared" ca="1" si="28"/>
        <v>0</v>
      </c>
      <c r="R35" s="67">
        <f ca="1">IFERROR(__xludf.DUMMYFUNCTION("IMPORTRANGE(""https://docs.google.com/spreadsheets/d/1XVB7oCJ3pr-vBUdflwPQ8Z2LlzhnCvZaaYjAfP-647E/edit?usp=sharing"",""นครพนม!Q266"")"),50660)</f>
        <v>50660</v>
      </c>
      <c r="S35" s="67">
        <f ca="1">IFERROR(__xludf.DUMMYFUNCTION("IMPORTRANGE(""https://docs.google.com/spreadsheets/d/1XVB7oCJ3pr-vBUdflwPQ8Z2LlzhnCvZaaYjAfP-647E/edit?usp=sharing"",""นครพนม!R266"")"),50660)</f>
        <v>50660</v>
      </c>
      <c r="T35" s="67">
        <f ca="1">IFERROR(__xludf.DUMMYFUNCTION("IMPORTRANGE(""https://docs.google.com/spreadsheets/d/1XVB7oCJ3pr-vBUdflwPQ8Z2LlzhnCvZaaYjAfP-647E/edit?usp=sharing"",""นครพนม!S266"")"),49950)</f>
        <v>49950</v>
      </c>
      <c r="U35" s="68">
        <f t="shared" ca="1" si="30"/>
        <v>98.598499802605602</v>
      </c>
      <c r="V35" s="68">
        <f t="shared" ca="1" si="31"/>
        <v>98.598499802605602</v>
      </c>
      <c r="W35" s="74">
        <f ca="1">IFERROR(__xludf.DUMMYFUNCTION("IMPORTRANGE(""https://docs.google.com/spreadsheets/d/1XVB7oCJ3pr-vBUdflwPQ8Z2LlzhnCvZaaYjAfP-647E/edit?usp=sharing"",""นครพนม!I276"")"),22)</f>
        <v>22</v>
      </c>
      <c r="X35" s="74">
        <f ca="1">IFERROR(__xludf.DUMMYFUNCTION("IMPORTRANGE(""https://docs.google.com/spreadsheets/d/1XVB7oCJ3pr-vBUdflwPQ8Z2LlzhnCvZaaYjAfP-647E/edit?usp=sharing"",""นครพนม!J276"")"),22)</f>
        <v>22</v>
      </c>
      <c r="Y35" s="152">
        <f t="shared" ca="1" si="33"/>
        <v>100</v>
      </c>
      <c r="Z35" s="74">
        <v>0</v>
      </c>
      <c r="AA35" s="74">
        <v>0</v>
      </c>
      <c r="AB35" s="152">
        <v>0</v>
      </c>
    </row>
    <row r="36" spans="1:28" ht="19.5" x14ac:dyDescent="0.3">
      <c r="A36" s="147">
        <v>5</v>
      </c>
      <c r="B36" s="148" t="s">
        <v>64</v>
      </c>
      <c r="C36" s="149">
        <f t="shared" ca="1" si="21"/>
        <v>5000</v>
      </c>
      <c r="D36" s="150">
        <f t="shared" ca="1" si="38"/>
        <v>5000</v>
      </c>
      <c r="E36" s="151">
        <f ca="1">IFERROR(__xludf.DUMMYFUNCTION("IMPORTRANGE(""https://docs.google.com/spreadsheets/d/1-uDff_7J0KD5mKrp0Vvzr7lt3OU09vwQwhkpOPPYv2Y/edit?usp=sharing"",""งบพรบ!DF36"")"),0)</f>
        <v>0</v>
      </c>
      <c r="F36" s="151">
        <f ca="1">IFERROR(__xludf.DUMMYFUNCTION("IMPORTRANGE(""https://docs.google.com/spreadsheets/d/1-uDff_7J0KD5mKrp0Vvzr7lt3OU09vwQwhkpOPPYv2Y/edit?usp=sharing"",""งบพรบ!DG36"")"),5000)</f>
        <v>5000</v>
      </c>
      <c r="G36" s="151">
        <f ca="1">IFERROR(__xludf.DUMMYFUNCTION("IMPORTRANGE(""https://docs.google.com/spreadsheets/d/1-uDff_7J0KD5mKrp0Vvzr7lt3OU09vwQwhkpOPPYv2Y/edit?usp=sharing"",""งบพรบ!DH36"")"),0)</f>
        <v>0</v>
      </c>
      <c r="H36" s="151">
        <f ca="1">IFERROR(__xludf.DUMMYFUNCTION("IMPORTRANGE(""https://docs.google.com/spreadsheets/d/1-uDff_7J0KD5mKrp0Vvzr7lt3OU09vwQwhkpOPPYv2Y/edit?usp=sharing"",""งบพรบ!DJ36"")"),12000)</f>
        <v>12000</v>
      </c>
      <c r="I36" s="151">
        <f ca="1">IFERROR(__xludf.DUMMYFUNCTION("IMPORTRANGE(""https://docs.google.com/spreadsheets/d/1-uDff_7J0KD5mKrp0Vvzr7lt3OU09vwQwhkpOPPYv2Y/edit?usp=sharing"",""งบพรบ!DK36"")"),0)</f>
        <v>0</v>
      </c>
      <c r="J36" s="151">
        <f t="shared" ca="1" si="23"/>
        <v>12000</v>
      </c>
      <c r="K36" s="154">
        <f t="shared" ca="1" si="24"/>
        <v>240</v>
      </c>
      <c r="L36" s="151">
        <f ca="1">IFERROR(__xludf.DUMMYFUNCTION("IMPORTRANGE(""https://docs.google.com/spreadsheets/d/1-uDff_7J0KD5mKrp0Vvzr7lt3OU09vwQwhkpOPPYv2Y/edit?usp=sharing"",""งบพรบ!DL36"")"),12000)</f>
        <v>12000</v>
      </c>
      <c r="M36" s="68">
        <f t="shared" ca="1" si="25"/>
        <v>240</v>
      </c>
      <c r="N36" s="68">
        <f t="shared" ca="1" si="26"/>
        <v>100</v>
      </c>
      <c r="O36" s="67">
        <f ca="1">IFERROR(__xludf.DUMMYFUNCTION("IMPORTRANGE(""https://docs.google.com/spreadsheets/d/1-uDff_7J0KD5mKrp0Vvzr7lt3OU09vwQwhkpOPPYv2Y/edit?usp=sharing"",""งบพรบ!DM36"")"),0)</f>
        <v>0</v>
      </c>
      <c r="P36" s="67">
        <f t="shared" ca="1" si="27"/>
        <v>0</v>
      </c>
      <c r="Q36" s="68">
        <f t="shared" ca="1" si="28"/>
        <v>0</v>
      </c>
      <c r="R36" s="67">
        <f ca="1">IFERROR(__xludf.DUMMYFUNCTION("IMPORTRANGE(""https://docs.google.com/spreadsheets/d/1Mnpb-8PYAgn85W6KOTD40hc_Xc55CaLfHoGAbrZ8tls/edit?usp=sharing"",""นครราชสีมา!Q266"")"),53440)</f>
        <v>53440</v>
      </c>
      <c r="S36" s="67">
        <f ca="1">IFERROR(__xludf.DUMMYFUNCTION("IMPORTRANGE(""https://docs.google.com/spreadsheets/d/1Mnpb-8PYAgn85W6KOTD40hc_Xc55CaLfHoGAbrZ8tls/edit?usp=sharing"",""นครราชสีมา!R266"")"),53440)</f>
        <v>53440</v>
      </c>
      <c r="T36" s="67">
        <f ca="1">IFERROR(__xludf.DUMMYFUNCTION("IMPORTRANGE(""https://docs.google.com/spreadsheets/d/1Mnpb-8PYAgn85W6KOTD40hc_Xc55CaLfHoGAbrZ8tls/edit?usp=sharing"",""นครราชสีมา!S266"")"),49860)</f>
        <v>49860</v>
      </c>
      <c r="U36" s="68">
        <f t="shared" ca="1" si="30"/>
        <v>93.300898203592808</v>
      </c>
      <c r="V36" s="68">
        <f t="shared" ca="1" si="31"/>
        <v>93.300898203592808</v>
      </c>
      <c r="W36" s="74">
        <f ca="1">IFERROR(__xludf.DUMMYFUNCTION("IMPORTRANGE(""https://docs.google.com/spreadsheets/d/1Mnpb-8PYAgn85W6KOTD40hc_Xc55CaLfHoGAbrZ8tls/edit?usp=sharing"",""นครราชสีมา!I276"")"),24)</f>
        <v>24</v>
      </c>
      <c r="X36" s="74">
        <f ca="1">IFERROR(__xludf.DUMMYFUNCTION("IMPORTRANGE(""https://docs.google.com/spreadsheets/d/1Mnpb-8PYAgn85W6KOTD40hc_Xc55CaLfHoGAbrZ8tls/edit?usp=sharing"",""นครราชสีมา!J276"")"),24)</f>
        <v>24</v>
      </c>
      <c r="Y36" s="152">
        <f t="shared" ca="1" si="33"/>
        <v>100</v>
      </c>
      <c r="Z36" s="74">
        <v>0</v>
      </c>
      <c r="AA36" s="74">
        <v>0</v>
      </c>
      <c r="AB36" s="152">
        <v>0</v>
      </c>
    </row>
    <row r="37" spans="1:28" ht="19.5" x14ac:dyDescent="0.3">
      <c r="A37" s="147">
        <v>6</v>
      </c>
      <c r="B37" s="148" t="s">
        <v>65</v>
      </c>
      <c r="C37" s="149">
        <f t="shared" ca="1" si="21"/>
        <v>5000</v>
      </c>
      <c r="D37" s="150">
        <f t="shared" ca="1" si="38"/>
        <v>5000</v>
      </c>
      <c r="E37" s="151">
        <f ca="1">IFERROR(__xludf.DUMMYFUNCTION("IMPORTRANGE(""https://docs.google.com/spreadsheets/d/1-uDff_7J0KD5mKrp0Vvzr7lt3OU09vwQwhkpOPPYv2Y/edit?usp=sharing"",""งบพรบ!DF37"")"),0)</f>
        <v>0</v>
      </c>
      <c r="F37" s="151">
        <f ca="1">IFERROR(__xludf.DUMMYFUNCTION("IMPORTRANGE(""https://docs.google.com/spreadsheets/d/1-uDff_7J0KD5mKrp0Vvzr7lt3OU09vwQwhkpOPPYv2Y/edit?usp=sharing"",""งบพรบ!DG37"")"),5000)</f>
        <v>5000</v>
      </c>
      <c r="G37" s="151">
        <f ca="1">IFERROR(__xludf.DUMMYFUNCTION("IMPORTRANGE(""https://docs.google.com/spreadsheets/d/1-uDff_7J0KD5mKrp0Vvzr7lt3OU09vwQwhkpOPPYv2Y/edit?usp=sharing"",""งบพรบ!DH37"")"),0)</f>
        <v>0</v>
      </c>
      <c r="H37" s="151">
        <f ca="1">IFERROR(__xludf.DUMMYFUNCTION("IMPORTRANGE(""https://docs.google.com/spreadsheets/d/1-uDff_7J0KD5mKrp0Vvzr7lt3OU09vwQwhkpOPPYv2Y/edit?usp=sharing"",""งบพรบ!DJ37"")"),19900)</f>
        <v>19900</v>
      </c>
      <c r="I37" s="151">
        <f ca="1">IFERROR(__xludf.DUMMYFUNCTION("IMPORTRANGE(""https://docs.google.com/spreadsheets/d/1-uDff_7J0KD5mKrp0Vvzr7lt3OU09vwQwhkpOPPYv2Y/edit?usp=sharing"",""งบพรบ!DK37"")"),0)</f>
        <v>0</v>
      </c>
      <c r="J37" s="151">
        <f t="shared" ca="1" si="23"/>
        <v>13560</v>
      </c>
      <c r="K37" s="154">
        <f t="shared" ca="1" si="24"/>
        <v>271.2</v>
      </c>
      <c r="L37" s="151">
        <f ca="1">IFERROR(__xludf.DUMMYFUNCTION("IMPORTRANGE(""https://docs.google.com/spreadsheets/d/1-uDff_7J0KD5mKrp0Vvzr7lt3OU09vwQwhkpOPPYv2Y/edit?usp=sharing"",""งบพรบ!DL37"")"),13560)</f>
        <v>13560</v>
      </c>
      <c r="M37" s="68">
        <f t="shared" ca="1" si="25"/>
        <v>271.2</v>
      </c>
      <c r="N37" s="68">
        <f t="shared" ca="1" si="26"/>
        <v>68.140703517587937</v>
      </c>
      <c r="O37" s="67">
        <f ca="1">IFERROR(__xludf.DUMMYFUNCTION("IMPORTRANGE(""https://docs.google.com/spreadsheets/d/1-uDff_7J0KD5mKrp0Vvzr7lt3OU09vwQwhkpOPPYv2Y/edit?usp=sharing"",""งบพรบ!DM37"")"),0)</f>
        <v>0</v>
      </c>
      <c r="P37" s="67">
        <f t="shared" ca="1" si="27"/>
        <v>0</v>
      </c>
      <c r="Q37" s="68">
        <f t="shared" ca="1" si="28"/>
        <v>0</v>
      </c>
      <c r="R37" s="67">
        <f ca="1">IFERROR(__xludf.DUMMYFUNCTION("IMPORTRANGE(""https://docs.google.com/spreadsheets/d/1xoDLGBv9CYbyosIhki0kTq6IpYNj-gpjxfobnaDiut0/edit?usp=sharing"",""บึงกาฬ!Q266"")"),53440)</f>
        <v>53440</v>
      </c>
      <c r="S37" s="67">
        <f ca="1">IFERROR(__xludf.DUMMYFUNCTION("IMPORTRANGE(""https://docs.google.com/spreadsheets/d/1xoDLGBv9CYbyosIhki0kTq6IpYNj-gpjxfobnaDiut0/edit?usp=sharing"",""บึงกาฬ!R266"")"),53440)</f>
        <v>53440</v>
      </c>
      <c r="T37" s="67">
        <f ca="1">IFERROR(__xludf.DUMMYFUNCTION("IMPORTRANGE(""https://docs.google.com/spreadsheets/d/1xoDLGBv9CYbyosIhki0kTq6IpYNj-gpjxfobnaDiut0/edit?usp=sharing"",""บึงกาฬ!S266"")"),50970)</f>
        <v>50970</v>
      </c>
      <c r="U37" s="68">
        <f t="shared" ca="1" si="30"/>
        <v>95.377994011976043</v>
      </c>
      <c r="V37" s="68">
        <f t="shared" ca="1" si="31"/>
        <v>95.377994011976043</v>
      </c>
      <c r="W37" s="74">
        <f ca="1">IFERROR(__xludf.DUMMYFUNCTION("IMPORTRANGE(""https://docs.google.com/spreadsheets/d/1xoDLGBv9CYbyosIhki0kTq6IpYNj-gpjxfobnaDiut0/edit?usp=sharing"",""บึงกาฬ!I276"")"),24)</f>
        <v>24</v>
      </c>
      <c r="X37" s="74">
        <f ca="1">IFERROR(__xludf.DUMMYFUNCTION("IMPORTRANGE(""https://docs.google.com/spreadsheets/d/1xoDLGBv9CYbyosIhki0kTq6IpYNj-gpjxfobnaDiut0/edit?usp=sharing"",""บึงกาฬ!J276"")"),24)</f>
        <v>24</v>
      </c>
      <c r="Y37" s="152">
        <f t="shared" ca="1" si="33"/>
        <v>100</v>
      </c>
      <c r="Z37" s="74">
        <v>0</v>
      </c>
      <c r="AA37" s="74">
        <v>0</v>
      </c>
      <c r="AB37" s="152">
        <v>0</v>
      </c>
    </row>
    <row r="38" spans="1:28" ht="19.5" x14ac:dyDescent="0.3">
      <c r="A38" s="147">
        <v>7</v>
      </c>
      <c r="B38" s="148" t="s">
        <v>66</v>
      </c>
      <c r="C38" s="149">
        <f t="shared" ca="1" si="21"/>
        <v>5000</v>
      </c>
      <c r="D38" s="150">
        <f t="shared" ca="1" si="38"/>
        <v>5000</v>
      </c>
      <c r="E38" s="151">
        <f ca="1">IFERROR(__xludf.DUMMYFUNCTION("IMPORTRANGE(""https://docs.google.com/spreadsheets/d/1-uDff_7J0KD5mKrp0Vvzr7lt3OU09vwQwhkpOPPYv2Y/edit?usp=sharing"",""งบพรบ!DF38"")"),0)</f>
        <v>0</v>
      </c>
      <c r="F38" s="151">
        <f ca="1">IFERROR(__xludf.DUMMYFUNCTION("IMPORTRANGE(""https://docs.google.com/spreadsheets/d/1-uDff_7J0KD5mKrp0Vvzr7lt3OU09vwQwhkpOPPYv2Y/edit?usp=sharing"",""งบพรบ!DG38"")"),5000)</f>
        <v>5000</v>
      </c>
      <c r="G38" s="151">
        <f ca="1">IFERROR(__xludf.DUMMYFUNCTION("IMPORTRANGE(""https://docs.google.com/spreadsheets/d/1-uDff_7J0KD5mKrp0Vvzr7lt3OU09vwQwhkpOPPYv2Y/edit?usp=sharing"",""งบพรบ!DH38"")"),0)</f>
        <v>0</v>
      </c>
      <c r="H38" s="151">
        <f ca="1">IFERROR(__xludf.DUMMYFUNCTION("IMPORTRANGE(""https://docs.google.com/spreadsheets/d/1-uDff_7J0KD5mKrp0Vvzr7lt3OU09vwQwhkpOPPYv2Y/edit?usp=sharing"",""งบพรบ!DJ38"")"),19400)</f>
        <v>19400</v>
      </c>
      <c r="I38" s="151">
        <f ca="1">IFERROR(__xludf.DUMMYFUNCTION("IMPORTRANGE(""https://docs.google.com/spreadsheets/d/1-uDff_7J0KD5mKrp0Vvzr7lt3OU09vwQwhkpOPPYv2Y/edit?usp=sharing"",""งบพรบ!DK38"")"),0)</f>
        <v>0</v>
      </c>
      <c r="J38" s="151">
        <f t="shared" ca="1" si="23"/>
        <v>17340</v>
      </c>
      <c r="K38" s="154">
        <f t="shared" ca="1" si="24"/>
        <v>346.8</v>
      </c>
      <c r="L38" s="151">
        <f ca="1">IFERROR(__xludf.DUMMYFUNCTION("IMPORTRANGE(""https://docs.google.com/spreadsheets/d/1-uDff_7J0KD5mKrp0Vvzr7lt3OU09vwQwhkpOPPYv2Y/edit?usp=sharing"",""งบพรบ!DL38"")"),17340)</f>
        <v>17340</v>
      </c>
      <c r="M38" s="68">
        <f t="shared" ca="1" si="25"/>
        <v>346.8</v>
      </c>
      <c r="N38" s="68">
        <f t="shared" ca="1" si="26"/>
        <v>89.381443298969074</v>
      </c>
      <c r="O38" s="67">
        <f ca="1">IFERROR(__xludf.DUMMYFUNCTION("IMPORTRANGE(""https://docs.google.com/spreadsheets/d/1-uDff_7J0KD5mKrp0Vvzr7lt3OU09vwQwhkpOPPYv2Y/edit?usp=sharing"",""งบพรบ!DM38"")"),0)</f>
        <v>0</v>
      </c>
      <c r="P38" s="67">
        <f t="shared" ca="1" si="27"/>
        <v>0</v>
      </c>
      <c r="Q38" s="68">
        <f t="shared" ca="1" si="28"/>
        <v>0</v>
      </c>
      <c r="R38" s="67">
        <f ca="1">IFERROR(__xludf.DUMMYFUNCTION("IMPORTRANGE(""https://docs.google.com/spreadsheets/d/1MMPq-JyI6DSgQETxuSiXkesP-P7JHuemnE6QJIa-Nlw/edit?usp=sharing"",""บุรีรัมย์!Q266"")"),50660)</f>
        <v>50660</v>
      </c>
      <c r="S38" s="67">
        <f ca="1">IFERROR(__xludf.DUMMYFUNCTION("IMPORTRANGE(""https://docs.google.com/spreadsheets/d/1MMPq-JyI6DSgQETxuSiXkesP-P7JHuemnE6QJIa-Nlw/edit?usp=sharing"",""บุรีรัมย์!R266"")"),50660)</f>
        <v>50660</v>
      </c>
      <c r="T38" s="67">
        <f ca="1">IFERROR(__xludf.DUMMYFUNCTION("IMPORTRANGE(""https://docs.google.com/spreadsheets/d/1MMPq-JyI6DSgQETxuSiXkesP-P7JHuemnE6QJIa-Nlw/edit?usp=sharing"",""บุรีรัมย์!S266"")"),46380)</f>
        <v>46380</v>
      </c>
      <c r="U38" s="68">
        <f t="shared" ca="1" si="30"/>
        <v>91.551519936833799</v>
      </c>
      <c r="V38" s="68">
        <f t="shared" ca="1" si="31"/>
        <v>91.551519936833799</v>
      </c>
      <c r="W38" s="78">
        <f ca="1">IFERROR(__xludf.DUMMYFUNCTION("IMPORTRANGE(""https://docs.google.com/spreadsheets/d/1MMPq-JyI6DSgQETxuSiXkesP-P7JHuemnE6QJIa-Nlw/edit?usp=sharing"",""บุรีรัมย์!I276"")"),22)</f>
        <v>22</v>
      </c>
      <c r="X38" s="78">
        <f ca="1">IFERROR(__xludf.DUMMYFUNCTION("IMPORTRANGE(""https://docs.google.com/spreadsheets/d/1MMPq-JyI6DSgQETxuSiXkesP-P7JHuemnE6QJIa-Nlw/edit?usp=sharing"",""บุรีรัมย์!J276"")"),22)</f>
        <v>22</v>
      </c>
      <c r="Y38" s="152">
        <f t="shared" ca="1" si="33"/>
        <v>100</v>
      </c>
      <c r="Z38" s="78">
        <v>0</v>
      </c>
      <c r="AA38" s="78">
        <v>0</v>
      </c>
      <c r="AB38" s="152">
        <v>0</v>
      </c>
    </row>
    <row r="39" spans="1:28" ht="19.5" x14ac:dyDescent="0.3">
      <c r="A39" s="147">
        <v>8</v>
      </c>
      <c r="B39" s="148" t="s">
        <v>67</v>
      </c>
      <c r="C39" s="149">
        <f t="shared" ca="1" si="21"/>
        <v>5000</v>
      </c>
      <c r="D39" s="150">
        <f t="shared" ca="1" si="38"/>
        <v>5000</v>
      </c>
      <c r="E39" s="151">
        <f ca="1">IFERROR(__xludf.DUMMYFUNCTION("IMPORTRANGE(""https://docs.google.com/spreadsheets/d/1-uDff_7J0KD5mKrp0Vvzr7lt3OU09vwQwhkpOPPYv2Y/edit?usp=sharing"",""งบพรบ!DF39"")"),0)</f>
        <v>0</v>
      </c>
      <c r="F39" s="151">
        <f ca="1">IFERROR(__xludf.DUMMYFUNCTION("IMPORTRANGE(""https://docs.google.com/spreadsheets/d/1-uDff_7J0KD5mKrp0Vvzr7lt3OU09vwQwhkpOPPYv2Y/edit?usp=sharing"",""งบพรบ!DG39"")"),5000)</f>
        <v>5000</v>
      </c>
      <c r="G39" s="151">
        <f ca="1">IFERROR(__xludf.DUMMYFUNCTION("IMPORTRANGE(""https://docs.google.com/spreadsheets/d/1-uDff_7J0KD5mKrp0Vvzr7lt3OU09vwQwhkpOPPYv2Y/edit?usp=sharing"",""งบพรบ!DH39"")"),0)</f>
        <v>0</v>
      </c>
      <c r="H39" s="151">
        <f ca="1">IFERROR(__xludf.DUMMYFUNCTION("IMPORTRANGE(""https://docs.google.com/spreadsheets/d/1-uDff_7J0KD5mKrp0Vvzr7lt3OU09vwQwhkpOPPYv2Y/edit?usp=sharing"",""งบพรบ!DJ39"")"),20100)</f>
        <v>20100</v>
      </c>
      <c r="I39" s="151">
        <f ca="1">IFERROR(__xludf.DUMMYFUNCTION("IMPORTRANGE(""https://docs.google.com/spreadsheets/d/1-uDff_7J0KD5mKrp0Vvzr7lt3OU09vwQwhkpOPPYv2Y/edit?usp=sharing"",""งบพรบ!DK39"")"),0)</f>
        <v>0</v>
      </c>
      <c r="J39" s="151">
        <f t="shared" ca="1" si="23"/>
        <v>16050</v>
      </c>
      <c r="K39" s="154">
        <f t="shared" ca="1" si="24"/>
        <v>321</v>
      </c>
      <c r="L39" s="151">
        <f ca="1">IFERROR(__xludf.DUMMYFUNCTION("IMPORTRANGE(""https://docs.google.com/spreadsheets/d/1-uDff_7J0KD5mKrp0Vvzr7lt3OU09vwQwhkpOPPYv2Y/edit?usp=sharing"",""งบพรบ!DL39"")"),16050)</f>
        <v>16050</v>
      </c>
      <c r="M39" s="68">
        <f t="shared" ca="1" si="25"/>
        <v>321</v>
      </c>
      <c r="N39" s="68">
        <f t="shared" ca="1" si="26"/>
        <v>79.850746268656721</v>
      </c>
      <c r="O39" s="67">
        <f ca="1">IFERROR(__xludf.DUMMYFUNCTION("IMPORTRANGE(""https://docs.google.com/spreadsheets/d/1-uDff_7J0KD5mKrp0Vvzr7lt3OU09vwQwhkpOPPYv2Y/edit?usp=sharing"",""งบพรบ!DM39"")"),0)</f>
        <v>0</v>
      </c>
      <c r="P39" s="67">
        <f t="shared" ca="1" si="27"/>
        <v>0</v>
      </c>
      <c r="Q39" s="68">
        <f t="shared" ca="1" si="28"/>
        <v>0</v>
      </c>
      <c r="R39" s="67">
        <f ca="1">IFERROR(__xludf.DUMMYFUNCTION("IMPORTRANGE(""https://docs.google.com/spreadsheets/d/1l6IZ8xUPgMrESzcTYwhA1k_tPjeQjJPTqlm8Gd9eU5g/edit?usp=sharing"",""มหาสารคาม!Q266"")"),50660)</f>
        <v>50660</v>
      </c>
      <c r="S39" s="67">
        <f ca="1">IFERROR(__xludf.DUMMYFUNCTION("IMPORTRANGE(""https://docs.google.com/spreadsheets/d/1l6IZ8xUPgMrESzcTYwhA1k_tPjeQjJPTqlm8Gd9eU5g/edit?usp=sharing"",""มหาสารคาม!R266"")"),50660)</f>
        <v>50660</v>
      </c>
      <c r="T39" s="67">
        <f ca="1">IFERROR(__xludf.DUMMYFUNCTION("IMPORTRANGE(""https://docs.google.com/spreadsheets/d/1l6IZ8xUPgMrESzcTYwhA1k_tPjeQjJPTqlm8Gd9eU5g/edit?usp=sharing"",""มหาสารคาม!S266"")"),1460)</f>
        <v>1460</v>
      </c>
      <c r="U39" s="68">
        <f t="shared" ca="1" si="30"/>
        <v>2.8819581523884721</v>
      </c>
      <c r="V39" s="68">
        <f t="shared" ca="1" si="31"/>
        <v>2.8819581523884721</v>
      </c>
      <c r="W39" s="78">
        <f ca="1">IFERROR(__xludf.DUMMYFUNCTION("IMPORTRANGE(""https://docs.google.com/spreadsheets/d/1l6IZ8xUPgMrESzcTYwhA1k_tPjeQjJPTqlm8Gd9eU5g/edit?usp=sharing"",""มหาสารคาม!I276"")"),22)</f>
        <v>22</v>
      </c>
      <c r="X39" s="78">
        <f ca="1">IFERROR(__xludf.DUMMYFUNCTION("IMPORTRANGE(""https://docs.google.com/spreadsheets/d/1l6IZ8xUPgMrESzcTYwhA1k_tPjeQjJPTqlm8Gd9eU5g/edit?usp=sharing"",""มหาสารคาม!J276"")"),0)</f>
        <v>0</v>
      </c>
      <c r="Y39" s="152">
        <f t="shared" ca="1" si="33"/>
        <v>0</v>
      </c>
      <c r="Z39" s="78">
        <v>0</v>
      </c>
      <c r="AA39" s="78">
        <v>0</v>
      </c>
      <c r="AB39" s="152">
        <v>0</v>
      </c>
    </row>
    <row r="40" spans="1:28" ht="19.5" x14ac:dyDescent="0.3">
      <c r="A40" s="147">
        <v>9</v>
      </c>
      <c r="B40" s="148" t="s">
        <v>68</v>
      </c>
      <c r="C40" s="149">
        <f t="shared" ca="1" si="21"/>
        <v>5000</v>
      </c>
      <c r="D40" s="150">
        <f t="shared" ca="1" si="38"/>
        <v>5000</v>
      </c>
      <c r="E40" s="151">
        <f ca="1">IFERROR(__xludf.DUMMYFUNCTION("IMPORTRANGE(""https://docs.google.com/spreadsheets/d/1-uDff_7J0KD5mKrp0Vvzr7lt3OU09vwQwhkpOPPYv2Y/edit?usp=sharing"",""งบพรบ!DF40"")"),0)</f>
        <v>0</v>
      </c>
      <c r="F40" s="151">
        <f ca="1">IFERROR(__xludf.DUMMYFUNCTION("IMPORTRANGE(""https://docs.google.com/spreadsheets/d/1-uDff_7J0KD5mKrp0Vvzr7lt3OU09vwQwhkpOPPYv2Y/edit?usp=sharing"",""งบพรบ!DG40"")"),5000)</f>
        <v>5000</v>
      </c>
      <c r="G40" s="151">
        <f ca="1">IFERROR(__xludf.DUMMYFUNCTION("IMPORTRANGE(""https://docs.google.com/spreadsheets/d/1-uDff_7J0KD5mKrp0Vvzr7lt3OU09vwQwhkpOPPYv2Y/edit?usp=sharing"",""งบพรบ!DH40"")"),0)</f>
        <v>0</v>
      </c>
      <c r="H40" s="151">
        <f ca="1">IFERROR(__xludf.DUMMYFUNCTION("IMPORTRANGE(""https://docs.google.com/spreadsheets/d/1-uDff_7J0KD5mKrp0Vvzr7lt3OU09vwQwhkpOPPYv2Y/edit?usp=sharing"",""งบพรบ!DJ40"")"),21700)</f>
        <v>21700</v>
      </c>
      <c r="I40" s="151">
        <f ca="1">IFERROR(__xludf.DUMMYFUNCTION("IMPORTRANGE(""https://docs.google.com/spreadsheets/d/1-uDff_7J0KD5mKrp0Vvzr7lt3OU09vwQwhkpOPPYv2Y/edit?usp=sharing"",""งบพรบ!DK40"")"),0)</f>
        <v>0</v>
      </c>
      <c r="J40" s="151">
        <f t="shared" ca="1" si="23"/>
        <v>17840</v>
      </c>
      <c r="K40" s="154">
        <f t="shared" ca="1" si="24"/>
        <v>356.8</v>
      </c>
      <c r="L40" s="151">
        <f ca="1">IFERROR(__xludf.DUMMYFUNCTION("IMPORTRANGE(""https://docs.google.com/spreadsheets/d/1-uDff_7J0KD5mKrp0Vvzr7lt3OU09vwQwhkpOPPYv2Y/edit?usp=sharing"",""งบพรบ!DL40"")"),17840)</f>
        <v>17840</v>
      </c>
      <c r="M40" s="68">
        <f t="shared" ca="1" si="25"/>
        <v>356.8</v>
      </c>
      <c r="N40" s="68">
        <f t="shared" ca="1" si="26"/>
        <v>82.21198156682027</v>
      </c>
      <c r="O40" s="67">
        <f ca="1">IFERROR(__xludf.DUMMYFUNCTION("IMPORTRANGE(""https://docs.google.com/spreadsheets/d/1-uDff_7J0KD5mKrp0Vvzr7lt3OU09vwQwhkpOPPYv2Y/edit?usp=sharing"",""งบพรบ!DM40"")"),0)</f>
        <v>0</v>
      </c>
      <c r="P40" s="67">
        <f t="shared" ca="1" si="27"/>
        <v>0</v>
      </c>
      <c r="Q40" s="68">
        <f t="shared" ca="1" si="28"/>
        <v>0</v>
      </c>
      <c r="R40" s="67">
        <f ca="1">IFERROR(__xludf.DUMMYFUNCTION("IMPORTRANGE(""https://docs.google.com/spreadsheets/d/1uB74YLqNjWX6FObjekfB2NtSYigTQyR2rq9u4Ub2Sq4/edit?usp=sharing"",""มุกดาหาร!Q266"")"),53440)</f>
        <v>53440</v>
      </c>
      <c r="S40" s="67">
        <f ca="1">IFERROR(__xludf.DUMMYFUNCTION("IMPORTRANGE(""https://docs.google.com/spreadsheets/d/1uB74YLqNjWX6FObjekfB2NtSYigTQyR2rq9u4Ub2Sq4/edit?usp=sharing"",""มุกดาหาร!R266"")"),53440)</f>
        <v>53440</v>
      </c>
      <c r="T40" s="67">
        <f ca="1">IFERROR(__xludf.DUMMYFUNCTION("IMPORTRANGE(""https://docs.google.com/spreadsheets/d/1uB74YLqNjWX6FObjekfB2NtSYigTQyR2rq9u4Ub2Sq4/edit?usp=sharing"",""มุกดาหาร!S266"")"),53440)</f>
        <v>53440</v>
      </c>
      <c r="U40" s="68">
        <f t="shared" ca="1" si="30"/>
        <v>100</v>
      </c>
      <c r="V40" s="68">
        <f t="shared" ca="1" si="31"/>
        <v>100</v>
      </c>
      <c r="W40" s="78">
        <f ca="1">IFERROR(__xludf.DUMMYFUNCTION("IMPORTRANGE(""https://docs.google.com/spreadsheets/d/1uB74YLqNjWX6FObjekfB2NtSYigTQyR2rq9u4Ub2Sq4/edit?usp=sharing"",""มุกดาหาร!I276"")"),24)</f>
        <v>24</v>
      </c>
      <c r="X40" s="78">
        <f ca="1">IFERROR(__xludf.DUMMYFUNCTION("IMPORTRANGE(""https://docs.google.com/spreadsheets/d/1uB74YLqNjWX6FObjekfB2NtSYigTQyR2rq9u4Ub2Sq4/edit?usp=sharing"",""มุกดาหาร!J276"")"),24)</f>
        <v>24</v>
      </c>
      <c r="Y40" s="152">
        <f t="shared" ca="1" si="33"/>
        <v>100</v>
      </c>
      <c r="Z40" s="78">
        <v>0</v>
      </c>
      <c r="AA40" s="78">
        <v>0</v>
      </c>
      <c r="AB40" s="152">
        <v>0</v>
      </c>
    </row>
    <row r="41" spans="1:28" ht="19.5" x14ac:dyDescent="0.3">
      <c r="A41" s="147">
        <v>10</v>
      </c>
      <c r="B41" s="148" t="s">
        <v>69</v>
      </c>
      <c r="C41" s="149">
        <f t="shared" ca="1" si="21"/>
        <v>5000</v>
      </c>
      <c r="D41" s="150">
        <f t="shared" ca="1" si="38"/>
        <v>5000</v>
      </c>
      <c r="E41" s="151">
        <f ca="1">IFERROR(__xludf.DUMMYFUNCTION("IMPORTRANGE(""https://docs.google.com/spreadsheets/d/1-uDff_7J0KD5mKrp0Vvzr7lt3OU09vwQwhkpOPPYv2Y/edit?usp=sharing"",""งบพรบ!DF41"")"),0)</f>
        <v>0</v>
      </c>
      <c r="F41" s="151">
        <f ca="1">IFERROR(__xludf.DUMMYFUNCTION("IMPORTRANGE(""https://docs.google.com/spreadsheets/d/1-uDff_7J0KD5mKrp0Vvzr7lt3OU09vwQwhkpOPPYv2Y/edit?usp=sharing"",""งบพรบ!DG41"")"),5000)</f>
        <v>5000</v>
      </c>
      <c r="G41" s="151">
        <f ca="1">IFERROR(__xludf.DUMMYFUNCTION("IMPORTRANGE(""https://docs.google.com/spreadsheets/d/1-uDff_7J0KD5mKrp0Vvzr7lt3OU09vwQwhkpOPPYv2Y/edit?usp=sharing"",""งบพรบ!DH41"")"),0)</f>
        <v>0</v>
      </c>
      <c r="H41" s="151">
        <f ca="1">IFERROR(__xludf.DUMMYFUNCTION("IMPORTRANGE(""https://docs.google.com/spreadsheets/d/1-uDff_7J0KD5mKrp0Vvzr7lt3OU09vwQwhkpOPPYv2Y/edit?usp=sharing"",""งบพรบ!DJ41"")"),20500)</f>
        <v>20500</v>
      </c>
      <c r="I41" s="151">
        <f ca="1">IFERROR(__xludf.DUMMYFUNCTION("IMPORTRANGE(""https://docs.google.com/spreadsheets/d/1-uDff_7J0KD5mKrp0Vvzr7lt3OU09vwQwhkpOPPYv2Y/edit?usp=sharing"",""งบพรบ!DK41"")"),0)</f>
        <v>0</v>
      </c>
      <c r="J41" s="151">
        <f t="shared" ca="1" si="23"/>
        <v>14100</v>
      </c>
      <c r="K41" s="154">
        <f t="shared" ca="1" si="24"/>
        <v>282</v>
      </c>
      <c r="L41" s="151">
        <f ca="1">IFERROR(__xludf.DUMMYFUNCTION("IMPORTRANGE(""https://docs.google.com/spreadsheets/d/1-uDff_7J0KD5mKrp0Vvzr7lt3OU09vwQwhkpOPPYv2Y/edit?usp=sharing"",""งบพรบ!DL41"")"),14100)</f>
        <v>14100</v>
      </c>
      <c r="M41" s="68">
        <f t="shared" ca="1" si="25"/>
        <v>282</v>
      </c>
      <c r="N41" s="68">
        <f t="shared" ca="1" si="26"/>
        <v>68.780487804878049</v>
      </c>
      <c r="O41" s="67">
        <f ca="1">IFERROR(__xludf.DUMMYFUNCTION("IMPORTRANGE(""https://docs.google.com/spreadsheets/d/1-uDff_7J0KD5mKrp0Vvzr7lt3OU09vwQwhkpOPPYv2Y/edit?usp=sharing"",""งบพรบ!DM41"")"),0)</f>
        <v>0</v>
      </c>
      <c r="P41" s="67">
        <f t="shared" ca="1" si="27"/>
        <v>0</v>
      </c>
      <c r="Q41" s="68">
        <f t="shared" ca="1" si="28"/>
        <v>0</v>
      </c>
      <c r="R41" s="67">
        <f ca="1">IFERROR(__xludf.DUMMYFUNCTION("IMPORTRANGE(""https://docs.google.com/spreadsheets/d/1NexK3geCPxCTO1fzNF8dPec7yZyUx3OaWkFBC9HsQOo/edit?usp=sharing"",""ยโสธร!Q266"")"),61780)</f>
        <v>61780</v>
      </c>
      <c r="S41" s="67">
        <f ca="1">IFERROR(__xludf.DUMMYFUNCTION("IMPORTRANGE(""https://docs.google.com/spreadsheets/d/1NexK3geCPxCTO1fzNF8dPec7yZyUx3OaWkFBC9HsQOo/edit?usp=sharing"",""ยโสธร!R266"")"),61780)</f>
        <v>61780</v>
      </c>
      <c r="T41" s="67">
        <f ca="1">IFERROR(__xludf.DUMMYFUNCTION("IMPORTRANGE(""https://docs.google.com/spreadsheets/d/1NexK3geCPxCTO1fzNF8dPec7yZyUx3OaWkFBC9HsQOo/edit?usp=sharing"",""ยโสธร!S266"")"),54850)</f>
        <v>54850</v>
      </c>
      <c r="U41" s="68">
        <f t="shared" ca="1" si="30"/>
        <v>88.782777597928131</v>
      </c>
      <c r="V41" s="68">
        <f t="shared" ca="1" si="31"/>
        <v>88.782777597928131</v>
      </c>
      <c r="W41" s="78">
        <f ca="1">IFERROR(__xludf.DUMMYFUNCTION("IMPORTRANGE(""https://docs.google.com/spreadsheets/d/1NexK3geCPxCTO1fzNF8dPec7yZyUx3OaWkFBC9HsQOo/edit?usp=sharing"",""ยโสธร!I276"")"),30)</f>
        <v>30</v>
      </c>
      <c r="X41" s="78">
        <f ca="1">IFERROR(__xludf.DUMMYFUNCTION("IMPORTRANGE(""https://docs.google.com/spreadsheets/d/1NexK3geCPxCTO1fzNF8dPec7yZyUx3OaWkFBC9HsQOo/edit?usp=sharing"",""ยโสธร!J276"")"),30)</f>
        <v>30</v>
      </c>
      <c r="Y41" s="152">
        <f t="shared" ca="1" si="33"/>
        <v>100</v>
      </c>
      <c r="Z41" s="78">
        <v>0</v>
      </c>
      <c r="AA41" s="78">
        <v>0</v>
      </c>
      <c r="AB41" s="152">
        <v>0</v>
      </c>
    </row>
    <row r="42" spans="1:28" ht="19.5" x14ac:dyDescent="0.3">
      <c r="A42" s="147">
        <v>11</v>
      </c>
      <c r="B42" s="148" t="s">
        <v>70</v>
      </c>
      <c r="C42" s="149">
        <f t="shared" ca="1" si="21"/>
        <v>5000</v>
      </c>
      <c r="D42" s="150">
        <f t="shared" ca="1" si="38"/>
        <v>5000</v>
      </c>
      <c r="E42" s="151">
        <f ca="1">IFERROR(__xludf.DUMMYFUNCTION("IMPORTRANGE(""https://docs.google.com/spreadsheets/d/1-uDff_7J0KD5mKrp0Vvzr7lt3OU09vwQwhkpOPPYv2Y/edit?usp=sharing"",""งบพรบ!DF42"")"),0)</f>
        <v>0</v>
      </c>
      <c r="F42" s="151">
        <f ca="1">IFERROR(__xludf.DUMMYFUNCTION("IMPORTRANGE(""https://docs.google.com/spreadsheets/d/1-uDff_7J0KD5mKrp0Vvzr7lt3OU09vwQwhkpOPPYv2Y/edit?usp=sharing"",""งบพรบ!DG42"")"),5000)</f>
        <v>5000</v>
      </c>
      <c r="G42" s="151">
        <f ca="1">IFERROR(__xludf.DUMMYFUNCTION("IMPORTRANGE(""https://docs.google.com/spreadsheets/d/1-uDff_7J0KD5mKrp0Vvzr7lt3OU09vwQwhkpOPPYv2Y/edit?usp=sharing"",""งบพรบ!DH42"")"),0)</f>
        <v>0</v>
      </c>
      <c r="H42" s="151">
        <f ca="1">IFERROR(__xludf.DUMMYFUNCTION("IMPORTRANGE(""https://docs.google.com/spreadsheets/d/1-uDff_7J0KD5mKrp0Vvzr7lt3OU09vwQwhkpOPPYv2Y/edit?usp=sharing"",""งบพรบ!DJ42"")"),20300)</f>
        <v>20300</v>
      </c>
      <c r="I42" s="151">
        <f ca="1">IFERROR(__xludf.DUMMYFUNCTION("IMPORTRANGE(""https://docs.google.com/spreadsheets/d/1-uDff_7J0KD5mKrp0Vvzr7lt3OU09vwQwhkpOPPYv2Y/edit?usp=sharing"",""งบพรบ!DK42"")"),0)</f>
        <v>0</v>
      </c>
      <c r="J42" s="151">
        <f t="shared" ca="1" si="23"/>
        <v>18000</v>
      </c>
      <c r="K42" s="154">
        <f t="shared" ca="1" si="24"/>
        <v>360</v>
      </c>
      <c r="L42" s="151">
        <f ca="1">IFERROR(__xludf.DUMMYFUNCTION("IMPORTRANGE(""https://docs.google.com/spreadsheets/d/1-uDff_7J0KD5mKrp0Vvzr7lt3OU09vwQwhkpOPPYv2Y/edit?usp=sharing"",""งบพรบ!DL42"")"),18000)</f>
        <v>18000</v>
      </c>
      <c r="M42" s="68">
        <f t="shared" ca="1" si="25"/>
        <v>360</v>
      </c>
      <c r="N42" s="68">
        <f t="shared" ca="1" si="26"/>
        <v>88.669950738916256</v>
      </c>
      <c r="O42" s="67">
        <f ca="1">IFERROR(__xludf.DUMMYFUNCTION("IMPORTRANGE(""https://docs.google.com/spreadsheets/d/1-uDff_7J0KD5mKrp0Vvzr7lt3OU09vwQwhkpOPPYv2Y/edit?usp=sharing"",""งบพรบ!DM42"")"),0)</f>
        <v>0</v>
      </c>
      <c r="P42" s="67">
        <f t="shared" ca="1" si="27"/>
        <v>0</v>
      </c>
      <c r="Q42" s="68">
        <f t="shared" ca="1" si="28"/>
        <v>0</v>
      </c>
      <c r="R42" s="67">
        <f ca="1">IFERROR(__xludf.DUMMYFUNCTION("IMPORTRANGE(""https://docs.google.com/spreadsheets/d/1v_cJrbBlyqmnHPReHk44g9NrMRdENNlSy_E_c5M9fIg/edit?usp=sharing"",""ร้อยเอ็ด!Q266"")"),56220)</f>
        <v>56220</v>
      </c>
      <c r="S42" s="67">
        <f ca="1">IFERROR(__xludf.DUMMYFUNCTION("IMPORTRANGE(""https://docs.google.com/spreadsheets/d/1v_cJrbBlyqmnHPReHk44g9NrMRdENNlSy_E_c5M9fIg/edit?usp=sharing"",""ร้อยเอ็ด!R266"")"),56220)</f>
        <v>56220</v>
      </c>
      <c r="T42" s="67">
        <f ca="1">IFERROR(__xludf.DUMMYFUNCTION("IMPORTRANGE(""https://docs.google.com/spreadsheets/d/1v_cJrbBlyqmnHPReHk44g9NrMRdENNlSy_E_c5M9fIg/edit?usp=sharing"",""ร้อยเอ็ด!S266"")"),49561)</f>
        <v>49561</v>
      </c>
      <c r="U42" s="68">
        <f t="shared" ca="1" si="30"/>
        <v>88.155460690145858</v>
      </c>
      <c r="V42" s="68">
        <f t="shared" ca="1" si="31"/>
        <v>88.155460690145858</v>
      </c>
      <c r="W42" s="74">
        <f ca="1">IFERROR(__xludf.DUMMYFUNCTION("IMPORTRANGE(""https://docs.google.com/spreadsheets/d/1v_cJrbBlyqmnHPReHk44g9NrMRdENNlSy_E_c5M9fIg/edit?usp=sharing"",""ร้อยเอ็ด!I276"")"),26)</f>
        <v>26</v>
      </c>
      <c r="X42" s="74">
        <f ca="1">IFERROR(__xludf.DUMMYFUNCTION("IMPORTRANGE(""https://docs.google.com/spreadsheets/d/1v_cJrbBlyqmnHPReHk44g9NrMRdENNlSy_E_c5M9fIg/edit?usp=sharing"",""ร้อยเอ็ด!J276"")"),26)</f>
        <v>26</v>
      </c>
      <c r="Y42" s="152">
        <f t="shared" ca="1" si="33"/>
        <v>100</v>
      </c>
      <c r="Z42" s="74">
        <v>0</v>
      </c>
      <c r="AA42" s="74">
        <v>0</v>
      </c>
      <c r="AB42" s="152">
        <v>0</v>
      </c>
    </row>
    <row r="43" spans="1:28" ht="19.5" x14ac:dyDescent="0.3">
      <c r="A43" s="147">
        <v>12</v>
      </c>
      <c r="B43" s="148" t="s">
        <v>71</v>
      </c>
      <c r="C43" s="149">
        <f t="shared" ca="1" si="21"/>
        <v>5000</v>
      </c>
      <c r="D43" s="150">
        <f t="shared" ca="1" si="38"/>
        <v>5000</v>
      </c>
      <c r="E43" s="151">
        <f ca="1">IFERROR(__xludf.DUMMYFUNCTION("IMPORTRANGE(""https://docs.google.com/spreadsheets/d/1-uDff_7J0KD5mKrp0Vvzr7lt3OU09vwQwhkpOPPYv2Y/edit?usp=sharing"",""งบพรบ!DF43"")"),0)</f>
        <v>0</v>
      </c>
      <c r="F43" s="151">
        <f ca="1">IFERROR(__xludf.DUMMYFUNCTION("IMPORTRANGE(""https://docs.google.com/spreadsheets/d/1-uDff_7J0KD5mKrp0Vvzr7lt3OU09vwQwhkpOPPYv2Y/edit?usp=sharing"",""งบพรบ!DG43"")"),5000)</f>
        <v>5000</v>
      </c>
      <c r="G43" s="151">
        <f ca="1">IFERROR(__xludf.DUMMYFUNCTION("IMPORTRANGE(""https://docs.google.com/spreadsheets/d/1-uDff_7J0KD5mKrp0Vvzr7lt3OU09vwQwhkpOPPYv2Y/edit?usp=sharing"",""งบพรบ!DH43"")"),0)</f>
        <v>0</v>
      </c>
      <c r="H43" s="151">
        <f ca="1">IFERROR(__xludf.DUMMYFUNCTION("IMPORTRANGE(""https://docs.google.com/spreadsheets/d/1-uDff_7J0KD5mKrp0Vvzr7lt3OU09vwQwhkpOPPYv2Y/edit?usp=sharing"",""งบพรบ!DJ43"")"),20500)</f>
        <v>20500</v>
      </c>
      <c r="I43" s="151">
        <f ca="1">IFERROR(__xludf.DUMMYFUNCTION("IMPORTRANGE(""https://docs.google.com/spreadsheets/d/1-uDff_7J0KD5mKrp0Vvzr7lt3OU09vwQwhkpOPPYv2Y/edit?usp=sharing"",""งบพรบ!DK43"")"),0)</f>
        <v>0</v>
      </c>
      <c r="J43" s="151">
        <f t="shared" ca="1" si="23"/>
        <v>5000</v>
      </c>
      <c r="K43" s="154">
        <f t="shared" ca="1" si="24"/>
        <v>100</v>
      </c>
      <c r="L43" s="151">
        <f ca="1">IFERROR(__xludf.DUMMYFUNCTION("IMPORTRANGE(""https://docs.google.com/spreadsheets/d/1-uDff_7J0KD5mKrp0Vvzr7lt3OU09vwQwhkpOPPYv2Y/edit?usp=sharing"",""งบพรบ!DL43"")"),5000)</f>
        <v>5000</v>
      </c>
      <c r="M43" s="68">
        <f t="shared" ca="1" si="25"/>
        <v>100</v>
      </c>
      <c r="N43" s="68">
        <f t="shared" ca="1" si="26"/>
        <v>24.390243902439025</v>
      </c>
      <c r="O43" s="67">
        <f ca="1">IFERROR(__xludf.DUMMYFUNCTION("IMPORTRANGE(""https://docs.google.com/spreadsheets/d/1-uDff_7J0KD5mKrp0Vvzr7lt3OU09vwQwhkpOPPYv2Y/edit?usp=sharing"",""งบพรบ!DM43"")"),0)</f>
        <v>0</v>
      </c>
      <c r="P43" s="67">
        <f t="shared" ca="1" si="27"/>
        <v>0</v>
      </c>
      <c r="Q43" s="68">
        <f t="shared" ca="1" si="28"/>
        <v>0</v>
      </c>
      <c r="R43" s="67">
        <f ca="1">IFERROR(__xludf.DUMMYFUNCTION("IMPORTRANGE(""https://docs.google.com/spreadsheets/d/1Ul4RCpCX66NxYADU1QpwAPjOmBzW64SsT11s1wzXw_c/edit?usp=sharing"",""เลย!Q266"")"),50660)</f>
        <v>50660</v>
      </c>
      <c r="S43" s="67">
        <f ca="1">IFERROR(__xludf.DUMMYFUNCTION("IMPORTRANGE(""https://docs.google.com/spreadsheets/d/1Ul4RCpCX66NxYADU1QpwAPjOmBzW64SsT11s1wzXw_c/edit?usp=sharing"",""เลย!R266"")"),50660)</f>
        <v>50660</v>
      </c>
      <c r="T43" s="67">
        <f ca="1">IFERROR(__xludf.DUMMYFUNCTION("IMPORTRANGE(""https://docs.google.com/spreadsheets/d/1Ul4RCpCX66NxYADU1QpwAPjOmBzW64SsT11s1wzXw_c/edit?usp=sharing"",""เลย!S266"")"),47110)</f>
        <v>47110</v>
      </c>
      <c r="U43" s="68">
        <f t="shared" ca="1" si="30"/>
        <v>92.992499013028024</v>
      </c>
      <c r="V43" s="68">
        <f t="shared" ca="1" si="31"/>
        <v>92.992499013028024</v>
      </c>
      <c r="W43" s="74">
        <f ca="1">IFERROR(__xludf.DUMMYFUNCTION("IMPORTRANGE(""https://docs.google.com/spreadsheets/d/1Ul4RCpCX66NxYADU1QpwAPjOmBzW64SsT11s1wzXw_c/edit?usp=sharing"",""เลย!I276"")"),22)</f>
        <v>22</v>
      </c>
      <c r="X43" s="74">
        <f ca="1">IFERROR(__xludf.DUMMYFUNCTION("IMPORTRANGE(""https://docs.google.com/spreadsheets/d/1Ul4RCpCX66NxYADU1QpwAPjOmBzW64SsT11s1wzXw_c/edit?usp=sharing"",""เลย!J276"")"),22)</f>
        <v>22</v>
      </c>
      <c r="Y43" s="152">
        <f t="shared" ca="1" si="33"/>
        <v>100</v>
      </c>
      <c r="Z43" s="74">
        <v>0</v>
      </c>
      <c r="AA43" s="74">
        <v>0</v>
      </c>
      <c r="AB43" s="152">
        <v>0</v>
      </c>
    </row>
    <row r="44" spans="1:28" ht="19.5" x14ac:dyDescent="0.3">
      <c r="A44" s="147">
        <v>13</v>
      </c>
      <c r="B44" s="148" t="s">
        <v>72</v>
      </c>
      <c r="C44" s="149">
        <f t="shared" ca="1" si="21"/>
        <v>5000</v>
      </c>
      <c r="D44" s="150">
        <f t="shared" ca="1" si="38"/>
        <v>5000</v>
      </c>
      <c r="E44" s="151">
        <f ca="1">IFERROR(__xludf.DUMMYFUNCTION("IMPORTRANGE(""https://docs.google.com/spreadsheets/d/1-uDff_7J0KD5mKrp0Vvzr7lt3OU09vwQwhkpOPPYv2Y/edit?usp=sharing"",""งบพรบ!DF44"")"),0)</f>
        <v>0</v>
      </c>
      <c r="F44" s="151">
        <f ca="1">IFERROR(__xludf.DUMMYFUNCTION("IMPORTRANGE(""https://docs.google.com/spreadsheets/d/1-uDff_7J0KD5mKrp0Vvzr7lt3OU09vwQwhkpOPPYv2Y/edit?usp=sharing"",""งบพรบ!DG44"")"),5000)</f>
        <v>5000</v>
      </c>
      <c r="G44" s="151">
        <f ca="1">IFERROR(__xludf.DUMMYFUNCTION("IMPORTRANGE(""https://docs.google.com/spreadsheets/d/1-uDff_7J0KD5mKrp0Vvzr7lt3OU09vwQwhkpOPPYv2Y/edit?usp=sharing"",""งบพรบ!DH44"")"),0)</f>
        <v>0</v>
      </c>
      <c r="H44" s="151">
        <f ca="1">IFERROR(__xludf.DUMMYFUNCTION("IMPORTRANGE(""https://docs.google.com/spreadsheets/d/1-uDff_7J0KD5mKrp0Vvzr7lt3OU09vwQwhkpOPPYv2Y/edit?usp=sharing"",""งบพรบ!DJ44"")"),20600)</f>
        <v>20600</v>
      </c>
      <c r="I44" s="151">
        <f ca="1">IFERROR(__xludf.DUMMYFUNCTION("IMPORTRANGE(""https://docs.google.com/spreadsheets/d/1-uDff_7J0KD5mKrp0Vvzr7lt3OU09vwQwhkpOPPYv2Y/edit?usp=sharing"",""งบพรบ!DK44"")"),0)</f>
        <v>0</v>
      </c>
      <c r="J44" s="151">
        <f t="shared" ca="1" si="23"/>
        <v>12240</v>
      </c>
      <c r="K44" s="154">
        <f t="shared" ca="1" si="24"/>
        <v>244.8</v>
      </c>
      <c r="L44" s="151">
        <f ca="1">IFERROR(__xludf.DUMMYFUNCTION("IMPORTRANGE(""https://docs.google.com/spreadsheets/d/1-uDff_7J0KD5mKrp0Vvzr7lt3OU09vwQwhkpOPPYv2Y/edit?usp=sharing"",""งบพรบ!DL44"")"),12240)</f>
        <v>12240</v>
      </c>
      <c r="M44" s="68">
        <f t="shared" ca="1" si="25"/>
        <v>244.8</v>
      </c>
      <c r="N44" s="68">
        <f t="shared" ca="1" si="26"/>
        <v>59.417475728155338</v>
      </c>
      <c r="O44" s="67">
        <f ca="1">IFERROR(__xludf.DUMMYFUNCTION("IMPORTRANGE(""https://docs.google.com/spreadsheets/d/1-uDff_7J0KD5mKrp0Vvzr7lt3OU09vwQwhkpOPPYv2Y/edit?usp=sharing"",""งบพรบ!DM44"")"),0)</f>
        <v>0</v>
      </c>
      <c r="P44" s="67">
        <f t="shared" ca="1" si="27"/>
        <v>0</v>
      </c>
      <c r="Q44" s="68">
        <f t="shared" ca="1" si="28"/>
        <v>0</v>
      </c>
      <c r="R44" s="67">
        <f ca="1">IFERROR(__xludf.DUMMYFUNCTION("IMPORTRANGE(""https://docs.google.com/spreadsheets/d/1bRrNKwbHDVktQG10isr5vbWRtt5spIZPpkOSWgbT5ug/edit?usp=sharing"",""ศรีสะเกษ!Q266"")"),50660)</f>
        <v>50660</v>
      </c>
      <c r="S44" s="67">
        <f ca="1">IFERROR(__xludf.DUMMYFUNCTION("IMPORTRANGE(""https://docs.google.com/spreadsheets/d/1bRrNKwbHDVktQG10isr5vbWRtt5spIZPpkOSWgbT5ug/edit?usp=sharing"",""ศรีสะเกษ!R266"")"),50660)</f>
        <v>50660</v>
      </c>
      <c r="T44" s="67">
        <f ca="1">IFERROR(__xludf.DUMMYFUNCTION("IMPORTRANGE(""https://docs.google.com/spreadsheets/d/1bRrNKwbHDVktQG10isr5vbWRtt5spIZPpkOSWgbT5ug/edit?usp=sharing"",""ศรีสะเกษ!S266"")"),25680)</f>
        <v>25680</v>
      </c>
      <c r="U44" s="68">
        <f t="shared" ca="1" si="30"/>
        <v>50.690880378997235</v>
      </c>
      <c r="V44" s="68">
        <f t="shared" ca="1" si="31"/>
        <v>50.690880378997235</v>
      </c>
      <c r="W44" s="74">
        <f ca="1">IFERROR(__xludf.DUMMYFUNCTION("IMPORTRANGE(""https://docs.google.com/spreadsheets/d/1bRrNKwbHDVktQG10isr5vbWRtt5spIZPpkOSWgbT5ug/edit?usp=sharing"",""ศรีสะเกษ!I276"")"),22)</f>
        <v>22</v>
      </c>
      <c r="X44" s="74">
        <f ca="1">IFERROR(__xludf.DUMMYFUNCTION("IMPORTRANGE(""https://docs.google.com/spreadsheets/d/1bRrNKwbHDVktQG10isr5vbWRtt5spIZPpkOSWgbT5ug/edit?usp=sharing"",""ศรีสะเกษ!J276"")"),22)</f>
        <v>22</v>
      </c>
      <c r="Y44" s="152">
        <f t="shared" ca="1" si="33"/>
        <v>100</v>
      </c>
      <c r="Z44" s="74">
        <v>0</v>
      </c>
      <c r="AA44" s="74">
        <v>0</v>
      </c>
      <c r="AB44" s="152">
        <v>0</v>
      </c>
    </row>
    <row r="45" spans="1:28" ht="19.5" x14ac:dyDescent="0.3">
      <c r="A45" s="147">
        <v>14</v>
      </c>
      <c r="B45" s="148" t="s">
        <v>73</v>
      </c>
      <c r="C45" s="149">
        <f t="shared" ca="1" si="21"/>
        <v>5000</v>
      </c>
      <c r="D45" s="150">
        <f t="shared" ca="1" si="38"/>
        <v>5000</v>
      </c>
      <c r="E45" s="151">
        <f ca="1">IFERROR(__xludf.DUMMYFUNCTION("IMPORTRANGE(""https://docs.google.com/spreadsheets/d/1-uDff_7J0KD5mKrp0Vvzr7lt3OU09vwQwhkpOPPYv2Y/edit?usp=sharing"",""งบพรบ!DF45"")"),0)</f>
        <v>0</v>
      </c>
      <c r="F45" s="151">
        <f ca="1">IFERROR(__xludf.DUMMYFUNCTION("IMPORTRANGE(""https://docs.google.com/spreadsheets/d/1-uDff_7J0KD5mKrp0Vvzr7lt3OU09vwQwhkpOPPYv2Y/edit?usp=sharing"",""งบพรบ!DG45"")"),5000)</f>
        <v>5000</v>
      </c>
      <c r="G45" s="151">
        <f ca="1">IFERROR(__xludf.DUMMYFUNCTION("IMPORTRANGE(""https://docs.google.com/spreadsheets/d/1-uDff_7J0KD5mKrp0Vvzr7lt3OU09vwQwhkpOPPYv2Y/edit?usp=sharing"",""งบพรบ!DH45"")"),0)</f>
        <v>0</v>
      </c>
      <c r="H45" s="151">
        <f ca="1">IFERROR(__xludf.DUMMYFUNCTION("IMPORTRANGE(""https://docs.google.com/spreadsheets/d/1-uDff_7J0KD5mKrp0Vvzr7lt3OU09vwQwhkpOPPYv2Y/edit?usp=sharing"",""งบพรบ!DJ45"")"),21400)</f>
        <v>21400</v>
      </c>
      <c r="I45" s="151">
        <f ca="1">IFERROR(__xludf.DUMMYFUNCTION("IMPORTRANGE(""https://docs.google.com/spreadsheets/d/1-uDff_7J0KD5mKrp0Vvzr7lt3OU09vwQwhkpOPPYv2Y/edit?usp=sharing"",""งบพรบ!DK45"")"),0)</f>
        <v>0</v>
      </c>
      <c r="J45" s="151">
        <f t="shared" ca="1" si="23"/>
        <v>21400</v>
      </c>
      <c r="K45" s="154">
        <f t="shared" ca="1" si="24"/>
        <v>428</v>
      </c>
      <c r="L45" s="151">
        <f ca="1">IFERROR(__xludf.DUMMYFUNCTION("IMPORTRANGE(""https://docs.google.com/spreadsheets/d/1-uDff_7J0KD5mKrp0Vvzr7lt3OU09vwQwhkpOPPYv2Y/edit?usp=sharing"",""งบพรบ!DL45"")"),21400)</f>
        <v>21400</v>
      </c>
      <c r="M45" s="68">
        <f t="shared" ca="1" si="25"/>
        <v>428</v>
      </c>
      <c r="N45" s="68">
        <f t="shared" ca="1" si="26"/>
        <v>100</v>
      </c>
      <c r="O45" s="67">
        <f ca="1">IFERROR(__xludf.DUMMYFUNCTION("IMPORTRANGE(""https://docs.google.com/spreadsheets/d/1-uDff_7J0KD5mKrp0Vvzr7lt3OU09vwQwhkpOPPYv2Y/edit?usp=sharing"",""งบพรบ!DM45"")"),0)</f>
        <v>0</v>
      </c>
      <c r="P45" s="67">
        <f t="shared" ca="1" si="27"/>
        <v>0</v>
      </c>
      <c r="Q45" s="68">
        <f t="shared" ca="1" si="28"/>
        <v>0</v>
      </c>
      <c r="R45" s="67">
        <f ca="1">IFERROR(__xludf.DUMMYFUNCTION("IMPORTRANGE(""https://docs.google.com/spreadsheets/d/17P34_Ow5kFBfdQD0qspb2UuPX5zpi6WMrQzslghyvrI/edit?usp=sharing"",""สกลนคร!Q266"")"),50660)</f>
        <v>50660</v>
      </c>
      <c r="S45" s="67">
        <f ca="1">IFERROR(__xludf.DUMMYFUNCTION("IMPORTRANGE(""https://docs.google.com/spreadsheets/d/17P34_Ow5kFBfdQD0qspb2UuPX5zpi6WMrQzslghyvrI/edit?usp=sharing"",""สกลนคร!R266"")"),50660)</f>
        <v>50660</v>
      </c>
      <c r="T45" s="67">
        <f ca="1">IFERROR(__xludf.DUMMYFUNCTION("IMPORTRANGE(""https://docs.google.com/spreadsheets/d/17P34_Ow5kFBfdQD0qspb2UuPX5zpi6WMrQzslghyvrI/edit?usp=sharing"",""สกลนคร!S266"")"),40570)</f>
        <v>40570</v>
      </c>
      <c r="U45" s="68">
        <f t="shared" ca="1" si="30"/>
        <v>80.08290564547967</v>
      </c>
      <c r="V45" s="68">
        <f t="shared" ca="1" si="31"/>
        <v>80.08290564547967</v>
      </c>
      <c r="W45" s="74">
        <f ca="1">IFERROR(__xludf.DUMMYFUNCTION("IMPORTRANGE(""https://docs.google.com/spreadsheets/d/17P34_Ow5kFBfdQD0qspb2UuPX5zpi6WMrQzslghyvrI/edit?usp=sharing"",""สกลนคร!I276"")"),22)</f>
        <v>22</v>
      </c>
      <c r="X45" s="74">
        <f ca="1">IFERROR(__xludf.DUMMYFUNCTION("IMPORTRANGE(""https://docs.google.com/spreadsheets/d/17P34_Ow5kFBfdQD0qspb2UuPX5zpi6WMrQzslghyvrI/edit?usp=sharing"",""สกลนคร!J276"")"),22)</f>
        <v>22</v>
      </c>
      <c r="Y45" s="152">
        <f t="shared" ca="1" si="33"/>
        <v>100</v>
      </c>
      <c r="Z45" s="74">
        <v>0</v>
      </c>
      <c r="AA45" s="74">
        <v>0</v>
      </c>
      <c r="AB45" s="152">
        <v>0</v>
      </c>
    </row>
    <row r="46" spans="1:28" ht="19.5" x14ac:dyDescent="0.3">
      <c r="A46" s="147">
        <v>15</v>
      </c>
      <c r="B46" s="148" t="s">
        <v>74</v>
      </c>
      <c r="C46" s="149">
        <f t="shared" ca="1" si="21"/>
        <v>5000</v>
      </c>
      <c r="D46" s="150">
        <f t="shared" ca="1" si="38"/>
        <v>5000</v>
      </c>
      <c r="E46" s="151">
        <f ca="1">IFERROR(__xludf.DUMMYFUNCTION("IMPORTRANGE(""https://docs.google.com/spreadsheets/d/1-uDff_7J0KD5mKrp0Vvzr7lt3OU09vwQwhkpOPPYv2Y/edit?usp=sharing"",""งบพรบ!DF46"")"),0)</f>
        <v>0</v>
      </c>
      <c r="F46" s="151">
        <f ca="1">IFERROR(__xludf.DUMMYFUNCTION("IMPORTRANGE(""https://docs.google.com/spreadsheets/d/1-uDff_7J0KD5mKrp0Vvzr7lt3OU09vwQwhkpOPPYv2Y/edit?usp=sharing"",""งบพรบ!DG46"")"),5000)</f>
        <v>5000</v>
      </c>
      <c r="G46" s="151">
        <f ca="1">IFERROR(__xludf.DUMMYFUNCTION("IMPORTRANGE(""https://docs.google.com/spreadsheets/d/1-uDff_7J0KD5mKrp0Vvzr7lt3OU09vwQwhkpOPPYv2Y/edit?usp=sharing"",""งบพรบ!DH46"")"),0)</f>
        <v>0</v>
      </c>
      <c r="H46" s="151">
        <f ca="1">IFERROR(__xludf.DUMMYFUNCTION("IMPORTRANGE(""https://docs.google.com/spreadsheets/d/1-uDff_7J0KD5mKrp0Vvzr7lt3OU09vwQwhkpOPPYv2Y/edit?usp=sharing"",""งบพรบ!DJ46"")"),19700)</f>
        <v>19700</v>
      </c>
      <c r="I46" s="151">
        <f ca="1">IFERROR(__xludf.DUMMYFUNCTION("IMPORTRANGE(""https://docs.google.com/spreadsheets/d/1-uDff_7J0KD5mKrp0Vvzr7lt3OU09vwQwhkpOPPYv2Y/edit?usp=sharing"",""งบพรบ!DK46"")"),0)</f>
        <v>0</v>
      </c>
      <c r="J46" s="151">
        <f t="shared" ca="1" si="23"/>
        <v>13100</v>
      </c>
      <c r="K46" s="154">
        <f t="shared" ca="1" si="24"/>
        <v>262</v>
      </c>
      <c r="L46" s="151">
        <f ca="1">IFERROR(__xludf.DUMMYFUNCTION("IMPORTRANGE(""https://docs.google.com/spreadsheets/d/1-uDff_7J0KD5mKrp0Vvzr7lt3OU09vwQwhkpOPPYv2Y/edit?usp=sharing"",""งบพรบ!DL46"")"),13100)</f>
        <v>13100</v>
      </c>
      <c r="M46" s="68">
        <f t="shared" ca="1" si="25"/>
        <v>262</v>
      </c>
      <c r="N46" s="68">
        <f t="shared" ca="1" si="26"/>
        <v>66.497461928934015</v>
      </c>
      <c r="O46" s="67">
        <f ca="1">IFERROR(__xludf.DUMMYFUNCTION("IMPORTRANGE(""https://docs.google.com/spreadsheets/d/1-uDff_7J0KD5mKrp0Vvzr7lt3OU09vwQwhkpOPPYv2Y/edit?usp=sharing"",""งบพรบ!DM46"")"),0)</f>
        <v>0</v>
      </c>
      <c r="P46" s="67">
        <f t="shared" ca="1" si="27"/>
        <v>0</v>
      </c>
      <c r="Q46" s="68">
        <f t="shared" ca="1" si="28"/>
        <v>0</v>
      </c>
      <c r="R46" s="67">
        <f ca="1">IFERROR(__xludf.DUMMYFUNCTION("IMPORTRANGE(""https://docs.google.com/spreadsheets/d/1yswqbM3-AEpThF3ZSUa1AcmHnmRTF1vlJ1CZGcJ8YuU/edit?usp=sharing"",""สุรินทร์!Q266"")"),50660)</f>
        <v>50660</v>
      </c>
      <c r="S46" s="67">
        <f ca="1">IFERROR(__xludf.DUMMYFUNCTION("IMPORTRANGE(""https://docs.google.com/spreadsheets/d/1yswqbM3-AEpThF3ZSUa1AcmHnmRTF1vlJ1CZGcJ8YuU/edit?usp=sharing"",""สุรินทร์!R266"")"),50660)</f>
        <v>50660</v>
      </c>
      <c r="T46" s="67">
        <f ca="1">IFERROR(__xludf.DUMMYFUNCTION("IMPORTRANGE(""https://docs.google.com/spreadsheets/d/1yswqbM3-AEpThF3ZSUa1AcmHnmRTF1vlJ1CZGcJ8YuU/edit?usp=sharing"",""สุรินทร์!S266"")"),48895)</f>
        <v>48895</v>
      </c>
      <c r="U46" s="68">
        <f t="shared" ca="1" si="30"/>
        <v>96.515988945913932</v>
      </c>
      <c r="V46" s="68">
        <f t="shared" ca="1" si="31"/>
        <v>96.515988945913932</v>
      </c>
      <c r="W46" s="74">
        <f ca="1">IFERROR(__xludf.DUMMYFUNCTION("IMPORTRANGE(""https://docs.google.com/spreadsheets/d/1yswqbM3-AEpThF3ZSUa1AcmHnmRTF1vlJ1CZGcJ8YuU/edit?usp=sharing"",""สุรินทร์!I276"")"),22)</f>
        <v>22</v>
      </c>
      <c r="X46" s="74">
        <f ca="1">IFERROR(__xludf.DUMMYFUNCTION("IMPORTRANGE(""https://docs.google.com/spreadsheets/d/1yswqbM3-AEpThF3ZSUa1AcmHnmRTF1vlJ1CZGcJ8YuU/edit?usp=sharing"",""สุรินทร์!J276"")"),21)</f>
        <v>21</v>
      </c>
      <c r="Y46" s="152">
        <f t="shared" ca="1" si="33"/>
        <v>95.454545454545453</v>
      </c>
      <c r="Z46" s="74">
        <v>0</v>
      </c>
      <c r="AA46" s="74">
        <v>0</v>
      </c>
      <c r="AB46" s="152">
        <v>0</v>
      </c>
    </row>
    <row r="47" spans="1:28" ht="19.5" x14ac:dyDescent="0.3">
      <c r="A47" s="147">
        <v>16</v>
      </c>
      <c r="B47" s="148" t="s">
        <v>75</v>
      </c>
      <c r="C47" s="149">
        <f t="shared" ca="1" si="21"/>
        <v>5000</v>
      </c>
      <c r="D47" s="150">
        <f t="shared" ca="1" si="38"/>
        <v>5000</v>
      </c>
      <c r="E47" s="151">
        <f ca="1">IFERROR(__xludf.DUMMYFUNCTION("IMPORTRANGE(""https://docs.google.com/spreadsheets/d/1-uDff_7J0KD5mKrp0Vvzr7lt3OU09vwQwhkpOPPYv2Y/edit?usp=sharing"",""งบพรบ!DF47"")"),0)</f>
        <v>0</v>
      </c>
      <c r="F47" s="151">
        <f ca="1">IFERROR(__xludf.DUMMYFUNCTION("IMPORTRANGE(""https://docs.google.com/spreadsheets/d/1-uDff_7J0KD5mKrp0Vvzr7lt3OU09vwQwhkpOPPYv2Y/edit?usp=sharing"",""งบพรบ!DG47"")"),5000)</f>
        <v>5000</v>
      </c>
      <c r="G47" s="151">
        <f ca="1">IFERROR(__xludf.DUMMYFUNCTION("IMPORTRANGE(""https://docs.google.com/spreadsheets/d/1-uDff_7J0KD5mKrp0Vvzr7lt3OU09vwQwhkpOPPYv2Y/edit?usp=sharing"",""งบพรบ!DH47"")"),0)</f>
        <v>0</v>
      </c>
      <c r="H47" s="151">
        <f ca="1">IFERROR(__xludf.DUMMYFUNCTION("IMPORTRANGE(""https://docs.google.com/spreadsheets/d/1-uDff_7J0KD5mKrp0Vvzr7lt3OU09vwQwhkpOPPYv2Y/edit?usp=sharing"",""งบพรบ!DJ47"")"),21300)</f>
        <v>21300</v>
      </c>
      <c r="I47" s="151">
        <f ca="1">IFERROR(__xludf.DUMMYFUNCTION("IMPORTRANGE(""https://docs.google.com/spreadsheets/d/1-uDff_7J0KD5mKrp0Vvzr7lt3OU09vwQwhkpOPPYv2Y/edit?usp=sharing"",""งบพรบ!DK47"")"),0)</f>
        <v>0</v>
      </c>
      <c r="J47" s="151">
        <f t="shared" ca="1" si="23"/>
        <v>20580</v>
      </c>
      <c r="K47" s="154">
        <f t="shared" ca="1" si="24"/>
        <v>411.6</v>
      </c>
      <c r="L47" s="151">
        <f ca="1">IFERROR(__xludf.DUMMYFUNCTION("IMPORTRANGE(""https://docs.google.com/spreadsheets/d/1-uDff_7J0KD5mKrp0Vvzr7lt3OU09vwQwhkpOPPYv2Y/edit?usp=sharing"",""งบพรบ!DL47"")"),20580)</f>
        <v>20580</v>
      </c>
      <c r="M47" s="68">
        <f t="shared" ca="1" si="25"/>
        <v>411.6</v>
      </c>
      <c r="N47" s="68">
        <f t="shared" ca="1" si="26"/>
        <v>96.619718309859152</v>
      </c>
      <c r="O47" s="67">
        <f ca="1">IFERROR(__xludf.DUMMYFUNCTION("IMPORTRANGE(""https://docs.google.com/spreadsheets/d/1-uDff_7J0KD5mKrp0Vvzr7lt3OU09vwQwhkpOPPYv2Y/edit?usp=sharing"",""งบพรบ!DM47"")"),0)</f>
        <v>0</v>
      </c>
      <c r="P47" s="67">
        <f t="shared" ca="1" si="27"/>
        <v>0</v>
      </c>
      <c r="Q47" s="68">
        <f t="shared" ca="1" si="28"/>
        <v>0</v>
      </c>
      <c r="R47" s="67">
        <f ca="1">IFERROR(__xludf.DUMMYFUNCTION("IMPORTRANGE(""https://docs.google.com/spreadsheets/d/13JHU_EFbsQOUQ0JSQ3dWy1VTRosIWcDq6Nc99z2qzdc/edit?usp=sharing"",""หนองคาย!Q266"")"),50660)</f>
        <v>50660</v>
      </c>
      <c r="S47" s="67">
        <f ca="1">IFERROR(__xludf.DUMMYFUNCTION("IMPORTRANGE(""https://docs.google.com/spreadsheets/d/13JHU_EFbsQOUQ0JSQ3dWy1VTRosIWcDq6Nc99z2qzdc/edit?usp=sharing"",""หนองคาย!R266"")"),50660)</f>
        <v>50660</v>
      </c>
      <c r="T47" s="67">
        <f ca="1">IFERROR(__xludf.DUMMYFUNCTION("IMPORTRANGE(""https://docs.google.com/spreadsheets/d/13JHU_EFbsQOUQ0JSQ3dWy1VTRosIWcDq6Nc99z2qzdc/edit?usp=sharing"",""หนองคาย!S266"")"),46023)</f>
        <v>46023</v>
      </c>
      <c r="U47" s="68">
        <f t="shared" ca="1" si="30"/>
        <v>90.846821950256611</v>
      </c>
      <c r="V47" s="68">
        <f t="shared" ca="1" si="31"/>
        <v>90.846821950256611</v>
      </c>
      <c r="W47" s="74">
        <f ca="1">IFERROR(__xludf.DUMMYFUNCTION("IMPORTRANGE(""https://docs.google.com/spreadsheets/d/13JHU_EFbsQOUQ0JSQ3dWy1VTRosIWcDq6Nc99z2qzdc/edit?usp=sharing"",""หนองคาย!I276"")"),22)</f>
        <v>22</v>
      </c>
      <c r="X47" s="74">
        <f ca="1">IFERROR(__xludf.DUMMYFUNCTION("IMPORTRANGE(""https://docs.google.com/spreadsheets/d/13JHU_EFbsQOUQ0JSQ3dWy1VTRosIWcDq6Nc99z2qzdc/edit?usp=sharing"",""หนองคาย!J276"")"),22)</f>
        <v>22</v>
      </c>
      <c r="Y47" s="152">
        <f t="shared" ca="1" si="33"/>
        <v>100</v>
      </c>
      <c r="Z47" s="74">
        <v>0</v>
      </c>
      <c r="AA47" s="74">
        <v>0</v>
      </c>
      <c r="AB47" s="152">
        <v>0</v>
      </c>
    </row>
    <row r="48" spans="1:28" ht="19.5" x14ac:dyDescent="0.3">
      <c r="A48" s="147">
        <v>17</v>
      </c>
      <c r="B48" s="148" t="s">
        <v>76</v>
      </c>
      <c r="C48" s="149">
        <f t="shared" ca="1" si="21"/>
        <v>5000</v>
      </c>
      <c r="D48" s="150">
        <f t="shared" ca="1" si="38"/>
        <v>5000</v>
      </c>
      <c r="E48" s="151">
        <f ca="1">IFERROR(__xludf.DUMMYFUNCTION("IMPORTRANGE(""https://docs.google.com/spreadsheets/d/1-uDff_7J0KD5mKrp0Vvzr7lt3OU09vwQwhkpOPPYv2Y/edit?usp=sharing"",""งบพรบ!DF48"")"),0)</f>
        <v>0</v>
      </c>
      <c r="F48" s="151">
        <f ca="1">IFERROR(__xludf.DUMMYFUNCTION("IMPORTRANGE(""https://docs.google.com/spreadsheets/d/1-uDff_7J0KD5mKrp0Vvzr7lt3OU09vwQwhkpOPPYv2Y/edit?usp=sharing"",""งบพรบ!DG48"")"),5000)</f>
        <v>5000</v>
      </c>
      <c r="G48" s="151">
        <f ca="1">IFERROR(__xludf.DUMMYFUNCTION("IMPORTRANGE(""https://docs.google.com/spreadsheets/d/1-uDff_7J0KD5mKrp0Vvzr7lt3OU09vwQwhkpOPPYv2Y/edit?usp=sharing"",""งบพรบ!DH48"")"),0)</f>
        <v>0</v>
      </c>
      <c r="H48" s="151">
        <f ca="1">IFERROR(__xludf.DUMMYFUNCTION("IMPORTRANGE(""https://docs.google.com/spreadsheets/d/1-uDff_7J0KD5mKrp0Vvzr7lt3OU09vwQwhkpOPPYv2Y/edit?usp=sharing"",""งบพรบ!DJ48"")"),20500)</f>
        <v>20500</v>
      </c>
      <c r="I48" s="151">
        <f ca="1">IFERROR(__xludf.DUMMYFUNCTION("IMPORTRANGE(""https://docs.google.com/spreadsheets/d/1-uDff_7J0KD5mKrp0Vvzr7lt3OU09vwQwhkpOPPYv2Y/edit?usp=sharing"",""งบพรบ!DK48"")"),0)</f>
        <v>0</v>
      </c>
      <c r="J48" s="151">
        <f t="shared" ca="1" si="23"/>
        <v>15500</v>
      </c>
      <c r="K48" s="154">
        <f t="shared" ca="1" si="24"/>
        <v>310</v>
      </c>
      <c r="L48" s="151">
        <f ca="1">IFERROR(__xludf.DUMMYFUNCTION("IMPORTRANGE(""https://docs.google.com/spreadsheets/d/1-uDff_7J0KD5mKrp0Vvzr7lt3OU09vwQwhkpOPPYv2Y/edit?usp=sharing"",""งบพรบ!DL48"")"),15500)</f>
        <v>15500</v>
      </c>
      <c r="M48" s="68">
        <f t="shared" ca="1" si="25"/>
        <v>310</v>
      </c>
      <c r="N48" s="68">
        <f t="shared" ca="1" si="26"/>
        <v>75.609756097560975</v>
      </c>
      <c r="O48" s="67">
        <f ca="1">IFERROR(__xludf.DUMMYFUNCTION("IMPORTRANGE(""https://docs.google.com/spreadsheets/d/1-uDff_7J0KD5mKrp0Vvzr7lt3OU09vwQwhkpOPPYv2Y/edit?usp=sharing"",""งบพรบ!DM48"")"),0)</f>
        <v>0</v>
      </c>
      <c r="P48" s="67">
        <f t="shared" ca="1" si="27"/>
        <v>0</v>
      </c>
      <c r="Q48" s="68">
        <f t="shared" ca="1" si="28"/>
        <v>0</v>
      </c>
      <c r="R48" s="67">
        <f ca="1">IFERROR(__xludf.DUMMYFUNCTION("IMPORTRANGE(""https://docs.google.com/spreadsheets/d/1Hx73zIEgVdDZZaYSTc46Dqv64atFhpr3GelxLbaIN8A/edit?usp=sharing"",""หนองบัวลำภู!Q266"")"),50660)</f>
        <v>50660</v>
      </c>
      <c r="S48" s="67">
        <f ca="1">IFERROR(__xludf.DUMMYFUNCTION("IMPORTRANGE(""https://docs.google.com/spreadsheets/d/1Hx73zIEgVdDZZaYSTc46Dqv64atFhpr3GelxLbaIN8A/edit?usp=sharing"",""หนองบัวลำภู!R266"")"),50660)</f>
        <v>50660</v>
      </c>
      <c r="T48" s="67">
        <f ca="1">IFERROR(__xludf.DUMMYFUNCTION("IMPORTRANGE(""https://docs.google.com/spreadsheets/d/1Hx73zIEgVdDZZaYSTc46Dqv64atFhpr3GelxLbaIN8A/edit?usp=sharing"",""หนองบัวลำภู!S266"")"),44069)</f>
        <v>44069</v>
      </c>
      <c r="U48" s="68">
        <f t="shared" ca="1" si="30"/>
        <v>86.989735491512036</v>
      </c>
      <c r="V48" s="68">
        <f t="shared" ca="1" si="31"/>
        <v>86.989735491512036</v>
      </c>
      <c r="W48" s="74">
        <f ca="1">IFERROR(__xludf.DUMMYFUNCTION("IMPORTRANGE(""https://docs.google.com/spreadsheets/d/1Hx73zIEgVdDZZaYSTc46Dqv64atFhpr3GelxLbaIN8A/edit?usp=sharing"",""หนองบัวลำภู!I276"")"),22)</f>
        <v>22</v>
      </c>
      <c r="X48" s="74">
        <f ca="1">IFERROR(__xludf.DUMMYFUNCTION("IMPORTRANGE(""https://docs.google.com/spreadsheets/d/1Hx73zIEgVdDZZaYSTc46Dqv64atFhpr3GelxLbaIN8A/edit?usp=sharing"",""หนองบัวลำภู!J276"")"),22)</f>
        <v>22</v>
      </c>
      <c r="Y48" s="152">
        <f t="shared" ca="1" si="33"/>
        <v>100</v>
      </c>
      <c r="Z48" s="74">
        <v>0</v>
      </c>
      <c r="AA48" s="74">
        <v>0</v>
      </c>
      <c r="AB48" s="152">
        <v>0</v>
      </c>
    </row>
    <row r="49" spans="1:28" ht="19.5" x14ac:dyDescent="0.3">
      <c r="A49" s="147">
        <v>18</v>
      </c>
      <c r="B49" s="148" t="s">
        <v>77</v>
      </c>
      <c r="C49" s="149">
        <f t="shared" ca="1" si="21"/>
        <v>5000</v>
      </c>
      <c r="D49" s="150">
        <f t="shared" ca="1" si="38"/>
        <v>5000</v>
      </c>
      <c r="E49" s="151">
        <f ca="1">IFERROR(__xludf.DUMMYFUNCTION("IMPORTRANGE(""https://docs.google.com/spreadsheets/d/1-uDff_7J0KD5mKrp0Vvzr7lt3OU09vwQwhkpOPPYv2Y/edit?usp=sharing"",""งบพรบ!DF49"")"),0)</f>
        <v>0</v>
      </c>
      <c r="F49" s="151">
        <f ca="1">IFERROR(__xludf.DUMMYFUNCTION("IMPORTRANGE(""https://docs.google.com/spreadsheets/d/1-uDff_7J0KD5mKrp0Vvzr7lt3OU09vwQwhkpOPPYv2Y/edit?usp=sharing"",""งบพรบ!DG49"")"),5000)</f>
        <v>5000</v>
      </c>
      <c r="G49" s="151">
        <f ca="1">IFERROR(__xludf.DUMMYFUNCTION("IMPORTRANGE(""https://docs.google.com/spreadsheets/d/1-uDff_7J0KD5mKrp0Vvzr7lt3OU09vwQwhkpOPPYv2Y/edit?usp=sharing"",""งบพรบ!DH49"")"),0)</f>
        <v>0</v>
      </c>
      <c r="H49" s="151">
        <f ca="1">IFERROR(__xludf.DUMMYFUNCTION("IMPORTRANGE(""https://docs.google.com/spreadsheets/d/1-uDff_7J0KD5mKrp0Vvzr7lt3OU09vwQwhkpOPPYv2Y/edit?usp=sharing"",""งบพรบ!DJ49"")"),21000)</f>
        <v>21000</v>
      </c>
      <c r="I49" s="151">
        <f ca="1">IFERROR(__xludf.DUMMYFUNCTION("IMPORTRANGE(""https://docs.google.com/spreadsheets/d/1-uDff_7J0KD5mKrp0Vvzr7lt3OU09vwQwhkpOPPYv2Y/edit?usp=sharing"",""งบพรบ!DK49"")"),0)</f>
        <v>0</v>
      </c>
      <c r="J49" s="151">
        <f t="shared" ca="1" si="23"/>
        <v>21000</v>
      </c>
      <c r="K49" s="154">
        <f t="shared" ca="1" si="24"/>
        <v>420</v>
      </c>
      <c r="L49" s="151">
        <f ca="1">IFERROR(__xludf.DUMMYFUNCTION("IMPORTRANGE(""https://docs.google.com/spreadsheets/d/1-uDff_7J0KD5mKrp0Vvzr7lt3OU09vwQwhkpOPPYv2Y/edit?usp=sharing"",""งบพรบ!DL49"")"),21000)</f>
        <v>21000</v>
      </c>
      <c r="M49" s="68">
        <f t="shared" ca="1" si="25"/>
        <v>420</v>
      </c>
      <c r="N49" s="68">
        <f t="shared" ca="1" si="26"/>
        <v>100</v>
      </c>
      <c r="O49" s="67">
        <f ca="1">IFERROR(__xludf.DUMMYFUNCTION("IMPORTRANGE(""https://docs.google.com/spreadsheets/d/1-uDff_7J0KD5mKrp0Vvzr7lt3OU09vwQwhkpOPPYv2Y/edit?usp=sharing"",""งบพรบ!DM49"")"),0)</f>
        <v>0</v>
      </c>
      <c r="P49" s="67">
        <f t="shared" ca="1" si="27"/>
        <v>0</v>
      </c>
      <c r="Q49" s="68">
        <f t="shared" ca="1" si="28"/>
        <v>0</v>
      </c>
      <c r="R49" s="67">
        <f ca="1">IFERROR(__xludf.DUMMYFUNCTION("IMPORTRANGE(""https://docs.google.com/spreadsheets/d/1lFxr3ctmjFN90yc-xV6jrQ9Ty8BKYVBWnAZ15wcNIJc/edit?usp=sharing"",""อำนาจเจริญ!Q266"")"),53440)</f>
        <v>53440</v>
      </c>
      <c r="S49" s="67">
        <f ca="1">IFERROR(__xludf.DUMMYFUNCTION("IMPORTRANGE(""https://docs.google.com/spreadsheets/d/1lFxr3ctmjFN90yc-xV6jrQ9Ty8BKYVBWnAZ15wcNIJc/edit?usp=sharing"",""อำนาจเจริญ!R266"")"),53440)</f>
        <v>53440</v>
      </c>
      <c r="T49" s="67">
        <f ca="1">IFERROR(__xludf.DUMMYFUNCTION("IMPORTRANGE(""https://docs.google.com/spreadsheets/d/1lFxr3ctmjFN90yc-xV6jrQ9Ty8BKYVBWnAZ15wcNIJc/edit?usp=sharing"",""อำนาจเจริญ!S266"")"),49520)</f>
        <v>49520</v>
      </c>
      <c r="U49" s="68">
        <f t="shared" ca="1" si="30"/>
        <v>92.664670658682638</v>
      </c>
      <c r="V49" s="68">
        <f t="shared" ca="1" si="31"/>
        <v>92.664670658682638</v>
      </c>
      <c r="W49" s="74">
        <f ca="1">IFERROR(__xludf.DUMMYFUNCTION("IMPORTRANGE(""https://docs.google.com/spreadsheets/d/1lFxr3ctmjFN90yc-xV6jrQ9Ty8BKYVBWnAZ15wcNIJc/edit?usp=sharing"",""อำนาจเจริญ!I276"")"),24)</f>
        <v>24</v>
      </c>
      <c r="X49" s="74">
        <f ca="1">IFERROR(__xludf.DUMMYFUNCTION("IMPORTRANGE(""https://docs.google.com/spreadsheets/d/1lFxr3ctmjFN90yc-xV6jrQ9Ty8BKYVBWnAZ15wcNIJc/edit?usp=sharing"",""อำนาจเจริญ!J276"")"),24)</f>
        <v>24</v>
      </c>
      <c r="Y49" s="152">
        <f t="shared" ca="1" si="33"/>
        <v>100</v>
      </c>
      <c r="Z49" s="74">
        <v>0</v>
      </c>
      <c r="AA49" s="74">
        <v>0</v>
      </c>
      <c r="AB49" s="152">
        <v>0</v>
      </c>
    </row>
    <row r="50" spans="1:28" ht="19.5" x14ac:dyDescent="0.3">
      <c r="A50" s="147">
        <v>19</v>
      </c>
      <c r="B50" s="148" t="s">
        <v>78</v>
      </c>
      <c r="C50" s="149">
        <f t="shared" ca="1" si="21"/>
        <v>5000</v>
      </c>
      <c r="D50" s="150">
        <f t="shared" ca="1" si="38"/>
        <v>5000</v>
      </c>
      <c r="E50" s="151">
        <f ca="1">IFERROR(__xludf.DUMMYFUNCTION("IMPORTRANGE(""https://docs.google.com/spreadsheets/d/1-uDff_7J0KD5mKrp0Vvzr7lt3OU09vwQwhkpOPPYv2Y/edit?usp=sharing"",""งบพรบ!DF50"")"),0)</f>
        <v>0</v>
      </c>
      <c r="F50" s="151">
        <f ca="1">IFERROR(__xludf.DUMMYFUNCTION("IMPORTRANGE(""https://docs.google.com/spreadsheets/d/1-uDff_7J0KD5mKrp0Vvzr7lt3OU09vwQwhkpOPPYv2Y/edit?usp=sharing"",""งบพรบ!DG50"")"),5000)</f>
        <v>5000</v>
      </c>
      <c r="G50" s="151">
        <f ca="1">IFERROR(__xludf.DUMMYFUNCTION("IMPORTRANGE(""https://docs.google.com/spreadsheets/d/1-uDff_7J0KD5mKrp0Vvzr7lt3OU09vwQwhkpOPPYv2Y/edit?usp=sharing"",""งบพรบ!DH50"")"),0)</f>
        <v>0</v>
      </c>
      <c r="H50" s="151">
        <f ca="1">IFERROR(__xludf.DUMMYFUNCTION("IMPORTRANGE(""https://docs.google.com/spreadsheets/d/1-uDff_7J0KD5mKrp0Vvzr7lt3OU09vwQwhkpOPPYv2Y/edit?usp=sharing"",""งบพรบ!DJ50"")"),20900)</f>
        <v>20900</v>
      </c>
      <c r="I50" s="151">
        <f ca="1">IFERROR(__xludf.DUMMYFUNCTION("IMPORTRANGE(""https://docs.google.com/spreadsheets/d/1-uDff_7J0KD5mKrp0Vvzr7lt3OU09vwQwhkpOPPYv2Y/edit?usp=sharing"",""งบพรบ!DK50"")"),0)</f>
        <v>0</v>
      </c>
      <c r="J50" s="151">
        <f t="shared" ca="1" si="23"/>
        <v>18890</v>
      </c>
      <c r="K50" s="154">
        <f t="shared" ca="1" si="24"/>
        <v>377.8</v>
      </c>
      <c r="L50" s="151">
        <f ca="1">IFERROR(__xludf.DUMMYFUNCTION("IMPORTRANGE(""https://docs.google.com/spreadsheets/d/1-uDff_7J0KD5mKrp0Vvzr7lt3OU09vwQwhkpOPPYv2Y/edit?usp=sharing"",""งบพรบ!DL50"")"),18890)</f>
        <v>18890</v>
      </c>
      <c r="M50" s="68">
        <f t="shared" ca="1" si="25"/>
        <v>377.8</v>
      </c>
      <c r="N50" s="68">
        <f t="shared" ca="1" si="26"/>
        <v>90.382775119617222</v>
      </c>
      <c r="O50" s="67">
        <f ca="1">IFERROR(__xludf.DUMMYFUNCTION("IMPORTRANGE(""https://docs.google.com/spreadsheets/d/1-uDff_7J0KD5mKrp0Vvzr7lt3OU09vwQwhkpOPPYv2Y/edit?usp=sharing"",""งบพรบ!DM50"")"),0)</f>
        <v>0</v>
      </c>
      <c r="P50" s="67">
        <f t="shared" ca="1" si="27"/>
        <v>0</v>
      </c>
      <c r="Q50" s="68">
        <f t="shared" ca="1" si="28"/>
        <v>0</v>
      </c>
      <c r="R50" s="67">
        <f ca="1">IFERROR(__xludf.DUMMYFUNCTION("IMPORTRANGE(""https://docs.google.com/spreadsheets/d/1gF7RJpRnL-1oyjyeWxs5SFWEH7y8ahOZsQlyp2A2e-A/edit?usp=sharing"",""อุดรธานี!Q266"")"),50660)</f>
        <v>50660</v>
      </c>
      <c r="S50" s="67">
        <f ca="1">IFERROR(__xludf.DUMMYFUNCTION("IMPORTRANGE(""https://docs.google.com/spreadsheets/d/1gF7RJpRnL-1oyjyeWxs5SFWEH7y8ahOZsQlyp2A2e-A/edit?usp=sharing"",""อุดรธานี!R266"")"),50660)</f>
        <v>50660</v>
      </c>
      <c r="T50" s="67">
        <f ca="1">IFERROR(__xludf.DUMMYFUNCTION("IMPORTRANGE(""https://docs.google.com/spreadsheets/d/1gF7RJpRnL-1oyjyeWxs5SFWEH7y8ahOZsQlyp2A2e-A/edit?usp=sharing"",""อุดรธานี!S266"")"),50660)</f>
        <v>50660</v>
      </c>
      <c r="U50" s="68">
        <f t="shared" ca="1" si="30"/>
        <v>100</v>
      </c>
      <c r="V50" s="68">
        <f t="shared" ca="1" si="31"/>
        <v>100</v>
      </c>
      <c r="W50" s="74">
        <f ca="1">IFERROR(__xludf.DUMMYFUNCTION("IMPORTRANGE(""https://docs.google.com/spreadsheets/d/1gF7RJpRnL-1oyjyeWxs5SFWEH7y8ahOZsQlyp2A2e-A/edit?usp=sharing"",""อุดรธานี!I276"")"),22)</f>
        <v>22</v>
      </c>
      <c r="X50" s="74">
        <f ca="1">IFERROR(__xludf.DUMMYFUNCTION("IMPORTRANGE(""https://docs.google.com/spreadsheets/d/1gF7RJpRnL-1oyjyeWxs5SFWEH7y8ahOZsQlyp2A2e-A/edit?usp=sharing"",""อุดรธานี!J276"")"),22)</f>
        <v>22</v>
      </c>
      <c r="Y50" s="152">
        <f t="shared" ca="1" si="33"/>
        <v>100</v>
      </c>
      <c r="Z50" s="74">
        <v>0</v>
      </c>
      <c r="AA50" s="74">
        <v>0</v>
      </c>
      <c r="AB50" s="152">
        <v>0</v>
      </c>
    </row>
    <row r="51" spans="1:28" ht="19.5" x14ac:dyDescent="0.3">
      <c r="A51" s="163">
        <v>20</v>
      </c>
      <c r="B51" s="164" t="s">
        <v>79</v>
      </c>
      <c r="C51" s="165">
        <f t="shared" ca="1" si="21"/>
        <v>5000</v>
      </c>
      <c r="D51" s="166">
        <f t="shared" ca="1" si="38"/>
        <v>5000</v>
      </c>
      <c r="E51" s="167">
        <f ca="1">IFERROR(__xludf.DUMMYFUNCTION("IMPORTRANGE(""https://docs.google.com/spreadsheets/d/1-uDff_7J0KD5mKrp0Vvzr7lt3OU09vwQwhkpOPPYv2Y/edit?usp=sharing"",""งบพรบ!DF51"")"),0)</f>
        <v>0</v>
      </c>
      <c r="F51" s="167">
        <f ca="1">IFERROR(__xludf.DUMMYFUNCTION("IMPORTRANGE(""https://docs.google.com/spreadsheets/d/1-uDff_7J0KD5mKrp0Vvzr7lt3OU09vwQwhkpOPPYv2Y/edit?usp=sharing"",""งบพรบ!DG51"")"),5000)</f>
        <v>5000</v>
      </c>
      <c r="G51" s="167">
        <f ca="1">IFERROR(__xludf.DUMMYFUNCTION("IMPORTRANGE(""https://docs.google.com/spreadsheets/d/1-uDff_7J0KD5mKrp0Vvzr7lt3OU09vwQwhkpOPPYv2Y/edit?usp=sharing"",""งบพรบ!DH51"")"),0)</f>
        <v>0</v>
      </c>
      <c r="H51" s="167">
        <f ca="1">IFERROR(__xludf.DUMMYFUNCTION("IMPORTRANGE(""https://docs.google.com/spreadsheets/d/1-uDff_7J0KD5mKrp0Vvzr7lt3OU09vwQwhkpOPPYv2Y/edit?usp=sharing"",""งบพรบ!DJ51"")"),21100)</f>
        <v>21100</v>
      </c>
      <c r="I51" s="167">
        <f ca="1">IFERROR(__xludf.DUMMYFUNCTION("IMPORTRANGE(""https://docs.google.com/spreadsheets/d/1-uDff_7J0KD5mKrp0Vvzr7lt3OU09vwQwhkpOPPYv2Y/edit?usp=sharing"",""งบพรบ!DK51"")"),0)</f>
        <v>0</v>
      </c>
      <c r="J51" s="167">
        <f t="shared" ca="1" si="23"/>
        <v>21100</v>
      </c>
      <c r="K51" s="168">
        <f t="shared" ca="1" si="24"/>
        <v>422</v>
      </c>
      <c r="L51" s="167">
        <f ca="1">IFERROR(__xludf.DUMMYFUNCTION("IMPORTRANGE(""https://docs.google.com/spreadsheets/d/1-uDff_7J0KD5mKrp0Vvzr7lt3OU09vwQwhkpOPPYv2Y/edit?usp=sharing"",""งบพรบ!DL51"")"),21100)</f>
        <v>21100</v>
      </c>
      <c r="M51" s="97">
        <f t="shared" ca="1" si="25"/>
        <v>422</v>
      </c>
      <c r="N51" s="97">
        <f t="shared" ca="1" si="26"/>
        <v>100</v>
      </c>
      <c r="O51" s="96">
        <f ca="1">IFERROR(__xludf.DUMMYFUNCTION("IMPORTRANGE(""https://docs.google.com/spreadsheets/d/1-uDff_7J0KD5mKrp0Vvzr7lt3OU09vwQwhkpOPPYv2Y/edit?usp=sharing"",""งบพรบ!DM51"")"),0)</f>
        <v>0</v>
      </c>
      <c r="P51" s="96">
        <f t="shared" ca="1" si="27"/>
        <v>0</v>
      </c>
      <c r="Q51" s="97">
        <f t="shared" ca="1" si="28"/>
        <v>0</v>
      </c>
      <c r="R51" s="96">
        <f ca="1">IFERROR(__xludf.DUMMYFUNCTION("IMPORTRANGE(""https://docs.google.com/spreadsheets/d/1kfLP0j3INXRa8bTDpcEmoWewMBV61jlFlfzczfjWIgc/edit?usp=sharing"",""อุบลราชธานี!Q266"")"),50660)</f>
        <v>50660</v>
      </c>
      <c r="S51" s="96">
        <f ca="1">IFERROR(__xludf.DUMMYFUNCTION("IMPORTRANGE(""https://docs.google.com/spreadsheets/d/1kfLP0j3INXRa8bTDpcEmoWewMBV61jlFlfzczfjWIgc/edit?usp=sharing"",""อุบลราชธานี!R266"")"),50660)</f>
        <v>50660</v>
      </c>
      <c r="T51" s="96">
        <f ca="1">IFERROR(__xludf.DUMMYFUNCTION("IMPORTRANGE(""https://docs.google.com/spreadsheets/d/1kfLP0j3INXRa8bTDpcEmoWewMBV61jlFlfzczfjWIgc/edit?usp=sharing"",""อุบลราชธานี!S266"")"),39876)</f>
        <v>39876</v>
      </c>
      <c r="U51" s="97">
        <f t="shared" ca="1" si="30"/>
        <v>78.71298855112515</v>
      </c>
      <c r="V51" s="97">
        <f t="shared" ca="1" si="31"/>
        <v>78.71298855112515</v>
      </c>
      <c r="W51" s="84">
        <f ca="1">IFERROR(__xludf.DUMMYFUNCTION("IMPORTRANGE(""https://docs.google.com/spreadsheets/d/1kfLP0j3INXRa8bTDpcEmoWewMBV61jlFlfzczfjWIgc/edit?usp=sharing"",""อุบลราชธานี!I276"")"),22)</f>
        <v>22</v>
      </c>
      <c r="X51" s="84">
        <f ca="1">IFERROR(__xludf.DUMMYFUNCTION("IMPORTRANGE(""https://docs.google.com/spreadsheets/d/1kfLP0j3INXRa8bTDpcEmoWewMBV61jlFlfzczfjWIgc/edit?usp=sharing"",""อุบลราชธานี!J276"")"),22)</f>
        <v>22</v>
      </c>
      <c r="Y51" s="192">
        <f t="shared" ca="1" si="33"/>
        <v>100</v>
      </c>
      <c r="Z51" s="84">
        <v>0</v>
      </c>
      <c r="AA51" s="84">
        <v>0</v>
      </c>
      <c r="AB51" s="192">
        <v>0</v>
      </c>
    </row>
    <row r="52" spans="1:28" ht="19.5" x14ac:dyDescent="0.3">
      <c r="A52" s="697" t="s">
        <v>80</v>
      </c>
      <c r="B52" s="647"/>
      <c r="C52" s="145">
        <f t="shared" ca="1" si="21"/>
        <v>105000</v>
      </c>
      <c r="D52" s="145">
        <f t="shared" ref="D52:I52" ca="1" si="39">SUM(D53:D73)</f>
        <v>105000</v>
      </c>
      <c r="E52" s="145">
        <f t="shared" ca="1" si="39"/>
        <v>0</v>
      </c>
      <c r="F52" s="145">
        <f t="shared" ca="1" si="39"/>
        <v>105000</v>
      </c>
      <c r="G52" s="145">
        <f t="shared" ca="1" si="39"/>
        <v>0</v>
      </c>
      <c r="H52" s="145">
        <f t="shared" ca="1" si="39"/>
        <v>305805</v>
      </c>
      <c r="I52" s="145">
        <f t="shared" ca="1" si="39"/>
        <v>0</v>
      </c>
      <c r="J52" s="145">
        <f t="shared" ca="1" si="23"/>
        <v>158021</v>
      </c>
      <c r="K52" s="146">
        <f t="shared" ca="1" si="24"/>
        <v>150.49619047619046</v>
      </c>
      <c r="L52" s="145">
        <f ca="1">SUM(L53:L73)</f>
        <v>158021</v>
      </c>
      <c r="M52" s="57">
        <f t="shared" ca="1" si="25"/>
        <v>150.49619047619046</v>
      </c>
      <c r="N52" s="57">
        <f t="shared" ca="1" si="26"/>
        <v>51.673779042200096</v>
      </c>
      <c r="O52" s="56">
        <f ca="1">SUM(O53:O73)</f>
        <v>0</v>
      </c>
      <c r="P52" s="56">
        <f t="shared" ca="1" si="27"/>
        <v>0</v>
      </c>
      <c r="Q52" s="57">
        <f t="shared" ca="1" si="28"/>
        <v>0</v>
      </c>
      <c r="R52" s="56">
        <f t="shared" ref="R52:T52" ca="1" si="40">SUM(R53:R73)</f>
        <v>1041620</v>
      </c>
      <c r="S52" s="56">
        <f t="shared" ca="1" si="40"/>
        <v>1011344</v>
      </c>
      <c r="T52" s="56">
        <f t="shared" ca="1" si="40"/>
        <v>885752</v>
      </c>
      <c r="U52" s="57">
        <f t="shared" ca="1" si="30"/>
        <v>85.036001612872255</v>
      </c>
      <c r="V52" s="57">
        <f t="shared" ca="1" si="31"/>
        <v>87.58167349586293</v>
      </c>
      <c r="W52" s="52">
        <f t="shared" ref="W52:X52" ca="1" si="41">SUM(W53:W73)</f>
        <v>446</v>
      </c>
      <c r="X52" s="52">
        <f t="shared" ca="1" si="41"/>
        <v>402</v>
      </c>
      <c r="Y52" s="145">
        <f t="shared" ca="1" si="33"/>
        <v>90.134529147982065</v>
      </c>
      <c r="Z52" s="52">
        <v>0</v>
      </c>
      <c r="AA52" s="52">
        <v>0</v>
      </c>
      <c r="AB52" s="145">
        <v>0</v>
      </c>
    </row>
    <row r="53" spans="1:28" ht="19.5" x14ac:dyDescent="0.3">
      <c r="A53" s="147">
        <v>1</v>
      </c>
      <c r="B53" s="148" t="s">
        <v>81</v>
      </c>
      <c r="C53" s="149">
        <f t="shared" ca="1" si="21"/>
        <v>5000</v>
      </c>
      <c r="D53" s="150">
        <f t="shared" ref="D53:D73" ca="1" si="42">+E53+F53</f>
        <v>5000</v>
      </c>
      <c r="E53" s="151">
        <f ca="1">IFERROR(__xludf.DUMMYFUNCTION("IMPORTRANGE(""https://docs.google.com/spreadsheets/d/1-uDff_7J0KD5mKrp0Vvzr7lt3OU09vwQwhkpOPPYv2Y/edit?usp=sharing"",""งบพรบ!DF53"")"),0)</f>
        <v>0</v>
      </c>
      <c r="F53" s="151">
        <f ca="1">IFERROR(__xludf.DUMMYFUNCTION("IMPORTRANGE(""https://docs.google.com/spreadsheets/d/1-uDff_7J0KD5mKrp0Vvzr7lt3OU09vwQwhkpOPPYv2Y/edit?usp=sharing"",""งบพรบ!DG53"")"),5000)</f>
        <v>5000</v>
      </c>
      <c r="G53" s="152">
        <f ca="1">IFERROR(__xludf.DUMMYFUNCTION("IMPORTRANGE(""https://docs.google.com/spreadsheets/d/1-uDff_7J0KD5mKrp0Vvzr7lt3OU09vwQwhkpOPPYv2Y/edit?usp=sharing"",""งบพรบ!DH53"")"),0)</f>
        <v>0</v>
      </c>
      <c r="H53" s="152">
        <f ca="1">IFERROR(__xludf.DUMMYFUNCTION("IMPORTRANGE(""https://docs.google.com/spreadsheets/d/1-uDff_7J0KD5mKrp0Vvzr7lt3OU09vwQwhkpOPPYv2Y/edit?usp=sharing"",""งบพรบ!DJ53"")"),15000)</f>
        <v>15000</v>
      </c>
      <c r="I53" s="152">
        <f ca="1">IFERROR(__xludf.DUMMYFUNCTION("IMPORTRANGE(""https://docs.google.com/spreadsheets/d/1-uDff_7J0KD5mKrp0Vvzr7lt3OU09vwQwhkpOPPYv2Y/edit?usp=sharing"",""งบพรบ!DK53"")"),0)</f>
        <v>0</v>
      </c>
      <c r="J53" s="152">
        <f t="shared" ca="1" si="23"/>
        <v>10000</v>
      </c>
      <c r="K53" s="153">
        <f t="shared" ca="1" si="24"/>
        <v>200</v>
      </c>
      <c r="L53" s="152">
        <f ca="1">IFERROR(__xludf.DUMMYFUNCTION("IMPORTRANGE(""https://docs.google.com/spreadsheets/d/1-uDff_7J0KD5mKrp0Vvzr7lt3OU09vwQwhkpOPPYv2Y/edit?usp=sharing"",""งบพรบ!DL53"")"),10000)</f>
        <v>10000</v>
      </c>
      <c r="M53" s="68">
        <f t="shared" ca="1" si="25"/>
        <v>200</v>
      </c>
      <c r="N53" s="68">
        <f t="shared" ca="1" si="26"/>
        <v>66.666666666666671</v>
      </c>
      <c r="O53" s="67">
        <f ca="1">IFERROR(__xludf.DUMMYFUNCTION("IMPORTRANGE(""https://docs.google.com/spreadsheets/d/1-uDff_7J0KD5mKrp0Vvzr7lt3OU09vwQwhkpOPPYv2Y/edit?usp=sharing"",""งบพรบ!DM53"")"),0)</f>
        <v>0</v>
      </c>
      <c r="P53" s="67">
        <f t="shared" ca="1" si="27"/>
        <v>0</v>
      </c>
      <c r="Q53" s="68">
        <f t="shared" ca="1" si="28"/>
        <v>0</v>
      </c>
      <c r="R53" s="67">
        <f ca="1">IFERROR(__xludf.DUMMYFUNCTION("IMPORTRANGE(""https://docs.google.com/spreadsheets/d/13wPX838HrBrQMCywv1BsuMkt4PEKTChp52zj44s2izQ/edit?usp=sharing"",""กาญจนบุรี!Q266"")"),53440)</f>
        <v>53440</v>
      </c>
      <c r="S53" s="67">
        <f ca="1">IFERROR(__xludf.DUMMYFUNCTION("IMPORTRANGE(""https://docs.google.com/spreadsheets/d/13wPX838HrBrQMCywv1BsuMkt4PEKTChp52zj44s2izQ/edit?usp=sharing"",""กาญจนบุรี!R266"")"),53440)</f>
        <v>53440</v>
      </c>
      <c r="T53" s="67">
        <f ca="1">IFERROR(__xludf.DUMMYFUNCTION("IMPORTRANGE(""https://docs.google.com/spreadsheets/d/13wPX838HrBrQMCywv1BsuMkt4PEKTChp52zj44s2izQ/edit?usp=sharing"",""กาญจนบุรี!S266"")"),49455)</f>
        <v>49455</v>
      </c>
      <c r="U53" s="68">
        <f t="shared" ca="1" si="30"/>
        <v>92.543038922155688</v>
      </c>
      <c r="V53" s="68">
        <f t="shared" ca="1" si="31"/>
        <v>92.543038922155688</v>
      </c>
      <c r="W53" s="62">
        <f ca="1">IFERROR(__xludf.DUMMYFUNCTION("IMPORTRANGE(""https://docs.google.com/spreadsheets/d/13wPX838HrBrQMCywv1BsuMkt4PEKTChp52zj44s2izQ/edit?usp=sharing"",""กาญจนบุรี!I276"")"),24)</f>
        <v>24</v>
      </c>
      <c r="X53" s="62">
        <f ca="1">IFERROR(__xludf.DUMMYFUNCTION("IMPORTRANGE(""https://docs.google.com/spreadsheets/d/13wPX838HrBrQMCywv1BsuMkt4PEKTChp52zj44s2izQ/edit?usp=sharing"",""กาญจนบุรี!J276"")"),24)</f>
        <v>24</v>
      </c>
      <c r="Y53" s="152">
        <f t="shared" ca="1" si="33"/>
        <v>100</v>
      </c>
      <c r="Z53" s="62">
        <v>0</v>
      </c>
      <c r="AA53" s="62">
        <v>0</v>
      </c>
      <c r="AB53" s="152">
        <v>0</v>
      </c>
    </row>
    <row r="54" spans="1:28" ht="19.5" x14ac:dyDescent="0.3">
      <c r="A54" s="147">
        <v>2</v>
      </c>
      <c r="B54" s="148" t="s">
        <v>82</v>
      </c>
      <c r="C54" s="149">
        <f t="shared" ca="1" si="21"/>
        <v>5000</v>
      </c>
      <c r="D54" s="150">
        <f t="shared" ca="1" si="42"/>
        <v>5000</v>
      </c>
      <c r="E54" s="151">
        <f ca="1">IFERROR(__xludf.DUMMYFUNCTION("IMPORTRANGE(""https://docs.google.com/spreadsheets/d/1-uDff_7J0KD5mKrp0Vvzr7lt3OU09vwQwhkpOPPYv2Y/edit?usp=sharing"",""งบพรบ!DF54"")"),0)</f>
        <v>0</v>
      </c>
      <c r="F54" s="151">
        <f ca="1">IFERROR(__xludf.DUMMYFUNCTION("IMPORTRANGE(""https://docs.google.com/spreadsheets/d/1-uDff_7J0KD5mKrp0Vvzr7lt3OU09vwQwhkpOPPYv2Y/edit?usp=sharing"",""งบพรบ!DG54"")"),5000)</f>
        <v>5000</v>
      </c>
      <c r="G54" s="151">
        <f ca="1">IFERROR(__xludf.DUMMYFUNCTION("IMPORTRANGE(""https://docs.google.com/spreadsheets/d/1-uDff_7J0KD5mKrp0Vvzr7lt3OU09vwQwhkpOPPYv2Y/edit?usp=sharing"",""งบพรบ!DH54"")"),0)</f>
        <v>0</v>
      </c>
      <c r="H54" s="151">
        <f ca="1">IFERROR(__xludf.DUMMYFUNCTION("IMPORTRANGE(""https://docs.google.com/spreadsheets/d/1-uDff_7J0KD5mKrp0Vvzr7lt3OU09vwQwhkpOPPYv2Y/edit?usp=sharing"",""งบพรบ!DJ54"")"),19200)</f>
        <v>19200</v>
      </c>
      <c r="I54" s="151">
        <f ca="1">IFERROR(__xludf.DUMMYFUNCTION("IMPORTRANGE(""https://docs.google.com/spreadsheets/d/1-uDff_7J0KD5mKrp0Vvzr7lt3OU09vwQwhkpOPPYv2Y/edit?usp=sharing"",""งบพรบ!DK54"")"),0)</f>
        <v>0</v>
      </c>
      <c r="J54" s="151">
        <f t="shared" ca="1" si="23"/>
        <v>14590</v>
      </c>
      <c r="K54" s="154">
        <f t="shared" ca="1" si="24"/>
        <v>291.8</v>
      </c>
      <c r="L54" s="151">
        <f ca="1">IFERROR(__xludf.DUMMYFUNCTION("IMPORTRANGE(""https://docs.google.com/spreadsheets/d/1-uDff_7J0KD5mKrp0Vvzr7lt3OU09vwQwhkpOPPYv2Y/edit?usp=sharing"",""งบพรบ!DL54"")"),14590)</f>
        <v>14590</v>
      </c>
      <c r="M54" s="68">
        <f t="shared" ca="1" si="25"/>
        <v>291.8</v>
      </c>
      <c r="N54" s="68">
        <f t="shared" ca="1" si="26"/>
        <v>75.989583333333329</v>
      </c>
      <c r="O54" s="67">
        <f ca="1">IFERROR(__xludf.DUMMYFUNCTION("IMPORTRANGE(""https://docs.google.com/spreadsheets/d/1-uDff_7J0KD5mKrp0Vvzr7lt3OU09vwQwhkpOPPYv2Y/edit?usp=sharing"",""งบพรบ!DM54"")"),0)</f>
        <v>0</v>
      </c>
      <c r="P54" s="67">
        <f t="shared" ca="1" si="27"/>
        <v>0</v>
      </c>
      <c r="Q54" s="68">
        <f t="shared" ca="1" si="28"/>
        <v>0</v>
      </c>
      <c r="R54" s="67">
        <f ca="1">IFERROR(__xludf.DUMMYFUNCTION("IMPORTRANGE(""https://docs.google.com/spreadsheets/d/1ddFKvqj1W1NEiWytbGlB1zMx_ykJDVtmfEQ-6-lIUBA/edit?usp=sharing"",""จันทบุรี!Q266"")"),50660)</f>
        <v>50660</v>
      </c>
      <c r="S54" s="67">
        <f ca="1">IFERROR(__xludf.DUMMYFUNCTION("IMPORTRANGE(""https://docs.google.com/spreadsheets/d/1ddFKvqj1W1NEiWytbGlB1zMx_ykJDVtmfEQ-6-lIUBA/edit?usp=sharing"",""จันทบุรี!R266"")"),50660)</f>
        <v>50660</v>
      </c>
      <c r="T54" s="67">
        <f ca="1">IFERROR(__xludf.DUMMYFUNCTION("IMPORTRANGE(""https://docs.google.com/spreadsheets/d/1ddFKvqj1W1NEiWytbGlB1zMx_ykJDVtmfEQ-6-lIUBA/edit?usp=sharing"",""จันทบุรี!S266"")"),46450)</f>
        <v>46450</v>
      </c>
      <c r="U54" s="68">
        <f t="shared" ca="1" si="30"/>
        <v>91.689696012633235</v>
      </c>
      <c r="V54" s="68">
        <f t="shared" ca="1" si="31"/>
        <v>91.689696012633235</v>
      </c>
      <c r="W54" s="74">
        <f ca="1">IFERROR(__xludf.DUMMYFUNCTION("IMPORTRANGE(""https://docs.google.com/spreadsheets/d/1ddFKvqj1W1NEiWytbGlB1zMx_ykJDVtmfEQ-6-lIUBA/edit?usp=sharing"",""จันทบุรี!I276"")"),22)</f>
        <v>22</v>
      </c>
      <c r="X54" s="74">
        <f ca="1">IFERROR(__xludf.DUMMYFUNCTION("IMPORTRANGE(""https://docs.google.com/spreadsheets/d/1ddFKvqj1W1NEiWytbGlB1zMx_ykJDVtmfEQ-6-lIUBA/edit?usp=sharing"",""จันทบุรี!J276"")"),22)</f>
        <v>22</v>
      </c>
      <c r="Y54" s="152">
        <f t="shared" ca="1" si="33"/>
        <v>100</v>
      </c>
      <c r="Z54" s="74">
        <v>0</v>
      </c>
      <c r="AA54" s="74">
        <v>0</v>
      </c>
      <c r="AB54" s="152">
        <v>0</v>
      </c>
    </row>
    <row r="55" spans="1:28" ht="19.5" x14ac:dyDescent="0.3">
      <c r="A55" s="147">
        <v>3</v>
      </c>
      <c r="B55" s="148" t="s">
        <v>83</v>
      </c>
      <c r="C55" s="149">
        <f t="shared" ca="1" si="21"/>
        <v>5000</v>
      </c>
      <c r="D55" s="150">
        <f t="shared" ca="1" si="42"/>
        <v>5000</v>
      </c>
      <c r="E55" s="151">
        <f ca="1">IFERROR(__xludf.DUMMYFUNCTION("IMPORTRANGE(""https://docs.google.com/spreadsheets/d/1-uDff_7J0KD5mKrp0Vvzr7lt3OU09vwQwhkpOPPYv2Y/edit?usp=sharing"",""งบพรบ!DF55"")"),0)</f>
        <v>0</v>
      </c>
      <c r="F55" s="151">
        <f ca="1">IFERROR(__xludf.DUMMYFUNCTION("IMPORTRANGE(""https://docs.google.com/spreadsheets/d/1-uDff_7J0KD5mKrp0Vvzr7lt3OU09vwQwhkpOPPYv2Y/edit?usp=sharing"",""งบพรบ!DG55"")"),5000)</f>
        <v>5000</v>
      </c>
      <c r="G55" s="151">
        <f ca="1">IFERROR(__xludf.DUMMYFUNCTION("IMPORTRANGE(""https://docs.google.com/spreadsheets/d/1-uDff_7J0KD5mKrp0Vvzr7lt3OU09vwQwhkpOPPYv2Y/edit?usp=sharing"",""งบพรบ!DH55"")"),0)</f>
        <v>0</v>
      </c>
      <c r="H55" s="151">
        <f ca="1">IFERROR(__xludf.DUMMYFUNCTION("IMPORTRANGE(""https://docs.google.com/spreadsheets/d/1-uDff_7J0KD5mKrp0Vvzr7lt3OU09vwQwhkpOPPYv2Y/edit?usp=sharing"",""งบพรบ!DJ55"")"),14700)</f>
        <v>14700</v>
      </c>
      <c r="I55" s="151">
        <f ca="1">IFERROR(__xludf.DUMMYFUNCTION("IMPORTRANGE(""https://docs.google.com/spreadsheets/d/1-uDff_7J0KD5mKrp0Vvzr7lt3OU09vwQwhkpOPPYv2Y/edit?usp=sharing"",""งบพรบ!DK55"")"),0)</f>
        <v>0</v>
      </c>
      <c r="J55" s="151">
        <f t="shared" ca="1" si="23"/>
        <v>5000</v>
      </c>
      <c r="K55" s="154">
        <f t="shared" ca="1" si="24"/>
        <v>100</v>
      </c>
      <c r="L55" s="151">
        <f ca="1">IFERROR(__xludf.DUMMYFUNCTION("IMPORTRANGE(""https://docs.google.com/spreadsheets/d/1-uDff_7J0KD5mKrp0Vvzr7lt3OU09vwQwhkpOPPYv2Y/edit?usp=sharing"",""งบพรบ!DL55"")"),5000)</f>
        <v>5000</v>
      </c>
      <c r="M55" s="68">
        <f t="shared" ca="1" si="25"/>
        <v>100</v>
      </c>
      <c r="N55" s="68">
        <f t="shared" ca="1" si="26"/>
        <v>34.013605442176868</v>
      </c>
      <c r="O55" s="67">
        <f ca="1">IFERROR(__xludf.DUMMYFUNCTION("IMPORTRANGE(""https://docs.google.com/spreadsheets/d/1-uDff_7J0KD5mKrp0Vvzr7lt3OU09vwQwhkpOPPYv2Y/edit?usp=sharing"",""งบพรบ!DM55"")"),0)</f>
        <v>0</v>
      </c>
      <c r="P55" s="67">
        <f t="shared" ca="1" si="27"/>
        <v>0</v>
      </c>
      <c r="Q55" s="68">
        <f t="shared" ca="1" si="28"/>
        <v>0</v>
      </c>
      <c r="R55" s="67">
        <f ca="1">IFERROR(__xludf.DUMMYFUNCTION("IMPORTRANGE(""https://docs.google.com/spreadsheets/d/1T1PQvRODqOBZk8BRht_U031fIS1beLA0Ub2CEytj2q0/edit?usp=sharing"",""ฉะเชิงเทรา!Q266"")"),50660)</f>
        <v>50660</v>
      </c>
      <c r="S55" s="67">
        <f ca="1">IFERROR(__xludf.DUMMYFUNCTION("IMPORTRANGE(""https://docs.google.com/spreadsheets/d/1T1PQvRODqOBZk8BRht_U031fIS1beLA0Ub2CEytj2q0/edit?usp=sharing"",""ฉะเชิงเทรา!R266"")"),50660)</f>
        <v>50660</v>
      </c>
      <c r="T55" s="67">
        <f ca="1">IFERROR(__xludf.DUMMYFUNCTION("IMPORTRANGE(""https://docs.google.com/spreadsheets/d/1T1PQvRODqOBZk8BRht_U031fIS1beLA0Ub2CEytj2q0/edit?usp=sharing"",""ฉะเชิงเทรา!S266"")"),48610)</f>
        <v>48610</v>
      </c>
      <c r="U55" s="68">
        <f t="shared" ca="1" si="30"/>
        <v>95.953414923016183</v>
      </c>
      <c r="V55" s="68">
        <f t="shared" ca="1" si="31"/>
        <v>95.953414923016183</v>
      </c>
      <c r="W55" s="74">
        <f ca="1">IFERROR(__xludf.DUMMYFUNCTION("IMPORTRANGE(""https://docs.google.com/spreadsheets/d/1T1PQvRODqOBZk8BRht_U031fIS1beLA0Ub2CEytj2q0/edit?usp=sharing"",""ฉะเชิงเทรา!I276"")"),22)</f>
        <v>22</v>
      </c>
      <c r="X55" s="74">
        <f ca="1">IFERROR(__xludf.DUMMYFUNCTION("IMPORTRANGE(""https://docs.google.com/spreadsheets/d/1T1PQvRODqOBZk8BRht_U031fIS1beLA0Ub2CEytj2q0/edit?usp=sharing"",""ฉะเชิงเทรา!J276"")"),22)</f>
        <v>22</v>
      </c>
      <c r="Y55" s="152">
        <f t="shared" ca="1" si="33"/>
        <v>100</v>
      </c>
      <c r="Z55" s="74">
        <v>0</v>
      </c>
      <c r="AA55" s="74">
        <v>0</v>
      </c>
      <c r="AB55" s="152">
        <v>0</v>
      </c>
    </row>
    <row r="56" spans="1:28" ht="19.5" x14ac:dyDescent="0.3">
      <c r="A56" s="147">
        <v>4</v>
      </c>
      <c r="B56" s="148" t="s">
        <v>84</v>
      </c>
      <c r="C56" s="149">
        <f t="shared" ca="1" si="21"/>
        <v>5000</v>
      </c>
      <c r="D56" s="150">
        <f t="shared" ca="1" si="42"/>
        <v>5000</v>
      </c>
      <c r="E56" s="151">
        <f ca="1">IFERROR(__xludf.DUMMYFUNCTION("IMPORTRANGE(""https://docs.google.com/spreadsheets/d/1-uDff_7J0KD5mKrp0Vvzr7lt3OU09vwQwhkpOPPYv2Y/edit?usp=sharing"",""งบพรบ!DF56"")"),0)</f>
        <v>0</v>
      </c>
      <c r="F56" s="151">
        <f ca="1">IFERROR(__xludf.DUMMYFUNCTION("IMPORTRANGE(""https://docs.google.com/spreadsheets/d/1-uDff_7J0KD5mKrp0Vvzr7lt3OU09vwQwhkpOPPYv2Y/edit?usp=sharing"",""งบพรบ!DG56"")"),5000)</f>
        <v>5000</v>
      </c>
      <c r="G56" s="151">
        <f ca="1">IFERROR(__xludf.DUMMYFUNCTION("IMPORTRANGE(""https://docs.google.com/spreadsheets/d/1-uDff_7J0KD5mKrp0Vvzr7lt3OU09vwQwhkpOPPYv2Y/edit?usp=sharing"",""งบพรบ!DH56"")"),0)</f>
        <v>0</v>
      </c>
      <c r="H56" s="151">
        <f ca="1">IFERROR(__xludf.DUMMYFUNCTION("IMPORTRANGE(""https://docs.google.com/spreadsheets/d/1-uDff_7J0KD5mKrp0Vvzr7lt3OU09vwQwhkpOPPYv2Y/edit?usp=sharing"",""งบพรบ!DJ56"")"),27405)</f>
        <v>27405</v>
      </c>
      <c r="I56" s="151">
        <f ca="1">IFERROR(__xludf.DUMMYFUNCTION("IMPORTRANGE(""https://docs.google.com/spreadsheets/d/1-uDff_7J0KD5mKrp0Vvzr7lt3OU09vwQwhkpOPPYv2Y/edit?usp=sharing"",""งบพรบ!DK56"")"),0)</f>
        <v>0</v>
      </c>
      <c r="J56" s="151">
        <f t="shared" ca="1" si="23"/>
        <v>27405</v>
      </c>
      <c r="K56" s="154">
        <f t="shared" ca="1" si="24"/>
        <v>548.1</v>
      </c>
      <c r="L56" s="151">
        <f ca="1">IFERROR(__xludf.DUMMYFUNCTION("IMPORTRANGE(""https://docs.google.com/spreadsheets/d/1-uDff_7J0KD5mKrp0Vvzr7lt3OU09vwQwhkpOPPYv2Y/edit?usp=sharing"",""งบพรบ!DL56"")"),27405)</f>
        <v>27405</v>
      </c>
      <c r="M56" s="68">
        <f t="shared" ca="1" si="25"/>
        <v>548.1</v>
      </c>
      <c r="N56" s="68">
        <f t="shared" ca="1" si="26"/>
        <v>100</v>
      </c>
      <c r="O56" s="67">
        <f ca="1">IFERROR(__xludf.DUMMYFUNCTION("IMPORTRANGE(""https://docs.google.com/spreadsheets/d/1-uDff_7J0KD5mKrp0Vvzr7lt3OU09vwQwhkpOPPYv2Y/edit?usp=sharing"",""งบพรบ!DM56"")"),0)</f>
        <v>0</v>
      </c>
      <c r="P56" s="67">
        <f t="shared" ca="1" si="27"/>
        <v>0</v>
      </c>
      <c r="Q56" s="68">
        <f t="shared" ca="1" si="28"/>
        <v>0</v>
      </c>
      <c r="R56" s="67">
        <f ca="1">IFERROR(__xludf.DUMMYFUNCTION("IMPORTRANGE(""https://docs.google.com/spreadsheets/d/11tr1B-Bhyr79v2bkwVh5h_fR-PStkgjlZtkrZpYurG0/edit?usp=sharing"",""ชลบุรี!Q266"")"),50660)</f>
        <v>50660</v>
      </c>
      <c r="S56" s="67">
        <f ca="1">IFERROR(__xludf.DUMMYFUNCTION("IMPORTRANGE(""https://docs.google.com/spreadsheets/d/11tr1B-Bhyr79v2bkwVh5h_fR-PStkgjlZtkrZpYurG0/edit?usp=sharing"",""ชลบุรี!R266"")"),50660)</f>
        <v>50660</v>
      </c>
      <c r="T56" s="67">
        <f ca="1">IFERROR(__xludf.DUMMYFUNCTION("IMPORTRANGE(""https://docs.google.com/spreadsheets/d/11tr1B-Bhyr79v2bkwVh5h_fR-PStkgjlZtkrZpYurG0/edit?usp=sharing"",""ชลบุรี!S266"")"),50660)</f>
        <v>50660</v>
      </c>
      <c r="U56" s="68">
        <f t="shared" ca="1" si="30"/>
        <v>100</v>
      </c>
      <c r="V56" s="68">
        <f t="shared" ca="1" si="31"/>
        <v>100</v>
      </c>
      <c r="W56" s="74">
        <f ca="1">IFERROR(__xludf.DUMMYFUNCTION("IMPORTRANGE(""https://docs.google.com/spreadsheets/d/11tr1B-Bhyr79v2bkwVh5h_fR-PStkgjlZtkrZpYurG0/edit?usp=sharing"",""ชลบุรี!I276"")"),22)</f>
        <v>22</v>
      </c>
      <c r="X56" s="74">
        <f ca="1">IFERROR(__xludf.DUMMYFUNCTION("IMPORTRANGE(""https://docs.google.com/spreadsheets/d/11tr1B-Bhyr79v2bkwVh5h_fR-PStkgjlZtkrZpYurG0/edit?usp=sharing"",""ชลบุรี!J276"")"),22)</f>
        <v>22</v>
      </c>
      <c r="Y56" s="152">
        <f t="shared" ca="1" si="33"/>
        <v>100</v>
      </c>
      <c r="Z56" s="74">
        <v>0</v>
      </c>
      <c r="AA56" s="74">
        <v>0</v>
      </c>
      <c r="AB56" s="152">
        <v>0</v>
      </c>
    </row>
    <row r="57" spans="1:28" ht="19.5" x14ac:dyDescent="0.3">
      <c r="A57" s="147">
        <v>5</v>
      </c>
      <c r="B57" s="148" t="s">
        <v>85</v>
      </c>
      <c r="C57" s="149">
        <f t="shared" ca="1" si="21"/>
        <v>5000</v>
      </c>
      <c r="D57" s="150">
        <f t="shared" ca="1" si="42"/>
        <v>5000</v>
      </c>
      <c r="E57" s="151">
        <f ca="1">IFERROR(__xludf.DUMMYFUNCTION("IMPORTRANGE(""https://docs.google.com/spreadsheets/d/1-uDff_7J0KD5mKrp0Vvzr7lt3OU09vwQwhkpOPPYv2Y/edit?usp=sharing"",""งบพรบ!DF57"")"),0)</f>
        <v>0</v>
      </c>
      <c r="F57" s="151">
        <f ca="1">IFERROR(__xludf.DUMMYFUNCTION("IMPORTRANGE(""https://docs.google.com/spreadsheets/d/1-uDff_7J0KD5mKrp0Vvzr7lt3OU09vwQwhkpOPPYv2Y/edit?usp=sharing"",""งบพรบ!DG57"")"),5000)</f>
        <v>5000</v>
      </c>
      <c r="G57" s="151">
        <f ca="1">IFERROR(__xludf.DUMMYFUNCTION("IMPORTRANGE(""https://docs.google.com/spreadsheets/d/1-uDff_7J0KD5mKrp0Vvzr7lt3OU09vwQwhkpOPPYv2Y/edit?usp=sharing"",""งบพรบ!DH57"")"),0)</f>
        <v>0</v>
      </c>
      <c r="H57" s="151">
        <f ca="1">IFERROR(__xludf.DUMMYFUNCTION("IMPORTRANGE(""https://docs.google.com/spreadsheets/d/1-uDff_7J0KD5mKrp0Vvzr7lt3OU09vwQwhkpOPPYv2Y/edit?usp=sharing"",""งบพรบ!DJ57"")"),14400)</f>
        <v>14400</v>
      </c>
      <c r="I57" s="151">
        <f ca="1">IFERROR(__xludf.DUMMYFUNCTION("IMPORTRANGE(""https://docs.google.com/spreadsheets/d/1-uDff_7J0KD5mKrp0Vvzr7lt3OU09vwQwhkpOPPYv2Y/edit?usp=sharing"",""งบพรบ!DK57"")"),0)</f>
        <v>0</v>
      </c>
      <c r="J57" s="151">
        <f t="shared" ca="1" si="23"/>
        <v>5000</v>
      </c>
      <c r="K57" s="154">
        <f t="shared" ca="1" si="24"/>
        <v>100</v>
      </c>
      <c r="L57" s="151">
        <f ca="1">IFERROR(__xludf.DUMMYFUNCTION("IMPORTRANGE(""https://docs.google.com/spreadsheets/d/1-uDff_7J0KD5mKrp0Vvzr7lt3OU09vwQwhkpOPPYv2Y/edit?usp=sharing"",""งบพรบ!DL57"")"),5000)</f>
        <v>5000</v>
      </c>
      <c r="M57" s="68">
        <f t="shared" ca="1" si="25"/>
        <v>100</v>
      </c>
      <c r="N57" s="68">
        <f t="shared" ca="1" si="26"/>
        <v>34.722222222222221</v>
      </c>
      <c r="O57" s="67">
        <f ca="1">IFERROR(__xludf.DUMMYFUNCTION("IMPORTRANGE(""https://docs.google.com/spreadsheets/d/1-uDff_7J0KD5mKrp0Vvzr7lt3OU09vwQwhkpOPPYv2Y/edit?usp=sharing"",""งบพรบ!DM57"")"),0)</f>
        <v>0</v>
      </c>
      <c r="P57" s="67">
        <f t="shared" ca="1" si="27"/>
        <v>0</v>
      </c>
      <c r="Q57" s="68">
        <f t="shared" ca="1" si="28"/>
        <v>0</v>
      </c>
      <c r="R57" s="67">
        <f ca="1">IFERROR(__xludf.DUMMYFUNCTION("IMPORTRANGE(""https://docs.google.com/spreadsheets/d/1hh-FVnSX0vozXhGluamEcS54Dw9_zqW0N7qJUWgJ0Sw/edit?usp=sharing"",""ชัยนาท!Q266"")"),50660)</f>
        <v>50660</v>
      </c>
      <c r="S57" s="67">
        <f ca="1">IFERROR(__xludf.DUMMYFUNCTION("IMPORTRANGE(""https://docs.google.com/spreadsheets/d/1hh-FVnSX0vozXhGluamEcS54Dw9_zqW0N7qJUWgJ0Sw/edit?usp=sharing"",""ชัยนาท!R266"")"),50660)</f>
        <v>50660</v>
      </c>
      <c r="T57" s="67">
        <f ca="1">IFERROR(__xludf.DUMMYFUNCTION("IMPORTRANGE(""https://docs.google.com/spreadsheets/d/1hh-FVnSX0vozXhGluamEcS54Dw9_zqW0N7qJUWgJ0Sw/edit?usp=sharing"",""ชัยนาท!S266"")"),9320)</f>
        <v>9320</v>
      </c>
      <c r="U57" s="68">
        <f t="shared" ca="1" si="30"/>
        <v>18.397157520726413</v>
      </c>
      <c r="V57" s="68">
        <f t="shared" ca="1" si="31"/>
        <v>18.397157520726413</v>
      </c>
      <c r="W57" s="74">
        <f ca="1">IFERROR(__xludf.DUMMYFUNCTION("IMPORTRANGE(""https://docs.google.com/spreadsheets/d/1hh-FVnSX0vozXhGluamEcS54Dw9_zqW0N7qJUWgJ0Sw/edit?usp=sharing"",""ชัยนาท!I276"")"),22)</f>
        <v>22</v>
      </c>
      <c r="X57" s="74">
        <f ca="1">IFERROR(__xludf.DUMMYFUNCTION("IMPORTRANGE(""https://docs.google.com/spreadsheets/d/1hh-FVnSX0vozXhGluamEcS54Dw9_zqW0N7qJUWgJ0Sw/edit?usp=sharing"",""ชัยนาท!J276"")"),0)</f>
        <v>0</v>
      </c>
      <c r="Y57" s="152">
        <f t="shared" ca="1" si="33"/>
        <v>0</v>
      </c>
      <c r="Z57" s="74">
        <v>0</v>
      </c>
      <c r="AA57" s="74">
        <v>0</v>
      </c>
      <c r="AB57" s="152">
        <v>0</v>
      </c>
    </row>
    <row r="58" spans="1:28" ht="19.5" x14ac:dyDescent="0.3">
      <c r="A58" s="147">
        <v>6</v>
      </c>
      <c r="B58" s="148" t="s">
        <v>86</v>
      </c>
      <c r="C58" s="149">
        <f t="shared" ca="1" si="21"/>
        <v>5000</v>
      </c>
      <c r="D58" s="150">
        <f t="shared" ca="1" si="42"/>
        <v>5000</v>
      </c>
      <c r="E58" s="151">
        <f ca="1">IFERROR(__xludf.DUMMYFUNCTION("IMPORTRANGE(""https://docs.google.com/spreadsheets/d/1-uDff_7J0KD5mKrp0Vvzr7lt3OU09vwQwhkpOPPYv2Y/edit?usp=sharing"",""งบพรบ!DF58"")"),0)</f>
        <v>0</v>
      </c>
      <c r="F58" s="151">
        <f ca="1">IFERROR(__xludf.DUMMYFUNCTION("IMPORTRANGE(""https://docs.google.com/spreadsheets/d/1-uDff_7J0KD5mKrp0Vvzr7lt3OU09vwQwhkpOPPYv2Y/edit?usp=sharing"",""งบพรบ!DG58"")"),5000)</f>
        <v>5000</v>
      </c>
      <c r="G58" s="151">
        <f ca="1">IFERROR(__xludf.DUMMYFUNCTION("IMPORTRANGE(""https://docs.google.com/spreadsheets/d/1-uDff_7J0KD5mKrp0Vvzr7lt3OU09vwQwhkpOPPYv2Y/edit?usp=sharing"",""งบพรบ!DH58"")"),0)</f>
        <v>0</v>
      </c>
      <c r="H58" s="151">
        <f ca="1">IFERROR(__xludf.DUMMYFUNCTION("IMPORTRANGE(""https://docs.google.com/spreadsheets/d/1-uDff_7J0KD5mKrp0Vvzr7lt3OU09vwQwhkpOPPYv2Y/edit?usp=sharing"",""งบพรบ!DJ58"")"),19000)</f>
        <v>19000</v>
      </c>
      <c r="I58" s="151">
        <f ca="1">IFERROR(__xludf.DUMMYFUNCTION("IMPORTRANGE(""https://docs.google.com/spreadsheets/d/1-uDff_7J0KD5mKrp0Vvzr7lt3OU09vwQwhkpOPPYv2Y/edit?usp=sharing"",""งบพรบ!DK58"")"),0)</f>
        <v>0</v>
      </c>
      <c r="J58" s="151">
        <f t="shared" ca="1" si="23"/>
        <v>5000</v>
      </c>
      <c r="K58" s="154">
        <f t="shared" ca="1" si="24"/>
        <v>100</v>
      </c>
      <c r="L58" s="151">
        <f ca="1">IFERROR(__xludf.DUMMYFUNCTION("IMPORTRANGE(""https://docs.google.com/spreadsheets/d/1-uDff_7J0KD5mKrp0Vvzr7lt3OU09vwQwhkpOPPYv2Y/edit?usp=sharing"",""งบพรบ!DL58"")"),5000)</f>
        <v>5000</v>
      </c>
      <c r="M58" s="68">
        <f t="shared" ca="1" si="25"/>
        <v>100</v>
      </c>
      <c r="N58" s="68">
        <f t="shared" ca="1" si="26"/>
        <v>26.315789473684209</v>
      </c>
      <c r="O58" s="67">
        <f ca="1">IFERROR(__xludf.DUMMYFUNCTION("IMPORTRANGE(""https://docs.google.com/spreadsheets/d/1-uDff_7J0KD5mKrp0Vvzr7lt3OU09vwQwhkpOPPYv2Y/edit?usp=sharing"",""งบพรบ!DM58"")"),0)</f>
        <v>0</v>
      </c>
      <c r="P58" s="67">
        <f t="shared" ca="1" si="27"/>
        <v>0</v>
      </c>
      <c r="Q58" s="68">
        <f t="shared" ca="1" si="28"/>
        <v>0</v>
      </c>
      <c r="R58" s="67">
        <f ca="1">IFERROR(__xludf.DUMMYFUNCTION("IMPORTRANGE(""https://docs.google.com/spreadsheets/d/1jkqa6GXxSacMcY1eN8AHjMNJ_7dDXMJVRLDlaFSOdPM/edit?usp=sharing"",""ตราด!Q266"")"),50660)</f>
        <v>50660</v>
      </c>
      <c r="S58" s="67">
        <f ca="1">IFERROR(__xludf.DUMMYFUNCTION("IMPORTRANGE(""https://docs.google.com/spreadsheets/d/1jkqa6GXxSacMcY1eN8AHjMNJ_7dDXMJVRLDlaFSOdPM/edit?usp=sharing"",""ตราด!R266"")"),44280)</f>
        <v>44280</v>
      </c>
      <c r="T58" s="67">
        <f ca="1">IFERROR(__xludf.DUMMYFUNCTION("IMPORTRANGE(""https://docs.google.com/spreadsheets/d/1jkqa6GXxSacMcY1eN8AHjMNJ_7dDXMJVRLDlaFSOdPM/edit?usp=sharing"",""ตราด!S266"")"),44280)</f>
        <v>44280</v>
      </c>
      <c r="U58" s="68">
        <f t="shared" ca="1" si="30"/>
        <v>87.406237662850373</v>
      </c>
      <c r="V58" s="68">
        <f t="shared" ca="1" si="31"/>
        <v>100</v>
      </c>
      <c r="W58" s="74">
        <f ca="1">IFERROR(__xludf.DUMMYFUNCTION("IMPORTRANGE(""https://docs.google.com/spreadsheets/d/1jkqa6GXxSacMcY1eN8AHjMNJ_7dDXMJVRLDlaFSOdPM/edit?usp=sharing"",""ตราด!I276"")"),22)</f>
        <v>22</v>
      </c>
      <c r="X58" s="74">
        <f ca="1">IFERROR(__xludf.DUMMYFUNCTION("IMPORTRANGE(""https://docs.google.com/spreadsheets/d/1jkqa6GXxSacMcY1eN8AHjMNJ_7dDXMJVRLDlaFSOdPM/edit?usp=sharing"",""ตราด!J276"")"),22)</f>
        <v>22</v>
      </c>
      <c r="Y58" s="152">
        <f t="shared" ca="1" si="33"/>
        <v>100</v>
      </c>
      <c r="Z58" s="74">
        <v>0</v>
      </c>
      <c r="AA58" s="74">
        <v>0</v>
      </c>
      <c r="AB58" s="152">
        <v>0</v>
      </c>
    </row>
    <row r="59" spans="1:28" ht="19.5" x14ac:dyDescent="0.3">
      <c r="A59" s="147">
        <v>7</v>
      </c>
      <c r="B59" s="148" t="s">
        <v>87</v>
      </c>
      <c r="C59" s="149">
        <f t="shared" ca="1" si="21"/>
        <v>5000</v>
      </c>
      <c r="D59" s="150">
        <f t="shared" ca="1" si="42"/>
        <v>5000</v>
      </c>
      <c r="E59" s="151">
        <f ca="1">IFERROR(__xludf.DUMMYFUNCTION("IMPORTRANGE(""https://docs.google.com/spreadsheets/d/1-uDff_7J0KD5mKrp0Vvzr7lt3OU09vwQwhkpOPPYv2Y/edit?usp=sharing"",""งบพรบ!DF59"")"),0)</f>
        <v>0</v>
      </c>
      <c r="F59" s="151">
        <f ca="1">IFERROR(__xludf.DUMMYFUNCTION("IMPORTRANGE(""https://docs.google.com/spreadsheets/d/1-uDff_7J0KD5mKrp0Vvzr7lt3OU09vwQwhkpOPPYv2Y/edit?usp=sharing"",""งบพรบ!DG59"")"),5000)</f>
        <v>5000</v>
      </c>
      <c r="G59" s="151">
        <f ca="1">IFERROR(__xludf.DUMMYFUNCTION("IMPORTRANGE(""https://docs.google.com/spreadsheets/d/1-uDff_7J0KD5mKrp0Vvzr7lt3OU09vwQwhkpOPPYv2Y/edit?usp=sharing"",""งบพรบ!DH59"")"),0)</f>
        <v>0</v>
      </c>
      <c r="H59" s="151">
        <f ca="1">IFERROR(__xludf.DUMMYFUNCTION("IMPORTRANGE(""https://docs.google.com/spreadsheets/d/1-uDff_7J0KD5mKrp0Vvzr7lt3OU09vwQwhkpOPPYv2Y/edit?usp=sharing"",""งบพรบ!DJ59"")"),14300)</f>
        <v>14300</v>
      </c>
      <c r="I59" s="151">
        <f ca="1">IFERROR(__xludf.DUMMYFUNCTION("IMPORTRANGE(""https://docs.google.com/spreadsheets/d/1-uDff_7J0KD5mKrp0Vvzr7lt3OU09vwQwhkpOPPYv2Y/edit?usp=sharing"",""งบพรบ!DK59"")"),0)</f>
        <v>0</v>
      </c>
      <c r="J59" s="151">
        <f t="shared" ca="1" si="23"/>
        <v>5000</v>
      </c>
      <c r="K59" s="154">
        <f t="shared" ca="1" si="24"/>
        <v>100</v>
      </c>
      <c r="L59" s="151">
        <f ca="1">IFERROR(__xludf.DUMMYFUNCTION("IMPORTRANGE(""https://docs.google.com/spreadsheets/d/1-uDff_7J0KD5mKrp0Vvzr7lt3OU09vwQwhkpOPPYv2Y/edit?usp=sharing"",""งบพรบ!DL59"")"),5000)</f>
        <v>5000</v>
      </c>
      <c r="M59" s="68">
        <f t="shared" ca="1" si="25"/>
        <v>100</v>
      </c>
      <c r="N59" s="68">
        <f t="shared" ca="1" si="26"/>
        <v>34.965034965034967</v>
      </c>
      <c r="O59" s="67">
        <f ca="1">IFERROR(__xludf.DUMMYFUNCTION("IMPORTRANGE(""https://docs.google.com/spreadsheets/d/1-uDff_7J0KD5mKrp0Vvzr7lt3OU09vwQwhkpOPPYv2Y/edit?usp=sharing"",""งบพรบ!DM59"")"),0)</f>
        <v>0</v>
      </c>
      <c r="P59" s="67">
        <f t="shared" ca="1" si="27"/>
        <v>0</v>
      </c>
      <c r="Q59" s="68">
        <f t="shared" ca="1" si="28"/>
        <v>0</v>
      </c>
      <c r="R59" s="67">
        <f ca="1">IFERROR(__xludf.DUMMYFUNCTION("IMPORTRANGE(""https://docs.google.com/spreadsheets/d/18hSgUJ3VwClqi_qtULmmW3cLr0oe3OKaSYoKzdpTsYQ/edit?usp=sharing"",""นครนายก!Q266"")"),50660)</f>
        <v>50660</v>
      </c>
      <c r="S59" s="67">
        <f ca="1">IFERROR(__xludf.DUMMYFUNCTION("IMPORTRANGE(""https://docs.google.com/spreadsheets/d/18hSgUJ3VwClqi_qtULmmW3cLr0oe3OKaSYoKzdpTsYQ/edit?usp=sharing"",""นครนายก!R266"")"),50660)</f>
        <v>50660</v>
      </c>
      <c r="T59" s="67">
        <f ca="1">IFERROR(__xludf.DUMMYFUNCTION("IMPORTRANGE(""https://docs.google.com/spreadsheets/d/18hSgUJ3VwClqi_qtULmmW3cLr0oe3OKaSYoKzdpTsYQ/edit?usp=sharing"",""นครนายก!S266"")"),41080)</f>
        <v>41080</v>
      </c>
      <c r="U59" s="68">
        <f t="shared" ca="1" si="30"/>
        <v>81.089617054875646</v>
      </c>
      <c r="V59" s="68">
        <f t="shared" ca="1" si="31"/>
        <v>81.089617054875646</v>
      </c>
      <c r="W59" s="74">
        <f ca="1">IFERROR(__xludf.DUMMYFUNCTION("IMPORTRANGE(""https://docs.google.com/spreadsheets/d/18hSgUJ3VwClqi_qtULmmW3cLr0oe3OKaSYoKzdpTsYQ/edit?usp=sharing"",""นครนายก!I276"")"),22)</f>
        <v>22</v>
      </c>
      <c r="X59" s="74">
        <f ca="1">IFERROR(__xludf.DUMMYFUNCTION("IMPORTRANGE(""https://docs.google.com/spreadsheets/d/18hSgUJ3VwClqi_qtULmmW3cLr0oe3OKaSYoKzdpTsYQ/edit?usp=sharing"",""นครนายก!J276"")"),22)</f>
        <v>22</v>
      </c>
      <c r="Y59" s="152">
        <f t="shared" ca="1" si="33"/>
        <v>100</v>
      </c>
      <c r="Z59" s="74">
        <v>0</v>
      </c>
      <c r="AA59" s="74">
        <v>0</v>
      </c>
      <c r="AB59" s="152">
        <v>0</v>
      </c>
    </row>
    <row r="60" spans="1:28" ht="19.5" x14ac:dyDescent="0.3">
      <c r="A60" s="147">
        <v>8</v>
      </c>
      <c r="B60" s="148" t="s">
        <v>88</v>
      </c>
      <c r="C60" s="149">
        <f t="shared" ca="1" si="21"/>
        <v>5000</v>
      </c>
      <c r="D60" s="150">
        <f t="shared" ca="1" si="42"/>
        <v>5000</v>
      </c>
      <c r="E60" s="151">
        <f ca="1">IFERROR(__xludf.DUMMYFUNCTION("IMPORTRANGE(""https://docs.google.com/spreadsheets/d/1-uDff_7J0KD5mKrp0Vvzr7lt3OU09vwQwhkpOPPYv2Y/edit?usp=sharing"",""งบพรบ!DF60"")"),0)</f>
        <v>0</v>
      </c>
      <c r="F60" s="151">
        <f ca="1">IFERROR(__xludf.DUMMYFUNCTION("IMPORTRANGE(""https://docs.google.com/spreadsheets/d/1-uDff_7J0KD5mKrp0Vvzr7lt3OU09vwQwhkpOPPYv2Y/edit?usp=sharing"",""งบพรบ!DG60"")"),5000)</f>
        <v>5000</v>
      </c>
      <c r="G60" s="151">
        <f ca="1">IFERROR(__xludf.DUMMYFUNCTION("IMPORTRANGE(""https://docs.google.com/spreadsheets/d/1-uDff_7J0KD5mKrp0Vvzr7lt3OU09vwQwhkpOPPYv2Y/edit?usp=sharing"",""งบพรบ!DH60"")"),0)</f>
        <v>0</v>
      </c>
      <c r="H60" s="151">
        <f ca="1">IFERROR(__xludf.DUMMYFUNCTION("IMPORTRANGE(""https://docs.google.com/spreadsheets/d/1-uDff_7J0KD5mKrp0Vvzr7lt3OU09vwQwhkpOPPYv2Y/edit?usp=sharing"",""งบพรบ!DJ60"")"),14500)</f>
        <v>14500</v>
      </c>
      <c r="I60" s="151">
        <f ca="1">IFERROR(__xludf.DUMMYFUNCTION("IMPORTRANGE(""https://docs.google.com/spreadsheets/d/1-uDff_7J0KD5mKrp0Vvzr7lt3OU09vwQwhkpOPPYv2Y/edit?usp=sharing"",""งบพรบ!DK60"")"),0)</f>
        <v>0</v>
      </c>
      <c r="J60" s="151">
        <f t="shared" ca="1" si="23"/>
        <v>5000</v>
      </c>
      <c r="K60" s="154">
        <f t="shared" ca="1" si="24"/>
        <v>100</v>
      </c>
      <c r="L60" s="151">
        <f ca="1">IFERROR(__xludf.DUMMYFUNCTION("IMPORTRANGE(""https://docs.google.com/spreadsheets/d/1-uDff_7J0KD5mKrp0Vvzr7lt3OU09vwQwhkpOPPYv2Y/edit?usp=sharing"",""งบพรบ!DL60"")"),5000)</f>
        <v>5000</v>
      </c>
      <c r="M60" s="68">
        <f t="shared" ca="1" si="25"/>
        <v>100</v>
      </c>
      <c r="N60" s="68">
        <f t="shared" ca="1" si="26"/>
        <v>34.482758620689658</v>
      </c>
      <c r="O60" s="67">
        <f ca="1">IFERROR(__xludf.DUMMYFUNCTION("IMPORTRANGE(""https://docs.google.com/spreadsheets/d/1-uDff_7J0KD5mKrp0Vvzr7lt3OU09vwQwhkpOPPYv2Y/edit?usp=sharing"",""งบพรบ!DM60"")"),0)</f>
        <v>0</v>
      </c>
      <c r="P60" s="67">
        <f t="shared" ca="1" si="27"/>
        <v>0</v>
      </c>
      <c r="Q60" s="68">
        <f t="shared" ca="1" si="28"/>
        <v>0</v>
      </c>
      <c r="R60" s="67">
        <f ca="1">IFERROR(__xludf.DUMMYFUNCTION("IMPORTRANGE(""https://docs.google.com/spreadsheets/d/1YTZo6WM2dQ6Ix6FSdnL5P7uVnVKu40sxZu975tgG10E/edit?usp=sharing"",""นครปฐม!Q266"")"),50660)</f>
        <v>50660</v>
      </c>
      <c r="S60" s="67">
        <f ca="1">IFERROR(__xludf.DUMMYFUNCTION("IMPORTRANGE(""https://docs.google.com/spreadsheets/d/1YTZo6WM2dQ6Ix6FSdnL5P7uVnVKu40sxZu975tgG10E/edit?usp=sharing"",""นครปฐม!R266"")"),50660)</f>
        <v>50660</v>
      </c>
      <c r="T60" s="67">
        <f ca="1">IFERROR(__xludf.DUMMYFUNCTION("IMPORTRANGE(""https://docs.google.com/spreadsheets/d/1YTZo6WM2dQ6Ix6FSdnL5P7uVnVKu40sxZu975tgG10E/edit?usp=sharing"",""นครปฐม!S266"")"),33330)</f>
        <v>33330</v>
      </c>
      <c r="U60" s="68">
        <f t="shared" ca="1" si="30"/>
        <v>65.791551519936831</v>
      </c>
      <c r="V60" s="68">
        <f t="shared" ca="1" si="31"/>
        <v>65.791551519936831</v>
      </c>
      <c r="W60" s="74">
        <f ca="1">IFERROR(__xludf.DUMMYFUNCTION("IMPORTRANGE(""https://docs.google.com/spreadsheets/d/1YTZo6WM2dQ6Ix6FSdnL5P7uVnVKu40sxZu975tgG10E/edit?usp=sharing"",""นครปฐม!I276"")"),22)</f>
        <v>22</v>
      </c>
      <c r="X60" s="74">
        <f ca="1">IFERROR(__xludf.DUMMYFUNCTION("IMPORTRANGE(""https://docs.google.com/spreadsheets/d/1YTZo6WM2dQ6Ix6FSdnL5P7uVnVKu40sxZu975tgG10E/edit?usp=sharing"",""นครปฐม!J276"")"),22)</f>
        <v>22</v>
      </c>
      <c r="Y60" s="152">
        <f t="shared" ca="1" si="33"/>
        <v>100</v>
      </c>
      <c r="Z60" s="74">
        <v>0</v>
      </c>
      <c r="AA60" s="74">
        <v>0</v>
      </c>
      <c r="AB60" s="152">
        <v>0</v>
      </c>
    </row>
    <row r="61" spans="1:28" ht="19.5" x14ac:dyDescent="0.3">
      <c r="A61" s="147">
        <v>9</v>
      </c>
      <c r="B61" s="148" t="s">
        <v>89</v>
      </c>
      <c r="C61" s="149">
        <f t="shared" ca="1" si="21"/>
        <v>5000</v>
      </c>
      <c r="D61" s="150">
        <f t="shared" ca="1" si="42"/>
        <v>5000</v>
      </c>
      <c r="E61" s="151">
        <f ca="1">IFERROR(__xludf.DUMMYFUNCTION("IMPORTRANGE(""https://docs.google.com/spreadsheets/d/1-uDff_7J0KD5mKrp0Vvzr7lt3OU09vwQwhkpOPPYv2Y/edit?usp=sharing"",""งบพรบ!DF61"")"),0)</f>
        <v>0</v>
      </c>
      <c r="F61" s="151">
        <f ca="1">IFERROR(__xludf.DUMMYFUNCTION("IMPORTRANGE(""https://docs.google.com/spreadsheets/d/1-uDff_7J0KD5mKrp0Vvzr7lt3OU09vwQwhkpOPPYv2Y/edit?usp=sharing"",""งบพรบ!DG61"")"),5000)</f>
        <v>5000</v>
      </c>
      <c r="G61" s="151">
        <f ca="1">IFERROR(__xludf.DUMMYFUNCTION("IMPORTRANGE(""https://docs.google.com/spreadsheets/d/1-uDff_7J0KD5mKrp0Vvzr7lt3OU09vwQwhkpOPPYv2Y/edit?usp=sharing"",""งบพรบ!DH61"")"),0)</f>
        <v>0</v>
      </c>
      <c r="H61" s="151">
        <f ca="1">IFERROR(__xludf.DUMMYFUNCTION("IMPORTRANGE(""https://docs.google.com/spreadsheets/d/1-uDff_7J0KD5mKrp0Vvzr7lt3OU09vwQwhkpOPPYv2Y/edit?usp=sharing"",""งบพรบ!DJ61"")"),8200)</f>
        <v>8200</v>
      </c>
      <c r="I61" s="151">
        <f ca="1">IFERROR(__xludf.DUMMYFUNCTION("IMPORTRANGE(""https://docs.google.com/spreadsheets/d/1-uDff_7J0KD5mKrp0Vvzr7lt3OU09vwQwhkpOPPYv2Y/edit?usp=sharing"",""งบพรบ!DK61"")"),0)</f>
        <v>0</v>
      </c>
      <c r="J61" s="151">
        <f t="shared" ca="1" si="23"/>
        <v>5000</v>
      </c>
      <c r="K61" s="154">
        <f t="shared" ca="1" si="24"/>
        <v>100</v>
      </c>
      <c r="L61" s="151">
        <f ca="1">IFERROR(__xludf.DUMMYFUNCTION("IMPORTRANGE(""https://docs.google.com/spreadsheets/d/1-uDff_7J0KD5mKrp0Vvzr7lt3OU09vwQwhkpOPPYv2Y/edit?usp=sharing"",""งบพรบ!DL61"")"),5000)</f>
        <v>5000</v>
      </c>
      <c r="M61" s="68">
        <f t="shared" ca="1" si="25"/>
        <v>100</v>
      </c>
      <c r="N61" s="68">
        <f t="shared" ca="1" si="26"/>
        <v>60.975609756097562</v>
      </c>
      <c r="O61" s="67">
        <f ca="1">IFERROR(__xludf.DUMMYFUNCTION("IMPORTRANGE(""https://docs.google.com/spreadsheets/d/1-uDff_7J0KD5mKrp0Vvzr7lt3OU09vwQwhkpOPPYv2Y/edit?usp=sharing"",""งบพรบ!DM61"")"),0)</f>
        <v>0</v>
      </c>
      <c r="P61" s="67">
        <f t="shared" ca="1" si="27"/>
        <v>0</v>
      </c>
      <c r="Q61" s="68">
        <f t="shared" ca="1" si="28"/>
        <v>0</v>
      </c>
      <c r="R61" s="67">
        <f ca="1">IFERROR(__xludf.DUMMYFUNCTION("IMPORTRANGE(""https://docs.google.com/spreadsheets/d/1OYoGg4WDg5RIzwGeB10padOxJF9E_Vljuvvct_M7RDo/edit?usp=sharing"",""ปทุมธานี!Q266"")"),50660)</f>
        <v>50660</v>
      </c>
      <c r="S61" s="67">
        <f ca="1">IFERROR(__xludf.DUMMYFUNCTION("IMPORTRANGE(""https://docs.google.com/spreadsheets/d/1OYoGg4WDg5RIzwGeB10padOxJF9E_Vljuvvct_M7RDo/edit?usp=sharing"",""ปทุมธานี!R266"")"),50660)</f>
        <v>50660</v>
      </c>
      <c r="T61" s="67">
        <f ca="1">IFERROR(__xludf.DUMMYFUNCTION("IMPORTRANGE(""https://docs.google.com/spreadsheets/d/1OYoGg4WDg5RIzwGeB10padOxJF9E_Vljuvvct_M7RDo/edit?usp=sharing"",""ปทุมธานี!S266"")"),45540)</f>
        <v>45540</v>
      </c>
      <c r="U61" s="68">
        <f t="shared" ca="1" si="30"/>
        <v>89.893407027240428</v>
      </c>
      <c r="V61" s="68">
        <f t="shared" ca="1" si="31"/>
        <v>89.893407027240428</v>
      </c>
      <c r="W61" s="74">
        <f ca="1">IFERROR(__xludf.DUMMYFUNCTION("IMPORTRANGE(""https://docs.google.com/spreadsheets/d/1OYoGg4WDg5RIzwGeB10padOxJF9E_Vljuvvct_M7RDo/edit?usp=sharing"",""ปทุมธานี!I276"")"),22)</f>
        <v>22</v>
      </c>
      <c r="X61" s="74">
        <f ca="1">IFERROR(__xludf.DUMMYFUNCTION("IMPORTRANGE(""https://docs.google.com/spreadsheets/d/1OYoGg4WDg5RIzwGeB10padOxJF9E_Vljuvvct_M7RDo/edit?usp=sharing"",""ปทุมธานี!J276"")"),22)</f>
        <v>22</v>
      </c>
      <c r="Y61" s="152">
        <f t="shared" ca="1" si="33"/>
        <v>100</v>
      </c>
      <c r="Z61" s="74">
        <v>0</v>
      </c>
      <c r="AA61" s="74">
        <v>0</v>
      </c>
      <c r="AB61" s="152">
        <v>0</v>
      </c>
    </row>
    <row r="62" spans="1:28" ht="19.5" x14ac:dyDescent="0.3">
      <c r="A62" s="147">
        <v>10</v>
      </c>
      <c r="B62" s="148" t="s">
        <v>90</v>
      </c>
      <c r="C62" s="149">
        <f t="shared" ca="1" si="21"/>
        <v>5000</v>
      </c>
      <c r="D62" s="150">
        <f t="shared" ca="1" si="42"/>
        <v>5000</v>
      </c>
      <c r="E62" s="151">
        <f ca="1">IFERROR(__xludf.DUMMYFUNCTION("IMPORTRANGE(""https://docs.google.com/spreadsheets/d/1-uDff_7J0KD5mKrp0Vvzr7lt3OU09vwQwhkpOPPYv2Y/edit?usp=sharing"",""งบพรบ!DF62"")"),0)</f>
        <v>0</v>
      </c>
      <c r="F62" s="151">
        <f ca="1">IFERROR(__xludf.DUMMYFUNCTION("IMPORTRANGE(""https://docs.google.com/spreadsheets/d/1-uDff_7J0KD5mKrp0Vvzr7lt3OU09vwQwhkpOPPYv2Y/edit?usp=sharing"",""งบพรบ!DG62"")"),5000)</f>
        <v>5000</v>
      </c>
      <c r="G62" s="151">
        <f ca="1">IFERROR(__xludf.DUMMYFUNCTION("IMPORTRANGE(""https://docs.google.com/spreadsheets/d/1-uDff_7J0KD5mKrp0Vvzr7lt3OU09vwQwhkpOPPYv2Y/edit?usp=sharing"",""งบพรบ!DH62"")"),0)</f>
        <v>0</v>
      </c>
      <c r="H62" s="151">
        <f ca="1">IFERROR(__xludf.DUMMYFUNCTION("IMPORTRANGE(""https://docs.google.com/spreadsheets/d/1-uDff_7J0KD5mKrp0Vvzr7lt3OU09vwQwhkpOPPYv2Y/edit?usp=sharing"",""งบพรบ!DJ62"")"),19500)</f>
        <v>19500</v>
      </c>
      <c r="I62" s="151">
        <f ca="1">IFERROR(__xludf.DUMMYFUNCTION("IMPORTRANGE(""https://docs.google.com/spreadsheets/d/1-uDff_7J0KD5mKrp0Vvzr7lt3OU09vwQwhkpOPPYv2Y/edit?usp=sharing"",""งบพรบ!DK62"")"),0)</f>
        <v>0</v>
      </c>
      <c r="J62" s="151">
        <f t="shared" ca="1" si="23"/>
        <v>5000</v>
      </c>
      <c r="K62" s="154">
        <f t="shared" ca="1" si="24"/>
        <v>100</v>
      </c>
      <c r="L62" s="151">
        <f ca="1">IFERROR(__xludf.DUMMYFUNCTION("IMPORTRANGE(""https://docs.google.com/spreadsheets/d/1-uDff_7J0KD5mKrp0Vvzr7lt3OU09vwQwhkpOPPYv2Y/edit?usp=sharing"",""งบพรบ!DL62"")"),5000)</f>
        <v>5000</v>
      </c>
      <c r="M62" s="68">
        <f t="shared" ca="1" si="25"/>
        <v>100</v>
      </c>
      <c r="N62" s="68">
        <f t="shared" ca="1" si="26"/>
        <v>25.641025641025642</v>
      </c>
      <c r="O62" s="67">
        <f ca="1">IFERROR(__xludf.DUMMYFUNCTION("IMPORTRANGE(""https://docs.google.com/spreadsheets/d/1-uDff_7J0KD5mKrp0Vvzr7lt3OU09vwQwhkpOPPYv2Y/edit?usp=sharing"",""งบพรบ!DM62"")"),0)</f>
        <v>0</v>
      </c>
      <c r="P62" s="67">
        <f t="shared" ca="1" si="27"/>
        <v>0</v>
      </c>
      <c r="Q62" s="68">
        <f t="shared" ca="1" si="28"/>
        <v>0</v>
      </c>
      <c r="R62" s="67">
        <f ca="1">IFERROR(__xludf.DUMMYFUNCTION("IMPORTRANGE(""https://docs.google.com/spreadsheets/d/1GbCIE4D4wk9FUozzqk7SxfDMxDVBwVmI5zcaVUSzKAc/edit?usp=sharing"",""ประจวบคีรีขันธ์!Q266"")"),50660)</f>
        <v>50660</v>
      </c>
      <c r="S62" s="67">
        <f ca="1">IFERROR(__xludf.DUMMYFUNCTION("IMPORTRANGE(""https://docs.google.com/spreadsheets/d/1GbCIE4D4wk9FUozzqk7SxfDMxDVBwVmI5zcaVUSzKAc/edit?usp=sharing"",""ประจวบคีรีขันธ์!R266"")"),50660)</f>
        <v>50660</v>
      </c>
      <c r="T62" s="67">
        <f ca="1">IFERROR(__xludf.DUMMYFUNCTION("IMPORTRANGE(""https://docs.google.com/spreadsheets/d/1GbCIE4D4wk9FUozzqk7SxfDMxDVBwVmI5zcaVUSzKAc/edit?usp=sharing"",""ประจวบคีรีขันธ์!S266"")"),46350)</f>
        <v>46350</v>
      </c>
      <c r="U62" s="68">
        <f t="shared" ca="1" si="30"/>
        <v>91.492301618634031</v>
      </c>
      <c r="V62" s="68">
        <f t="shared" ca="1" si="31"/>
        <v>91.492301618634031</v>
      </c>
      <c r="W62" s="74">
        <f ca="1">IFERROR(__xludf.DUMMYFUNCTION("IMPORTRANGE(""https://docs.google.com/spreadsheets/d/1GbCIE4D4wk9FUozzqk7SxfDMxDVBwVmI5zcaVUSzKAc/edit?usp=sharing"",""ประจวบคีรีขันธ์!I276"")"),22)</f>
        <v>22</v>
      </c>
      <c r="X62" s="74">
        <f ca="1">IFERROR(__xludf.DUMMYFUNCTION("IMPORTRANGE(""https://docs.google.com/spreadsheets/d/1GbCIE4D4wk9FUozzqk7SxfDMxDVBwVmI5zcaVUSzKAc/edit?usp=sharing"",""ประจวบคีรีขันธ์!J276"")"),22)</f>
        <v>22</v>
      </c>
      <c r="Y62" s="152">
        <f t="shared" ca="1" si="33"/>
        <v>100</v>
      </c>
      <c r="Z62" s="74">
        <v>0</v>
      </c>
      <c r="AA62" s="74">
        <v>0</v>
      </c>
      <c r="AB62" s="152">
        <v>0</v>
      </c>
    </row>
    <row r="63" spans="1:28" ht="19.5" x14ac:dyDescent="0.3">
      <c r="A63" s="147">
        <v>11</v>
      </c>
      <c r="B63" s="148" t="s">
        <v>91</v>
      </c>
      <c r="C63" s="149">
        <f t="shared" ca="1" si="21"/>
        <v>5000</v>
      </c>
      <c r="D63" s="150">
        <f t="shared" ca="1" si="42"/>
        <v>5000</v>
      </c>
      <c r="E63" s="151">
        <f ca="1">IFERROR(__xludf.DUMMYFUNCTION("IMPORTRANGE(""https://docs.google.com/spreadsheets/d/1-uDff_7J0KD5mKrp0Vvzr7lt3OU09vwQwhkpOPPYv2Y/edit?usp=sharing"",""งบพรบ!DF63"")"),0)</f>
        <v>0</v>
      </c>
      <c r="F63" s="151">
        <f ca="1">IFERROR(__xludf.DUMMYFUNCTION("IMPORTRANGE(""https://docs.google.com/spreadsheets/d/1-uDff_7J0KD5mKrp0Vvzr7lt3OU09vwQwhkpOPPYv2Y/edit?usp=sharing"",""งบพรบ!DG63"")"),5000)</f>
        <v>5000</v>
      </c>
      <c r="G63" s="151">
        <f ca="1">IFERROR(__xludf.DUMMYFUNCTION("IMPORTRANGE(""https://docs.google.com/spreadsheets/d/1-uDff_7J0KD5mKrp0Vvzr7lt3OU09vwQwhkpOPPYv2Y/edit?usp=sharing"",""งบพรบ!DH63"")"),0)</f>
        <v>0</v>
      </c>
      <c r="H63" s="151">
        <f ca="1">IFERROR(__xludf.DUMMYFUNCTION("IMPORTRANGE(""https://docs.google.com/spreadsheets/d/1-uDff_7J0KD5mKrp0Vvzr7lt3OU09vwQwhkpOPPYv2Y/edit?usp=sharing"",""งบพรบ!DJ63"")"),14600)</f>
        <v>14600</v>
      </c>
      <c r="I63" s="151">
        <f ca="1">IFERROR(__xludf.DUMMYFUNCTION("IMPORTRANGE(""https://docs.google.com/spreadsheets/d/1-uDff_7J0KD5mKrp0Vvzr7lt3OU09vwQwhkpOPPYv2Y/edit?usp=sharing"",""งบพรบ!DK63"")"),0)</f>
        <v>0</v>
      </c>
      <c r="J63" s="151">
        <f t="shared" ca="1" si="23"/>
        <v>5000</v>
      </c>
      <c r="K63" s="154">
        <f t="shared" ca="1" si="24"/>
        <v>100</v>
      </c>
      <c r="L63" s="151">
        <f ca="1">IFERROR(__xludf.DUMMYFUNCTION("IMPORTRANGE(""https://docs.google.com/spreadsheets/d/1-uDff_7J0KD5mKrp0Vvzr7lt3OU09vwQwhkpOPPYv2Y/edit?usp=sharing"",""งบพรบ!DL63"")"),5000)</f>
        <v>5000</v>
      </c>
      <c r="M63" s="68">
        <f t="shared" ca="1" si="25"/>
        <v>100</v>
      </c>
      <c r="N63" s="68">
        <f t="shared" ca="1" si="26"/>
        <v>34.246575342465754</v>
      </c>
      <c r="O63" s="67">
        <f ca="1">IFERROR(__xludf.DUMMYFUNCTION("IMPORTRANGE(""https://docs.google.com/spreadsheets/d/1-uDff_7J0KD5mKrp0Vvzr7lt3OU09vwQwhkpOPPYv2Y/edit?usp=sharing"",""งบพรบ!DM63"")"),0)</f>
        <v>0</v>
      </c>
      <c r="P63" s="67">
        <f t="shared" ca="1" si="27"/>
        <v>0</v>
      </c>
      <c r="Q63" s="68">
        <f t="shared" ca="1" si="28"/>
        <v>0</v>
      </c>
      <c r="R63" s="67">
        <f ca="1">IFERROR(__xludf.DUMMYFUNCTION("IMPORTRANGE(""https://docs.google.com/spreadsheets/d/1vVf6wykvW_lAyu7Yo9L4hUTqHqIeP_qcVuxCtosJEbg/edit?usp=sharing"",""ปราจีนบุรี!Q266"")"),50660)</f>
        <v>50660</v>
      </c>
      <c r="S63" s="67">
        <f ca="1">IFERROR(__xludf.DUMMYFUNCTION("IMPORTRANGE(""https://docs.google.com/spreadsheets/d/1vVf6wykvW_lAyu7Yo9L4hUTqHqIeP_qcVuxCtosJEbg/edit?usp=sharing"",""ปราจีนบุรี!R266"")"),50660)</f>
        <v>50660</v>
      </c>
      <c r="T63" s="67">
        <f ca="1">IFERROR(__xludf.DUMMYFUNCTION("IMPORTRANGE(""https://docs.google.com/spreadsheets/d/1vVf6wykvW_lAyu7Yo9L4hUTqHqIeP_qcVuxCtosJEbg/edit?usp=sharing"",""ปราจีนบุรี!S266"")"),47600)</f>
        <v>47600</v>
      </c>
      <c r="U63" s="68">
        <f t="shared" ca="1" si="30"/>
        <v>93.959731543624159</v>
      </c>
      <c r="V63" s="68">
        <f t="shared" ca="1" si="31"/>
        <v>93.959731543624159</v>
      </c>
      <c r="W63" s="74">
        <f ca="1">IFERROR(__xludf.DUMMYFUNCTION("IMPORTRANGE(""https://docs.google.com/spreadsheets/d/1vVf6wykvW_lAyu7Yo9L4hUTqHqIeP_qcVuxCtosJEbg/edit?usp=sharing"",""ปราจีนบุรี!I276"")"),22)</f>
        <v>22</v>
      </c>
      <c r="X63" s="74">
        <f ca="1">IFERROR(__xludf.DUMMYFUNCTION("IMPORTRANGE(""https://docs.google.com/spreadsheets/d/1vVf6wykvW_lAyu7Yo9L4hUTqHqIeP_qcVuxCtosJEbg/edit?usp=sharing"",""ปราจีนบุรี!J276"")"),22)</f>
        <v>22</v>
      </c>
      <c r="Y63" s="152">
        <f t="shared" ca="1" si="33"/>
        <v>100</v>
      </c>
      <c r="Z63" s="74">
        <v>0</v>
      </c>
      <c r="AA63" s="74">
        <v>0</v>
      </c>
      <c r="AB63" s="152">
        <v>0</v>
      </c>
    </row>
    <row r="64" spans="1:28" ht="19.5" x14ac:dyDescent="0.3">
      <c r="A64" s="147">
        <v>12</v>
      </c>
      <c r="B64" s="148" t="s">
        <v>92</v>
      </c>
      <c r="C64" s="149">
        <f t="shared" ca="1" si="21"/>
        <v>5000</v>
      </c>
      <c r="D64" s="150">
        <f t="shared" ca="1" si="42"/>
        <v>5000</v>
      </c>
      <c r="E64" s="151">
        <f ca="1">IFERROR(__xludf.DUMMYFUNCTION("IMPORTRANGE(""https://docs.google.com/spreadsheets/d/1-uDff_7J0KD5mKrp0Vvzr7lt3OU09vwQwhkpOPPYv2Y/edit?usp=sharing"",""งบพรบ!DF64"")"),0)</f>
        <v>0</v>
      </c>
      <c r="F64" s="151">
        <f ca="1">IFERROR(__xludf.DUMMYFUNCTION("IMPORTRANGE(""https://docs.google.com/spreadsheets/d/1-uDff_7J0KD5mKrp0Vvzr7lt3OU09vwQwhkpOPPYv2Y/edit?usp=sharing"",""งบพรบ!DG64"")"),5000)</f>
        <v>5000</v>
      </c>
      <c r="G64" s="151">
        <f ca="1">IFERROR(__xludf.DUMMYFUNCTION("IMPORTRANGE(""https://docs.google.com/spreadsheets/d/1-uDff_7J0KD5mKrp0Vvzr7lt3OU09vwQwhkpOPPYv2Y/edit?usp=sharing"",""งบพรบ!DH64"")"),0)</f>
        <v>0</v>
      </c>
      <c r="H64" s="151">
        <f ca="1">IFERROR(__xludf.DUMMYFUNCTION("IMPORTRANGE(""https://docs.google.com/spreadsheets/d/1-uDff_7J0KD5mKrp0Vvzr7lt3OU09vwQwhkpOPPYv2Y/edit?usp=sharing"",""งบพรบ!DJ64"")"),6600)</f>
        <v>6600</v>
      </c>
      <c r="I64" s="151">
        <f ca="1">IFERROR(__xludf.DUMMYFUNCTION("IMPORTRANGE(""https://docs.google.com/spreadsheets/d/1-uDff_7J0KD5mKrp0Vvzr7lt3OU09vwQwhkpOPPYv2Y/edit?usp=sharing"",""งบพรบ!DK64"")"),0)</f>
        <v>0</v>
      </c>
      <c r="J64" s="151">
        <f t="shared" ca="1" si="23"/>
        <v>5000</v>
      </c>
      <c r="K64" s="154">
        <f t="shared" ca="1" si="24"/>
        <v>100</v>
      </c>
      <c r="L64" s="151">
        <f ca="1">IFERROR(__xludf.DUMMYFUNCTION("IMPORTRANGE(""https://docs.google.com/spreadsheets/d/1-uDff_7J0KD5mKrp0Vvzr7lt3OU09vwQwhkpOPPYv2Y/edit?usp=sharing"",""งบพรบ!DL64"")"),5000)</f>
        <v>5000</v>
      </c>
      <c r="M64" s="68">
        <f t="shared" ca="1" si="25"/>
        <v>100</v>
      </c>
      <c r="N64" s="68">
        <f t="shared" ca="1" si="26"/>
        <v>75.757575757575751</v>
      </c>
      <c r="O64" s="67">
        <f ca="1">IFERROR(__xludf.DUMMYFUNCTION("IMPORTRANGE(""https://docs.google.com/spreadsheets/d/1-uDff_7J0KD5mKrp0Vvzr7lt3OU09vwQwhkpOPPYv2Y/edit?usp=sharing"",""งบพรบ!DM64"")"),0)</f>
        <v>0</v>
      </c>
      <c r="P64" s="67">
        <f t="shared" ca="1" si="27"/>
        <v>0</v>
      </c>
      <c r="Q64" s="68">
        <f t="shared" ca="1" si="28"/>
        <v>0</v>
      </c>
      <c r="R64" s="67">
        <f ca="1">IFERROR(__xludf.DUMMYFUNCTION("IMPORTRANGE(""https://docs.google.com/spreadsheets/d/1BIDqLLg5jk3v59G8NlR8rk5xfQDKne0sAvZHSj7TI6I/edit?usp=sharing"",""พระนครศรีอยุธยา!Q266"")"),50660)</f>
        <v>50660</v>
      </c>
      <c r="S64" s="67">
        <f ca="1">IFERROR(__xludf.DUMMYFUNCTION("IMPORTRANGE(""https://docs.google.com/spreadsheets/d/1BIDqLLg5jk3v59G8NlR8rk5xfQDKne0sAvZHSj7TI6I/edit?usp=sharing"",""พระนครศรีอยุธยา!R266"")"),50660)</f>
        <v>50660</v>
      </c>
      <c r="T64" s="67">
        <f ca="1">IFERROR(__xludf.DUMMYFUNCTION("IMPORTRANGE(""https://docs.google.com/spreadsheets/d/1BIDqLLg5jk3v59G8NlR8rk5xfQDKne0sAvZHSj7TI6I/edit?usp=sharing"",""พระนครศรีอยุธยา!S266"")"),48300)</f>
        <v>48300</v>
      </c>
      <c r="U64" s="68">
        <f t="shared" ca="1" si="30"/>
        <v>95.341492301618629</v>
      </c>
      <c r="V64" s="68">
        <f t="shared" ca="1" si="31"/>
        <v>95.341492301618629</v>
      </c>
      <c r="W64" s="74">
        <f ca="1">IFERROR(__xludf.DUMMYFUNCTION("IMPORTRANGE(""https://docs.google.com/spreadsheets/d/1BIDqLLg5jk3v59G8NlR8rk5xfQDKne0sAvZHSj7TI6I/edit?usp=sharing"",""พระนครศรีอยุธยา!I276"")"),22)</f>
        <v>22</v>
      </c>
      <c r="X64" s="74">
        <f ca="1">IFERROR(__xludf.DUMMYFUNCTION("IMPORTRANGE(""https://docs.google.com/spreadsheets/d/1BIDqLLg5jk3v59G8NlR8rk5xfQDKne0sAvZHSj7TI6I/edit?usp=sharing"",""พระนครศรีอยุธยา!J276"")"),0)</f>
        <v>0</v>
      </c>
      <c r="Y64" s="152">
        <f t="shared" ca="1" si="33"/>
        <v>0</v>
      </c>
      <c r="Z64" s="74">
        <v>0</v>
      </c>
      <c r="AA64" s="74">
        <v>0</v>
      </c>
      <c r="AB64" s="152">
        <v>0</v>
      </c>
    </row>
    <row r="65" spans="1:28" ht="19.5" x14ac:dyDescent="0.3">
      <c r="A65" s="147">
        <v>13</v>
      </c>
      <c r="B65" s="148" t="s">
        <v>93</v>
      </c>
      <c r="C65" s="149">
        <f t="shared" ca="1" si="21"/>
        <v>5000</v>
      </c>
      <c r="D65" s="150">
        <f t="shared" ca="1" si="42"/>
        <v>5000</v>
      </c>
      <c r="E65" s="151">
        <f ca="1">IFERROR(__xludf.DUMMYFUNCTION("IMPORTRANGE(""https://docs.google.com/spreadsheets/d/1-uDff_7J0KD5mKrp0Vvzr7lt3OU09vwQwhkpOPPYv2Y/edit?usp=sharing"",""งบพรบ!DF65"")"),0)</f>
        <v>0</v>
      </c>
      <c r="F65" s="151">
        <f ca="1">IFERROR(__xludf.DUMMYFUNCTION("IMPORTRANGE(""https://docs.google.com/spreadsheets/d/1-uDff_7J0KD5mKrp0Vvzr7lt3OU09vwQwhkpOPPYv2Y/edit?usp=sharing"",""งบพรบ!DG65"")"),5000)</f>
        <v>5000</v>
      </c>
      <c r="G65" s="151">
        <f ca="1">IFERROR(__xludf.DUMMYFUNCTION("IMPORTRANGE(""https://docs.google.com/spreadsheets/d/1-uDff_7J0KD5mKrp0Vvzr7lt3OU09vwQwhkpOPPYv2Y/edit?usp=sharing"",""งบพรบ!DH65"")"),0)</f>
        <v>0</v>
      </c>
      <c r="H65" s="151">
        <f ca="1">IFERROR(__xludf.DUMMYFUNCTION("IMPORTRANGE(""https://docs.google.com/spreadsheets/d/1-uDff_7J0KD5mKrp0Vvzr7lt3OU09vwQwhkpOPPYv2Y/edit?usp=sharing"",""งบพรบ!DJ65"")"),17500)</f>
        <v>17500</v>
      </c>
      <c r="I65" s="151">
        <f ca="1">IFERROR(__xludf.DUMMYFUNCTION("IMPORTRANGE(""https://docs.google.com/spreadsheets/d/1-uDff_7J0KD5mKrp0Vvzr7lt3OU09vwQwhkpOPPYv2Y/edit?usp=sharing"",""งบพรบ!DK65"")"),0)</f>
        <v>0</v>
      </c>
      <c r="J65" s="151">
        <f t="shared" ca="1" si="23"/>
        <v>4976</v>
      </c>
      <c r="K65" s="154">
        <f t="shared" ca="1" si="24"/>
        <v>99.52</v>
      </c>
      <c r="L65" s="151">
        <f ca="1">IFERROR(__xludf.DUMMYFUNCTION("IMPORTRANGE(""https://docs.google.com/spreadsheets/d/1-uDff_7J0KD5mKrp0Vvzr7lt3OU09vwQwhkpOPPYv2Y/edit?usp=sharing"",""งบพรบ!DL65"")"),4976)</f>
        <v>4976</v>
      </c>
      <c r="M65" s="68">
        <f t="shared" ca="1" si="25"/>
        <v>99.52</v>
      </c>
      <c r="N65" s="68">
        <f t="shared" ca="1" si="26"/>
        <v>28.434285714285714</v>
      </c>
      <c r="O65" s="67">
        <f ca="1">IFERROR(__xludf.DUMMYFUNCTION("IMPORTRANGE(""https://docs.google.com/spreadsheets/d/1-uDff_7J0KD5mKrp0Vvzr7lt3OU09vwQwhkpOPPYv2Y/edit?usp=sharing"",""งบพรบ!DM65"")"),0)</f>
        <v>0</v>
      </c>
      <c r="P65" s="67">
        <f t="shared" ca="1" si="27"/>
        <v>0</v>
      </c>
      <c r="Q65" s="68">
        <f t="shared" ca="1" si="28"/>
        <v>0</v>
      </c>
      <c r="R65" s="67">
        <f ca="1">IFERROR(__xludf.DUMMYFUNCTION("IMPORTRANGE(""https://docs.google.com/spreadsheets/d/1YXvxf8Yu6_rV4hTBrwMqAcAnv6DfhUxh5emyM3CJp_w/edit?usp=sharing"",""เพชรบุรี!Q266"")"),50660)</f>
        <v>50660</v>
      </c>
      <c r="S65" s="67">
        <f ca="1">IFERROR(__xludf.DUMMYFUNCTION("IMPORTRANGE(""https://docs.google.com/spreadsheets/d/1YXvxf8Yu6_rV4hTBrwMqAcAnv6DfhUxh5emyM3CJp_w/edit?usp=sharing"",""เพชรบุรี!R266"")"),50660)</f>
        <v>50660</v>
      </c>
      <c r="T65" s="67">
        <f ca="1">IFERROR(__xludf.DUMMYFUNCTION("IMPORTRANGE(""https://docs.google.com/spreadsheets/d/1YXvxf8Yu6_rV4hTBrwMqAcAnv6DfhUxh5emyM3CJp_w/edit?usp=sharing"",""เพชรบุรี!S266"")"),45716)</f>
        <v>45716</v>
      </c>
      <c r="U65" s="68">
        <f t="shared" ca="1" si="30"/>
        <v>90.240821160679033</v>
      </c>
      <c r="V65" s="68">
        <f t="shared" ca="1" si="31"/>
        <v>90.240821160679033</v>
      </c>
      <c r="W65" s="74">
        <f ca="1">IFERROR(__xludf.DUMMYFUNCTION("IMPORTRANGE(""https://docs.google.com/spreadsheets/d/1YXvxf8Yu6_rV4hTBrwMqAcAnv6DfhUxh5emyM3CJp_w/edit?usp=sharing"",""เพชรบุรี!I276"")"),22)</f>
        <v>22</v>
      </c>
      <c r="X65" s="74">
        <f ca="1">IFERROR(__xludf.DUMMYFUNCTION("IMPORTRANGE(""https://docs.google.com/spreadsheets/d/1YXvxf8Yu6_rV4hTBrwMqAcAnv6DfhUxh5emyM3CJp_w/edit?usp=sharing"",""เพชรบุรี!J276"")"),22)</f>
        <v>22</v>
      </c>
      <c r="Y65" s="152">
        <f t="shared" ca="1" si="33"/>
        <v>100</v>
      </c>
      <c r="Z65" s="74">
        <v>0</v>
      </c>
      <c r="AA65" s="74">
        <v>0</v>
      </c>
      <c r="AB65" s="152">
        <v>0</v>
      </c>
    </row>
    <row r="66" spans="1:28" ht="19.5" x14ac:dyDescent="0.3">
      <c r="A66" s="147">
        <v>14</v>
      </c>
      <c r="B66" s="148" t="s">
        <v>94</v>
      </c>
      <c r="C66" s="149">
        <f t="shared" ca="1" si="21"/>
        <v>5000</v>
      </c>
      <c r="D66" s="150">
        <f t="shared" ca="1" si="42"/>
        <v>5000</v>
      </c>
      <c r="E66" s="151">
        <f ca="1">IFERROR(__xludf.DUMMYFUNCTION("IMPORTRANGE(""https://docs.google.com/spreadsheets/d/1-uDff_7J0KD5mKrp0Vvzr7lt3OU09vwQwhkpOPPYv2Y/edit?usp=sharing"",""งบพรบ!DF66"")"),0)</f>
        <v>0</v>
      </c>
      <c r="F66" s="151">
        <f ca="1">IFERROR(__xludf.DUMMYFUNCTION("IMPORTRANGE(""https://docs.google.com/spreadsheets/d/1-uDff_7J0KD5mKrp0Vvzr7lt3OU09vwQwhkpOPPYv2Y/edit?usp=sharing"",""งบพรบ!DG66"")"),5000)</f>
        <v>5000</v>
      </c>
      <c r="G66" s="151">
        <f ca="1">IFERROR(__xludf.DUMMYFUNCTION("IMPORTRANGE(""https://docs.google.com/spreadsheets/d/1-uDff_7J0KD5mKrp0Vvzr7lt3OU09vwQwhkpOPPYv2Y/edit?usp=sharing"",""งบพรบ!DH66"")"),0)</f>
        <v>0</v>
      </c>
      <c r="H66" s="151">
        <f ca="1">IFERROR(__xludf.DUMMYFUNCTION("IMPORTRANGE(""https://docs.google.com/spreadsheets/d/1-uDff_7J0KD5mKrp0Vvzr7lt3OU09vwQwhkpOPPYv2Y/edit?usp=sharing"",""งบพรบ!DJ66"")"),18800)</f>
        <v>18800</v>
      </c>
      <c r="I66" s="151">
        <f ca="1">IFERROR(__xludf.DUMMYFUNCTION("IMPORTRANGE(""https://docs.google.com/spreadsheets/d/1-uDff_7J0KD5mKrp0Vvzr7lt3OU09vwQwhkpOPPYv2Y/edit?usp=sharing"",""งบพรบ!DK66"")"),0)</f>
        <v>0</v>
      </c>
      <c r="J66" s="151">
        <f t="shared" ca="1" si="23"/>
        <v>10030</v>
      </c>
      <c r="K66" s="154">
        <f t="shared" ca="1" si="24"/>
        <v>200.6</v>
      </c>
      <c r="L66" s="151">
        <f ca="1">IFERROR(__xludf.DUMMYFUNCTION("IMPORTRANGE(""https://docs.google.com/spreadsheets/d/1-uDff_7J0KD5mKrp0Vvzr7lt3OU09vwQwhkpOPPYv2Y/edit?usp=sharing"",""งบพรบ!DL66"")"),10030)</f>
        <v>10030</v>
      </c>
      <c r="M66" s="68">
        <f t="shared" ca="1" si="25"/>
        <v>200.6</v>
      </c>
      <c r="N66" s="68">
        <f t="shared" ca="1" si="26"/>
        <v>53.351063829787236</v>
      </c>
      <c r="O66" s="67">
        <f ca="1">IFERROR(__xludf.DUMMYFUNCTION("IMPORTRANGE(""https://docs.google.com/spreadsheets/d/1-uDff_7J0KD5mKrp0Vvzr7lt3OU09vwQwhkpOPPYv2Y/edit?usp=sharing"",""งบพรบ!DM66"")"),0)</f>
        <v>0</v>
      </c>
      <c r="P66" s="67">
        <f t="shared" ca="1" si="27"/>
        <v>0</v>
      </c>
      <c r="Q66" s="68">
        <f t="shared" ca="1" si="28"/>
        <v>0</v>
      </c>
      <c r="R66" s="67">
        <f ca="1">IFERROR(__xludf.DUMMYFUNCTION("IMPORTRANGE(""https://docs.google.com/spreadsheets/d/19KBlQQs7uwvsao6t2n-KvW3Ax8J8uRRfZPq1zPbXgKc/edit?usp=sharing"",""ระยอง!Q266"")"),50660)</f>
        <v>50660</v>
      </c>
      <c r="S66" s="67">
        <f ca="1">IFERROR(__xludf.DUMMYFUNCTION("IMPORTRANGE(""https://docs.google.com/spreadsheets/d/19KBlQQs7uwvsao6t2n-KvW3Ax8J8uRRfZPq1zPbXgKc/edit?usp=sharing"",""ระยอง!R266"")"),50660)</f>
        <v>50660</v>
      </c>
      <c r="T66" s="67">
        <f ca="1">IFERROR(__xludf.DUMMYFUNCTION("IMPORTRANGE(""https://docs.google.com/spreadsheets/d/19KBlQQs7uwvsao6t2n-KvW3Ax8J8uRRfZPq1zPbXgKc/edit?usp=sharing"",""ระยอง!S266"")"),47280)</f>
        <v>47280</v>
      </c>
      <c r="U66" s="68">
        <f t="shared" ca="1" si="30"/>
        <v>93.328069482826692</v>
      </c>
      <c r="V66" s="68">
        <f t="shared" ca="1" si="31"/>
        <v>93.328069482826692</v>
      </c>
      <c r="W66" s="74">
        <f ca="1">IFERROR(__xludf.DUMMYFUNCTION("IMPORTRANGE(""https://docs.google.com/spreadsheets/d/19KBlQQs7uwvsao6t2n-KvW3Ax8J8uRRfZPq1zPbXgKc/edit?usp=sharing"",""ระยอง!I276"")"),22)</f>
        <v>22</v>
      </c>
      <c r="X66" s="74">
        <f ca="1">IFERROR(__xludf.DUMMYFUNCTION("IMPORTRANGE(""https://docs.google.com/spreadsheets/d/19KBlQQs7uwvsao6t2n-KvW3Ax8J8uRRfZPq1zPbXgKc/edit?usp=sharing"",""ระยอง!J276"")"),22)</f>
        <v>22</v>
      </c>
      <c r="Y66" s="152">
        <f t="shared" ca="1" si="33"/>
        <v>100</v>
      </c>
      <c r="Z66" s="74">
        <v>0</v>
      </c>
      <c r="AA66" s="74">
        <v>0</v>
      </c>
      <c r="AB66" s="152">
        <v>0</v>
      </c>
    </row>
    <row r="67" spans="1:28" ht="19.5" x14ac:dyDescent="0.3">
      <c r="A67" s="147">
        <v>15</v>
      </c>
      <c r="B67" s="148" t="s">
        <v>95</v>
      </c>
      <c r="C67" s="149">
        <f t="shared" ca="1" si="21"/>
        <v>5000</v>
      </c>
      <c r="D67" s="150">
        <f t="shared" ca="1" si="42"/>
        <v>5000</v>
      </c>
      <c r="E67" s="151">
        <f ca="1">IFERROR(__xludf.DUMMYFUNCTION("IMPORTRANGE(""https://docs.google.com/spreadsheets/d/1-uDff_7J0KD5mKrp0Vvzr7lt3OU09vwQwhkpOPPYv2Y/edit?usp=sharing"",""งบพรบ!DF67"")"),0)</f>
        <v>0</v>
      </c>
      <c r="F67" s="151">
        <f ca="1">IFERROR(__xludf.DUMMYFUNCTION("IMPORTRANGE(""https://docs.google.com/spreadsheets/d/1-uDff_7J0KD5mKrp0Vvzr7lt3OU09vwQwhkpOPPYv2Y/edit?usp=sharing"",""งบพรบ!DG67"")"),5000)</f>
        <v>5000</v>
      </c>
      <c r="G67" s="151">
        <f ca="1">IFERROR(__xludf.DUMMYFUNCTION("IMPORTRANGE(""https://docs.google.com/spreadsheets/d/1-uDff_7J0KD5mKrp0Vvzr7lt3OU09vwQwhkpOPPYv2Y/edit?usp=sharing"",""งบพรบ!DH67"")"),0)</f>
        <v>0</v>
      </c>
      <c r="H67" s="151">
        <f ca="1">IFERROR(__xludf.DUMMYFUNCTION("IMPORTRANGE(""https://docs.google.com/spreadsheets/d/1-uDff_7J0KD5mKrp0Vvzr7lt3OU09vwQwhkpOPPYv2Y/edit?usp=sharing"",""งบพรบ!DJ67"")"),14900)</f>
        <v>14900</v>
      </c>
      <c r="I67" s="151">
        <f ca="1">IFERROR(__xludf.DUMMYFUNCTION("IMPORTRANGE(""https://docs.google.com/spreadsheets/d/1-uDff_7J0KD5mKrp0Vvzr7lt3OU09vwQwhkpOPPYv2Y/edit?usp=sharing"",""งบพรบ!DK67"")"),0)</f>
        <v>0</v>
      </c>
      <c r="J67" s="151">
        <f t="shared" ca="1" si="23"/>
        <v>5410</v>
      </c>
      <c r="K67" s="154">
        <f t="shared" ca="1" si="24"/>
        <v>108.2</v>
      </c>
      <c r="L67" s="151">
        <f ca="1">IFERROR(__xludf.DUMMYFUNCTION("IMPORTRANGE(""https://docs.google.com/spreadsheets/d/1-uDff_7J0KD5mKrp0Vvzr7lt3OU09vwQwhkpOPPYv2Y/edit?usp=sharing"",""งบพรบ!DL67"")"),5410)</f>
        <v>5410</v>
      </c>
      <c r="M67" s="68">
        <f t="shared" ca="1" si="25"/>
        <v>108.2</v>
      </c>
      <c r="N67" s="68">
        <f t="shared" ca="1" si="26"/>
        <v>36.308724832214764</v>
      </c>
      <c r="O67" s="67">
        <f ca="1">IFERROR(__xludf.DUMMYFUNCTION("IMPORTRANGE(""https://docs.google.com/spreadsheets/d/1-uDff_7J0KD5mKrp0Vvzr7lt3OU09vwQwhkpOPPYv2Y/edit?usp=sharing"",""งบพรบ!DM67"")"),0)</f>
        <v>0</v>
      </c>
      <c r="P67" s="67">
        <f t="shared" ca="1" si="27"/>
        <v>0</v>
      </c>
      <c r="Q67" s="68">
        <f t="shared" ca="1" si="28"/>
        <v>0</v>
      </c>
      <c r="R67" s="67">
        <f ca="1">IFERROR(__xludf.DUMMYFUNCTION("IMPORTRANGE(""https://docs.google.com/spreadsheets/d/1jQ6P4QcrGM89YfqcC_PxOHGCMq5ezhucwJd8ci-NHng/edit?usp=sharing"",""ราชบุรี!Q266"")"),53440)</f>
        <v>53440</v>
      </c>
      <c r="S67" s="67">
        <f ca="1">IFERROR(__xludf.DUMMYFUNCTION("IMPORTRANGE(""https://docs.google.com/spreadsheets/d/1jQ6P4QcrGM89YfqcC_PxOHGCMq5ezhucwJd8ci-NHng/edit?usp=sharing"",""ราชบุรี!R266"")"),53440)</f>
        <v>53440</v>
      </c>
      <c r="T67" s="67">
        <f ca="1">IFERROR(__xludf.DUMMYFUNCTION("IMPORTRANGE(""https://docs.google.com/spreadsheets/d/1jQ6P4QcrGM89YfqcC_PxOHGCMq5ezhucwJd8ci-NHng/edit?usp=sharing"",""ราชบุรี!S266"")"),50924)</f>
        <v>50924</v>
      </c>
      <c r="U67" s="68">
        <f t="shared" ca="1" si="30"/>
        <v>95.291916167664667</v>
      </c>
      <c r="V67" s="68">
        <f t="shared" ca="1" si="31"/>
        <v>95.291916167664667</v>
      </c>
      <c r="W67" s="74">
        <f ca="1">IFERROR(__xludf.DUMMYFUNCTION("IMPORTRANGE(""https://docs.google.com/spreadsheets/d/1jQ6P4QcrGM89YfqcC_PxOHGCMq5ezhucwJd8ci-NHng/edit?usp=sharing"",""ราชบุรี!I276"")"),24)</f>
        <v>24</v>
      </c>
      <c r="X67" s="74">
        <f ca="1">IFERROR(__xludf.DUMMYFUNCTION("IMPORTRANGE(""https://docs.google.com/spreadsheets/d/1jQ6P4QcrGM89YfqcC_PxOHGCMq5ezhucwJd8ci-NHng/edit?usp=sharing"",""ราชบุรี!J276"")"),24)</f>
        <v>24</v>
      </c>
      <c r="Y67" s="152">
        <f t="shared" ca="1" si="33"/>
        <v>100</v>
      </c>
      <c r="Z67" s="74">
        <v>0</v>
      </c>
      <c r="AA67" s="74">
        <v>0</v>
      </c>
      <c r="AB67" s="152">
        <v>0</v>
      </c>
    </row>
    <row r="68" spans="1:28" ht="19.5" x14ac:dyDescent="0.3">
      <c r="A68" s="147">
        <v>16</v>
      </c>
      <c r="B68" s="148" t="s">
        <v>96</v>
      </c>
      <c r="C68" s="149">
        <f t="shared" ca="1" si="21"/>
        <v>5000</v>
      </c>
      <c r="D68" s="150">
        <f t="shared" ca="1" si="42"/>
        <v>5000</v>
      </c>
      <c r="E68" s="151">
        <f ca="1">IFERROR(__xludf.DUMMYFUNCTION("IMPORTRANGE(""https://docs.google.com/spreadsheets/d/1-uDff_7J0KD5mKrp0Vvzr7lt3OU09vwQwhkpOPPYv2Y/edit?usp=sharing"",""งบพรบ!DF68"")"),0)</f>
        <v>0</v>
      </c>
      <c r="F68" s="151">
        <f ca="1">IFERROR(__xludf.DUMMYFUNCTION("IMPORTRANGE(""https://docs.google.com/spreadsheets/d/1-uDff_7J0KD5mKrp0Vvzr7lt3OU09vwQwhkpOPPYv2Y/edit?usp=sharing"",""งบพรบ!DG68"")"),5000)</f>
        <v>5000</v>
      </c>
      <c r="G68" s="151">
        <f ca="1">IFERROR(__xludf.DUMMYFUNCTION("IMPORTRANGE(""https://docs.google.com/spreadsheets/d/1-uDff_7J0KD5mKrp0Vvzr7lt3OU09vwQwhkpOPPYv2Y/edit?usp=sharing"",""งบพรบ!DH68"")"),0)</f>
        <v>0</v>
      </c>
      <c r="H68" s="151">
        <f ca="1">IFERROR(__xludf.DUMMYFUNCTION("IMPORTRANGE(""https://docs.google.com/spreadsheets/d/1-uDff_7J0KD5mKrp0Vvzr7lt3OU09vwQwhkpOPPYv2Y/edit?usp=sharing"",""งบพรบ!DJ68"")"),9100)</f>
        <v>9100</v>
      </c>
      <c r="I68" s="151">
        <f ca="1">IFERROR(__xludf.DUMMYFUNCTION("IMPORTRANGE(""https://docs.google.com/spreadsheets/d/1-uDff_7J0KD5mKrp0Vvzr7lt3OU09vwQwhkpOPPYv2Y/edit?usp=sharing"",""งบพรบ!DK68"")"),0)</f>
        <v>0</v>
      </c>
      <c r="J68" s="151">
        <f t="shared" ca="1" si="23"/>
        <v>5000</v>
      </c>
      <c r="K68" s="154">
        <f t="shared" ca="1" si="24"/>
        <v>100</v>
      </c>
      <c r="L68" s="151">
        <f ca="1">IFERROR(__xludf.DUMMYFUNCTION("IMPORTRANGE(""https://docs.google.com/spreadsheets/d/1-uDff_7J0KD5mKrp0Vvzr7lt3OU09vwQwhkpOPPYv2Y/edit?usp=sharing"",""งบพรบ!DL68"")"),5000)</f>
        <v>5000</v>
      </c>
      <c r="M68" s="68">
        <f t="shared" ca="1" si="25"/>
        <v>100</v>
      </c>
      <c r="N68" s="68">
        <f t="shared" ca="1" si="26"/>
        <v>54.945054945054942</v>
      </c>
      <c r="O68" s="67">
        <f ca="1">IFERROR(__xludf.DUMMYFUNCTION("IMPORTRANGE(""https://docs.google.com/spreadsheets/d/1-uDff_7J0KD5mKrp0Vvzr7lt3OU09vwQwhkpOPPYv2Y/edit?usp=sharing"",""งบพรบ!DM68"")"),0)</f>
        <v>0</v>
      </c>
      <c r="P68" s="67">
        <f t="shared" ca="1" si="27"/>
        <v>0</v>
      </c>
      <c r="Q68" s="68">
        <f t="shared" ca="1" si="28"/>
        <v>0</v>
      </c>
      <c r="R68" s="67">
        <f ca="1">IFERROR(__xludf.DUMMYFUNCTION("IMPORTRANGE(""https://docs.google.com/spreadsheets/d/1lufeA2cfFqM-elVq2hznhDzC6Pr7wkJ9ZG_sYNGCMCU/edit?usp=sharing"",""ลพบุรี!Q266"")"),50660)</f>
        <v>50660</v>
      </c>
      <c r="S68" s="67">
        <f ca="1">IFERROR(__xludf.DUMMYFUNCTION("IMPORTRANGE(""https://docs.google.com/spreadsheets/d/1lufeA2cfFqM-elVq2hznhDzC6Pr7wkJ9ZG_sYNGCMCU/edit?usp=sharing"",""ลพบุรี!R266"")"),50660)</f>
        <v>50660</v>
      </c>
      <c r="T68" s="67">
        <f ca="1">IFERROR(__xludf.DUMMYFUNCTION("IMPORTRANGE(""https://docs.google.com/spreadsheets/d/1lufeA2cfFqM-elVq2hznhDzC6Pr7wkJ9ZG_sYNGCMCU/edit?usp=sharing"",""ลพบุรี!S266"")"),50660)</f>
        <v>50660</v>
      </c>
      <c r="U68" s="68">
        <f t="shared" ca="1" si="30"/>
        <v>100</v>
      </c>
      <c r="V68" s="68">
        <f t="shared" ca="1" si="31"/>
        <v>100</v>
      </c>
      <c r="W68" s="78">
        <f ca="1">IFERROR(__xludf.DUMMYFUNCTION("IMPORTRANGE(""https://docs.google.com/spreadsheets/d/1lufeA2cfFqM-elVq2hznhDzC6Pr7wkJ9ZG_sYNGCMCU/edit?usp=sharing"",""ลพบุรี!I276"")"),22)</f>
        <v>22</v>
      </c>
      <c r="X68" s="78">
        <f ca="1">IFERROR(__xludf.DUMMYFUNCTION("IMPORTRANGE(""https://docs.google.com/spreadsheets/d/1lufeA2cfFqM-elVq2hznhDzC6Pr7wkJ9ZG_sYNGCMCU/edit?usp=sharing"",""ลพบุรี!J276"")"),22)</f>
        <v>22</v>
      </c>
      <c r="Y68" s="152">
        <f t="shared" ca="1" si="33"/>
        <v>100</v>
      </c>
      <c r="Z68" s="78">
        <v>0</v>
      </c>
      <c r="AA68" s="78">
        <v>0</v>
      </c>
      <c r="AB68" s="152">
        <v>0</v>
      </c>
    </row>
    <row r="69" spans="1:28" ht="19.5" x14ac:dyDescent="0.3">
      <c r="A69" s="147">
        <v>17</v>
      </c>
      <c r="B69" s="148" t="s">
        <v>97</v>
      </c>
      <c r="C69" s="149">
        <f t="shared" ca="1" si="21"/>
        <v>5000</v>
      </c>
      <c r="D69" s="150">
        <f t="shared" ca="1" si="42"/>
        <v>5000</v>
      </c>
      <c r="E69" s="151">
        <f ca="1">IFERROR(__xludf.DUMMYFUNCTION("IMPORTRANGE(""https://docs.google.com/spreadsheets/d/1-uDff_7J0KD5mKrp0Vvzr7lt3OU09vwQwhkpOPPYv2Y/edit?usp=sharing"",""งบพรบ!DF69"")"),0)</f>
        <v>0</v>
      </c>
      <c r="F69" s="151">
        <f ca="1">IFERROR(__xludf.DUMMYFUNCTION("IMPORTRANGE(""https://docs.google.com/spreadsheets/d/1-uDff_7J0KD5mKrp0Vvzr7lt3OU09vwQwhkpOPPYv2Y/edit?usp=sharing"",""งบพรบ!DG69"")"),5000)</f>
        <v>5000</v>
      </c>
      <c r="G69" s="151">
        <f ca="1">IFERROR(__xludf.DUMMYFUNCTION("IMPORTRANGE(""https://docs.google.com/spreadsheets/d/1-uDff_7J0KD5mKrp0Vvzr7lt3OU09vwQwhkpOPPYv2Y/edit?usp=sharing"",""งบพรบ!DH69"")"),0)</f>
        <v>0</v>
      </c>
      <c r="H69" s="151">
        <f ca="1">IFERROR(__xludf.DUMMYFUNCTION("IMPORTRANGE(""https://docs.google.com/spreadsheets/d/1-uDff_7J0KD5mKrp0Vvzr7lt3OU09vwQwhkpOPPYv2Y/edit?usp=sharing"",""งบพรบ!DJ69"")"),18600)</f>
        <v>18600</v>
      </c>
      <c r="I69" s="151">
        <f ca="1">IFERROR(__xludf.DUMMYFUNCTION("IMPORTRANGE(""https://docs.google.com/spreadsheets/d/1-uDff_7J0KD5mKrp0Vvzr7lt3OU09vwQwhkpOPPYv2Y/edit?usp=sharing"",""งบพรบ!DK69"")"),0)</f>
        <v>0</v>
      </c>
      <c r="J69" s="151">
        <f t="shared" ca="1" si="23"/>
        <v>9940</v>
      </c>
      <c r="K69" s="154">
        <f t="shared" ca="1" si="24"/>
        <v>198.8</v>
      </c>
      <c r="L69" s="151">
        <f ca="1">IFERROR(__xludf.DUMMYFUNCTION("IMPORTRANGE(""https://docs.google.com/spreadsheets/d/1-uDff_7J0KD5mKrp0Vvzr7lt3OU09vwQwhkpOPPYv2Y/edit?usp=sharing"",""งบพรบ!DL69"")"),9940)</f>
        <v>9940</v>
      </c>
      <c r="M69" s="68">
        <f t="shared" ca="1" si="25"/>
        <v>198.8</v>
      </c>
      <c r="N69" s="68">
        <f t="shared" ca="1" si="26"/>
        <v>53.44086021505376</v>
      </c>
      <c r="O69" s="67">
        <f ca="1">IFERROR(__xludf.DUMMYFUNCTION("IMPORTRANGE(""https://docs.google.com/spreadsheets/d/1-uDff_7J0KD5mKrp0Vvzr7lt3OU09vwQwhkpOPPYv2Y/edit?usp=sharing"",""งบพรบ!DM69"")"),0)</f>
        <v>0</v>
      </c>
      <c r="P69" s="67">
        <f t="shared" ca="1" si="27"/>
        <v>0</v>
      </c>
      <c r="Q69" s="68">
        <f t="shared" ca="1" si="28"/>
        <v>0</v>
      </c>
      <c r="R69" s="67">
        <f ca="1">IFERROR(__xludf.DUMMYFUNCTION("IMPORTRANGE(""https://docs.google.com/spreadsheets/d/10oOiF7loTyfsTkbd4MpaIm0HQ9SwB7IYHdIUvt-U1Uc/edit?usp=sharing"",""สระแก้ว!Q266"")"),50660)</f>
        <v>50660</v>
      </c>
      <c r="S69" s="67">
        <f ca="1">IFERROR(__xludf.DUMMYFUNCTION("IMPORTRANGE(""https://docs.google.com/spreadsheets/d/10oOiF7loTyfsTkbd4MpaIm0HQ9SwB7IYHdIUvt-U1Uc/edit?usp=sharing"",""สระแก้ว!R266"")"),41900)</f>
        <v>41900</v>
      </c>
      <c r="T69" s="67">
        <f ca="1">IFERROR(__xludf.DUMMYFUNCTION("IMPORTRANGE(""https://docs.google.com/spreadsheets/d/10oOiF7loTyfsTkbd4MpaIm0HQ9SwB7IYHdIUvt-U1Uc/edit?usp=sharing"",""สระแก้ว!S266"")"),41900)</f>
        <v>41900</v>
      </c>
      <c r="U69" s="68">
        <f t="shared" ca="1" si="30"/>
        <v>82.708251085669161</v>
      </c>
      <c r="V69" s="68">
        <f t="shared" ca="1" si="31"/>
        <v>100</v>
      </c>
      <c r="W69" s="74">
        <f ca="1">IFERROR(__xludf.DUMMYFUNCTION("IMPORTRANGE(""https://docs.google.com/spreadsheets/d/10oOiF7loTyfsTkbd4MpaIm0HQ9SwB7IYHdIUvt-U1Uc/edit?usp=sharing"",""สระแก้ว!I276"")"),22)</f>
        <v>22</v>
      </c>
      <c r="X69" s="74">
        <f ca="1">IFERROR(__xludf.DUMMYFUNCTION("IMPORTRANGE(""https://docs.google.com/spreadsheets/d/10oOiF7loTyfsTkbd4MpaIm0HQ9SwB7IYHdIUvt-U1Uc/edit?usp=sharing"",""สระแก้ว!J276"")"),22)</f>
        <v>22</v>
      </c>
      <c r="Y69" s="152">
        <f t="shared" ca="1" si="33"/>
        <v>100</v>
      </c>
      <c r="Z69" s="74">
        <v>0</v>
      </c>
      <c r="AA69" s="74">
        <v>0</v>
      </c>
      <c r="AB69" s="152">
        <v>0</v>
      </c>
    </row>
    <row r="70" spans="1:28" ht="19.5" x14ac:dyDescent="0.3">
      <c r="A70" s="147">
        <v>18</v>
      </c>
      <c r="B70" s="148" t="s">
        <v>98</v>
      </c>
      <c r="C70" s="149">
        <f t="shared" ca="1" si="21"/>
        <v>5000</v>
      </c>
      <c r="D70" s="150">
        <f t="shared" ca="1" si="42"/>
        <v>5000</v>
      </c>
      <c r="E70" s="151">
        <f ca="1">IFERROR(__xludf.DUMMYFUNCTION("IMPORTRANGE(""https://docs.google.com/spreadsheets/d/1-uDff_7J0KD5mKrp0Vvzr7lt3OU09vwQwhkpOPPYv2Y/edit?usp=sharing"",""งบพรบ!DF70"")"),0)</f>
        <v>0</v>
      </c>
      <c r="F70" s="151">
        <f ca="1">IFERROR(__xludf.DUMMYFUNCTION("IMPORTRANGE(""https://docs.google.com/spreadsheets/d/1-uDff_7J0KD5mKrp0Vvzr7lt3OU09vwQwhkpOPPYv2Y/edit?usp=sharing"",""งบพรบ!DG70"")"),5000)</f>
        <v>5000</v>
      </c>
      <c r="G70" s="151">
        <f ca="1">IFERROR(__xludf.DUMMYFUNCTION("IMPORTRANGE(""https://docs.google.com/spreadsheets/d/1-uDff_7J0KD5mKrp0Vvzr7lt3OU09vwQwhkpOPPYv2Y/edit?usp=sharing"",""งบพรบ!DH70"")"),0)</f>
        <v>0</v>
      </c>
      <c r="H70" s="151">
        <f ca="1">IFERROR(__xludf.DUMMYFUNCTION("IMPORTRANGE(""https://docs.google.com/spreadsheets/d/1-uDff_7J0KD5mKrp0Vvzr7lt3OU09vwQwhkpOPPYv2Y/edit?usp=sharing"",""งบพรบ!DJ70"")"),11500)</f>
        <v>11500</v>
      </c>
      <c r="I70" s="151">
        <f ca="1">IFERROR(__xludf.DUMMYFUNCTION("IMPORTRANGE(""https://docs.google.com/spreadsheets/d/1-uDff_7J0KD5mKrp0Vvzr7lt3OU09vwQwhkpOPPYv2Y/edit?usp=sharing"",""งบพรบ!DK70"")"),0)</f>
        <v>0</v>
      </c>
      <c r="J70" s="151">
        <f t="shared" ca="1" si="23"/>
        <v>5000</v>
      </c>
      <c r="K70" s="154">
        <f t="shared" ca="1" si="24"/>
        <v>100</v>
      </c>
      <c r="L70" s="151">
        <f ca="1">IFERROR(__xludf.DUMMYFUNCTION("IMPORTRANGE(""https://docs.google.com/spreadsheets/d/1-uDff_7J0KD5mKrp0Vvzr7lt3OU09vwQwhkpOPPYv2Y/edit?usp=sharing"",""งบพรบ!DL70"")"),5000)</f>
        <v>5000</v>
      </c>
      <c r="M70" s="68">
        <f t="shared" ca="1" si="25"/>
        <v>100</v>
      </c>
      <c r="N70" s="68">
        <f t="shared" ca="1" si="26"/>
        <v>43.478260869565219</v>
      </c>
      <c r="O70" s="67">
        <f ca="1">IFERROR(__xludf.DUMMYFUNCTION("IMPORTRANGE(""https://docs.google.com/spreadsheets/d/1-uDff_7J0KD5mKrp0Vvzr7lt3OU09vwQwhkpOPPYv2Y/edit?usp=sharing"",""งบพรบ!DM70"")"),0)</f>
        <v>0</v>
      </c>
      <c r="P70" s="67">
        <f t="shared" ca="1" si="27"/>
        <v>0</v>
      </c>
      <c r="Q70" s="68">
        <f t="shared" ca="1" si="28"/>
        <v>0</v>
      </c>
      <c r="R70" s="67">
        <f ca="1">IFERROR(__xludf.DUMMYFUNCTION("IMPORTRANGE(""https://docs.google.com/spreadsheets/d/1xmPlrr1QbdSIKvl1dWUl9K4PjAfSL9oeMr_37QVzcxc/edit?usp=sharing"",""สระบุรี!Q266"")"),50660)</f>
        <v>50660</v>
      </c>
      <c r="S70" s="67">
        <f ca="1">IFERROR(__xludf.DUMMYFUNCTION("IMPORTRANGE(""https://docs.google.com/spreadsheets/d/1xmPlrr1QbdSIKvl1dWUl9K4PjAfSL9oeMr_37QVzcxc/edit?usp=sharing"",""สระบุรี!R266"")"),50660)</f>
        <v>50660</v>
      </c>
      <c r="T70" s="67">
        <f ca="1">IFERROR(__xludf.DUMMYFUNCTION("IMPORTRANGE(""https://docs.google.com/spreadsheets/d/1xmPlrr1QbdSIKvl1dWUl9K4PjAfSL9oeMr_37QVzcxc/edit?usp=sharing"",""สระบุรี!S266"")"),33360)</f>
        <v>33360</v>
      </c>
      <c r="U70" s="68">
        <f t="shared" ca="1" si="30"/>
        <v>65.8507698381366</v>
      </c>
      <c r="V70" s="68">
        <f t="shared" ca="1" si="31"/>
        <v>65.8507698381366</v>
      </c>
      <c r="W70" s="74">
        <f ca="1">IFERROR(__xludf.DUMMYFUNCTION("IMPORTRANGE(""https://docs.google.com/spreadsheets/d/1xmPlrr1QbdSIKvl1dWUl9K4PjAfSL9oeMr_37QVzcxc/edit?usp=sharing"",""สระบุรี!I276"")"),22)</f>
        <v>22</v>
      </c>
      <c r="X70" s="74">
        <f ca="1">IFERROR(__xludf.DUMMYFUNCTION("IMPORTRANGE(""https://docs.google.com/spreadsheets/d/1xmPlrr1QbdSIKvl1dWUl9K4PjAfSL9oeMr_37QVzcxc/edit?usp=sharing"",""สระบุรี!J276"")"),22)</f>
        <v>22</v>
      </c>
      <c r="Y70" s="152">
        <f t="shared" ca="1" si="33"/>
        <v>100</v>
      </c>
      <c r="Z70" s="74">
        <v>0</v>
      </c>
      <c r="AA70" s="74">
        <v>0</v>
      </c>
      <c r="AB70" s="152">
        <v>0</v>
      </c>
    </row>
    <row r="71" spans="1:28" ht="19.5" x14ac:dyDescent="0.3">
      <c r="A71" s="147">
        <v>19</v>
      </c>
      <c r="B71" s="148" t="s">
        <v>99</v>
      </c>
      <c r="C71" s="149">
        <f t="shared" ca="1" si="21"/>
        <v>5000</v>
      </c>
      <c r="D71" s="150">
        <f t="shared" ca="1" si="42"/>
        <v>5000</v>
      </c>
      <c r="E71" s="151">
        <f ca="1">IFERROR(__xludf.DUMMYFUNCTION("IMPORTRANGE(""https://docs.google.com/spreadsheets/d/1-uDff_7J0KD5mKrp0Vvzr7lt3OU09vwQwhkpOPPYv2Y/edit?usp=sharing"",""งบพรบ!DF71"")"),0)</f>
        <v>0</v>
      </c>
      <c r="F71" s="151">
        <f ca="1">IFERROR(__xludf.DUMMYFUNCTION("IMPORTRANGE(""https://docs.google.com/spreadsheets/d/1-uDff_7J0KD5mKrp0Vvzr7lt3OU09vwQwhkpOPPYv2Y/edit?usp=sharing"",""งบพรบ!DG71"")"),5000)</f>
        <v>5000</v>
      </c>
      <c r="G71" s="151">
        <f ca="1">IFERROR(__xludf.DUMMYFUNCTION("IMPORTRANGE(""https://docs.google.com/spreadsheets/d/1-uDff_7J0KD5mKrp0Vvzr7lt3OU09vwQwhkpOPPYv2Y/edit?usp=sharing"",""งบพรบ!DH71"")"),0)</f>
        <v>0</v>
      </c>
      <c r="H71" s="151">
        <f ca="1">IFERROR(__xludf.DUMMYFUNCTION("IMPORTRANGE(""https://docs.google.com/spreadsheets/d/1-uDff_7J0KD5mKrp0Vvzr7lt3OU09vwQwhkpOPPYv2Y/edit?usp=sharing"",""งบพรบ!DJ71"")"),8400)</f>
        <v>8400</v>
      </c>
      <c r="I71" s="151">
        <f ca="1">IFERROR(__xludf.DUMMYFUNCTION("IMPORTRANGE(""https://docs.google.com/spreadsheets/d/1-uDff_7J0KD5mKrp0Vvzr7lt3OU09vwQwhkpOPPYv2Y/edit?usp=sharing"",""งบพรบ!DK71"")"),0)</f>
        <v>0</v>
      </c>
      <c r="J71" s="151">
        <f t="shared" ca="1" si="23"/>
        <v>5000</v>
      </c>
      <c r="K71" s="154">
        <f t="shared" ca="1" si="24"/>
        <v>100</v>
      </c>
      <c r="L71" s="151">
        <f ca="1">IFERROR(__xludf.DUMMYFUNCTION("IMPORTRANGE(""https://docs.google.com/spreadsheets/d/1-uDff_7J0KD5mKrp0Vvzr7lt3OU09vwQwhkpOPPYv2Y/edit?usp=sharing"",""งบพรบ!DL71"")"),5000)</f>
        <v>5000</v>
      </c>
      <c r="M71" s="68">
        <f t="shared" ca="1" si="25"/>
        <v>100</v>
      </c>
      <c r="N71" s="68">
        <f t="shared" ca="1" si="26"/>
        <v>59.523809523809526</v>
      </c>
      <c r="O71" s="67">
        <f ca="1">IFERROR(__xludf.DUMMYFUNCTION("IMPORTRANGE(""https://docs.google.com/spreadsheets/d/1-uDff_7J0KD5mKrp0Vvzr7lt3OU09vwQwhkpOPPYv2Y/edit?usp=sharing"",""งบพรบ!DM71"")"),0)</f>
        <v>0</v>
      </c>
      <c r="P71" s="67">
        <f t="shared" ca="1" si="27"/>
        <v>0</v>
      </c>
      <c r="Q71" s="68">
        <f t="shared" ca="1" si="28"/>
        <v>0</v>
      </c>
      <c r="R71" s="67">
        <f ca="1">IFERROR(__xludf.DUMMYFUNCTION("IMPORTRANGE(""https://docs.google.com/spreadsheets/d/1j51vR6CYVGhABJpv6tkstgok82RLpXieLzW1yOY5rHw/edit?usp=sharing"",""สิงห์บุรี!Q266"")"),36760)</f>
        <v>36760</v>
      </c>
      <c r="S71" s="67">
        <f ca="1">IFERROR(__xludf.DUMMYFUNCTION("IMPORTRANGE(""https://docs.google.com/spreadsheets/d/1j51vR6CYVGhABJpv6tkstgok82RLpXieLzW1yOY5rHw/edit?usp=sharing"",""สิงห์บุรี!R266"")"),26760)</f>
        <v>26760</v>
      </c>
      <c r="T71" s="67">
        <f ca="1">IFERROR(__xludf.DUMMYFUNCTION("IMPORTRANGE(""https://docs.google.com/spreadsheets/d/1j51vR6CYVGhABJpv6tkstgok82RLpXieLzW1yOY5rHw/edit?usp=sharing"",""สิงห์บุรี!S266"")"),23893)</f>
        <v>23893</v>
      </c>
      <c r="U71" s="68">
        <f t="shared" ca="1" si="30"/>
        <v>64.997279651795424</v>
      </c>
      <c r="V71" s="68">
        <f t="shared" ca="1" si="31"/>
        <v>89.286248131539608</v>
      </c>
      <c r="W71" s="74">
        <f ca="1">IFERROR(__xludf.DUMMYFUNCTION("IMPORTRANGE(""https://docs.google.com/spreadsheets/d/1j51vR6CYVGhABJpv6tkstgok82RLpXieLzW1yOY5rHw/edit?usp=sharing"",""สิงห์บุรี!I276"")"),12)</f>
        <v>12</v>
      </c>
      <c r="X71" s="74">
        <f ca="1">IFERROR(__xludf.DUMMYFUNCTION("IMPORTRANGE(""https://docs.google.com/spreadsheets/d/1j51vR6CYVGhABJpv6tkstgok82RLpXieLzW1yOY5rHw/edit?usp=sharing"",""สิงห์บุรี!J276"")"),12)</f>
        <v>12</v>
      </c>
      <c r="Y71" s="152">
        <f t="shared" ca="1" si="33"/>
        <v>100</v>
      </c>
      <c r="Z71" s="74">
        <v>0</v>
      </c>
      <c r="AA71" s="74">
        <v>0</v>
      </c>
      <c r="AB71" s="152">
        <v>0</v>
      </c>
    </row>
    <row r="72" spans="1:28" ht="19.5" x14ac:dyDescent="0.3">
      <c r="A72" s="147">
        <v>20</v>
      </c>
      <c r="B72" s="148" t="s">
        <v>100</v>
      </c>
      <c r="C72" s="149">
        <f t="shared" ca="1" si="21"/>
        <v>5000</v>
      </c>
      <c r="D72" s="150">
        <f t="shared" ca="1" si="42"/>
        <v>5000</v>
      </c>
      <c r="E72" s="151">
        <f ca="1">IFERROR(__xludf.DUMMYFUNCTION("IMPORTRANGE(""https://docs.google.com/spreadsheets/d/1-uDff_7J0KD5mKrp0Vvzr7lt3OU09vwQwhkpOPPYv2Y/edit?usp=sharing"",""งบพรบ!DF72"")"),0)</f>
        <v>0</v>
      </c>
      <c r="F72" s="151">
        <f ca="1">IFERROR(__xludf.DUMMYFUNCTION("IMPORTRANGE(""https://docs.google.com/spreadsheets/d/1-uDff_7J0KD5mKrp0Vvzr7lt3OU09vwQwhkpOPPYv2Y/edit?usp=sharing"",""งบพรบ!DG72"")"),5000)</f>
        <v>5000</v>
      </c>
      <c r="G72" s="151">
        <f ca="1">IFERROR(__xludf.DUMMYFUNCTION("IMPORTRANGE(""https://docs.google.com/spreadsheets/d/1-uDff_7J0KD5mKrp0Vvzr7lt3OU09vwQwhkpOPPYv2Y/edit?usp=sharing"",""งบพรบ!DH72"")"),0)</f>
        <v>0</v>
      </c>
      <c r="H72" s="151">
        <f ca="1">IFERROR(__xludf.DUMMYFUNCTION("IMPORTRANGE(""https://docs.google.com/spreadsheets/d/1-uDff_7J0KD5mKrp0Vvzr7lt3OU09vwQwhkpOPPYv2Y/edit?usp=sharing"",""งบพรบ!DJ72"")"),11500)</f>
        <v>11500</v>
      </c>
      <c r="I72" s="151">
        <f ca="1">IFERROR(__xludf.DUMMYFUNCTION("IMPORTRANGE(""https://docs.google.com/spreadsheets/d/1-uDff_7J0KD5mKrp0Vvzr7lt3OU09vwQwhkpOPPYv2Y/edit?usp=sharing"",""งบพรบ!DK72"")"),0)</f>
        <v>0</v>
      </c>
      <c r="J72" s="151">
        <f t="shared" ca="1" si="23"/>
        <v>10670</v>
      </c>
      <c r="K72" s="154">
        <f t="shared" ca="1" si="24"/>
        <v>213.4</v>
      </c>
      <c r="L72" s="151">
        <f ca="1">IFERROR(__xludf.DUMMYFUNCTION("IMPORTRANGE(""https://docs.google.com/spreadsheets/d/1-uDff_7J0KD5mKrp0Vvzr7lt3OU09vwQwhkpOPPYv2Y/edit?usp=sharing"",""งบพรบ!DL72"")"),10670)</f>
        <v>10670</v>
      </c>
      <c r="M72" s="68">
        <f t="shared" ca="1" si="25"/>
        <v>213.4</v>
      </c>
      <c r="N72" s="68">
        <f t="shared" ca="1" si="26"/>
        <v>92.782608695652172</v>
      </c>
      <c r="O72" s="67">
        <f ca="1">IFERROR(__xludf.DUMMYFUNCTION("IMPORTRANGE(""https://docs.google.com/spreadsheets/d/1-uDff_7J0KD5mKrp0Vvzr7lt3OU09vwQwhkpOPPYv2Y/edit?usp=sharing"",""งบพรบ!DM72"")"),0)</f>
        <v>0</v>
      </c>
      <c r="P72" s="67">
        <f t="shared" ca="1" si="27"/>
        <v>0</v>
      </c>
      <c r="Q72" s="68">
        <f t="shared" ca="1" si="28"/>
        <v>0</v>
      </c>
      <c r="R72" s="67">
        <f ca="1">IFERROR(__xludf.DUMMYFUNCTION("IMPORTRANGE(""https://docs.google.com/spreadsheets/d/1H1EalTWKUSzO4Z1-1CwzoDUaVffgrThEBe2sl74kKG0/edit?usp=sharing"",""สุพรรณบุรี!Q266"")"),50660)</f>
        <v>50660</v>
      </c>
      <c r="S72" s="67">
        <f ca="1">IFERROR(__xludf.DUMMYFUNCTION("IMPORTRANGE(""https://docs.google.com/spreadsheets/d/1H1EalTWKUSzO4Z1-1CwzoDUaVffgrThEBe2sl74kKG0/edit?usp=sharing"",""สุพรรณบุรี!R266"")"),50660)</f>
        <v>50660</v>
      </c>
      <c r="T72" s="67">
        <f ca="1">IFERROR(__xludf.DUMMYFUNCTION("IMPORTRANGE(""https://docs.google.com/spreadsheets/d/1H1EalTWKUSzO4Z1-1CwzoDUaVffgrThEBe2sl74kKG0/edit?usp=sharing"",""สุพรรณบุรี!S266"")"),50420)</f>
        <v>50420</v>
      </c>
      <c r="U72" s="68">
        <f t="shared" ca="1" si="30"/>
        <v>99.526253454401896</v>
      </c>
      <c r="V72" s="68">
        <f t="shared" ca="1" si="31"/>
        <v>99.526253454401896</v>
      </c>
      <c r="W72" s="74">
        <f ca="1">IFERROR(__xludf.DUMMYFUNCTION("IMPORTRANGE(""https://docs.google.com/spreadsheets/d/1H1EalTWKUSzO4Z1-1CwzoDUaVffgrThEBe2sl74kKG0/edit?usp=sharing"",""สุพรรณบุรี!I276"")"),22)</f>
        <v>22</v>
      </c>
      <c r="X72" s="74">
        <f ca="1">IFERROR(__xludf.DUMMYFUNCTION("IMPORTRANGE(""https://docs.google.com/spreadsheets/d/1H1EalTWKUSzO4Z1-1CwzoDUaVffgrThEBe2sl74kKG0/edit?usp=sharing"",""สุพรรณบุรี!J276"")"),22)</f>
        <v>22</v>
      </c>
      <c r="Y72" s="152">
        <f t="shared" ca="1" si="33"/>
        <v>100</v>
      </c>
      <c r="Z72" s="74">
        <v>0</v>
      </c>
      <c r="AA72" s="74">
        <v>0</v>
      </c>
      <c r="AB72" s="152">
        <v>0</v>
      </c>
    </row>
    <row r="73" spans="1:28" ht="19.5" x14ac:dyDescent="0.3">
      <c r="A73" s="155">
        <v>21</v>
      </c>
      <c r="B73" s="156" t="s">
        <v>101</v>
      </c>
      <c r="C73" s="157">
        <f t="shared" ca="1" si="21"/>
        <v>5000</v>
      </c>
      <c r="D73" s="158">
        <f t="shared" ca="1" si="42"/>
        <v>5000</v>
      </c>
      <c r="E73" s="159">
        <f ca="1">IFERROR(__xludf.DUMMYFUNCTION("IMPORTRANGE(""https://docs.google.com/spreadsheets/d/1-uDff_7J0KD5mKrp0Vvzr7lt3OU09vwQwhkpOPPYv2Y/edit?usp=sharing"",""งบพรบ!DF73"")"),0)</f>
        <v>0</v>
      </c>
      <c r="F73" s="159">
        <f ca="1">IFERROR(__xludf.DUMMYFUNCTION("IMPORTRANGE(""https://docs.google.com/spreadsheets/d/1-uDff_7J0KD5mKrp0Vvzr7lt3OU09vwQwhkpOPPYv2Y/edit?usp=sharing"",""งบพรบ!DG73"")"),5000)</f>
        <v>5000</v>
      </c>
      <c r="G73" s="159">
        <f ca="1">IFERROR(__xludf.DUMMYFUNCTION("IMPORTRANGE(""https://docs.google.com/spreadsheets/d/1-uDff_7J0KD5mKrp0Vvzr7lt3OU09vwQwhkpOPPYv2Y/edit?usp=sharing"",""งบพรบ!DH73"")"),0)</f>
        <v>0</v>
      </c>
      <c r="H73" s="159">
        <f ca="1">IFERROR(__xludf.DUMMYFUNCTION("IMPORTRANGE(""https://docs.google.com/spreadsheets/d/1-uDff_7J0KD5mKrp0Vvzr7lt3OU09vwQwhkpOPPYv2Y/edit?usp=sharing"",""งบพรบ!DJ73"")"),8100)</f>
        <v>8100</v>
      </c>
      <c r="I73" s="159">
        <f ca="1">IFERROR(__xludf.DUMMYFUNCTION("IMPORTRANGE(""https://docs.google.com/spreadsheets/d/1-uDff_7J0KD5mKrp0Vvzr7lt3OU09vwQwhkpOPPYv2Y/edit?usp=sharing"",""งบพรบ!DK73"")"),0)</f>
        <v>0</v>
      </c>
      <c r="J73" s="159">
        <f t="shared" ca="1" si="23"/>
        <v>5000</v>
      </c>
      <c r="K73" s="160">
        <f t="shared" ca="1" si="24"/>
        <v>100</v>
      </c>
      <c r="L73" s="159">
        <f ca="1">IFERROR(__xludf.DUMMYFUNCTION("IMPORTRANGE(""https://docs.google.com/spreadsheets/d/1-uDff_7J0KD5mKrp0Vvzr7lt3OU09vwQwhkpOPPYv2Y/edit?usp=sharing"",""งบพรบ!DL73"")"),5000)</f>
        <v>5000</v>
      </c>
      <c r="M73" s="89">
        <f t="shared" ca="1" si="25"/>
        <v>100</v>
      </c>
      <c r="N73" s="89">
        <f t="shared" ca="1" si="26"/>
        <v>61.728395061728392</v>
      </c>
      <c r="O73" s="88">
        <f ca="1">IFERROR(__xludf.DUMMYFUNCTION("IMPORTRANGE(""https://docs.google.com/spreadsheets/d/1-uDff_7J0KD5mKrp0Vvzr7lt3OU09vwQwhkpOPPYv2Y/edit?usp=sharing"",""งบพรบ!DM73"")"),0)</f>
        <v>0</v>
      </c>
      <c r="P73" s="88">
        <f t="shared" ca="1" si="27"/>
        <v>0</v>
      </c>
      <c r="Q73" s="89">
        <f t="shared" ca="1" si="28"/>
        <v>0</v>
      </c>
      <c r="R73" s="88">
        <f ca="1">IFERROR(__xludf.DUMMYFUNCTION("IMPORTRANGE(""https://docs.google.com/spreadsheets/d/1BmIruG_sIrJLYao_Pdr7zVArWsfoBt2692TMi6x_854/edit?usp=sharing"",""อ่างทอง!Q266"")"),36760)</f>
        <v>36760</v>
      </c>
      <c r="S73" s="88">
        <f ca="1">IFERROR(__xludf.DUMMYFUNCTION("IMPORTRANGE(""https://docs.google.com/spreadsheets/d/1BmIruG_sIrJLYao_Pdr7zVArWsfoBt2692TMi6x_854/edit?usp=sharing"",""อ่างทอง!R266"")"),31624)</f>
        <v>31624</v>
      </c>
      <c r="T73" s="88">
        <f ca="1">IFERROR(__xludf.DUMMYFUNCTION("IMPORTRANGE(""https://docs.google.com/spreadsheets/d/1BmIruG_sIrJLYao_Pdr7zVArWsfoBt2692TMi6x_854/edit?usp=sharing"",""อ่างทอง!S266"")"),30624)</f>
        <v>30624</v>
      </c>
      <c r="U73" s="89">
        <f t="shared" ca="1" si="30"/>
        <v>83.30794341675734</v>
      </c>
      <c r="V73" s="89">
        <f t="shared" ca="1" si="31"/>
        <v>96.837844674930437</v>
      </c>
      <c r="W73" s="84">
        <f ca="1">IFERROR(__xludf.DUMMYFUNCTION("IMPORTRANGE(""https://docs.google.com/spreadsheets/d/1BmIruG_sIrJLYao_Pdr7zVArWsfoBt2692TMi6x_854/edit?usp=sharing"",""อ่างทอง!I276"")"),12)</f>
        <v>12</v>
      </c>
      <c r="X73" s="84">
        <f ca="1">IFERROR(__xludf.DUMMYFUNCTION("IMPORTRANGE(""https://docs.google.com/spreadsheets/d/1BmIruG_sIrJLYao_Pdr7zVArWsfoBt2692TMi6x_854/edit?usp=sharing"",""อ่างทอง!J276"")"),12)</f>
        <v>12</v>
      </c>
      <c r="Y73" s="191">
        <f t="shared" ca="1" si="33"/>
        <v>100</v>
      </c>
      <c r="Z73" s="84">
        <v>0</v>
      </c>
      <c r="AA73" s="84">
        <v>0</v>
      </c>
      <c r="AB73" s="191">
        <v>0</v>
      </c>
    </row>
    <row r="74" spans="1:28" ht="19.5" x14ac:dyDescent="0.3">
      <c r="A74" s="696" t="s">
        <v>102</v>
      </c>
      <c r="B74" s="662"/>
      <c r="C74" s="161">
        <f t="shared" ca="1" si="21"/>
        <v>70000</v>
      </c>
      <c r="D74" s="161">
        <f t="shared" ref="D74:I74" ca="1" si="43">SUM(D75:D88)</f>
        <v>70000</v>
      </c>
      <c r="E74" s="161">
        <f t="shared" ca="1" si="43"/>
        <v>0</v>
      </c>
      <c r="F74" s="161">
        <f t="shared" ca="1" si="43"/>
        <v>70000</v>
      </c>
      <c r="G74" s="161">
        <f t="shared" ca="1" si="43"/>
        <v>0</v>
      </c>
      <c r="H74" s="161">
        <f t="shared" ca="1" si="43"/>
        <v>361390</v>
      </c>
      <c r="I74" s="161">
        <f t="shared" ca="1" si="43"/>
        <v>0</v>
      </c>
      <c r="J74" s="161">
        <f t="shared" ca="1" si="23"/>
        <v>290780</v>
      </c>
      <c r="K74" s="162">
        <f t="shared" ca="1" si="24"/>
        <v>415.4</v>
      </c>
      <c r="L74" s="161">
        <f ca="1">SUM(L75:L88)</f>
        <v>290780</v>
      </c>
      <c r="M74" s="94">
        <f t="shared" ca="1" si="25"/>
        <v>415.4</v>
      </c>
      <c r="N74" s="94">
        <f t="shared" ca="1" si="26"/>
        <v>80.461551232740248</v>
      </c>
      <c r="O74" s="93">
        <f ca="1">SUM(O75:O88)</f>
        <v>0</v>
      </c>
      <c r="P74" s="93">
        <f t="shared" ca="1" si="27"/>
        <v>0</v>
      </c>
      <c r="Q74" s="94">
        <f t="shared" ca="1" si="28"/>
        <v>0</v>
      </c>
      <c r="R74" s="93">
        <f t="shared" ref="R74:T74" ca="1" si="44">SUM(R75:R88)</f>
        <v>706460</v>
      </c>
      <c r="S74" s="93">
        <f t="shared" ca="1" si="44"/>
        <v>695950</v>
      </c>
      <c r="T74" s="93">
        <f t="shared" ca="1" si="44"/>
        <v>612562</v>
      </c>
      <c r="U74" s="94">
        <f t="shared" ca="1" si="30"/>
        <v>86.708660079834672</v>
      </c>
      <c r="V74" s="94">
        <f t="shared" ca="1" si="31"/>
        <v>88.018104748904378</v>
      </c>
      <c r="W74" s="52">
        <f t="shared" ref="W74:X74" ca="1" si="45">SUM(W75:W88)</f>
        <v>306</v>
      </c>
      <c r="X74" s="52">
        <f t="shared" ca="1" si="45"/>
        <v>284</v>
      </c>
      <c r="Y74" s="161">
        <f t="shared" ca="1" si="33"/>
        <v>92.810457516339866</v>
      </c>
      <c r="Z74" s="52">
        <v>0</v>
      </c>
      <c r="AA74" s="52">
        <v>0</v>
      </c>
      <c r="AB74" s="161">
        <v>0</v>
      </c>
    </row>
    <row r="75" spans="1:28" ht="19.5" x14ac:dyDescent="0.3">
      <c r="A75" s="147">
        <v>1</v>
      </c>
      <c r="B75" s="148" t="s">
        <v>103</v>
      </c>
      <c r="C75" s="149">
        <f t="shared" ca="1" si="21"/>
        <v>5000</v>
      </c>
      <c r="D75" s="150">
        <f t="shared" ref="D75:D88" ca="1" si="46">+E75+F75</f>
        <v>5000</v>
      </c>
      <c r="E75" s="151">
        <f ca="1">IFERROR(__xludf.DUMMYFUNCTION("IMPORTRANGE(""https://docs.google.com/spreadsheets/d/1-uDff_7J0KD5mKrp0Vvzr7lt3OU09vwQwhkpOPPYv2Y/edit?usp=sharing"",""งบพรบ!DF75"")"),0)</f>
        <v>0</v>
      </c>
      <c r="F75" s="151">
        <f ca="1">IFERROR(__xludf.DUMMYFUNCTION("IMPORTRANGE(""https://docs.google.com/spreadsheets/d/1-uDff_7J0KD5mKrp0Vvzr7lt3OU09vwQwhkpOPPYv2Y/edit?usp=sharing"",""งบพรบ!DG75"")"),5000)</f>
        <v>5000</v>
      </c>
      <c r="G75" s="151">
        <f ca="1">IFERROR(__xludf.DUMMYFUNCTION("IMPORTRANGE(""https://docs.google.com/spreadsheets/d/1-uDff_7J0KD5mKrp0Vvzr7lt3OU09vwQwhkpOPPYv2Y/edit?usp=sharing"",""งบพรบ!DH75"")"),0)</f>
        <v>0</v>
      </c>
      <c r="H75" s="151">
        <f ca="1">IFERROR(__xludf.DUMMYFUNCTION("IMPORTRANGE(""https://docs.google.com/spreadsheets/d/1-uDff_7J0KD5mKrp0Vvzr7lt3OU09vwQwhkpOPPYv2Y/edit?usp=sharing"",""งบพรบ!DJ75"")"),23700)</f>
        <v>23700</v>
      </c>
      <c r="I75" s="151">
        <f ca="1">IFERROR(__xludf.DUMMYFUNCTION("IMPORTRANGE(""https://docs.google.com/spreadsheets/d/1-uDff_7J0KD5mKrp0Vvzr7lt3OU09vwQwhkpOPPYv2Y/edit?usp=sharing"",""งบพรบ!DK75"")"),0)</f>
        <v>0</v>
      </c>
      <c r="J75" s="151">
        <f t="shared" ca="1" si="23"/>
        <v>22660</v>
      </c>
      <c r="K75" s="154">
        <f t="shared" ca="1" si="24"/>
        <v>453.2</v>
      </c>
      <c r="L75" s="151">
        <f ca="1">IFERROR(__xludf.DUMMYFUNCTION("IMPORTRANGE(""https://docs.google.com/spreadsheets/d/1-uDff_7J0KD5mKrp0Vvzr7lt3OU09vwQwhkpOPPYv2Y/edit?usp=sharing"",""งบพรบ!DL75"")"),22660)</f>
        <v>22660</v>
      </c>
      <c r="M75" s="68">
        <f t="shared" ca="1" si="25"/>
        <v>453.2</v>
      </c>
      <c r="N75" s="68">
        <f t="shared" ca="1" si="26"/>
        <v>95.611814345991561</v>
      </c>
      <c r="O75" s="67">
        <f ca="1">IFERROR(__xludf.DUMMYFUNCTION("IMPORTRANGE(""https://docs.google.com/spreadsheets/d/1-uDff_7J0KD5mKrp0Vvzr7lt3OU09vwQwhkpOPPYv2Y/edit?usp=sharing"",""งบพรบ!DM75"")"),0)</f>
        <v>0</v>
      </c>
      <c r="P75" s="67">
        <f t="shared" ca="1" si="27"/>
        <v>0</v>
      </c>
      <c r="Q75" s="68">
        <f t="shared" ca="1" si="28"/>
        <v>0</v>
      </c>
      <c r="R75" s="67">
        <f ca="1">IFERROR(__xludf.DUMMYFUNCTION("IMPORTRANGE(""https://docs.google.com/spreadsheets/d/1kKUcYdkIfrgTSj8iHHHB2MD2FAtwyyocFgqGQn6ADyI/edit?usp=sharing"",""กระบี่!Q266"")"),50660)</f>
        <v>50660</v>
      </c>
      <c r="S75" s="67">
        <f ca="1">IFERROR(__xludf.DUMMYFUNCTION("IMPORTRANGE(""https://docs.google.com/spreadsheets/d/1kKUcYdkIfrgTSj8iHHHB2MD2FAtwyyocFgqGQn6ADyI/edit?usp=sharing"",""กระบี่!R266"")"),40150)</f>
        <v>40150</v>
      </c>
      <c r="T75" s="67">
        <f ca="1">IFERROR(__xludf.DUMMYFUNCTION("IMPORTRANGE(""https://docs.google.com/spreadsheets/d/1kKUcYdkIfrgTSj8iHHHB2MD2FAtwyyocFgqGQn6ADyI/edit?usp=sharing"",""กระบี่!S266"")"),40510)</f>
        <v>40510</v>
      </c>
      <c r="U75" s="68">
        <f t="shared" ca="1" si="30"/>
        <v>79.964469009080148</v>
      </c>
      <c r="V75" s="68">
        <f t="shared" ca="1" si="31"/>
        <v>100.89663760896637</v>
      </c>
      <c r="W75" s="62">
        <f ca="1">IFERROR(__xludf.DUMMYFUNCTION("IMPORTRANGE(""https://docs.google.com/spreadsheets/d/1kKUcYdkIfrgTSj8iHHHB2MD2FAtwyyocFgqGQn6ADyI/edit?usp=sharing"",""กระบี่!I276"")"),22)</f>
        <v>22</v>
      </c>
      <c r="X75" s="62">
        <f ca="1">IFERROR(__xludf.DUMMYFUNCTION("IMPORTRANGE(""https://docs.google.com/spreadsheets/d/1kKUcYdkIfrgTSj8iHHHB2MD2FAtwyyocFgqGQn6ADyI/edit?usp=sharing"",""กระบี่!J276"")"),22)</f>
        <v>22</v>
      </c>
      <c r="Y75" s="152">
        <f t="shared" ca="1" si="33"/>
        <v>100</v>
      </c>
      <c r="Z75" s="62">
        <v>0</v>
      </c>
      <c r="AA75" s="62">
        <v>0</v>
      </c>
      <c r="AB75" s="152">
        <v>0</v>
      </c>
    </row>
    <row r="76" spans="1:28" ht="19.5" x14ac:dyDescent="0.3">
      <c r="A76" s="147">
        <v>2</v>
      </c>
      <c r="B76" s="148" t="s">
        <v>104</v>
      </c>
      <c r="C76" s="149">
        <f t="shared" ca="1" si="21"/>
        <v>5000</v>
      </c>
      <c r="D76" s="150">
        <f t="shared" ca="1" si="46"/>
        <v>5000</v>
      </c>
      <c r="E76" s="151">
        <f ca="1">IFERROR(__xludf.DUMMYFUNCTION("IMPORTRANGE(""https://docs.google.com/spreadsheets/d/1-uDff_7J0KD5mKrp0Vvzr7lt3OU09vwQwhkpOPPYv2Y/edit?usp=sharing"",""งบพรบ!DF76"")"),0)</f>
        <v>0</v>
      </c>
      <c r="F76" s="151">
        <f ca="1">IFERROR(__xludf.DUMMYFUNCTION("IMPORTRANGE(""https://docs.google.com/spreadsheets/d/1-uDff_7J0KD5mKrp0Vvzr7lt3OU09vwQwhkpOPPYv2Y/edit?usp=sharing"",""งบพรบ!DG76"")"),5000)</f>
        <v>5000</v>
      </c>
      <c r="G76" s="151">
        <f ca="1">IFERROR(__xludf.DUMMYFUNCTION("IMPORTRANGE(""https://docs.google.com/spreadsheets/d/1-uDff_7J0KD5mKrp0Vvzr7lt3OU09vwQwhkpOPPYv2Y/edit?usp=sharing"",""งบพรบ!DH76"")"),0)</f>
        <v>0</v>
      </c>
      <c r="H76" s="151">
        <f ca="1">IFERROR(__xludf.DUMMYFUNCTION("IMPORTRANGE(""https://docs.google.com/spreadsheets/d/1-uDff_7J0KD5mKrp0Vvzr7lt3OU09vwQwhkpOPPYv2Y/edit?usp=sharing"",""งบพรบ!DJ76"")"),35170)</f>
        <v>35170</v>
      </c>
      <c r="I76" s="151">
        <f ca="1">IFERROR(__xludf.DUMMYFUNCTION("IMPORTRANGE(""https://docs.google.com/spreadsheets/d/1-uDff_7J0KD5mKrp0Vvzr7lt3OU09vwQwhkpOPPYv2Y/edit?usp=sharing"",""งบพรบ!DK76"")"),0)</f>
        <v>0</v>
      </c>
      <c r="J76" s="151">
        <f t="shared" ca="1" si="23"/>
        <v>20750</v>
      </c>
      <c r="K76" s="154">
        <f t="shared" ca="1" si="24"/>
        <v>415</v>
      </c>
      <c r="L76" s="151">
        <f ca="1">IFERROR(__xludf.DUMMYFUNCTION("IMPORTRANGE(""https://docs.google.com/spreadsheets/d/1-uDff_7J0KD5mKrp0Vvzr7lt3OU09vwQwhkpOPPYv2Y/edit?usp=sharing"",""งบพรบ!DL76"")"),20750)</f>
        <v>20750</v>
      </c>
      <c r="M76" s="68">
        <f t="shared" ca="1" si="25"/>
        <v>415</v>
      </c>
      <c r="N76" s="68">
        <f t="shared" ca="1" si="26"/>
        <v>58.999147000284331</v>
      </c>
      <c r="O76" s="67">
        <f ca="1">IFERROR(__xludf.DUMMYFUNCTION("IMPORTRANGE(""https://docs.google.com/spreadsheets/d/1-uDff_7J0KD5mKrp0Vvzr7lt3OU09vwQwhkpOPPYv2Y/edit?usp=sharing"",""งบพรบ!DM76"")"),0)</f>
        <v>0</v>
      </c>
      <c r="P76" s="67">
        <f t="shared" ca="1" si="27"/>
        <v>0</v>
      </c>
      <c r="Q76" s="68">
        <f t="shared" ca="1" si="28"/>
        <v>0</v>
      </c>
      <c r="R76" s="67">
        <f ca="1">IFERROR(__xludf.DUMMYFUNCTION("IMPORTRANGE(""https://docs.google.com/spreadsheets/d/1GwtLaSlNZkLk7iDqcyZz22giiy40b_usZZBXYciEN1U/edit?usp=sharing"",""ชุมพร!Q266"")"),53440)</f>
        <v>53440</v>
      </c>
      <c r="S76" s="67">
        <f ca="1">IFERROR(__xludf.DUMMYFUNCTION("IMPORTRANGE(""https://docs.google.com/spreadsheets/d/1GwtLaSlNZkLk7iDqcyZz22giiy40b_usZZBXYciEN1U/edit?usp=sharing"",""ชุมพร!R266"")"),53440)</f>
        <v>53440</v>
      </c>
      <c r="T76" s="67">
        <f ca="1">IFERROR(__xludf.DUMMYFUNCTION("IMPORTRANGE(""https://docs.google.com/spreadsheets/d/1GwtLaSlNZkLk7iDqcyZz22giiy40b_usZZBXYciEN1U/edit?usp=sharing"",""ชุมพร!S266"")"),53440)</f>
        <v>53440</v>
      </c>
      <c r="U76" s="68">
        <f t="shared" ca="1" si="30"/>
        <v>100</v>
      </c>
      <c r="V76" s="68">
        <f t="shared" ca="1" si="31"/>
        <v>100</v>
      </c>
      <c r="W76" s="74">
        <f ca="1">IFERROR(__xludf.DUMMYFUNCTION("IMPORTRANGE(""https://docs.google.com/spreadsheets/d/1GwtLaSlNZkLk7iDqcyZz22giiy40b_usZZBXYciEN1U/edit?usp=sharing"",""ชุมพร!I276"")"),24)</f>
        <v>24</v>
      </c>
      <c r="X76" s="74">
        <f ca="1">IFERROR(__xludf.DUMMYFUNCTION("IMPORTRANGE(""https://docs.google.com/spreadsheets/d/1GwtLaSlNZkLk7iDqcyZz22giiy40b_usZZBXYciEN1U/edit?usp=sharing"",""ชุมพร!J276"")"),24)</f>
        <v>24</v>
      </c>
      <c r="Y76" s="152">
        <f t="shared" ca="1" si="33"/>
        <v>100</v>
      </c>
      <c r="Z76" s="74">
        <v>0</v>
      </c>
      <c r="AA76" s="74">
        <v>0</v>
      </c>
      <c r="AB76" s="152">
        <v>0</v>
      </c>
    </row>
    <row r="77" spans="1:28" ht="19.5" x14ac:dyDescent="0.3">
      <c r="A77" s="147">
        <v>3</v>
      </c>
      <c r="B77" s="148" t="s">
        <v>105</v>
      </c>
      <c r="C77" s="149">
        <f t="shared" ca="1" si="21"/>
        <v>5000</v>
      </c>
      <c r="D77" s="150">
        <f t="shared" ca="1" si="46"/>
        <v>5000</v>
      </c>
      <c r="E77" s="151">
        <f ca="1">IFERROR(__xludf.DUMMYFUNCTION("IMPORTRANGE(""https://docs.google.com/spreadsheets/d/1-uDff_7J0KD5mKrp0Vvzr7lt3OU09vwQwhkpOPPYv2Y/edit?usp=sharing"",""งบพรบ!DF77"")"),0)</f>
        <v>0</v>
      </c>
      <c r="F77" s="151">
        <f ca="1">IFERROR(__xludf.DUMMYFUNCTION("IMPORTRANGE(""https://docs.google.com/spreadsheets/d/1-uDff_7J0KD5mKrp0Vvzr7lt3OU09vwQwhkpOPPYv2Y/edit?usp=sharing"",""งบพรบ!DG77"")"),5000)</f>
        <v>5000</v>
      </c>
      <c r="G77" s="151">
        <f ca="1">IFERROR(__xludf.DUMMYFUNCTION("IMPORTRANGE(""https://docs.google.com/spreadsheets/d/1-uDff_7J0KD5mKrp0Vvzr7lt3OU09vwQwhkpOPPYv2Y/edit?usp=sharing"",""งบพรบ!DH77"")"),0)</f>
        <v>0</v>
      </c>
      <c r="H77" s="151">
        <f ca="1">IFERROR(__xludf.DUMMYFUNCTION("IMPORTRANGE(""https://docs.google.com/spreadsheets/d/1-uDff_7J0KD5mKrp0Vvzr7lt3OU09vwQwhkpOPPYv2Y/edit?usp=sharing"",""งบพรบ!DJ77"")"),23500)</f>
        <v>23500</v>
      </c>
      <c r="I77" s="151">
        <f ca="1">IFERROR(__xludf.DUMMYFUNCTION("IMPORTRANGE(""https://docs.google.com/spreadsheets/d/1-uDff_7J0KD5mKrp0Vvzr7lt3OU09vwQwhkpOPPYv2Y/edit?usp=sharing"",""งบพรบ!DK77"")"),0)</f>
        <v>0</v>
      </c>
      <c r="J77" s="151">
        <f t="shared" ca="1" si="23"/>
        <v>12720</v>
      </c>
      <c r="K77" s="154">
        <f t="shared" ca="1" si="24"/>
        <v>254.4</v>
      </c>
      <c r="L77" s="151">
        <f ca="1">IFERROR(__xludf.DUMMYFUNCTION("IMPORTRANGE(""https://docs.google.com/spreadsheets/d/1-uDff_7J0KD5mKrp0Vvzr7lt3OU09vwQwhkpOPPYv2Y/edit?usp=sharing"",""งบพรบ!DL77"")"),12720)</f>
        <v>12720</v>
      </c>
      <c r="M77" s="68">
        <f t="shared" ca="1" si="25"/>
        <v>254.4</v>
      </c>
      <c r="N77" s="68">
        <f t="shared" ca="1" si="26"/>
        <v>54.127659574468083</v>
      </c>
      <c r="O77" s="67">
        <f ca="1">IFERROR(__xludf.DUMMYFUNCTION("IMPORTRANGE(""https://docs.google.com/spreadsheets/d/1-uDff_7J0KD5mKrp0Vvzr7lt3OU09vwQwhkpOPPYv2Y/edit?usp=sharing"",""งบพรบ!DM77"")"),0)</f>
        <v>0</v>
      </c>
      <c r="P77" s="67">
        <f t="shared" ca="1" si="27"/>
        <v>0</v>
      </c>
      <c r="Q77" s="68">
        <f t="shared" ca="1" si="28"/>
        <v>0</v>
      </c>
      <c r="R77" s="67">
        <f ca="1">IFERROR(__xludf.DUMMYFUNCTION("IMPORTRANGE(""https://docs.google.com/spreadsheets/d/16pAz3pOhQEZBhvFNMa5KGgZS6iKWpsKX0pg6tQmwFpo/edit?usp=sharing"",""ตรัง!Q266"")"),50660)</f>
        <v>50660</v>
      </c>
      <c r="S77" s="67">
        <f ca="1">IFERROR(__xludf.DUMMYFUNCTION("IMPORTRANGE(""https://docs.google.com/spreadsheets/d/16pAz3pOhQEZBhvFNMa5KGgZS6iKWpsKX0pg6tQmwFpo/edit?usp=sharing"",""ตรัง!R266"")"),50660)</f>
        <v>50660</v>
      </c>
      <c r="T77" s="67">
        <f ca="1">IFERROR(__xludf.DUMMYFUNCTION("IMPORTRANGE(""https://docs.google.com/spreadsheets/d/16pAz3pOhQEZBhvFNMa5KGgZS6iKWpsKX0pg6tQmwFpo/edit?usp=sharing"",""ตรัง!S266"")"),37760)</f>
        <v>37760</v>
      </c>
      <c r="U77" s="68">
        <f t="shared" ca="1" si="30"/>
        <v>74.53612317410186</v>
      </c>
      <c r="V77" s="68">
        <f t="shared" ca="1" si="31"/>
        <v>74.53612317410186</v>
      </c>
      <c r="W77" s="74">
        <f ca="1">IFERROR(__xludf.DUMMYFUNCTION("IMPORTRANGE(""https://docs.google.com/spreadsheets/d/16pAz3pOhQEZBhvFNMa5KGgZS6iKWpsKX0pg6tQmwFpo/edit?usp=sharing"",""ตรัง!I276"")"),22)</f>
        <v>22</v>
      </c>
      <c r="X77" s="74">
        <f ca="1">IFERROR(__xludf.DUMMYFUNCTION("IMPORTRANGE(""https://docs.google.com/spreadsheets/d/16pAz3pOhQEZBhvFNMa5KGgZS6iKWpsKX0pg6tQmwFpo/edit?usp=sharing"",""ตรัง!J276"")"),22)</f>
        <v>22</v>
      </c>
      <c r="Y77" s="152">
        <f t="shared" ca="1" si="33"/>
        <v>100</v>
      </c>
      <c r="Z77" s="74">
        <v>0</v>
      </c>
      <c r="AA77" s="74">
        <v>0</v>
      </c>
      <c r="AB77" s="152">
        <v>0</v>
      </c>
    </row>
    <row r="78" spans="1:28" ht="19.5" x14ac:dyDescent="0.3">
      <c r="A78" s="147">
        <v>4</v>
      </c>
      <c r="B78" s="148" t="s">
        <v>106</v>
      </c>
      <c r="C78" s="149">
        <f t="shared" ca="1" si="21"/>
        <v>5000</v>
      </c>
      <c r="D78" s="150">
        <f t="shared" ca="1" si="46"/>
        <v>5000</v>
      </c>
      <c r="E78" s="151">
        <f ca="1">IFERROR(__xludf.DUMMYFUNCTION("IMPORTRANGE(""https://docs.google.com/spreadsheets/d/1-uDff_7J0KD5mKrp0Vvzr7lt3OU09vwQwhkpOPPYv2Y/edit?usp=sharing"",""งบพรบ!DF78"")"),0)</f>
        <v>0</v>
      </c>
      <c r="F78" s="151">
        <f ca="1">IFERROR(__xludf.DUMMYFUNCTION("IMPORTRANGE(""https://docs.google.com/spreadsheets/d/1-uDff_7J0KD5mKrp0Vvzr7lt3OU09vwQwhkpOPPYv2Y/edit?usp=sharing"",""งบพรบ!DG78"")"),5000)</f>
        <v>5000</v>
      </c>
      <c r="G78" s="151">
        <f ca="1">IFERROR(__xludf.DUMMYFUNCTION("IMPORTRANGE(""https://docs.google.com/spreadsheets/d/1-uDff_7J0KD5mKrp0Vvzr7lt3OU09vwQwhkpOPPYv2Y/edit?usp=sharing"",""งบพรบ!DH78"")"),0)</f>
        <v>0</v>
      </c>
      <c r="H78" s="151">
        <f ca="1">IFERROR(__xludf.DUMMYFUNCTION("IMPORTRANGE(""https://docs.google.com/spreadsheets/d/1-uDff_7J0KD5mKrp0Vvzr7lt3OU09vwQwhkpOPPYv2Y/edit?usp=sharing"",""งบพรบ!DJ78"")"),23100)</f>
        <v>23100</v>
      </c>
      <c r="I78" s="151">
        <f ca="1">IFERROR(__xludf.DUMMYFUNCTION("IMPORTRANGE(""https://docs.google.com/spreadsheets/d/1-uDff_7J0KD5mKrp0Vvzr7lt3OU09vwQwhkpOPPYv2Y/edit?usp=sharing"",""งบพรบ!DK78"")"),0)</f>
        <v>0</v>
      </c>
      <c r="J78" s="151">
        <f t="shared" ca="1" si="23"/>
        <v>22870</v>
      </c>
      <c r="K78" s="154">
        <f t="shared" ca="1" si="24"/>
        <v>457.4</v>
      </c>
      <c r="L78" s="151">
        <f ca="1">IFERROR(__xludf.DUMMYFUNCTION("IMPORTRANGE(""https://docs.google.com/spreadsheets/d/1-uDff_7J0KD5mKrp0Vvzr7lt3OU09vwQwhkpOPPYv2Y/edit?usp=sharing"",""งบพรบ!DL78"")"),22870)</f>
        <v>22870</v>
      </c>
      <c r="M78" s="68">
        <f t="shared" ca="1" si="25"/>
        <v>457.4</v>
      </c>
      <c r="N78" s="68">
        <f t="shared" ca="1" si="26"/>
        <v>99.004329004329009</v>
      </c>
      <c r="O78" s="67">
        <f ca="1">IFERROR(__xludf.DUMMYFUNCTION("IMPORTRANGE(""https://docs.google.com/spreadsheets/d/1-uDff_7J0KD5mKrp0Vvzr7lt3OU09vwQwhkpOPPYv2Y/edit?usp=sharing"",""งบพรบ!DM78"")"),0)</f>
        <v>0</v>
      </c>
      <c r="P78" s="67">
        <f t="shared" ca="1" si="27"/>
        <v>0</v>
      </c>
      <c r="Q78" s="68">
        <f t="shared" ca="1" si="28"/>
        <v>0</v>
      </c>
      <c r="R78" s="67">
        <f ca="1">IFERROR(__xludf.DUMMYFUNCTION("IMPORTRANGE(""https://docs.google.com/spreadsheets/d/1Dj4jcHCTV9JXKCaMoheSXS52JE63kDKyG7bPXnFogHk/edit?usp=sharing"",""นครศรีธรรมราช!Q266"")"),53440)</f>
        <v>53440</v>
      </c>
      <c r="S78" s="67">
        <f ca="1">IFERROR(__xludf.DUMMYFUNCTION("IMPORTRANGE(""https://docs.google.com/spreadsheets/d/1Dj4jcHCTV9JXKCaMoheSXS52JE63kDKyG7bPXnFogHk/edit?usp=sharing"",""นครศรีธรรมราช!R266"")"),53440)</f>
        <v>53440</v>
      </c>
      <c r="T78" s="67">
        <f ca="1">IFERROR(__xludf.DUMMYFUNCTION("IMPORTRANGE(""https://docs.google.com/spreadsheets/d/1Dj4jcHCTV9JXKCaMoheSXS52JE63kDKyG7bPXnFogHk/edit?usp=sharing"",""นครศรีธรรมราช!S266"")"),44528)</f>
        <v>44528</v>
      </c>
      <c r="U78" s="68">
        <f t="shared" ca="1" si="30"/>
        <v>83.323353293413177</v>
      </c>
      <c r="V78" s="68">
        <f t="shared" ca="1" si="31"/>
        <v>83.323353293413177</v>
      </c>
      <c r="W78" s="74">
        <f ca="1">IFERROR(__xludf.DUMMYFUNCTION("IMPORTRANGE(""https://docs.google.com/spreadsheets/d/1Dj4jcHCTV9JXKCaMoheSXS52JE63kDKyG7bPXnFogHk/edit?usp=sharing"",""นครศรีธรรมราช!I276"")"),24)</f>
        <v>24</v>
      </c>
      <c r="X78" s="74">
        <f ca="1">IFERROR(__xludf.DUMMYFUNCTION("IMPORTRANGE(""https://docs.google.com/spreadsheets/d/1Dj4jcHCTV9JXKCaMoheSXS52JE63kDKyG7bPXnFogHk/edit?usp=sharing"",""นครศรีธรรมราช!J276"")"),24)</f>
        <v>24</v>
      </c>
      <c r="Y78" s="152">
        <f t="shared" ca="1" si="33"/>
        <v>100</v>
      </c>
      <c r="Z78" s="74">
        <v>0</v>
      </c>
      <c r="AA78" s="74">
        <v>0</v>
      </c>
      <c r="AB78" s="152">
        <v>0</v>
      </c>
    </row>
    <row r="79" spans="1:28" ht="19.5" x14ac:dyDescent="0.3">
      <c r="A79" s="147">
        <v>5</v>
      </c>
      <c r="B79" s="148" t="s">
        <v>107</v>
      </c>
      <c r="C79" s="149">
        <f t="shared" ca="1" si="21"/>
        <v>5000</v>
      </c>
      <c r="D79" s="150">
        <f t="shared" ca="1" si="46"/>
        <v>5000</v>
      </c>
      <c r="E79" s="151">
        <f ca="1">IFERROR(__xludf.DUMMYFUNCTION("IMPORTRANGE(""https://docs.google.com/spreadsheets/d/1-uDff_7J0KD5mKrp0Vvzr7lt3OU09vwQwhkpOPPYv2Y/edit?usp=sharing"",""งบพรบ!DF79"")"),0)</f>
        <v>0</v>
      </c>
      <c r="F79" s="151">
        <f ca="1">IFERROR(__xludf.DUMMYFUNCTION("IMPORTRANGE(""https://docs.google.com/spreadsheets/d/1-uDff_7J0KD5mKrp0Vvzr7lt3OU09vwQwhkpOPPYv2Y/edit?usp=sharing"",""งบพรบ!DG79"")"),5000)</f>
        <v>5000</v>
      </c>
      <c r="G79" s="151">
        <f ca="1">IFERROR(__xludf.DUMMYFUNCTION("IMPORTRANGE(""https://docs.google.com/spreadsheets/d/1-uDff_7J0KD5mKrp0Vvzr7lt3OU09vwQwhkpOPPYv2Y/edit?usp=sharing"",""งบพรบ!DH79"")"),0)</f>
        <v>0</v>
      </c>
      <c r="H79" s="151">
        <f ca="1">IFERROR(__xludf.DUMMYFUNCTION("IMPORTRANGE(""https://docs.google.com/spreadsheets/d/1-uDff_7J0KD5mKrp0Vvzr7lt3OU09vwQwhkpOPPYv2Y/edit?usp=sharing"",""งบพรบ!DJ79"")"),25700)</f>
        <v>25700</v>
      </c>
      <c r="I79" s="151">
        <f ca="1">IFERROR(__xludf.DUMMYFUNCTION("IMPORTRANGE(""https://docs.google.com/spreadsheets/d/1-uDff_7J0KD5mKrp0Vvzr7lt3OU09vwQwhkpOPPYv2Y/edit?usp=sharing"",""งบพรบ!DK79"")"),0)</f>
        <v>0</v>
      </c>
      <c r="J79" s="151">
        <f t="shared" ca="1" si="23"/>
        <v>23470</v>
      </c>
      <c r="K79" s="154">
        <f t="shared" ca="1" si="24"/>
        <v>469.4</v>
      </c>
      <c r="L79" s="151">
        <f ca="1">IFERROR(__xludf.DUMMYFUNCTION("IMPORTRANGE(""https://docs.google.com/spreadsheets/d/1-uDff_7J0KD5mKrp0Vvzr7lt3OU09vwQwhkpOPPYv2Y/edit?usp=sharing"",""งบพรบ!DL79"")"),23470)</f>
        <v>23470</v>
      </c>
      <c r="M79" s="68">
        <f t="shared" ca="1" si="25"/>
        <v>469.4</v>
      </c>
      <c r="N79" s="68">
        <f t="shared" ca="1" si="26"/>
        <v>91.322957198443575</v>
      </c>
      <c r="O79" s="67">
        <f ca="1">IFERROR(__xludf.DUMMYFUNCTION("IMPORTRANGE(""https://docs.google.com/spreadsheets/d/1-uDff_7J0KD5mKrp0Vvzr7lt3OU09vwQwhkpOPPYv2Y/edit?usp=sharing"",""งบพรบ!DM79"")"),0)</f>
        <v>0</v>
      </c>
      <c r="P79" s="67">
        <f t="shared" ca="1" si="27"/>
        <v>0</v>
      </c>
      <c r="Q79" s="68">
        <f t="shared" ca="1" si="28"/>
        <v>0</v>
      </c>
      <c r="R79" s="67">
        <f ca="1">IFERROR(__xludf.DUMMYFUNCTION("IMPORTRANGE(""https://docs.google.com/spreadsheets/d/1iodCdmuK2GR3jzUwk8tpccY2JHQQA-87DLOtJP-ooyU/edit?usp=sharing"",""นราธิวาส!Q266"")"),47880)</f>
        <v>47880</v>
      </c>
      <c r="S79" s="67">
        <f ca="1">IFERROR(__xludf.DUMMYFUNCTION("IMPORTRANGE(""https://docs.google.com/spreadsheets/d/1iodCdmuK2GR3jzUwk8tpccY2JHQQA-87DLOtJP-ooyU/edit?usp=sharing"",""นราธิวาส!R266"")"),47880)</f>
        <v>47880</v>
      </c>
      <c r="T79" s="67">
        <f ca="1">IFERROR(__xludf.DUMMYFUNCTION("IMPORTRANGE(""https://docs.google.com/spreadsheets/d/1iodCdmuK2GR3jzUwk8tpccY2JHQQA-87DLOtJP-ooyU/edit?usp=sharing"",""นราธิวาส!S266"")"),47880)</f>
        <v>47880</v>
      </c>
      <c r="U79" s="68">
        <f t="shared" ca="1" si="30"/>
        <v>100</v>
      </c>
      <c r="V79" s="68">
        <f t="shared" ca="1" si="31"/>
        <v>100</v>
      </c>
      <c r="W79" s="74">
        <f ca="1">IFERROR(__xludf.DUMMYFUNCTION("IMPORTRANGE(""https://docs.google.com/spreadsheets/d/1iodCdmuK2GR3jzUwk8tpccY2JHQQA-87DLOtJP-ooyU/edit?usp=sharing"",""นราธิวาส!I276"")"),20)</f>
        <v>20</v>
      </c>
      <c r="X79" s="74">
        <f ca="1">IFERROR(__xludf.DUMMYFUNCTION("IMPORTRANGE(""https://docs.google.com/spreadsheets/d/1iodCdmuK2GR3jzUwk8tpccY2JHQQA-87DLOtJP-ooyU/edit?usp=sharing"",""นราธิวาส!J276"")"),20)</f>
        <v>20</v>
      </c>
      <c r="Y79" s="152">
        <f t="shared" ca="1" si="33"/>
        <v>100</v>
      </c>
      <c r="Z79" s="74">
        <v>0</v>
      </c>
      <c r="AA79" s="74">
        <v>0</v>
      </c>
      <c r="AB79" s="152">
        <v>0</v>
      </c>
    </row>
    <row r="80" spans="1:28" ht="19.5" x14ac:dyDescent="0.3">
      <c r="A80" s="147">
        <v>6</v>
      </c>
      <c r="B80" s="148" t="s">
        <v>108</v>
      </c>
      <c r="C80" s="149">
        <f t="shared" ca="1" si="21"/>
        <v>5000</v>
      </c>
      <c r="D80" s="150">
        <f t="shared" ca="1" si="46"/>
        <v>5000</v>
      </c>
      <c r="E80" s="151">
        <f ca="1">IFERROR(__xludf.DUMMYFUNCTION("IMPORTRANGE(""https://docs.google.com/spreadsheets/d/1-uDff_7J0KD5mKrp0Vvzr7lt3OU09vwQwhkpOPPYv2Y/edit?usp=sharing"",""งบพรบ!DF80"")"),0)</f>
        <v>0</v>
      </c>
      <c r="F80" s="151">
        <f ca="1">IFERROR(__xludf.DUMMYFUNCTION("IMPORTRANGE(""https://docs.google.com/spreadsheets/d/1-uDff_7J0KD5mKrp0Vvzr7lt3OU09vwQwhkpOPPYv2Y/edit?usp=sharing"",""งบพรบ!DG80"")"),5000)</f>
        <v>5000</v>
      </c>
      <c r="G80" s="151">
        <f ca="1">IFERROR(__xludf.DUMMYFUNCTION("IMPORTRANGE(""https://docs.google.com/spreadsheets/d/1-uDff_7J0KD5mKrp0Vvzr7lt3OU09vwQwhkpOPPYv2Y/edit?usp=sharing"",""งบพรบ!DH80"")"),0)</f>
        <v>0</v>
      </c>
      <c r="H80" s="151">
        <f ca="1">IFERROR(__xludf.DUMMYFUNCTION("IMPORTRANGE(""https://docs.google.com/spreadsheets/d/1-uDff_7J0KD5mKrp0Vvzr7lt3OU09vwQwhkpOPPYv2Y/edit?usp=sharing"",""งบพรบ!DJ80"")"),25000)</f>
        <v>25000</v>
      </c>
      <c r="I80" s="151">
        <f ca="1">IFERROR(__xludf.DUMMYFUNCTION("IMPORTRANGE(""https://docs.google.com/spreadsheets/d/1-uDff_7J0KD5mKrp0Vvzr7lt3OU09vwQwhkpOPPYv2Y/edit?usp=sharing"",""งบพรบ!DK80"")"),0)</f>
        <v>0</v>
      </c>
      <c r="J80" s="151">
        <f t="shared" ca="1" si="23"/>
        <v>25000</v>
      </c>
      <c r="K80" s="154">
        <f t="shared" ca="1" si="24"/>
        <v>500</v>
      </c>
      <c r="L80" s="151">
        <f ca="1">IFERROR(__xludf.DUMMYFUNCTION("IMPORTRANGE(""https://docs.google.com/spreadsheets/d/1-uDff_7J0KD5mKrp0Vvzr7lt3OU09vwQwhkpOPPYv2Y/edit?usp=sharing"",""งบพรบ!DL80"")"),25000)</f>
        <v>25000</v>
      </c>
      <c r="M80" s="68">
        <f t="shared" ca="1" si="25"/>
        <v>500</v>
      </c>
      <c r="N80" s="68">
        <f t="shared" ca="1" si="26"/>
        <v>100</v>
      </c>
      <c r="O80" s="67">
        <f ca="1">IFERROR(__xludf.DUMMYFUNCTION("IMPORTRANGE(""https://docs.google.com/spreadsheets/d/1-uDff_7J0KD5mKrp0Vvzr7lt3OU09vwQwhkpOPPYv2Y/edit?usp=sharing"",""งบพรบ!DM80"")"),0)</f>
        <v>0</v>
      </c>
      <c r="P80" s="67">
        <f t="shared" ca="1" si="27"/>
        <v>0</v>
      </c>
      <c r="Q80" s="68">
        <f t="shared" ca="1" si="28"/>
        <v>0</v>
      </c>
      <c r="R80" s="67">
        <f ca="1">IFERROR(__xludf.DUMMYFUNCTION("IMPORTRANGE(""https://docs.google.com/spreadsheets/d/1SDNX3JhDdYRuIOsj0Wh2M-Qa_eaXl0NbWmhAOTbfQAs/edit?usp=sharing"",""ปัตตานี!Q266"")"),47880)</f>
        <v>47880</v>
      </c>
      <c r="S80" s="67">
        <f ca="1">IFERROR(__xludf.DUMMYFUNCTION("IMPORTRANGE(""https://docs.google.com/spreadsheets/d/1SDNX3JhDdYRuIOsj0Wh2M-Qa_eaXl0NbWmhAOTbfQAs/edit?usp=sharing"",""ปัตตานี!R266"")"),47880)</f>
        <v>47880</v>
      </c>
      <c r="T80" s="67">
        <f ca="1">IFERROR(__xludf.DUMMYFUNCTION("IMPORTRANGE(""https://docs.google.com/spreadsheets/d/1SDNX3JhDdYRuIOsj0Wh2M-Qa_eaXl0NbWmhAOTbfQAs/edit?usp=sharing"",""ปัตตานี!S266"")"),42740)</f>
        <v>42740</v>
      </c>
      <c r="U80" s="68">
        <f t="shared" ca="1" si="30"/>
        <v>89.264828738512946</v>
      </c>
      <c r="V80" s="68">
        <f t="shared" ca="1" si="31"/>
        <v>89.264828738512946</v>
      </c>
      <c r="W80" s="74">
        <f ca="1">IFERROR(__xludf.DUMMYFUNCTION("IMPORTRANGE(""https://docs.google.com/spreadsheets/d/1SDNX3JhDdYRuIOsj0Wh2M-Qa_eaXl0NbWmhAOTbfQAs/edit?usp=sharing"",""ปัตตานี!I276"")"),20)</f>
        <v>20</v>
      </c>
      <c r="X80" s="74">
        <f ca="1">IFERROR(__xludf.DUMMYFUNCTION("IMPORTRANGE(""https://docs.google.com/spreadsheets/d/1SDNX3JhDdYRuIOsj0Wh2M-Qa_eaXl0NbWmhAOTbfQAs/edit?usp=sharing"",""ปัตตานี!J276"")"),20)</f>
        <v>20</v>
      </c>
      <c r="Y80" s="152">
        <f t="shared" ca="1" si="33"/>
        <v>100</v>
      </c>
      <c r="Z80" s="74">
        <v>0</v>
      </c>
      <c r="AA80" s="74">
        <v>0</v>
      </c>
      <c r="AB80" s="152">
        <v>0</v>
      </c>
    </row>
    <row r="81" spans="1:28" ht="19.5" x14ac:dyDescent="0.3">
      <c r="A81" s="147">
        <v>7</v>
      </c>
      <c r="B81" s="148" t="s">
        <v>109</v>
      </c>
      <c r="C81" s="149">
        <f t="shared" ca="1" si="21"/>
        <v>5000</v>
      </c>
      <c r="D81" s="150">
        <f t="shared" ca="1" si="46"/>
        <v>5000</v>
      </c>
      <c r="E81" s="151">
        <f ca="1">IFERROR(__xludf.DUMMYFUNCTION("IMPORTRANGE(""https://docs.google.com/spreadsheets/d/1-uDff_7J0KD5mKrp0Vvzr7lt3OU09vwQwhkpOPPYv2Y/edit?usp=sharing"",""งบพรบ!DF81"")"),0)</f>
        <v>0</v>
      </c>
      <c r="F81" s="151">
        <f ca="1">IFERROR(__xludf.DUMMYFUNCTION("IMPORTRANGE(""https://docs.google.com/spreadsheets/d/1-uDff_7J0KD5mKrp0Vvzr7lt3OU09vwQwhkpOPPYv2Y/edit?usp=sharing"",""งบพรบ!DG81"")"),5000)</f>
        <v>5000</v>
      </c>
      <c r="G81" s="151">
        <f ca="1">IFERROR(__xludf.DUMMYFUNCTION("IMPORTRANGE(""https://docs.google.com/spreadsheets/d/1-uDff_7J0KD5mKrp0Vvzr7lt3OU09vwQwhkpOPPYv2Y/edit?usp=sharing"",""งบพรบ!DH81"")"),0)</f>
        <v>0</v>
      </c>
      <c r="H81" s="151">
        <f ca="1">IFERROR(__xludf.DUMMYFUNCTION("IMPORTRANGE(""https://docs.google.com/spreadsheets/d/1-uDff_7J0KD5mKrp0Vvzr7lt3OU09vwQwhkpOPPYv2Y/edit?usp=sharing"",""งบพรบ!DJ81"")"),23100)</f>
        <v>23100</v>
      </c>
      <c r="I81" s="151">
        <f ca="1">IFERROR(__xludf.DUMMYFUNCTION("IMPORTRANGE(""https://docs.google.com/spreadsheets/d/1-uDff_7J0KD5mKrp0Vvzr7lt3OU09vwQwhkpOPPYv2Y/edit?usp=sharing"",""งบพรบ!DK81"")"),0)</f>
        <v>0</v>
      </c>
      <c r="J81" s="151">
        <f t="shared" ca="1" si="23"/>
        <v>5000</v>
      </c>
      <c r="K81" s="154">
        <f t="shared" ca="1" si="24"/>
        <v>100</v>
      </c>
      <c r="L81" s="151">
        <f ca="1">IFERROR(__xludf.DUMMYFUNCTION("IMPORTRANGE(""https://docs.google.com/spreadsheets/d/1-uDff_7J0KD5mKrp0Vvzr7lt3OU09vwQwhkpOPPYv2Y/edit?usp=sharing"",""งบพรบ!DL81"")"),5000)</f>
        <v>5000</v>
      </c>
      <c r="M81" s="68">
        <f t="shared" ca="1" si="25"/>
        <v>100</v>
      </c>
      <c r="N81" s="68">
        <f t="shared" ca="1" si="26"/>
        <v>21.645021645021647</v>
      </c>
      <c r="O81" s="67">
        <f ca="1">IFERROR(__xludf.DUMMYFUNCTION("IMPORTRANGE(""https://docs.google.com/spreadsheets/d/1-uDff_7J0KD5mKrp0Vvzr7lt3OU09vwQwhkpOPPYv2Y/edit?usp=sharing"",""งบพรบ!DM81"")"),0)</f>
        <v>0</v>
      </c>
      <c r="P81" s="67">
        <f t="shared" ca="1" si="27"/>
        <v>0</v>
      </c>
      <c r="Q81" s="68">
        <f t="shared" ca="1" si="28"/>
        <v>0</v>
      </c>
      <c r="R81" s="67">
        <f ca="1">IFERROR(__xludf.DUMMYFUNCTION("IMPORTRANGE(""https://docs.google.com/spreadsheets/d/16JDLGguT8s5DsGCND1KcwHP_AWR_zDMTqLHPLJUKhaU/edit?usp=sharing"",""พังงา!Q266"")"),50660)</f>
        <v>50660</v>
      </c>
      <c r="S81" s="67">
        <f ca="1">IFERROR(__xludf.DUMMYFUNCTION("IMPORTRANGE(""https://docs.google.com/spreadsheets/d/16JDLGguT8s5DsGCND1KcwHP_AWR_zDMTqLHPLJUKhaU/edit?usp=sharing"",""พังงา!R266"")"),50660)</f>
        <v>50660</v>
      </c>
      <c r="T81" s="67">
        <f ca="1">IFERROR(__xludf.DUMMYFUNCTION("IMPORTRANGE(""https://docs.google.com/spreadsheets/d/16JDLGguT8s5DsGCND1KcwHP_AWR_zDMTqLHPLJUKhaU/edit?usp=sharing"",""พังงา!S266"")"),22208)</f>
        <v>22208</v>
      </c>
      <c r="U81" s="68">
        <f t="shared" ca="1" si="30"/>
        <v>43.837347019344648</v>
      </c>
      <c r="V81" s="68">
        <f t="shared" ca="1" si="31"/>
        <v>43.837347019344648</v>
      </c>
      <c r="W81" s="74">
        <f ca="1">IFERROR(__xludf.DUMMYFUNCTION("IMPORTRANGE(""https://docs.google.com/spreadsheets/d/16JDLGguT8s5DsGCND1KcwHP_AWR_zDMTqLHPLJUKhaU/edit?usp=sharing"",""พังงา!I276"")"),22)</f>
        <v>22</v>
      </c>
      <c r="X81" s="74">
        <f ca="1">IFERROR(__xludf.DUMMYFUNCTION("IMPORTRANGE(""https://docs.google.com/spreadsheets/d/16JDLGguT8s5DsGCND1KcwHP_AWR_zDMTqLHPLJUKhaU/edit?usp=sharing"",""พังงา!J276"")"),0)</f>
        <v>0</v>
      </c>
      <c r="Y81" s="152">
        <f t="shared" ca="1" si="33"/>
        <v>0</v>
      </c>
      <c r="Z81" s="74">
        <v>0</v>
      </c>
      <c r="AA81" s="74">
        <v>0</v>
      </c>
      <c r="AB81" s="152">
        <v>0</v>
      </c>
    </row>
    <row r="82" spans="1:28" ht="19.5" x14ac:dyDescent="0.3">
      <c r="A82" s="147">
        <v>8</v>
      </c>
      <c r="B82" s="148" t="s">
        <v>110</v>
      </c>
      <c r="C82" s="149">
        <f t="shared" ca="1" si="21"/>
        <v>5000</v>
      </c>
      <c r="D82" s="150">
        <f t="shared" ca="1" si="46"/>
        <v>5000</v>
      </c>
      <c r="E82" s="151">
        <f ca="1">IFERROR(__xludf.DUMMYFUNCTION("IMPORTRANGE(""https://docs.google.com/spreadsheets/d/1-uDff_7J0KD5mKrp0Vvzr7lt3OU09vwQwhkpOPPYv2Y/edit?usp=sharing"",""งบพรบ!DF82"")"),0)</f>
        <v>0</v>
      </c>
      <c r="F82" s="151">
        <f ca="1">IFERROR(__xludf.DUMMYFUNCTION("IMPORTRANGE(""https://docs.google.com/spreadsheets/d/1-uDff_7J0KD5mKrp0Vvzr7lt3OU09vwQwhkpOPPYv2Y/edit?usp=sharing"",""งบพรบ!DG82"")"),5000)</f>
        <v>5000</v>
      </c>
      <c r="G82" s="151">
        <f ca="1">IFERROR(__xludf.DUMMYFUNCTION("IMPORTRANGE(""https://docs.google.com/spreadsheets/d/1-uDff_7J0KD5mKrp0Vvzr7lt3OU09vwQwhkpOPPYv2Y/edit?usp=sharing"",""งบพรบ!DH82"")"),0)</f>
        <v>0</v>
      </c>
      <c r="H82" s="151">
        <f ca="1">IFERROR(__xludf.DUMMYFUNCTION("IMPORTRANGE(""https://docs.google.com/spreadsheets/d/1-uDff_7J0KD5mKrp0Vvzr7lt3OU09vwQwhkpOPPYv2Y/edit?usp=sharing"",""งบพรบ!DJ82"")"),40920)</f>
        <v>40920</v>
      </c>
      <c r="I82" s="151">
        <f ca="1">IFERROR(__xludf.DUMMYFUNCTION("IMPORTRANGE(""https://docs.google.com/spreadsheets/d/1-uDff_7J0KD5mKrp0Vvzr7lt3OU09vwQwhkpOPPYv2Y/edit?usp=sharing"",""งบพรบ!DK82"")"),0)</f>
        <v>0</v>
      </c>
      <c r="J82" s="151">
        <f t="shared" ca="1" si="23"/>
        <v>40920</v>
      </c>
      <c r="K82" s="154">
        <f t="shared" ca="1" si="24"/>
        <v>818.4</v>
      </c>
      <c r="L82" s="151">
        <f ca="1">IFERROR(__xludf.DUMMYFUNCTION("IMPORTRANGE(""https://docs.google.com/spreadsheets/d/1-uDff_7J0KD5mKrp0Vvzr7lt3OU09vwQwhkpOPPYv2Y/edit?usp=sharing"",""งบพรบ!DL82"")"),40920)</f>
        <v>40920</v>
      </c>
      <c r="M82" s="68">
        <f t="shared" ca="1" si="25"/>
        <v>818.4</v>
      </c>
      <c r="N82" s="68">
        <f t="shared" ca="1" si="26"/>
        <v>100</v>
      </c>
      <c r="O82" s="67">
        <f ca="1">IFERROR(__xludf.DUMMYFUNCTION("IMPORTRANGE(""https://docs.google.com/spreadsheets/d/1-uDff_7J0KD5mKrp0Vvzr7lt3OU09vwQwhkpOPPYv2Y/edit?usp=sharing"",""งบพรบ!DM82"")"),0)</f>
        <v>0</v>
      </c>
      <c r="P82" s="67">
        <f t="shared" ca="1" si="27"/>
        <v>0</v>
      </c>
      <c r="Q82" s="68">
        <f t="shared" ca="1" si="28"/>
        <v>0</v>
      </c>
      <c r="R82" s="67">
        <f ca="1">IFERROR(__xludf.DUMMYFUNCTION("IMPORTRANGE(""https://docs.google.com/spreadsheets/d/17ht0gPKzzT3PObBL1XJkeRmntBXI7wGjpLV7QorqlTk/edit?usp=sharing"",""พัทลุง!Q266"")"),50660)</f>
        <v>50660</v>
      </c>
      <c r="S82" s="67">
        <f ca="1">IFERROR(__xludf.DUMMYFUNCTION("IMPORTRANGE(""https://docs.google.com/spreadsheets/d/17ht0gPKzzT3PObBL1XJkeRmntBXI7wGjpLV7QorqlTk/edit?usp=sharing"",""พัทลุง!R266"")"),50660)</f>
        <v>50660</v>
      </c>
      <c r="T82" s="67">
        <f ca="1">IFERROR(__xludf.DUMMYFUNCTION("IMPORTRANGE(""https://docs.google.com/spreadsheets/d/17ht0gPKzzT3PObBL1XJkeRmntBXI7wGjpLV7QorqlTk/edit?usp=sharing"",""พัทลุง!S266"")"),48446)</f>
        <v>48446</v>
      </c>
      <c r="U82" s="68">
        <f t="shared" ca="1" si="30"/>
        <v>95.62968811685748</v>
      </c>
      <c r="V82" s="68">
        <f t="shared" ca="1" si="31"/>
        <v>95.62968811685748</v>
      </c>
      <c r="W82" s="74">
        <f ca="1">IFERROR(__xludf.DUMMYFUNCTION("IMPORTRANGE(""https://docs.google.com/spreadsheets/d/17ht0gPKzzT3PObBL1XJkeRmntBXI7wGjpLV7QorqlTk/edit?usp=sharing"",""พัทลุง!I276"")"),22)</f>
        <v>22</v>
      </c>
      <c r="X82" s="74">
        <f ca="1">IFERROR(__xludf.DUMMYFUNCTION("IMPORTRANGE(""https://docs.google.com/spreadsheets/d/17ht0gPKzzT3PObBL1XJkeRmntBXI7wGjpLV7QorqlTk/edit?usp=sharing"",""พัทลุง!J276"")"),22)</f>
        <v>22</v>
      </c>
      <c r="Y82" s="152">
        <f t="shared" ca="1" si="33"/>
        <v>100</v>
      </c>
      <c r="Z82" s="74">
        <v>0</v>
      </c>
      <c r="AA82" s="74">
        <v>0</v>
      </c>
      <c r="AB82" s="152">
        <v>0</v>
      </c>
    </row>
    <row r="83" spans="1:28" ht="19.5" x14ac:dyDescent="0.3">
      <c r="A83" s="147">
        <v>9</v>
      </c>
      <c r="B83" s="148" t="s">
        <v>111</v>
      </c>
      <c r="C83" s="149">
        <f t="shared" ca="1" si="21"/>
        <v>5000</v>
      </c>
      <c r="D83" s="150">
        <f t="shared" ca="1" si="46"/>
        <v>5000</v>
      </c>
      <c r="E83" s="151">
        <f ca="1">IFERROR(__xludf.DUMMYFUNCTION("IMPORTRANGE(""https://docs.google.com/spreadsheets/d/1-uDff_7J0KD5mKrp0Vvzr7lt3OU09vwQwhkpOPPYv2Y/edit?usp=sharing"",""งบพรบ!DF83"")"),0)</f>
        <v>0</v>
      </c>
      <c r="F83" s="151">
        <f ca="1">IFERROR(__xludf.DUMMYFUNCTION("IMPORTRANGE(""https://docs.google.com/spreadsheets/d/1-uDff_7J0KD5mKrp0Vvzr7lt3OU09vwQwhkpOPPYv2Y/edit?usp=sharing"",""งบพรบ!DG83"")"),5000)</f>
        <v>5000</v>
      </c>
      <c r="G83" s="151">
        <f ca="1">IFERROR(__xludf.DUMMYFUNCTION("IMPORTRANGE(""https://docs.google.com/spreadsheets/d/1-uDff_7J0KD5mKrp0Vvzr7lt3OU09vwQwhkpOPPYv2Y/edit?usp=sharing"",""งบพรบ!DH83"")"),0)</f>
        <v>0</v>
      </c>
      <c r="H83" s="151">
        <f ca="1">IFERROR(__xludf.DUMMYFUNCTION("IMPORTRANGE(""https://docs.google.com/spreadsheets/d/1-uDff_7J0KD5mKrp0Vvzr7lt3OU09vwQwhkpOPPYv2Y/edit?usp=sharing"",""งบพรบ!DJ83"")"),23700)</f>
        <v>23700</v>
      </c>
      <c r="I83" s="151">
        <f ca="1">IFERROR(__xludf.DUMMYFUNCTION("IMPORTRANGE(""https://docs.google.com/spreadsheets/d/1-uDff_7J0KD5mKrp0Vvzr7lt3OU09vwQwhkpOPPYv2Y/edit?usp=sharing"",""งบพรบ!DK83"")"),0)</f>
        <v>0</v>
      </c>
      <c r="J83" s="151">
        <f t="shared" ca="1" si="23"/>
        <v>23700</v>
      </c>
      <c r="K83" s="154">
        <f t="shared" ca="1" si="24"/>
        <v>474</v>
      </c>
      <c r="L83" s="151">
        <f ca="1">IFERROR(__xludf.DUMMYFUNCTION("IMPORTRANGE(""https://docs.google.com/spreadsheets/d/1-uDff_7J0KD5mKrp0Vvzr7lt3OU09vwQwhkpOPPYv2Y/edit?usp=sharing"",""งบพรบ!DL83"")"),23700)</f>
        <v>23700</v>
      </c>
      <c r="M83" s="68">
        <f t="shared" ca="1" si="25"/>
        <v>474</v>
      </c>
      <c r="N83" s="68">
        <f t="shared" ca="1" si="26"/>
        <v>100</v>
      </c>
      <c r="O83" s="67">
        <f ca="1">IFERROR(__xludf.DUMMYFUNCTION("IMPORTRANGE(""https://docs.google.com/spreadsheets/d/1-uDff_7J0KD5mKrp0Vvzr7lt3OU09vwQwhkpOPPYv2Y/edit?usp=sharing"",""งบพรบ!DM83"")"),0)</f>
        <v>0</v>
      </c>
      <c r="P83" s="67">
        <f t="shared" ca="1" si="27"/>
        <v>0</v>
      </c>
      <c r="Q83" s="68">
        <f t="shared" ca="1" si="28"/>
        <v>0</v>
      </c>
      <c r="R83" s="67">
        <f ca="1">IFERROR(__xludf.DUMMYFUNCTION("IMPORTRANGE(""https://docs.google.com/spreadsheets/d/1rd4qoM1q_hsgaolqNGfrim9gbsoLxQsda4-vOz5x_BM/edit?usp=sharing"",""ภูเก็ต!Q266"")"),50660)</f>
        <v>50660</v>
      </c>
      <c r="S83" s="67">
        <f ca="1">IFERROR(__xludf.DUMMYFUNCTION("IMPORTRANGE(""https://docs.google.com/spreadsheets/d/1rd4qoM1q_hsgaolqNGfrim9gbsoLxQsda4-vOz5x_BM/edit?usp=sharing"",""ภูเก็ต!R266"")"),50660)</f>
        <v>50660</v>
      </c>
      <c r="T83" s="67">
        <f ca="1">IFERROR(__xludf.DUMMYFUNCTION("IMPORTRANGE(""https://docs.google.com/spreadsheets/d/1rd4qoM1q_hsgaolqNGfrim9gbsoLxQsda4-vOz5x_BM/edit?usp=sharing"",""ภูเก็ต!S266"")"),45780)</f>
        <v>45780</v>
      </c>
      <c r="U83" s="68">
        <f t="shared" ca="1" si="30"/>
        <v>90.367153572838532</v>
      </c>
      <c r="V83" s="68">
        <f t="shared" ca="1" si="31"/>
        <v>90.367153572838532</v>
      </c>
      <c r="W83" s="74">
        <f ca="1">IFERROR(__xludf.DUMMYFUNCTION("IMPORTRANGE(""https://docs.google.com/spreadsheets/d/1rd4qoM1q_hsgaolqNGfrim9gbsoLxQsda4-vOz5x_BM/edit?usp=sharing"",""ภูเก็ต!I276"")"),22)</f>
        <v>22</v>
      </c>
      <c r="X83" s="74">
        <f ca="1">IFERROR(__xludf.DUMMYFUNCTION("IMPORTRANGE(""https://docs.google.com/spreadsheets/d/1rd4qoM1q_hsgaolqNGfrim9gbsoLxQsda4-vOz5x_BM/edit?usp=sharing"",""ภูเก็ต!J276"")"),22)</f>
        <v>22</v>
      </c>
      <c r="Y83" s="152">
        <f t="shared" ca="1" si="33"/>
        <v>100</v>
      </c>
      <c r="Z83" s="74">
        <v>0</v>
      </c>
      <c r="AA83" s="74">
        <v>0</v>
      </c>
      <c r="AB83" s="152">
        <v>0</v>
      </c>
    </row>
    <row r="84" spans="1:28" ht="19.5" x14ac:dyDescent="0.3">
      <c r="A84" s="147">
        <v>10</v>
      </c>
      <c r="B84" s="148" t="s">
        <v>112</v>
      </c>
      <c r="C84" s="149">
        <f t="shared" ca="1" si="21"/>
        <v>5000</v>
      </c>
      <c r="D84" s="150">
        <f t="shared" ca="1" si="46"/>
        <v>5000</v>
      </c>
      <c r="E84" s="151">
        <f ca="1">IFERROR(__xludf.DUMMYFUNCTION("IMPORTRANGE(""https://docs.google.com/spreadsheets/d/1-uDff_7J0KD5mKrp0Vvzr7lt3OU09vwQwhkpOPPYv2Y/edit?usp=sharing"",""งบพรบ!DF84"")"),0)</f>
        <v>0</v>
      </c>
      <c r="F84" s="151">
        <f ca="1">IFERROR(__xludf.DUMMYFUNCTION("IMPORTRANGE(""https://docs.google.com/spreadsheets/d/1-uDff_7J0KD5mKrp0Vvzr7lt3OU09vwQwhkpOPPYv2Y/edit?usp=sharing"",""งบพรบ!DG84"")"),5000)</f>
        <v>5000</v>
      </c>
      <c r="G84" s="151">
        <f ca="1">IFERROR(__xludf.DUMMYFUNCTION("IMPORTRANGE(""https://docs.google.com/spreadsheets/d/1-uDff_7J0KD5mKrp0Vvzr7lt3OU09vwQwhkpOPPYv2Y/edit?usp=sharing"",""งบพรบ!DH84"")"),0)</f>
        <v>0</v>
      </c>
      <c r="H84" s="151">
        <f ca="1">IFERROR(__xludf.DUMMYFUNCTION("IMPORTRANGE(""https://docs.google.com/spreadsheets/d/1-uDff_7J0KD5mKrp0Vvzr7lt3OU09vwQwhkpOPPYv2Y/edit?usp=sharing"",""งบพรบ!DJ84"")"),25500)</f>
        <v>25500</v>
      </c>
      <c r="I84" s="151">
        <f ca="1">IFERROR(__xludf.DUMMYFUNCTION("IMPORTRANGE(""https://docs.google.com/spreadsheets/d/1-uDff_7J0KD5mKrp0Vvzr7lt3OU09vwQwhkpOPPYv2Y/edit?usp=sharing"",""งบพรบ!DK84"")"),0)</f>
        <v>0</v>
      </c>
      <c r="J84" s="151">
        <f t="shared" ca="1" si="23"/>
        <v>25500</v>
      </c>
      <c r="K84" s="154">
        <f t="shared" ca="1" si="24"/>
        <v>510</v>
      </c>
      <c r="L84" s="151">
        <f ca="1">IFERROR(__xludf.DUMMYFUNCTION("IMPORTRANGE(""https://docs.google.com/spreadsheets/d/1-uDff_7J0KD5mKrp0Vvzr7lt3OU09vwQwhkpOPPYv2Y/edit?usp=sharing"",""งบพรบ!DL84"")"),25500)</f>
        <v>25500</v>
      </c>
      <c r="M84" s="68">
        <f t="shared" ca="1" si="25"/>
        <v>510</v>
      </c>
      <c r="N84" s="68">
        <f t="shared" ca="1" si="26"/>
        <v>100</v>
      </c>
      <c r="O84" s="67">
        <f ca="1">IFERROR(__xludf.DUMMYFUNCTION("IMPORTRANGE(""https://docs.google.com/spreadsheets/d/1-uDff_7J0KD5mKrp0Vvzr7lt3OU09vwQwhkpOPPYv2Y/edit?usp=sharing"",""งบพรบ!DM84"")"),0)</f>
        <v>0</v>
      </c>
      <c r="P84" s="67">
        <f t="shared" ca="1" si="27"/>
        <v>0</v>
      </c>
      <c r="Q84" s="68">
        <f t="shared" ca="1" si="28"/>
        <v>0</v>
      </c>
      <c r="R84" s="67">
        <f ca="1">IFERROR(__xludf.DUMMYFUNCTION("IMPORTRANGE(""https://docs.google.com/spreadsheets/d/1woKwKjgoLssDvPcPeVyezB5izizAn4X1JDrys69n6xI/edit?usp=sharing"",""ยะลา!Q266"")"),47880)</f>
        <v>47880</v>
      </c>
      <c r="S84" s="67">
        <f ca="1">IFERROR(__xludf.DUMMYFUNCTION("IMPORTRANGE(""https://docs.google.com/spreadsheets/d/1woKwKjgoLssDvPcPeVyezB5izizAn4X1JDrys69n6xI/edit?usp=sharing"",""ยะลา!R266"")"),47880)</f>
        <v>47880</v>
      </c>
      <c r="T84" s="67">
        <f ca="1">IFERROR(__xludf.DUMMYFUNCTION("IMPORTRANGE(""https://docs.google.com/spreadsheets/d/1woKwKjgoLssDvPcPeVyezB5izizAn4X1JDrys69n6xI/edit?usp=sharing"",""ยะลา!S266"")"),47880)</f>
        <v>47880</v>
      </c>
      <c r="U84" s="68">
        <f t="shared" ca="1" si="30"/>
        <v>100</v>
      </c>
      <c r="V84" s="68">
        <f t="shared" ca="1" si="31"/>
        <v>100</v>
      </c>
      <c r="W84" s="74">
        <f ca="1">IFERROR(__xludf.DUMMYFUNCTION("IMPORTRANGE(""https://docs.google.com/spreadsheets/d/1woKwKjgoLssDvPcPeVyezB5izizAn4X1JDrys69n6xI/edit?usp=sharing"",""ยะลา!I276"")"),20)</f>
        <v>20</v>
      </c>
      <c r="X84" s="74">
        <f ca="1">IFERROR(__xludf.DUMMYFUNCTION("IMPORTRANGE(""https://docs.google.com/spreadsheets/d/1woKwKjgoLssDvPcPeVyezB5izizAn4X1JDrys69n6xI/edit?usp=sharing"",""ยะลา!J276"")"),20)</f>
        <v>20</v>
      </c>
      <c r="Y84" s="152">
        <f t="shared" ca="1" si="33"/>
        <v>100</v>
      </c>
      <c r="Z84" s="74">
        <v>0</v>
      </c>
      <c r="AA84" s="74">
        <v>0</v>
      </c>
      <c r="AB84" s="152">
        <v>0</v>
      </c>
    </row>
    <row r="85" spans="1:28" ht="19.5" x14ac:dyDescent="0.3">
      <c r="A85" s="147">
        <v>11</v>
      </c>
      <c r="B85" s="148" t="s">
        <v>113</v>
      </c>
      <c r="C85" s="149">
        <f t="shared" ca="1" si="21"/>
        <v>5000</v>
      </c>
      <c r="D85" s="150">
        <f t="shared" ca="1" si="46"/>
        <v>5000</v>
      </c>
      <c r="E85" s="151">
        <f ca="1">IFERROR(__xludf.DUMMYFUNCTION("IMPORTRANGE(""https://docs.google.com/spreadsheets/d/1-uDff_7J0KD5mKrp0Vvzr7lt3OU09vwQwhkpOPPYv2Y/edit?usp=sharing"",""งบพรบ!DF85"")"),0)</f>
        <v>0</v>
      </c>
      <c r="F85" s="151">
        <f ca="1">IFERROR(__xludf.DUMMYFUNCTION("IMPORTRANGE(""https://docs.google.com/spreadsheets/d/1-uDff_7J0KD5mKrp0Vvzr7lt3OU09vwQwhkpOPPYv2Y/edit?usp=sharing"",""งบพรบ!DG85"")"),5000)</f>
        <v>5000</v>
      </c>
      <c r="G85" s="151">
        <f ca="1">IFERROR(__xludf.DUMMYFUNCTION("IMPORTRANGE(""https://docs.google.com/spreadsheets/d/1-uDff_7J0KD5mKrp0Vvzr7lt3OU09vwQwhkpOPPYv2Y/edit?usp=sharing"",""งบพรบ!DH85"")"),0)</f>
        <v>0</v>
      </c>
      <c r="H85" s="151">
        <f ca="1">IFERROR(__xludf.DUMMYFUNCTION("IMPORTRANGE(""https://docs.google.com/spreadsheets/d/1-uDff_7J0KD5mKrp0Vvzr7lt3OU09vwQwhkpOPPYv2Y/edit?usp=sharing"",""งบพรบ!DJ85"")"),21200)</f>
        <v>21200</v>
      </c>
      <c r="I85" s="151">
        <f ca="1">IFERROR(__xludf.DUMMYFUNCTION("IMPORTRANGE(""https://docs.google.com/spreadsheets/d/1-uDff_7J0KD5mKrp0Vvzr7lt3OU09vwQwhkpOPPYv2Y/edit?usp=sharing"",""งบพรบ!DK85"")"),0)</f>
        <v>0</v>
      </c>
      <c r="J85" s="151">
        <f t="shared" ca="1" si="23"/>
        <v>16890</v>
      </c>
      <c r="K85" s="154">
        <f t="shared" ca="1" si="24"/>
        <v>337.8</v>
      </c>
      <c r="L85" s="151">
        <f ca="1">IFERROR(__xludf.DUMMYFUNCTION("IMPORTRANGE(""https://docs.google.com/spreadsheets/d/1-uDff_7J0KD5mKrp0Vvzr7lt3OU09vwQwhkpOPPYv2Y/edit?usp=sharing"",""งบพรบ!DL85"")"),16890)</f>
        <v>16890</v>
      </c>
      <c r="M85" s="68">
        <f t="shared" ca="1" si="25"/>
        <v>337.8</v>
      </c>
      <c r="N85" s="68">
        <f t="shared" ca="1" si="26"/>
        <v>79.669811320754718</v>
      </c>
      <c r="O85" s="67">
        <f ca="1">IFERROR(__xludf.DUMMYFUNCTION("IMPORTRANGE(""https://docs.google.com/spreadsheets/d/1-uDff_7J0KD5mKrp0Vvzr7lt3OU09vwQwhkpOPPYv2Y/edit?usp=sharing"",""งบพรบ!DM85"")"),0)</f>
        <v>0</v>
      </c>
      <c r="P85" s="67">
        <f t="shared" ca="1" si="27"/>
        <v>0</v>
      </c>
      <c r="Q85" s="68">
        <f t="shared" ca="1" si="28"/>
        <v>0</v>
      </c>
      <c r="R85" s="67">
        <f ca="1">IFERROR(__xludf.DUMMYFUNCTION("IMPORTRANGE(""https://docs.google.com/spreadsheets/d/1qfrKjzMhm2HJfxQ-qVlJlJQ25Hne1d0khsySbZyGtPA/edit?usp=sharing"",""ระนอง!Q266"")"),50660)</f>
        <v>50660</v>
      </c>
      <c r="S85" s="67">
        <f ca="1">IFERROR(__xludf.DUMMYFUNCTION("IMPORTRANGE(""https://docs.google.com/spreadsheets/d/1qfrKjzMhm2HJfxQ-qVlJlJQ25Hne1d0khsySbZyGtPA/edit?usp=sharing"",""ระนอง!R266"")"),50660)</f>
        <v>50660</v>
      </c>
      <c r="T85" s="67">
        <f ca="1">IFERROR(__xludf.DUMMYFUNCTION("IMPORTRANGE(""https://docs.google.com/spreadsheets/d/1qfrKjzMhm2HJfxQ-qVlJlJQ25Hne1d0khsySbZyGtPA/edit?usp=sharing"",""ระนอง!S266"")"),38010)</f>
        <v>38010</v>
      </c>
      <c r="U85" s="68">
        <f t="shared" ca="1" si="30"/>
        <v>75.029609159099877</v>
      </c>
      <c r="V85" s="68">
        <f t="shared" ca="1" si="31"/>
        <v>75.029609159099877</v>
      </c>
      <c r="W85" s="74">
        <f ca="1">IFERROR(__xludf.DUMMYFUNCTION("IMPORTRANGE(""https://docs.google.com/spreadsheets/d/1qfrKjzMhm2HJfxQ-qVlJlJQ25Hne1d0khsySbZyGtPA/edit?usp=sharing"",""ระนอง!I276"")"),22)</f>
        <v>22</v>
      </c>
      <c r="X85" s="74">
        <f ca="1">IFERROR(__xludf.DUMMYFUNCTION("IMPORTRANGE(""https://docs.google.com/spreadsheets/d/1qfrKjzMhm2HJfxQ-qVlJlJQ25Hne1d0khsySbZyGtPA/edit?usp=sharing"",""ระนอง!J276"")"),22)</f>
        <v>22</v>
      </c>
      <c r="Y85" s="152">
        <f t="shared" ca="1" si="33"/>
        <v>100</v>
      </c>
      <c r="Z85" s="74">
        <v>0</v>
      </c>
      <c r="AA85" s="74">
        <v>0</v>
      </c>
      <c r="AB85" s="152">
        <v>0</v>
      </c>
    </row>
    <row r="86" spans="1:28" ht="19.5" x14ac:dyDescent="0.3">
      <c r="A86" s="147">
        <v>12</v>
      </c>
      <c r="B86" s="148" t="s">
        <v>114</v>
      </c>
      <c r="C86" s="149">
        <f t="shared" ca="1" si="21"/>
        <v>5000</v>
      </c>
      <c r="D86" s="150">
        <f t="shared" ca="1" si="46"/>
        <v>5000</v>
      </c>
      <c r="E86" s="151">
        <f ca="1">IFERROR(__xludf.DUMMYFUNCTION("IMPORTRANGE(""https://docs.google.com/spreadsheets/d/1-uDff_7J0KD5mKrp0Vvzr7lt3OU09vwQwhkpOPPYv2Y/edit?usp=sharing"",""งบพรบ!DF86"")"),0)</f>
        <v>0</v>
      </c>
      <c r="F86" s="151">
        <f ca="1">IFERROR(__xludf.DUMMYFUNCTION("IMPORTRANGE(""https://docs.google.com/spreadsheets/d/1-uDff_7J0KD5mKrp0Vvzr7lt3OU09vwQwhkpOPPYv2Y/edit?usp=sharing"",""งบพรบ!DG86"")"),5000)</f>
        <v>5000</v>
      </c>
      <c r="G86" s="151">
        <f ca="1">IFERROR(__xludf.DUMMYFUNCTION("IMPORTRANGE(""https://docs.google.com/spreadsheets/d/1-uDff_7J0KD5mKrp0Vvzr7lt3OU09vwQwhkpOPPYv2Y/edit?usp=sharing"",""งบพรบ!DH86"")"),0)</f>
        <v>0</v>
      </c>
      <c r="H86" s="151">
        <f ca="1">IFERROR(__xludf.DUMMYFUNCTION("IMPORTRANGE(""https://docs.google.com/spreadsheets/d/1-uDff_7J0KD5mKrp0Vvzr7lt3OU09vwQwhkpOPPYv2Y/edit?usp=sharing"",""งบพรบ!DJ86"")"),24500)</f>
        <v>24500</v>
      </c>
      <c r="I86" s="151">
        <f ca="1">IFERROR(__xludf.DUMMYFUNCTION("IMPORTRANGE(""https://docs.google.com/spreadsheets/d/1-uDff_7J0KD5mKrp0Vvzr7lt3OU09vwQwhkpOPPYv2Y/edit?usp=sharing"",""งบพรบ!DK86"")"),0)</f>
        <v>0</v>
      </c>
      <c r="J86" s="151">
        <f t="shared" ca="1" si="23"/>
        <v>24500</v>
      </c>
      <c r="K86" s="154">
        <f t="shared" ca="1" si="24"/>
        <v>490</v>
      </c>
      <c r="L86" s="151">
        <f ca="1">IFERROR(__xludf.DUMMYFUNCTION("IMPORTRANGE(""https://docs.google.com/spreadsheets/d/1-uDff_7J0KD5mKrp0Vvzr7lt3OU09vwQwhkpOPPYv2Y/edit?usp=sharing"",""งบพรบ!DL86"")"),24500)</f>
        <v>24500</v>
      </c>
      <c r="M86" s="68">
        <f t="shared" ca="1" si="25"/>
        <v>490</v>
      </c>
      <c r="N86" s="68">
        <f t="shared" ca="1" si="26"/>
        <v>100</v>
      </c>
      <c r="O86" s="67">
        <f ca="1">IFERROR(__xludf.DUMMYFUNCTION("IMPORTRANGE(""https://docs.google.com/spreadsheets/d/1-uDff_7J0KD5mKrp0Vvzr7lt3OU09vwQwhkpOPPYv2Y/edit?usp=sharing"",""งบพรบ!DM86"")"),0)</f>
        <v>0</v>
      </c>
      <c r="P86" s="67">
        <f t="shared" ca="1" si="27"/>
        <v>0</v>
      </c>
      <c r="Q86" s="68">
        <f t="shared" ca="1" si="28"/>
        <v>0</v>
      </c>
      <c r="R86" s="67">
        <f ca="1">IFERROR(__xludf.DUMMYFUNCTION("IMPORTRANGE(""https://docs.google.com/spreadsheets/d/1IbSCnFOKpZsnFogBHJnL_isstZVaOMnFiIN0fGTPZZw/edit?usp=sharing"",""สงขลา!Q266"")"),50660)</f>
        <v>50660</v>
      </c>
      <c r="S86" s="67">
        <f ca="1">IFERROR(__xludf.DUMMYFUNCTION("IMPORTRANGE(""https://docs.google.com/spreadsheets/d/1IbSCnFOKpZsnFogBHJnL_isstZVaOMnFiIN0fGTPZZw/edit?usp=sharing"",""สงขลา!R266"")"),50660)</f>
        <v>50660</v>
      </c>
      <c r="T86" s="67">
        <f ca="1">IFERROR(__xludf.DUMMYFUNCTION("IMPORTRANGE(""https://docs.google.com/spreadsheets/d/1IbSCnFOKpZsnFogBHJnL_isstZVaOMnFiIN0fGTPZZw/edit?usp=sharing"",""สงขลา!S266"")"),48940)</f>
        <v>48940</v>
      </c>
      <c r="U86" s="68">
        <f t="shared" ca="1" si="30"/>
        <v>96.604816423213578</v>
      </c>
      <c r="V86" s="68">
        <f t="shared" ca="1" si="31"/>
        <v>96.604816423213578</v>
      </c>
      <c r="W86" s="74">
        <f ca="1">IFERROR(__xludf.DUMMYFUNCTION("IMPORTRANGE(""https://docs.google.com/spreadsheets/d/1IbSCnFOKpZsnFogBHJnL_isstZVaOMnFiIN0fGTPZZw/edit?usp=sharing"",""สงขลา!I276"")"),22)</f>
        <v>22</v>
      </c>
      <c r="X86" s="74">
        <f ca="1">IFERROR(__xludf.DUMMYFUNCTION("IMPORTRANGE(""https://docs.google.com/spreadsheets/d/1IbSCnFOKpZsnFogBHJnL_isstZVaOMnFiIN0fGTPZZw/edit?usp=sharing"",""สงขลา!J276"")"),22)</f>
        <v>22</v>
      </c>
      <c r="Y86" s="152">
        <f t="shared" ca="1" si="33"/>
        <v>100</v>
      </c>
      <c r="Z86" s="74">
        <v>0</v>
      </c>
      <c r="AA86" s="74">
        <v>0</v>
      </c>
      <c r="AB86" s="152">
        <v>0</v>
      </c>
    </row>
    <row r="87" spans="1:28" ht="19.5" x14ac:dyDescent="0.3">
      <c r="A87" s="147">
        <v>13</v>
      </c>
      <c r="B87" s="148" t="s">
        <v>115</v>
      </c>
      <c r="C87" s="149">
        <f t="shared" ca="1" si="21"/>
        <v>5000</v>
      </c>
      <c r="D87" s="150">
        <f t="shared" ca="1" si="46"/>
        <v>5000</v>
      </c>
      <c r="E87" s="151">
        <f ca="1">IFERROR(__xludf.DUMMYFUNCTION("IMPORTRANGE(""https://docs.google.com/spreadsheets/d/1-uDff_7J0KD5mKrp0Vvzr7lt3OU09vwQwhkpOPPYv2Y/edit?usp=sharing"",""งบพรบ!DF87"")"),0)</f>
        <v>0</v>
      </c>
      <c r="F87" s="151">
        <f ca="1">IFERROR(__xludf.DUMMYFUNCTION("IMPORTRANGE(""https://docs.google.com/spreadsheets/d/1-uDff_7J0KD5mKrp0Vvzr7lt3OU09vwQwhkpOPPYv2Y/edit?usp=sharing"",""งบพรบ!DG87"")"),5000)</f>
        <v>5000</v>
      </c>
      <c r="G87" s="151">
        <f ca="1">IFERROR(__xludf.DUMMYFUNCTION("IMPORTRANGE(""https://docs.google.com/spreadsheets/d/1-uDff_7J0KD5mKrp0Vvzr7lt3OU09vwQwhkpOPPYv2Y/edit?usp=sharing"",""งบพรบ!DH87"")"),0)</f>
        <v>0</v>
      </c>
      <c r="H87" s="151">
        <f ca="1">IFERROR(__xludf.DUMMYFUNCTION("IMPORTRANGE(""https://docs.google.com/spreadsheets/d/1-uDff_7J0KD5mKrp0Vvzr7lt3OU09vwQwhkpOPPYv2Y/edit?usp=sharing"",""งบพรบ!DJ87"")"),24500)</f>
        <v>24500</v>
      </c>
      <c r="I87" s="151">
        <f ca="1">IFERROR(__xludf.DUMMYFUNCTION("IMPORTRANGE(""https://docs.google.com/spreadsheets/d/1-uDff_7J0KD5mKrp0Vvzr7lt3OU09vwQwhkpOPPYv2Y/edit?usp=sharing"",""งบพรบ!DK87"")"),0)</f>
        <v>0</v>
      </c>
      <c r="J87" s="151">
        <f t="shared" ca="1" si="23"/>
        <v>5000</v>
      </c>
      <c r="K87" s="154">
        <f t="shared" ca="1" si="24"/>
        <v>100</v>
      </c>
      <c r="L87" s="151">
        <f ca="1">IFERROR(__xludf.DUMMYFUNCTION("IMPORTRANGE(""https://docs.google.com/spreadsheets/d/1-uDff_7J0KD5mKrp0Vvzr7lt3OU09vwQwhkpOPPYv2Y/edit?usp=sharing"",""งบพรบ!DL87"")"),5000)</f>
        <v>5000</v>
      </c>
      <c r="M87" s="68">
        <f t="shared" ca="1" si="25"/>
        <v>100</v>
      </c>
      <c r="N87" s="68">
        <f t="shared" ca="1" si="26"/>
        <v>20.408163265306122</v>
      </c>
      <c r="O87" s="67">
        <f ca="1">IFERROR(__xludf.DUMMYFUNCTION("IMPORTRANGE(""https://docs.google.com/spreadsheets/d/1-uDff_7J0KD5mKrp0Vvzr7lt3OU09vwQwhkpOPPYv2Y/edit?usp=sharing"",""งบพรบ!DM87"")"),0)</f>
        <v>0</v>
      </c>
      <c r="P87" s="67">
        <f t="shared" ca="1" si="27"/>
        <v>0</v>
      </c>
      <c r="Q87" s="68">
        <f t="shared" ca="1" si="28"/>
        <v>0</v>
      </c>
      <c r="R87" s="67">
        <f ca="1">IFERROR(__xludf.DUMMYFUNCTION("IMPORTRANGE(""https://docs.google.com/spreadsheets/d/1q9nWasZJ-K8bFGvbE9n0qSRuKGA4Toe3Y89cKCiVtCU/edit?usp=sharing"",""สตูล!Q266"")"),50660)</f>
        <v>50660</v>
      </c>
      <c r="S87" s="67">
        <f ca="1">IFERROR(__xludf.DUMMYFUNCTION("IMPORTRANGE(""https://docs.google.com/spreadsheets/d/1q9nWasZJ-K8bFGvbE9n0qSRuKGA4Toe3Y89cKCiVtCU/edit?usp=sharing"",""สตูล!R266"")"),50660)</f>
        <v>50660</v>
      </c>
      <c r="T87" s="67">
        <f ca="1">IFERROR(__xludf.DUMMYFUNCTION("IMPORTRANGE(""https://docs.google.com/spreadsheets/d/1q9nWasZJ-K8bFGvbE9n0qSRuKGA4Toe3Y89cKCiVtCU/edit?usp=sharing"",""สตูล!S266"")"),50660)</f>
        <v>50660</v>
      </c>
      <c r="U87" s="68">
        <f t="shared" ca="1" si="30"/>
        <v>100</v>
      </c>
      <c r="V87" s="68">
        <f t="shared" ca="1" si="31"/>
        <v>100</v>
      </c>
      <c r="W87" s="74">
        <f ca="1">IFERROR(__xludf.DUMMYFUNCTION("IMPORTRANGE(""https://docs.google.com/spreadsheets/d/1q9nWasZJ-K8bFGvbE9n0qSRuKGA4Toe3Y89cKCiVtCU/edit?usp=sharing"",""สตูล!I276"")"),22)</f>
        <v>22</v>
      </c>
      <c r="X87" s="74">
        <f ca="1">IFERROR(__xludf.DUMMYFUNCTION("IMPORTRANGE(""https://docs.google.com/spreadsheets/d/1q9nWasZJ-K8bFGvbE9n0qSRuKGA4Toe3Y89cKCiVtCU/edit?usp=sharing"",""สตูล!J276"")"),22)</f>
        <v>22</v>
      </c>
      <c r="Y87" s="152">
        <f t="shared" ca="1" si="33"/>
        <v>100</v>
      </c>
      <c r="Z87" s="74">
        <v>0</v>
      </c>
      <c r="AA87" s="74">
        <v>0</v>
      </c>
      <c r="AB87" s="152">
        <v>0</v>
      </c>
    </row>
    <row r="88" spans="1:28" ht="19.5" x14ac:dyDescent="0.3">
      <c r="A88" s="155">
        <v>14</v>
      </c>
      <c r="B88" s="156" t="s">
        <v>116</v>
      </c>
      <c r="C88" s="157">
        <f t="shared" ca="1" si="21"/>
        <v>5000</v>
      </c>
      <c r="D88" s="158">
        <f t="shared" ca="1" si="46"/>
        <v>5000</v>
      </c>
      <c r="E88" s="159">
        <f ca="1">IFERROR(__xludf.DUMMYFUNCTION("IMPORTRANGE(""https://docs.google.com/spreadsheets/d/1-uDff_7J0KD5mKrp0Vvzr7lt3OU09vwQwhkpOPPYv2Y/edit?usp=sharing"",""งบพรบ!DF88"")"),0)</f>
        <v>0</v>
      </c>
      <c r="F88" s="159">
        <f ca="1">IFERROR(__xludf.DUMMYFUNCTION("IMPORTRANGE(""https://docs.google.com/spreadsheets/d/1-uDff_7J0KD5mKrp0Vvzr7lt3OU09vwQwhkpOPPYv2Y/edit?usp=sharing"",""งบพรบ!DG88"")"),5000)</f>
        <v>5000</v>
      </c>
      <c r="G88" s="159">
        <f ca="1">IFERROR(__xludf.DUMMYFUNCTION("IMPORTRANGE(""https://docs.google.com/spreadsheets/d/1-uDff_7J0KD5mKrp0Vvzr7lt3OU09vwQwhkpOPPYv2Y/edit?usp=sharing"",""งบพรบ!DH88"")"),0)</f>
        <v>0</v>
      </c>
      <c r="H88" s="159">
        <f ca="1">IFERROR(__xludf.DUMMYFUNCTION("IMPORTRANGE(""https://docs.google.com/spreadsheets/d/1-uDff_7J0KD5mKrp0Vvzr7lt3OU09vwQwhkpOPPYv2Y/edit?usp=sharing"",""งบพรบ!DJ88"")"),21800)</f>
        <v>21800</v>
      </c>
      <c r="I88" s="159">
        <f ca="1">IFERROR(__xludf.DUMMYFUNCTION("IMPORTRANGE(""https://docs.google.com/spreadsheets/d/1-uDff_7J0KD5mKrp0Vvzr7lt3OU09vwQwhkpOPPYv2Y/edit?usp=sharing"",""งบพรบ!DK88"")"),0)</f>
        <v>0</v>
      </c>
      <c r="J88" s="159">
        <f t="shared" ca="1" si="23"/>
        <v>21800</v>
      </c>
      <c r="K88" s="160">
        <f t="shared" ca="1" si="24"/>
        <v>436</v>
      </c>
      <c r="L88" s="159">
        <f ca="1">IFERROR(__xludf.DUMMYFUNCTION("IMPORTRANGE(""https://docs.google.com/spreadsheets/d/1-uDff_7J0KD5mKrp0Vvzr7lt3OU09vwQwhkpOPPYv2Y/edit?usp=sharing"",""งบพรบ!DL88"")"),21800)</f>
        <v>21800</v>
      </c>
      <c r="M88" s="89">
        <f t="shared" ca="1" si="25"/>
        <v>436</v>
      </c>
      <c r="N88" s="89">
        <f t="shared" ca="1" si="26"/>
        <v>100</v>
      </c>
      <c r="O88" s="88">
        <f ca="1">IFERROR(__xludf.DUMMYFUNCTION("IMPORTRANGE(""https://docs.google.com/spreadsheets/d/1-uDff_7J0KD5mKrp0Vvzr7lt3OU09vwQwhkpOPPYv2Y/edit?usp=sharing"",""งบพรบ!DM88"")"),0)</f>
        <v>0</v>
      </c>
      <c r="P88" s="88">
        <f t="shared" ca="1" si="27"/>
        <v>0</v>
      </c>
      <c r="Q88" s="89">
        <f t="shared" ca="1" si="28"/>
        <v>0</v>
      </c>
      <c r="R88" s="88">
        <f ca="1">IFERROR(__xludf.DUMMYFUNCTION("IMPORTRANGE(""https://docs.google.com/spreadsheets/d/18T20gbkS_WBjdscyTOV05cvq_JqvqQ17C81mpxf7Ncs/edit?usp=sharing"",""สุราษฎร์ธานี!Q266"")"),50660)</f>
        <v>50660</v>
      </c>
      <c r="S88" s="88">
        <f ca="1">IFERROR(__xludf.DUMMYFUNCTION("IMPORTRANGE(""https://docs.google.com/spreadsheets/d/18T20gbkS_WBjdscyTOV05cvq_JqvqQ17C81mpxf7Ncs/edit?usp=sharing"",""สุราษฎร์ธานี!R266"")"),50660)</f>
        <v>50660</v>
      </c>
      <c r="T88" s="88">
        <f ca="1">IFERROR(__xludf.DUMMYFUNCTION("IMPORTRANGE(""https://docs.google.com/spreadsheets/d/18T20gbkS_WBjdscyTOV05cvq_JqvqQ17C81mpxf7Ncs/edit?usp=sharing"",""สุราษฎร์ธานี!S266"")"),43780)</f>
        <v>43780</v>
      </c>
      <c r="U88" s="89">
        <f t="shared" ca="1" si="30"/>
        <v>86.419265692854324</v>
      </c>
      <c r="V88" s="89">
        <f t="shared" ca="1" si="31"/>
        <v>86.419265692854324</v>
      </c>
      <c r="W88" s="84">
        <f ca="1">IFERROR(__xludf.DUMMYFUNCTION("IMPORTRANGE(""https://docs.google.com/spreadsheets/d/18T20gbkS_WBjdscyTOV05cvq_JqvqQ17C81mpxf7Ncs/edit?usp=sharing"",""สุราษฎร์ธานี!I276"")"),22)</f>
        <v>22</v>
      </c>
      <c r="X88" s="84">
        <f ca="1">IFERROR(__xludf.DUMMYFUNCTION("IMPORTRANGE(""https://docs.google.com/spreadsheets/d/18T20gbkS_WBjdscyTOV05cvq_JqvqQ17C81mpxf7Ncs/edit?usp=sharing"",""สุราษฎร์ธานี!J276"")"),22)</f>
        <v>22</v>
      </c>
      <c r="Y88" s="191">
        <f t="shared" ca="1" si="33"/>
        <v>100</v>
      </c>
      <c r="Z88" s="84">
        <v>0</v>
      </c>
      <c r="AA88" s="84">
        <v>0</v>
      </c>
      <c r="AB88" s="191">
        <v>0</v>
      </c>
    </row>
    <row r="89" spans="1:28" ht="19.5" x14ac:dyDescent="0.3">
      <c r="A89" s="698" t="s">
        <v>117</v>
      </c>
      <c r="B89" s="662"/>
      <c r="C89" s="39">
        <f t="shared" ref="C89:T89" ca="1" si="47">SUM(C90:C106)</f>
        <v>3656300</v>
      </c>
      <c r="D89" s="39">
        <f t="shared" ca="1" si="47"/>
        <v>3656300</v>
      </c>
      <c r="E89" s="39">
        <f t="shared" ca="1" si="47"/>
        <v>1807300</v>
      </c>
      <c r="F89" s="39">
        <f t="shared" ca="1" si="47"/>
        <v>1849000</v>
      </c>
      <c r="G89" s="39">
        <f t="shared" ca="1" si="47"/>
        <v>0</v>
      </c>
      <c r="H89" s="39">
        <f t="shared" ca="1" si="47"/>
        <v>2604605</v>
      </c>
      <c r="I89" s="39">
        <f t="shared" ca="1" si="47"/>
        <v>0</v>
      </c>
      <c r="J89" s="39">
        <f t="shared" ca="1" si="47"/>
        <v>1764482.35</v>
      </c>
      <c r="K89" s="40">
        <f t="shared" ca="1" si="47"/>
        <v>70.491751815701349</v>
      </c>
      <c r="L89" s="39">
        <f t="shared" ca="1" si="47"/>
        <v>1764482.35</v>
      </c>
      <c r="M89" s="40">
        <f t="shared" ca="1" si="47"/>
        <v>70.491751815701349</v>
      </c>
      <c r="N89" s="40">
        <f t="shared" ca="1" si="47"/>
        <v>228.5465939530871</v>
      </c>
      <c r="O89" s="39">
        <f t="shared" ca="1" si="47"/>
        <v>0</v>
      </c>
      <c r="P89" s="39">
        <f t="shared" ca="1" si="47"/>
        <v>0</v>
      </c>
      <c r="Q89" s="39">
        <f t="shared" ca="1" si="47"/>
        <v>0</v>
      </c>
      <c r="R89" s="39">
        <f t="shared" si="47"/>
        <v>0</v>
      </c>
      <c r="S89" s="39">
        <f t="shared" si="47"/>
        <v>0</v>
      </c>
      <c r="T89" s="39">
        <f t="shared" si="47"/>
        <v>0</v>
      </c>
      <c r="U89" s="39">
        <f t="shared" si="30"/>
        <v>0</v>
      </c>
      <c r="V89" s="39">
        <f t="shared" si="31"/>
        <v>0</v>
      </c>
      <c r="W89" s="39"/>
      <c r="X89" s="39"/>
      <c r="Y89" s="169"/>
      <c r="Z89" s="39"/>
      <c r="AA89" s="39"/>
      <c r="AB89" s="169"/>
    </row>
    <row r="90" spans="1:28" ht="19.5" hidden="1" x14ac:dyDescent="0.3">
      <c r="A90" s="102"/>
      <c r="B90" s="103" t="s">
        <v>118</v>
      </c>
      <c r="C90" s="170">
        <f t="shared" ref="C90:C108" ca="1" si="48">D90+G90</f>
        <v>0</v>
      </c>
      <c r="D90" s="171">
        <f t="shared" ref="D90:D108" ca="1" si="49">+E90+F90</f>
        <v>0</v>
      </c>
      <c r="E90" s="62">
        <f ca="1">IFERROR(__xludf.DUMMYFUNCTION("IMPORTRANGE(""https://docs.google.com/spreadsheets/d/1-uDff_7J0KD5mKrp0Vvzr7lt3OU09vwQwhkpOPPYv2Y/edit?usp=sharing"",""งบพรบ!DF90"")"),0)</f>
        <v>0</v>
      </c>
      <c r="F90" s="62">
        <f ca="1">IFERROR(__xludf.DUMMYFUNCTION("IMPORTRANGE(""https://docs.google.com/spreadsheets/d/1-uDff_7J0KD5mKrp0Vvzr7lt3OU09vwQwhkpOPPYv2Y/edit?usp=sharing"",""งบพรบ!DG90"")"),0)</f>
        <v>0</v>
      </c>
      <c r="G90" s="62">
        <f ca="1">IFERROR(__xludf.DUMMYFUNCTION("IMPORTRANGE(""https://docs.google.com/spreadsheets/d/1-uDff_7J0KD5mKrp0Vvzr7lt3OU09vwQwhkpOPPYv2Y/edit?usp=sharing"",""งบพรบ!DH90"")"),0)</f>
        <v>0</v>
      </c>
      <c r="H90" s="62">
        <f ca="1">IFERROR(__xludf.DUMMYFUNCTION("IMPORTRANGE(""https://docs.google.com/spreadsheets/d/1-uDff_7J0KD5mKrp0Vvzr7lt3OU09vwQwhkpOPPYv2Y/edit?usp=sharing"",""งบพรบ!DJ90"")"),0)</f>
        <v>0</v>
      </c>
      <c r="I90" s="62">
        <f ca="1">IFERROR(__xludf.DUMMYFUNCTION("IMPORTRANGE(""https://docs.google.com/spreadsheets/d/1-uDff_7J0KD5mKrp0Vvzr7lt3OU09vwQwhkpOPPYv2Y/edit?usp=sharing"",""งบพรบ!DK90"")"),0)</f>
        <v>0</v>
      </c>
      <c r="J90" s="62">
        <f t="shared" ref="J90:J108" ca="1" si="50">L90+O90</f>
        <v>0</v>
      </c>
      <c r="K90" s="104">
        <f t="shared" ref="K90:K108" ca="1" si="51">IF(C90&gt;0,J90*100/C90,0)</f>
        <v>0</v>
      </c>
      <c r="L90" s="62">
        <f ca="1">IFERROR(__xludf.DUMMYFUNCTION("IMPORTRANGE(""https://docs.google.com/spreadsheets/d/1-uDff_7J0KD5mKrp0Vvzr7lt3OU09vwQwhkpOPPYv2Y/edit?usp=sharing"",""งบพรบ!DL90"")"),0)</f>
        <v>0</v>
      </c>
      <c r="M90" s="65">
        <f t="shared" ref="M90:M108" ca="1" si="52">IF(D90&gt;0,L90*100/D90,0)</f>
        <v>0</v>
      </c>
      <c r="N90" s="65">
        <f t="shared" ref="N90:N108" ca="1" si="53">IF(H90&gt;0,L90*100/H90,0)</f>
        <v>0</v>
      </c>
      <c r="O90" s="66">
        <f ca="1">IFERROR(__xludf.DUMMYFUNCTION("IMPORTRANGE(""https://docs.google.com/spreadsheets/d/1-uDff_7J0KD5mKrp0Vvzr7lt3OU09vwQwhkpOPPYv2Y/edit?usp=sharing"",""งบพรบ!DM90"")"),0)</f>
        <v>0</v>
      </c>
      <c r="P90" s="66">
        <f t="shared" ref="P90:P108" ca="1" si="54">IF(G90&gt;0,O90*100/G90,0)</f>
        <v>0</v>
      </c>
      <c r="Q90" s="65">
        <f t="shared" ref="Q90:Q108" ca="1" si="55">IF(I90&gt;0,O90*100/I90,0)</f>
        <v>0</v>
      </c>
      <c r="R90" s="66">
        <v>0</v>
      </c>
      <c r="S90" s="66">
        <v>0</v>
      </c>
      <c r="T90" s="66">
        <v>0</v>
      </c>
      <c r="U90" s="65">
        <f t="shared" si="30"/>
        <v>0</v>
      </c>
      <c r="V90" s="65">
        <f t="shared" si="31"/>
        <v>0</v>
      </c>
      <c r="W90" s="62"/>
      <c r="X90" s="62"/>
      <c r="Y90" s="172"/>
      <c r="Z90" s="62"/>
      <c r="AA90" s="62"/>
      <c r="AB90" s="172"/>
    </row>
    <row r="91" spans="1:28" ht="19.5" hidden="1" x14ac:dyDescent="0.3">
      <c r="A91" s="105"/>
      <c r="B91" s="106" t="s">
        <v>119</v>
      </c>
      <c r="C91" s="173">
        <f t="shared" ca="1" si="48"/>
        <v>0</v>
      </c>
      <c r="D91" s="174">
        <f t="shared" ca="1" si="49"/>
        <v>0</v>
      </c>
      <c r="E91" s="74">
        <f ca="1">IFERROR(__xludf.DUMMYFUNCTION("IMPORTRANGE(""https://docs.google.com/spreadsheets/d/1-uDff_7J0KD5mKrp0Vvzr7lt3OU09vwQwhkpOPPYv2Y/edit?usp=sharing"",""งบพรบ!DF91"")"),0)</f>
        <v>0</v>
      </c>
      <c r="F91" s="74">
        <f ca="1">IFERROR(__xludf.DUMMYFUNCTION("IMPORTRANGE(""https://docs.google.com/spreadsheets/d/1-uDff_7J0KD5mKrp0Vvzr7lt3OU09vwQwhkpOPPYv2Y/edit?usp=sharing"",""งบพรบ!DG91"")"),0)</f>
        <v>0</v>
      </c>
      <c r="G91" s="74">
        <f ca="1">IFERROR(__xludf.DUMMYFUNCTION("IMPORTRANGE(""https://docs.google.com/spreadsheets/d/1-uDff_7J0KD5mKrp0Vvzr7lt3OU09vwQwhkpOPPYv2Y/edit?usp=sharing"",""งบพรบ!DH91"")"),0)</f>
        <v>0</v>
      </c>
      <c r="H91" s="74">
        <f ca="1">IFERROR(__xludf.DUMMYFUNCTION("IMPORTRANGE(""https://docs.google.com/spreadsheets/d/1-uDff_7J0KD5mKrp0Vvzr7lt3OU09vwQwhkpOPPYv2Y/edit?usp=sharing"",""งบพรบ!DJ91"")"),0)</f>
        <v>0</v>
      </c>
      <c r="I91" s="74">
        <f ca="1">IFERROR(__xludf.DUMMYFUNCTION("IMPORTRANGE(""https://docs.google.com/spreadsheets/d/1-uDff_7J0KD5mKrp0Vvzr7lt3OU09vwQwhkpOPPYv2Y/edit?usp=sharing"",""งบพรบ!DK91"")"),0)</f>
        <v>0</v>
      </c>
      <c r="J91" s="74">
        <f t="shared" ca="1" si="50"/>
        <v>0</v>
      </c>
      <c r="K91" s="75">
        <f t="shared" ca="1" si="51"/>
        <v>0</v>
      </c>
      <c r="L91" s="74">
        <f ca="1">IFERROR(__xludf.DUMMYFUNCTION("IMPORTRANGE(""https://docs.google.com/spreadsheets/d/1-uDff_7J0KD5mKrp0Vvzr7lt3OU09vwQwhkpOPPYv2Y/edit?usp=sharing"",""งบพรบ!DL91"")"),0)</f>
        <v>0</v>
      </c>
      <c r="M91" s="76">
        <f t="shared" ca="1" si="52"/>
        <v>0</v>
      </c>
      <c r="N91" s="76">
        <f t="shared" ca="1" si="53"/>
        <v>0</v>
      </c>
      <c r="O91" s="77">
        <f ca="1">IFERROR(__xludf.DUMMYFUNCTION("IMPORTRANGE(""https://docs.google.com/spreadsheets/d/1-uDff_7J0KD5mKrp0Vvzr7lt3OU09vwQwhkpOPPYv2Y/edit?usp=sharing"",""งบพรบ!DM91"")"),0)</f>
        <v>0</v>
      </c>
      <c r="P91" s="77">
        <f t="shared" ca="1" si="54"/>
        <v>0</v>
      </c>
      <c r="Q91" s="76">
        <f t="shared" ca="1" si="55"/>
        <v>0</v>
      </c>
      <c r="R91" s="77">
        <v>0</v>
      </c>
      <c r="S91" s="77">
        <v>0</v>
      </c>
      <c r="T91" s="77">
        <v>0</v>
      </c>
      <c r="U91" s="76">
        <f t="shared" si="30"/>
        <v>0</v>
      </c>
      <c r="V91" s="76">
        <f t="shared" si="31"/>
        <v>0</v>
      </c>
      <c r="W91" s="74"/>
      <c r="X91" s="74"/>
      <c r="Y91" s="175"/>
      <c r="Z91" s="74"/>
      <c r="AA91" s="74"/>
      <c r="AB91" s="175"/>
    </row>
    <row r="92" spans="1:28" ht="19.5" hidden="1" x14ac:dyDescent="0.3">
      <c r="A92" s="105"/>
      <c r="B92" s="106" t="s">
        <v>120</v>
      </c>
      <c r="C92" s="173">
        <f t="shared" ca="1" si="48"/>
        <v>0</v>
      </c>
      <c r="D92" s="174">
        <f t="shared" ca="1" si="49"/>
        <v>0</v>
      </c>
      <c r="E92" s="74">
        <f ca="1">IFERROR(__xludf.DUMMYFUNCTION("IMPORTRANGE(""https://docs.google.com/spreadsheets/d/1-uDff_7J0KD5mKrp0Vvzr7lt3OU09vwQwhkpOPPYv2Y/edit?usp=sharing"",""งบพรบ!DF92"")"),0)</f>
        <v>0</v>
      </c>
      <c r="F92" s="74">
        <f ca="1">IFERROR(__xludf.DUMMYFUNCTION("IMPORTRANGE(""https://docs.google.com/spreadsheets/d/1-uDff_7J0KD5mKrp0Vvzr7lt3OU09vwQwhkpOPPYv2Y/edit?usp=sharing"",""งบพรบ!DG92"")"),0)</f>
        <v>0</v>
      </c>
      <c r="G92" s="74">
        <f ca="1">IFERROR(__xludf.DUMMYFUNCTION("IMPORTRANGE(""https://docs.google.com/spreadsheets/d/1-uDff_7J0KD5mKrp0Vvzr7lt3OU09vwQwhkpOPPYv2Y/edit?usp=sharing"",""งบพรบ!DH92"")"),0)</f>
        <v>0</v>
      </c>
      <c r="H92" s="74">
        <f ca="1">IFERROR(__xludf.DUMMYFUNCTION("IMPORTRANGE(""https://docs.google.com/spreadsheets/d/1-uDff_7J0KD5mKrp0Vvzr7lt3OU09vwQwhkpOPPYv2Y/edit?usp=sharing"",""งบพรบ!DJ92"")"),0)</f>
        <v>0</v>
      </c>
      <c r="I92" s="74">
        <f ca="1">IFERROR(__xludf.DUMMYFUNCTION("IMPORTRANGE(""https://docs.google.com/spreadsheets/d/1-uDff_7J0KD5mKrp0Vvzr7lt3OU09vwQwhkpOPPYv2Y/edit?usp=sharing"",""งบพรบ!DK92"")"),0)</f>
        <v>0</v>
      </c>
      <c r="J92" s="74">
        <f t="shared" ca="1" si="50"/>
        <v>0</v>
      </c>
      <c r="K92" s="75">
        <f t="shared" ca="1" si="51"/>
        <v>0</v>
      </c>
      <c r="L92" s="74">
        <f ca="1">IFERROR(__xludf.DUMMYFUNCTION("IMPORTRANGE(""https://docs.google.com/spreadsheets/d/1-uDff_7J0KD5mKrp0Vvzr7lt3OU09vwQwhkpOPPYv2Y/edit?usp=sharing"",""งบพรบ!DL92"")"),0)</f>
        <v>0</v>
      </c>
      <c r="M92" s="76">
        <f t="shared" ca="1" si="52"/>
        <v>0</v>
      </c>
      <c r="N92" s="76">
        <f t="shared" ca="1" si="53"/>
        <v>0</v>
      </c>
      <c r="O92" s="77">
        <f ca="1">IFERROR(__xludf.DUMMYFUNCTION("IMPORTRANGE(""https://docs.google.com/spreadsheets/d/1-uDff_7J0KD5mKrp0Vvzr7lt3OU09vwQwhkpOPPYv2Y/edit?usp=sharing"",""งบพรบ!DM92"")"),0)</f>
        <v>0</v>
      </c>
      <c r="P92" s="77">
        <f t="shared" ca="1" si="54"/>
        <v>0</v>
      </c>
      <c r="Q92" s="76">
        <f t="shared" ca="1" si="55"/>
        <v>0</v>
      </c>
      <c r="R92" s="77">
        <v>0</v>
      </c>
      <c r="S92" s="77">
        <v>0</v>
      </c>
      <c r="T92" s="77">
        <v>0</v>
      </c>
      <c r="U92" s="76">
        <f t="shared" si="30"/>
        <v>0</v>
      </c>
      <c r="V92" s="76">
        <f t="shared" si="31"/>
        <v>0</v>
      </c>
      <c r="W92" s="74"/>
      <c r="X92" s="74"/>
      <c r="Y92" s="175"/>
      <c r="Z92" s="74"/>
      <c r="AA92" s="74"/>
      <c r="AB92" s="175"/>
    </row>
    <row r="93" spans="1:28" ht="19.5" x14ac:dyDescent="0.3">
      <c r="A93" s="105"/>
      <c r="B93" s="106" t="s">
        <v>121</v>
      </c>
      <c r="C93" s="173">
        <f t="shared" ca="1" si="48"/>
        <v>0</v>
      </c>
      <c r="D93" s="174">
        <f t="shared" ca="1" si="49"/>
        <v>0</v>
      </c>
      <c r="E93" s="74">
        <f ca="1">IFERROR(__xludf.DUMMYFUNCTION("IMPORTRANGE(""https://docs.google.com/spreadsheets/d/1-uDff_7J0KD5mKrp0Vvzr7lt3OU09vwQwhkpOPPYv2Y/edit?usp=sharing"",""งบพรบ!DF93"")"),0)</f>
        <v>0</v>
      </c>
      <c r="F93" s="74">
        <f ca="1">IFERROR(__xludf.DUMMYFUNCTION("IMPORTRANGE(""https://docs.google.com/spreadsheets/d/1-uDff_7J0KD5mKrp0Vvzr7lt3OU09vwQwhkpOPPYv2Y/edit?usp=sharing"",""งบพรบ!DG93"")"),0)</f>
        <v>0</v>
      </c>
      <c r="G93" s="74">
        <f ca="1">IFERROR(__xludf.DUMMYFUNCTION("IMPORTRANGE(""https://docs.google.com/spreadsheets/d/1-uDff_7J0KD5mKrp0Vvzr7lt3OU09vwQwhkpOPPYv2Y/edit?usp=sharing"",""งบพรบ!DH93"")"),0)</f>
        <v>0</v>
      </c>
      <c r="H93" s="74">
        <f ca="1">IFERROR(__xludf.DUMMYFUNCTION("IMPORTRANGE(""https://docs.google.com/spreadsheets/d/1-uDff_7J0KD5mKrp0Vvzr7lt3OU09vwQwhkpOPPYv2Y/edit?usp=sharing"",""งบพรบ!DJ93"")"),474900)</f>
        <v>474900</v>
      </c>
      <c r="I93" s="74">
        <f ca="1">IFERROR(__xludf.DUMMYFUNCTION("IMPORTRANGE(""https://docs.google.com/spreadsheets/d/1-uDff_7J0KD5mKrp0Vvzr7lt3OU09vwQwhkpOPPYv2Y/edit?usp=sharing"",""งบพรบ!DK93"")"),0)</f>
        <v>0</v>
      </c>
      <c r="J93" s="74">
        <f t="shared" ca="1" si="50"/>
        <v>474900</v>
      </c>
      <c r="K93" s="75">
        <f t="shared" ca="1" si="51"/>
        <v>0</v>
      </c>
      <c r="L93" s="74">
        <f ca="1">IFERROR(__xludf.DUMMYFUNCTION("IMPORTRANGE(""https://docs.google.com/spreadsheets/d/1-uDff_7J0KD5mKrp0Vvzr7lt3OU09vwQwhkpOPPYv2Y/edit?usp=sharing"",""งบพรบ!DL93"")"),474900)</f>
        <v>474900</v>
      </c>
      <c r="M93" s="76">
        <f t="shared" ca="1" si="52"/>
        <v>0</v>
      </c>
      <c r="N93" s="76">
        <f t="shared" ca="1" si="53"/>
        <v>100</v>
      </c>
      <c r="O93" s="77">
        <f ca="1">IFERROR(__xludf.DUMMYFUNCTION("IMPORTRANGE(""https://docs.google.com/spreadsheets/d/1-uDff_7J0KD5mKrp0Vvzr7lt3OU09vwQwhkpOPPYv2Y/edit?usp=sharing"",""งบพรบ!DM93"")"),0)</f>
        <v>0</v>
      </c>
      <c r="P93" s="77">
        <f t="shared" ca="1" si="54"/>
        <v>0</v>
      </c>
      <c r="Q93" s="76">
        <f t="shared" ca="1" si="55"/>
        <v>0</v>
      </c>
      <c r="R93" s="77">
        <v>0</v>
      </c>
      <c r="S93" s="77">
        <v>0</v>
      </c>
      <c r="T93" s="77">
        <v>0</v>
      </c>
      <c r="U93" s="76">
        <f t="shared" si="30"/>
        <v>0</v>
      </c>
      <c r="V93" s="76">
        <f t="shared" si="31"/>
        <v>0</v>
      </c>
      <c r="W93" s="74"/>
      <c r="X93" s="74"/>
      <c r="Y93" s="175"/>
      <c r="Z93" s="74"/>
      <c r="AA93" s="74"/>
      <c r="AB93" s="175"/>
    </row>
    <row r="94" spans="1:28" ht="19.5" hidden="1" x14ac:dyDescent="0.3">
      <c r="A94" s="105"/>
      <c r="B94" s="106" t="s">
        <v>122</v>
      </c>
      <c r="C94" s="173">
        <f t="shared" ca="1" si="48"/>
        <v>0</v>
      </c>
      <c r="D94" s="174">
        <f t="shared" ca="1" si="49"/>
        <v>0</v>
      </c>
      <c r="E94" s="74">
        <f ca="1">IFERROR(__xludf.DUMMYFUNCTION("IMPORTRANGE(""https://docs.google.com/spreadsheets/d/1-uDff_7J0KD5mKrp0Vvzr7lt3OU09vwQwhkpOPPYv2Y/edit?usp=sharing"",""งบพรบ!DF94"")"),0)</f>
        <v>0</v>
      </c>
      <c r="F94" s="74">
        <f ca="1">IFERROR(__xludf.DUMMYFUNCTION("IMPORTRANGE(""https://docs.google.com/spreadsheets/d/1-uDff_7J0KD5mKrp0Vvzr7lt3OU09vwQwhkpOPPYv2Y/edit?usp=sharing"",""งบพรบ!DG94"")"),0)</f>
        <v>0</v>
      </c>
      <c r="G94" s="74">
        <f ca="1">IFERROR(__xludf.DUMMYFUNCTION("IMPORTRANGE(""https://docs.google.com/spreadsheets/d/1-uDff_7J0KD5mKrp0Vvzr7lt3OU09vwQwhkpOPPYv2Y/edit?usp=sharing"",""งบพรบ!DH94"")"),0)</f>
        <v>0</v>
      </c>
      <c r="H94" s="74">
        <f ca="1">IFERROR(__xludf.DUMMYFUNCTION("IMPORTRANGE(""https://docs.google.com/spreadsheets/d/1-uDff_7J0KD5mKrp0Vvzr7lt3OU09vwQwhkpOPPYv2Y/edit?usp=sharing"",""งบพรบ!DJ94"")"),0)</f>
        <v>0</v>
      </c>
      <c r="I94" s="74">
        <f ca="1">IFERROR(__xludf.DUMMYFUNCTION("IMPORTRANGE(""https://docs.google.com/spreadsheets/d/1-uDff_7J0KD5mKrp0Vvzr7lt3OU09vwQwhkpOPPYv2Y/edit?usp=sharing"",""งบพรบ!DK94"")"),0)</f>
        <v>0</v>
      </c>
      <c r="J94" s="74">
        <f t="shared" ca="1" si="50"/>
        <v>0</v>
      </c>
      <c r="K94" s="75">
        <f t="shared" ca="1" si="51"/>
        <v>0</v>
      </c>
      <c r="L94" s="74">
        <f ca="1">IFERROR(__xludf.DUMMYFUNCTION("IMPORTRANGE(""https://docs.google.com/spreadsheets/d/1-uDff_7J0KD5mKrp0Vvzr7lt3OU09vwQwhkpOPPYv2Y/edit?usp=sharing"",""งบพรบ!DL94"")"),0)</f>
        <v>0</v>
      </c>
      <c r="M94" s="76">
        <f t="shared" ca="1" si="52"/>
        <v>0</v>
      </c>
      <c r="N94" s="76">
        <f t="shared" ca="1" si="53"/>
        <v>0</v>
      </c>
      <c r="O94" s="77">
        <f ca="1">IFERROR(__xludf.DUMMYFUNCTION("IMPORTRANGE(""https://docs.google.com/spreadsheets/d/1-uDff_7J0KD5mKrp0Vvzr7lt3OU09vwQwhkpOPPYv2Y/edit?usp=sharing"",""งบพรบ!DM94"")"),0)</f>
        <v>0</v>
      </c>
      <c r="P94" s="77">
        <f t="shared" ca="1" si="54"/>
        <v>0</v>
      </c>
      <c r="Q94" s="76">
        <f t="shared" ca="1" si="55"/>
        <v>0</v>
      </c>
      <c r="R94" s="77">
        <v>0</v>
      </c>
      <c r="S94" s="77">
        <v>0</v>
      </c>
      <c r="T94" s="77">
        <v>0</v>
      </c>
      <c r="U94" s="76">
        <f t="shared" si="30"/>
        <v>0</v>
      </c>
      <c r="V94" s="76">
        <f t="shared" si="31"/>
        <v>0</v>
      </c>
      <c r="W94" s="74"/>
      <c r="X94" s="74"/>
      <c r="Y94" s="175"/>
      <c r="Z94" s="74"/>
      <c r="AA94" s="74"/>
      <c r="AB94" s="175"/>
    </row>
    <row r="95" spans="1:28" ht="19.5" hidden="1" x14ac:dyDescent="0.3">
      <c r="A95" s="105"/>
      <c r="B95" s="106" t="s">
        <v>123</v>
      </c>
      <c r="C95" s="173">
        <f t="shared" ca="1" si="48"/>
        <v>0</v>
      </c>
      <c r="D95" s="174">
        <f t="shared" ca="1" si="49"/>
        <v>0</v>
      </c>
      <c r="E95" s="74">
        <f ca="1">IFERROR(__xludf.DUMMYFUNCTION("IMPORTRANGE(""https://docs.google.com/spreadsheets/d/1-uDff_7J0KD5mKrp0Vvzr7lt3OU09vwQwhkpOPPYv2Y/edit?usp=sharing"",""งบพรบ!DF95"")"),0)</f>
        <v>0</v>
      </c>
      <c r="F95" s="74">
        <f ca="1">IFERROR(__xludf.DUMMYFUNCTION("IMPORTRANGE(""https://docs.google.com/spreadsheets/d/1-uDff_7J0KD5mKrp0Vvzr7lt3OU09vwQwhkpOPPYv2Y/edit?usp=sharing"",""งบพรบ!DG95"")"),0)</f>
        <v>0</v>
      </c>
      <c r="G95" s="74">
        <f ca="1">IFERROR(__xludf.DUMMYFUNCTION("IMPORTRANGE(""https://docs.google.com/spreadsheets/d/1-uDff_7J0KD5mKrp0Vvzr7lt3OU09vwQwhkpOPPYv2Y/edit?usp=sharing"",""งบพรบ!DH95"")"),0)</f>
        <v>0</v>
      </c>
      <c r="H95" s="74">
        <f ca="1">IFERROR(__xludf.DUMMYFUNCTION("IMPORTRANGE(""https://docs.google.com/spreadsheets/d/1-uDff_7J0KD5mKrp0Vvzr7lt3OU09vwQwhkpOPPYv2Y/edit?usp=sharing"",""งบพรบ!DJ95"")"),0)</f>
        <v>0</v>
      </c>
      <c r="I95" s="74">
        <f ca="1">IFERROR(__xludf.DUMMYFUNCTION("IMPORTRANGE(""https://docs.google.com/spreadsheets/d/1-uDff_7J0KD5mKrp0Vvzr7lt3OU09vwQwhkpOPPYv2Y/edit?usp=sharing"",""งบพรบ!DK95"")"),0)</f>
        <v>0</v>
      </c>
      <c r="J95" s="74">
        <f t="shared" ca="1" si="50"/>
        <v>0</v>
      </c>
      <c r="K95" s="75">
        <f t="shared" ca="1" si="51"/>
        <v>0</v>
      </c>
      <c r="L95" s="74">
        <f ca="1">IFERROR(__xludf.DUMMYFUNCTION("IMPORTRANGE(""https://docs.google.com/spreadsheets/d/1-uDff_7J0KD5mKrp0Vvzr7lt3OU09vwQwhkpOPPYv2Y/edit?usp=sharing"",""งบพรบ!DL95"")"),0)</f>
        <v>0</v>
      </c>
      <c r="M95" s="76">
        <f t="shared" ca="1" si="52"/>
        <v>0</v>
      </c>
      <c r="N95" s="76">
        <f t="shared" ca="1" si="53"/>
        <v>0</v>
      </c>
      <c r="O95" s="77">
        <f ca="1">IFERROR(__xludf.DUMMYFUNCTION("IMPORTRANGE(""https://docs.google.com/spreadsheets/d/1-uDff_7J0KD5mKrp0Vvzr7lt3OU09vwQwhkpOPPYv2Y/edit?usp=sharing"",""งบพรบ!DM95"")"),0)</f>
        <v>0</v>
      </c>
      <c r="P95" s="77">
        <f t="shared" ca="1" si="54"/>
        <v>0</v>
      </c>
      <c r="Q95" s="76">
        <f t="shared" ca="1" si="55"/>
        <v>0</v>
      </c>
      <c r="R95" s="77">
        <v>0</v>
      </c>
      <c r="S95" s="77">
        <v>0</v>
      </c>
      <c r="T95" s="77">
        <v>0</v>
      </c>
      <c r="U95" s="76">
        <f t="shared" si="30"/>
        <v>0</v>
      </c>
      <c r="V95" s="76">
        <f t="shared" si="31"/>
        <v>0</v>
      </c>
      <c r="W95" s="74"/>
      <c r="X95" s="74"/>
      <c r="Y95" s="175"/>
      <c r="Z95" s="74"/>
      <c r="AA95" s="74"/>
      <c r="AB95" s="175"/>
    </row>
    <row r="96" spans="1:28" ht="19.5" hidden="1" x14ac:dyDescent="0.3">
      <c r="A96" s="105"/>
      <c r="B96" s="106" t="s">
        <v>124</v>
      </c>
      <c r="C96" s="173">
        <f t="shared" ca="1" si="48"/>
        <v>0</v>
      </c>
      <c r="D96" s="174">
        <f t="shared" ca="1" si="49"/>
        <v>0</v>
      </c>
      <c r="E96" s="74">
        <f ca="1">IFERROR(__xludf.DUMMYFUNCTION("IMPORTRANGE(""https://docs.google.com/spreadsheets/d/1-uDff_7J0KD5mKrp0Vvzr7lt3OU09vwQwhkpOPPYv2Y/edit?usp=sharing"",""งบพรบ!DF96"")"),0)</f>
        <v>0</v>
      </c>
      <c r="F96" s="74">
        <f ca="1">IFERROR(__xludf.DUMMYFUNCTION("IMPORTRANGE(""https://docs.google.com/spreadsheets/d/1-uDff_7J0KD5mKrp0Vvzr7lt3OU09vwQwhkpOPPYv2Y/edit?usp=sharing"",""งบพรบ!DG96"")"),0)</f>
        <v>0</v>
      </c>
      <c r="G96" s="74">
        <f ca="1">IFERROR(__xludf.DUMMYFUNCTION("IMPORTRANGE(""https://docs.google.com/spreadsheets/d/1-uDff_7J0KD5mKrp0Vvzr7lt3OU09vwQwhkpOPPYv2Y/edit?usp=sharing"",""งบพรบ!DH96"")"),0)</f>
        <v>0</v>
      </c>
      <c r="H96" s="74">
        <f ca="1">IFERROR(__xludf.DUMMYFUNCTION("IMPORTRANGE(""https://docs.google.com/spreadsheets/d/1-uDff_7J0KD5mKrp0Vvzr7lt3OU09vwQwhkpOPPYv2Y/edit?usp=sharing"",""งบพรบ!DJ96"")"),0)</f>
        <v>0</v>
      </c>
      <c r="I96" s="74">
        <f ca="1">IFERROR(__xludf.DUMMYFUNCTION("IMPORTRANGE(""https://docs.google.com/spreadsheets/d/1-uDff_7J0KD5mKrp0Vvzr7lt3OU09vwQwhkpOPPYv2Y/edit?usp=sharing"",""งบพรบ!DK96"")"),0)</f>
        <v>0</v>
      </c>
      <c r="J96" s="74">
        <f t="shared" ca="1" si="50"/>
        <v>0</v>
      </c>
      <c r="K96" s="75">
        <f t="shared" ca="1" si="51"/>
        <v>0</v>
      </c>
      <c r="L96" s="74">
        <f ca="1">IFERROR(__xludf.DUMMYFUNCTION("IMPORTRANGE(""https://docs.google.com/spreadsheets/d/1-uDff_7J0KD5mKrp0Vvzr7lt3OU09vwQwhkpOPPYv2Y/edit?usp=sharing"",""งบพรบ!DL96"")"),0)</f>
        <v>0</v>
      </c>
      <c r="M96" s="76">
        <f t="shared" ca="1" si="52"/>
        <v>0</v>
      </c>
      <c r="N96" s="76">
        <f t="shared" ca="1" si="53"/>
        <v>0</v>
      </c>
      <c r="O96" s="77">
        <f ca="1">IFERROR(__xludf.DUMMYFUNCTION("IMPORTRANGE(""https://docs.google.com/spreadsheets/d/1-uDff_7J0KD5mKrp0Vvzr7lt3OU09vwQwhkpOPPYv2Y/edit?usp=sharing"",""งบพรบ!DM96"")"),0)</f>
        <v>0</v>
      </c>
      <c r="P96" s="77">
        <f t="shared" ca="1" si="54"/>
        <v>0</v>
      </c>
      <c r="Q96" s="76">
        <f t="shared" ca="1" si="55"/>
        <v>0</v>
      </c>
      <c r="R96" s="77">
        <v>0</v>
      </c>
      <c r="S96" s="77">
        <v>0</v>
      </c>
      <c r="T96" s="77">
        <v>0</v>
      </c>
      <c r="U96" s="76">
        <f t="shared" si="30"/>
        <v>0</v>
      </c>
      <c r="V96" s="76">
        <f t="shared" si="31"/>
        <v>0</v>
      </c>
      <c r="W96" s="74"/>
      <c r="X96" s="74"/>
      <c r="Y96" s="175"/>
      <c r="Z96" s="74"/>
      <c r="AA96" s="74"/>
      <c r="AB96" s="175"/>
    </row>
    <row r="97" spans="1:28" ht="19.5" hidden="1" x14ac:dyDescent="0.3">
      <c r="A97" s="105"/>
      <c r="B97" s="106" t="s">
        <v>125</v>
      </c>
      <c r="C97" s="173">
        <f t="shared" ca="1" si="48"/>
        <v>0</v>
      </c>
      <c r="D97" s="174">
        <f t="shared" ca="1" si="49"/>
        <v>0</v>
      </c>
      <c r="E97" s="74">
        <f ca="1">IFERROR(__xludf.DUMMYFUNCTION("IMPORTRANGE(""https://docs.google.com/spreadsheets/d/1-uDff_7J0KD5mKrp0Vvzr7lt3OU09vwQwhkpOPPYv2Y/edit?usp=sharing"",""งบพรบ!DF97"")"),0)</f>
        <v>0</v>
      </c>
      <c r="F97" s="74">
        <f ca="1">IFERROR(__xludf.DUMMYFUNCTION("IMPORTRANGE(""https://docs.google.com/spreadsheets/d/1-uDff_7J0KD5mKrp0Vvzr7lt3OU09vwQwhkpOPPYv2Y/edit?usp=sharing"",""งบพรบ!DG97"")"),0)</f>
        <v>0</v>
      </c>
      <c r="G97" s="74">
        <f ca="1">IFERROR(__xludf.DUMMYFUNCTION("IMPORTRANGE(""https://docs.google.com/spreadsheets/d/1-uDff_7J0KD5mKrp0Vvzr7lt3OU09vwQwhkpOPPYv2Y/edit?usp=sharing"",""งบพรบ!DH97"")"),0)</f>
        <v>0</v>
      </c>
      <c r="H97" s="74">
        <f ca="1">IFERROR(__xludf.DUMMYFUNCTION("IMPORTRANGE(""https://docs.google.com/spreadsheets/d/1-uDff_7J0KD5mKrp0Vvzr7lt3OU09vwQwhkpOPPYv2Y/edit?usp=sharing"",""งบพรบ!DJ97"")"),0)</f>
        <v>0</v>
      </c>
      <c r="I97" s="74">
        <f ca="1">IFERROR(__xludf.DUMMYFUNCTION("IMPORTRANGE(""https://docs.google.com/spreadsheets/d/1-uDff_7J0KD5mKrp0Vvzr7lt3OU09vwQwhkpOPPYv2Y/edit?usp=sharing"",""งบพรบ!DK97"")"),0)</f>
        <v>0</v>
      </c>
      <c r="J97" s="74">
        <f t="shared" ca="1" si="50"/>
        <v>0</v>
      </c>
      <c r="K97" s="75">
        <f t="shared" ca="1" si="51"/>
        <v>0</v>
      </c>
      <c r="L97" s="74">
        <f ca="1">IFERROR(__xludf.DUMMYFUNCTION("IMPORTRANGE(""https://docs.google.com/spreadsheets/d/1-uDff_7J0KD5mKrp0Vvzr7lt3OU09vwQwhkpOPPYv2Y/edit?usp=sharing"",""งบพรบ!DL97"")"),0)</f>
        <v>0</v>
      </c>
      <c r="M97" s="76">
        <f t="shared" ca="1" si="52"/>
        <v>0</v>
      </c>
      <c r="N97" s="76">
        <f t="shared" ca="1" si="53"/>
        <v>0</v>
      </c>
      <c r="O97" s="77">
        <f ca="1">IFERROR(__xludf.DUMMYFUNCTION("IMPORTRANGE(""https://docs.google.com/spreadsheets/d/1-uDff_7J0KD5mKrp0Vvzr7lt3OU09vwQwhkpOPPYv2Y/edit?usp=sharing"",""งบพรบ!DM97"")"),0)</f>
        <v>0</v>
      </c>
      <c r="P97" s="77">
        <f t="shared" ca="1" si="54"/>
        <v>0</v>
      </c>
      <c r="Q97" s="76">
        <f t="shared" ca="1" si="55"/>
        <v>0</v>
      </c>
      <c r="R97" s="77">
        <v>0</v>
      </c>
      <c r="S97" s="77">
        <v>0</v>
      </c>
      <c r="T97" s="77">
        <v>0</v>
      </c>
      <c r="U97" s="76">
        <f t="shared" si="30"/>
        <v>0</v>
      </c>
      <c r="V97" s="76">
        <f t="shared" si="31"/>
        <v>0</v>
      </c>
      <c r="W97" s="74"/>
      <c r="X97" s="74"/>
      <c r="Y97" s="175"/>
      <c r="Z97" s="74"/>
      <c r="AA97" s="74"/>
      <c r="AB97" s="175"/>
    </row>
    <row r="98" spans="1:28" ht="19.5" hidden="1" x14ac:dyDescent="0.3">
      <c r="A98" s="105"/>
      <c r="B98" s="106" t="s">
        <v>126</v>
      </c>
      <c r="C98" s="173">
        <f t="shared" ca="1" si="48"/>
        <v>0</v>
      </c>
      <c r="D98" s="174">
        <f t="shared" ca="1" si="49"/>
        <v>0</v>
      </c>
      <c r="E98" s="74">
        <f ca="1">IFERROR(__xludf.DUMMYFUNCTION("IMPORTRANGE(""https://docs.google.com/spreadsheets/d/1-uDff_7J0KD5mKrp0Vvzr7lt3OU09vwQwhkpOPPYv2Y/edit?usp=sharing"",""งบพรบ!DF98"")"),0)</f>
        <v>0</v>
      </c>
      <c r="F98" s="74">
        <f ca="1">IFERROR(__xludf.DUMMYFUNCTION("IMPORTRANGE(""https://docs.google.com/spreadsheets/d/1-uDff_7J0KD5mKrp0Vvzr7lt3OU09vwQwhkpOPPYv2Y/edit?usp=sharing"",""งบพรบ!DG98"")"),0)</f>
        <v>0</v>
      </c>
      <c r="G98" s="74">
        <f ca="1">IFERROR(__xludf.DUMMYFUNCTION("IMPORTRANGE(""https://docs.google.com/spreadsheets/d/1-uDff_7J0KD5mKrp0Vvzr7lt3OU09vwQwhkpOPPYv2Y/edit?usp=sharing"",""งบพรบ!DH98"")"),0)</f>
        <v>0</v>
      </c>
      <c r="H98" s="74">
        <f ca="1">IFERROR(__xludf.DUMMYFUNCTION("IMPORTRANGE(""https://docs.google.com/spreadsheets/d/1-uDff_7J0KD5mKrp0Vvzr7lt3OU09vwQwhkpOPPYv2Y/edit?usp=sharing"",""งบพรบ!DJ98"")"),0)</f>
        <v>0</v>
      </c>
      <c r="I98" s="74">
        <f ca="1">IFERROR(__xludf.DUMMYFUNCTION("IMPORTRANGE(""https://docs.google.com/spreadsheets/d/1-uDff_7J0KD5mKrp0Vvzr7lt3OU09vwQwhkpOPPYv2Y/edit?usp=sharing"",""งบพรบ!DK98"")"),0)</f>
        <v>0</v>
      </c>
      <c r="J98" s="74">
        <f t="shared" ca="1" si="50"/>
        <v>0</v>
      </c>
      <c r="K98" s="75">
        <f t="shared" ca="1" si="51"/>
        <v>0</v>
      </c>
      <c r="L98" s="74">
        <f ca="1">IFERROR(__xludf.DUMMYFUNCTION("IMPORTRANGE(""https://docs.google.com/spreadsheets/d/1-uDff_7J0KD5mKrp0Vvzr7lt3OU09vwQwhkpOPPYv2Y/edit?usp=sharing"",""งบพรบ!DL98"")"),0)</f>
        <v>0</v>
      </c>
      <c r="M98" s="76">
        <f t="shared" ca="1" si="52"/>
        <v>0</v>
      </c>
      <c r="N98" s="76">
        <f t="shared" ca="1" si="53"/>
        <v>0</v>
      </c>
      <c r="O98" s="77">
        <f ca="1">IFERROR(__xludf.DUMMYFUNCTION("IMPORTRANGE(""https://docs.google.com/spreadsheets/d/1-uDff_7J0KD5mKrp0Vvzr7lt3OU09vwQwhkpOPPYv2Y/edit?usp=sharing"",""งบพรบ!DM98"")"),0)</f>
        <v>0</v>
      </c>
      <c r="P98" s="77">
        <f t="shared" ca="1" si="54"/>
        <v>0</v>
      </c>
      <c r="Q98" s="76">
        <f t="shared" ca="1" si="55"/>
        <v>0</v>
      </c>
      <c r="R98" s="77">
        <v>0</v>
      </c>
      <c r="S98" s="77">
        <v>0</v>
      </c>
      <c r="T98" s="77">
        <v>0</v>
      </c>
      <c r="U98" s="76">
        <f t="shared" si="30"/>
        <v>0</v>
      </c>
      <c r="V98" s="76">
        <f t="shared" si="31"/>
        <v>0</v>
      </c>
      <c r="W98" s="74"/>
      <c r="X98" s="74"/>
      <c r="Y98" s="175"/>
      <c r="Z98" s="74"/>
      <c r="AA98" s="74"/>
      <c r="AB98" s="175"/>
    </row>
    <row r="99" spans="1:28" ht="19.5" hidden="1" x14ac:dyDescent="0.3">
      <c r="A99" s="105"/>
      <c r="B99" s="106" t="s">
        <v>127</v>
      </c>
      <c r="C99" s="173">
        <f t="shared" ca="1" si="48"/>
        <v>0</v>
      </c>
      <c r="D99" s="174">
        <f t="shared" ca="1" si="49"/>
        <v>0</v>
      </c>
      <c r="E99" s="74">
        <f ca="1">IFERROR(__xludf.DUMMYFUNCTION("IMPORTRANGE(""https://docs.google.com/spreadsheets/d/1-uDff_7J0KD5mKrp0Vvzr7lt3OU09vwQwhkpOPPYv2Y/edit?usp=sharing"",""งบพรบ!DF99"")"),0)</f>
        <v>0</v>
      </c>
      <c r="F99" s="74">
        <f ca="1">IFERROR(__xludf.DUMMYFUNCTION("IMPORTRANGE(""https://docs.google.com/spreadsheets/d/1-uDff_7J0KD5mKrp0Vvzr7lt3OU09vwQwhkpOPPYv2Y/edit?usp=sharing"",""งบพรบ!DG99"")"),0)</f>
        <v>0</v>
      </c>
      <c r="G99" s="74">
        <f ca="1">IFERROR(__xludf.DUMMYFUNCTION("IMPORTRANGE(""https://docs.google.com/spreadsheets/d/1-uDff_7J0KD5mKrp0Vvzr7lt3OU09vwQwhkpOPPYv2Y/edit?usp=sharing"",""งบพรบ!DH99"")"),0)</f>
        <v>0</v>
      </c>
      <c r="H99" s="74">
        <f ca="1">IFERROR(__xludf.DUMMYFUNCTION("IMPORTRANGE(""https://docs.google.com/spreadsheets/d/1-uDff_7J0KD5mKrp0Vvzr7lt3OU09vwQwhkpOPPYv2Y/edit?usp=sharing"",""งบพรบ!DJ99"")"),0)</f>
        <v>0</v>
      </c>
      <c r="I99" s="74">
        <f ca="1">IFERROR(__xludf.DUMMYFUNCTION("IMPORTRANGE(""https://docs.google.com/spreadsheets/d/1-uDff_7J0KD5mKrp0Vvzr7lt3OU09vwQwhkpOPPYv2Y/edit?usp=sharing"",""งบพรบ!DK99"")"),0)</f>
        <v>0</v>
      </c>
      <c r="J99" s="74">
        <f t="shared" ca="1" si="50"/>
        <v>0</v>
      </c>
      <c r="K99" s="75">
        <f t="shared" ca="1" si="51"/>
        <v>0</v>
      </c>
      <c r="L99" s="74">
        <f ca="1">IFERROR(__xludf.DUMMYFUNCTION("IMPORTRANGE(""https://docs.google.com/spreadsheets/d/1-uDff_7J0KD5mKrp0Vvzr7lt3OU09vwQwhkpOPPYv2Y/edit?usp=sharing"",""งบพรบ!DL99"")"),0)</f>
        <v>0</v>
      </c>
      <c r="M99" s="76">
        <f t="shared" ca="1" si="52"/>
        <v>0</v>
      </c>
      <c r="N99" s="76">
        <f t="shared" ca="1" si="53"/>
        <v>0</v>
      </c>
      <c r="O99" s="77">
        <f ca="1">IFERROR(__xludf.DUMMYFUNCTION("IMPORTRANGE(""https://docs.google.com/spreadsheets/d/1-uDff_7J0KD5mKrp0Vvzr7lt3OU09vwQwhkpOPPYv2Y/edit?usp=sharing"",""งบพรบ!DM99"")"),0)</f>
        <v>0</v>
      </c>
      <c r="P99" s="77">
        <f t="shared" ca="1" si="54"/>
        <v>0</v>
      </c>
      <c r="Q99" s="76">
        <f t="shared" ca="1" si="55"/>
        <v>0</v>
      </c>
      <c r="R99" s="77">
        <v>0</v>
      </c>
      <c r="S99" s="77">
        <v>0</v>
      </c>
      <c r="T99" s="77">
        <v>0</v>
      </c>
      <c r="U99" s="76">
        <f t="shared" si="30"/>
        <v>0</v>
      </c>
      <c r="V99" s="76">
        <f t="shared" si="31"/>
        <v>0</v>
      </c>
      <c r="W99" s="74"/>
      <c r="X99" s="74"/>
      <c r="Y99" s="175"/>
      <c r="Z99" s="74"/>
      <c r="AA99" s="74"/>
      <c r="AB99" s="175"/>
    </row>
    <row r="100" spans="1:28" ht="19.5" hidden="1" x14ac:dyDescent="0.3">
      <c r="A100" s="105"/>
      <c r="B100" s="106" t="s">
        <v>128</v>
      </c>
      <c r="C100" s="173">
        <f t="shared" ca="1" si="48"/>
        <v>0</v>
      </c>
      <c r="D100" s="174">
        <f t="shared" ca="1" si="49"/>
        <v>0</v>
      </c>
      <c r="E100" s="74">
        <f ca="1">IFERROR(__xludf.DUMMYFUNCTION("IMPORTRANGE(""https://docs.google.com/spreadsheets/d/1-uDff_7J0KD5mKrp0Vvzr7lt3OU09vwQwhkpOPPYv2Y/edit?usp=sharing"",""งบพรบ!DF100"")"),0)</f>
        <v>0</v>
      </c>
      <c r="F100" s="74">
        <f ca="1">IFERROR(__xludf.DUMMYFUNCTION("IMPORTRANGE(""https://docs.google.com/spreadsheets/d/1-uDff_7J0KD5mKrp0Vvzr7lt3OU09vwQwhkpOPPYv2Y/edit?usp=sharing"",""งบพรบ!DG100"")"),0)</f>
        <v>0</v>
      </c>
      <c r="G100" s="74">
        <f ca="1">IFERROR(__xludf.DUMMYFUNCTION("IMPORTRANGE(""https://docs.google.com/spreadsheets/d/1-uDff_7J0KD5mKrp0Vvzr7lt3OU09vwQwhkpOPPYv2Y/edit?usp=sharing"",""งบพรบ!DH100"")"),0)</f>
        <v>0</v>
      </c>
      <c r="H100" s="74">
        <f ca="1">IFERROR(__xludf.DUMMYFUNCTION("IMPORTRANGE(""https://docs.google.com/spreadsheets/d/1-uDff_7J0KD5mKrp0Vvzr7lt3OU09vwQwhkpOPPYv2Y/edit?usp=sharing"",""งบพรบ!DJ100"")"),0)</f>
        <v>0</v>
      </c>
      <c r="I100" s="74">
        <f ca="1">IFERROR(__xludf.DUMMYFUNCTION("IMPORTRANGE(""https://docs.google.com/spreadsheets/d/1-uDff_7J0KD5mKrp0Vvzr7lt3OU09vwQwhkpOPPYv2Y/edit?usp=sharing"",""งบพรบ!DK100"")"),0)</f>
        <v>0</v>
      </c>
      <c r="J100" s="74">
        <f t="shared" ca="1" si="50"/>
        <v>0</v>
      </c>
      <c r="K100" s="75">
        <f t="shared" ca="1" si="51"/>
        <v>0</v>
      </c>
      <c r="L100" s="74">
        <f ca="1">IFERROR(__xludf.DUMMYFUNCTION("IMPORTRANGE(""https://docs.google.com/spreadsheets/d/1-uDff_7J0KD5mKrp0Vvzr7lt3OU09vwQwhkpOPPYv2Y/edit?usp=sharing"",""งบพรบ!DL100"")"),0)</f>
        <v>0</v>
      </c>
      <c r="M100" s="76">
        <f t="shared" ca="1" si="52"/>
        <v>0</v>
      </c>
      <c r="N100" s="76">
        <f t="shared" ca="1" si="53"/>
        <v>0</v>
      </c>
      <c r="O100" s="77">
        <f ca="1">IFERROR(__xludf.DUMMYFUNCTION("IMPORTRANGE(""https://docs.google.com/spreadsheets/d/1-uDff_7J0KD5mKrp0Vvzr7lt3OU09vwQwhkpOPPYv2Y/edit?usp=sharing"",""งบพรบ!DM100"")"),0)</f>
        <v>0</v>
      </c>
      <c r="P100" s="77">
        <f t="shared" ca="1" si="54"/>
        <v>0</v>
      </c>
      <c r="Q100" s="76">
        <f t="shared" ca="1" si="55"/>
        <v>0</v>
      </c>
      <c r="R100" s="77">
        <v>0</v>
      </c>
      <c r="S100" s="77">
        <v>0</v>
      </c>
      <c r="T100" s="77">
        <v>0</v>
      </c>
      <c r="U100" s="76">
        <f t="shared" si="30"/>
        <v>0</v>
      </c>
      <c r="V100" s="76">
        <f t="shared" si="31"/>
        <v>0</v>
      </c>
      <c r="W100" s="74"/>
      <c r="X100" s="74"/>
      <c r="Y100" s="175"/>
      <c r="Z100" s="74"/>
      <c r="AA100" s="74"/>
      <c r="AB100" s="175"/>
    </row>
    <row r="101" spans="1:28" ht="19.5" x14ac:dyDescent="0.3">
      <c r="A101" s="105"/>
      <c r="B101" s="106" t="s">
        <v>129</v>
      </c>
      <c r="C101" s="173">
        <f t="shared" ca="1" si="48"/>
        <v>1849000</v>
      </c>
      <c r="D101" s="174">
        <f t="shared" ca="1" si="49"/>
        <v>1849000</v>
      </c>
      <c r="E101" s="74">
        <f ca="1">IFERROR(__xludf.DUMMYFUNCTION("IMPORTRANGE(""https://docs.google.com/spreadsheets/d/1-uDff_7J0KD5mKrp0Vvzr7lt3OU09vwQwhkpOPPYv2Y/edit?usp=sharing"",""งบพรบ!DF101"")"),0)</f>
        <v>0</v>
      </c>
      <c r="F101" s="74">
        <f ca="1">IFERROR(__xludf.DUMMYFUNCTION("IMPORTRANGE(""https://docs.google.com/spreadsheets/d/1-uDff_7J0KD5mKrp0Vvzr7lt3OU09vwQwhkpOPPYv2Y/edit?usp=sharing"",""งบพรบ!DG101"")"),1849000)</f>
        <v>1849000</v>
      </c>
      <c r="G101" s="74">
        <f ca="1">IFERROR(__xludf.DUMMYFUNCTION("IMPORTRANGE(""https://docs.google.com/spreadsheets/d/1-uDff_7J0KD5mKrp0Vvzr7lt3OU09vwQwhkpOPPYv2Y/edit?usp=sharing"",""งบพรบ!DH101"")"),0)</f>
        <v>0</v>
      </c>
      <c r="H101" s="74">
        <f ca="1">IFERROR(__xludf.DUMMYFUNCTION("IMPORTRANGE(""https://docs.google.com/spreadsheets/d/1-uDff_7J0KD5mKrp0Vvzr7lt3OU09vwQwhkpOPPYv2Y/edit?usp=sharing"",""งบพรบ!DJ101"")"),842100)</f>
        <v>842100</v>
      </c>
      <c r="I101" s="74">
        <f ca="1">IFERROR(__xludf.DUMMYFUNCTION("IMPORTRANGE(""https://docs.google.com/spreadsheets/d/1-uDff_7J0KD5mKrp0Vvzr7lt3OU09vwQwhkpOPPYv2Y/edit?usp=sharing"",""งบพรบ!DK101"")"),0)</f>
        <v>0</v>
      </c>
      <c r="J101" s="74">
        <f t="shared" ca="1" si="50"/>
        <v>691043.55</v>
      </c>
      <c r="K101" s="75">
        <f t="shared" ca="1" si="51"/>
        <v>37.373907517577067</v>
      </c>
      <c r="L101" s="74">
        <f ca="1">IFERROR(__xludf.DUMMYFUNCTION("IMPORTRANGE(""https://docs.google.com/spreadsheets/d/1-uDff_7J0KD5mKrp0Vvzr7lt3OU09vwQwhkpOPPYv2Y/edit?usp=sharing"",""งบพรบ!DL101"")"),691043.55)</f>
        <v>691043.55</v>
      </c>
      <c r="M101" s="76">
        <f t="shared" ca="1" si="52"/>
        <v>37.373907517577067</v>
      </c>
      <c r="N101" s="76">
        <f t="shared" ca="1" si="53"/>
        <v>82.061934449590311</v>
      </c>
      <c r="O101" s="77">
        <f ca="1">IFERROR(__xludf.DUMMYFUNCTION("IMPORTRANGE(""https://docs.google.com/spreadsheets/d/1-uDff_7J0KD5mKrp0Vvzr7lt3OU09vwQwhkpOPPYv2Y/edit?usp=sharing"",""งบพรบ!DM101"")"),0)</f>
        <v>0</v>
      </c>
      <c r="P101" s="77">
        <f t="shared" ca="1" si="54"/>
        <v>0</v>
      </c>
      <c r="Q101" s="76">
        <f t="shared" ca="1" si="55"/>
        <v>0</v>
      </c>
      <c r="R101" s="77">
        <v>0</v>
      </c>
      <c r="S101" s="77">
        <v>0</v>
      </c>
      <c r="T101" s="77">
        <v>0</v>
      </c>
      <c r="U101" s="76">
        <f t="shared" si="30"/>
        <v>0</v>
      </c>
      <c r="V101" s="76">
        <f t="shared" si="31"/>
        <v>0</v>
      </c>
      <c r="W101" s="74"/>
      <c r="X101" s="74"/>
      <c r="Y101" s="175"/>
      <c r="Z101" s="74"/>
      <c r="AA101" s="74"/>
      <c r="AB101" s="175"/>
    </row>
    <row r="102" spans="1:28" ht="19.5" hidden="1" x14ac:dyDescent="0.3">
      <c r="A102" s="105"/>
      <c r="B102" s="106" t="s">
        <v>130</v>
      </c>
      <c r="C102" s="173">
        <f t="shared" ca="1" si="48"/>
        <v>0</v>
      </c>
      <c r="D102" s="174">
        <f t="shared" ca="1" si="49"/>
        <v>0</v>
      </c>
      <c r="E102" s="74">
        <f ca="1">IFERROR(__xludf.DUMMYFUNCTION("IMPORTRANGE(""https://docs.google.com/spreadsheets/d/1-uDff_7J0KD5mKrp0Vvzr7lt3OU09vwQwhkpOPPYv2Y/edit?usp=sharing"",""งบพรบ!DF102"")"),0)</f>
        <v>0</v>
      </c>
      <c r="F102" s="74">
        <f ca="1">IFERROR(__xludf.DUMMYFUNCTION("IMPORTRANGE(""https://docs.google.com/spreadsheets/d/1-uDff_7J0KD5mKrp0Vvzr7lt3OU09vwQwhkpOPPYv2Y/edit?usp=sharing"",""งบพรบ!DG102"")"),0)</f>
        <v>0</v>
      </c>
      <c r="G102" s="74">
        <f ca="1">IFERROR(__xludf.DUMMYFUNCTION("IMPORTRANGE(""https://docs.google.com/spreadsheets/d/1-uDff_7J0KD5mKrp0Vvzr7lt3OU09vwQwhkpOPPYv2Y/edit?usp=sharing"",""งบพรบ!DH102"")"),0)</f>
        <v>0</v>
      </c>
      <c r="H102" s="74">
        <f ca="1">IFERROR(__xludf.DUMMYFUNCTION("IMPORTRANGE(""https://docs.google.com/spreadsheets/d/1-uDff_7J0KD5mKrp0Vvzr7lt3OU09vwQwhkpOPPYv2Y/edit?usp=sharing"",""งบพรบ!DJ102"")"),0)</f>
        <v>0</v>
      </c>
      <c r="I102" s="74">
        <f ca="1">IFERROR(__xludf.DUMMYFUNCTION("IMPORTRANGE(""https://docs.google.com/spreadsheets/d/1-uDff_7J0KD5mKrp0Vvzr7lt3OU09vwQwhkpOPPYv2Y/edit?usp=sharing"",""งบพรบ!DK102"")"),0)</f>
        <v>0</v>
      </c>
      <c r="J102" s="74">
        <f t="shared" ca="1" si="50"/>
        <v>0</v>
      </c>
      <c r="K102" s="75">
        <f t="shared" ca="1" si="51"/>
        <v>0</v>
      </c>
      <c r="L102" s="74">
        <f ca="1">IFERROR(__xludf.DUMMYFUNCTION("IMPORTRANGE(""https://docs.google.com/spreadsheets/d/1-uDff_7J0KD5mKrp0Vvzr7lt3OU09vwQwhkpOPPYv2Y/edit?usp=sharing"",""งบพรบ!DL102"")"),0)</f>
        <v>0</v>
      </c>
      <c r="M102" s="76">
        <f t="shared" ca="1" si="52"/>
        <v>0</v>
      </c>
      <c r="N102" s="76">
        <f t="shared" ca="1" si="53"/>
        <v>0</v>
      </c>
      <c r="O102" s="77">
        <f ca="1">IFERROR(__xludf.DUMMYFUNCTION("IMPORTRANGE(""https://docs.google.com/spreadsheets/d/1-uDff_7J0KD5mKrp0Vvzr7lt3OU09vwQwhkpOPPYv2Y/edit?usp=sharing"",""งบพรบ!DM102"")"),0)</f>
        <v>0</v>
      </c>
      <c r="P102" s="77">
        <f t="shared" ca="1" si="54"/>
        <v>0</v>
      </c>
      <c r="Q102" s="76">
        <f t="shared" ca="1" si="55"/>
        <v>0</v>
      </c>
      <c r="R102" s="77">
        <v>0</v>
      </c>
      <c r="S102" s="77">
        <v>0</v>
      </c>
      <c r="T102" s="77">
        <v>0</v>
      </c>
      <c r="U102" s="76">
        <f t="shared" si="30"/>
        <v>0</v>
      </c>
      <c r="V102" s="76">
        <f t="shared" si="31"/>
        <v>0</v>
      </c>
      <c r="W102" s="74"/>
      <c r="X102" s="74"/>
      <c r="Y102" s="175"/>
      <c r="Z102" s="74"/>
      <c r="AA102" s="74"/>
      <c r="AB102" s="175"/>
    </row>
    <row r="103" spans="1:28" ht="19.5" hidden="1" x14ac:dyDescent="0.3">
      <c r="A103" s="105"/>
      <c r="B103" s="106" t="s">
        <v>131</v>
      </c>
      <c r="C103" s="173">
        <f t="shared" ca="1" si="48"/>
        <v>0</v>
      </c>
      <c r="D103" s="174">
        <f t="shared" ca="1" si="49"/>
        <v>0</v>
      </c>
      <c r="E103" s="74">
        <f ca="1">IFERROR(__xludf.DUMMYFUNCTION("IMPORTRANGE(""https://docs.google.com/spreadsheets/d/1-uDff_7J0KD5mKrp0Vvzr7lt3OU09vwQwhkpOPPYv2Y/edit?usp=sharing"",""งบพรบ!DF103"")"),0)</f>
        <v>0</v>
      </c>
      <c r="F103" s="74">
        <f ca="1">IFERROR(__xludf.DUMMYFUNCTION("IMPORTRANGE(""https://docs.google.com/spreadsheets/d/1-uDff_7J0KD5mKrp0Vvzr7lt3OU09vwQwhkpOPPYv2Y/edit?usp=sharing"",""งบพรบ!DG103"")"),0)</f>
        <v>0</v>
      </c>
      <c r="G103" s="74">
        <f ca="1">IFERROR(__xludf.DUMMYFUNCTION("IMPORTRANGE(""https://docs.google.com/spreadsheets/d/1-uDff_7J0KD5mKrp0Vvzr7lt3OU09vwQwhkpOPPYv2Y/edit?usp=sharing"",""งบพรบ!DH103"")"),0)</f>
        <v>0</v>
      </c>
      <c r="H103" s="74">
        <f ca="1">IFERROR(__xludf.DUMMYFUNCTION("IMPORTRANGE(""https://docs.google.com/spreadsheets/d/1-uDff_7J0KD5mKrp0Vvzr7lt3OU09vwQwhkpOPPYv2Y/edit?usp=sharing"",""งบพรบ!DJ103"")"),0)</f>
        <v>0</v>
      </c>
      <c r="I103" s="74">
        <f ca="1">IFERROR(__xludf.DUMMYFUNCTION("IMPORTRANGE(""https://docs.google.com/spreadsheets/d/1-uDff_7J0KD5mKrp0Vvzr7lt3OU09vwQwhkpOPPYv2Y/edit?usp=sharing"",""งบพรบ!DK103"")"),0)</f>
        <v>0</v>
      </c>
      <c r="J103" s="74">
        <f t="shared" ca="1" si="50"/>
        <v>0</v>
      </c>
      <c r="K103" s="75">
        <f t="shared" ca="1" si="51"/>
        <v>0</v>
      </c>
      <c r="L103" s="74">
        <f ca="1">IFERROR(__xludf.DUMMYFUNCTION("IMPORTRANGE(""https://docs.google.com/spreadsheets/d/1-uDff_7J0KD5mKrp0Vvzr7lt3OU09vwQwhkpOPPYv2Y/edit?usp=sharing"",""งบพรบ!DL103"")"),0)</f>
        <v>0</v>
      </c>
      <c r="M103" s="76">
        <f t="shared" ca="1" si="52"/>
        <v>0</v>
      </c>
      <c r="N103" s="76">
        <f t="shared" ca="1" si="53"/>
        <v>0</v>
      </c>
      <c r="O103" s="77">
        <f ca="1">IFERROR(__xludf.DUMMYFUNCTION("IMPORTRANGE(""https://docs.google.com/spreadsheets/d/1-uDff_7J0KD5mKrp0Vvzr7lt3OU09vwQwhkpOPPYv2Y/edit?usp=sharing"",""งบพรบ!DM103"")"),0)</f>
        <v>0</v>
      </c>
      <c r="P103" s="77">
        <f t="shared" ca="1" si="54"/>
        <v>0</v>
      </c>
      <c r="Q103" s="76">
        <f t="shared" ca="1" si="55"/>
        <v>0</v>
      </c>
      <c r="R103" s="107">
        <v>0</v>
      </c>
      <c r="S103" s="107">
        <v>0</v>
      </c>
      <c r="T103" s="107">
        <v>0</v>
      </c>
      <c r="U103" s="108">
        <f t="shared" si="30"/>
        <v>0</v>
      </c>
      <c r="V103" s="108">
        <f t="shared" si="31"/>
        <v>0</v>
      </c>
      <c r="W103" s="74"/>
      <c r="X103" s="74"/>
      <c r="Y103" s="175"/>
      <c r="Z103" s="74"/>
      <c r="AA103" s="74"/>
      <c r="AB103" s="175"/>
    </row>
    <row r="104" spans="1:28" ht="19.5" x14ac:dyDescent="0.3">
      <c r="A104" s="105"/>
      <c r="B104" s="106" t="s">
        <v>132</v>
      </c>
      <c r="C104" s="173">
        <f t="shared" ca="1" si="48"/>
        <v>1807300</v>
      </c>
      <c r="D104" s="174">
        <f t="shared" ca="1" si="49"/>
        <v>1807300</v>
      </c>
      <c r="E104" s="74">
        <f ca="1">IFERROR(__xludf.DUMMYFUNCTION("IMPORTRANGE(""https://docs.google.com/spreadsheets/d/1-uDff_7J0KD5mKrp0Vvzr7lt3OU09vwQwhkpOPPYv2Y/edit?usp=sharing"",""งบพรบ!DF104"")"),1807300)</f>
        <v>1807300</v>
      </c>
      <c r="F104" s="74">
        <f ca="1">IFERROR(__xludf.DUMMYFUNCTION("IMPORTRANGE(""https://docs.google.com/spreadsheets/d/1-uDff_7J0KD5mKrp0Vvzr7lt3OU09vwQwhkpOPPYv2Y/edit?usp=sharing"",""งบพรบ!DG104"")"),0)</f>
        <v>0</v>
      </c>
      <c r="G104" s="74">
        <f ca="1">IFERROR(__xludf.DUMMYFUNCTION("IMPORTRANGE(""https://docs.google.com/spreadsheets/d/1-uDff_7J0KD5mKrp0Vvzr7lt3OU09vwQwhkpOPPYv2Y/edit?usp=sharing"",""งบพรบ!DH104"")"),0)</f>
        <v>0</v>
      </c>
      <c r="H104" s="74">
        <f ca="1">IFERROR(__xludf.DUMMYFUNCTION("IMPORTRANGE(""https://docs.google.com/spreadsheets/d/1-uDff_7J0KD5mKrp0Vvzr7lt3OU09vwQwhkpOPPYv2Y/edit?usp=sharing"",""งบพรบ!DJ104"")"),1287605)</f>
        <v>1287605</v>
      </c>
      <c r="I104" s="74">
        <f ca="1">IFERROR(__xludf.DUMMYFUNCTION("IMPORTRANGE(""https://docs.google.com/spreadsheets/d/1-uDff_7J0KD5mKrp0Vvzr7lt3OU09vwQwhkpOPPYv2Y/edit?usp=sharing"",""งบพรบ!DK104"")"),0)</f>
        <v>0</v>
      </c>
      <c r="J104" s="74">
        <f t="shared" ca="1" si="50"/>
        <v>598538.80000000005</v>
      </c>
      <c r="K104" s="75">
        <f t="shared" ca="1" si="51"/>
        <v>33.117844298124275</v>
      </c>
      <c r="L104" s="74">
        <f ca="1">IFERROR(__xludf.DUMMYFUNCTION("IMPORTRANGE(""https://docs.google.com/spreadsheets/d/1-uDff_7J0KD5mKrp0Vvzr7lt3OU09vwQwhkpOPPYv2Y/edit?usp=sharing"",""งบพรบ!DL104"")"),598538.8)</f>
        <v>598538.80000000005</v>
      </c>
      <c r="M104" s="76">
        <f t="shared" ca="1" si="52"/>
        <v>33.117844298124275</v>
      </c>
      <c r="N104" s="76">
        <f t="shared" ca="1" si="53"/>
        <v>46.484659503496808</v>
      </c>
      <c r="O104" s="77">
        <f ca="1">IFERROR(__xludf.DUMMYFUNCTION("IMPORTRANGE(""https://docs.google.com/spreadsheets/d/1-uDff_7J0KD5mKrp0Vvzr7lt3OU09vwQwhkpOPPYv2Y/edit?usp=sharing"",""งบพรบ!DM104"")"),0)</f>
        <v>0</v>
      </c>
      <c r="P104" s="77">
        <f t="shared" ca="1" si="54"/>
        <v>0</v>
      </c>
      <c r="Q104" s="76">
        <f t="shared" ca="1" si="55"/>
        <v>0</v>
      </c>
      <c r="R104" s="77">
        <v>0</v>
      </c>
      <c r="S104" s="77">
        <v>0</v>
      </c>
      <c r="T104" s="77">
        <v>0</v>
      </c>
      <c r="U104" s="76">
        <f t="shared" si="30"/>
        <v>0</v>
      </c>
      <c r="V104" s="76">
        <f t="shared" si="31"/>
        <v>0</v>
      </c>
      <c r="W104" s="74"/>
      <c r="X104" s="74"/>
      <c r="Y104" s="175"/>
      <c r="Z104" s="74"/>
      <c r="AA104" s="74"/>
      <c r="AB104" s="175"/>
    </row>
    <row r="105" spans="1:28" ht="19.5" hidden="1" x14ac:dyDescent="0.3">
      <c r="A105" s="105"/>
      <c r="B105" s="109" t="s">
        <v>133</v>
      </c>
      <c r="C105" s="173">
        <f t="shared" ca="1" si="48"/>
        <v>0</v>
      </c>
      <c r="D105" s="174">
        <f t="shared" ca="1" si="49"/>
        <v>0</v>
      </c>
      <c r="E105" s="74">
        <f ca="1">IFERROR(__xludf.DUMMYFUNCTION("IMPORTRANGE(""https://docs.google.com/spreadsheets/d/1-uDff_7J0KD5mKrp0Vvzr7lt3OU09vwQwhkpOPPYv2Y/edit?usp=sharing"",""งบพรบ!DF105"")"),0)</f>
        <v>0</v>
      </c>
      <c r="F105" s="74">
        <f ca="1">IFERROR(__xludf.DUMMYFUNCTION("IMPORTRANGE(""https://docs.google.com/spreadsheets/d/1-uDff_7J0KD5mKrp0Vvzr7lt3OU09vwQwhkpOPPYv2Y/edit?usp=sharing"",""งบพรบ!DG105"")"),0)</f>
        <v>0</v>
      </c>
      <c r="G105" s="74">
        <f ca="1">IFERROR(__xludf.DUMMYFUNCTION("IMPORTRANGE(""https://docs.google.com/spreadsheets/d/1-uDff_7J0KD5mKrp0Vvzr7lt3OU09vwQwhkpOPPYv2Y/edit?usp=sharing"",""งบพรบ!DH105"")"),0)</f>
        <v>0</v>
      </c>
      <c r="H105" s="74">
        <f ca="1">IFERROR(__xludf.DUMMYFUNCTION("IMPORTRANGE(""https://docs.google.com/spreadsheets/d/1-uDff_7J0KD5mKrp0Vvzr7lt3OU09vwQwhkpOPPYv2Y/edit?usp=sharing"",""งบพรบ!DJ105"")"),0)</f>
        <v>0</v>
      </c>
      <c r="I105" s="74">
        <f ca="1">IFERROR(__xludf.DUMMYFUNCTION("IMPORTRANGE(""https://docs.google.com/spreadsheets/d/1-uDff_7J0KD5mKrp0Vvzr7lt3OU09vwQwhkpOPPYv2Y/edit?usp=sharing"",""งบพรบ!DK105"")"),0)</f>
        <v>0</v>
      </c>
      <c r="J105" s="74">
        <f t="shared" ca="1" si="50"/>
        <v>0</v>
      </c>
      <c r="K105" s="75">
        <f t="shared" ca="1" si="51"/>
        <v>0</v>
      </c>
      <c r="L105" s="74">
        <f ca="1">IFERROR(__xludf.DUMMYFUNCTION("IMPORTRANGE(""https://docs.google.com/spreadsheets/d/1-uDff_7J0KD5mKrp0Vvzr7lt3OU09vwQwhkpOPPYv2Y/edit?usp=sharing"",""งบพรบ!DL105"")"),0)</f>
        <v>0</v>
      </c>
      <c r="M105" s="76">
        <f t="shared" ca="1" si="52"/>
        <v>0</v>
      </c>
      <c r="N105" s="76">
        <f t="shared" ca="1" si="53"/>
        <v>0</v>
      </c>
      <c r="O105" s="77">
        <f ca="1">IFERROR(__xludf.DUMMYFUNCTION("IMPORTRANGE(""https://docs.google.com/spreadsheets/d/1-uDff_7J0KD5mKrp0Vvzr7lt3OU09vwQwhkpOPPYv2Y/edit?usp=sharing"",""งบพรบ!DM105"")"),0)</f>
        <v>0</v>
      </c>
      <c r="P105" s="77">
        <f t="shared" ca="1" si="54"/>
        <v>0</v>
      </c>
      <c r="Q105" s="76">
        <f t="shared" ca="1" si="55"/>
        <v>0</v>
      </c>
      <c r="R105" s="110">
        <v>0</v>
      </c>
      <c r="S105" s="110">
        <v>0</v>
      </c>
      <c r="T105" s="110">
        <v>0</v>
      </c>
      <c r="U105" s="111">
        <f t="shared" si="30"/>
        <v>0</v>
      </c>
      <c r="V105" s="111">
        <f t="shared" si="31"/>
        <v>0</v>
      </c>
      <c r="W105" s="74"/>
      <c r="X105" s="74"/>
      <c r="Y105" s="74"/>
      <c r="Z105" s="74"/>
      <c r="AA105" s="74"/>
      <c r="AB105" s="74"/>
    </row>
    <row r="106" spans="1:28" ht="19.5" hidden="1" x14ac:dyDescent="0.3">
      <c r="A106" s="105"/>
      <c r="B106" s="109" t="s">
        <v>134</v>
      </c>
      <c r="C106" s="173">
        <f t="shared" ca="1" si="48"/>
        <v>0</v>
      </c>
      <c r="D106" s="174">
        <f t="shared" ca="1" si="49"/>
        <v>0</v>
      </c>
      <c r="E106" s="74">
        <f ca="1">IFERROR(__xludf.DUMMYFUNCTION("IMPORTRANGE(""https://docs.google.com/spreadsheets/d/1-uDff_7J0KD5mKrp0Vvzr7lt3OU09vwQwhkpOPPYv2Y/edit?usp=sharing"",""งบพรบ!DF106"")"),0)</f>
        <v>0</v>
      </c>
      <c r="F106" s="74">
        <f ca="1">IFERROR(__xludf.DUMMYFUNCTION("IMPORTRANGE(""https://docs.google.com/spreadsheets/d/1-uDff_7J0KD5mKrp0Vvzr7lt3OU09vwQwhkpOPPYv2Y/edit?usp=sharing"",""งบพรบ!DG106"")"),0)</f>
        <v>0</v>
      </c>
      <c r="G106" s="74">
        <f ca="1">IFERROR(__xludf.DUMMYFUNCTION("IMPORTRANGE(""https://docs.google.com/spreadsheets/d/1-uDff_7J0KD5mKrp0Vvzr7lt3OU09vwQwhkpOPPYv2Y/edit?usp=sharing"",""งบพรบ!DH106"")"),0)</f>
        <v>0</v>
      </c>
      <c r="H106" s="74">
        <f ca="1">IFERROR(__xludf.DUMMYFUNCTION("IMPORTRANGE(""https://docs.google.com/spreadsheets/d/1-uDff_7J0KD5mKrp0Vvzr7lt3OU09vwQwhkpOPPYv2Y/edit?usp=sharing"",""งบพรบ!DJ106"")"),0)</f>
        <v>0</v>
      </c>
      <c r="I106" s="74">
        <f ca="1">IFERROR(__xludf.DUMMYFUNCTION("IMPORTRANGE(""https://docs.google.com/spreadsheets/d/1-uDff_7J0KD5mKrp0Vvzr7lt3OU09vwQwhkpOPPYv2Y/edit?usp=sharing"",""งบพรบ!DK106"")"),0)</f>
        <v>0</v>
      </c>
      <c r="J106" s="74">
        <f t="shared" ca="1" si="50"/>
        <v>0</v>
      </c>
      <c r="K106" s="75">
        <f t="shared" ca="1" si="51"/>
        <v>0</v>
      </c>
      <c r="L106" s="74">
        <f ca="1">IFERROR(__xludf.DUMMYFUNCTION("IMPORTRANGE(""https://docs.google.com/spreadsheets/d/1-uDff_7J0KD5mKrp0Vvzr7lt3OU09vwQwhkpOPPYv2Y/edit?usp=sharing"",""งบพรบ!DL106"")"),0)</f>
        <v>0</v>
      </c>
      <c r="M106" s="76">
        <f t="shared" ca="1" si="52"/>
        <v>0</v>
      </c>
      <c r="N106" s="76">
        <f t="shared" ca="1" si="53"/>
        <v>0</v>
      </c>
      <c r="O106" s="77">
        <f ca="1">IFERROR(__xludf.DUMMYFUNCTION("IMPORTRANGE(""https://docs.google.com/spreadsheets/d/1-uDff_7J0KD5mKrp0Vvzr7lt3OU09vwQwhkpOPPYv2Y/edit?usp=sharing"",""งบพรบ!DM106"")"),0)</f>
        <v>0</v>
      </c>
      <c r="P106" s="77">
        <f t="shared" ca="1" si="54"/>
        <v>0</v>
      </c>
      <c r="Q106" s="76">
        <f t="shared" ca="1" si="55"/>
        <v>0</v>
      </c>
      <c r="R106" s="77">
        <v>0</v>
      </c>
      <c r="S106" s="77">
        <v>0</v>
      </c>
      <c r="T106" s="77">
        <v>0</v>
      </c>
      <c r="U106" s="76">
        <f t="shared" si="30"/>
        <v>0</v>
      </c>
      <c r="V106" s="76">
        <f t="shared" si="31"/>
        <v>0</v>
      </c>
      <c r="W106" s="74"/>
      <c r="X106" s="74"/>
      <c r="Y106" s="74"/>
      <c r="Z106" s="74"/>
      <c r="AA106" s="74"/>
      <c r="AB106" s="74"/>
    </row>
    <row r="107" spans="1:28" ht="19.5" hidden="1" x14ac:dyDescent="0.3">
      <c r="A107" s="105"/>
      <c r="B107" s="109" t="s">
        <v>26</v>
      </c>
      <c r="C107" s="173">
        <f t="shared" ca="1" si="48"/>
        <v>0</v>
      </c>
      <c r="D107" s="174">
        <f t="shared" ca="1" si="49"/>
        <v>0</v>
      </c>
      <c r="E107" s="74">
        <f ca="1">IFERROR(__xludf.DUMMYFUNCTION("IMPORTRANGE(""https://docs.google.com/spreadsheets/d/1-uDff_7J0KD5mKrp0Vvzr7lt3OU09vwQwhkpOPPYv2Y/edit?usp=sharing"",""งบพรบ!DF107"")"),0)</f>
        <v>0</v>
      </c>
      <c r="F107" s="74">
        <f ca="1">IFERROR(__xludf.DUMMYFUNCTION("IMPORTRANGE(""https://docs.google.com/spreadsheets/d/1-uDff_7J0KD5mKrp0Vvzr7lt3OU09vwQwhkpOPPYv2Y/edit?usp=sharing"",""งบพรบ!DG107"")"),0)</f>
        <v>0</v>
      </c>
      <c r="G107" s="74">
        <f ca="1">IFERROR(__xludf.DUMMYFUNCTION("IMPORTRANGE(""https://docs.google.com/spreadsheets/d/1-uDff_7J0KD5mKrp0Vvzr7lt3OU09vwQwhkpOPPYv2Y/edit?usp=sharing"",""งบพรบ!DH107"")"),0)</f>
        <v>0</v>
      </c>
      <c r="H107" s="74">
        <f ca="1">IFERROR(__xludf.DUMMYFUNCTION("IMPORTRANGE(""https://docs.google.com/spreadsheets/d/1-uDff_7J0KD5mKrp0Vvzr7lt3OU09vwQwhkpOPPYv2Y/edit?usp=sharing"",""งบพรบ!DJ107"")"),0)</f>
        <v>0</v>
      </c>
      <c r="I107" s="74">
        <f ca="1">IFERROR(__xludf.DUMMYFUNCTION("IMPORTRANGE(""https://docs.google.com/spreadsheets/d/1-uDff_7J0KD5mKrp0Vvzr7lt3OU09vwQwhkpOPPYv2Y/edit?usp=sharing"",""งบพรบ!DK107"")"),0)</f>
        <v>0</v>
      </c>
      <c r="J107" s="74">
        <f t="shared" ca="1" si="50"/>
        <v>0</v>
      </c>
      <c r="K107" s="75">
        <f t="shared" ca="1" si="51"/>
        <v>0</v>
      </c>
      <c r="L107" s="74">
        <f ca="1">IFERROR(__xludf.DUMMYFUNCTION("IMPORTRANGE(""https://docs.google.com/spreadsheets/d/1-uDff_7J0KD5mKrp0Vvzr7lt3OU09vwQwhkpOPPYv2Y/edit?usp=sharing"",""งบพรบ!DL107"")"),0)</f>
        <v>0</v>
      </c>
      <c r="M107" s="76">
        <f t="shared" ca="1" si="52"/>
        <v>0</v>
      </c>
      <c r="N107" s="76">
        <f t="shared" ca="1" si="53"/>
        <v>0</v>
      </c>
      <c r="O107" s="77">
        <f ca="1">IFERROR(__xludf.DUMMYFUNCTION("IMPORTRANGE(""https://docs.google.com/spreadsheets/d/1-uDff_7J0KD5mKrp0Vvzr7lt3OU09vwQwhkpOPPYv2Y/edit?usp=sharing"",""งบพรบ!DM107"")"),0)</f>
        <v>0</v>
      </c>
      <c r="P107" s="77">
        <f t="shared" ca="1" si="54"/>
        <v>0</v>
      </c>
      <c r="Q107" s="76">
        <f t="shared" ca="1" si="55"/>
        <v>0</v>
      </c>
      <c r="R107" s="77">
        <v>0</v>
      </c>
      <c r="S107" s="77">
        <v>0</v>
      </c>
      <c r="T107" s="77">
        <v>0</v>
      </c>
      <c r="U107" s="76">
        <f t="shared" si="30"/>
        <v>0</v>
      </c>
      <c r="V107" s="76">
        <f t="shared" si="31"/>
        <v>0</v>
      </c>
      <c r="W107" s="74"/>
      <c r="X107" s="74"/>
      <c r="Y107" s="74"/>
      <c r="Z107" s="74"/>
      <c r="AA107" s="74"/>
      <c r="AB107" s="74"/>
    </row>
    <row r="108" spans="1:28" ht="19.5" hidden="1" x14ac:dyDescent="0.3">
      <c r="A108" s="112"/>
      <c r="B108" s="113" t="s">
        <v>135</v>
      </c>
      <c r="C108" s="193">
        <f t="shared" ca="1" si="48"/>
        <v>0</v>
      </c>
      <c r="D108" s="194">
        <f t="shared" ca="1" si="49"/>
        <v>0</v>
      </c>
      <c r="E108" s="84">
        <f ca="1">IFERROR(__xludf.DUMMYFUNCTION("IMPORTRANGE(""https://docs.google.com/spreadsheets/d/1-uDff_7J0KD5mKrp0Vvzr7lt3OU09vwQwhkpOPPYv2Y/edit?usp=sharing"",""งบพรบ!DF108"")"),0)</f>
        <v>0</v>
      </c>
      <c r="F108" s="84">
        <f ca="1">IFERROR(__xludf.DUMMYFUNCTION("IMPORTRANGE(""https://docs.google.com/spreadsheets/d/1-uDff_7J0KD5mKrp0Vvzr7lt3OU09vwQwhkpOPPYv2Y/edit?usp=sharing"",""งบพรบ!DG108"")"),0)</f>
        <v>0</v>
      </c>
      <c r="G108" s="84">
        <f ca="1">IFERROR(__xludf.DUMMYFUNCTION("IMPORTRANGE(""https://docs.google.com/spreadsheets/d/1-uDff_7J0KD5mKrp0Vvzr7lt3OU09vwQwhkpOPPYv2Y/edit?usp=sharing"",""งบพรบ!DH108"")"),0)</f>
        <v>0</v>
      </c>
      <c r="H108" s="84">
        <f ca="1">IFERROR(__xludf.DUMMYFUNCTION("IMPORTRANGE(""https://docs.google.com/spreadsheets/d/1-uDff_7J0KD5mKrp0Vvzr7lt3OU09vwQwhkpOPPYv2Y/edit?usp=sharing"",""งบพรบ!DJ108"")"),0)</f>
        <v>0</v>
      </c>
      <c r="I108" s="84">
        <f ca="1">IFERROR(__xludf.DUMMYFUNCTION("IMPORTRANGE(""https://docs.google.com/spreadsheets/d/1-uDff_7J0KD5mKrp0Vvzr7lt3OU09vwQwhkpOPPYv2Y/edit?usp=sharing"",""งบพรบ!DK108"")"),0)</f>
        <v>0</v>
      </c>
      <c r="J108" s="84">
        <f t="shared" ca="1" si="50"/>
        <v>0</v>
      </c>
      <c r="K108" s="85">
        <f t="shared" ca="1" si="51"/>
        <v>0</v>
      </c>
      <c r="L108" s="84">
        <f ca="1">IFERROR(__xludf.DUMMYFUNCTION("IMPORTRANGE(""https://docs.google.com/spreadsheets/d/1-uDff_7J0KD5mKrp0Vvzr7lt3OU09vwQwhkpOPPYv2Y/edit?usp=sharing"",""งบพรบ!DL108"")"),0)</f>
        <v>0</v>
      </c>
      <c r="M108" s="86">
        <f t="shared" ca="1" si="52"/>
        <v>0</v>
      </c>
      <c r="N108" s="86">
        <f t="shared" ca="1" si="53"/>
        <v>0</v>
      </c>
      <c r="O108" s="87">
        <f ca="1">IFERROR(__xludf.DUMMYFUNCTION("IMPORTRANGE(""https://docs.google.com/spreadsheets/d/1-uDff_7J0KD5mKrp0Vvzr7lt3OU09vwQwhkpOPPYv2Y/edit?usp=sharing"",""งบพรบ!DM108"")"),0)</f>
        <v>0</v>
      </c>
      <c r="P108" s="87">
        <f t="shared" ca="1" si="54"/>
        <v>0</v>
      </c>
      <c r="Q108" s="86">
        <f t="shared" ca="1" si="55"/>
        <v>0</v>
      </c>
      <c r="R108" s="87">
        <v>0</v>
      </c>
      <c r="S108" s="87">
        <v>0</v>
      </c>
      <c r="T108" s="87">
        <v>0</v>
      </c>
      <c r="U108" s="86">
        <f t="shared" si="30"/>
        <v>0</v>
      </c>
      <c r="V108" s="86">
        <f t="shared" si="31"/>
        <v>0</v>
      </c>
      <c r="W108" s="84"/>
      <c r="X108" s="84"/>
      <c r="Y108" s="84"/>
      <c r="Z108" s="84"/>
      <c r="AA108" s="84"/>
      <c r="AB108" s="84"/>
    </row>
    <row r="109" spans="1:28" ht="19.5" x14ac:dyDescent="0.3">
      <c r="A109" s="223"/>
      <c r="B109" s="224"/>
      <c r="C109" s="225"/>
      <c r="D109" s="226"/>
      <c r="E109" s="227"/>
      <c r="F109" s="227"/>
      <c r="G109" s="227"/>
      <c r="H109" s="227"/>
      <c r="I109" s="227"/>
      <c r="J109" s="227"/>
      <c r="K109" s="228"/>
      <c r="L109" s="227"/>
      <c r="M109" s="229"/>
      <c r="N109" s="229"/>
      <c r="O109" s="230"/>
      <c r="P109" s="230"/>
      <c r="Q109" s="229"/>
      <c r="R109" s="230"/>
      <c r="S109" s="230"/>
      <c r="T109" s="230"/>
      <c r="U109" s="229"/>
      <c r="V109" s="229"/>
      <c r="W109" s="227"/>
      <c r="X109" s="227"/>
      <c r="Y109" s="227"/>
      <c r="Z109" s="227"/>
      <c r="AA109" s="227"/>
      <c r="AB109" s="227"/>
    </row>
    <row r="110" spans="1:28" ht="19.5" x14ac:dyDescent="0.3">
      <c r="A110" s="223"/>
      <c r="B110" s="224"/>
      <c r="C110" s="225"/>
      <c r="D110" s="226"/>
      <c r="E110" s="227"/>
      <c r="F110" s="227"/>
      <c r="G110" s="227"/>
      <c r="H110" s="227"/>
      <c r="I110" s="227"/>
      <c r="J110" s="227"/>
      <c r="K110" s="228"/>
      <c r="L110" s="227"/>
      <c r="M110" s="229"/>
      <c r="N110" s="229"/>
      <c r="O110" s="230"/>
      <c r="P110" s="230"/>
      <c r="Q110" s="229"/>
      <c r="R110" s="230"/>
      <c r="S110" s="230"/>
      <c r="T110" s="230"/>
      <c r="U110" s="229"/>
      <c r="V110" s="229"/>
      <c r="W110" s="227"/>
      <c r="X110" s="227"/>
      <c r="Y110" s="227"/>
      <c r="Z110" s="227"/>
      <c r="AA110" s="227"/>
      <c r="AB110" s="227"/>
    </row>
    <row r="111" spans="1:28" ht="19.5" x14ac:dyDescent="0.3">
      <c r="A111" s="223"/>
      <c r="B111" s="224"/>
      <c r="C111" s="225"/>
      <c r="D111" s="226"/>
      <c r="E111" s="227"/>
      <c r="F111" s="227"/>
      <c r="G111" s="227"/>
      <c r="H111" s="227"/>
      <c r="I111" s="227"/>
      <c r="J111" s="227"/>
      <c r="K111" s="228"/>
      <c r="L111" s="227"/>
      <c r="M111" s="229"/>
      <c r="N111" s="229"/>
      <c r="O111" s="230"/>
      <c r="P111" s="230"/>
      <c r="Q111" s="229"/>
      <c r="R111" s="230"/>
      <c r="S111" s="230"/>
      <c r="T111" s="230"/>
      <c r="U111" s="229"/>
      <c r="V111" s="229"/>
      <c r="W111" s="227"/>
      <c r="X111" s="227"/>
      <c r="Y111" s="227"/>
      <c r="Z111" s="227"/>
      <c r="AA111" s="227"/>
      <c r="AB111" s="227"/>
    </row>
    <row r="112" spans="1:28" ht="19.5" x14ac:dyDescent="0.3">
      <c r="A112" s="223"/>
      <c r="B112" s="224"/>
      <c r="C112" s="225"/>
      <c r="D112" s="226"/>
      <c r="E112" s="227"/>
      <c r="F112" s="227"/>
      <c r="G112" s="227"/>
      <c r="H112" s="227"/>
      <c r="I112" s="227"/>
      <c r="J112" s="227"/>
      <c r="K112" s="228"/>
      <c r="L112" s="227"/>
      <c r="M112" s="229"/>
      <c r="N112" s="229"/>
      <c r="O112" s="230"/>
      <c r="P112" s="230"/>
      <c r="Q112" s="229"/>
      <c r="R112" s="230"/>
      <c r="S112" s="230"/>
      <c r="T112" s="230"/>
      <c r="U112" s="229"/>
      <c r="V112" s="229"/>
      <c r="W112" s="227"/>
      <c r="X112" s="227"/>
      <c r="Y112" s="227"/>
      <c r="Z112" s="227"/>
      <c r="AA112" s="227"/>
      <c r="AB112" s="227"/>
    </row>
    <row r="113" spans="1:28" ht="19.5" x14ac:dyDescent="0.3">
      <c r="A113" s="223"/>
      <c r="B113" s="224"/>
      <c r="C113" s="225"/>
      <c r="D113" s="226"/>
      <c r="E113" s="227"/>
      <c r="F113" s="227"/>
      <c r="G113" s="227"/>
      <c r="H113" s="227"/>
      <c r="I113" s="227"/>
      <c r="J113" s="227"/>
      <c r="K113" s="228"/>
      <c r="L113" s="227"/>
      <c r="M113" s="229"/>
      <c r="N113" s="229"/>
      <c r="O113" s="230"/>
      <c r="P113" s="230"/>
      <c r="Q113" s="229"/>
      <c r="R113" s="230"/>
      <c r="S113" s="230"/>
      <c r="T113" s="230"/>
      <c r="U113" s="229"/>
      <c r="V113" s="229"/>
      <c r="W113" s="227"/>
      <c r="X113" s="227"/>
      <c r="Y113" s="227"/>
      <c r="Z113" s="227"/>
      <c r="AA113" s="227"/>
      <c r="AB113" s="227"/>
    </row>
    <row r="114" spans="1:28" ht="19.5" x14ac:dyDescent="0.3">
      <c r="A114" s="223"/>
      <c r="B114" s="224"/>
      <c r="C114" s="225"/>
      <c r="D114" s="226"/>
      <c r="E114" s="227"/>
      <c r="F114" s="227"/>
      <c r="G114" s="227"/>
      <c r="H114" s="227"/>
      <c r="I114" s="227"/>
      <c r="J114" s="227"/>
      <c r="K114" s="228"/>
      <c r="L114" s="227"/>
      <c r="M114" s="229"/>
      <c r="N114" s="229"/>
      <c r="O114" s="230"/>
      <c r="P114" s="230"/>
      <c r="Q114" s="229"/>
      <c r="R114" s="230"/>
      <c r="S114" s="230"/>
      <c r="T114" s="230"/>
      <c r="U114" s="229"/>
      <c r="V114" s="229"/>
      <c r="W114" s="227"/>
      <c r="X114" s="227"/>
      <c r="Y114" s="227"/>
      <c r="Z114" s="227"/>
      <c r="AA114" s="227"/>
      <c r="AB114" s="227"/>
    </row>
    <row r="115" spans="1:28" ht="19.5" x14ac:dyDescent="0.3">
      <c r="A115" s="223"/>
      <c r="B115" s="224"/>
      <c r="C115" s="225"/>
      <c r="D115" s="226"/>
      <c r="E115" s="227"/>
      <c r="F115" s="227"/>
      <c r="G115" s="227"/>
      <c r="H115" s="227"/>
      <c r="I115" s="227"/>
      <c r="J115" s="227"/>
      <c r="K115" s="228"/>
      <c r="L115" s="227"/>
      <c r="M115" s="229"/>
      <c r="N115" s="229"/>
      <c r="O115" s="230"/>
      <c r="P115" s="230"/>
      <c r="Q115" s="229"/>
      <c r="R115" s="230"/>
      <c r="S115" s="230"/>
      <c r="T115" s="230"/>
      <c r="U115" s="229"/>
      <c r="V115" s="229"/>
      <c r="W115" s="227"/>
      <c r="X115" s="227"/>
      <c r="Y115" s="227"/>
      <c r="Z115" s="227"/>
      <c r="AA115" s="227"/>
      <c r="AB115" s="227"/>
    </row>
    <row r="116" spans="1:28" ht="19.5" x14ac:dyDescent="0.3">
      <c r="A116" s="223"/>
      <c r="B116" s="224"/>
      <c r="C116" s="225"/>
      <c r="D116" s="226"/>
      <c r="E116" s="227"/>
      <c r="F116" s="227"/>
      <c r="G116" s="227"/>
      <c r="H116" s="227"/>
      <c r="I116" s="227"/>
      <c r="J116" s="227"/>
      <c r="K116" s="228"/>
      <c r="L116" s="227"/>
      <c r="M116" s="229"/>
      <c r="N116" s="229"/>
      <c r="O116" s="230"/>
      <c r="P116" s="230"/>
      <c r="Q116" s="229"/>
      <c r="R116" s="230"/>
      <c r="S116" s="230"/>
      <c r="T116" s="230"/>
      <c r="U116" s="229"/>
      <c r="V116" s="229"/>
      <c r="W116" s="227"/>
      <c r="X116" s="227"/>
      <c r="Y116" s="227"/>
      <c r="Z116" s="227"/>
      <c r="AA116" s="227"/>
      <c r="AB116" s="227"/>
    </row>
    <row r="117" spans="1:28" ht="19.5" x14ac:dyDescent="0.3">
      <c r="A117" s="223"/>
      <c r="B117" s="224"/>
      <c r="C117" s="225"/>
      <c r="D117" s="226"/>
      <c r="E117" s="227"/>
      <c r="F117" s="227"/>
      <c r="G117" s="227"/>
      <c r="H117" s="227"/>
      <c r="I117" s="227"/>
      <c r="J117" s="227"/>
      <c r="K117" s="228"/>
      <c r="L117" s="227"/>
      <c r="M117" s="229"/>
      <c r="N117" s="229"/>
      <c r="O117" s="230"/>
      <c r="P117" s="230"/>
      <c r="Q117" s="229"/>
      <c r="R117" s="230"/>
      <c r="S117" s="230"/>
      <c r="T117" s="230"/>
      <c r="U117" s="229"/>
      <c r="V117" s="229"/>
      <c r="W117" s="227"/>
      <c r="X117" s="227"/>
      <c r="Y117" s="227"/>
      <c r="Z117" s="227"/>
      <c r="AA117" s="227"/>
      <c r="AB117" s="227"/>
    </row>
    <row r="118" spans="1:28" ht="19.5" x14ac:dyDescent="0.3">
      <c r="A118" s="223"/>
      <c r="B118" s="224"/>
      <c r="C118" s="225"/>
      <c r="D118" s="226"/>
      <c r="E118" s="227"/>
      <c r="F118" s="227"/>
      <c r="G118" s="227"/>
      <c r="H118" s="227"/>
      <c r="I118" s="227"/>
      <c r="J118" s="227"/>
      <c r="K118" s="228"/>
      <c r="L118" s="227"/>
      <c r="M118" s="229"/>
      <c r="N118" s="229"/>
      <c r="O118" s="230"/>
      <c r="P118" s="230"/>
      <c r="Q118" s="229"/>
      <c r="R118" s="230"/>
      <c r="S118" s="230"/>
      <c r="T118" s="230"/>
      <c r="U118" s="229"/>
      <c r="V118" s="229"/>
      <c r="W118" s="227"/>
      <c r="X118" s="227"/>
      <c r="Y118" s="227"/>
      <c r="Z118" s="227"/>
      <c r="AA118" s="227"/>
      <c r="AB118" s="227"/>
    </row>
    <row r="119" spans="1:28" ht="19.5" x14ac:dyDescent="0.3">
      <c r="A119" s="223"/>
      <c r="B119" s="224"/>
      <c r="C119" s="225"/>
      <c r="D119" s="226"/>
      <c r="E119" s="227"/>
      <c r="F119" s="227"/>
      <c r="G119" s="227"/>
      <c r="H119" s="227"/>
      <c r="I119" s="227"/>
      <c r="J119" s="227"/>
      <c r="K119" s="228"/>
      <c r="L119" s="227"/>
      <c r="M119" s="229"/>
      <c r="N119" s="229"/>
      <c r="O119" s="230"/>
      <c r="P119" s="230"/>
      <c r="Q119" s="229"/>
      <c r="R119" s="230"/>
      <c r="S119" s="230"/>
      <c r="T119" s="230"/>
      <c r="U119" s="229"/>
      <c r="V119" s="229"/>
      <c r="W119" s="227"/>
      <c r="X119" s="227"/>
      <c r="Y119" s="227"/>
      <c r="Z119" s="227"/>
      <c r="AA119" s="227"/>
      <c r="AB119" s="227"/>
    </row>
    <row r="120" spans="1:28" ht="19.5" x14ac:dyDescent="0.3">
      <c r="A120" s="223"/>
      <c r="B120" s="224"/>
      <c r="C120" s="225"/>
      <c r="D120" s="226"/>
      <c r="E120" s="227"/>
      <c r="F120" s="227"/>
      <c r="G120" s="227"/>
      <c r="H120" s="227"/>
      <c r="I120" s="227"/>
      <c r="J120" s="227"/>
      <c r="K120" s="228"/>
      <c r="L120" s="227"/>
      <c r="M120" s="229"/>
      <c r="N120" s="229"/>
      <c r="O120" s="230"/>
      <c r="P120" s="230"/>
      <c r="Q120" s="229"/>
      <c r="R120" s="230"/>
      <c r="S120" s="230"/>
      <c r="T120" s="230"/>
      <c r="U120" s="229"/>
      <c r="V120" s="229"/>
      <c r="W120" s="227"/>
      <c r="X120" s="227"/>
      <c r="Y120" s="227"/>
      <c r="Z120" s="227"/>
      <c r="AA120" s="227"/>
      <c r="AB120" s="227"/>
    </row>
    <row r="121" spans="1:28" ht="19.5" x14ac:dyDescent="0.3">
      <c r="A121" s="223"/>
      <c r="B121" s="224"/>
      <c r="C121" s="225"/>
      <c r="D121" s="226"/>
      <c r="E121" s="227"/>
      <c r="F121" s="227"/>
      <c r="G121" s="227"/>
      <c r="H121" s="227"/>
      <c r="I121" s="227"/>
      <c r="J121" s="227"/>
      <c r="K121" s="228"/>
      <c r="L121" s="227"/>
      <c r="M121" s="229"/>
      <c r="N121" s="229"/>
      <c r="O121" s="230"/>
      <c r="P121" s="230"/>
      <c r="Q121" s="229"/>
      <c r="R121" s="230"/>
      <c r="S121" s="230"/>
      <c r="T121" s="230"/>
      <c r="U121" s="229"/>
      <c r="V121" s="229"/>
      <c r="W121" s="227"/>
      <c r="X121" s="227"/>
      <c r="Y121" s="227"/>
      <c r="Z121" s="227"/>
      <c r="AA121" s="227"/>
      <c r="AB121" s="227"/>
    </row>
    <row r="122" spans="1:28" ht="19.5" x14ac:dyDescent="0.3">
      <c r="A122" s="223"/>
      <c r="B122" s="224"/>
      <c r="C122" s="225"/>
      <c r="D122" s="226"/>
      <c r="E122" s="227"/>
      <c r="F122" s="227"/>
      <c r="G122" s="227"/>
      <c r="H122" s="227"/>
      <c r="I122" s="227"/>
      <c r="J122" s="227"/>
      <c r="K122" s="228"/>
      <c r="L122" s="227"/>
      <c r="M122" s="229"/>
      <c r="N122" s="229"/>
      <c r="O122" s="230"/>
      <c r="P122" s="230"/>
      <c r="Q122" s="229"/>
      <c r="R122" s="230"/>
      <c r="S122" s="230"/>
      <c r="T122" s="230"/>
      <c r="U122" s="229"/>
      <c r="V122" s="229"/>
      <c r="W122" s="227"/>
      <c r="X122" s="227"/>
      <c r="Y122" s="227"/>
      <c r="Z122" s="227"/>
      <c r="AA122" s="227"/>
      <c r="AB122" s="227"/>
    </row>
    <row r="123" spans="1:28" ht="19.5" x14ac:dyDescent="0.3">
      <c r="A123" s="223"/>
      <c r="B123" s="224"/>
      <c r="C123" s="225"/>
      <c r="D123" s="226"/>
      <c r="E123" s="227"/>
      <c r="F123" s="227"/>
      <c r="G123" s="227"/>
      <c r="H123" s="227"/>
      <c r="I123" s="227"/>
      <c r="J123" s="227"/>
      <c r="K123" s="228"/>
      <c r="L123" s="227"/>
      <c r="M123" s="229"/>
      <c r="N123" s="229"/>
      <c r="O123" s="230"/>
      <c r="P123" s="230"/>
      <c r="Q123" s="229"/>
      <c r="R123" s="230"/>
      <c r="S123" s="230"/>
      <c r="T123" s="230"/>
      <c r="U123" s="229"/>
      <c r="V123" s="229"/>
      <c r="W123" s="227"/>
      <c r="X123" s="227"/>
      <c r="Y123" s="227"/>
      <c r="Z123" s="227"/>
      <c r="AA123" s="227"/>
      <c r="AB123" s="227"/>
    </row>
    <row r="124" spans="1:28" ht="19.5" x14ac:dyDescent="0.3">
      <c r="A124" s="223"/>
      <c r="B124" s="224"/>
      <c r="C124" s="225"/>
      <c r="D124" s="226"/>
      <c r="E124" s="227"/>
      <c r="F124" s="227"/>
      <c r="G124" s="227"/>
      <c r="H124" s="227"/>
      <c r="I124" s="227"/>
      <c r="J124" s="227"/>
      <c r="K124" s="228"/>
      <c r="L124" s="227"/>
      <c r="M124" s="229"/>
      <c r="N124" s="229"/>
      <c r="O124" s="230"/>
      <c r="P124" s="230"/>
      <c r="Q124" s="229"/>
      <c r="R124" s="230"/>
      <c r="S124" s="230"/>
      <c r="T124" s="230"/>
      <c r="U124" s="229"/>
      <c r="V124" s="229"/>
      <c r="W124" s="227"/>
      <c r="X124" s="227"/>
      <c r="Y124" s="227"/>
      <c r="Z124" s="227"/>
      <c r="AA124" s="227"/>
      <c r="AB124" s="227"/>
    </row>
  </sheetData>
  <autoFilter ref="A1:AB124" xr:uid="{00000000-0009-0000-0000-000007000000}">
    <filterColumn colId="7">
      <filters blank="1">
        <filter val="1,287,605"/>
        <filter val="1,411,695"/>
        <filter val="11,500"/>
        <filter val="12,000"/>
        <filter val="14,300"/>
        <filter val="14,400"/>
        <filter val="14,500"/>
        <filter val="14,600"/>
        <filter val="14,700"/>
        <filter val="14,900"/>
        <filter val="15,000"/>
        <filter val="17,500"/>
        <filter val="18,000"/>
        <filter val="18,600"/>
        <filter val="18,800"/>
        <filter val="18,900"/>
        <filter val="19,000"/>
        <filter val="19,100"/>
        <filter val="19,200"/>
        <filter val="19,400"/>
        <filter val="19,500"/>
        <filter val="19,700"/>
        <filter val="19,900"/>
        <filter val="2,604,605"/>
        <filter val="20,000"/>
        <filter val="20,100"/>
        <filter val="20,300"/>
        <filter val="20,400"/>
        <filter val="20,500"/>
        <filter val="20,600"/>
        <filter val="20,900"/>
        <filter val="21,000"/>
        <filter val="21,100"/>
        <filter val="21,200"/>
        <filter val="21,300"/>
        <filter val="21,400"/>
        <filter val="21,500"/>
        <filter val="21,700"/>
        <filter val="21,800"/>
        <filter val="22,200"/>
        <filter val="22,800"/>
        <filter val="23,100"/>
        <filter val="23,500"/>
        <filter val="23,600"/>
        <filter val="23,700"/>
        <filter val="24,500"/>
        <filter val="25,000"/>
        <filter val="25,500"/>
        <filter val="25,700"/>
        <filter val="27,405"/>
        <filter val="305,805"/>
        <filter val="342,100"/>
        <filter val="35,170"/>
        <filter val="361,390"/>
        <filter val="4,016,300"/>
        <filter val="40,920"/>
        <filter val="402,400"/>
        <filter val="474,900"/>
        <filter val="6,600"/>
        <filter val="8,100"/>
        <filter val="8,200"/>
        <filter val="8,400"/>
        <filter val="842,100"/>
        <filter val="9,100"/>
        <filter val="งบดำเนินงาน"/>
        <filter val="โอนจัดสรร"/>
      </filters>
    </filterColumn>
  </autoFilter>
  <mergeCells count="33">
    <mergeCell ref="AA5:AB5"/>
    <mergeCell ref="I5:I6"/>
    <mergeCell ref="J5:K5"/>
    <mergeCell ref="L5:N5"/>
    <mergeCell ref="O5:Q5"/>
    <mergeCell ref="X5:Y5"/>
    <mergeCell ref="A89:B89"/>
    <mergeCell ref="A2:B6"/>
    <mergeCell ref="C2:V2"/>
    <mergeCell ref="W2:AB2"/>
    <mergeCell ref="C3:Q3"/>
    <mergeCell ref="W3:Y4"/>
    <mergeCell ref="Z3:AB4"/>
    <mergeCell ref="J4:Q4"/>
    <mergeCell ref="C4:G4"/>
    <mergeCell ref="H4:I4"/>
    <mergeCell ref="C5:C6"/>
    <mergeCell ref="D5:D6"/>
    <mergeCell ref="E5:E6"/>
    <mergeCell ref="F5:F6"/>
    <mergeCell ref="G5:G6"/>
    <mergeCell ref="H5:H6"/>
    <mergeCell ref="A7:B7"/>
    <mergeCell ref="A13:B13"/>
    <mergeCell ref="A31:B31"/>
    <mergeCell ref="A52:B52"/>
    <mergeCell ref="A74:B74"/>
    <mergeCell ref="R3:V3"/>
    <mergeCell ref="R4:R6"/>
    <mergeCell ref="S4:S6"/>
    <mergeCell ref="T4:T6"/>
    <mergeCell ref="U4:U6"/>
    <mergeCell ref="V4:V6"/>
  </mergeCells>
  <conditionalFormatting sqref="K14:K30 K32:K51 K53:K73 K75:K88 K90:K124">
    <cfRule type="colorScale" priority="6">
      <colorScale>
        <cfvo type="formula" val="22"/>
        <cfvo type="formula" val="44"/>
        <cfvo type="formula" val="88"/>
        <color rgb="FFFF0000"/>
        <color rgb="FFFFFF00"/>
        <color rgb="FF38761D"/>
      </colorScale>
    </cfRule>
  </conditionalFormatting>
  <conditionalFormatting sqref="U14:U89">
    <cfRule type="colorScale" priority="5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93">
    <cfRule type="colorScale" priority="4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101">
    <cfRule type="colorScale" priority="3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104">
    <cfRule type="colorScale" priority="2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U109:U124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Y14:Y30 Y32:Y51 Y53:Y73 Y75:Y88">
    <cfRule type="colorScale" priority="7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00"/>
    <outlinePr summaryBelow="0" summaryRight="0"/>
  </sheetPr>
  <dimension ref="A1:AI108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3.8554687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22" width="15.140625" customWidth="1"/>
    <col min="23" max="23" width="12.5703125" hidden="1" customWidth="1"/>
    <col min="27" max="35" width="12.5703125" hidden="1"/>
  </cols>
  <sheetData>
    <row r="1" spans="1:3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5"/>
      <c r="S1" s="5"/>
      <c r="T1" s="5"/>
      <c r="U1" s="5"/>
      <c r="V1" s="5"/>
      <c r="W1" s="2"/>
      <c r="X1" s="114"/>
      <c r="Y1" s="114"/>
      <c r="Z1" s="116"/>
      <c r="AA1" s="114"/>
      <c r="AB1" s="114"/>
      <c r="AC1" s="116"/>
      <c r="AD1" s="114"/>
      <c r="AE1" s="114"/>
      <c r="AF1" s="116"/>
      <c r="AG1" s="114"/>
      <c r="AH1" s="114"/>
      <c r="AI1" s="116"/>
    </row>
    <row r="2" spans="1:35" ht="24" customHeight="1" x14ac:dyDescent="0.2">
      <c r="A2" s="657" t="s">
        <v>1</v>
      </c>
      <c r="B2" s="658"/>
      <c r="C2" s="669" t="s">
        <v>201</v>
      </c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/>
      <c r="S2" s="646"/>
      <c r="T2" s="646"/>
      <c r="U2" s="646"/>
      <c r="V2" s="646"/>
      <c r="W2" s="6"/>
      <c r="X2" s="670" t="s">
        <v>29</v>
      </c>
      <c r="Y2" s="646"/>
      <c r="Z2" s="646"/>
      <c r="AA2" s="6"/>
      <c r="AB2" s="6"/>
      <c r="AC2" s="6"/>
      <c r="AD2" s="6"/>
      <c r="AE2" s="6"/>
      <c r="AF2" s="6"/>
      <c r="AG2" s="6"/>
      <c r="AH2" s="6"/>
      <c r="AI2" s="273"/>
    </row>
    <row r="3" spans="1:35" ht="30" customHeight="1" x14ac:dyDescent="0.2">
      <c r="A3" s="659"/>
      <c r="B3" s="660"/>
      <c r="C3" s="671" t="s">
        <v>4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7"/>
      <c r="R3" s="709" t="s">
        <v>5</v>
      </c>
      <c r="S3" s="646"/>
      <c r="T3" s="646"/>
      <c r="U3" s="646"/>
      <c r="V3" s="647"/>
      <c r="W3" s="719" t="s">
        <v>202</v>
      </c>
      <c r="X3" s="687" t="s">
        <v>6</v>
      </c>
      <c r="Y3" s="674"/>
      <c r="Z3" s="658"/>
      <c r="AA3" s="720" t="s">
        <v>203</v>
      </c>
      <c r="AB3" s="674"/>
      <c r="AC3" s="658"/>
      <c r="AD3" s="720" t="s">
        <v>7</v>
      </c>
      <c r="AE3" s="674"/>
      <c r="AF3" s="658"/>
      <c r="AG3" s="721" t="s">
        <v>204</v>
      </c>
      <c r="AH3" s="674"/>
      <c r="AI3" s="658"/>
    </row>
    <row r="4" spans="1:35" ht="30" customHeight="1" x14ac:dyDescent="0.2">
      <c r="A4" s="659"/>
      <c r="B4" s="660"/>
      <c r="C4" s="677" t="s">
        <v>8</v>
      </c>
      <c r="D4" s="646"/>
      <c r="E4" s="646"/>
      <c r="F4" s="646"/>
      <c r="G4" s="647"/>
      <c r="H4" s="678" t="s">
        <v>9</v>
      </c>
      <c r="I4" s="647"/>
      <c r="J4" s="676" t="s">
        <v>10</v>
      </c>
      <c r="K4" s="646"/>
      <c r="L4" s="646"/>
      <c r="M4" s="646"/>
      <c r="N4" s="646"/>
      <c r="O4" s="646"/>
      <c r="P4" s="646"/>
      <c r="Q4" s="647"/>
      <c r="R4" s="711" t="s">
        <v>11</v>
      </c>
      <c r="S4" s="703" t="s">
        <v>12</v>
      </c>
      <c r="T4" s="710" t="s">
        <v>13</v>
      </c>
      <c r="U4" s="710" t="s">
        <v>14</v>
      </c>
      <c r="V4" s="710" t="s">
        <v>15</v>
      </c>
      <c r="W4" s="650"/>
      <c r="X4" s="661"/>
      <c r="Y4" s="675"/>
      <c r="Z4" s="662"/>
      <c r="AA4" s="661"/>
      <c r="AB4" s="675"/>
      <c r="AC4" s="662"/>
      <c r="AD4" s="661"/>
      <c r="AE4" s="675"/>
      <c r="AF4" s="662"/>
      <c r="AG4" s="661"/>
      <c r="AH4" s="675"/>
      <c r="AI4" s="662"/>
    </row>
    <row r="5" spans="1:35" ht="24" customHeight="1" x14ac:dyDescent="0.2">
      <c r="A5" s="659"/>
      <c r="B5" s="660"/>
      <c r="C5" s="679" t="s">
        <v>20</v>
      </c>
      <c r="D5" s="680" t="s">
        <v>21</v>
      </c>
      <c r="E5" s="681" t="s">
        <v>22</v>
      </c>
      <c r="F5" s="682" t="s">
        <v>23</v>
      </c>
      <c r="G5" s="683" t="s">
        <v>24</v>
      </c>
      <c r="H5" s="651" t="s">
        <v>25</v>
      </c>
      <c r="I5" s="651" t="s">
        <v>26</v>
      </c>
      <c r="J5" s="653" t="s">
        <v>27</v>
      </c>
      <c r="K5" s="647"/>
      <c r="L5" s="653" t="s">
        <v>25</v>
      </c>
      <c r="M5" s="646"/>
      <c r="N5" s="647"/>
      <c r="O5" s="654" t="s">
        <v>26</v>
      </c>
      <c r="P5" s="646"/>
      <c r="Q5" s="647"/>
      <c r="R5" s="649"/>
      <c r="S5" s="649"/>
      <c r="T5" s="649"/>
      <c r="U5" s="649"/>
      <c r="V5" s="649"/>
      <c r="W5" s="274" t="s">
        <v>29</v>
      </c>
      <c r="X5" s="119" t="s">
        <v>28</v>
      </c>
      <c r="Y5" s="713" t="s">
        <v>29</v>
      </c>
      <c r="Z5" s="647"/>
      <c r="AA5" s="119" t="s">
        <v>28</v>
      </c>
      <c r="AB5" s="713" t="s">
        <v>29</v>
      </c>
      <c r="AC5" s="647"/>
      <c r="AD5" s="275"/>
      <c r="AE5" s="713" t="s">
        <v>29</v>
      </c>
      <c r="AF5" s="647"/>
      <c r="AG5" s="119" t="s">
        <v>28</v>
      </c>
      <c r="AH5" s="713" t="s">
        <v>29</v>
      </c>
      <c r="AI5" s="647"/>
    </row>
    <row r="6" spans="1:35" ht="30" customHeight="1" x14ac:dyDescent="0.2">
      <c r="A6" s="661"/>
      <c r="B6" s="662"/>
      <c r="C6" s="650"/>
      <c r="D6" s="650"/>
      <c r="E6" s="650"/>
      <c r="F6" s="650"/>
      <c r="G6" s="650"/>
      <c r="H6" s="650"/>
      <c r="I6" s="650"/>
      <c r="J6" s="8" t="s">
        <v>30</v>
      </c>
      <c r="K6" s="9" t="s">
        <v>31</v>
      </c>
      <c r="L6" s="8" t="s">
        <v>30</v>
      </c>
      <c r="M6" s="10" t="s">
        <v>32</v>
      </c>
      <c r="N6" s="10" t="s">
        <v>33</v>
      </c>
      <c r="O6" s="11" t="s">
        <v>30</v>
      </c>
      <c r="P6" s="10" t="s">
        <v>32</v>
      </c>
      <c r="Q6" s="10" t="s">
        <v>33</v>
      </c>
      <c r="R6" s="650"/>
      <c r="S6" s="650"/>
      <c r="T6" s="650"/>
      <c r="U6" s="650"/>
      <c r="V6" s="650"/>
      <c r="W6" s="15" t="s">
        <v>35</v>
      </c>
      <c r="X6" s="119" t="s">
        <v>35</v>
      </c>
      <c r="Y6" s="180" t="s">
        <v>35</v>
      </c>
      <c r="Z6" s="210" t="s">
        <v>31</v>
      </c>
      <c r="AA6" s="119" t="s">
        <v>35</v>
      </c>
      <c r="AB6" s="180" t="s">
        <v>35</v>
      </c>
      <c r="AC6" s="210" t="s">
        <v>31</v>
      </c>
      <c r="AD6" s="180"/>
      <c r="AE6" s="180" t="s">
        <v>35</v>
      </c>
      <c r="AF6" s="210" t="s">
        <v>31</v>
      </c>
      <c r="AG6" s="119" t="s">
        <v>35</v>
      </c>
      <c r="AH6" s="180" t="s">
        <v>35</v>
      </c>
      <c r="AI6" s="210" t="s">
        <v>31</v>
      </c>
    </row>
    <row r="7" spans="1:35" ht="24" customHeight="1" x14ac:dyDescent="0.3">
      <c r="A7" s="663" t="s">
        <v>38</v>
      </c>
      <c r="B7" s="647"/>
      <c r="C7" s="126">
        <f t="shared" ref="C7:C9" ca="1" si="0">D7+G7</f>
        <v>8136100</v>
      </c>
      <c r="D7" s="127">
        <f t="shared" ref="D7:E7" ca="1" si="1">D8+D9+D12</f>
        <v>8136100</v>
      </c>
      <c r="E7" s="128">
        <f t="shared" ca="1" si="1"/>
        <v>3661200</v>
      </c>
      <c r="F7" s="129">
        <f ca="1">F8+F9</f>
        <v>4474900</v>
      </c>
      <c r="G7" s="130">
        <f t="shared" ref="G7:I7" ca="1" si="2">G8+G9+G12</f>
        <v>0</v>
      </c>
      <c r="H7" s="131">
        <f t="shared" ca="1" si="2"/>
        <v>8136100</v>
      </c>
      <c r="I7" s="131">
        <f t="shared" ca="1" si="2"/>
        <v>0</v>
      </c>
      <c r="J7" s="132">
        <f t="shared" ref="J7:J9" ca="1" si="3">L7+O7</f>
        <v>6811107.0300000003</v>
      </c>
      <c r="K7" s="133">
        <f t="shared" ref="K7:K9" ca="1" si="4">IF(C7&gt;0,J7*100/C7,0)</f>
        <v>83.714642519143084</v>
      </c>
      <c r="L7" s="132">
        <f ca="1">L8+L9+L12</f>
        <v>6811107.0300000003</v>
      </c>
      <c r="M7" s="27">
        <f t="shared" ref="M7:M9" ca="1" si="5">IF(D7&gt;0,L7*100/D7,0)</f>
        <v>83.714642519143084</v>
      </c>
      <c r="N7" s="27">
        <f t="shared" ref="N7:N9" ca="1" si="6">IF(H7&gt;0,L7*100/H7,0)</f>
        <v>83.714642519143084</v>
      </c>
      <c r="O7" s="26">
        <f ca="1">O8+O9+O12</f>
        <v>0</v>
      </c>
      <c r="P7" s="26">
        <f t="shared" ref="P7:P9" ca="1" si="7">IF(G7&gt;0,O7*100/G7,0)</f>
        <v>0</v>
      </c>
      <c r="Q7" s="27">
        <f t="shared" ref="Q7:Q9" ca="1" si="8">IF(I7&gt;0,O7*100/I7,0)</f>
        <v>0</v>
      </c>
      <c r="R7" s="26">
        <f t="shared" ref="R7:T7" ca="1" si="9">R8+R9</f>
        <v>16914500</v>
      </c>
      <c r="S7" s="26">
        <f t="shared" ca="1" si="9"/>
        <v>16914500</v>
      </c>
      <c r="T7" s="26">
        <f t="shared" ca="1" si="9"/>
        <v>7001091.0299999993</v>
      </c>
      <c r="U7" s="27">
        <f t="shared" ref="U7:U9" ca="1" si="10">IF(R7&gt;0,T7*100/R7,0)</f>
        <v>41.391061101421847</v>
      </c>
      <c r="V7" s="27">
        <f t="shared" ref="V7:V9" ca="1" si="11">IF(S7&gt;0,T7*100/S7,0)</f>
        <v>41.391061101421847</v>
      </c>
      <c r="W7" s="212">
        <f t="shared" ref="W7:Y7" ca="1" si="12">W8</f>
        <v>0</v>
      </c>
      <c r="X7" s="211">
        <f t="shared" ca="1" si="12"/>
        <v>1500</v>
      </c>
      <c r="Y7" s="212">
        <f t="shared" ca="1" si="12"/>
        <v>1360</v>
      </c>
      <c r="Z7" s="213">
        <f t="shared" ref="Z7:Z8" ca="1" si="13">IF(X7&gt;0,Y7*100/X7,0)</f>
        <v>90.666666666666671</v>
      </c>
      <c r="AA7" s="211">
        <f t="shared" ref="AA7:AB7" ca="1" si="14">AA8</f>
        <v>0</v>
      </c>
      <c r="AB7" s="212">
        <f t="shared" ca="1" si="14"/>
        <v>0</v>
      </c>
      <c r="AC7" s="213">
        <f t="shared" ref="AC7:AC8" ca="1" si="15">IF(X7&gt;0,AB7*100/X7,0)</f>
        <v>0</v>
      </c>
      <c r="AD7" s="211">
        <f t="shared" ref="AD7:AE7" ca="1" si="16">AD8</f>
        <v>0</v>
      </c>
      <c r="AE7" s="212">
        <f t="shared" ca="1" si="16"/>
        <v>0</v>
      </c>
      <c r="AF7" s="213">
        <f t="shared" ref="AF7:AF8" ca="1" si="17">IF(AA7&gt;0,AE7*100/AA7,0)</f>
        <v>0</v>
      </c>
      <c r="AG7" s="211">
        <f t="shared" ref="AG7:AH7" ca="1" si="18">AG8</f>
        <v>0</v>
      </c>
      <c r="AH7" s="212">
        <f t="shared" ca="1" si="18"/>
        <v>0</v>
      </c>
      <c r="AI7" s="213">
        <f t="shared" ref="AI7:AI8" ca="1" si="19">IF(AD7&gt;0,AH7*100/AD7,0)</f>
        <v>0</v>
      </c>
    </row>
    <row r="8" spans="1:35" ht="28.5" customHeight="1" x14ac:dyDescent="0.3">
      <c r="A8" s="31" t="s">
        <v>39</v>
      </c>
      <c r="B8" s="31"/>
      <c r="C8" s="136">
        <f t="shared" ca="1" si="0"/>
        <v>5693300</v>
      </c>
      <c r="D8" s="136">
        <f t="shared" ref="D8:I8" ca="1" si="20">+D13+D31+D52+D74</f>
        <v>5693300</v>
      </c>
      <c r="E8" s="136">
        <f t="shared" ca="1" si="20"/>
        <v>2949200</v>
      </c>
      <c r="F8" s="136">
        <f t="shared" ca="1" si="20"/>
        <v>2744100</v>
      </c>
      <c r="G8" s="136">
        <f t="shared" ca="1" si="20"/>
        <v>0</v>
      </c>
      <c r="H8" s="136">
        <f t="shared" ca="1" si="20"/>
        <v>6593300</v>
      </c>
      <c r="I8" s="136">
        <f t="shared" ca="1" si="20"/>
        <v>0</v>
      </c>
      <c r="J8" s="136">
        <f t="shared" ca="1" si="3"/>
        <v>5570590.5800000001</v>
      </c>
      <c r="K8" s="137">
        <f t="shared" ca="1" si="4"/>
        <v>97.844669699471311</v>
      </c>
      <c r="L8" s="136">
        <f ca="1">+L13+L31+L52+L74</f>
        <v>5570590.5800000001</v>
      </c>
      <c r="M8" s="37">
        <f t="shared" ca="1" si="5"/>
        <v>97.844669699471311</v>
      </c>
      <c r="N8" s="37">
        <f t="shared" ca="1" si="6"/>
        <v>84.488656363277869</v>
      </c>
      <c r="O8" s="36">
        <f ca="1">+O13+O31+O52+O74</f>
        <v>0</v>
      </c>
      <c r="P8" s="36">
        <f t="shared" ca="1" si="7"/>
        <v>0</v>
      </c>
      <c r="Q8" s="37">
        <f t="shared" ca="1" si="8"/>
        <v>0</v>
      </c>
      <c r="R8" s="36">
        <f t="shared" ref="R8:T8" ca="1" si="21">+R13+R31+R52+R74</f>
        <v>12161929.910000002</v>
      </c>
      <c r="S8" s="36">
        <f t="shared" ca="1" si="21"/>
        <v>12405514</v>
      </c>
      <c r="T8" s="36">
        <f t="shared" ca="1" si="21"/>
        <v>6958879.6899999995</v>
      </c>
      <c r="U8" s="37">
        <f t="shared" ca="1" si="10"/>
        <v>57.218547890809205</v>
      </c>
      <c r="V8" s="37">
        <f t="shared" ca="1" si="11"/>
        <v>56.095053296461558</v>
      </c>
      <c r="W8" s="136">
        <f t="shared" ref="W8:Y8" ca="1" si="22">+W13+W31+W52+W74</f>
        <v>0</v>
      </c>
      <c r="X8" s="276">
        <f t="shared" ca="1" si="22"/>
        <v>1500</v>
      </c>
      <c r="Y8" s="136">
        <f t="shared" ca="1" si="22"/>
        <v>1360</v>
      </c>
      <c r="Z8" s="37">
        <f t="shared" ca="1" si="13"/>
        <v>90.666666666666671</v>
      </c>
      <c r="AA8" s="276">
        <f t="shared" ref="AA8:AB8" ca="1" si="23">+AA13+AA31+AA52+AA74</f>
        <v>0</v>
      </c>
      <c r="AB8" s="136">
        <f t="shared" ca="1" si="23"/>
        <v>0</v>
      </c>
      <c r="AC8" s="37">
        <f t="shared" ca="1" si="15"/>
        <v>0</v>
      </c>
      <c r="AD8" s="276">
        <f t="shared" ref="AD8:AE8" ca="1" si="24">+AD13+AD31+AD52+AD74</f>
        <v>0</v>
      </c>
      <c r="AE8" s="136">
        <f t="shared" ca="1" si="24"/>
        <v>0</v>
      </c>
      <c r="AF8" s="37">
        <f t="shared" ca="1" si="17"/>
        <v>0</v>
      </c>
      <c r="AG8" s="276">
        <f t="shared" ref="AG8:AH8" ca="1" si="25">+AG13+AG31+AG52+AG74</f>
        <v>0</v>
      </c>
      <c r="AH8" s="136">
        <f t="shared" ca="1" si="25"/>
        <v>0</v>
      </c>
      <c r="AI8" s="37">
        <f t="shared" ca="1" si="19"/>
        <v>0</v>
      </c>
    </row>
    <row r="9" spans="1:35" ht="28.5" customHeight="1" x14ac:dyDescent="0.3">
      <c r="A9" s="38" t="s">
        <v>40</v>
      </c>
      <c r="B9" s="38"/>
      <c r="C9" s="139">
        <f t="shared" ca="1" si="0"/>
        <v>2442800</v>
      </c>
      <c r="D9" s="139">
        <f t="shared" ref="D9:I9" ca="1" si="26">+D89</f>
        <v>2442800</v>
      </c>
      <c r="E9" s="139">
        <f t="shared" ca="1" si="26"/>
        <v>712000</v>
      </c>
      <c r="F9" s="139">
        <f t="shared" ca="1" si="26"/>
        <v>1730800</v>
      </c>
      <c r="G9" s="139">
        <f t="shared" ca="1" si="26"/>
        <v>0</v>
      </c>
      <c r="H9" s="139">
        <f t="shared" ca="1" si="26"/>
        <v>1542800</v>
      </c>
      <c r="I9" s="139">
        <f t="shared" ca="1" si="26"/>
        <v>0</v>
      </c>
      <c r="J9" s="139">
        <f t="shared" ca="1" si="3"/>
        <v>1240516.45</v>
      </c>
      <c r="K9" s="140">
        <f t="shared" ca="1" si="4"/>
        <v>50.782563042410352</v>
      </c>
      <c r="L9" s="139">
        <f ca="1">+L89</f>
        <v>1240516.45</v>
      </c>
      <c r="M9" s="44">
        <f t="shared" ca="1" si="5"/>
        <v>50.782563042410352</v>
      </c>
      <c r="N9" s="44">
        <f t="shared" ca="1" si="6"/>
        <v>80.406822011926366</v>
      </c>
      <c r="O9" s="43">
        <f ca="1">+O89</f>
        <v>0</v>
      </c>
      <c r="P9" s="43">
        <f t="shared" ca="1" si="7"/>
        <v>0</v>
      </c>
      <c r="Q9" s="44">
        <f t="shared" ca="1" si="8"/>
        <v>0</v>
      </c>
      <c r="R9" s="43">
        <f t="shared" ref="R9:T9" ca="1" si="27">+R89</f>
        <v>4752570.09</v>
      </c>
      <c r="S9" s="43">
        <f t="shared" ca="1" si="27"/>
        <v>4508986</v>
      </c>
      <c r="T9" s="43">
        <f t="shared" ca="1" si="27"/>
        <v>42211.34</v>
      </c>
      <c r="U9" s="44">
        <f t="shared" ca="1" si="10"/>
        <v>0.88817922094022184</v>
      </c>
      <c r="V9" s="44">
        <f t="shared" ca="1" si="11"/>
        <v>0.93616036953762993</v>
      </c>
      <c r="W9" s="246"/>
      <c r="X9" s="246"/>
      <c r="Y9" s="246"/>
      <c r="Z9" s="247"/>
      <c r="AA9" s="246"/>
      <c r="AB9" s="246"/>
      <c r="AC9" s="41"/>
      <c r="AD9" s="246"/>
      <c r="AE9" s="246"/>
      <c r="AF9" s="41"/>
      <c r="AG9" s="246"/>
      <c r="AH9" s="246"/>
      <c r="AI9" s="41"/>
    </row>
    <row r="10" spans="1:35" ht="28.5" hidden="1" customHeight="1" x14ac:dyDescent="0.3">
      <c r="A10" s="45"/>
      <c r="B10" s="45"/>
      <c r="C10" s="143"/>
      <c r="D10" s="143"/>
      <c r="E10" s="143"/>
      <c r="F10" s="143"/>
      <c r="G10" s="143"/>
      <c r="H10" s="143"/>
      <c r="I10" s="143"/>
      <c r="J10" s="143"/>
      <c r="K10" s="144"/>
      <c r="L10" s="143"/>
      <c r="M10" s="51"/>
      <c r="N10" s="51"/>
      <c r="O10" s="50"/>
      <c r="P10" s="50"/>
      <c r="Q10" s="51"/>
      <c r="R10" s="195"/>
      <c r="S10" s="195"/>
      <c r="T10" s="195"/>
      <c r="U10" s="196"/>
      <c r="V10" s="196"/>
      <c r="W10" s="214"/>
      <c r="X10" s="214"/>
      <c r="Y10" s="214"/>
      <c r="Z10" s="196"/>
      <c r="AA10" s="214"/>
      <c r="AB10" s="214"/>
      <c r="AC10" s="48"/>
      <c r="AD10" s="214"/>
      <c r="AE10" s="214"/>
      <c r="AF10" s="48"/>
      <c r="AG10" s="214"/>
      <c r="AH10" s="214"/>
      <c r="AI10" s="48"/>
    </row>
    <row r="11" spans="1:35" ht="28.5" hidden="1" customHeight="1" x14ac:dyDescent="0.3">
      <c r="A11" s="45"/>
      <c r="B11" s="45"/>
      <c r="C11" s="143"/>
      <c r="D11" s="143"/>
      <c r="E11" s="143"/>
      <c r="F11" s="143"/>
      <c r="G11" s="143"/>
      <c r="H11" s="143"/>
      <c r="I11" s="143"/>
      <c r="J11" s="143"/>
      <c r="K11" s="144"/>
      <c r="L11" s="143"/>
      <c r="M11" s="51"/>
      <c r="N11" s="51"/>
      <c r="O11" s="50"/>
      <c r="P11" s="50"/>
      <c r="Q11" s="51"/>
      <c r="R11" s="195"/>
      <c r="S11" s="195"/>
      <c r="T11" s="195"/>
      <c r="U11" s="196"/>
      <c r="V11" s="196"/>
      <c r="W11" s="214"/>
      <c r="X11" s="214"/>
      <c r="Y11" s="214"/>
      <c r="Z11" s="196"/>
      <c r="AA11" s="214"/>
      <c r="AB11" s="214"/>
      <c r="AC11" s="48"/>
      <c r="AD11" s="214"/>
      <c r="AE11" s="214"/>
      <c r="AF11" s="48"/>
      <c r="AG11" s="214"/>
      <c r="AH11" s="214"/>
      <c r="AI11" s="48"/>
    </row>
    <row r="12" spans="1:35" ht="28.5" hidden="1" customHeight="1" x14ac:dyDescent="0.3">
      <c r="A12" s="45"/>
      <c r="B12" s="45"/>
      <c r="C12" s="143"/>
      <c r="D12" s="143"/>
      <c r="E12" s="143"/>
      <c r="F12" s="143"/>
      <c r="G12" s="143"/>
      <c r="H12" s="143"/>
      <c r="I12" s="143"/>
      <c r="J12" s="143"/>
      <c r="K12" s="144"/>
      <c r="L12" s="143"/>
      <c r="M12" s="51"/>
      <c r="N12" s="51"/>
      <c r="O12" s="50"/>
      <c r="P12" s="50"/>
      <c r="Q12" s="51"/>
      <c r="R12" s="195"/>
      <c r="S12" s="195"/>
      <c r="T12" s="195"/>
      <c r="U12" s="196"/>
      <c r="V12" s="196"/>
      <c r="W12" s="214"/>
      <c r="X12" s="214"/>
      <c r="Y12" s="214"/>
      <c r="Z12" s="196"/>
      <c r="AA12" s="214"/>
      <c r="AB12" s="143"/>
      <c r="AC12" s="51"/>
      <c r="AD12" s="214"/>
      <c r="AE12" s="143"/>
      <c r="AF12" s="51"/>
      <c r="AG12" s="214"/>
      <c r="AH12" s="143"/>
      <c r="AI12" s="51"/>
    </row>
    <row r="13" spans="1:35" ht="28.5" customHeight="1" x14ac:dyDescent="0.3">
      <c r="A13" s="664" t="s">
        <v>41</v>
      </c>
      <c r="B13" s="647"/>
      <c r="C13" s="145">
        <f t="shared" ref="C13:C88" ca="1" si="28">D13+G13</f>
        <v>2212000</v>
      </c>
      <c r="D13" s="145">
        <f t="shared" ref="D13:I13" ca="1" si="29">SUM(D14:D30)</f>
        <v>2212000</v>
      </c>
      <c r="E13" s="145">
        <f t="shared" ca="1" si="29"/>
        <v>1233700</v>
      </c>
      <c r="F13" s="145">
        <f t="shared" ca="1" si="29"/>
        <v>978300</v>
      </c>
      <c r="G13" s="145">
        <f t="shared" ca="1" si="29"/>
        <v>0</v>
      </c>
      <c r="H13" s="145">
        <f t="shared" ca="1" si="29"/>
        <v>2346800</v>
      </c>
      <c r="I13" s="145">
        <f t="shared" ca="1" si="29"/>
        <v>0</v>
      </c>
      <c r="J13" s="145">
        <f t="shared" ref="J13:J88" ca="1" si="30">L13+O13</f>
        <v>2009798.87</v>
      </c>
      <c r="K13" s="146">
        <f t="shared" ref="K13:K88" ca="1" si="31">IF(C13&gt;0,J13*100/C13,0)</f>
        <v>90.858900090415915</v>
      </c>
      <c r="L13" s="145">
        <f ca="1">SUM(L14:L30)</f>
        <v>2009798.87</v>
      </c>
      <c r="M13" s="57">
        <f t="shared" ref="M13:M88" ca="1" si="32">IF(D13&gt;0,L13*100/D13,0)</f>
        <v>90.858900090415915</v>
      </c>
      <c r="N13" s="57">
        <f t="shared" ref="N13:N88" ca="1" si="33">IF(H13&gt;0,L13*100/H13,0)</f>
        <v>85.639972302710078</v>
      </c>
      <c r="O13" s="56">
        <f ca="1">SUM(O14:O30)</f>
        <v>0</v>
      </c>
      <c r="P13" s="56">
        <f t="shared" ref="P13:P88" ca="1" si="34">IF(G13&gt;0,O13*100/G13,0)</f>
        <v>0</v>
      </c>
      <c r="Q13" s="57">
        <f t="shared" ref="Q13:Q88" ca="1" si="35">IF(I13&gt;0,O13*100/I13,0)</f>
        <v>0</v>
      </c>
      <c r="R13" s="56">
        <f t="shared" ref="R13:T13" ca="1" si="36">SUM(R14:R30)</f>
        <v>3447352.040000001</v>
      </c>
      <c r="S13" s="56">
        <f t="shared" ca="1" si="36"/>
        <v>3518747</v>
      </c>
      <c r="T13" s="56">
        <f t="shared" ca="1" si="36"/>
        <v>2127586</v>
      </c>
      <c r="U13" s="57">
        <f t="shared" ref="U13:U108" ca="1" si="37">IF(R13&gt;0,T13*100/R13,0)</f>
        <v>61.716528376370853</v>
      </c>
      <c r="V13" s="57">
        <f t="shared" ref="V13:V108" ca="1" si="38">IF(S13&gt;0,T13*100/S13,0)</f>
        <v>60.464307323032884</v>
      </c>
      <c r="W13" s="145">
        <f t="shared" ref="W13:Y13" ca="1" si="39">SUM(W14:W30)</f>
        <v>0</v>
      </c>
      <c r="X13" s="277">
        <f t="shared" ca="1" si="39"/>
        <v>435</v>
      </c>
      <c r="Y13" s="145">
        <f t="shared" ca="1" si="39"/>
        <v>435</v>
      </c>
      <c r="Z13" s="57">
        <f t="shared" ref="Z13:Z88" ca="1" si="40">IF(X13&gt;0,Y13*100/X13,0)</f>
        <v>100</v>
      </c>
      <c r="AA13" s="277">
        <f t="shared" ref="AA13:AB13" ca="1" si="41">SUM(AA14:AA30)</f>
        <v>0</v>
      </c>
      <c r="AB13" s="145">
        <f t="shared" ca="1" si="41"/>
        <v>0</v>
      </c>
      <c r="AC13" s="57">
        <f t="shared" ref="AC13:AC88" ca="1" si="42">IF(X13&gt;0,AB13*100/X13,0)</f>
        <v>0</v>
      </c>
      <c r="AD13" s="277">
        <f t="shared" ref="AD13:AE13" ca="1" si="43">SUM(AD14:AD30)</f>
        <v>0</v>
      </c>
      <c r="AE13" s="145">
        <f t="shared" ca="1" si="43"/>
        <v>0</v>
      </c>
      <c r="AF13" s="57">
        <f t="shared" ref="AF13:AF88" ca="1" si="44">IF(AA13&gt;0,AE13*100/AA13,0)</f>
        <v>0</v>
      </c>
      <c r="AG13" s="277">
        <f t="shared" ref="AG13:AH13" ca="1" si="45">SUM(AG14:AG30)</f>
        <v>0</v>
      </c>
      <c r="AH13" s="145">
        <f t="shared" ca="1" si="45"/>
        <v>0</v>
      </c>
      <c r="AI13" s="57">
        <f t="shared" ref="AI13:AI88" ca="1" si="46">IF(AD13&gt;0,AH13*100/AD13,0)</f>
        <v>0</v>
      </c>
    </row>
    <row r="14" spans="1:35" ht="24" customHeight="1" x14ac:dyDescent="0.3">
      <c r="A14" s="58">
        <v>1</v>
      </c>
      <c r="B14" s="59" t="s">
        <v>42</v>
      </c>
      <c r="C14" s="149">
        <f t="shared" ca="1" si="28"/>
        <v>206100</v>
      </c>
      <c r="D14" s="150">
        <f t="shared" ref="D14:D30" ca="1" si="47">+E14+F14</f>
        <v>206100</v>
      </c>
      <c r="E14" s="151">
        <f ca="1">IFERROR(__xludf.DUMMYFUNCTION("IMPORTRANGE(""https://docs.google.com/spreadsheets/d/1-uDff_7J0KD5mKrp0Vvzr7lt3OU09vwQwhkpOPPYv2Y/edit?usp=sharing"",""งบพรบ!DZ14"")"),102200)</f>
        <v>102200</v>
      </c>
      <c r="F14" s="151">
        <f ca="1">IFERROR(__xludf.DUMMYFUNCTION("IMPORTRANGE(""https://docs.google.com/spreadsheets/d/1-uDff_7J0KD5mKrp0Vvzr7lt3OU09vwQwhkpOPPYv2Y/edit?usp=sharing"",""งบพรบ!EA14"")"),103900)</f>
        <v>103900</v>
      </c>
      <c r="G14" s="152">
        <f ca="1">IFERROR(__xludf.DUMMYFUNCTION("IMPORTRANGE(""https://docs.google.com/spreadsheets/d/1-uDff_7J0KD5mKrp0Vvzr7lt3OU09vwQwhkpOPPYv2Y/edit?usp=sharing"",""งบพรบ!EB14"")"),0)</f>
        <v>0</v>
      </c>
      <c r="H14" s="152">
        <f ca="1">IFERROR(__xludf.DUMMYFUNCTION("IMPORTRANGE(""https://docs.google.com/spreadsheets/d/1-uDff_7J0KD5mKrp0Vvzr7lt3OU09vwQwhkpOPPYv2Y/edit?usp=sharing"",""งบพรบ!ED14"")"),206100)</f>
        <v>206100</v>
      </c>
      <c r="I14" s="152">
        <f ca="1">IFERROR(__xludf.DUMMYFUNCTION("IMPORTRANGE(""https://docs.google.com/spreadsheets/d/1-uDff_7J0KD5mKrp0Vvzr7lt3OU09vwQwhkpOPPYv2Y/edit?usp=sharing"",""งบพรบ!EE14"")"),0)</f>
        <v>0</v>
      </c>
      <c r="J14" s="152">
        <f t="shared" ca="1" si="30"/>
        <v>188495</v>
      </c>
      <c r="K14" s="153">
        <f t="shared" ca="1" si="31"/>
        <v>91.458030082484228</v>
      </c>
      <c r="L14" s="152">
        <f ca="1">IFERROR(__xludf.DUMMYFUNCTION("IMPORTRANGE(""https://docs.google.com/spreadsheets/d/1-uDff_7J0KD5mKrp0Vvzr7lt3OU09vwQwhkpOPPYv2Y/edit?usp=sharing"",""งบพรบ!EF14"")"),188495)</f>
        <v>188495</v>
      </c>
      <c r="M14" s="68">
        <f t="shared" ca="1" si="32"/>
        <v>91.458030082484228</v>
      </c>
      <c r="N14" s="68">
        <f t="shared" ca="1" si="33"/>
        <v>91.458030082484228</v>
      </c>
      <c r="O14" s="67">
        <f ca="1">IFERROR(__xludf.DUMMYFUNCTION("IMPORTRANGE(""https://docs.google.com/spreadsheets/d/1-uDff_7J0KD5mKrp0Vvzr7lt3OU09vwQwhkpOPPYv2Y/edit?usp=sharing"",""งบพรบ!EG14"")"),0)</f>
        <v>0</v>
      </c>
      <c r="P14" s="67">
        <f t="shared" ca="1" si="34"/>
        <v>0</v>
      </c>
      <c r="Q14" s="68">
        <f t="shared" ca="1" si="35"/>
        <v>0</v>
      </c>
      <c r="R14" s="197">
        <f ca="1">IFERROR(__xludf.DUMMYFUNCTION("IMPORTRANGE(""https://docs.google.com/spreadsheets/d/1jTcq05yEiRwXcBMLjiodW9e4biSGYWAHcDj22rKWQ3s/edit?usp=sharing"",""กำแพงเพชร!Q303"")"),144609.24)</f>
        <v>144609.24</v>
      </c>
      <c r="S14" s="67">
        <f ca="1">IFERROR(__xludf.DUMMYFUNCTION("IMPORTRANGE(""https://docs.google.com/spreadsheets/d/1jTcq05yEiRwXcBMLjiodW9e4biSGYWAHcDj22rKWQ3s/edit?usp=sharing"",""กำแพงเพชร!R303"")"),148809)</f>
        <v>148809</v>
      </c>
      <c r="T14" s="67">
        <f ca="1">IFERROR(__xludf.DUMMYFUNCTION("IMPORTRANGE(""https://docs.google.com/spreadsheets/d/1jTcq05yEiRwXcBMLjiodW9e4biSGYWAHcDj22rKWQ3s/edit?usp=sharing"",""กำแพงเพชร!S303"")"),108440)</f>
        <v>108440</v>
      </c>
      <c r="U14" s="68">
        <f t="shared" ca="1" si="37"/>
        <v>74.98829258766591</v>
      </c>
      <c r="V14" s="68">
        <f t="shared" ca="1" si="38"/>
        <v>72.871936509216511</v>
      </c>
      <c r="W14" s="278" t="str">
        <f ca="1">IFERROR(__xludf.DUMMYFUNCTION("IMPORTRANGE(""https://docs.google.com/spreadsheets/d/1jTcq05yEiRwXcBMLjiodW9e4biSGYWAHcDj22rKWQ3s/edit?usp=sharing"",""กำแพงเพชร!J313"")"),"")</f>
        <v/>
      </c>
      <c r="X14" s="278">
        <f ca="1">IFERROR(__xludf.DUMMYFUNCTION("IMPORTRANGE(""https://docs.google.com/spreadsheets/d/1jTcq05yEiRwXcBMLjiodW9e4biSGYWAHcDj22rKWQ3s/edit?usp=sharing"",""กำแพงเพชร!I314"")"),20)</f>
        <v>20</v>
      </c>
      <c r="Y14" s="152">
        <f ca="1">IFERROR(__xludf.DUMMYFUNCTION("IMPORTRANGE(""https://docs.google.com/spreadsheets/d/1jTcq05yEiRwXcBMLjiodW9e4biSGYWAHcDj22rKWQ3s/edit?usp=sharing"",""กำแพงเพชร!J314"")"),20)</f>
        <v>20</v>
      </c>
      <c r="Z14" s="216">
        <f t="shared" ca="1" si="40"/>
        <v>100</v>
      </c>
      <c r="AA14" s="278" t="str">
        <f ca="1">IFERROR(__xludf.DUMMYFUNCTION("IMPORTRANGE(""https://docs.google.com/spreadsheets/d/1jTcq05yEiRwXcBMLjiodW9e4biSGYWAHcDj22rKWQ3s/edit?usp=sharing"",""กำแพงเพชร!I315"")"),"")</f>
        <v/>
      </c>
      <c r="AB14" s="152" t="str">
        <f ca="1">IFERROR(__xludf.DUMMYFUNCTION("IMPORTRANGE(""https://docs.google.com/spreadsheets/d/1jTcq05yEiRwXcBMLjiodW9e4biSGYWAHcDj22rKWQ3s/edit?usp=sharing"",""กำแพงเพชร!J315"")"),"")</f>
        <v/>
      </c>
      <c r="AC14" s="216" t="e">
        <f t="shared" ca="1" si="42"/>
        <v>#VALUE!</v>
      </c>
      <c r="AD14" s="278" t="str">
        <f ca="1">IFERROR(__xludf.DUMMYFUNCTION("IMPORTRANGE(""https://docs.google.com/spreadsheets/d/1jTcq05yEiRwXcBMLjiodW9e4biSGYWAHcDj22rKWQ3s/edit?usp=sharing"",""กำแพงเพชร!I316"")"),"")</f>
        <v/>
      </c>
      <c r="AE14" s="152" t="str">
        <f ca="1">IFERROR(__xludf.DUMMYFUNCTION("IMPORTRANGE(""https://docs.google.com/spreadsheets/d/1jTcq05yEiRwXcBMLjiodW9e4biSGYWAHcDj22rKWQ3s/edit?usp=sharing"",""กำแพงเพชร!J316"")"),"")</f>
        <v/>
      </c>
      <c r="AF14" s="216" t="e">
        <f t="shared" ca="1" si="44"/>
        <v>#VALUE!</v>
      </c>
      <c r="AG14" s="278" t="str">
        <f ca="1">IFERROR(__xludf.DUMMYFUNCTION("IMPORTRANGE(""https://docs.google.com/spreadsheets/d/1jTcq05yEiRwXcBMLjiodW9e4biSGYWAHcDj22rKWQ3s/edit?usp=sharing"",""กำแพงเพชร!I317"")"),"")</f>
        <v/>
      </c>
      <c r="AH14" s="152" t="str">
        <f ca="1">IFERROR(__xludf.DUMMYFUNCTION("IMPORTRANGE(""https://docs.google.com/spreadsheets/d/1jTcq05yEiRwXcBMLjiodW9e4biSGYWAHcDj22rKWQ3s/edit?usp=sharing"",""กำแพงเพชร!J317"")"),"")</f>
        <v/>
      </c>
      <c r="AI14" s="216" t="e">
        <f t="shared" ca="1" si="46"/>
        <v>#VALUE!</v>
      </c>
    </row>
    <row r="15" spans="1:35" ht="24" customHeight="1" x14ac:dyDescent="0.3">
      <c r="A15" s="70">
        <v>2</v>
      </c>
      <c r="B15" s="71" t="s">
        <v>43</v>
      </c>
      <c r="C15" s="149">
        <f t="shared" ca="1" si="28"/>
        <v>410500</v>
      </c>
      <c r="D15" s="150">
        <f t="shared" ca="1" si="47"/>
        <v>410500</v>
      </c>
      <c r="E15" s="151">
        <f ca="1">IFERROR(__xludf.DUMMYFUNCTION("IMPORTRANGE(""https://docs.google.com/spreadsheets/d/1-uDff_7J0KD5mKrp0Vvzr7lt3OU09vwQwhkpOPPYv2Y/edit?usp=sharing"",""งบพรบ!DZ15"")"),306600)</f>
        <v>306600</v>
      </c>
      <c r="F15" s="151">
        <f ca="1">IFERROR(__xludf.DUMMYFUNCTION("IMPORTRANGE(""https://docs.google.com/spreadsheets/d/1-uDff_7J0KD5mKrp0Vvzr7lt3OU09vwQwhkpOPPYv2Y/edit?usp=sharing"",""งบพรบ!EA15"")"),103900)</f>
        <v>103900</v>
      </c>
      <c r="G15" s="151">
        <f ca="1">IFERROR(__xludf.DUMMYFUNCTION("IMPORTRANGE(""https://docs.google.com/spreadsheets/d/1-uDff_7J0KD5mKrp0Vvzr7lt3OU09vwQwhkpOPPYv2Y/edit?usp=sharing"",""งบพรบ!EB15"")"),0)</f>
        <v>0</v>
      </c>
      <c r="H15" s="151">
        <f ca="1">IFERROR(__xludf.DUMMYFUNCTION("IMPORTRANGE(""https://docs.google.com/spreadsheets/d/1-uDff_7J0KD5mKrp0Vvzr7lt3OU09vwQwhkpOPPYv2Y/edit?usp=sharing"",""งบพรบ!ED15"")"),410500)</f>
        <v>410500</v>
      </c>
      <c r="I15" s="151">
        <f ca="1">IFERROR(__xludf.DUMMYFUNCTION("IMPORTRANGE(""https://docs.google.com/spreadsheets/d/1-uDff_7J0KD5mKrp0Vvzr7lt3OU09vwQwhkpOPPYv2Y/edit?usp=sharing"",""งบพรบ!EE15"")"),0)</f>
        <v>0</v>
      </c>
      <c r="J15" s="151">
        <f t="shared" ca="1" si="30"/>
        <v>388609.66</v>
      </c>
      <c r="K15" s="154">
        <f t="shared" ca="1" si="31"/>
        <v>94.667395858708886</v>
      </c>
      <c r="L15" s="151">
        <f ca="1">IFERROR(__xludf.DUMMYFUNCTION("IMPORTRANGE(""https://docs.google.com/spreadsheets/d/1-uDff_7J0KD5mKrp0Vvzr7lt3OU09vwQwhkpOPPYv2Y/edit?usp=sharing"",""งบพรบ!EF15"")"),388609.66)</f>
        <v>388609.66</v>
      </c>
      <c r="M15" s="68">
        <f t="shared" ca="1" si="32"/>
        <v>94.667395858708886</v>
      </c>
      <c r="N15" s="68">
        <f t="shared" ca="1" si="33"/>
        <v>94.667395858708886</v>
      </c>
      <c r="O15" s="67">
        <f ca="1">IFERROR(__xludf.DUMMYFUNCTION("IMPORTRANGE(""https://docs.google.com/spreadsheets/d/1-uDff_7J0KD5mKrp0Vvzr7lt3OU09vwQwhkpOPPYv2Y/edit?usp=sharing"",""งบพรบ!EG15"")"),0)</f>
        <v>0</v>
      </c>
      <c r="P15" s="67">
        <f t="shared" ca="1" si="34"/>
        <v>0</v>
      </c>
      <c r="Q15" s="68">
        <f t="shared" ca="1" si="35"/>
        <v>0</v>
      </c>
      <c r="R15" s="197">
        <f ca="1">IFERROR(__xludf.DUMMYFUNCTION("IMPORTRANGE(""https://docs.google.com/spreadsheets/d/1KS0zmDSZPk8KnTAbGN-Xk6MtX1YRZD0ldgdt20K4CRk/edit?usp=sharing"",""เชียงราย!Q303"")"),144609.24)</f>
        <v>144609.24</v>
      </c>
      <c r="S15" s="67">
        <f ca="1">IFERROR(__xludf.DUMMYFUNCTION("IMPORTRANGE(""https://docs.google.com/spreadsheets/d/1KS0zmDSZPk8KnTAbGN-Xk6MtX1YRZD0ldgdt20K4CRk/edit?usp=sharing"",""เชียงราย!R303"")"),148809)</f>
        <v>148809</v>
      </c>
      <c r="T15" s="67">
        <f ca="1">IFERROR(__xludf.DUMMYFUNCTION("IMPORTRANGE(""https://docs.google.com/spreadsheets/d/1KS0zmDSZPk8KnTAbGN-Xk6MtX1YRZD0ldgdt20K4CRk/edit?usp=sharing"",""เชียงราย!S303"")"),113129)</f>
        <v>113129</v>
      </c>
      <c r="U15" s="68">
        <f t="shared" ca="1" si="37"/>
        <v>78.230823977776254</v>
      </c>
      <c r="V15" s="68">
        <f t="shared" ca="1" si="38"/>
        <v>76.022955600803712</v>
      </c>
      <c r="W15" s="278" t="str">
        <f ca="1">IFERROR(__xludf.DUMMYFUNCTION("IMPORTRANGE(""https://docs.google.com/spreadsheets/d/1KS0zmDSZPk8KnTAbGN-Xk6MtX1YRZD0ldgdt20K4CRk/edit?usp=sharing"",""เชียงราย!J313"")"),"")</f>
        <v/>
      </c>
      <c r="X15" s="278">
        <f ca="1">IFERROR(__xludf.DUMMYFUNCTION("IMPORTRANGE(""https://docs.google.com/spreadsheets/d/1KS0zmDSZPk8KnTAbGN-Xk6MtX1YRZD0ldgdt20K4CRk/edit?usp=sharing"",""เชียงราย!I314"")"),20)</f>
        <v>20</v>
      </c>
      <c r="Y15" s="152">
        <f ca="1">IFERROR(__xludf.DUMMYFUNCTION("IMPORTRANGE(""https://docs.google.com/spreadsheets/d/1KS0zmDSZPk8KnTAbGN-Xk6MtX1YRZD0ldgdt20K4CRk/edit?usp=sharing"",""เชียงราย!J314"")"),20)</f>
        <v>20</v>
      </c>
      <c r="Z15" s="216">
        <f t="shared" ca="1" si="40"/>
        <v>100</v>
      </c>
      <c r="AA15" s="278" t="str">
        <f ca="1">IFERROR(__xludf.DUMMYFUNCTION("IMPORTRANGE(""https://docs.google.com/spreadsheets/d/1KS0zmDSZPk8KnTAbGN-Xk6MtX1YRZD0ldgdt20K4CRk/edit?usp=sharing"",""เชียงราย!I315"")"),"")</f>
        <v/>
      </c>
      <c r="AB15" s="152" t="str">
        <f ca="1">IFERROR(__xludf.DUMMYFUNCTION("IMPORTRANGE(""https://docs.google.com/spreadsheets/d/1KS0zmDSZPk8KnTAbGN-Xk6MtX1YRZD0ldgdt20K4CRk/edit?usp=sharing"",""เชียงราย!J315"")"),"")</f>
        <v/>
      </c>
      <c r="AC15" s="216" t="e">
        <f t="shared" ca="1" si="42"/>
        <v>#VALUE!</v>
      </c>
      <c r="AD15" s="278" t="str">
        <f ca="1">IFERROR(__xludf.DUMMYFUNCTION("IMPORTRANGE(""https://docs.google.com/spreadsheets/d/1KS0zmDSZPk8KnTAbGN-Xk6MtX1YRZD0ldgdt20K4CRk/edit?usp=sharing"",""เชียงราย!I316"")"),"")</f>
        <v/>
      </c>
      <c r="AE15" s="152" t="str">
        <f ca="1">IFERROR(__xludf.DUMMYFUNCTION("IMPORTRANGE(""https://docs.google.com/spreadsheets/d/1KS0zmDSZPk8KnTAbGN-Xk6MtX1YRZD0ldgdt20K4CRk/edit?usp=sharing"",""เชียงราย!J316"")"),"")</f>
        <v/>
      </c>
      <c r="AF15" s="216" t="e">
        <f t="shared" ca="1" si="44"/>
        <v>#VALUE!</v>
      </c>
      <c r="AG15" s="278" t="str">
        <f ca="1">IFERROR(__xludf.DUMMYFUNCTION("IMPORTRANGE(""https://docs.google.com/spreadsheets/d/1KS0zmDSZPk8KnTAbGN-Xk6MtX1YRZD0ldgdt20K4CRk/edit?usp=sharing"",""เชียงราย!I317"")"),"")</f>
        <v/>
      </c>
      <c r="AH15" s="152" t="str">
        <f ca="1">IFERROR(__xludf.DUMMYFUNCTION("IMPORTRANGE(""https://docs.google.com/spreadsheets/d/1KS0zmDSZPk8KnTAbGN-Xk6MtX1YRZD0ldgdt20K4CRk/edit?usp=sharing"",""เชียงราย!J317"")"),"")</f>
        <v/>
      </c>
      <c r="AI15" s="216" t="e">
        <f t="shared" ca="1" si="46"/>
        <v>#VALUE!</v>
      </c>
    </row>
    <row r="16" spans="1:35" ht="24" customHeight="1" x14ac:dyDescent="0.3">
      <c r="A16" s="70">
        <v>3</v>
      </c>
      <c r="B16" s="71" t="s">
        <v>44</v>
      </c>
      <c r="C16" s="149">
        <f t="shared" ca="1" si="28"/>
        <v>344800</v>
      </c>
      <c r="D16" s="150">
        <f t="shared" ca="1" si="47"/>
        <v>344800</v>
      </c>
      <c r="E16" s="151">
        <f ca="1">IFERROR(__xludf.DUMMYFUNCTION("IMPORTRANGE(""https://docs.google.com/spreadsheets/d/1-uDff_7J0KD5mKrp0Vvzr7lt3OU09vwQwhkpOPPYv2Y/edit?usp=sharing"",""งบพรบ!DZ16"")"),240900)</f>
        <v>240900</v>
      </c>
      <c r="F16" s="151">
        <f ca="1">IFERROR(__xludf.DUMMYFUNCTION("IMPORTRANGE(""https://docs.google.com/spreadsheets/d/1-uDff_7J0KD5mKrp0Vvzr7lt3OU09vwQwhkpOPPYv2Y/edit?usp=sharing"",""งบพรบ!EA16"")"),103900)</f>
        <v>103900</v>
      </c>
      <c r="G16" s="151">
        <f ca="1">IFERROR(__xludf.DUMMYFUNCTION("IMPORTRANGE(""https://docs.google.com/spreadsheets/d/1-uDff_7J0KD5mKrp0Vvzr7lt3OU09vwQwhkpOPPYv2Y/edit?usp=sharing"",""งบพรบ!EB16"")"),0)</f>
        <v>0</v>
      </c>
      <c r="H16" s="151">
        <f ca="1">IFERROR(__xludf.DUMMYFUNCTION("IMPORTRANGE(""https://docs.google.com/spreadsheets/d/1-uDff_7J0KD5mKrp0Vvzr7lt3OU09vwQwhkpOPPYv2Y/edit?usp=sharing"",""งบพรบ!ED16"")"),344800)</f>
        <v>344800</v>
      </c>
      <c r="I16" s="151">
        <f ca="1">IFERROR(__xludf.DUMMYFUNCTION("IMPORTRANGE(""https://docs.google.com/spreadsheets/d/1-uDff_7J0KD5mKrp0Vvzr7lt3OU09vwQwhkpOPPYv2Y/edit?usp=sharing"",""งบพรบ!EE16"")"),0)</f>
        <v>0</v>
      </c>
      <c r="J16" s="151">
        <f t="shared" ca="1" si="30"/>
        <v>280750.03000000003</v>
      </c>
      <c r="K16" s="154">
        <f t="shared" ca="1" si="31"/>
        <v>81.424022621809755</v>
      </c>
      <c r="L16" s="151">
        <f ca="1">IFERROR(__xludf.DUMMYFUNCTION("IMPORTRANGE(""https://docs.google.com/spreadsheets/d/1-uDff_7J0KD5mKrp0Vvzr7lt3OU09vwQwhkpOPPYv2Y/edit?usp=sharing"",""งบพรบ!EF16"")"),280750.03)</f>
        <v>280750.03000000003</v>
      </c>
      <c r="M16" s="68">
        <f t="shared" ca="1" si="32"/>
        <v>81.424022621809755</v>
      </c>
      <c r="N16" s="68">
        <f t="shared" ca="1" si="33"/>
        <v>81.424022621809755</v>
      </c>
      <c r="O16" s="67">
        <f ca="1">IFERROR(__xludf.DUMMYFUNCTION("IMPORTRANGE(""https://docs.google.com/spreadsheets/d/1-uDff_7J0KD5mKrp0Vvzr7lt3OU09vwQwhkpOPPYv2Y/edit?usp=sharing"",""งบพรบ!EG16"")"),0)</f>
        <v>0</v>
      </c>
      <c r="P16" s="67">
        <f t="shared" ca="1" si="34"/>
        <v>0</v>
      </c>
      <c r="Q16" s="68">
        <f t="shared" ca="1" si="35"/>
        <v>0</v>
      </c>
      <c r="R16" s="197">
        <f ca="1">IFERROR(__xludf.DUMMYFUNCTION("IMPORTRANGE(""https://docs.google.com/spreadsheets/d/1rEDxBtusbi64tE0zunoIbsTVV16HeL0oJ6trHQeQ7K8/edit?usp=sharing"",""เชียงใหม่!Q303"")"),144609.24)</f>
        <v>144609.24</v>
      </c>
      <c r="S16" s="67">
        <f ca="1">IFERROR(__xludf.DUMMYFUNCTION("IMPORTRANGE(""https://docs.google.com/spreadsheets/d/1rEDxBtusbi64tE0zunoIbsTVV16HeL0oJ6trHQeQ7K8/edit?usp=sharing"",""เชียงใหม่!R303"")"),148809)</f>
        <v>148809</v>
      </c>
      <c r="T16" s="67">
        <f ca="1">IFERROR(__xludf.DUMMYFUNCTION("IMPORTRANGE(""https://docs.google.com/spreadsheets/d/1rEDxBtusbi64tE0zunoIbsTVV16HeL0oJ6trHQeQ7K8/edit?usp=sharing"",""เชียงใหม่!S303"")"),116108)</f>
        <v>116108</v>
      </c>
      <c r="U16" s="68">
        <f t="shared" ca="1" si="37"/>
        <v>80.290858315831002</v>
      </c>
      <c r="V16" s="68">
        <f t="shared" ca="1" si="38"/>
        <v>78.024850647474281</v>
      </c>
      <c r="W16" s="278" t="str">
        <f ca="1">IFERROR(__xludf.DUMMYFUNCTION("IMPORTRANGE(""https://docs.google.com/spreadsheets/d/1rEDxBtusbi64tE0zunoIbsTVV16HeL0oJ6trHQeQ7K8/edit?usp=sharing"",""เชียงใหม่!J313"")"),"")</f>
        <v/>
      </c>
      <c r="X16" s="278">
        <f ca="1">IFERROR(__xludf.DUMMYFUNCTION("IMPORTRANGE(""https://docs.google.com/spreadsheets/d/1rEDxBtusbi64tE0zunoIbsTVV16HeL0oJ6trHQeQ7K8/edit?usp=sharing"",""เชียงใหม่!I314"")"),20)</f>
        <v>20</v>
      </c>
      <c r="Y16" s="152">
        <f ca="1">IFERROR(__xludf.DUMMYFUNCTION("IMPORTRANGE(""https://docs.google.com/spreadsheets/d/1rEDxBtusbi64tE0zunoIbsTVV16HeL0oJ6trHQeQ7K8/edit?usp=sharing"",""เชียงใหม่!J314"")"),20)</f>
        <v>20</v>
      </c>
      <c r="Z16" s="216">
        <f t="shared" ca="1" si="40"/>
        <v>100</v>
      </c>
      <c r="AA16" s="278" t="str">
        <f ca="1">IFERROR(__xludf.DUMMYFUNCTION("IMPORTRANGE(""https://docs.google.com/spreadsheets/d/1rEDxBtusbi64tE0zunoIbsTVV16HeL0oJ6trHQeQ7K8/edit?usp=sharing"",""เชียงใหม่!I315"")"),"")</f>
        <v/>
      </c>
      <c r="AB16" s="152" t="str">
        <f ca="1">IFERROR(__xludf.DUMMYFUNCTION("IMPORTRANGE(""https://docs.google.com/spreadsheets/d/1rEDxBtusbi64tE0zunoIbsTVV16HeL0oJ6trHQeQ7K8/edit?usp=sharing"",""เชียงใหม่!J315"")"),"")</f>
        <v/>
      </c>
      <c r="AC16" s="216" t="e">
        <f t="shared" ca="1" si="42"/>
        <v>#VALUE!</v>
      </c>
      <c r="AD16" s="278" t="str">
        <f ca="1">IFERROR(__xludf.DUMMYFUNCTION("IMPORTRANGE(""https://docs.google.com/spreadsheets/d/1rEDxBtusbi64tE0zunoIbsTVV16HeL0oJ6trHQeQ7K8/edit?usp=sharing"",""เชียงใหม่!I316"")"),"")</f>
        <v/>
      </c>
      <c r="AE16" s="152" t="str">
        <f ca="1">IFERROR(__xludf.DUMMYFUNCTION("IMPORTRANGE(""https://docs.google.com/spreadsheets/d/1rEDxBtusbi64tE0zunoIbsTVV16HeL0oJ6trHQeQ7K8/edit?usp=sharing"",""เชียงใหม่!J316"")"),"")</f>
        <v/>
      </c>
      <c r="AF16" s="216" t="e">
        <f t="shared" ca="1" si="44"/>
        <v>#VALUE!</v>
      </c>
      <c r="AG16" s="278" t="str">
        <f ca="1">IFERROR(__xludf.DUMMYFUNCTION("IMPORTRANGE(""https://docs.google.com/spreadsheets/d/1rEDxBtusbi64tE0zunoIbsTVV16HeL0oJ6trHQeQ7K8/edit?usp=sharing"",""เชียงใหม่!I317"")"),"")</f>
        <v/>
      </c>
      <c r="AH16" s="152" t="str">
        <f ca="1">IFERROR(__xludf.DUMMYFUNCTION("IMPORTRANGE(""https://docs.google.com/spreadsheets/d/1rEDxBtusbi64tE0zunoIbsTVV16HeL0oJ6trHQeQ7K8/edit?usp=sharing"",""เชียงใหม่!J317"")"),"")</f>
        <v/>
      </c>
      <c r="AI16" s="216" t="e">
        <f t="shared" ca="1" si="46"/>
        <v>#VALUE!</v>
      </c>
    </row>
    <row r="17" spans="1:35" ht="24" customHeight="1" x14ac:dyDescent="0.3">
      <c r="A17" s="70">
        <v>4</v>
      </c>
      <c r="B17" s="71" t="s">
        <v>45</v>
      </c>
      <c r="C17" s="149">
        <f t="shared" ca="1" si="28"/>
        <v>155000</v>
      </c>
      <c r="D17" s="150">
        <f t="shared" ca="1" si="47"/>
        <v>155000</v>
      </c>
      <c r="E17" s="151">
        <f ca="1">IFERROR(__xludf.DUMMYFUNCTION("IMPORTRANGE(""https://docs.google.com/spreadsheets/d/1-uDff_7J0KD5mKrp0Vvzr7lt3OU09vwQwhkpOPPYv2Y/edit?usp=sharing"",""งบพรบ!DZ17"")"),51100)</f>
        <v>51100</v>
      </c>
      <c r="F17" s="151">
        <f ca="1">IFERROR(__xludf.DUMMYFUNCTION("IMPORTRANGE(""https://docs.google.com/spreadsheets/d/1-uDff_7J0KD5mKrp0Vvzr7lt3OU09vwQwhkpOPPYv2Y/edit?usp=sharing"",""งบพรบ!EA17"")"),103900)</f>
        <v>103900</v>
      </c>
      <c r="G17" s="151">
        <f ca="1">IFERROR(__xludf.DUMMYFUNCTION("IMPORTRANGE(""https://docs.google.com/spreadsheets/d/1-uDff_7J0KD5mKrp0Vvzr7lt3OU09vwQwhkpOPPYv2Y/edit?usp=sharing"",""งบพรบ!EB17"")"),0)</f>
        <v>0</v>
      </c>
      <c r="H17" s="151">
        <f ca="1">IFERROR(__xludf.DUMMYFUNCTION("IMPORTRANGE(""https://docs.google.com/spreadsheets/d/1-uDff_7J0KD5mKrp0Vvzr7lt3OU09vwQwhkpOPPYv2Y/edit?usp=sharing"",""งบพรบ!ED17"")"),155000)</f>
        <v>155000</v>
      </c>
      <c r="I17" s="151">
        <f ca="1">IFERROR(__xludf.DUMMYFUNCTION("IMPORTRANGE(""https://docs.google.com/spreadsheets/d/1-uDff_7J0KD5mKrp0Vvzr7lt3OU09vwQwhkpOPPYv2Y/edit?usp=sharing"",""งบพรบ!EE17"")"),0)</f>
        <v>0</v>
      </c>
      <c r="J17" s="151">
        <f t="shared" ca="1" si="30"/>
        <v>130263</v>
      </c>
      <c r="K17" s="154">
        <f t="shared" ca="1" si="31"/>
        <v>84.040645161290328</v>
      </c>
      <c r="L17" s="151">
        <f ca="1">IFERROR(__xludf.DUMMYFUNCTION("IMPORTRANGE(""https://docs.google.com/spreadsheets/d/1-uDff_7J0KD5mKrp0Vvzr7lt3OU09vwQwhkpOPPYv2Y/edit?usp=sharing"",""งบพรบ!EF17"")"),130263)</f>
        <v>130263</v>
      </c>
      <c r="M17" s="68">
        <f t="shared" ca="1" si="32"/>
        <v>84.040645161290328</v>
      </c>
      <c r="N17" s="68">
        <f t="shared" ca="1" si="33"/>
        <v>84.040645161290328</v>
      </c>
      <c r="O17" s="67">
        <f ca="1">IFERROR(__xludf.DUMMYFUNCTION("IMPORTRANGE(""https://docs.google.com/spreadsheets/d/1-uDff_7J0KD5mKrp0Vvzr7lt3OU09vwQwhkpOPPYv2Y/edit?usp=sharing"",""งบพรบ!EG17"")"),0)</f>
        <v>0</v>
      </c>
      <c r="P17" s="67">
        <f t="shared" ca="1" si="34"/>
        <v>0</v>
      </c>
      <c r="Q17" s="68">
        <f t="shared" ca="1" si="35"/>
        <v>0</v>
      </c>
      <c r="R17" s="197">
        <f ca="1">IFERROR(__xludf.DUMMYFUNCTION("IMPORTRANGE(""https://docs.google.com/spreadsheets/d/1W6MnUbDkMi6xHnHko_XkFDO9kkuL6Wqyc-6OCDFjW9I/edit?usp=sharing"",""ตาก!Q303"")"),144609.24)</f>
        <v>144609.24</v>
      </c>
      <c r="S17" s="67">
        <f ca="1">IFERROR(__xludf.DUMMYFUNCTION("IMPORTRANGE(""https://docs.google.com/spreadsheets/d/1W6MnUbDkMi6xHnHko_XkFDO9kkuL6Wqyc-6OCDFjW9I/edit?usp=sharing"",""ตาก!R303"")"),148809)</f>
        <v>148809</v>
      </c>
      <c r="T17" s="67">
        <f ca="1">IFERROR(__xludf.DUMMYFUNCTION("IMPORTRANGE(""https://docs.google.com/spreadsheets/d/1W6MnUbDkMi6xHnHko_XkFDO9kkuL6Wqyc-6OCDFjW9I/edit?usp=sharing"",""ตาก!S303"")"),72650)</f>
        <v>72650</v>
      </c>
      <c r="U17" s="68">
        <f t="shared" ca="1" si="37"/>
        <v>50.238836743765475</v>
      </c>
      <c r="V17" s="68">
        <f t="shared" ca="1" si="38"/>
        <v>48.820971849820914</v>
      </c>
      <c r="W17" s="278" t="str">
        <f ca="1">IFERROR(__xludf.DUMMYFUNCTION("IMPORTRANGE(""https://docs.google.com/spreadsheets/d/1W6MnUbDkMi6xHnHko_XkFDO9kkuL6Wqyc-6OCDFjW9I/edit?usp=sharing"",""ตาก!J313"")"),"")</f>
        <v/>
      </c>
      <c r="X17" s="278">
        <f ca="1">IFERROR(__xludf.DUMMYFUNCTION("IMPORTRANGE(""https://docs.google.com/spreadsheets/d/1W6MnUbDkMi6xHnHko_XkFDO9kkuL6Wqyc-6OCDFjW9I/edit?usp=sharing"",""ตาก!I314"")"),20)</f>
        <v>20</v>
      </c>
      <c r="Y17" s="152">
        <f ca="1">IFERROR(__xludf.DUMMYFUNCTION("IMPORTRANGE(""https://docs.google.com/spreadsheets/d/1W6MnUbDkMi6xHnHko_XkFDO9kkuL6Wqyc-6OCDFjW9I/edit?usp=sharing"",""ตาก!J314"")"),20)</f>
        <v>20</v>
      </c>
      <c r="Z17" s="216">
        <f t="shared" ca="1" si="40"/>
        <v>100</v>
      </c>
      <c r="AA17" s="278" t="str">
        <f ca="1">IFERROR(__xludf.DUMMYFUNCTION("IMPORTRANGE(""https://docs.google.com/spreadsheets/d/1W6MnUbDkMi6xHnHko_XkFDO9kkuL6Wqyc-6OCDFjW9I/edit?usp=sharing"",""ตาก!I315"")"),"")</f>
        <v/>
      </c>
      <c r="AB17" s="152" t="str">
        <f ca="1">IFERROR(__xludf.DUMMYFUNCTION("IMPORTRANGE(""https://docs.google.com/spreadsheets/d/1W6MnUbDkMi6xHnHko_XkFDO9kkuL6Wqyc-6OCDFjW9I/edit?usp=sharing"",""ตาก!J315"")"),"")</f>
        <v/>
      </c>
      <c r="AC17" s="216" t="e">
        <f t="shared" ca="1" si="42"/>
        <v>#VALUE!</v>
      </c>
      <c r="AD17" s="278" t="str">
        <f ca="1">IFERROR(__xludf.DUMMYFUNCTION("IMPORTRANGE(""https://docs.google.com/spreadsheets/d/1W6MnUbDkMi6xHnHko_XkFDO9kkuL6Wqyc-6OCDFjW9I/edit?usp=sharing"",""ตาก!I316"")"),"")</f>
        <v/>
      </c>
      <c r="AE17" s="152" t="str">
        <f ca="1">IFERROR(__xludf.DUMMYFUNCTION("IMPORTRANGE(""https://docs.google.com/spreadsheets/d/1W6MnUbDkMi6xHnHko_XkFDO9kkuL6Wqyc-6OCDFjW9I/edit?usp=sharing"",""ตาก!J316"")"),"")</f>
        <v/>
      </c>
      <c r="AF17" s="216" t="e">
        <f t="shared" ca="1" si="44"/>
        <v>#VALUE!</v>
      </c>
      <c r="AG17" s="278" t="str">
        <f ca="1">IFERROR(__xludf.DUMMYFUNCTION("IMPORTRANGE(""https://docs.google.com/spreadsheets/d/1W6MnUbDkMi6xHnHko_XkFDO9kkuL6Wqyc-6OCDFjW9I/edit?usp=sharing"",""ตาก!I317"")"),"")</f>
        <v/>
      </c>
      <c r="AH17" s="152" t="str">
        <f ca="1">IFERROR(__xludf.DUMMYFUNCTION("IMPORTRANGE(""https://docs.google.com/spreadsheets/d/1W6MnUbDkMi6xHnHko_XkFDO9kkuL6Wqyc-6OCDFjW9I/edit?usp=sharing"",""ตาก!J317"")"),"")</f>
        <v/>
      </c>
      <c r="AI17" s="216" t="e">
        <f t="shared" ca="1" si="46"/>
        <v>#VALUE!</v>
      </c>
    </row>
    <row r="18" spans="1:35" ht="24" customHeight="1" x14ac:dyDescent="0.3">
      <c r="A18" s="70">
        <v>5</v>
      </c>
      <c r="B18" s="71" t="s">
        <v>46</v>
      </c>
      <c r="C18" s="149">
        <f t="shared" ca="1" si="28"/>
        <v>176600</v>
      </c>
      <c r="D18" s="150">
        <f t="shared" ca="1" si="47"/>
        <v>176600</v>
      </c>
      <c r="E18" s="151">
        <f ca="1">IFERROR(__xludf.DUMMYFUNCTION("IMPORTRANGE(""https://docs.google.com/spreadsheets/d/1-uDff_7J0KD5mKrp0Vvzr7lt3OU09vwQwhkpOPPYv2Y/edit?usp=sharing"",""งบพรบ!DZ18"")"),51100)</f>
        <v>51100</v>
      </c>
      <c r="F18" s="151">
        <f ca="1">IFERROR(__xludf.DUMMYFUNCTION("IMPORTRANGE(""https://docs.google.com/spreadsheets/d/1-uDff_7J0KD5mKrp0Vvzr7lt3OU09vwQwhkpOPPYv2Y/edit?usp=sharing"",""งบพรบ!EA18"")"),125500)</f>
        <v>125500</v>
      </c>
      <c r="G18" s="151">
        <f ca="1">IFERROR(__xludf.DUMMYFUNCTION("IMPORTRANGE(""https://docs.google.com/spreadsheets/d/1-uDff_7J0KD5mKrp0Vvzr7lt3OU09vwQwhkpOPPYv2Y/edit?usp=sharing"",""งบพรบ!EB18"")"),0)</f>
        <v>0</v>
      </c>
      <c r="H18" s="151">
        <f ca="1">IFERROR(__xludf.DUMMYFUNCTION("IMPORTRANGE(""https://docs.google.com/spreadsheets/d/1-uDff_7J0KD5mKrp0Vvzr7lt3OU09vwQwhkpOPPYv2Y/edit?usp=sharing"",""งบพรบ!ED18"")"),176600)</f>
        <v>176600</v>
      </c>
      <c r="I18" s="151">
        <f ca="1">IFERROR(__xludf.DUMMYFUNCTION("IMPORTRANGE(""https://docs.google.com/spreadsheets/d/1-uDff_7J0KD5mKrp0Vvzr7lt3OU09vwQwhkpOPPYv2Y/edit?usp=sharing"",""งบพรบ!EE18"")"),0)</f>
        <v>0</v>
      </c>
      <c r="J18" s="151">
        <f t="shared" ca="1" si="30"/>
        <v>176600</v>
      </c>
      <c r="K18" s="154">
        <f t="shared" ca="1" si="31"/>
        <v>100</v>
      </c>
      <c r="L18" s="151">
        <f ca="1">IFERROR(__xludf.DUMMYFUNCTION("IMPORTRANGE(""https://docs.google.com/spreadsheets/d/1-uDff_7J0KD5mKrp0Vvzr7lt3OU09vwQwhkpOPPYv2Y/edit?usp=sharing"",""งบพรบ!EF18"")"),176600)</f>
        <v>176600</v>
      </c>
      <c r="M18" s="68">
        <f t="shared" ca="1" si="32"/>
        <v>100</v>
      </c>
      <c r="N18" s="68">
        <f t="shared" ca="1" si="33"/>
        <v>100</v>
      </c>
      <c r="O18" s="67">
        <f ca="1">IFERROR(__xludf.DUMMYFUNCTION("IMPORTRANGE(""https://docs.google.com/spreadsheets/d/1-uDff_7J0KD5mKrp0Vvzr7lt3OU09vwQwhkpOPPYv2Y/edit?usp=sharing"",""งบพรบ!EG18"")"),0)</f>
        <v>0</v>
      </c>
      <c r="P18" s="67">
        <f t="shared" ca="1" si="34"/>
        <v>0</v>
      </c>
      <c r="Q18" s="68">
        <f t="shared" ca="1" si="35"/>
        <v>0</v>
      </c>
      <c r="R18" s="197">
        <f ca="1">IFERROR(__xludf.DUMMYFUNCTION("IMPORTRANGE(""https://docs.google.com/spreadsheets/d/1IQAWArduLkta9LpYo4a_ULsyqdta6-6aDDiwpUnQT6c/edit?usp=sharing"",""นครสวรรค์!Q303"")"),166057.24)</f>
        <v>166057.24</v>
      </c>
      <c r="S18" s="67">
        <f ca="1">IFERROR(__xludf.DUMMYFUNCTION("IMPORTRANGE(""https://docs.google.com/spreadsheets/d/1IQAWArduLkta9LpYo4a_ULsyqdta6-6aDDiwpUnQT6c/edit?usp=sharing"",""นครสวรรค์!R303"")"),170257)</f>
        <v>170257</v>
      </c>
      <c r="T18" s="67">
        <f ca="1">IFERROR(__xludf.DUMMYFUNCTION("IMPORTRANGE(""https://docs.google.com/spreadsheets/d/1IQAWArduLkta9LpYo4a_ULsyqdta6-6aDDiwpUnQT6c/edit?usp=sharing"",""นครสวรรค์!S303"")"),0)</f>
        <v>0</v>
      </c>
      <c r="U18" s="68">
        <f t="shared" ca="1" si="37"/>
        <v>0</v>
      </c>
      <c r="V18" s="68">
        <f t="shared" ca="1" si="38"/>
        <v>0</v>
      </c>
      <c r="W18" s="278" t="str">
        <f ca="1">IFERROR(__xludf.DUMMYFUNCTION("IMPORTRANGE(""https://docs.google.com/spreadsheets/d/1IQAWArduLkta9LpYo4a_ULsyqdta6-6aDDiwpUnQT6c/edit?usp=sharing"",""นครสวรรค์!J313"")"),"")</f>
        <v/>
      </c>
      <c r="X18" s="278">
        <f ca="1">IFERROR(__xludf.DUMMYFUNCTION("IMPORTRANGE(""https://docs.google.com/spreadsheets/d/1IQAWArduLkta9LpYo4a_ULsyqdta6-6aDDiwpUnQT6c/edit?usp=sharing"",""นครสวรรค์!I314"")"),25)</f>
        <v>25</v>
      </c>
      <c r="Y18" s="152">
        <f ca="1">IFERROR(__xludf.DUMMYFUNCTION("IMPORTRANGE(""https://docs.google.com/spreadsheets/d/1IQAWArduLkta9LpYo4a_ULsyqdta6-6aDDiwpUnQT6c/edit?usp=sharing"",""นครสวรรค์!J314"")"),25)</f>
        <v>25</v>
      </c>
      <c r="Z18" s="216">
        <f t="shared" ca="1" si="40"/>
        <v>100</v>
      </c>
      <c r="AA18" s="278" t="str">
        <f ca="1">IFERROR(__xludf.DUMMYFUNCTION("IMPORTRANGE(""https://docs.google.com/spreadsheets/d/1IQAWArduLkta9LpYo4a_ULsyqdta6-6aDDiwpUnQT6c/edit?usp=sharing"",""นครสวรรค์!I315"")"),"")</f>
        <v/>
      </c>
      <c r="AB18" s="152" t="str">
        <f ca="1">IFERROR(__xludf.DUMMYFUNCTION("IMPORTRANGE(""https://docs.google.com/spreadsheets/d/1IQAWArduLkta9LpYo4a_ULsyqdta6-6aDDiwpUnQT6c/edit?usp=sharing"",""นครสวรรค์!J315"")"),"")</f>
        <v/>
      </c>
      <c r="AC18" s="216" t="e">
        <f t="shared" ca="1" si="42"/>
        <v>#VALUE!</v>
      </c>
      <c r="AD18" s="278" t="str">
        <f ca="1">IFERROR(__xludf.DUMMYFUNCTION("IMPORTRANGE(""https://docs.google.com/spreadsheets/d/1IQAWArduLkta9LpYo4a_ULsyqdta6-6aDDiwpUnQT6c/edit?usp=sharing"",""นครสวรรค์!I316"")"),"")</f>
        <v/>
      </c>
      <c r="AE18" s="152" t="str">
        <f ca="1">IFERROR(__xludf.DUMMYFUNCTION("IMPORTRANGE(""https://docs.google.com/spreadsheets/d/1IQAWArduLkta9LpYo4a_ULsyqdta6-6aDDiwpUnQT6c/edit?usp=sharing"",""นครสวรรค์!J316"")"),"")</f>
        <v/>
      </c>
      <c r="AF18" s="216" t="e">
        <f t="shared" ca="1" si="44"/>
        <v>#VALUE!</v>
      </c>
      <c r="AG18" s="278" t="str">
        <f ca="1">IFERROR(__xludf.DUMMYFUNCTION("IMPORTRANGE(""https://docs.google.com/spreadsheets/d/1IQAWArduLkta9LpYo4a_ULsyqdta6-6aDDiwpUnQT6c/edit?usp=sharing"",""นครสวรรค์!I317"")"),"")</f>
        <v/>
      </c>
      <c r="AH18" s="152" t="str">
        <f ca="1">IFERROR(__xludf.DUMMYFUNCTION("IMPORTRANGE(""https://docs.google.com/spreadsheets/d/1IQAWArduLkta9LpYo4a_ULsyqdta6-6aDDiwpUnQT6c/edit?usp=sharing"",""นครสวรรค์!J317"")"),"")</f>
        <v/>
      </c>
      <c r="AI18" s="216" t="e">
        <f t="shared" ca="1" si="46"/>
        <v>#VALUE!</v>
      </c>
    </row>
    <row r="19" spans="1:35" ht="24" customHeight="1" x14ac:dyDescent="0.3">
      <c r="A19" s="70">
        <v>6</v>
      </c>
      <c r="B19" s="71" t="s">
        <v>47</v>
      </c>
      <c r="C19" s="149">
        <f t="shared" ca="1" si="28"/>
        <v>0</v>
      </c>
      <c r="D19" s="150">
        <f t="shared" ca="1" si="47"/>
        <v>0</v>
      </c>
      <c r="E19" s="151">
        <f ca="1">IFERROR(__xludf.DUMMYFUNCTION("IMPORTRANGE(""https://docs.google.com/spreadsheets/d/1-uDff_7J0KD5mKrp0Vvzr7lt3OU09vwQwhkpOPPYv2Y/edit?usp=sharing"",""งบพรบ!DZ19"")"),0)</f>
        <v>0</v>
      </c>
      <c r="F19" s="151">
        <f ca="1">IFERROR(__xludf.DUMMYFUNCTION("IMPORTRANGE(""https://docs.google.com/spreadsheets/d/1-uDff_7J0KD5mKrp0Vvzr7lt3OU09vwQwhkpOPPYv2Y/edit?usp=sharing"",""งบพรบ!EA19"")"),0)</f>
        <v>0</v>
      </c>
      <c r="G19" s="151">
        <f ca="1">IFERROR(__xludf.DUMMYFUNCTION("IMPORTRANGE(""https://docs.google.com/spreadsheets/d/1-uDff_7J0KD5mKrp0Vvzr7lt3OU09vwQwhkpOPPYv2Y/edit?usp=sharing"",""งบพรบ!EB19"")"),0)</f>
        <v>0</v>
      </c>
      <c r="H19" s="151">
        <f ca="1">IFERROR(__xludf.DUMMYFUNCTION("IMPORTRANGE(""https://docs.google.com/spreadsheets/d/1-uDff_7J0KD5mKrp0Vvzr7lt3OU09vwQwhkpOPPYv2Y/edit?usp=sharing"",""งบพรบ!ED19"")"),0)</f>
        <v>0</v>
      </c>
      <c r="I19" s="151">
        <f ca="1">IFERROR(__xludf.DUMMYFUNCTION("IMPORTRANGE(""https://docs.google.com/spreadsheets/d/1-uDff_7J0KD5mKrp0Vvzr7lt3OU09vwQwhkpOPPYv2Y/edit?usp=sharing"",""งบพรบ!EE19"")"),0)</f>
        <v>0</v>
      </c>
      <c r="J19" s="151">
        <f t="shared" ca="1" si="30"/>
        <v>0</v>
      </c>
      <c r="K19" s="154">
        <f t="shared" ca="1" si="31"/>
        <v>0</v>
      </c>
      <c r="L19" s="151">
        <f ca="1">IFERROR(__xludf.DUMMYFUNCTION("IMPORTRANGE(""https://docs.google.com/spreadsheets/d/1-uDff_7J0KD5mKrp0Vvzr7lt3OU09vwQwhkpOPPYv2Y/edit?usp=sharing"",""งบพรบ!EF19"")"),0)</f>
        <v>0</v>
      </c>
      <c r="M19" s="68">
        <f t="shared" ca="1" si="32"/>
        <v>0</v>
      </c>
      <c r="N19" s="68">
        <f t="shared" ca="1" si="33"/>
        <v>0</v>
      </c>
      <c r="O19" s="67">
        <f ca="1">IFERROR(__xludf.DUMMYFUNCTION("IMPORTRANGE(""https://docs.google.com/spreadsheets/d/1-uDff_7J0KD5mKrp0Vvzr7lt3OU09vwQwhkpOPPYv2Y/edit?usp=sharing"",""งบพรบ!EG19"")"),0)</f>
        <v>0</v>
      </c>
      <c r="P19" s="67">
        <f t="shared" ca="1" si="34"/>
        <v>0</v>
      </c>
      <c r="Q19" s="68">
        <f t="shared" ca="1" si="35"/>
        <v>0</v>
      </c>
      <c r="R19" s="197">
        <f ca="1">IFERROR(__xludf.DUMMYFUNCTION("IMPORTRANGE(""https://docs.google.com/spreadsheets/d/10s13Sk5xrltsiR-Zkbmk5DwIaDIKO8XlbJAfqyT7Gvg/edit?usp=sharing"",""น่าน!Q303"")"),260958.39)</f>
        <v>260958.39</v>
      </c>
      <c r="S19" s="67">
        <f ca="1">IFERROR(__xludf.DUMMYFUNCTION("IMPORTRANGE(""https://docs.google.com/spreadsheets/d/10s13Sk5xrltsiR-Zkbmk5DwIaDIKO8XlbJAfqyT7Gvg/edit?usp=sharing"",""น่าน!R303"")"),265158)</f>
        <v>265158</v>
      </c>
      <c r="T19" s="67">
        <f ca="1">IFERROR(__xludf.DUMMYFUNCTION("IMPORTRANGE(""https://docs.google.com/spreadsheets/d/10s13Sk5xrltsiR-Zkbmk5DwIaDIKO8XlbJAfqyT7Gvg/edit?usp=sharing"",""น่าน!S303"")"),222301)</f>
        <v>222301</v>
      </c>
      <c r="U19" s="68">
        <f t="shared" ca="1" si="37"/>
        <v>85.186377797625127</v>
      </c>
      <c r="V19" s="68">
        <f t="shared" ca="1" si="38"/>
        <v>83.837183867731696</v>
      </c>
      <c r="W19" s="278" t="str">
        <f ca="1">IFERROR(__xludf.DUMMYFUNCTION("IMPORTRANGE(""https://docs.google.com/spreadsheets/d/10s13Sk5xrltsiR-Zkbmk5DwIaDIKO8XlbJAfqyT7Gvg/edit?usp=sharing"",""น่าน!J313"")"),"")</f>
        <v/>
      </c>
      <c r="X19" s="278">
        <f ca="1">IFERROR(__xludf.DUMMYFUNCTION("IMPORTRANGE(""https://docs.google.com/spreadsheets/d/10s13Sk5xrltsiR-Zkbmk5DwIaDIKO8XlbJAfqyT7Gvg/edit?usp=sharing"",""น่าน!I314"")"),30)</f>
        <v>30</v>
      </c>
      <c r="Y19" s="152">
        <f ca="1">IFERROR(__xludf.DUMMYFUNCTION("IMPORTRANGE(""https://docs.google.com/spreadsheets/d/10s13Sk5xrltsiR-Zkbmk5DwIaDIKO8XlbJAfqyT7Gvg/edit?usp=sharing"",""น่าน!J314"")"),30)</f>
        <v>30</v>
      </c>
      <c r="Z19" s="216">
        <f t="shared" ca="1" si="40"/>
        <v>100</v>
      </c>
      <c r="AA19" s="278" t="str">
        <f ca="1">IFERROR(__xludf.DUMMYFUNCTION("IMPORTRANGE(""https://docs.google.com/spreadsheets/d/10s13Sk5xrltsiR-Zkbmk5DwIaDIKO8XlbJAfqyT7Gvg/edit?usp=sharing"",""น่าน!I315"")"),"")</f>
        <v/>
      </c>
      <c r="AB19" s="152" t="str">
        <f ca="1">IFERROR(__xludf.DUMMYFUNCTION("IMPORTRANGE(""https://docs.google.com/spreadsheets/d/10s13Sk5xrltsiR-Zkbmk5DwIaDIKO8XlbJAfqyT7Gvg/edit?usp=sharing"",""น่าน!J315"")"),"")</f>
        <v/>
      </c>
      <c r="AC19" s="216" t="e">
        <f t="shared" ca="1" si="42"/>
        <v>#VALUE!</v>
      </c>
      <c r="AD19" s="278" t="str">
        <f ca="1">IFERROR(__xludf.DUMMYFUNCTION("IMPORTRANGE(""https://docs.google.com/spreadsheets/d/10s13Sk5xrltsiR-Zkbmk5DwIaDIKO8XlbJAfqyT7Gvg/edit?usp=sharing"",""น่าน!I316"")"),"")</f>
        <v/>
      </c>
      <c r="AE19" s="152" t="str">
        <f ca="1">IFERROR(__xludf.DUMMYFUNCTION("IMPORTRANGE(""https://docs.google.com/spreadsheets/d/10s13Sk5xrltsiR-Zkbmk5DwIaDIKO8XlbJAfqyT7Gvg/edit?usp=sharing"",""น่าน!J316"")"),"")</f>
        <v/>
      </c>
      <c r="AF19" s="216" t="e">
        <f t="shared" ca="1" si="44"/>
        <v>#VALUE!</v>
      </c>
      <c r="AG19" s="278" t="str">
        <f ca="1">IFERROR(__xludf.DUMMYFUNCTION("IMPORTRANGE(""https://docs.google.com/spreadsheets/d/10s13Sk5xrltsiR-Zkbmk5DwIaDIKO8XlbJAfqyT7Gvg/edit?usp=sharing"",""น่าน!I317"")"),"")</f>
        <v/>
      </c>
      <c r="AH19" s="152" t="str">
        <f ca="1">IFERROR(__xludf.DUMMYFUNCTION("IMPORTRANGE(""https://docs.google.com/spreadsheets/d/10s13Sk5xrltsiR-Zkbmk5DwIaDIKO8XlbJAfqyT7Gvg/edit?usp=sharing"",""น่าน!J317"")"),"")</f>
        <v/>
      </c>
      <c r="AI19" s="216" t="e">
        <f t="shared" ca="1" si="46"/>
        <v>#VALUE!</v>
      </c>
    </row>
    <row r="20" spans="1:35" ht="24" customHeight="1" x14ac:dyDescent="0.3">
      <c r="A20" s="70">
        <v>7</v>
      </c>
      <c r="B20" s="71" t="s">
        <v>48</v>
      </c>
      <c r="C20" s="149">
        <f t="shared" ca="1" si="28"/>
        <v>184200</v>
      </c>
      <c r="D20" s="150">
        <f t="shared" ca="1" si="47"/>
        <v>184200</v>
      </c>
      <c r="E20" s="151">
        <f ca="1">IFERROR(__xludf.DUMMYFUNCTION("IMPORTRANGE(""https://docs.google.com/spreadsheets/d/1-uDff_7J0KD5mKrp0Vvzr7lt3OU09vwQwhkpOPPYv2Y/edit?usp=sharing"",""งบพรบ!DZ20"")"),80300)</f>
        <v>80300</v>
      </c>
      <c r="F20" s="151">
        <f ca="1">IFERROR(__xludf.DUMMYFUNCTION("IMPORTRANGE(""https://docs.google.com/spreadsheets/d/1-uDff_7J0KD5mKrp0Vvzr7lt3OU09vwQwhkpOPPYv2Y/edit?usp=sharing"",""งบพรบ!EA20"")"),103900)</f>
        <v>103900</v>
      </c>
      <c r="G20" s="151">
        <f ca="1">IFERROR(__xludf.DUMMYFUNCTION("IMPORTRANGE(""https://docs.google.com/spreadsheets/d/1-uDff_7J0KD5mKrp0Vvzr7lt3OU09vwQwhkpOPPYv2Y/edit?usp=sharing"",""งบพรบ!EB20"")"),0)</f>
        <v>0</v>
      </c>
      <c r="H20" s="151">
        <f ca="1">IFERROR(__xludf.DUMMYFUNCTION("IMPORTRANGE(""https://docs.google.com/spreadsheets/d/1-uDff_7J0KD5mKrp0Vvzr7lt3OU09vwQwhkpOPPYv2Y/edit?usp=sharing"",""งบพรบ!ED20"")"),184200)</f>
        <v>184200</v>
      </c>
      <c r="I20" s="151">
        <f ca="1">IFERROR(__xludf.DUMMYFUNCTION("IMPORTRANGE(""https://docs.google.com/spreadsheets/d/1-uDff_7J0KD5mKrp0Vvzr7lt3OU09vwQwhkpOPPYv2Y/edit?usp=sharing"",""งบพรบ!EE20"")"),0)</f>
        <v>0</v>
      </c>
      <c r="J20" s="151">
        <f t="shared" ca="1" si="30"/>
        <v>166029</v>
      </c>
      <c r="K20" s="154">
        <f t="shared" ca="1" si="31"/>
        <v>90.135179153094469</v>
      </c>
      <c r="L20" s="151">
        <f ca="1">IFERROR(__xludf.DUMMYFUNCTION("IMPORTRANGE(""https://docs.google.com/spreadsheets/d/1-uDff_7J0KD5mKrp0Vvzr7lt3OU09vwQwhkpOPPYv2Y/edit?usp=sharing"",""งบพรบ!EF20"")"),166029)</f>
        <v>166029</v>
      </c>
      <c r="M20" s="68">
        <f t="shared" ca="1" si="32"/>
        <v>90.135179153094469</v>
      </c>
      <c r="N20" s="68">
        <f t="shared" ca="1" si="33"/>
        <v>90.135179153094469</v>
      </c>
      <c r="O20" s="67">
        <f ca="1">IFERROR(__xludf.DUMMYFUNCTION("IMPORTRANGE(""https://docs.google.com/spreadsheets/d/1-uDff_7J0KD5mKrp0Vvzr7lt3OU09vwQwhkpOPPYv2Y/edit?usp=sharing"",""งบพรบ!EG20"")"),0)</f>
        <v>0</v>
      </c>
      <c r="P20" s="67">
        <f t="shared" ca="1" si="34"/>
        <v>0</v>
      </c>
      <c r="Q20" s="68">
        <f t="shared" ca="1" si="35"/>
        <v>0</v>
      </c>
      <c r="R20" s="197">
        <f ca="1">IFERROR(__xludf.DUMMYFUNCTION("IMPORTRANGE(""https://docs.google.com/spreadsheets/d/1uu4nAn4Dbi1XREnLKKotUANlKXa7yCgRcgq8HEzQYW8/edit?usp=sharing"",""พะเยา!Q303"")"),144609.24)</f>
        <v>144609.24</v>
      </c>
      <c r="S20" s="67">
        <f ca="1">IFERROR(__xludf.DUMMYFUNCTION("IMPORTRANGE(""https://docs.google.com/spreadsheets/d/1uu4nAn4Dbi1XREnLKKotUANlKXa7yCgRcgq8HEzQYW8/edit?usp=sharing"",""พะเยา!R303"")"),148809)</f>
        <v>148809</v>
      </c>
      <c r="T20" s="67">
        <f ca="1">IFERROR(__xludf.DUMMYFUNCTION("IMPORTRANGE(""https://docs.google.com/spreadsheets/d/1uu4nAn4Dbi1XREnLKKotUANlKXa7yCgRcgq8HEzQYW8/edit?usp=sharing"",""พะเยา!S303"")"),117254)</f>
        <v>117254</v>
      </c>
      <c r="U20" s="68">
        <f t="shared" ca="1" si="37"/>
        <v>81.083338796331418</v>
      </c>
      <c r="V20" s="68">
        <f t="shared" ca="1" si="38"/>
        <v>78.794965358278063</v>
      </c>
      <c r="W20" s="278" t="str">
        <f ca="1">IFERROR(__xludf.DUMMYFUNCTION("IMPORTRANGE(""https://docs.google.com/spreadsheets/d/1uu4nAn4Dbi1XREnLKKotUANlKXa7yCgRcgq8HEzQYW8/edit?usp=sharing"",""พะเยา!J313"")"),"")</f>
        <v/>
      </c>
      <c r="X20" s="278">
        <f ca="1">IFERROR(__xludf.DUMMYFUNCTION("IMPORTRANGE(""https://docs.google.com/spreadsheets/d/1uu4nAn4Dbi1XREnLKKotUANlKXa7yCgRcgq8HEzQYW8/edit?usp=sharing"",""พะเยา!I314"")"),20)</f>
        <v>20</v>
      </c>
      <c r="Y20" s="152">
        <f ca="1">IFERROR(__xludf.DUMMYFUNCTION("IMPORTRANGE(""https://docs.google.com/spreadsheets/d/1uu4nAn4Dbi1XREnLKKotUANlKXa7yCgRcgq8HEzQYW8/edit?usp=sharing"",""พะเยา!J314"")"),20)</f>
        <v>20</v>
      </c>
      <c r="Z20" s="216">
        <f t="shared" ca="1" si="40"/>
        <v>100</v>
      </c>
      <c r="AA20" s="278" t="str">
        <f ca="1">IFERROR(__xludf.DUMMYFUNCTION("IMPORTRANGE(""https://docs.google.com/spreadsheets/d/1uu4nAn4Dbi1XREnLKKotUANlKXa7yCgRcgq8HEzQYW8/edit?usp=sharing"",""พะเยา!I315"")"),"")</f>
        <v/>
      </c>
      <c r="AB20" s="152" t="str">
        <f ca="1">IFERROR(__xludf.DUMMYFUNCTION("IMPORTRANGE(""https://docs.google.com/spreadsheets/d/1uu4nAn4Dbi1XREnLKKotUANlKXa7yCgRcgq8HEzQYW8/edit?usp=sharing"",""พะเยา!J315"")"),"")</f>
        <v/>
      </c>
      <c r="AC20" s="216" t="e">
        <f t="shared" ca="1" si="42"/>
        <v>#VALUE!</v>
      </c>
      <c r="AD20" s="278" t="str">
        <f ca="1">IFERROR(__xludf.DUMMYFUNCTION("IMPORTRANGE(""https://docs.google.com/spreadsheets/d/1uu4nAn4Dbi1XREnLKKotUANlKXa7yCgRcgq8HEzQYW8/edit?usp=sharing"",""พะเยา!I316"")"),"")</f>
        <v/>
      </c>
      <c r="AE20" s="152" t="str">
        <f ca="1">IFERROR(__xludf.DUMMYFUNCTION("IMPORTRANGE(""https://docs.google.com/spreadsheets/d/1uu4nAn4Dbi1XREnLKKotUANlKXa7yCgRcgq8HEzQYW8/edit?usp=sharing"",""พะเยา!J316"")"),"")</f>
        <v/>
      </c>
      <c r="AF20" s="216" t="e">
        <f t="shared" ca="1" si="44"/>
        <v>#VALUE!</v>
      </c>
      <c r="AG20" s="278" t="str">
        <f ca="1">IFERROR(__xludf.DUMMYFUNCTION("IMPORTRANGE(""https://docs.google.com/spreadsheets/d/1uu4nAn4Dbi1XREnLKKotUANlKXa7yCgRcgq8HEzQYW8/edit?usp=sharing"",""พะเยา!I317"")"),"")</f>
        <v/>
      </c>
      <c r="AH20" s="152" t="str">
        <f ca="1">IFERROR(__xludf.DUMMYFUNCTION("IMPORTRANGE(""https://docs.google.com/spreadsheets/d/1uu4nAn4Dbi1XREnLKKotUANlKXa7yCgRcgq8HEzQYW8/edit?usp=sharing"",""พะเยา!J317"")"),"")</f>
        <v/>
      </c>
      <c r="AI20" s="216" t="e">
        <f t="shared" ca="1" si="46"/>
        <v>#VALUE!</v>
      </c>
    </row>
    <row r="21" spans="1:35" ht="24" customHeight="1" x14ac:dyDescent="0.3">
      <c r="A21" s="70">
        <v>8</v>
      </c>
      <c r="B21" s="71" t="s">
        <v>49</v>
      </c>
      <c r="C21" s="149">
        <f t="shared" ca="1" si="28"/>
        <v>0</v>
      </c>
      <c r="D21" s="150">
        <f t="shared" ca="1" si="47"/>
        <v>0</v>
      </c>
      <c r="E21" s="151">
        <f ca="1">IFERROR(__xludf.DUMMYFUNCTION("IMPORTRANGE(""https://docs.google.com/spreadsheets/d/1-uDff_7J0KD5mKrp0Vvzr7lt3OU09vwQwhkpOPPYv2Y/edit?usp=sharing"",""งบพรบ!DZ21"")"),0)</f>
        <v>0</v>
      </c>
      <c r="F21" s="151">
        <f ca="1">IFERROR(__xludf.DUMMYFUNCTION("IMPORTRANGE(""https://docs.google.com/spreadsheets/d/1-uDff_7J0KD5mKrp0Vvzr7lt3OU09vwQwhkpOPPYv2Y/edit?usp=sharing"",""งบพรบ!EA21"")"),0)</f>
        <v>0</v>
      </c>
      <c r="G21" s="151">
        <f ca="1">IFERROR(__xludf.DUMMYFUNCTION("IMPORTRANGE(""https://docs.google.com/spreadsheets/d/1-uDff_7J0KD5mKrp0Vvzr7lt3OU09vwQwhkpOPPYv2Y/edit?usp=sharing"",""งบพรบ!EB21"")"),0)</f>
        <v>0</v>
      </c>
      <c r="H21" s="151">
        <f ca="1">IFERROR(__xludf.DUMMYFUNCTION("IMPORTRANGE(""https://docs.google.com/spreadsheets/d/1-uDff_7J0KD5mKrp0Vvzr7lt3OU09vwQwhkpOPPYv2Y/edit?usp=sharing"",""งบพรบ!ED21"")"),0)</f>
        <v>0</v>
      </c>
      <c r="I21" s="151">
        <f ca="1">IFERROR(__xludf.DUMMYFUNCTION("IMPORTRANGE(""https://docs.google.com/spreadsheets/d/1-uDff_7J0KD5mKrp0Vvzr7lt3OU09vwQwhkpOPPYv2Y/edit?usp=sharing"",""งบพรบ!EE21"")"),0)</f>
        <v>0</v>
      </c>
      <c r="J21" s="151">
        <f t="shared" ca="1" si="30"/>
        <v>0</v>
      </c>
      <c r="K21" s="154">
        <f t="shared" ca="1" si="31"/>
        <v>0</v>
      </c>
      <c r="L21" s="151">
        <f ca="1">IFERROR(__xludf.DUMMYFUNCTION("IMPORTRANGE(""https://docs.google.com/spreadsheets/d/1-uDff_7J0KD5mKrp0Vvzr7lt3OU09vwQwhkpOPPYv2Y/edit?usp=sharing"",""งบพรบ!EF21"")"),0)</f>
        <v>0</v>
      </c>
      <c r="M21" s="68">
        <f t="shared" ca="1" si="32"/>
        <v>0</v>
      </c>
      <c r="N21" s="68">
        <f t="shared" ca="1" si="33"/>
        <v>0</v>
      </c>
      <c r="O21" s="67">
        <f ca="1">IFERROR(__xludf.DUMMYFUNCTION("IMPORTRANGE(""https://docs.google.com/spreadsheets/d/1-uDff_7J0KD5mKrp0Vvzr7lt3OU09vwQwhkpOPPYv2Y/edit?usp=sharing"",""งบพรบ!EG21"")"),0)</f>
        <v>0</v>
      </c>
      <c r="P21" s="67">
        <f t="shared" ca="1" si="34"/>
        <v>0</v>
      </c>
      <c r="Q21" s="68">
        <f t="shared" ca="1" si="35"/>
        <v>0</v>
      </c>
      <c r="R21" s="197">
        <f ca="1">IFERROR(__xludf.DUMMYFUNCTION("IMPORTRANGE(""https://docs.google.com/spreadsheets/d/1xfJKIQxVOaPDIICqsflNlLu3JacTDk1FP9RH4phX7mI/edit?usp=sharing"",""พิจิตร!Q303"")"),228095.39)</f>
        <v>228095.39</v>
      </c>
      <c r="S21" s="67">
        <f ca="1">IFERROR(__xludf.DUMMYFUNCTION("IMPORTRANGE(""https://docs.google.com/spreadsheets/d/1xfJKIQxVOaPDIICqsflNlLu3JacTDk1FP9RH4phX7mI/edit?usp=sharing"",""พิจิตร!R303"")"),232295)</f>
        <v>232295</v>
      </c>
      <c r="T21" s="67">
        <f ca="1">IFERROR(__xludf.DUMMYFUNCTION("IMPORTRANGE(""https://docs.google.com/spreadsheets/d/1xfJKIQxVOaPDIICqsflNlLu3JacTDk1FP9RH4phX7mI/edit?usp=sharing"",""พิจิตร!S303"")"),188445)</f>
        <v>188445</v>
      </c>
      <c r="U21" s="68">
        <f t="shared" ca="1" si="37"/>
        <v>82.616750825170115</v>
      </c>
      <c r="V21" s="68">
        <f t="shared" ca="1" si="38"/>
        <v>81.123140833853512</v>
      </c>
      <c r="W21" s="278" t="str">
        <f ca="1">IFERROR(__xludf.DUMMYFUNCTION("IMPORTRANGE(""https://docs.google.com/spreadsheets/d/1xfJKIQxVOaPDIICqsflNlLu3JacTDk1FP9RH4phX7mI/edit?usp=sharing"",""พิจิตร!J313"")"),"")</f>
        <v/>
      </c>
      <c r="X21" s="278">
        <f ca="1">IFERROR(__xludf.DUMMYFUNCTION("IMPORTRANGE(""https://docs.google.com/spreadsheets/d/1xfJKIQxVOaPDIICqsflNlLu3JacTDk1FP9RH4phX7mI/edit?usp=sharing"",""พิจิตร!I314"")"),25)</f>
        <v>25</v>
      </c>
      <c r="Y21" s="152">
        <f ca="1">IFERROR(__xludf.DUMMYFUNCTION("IMPORTRANGE(""https://docs.google.com/spreadsheets/d/1xfJKIQxVOaPDIICqsflNlLu3JacTDk1FP9RH4phX7mI/edit?usp=sharing"",""พิจิตร!J314"")"),25)</f>
        <v>25</v>
      </c>
      <c r="Z21" s="216">
        <f t="shared" ca="1" si="40"/>
        <v>100</v>
      </c>
      <c r="AA21" s="278" t="str">
        <f ca="1">IFERROR(__xludf.DUMMYFUNCTION("IMPORTRANGE(""https://docs.google.com/spreadsheets/d/1xfJKIQxVOaPDIICqsflNlLu3JacTDk1FP9RH4phX7mI/edit?usp=sharing"",""พิจิตร!I315"")"),"")</f>
        <v/>
      </c>
      <c r="AB21" s="152" t="str">
        <f ca="1">IFERROR(__xludf.DUMMYFUNCTION("IMPORTRANGE(""https://docs.google.com/spreadsheets/d/1xfJKIQxVOaPDIICqsflNlLu3JacTDk1FP9RH4phX7mI/edit?usp=sharing"",""พิจิตร!J315"")"),"")</f>
        <v/>
      </c>
      <c r="AC21" s="216" t="e">
        <f t="shared" ca="1" si="42"/>
        <v>#VALUE!</v>
      </c>
      <c r="AD21" s="278" t="str">
        <f ca="1">IFERROR(__xludf.DUMMYFUNCTION("IMPORTRANGE(""https://docs.google.com/spreadsheets/d/1xfJKIQxVOaPDIICqsflNlLu3JacTDk1FP9RH4phX7mI/edit?usp=sharing"",""พิจิตร!I316"")"),"")</f>
        <v/>
      </c>
      <c r="AE21" s="152" t="str">
        <f ca="1">IFERROR(__xludf.DUMMYFUNCTION("IMPORTRANGE(""https://docs.google.com/spreadsheets/d/1xfJKIQxVOaPDIICqsflNlLu3JacTDk1FP9RH4phX7mI/edit?usp=sharing"",""พิจิตร!J316"")"),"")</f>
        <v/>
      </c>
      <c r="AF21" s="216" t="e">
        <f t="shared" ca="1" si="44"/>
        <v>#VALUE!</v>
      </c>
      <c r="AG21" s="278" t="str">
        <f ca="1">IFERROR(__xludf.DUMMYFUNCTION("IMPORTRANGE(""https://docs.google.com/spreadsheets/d/1xfJKIQxVOaPDIICqsflNlLu3JacTDk1FP9RH4phX7mI/edit?usp=sharing"",""พิจิตร!I317"")"),"")</f>
        <v/>
      </c>
      <c r="AH21" s="152" t="str">
        <f ca="1">IFERROR(__xludf.DUMMYFUNCTION("IMPORTRANGE(""https://docs.google.com/spreadsheets/d/1xfJKIQxVOaPDIICqsflNlLu3JacTDk1FP9RH4phX7mI/edit?usp=sharing"",""พิจิตร!J317"")"),"")</f>
        <v/>
      </c>
      <c r="AI21" s="216" t="e">
        <f t="shared" ca="1" si="46"/>
        <v>#VALUE!</v>
      </c>
    </row>
    <row r="22" spans="1:35" ht="24" customHeight="1" x14ac:dyDescent="0.3">
      <c r="A22" s="70">
        <v>9</v>
      </c>
      <c r="B22" s="71" t="s">
        <v>50</v>
      </c>
      <c r="C22" s="149">
        <f t="shared" ca="1" si="28"/>
        <v>0</v>
      </c>
      <c r="D22" s="150">
        <f t="shared" ca="1" si="47"/>
        <v>0</v>
      </c>
      <c r="E22" s="151">
        <f ca="1">IFERROR(__xludf.DUMMYFUNCTION("IMPORTRANGE(""https://docs.google.com/spreadsheets/d/1-uDff_7J0KD5mKrp0Vvzr7lt3OU09vwQwhkpOPPYv2Y/edit?usp=sharing"",""งบพรบ!DZ22"")"),0)</f>
        <v>0</v>
      </c>
      <c r="F22" s="151">
        <f ca="1">IFERROR(__xludf.DUMMYFUNCTION("IMPORTRANGE(""https://docs.google.com/spreadsheets/d/1-uDff_7J0KD5mKrp0Vvzr7lt3OU09vwQwhkpOPPYv2Y/edit?usp=sharing"",""งบพรบ!EA22"")"),0)</f>
        <v>0</v>
      </c>
      <c r="G22" s="151">
        <f ca="1">IFERROR(__xludf.DUMMYFUNCTION("IMPORTRANGE(""https://docs.google.com/spreadsheets/d/1-uDff_7J0KD5mKrp0Vvzr7lt3OU09vwQwhkpOPPYv2Y/edit?usp=sharing"",""งบพรบ!EB22"")"),0)</f>
        <v>0</v>
      </c>
      <c r="H22" s="151">
        <f ca="1">IFERROR(__xludf.DUMMYFUNCTION("IMPORTRANGE(""https://docs.google.com/spreadsheets/d/1-uDff_7J0KD5mKrp0Vvzr7lt3OU09vwQwhkpOPPYv2Y/edit?usp=sharing"",""งบพรบ!ED22"")"),0)</f>
        <v>0</v>
      </c>
      <c r="I22" s="151">
        <f ca="1">IFERROR(__xludf.DUMMYFUNCTION("IMPORTRANGE(""https://docs.google.com/spreadsheets/d/1-uDff_7J0KD5mKrp0Vvzr7lt3OU09vwQwhkpOPPYv2Y/edit?usp=sharing"",""งบพรบ!EE22"")"),0)</f>
        <v>0</v>
      </c>
      <c r="J22" s="151">
        <f t="shared" ca="1" si="30"/>
        <v>0</v>
      </c>
      <c r="K22" s="154">
        <f t="shared" ca="1" si="31"/>
        <v>0</v>
      </c>
      <c r="L22" s="151">
        <f ca="1">IFERROR(__xludf.DUMMYFUNCTION("IMPORTRANGE(""https://docs.google.com/spreadsheets/d/1-uDff_7J0KD5mKrp0Vvzr7lt3OU09vwQwhkpOPPYv2Y/edit?usp=sharing"",""งบพรบ!EF22"")"),0)</f>
        <v>0</v>
      </c>
      <c r="M22" s="68">
        <f t="shared" ca="1" si="32"/>
        <v>0</v>
      </c>
      <c r="N22" s="68">
        <f t="shared" ca="1" si="33"/>
        <v>0</v>
      </c>
      <c r="O22" s="67">
        <f ca="1">IFERROR(__xludf.DUMMYFUNCTION("IMPORTRANGE(""https://docs.google.com/spreadsheets/d/1-uDff_7J0KD5mKrp0Vvzr7lt3OU09vwQwhkpOPPYv2Y/edit?usp=sharing"",""งบพรบ!EG22"")"),0)</f>
        <v>0</v>
      </c>
      <c r="P22" s="67">
        <f t="shared" ca="1" si="34"/>
        <v>0</v>
      </c>
      <c r="Q22" s="68">
        <f t="shared" ca="1" si="35"/>
        <v>0</v>
      </c>
      <c r="R22" s="197">
        <f ca="1">IFERROR(__xludf.DUMMYFUNCTION("IMPORTRANGE(""https://docs.google.com/spreadsheets/d/1JtRfZkJMHtEhI5RdRHxYUG4FIZHqKDpNyIuN7A1Q0_k/edit?usp=sharing"",""พิษณุโลก!Q303"")"),260958.39)</f>
        <v>260958.39</v>
      </c>
      <c r="S22" s="67">
        <f ca="1">IFERROR(__xludf.DUMMYFUNCTION("IMPORTRANGE(""https://docs.google.com/spreadsheets/d/1JtRfZkJMHtEhI5RdRHxYUG4FIZHqKDpNyIuN7A1Q0_k/edit?usp=sharing"",""พิษณุโลก!R303"")"),265158)</f>
        <v>265158</v>
      </c>
      <c r="T22" s="67">
        <f ca="1">IFERROR(__xludf.DUMMYFUNCTION("IMPORTRANGE(""https://docs.google.com/spreadsheets/d/1JtRfZkJMHtEhI5RdRHxYUG4FIZHqKDpNyIuN7A1Q0_k/edit?usp=sharing"",""พิษณุโลก!S303"")"),62310)</f>
        <v>62310</v>
      </c>
      <c r="U22" s="68">
        <f t="shared" ca="1" si="37"/>
        <v>23.877369874944428</v>
      </c>
      <c r="V22" s="68">
        <f t="shared" ca="1" si="38"/>
        <v>23.499196705360578</v>
      </c>
      <c r="W22" s="278" t="str">
        <f ca="1">IFERROR(__xludf.DUMMYFUNCTION("IMPORTRANGE(""https://docs.google.com/spreadsheets/d/1JtRfZkJMHtEhI5RdRHxYUG4FIZHqKDpNyIuN7A1Q0_k/edit?usp=sharing"",""พิษณุโลก!J313"")"),"")</f>
        <v/>
      </c>
      <c r="X22" s="278">
        <f ca="1">IFERROR(__xludf.DUMMYFUNCTION("IMPORTRANGE(""https://docs.google.com/spreadsheets/d/1JtRfZkJMHtEhI5RdRHxYUG4FIZHqKDpNyIuN7A1Q0_k/edit?usp=sharing"",""พิษณุโลก!I314"")"),30)</f>
        <v>30</v>
      </c>
      <c r="Y22" s="152">
        <f ca="1">IFERROR(__xludf.DUMMYFUNCTION("IMPORTRANGE(""https://docs.google.com/spreadsheets/d/1JtRfZkJMHtEhI5RdRHxYUG4FIZHqKDpNyIuN7A1Q0_k/edit?usp=sharing"",""พิษณุโลก!J314"")"),30)</f>
        <v>30</v>
      </c>
      <c r="Z22" s="216">
        <f t="shared" ca="1" si="40"/>
        <v>100</v>
      </c>
      <c r="AA22" s="278" t="str">
        <f ca="1">IFERROR(__xludf.DUMMYFUNCTION("IMPORTRANGE(""https://docs.google.com/spreadsheets/d/1JtRfZkJMHtEhI5RdRHxYUG4FIZHqKDpNyIuN7A1Q0_k/edit?usp=sharing"",""พิษณุโลก!I315"")"),"")</f>
        <v/>
      </c>
      <c r="AB22" s="152" t="str">
        <f ca="1">IFERROR(__xludf.DUMMYFUNCTION("IMPORTRANGE(""https://docs.google.com/spreadsheets/d/1JtRfZkJMHtEhI5RdRHxYUG4FIZHqKDpNyIuN7A1Q0_k/edit?usp=sharing"",""พิษณุโลก!J315"")"),"")</f>
        <v/>
      </c>
      <c r="AC22" s="216" t="e">
        <f t="shared" ca="1" si="42"/>
        <v>#VALUE!</v>
      </c>
      <c r="AD22" s="278" t="str">
        <f ca="1">IFERROR(__xludf.DUMMYFUNCTION("IMPORTRANGE(""https://docs.google.com/spreadsheets/d/1JtRfZkJMHtEhI5RdRHxYUG4FIZHqKDpNyIuN7A1Q0_k/edit?usp=sharing"",""พิษณุโลก!I316"")"),"")</f>
        <v/>
      </c>
      <c r="AE22" s="152" t="str">
        <f ca="1">IFERROR(__xludf.DUMMYFUNCTION("IMPORTRANGE(""https://docs.google.com/spreadsheets/d/1JtRfZkJMHtEhI5RdRHxYUG4FIZHqKDpNyIuN7A1Q0_k/edit?usp=sharing"",""พิษณุโลก!J316"")"),"")</f>
        <v/>
      </c>
      <c r="AF22" s="216" t="e">
        <f t="shared" ca="1" si="44"/>
        <v>#VALUE!</v>
      </c>
      <c r="AG22" s="278" t="str">
        <f ca="1">IFERROR(__xludf.DUMMYFUNCTION("IMPORTRANGE(""https://docs.google.com/spreadsheets/d/1JtRfZkJMHtEhI5RdRHxYUG4FIZHqKDpNyIuN7A1Q0_k/edit?usp=sharing"",""พิษณุโลก!I317"")"),"")</f>
        <v/>
      </c>
      <c r="AH22" s="152" t="str">
        <f ca="1">IFERROR(__xludf.DUMMYFUNCTION("IMPORTRANGE(""https://docs.google.com/spreadsheets/d/1JtRfZkJMHtEhI5RdRHxYUG4FIZHqKDpNyIuN7A1Q0_k/edit?usp=sharing"",""พิษณุโลก!J317"")"),"")</f>
        <v/>
      </c>
      <c r="AI22" s="216" t="e">
        <f t="shared" ca="1" si="46"/>
        <v>#VALUE!</v>
      </c>
    </row>
    <row r="23" spans="1:35" ht="24" customHeight="1" x14ac:dyDescent="0.3">
      <c r="A23" s="70">
        <v>10</v>
      </c>
      <c r="B23" s="71" t="s">
        <v>51</v>
      </c>
      <c r="C23" s="149">
        <f t="shared" ca="1" si="28"/>
        <v>205800</v>
      </c>
      <c r="D23" s="150">
        <f t="shared" ca="1" si="47"/>
        <v>205800</v>
      </c>
      <c r="E23" s="151">
        <f ca="1">IFERROR(__xludf.DUMMYFUNCTION("IMPORTRANGE(""https://docs.google.com/spreadsheets/d/1-uDff_7J0KD5mKrp0Vvzr7lt3OU09vwQwhkpOPPYv2Y/edit?usp=sharing"",""งบพรบ!DZ23"")"),80300)</f>
        <v>80300</v>
      </c>
      <c r="F23" s="151">
        <f ca="1">IFERROR(__xludf.DUMMYFUNCTION("IMPORTRANGE(""https://docs.google.com/spreadsheets/d/1-uDff_7J0KD5mKrp0Vvzr7lt3OU09vwQwhkpOPPYv2Y/edit?usp=sharing"",""งบพรบ!EA23"")"),125500)</f>
        <v>125500</v>
      </c>
      <c r="G23" s="151">
        <f ca="1">IFERROR(__xludf.DUMMYFUNCTION("IMPORTRANGE(""https://docs.google.com/spreadsheets/d/1-uDff_7J0KD5mKrp0Vvzr7lt3OU09vwQwhkpOPPYv2Y/edit?usp=sharing"",""งบพรบ!EB23"")"),0)</f>
        <v>0</v>
      </c>
      <c r="H23" s="151">
        <f ca="1">IFERROR(__xludf.DUMMYFUNCTION("IMPORTRANGE(""https://docs.google.com/spreadsheets/d/1-uDff_7J0KD5mKrp0Vvzr7lt3OU09vwQwhkpOPPYv2Y/edit?usp=sharing"",""งบพรบ!ED23"")"),205800)</f>
        <v>205800</v>
      </c>
      <c r="I23" s="151">
        <f ca="1">IFERROR(__xludf.DUMMYFUNCTION("IMPORTRANGE(""https://docs.google.com/spreadsheets/d/1-uDff_7J0KD5mKrp0Vvzr7lt3OU09vwQwhkpOPPYv2Y/edit?usp=sharing"",""งบพรบ!EE23"")"),0)</f>
        <v>0</v>
      </c>
      <c r="J23" s="151">
        <f t="shared" ca="1" si="30"/>
        <v>185970</v>
      </c>
      <c r="K23" s="154">
        <f t="shared" ca="1" si="31"/>
        <v>90.364431486880463</v>
      </c>
      <c r="L23" s="151">
        <f ca="1">IFERROR(__xludf.DUMMYFUNCTION("IMPORTRANGE(""https://docs.google.com/spreadsheets/d/1-uDff_7J0KD5mKrp0Vvzr7lt3OU09vwQwhkpOPPYv2Y/edit?usp=sharing"",""งบพรบ!EF23"")"),185970)</f>
        <v>185970</v>
      </c>
      <c r="M23" s="68">
        <f t="shared" ca="1" si="32"/>
        <v>90.364431486880463</v>
      </c>
      <c r="N23" s="68">
        <f t="shared" ca="1" si="33"/>
        <v>90.364431486880463</v>
      </c>
      <c r="O23" s="67">
        <f ca="1">IFERROR(__xludf.DUMMYFUNCTION("IMPORTRANGE(""https://docs.google.com/spreadsheets/d/1-uDff_7J0KD5mKrp0Vvzr7lt3OU09vwQwhkpOPPYv2Y/edit?usp=sharing"",""งบพรบ!EG23"")"),0)</f>
        <v>0</v>
      </c>
      <c r="P23" s="67">
        <f t="shared" ca="1" si="34"/>
        <v>0</v>
      </c>
      <c r="Q23" s="68">
        <f t="shared" ca="1" si="35"/>
        <v>0</v>
      </c>
      <c r="R23" s="197">
        <f ca="1">IFERROR(__xludf.DUMMYFUNCTION("IMPORTRANGE(""https://docs.google.com/spreadsheets/d/1xlcVZWUNn6SuWm0c307h32SiGkd9BaeQWlAktfD3KO8/edit?usp=sharing"",""เพชรบูรณ์!Q303"")"),166057.24)</f>
        <v>166057.24</v>
      </c>
      <c r="S23" s="67">
        <f ca="1">IFERROR(__xludf.DUMMYFUNCTION("IMPORTRANGE(""https://docs.google.com/spreadsheets/d/1xlcVZWUNn6SuWm0c307h32SiGkd9BaeQWlAktfD3KO8/edit?usp=sharing"",""เพชรบูรณ์!R303"")"),170257)</f>
        <v>170257</v>
      </c>
      <c r="T23" s="67">
        <f ca="1">IFERROR(__xludf.DUMMYFUNCTION("IMPORTRANGE(""https://docs.google.com/spreadsheets/d/1xlcVZWUNn6SuWm0c307h32SiGkd9BaeQWlAktfD3KO8/edit?usp=sharing"",""เพชรบูรณ์!S303"")"),163970)</f>
        <v>163970</v>
      </c>
      <c r="U23" s="68">
        <f t="shared" ca="1" si="37"/>
        <v>98.74305992319276</v>
      </c>
      <c r="V23" s="68">
        <f t="shared" ca="1" si="38"/>
        <v>96.307347128165063</v>
      </c>
      <c r="W23" s="278" t="str">
        <f ca="1">IFERROR(__xludf.DUMMYFUNCTION("IMPORTRANGE(""https://docs.google.com/spreadsheets/d/1xlcVZWUNn6SuWm0c307h32SiGkd9BaeQWlAktfD3KO8/edit?usp=sharing"",""เพชรบูรณ์!J313"")"),"")</f>
        <v/>
      </c>
      <c r="X23" s="278">
        <f ca="1">IFERROR(__xludf.DUMMYFUNCTION("IMPORTRANGE(""https://docs.google.com/spreadsheets/d/1xlcVZWUNn6SuWm0c307h32SiGkd9BaeQWlAktfD3KO8/edit?usp=sharing"",""เพชรบูรณ์!I314"")"),25)</f>
        <v>25</v>
      </c>
      <c r="Y23" s="152">
        <f ca="1">IFERROR(__xludf.DUMMYFUNCTION("IMPORTRANGE(""https://docs.google.com/spreadsheets/d/1xlcVZWUNn6SuWm0c307h32SiGkd9BaeQWlAktfD3KO8/edit?usp=sharing"",""เพชรบูรณ์!J314"")"),25)</f>
        <v>25</v>
      </c>
      <c r="Z23" s="216">
        <f t="shared" ca="1" si="40"/>
        <v>100</v>
      </c>
      <c r="AA23" s="278" t="str">
        <f ca="1">IFERROR(__xludf.DUMMYFUNCTION("IMPORTRANGE(""https://docs.google.com/spreadsheets/d/1xlcVZWUNn6SuWm0c307h32SiGkd9BaeQWlAktfD3KO8/edit?usp=sharing"",""เพชรบูรณ์!I315"")"),"")</f>
        <v/>
      </c>
      <c r="AB23" s="152" t="str">
        <f ca="1">IFERROR(__xludf.DUMMYFUNCTION("IMPORTRANGE(""https://docs.google.com/spreadsheets/d/1xlcVZWUNn6SuWm0c307h32SiGkd9BaeQWlAktfD3KO8/edit?usp=sharing"",""เพชรบูรณ์!J315"")"),"")</f>
        <v/>
      </c>
      <c r="AC23" s="216" t="e">
        <f t="shared" ca="1" si="42"/>
        <v>#VALUE!</v>
      </c>
      <c r="AD23" s="278" t="str">
        <f ca="1">IFERROR(__xludf.DUMMYFUNCTION("IMPORTRANGE(""https://docs.google.com/spreadsheets/d/1xlcVZWUNn6SuWm0c307h32SiGkd9BaeQWlAktfD3KO8/edit?usp=sharing"",""เพชรบูรณ์!I316"")"),"")</f>
        <v/>
      </c>
      <c r="AE23" s="152" t="str">
        <f ca="1">IFERROR(__xludf.DUMMYFUNCTION("IMPORTRANGE(""https://docs.google.com/spreadsheets/d/1xlcVZWUNn6SuWm0c307h32SiGkd9BaeQWlAktfD3KO8/edit?usp=sharing"",""เพชรบูรณ์!J316"")"),"")</f>
        <v/>
      </c>
      <c r="AF23" s="216" t="e">
        <f t="shared" ca="1" si="44"/>
        <v>#VALUE!</v>
      </c>
      <c r="AG23" s="278" t="str">
        <f ca="1">IFERROR(__xludf.DUMMYFUNCTION("IMPORTRANGE(""https://docs.google.com/spreadsheets/d/1xlcVZWUNn6SuWm0c307h32SiGkd9BaeQWlAktfD3KO8/edit?usp=sharing"",""เพชรบูรณ์!I317"")"),"")</f>
        <v/>
      </c>
      <c r="AH23" s="152" t="str">
        <f ca="1">IFERROR(__xludf.DUMMYFUNCTION("IMPORTRANGE(""https://docs.google.com/spreadsheets/d/1xlcVZWUNn6SuWm0c307h32SiGkd9BaeQWlAktfD3KO8/edit?usp=sharing"",""เพชรบูรณ์!J317"")"),"")</f>
        <v/>
      </c>
      <c r="AI23" s="216" t="e">
        <f t="shared" ca="1" si="46"/>
        <v>#VALUE!</v>
      </c>
    </row>
    <row r="24" spans="1:35" ht="24" customHeight="1" x14ac:dyDescent="0.3">
      <c r="A24" s="70">
        <v>11</v>
      </c>
      <c r="B24" s="71" t="s">
        <v>52</v>
      </c>
      <c r="C24" s="149">
        <f t="shared" ca="1" si="28"/>
        <v>0</v>
      </c>
      <c r="D24" s="150">
        <f t="shared" ca="1" si="47"/>
        <v>0</v>
      </c>
      <c r="E24" s="151">
        <f ca="1">IFERROR(__xludf.DUMMYFUNCTION("IMPORTRANGE(""https://docs.google.com/spreadsheets/d/1-uDff_7J0KD5mKrp0Vvzr7lt3OU09vwQwhkpOPPYv2Y/edit?usp=sharing"",""งบพรบ!DZ24"")"),0)</f>
        <v>0</v>
      </c>
      <c r="F24" s="151">
        <f ca="1">IFERROR(__xludf.DUMMYFUNCTION("IMPORTRANGE(""https://docs.google.com/spreadsheets/d/1-uDff_7J0KD5mKrp0Vvzr7lt3OU09vwQwhkpOPPYv2Y/edit?usp=sharing"",""งบพรบ!EA24"")"),0)</f>
        <v>0</v>
      </c>
      <c r="G24" s="151">
        <f ca="1">IFERROR(__xludf.DUMMYFUNCTION("IMPORTRANGE(""https://docs.google.com/spreadsheets/d/1-uDff_7J0KD5mKrp0Vvzr7lt3OU09vwQwhkpOPPYv2Y/edit?usp=sharing"",""งบพรบ!EB24"")"),0)</f>
        <v>0</v>
      </c>
      <c r="H24" s="151">
        <f ca="1">IFERROR(__xludf.DUMMYFUNCTION("IMPORTRANGE(""https://docs.google.com/spreadsheets/d/1-uDff_7J0KD5mKrp0Vvzr7lt3OU09vwQwhkpOPPYv2Y/edit?usp=sharing"",""งบพรบ!ED24"")"),0)</f>
        <v>0</v>
      </c>
      <c r="I24" s="151">
        <f ca="1">IFERROR(__xludf.DUMMYFUNCTION("IMPORTRANGE(""https://docs.google.com/spreadsheets/d/1-uDff_7J0KD5mKrp0Vvzr7lt3OU09vwQwhkpOPPYv2Y/edit?usp=sharing"",""งบพรบ!EE24"")"),0)</f>
        <v>0</v>
      </c>
      <c r="J24" s="151">
        <f t="shared" ca="1" si="30"/>
        <v>0</v>
      </c>
      <c r="K24" s="154">
        <f t="shared" ca="1" si="31"/>
        <v>0</v>
      </c>
      <c r="L24" s="151">
        <f ca="1">IFERROR(__xludf.DUMMYFUNCTION("IMPORTRANGE(""https://docs.google.com/spreadsheets/d/1-uDff_7J0KD5mKrp0Vvzr7lt3OU09vwQwhkpOPPYv2Y/edit?usp=sharing"",""งบพรบ!EF24"")"),0)</f>
        <v>0</v>
      </c>
      <c r="M24" s="68">
        <f t="shared" ca="1" si="32"/>
        <v>0</v>
      </c>
      <c r="N24" s="68">
        <f t="shared" ca="1" si="33"/>
        <v>0</v>
      </c>
      <c r="O24" s="67">
        <f ca="1">IFERROR(__xludf.DUMMYFUNCTION("IMPORTRANGE(""https://docs.google.com/spreadsheets/d/1-uDff_7J0KD5mKrp0Vvzr7lt3OU09vwQwhkpOPPYv2Y/edit?usp=sharing"",""งบพรบ!EG24"")"),0)</f>
        <v>0</v>
      </c>
      <c r="P24" s="67">
        <f t="shared" ca="1" si="34"/>
        <v>0</v>
      </c>
      <c r="Q24" s="68">
        <f t="shared" ca="1" si="35"/>
        <v>0</v>
      </c>
      <c r="R24" s="197">
        <f ca="1">IFERROR(__xludf.DUMMYFUNCTION("IMPORTRANGE(""https://docs.google.com/spreadsheets/d/1lOVebEIsI9qjGXl6EX66luk7wiuP2tBaryw-wKvv4e0/edit?usp=sharing"",""แพร่!Q303"")"),260958.39)</f>
        <v>260958.39</v>
      </c>
      <c r="S24" s="67">
        <f ca="1">IFERROR(__xludf.DUMMYFUNCTION("IMPORTRANGE(""https://docs.google.com/spreadsheets/d/1lOVebEIsI9qjGXl6EX66luk7wiuP2tBaryw-wKvv4e0/edit?usp=sharing"",""แพร่!R303"")"),265158)</f>
        <v>265158</v>
      </c>
      <c r="T24" s="67">
        <f ca="1">IFERROR(__xludf.DUMMYFUNCTION("IMPORTRANGE(""https://docs.google.com/spreadsheets/d/1lOVebEIsI9qjGXl6EX66luk7wiuP2tBaryw-wKvv4e0/edit?usp=sharing"",""แพร่!S303"")"),162405)</f>
        <v>162405</v>
      </c>
      <c r="U24" s="68">
        <f t="shared" ca="1" si="37"/>
        <v>62.234059613871771</v>
      </c>
      <c r="V24" s="68">
        <f t="shared" ca="1" si="38"/>
        <v>61.248387753716649</v>
      </c>
      <c r="W24" s="278" t="str">
        <f ca="1">IFERROR(__xludf.DUMMYFUNCTION("IMPORTRANGE(""https://docs.google.com/spreadsheets/d/1lOVebEIsI9qjGXl6EX66luk7wiuP2tBaryw-wKvv4e0/edit?usp=sharing"",""แพร่!J313"")"),"")</f>
        <v/>
      </c>
      <c r="X24" s="278">
        <f ca="1">IFERROR(__xludf.DUMMYFUNCTION("IMPORTRANGE(""https://docs.google.com/spreadsheets/d/1lOVebEIsI9qjGXl6EX66luk7wiuP2tBaryw-wKvv4e0/edit?usp=sharing"",""แพร่!I314"")"),30)</f>
        <v>30</v>
      </c>
      <c r="Y24" s="152">
        <f ca="1">IFERROR(__xludf.DUMMYFUNCTION("IMPORTRANGE(""https://docs.google.com/spreadsheets/d/1lOVebEIsI9qjGXl6EX66luk7wiuP2tBaryw-wKvv4e0/edit?usp=sharing"",""แพร่!J314"")"),30)</f>
        <v>30</v>
      </c>
      <c r="Z24" s="216">
        <f t="shared" ca="1" si="40"/>
        <v>100</v>
      </c>
      <c r="AA24" s="278" t="str">
        <f ca="1">IFERROR(__xludf.DUMMYFUNCTION("IMPORTRANGE(""https://docs.google.com/spreadsheets/d/1lOVebEIsI9qjGXl6EX66luk7wiuP2tBaryw-wKvv4e0/edit?usp=sharing"",""แพร่!I315"")"),"")</f>
        <v/>
      </c>
      <c r="AB24" s="152" t="str">
        <f ca="1">IFERROR(__xludf.DUMMYFUNCTION("IMPORTRANGE(""https://docs.google.com/spreadsheets/d/1lOVebEIsI9qjGXl6EX66luk7wiuP2tBaryw-wKvv4e0/edit?usp=sharing"",""แพร่!J315"")"),"")</f>
        <v/>
      </c>
      <c r="AC24" s="216" t="e">
        <f t="shared" ca="1" si="42"/>
        <v>#VALUE!</v>
      </c>
      <c r="AD24" s="278" t="str">
        <f ca="1">IFERROR(__xludf.DUMMYFUNCTION("IMPORTRANGE(""https://docs.google.com/spreadsheets/d/1lOVebEIsI9qjGXl6EX66luk7wiuP2tBaryw-wKvv4e0/edit?usp=sharing"",""แพร่!I316"")"),"")</f>
        <v/>
      </c>
      <c r="AE24" s="152" t="str">
        <f ca="1">IFERROR(__xludf.DUMMYFUNCTION("IMPORTRANGE(""https://docs.google.com/spreadsheets/d/1lOVebEIsI9qjGXl6EX66luk7wiuP2tBaryw-wKvv4e0/edit?usp=sharing"",""แพร่!J316"")"),"")</f>
        <v/>
      </c>
      <c r="AF24" s="216" t="e">
        <f t="shared" ca="1" si="44"/>
        <v>#VALUE!</v>
      </c>
      <c r="AG24" s="278" t="str">
        <f ca="1">IFERROR(__xludf.DUMMYFUNCTION("IMPORTRANGE(""https://docs.google.com/spreadsheets/d/1lOVebEIsI9qjGXl6EX66luk7wiuP2tBaryw-wKvv4e0/edit?usp=sharing"",""แพร่!I317"")"),"")</f>
        <v/>
      </c>
      <c r="AH24" s="152" t="str">
        <f ca="1">IFERROR(__xludf.DUMMYFUNCTION("IMPORTRANGE(""https://docs.google.com/spreadsheets/d/1lOVebEIsI9qjGXl6EX66luk7wiuP2tBaryw-wKvv4e0/edit?usp=sharing"",""แพร่!J317"")"),"")</f>
        <v/>
      </c>
      <c r="AI24" s="216" t="e">
        <f t="shared" ca="1" si="46"/>
        <v>#VALUE!</v>
      </c>
    </row>
    <row r="25" spans="1:35" ht="24" customHeight="1" x14ac:dyDescent="0.3">
      <c r="A25" s="70">
        <v>12</v>
      </c>
      <c r="B25" s="71" t="s">
        <v>53</v>
      </c>
      <c r="C25" s="149">
        <f t="shared" ca="1" si="28"/>
        <v>0</v>
      </c>
      <c r="D25" s="150">
        <f t="shared" ca="1" si="47"/>
        <v>0</v>
      </c>
      <c r="E25" s="151">
        <f ca="1">IFERROR(__xludf.DUMMYFUNCTION("IMPORTRANGE(""https://docs.google.com/spreadsheets/d/1-uDff_7J0KD5mKrp0Vvzr7lt3OU09vwQwhkpOPPYv2Y/edit?usp=sharing"",""งบพรบ!DZ25"")"),0)</f>
        <v>0</v>
      </c>
      <c r="F25" s="151">
        <f ca="1">IFERROR(__xludf.DUMMYFUNCTION("IMPORTRANGE(""https://docs.google.com/spreadsheets/d/1-uDff_7J0KD5mKrp0Vvzr7lt3OU09vwQwhkpOPPYv2Y/edit?usp=sharing"",""งบพรบ!EA25"")"),0)</f>
        <v>0</v>
      </c>
      <c r="G25" s="151">
        <f ca="1">IFERROR(__xludf.DUMMYFUNCTION("IMPORTRANGE(""https://docs.google.com/spreadsheets/d/1-uDff_7J0KD5mKrp0Vvzr7lt3OU09vwQwhkpOPPYv2Y/edit?usp=sharing"",""งบพรบ!EB25"")"),0)</f>
        <v>0</v>
      </c>
      <c r="H25" s="151">
        <f ca="1">IFERROR(__xludf.DUMMYFUNCTION("IMPORTRANGE(""https://docs.google.com/spreadsheets/d/1-uDff_7J0KD5mKrp0Vvzr7lt3OU09vwQwhkpOPPYv2Y/edit?usp=sharing"",""งบพรบ!ED25"")"),0)</f>
        <v>0</v>
      </c>
      <c r="I25" s="151">
        <f ca="1">IFERROR(__xludf.DUMMYFUNCTION("IMPORTRANGE(""https://docs.google.com/spreadsheets/d/1-uDff_7J0KD5mKrp0Vvzr7lt3OU09vwQwhkpOPPYv2Y/edit?usp=sharing"",""งบพรบ!EE25"")"),0)</f>
        <v>0</v>
      </c>
      <c r="J25" s="151">
        <f t="shared" ca="1" si="30"/>
        <v>0</v>
      </c>
      <c r="K25" s="154">
        <f t="shared" ca="1" si="31"/>
        <v>0</v>
      </c>
      <c r="L25" s="151">
        <f ca="1">IFERROR(__xludf.DUMMYFUNCTION("IMPORTRANGE(""https://docs.google.com/spreadsheets/d/1-uDff_7J0KD5mKrp0Vvzr7lt3OU09vwQwhkpOPPYv2Y/edit?usp=sharing"",""งบพรบ!EF25"")"),0)</f>
        <v>0</v>
      </c>
      <c r="M25" s="68">
        <f t="shared" ca="1" si="32"/>
        <v>0</v>
      </c>
      <c r="N25" s="68">
        <f t="shared" ca="1" si="33"/>
        <v>0</v>
      </c>
      <c r="O25" s="67">
        <f ca="1">IFERROR(__xludf.DUMMYFUNCTION("IMPORTRANGE(""https://docs.google.com/spreadsheets/d/1-uDff_7J0KD5mKrp0Vvzr7lt3OU09vwQwhkpOPPYv2Y/edit?usp=sharing"",""งบพรบ!EG25"")"),0)</f>
        <v>0</v>
      </c>
      <c r="P25" s="67">
        <f t="shared" ca="1" si="34"/>
        <v>0</v>
      </c>
      <c r="Q25" s="68">
        <f t="shared" ca="1" si="35"/>
        <v>0</v>
      </c>
      <c r="R25" s="197">
        <f ca="1">IFERROR(__xludf.DUMMYFUNCTION("IMPORTRANGE(""https://docs.google.com/spreadsheets/d/1dQrvX0vEcN7Gu0fnZ0B5S90AeR19zth4XlExFBeExMY/edit?usp=sharing"",""แม่ฮ่องสอน!Q303"")"),228095.39)</f>
        <v>228095.39</v>
      </c>
      <c r="S25" s="67">
        <f ca="1">IFERROR(__xludf.DUMMYFUNCTION("IMPORTRANGE(""https://docs.google.com/spreadsheets/d/1dQrvX0vEcN7Gu0fnZ0B5S90AeR19zth4XlExFBeExMY/edit?usp=sharing"",""แม่ฮ่องสอน!R303"")"),232295)</f>
        <v>232295</v>
      </c>
      <c r="T25" s="67">
        <f ca="1">IFERROR(__xludf.DUMMYFUNCTION("IMPORTRANGE(""https://docs.google.com/spreadsheets/d/1dQrvX0vEcN7Gu0fnZ0B5S90AeR19zth4XlExFBeExMY/edit?usp=sharing"",""แม่ฮ่องสอน!S303"")"),203887)</f>
        <v>203887</v>
      </c>
      <c r="U25" s="68">
        <f t="shared" ca="1" si="37"/>
        <v>89.386725439738171</v>
      </c>
      <c r="V25" s="68">
        <f t="shared" ca="1" si="38"/>
        <v>87.770722572590884</v>
      </c>
      <c r="W25" s="278" t="str">
        <f ca="1">IFERROR(__xludf.DUMMYFUNCTION("IMPORTRANGE(""https://docs.google.com/spreadsheets/d/1dQrvX0vEcN7Gu0fnZ0B5S90AeR19zth4XlExFBeExMY/edit?usp=sharing"",""แม่ฮ่องสอน!J313"")"),"")</f>
        <v/>
      </c>
      <c r="X25" s="278">
        <f ca="1">IFERROR(__xludf.DUMMYFUNCTION("IMPORTRANGE(""https://docs.google.com/spreadsheets/d/1dQrvX0vEcN7Gu0fnZ0B5S90AeR19zth4XlExFBeExMY/edit?usp=sharing"",""แม่ฮ่องสอน!I314"")"),25)</f>
        <v>25</v>
      </c>
      <c r="Y25" s="152">
        <f ca="1">IFERROR(__xludf.DUMMYFUNCTION("IMPORTRANGE(""https://docs.google.com/spreadsheets/d/1dQrvX0vEcN7Gu0fnZ0B5S90AeR19zth4XlExFBeExMY/edit?usp=sharing"",""แม่ฮ่องสอน!J314"")"),25)</f>
        <v>25</v>
      </c>
      <c r="Z25" s="216">
        <f t="shared" ca="1" si="40"/>
        <v>100</v>
      </c>
      <c r="AA25" s="278" t="str">
        <f ca="1">IFERROR(__xludf.DUMMYFUNCTION("IMPORTRANGE(""https://docs.google.com/spreadsheets/d/1dQrvX0vEcN7Gu0fnZ0B5S90AeR19zth4XlExFBeExMY/edit?usp=sharing"",""แม่ฮ่องสอน!I315"")"),"")</f>
        <v/>
      </c>
      <c r="AB25" s="152" t="str">
        <f ca="1">IFERROR(__xludf.DUMMYFUNCTION("IMPORTRANGE(""https://docs.google.com/spreadsheets/d/1dQrvX0vEcN7Gu0fnZ0B5S90AeR19zth4XlExFBeExMY/edit?usp=sharing"",""แม่ฮ่องสอน!J315"")"),"")</f>
        <v/>
      </c>
      <c r="AC25" s="216" t="e">
        <f t="shared" ca="1" si="42"/>
        <v>#VALUE!</v>
      </c>
      <c r="AD25" s="278" t="str">
        <f ca="1">IFERROR(__xludf.DUMMYFUNCTION("IMPORTRANGE(""https://docs.google.com/spreadsheets/d/1dQrvX0vEcN7Gu0fnZ0B5S90AeR19zth4XlExFBeExMY/edit?usp=sharing"",""แม่ฮ่องสอน!I316"")"),"")</f>
        <v/>
      </c>
      <c r="AE25" s="152" t="str">
        <f ca="1">IFERROR(__xludf.DUMMYFUNCTION("IMPORTRANGE(""https://docs.google.com/spreadsheets/d/1dQrvX0vEcN7Gu0fnZ0B5S90AeR19zth4XlExFBeExMY/edit?usp=sharing"",""แม่ฮ่องสอน!J316"")"),"")</f>
        <v/>
      </c>
      <c r="AF25" s="216" t="e">
        <f t="shared" ca="1" si="44"/>
        <v>#VALUE!</v>
      </c>
      <c r="AG25" s="278" t="str">
        <f ca="1">IFERROR(__xludf.DUMMYFUNCTION("IMPORTRANGE(""https://docs.google.com/spreadsheets/d/1dQrvX0vEcN7Gu0fnZ0B5S90AeR19zth4XlExFBeExMY/edit?usp=sharing"",""แม่ฮ่องสอน!I317"")"),"")</f>
        <v/>
      </c>
      <c r="AH25" s="152" t="str">
        <f ca="1">IFERROR(__xludf.DUMMYFUNCTION("IMPORTRANGE(""https://docs.google.com/spreadsheets/d/1dQrvX0vEcN7Gu0fnZ0B5S90AeR19zth4XlExFBeExMY/edit?usp=sharing"",""แม่ฮ่องสอน!J317"")"),"")</f>
        <v/>
      </c>
      <c r="AI25" s="216" t="e">
        <f t="shared" ca="1" si="46"/>
        <v>#VALUE!</v>
      </c>
    </row>
    <row r="26" spans="1:35" ht="24" customHeight="1" x14ac:dyDescent="0.3">
      <c r="A26" s="70">
        <v>13</v>
      </c>
      <c r="B26" s="71" t="s">
        <v>54</v>
      </c>
      <c r="C26" s="149">
        <f t="shared" ca="1" si="28"/>
        <v>0</v>
      </c>
      <c r="D26" s="150">
        <f t="shared" ca="1" si="47"/>
        <v>0</v>
      </c>
      <c r="E26" s="151">
        <f ca="1">IFERROR(__xludf.DUMMYFUNCTION("IMPORTRANGE(""https://docs.google.com/spreadsheets/d/1-uDff_7J0KD5mKrp0Vvzr7lt3OU09vwQwhkpOPPYv2Y/edit?usp=sharing"",""งบพรบ!DZ26"")"),0)</f>
        <v>0</v>
      </c>
      <c r="F26" s="151">
        <f ca="1">IFERROR(__xludf.DUMMYFUNCTION("IMPORTRANGE(""https://docs.google.com/spreadsheets/d/1-uDff_7J0KD5mKrp0Vvzr7lt3OU09vwQwhkpOPPYv2Y/edit?usp=sharing"",""งบพรบ!EA26"")"),0)</f>
        <v>0</v>
      </c>
      <c r="G26" s="151">
        <f ca="1">IFERROR(__xludf.DUMMYFUNCTION("IMPORTRANGE(""https://docs.google.com/spreadsheets/d/1-uDff_7J0KD5mKrp0Vvzr7lt3OU09vwQwhkpOPPYv2Y/edit?usp=sharing"",""งบพรบ!EB26"")"),0)</f>
        <v>0</v>
      </c>
      <c r="H26" s="151">
        <f ca="1">IFERROR(__xludf.DUMMYFUNCTION("IMPORTRANGE(""https://docs.google.com/spreadsheets/d/1-uDff_7J0KD5mKrp0Vvzr7lt3OU09vwQwhkpOPPYv2Y/edit?usp=sharing"",""งบพรบ!ED26"")"),0)</f>
        <v>0</v>
      </c>
      <c r="I26" s="151">
        <f ca="1">IFERROR(__xludf.DUMMYFUNCTION("IMPORTRANGE(""https://docs.google.com/spreadsheets/d/1-uDff_7J0KD5mKrp0Vvzr7lt3OU09vwQwhkpOPPYv2Y/edit?usp=sharing"",""งบพรบ!EE26"")"),0)</f>
        <v>0</v>
      </c>
      <c r="J26" s="151">
        <f t="shared" ca="1" si="30"/>
        <v>0</v>
      </c>
      <c r="K26" s="154">
        <f t="shared" ca="1" si="31"/>
        <v>0</v>
      </c>
      <c r="L26" s="151">
        <f ca="1">IFERROR(__xludf.DUMMYFUNCTION("IMPORTRANGE(""https://docs.google.com/spreadsheets/d/1-uDff_7J0KD5mKrp0Vvzr7lt3OU09vwQwhkpOPPYv2Y/edit?usp=sharing"",""งบพรบ!EF26"")"),0)</f>
        <v>0</v>
      </c>
      <c r="M26" s="68">
        <f t="shared" ca="1" si="32"/>
        <v>0</v>
      </c>
      <c r="N26" s="68">
        <f t="shared" ca="1" si="33"/>
        <v>0</v>
      </c>
      <c r="O26" s="67">
        <f ca="1">IFERROR(__xludf.DUMMYFUNCTION("IMPORTRANGE(""https://docs.google.com/spreadsheets/d/1-uDff_7J0KD5mKrp0Vvzr7lt3OU09vwQwhkpOPPYv2Y/edit?usp=sharing"",""งบพรบ!EG26"")"),0)</f>
        <v>0</v>
      </c>
      <c r="P26" s="67">
        <f t="shared" ca="1" si="34"/>
        <v>0</v>
      </c>
      <c r="Q26" s="68">
        <f t="shared" ca="1" si="35"/>
        <v>0</v>
      </c>
      <c r="R26" s="197">
        <f ca="1">IFERROR(__xludf.DUMMYFUNCTION("IMPORTRANGE(""https://docs.google.com/spreadsheets/d/1DY4XTNNwjluuxqdfdn6qvOSlMRrZqUtmYcZR0ttFiG4/edit?usp=sharing"",""ลำปาง!Q303"")"),260958.39)</f>
        <v>260958.39</v>
      </c>
      <c r="S26" s="67">
        <f ca="1">IFERROR(__xludf.DUMMYFUNCTION("IMPORTRANGE(""https://docs.google.com/spreadsheets/d/1DY4XTNNwjluuxqdfdn6qvOSlMRrZqUtmYcZR0ttFiG4/edit?usp=sharing"",""ลำปาง!R303"")"),265158)</f>
        <v>265158</v>
      </c>
      <c r="T26" s="67">
        <f ca="1">IFERROR(__xludf.DUMMYFUNCTION("IMPORTRANGE(""https://docs.google.com/spreadsheets/d/1DY4XTNNwjluuxqdfdn6qvOSlMRrZqUtmYcZR0ttFiG4/edit?usp=sharing"",""ลำปาง!S303"")"),209645)</f>
        <v>209645</v>
      </c>
      <c r="U26" s="68">
        <f t="shared" ca="1" si="37"/>
        <v>80.336562468828845</v>
      </c>
      <c r="V26" s="68">
        <f t="shared" ca="1" si="38"/>
        <v>79.06418060175443</v>
      </c>
      <c r="W26" s="278" t="str">
        <f ca="1">IFERROR(__xludf.DUMMYFUNCTION("IMPORTRANGE(""https://docs.google.com/spreadsheets/d/1DY4XTNNwjluuxqdfdn6qvOSlMRrZqUtmYcZR0ttFiG4/edit?usp=sharing"",""ลำปาง!J313"")"),"")</f>
        <v/>
      </c>
      <c r="X26" s="279">
        <f ca="1">IFERROR(__xludf.DUMMYFUNCTION("IMPORTRANGE(""https://docs.google.com/spreadsheets/d/1DY4XTNNwjluuxqdfdn6qvOSlMRrZqUtmYcZR0ttFiG4/edit?usp=sharing"",""ลำปาง!I314"")"),30)</f>
        <v>30</v>
      </c>
      <c r="Y26" s="152">
        <f ca="1">IFERROR(__xludf.DUMMYFUNCTION("IMPORTRANGE(""https://docs.google.com/spreadsheets/d/1DY4XTNNwjluuxqdfdn6qvOSlMRrZqUtmYcZR0ttFiG4/edit?usp=sharing"",""ลำปาง!J314"")"),30)</f>
        <v>30</v>
      </c>
      <c r="Z26" s="216">
        <f t="shared" ca="1" si="40"/>
        <v>100</v>
      </c>
      <c r="AA26" s="279" t="str">
        <f ca="1">IFERROR(__xludf.DUMMYFUNCTION("IMPORTRANGE(""https://docs.google.com/spreadsheets/d/1DY4XTNNwjluuxqdfdn6qvOSlMRrZqUtmYcZR0ttFiG4/edit?usp=sharing"",""ลำปาง!I315"")"),"")</f>
        <v/>
      </c>
      <c r="AB26" s="152" t="str">
        <f ca="1">IFERROR(__xludf.DUMMYFUNCTION("IMPORTRANGE(""https://docs.google.com/spreadsheets/d/1DY4XTNNwjluuxqdfdn6qvOSlMRrZqUtmYcZR0ttFiG4/edit?usp=sharing"",""ลำปาง!J315"")"),"")</f>
        <v/>
      </c>
      <c r="AC26" s="216" t="e">
        <f t="shared" ca="1" si="42"/>
        <v>#VALUE!</v>
      </c>
      <c r="AD26" s="279" t="str">
        <f ca="1">IFERROR(__xludf.DUMMYFUNCTION("IMPORTRANGE(""https://docs.google.com/spreadsheets/d/1DY4XTNNwjluuxqdfdn6qvOSlMRrZqUtmYcZR0ttFiG4/edit?usp=sharing"",""ลำปาง!I316"")"),"")</f>
        <v/>
      </c>
      <c r="AE26" s="152" t="str">
        <f ca="1">IFERROR(__xludf.DUMMYFUNCTION("IMPORTRANGE(""https://docs.google.com/spreadsheets/d/1DY4XTNNwjluuxqdfdn6qvOSlMRrZqUtmYcZR0ttFiG4/edit?usp=sharing"",""ลำปาง!J316"")"),"")</f>
        <v/>
      </c>
      <c r="AF26" s="216" t="e">
        <f t="shared" ca="1" si="44"/>
        <v>#VALUE!</v>
      </c>
      <c r="AG26" s="279" t="str">
        <f ca="1">IFERROR(__xludf.DUMMYFUNCTION("IMPORTRANGE(""https://docs.google.com/spreadsheets/d/1DY4XTNNwjluuxqdfdn6qvOSlMRrZqUtmYcZR0ttFiG4/edit?usp=sharing"",""ลำปาง!I317"")"),"")</f>
        <v/>
      </c>
      <c r="AH26" s="152" t="str">
        <f ca="1">IFERROR(__xludf.DUMMYFUNCTION("IMPORTRANGE(""https://docs.google.com/spreadsheets/d/1DY4XTNNwjluuxqdfdn6qvOSlMRrZqUtmYcZR0ttFiG4/edit?usp=sharing"",""ลำปาง!J317"")"),"")</f>
        <v/>
      </c>
      <c r="AI26" s="216" t="e">
        <f t="shared" ca="1" si="46"/>
        <v>#VALUE!</v>
      </c>
    </row>
    <row r="27" spans="1:35" ht="24" customHeight="1" x14ac:dyDescent="0.3">
      <c r="A27" s="70">
        <v>14</v>
      </c>
      <c r="B27" s="71" t="s">
        <v>55</v>
      </c>
      <c r="C27" s="149">
        <f t="shared" ca="1" si="28"/>
        <v>0</v>
      </c>
      <c r="D27" s="150">
        <f t="shared" ca="1" si="47"/>
        <v>0</v>
      </c>
      <c r="E27" s="151">
        <f ca="1">IFERROR(__xludf.DUMMYFUNCTION("IMPORTRANGE(""https://docs.google.com/spreadsheets/d/1-uDff_7J0KD5mKrp0Vvzr7lt3OU09vwQwhkpOPPYv2Y/edit?usp=sharing"",""งบพรบ!DZ27"")"),0)</f>
        <v>0</v>
      </c>
      <c r="F27" s="151">
        <f ca="1">IFERROR(__xludf.DUMMYFUNCTION("IMPORTRANGE(""https://docs.google.com/spreadsheets/d/1-uDff_7J0KD5mKrp0Vvzr7lt3OU09vwQwhkpOPPYv2Y/edit?usp=sharing"",""งบพรบ!EA27"")"),0)</f>
        <v>0</v>
      </c>
      <c r="G27" s="151">
        <f ca="1">IFERROR(__xludf.DUMMYFUNCTION("IMPORTRANGE(""https://docs.google.com/spreadsheets/d/1-uDff_7J0KD5mKrp0Vvzr7lt3OU09vwQwhkpOPPYv2Y/edit?usp=sharing"",""งบพรบ!EB27"")"),0)</f>
        <v>0</v>
      </c>
      <c r="H27" s="151">
        <f ca="1">IFERROR(__xludf.DUMMYFUNCTION("IMPORTRANGE(""https://docs.google.com/spreadsheets/d/1-uDff_7J0KD5mKrp0Vvzr7lt3OU09vwQwhkpOPPYv2Y/edit?usp=sharing"",""งบพรบ!ED27"")"),0)</f>
        <v>0</v>
      </c>
      <c r="I27" s="151">
        <f ca="1">IFERROR(__xludf.DUMMYFUNCTION("IMPORTRANGE(""https://docs.google.com/spreadsheets/d/1-uDff_7J0KD5mKrp0Vvzr7lt3OU09vwQwhkpOPPYv2Y/edit?usp=sharing"",""งบพรบ!EE27"")"),0)</f>
        <v>0</v>
      </c>
      <c r="J27" s="151">
        <f t="shared" ca="1" si="30"/>
        <v>0</v>
      </c>
      <c r="K27" s="154">
        <f t="shared" ca="1" si="31"/>
        <v>0</v>
      </c>
      <c r="L27" s="151">
        <f ca="1">IFERROR(__xludf.DUMMYFUNCTION("IMPORTRANGE(""https://docs.google.com/spreadsheets/d/1-uDff_7J0KD5mKrp0Vvzr7lt3OU09vwQwhkpOPPYv2Y/edit?usp=sharing"",""งบพรบ!EF27"")"),0)</f>
        <v>0</v>
      </c>
      <c r="M27" s="68">
        <f t="shared" ca="1" si="32"/>
        <v>0</v>
      </c>
      <c r="N27" s="68">
        <f t="shared" ca="1" si="33"/>
        <v>0</v>
      </c>
      <c r="O27" s="67">
        <f ca="1">IFERROR(__xludf.DUMMYFUNCTION("IMPORTRANGE(""https://docs.google.com/spreadsheets/d/1-uDff_7J0KD5mKrp0Vvzr7lt3OU09vwQwhkpOPPYv2Y/edit?usp=sharing"",""งบพรบ!EG27"")"),0)</f>
        <v>0</v>
      </c>
      <c r="P27" s="67">
        <f t="shared" ca="1" si="34"/>
        <v>0</v>
      </c>
      <c r="Q27" s="68">
        <f t="shared" ca="1" si="35"/>
        <v>0</v>
      </c>
      <c r="R27" s="197">
        <f ca="1">IFERROR(__xludf.DUMMYFUNCTION("IMPORTRANGE(""https://docs.google.com/spreadsheets/d/1ICwG78r0OFT8biBlxnBF8r7she7gNSzOvJ958PWT09c/edit?usp=sharing"",""ลำพูน!Q303"")"),228095.39)</f>
        <v>228095.39</v>
      </c>
      <c r="S27" s="67">
        <f ca="1">IFERROR(__xludf.DUMMYFUNCTION("IMPORTRANGE(""https://docs.google.com/spreadsheets/d/1ICwG78r0OFT8biBlxnBF8r7she7gNSzOvJ958PWT09c/edit?usp=sharing"",""ลำพูน!R303"")"),232295)</f>
        <v>232295</v>
      </c>
      <c r="T27" s="67">
        <f ca="1">IFERROR(__xludf.DUMMYFUNCTION("IMPORTRANGE(""https://docs.google.com/spreadsheets/d/1ICwG78r0OFT8biBlxnBF8r7she7gNSzOvJ958PWT09c/edit?usp=sharing"",""ลำพูน!S303"")"),232295)</f>
        <v>232295</v>
      </c>
      <c r="U27" s="68">
        <f t="shared" ca="1" si="37"/>
        <v>101.84116390953801</v>
      </c>
      <c r="V27" s="68">
        <f t="shared" ca="1" si="38"/>
        <v>100</v>
      </c>
      <c r="W27" s="278" t="str">
        <f ca="1">IFERROR(__xludf.DUMMYFUNCTION("IMPORTRANGE(""https://docs.google.com/spreadsheets/d/1ICwG78r0OFT8biBlxnBF8r7she7gNSzOvJ958PWT09c/edit?usp=sharing"",""ลำพูน!J313"")"),"")</f>
        <v/>
      </c>
      <c r="X27" s="278">
        <f ca="1">IFERROR(__xludf.DUMMYFUNCTION("IMPORTRANGE(""https://docs.google.com/spreadsheets/d/1ICwG78r0OFT8biBlxnBF8r7she7gNSzOvJ958PWT09c/edit?usp=sharing"",""ลำพูน!I314"")"),25)</f>
        <v>25</v>
      </c>
      <c r="Y27" s="152">
        <f ca="1">IFERROR(__xludf.DUMMYFUNCTION("IMPORTRANGE(""https://docs.google.com/spreadsheets/d/1ICwG78r0OFT8biBlxnBF8r7she7gNSzOvJ958PWT09c/edit?usp=sharing"",""ลำพูน!J314"")"),25)</f>
        <v>25</v>
      </c>
      <c r="Z27" s="216">
        <f t="shared" ca="1" si="40"/>
        <v>100</v>
      </c>
      <c r="AA27" s="278" t="str">
        <f ca="1">IFERROR(__xludf.DUMMYFUNCTION("IMPORTRANGE(""https://docs.google.com/spreadsheets/d/1ICwG78r0OFT8biBlxnBF8r7she7gNSzOvJ958PWT09c/edit?usp=sharing"",""ลำพูน!I315"")"),"")</f>
        <v/>
      </c>
      <c r="AB27" s="152" t="str">
        <f ca="1">IFERROR(__xludf.DUMMYFUNCTION("IMPORTRANGE(""https://docs.google.com/spreadsheets/d/1ICwG78r0OFT8biBlxnBF8r7she7gNSzOvJ958PWT09c/edit?usp=sharing"",""ลำพูน!J315"")"),"")</f>
        <v/>
      </c>
      <c r="AC27" s="216" t="e">
        <f t="shared" ca="1" si="42"/>
        <v>#VALUE!</v>
      </c>
      <c r="AD27" s="278" t="str">
        <f ca="1">IFERROR(__xludf.DUMMYFUNCTION("IMPORTRANGE(""https://docs.google.com/spreadsheets/d/1ICwG78r0OFT8biBlxnBF8r7she7gNSzOvJ958PWT09c/edit?usp=sharing"",""ลำพูน!I316"")"),"")</f>
        <v/>
      </c>
      <c r="AE27" s="152" t="str">
        <f ca="1">IFERROR(__xludf.DUMMYFUNCTION("IMPORTRANGE(""https://docs.google.com/spreadsheets/d/1ICwG78r0OFT8biBlxnBF8r7she7gNSzOvJ958PWT09c/edit?usp=sharing"",""ลำพูน!J316"")"),"")</f>
        <v/>
      </c>
      <c r="AF27" s="216" t="e">
        <f t="shared" ca="1" si="44"/>
        <v>#VALUE!</v>
      </c>
      <c r="AG27" s="278" t="str">
        <f ca="1">IFERROR(__xludf.DUMMYFUNCTION("IMPORTRANGE(""https://docs.google.com/spreadsheets/d/1ICwG78r0OFT8biBlxnBF8r7she7gNSzOvJ958PWT09c/edit?usp=sharing"",""ลำพูน!I317"")"),"")</f>
        <v/>
      </c>
      <c r="AH27" s="152" t="str">
        <f ca="1">IFERROR(__xludf.DUMMYFUNCTION("IMPORTRANGE(""https://docs.google.com/spreadsheets/d/1ICwG78r0OFT8biBlxnBF8r7she7gNSzOvJ958PWT09c/edit?usp=sharing"",""ลำพูน!J317"")"),"")</f>
        <v/>
      </c>
      <c r="AI27" s="216" t="e">
        <f t="shared" ca="1" si="46"/>
        <v>#VALUE!</v>
      </c>
    </row>
    <row r="28" spans="1:35" ht="24" customHeight="1" x14ac:dyDescent="0.3">
      <c r="A28" s="70">
        <v>15</v>
      </c>
      <c r="B28" s="71" t="s">
        <v>56</v>
      </c>
      <c r="C28" s="149">
        <f t="shared" ca="1" si="28"/>
        <v>0</v>
      </c>
      <c r="D28" s="150">
        <f t="shared" ca="1" si="47"/>
        <v>0</v>
      </c>
      <c r="E28" s="151">
        <f ca="1">IFERROR(__xludf.DUMMYFUNCTION("IMPORTRANGE(""https://docs.google.com/spreadsheets/d/1-uDff_7J0KD5mKrp0Vvzr7lt3OU09vwQwhkpOPPYv2Y/edit?usp=sharing"",""งบพรบ!DZ28"")"),0)</f>
        <v>0</v>
      </c>
      <c r="F28" s="151">
        <f ca="1">IFERROR(__xludf.DUMMYFUNCTION("IMPORTRANGE(""https://docs.google.com/spreadsheets/d/1-uDff_7J0KD5mKrp0Vvzr7lt3OU09vwQwhkpOPPYv2Y/edit?usp=sharing"",""งบพรบ!EA28"")"),0)</f>
        <v>0</v>
      </c>
      <c r="G28" s="151">
        <f ca="1">IFERROR(__xludf.DUMMYFUNCTION("IMPORTRANGE(""https://docs.google.com/spreadsheets/d/1-uDff_7J0KD5mKrp0Vvzr7lt3OU09vwQwhkpOPPYv2Y/edit?usp=sharing"",""งบพรบ!EB28"")"),0)</f>
        <v>0</v>
      </c>
      <c r="H28" s="151">
        <f ca="1">IFERROR(__xludf.DUMMYFUNCTION("IMPORTRANGE(""https://docs.google.com/spreadsheets/d/1-uDff_7J0KD5mKrp0Vvzr7lt3OU09vwQwhkpOPPYv2Y/edit?usp=sharing"",""งบพรบ!ED28"")"),0)</f>
        <v>0</v>
      </c>
      <c r="I28" s="151">
        <f ca="1">IFERROR(__xludf.DUMMYFUNCTION("IMPORTRANGE(""https://docs.google.com/spreadsheets/d/1-uDff_7J0KD5mKrp0Vvzr7lt3OU09vwQwhkpOPPYv2Y/edit?usp=sharing"",""งบพรบ!EE28"")"),0)</f>
        <v>0</v>
      </c>
      <c r="J28" s="151">
        <f t="shared" ca="1" si="30"/>
        <v>0</v>
      </c>
      <c r="K28" s="154">
        <f t="shared" ca="1" si="31"/>
        <v>0</v>
      </c>
      <c r="L28" s="151">
        <f ca="1">IFERROR(__xludf.DUMMYFUNCTION("IMPORTRANGE(""https://docs.google.com/spreadsheets/d/1-uDff_7J0KD5mKrp0Vvzr7lt3OU09vwQwhkpOPPYv2Y/edit?usp=sharing"",""งบพรบ!EF28"")"),0)</f>
        <v>0</v>
      </c>
      <c r="M28" s="68">
        <f t="shared" ca="1" si="32"/>
        <v>0</v>
      </c>
      <c r="N28" s="68">
        <f t="shared" ca="1" si="33"/>
        <v>0</v>
      </c>
      <c r="O28" s="67">
        <f ca="1">IFERROR(__xludf.DUMMYFUNCTION("IMPORTRANGE(""https://docs.google.com/spreadsheets/d/1-uDff_7J0KD5mKrp0Vvzr7lt3OU09vwQwhkpOPPYv2Y/edit?usp=sharing"",""งบพรบ!EG28"")"),0)</f>
        <v>0</v>
      </c>
      <c r="P28" s="67">
        <f t="shared" ca="1" si="34"/>
        <v>0</v>
      </c>
      <c r="Q28" s="68">
        <f t="shared" ca="1" si="35"/>
        <v>0</v>
      </c>
      <c r="R28" s="197">
        <f ca="1">IFERROR(__xludf.DUMMYFUNCTION("IMPORTRANGE(""https://docs.google.com/spreadsheets/d/1B0f2xJpZUC6Z0xXnqKlZtEPzsf6L84eP1r1Q15seqRM/edit?usp=sharing"",""สุโขทัย!Q303"")"),374853.15)</f>
        <v>374853.15</v>
      </c>
      <c r="S28" s="67">
        <f ca="1">IFERROR(__xludf.DUMMYFUNCTION("IMPORTRANGE(""https://docs.google.com/spreadsheets/d/1B0f2xJpZUC6Z0xXnqKlZtEPzsf6L84eP1r1Q15seqRM/edit?usp=sharing"",""สุโขทัย!R303"")"),379053)</f>
        <v>379053</v>
      </c>
      <c r="T28" s="67">
        <f ca="1">IFERROR(__xludf.DUMMYFUNCTION("IMPORTRANGE(""https://docs.google.com/spreadsheets/d/1B0f2xJpZUC6Z0xXnqKlZtEPzsf6L84eP1r1Q15seqRM/edit?usp=sharing"",""สุโขทัย!S303"")"),32667)</f>
        <v>32667</v>
      </c>
      <c r="U28" s="68">
        <f t="shared" ca="1" si="37"/>
        <v>8.714612642310728</v>
      </c>
      <c r="V28" s="68">
        <f t="shared" ca="1" si="38"/>
        <v>8.6180560502093382</v>
      </c>
      <c r="W28" s="278" t="str">
        <f ca="1">IFERROR(__xludf.DUMMYFUNCTION("IMPORTRANGE(""https://docs.google.com/spreadsheets/d/1B0f2xJpZUC6Z0xXnqKlZtEPzsf6L84eP1r1Q15seqRM/edit?usp=sharing"",""สุโขทัย!J313"")"),"")</f>
        <v/>
      </c>
      <c r="X28" s="278">
        <f ca="1">IFERROR(__xludf.DUMMYFUNCTION("IMPORTRANGE(""https://docs.google.com/spreadsheets/d/1B0f2xJpZUC6Z0xXnqKlZtEPzsf6L84eP1r1Q15seqRM/edit?usp=sharing"",""สุโขทัย!I314"")"),50)</f>
        <v>50</v>
      </c>
      <c r="Y28" s="152">
        <f ca="1">IFERROR(__xludf.DUMMYFUNCTION("IMPORTRANGE(""https://docs.google.com/spreadsheets/d/1B0f2xJpZUC6Z0xXnqKlZtEPzsf6L84eP1r1Q15seqRM/edit?usp=sharing"",""สุโขทัย!J314"")"),50)</f>
        <v>50</v>
      </c>
      <c r="Z28" s="216">
        <f t="shared" ca="1" si="40"/>
        <v>100</v>
      </c>
      <c r="AA28" s="278" t="str">
        <f ca="1">IFERROR(__xludf.DUMMYFUNCTION("IMPORTRANGE(""https://docs.google.com/spreadsheets/d/1B0f2xJpZUC6Z0xXnqKlZtEPzsf6L84eP1r1Q15seqRM/edit?usp=sharing"",""สุโขทัย!I315"")"),"")</f>
        <v/>
      </c>
      <c r="AB28" s="152" t="str">
        <f ca="1">IFERROR(__xludf.DUMMYFUNCTION("IMPORTRANGE(""https://docs.google.com/spreadsheets/d/1B0f2xJpZUC6Z0xXnqKlZtEPzsf6L84eP1r1Q15seqRM/edit?usp=sharing"",""สุโขทัย!J315"")"),"")</f>
        <v/>
      </c>
      <c r="AC28" s="216" t="e">
        <f t="shared" ca="1" si="42"/>
        <v>#VALUE!</v>
      </c>
      <c r="AD28" s="278" t="str">
        <f ca="1">IFERROR(__xludf.DUMMYFUNCTION("IMPORTRANGE(""https://docs.google.com/spreadsheets/d/1B0f2xJpZUC6Z0xXnqKlZtEPzsf6L84eP1r1Q15seqRM/edit?usp=sharing"",""สุโขทัย!I316"")"),"")</f>
        <v/>
      </c>
      <c r="AE28" s="152" t="str">
        <f ca="1">IFERROR(__xludf.DUMMYFUNCTION("IMPORTRANGE(""https://docs.google.com/spreadsheets/d/1B0f2xJpZUC6Z0xXnqKlZtEPzsf6L84eP1r1Q15seqRM/edit?usp=sharing"",""สุโขทัย!J316"")"),"")</f>
        <v/>
      </c>
      <c r="AF28" s="216" t="e">
        <f t="shared" ca="1" si="44"/>
        <v>#VALUE!</v>
      </c>
      <c r="AG28" s="278" t="str">
        <f ca="1">IFERROR(__xludf.DUMMYFUNCTION("IMPORTRANGE(""https://docs.google.com/spreadsheets/d/1B0f2xJpZUC6Z0xXnqKlZtEPzsf6L84eP1r1Q15seqRM/edit?usp=sharing"",""สุโขทัย!I317"")"),"")</f>
        <v/>
      </c>
      <c r="AH28" s="152" t="str">
        <f ca="1">IFERROR(__xludf.DUMMYFUNCTION("IMPORTRANGE(""https://docs.google.com/spreadsheets/d/1B0f2xJpZUC6Z0xXnqKlZtEPzsf6L84eP1r1Q15seqRM/edit?usp=sharing"",""สุโขทัย!J317"")"),"")</f>
        <v/>
      </c>
      <c r="AI28" s="216" t="e">
        <f t="shared" ca="1" si="46"/>
        <v>#VALUE!</v>
      </c>
    </row>
    <row r="29" spans="1:35" ht="24" customHeight="1" x14ac:dyDescent="0.3">
      <c r="A29" s="70">
        <v>16</v>
      </c>
      <c r="B29" s="71" t="s">
        <v>57</v>
      </c>
      <c r="C29" s="149">
        <f t="shared" ca="1" si="28"/>
        <v>264500</v>
      </c>
      <c r="D29" s="150">
        <f t="shared" ca="1" si="47"/>
        <v>264500</v>
      </c>
      <c r="E29" s="151">
        <f ca="1">IFERROR(__xludf.DUMMYFUNCTION("IMPORTRANGE(""https://docs.google.com/spreadsheets/d/1-uDff_7J0KD5mKrp0Vvzr7lt3OU09vwQwhkpOPPYv2Y/edit?usp=sharing"",""งบพรบ!DZ29"")"),160600)</f>
        <v>160600</v>
      </c>
      <c r="F29" s="151">
        <f ca="1">IFERROR(__xludf.DUMMYFUNCTION("IMPORTRANGE(""https://docs.google.com/spreadsheets/d/1-uDff_7J0KD5mKrp0Vvzr7lt3OU09vwQwhkpOPPYv2Y/edit?usp=sharing"",""งบพรบ!EA29"")"),103900)</f>
        <v>103900</v>
      </c>
      <c r="G29" s="151">
        <f ca="1">IFERROR(__xludf.DUMMYFUNCTION("IMPORTRANGE(""https://docs.google.com/spreadsheets/d/1-uDff_7J0KD5mKrp0Vvzr7lt3OU09vwQwhkpOPPYv2Y/edit?usp=sharing"",""งบพรบ!EB29"")"),0)</f>
        <v>0</v>
      </c>
      <c r="H29" s="151">
        <f ca="1">IFERROR(__xludf.DUMMYFUNCTION("IMPORTRANGE(""https://docs.google.com/spreadsheets/d/1-uDff_7J0KD5mKrp0Vvzr7lt3OU09vwQwhkpOPPYv2Y/edit?usp=sharing"",""งบพรบ!ED29"")"),264500)</f>
        <v>264500</v>
      </c>
      <c r="I29" s="151">
        <f ca="1">IFERROR(__xludf.DUMMYFUNCTION("IMPORTRANGE(""https://docs.google.com/spreadsheets/d/1-uDff_7J0KD5mKrp0Vvzr7lt3OU09vwQwhkpOPPYv2Y/edit?usp=sharing"",""งบพรบ!EE29"")"),0)</f>
        <v>0</v>
      </c>
      <c r="J29" s="151">
        <f t="shared" ca="1" si="30"/>
        <v>228245.1</v>
      </c>
      <c r="K29" s="154">
        <f t="shared" ca="1" si="31"/>
        <v>86.29304347826087</v>
      </c>
      <c r="L29" s="151">
        <f ca="1">IFERROR(__xludf.DUMMYFUNCTION("IMPORTRANGE(""https://docs.google.com/spreadsheets/d/1-uDff_7J0KD5mKrp0Vvzr7lt3OU09vwQwhkpOPPYv2Y/edit?usp=sharing"",""งบพรบ!EF29"")"),228245.1)</f>
        <v>228245.1</v>
      </c>
      <c r="M29" s="68">
        <f t="shared" ca="1" si="32"/>
        <v>86.29304347826087</v>
      </c>
      <c r="N29" s="68">
        <f t="shared" ca="1" si="33"/>
        <v>86.29304347826087</v>
      </c>
      <c r="O29" s="67">
        <f ca="1">IFERROR(__xludf.DUMMYFUNCTION("IMPORTRANGE(""https://docs.google.com/spreadsheets/d/1-uDff_7J0KD5mKrp0Vvzr7lt3OU09vwQwhkpOPPYv2Y/edit?usp=sharing"",""งบพรบ!EG29"")"),0)</f>
        <v>0</v>
      </c>
      <c r="P29" s="67">
        <f t="shared" ca="1" si="34"/>
        <v>0</v>
      </c>
      <c r="Q29" s="68">
        <f t="shared" ca="1" si="35"/>
        <v>0</v>
      </c>
      <c r="R29" s="197">
        <f ca="1">IFERROR(__xludf.DUMMYFUNCTION("IMPORTRANGE(""https://docs.google.com/spreadsheets/d/1v0b9pFQCsKUVExMei7AgY2yQkdeNQvtOssygGsXbiKo/edit?usp=sharing"",""อุตรดิตถ์!Q303"")"),144609.24)</f>
        <v>144609.24</v>
      </c>
      <c r="S29" s="67">
        <f ca="1">IFERROR(__xludf.DUMMYFUNCTION("IMPORTRANGE(""https://docs.google.com/spreadsheets/d/1v0b9pFQCsKUVExMei7AgY2yQkdeNQvtOssygGsXbiKo/edit?usp=sharing"",""อุตรดิตถ์!R303"")"),148809)</f>
        <v>148809</v>
      </c>
      <c r="T29" s="67">
        <f ca="1">IFERROR(__xludf.DUMMYFUNCTION("IMPORTRANGE(""https://docs.google.com/spreadsheets/d/1v0b9pFQCsKUVExMei7AgY2yQkdeNQvtOssygGsXbiKo/edit?usp=sharing"",""อุตรดิตถ์!S303"")"),1820)</f>
        <v>1820</v>
      </c>
      <c r="U29" s="68">
        <f t="shared" ca="1" si="37"/>
        <v>1.2585641138837325</v>
      </c>
      <c r="V29" s="68">
        <f t="shared" ca="1" si="38"/>
        <v>1.2230443051159541</v>
      </c>
      <c r="W29" s="278" t="str">
        <f ca="1">IFERROR(__xludf.DUMMYFUNCTION("IMPORTRANGE(""https://docs.google.com/spreadsheets/d/1v0b9pFQCsKUVExMei7AgY2yQkdeNQvtOssygGsXbiKo/edit?usp=sharing"",""อุตรดิตถ์!J313"")"),"")</f>
        <v/>
      </c>
      <c r="X29" s="278">
        <f ca="1">IFERROR(__xludf.DUMMYFUNCTION("IMPORTRANGE(""https://docs.google.com/spreadsheets/d/1v0b9pFQCsKUVExMei7AgY2yQkdeNQvtOssygGsXbiKo/edit?usp=sharing"",""อุตรดิตถ์!I314"")"),20)</f>
        <v>20</v>
      </c>
      <c r="Y29" s="152">
        <f ca="1">IFERROR(__xludf.DUMMYFUNCTION("IMPORTRANGE(""https://docs.google.com/spreadsheets/d/1v0b9pFQCsKUVExMei7AgY2yQkdeNQvtOssygGsXbiKo/edit?usp=sharing"",""อุตรดิตถ์!J314"")"),20)</f>
        <v>20</v>
      </c>
      <c r="Z29" s="216">
        <f t="shared" ca="1" si="40"/>
        <v>100</v>
      </c>
      <c r="AA29" s="278" t="str">
        <f ca="1">IFERROR(__xludf.DUMMYFUNCTION("IMPORTRANGE(""https://docs.google.com/spreadsheets/d/1v0b9pFQCsKUVExMei7AgY2yQkdeNQvtOssygGsXbiKo/edit?usp=sharing"",""อุตรดิตถ์!I315"")"),"")</f>
        <v/>
      </c>
      <c r="AB29" s="152" t="str">
        <f ca="1">IFERROR(__xludf.DUMMYFUNCTION("IMPORTRANGE(""https://docs.google.com/spreadsheets/d/1v0b9pFQCsKUVExMei7AgY2yQkdeNQvtOssygGsXbiKo/edit?usp=sharing"",""อุตรดิตถ์!J315"")"),"")</f>
        <v/>
      </c>
      <c r="AC29" s="216" t="e">
        <f t="shared" ca="1" si="42"/>
        <v>#VALUE!</v>
      </c>
      <c r="AD29" s="278" t="str">
        <f ca="1">IFERROR(__xludf.DUMMYFUNCTION("IMPORTRANGE(""https://docs.google.com/spreadsheets/d/1v0b9pFQCsKUVExMei7AgY2yQkdeNQvtOssygGsXbiKo/edit?usp=sharing"",""อุตรดิตถ์!I316"")"),"")</f>
        <v/>
      </c>
      <c r="AE29" s="152" t="str">
        <f ca="1">IFERROR(__xludf.DUMMYFUNCTION("IMPORTRANGE(""https://docs.google.com/spreadsheets/d/1v0b9pFQCsKUVExMei7AgY2yQkdeNQvtOssygGsXbiKo/edit?usp=sharing"",""อุตรดิตถ์!J316"")"),"")</f>
        <v/>
      </c>
      <c r="AF29" s="216" t="e">
        <f t="shared" ca="1" si="44"/>
        <v>#VALUE!</v>
      </c>
      <c r="AG29" s="278" t="str">
        <f ca="1">IFERROR(__xludf.DUMMYFUNCTION("IMPORTRANGE(""https://docs.google.com/spreadsheets/d/1v0b9pFQCsKUVExMei7AgY2yQkdeNQvtOssygGsXbiKo/edit?usp=sharing"",""อุตรดิตถ์!I317"")"),"")</f>
        <v/>
      </c>
      <c r="AH29" s="152" t="str">
        <f ca="1">IFERROR(__xludf.DUMMYFUNCTION("IMPORTRANGE(""https://docs.google.com/spreadsheets/d/1v0b9pFQCsKUVExMei7AgY2yQkdeNQvtOssygGsXbiKo/edit?usp=sharing"",""อุตรดิตถ์!J317"")"),"")</f>
        <v/>
      </c>
      <c r="AI29" s="216" t="e">
        <f t="shared" ca="1" si="46"/>
        <v>#VALUE!</v>
      </c>
    </row>
    <row r="30" spans="1:35" ht="24" customHeight="1" x14ac:dyDescent="0.3">
      <c r="A30" s="80">
        <v>17</v>
      </c>
      <c r="B30" s="81" t="s">
        <v>58</v>
      </c>
      <c r="C30" s="157">
        <f t="shared" ca="1" si="28"/>
        <v>264500</v>
      </c>
      <c r="D30" s="158">
        <f t="shared" ca="1" si="47"/>
        <v>264500</v>
      </c>
      <c r="E30" s="159">
        <f ca="1">IFERROR(__xludf.DUMMYFUNCTION("IMPORTRANGE(""https://docs.google.com/spreadsheets/d/1-uDff_7J0KD5mKrp0Vvzr7lt3OU09vwQwhkpOPPYv2Y/edit?usp=sharing"",""งบพรบ!DZ30"")"),160600)</f>
        <v>160600</v>
      </c>
      <c r="F30" s="159">
        <f ca="1">IFERROR(__xludf.DUMMYFUNCTION("IMPORTRANGE(""https://docs.google.com/spreadsheets/d/1-uDff_7J0KD5mKrp0Vvzr7lt3OU09vwQwhkpOPPYv2Y/edit?usp=sharing"",""งบพรบ!EA30"")"),103900)</f>
        <v>103900</v>
      </c>
      <c r="G30" s="159">
        <f ca="1">IFERROR(__xludf.DUMMYFUNCTION("IMPORTRANGE(""https://docs.google.com/spreadsheets/d/1-uDff_7J0KD5mKrp0Vvzr7lt3OU09vwQwhkpOPPYv2Y/edit?usp=sharing"",""งบพรบ!EB30"")"),0)</f>
        <v>0</v>
      </c>
      <c r="H30" s="159">
        <f ca="1">IFERROR(__xludf.DUMMYFUNCTION("IMPORTRANGE(""https://docs.google.com/spreadsheets/d/1-uDff_7J0KD5mKrp0Vvzr7lt3OU09vwQwhkpOPPYv2Y/edit?usp=sharing"",""งบพรบ!ED30"")"),399300)</f>
        <v>399300</v>
      </c>
      <c r="I30" s="159">
        <f ca="1">IFERROR(__xludf.DUMMYFUNCTION("IMPORTRANGE(""https://docs.google.com/spreadsheets/d/1-uDff_7J0KD5mKrp0Vvzr7lt3OU09vwQwhkpOPPYv2Y/edit?usp=sharing"",""งบพรบ!EE30"")"),0)</f>
        <v>0</v>
      </c>
      <c r="J30" s="159">
        <f t="shared" ca="1" si="30"/>
        <v>264837.08</v>
      </c>
      <c r="K30" s="160">
        <f t="shared" ca="1" si="31"/>
        <v>100.12744045368621</v>
      </c>
      <c r="L30" s="159">
        <f ca="1">IFERROR(__xludf.DUMMYFUNCTION("IMPORTRANGE(""https://docs.google.com/spreadsheets/d/1-uDff_7J0KD5mKrp0Vvzr7lt3OU09vwQwhkpOPPYv2Y/edit?usp=sharing"",""งบพรบ!EF30"")"),264837.08)</f>
        <v>264837.08</v>
      </c>
      <c r="M30" s="89">
        <f t="shared" ca="1" si="32"/>
        <v>100.12744045368621</v>
      </c>
      <c r="N30" s="89">
        <f t="shared" ca="1" si="33"/>
        <v>66.325339343851738</v>
      </c>
      <c r="O30" s="88">
        <f ca="1">IFERROR(__xludf.DUMMYFUNCTION("IMPORTRANGE(""https://docs.google.com/spreadsheets/d/1-uDff_7J0KD5mKrp0Vvzr7lt3OU09vwQwhkpOPPYv2Y/edit?usp=sharing"",""งบพรบ!EG30"")"),0)</f>
        <v>0</v>
      </c>
      <c r="P30" s="88">
        <f t="shared" ca="1" si="34"/>
        <v>0</v>
      </c>
      <c r="Q30" s="89">
        <f t="shared" ca="1" si="35"/>
        <v>0</v>
      </c>
      <c r="R30" s="198">
        <f ca="1">IFERROR(__xludf.DUMMYFUNCTION("IMPORTRANGE(""https://docs.google.com/spreadsheets/d/1UsNK1e-WWiCo2PvGqdNfdme4m17_Ezd3J69EeeiQPD0/edit?usp=sharing"",""อุทัยธานี!Q303"")"),144609.24)</f>
        <v>144609.24</v>
      </c>
      <c r="S30" s="88">
        <f ca="1">IFERROR(__xludf.DUMMYFUNCTION("IMPORTRANGE(""https://docs.google.com/spreadsheets/d/1UsNK1e-WWiCo2PvGqdNfdme4m17_Ezd3J69EeeiQPD0/edit?usp=sharing"",""อุทัยธานี!R303"")"),148809)</f>
        <v>148809</v>
      </c>
      <c r="T30" s="88">
        <f ca="1">IFERROR(__xludf.DUMMYFUNCTION("IMPORTRANGE(""https://docs.google.com/spreadsheets/d/1UsNK1e-WWiCo2PvGqdNfdme4m17_Ezd3J69EeeiQPD0/edit?usp=sharing"",""อุทัยธานี!S303"")"),120260)</f>
        <v>120260</v>
      </c>
      <c r="U30" s="89">
        <f t="shared" ca="1" si="37"/>
        <v>83.162044140471252</v>
      </c>
      <c r="V30" s="89">
        <f t="shared" ca="1" si="38"/>
        <v>80.815004468815729</v>
      </c>
      <c r="W30" s="280" t="str">
        <f ca="1">IFERROR(__xludf.DUMMYFUNCTION("IMPORTRANGE(""https://docs.google.com/spreadsheets/d/1UsNK1e-WWiCo2PvGqdNfdme4m17_Ezd3J69EeeiQPD0/edit?usp=sharing"",""อุทัยธานี!J313"")"),"")</f>
        <v/>
      </c>
      <c r="X30" s="280">
        <f ca="1">IFERROR(__xludf.DUMMYFUNCTION("IMPORTRANGE(""https://docs.google.com/spreadsheets/d/1UsNK1e-WWiCo2PvGqdNfdme4m17_Ezd3J69EeeiQPD0/edit?usp=sharing"",""อุทัยธานี!I314"")"),20)</f>
        <v>20</v>
      </c>
      <c r="Y30" s="191">
        <f ca="1">IFERROR(__xludf.DUMMYFUNCTION("IMPORTRANGE(""https://docs.google.com/spreadsheets/d/1UsNK1e-WWiCo2PvGqdNfdme4m17_Ezd3J69EeeiQPD0/edit?usp=sharing"",""อุทัยธานี!J314"")"),20)</f>
        <v>20</v>
      </c>
      <c r="Z30" s="218">
        <f t="shared" ca="1" si="40"/>
        <v>100</v>
      </c>
      <c r="AA30" s="280" t="str">
        <f ca="1">IFERROR(__xludf.DUMMYFUNCTION("IMPORTRANGE(""https://docs.google.com/spreadsheets/d/1UsNK1e-WWiCo2PvGqdNfdme4m17_Ezd3J69EeeiQPD0/edit?usp=sharing"",""อุทัยธานี!I315"")"),"")</f>
        <v/>
      </c>
      <c r="AB30" s="191" t="str">
        <f ca="1">IFERROR(__xludf.DUMMYFUNCTION("IMPORTRANGE(""https://docs.google.com/spreadsheets/d/1UsNK1e-WWiCo2PvGqdNfdme4m17_Ezd3J69EeeiQPD0/edit?usp=sharing"",""อุทัยธานี!J315"")"),"")</f>
        <v/>
      </c>
      <c r="AC30" s="218" t="e">
        <f t="shared" ca="1" si="42"/>
        <v>#VALUE!</v>
      </c>
      <c r="AD30" s="280" t="str">
        <f ca="1">IFERROR(__xludf.DUMMYFUNCTION("IMPORTRANGE(""https://docs.google.com/spreadsheets/d/1UsNK1e-WWiCo2PvGqdNfdme4m17_Ezd3J69EeeiQPD0/edit?usp=sharing"",""อุทัยธานี!I316"")"),"")</f>
        <v/>
      </c>
      <c r="AE30" s="191" t="str">
        <f ca="1">IFERROR(__xludf.DUMMYFUNCTION("IMPORTRANGE(""https://docs.google.com/spreadsheets/d/1UsNK1e-WWiCo2PvGqdNfdme4m17_Ezd3J69EeeiQPD0/edit?usp=sharing"",""อุทัยธานี!J316"")"),"")</f>
        <v/>
      </c>
      <c r="AF30" s="218" t="e">
        <f t="shared" ca="1" si="44"/>
        <v>#VALUE!</v>
      </c>
      <c r="AG30" s="280" t="str">
        <f ca="1">IFERROR(__xludf.DUMMYFUNCTION("IMPORTRANGE(""https://docs.google.com/spreadsheets/d/1UsNK1e-WWiCo2PvGqdNfdme4m17_Ezd3J69EeeiQPD0/edit?usp=sharing"",""อุทัยธานี!I317"")"),"")</f>
        <v/>
      </c>
      <c r="AH30" s="191" t="str">
        <f ca="1">IFERROR(__xludf.DUMMYFUNCTION("IMPORTRANGE(""https://docs.google.com/spreadsheets/d/1UsNK1e-WWiCo2PvGqdNfdme4m17_Ezd3J69EeeiQPD0/edit?usp=sharing"",""อุทัยธานี!J317"")"),"")</f>
        <v/>
      </c>
      <c r="AI30" s="218" t="e">
        <f t="shared" ca="1" si="46"/>
        <v>#VALUE!</v>
      </c>
    </row>
    <row r="31" spans="1:35" ht="21" customHeight="1" x14ac:dyDescent="0.3">
      <c r="A31" s="665" t="s">
        <v>59</v>
      </c>
      <c r="B31" s="666"/>
      <c r="C31" s="161">
        <f t="shared" ca="1" si="28"/>
        <v>1500675</v>
      </c>
      <c r="D31" s="161">
        <f t="shared" ref="D31:I31" ca="1" si="48">SUM(D32:D51)</f>
        <v>1500675</v>
      </c>
      <c r="E31" s="161">
        <f t="shared" ca="1" si="48"/>
        <v>751900</v>
      </c>
      <c r="F31" s="161">
        <f t="shared" ca="1" si="48"/>
        <v>748775</v>
      </c>
      <c r="G31" s="161">
        <f t="shared" ca="1" si="48"/>
        <v>0</v>
      </c>
      <c r="H31" s="161">
        <f t="shared" ca="1" si="48"/>
        <v>1500675</v>
      </c>
      <c r="I31" s="161">
        <f t="shared" ca="1" si="48"/>
        <v>0</v>
      </c>
      <c r="J31" s="161">
        <f t="shared" ca="1" si="30"/>
        <v>1361000.77</v>
      </c>
      <c r="K31" s="162">
        <f t="shared" ca="1" si="31"/>
        <v>90.692573008812701</v>
      </c>
      <c r="L31" s="161">
        <f ca="1">SUM(L32:L51)</f>
        <v>1361000.77</v>
      </c>
      <c r="M31" s="94">
        <f t="shared" ca="1" si="32"/>
        <v>90.692573008812701</v>
      </c>
      <c r="N31" s="94">
        <f t="shared" ca="1" si="33"/>
        <v>90.692573008812701</v>
      </c>
      <c r="O31" s="93">
        <f ca="1">SUM(O32:O51)</f>
        <v>0</v>
      </c>
      <c r="P31" s="93">
        <f t="shared" ca="1" si="34"/>
        <v>0</v>
      </c>
      <c r="Q31" s="94">
        <f t="shared" ca="1" si="35"/>
        <v>0</v>
      </c>
      <c r="R31" s="199">
        <f t="shared" ref="R31:T31" ca="1" si="49">SUM(R32:R51)</f>
        <v>3742634.1500000004</v>
      </c>
      <c r="S31" s="93">
        <f t="shared" ca="1" si="49"/>
        <v>3809830</v>
      </c>
      <c r="T31" s="93">
        <f t="shared" ca="1" si="49"/>
        <v>2066106.59</v>
      </c>
      <c r="U31" s="94">
        <f t="shared" ca="1" si="37"/>
        <v>55.204610100615895</v>
      </c>
      <c r="V31" s="94">
        <f t="shared" ca="1" si="38"/>
        <v>54.230939175763751</v>
      </c>
      <c r="W31" s="281">
        <f t="shared" ref="W31:Y31" ca="1" si="50">SUM(W32:W51)</f>
        <v>0</v>
      </c>
      <c r="X31" s="282">
        <f t="shared" ca="1" si="50"/>
        <v>475</v>
      </c>
      <c r="Y31" s="161">
        <f t="shared" ca="1" si="50"/>
        <v>365</v>
      </c>
      <c r="Z31" s="94">
        <f t="shared" ca="1" si="40"/>
        <v>76.84210526315789</v>
      </c>
      <c r="AA31" s="282">
        <f t="shared" ref="AA31:AB31" ca="1" si="51">SUM(AA32:AA51)</f>
        <v>0</v>
      </c>
      <c r="AB31" s="161">
        <f t="shared" ca="1" si="51"/>
        <v>0</v>
      </c>
      <c r="AC31" s="94">
        <f t="shared" ca="1" si="42"/>
        <v>0</v>
      </c>
      <c r="AD31" s="282">
        <f t="shared" ref="AD31:AE31" ca="1" si="52">SUM(AD32:AD51)</f>
        <v>0</v>
      </c>
      <c r="AE31" s="161">
        <f t="shared" ca="1" si="52"/>
        <v>0</v>
      </c>
      <c r="AF31" s="94">
        <f t="shared" ca="1" si="44"/>
        <v>0</v>
      </c>
      <c r="AG31" s="282">
        <f t="shared" ref="AG31:AH31" ca="1" si="53">SUM(AG32:AG51)</f>
        <v>0</v>
      </c>
      <c r="AH31" s="161">
        <f t="shared" ca="1" si="53"/>
        <v>0</v>
      </c>
      <c r="AI31" s="94">
        <f t="shared" ca="1" si="46"/>
        <v>0</v>
      </c>
    </row>
    <row r="32" spans="1:35" ht="21" customHeight="1" x14ac:dyDescent="0.3">
      <c r="A32" s="58">
        <v>1</v>
      </c>
      <c r="B32" s="59" t="s">
        <v>60</v>
      </c>
      <c r="C32" s="149">
        <f t="shared" ca="1" si="28"/>
        <v>0</v>
      </c>
      <c r="D32" s="150">
        <f t="shared" ref="D32:D51" ca="1" si="54">+E32+F32</f>
        <v>0</v>
      </c>
      <c r="E32" s="151">
        <f ca="1">IFERROR(__xludf.DUMMYFUNCTION("IMPORTRANGE(""https://docs.google.com/spreadsheets/d/1-uDff_7J0KD5mKrp0Vvzr7lt3OU09vwQwhkpOPPYv2Y/edit?usp=sharing"",""งบพรบ!DZ32"")"),0)</f>
        <v>0</v>
      </c>
      <c r="F32" s="151">
        <f ca="1">IFERROR(__xludf.DUMMYFUNCTION("IMPORTRANGE(""https://docs.google.com/spreadsheets/d/1-uDff_7J0KD5mKrp0Vvzr7lt3OU09vwQwhkpOPPYv2Y/edit?usp=sharing"",""งบพรบ!EA32"")"),0)</f>
        <v>0</v>
      </c>
      <c r="G32" s="152">
        <f ca="1">IFERROR(__xludf.DUMMYFUNCTION("IMPORTRANGE(""https://docs.google.com/spreadsheets/d/1-uDff_7J0KD5mKrp0Vvzr7lt3OU09vwQwhkpOPPYv2Y/edit?usp=sharing"",""งบพรบ!EB32"")"),0)</f>
        <v>0</v>
      </c>
      <c r="H32" s="152">
        <f ca="1">IFERROR(__xludf.DUMMYFUNCTION("IMPORTRANGE(""https://docs.google.com/spreadsheets/d/1-uDff_7J0KD5mKrp0Vvzr7lt3OU09vwQwhkpOPPYv2Y/edit?usp=sharing"",""งบพรบ!ED32"")"),0)</f>
        <v>0</v>
      </c>
      <c r="I32" s="152">
        <f ca="1">IFERROR(__xludf.DUMMYFUNCTION("IMPORTRANGE(""https://docs.google.com/spreadsheets/d/1-uDff_7J0KD5mKrp0Vvzr7lt3OU09vwQwhkpOPPYv2Y/edit?usp=sharing"",""งบพรบ!EE32"")"),0)</f>
        <v>0</v>
      </c>
      <c r="J32" s="152">
        <f t="shared" ca="1" si="30"/>
        <v>0</v>
      </c>
      <c r="K32" s="153">
        <f t="shared" ca="1" si="31"/>
        <v>0</v>
      </c>
      <c r="L32" s="152">
        <f ca="1">IFERROR(__xludf.DUMMYFUNCTION("IMPORTRANGE(""https://docs.google.com/spreadsheets/d/1-uDff_7J0KD5mKrp0Vvzr7lt3OU09vwQwhkpOPPYv2Y/edit?usp=sharing"",""งบพรบ!EF32"")"),0)</f>
        <v>0</v>
      </c>
      <c r="M32" s="68">
        <f t="shared" ca="1" si="32"/>
        <v>0</v>
      </c>
      <c r="N32" s="68">
        <f t="shared" ca="1" si="33"/>
        <v>0</v>
      </c>
      <c r="O32" s="67">
        <f ca="1">IFERROR(__xludf.DUMMYFUNCTION("IMPORTRANGE(""https://docs.google.com/spreadsheets/d/1-uDff_7J0KD5mKrp0Vvzr7lt3OU09vwQwhkpOPPYv2Y/edit?usp=sharing"",""งบพรบ!EG32"")"),0)</f>
        <v>0</v>
      </c>
      <c r="P32" s="67">
        <f t="shared" ca="1" si="34"/>
        <v>0</v>
      </c>
      <c r="Q32" s="68">
        <f t="shared" ca="1" si="35"/>
        <v>0</v>
      </c>
      <c r="R32" s="197">
        <f ca="1">IFERROR(__xludf.DUMMYFUNCTION("IMPORTRANGE(""https://docs.google.com/spreadsheets/d/1yhBcrRPreicbMKl9Bu_Snb2-OcQAF62RKfhTLhJ2eAA/edit?usp=sharing"",""กาฬสินธุ์!Q303"")"),0)</f>
        <v>0</v>
      </c>
      <c r="S32" s="67">
        <f ca="1">IFERROR(__xludf.DUMMYFUNCTION("IMPORTRANGE(""https://docs.google.com/spreadsheets/d/1yhBcrRPreicbMKl9Bu_Snb2-OcQAF62RKfhTLhJ2eAA/edit?usp=sharing"",""กาฬสินธุ์!R303"")"),0)</f>
        <v>0</v>
      </c>
      <c r="T32" s="67">
        <f ca="1">IFERROR(__xludf.DUMMYFUNCTION("IMPORTRANGE(""https://docs.google.com/spreadsheets/d/1yhBcrRPreicbMKl9Bu_Snb2-OcQAF62RKfhTLhJ2eAA/edit?usp=sharing"",""กาฬสินธุ์!S303"")"),0)</f>
        <v>0</v>
      </c>
      <c r="U32" s="68">
        <f t="shared" ca="1" si="37"/>
        <v>0</v>
      </c>
      <c r="V32" s="68">
        <f t="shared" ca="1" si="38"/>
        <v>0</v>
      </c>
      <c r="W32" s="278" t="str">
        <f ca="1">IFERROR(__xludf.DUMMYFUNCTION("IMPORTRANGE(""https://docs.google.com/spreadsheets/d/1yhBcrRPreicbMKl9Bu_Snb2-OcQAF62RKfhTLhJ2eAA/edit?usp=sharing"",""กาฬสินธุ์!J313"")"),"")</f>
        <v/>
      </c>
      <c r="X32" s="278">
        <f ca="1">IFERROR(__xludf.DUMMYFUNCTION("IMPORTRANGE(""https://docs.google.com/spreadsheets/d/1yhBcrRPreicbMKl9Bu_Snb2-OcQAF62RKfhTLhJ2eAA/edit?usp=sharing"",""กาฬสินธุ์!I314"")"),0)</f>
        <v>0</v>
      </c>
      <c r="Y32" s="152">
        <f ca="1">IFERROR(__xludf.DUMMYFUNCTION("IMPORTRANGE(""https://docs.google.com/spreadsheets/d/1yhBcrRPreicbMKl9Bu_Snb2-OcQAF62RKfhTLhJ2eAA/edit?usp=sharing"",""กาฬสินธุ์!J314"")"),0)</f>
        <v>0</v>
      </c>
      <c r="Z32" s="216">
        <f t="shared" ca="1" si="40"/>
        <v>0</v>
      </c>
      <c r="AA32" s="278" t="str">
        <f ca="1">IFERROR(__xludf.DUMMYFUNCTION("IMPORTRANGE(""https://docs.google.com/spreadsheets/d/1yhBcrRPreicbMKl9Bu_Snb2-OcQAF62RKfhTLhJ2eAA/edit?usp=sharing"",""กาฬสินธุ์!I315"")"),"")</f>
        <v/>
      </c>
      <c r="AB32" s="152" t="str">
        <f ca="1">IFERROR(__xludf.DUMMYFUNCTION("IMPORTRANGE(""https://docs.google.com/spreadsheets/d/1yhBcrRPreicbMKl9Bu_Snb2-OcQAF62RKfhTLhJ2eAA/edit?usp=sharing"",""กาฬสินธุ์!J315"")"),"")</f>
        <v/>
      </c>
      <c r="AC32" s="216">
        <f t="shared" ca="1" si="42"/>
        <v>0</v>
      </c>
      <c r="AD32" s="278" t="str">
        <f ca="1">IFERROR(__xludf.DUMMYFUNCTION("IMPORTRANGE(""https://docs.google.com/spreadsheets/d/1yhBcrRPreicbMKl9Bu_Snb2-OcQAF62RKfhTLhJ2eAA/edit?usp=sharing"",""กาฬสินธุ์!I316"")"),"")</f>
        <v/>
      </c>
      <c r="AE32" s="152" t="str">
        <f ca="1">IFERROR(__xludf.DUMMYFUNCTION("IMPORTRANGE(""https://docs.google.com/spreadsheets/d/1yhBcrRPreicbMKl9Bu_Snb2-OcQAF62RKfhTLhJ2eAA/edit?usp=sharing"",""กาฬสินธุ์!J316"")"),"")</f>
        <v/>
      </c>
      <c r="AF32" s="216" t="e">
        <f t="shared" ca="1" si="44"/>
        <v>#VALUE!</v>
      </c>
      <c r="AG32" s="278" t="str">
        <f ca="1">IFERROR(__xludf.DUMMYFUNCTION("IMPORTRANGE(""https://docs.google.com/spreadsheets/d/1yhBcrRPreicbMKl9Bu_Snb2-OcQAF62RKfhTLhJ2eAA/edit?usp=sharing"",""กาฬสินธุ์!I317"")"),"")</f>
        <v/>
      </c>
      <c r="AH32" s="152" t="str">
        <f ca="1">IFERROR(__xludf.DUMMYFUNCTION("IMPORTRANGE(""https://docs.google.com/spreadsheets/d/1yhBcrRPreicbMKl9Bu_Snb2-OcQAF62RKfhTLhJ2eAA/edit?usp=sharing"",""กาฬสินธุ์!J317"")"),"")</f>
        <v/>
      </c>
      <c r="AI32" s="216" t="e">
        <f t="shared" ca="1" si="46"/>
        <v>#VALUE!</v>
      </c>
    </row>
    <row r="33" spans="1:35" ht="21" customHeight="1" x14ac:dyDescent="0.3">
      <c r="A33" s="70">
        <v>2</v>
      </c>
      <c r="B33" s="71" t="s">
        <v>61</v>
      </c>
      <c r="C33" s="149">
        <f t="shared" ca="1" si="28"/>
        <v>0</v>
      </c>
      <c r="D33" s="150">
        <f t="shared" ca="1" si="54"/>
        <v>0</v>
      </c>
      <c r="E33" s="151">
        <f ca="1">IFERROR(__xludf.DUMMYFUNCTION("IMPORTRANGE(""https://docs.google.com/spreadsheets/d/1-uDff_7J0KD5mKrp0Vvzr7lt3OU09vwQwhkpOPPYv2Y/edit?usp=sharing"",""งบพรบ!DZ33"")"),0)</f>
        <v>0</v>
      </c>
      <c r="F33" s="151">
        <f ca="1">IFERROR(__xludf.DUMMYFUNCTION("IMPORTRANGE(""https://docs.google.com/spreadsheets/d/1-uDff_7J0KD5mKrp0Vvzr7lt3OU09vwQwhkpOPPYv2Y/edit?usp=sharing"",""งบพรบ!EA33"")"),0)</f>
        <v>0</v>
      </c>
      <c r="G33" s="151">
        <f ca="1">IFERROR(__xludf.DUMMYFUNCTION("IMPORTRANGE(""https://docs.google.com/spreadsheets/d/1-uDff_7J0KD5mKrp0Vvzr7lt3OU09vwQwhkpOPPYv2Y/edit?usp=sharing"",""งบพรบ!EB33"")"),0)</f>
        <v>0</v>
      </c>
      <c r="H33" s="151">
        <f ca="1">IFERROR(__xludf.DUMMYFUNCTION("IMPORTRANGE(""https://docs.google.com/spreadsheets/d/1-uDff_7J0KD5mKrp0Vvzr7lt3OU09vwQwhkpOPPYv2Y/edit?usp=sharing"",""งบพรบ!ED33"")"),0)</f>
        <v>0</v>
      </c>
      <c r="I33" s="151">
        <f ca="1">IFERROR(__xludf.DUMMYFUNCTION("IMPORTRANGE(""https://docs.google.com/spreadsheets/d/1-uDff_7J0KD5mKrp0Vvzr7lt3OU09vwQwhkpOPPYv2Y/edit?usp=sharing"",""งบพรบ!EE33"")"),0)</f>
        <v>0</v>
      </c>
      <c r="J33" s="151">
        <f t="shared" ca="1" si="30"/>
        <v>0</v>
      </c>
      <c r="K33" s="154">
        <f t="shared" ca="1" si="31"/>
        <v>0</v>
      </c>
      <c r="L33" s="151">
        <f ca="1">IFERROR(__xludf.DUMMYFUNCTION("IMPORTRANGE(""https://docs.google.com/spreadsheets/d/1-uDff_7J0KD5mKrp0Vvzr7lt3OU09vwQwhkpOPPYv2Y/edit?usp=sharing"",""งบพรบ!EF33"")"),0)</f>
        <v>0</v>
      </c>
      <c r="M33" s="68">
        <f t="shared" ca="1" si="32"/>
        <v>0</v>
      </c>
      <c r="N33" s="68">
        <f t="shared" ca="1" si="33"/>
        <v>0</v>
      </c>
      <c r="O33" s="67">
        <f ca="1">IFERROR(__xludf.DUMMYFUNCTION("IMPORTRANGE(""https://docs.google.com/spreadsheets/d/1-uDff_7J0KD5mKrp0Vvzr7lt3OU09vwQwhkpOPPYv2Y/edit?usp=sharing"",""งบพรบ!EG33"")"),0)</f>
        <v>0</v>
      </c>
      <c r="P33" s="67">
        <f t="shared" ca="1" si="34"/>
        <v>0</v>
      </c>
      <c r="Q33" s="68">
        <f t="shared" ca="1" si="35"/>
        <v>0</v>
      </c>
      <c r="R33" s="197">
        <f ca="1">IFERROR(__xludf.DUMMYFUNCTION("IMPORTRANGE(""https://docs.google.com/spreadsheets/d/1aHkj4IaQMThhwWwevcOymEh837vdxeC_PycurhTbGFA/edit?usp=sharing"",""ขอนแก่น!Q303"")"),260958.39)</f>
        <v>260958.39</v>
      </c>
      <c r="S33" s="67">
        <f ca="1">IFERROR(__xludf.DUMMYFUNCTION("IMPORTRANGE(""https://docs.google.com/spreadsheets/d/1aHkj4IaQMThhwWwevcOymEh837vdxeC_PycurhTbGFA/edit?usp=sharing"",""ขอนแก่น!R303"")"),265158)</f>
        <v>265158</v>
      </c>
      <c r="T33" s="67">
        <f ca="1">IFERROR(__xludf.DUMMYFUNCTION("IMPORTRANGE(""https://docs.google.com/spreadsheets/d/1aHkj4IaQMThhwWwevcOymEh837vdxeC_PycurhTbGFA/edit?usp=sharing"",""ขอนแก่น!S303"")"),218191)</f>
        <v>218191</v>
      </c>
      <c r="U33" s="68">
        <f t="shared" ca="1" si="37"/>
        <v>83.611414064901297</v>
      </c>
      <c r="V33" s="68">
        <f t="shared" ca="1" si="38"/>
        <v>82.287164633916376</v>
      </c>
      <c r="W33" s="278" t="str">
        <f ca="1">IFERROR(__xludf.DUMMYFUNCTION("IMPORTRANGE(""https://docs.google.com/spreadsheets/d/1aHkj4IaQMThhwWwevcOymEh837vdxeC_PycurhTbGFA/edit?usp=sharing"",""ขอนแก่น!J313"")"),"")</f>
        <v/>
      </c>
      <c r="X33" s="279">
        <f ca="1">IFERROR(__xludf.DUMMYFUNCTION("IMPORTRANGE(""https://docs.google.com/spreadsheets/d/1aHkj4IaQMThhwWwevcOymEh837vdxeC_PycurhTbGFA/edit?usp=sharing"",""ขอนแก่น!I314"")"),30)</f>
        <v>30</v>
      </c>
      <c r="Y33" s="152">
        <f ca="1">IFERROR(__xludf.DUMMYFUNCTION("IMPORTRANGE(""https://docs.google.com/spreadsheets/d/1aHkj4IaQMThhwWwevcOymEh837vdxeC_PycurhTbGFA/edit?usp=sharing"",""ขอนแก่น!J314"")"),30)</f>
        <v>30</v>
      </c>
      <c r="Z33" s="216">
        <f t="shared" ca="1" si="40"/>
        <v>100</v>
      </c>
      <c r="AA33" s="279" t="str">
        <f ca="1">IFERROR(__xludf.DUMMYFUNCTION("IMPORTRANGE(""https://docs.google.com/spreadsheets/d/1aHkj4IaQMThhwWwevcOymEh837vdxeC_PycurhTbGFA/edit?usp=sharing"",""ขอนแก่น!I315"")"),"")</f>
        <v/>
      </c>
      <c r="AB33" s="152" t="str">
        <f ca="1">IFERROR(__xludf.DUMMYFUNCTION("IMPORTRANGE(""https://docs.google.com/spreadsheets/d/1aHkj4IaQMThhwWwevcOymEh837vdxeC_PycurhTbGFA/edit?usp=sharing"",""ขอนแก่น!J315"")"),"")</f>
        <v/>
      </c>
      <c r="AC33" s="216" t="e">
        <f t="shared" ca="1" si="42"/>
        <v>#VALUE!</v>
      </c>
      <c r="AD33" s="279" t="str">
        <f ca="1">IFERROR(__xludf.DUMMYFUNCTION("IMPORTRANGE(""https://docs.google.com/spreadsheets/d/1aHkj4IaQMThhwWwevcOymEh837vdxeC_PycurhTbGFA/edit?usp=sharing"",""ขอนแก่น!I316"")"),"")</f>
        <v/>
      </c>
      <c r="AE33" s="152" t="str">
        <f ca="1">IFERROR(__xludf.DUMMYFUNCTION("IMPORTRANGE(""https://docs.google.com/spreadsheets/d/1aHkj4IaQMThhwWwevcOymEh837vdxeC_PycurhTbGFA/edit?usp=sharing"",""ขอนแก่น!J316"")"),"")</f>
        <v/>
      </c>
      <c r="AF33" s="216" t="e">
        <f t="shared" ca="1" si="44"/>
        <v>#VALUE!</v>
      </c>
      <c r="AG33" s="279" t="str">
        <f ca="1">IFERROR(__xludf.DUMMYFUNCTION("IMPORTRANGE(""https://docs.google.com/spreadsheets/d/1aHkj4IaQMThhwWwevcOymEh837vdxeC_PycurhTbGFA/edit?usp=sharing"",""ขอนแก่น!I317"")"),"")</f>
        <v/>
      </c>
      <c r="AH33" s="152" t="str">
        <f ca="1">IFERROR(__xludf.DUMMYFUNCTION("IMPORTRANGE(""https://docs.google.com/spreadsheets/d/1aHkj4IaQMThhwWwevcOymEh837vdxeC_PycurhTbGFA/edit?usp=sharing"",""ขอนแก่น!J317"")"),"")</f>
        <v/>
      </c>
      <c r="AI33" s="216" t="e">
        <f t="shared" ca="1" si="46"/>
        <v>#VALUE!</v>
      </c>
    </row>
    <row r="34" spans="1:35" ht="21" customHeight="1" x14ac:dyDescent="0.3">
      <c r="A34" s="70">
        <v>3</v>
      </c>
      <c r="B34" s="71" t="s">
        <v>62</v>
      </c>
      <c r="C34" s="149">
        <f t="shared" ca="1" si="28"/>
        <v>0</v>
      </c>
      <c r="D34" s="150">
        <f t="shared" ca="1" si="54"/>
        <v>0</v>
      </c>
      <c r="E34" s="151">
        <f ca="1">IFERROR(__xludf.DUMMYFUNCTION("IMPORTRANGE(""https://docs.google.com/spreadsheets/d/1-uDff_7J0KD5mKrp0Vvzr7lt3OU09vwQwhkpOPPYv2Y/edit?usp=sharing"",""งบพรบ!DZ34"")"),0)</f>
        <v>0</v>
      </c>
      <c r="F34" s="151">
        <f ca="1">IFERROR(__xludf.DUMMYFUNCTION("IMPORTRANGE(""https://docs.google.com/spreadsheets/d/1-uDff_7J0KD5mKrp0Vvzr7lt3OU09vwQwhkpOPPYv2Y/edit?usp=sharing"",""งบพรบ!EA34"")"),0)</f>
        <v>0</v>
      </c>
      <c r="G34" s="151">
        <f ca="1">IFERROR(__xludf.DUMMYFUNCTION("IMPORTRANGE(""https://docs.google.com/spreadsheets/d/1-uDff_7J0KD5mKrp0Vvzr7lt3OU09vwQwhkpOPPYv2Y/edit?usp=sharing"",""งบพรบ!EB34"")"),0)</f>
        <v>0</v>
      </c>
      <c r="H34" s="151">
        <f ca="1">IFERROR(__xludf.DUMMYFUNCTION("IMPORTRANGE(""https://docs.google.com/spreadsheets/d/1-uDff_7J0KD5mKrp0Vvzr7lt3OU09vwQwhkpOPPYv2Y/edit?usp=sharing"",""งบพรบ!ED34"")"),0)</f>
        <v>0</v>
      </c>
      <c r="I34" s="151">
        <f ca="1">IFERROR(__xludf.DUMMYFUNCTION("IMPORTRANGE(""https://docs.google.com/spreadsheets/d/1-uDff_7J0KD5mKrp0Vvzr7lt3OU09vwQwhkpOPPYv2Y/edit?usp=sharing"",""งบพรบ!EE34"")"),0)</f>
        <v>0</v>
      </c>
      <c r="J34" s="151">
        <f t="shared" ca="1" si="30"/>
        <v>0</v>
      </c>
      <c r="K34" s="154">
        <f t="shared" ca="1" si="31"/>
        <v>0</v>
      </c>
      <c r="L34" s="151">
        <f ca="1">IFERROR(__xludf.DUMMYFUNCTION("IMPORTRANGE(""https://docs.google.com/spreadsheets/d/1-uDff_7J0KD5mKrp0Vvzr7lt3OU09vwQwhkpOPPYv2Y/edit?usp=sharing"",""งบพรบ!EF34"")"),0)</f>
        <v>0</v>
      </c>
      <c r="M34" s="68">
        <f t="shared" ca="1" si="32"/>
        <v>0</v>
      </c>
      <c r="N34" s="68">
        <f t="shared" ca="1" si="33"/>
        <v>0</v>
      </c>
      <c r="O34" s="67">
        <f ca="1">IFERROR(__xludf.DUMMYFUNCTION("IMPORTRANGE(""https://docs.google.com/spreadsheets/d/1-uDff_7J0KD5mKrp0Vvzr7lt3OU09vwQwhkpOPPYv2Y/edit?usp=sharing"",""งบพรบ!EG34"")"),0)</f>
        <v>0</v>
      </c>
      <c r="P34" s="67">
        <f t="shared" ca="1" si="34"/>
        <v>0</v>
      </c>
      <c r="Q34" s="68">
        <f t="shared" ca="1" si="35"/>
        <v>0</v>
      </c>
      <c r="R34" s="197">
        <f ca="1">IFERROR(__xludf.DUMMYFUNCTION("IMPORTRANGE(""https://docs.google.com/spreadsheets/d/1FvTu2DsIWUjP6WCWra38Bkj_oOl_sOMf14r5Fg5srxU/edit?usp=sharing"",""ชัยภูมิ!Q303"")"),374853.15)</f>
        <v>374853.15</v>
      </c>
      <c r="S34" s="67">
        <f ca="1">IFERROR(__xludf.DUMMYFUNCTION("IMPORTRANGE(""https://docs.google.com/spreadsheets/d/1FvTu2DsIWUjP6WCWra38Bkj_oOl_sOMf14r5Fg5srxU/edit?usp=sharing"",""ชัยภูมิ!R303"")"),379053)</f>
        <v>379053</v>
      </c>
      <c r="T34" s="67">
        <f ca="1">IFERROR(__xludf.DUMMYFUNCTION("IMPORTRANGE(""https://docs.google.com/spreadsheets/d/1FvTu2DsIWUjP6WCWra38Bkj_oOl_sOMf14r5Fg5srxU/edit?usp=sharing"",""ชัยภูมิ!S303"")"),218712.5)</f>
        <v>218712.5</v>
      </c>
      <c r="U34" s="68">
        <f t="shared" ca="1" si="37"/>
        <v>58.346181698086298</v>
      </c>
      <c r="V34" s="68">
        <f t="shared" ca="1" si="38"/>
        <v>57.699714815606264</v>
      </c>
      <c r="W34" s="278" t="str">
        <f ca="1">IFERROR(__xludf.DUMMYFUNCTION("IMPORTRANGE(""https://docs.google.com/spreadsheets/d/1FvTu2DsIWUjP6WCWra38Bkj_oOl_sOMf14r5Fg5srxU/edit?usp=sharing"",""ชัยภูมิ!J313"")"),"")</f>
        <v/>
      </c>
      <c r="X34" s="278">
        <f ca="1">IFERROR(__xludf.DUMMYFUNCTION("IMPORTRANGE(""https://docs.google.com/spreadsheets/d/1FvTu2DsIWUjP6WCWra38Bkj_oOl_sOMf14r5Fg5srxU/edit?usp=sharing"",""ชัยภูมิ!I314"")"),50)</f>
        <v>50</v>
      </c>
      <c r="Y34" s="152">
        <f ca="1">IFERROR(__xludf.DUMMYFUNCTION("IMPORTRANGE(""https://docs.google.com/spreadsheets/d/1FvTu2DsIWUjP6WCWra38Bkj_oOl_sOMf14r5Fg5srxU/edit?usp=sharing"",""ชัยภูมิ!J314"")"),50)</f>
        <v>50</v>
      </c>
      <c r="Z34" s="216">
        <f t="shared" ca="1" si="40"/>
        <v>100</v>
      </c>
      <c r="AA34" s="278" t="str">
        <f ca="1">IFERROR(__xludf.DUMMYFUNCTION("IMPORTRANGE(""https://docs.google.com/spreadsheets/d/1FvTu2DsIWUjP6WCWra38Bkj_oOl_sOMf14r5Fg5srxU/edit?usp=sharing"",""ชัยภูมิ!I315"")"),"")</f>
        <v/>
      </c>
      <c r="AB34" s="152" t="str">
        <f ca="1">IFERROR(__xludf.DUMMYFUNCTION("IMPORTRANGE(""https://docs.google.com/spreadsheets/d/1FvTu2DsIWUjP6WCWra38Bkj_oOl_sOMf14r5Fg5srxU/edit?usp=sharing"",""ชัยภูมิ!J315"")"),"")</f>
        <v/>
      </c>
      <c r="AC34" s="216" t="e">
        <f t="shared" ca="1" si="42"/>
        <v>#VALUE!</v>
      </c>
      <c r="AD34" s="278" t="str">
        <f ca="1">IFERROR(__xludf.DUMMYFUNCTION("IMPORTRANGE(""https://docs.google.com/spreadsheets/d/1FvTu2DsIWUjP6WCWra38Bkj_oOl_sOMf14r5Fg5srxU/edit?usp=sharing"",""ชัยภูมิ!I316"")"),"")</f>
        <v/>
      </c>
      <c r="AE34" s="152" t="str">
        <f ca="1">IFERROR(__xludf.DUMMYFUNCTION("IMPORTRANGE(""https://docs.google.com/spreadsheets/d/1FvTu2DsIWUjP6WCWra38Bkj_oOl_sOMf14r5Fg5srxU/edit?usp=sharing"",""ชัยภูมิ!J316"")"),"")</f>
        <v/>
      </c>
      <c r="AF34" s="216" t="e">
        <f t="shared" ca="1" si="44"/>
        <v>#VALUE!</v>
      </c>
      <c r="AG34" s="278" t="str">
        <f ca="1">IFERROR(__xludf.DUMMYFUNCTION("IMPORTRANGE(""https://docs.google.com/spreadsheets/d/1FvTu2DsIWUjP6WCWra38Bkj_oOl_sOMf14r5Fg5srxU/edit?usp=sharing"",""ชัยภูมิ!I317"")"),"")</f>
        <v/>
      </c>
      <c r="AH34" s="152" t="str">
        <f ca="1">IFERROR(__xludf.DUMMYFUNCTION("IMPORTRANGE(""https://docs.google.com/spreadsheets/d/1FvTu2DsIWUjP6WCWra38Bkj_oOl_sOMf14r5Fg5srxU/edit?usp=sharing"",""ชัยภูมิ!J317"")"),"")</f>
        <v/>
      </c>
      <c r="AI34" s="216" t="e">
        <f t="shared" ca="1" si="46"/>
        <v>#VALUE!</v>
      </c>
    </row>
    <row r="35" spans="1:35" ht="21" customHeight="1" x14ac:dyDescent="0.3">
      <c r="A35" s="70">
        <v>4</v>
      </c>
      <c r="B35" s="71" t="s">
        <v>63</v>
      </c>
      <c r="C35" s="149">
        <f t="shared" ca="1" si="28"/>
        <v>242775</v>
      </c>
      <c r="D35" s="150">
        <f t="shared" ca="1" si="54"/>
        <v>242775</v>
      </c>
      <c r="E35" s="151">
        <f ca="1">IFERROR(__xludf.DUMMYFUNCTION("IMPORTRANGE(""https://docs.google.com/spreadsheets/d/1-uDff_7J0KD5mKrp0Vvzr7lt3OU09vwQwhkpOPPYv2Y/edit?usp=sharing"",""งบพรบ!DZ35"")"),160600)</f>
        <v>160600</v>
      </c>
      <c r="F35" s="151">
        <f ca="1">IFERROR(__xludf.DUMMYFUNCTION("IMPORTRANGE(""https://docs.google.com/spreadsheets/d/1-uDff_7J0KD5mKrp0Vvzr7lt3OU09vwQwhkpOPPYv2Y/edit?usp=sharing"",""งบพรบ!EA35"")"),82175)</f>
        <v>82175</v>
      </c>
      <c r="G35" s="151">
        <f ca="1">IFERROR(__xludf.DUMMYFUNCTION("IMPORTRANGE(""https://docs.google.com/spreadsheets/d/1-uDff_7J0KD5mKrp0Vvzr7lt3OU09vwQwhkpOPPYv2Y/edit?usp=sharing"",""งบพรบ!EB35"")"),0)</f>
        <v>0</v>
      </c>
      <c r="H35" s="151">
        <f ca="1">IFERROR(__xludf.DUMMYFUNCTION("IMPORTRANGE(""https://docs.google.com/spreadsheets/d/1-uDff_7J0KD5mKrp0Vvzr7lt3OU09vwQwhkpOPPYv2Y/edit?usp=sharing"",""งบพรบ!ED35"")"),242775)</f>
        <v>242775</v>
      </c>
      <c r="I35" s="151">
        <f ca="1">IFERROR(__xludf.DUMMYFUNCTION("IMPORTRANGE(""https://docs.google.com/spreadsheets/d/1-uDff_7J0KD5mKrp0Vvzr7lt3OU09vwQwhkpOPPYv2Y/edit?usp=sharing"",""งบพรบ!EE35"")"),0)</f>
        <v>0</v>
      </c>
      <c r="J35" s="151">
        <f t="shared" ca="1" si="30"/>
        <v>189530</v>
      </c>
      <c r="K35" s="154">
        <f t="shared" ca="1" si="31"/>
        <v>78.068170116362893</v>
      </c>
      <c r="L35" s="151">
        <f ca="1">IFERROR(__xludf.DUMMYFUNCTION("IMPORTRANGE(""https://docs.google.com/spreadsheets/d/1-uDff_7J0KD5mKrp0Vvzr7lt3OU09vwQwhkpOPPYv2Y/edit?usp=sharing"",""งบพรบ!EF35"")"),189530)</f>
        <v>189530</v>
      </c>
      <c r="M35" s="68">
        <f t="shared" ca="1" si="32"/>
        <v>78.068170116362893</v>
      </c>
      <c r="N35" s="68">
        <f t="shared" ca="1" si="33"/>
        <v>78.068170116362893</v>
      </c>
      <c r="O35" s="67">
        <f ca="1">IFERROR(__xludf.DUMMYFUNCTION("IMPORTRANGE(""https://docs.google.com/spreadsheets/d/1-uDff_7J0KD5mKrp0Vvzr7lt3OU09vwQwhkpOPPYv2Y/edit?usp=sharing"",""งบพรบ!EG35"")"),0)</f>
        <v>0</v>
      </c>
      <c r="P35" s="67">
        <f t="shared" ca="1" si="34"/>
        <v>0</v>
      </c>
      <c r="Q35" s="68">
        <f t="shared" ca="1" si="35"/>
        <v>0</v>
      </c>
      <c r="R35" s="197">
        <f ca="1">IFERROR(__xludf.DUMMYFUNCTION("IMPORTRANGE(""https://docs.google.com/spreadsheets/d/1XVB7oCJ3pr-vBUdflwPQ8Z2LlzhnCvZaaYjAfP-647E/edit?usp=sharing"",""นครพนม!Q303"")"),123161.24)</f>
        <v>123161.24</v>
      </c>
      <c r="S35" s="67">
        <f ca="1">IFERROR(__xludf.DUMMYFUNCTION("IMPORTRANGE(""https://docs.google.com/spreadsheets/d/1XVB7oCJ3pr-vBUdflwPQ8Z2LlzhnCvZaaYjAfP-647E/edit?usp=sharing"",""นครพนม!R303"")"),127361)</f>
        <v>127361</v>
      </c>
      <c r="T35" s="67">
        <f ca="1">IFERROR(__xludf.DUMMYFUNCTION("IMPORTRANGE(""https://docs.google.com/spreadsheets/d/1XVB7oCJ3pr-vBUdflwPQ8Z2LlzhnCvZaaYjAfP-647E/edit?usp=sharing"",""นครพนม!S303"")"),23970)</f>
        <v>23970</v>
      </c>
      <c r="U35" s="68">
        <f t="shared" ca="1" si="37"/>
        <v>19.462291870396886</v>
      </c>
      <c r="V35" s="68">
        <f t="shared" ca="1" si="38"/>
        <v>18.820518054977583</v>
      </c>
      <c r="W35" s="278" t="str">
        <f ca="1">IFERROR(__xludf.DUMMYFUNCTION("IMPORTRANGE(""https://docs.google.com/spreadsheets/d/1XVB7oCJ3pr-vBUdflwPQ8Z2LlzhnCvZaaYjAfP-647E/edit?usp=sharing"",""นครพนม!J313"")"),"")</f>
        <v/>
      </c>
      <c r="X35" s="278">
        <f ca="1">IFERROR(__xludf.DUMMYFUNCTION("IMPORTRANGE(""https://docs.google.com/spreadsheets/d/1XVB7oCJ3pr-vBUdflwPQ8Z2LlzhnCvZaaYjAfP-647E/edit?usp=sharing"",""นครพนม!I314"")"),15)</f>
        <v>15</v>
      </c>
      <c r="Y35" s="152">
        <f ca="1">IFERROR(__xludf.DUMMYFUNCTION("IMPORTRANGE(""https://docs.google.com/spreadsheets/d/1XVB7oCJ3pr-vBUdflwPQ8Z2LlzhnCvZaaYjAfP-647E/edit?usp=sharing"",""นครพนม!J314"")"),15)</f>
        <v>15</v>
      </c>
      <c r="Z35" s="216">
        <f t="shared" ca="1" si="40"/>
        <v>100</v>
      </c>
      <c r="AA35" s="278" t="str">
        <f ca="1">IFERROR(__xludf.DUMMYFUNCTION("IMPORTRANGE(""https://docs.google.com/spreadsheets/d/1XVB7oCJ3pr-vBUdflwPQ8Z2LlzhnCvZaaYjAfP-647E/edit?usp=sharing"",""นครพนม!I315"")"),"")</f>
        <v/>
      </c>
      <c r="AB35" s="152" t="str">
        <f ca="1">IFERROR(__xludf.DUMMYFUNCTION("IMPORTRANGE(""https://docs.google.com/spreadsheets/d/1XVB7oCJ3pr-vBUdflwPQ8Z2LlzhnCvZaaYjAfP-647E/edit?usp=sharing"",""นครพนม!J315"")"),"")</f>
        <v/>
      </c>
      <c r="AC35" s="216" t="e">
        <f t="shared" ca="1" si="42"/>
        <v>#VALUE!</v>
      </c>
      <c r="AD35" s="278" t="str">
        <f ca="1">IFERROR(__xludf.DUMMYFUNCTION("IMPORTRANGE(""https://docs.google.com/spreadsheets/d/1XVB7oCJ3pr-vBUdflwPQ8Z2LlzhnCvZaaYjAfP-647E/edit?usp=sharing"",""นครพนม!I316"")"),"")</f>
        <v/>
      </c>
      <c r="AE35" s="152" t="str">
        <f ca="1">IFERROR(__xludf.DUMMYFUNCTION("IMPORTRANGE(""https://docs.google.com/spreadsheets/d/1XVB7oCJ3pr-vBUdflwPQ8Z2LlzhnCvZaaYjAfP-647E/edit?usp=sharing"",""นครพนม!J316"")"),"")</f>
        <v/>
      </c>
      <c r="AF35" s="216" t="e">
        <f t="shared" ca="1" si="44"/>
        <v>#VALUE!</v>
      </c>
      <c r="AG35" s="278" t="str">
        <f ca="1">IFERROR(__xludf.DUMMYFUNCTION("IMPORTRANGE(""https://docs.google.com/spreadsheets/d/1XVB7oCJ3pr-vBUdflwPQ8Z2LlzhnCvZaaYjAfP-647E/edit?usp=sharing"",""นครพนม!I317"")"),"")</f>
        <v/>
      </c>
      <c r="AH35" s="152" t="str">
        <f ca="1">IFERROR(__xludf.DUMMYFUNCTION("IMPORTRANGE(""https://docs.google.com/spreadsheets/d/1XVB7oCJ3pr-vBUdflwPQ8Z2LlzhnCvZaaYjAfP-647E/edit?usp=sharing"",""นครพนม!J317"")"),"")</f>
        <v/>
      </c>
      <c r="AI35" s="216" t="e">
        <f t="shared" ca="1" si="46"/>
        <v>#VALUE!</v>
      </c>
    </row>
    <row r="36" spans="1:35" ht="21" customHeight="1" x14ac:dyDescent="0.3">
      <c r="A36" s="70">
        <v>5</v>
      </c>
      <c r="B36" s="71" t="s">
        <v>64</v>
      </c>
      <c r="C36" s="149">
        <f t="shared" ca="1" si="28"/>
        <v>329900</v>
      </c>
      <c r="D36" s="150">
        <f t="shared" ca="1" si="54"/>
        <v>329900</v>
      </c>
      <c r="E36" s="151">
        <f ca="1">IFERROR(__xludf.DUMMYFUNCTION("IMPORTRANGE(""https://docs.google.com/spreadsheets/d/1-uDff_7J0KD5mKrp0Vvzr7lt3OU09vwQwhkpOPPYv2Y/edit?usp=sharing"",""งบพรบ!DZ36"")"),204400)</f>
        <v>204400</v>
      </c>
      <c r="F36" s="151">
        <f ca="1">IFERROR(__xludf.DUMMYFUNCTION("IMPORTRANGE(""https://docs.google.com/spreadsheets/d/1-uDff_7J0KD5mKrp0Vvzr7lt3OU09vwQwhkpOPPYv2Y/edit?usp=sharing"",""งบพรบ!EA36"")"),125500)</f>
        <v>125500</v>
      </c>
      <c r="G36" s="151">
        <f ca="1">IFERROR(__xludf.DUMMYFUNCTION("IMPORTRANGE(""https://docs.google.com/spreadsheets/d/1-uDff_7J0KD5mKrp0Vvzr7lt3OU09vwQwhkpOPPYv2Y/edit?usp=sharing"",""งบพรบ!EB36"")"),0)</f>
        <v>0</v>
      </c>
      <c r="H36" s="151">
        <f ca="1">IFERROR(__xludf.DUMMYFUNCTION("IMPORTRANGE(""https://docs.google.com/spreadsheets/d/1-uDff_7J0KD5mKrp0Vvzr7lt3OU09vwQwhkpOPPYv2Y/edit?usp=sharing"",""งบพรบ!ED36"")"),329900)</f>
        <v>329900</v>
      </c>
      <c r="I36" s="151">
        <f ca="1">IFERROR(__xludf.DUMMYFUNCTION("IMPORTRANGE(""https://docs.google.com/spreadsheets/d/1-uDff_7J0KD5mKrp0Vvzr7lt3OU09vwQwhkpOPPYv2Y/edit?usp=sharing"",""งบพรบ!EE36"")"),0)</f>
        <v>0</v>
      </c>
      <c r="J36" s="151">
        <f t="shared" ca="1" si="30"/>
        <v>326502.46000000002</v>
      </c>
      <c r="K36" s="154">
        <f t="shared" ca="1" si="31"/>
        <v>98.970130342528051</v>
      </c>
      <c r="L36" s="151">
        <f ca="1">IFERROR(__xludf.DUMMYFUNCTION("IMPORTRANGE(""https://docs.google.com/spreadsheets/d/1-uDff_7J0KD5mKrp0Vvzr7lt3OU09vwQwhkpOPPYv2Y/edit?usp=sharing"",""งบพรบ!EF36"")"),326502.46)</f>
        <v>326502.46000000002</v>
      </c>
      <c r="M36" s="68">
        <f t="shared" ca="1" si="32"/>
        <v>98.970130342528051</v>
      </c>
      <c r="N36" s="68">
        <f t="shared" ca="1" si="33"/>
        <v>98.970130342528051</v>
      </c>
      <c r="O36" s="67">
        <f ca="1">IFERROR(__xludf.DUMMYFUNCTION("IMPORTRANGE(""https://docs.google.com/spreadsheets/d/1-uDff_7J0KD5mKrp0Vvzr7lt3OU09vwQwhkpOPPYv2Y/edit?usp=sharing"",""งบพรบ!EG36"")"),0)</f>
        <v>0</v>
      </c>
      <c r="P36" s="67">
        <f t="shared" ca="1" si="34"/>
        <v>0</v>
      </c>
      <c r="Q36" s="68">
        <f t="shared" ca="1" si="35"/>
        <v>0</v>
      </c>
      <c r="R36" s="197">
        <f ca="1">IFERROR(__xludf.DUMMYFUNCTION("IMPORTRANGE(""https://docs.google.com/spreadsheets/d/1Mnpb-8PYAgn85W6KOTD40hc_Xc55CaLfHoGAbrZ8tls/edit?usp=sharing"",""นครราชสีมา!Q303"")"),166057.24)</f>
        <v>166057.24</v>
      </c>
      <c r="S36" s="67">
        <f ca="1">IFERROR(__xludf.DUMMYFUNCTION("IMPORTRANGE(""https://docs.google.com/spreadsheets/d/1Mnpb-8PYAgn85W6KOTD40hc_Xc55CaLfHoGAbrZ8tls/edit?usp=sharing"",""นครราชสีมา!R303"")"),170257)</f>
        <v>170257</v>
      </c>
      <c r="T36" s="67">
        <f ca="1">IFERROR(__xludf.DUMMYFUNCTION("IMPORTRANGE(""https://docs.google.com/spreadsheets/d/1Mnpb-8PYAgn85W6KOTD40hc_Xc55CaLfHoGAbrZ8tls/edit?usp=sharing"",""นครราชสีมา!S303"")"),149517)</f>
        <v>149517</v>
      </c>
      <c r="U36" s="68">
        <f t="shared" ca="1" si="37"/>
        <v>90.039434594962557</v>
      </c>
      <c r="V36" s="68">
        <f t="shared" ca="1" si="38"/>
        <v>87.818415689222761</v>
      </c>
      <c r="W36" s="278" t="str">
        <f ca="1">IFERROR(__xludf.DUMMYFUNCTION("IMPORTRANGE(""https://docs.google.com/spreadsheets/d/1Mnpb-8PYAgn85W6KOTD40hc_Xc55CaLfHoGAbrZ8tls/edit?usp=sharing"",""นครราชสีมา!J313"")"),"")</f>
        <v/>
      </c>
      <c r="X36" s="278">
        <f ca="1">IFERROR(__xludf.DUMMYFUNCTION("IMPORTRANGE(""https://docs.google.com/spreadsheets/d/1Mnpb-8PYAgn85W6KOTD40hc_Xc55CaLfHoGAbrZ8tls/edit?usp=sharing"",""นครราชสีมา!I314"")"),25)</f>
        <v>25</v>
      </c>
      <c r="Y36" s="152">
        <f ca="1">IFERROR(__xludf.DUMMYFUNCTION("IMPORTRANGE(""https://docs.google.com/spreadsheets/d/1Mnpb-8PYAgn85W6KOTD40hc_Xc55CaLfHoGAbrZ8tls/edit?usp=sharing"",""นครราชสีมา!J314"")"),25)</f>
        <v>25</v>
      </c>
      <c r="Z36" s="216">
        <f t="shared" ca="1" si="40"/>
        <v>100</v>
      </c>
      <c r="AA36" s="278" t="str">
        <f ca="1">IFERROR(__xludf.DUMMYFUNCTION("IMPORTRANGE(""https://docs.google.com/spreadsheets/d/1Mnpb-8PYAgn85W6KOTD40hc_Xc55CaLfHoGAbrZ8tls/edit?usp=sharing"",""นครราชสีมา!I315"")"),"")</f>
        <v/>
      </c>
      <c r="AB36" s="152" t="str">
        <f ca="1">IFERROR(__xludf.DUMMYFUNCTION("IMPORTRANGE(""https://docs.google.com/spreadsheets/d/1Mnpb-8PYAgn85W6KOTD40hc_Xc55CaLfHoGAbrZ8tls/edit?usp=sharing"",""นครราชสีมา!J315"")"),"")</f>
        <v/>
      </c>
      <c r="AC36" s="216" t="e">
        <f t="shared" ca="1" si="42"/>
        <v>#VALUE!</v>
      </c>
      <c r="AD36" s="278" t="str">
        <f ca="1">IFERROR(__xludf.DUMMYFUNCTION("IMPORTRANGE(""https://docs.google.com/spreadsheets/d/1Mnpb-8PYAgn85W6KOTD40hc_Xc55CaLfHoGAbrZ8tls/edit?usp=sharing"",""นครราชสีมา!I316"")"),"")</f>
        <v/>
      </c>
      <c r="AE36" s="152" t="str">
        <f ca="1">IFERROR(__xludf.DUMMYFUNCTION("IMPORTRANGE(""https://docs.google.com/spreadsheets/d/1Mnpb-8PYAgn85W6KOTD40hc_Xc55CaLfHoGAbrZ8tls/edit?usp=sharing"",""นครราชสีมา!J316"")"),"")</f>
        <v/>
      </c>
      <c r="AF36" s="216" t="e">
        <f t="shared" ca="1" si="44"/>
        <v>#VALUE!</v>
      </c>
      <c r="AG36" s="278" t="str">
        <f ca="1">IFERROR(__xludf.DUMMYFUNCTION("IMPORTRANGE(""https://docs.google.com/spreadsheets/d/1Mnpb-8PYAgn85W6KOTD40hc_Xc55CaLfHoGAbrZ8tls/edit?usp=sharing"",""นครราชสีมา!I317"")"),"")</f>
        <v/>
      </c>
      <c r="AH36" s="152" t="str">
        <f ca="1">IFERROR(__xludf.DUMMYFUNCTION("IMPORTRANGE(""https://docs.google.com/spreadsheets/d/1Mnpb-8PYAgn85W6KOTD40hc_Xc55CaLfHoGAbrZ8tls/edit?usp=sharing"",""นครราชสีมา!J317"")"),"")</f>
        <v/>
      </c>
      <c r="AI36" s="216" t="e">
        <f t="shared" ca="1" si="46"/>
        <v>#VALUE!</v>
      </c>
    </row>
    <row r="37" spans="1:35" ht="21" customHeight="1" x14ac:dyDescent="0.3">
      <c r="A37" s="70">
        <v>6</v>
      </c>
      <c r="B37" s="71" t="s">
        <v>65</v>
      </c>
      <c r="C37" s="149">
        <f t="shared" ca="1" si="28"/>
        <v>0</v>
      </c>
      <c r="D37" s="150">
        <f t="shared" ca="1" si="54"/>
        <v>0</v>
      </c>
      <c r="E37" s="151">
        <f ca="1">IFERROR(__xludf.DUMMYFUNCTION("IMPORTRANGE(""https://docs.google.com/spreadsheets/d/1-uDff_7J0KD5mKrp0Vvzr7lt3OU09vwQwhkpOPPYv2Y/edit?usp=sharing"",""งบพรบ!DZ37"")"),0)</f>
        <v>0</v>
      </c>
      <c r="F37" s="151">
        <f ca="1">IFERROR(__xludf.DUMMYFUNCTION("IMPORTRANGE(""https://docs.google.com/spreadsheets/d/1-uDff_7J0KD5mKrp0Vvzr7lt3OU09vwQwhkpOPPYv2Y/edit?usp=sharing"",""งบพรบ!EA37"")"),0)</f>
        <v>0</v>
      </c>
      <c r="G37" s="151">
        <f ca="1">IFERROR(__xludf.DUMMYFUNCTION("IMPORTRANGE(""https://docs.google.com/spreadsheets/d/1-uDff_7J0KD5mKrp0Vvzr7lt3OU09vwQwhkpOPPYv2Y/edit?usp=sharing"",""งบพรบ!EB37"")"),0)</f>
        <v>0</v>
      </c>
      <c r="H37" s="151">
        <f ca="1">IFERROR(__xludf.DUMMYFUNCTION("IMPORTRANGE(""https://docs.google.com/spreadsheets/d/1-uDff_7J0KD5mKrp0Vvzr7lt3OU09vwQwhkpOPPYv2Y/edit?usp=sharing"",""งบพรบ!ED37"")"),0)</f>
        <v>0</v>
      </c>
      <c r="I37" s="151">
        <f ca="1">IFERROR(__xludf.DUMMYFUNCTION("IMPORTRANGE(""https://docs.google.com/spreadsheets/d/1-uDff_7J0KD5mKrp0Vvzr7lt3OU09vwQwhkpOPPYv2Y/edit?usp=sharing"",""งบพรบ!EE37"")"),0)</f>
        <v>0</v>
      </c>
      <c r="J37" s="151">
        <f t="shared" ca="1" si="30"/>
        <v>0</v>
      </c>
      <c r="K37" s="154">
        <f t="shared" ca="1" si="31"/>
        <v>0</v>
      </c>
      <c r="L37" s="151">
        <f ca="1">IFERROR(__xludf.DUMMYFUNCTION("IMPORTRANGE(""https://docs.google.com/spreadsheets/d/1-uDff_7J0KD5mKrp0Vvzr7lt3OU09vwQwhkpOPPYv2Y/edit?usp=sharing"",""งบพรบ!EF37"")"),0)</f>
        <v>0</v>
      </c>
      <c r="M37" s="68">
        <f t="shared" ca="1" si="32"/>
        <v>0</v>
      </c>
      <c r="N37" s="68">
        <f t="shared" ca="1" si="33"/>
        <v>0</v>
      </c>
      <c r="O37" s="67">
        <f ca="1">IFERROR(__xludf.DUMMYFUNCTION("IMPORTRANGE(""https://docs.google.com/spreadsheets/d/1-uDff_7J0KD5mKrp0Vvzr7lt3OU09vwQwhkpOPPYv2Y/edit?usp=sharing"",""งบพรบ!EG37"")"),0)</f>
        <v>0</v>
      </c>
      <c r="P37" s="67">
        <f t="shared" ca="1" si="34"/>
        <v>0</v>
      </c>
      <c r="Q37" s="68">
        <f t="shared" ca="1" si="35"/>
        <v>0</v>
      </c>
      <c r="R37" s="197">
        <f ca="1">IFERROR(__xludf.DUMMYFUNCTION("IMPORTRANGE(""https://docs.google.com/spreadsheets/d/1xoDLGBv9CYbyosIhki0kTq6IpYNj-gpjxfobnaDiut0/edit?usp=sharing"",""บึงกาฬ!Q303"")"),0)</f>
        <v>0</v>
      </c>
      <c r="S37" s="67">
        <f ca="1">IFERROR(__xludf.DUMMYFUNCTION("IMPORTRANGE(""https://docs.google.com/spreadsheets/d/1xoDLGBv9CYbyosIhki0kTq6IpYNj-gpjxfobnaDiut0/edit?usp=sharing"",""บึงกาฬ!R303"")"),0)</f>
        <v>0</v>
      </c>
      <c r="T37" s="67">
        <f ca="1">IFERROR(__xludf.DUMMYFUNCTION("IMPORTRANGE(""https://docs.google.com/spreadsheets/d/1xoDLGBv9CYbyosIhki0kTq6IpYNj-gpjxfobnaDiut0/edit?usp=sharing"",""บึงกาฬ!S303"")"),0)</f>
        <v>0</v>
      </c>
      <c r="U37" s="68">
        <f t="shared" ca="1" si="37"/>
        <v>0</v>
      </c>
      <c r="V37" s="68">
        <f t="shared" ca="1" si="38"/>
        <v>0</v>
      </c>
      <c r="W37" s="278" t="str">
        <f ca="1">IFERROR(__xludf.DUMMYFUNCTION("IMPORTRANGE(""https://docs.google.com/spreadsheets/d/1xoDLGBv9CYbyosIhki0kTq6IpYNj-gpjxfobnaDiut0/edit?usp=sharing"",""บึงกาฬ!J313"")"),"")</f>
        <v/>
      </c>
      <c r="X37" s="278">
        <f ca="1">IFERROR(__xludf.DUMMYFUNCTION("IMPORTRANGE(""https://docs.google.com/spreadsheets/d/1xoDLGBv9CYbyosIhki0kTq6IpYNj-gpjxfobnaDiut0/edit?usp=sharing"",""บึงกาฬ!I314"")"),0)</f>
        <v>0</v>
      </c>
      <c r="Y37" s="152">
        <f ca="1">IFERROR(__xludf.DUMMYFUNCTION("IMPORTRANGE(""https://docs.google.com/spreadsheets/d/1xoDLGBv9CYbyosIhki0kTq6IpYNj-gpjxfobnaDiut0/edit?usp=sharing"",""บึงกาฬ!J314"")"),0)</f>
        <v>0</v>
      </c>
      <c r="Z37" s="216">
        <f t="shared" ca="1" si="40"/>
        <v>0</v>
      </c>
      <c r="AA37" s="278" t="str">
        <f ca="1">IFERROR(__xludf.DUMMYFUNCTION("IMPORTRANGE(""https://docs.google.com/spreadsheets/d/1xoDLGBv9CYbyosIhki0kTq6IpYNj-gpjxfobnaDiut0/edit?usp=sharing"",""บึงกาฬ!I315"")"),"")</f>
        <v/>
      </c>
      <c r="AB37" s="152" t="str">
        <f ca="1">IFERROR(__xludf.DUMMYFUNCTION("IMPORTRANGE(""https://docs.google.com/spreadsheets/d/1xoDLGBv9CYbyosIhki0kTq6IpYNj-gpjxfobnaDiut0/edit?usp=sharing"",""บึงกาฬ!J315"")"),"")</f>
        <v/>
      </c>
      <c r="AC37" s="216">
        <f t="shared" ca="1" si="42"/>
        <v>0</v>
      </c>
      <c r="AD37" s="278" t="str">
        <f ca="1">IFERROR(__xludf.DUMMYFUNCTION("IMPORTRANGE(""https://docs.google.com/spreadsheets/d/1xoDLGBv9CYbyosIhki0kTq6IpYNj-gpjxfobnaDiut0/edit?usp=sharing"",""บึงกาฬ!I316"")"),"")</f>
        <v/>
      </c>
      <c r="AE37" s="152" t="str">
        <f ca="1">IFERROR(__xludf.DUMMYFUNCTION("IMPORTRANGE(""https://docs.google.com/spreadsheets/d/1xoDLGBv9CYbyosIhki0kTq6IpYNj-gpjxfobnaDiut0/edit?usp=sharing"",""บึงกาฬ!J316"")"),"")</f>
        <v/>
      </c>
      <c r="AF37" s="216" t="e">
        <f t="shared" ca="1" si="44"/>
        <v>#VALUE!</v>
      </c>
      <c r="AG37" s="278" t="str">
        <f ca="1">IFERROR(__xludf.DUMMYFUNCTION("IMPORTRANGE(""https://docs.google.com/spreadsheets/d/1xoDLGBv9CYbyosIhki0kTq6IpYNj-gpjxfobnaDiut0/edit?usp=sharing"",""บึงกาฬ!I317"")"),"")</f>
        <v/>
      </c>
      <c r="AH37" s="152" t="str">
        <f ca="1">IFERROR(__xludf.DUMMYFUNCTION("IMPORTRANGE(""https://docs.google.com/spreadsheets/d/1xoDLGBv9CYbyosIhki0kTq6IpYNj-gpjxfobnaDiut0/edit?usp=sharing"",""บึงกาฬ!J317"")"),"")</f>
        <v/>
      </c>
      <c r="AI37" s="216" t="e">
        <f t="shared" ca="1" si="46"/>
        <v>#VALUE!</v>
      </c>
    </row>
    <row r="38" spans="1:35" ht="21" customHeight="1" x14ac:dyDescent="0.3">
      <c r="A38" s="70">
        <v>7</v>
      </c>
      <c r="B38" s="71" t="s">
        <v>66</v>
      </c>
      <c r="C38" s="149">
        <f t="shared" ca="1" si="28"/>
        <v>329900</v>
      </c>
      <c r="D38" s="150">
        <f t="shared" ca="1" si="54"/>
        <v>329900</v>
      </c>
      <c r="E38" s="151">
        <f ca="1">IFERROR(__xludf.DUMMYFUNCTION("IMPORTRANGE(""https://docs.google.com/spreadsheets/d/1-uDff_7J0KD5mKrp0Vvzr7lt3OU09vwQwhkpOPPYv2Y/edit?usp=sharing"",""งบพรบ!DZ38"")"),204400)</f>
        <v>204400</v>
      </c>
      <c r="F38" s="151">
        <f ca="1">IFERROR(__xludf.DUMMYFUNCTION("IMPORTRANGE(""https://docs.google.com/spreadsheets/d/1-uDff_7J0KD5mKrp0Vvzr7lt3OU09vwQwhkpOPPYv2Y/edit?usp=sharing"",""งบพรบ!EA38"")"),125500)</f>
        <v>125500</v>
      </c>
      <c r="G38" s="151">
        <f ca="1">IFERROR(__xludf.DUMMYFUNCTION("IMPORTRANGE(""https://docs.google.com/spreadsheets/d/1-uDff_7J0KD5mKrp0Vvzr7lt3OU09vwQwhkpOPPYv2Y/edit?usp=sharing"",""งบพรบ!EB38"")"),0)</f>
        <v>0</v>
      </c>
      <c r="H38" s="151">
        <f ca="1">IFERROR(__xludf.DUMMYFUNCTION("IMPORTRANGE(""https://docs.google.com/spreadsheets/d/1-uDff_7J0KD5mKrp0Vvzr7lt3OU09vwQwhkpOPPYv2Y/edit?usp=sharing"",""งบพรบ!ED38"")"),329900)</f>
        <v>329900</v>
      </c>
      <c r="I38" s="151">
        <f ca="1">IFERROR(__xludf.DUMMYFUNCTION("IMPORTRANGE(""https://docs.google.com/spreadsheets/d/1-uDff_7J0KD5mKrp0Vvzr7lt3OU09vwQwhkpOPPYv2Y/edit?usp=sharing"",""งบพรบ!EE38"")"),0)</f>
        <v>0</v>
      </c>
      <c r="J38" s="151">
        <f t="shared" ca="1" si="30"/>
        <v>302923.31</v>
      </c>
      <c r="K38" s="154">
        <f t="shared" ca="1" si="31"/>
        <v>91.82276750530464</v>
      </c>
      <c r="L38" s="151">
        <f ca="1">IFERROR(__xludf.DUMMYFUNCTION("IMPORTRANGE(""https://docs.google.com/spreadsheets/d/1-uDff_7J0KD5mKrp0Vvzr7lt3OU09vwQwhkpOPPYv2Y/edit?usp=sharing"",""งบพรบ!EF38"")"),302923.31)</f>
        <v>302923.31</v>
      </c>
      <c r="M38" s="68">
        <f t="shared" ca="1" si="32"/>
        <v>91.82276750530464</v>
      </c>
      <c r="N38" s="68">
        <f t="shared" ca="1" si="33"/>
        <v>91.82276750530464</v>
      </c>
      <c r="O38" s="67">
        <f ca="1">IFERROR(__xludf.DUMMYFUNCTION("IMPORTRANGE(""https://docs.google.com/spreadsheets/d/1-uDff_7J0KD5mKrp0Vvzr7lt3OU09vwQwhkpOPPYv2Y/edit?usp=sharing"",""งบพรบ!EG38"")"),0)</f>
        <v>0</v>
      </c>
      <c r="P38" s="67">
        <f t="shared" ca="1" si="34"/>
        <v>0</v>
      </c>
      <c r="Q38" s="68">
        <f t="shared" ca="1" si="35"/>
        <v>0</v>
      </c>
      <c r="R38" s="197">
        <f ca="1">IFERROR(__xludf.DUMMYFUNCTION("IMPORTRANGE(""https://docs.google.com/spreadsheets/d/1MMPq-JyI6DSgQETxuSiXkesP-P7JHuemnE6QJIa-Nlw/edit?usp=sharing"",""บุรีรัมย์!Q303"")"),166057.24)</f>
        <v>166057.24</v>
      </c>
      <c r="S38" s="67">
        <f ca="1">IFERROR(__xludf.DUMMYFUNCTION("IMPORTRANGE(""https://docs.google.com/spreadsheets/d/1MMPq-JyI6DSgQETxuSiXkesP-P7JHuemnE6QJIa-Nlw/edit?usp=sharing"",""บุรีรัมย์!R303"")"),170257)</f>
        <v>170257</v>
      </c>
      <c r="T38" s="67">
        <f ca="1">IFERROR(__xludf.DUMMYFUNCTION("IMPORTRANGE(""https://docs.google.com/spreadsheets/d/1MMPq-JyI6DSgQETxuSiXkesP-P7JHuemnE6QJIa-Nlw/edit?usp=sharing"",""บุรีรัมย์!S303"")"),0)</f>
        <v>0</v>
      </c>
      <c r="U38" s="68">
        <f t="shared" ca="1" si="37"/>
        <v>0</v>
      </c>
      <c r="V38" s="68">
        <f t="shared" ca="1" si="38"/>
        <v>0</v>
      </c>
      <c r="W38" s="278" t="str">
        <f ca="1">IFERROR(__xludf.DUMMYFUNCTION("IMPORTRANGE(""https://docs.google.com/spreadsheets/d/1MMPq-JyI6DSgQETxuSiXkesP-P7JHuemnE6QJIa-Nlw/edit?usp=sharing"",""บุรีรัมย์!J313"")"),"")</f>
        <v/>
      </c>
      <c r="X38" s="278">
        <f ca="1">IFERROR(__xludf.DUMMYFUNCTION("IMPORTRANGE(""https://docs.google.com/spreadsheets/d/1MMPq-JyI6DSgQETxuSiXkesP-P7JHuemnE6QJIa-Nlw/edit?usp=sharing"",""บุรีรัมย์!I314"")"),25)</f>
        <v>25</v>
      </c>
      <c r="Y38" s="152">
        <f ca="1">IFERROR(__xludf.DUMMYFUNCTION("IMPORTRANGE(""https://docs.google.com/spreadsheets/d/1MMPq-JyI6DSgQETxuSiXkesP-P7JHuemnE6QJIa-Nlw/edit?usp=sharing"",""บุรีรัมย์!J314"")"),25)</f>
        <v>25</v>
      </c>
      <c r="Z38" s="216">
        <f t="shared" ca="1" si="40"/>
        <v>100</v>
      </c>
      <c r="AA38" s="278" t="str">
        <f ca="1">IFERROR(__xludf.DUMMYFUNCTION("IMPORTRANGE(""https://docs.google.com/spreadsheets/d/1MMPq-JyI6DSgQETxuSiXkesP-P7JHuemnE6QJIa-Nlw/edit?usp=sharing"",""บุรีรัมย์!I315"")"),"")</f>
        <v/>
      </c>
      <c r="AB38" s="152" t="str">
        <f ca="1">IFERROR(__xludf.DUMMYFUNCTION("IMPORTRANGE(""https://docs.google.com/spreadsheets/d/1MMPq-JyI6DSgQETxuSiXkesP-P7JHuemnE6QJIa-Nlw/edit?usp=sharing"",""บุรีรัมย์!J315"")"),"")</f>
        <v/>
      </c>
      <c r="AC38" s="216" t="e">
        <f t="shared" ca="1" si="42"/>
        <v>#VALUE!</v>
      </c>
      <c r="AD38" s="278" t="str">
        <f ca="1">IFERROR(__xludf.DUMMYFUNCTION("IMPORTRANGE(""https://docs.google.com/spreadsheets/d/1MMPq-JyI6DSgQETxuSiXkesP-P7JHuemnE6QJIa-Nlw/edit?usp=sharing"",""บุรีรัมย์!I316"")"),"")</f>
        <v/>
      </c>
      <c r="AE38" s="152" t="str">
        <f ca="1">IFERROR(__xludf.DUMMYFUNCTION("IMPORTRANGE(""https://docs.google.com/spreadsheets/d/1MMPq-JyI6DSgQETxuSiXkesP-P7JHuemnE6QJIa-Nlw/edit?usp=sharing"",""บุรีรัมย์!J316"")"),"")</f>
        <v/>
      </c>
      <c r="AF38" s="216" t="e">
        <f t="shared" ca="1" si="44"/>
        <v>#VALUE!</v>
      </c>
      <c r="AG38" s="278" t="str">
        <f ca="1">IFERROR(__xludf.DUMMYFUNCTION("IMPORTRANGE(""https://docs.google.com/spreadsheets/d/1MMPq-JyI6DSgQETxuSiXkesP-P7JHuemnE6QJIa-Nlw/edit?usp=sharing"",""บุรีรัมย์!I317"")"),"")</f>
        <v/>
      </c>
      <c r="AH38" s="152" t="str">
        <f ca="1">IFERROR(__xludf.DUMMYFUNCTION("IMPORTRANGE(""https://docs.google.com/spreadsheets/d/1MMPq-JyI6DSgQETxuSiXkesP-P7JHuemnE6QJIa-Nlw/edit?usp=sharing"",""บุรีรัมย์!J317"")"),"")</f>
        <v/>
      </c>
      <c r="AI38" s="216" t="e">
        <f t="shared" ca="1" si="46"/>
        <v>#VALUE!</v>
      </c>
    </row>
    <row r="39" spans="1:35" ht="21" customHeight="1" x14ac:dyDescent="0.3">
      <c r="A39" s="70">
        <v>8</v>
      </c>
      <c r="B39" s="71" t="s">
        <v>67</v>
      </c>
      <c r="C39" s="149">
        <f t="shared" ca="1" si="28"/>
        <v>0</v>
      </c>
      <c r="D39" s="150">
        <f t="shared" ca="1" si="54"/>
        <v>0</v>
      </c>
      <c r="E39" s="151">
        <f ca="1">IFERROR(__xludf.DUMMYFUNCTION("IMPORTRANGE(""https://docs.google.com/spreadsheets/d/1-uDff_7J0KD5mKrp0Vvzr7lt3OU09vwQwhkpOPPYv2Y/edit?usp=sharing"",""งบพรบ!DZ39"")"),0)</f>
        <v>0</v>
      </c>
      <c r="F39" s="151">
        <f ca="1">IFERROR(__xludf.DUMMYFUNCTION("IMPORTRANGE(""https://docs.google.com/spreadsheets/d/1-uDff_7J0KD5mKrp0Vvzr7lt3OU09vwQwhkpOPPYv2Y/edit?usp=sharing"",""งบพรบ!EA39"")"),0)</f>
        <v>0</v>
      </c>
      <c r="G39" s="151">
        <f ca="1">IFERROR(__xludf.DUMMYFUNCTION("IMPORTRANGE(""https://docs.google.com/spreadsheets/d/1-uDff_7J0KD5mKrp0Vvzr7lt3OU09vwQwhkpOPPYv2Y/edit?usp=sharing"",""งบพรบ!EB39"")"),0)</f>
        <v>0</v>
      </c>
      <c r="H39" s="151">
        <f ca="1">IFERROR(__xludf.DUMMYFUNCTION("IMPORTRANGE(""https://docs.google.com/spreadsheets/d/1-uDff_7J0KD5mKrp0Vvzr7lt3OU09vwQwhkpOPPYv2Y/edit?usp=sharing"",""งบพรบ!ED39"")"),0)</f>
        <v>0</v>
      </c>
      <c r="I39" s="151">
        <f ca="1">IFERROR(__xludf.DUMMYFUNCTION("IMPORTRANGE(""https://docs.google.com/spreadsheets/d/1-uDff_7J0KD5mKrp0Vvzr7lt3OU09vwQwhkpOPPYv2Y/edit?usp=sharing"",""งบพรบ!EE39"")"),0)</f>
        <v>0</v>
      </c>
      <c r="J39" s="151">
        <f t="shared" ca="1" si="30"/>
        <v>0</v>
      </c>
      <c r="K39" s="154">
        <f t="shared" ca="1" si="31"/>
        <v>0</v>
      </c>
      <c r="L39" s="151">
        <f ca="1">IFERROR(__xludf.DUMMYFUNCTION("IMPORTRANGE(""https://docs.google.com/spreadsheets/d/1-uDff_7J0KD5mKrp0Vvzr7lt3OU09vwQwhkpOPPYv2Y/edit?usp=sharing"",""งบพรบ!EF39"")"),0)</f>
        <v>0</v>
      </c>
      <c r="M39" s="68">
        <f t="shared" ca="1" si="32"/>
        <v>0</v>
      </c>
      <c r="N39" s="68">
        <f t="shared" ca="1" si="33"/>
        <v>0</v>
      </c>
      <c r="O39" s="67">
        <f ca="1">IFERROR(__xludf.DUMMYFUNCTION("IMPORTRANGE(""https://docs.google.com/spreadsheets/d/1-uDff_7J0KD5mKrp0Vvzr7lt3OU09vwQwhkpOPPYv2Y/edit?usp=sharing"",""งบพรบ!EG39"")"),0)</f>
        <v>0</v>
      </c>
      <c r="P39" s="67">
        <f t="shared" ca="1" si="34"/>
        <v>0</v>
      </c>
      <c r="Q39" s="68">
        <f t="shared" ca="1" si="35"/>
        <v>0</v>
      </c>
      <c r="R39" s="197">
        <f ca="1">IFERROR(__xludf.DUMMYFUNCTION("IMPORTRANGE(""https://docs.google.com/spreadsheets/d/1l6IZ8xUPgMrESzcTYwhA1k_tPjeQjJPTqlm8Gd9eU5g/edit?usp=sharing"",""มหาสารคาม!Q303"")"),260958.39)</f>
        <v>260958.39</v>
      </c>
      <c r="S39" s="67">
        <f ca="1">IFERROR(__xludf.DUMMYFUNCTION("IMPORTRANGE(""https://docs.google.com/spreadsheets/d/1l6IZ8xUPgMrESzcTYwhA1k_tPjeQjJPTqlm8Gd9eU5g/edit?usp=sharing"",""มหาสารคาม!R303"")"),265158)</f>
        <v>265158</v>
      </c>
      <c r="T39" s="67">
        <f ca="1">IFERROR(__xludf.DUMMYFUNCTION("IMPORTRANGE(""https://docs.google.com/spreadsheets/d/1l6IZ8xUPgMrESzcTYwhA1k_tPjeQjJPTqlm8Gd9eU5g/edit?usp=sharing"",""มหาสารคาม!S303"")"),137260)</f>
        <v>137260</v>
      </c>
      <c r="U39" s="68">
        <f t="shared" ca="1" si="37"/>
        <v>52.598423833010308</v>
      </c>
      <c r="V39" s="68">
        <f t="shared" ca="1" si="38"/>
        <v>51.765362538561916</v>
      </c>
      <c r="W39" s="278" t="str">
        <f ca="1">IFERROR(__xludf.DUMMYFUNCTION("IMPORTRANGE(""https://docs.google.com/spreadsheets/d/1l6IZ8xUPgMrESzcTYwhA1k_tPjeQjJPTqlm8Gd9eU5g/edit?usp=sharing"",""มหาสารคาม!J313"")"),"")</f>
        <v/>
      </c>
      <c r="X39" s="278">
        <f ca="1">IFERROR(__xludf.DUMMYFUNCTION("IMPORTRANGE(""https://docs.google.com/spreadsheets/d/1l6IZ8xUPgMrESzcTYwhA1k_tPjeQjJPTqlm8Gd9eU5g/edit?usp=sharing"",""มหาสารคาม!I314"")"),30)</f>
        <v>30</v>
      </c>
      <c r="Y39" s="152">
        <f ca="1">IFERROR(__xludf.DUMMYFUNCTION("IMPORTRANGE(""https://docs.google.com/spreadsheets/d/1l6IZ8xUPgMrESzcTYwhA1k_tPjeQjJPTqlm8Gd9eU5g/edit?usp=sharing"",""มหาสารคาม!J314"")"),30)</f>
        <v>30</v>
      </c>
      <c r="Z39" s="216">
        <f t="shared" ca="1" si="40"/>
        <v>100</v>
      </c>
      <c r="AA39" s="278" t="str">
        <f ca="1">IFERROR(__xludf.DUMMYFUNCTION("IMPORTRANGE(""https://docs.google.com/spreadsheets/d/1l6IZ8xUPgMrESzcTYwhA1k_tPjeQjJPTqlm8Gd9eU5g/edit?usp=sharing"",""มหาสารคาม!I315"")"),"")</f>
        <v/>
      </c>
      <c r="AB39" s="152" t="str">
        <f ca="1">IFERROR(__xludf.DUMMYFUNCTION("IMPORTRANGE(""https://docs.google.com/spreadsheets/d/1l6IZ8xUPgMrESzcTYwhA1k_tPjeQjJPTqlm8Gd9eU5g/edit?usp=sharing"",""มหาสารคาม!J315"")"),"")</f>
        <v/>
      </c>
      <c r="AC39" s="216" t="e">
        <f t="shared" ca="1" si="42"/>
        <v>#VALUE!</v>
      </c>
      <c r="AD39" s="278" t="str">
        <f ca="1">IFERROR(__xludf.DUMMYFUNCTION("IMPORTRANGE(""https://docs.google.com/spreadsheets/d/1l6IZ8xUPgMrESzcTYwhA1k_tPjeQjJPTqlm8Gd9eU5g/edit?usp=sharing"",""มหาสารคาม!I316"")"),"")</f>
        <v/>
      </c>
      <c r="AE39" s="152" t="str">
        <f ca="1">IFERROR(__xludf.DUMMYFUNCTION("IMPORTRANGE(""https://docs.google.com/spreadsheets/d/1l6IZ8xUPgMrESzcTYwhA1k_tPjeQjJPTqlm8Gd9eU5g/edit?usp=sharing"",""มหาสารคาม!J316"")"),"")</f>
        <v/>
      </c>
      <c r="AF39" s="216" t="e">
        <f t="shared" ca="1" si="44"/>
        <v>#VALUE!</v>
      </c>
      <c r="AG39" s="278" t="str">
        <f ca="1">IFERROR(__xludf.DUMMYFUNCTION("IMPORTRANGE(""https://docs.google.com/spreadsheets/d/1l6IZ8xUPgMrESzcTYwhA1k_tPjeQjJPTqlm8Gd9eU5g/edit?usp=sharing"",""มหาสารคาม!I317"")"),"")</f>
        <v/>
      </c>
      <c r="AH39" s="152" t="str">
        <f ca="1">IFERROR(__xludf.DUMMYFUNCTION("IMPORTRANGE(""https://docs.google.com/spreadsheets/d/1l6IZ8xUPgMrESzcTYwhA1k_tPjeQjJPTqlm8Gd9eU5g/edit?usp=sharing"",""มหาสารคาม!J317"")"),"")</f>
        <v/>
      </c>
      <c r="AI39" s="216" t="e">
        <f t="shared" ca="1" si="46"/>
        <v>#VALUE!</v>
      </c>
    </row>
    <row r="40" spans="1:35" ht="21" customHeight="1" x14ac:dyDescent="0.3">
      <c r="A40" s="70">
        <v>9</v>
      </c>
      <c r="B40" s="71" t="s">
        <v>68</v>
      </c>
      <c r="C40" s="149">
        <f t="shared" ca="1" si="28"/>
        <v>184200</v>
      </c>
      <c r="D40" s="150">
        <f t="shared" ca="1" si="54"/>
        <v>184200</v>
      </c>
      <c r="E40" s="151">
        <f ca="1">IFERROR(__xludf.DUMMYFUNCTION("IMPORTRANGE(""https://docs.google.com/spreadsheets/d/1-uDff_7J0KD5mKrp0Vvzr7lt3OU09vwQwhkpOPPYv2Y/edit?usp=sharing"",""งบพรบ!DZ40"")"),80300)</f>
        <v>80300</v>
      </c>
      <c r="F40" s="151">
        <f ca="1">IFERROR(__xludf.DUMMYFUNCTION("IMPORTRANGE(""https://docs.google.com/spreadsheets/d/1-uDff_7J0KD5mKrp0Vvzr7lt3OU09vwQwhkpOPPYv2Y/edit?usp=sharing"",""งบพรบ!EA40"")"),103900)</f>
        <v>103900</v>
      </c>
      <c r="G40" s="151">
        <f ca="1">IFERROR(__xludf.DUMMYFUNCTION("IMPORTRANGE(""https://docs.google.com/spreadsheets/d/1-uDff_7J0KD5mKrp0Vvzr7lt3OU09vwQwhkpOPPYv2Y/edit?usp=sharing"",""งบพรบ!EB40"")"),0)</f>
        <v>0</v>
      </c>
      <c r="H40" s="151">
        <f ca="1">IFERROR(__xludf.DUMMYFUNCTION("IMPORTRANGE(""https://docs.google.com/spreadsheets/d/1-uDff_7J0KD5mKrp0Vvzr7lt3OU09vwQwhkpOPPYv2Y/edit?usp=sharing"",""งบพรบ!ED40"")"),184200)</f>
        <v>184200</v>
      </c>
      <c r="I40" s="151">
        <f ca="1">IFERROR(__xludf.DUMMYFUNCTION("IMPORTRANGE(""https://docs.google.com/spreadsheets/d/1-uDff_7J0KD5mKrp0Vvzr7lt3OU09vwQwhkpOPPYv2Y/edit?usp=sharing"",""งบพรบ!EE40"")"),0)</f>
        <v>0</v>
      </c>
      <c r="J40" s="151">
        <f t="shared" ca="1" si="30"/>
        <v>169600</v>
      </c>
      <c r="K40" s="154">
        <f t="shared" ca="1" si="31"/>
        <v>92.073832790445167</v>
      </c>
      <c r="L40" s="151">
        <f ca="1">IFERROR(__xludf.DUMMYFUNCTION("IMPORTRANGE(""https://docs.google.com/spreadsheets/d/1-uDff_7J0KD5mKrp0Vvzr7lt3OU09vwQwhkpOPPYv2Y/edit?usp=sharing"",""งบพรบ!EF40"")"),169600)</f>
        <v>169600</v>
      </c>
      <c r="M40" s="68">
        <f t="shared" ca="1" si="32"/>
        <v>92.073832790445167</v>
      </c>
      <c r="N40" s="68">
        <f t="shared" ca="1" si="33"/>
        <v>92.073832790445167</v>
      </c>
      <c r="O40" s="67">
        <f ca="1">IFERROR(__xludf.DUMMYFUNCTION("IMPORTRANGE(""https://docs.google.com/spreadsheets/d/1-uDff_7J0KD5mKrp0Vvzr7lt3OU09vwQwhkpOPPYv2Y/edit?usp=sharing"",""งบพรบ!EG40"")"),0)</f>
        <v>0</v>
      </c>
      <c r="P40" s="67">
        <f t="shared" ca="1" si="34"/>
        <v>0</v>
      </c>
      <c r="Q40" s="68">
        <f t="shared" ca="1" si="35"/>
        <v>0</v>
      </c>
      <c r="R40" s="197">
        <f ca="1">IFERROR(__xludf.DUMMYFUNCTION("IMPORTRANGE(""https://docs.google.com/spreadsheets/d/1uB74YLqNjWX6FObjekfB2NtSYigTQyR2rq9u4Ub2Sq4/edit?usp=sharing"",""มุกดาหาร!Q303"")"),144609.24)</f>
        <v>144609.24</v>
      </c>
      <c r="S40" s="67">
        <f ca="1">IFERROR(__xludf.DUMMYFUNCTION("IMPORTRANGE(""https://docs.google.com/spreadsheets/d/1uB74YLqNjWX6FObjekfB2NtSYigTQyR2rq9u4Ub2Sq4/edit?usp=sharing"",""มุกดาหาร!R303"")"),148809)</f>
        <v>148809</v>
      </c>
      <c r="T40" s="67">
        <f ca="1">IFERROR(__xludf.DUMMYFUNCTION("IMPORTRANGE(""https://docs.google.com/spreadsheets/d/1uB74YLqNjWX6FObjekfB2NtSYigTQyR2rq9u4Ub2Sq4/edit?usp=sharing"",""มุกดาหาร!S303"")"),105115)</f>
        <v>105115</v>
      </c>
      <c r="U40" s="68">
        <f t="shared" ca="1" si="37"/>
        <v>72.68899276422448</v>
      </c>
      <c r="V40" s="68">
        <f t="shared" ca="1" si="38"/>
        <v>70.637528644100826</v>
      </c>
      <c r="W40" s="278" t="str">
        <f ca="1">IFERROR(__xludf.DUMMYFUNCTION("IMPORTRANGE(""https://docs.google.com/spreadsheets/d/1uB74YLqNjWX6FObjekfB2NtSYigTQyR2rq9u4Ub2Sq4/edit?usp=sharing"",""มุกดาหาร!J313"")"),"")</f>
        <v/>
      </c>
      <c r="X40" s="279">
        <f ca="1">IFERROR(__xludf.DUMMYFUNCTION("IMPORTRANGE(""https://docs.google.com/spreadsheets/d/1uB74YLqNjWX6FObjekfB2NtSYigTQyR2rq9u4Ub2Sq4/edit?usp=sharing"",""มุกดาหาร!I314"")"),20)</f>
        <v>20</v>
      </c>
      <c r="Y40" s="152">
        <f ca="1">IFERROR(__xludf.DUMMYFUNCTION("IMPORTRANGE(""https://docs.google.com/spreadsheets/d/1uB74YLqNjWX6FObjekfB2NtSYigTQyR2rq9u4Ub2Sq4/edit?usp=sharing"",""มุกดาหาร!J314"")"),20)</f>
        <v>20</v>
      </c>
      <c r="Z40" s="216">
        <f t="shared" ca="1" si="40"/>
        <v>100</v>
      </c>
      <c r="AA40" s="279" t="str">
        <f ca="1">IFERROR(__xludf.DUMMYFUNCTION("IMPORTRANGE(""https://docs.google.com/spreadsheets/d/1uB74YLqNjWX6FObjekfB2NtSYigTQyR2rq9u4Ub2Sq4/edit?usp=sharing"",""มุกดาหาร!I315"")"),"")</f>
        <v/>
      </c>
      <c r="AB40" s="152" t="str">
        <f ca="1">IFERROR(__xludf.DUMMYFUNCTION("IMPORTRANGE(""https://docs.google.com/spreadsheets/d/1uB74YLqNjWX6FObjekfB2NtSYigTQyR2rq9u4Ub2Sq4/edit?usp=sharing"",""มุกดาหาร!J315"")"),"")</f>
        <v/>
      </c>
      <c r="AC40" s="216" t="e">
        <f t="shared" ca="1" si="42"/>
        <v>#VALUE!</v>
      </c>
      <c r="AD40" s="279" t="str">
        <f ca="1">IFERROR(__xludf.DUMMYFUNCTION("IMPORTRANGE(""https://docs.google.com/spreadsheets/d/1uB74YLqNjWX6FObjekfB2NtSYigTQyR2rq9u4Ub2Sq4/edit?usp=sharing"",""มุกดาหาร!I316"")"),"")</f>
        <v/>
      </c>
      <c r="AE40" s="152" t="str">
        <f ca="1">IFERROR(__xludf.DUMMYFUNCTION("IMPORTRANGE(""https://docs.google.com/spreadsheets/d/1uB74YLqNjWX6FObjekfB2NtSYigTQyR2rq9u4Ub2Sq4/edit?usp=sharing"",""มุกดาหาร!J316"")"),"")</f>
        <v/>
      </c>
      <c r="AF40" s="216" t="e">
        <f t="shared" ca="1" si="44"/>
        <v>#VALUE!</v>
      </c>
      <c r="AG40" s="279" t="str">
        <f ca="1">IFERROR(__xludf.DUMMYFUNCTION("IMPORTRANGE(""https://docs.google.com/spreadsheets/d/1uB74YLqNjWX6FObjekfB2NtSYigTQyR2rq9u4Ub2Sq4/edit?usp=sharing"",""มุกดาหาร!I317"")"),"")</f>
        <v/>
      </c>
      <c r="AH40" s="152" t="str">
        <f ca="1">IFERROR(__xludf.DUMMYFUNCTION("IMPORTRANGE(""https://docs.google.com/spreadsheets/d/1uB74YLqNjWX6FObjekfB2NtSYigTQyR2rq9u4Ub2Sq4/edit?usp=sharing"",""มุกดาหาร!J317"")"),"")</f>
        <v/>
      </c>
      <c r="AI40" s="216" t="e">
        <f t="shared" ca="1" si="46"/>
        <v>#VALUE!</v>
      </c>
    </row>
    <row r="41" spans="1:35" ht="21" customHeight="1" x14ac:dyDescent="0.3">
      <c r="A41" s="70">
        <v>10</v>
      </c>
      <c r="B41" s="71" t="s">
        <v>69</v>
      </c>
      <c r="C41" s="149">
        <f t="shared" ca="1" si="28"/>
        <v>0</v>
      </c>
      <c r="D41" s="150">
        <f t="shared" ca="1" si="54"/>
        <v>0</v>
      </c>
      <c r="E41" s="151">
        <f ca="1">IFERROR(__xludf.DUMMYFUNCTION("IMPORTRANGE(""https://docs.google.com/spreadsheets/d/1-uDff_7J0KD5mKrp0Vvzr7lt3OU09vwQwhkpOPPYv2Y/edit?usp=sharing"",""งบพรบ!DZ41"")"),0)</f>
        <v>0</v>
      </c>
      <c r="F41" s="151">
        <f ca="1">IFERROR(__xludf.DUMMYFUNCTION("IMPORTRANGE(""https://docs.google.com/spreadsheets/d/1-uDff_7J0KD5mKrp0Vvzr7lt3OU09vwQwhkpOPPYv2Y/edit?usp=sharing"",""งบพรบ!EA41"")"),0)</f>
        <v>0</v>
      </c>
      <c r="G41" s="151">
        <f ca="1">IFERROR(__xludf.DUMMYFUNCTION("IMPORTRANGE(""https://docs.google.com/spreadsheets/d/1-uDff_7J0KD5mKrp0Vvzr7lt3OU09vwQwhkpOPPYv2Y/edit?usp=sharing"",""งบพรบ!EB41"")"),0)</f>
        <v>0</v>
      </c>
      <c r="H41" s="151">
        <f ca="1">IFERROR(__xludf.DUMMYFUNCTION("IMPORTRANGE(""https://docs.google.com/spreadsheets/d/1-uDff_7J0KD5mKrp0Vvzr7lt3OU09vwQwhkpOPPYv2Y/edit?usp=sharing"",""งบพรบ!ED41"")"),0)</f>
        <v>0</v>
      </c>
      <c r="I41" s="151">
        <f ca="1">IFERROR(__xludf.DUMMYFUNCTION("IMPORTRANGE(""https://docs.google.com/spreadsheets/d/1-uDff_7J0KD5mKrp0Vvzr7lt3OU09vwQwhkpOPPYv2Y/edit?usp=sharing"",""งบพรบ!EE41"")"),0)</f>
        <v>0</v>
      </c>
      <c r="J41" s="151">
        <f t="shared" ca="1" si="30"/>
        <v>0</v>
      </c>
      <c r="K41" s="154">
        <f t="shared" ca="1" si="31"/>
        <v>0</v>
      </c>
      <c r="L41" s="151">
        <f ca="1">IFERROR(__xludf.DUMMYFUNCTION("IMPORTRANGE(""https://docs.google.com/spreadsheets/d/1-uDff_7J0KD5mKrp0Vvzr7lt3OU09vwQwhkpOPPYv2Y/edit?usp=sharing"",""งบพรบ!EF41"")"),0)</f>
        <v>0</v>
      </c>
      <c r="M41" s="68">
        <f t="shared" ca="1" si="32"/>
        <v>0</v>
      </c>
      <c r="N41" s="68">
        <f t="shared" ca="1" si="33"/>
        <v>0</v>
      </c>
      <c r="O41" s="67">
        <f ca="1">IFERROR(__xludf.DUMMYFUNCTION("IMPORTRANGE(""https://docs.google.com/spreadsheets/d/1-uDff_7J0KD5mKrp0Vvzr7lt3OU09vwQwhkpOPPYv2Y/edit?usp=sharing"",""งบพรบ!EG41"")"),0)</f>
        <v>0</v>
      </c>
      <c r="P41" s="67">
        <f t="shared" ca="1" si="34"/>
        <v>0</v>
      </c>
      <c r="Q41" s="68">
        <f t="shared" ca="1" si="35"/>
        <v>0</v>
      </c>
      <c r="R41" s="197">
        <f ca="1">IFERROR(__xludf.DUMMYFUNCTION("IMPORTRANGE(""https://docs.google.com/spreadsheets/d/1NexK3geCPxCTO1fzNF8dPec7yZyUx3OaWkFBC9HsQOo/edit?usp=sharing"",""ยโสธร!Q303"")"),260958.39)</f>
        <v>260958.39</v>
      </c>
      <c r="S41" s="67">
        <f ca="1">IFERROR(__xludf.DUMMYFUNCTION("IMPORTRANGE(""https://docs.google.com/spreadsheets/d/1NexK3geCPxCTO1fzNF8dPec7yZyUx3OaWkFBC9HsQOo/edit?usp=sharing"",""ยโสธร!R303"")"),265158)</f>
        <v>265158</v>
      </c>
      <c r="T41" s="67">
        <f ca="1">IFERROR(__xludf.DUMMYFUNCTION("IMPORTRANGE(""https://docs.google.com/spreadsheets/d/1NexK3geCPxCTO1fzNF8dPec7yZyUx3OaWkFBC9HsQOo/edit?usp=sharing"",""ยโสธร!S303"")"),106881)</f>
        <v>106881</v>
      </c>
      <c r="U41" s="68">
        <f t="shared" ca="1" si="37"/>
        <v>40.957104310767704</v>
      </c>
      <c r="V41" s="68">
        <f t="shared" ca="1" si="38"/>
        <v>40.308419885502232</v>
      </c>
      <c r="W41" s="278" t="str">
        <f ca="1">IFERROR(__xludf.DUMMYFUNCTION("IMPORTRANGE(""https://docs.google.com/spreadsheets/d/1NexK3geCPxCTO1fzNF8dPec7yZyUx3OaWkFBC9HsQOo/edit?usp=sharing"",""ยโสธร!J313"")"),"")</f>
        <v/>
      </c>
      <c r="X41" s="279">
        <f ca="1">IFERROR(__xludf.DUMMYFUNCTION("IMPORTRANGE(""https://docs.google.com/spreadsheets/d/1NexK3geCPxCTO1fzNF8dPec7yZyUx3OaWkFBC9HsQOo/edit?usp=sharing"",""ยโสธร!I314"")"),30)</f>
        <v>30</v>
      </c>
      <c r="Y41" s="152">
        <f ca="1">IFERROR(__xludf.DUMMYFUNCTION("IMPORTRANGE(""https://docs.google.com/spreadsheets/d/1NexK3geCPxCTO1fzNF8dPec7yZyUx3OaWkFBC9HsQOo/edit?usp=sharing"",""ยโสธร!J314"")"),30)</f>
        <v>30</v>
      </c>
      <c r="Z41" s="216">
        <f t="shared" ca="1" si="40"/>
        <v>100</v>
      </c>
      <c r="AA41" s="279" t="str">
        <f ca="1">IFERROR(__xludf.DUMMYFUNCTION("IMPORTRANGE(""https://docs.google.com/spreadsheets/d/1NexK3geCPxCTO1fzNF8dPec7yZyUx3OaWkFBC9HsQOo/edit?usp=sharing"",""ยโสธร!I315"")"),"")</f>
        <v/>
      </c>
      <c r="AB41" s="152" t="str">
        <f ca="1">IFERROR(__xludf.DUMMYFUNCTION("IMPORTRANGE(""https://docs.google.com/spreadsheets/d/1NexK3geCPxCTO1fzNF8dPec7yZyUx3OaWkFBC9HsQOo/edit?usp=sharing"",""ยโสธร!J315"")"),"")</f>
        <v/>
      </c>
      <c r="AC41" s="216" t="e">
        <f t="shared" ca="1" si="42"/>
        <v>#VALUE!</v>
      </c>
      <c r="AD41" s="279" t="str">
        <f ca="1">IFERROR(__xludf.DUMMYFUNCTION("IMPORTRANGE(""https://docs.google.com/spreadsheets/d/1NexK3geCPxCTO1fzNF8dPec7yZyUx3OaWkFBC9HsQOo/edit?usp=sharing"",""ยโสธร!I316"")"),"")</f>
        <v/>
      </c>
      <c r="AE41" s="152" t="str">
        <f ca="1">IFERROR(__xludf.DUMMYFUNCTION("IMPORTRANGE(""https://docs.google.com/spreadsheets/d/1NexK3geCPxCTO1fzNF8dPec7yZyUx3OaWkFBC9HsQOo/edit?usp=sharing"",""ยโสธร!J316"")"),"")</f>
        <v/>
      </c>
      <c r="AF41" s="216" t="e">
        <f t="shared" ca="1" si="44"/>
        <v>#VALUE!</v>
      </c>
      <c r="AG41" s="279" t="str">
        <f ca="1">IFERROR(__xludf.DUMMYFUNCTION("IMPORTRANGE(""https://docs.google.com/spreadsheets/d/1NexK3geCPxCTO1fzNF8dPec7yZyUx3OaWkFBC9HsQOo/edit?usp=sharing"",""ยโสธร!I317"")"),"")</f>
        <v/>
      </c>
      <c r="AH41" s="152" t="str">
        <f ca="1">IFERROR(__xludf.DUMMYFUNCTION("IMPORTRANGE(""https://docs.google.com/spreadsheets/d/1NexK3geCPxCTO1fzNF8dPec7yZyUx3OaWkFBC9HsQOo/edit?usp=sharing"",""ยโสธร!J317"")"),"")</f>
        <v/>
      </c>
      <c r="AI41" s="216" t="e">
        <f t="shared" ca="1" si="46"/>
        <v>#VALUE!</v>
      </c>
    </row>
    <row r="42" spans="1:35" ht="21" customHeight="1" x14ac:dyDescent="0.3">
      <c r="A42" s="70">
        <v>11</v>
      </c>
      <c r="B42" s="71" t="s">
        <v>70</v>
      </c>
      <c r="C42" s="149">
        <f t="shared" ca="1" si="28"/>
        <v>0</v>
      </c>
      <c r="D42" s="150">
        <f t="shared" ca="1" si="54"/>
        <v>0</v>
      </c>
      <c r="E42" s="151">
        <f ca="1">IFERROR(__xludf.DUMMYFUNCTION("IMPORTRANGE(""https://docs.google.com/spreadsheets/d/1-uDff_7J0KD5mKrp0Vvzr7lt3OU09vwQwhkpOPPYv2Y/edit?usp=sharing"",""งบพรบ!DZ42"")"),0)</f>
        <v>0</v>
      </c>
      <c r="F42" s="151">
        <f ca="1">IFERROR(__xludf.DUMMYFUNCTION("IMPORTRANGE(""https://docs.google.com/spreadsheets/d/1-uDff_7J0KD5mKrp0Vvzr7lt3OU09vwQwhkpOPPYv2Y/edit?usp=sharing"",""งบพรบ!EA42"")"),0)</f>
        <v>0</v>
      </c>
      <c r="G42" s="151">
        <f ca="1">IFERROR(__xludf.DUMMYFUNCTION("IMPORTRANGE(""https://docs.google.com/spreadsheets/d/1-uDff_7J0KD5mKrp0Vvzr7lt3OU09vwQwhkpOPPYv2Y/edit?usp=sharing"",""งบพรบ!EB42"")"),0)</f>
        <v>0</v>
      </c>
      <c r="H42" s="151">
        <f ca="1">IFERROR(__xludf.DUMMYFUNCTION("IMPORTRANGE(""https://docs.google.com/spreadsheets/d/1-uDff_7J0KD5mKrp0Vvzr7lt3OU09vwQwhkpOPPYv2Y/edit?usp=sharing"",""งบพรบ!ED42"")"),0)</f>
        <v>0</v>
      </c>
      <c r="I42" s="151">
        <f ca="1">IFERROR(__xludf.DUMMYFUNCTION("IMPORTRANGE(""https://docs.google.com/spreadsheets/d/1-uDff_7J0KD5mKrp0Vvzr7lt3OU09vwQwhkpOPPYv2Y/edit?usp=sharing"",""งบพรบ!EE42"")"),0)</f>
        <v>0</v>
      </c>
      <c r="J42" s="151">
        <f t="shared" ca="1" si="30"/>
        <v>0</v>
      </c>
      <c r="K42" s="154">
        <f t="shared" ca="1" si="31"/>
        <v>0</v>
      </c>
      <c r="L42" s="151">
        <f ca="1">IFERROR(__xludf.DUMMYFUNCTION("IMPORTRANGE(""https://docs.google.com/spreadsheets/d/1-uDff_7J0KD5mKrp0Vvzr7lt3OU09vwQwhkpOPPYv2Y/edit?usp=sharing"",""งบพรบ!EF42"")"),0)</f>
        <v>0</v>
      </c>
      <c r="M42" s="68">
        <f t="shared" ca="1" si="32"/>
        <v>0</v>
      </c>
      <c r="N42" s="68">
        <f t="shared" ca="1" si="33"/>
        <v>0</v>
      </c>
      <c r="O42" s="67">
        <f ca="1">IFERROR(__xludf.DUMMYFUNCTION("IMPORTRANGE(""https://docs.google.com/spreadsheets/d/1-uDff_7J0KD5mKrp0Vvzr7lt3OU09vwQwhkpOPPYv2Y/edit?usp=sharing"",""งบพรบ!EG42"")"),0)</f>
        <v>0</v>
      </c>
      <c r="P42" s="67">
        <f t="shared" ca="1" si="34"/>
        <v>0</v>
      </c>
      <c r="Q42" s="68">
        <f t="shared" ca="1" si="35"/>
        <v>0</v>
      </c>
      <c r="R42" s="197">
        <f ca="1">IFERROR(__xludf.DUMMYFUNCTION("IMPORTRANGE(""https://docs.google.com/spreadsheets/d/1v_cJrbBlyqmnHPReHk44g9NrMRdENNlSy_E_c5M9fIg/edit?usp=sharing"",""ร้อยเอ็ด!Q303"")"),384158.99)</f>
        <v>384158.99</v>
      </c>
      <c r="S42" s="67">
        <f ca="1">IFERROR(__xludf.DUMMYFUNCTION("IMPORTRANGE(""https://docs.google.com/spreadsheets/d/1v_cJrbBlyqmnHPReHk44g9NrMRdENNlSy_E_c5M9fIg/edit?usp=sharing"",""ร้อยเอ็ด!R303"")"),388359)</f>
        <v>388359</v>
      </c>
      <c r="T42" s="67">
        <f ca="1">IFERROR(__xludf.DUMMYFUNCTION("IMPORTRANGE(""https://docs.google.com/spreadsheets/d/1v_cJrbBlyqmnHPReHk44g9NrMRdENNlSy_E_c5M9fIg/edit?usp=sharing"",""ร้อยเอ็ด!S303"")"),6400)</f>
        <v>6400</v>
      </c>
      <c r="U42" s="68">
        <f t="shared" ca="1" si="37"/>
        <v>1.665976891494847</v>
      </c>
      <c r="V42" s="68">
        <f t="shared" ca="1" si="38"/>
        <v>1.6479597485831408</v>
      </c>
      <c r="W42" s="278" t="str">
        <f ca="1">IFERROR(__xludf.DUMMYFUNCTION("IMPORTRANGE(""https://docs.google.com/spreadsheets/d/1v_cJrbBlyqmnHPReHk44g9NrMRdENNlSy_E_c5M9fIg/edit?usp=sharing"",""ร้อยเอ็ด!J313"")"),"")</f>
        <v/>
      </c>
      <c r="X42" s="278">
        <f ca="1">IFERROR(__xludf.DUMMYFUNCTION("IMPORTRANGE(""https://docs.google.com/spreadsheets/d/1v_cJrbBlyqmnHPReHk44g9NrMRdENNlSy_E_c5M9fIg/edit?usp=sharing"",""ร้อยเอ็ด!I314"")"),50)</f>
        <v>50</v>
      </c>
      <c r="Y42" s="152">
        <f ca="1">IFERROR(__xludf.DUMMYFUNCTION("IMPORTRANGE(""https://docs.google.com/spreadsheets/d/1v_cJrbBlyqmnHPReHk44g9NrMRdENNlSy_E_c5M9fIg/edit?usp=sharing"",""ร้อยเอ็ด!J314"")"),0)</f>
        <v>0</v>
      </c>
      <c r="Z42" s="216">
        <f t="shared" ca="1" si="40"/>
        <v>0</v>
      </c>
      <c r="AA42" s="278" t="str">
        <f ca="1">IFERROR(__xludf.DUMMYFUNCTION("IMPORTRANGE(""https://docs.google.com/spreadsheets/d/1v_cJrbBlyqmnHPReHk44g9NrMRdENNlSy_E_c5M9fIg/edit?usp=sharing"",""ร้อยเอ็ด!I315"")"),"")</f>
        <v/>
      </c>
      <c r="AB42" s="152" t="str">
        <f ca="1">IFERROR(__xludf.DUMMYFUNCTION("IMPORTRANGE(""https://docs.google.com/spreadsheets/d/1v_cJrbBlyqmnHPReHk44g9NrMRdENNlSy_E_c5M9fIg/edit?usp=sharing"",""ร้อยเอ็ด!J315"")"),"")</f>
        <v/>
      </c>
      <c r="AC42" s="216" t="e">
        <f t="shared" ca="1" si="42"/>
        <v>#VALUE!</v>
      </c>
      <c r="AD42" s="278" t="str">
        <f ca="1">IFERROR(__xludf.DUMMYFUNCTION("IMPORTRANGE(""https://docs.google.com/spreadsheets/d/1v_cJrbBlyqmnHPReHk44g9NrMRdENNlSy_E_c5M9fIg/edit?usp=sharing"",""ร้อยเอ็ด!I316"")"),"")</f>
        <v/>
      </c>
      <c r="AE42" s="152" t="str">
        <f ca="1">IFERROR(__xludf.DUMMYFUNCTION("IMPORTRANGE(""https://docs.google.com/spreadsheets/d/1v_cJrbBlyqmnHPReHk44g9NrMRdENNlSy_E_c5M9fIg/edit?usp=sharing"",""ร้อยเอ็ด!J316"")"),"")</f>
        <v/>
      </c>
      <c r="AF42" s="216" t="e">
        <f t="shared" ca="1" si="44"/>
        <v>#VALUE!</v>
      </c>
      <c r="AG42" s="278" t="str">
        <f ca="1">IFERROR(__xludf.DUMMYFUNCTION("IMPORTRANGE(""https://docs.google.com/spreadsheets/d/1v_cJrbBlyqmnHPReHk44g9NrMRdENNlSy_E_c5M9fIg/edit?usp=sharing"",""ร้อยเอ็ด!I317"")"),"")</f>
        <v/>
      </c>
      <c r="AH42" s="152" t="str">
        <f ca="1">IFERROR(__xludf.DUMMYFUNCTION("IMPORTRANGE(""https://docs.google.com/spreadsheets/d/1v_cJrbBlyqmnHPReHk44g9NrMRdENNlSy_E_c5M9fIg/edit?usp=sharing"",""ร้อยเอ็ด!J317"")"),"")</f>
        <v/>
      </c>
      <c r="AI42" s="216" t="e">
        <f t="shared" ca="1" si="46"/>
        <v>#VALUE!</v>
      </c>
    </row>
    <row r="43" spans="1:35" ht="21" customHeight="1" x14ac:dyDescent="0.3">
      <c r="A43" s="70">
        <v>12</v>
      </c>
      <c r="B43" s="71" t="s">
        <v>71</v>
      </c>
      <c r="C43" s="149">
        <f t="shared" ca="1" si="28"/>
        <v>0</v>
      </c>
      <c r="D43" s="150">
        <f t="shared" ca="1" si="54"/>
        <v>0</v>
      </c>
      <c r="E43" s="151">
        <f ca="1">IFERROR(__xludf.DUMMYFUNCTION("IMPORTRANGE(""https://docs.google.com/spreadsheets/d/1-uDff_7J0KD5mKrp0Vvzr7lt3OU09vwQwhkpOPPYv2Y/edit?usp=sharing"",""งบพรบ!DZ43"")"),0)</f>
        <v>0</v>
      </c>
      <c r="F43" s="151">
        <f ca="1">IFERROR(__xludf.DUMMYFUNCTION("IMPORTRANGE(""https://docs.google.com/spreadsheets/d/1-uDff_7J0KD5mKrp0Vvzr7lt3OU09vwQwhkpOPPYv2Y/edit?usp=sharing"",""งบพรบ!EA43"")"),0)</f>
        <v>0</v>
      </c>
      <c r="G43" s="151">
        <f ca="1">IFERROR(__xludf.DUMMYFUNCTION("IMPORTRANGE(""https://docs.google.com/spreadsheets/d/1-uDff_7J0KD5mKrp0Vvzr7lt3OU09vwQwhkpOPPYv2Y/edit?usp=sharing"",""งบพรบ!EB43"")"),0)</f>
        <v>0</v>
      </c>
      <c r="H43" s="151">
        <f ca="1">IFERROR(__xludf.DUMMYFUNCTION("IMPORTRANGE(""https://docs.google.com/spreadsheets/d/1-uDff_7J0KD5mKrp0Vvzr7lt3OU09vwQwhkpOPPYv2Y/edit?usp=sharing"",""งบพรบ!ED43"")"),0)</f>
        <v>0</v>
      </c>
      <c r="I43" s="151">
        <f ca="1">IFERROR(__xludf.DUMMYFUNCTION("IMPORTRANGE(""https://docs.google.com/spreadsheets/d/1-uDff_7J0KD5mKrp0Vvzr7lt3OU09vwQwhkpOPPYv2Y/edit?usp=sharing"",""งบพรบ!EE43"")"),0)</f>
        <v>0</v>
      </c>
      <c r="J43" s="151">
        <f t="shared" ca="1" si="30"/>
        <v>0</v>
      </c>
      <c r="K43" s="154">
        <f t="shared" ca="1" si="31"/>
        <v>0</v>
      </c>
      <c r="L43" s="151">
        <f ca="1">IFERROR(__xludf.DUMMYFUNCTION("IMPORTRANGE(""https://docs.google.com/spreadsheets/d/1-uDff_7J0KD5mKrp0Vvzr7lt3OU09vwQwhkpOPPYv2Y/edit?usp=sharing"",""งบพรบ!EF43"")"),0)</f>
        <v>0</v>
      </c>
      <c r="M43" s="68">
        <f t="shared" ca="1" si="32"/>
        <v>0</v>
      </c>
      <c r="N43" s="68">
        <f t="shared" ca="1" si="33"/>
        <v>0</v>
      </c>
      <c r="O43" s="67">
        <f ca="1">IFERROR(__xludf.DUMMYFUNCTION("IMPORTRANGE(""https://docs.google.com/spreadsheets/d/1-uDff_7J0KD5mKrp0Vvzr7lt3OU09vwQwhkpOPPYv2Y/edit?usp=sharing"",""งบพรบ!EG43"")"),0)</f>
        <v>0</v>
      </c>
      <c r="P43" s="67">
        <f t="shared" ca="1" si="34"/>
        <v>0</v>
      </c>
      <c r="Q43" s="68">
        <f t="shared" ca="1" si="35"/>
        <v>0</v>
      </c>
      <c r="R43" s="197">
        <f ca="1">IFERROR(__xludf.DUMMYFUNCTION("IMPORTRANGE(""https://docs.google.com/spreadsheets/d/1Ul4RCpCX66NxYADU1QpwAPjOmBzW64SsT11s1wzXw_c/edit?usp=sharing"",""เลย!Q303"")"),260958.39)</f>
        <v>260958.39</v>
      </c>
      <c r="S43" s="67">
        <f ca="1">IFERROR(__xludf.DUMMYFUNCTION("IMPORTRANGE(""https://docs.google.com/spreadsheets/d/1Ul4RCpCX66NxYADU1QpwAPjOmBzW64SsT11s1wzXw_c/edit?usp=sharing"",""เลย!R303"")"),265158)</f>
        <v>265158</v>
      </c>
      <c r="T43" s="67">
        <f ca="1">IFERROR(__xludf.DUMMYFUNCTION("IMPORTRANGE(""https://docs.google.com/spreadsheets/d/1Ul4RCpCX66NxYADU1QpwAPjOmBzW64SsT11s1wzXw_c/edit?usp=sharing"",""เลย!S303"")"),6880)</f>
        <v>6880</v>
      </c>
      <c r="U43" s="68">
        <f t="shared" ca="1" si="37"/>
        <v>2.63643564018003</v>
      </c>
      <c r="V43" s="68">
        <f t="shared" ca="1" si="38"/>
        <v>2.5946793986981347</v>
      </c>
      <c r="W43" s="278" t="str">
        <f ca="1">IFERROR(__xludf.DUMMYFUNCTION("IMPORTRANGE(""https://docs.google.com/spreadsheets/d/1Ul4RCpCX66NxYADU1QpwAPjOmBzW64SsT11s1wzXw_c/edit?usp=sharing"",""เลย!J313"")"),"")</f>
        <v/>
      </c>
      <c r="X43" s="278">
        <f ca="1">IFERROR(__xludf.DUMMYFUNCTION("IMPORTRANGE(""https://docs.google.com/spreadsheets/d/1Ul4RCpCX66NxYADU1QpwAPjOmBzW64SsT11s1wzXw_c/edit?usp=sharing"",""เลย!I314"")"),30)</f>
        <v>30</v>
      </c>
      <c r="Y43" s="152">
        <f ca="1">IFERROR(__xludf.DUMMYFUNCTION("IMPORTRANGE(""https://docs.google.com/spreadsheets/d/1Ul4RCpCX66NxYADU1QpwAPjOmBzW64SsT11s1wzXw_c/edit?usp=sharing"",""เลย!J314"")"),0)</f>
        <v>0</v>
      </c>
      <c r="Z43" s="216">
        <f t="shared" ca="1" si="40"/>
        <v>0</v>
      </c>
      <c r="AA43" s="278" t="str">
        <f ca="1">IFERROR(__xludf.DUMMYFUNCTION("IMPORTRANGE(""https://docs.google.com/spreadsheets/d/1Ul4RCpCX66NxYADU1QpwAPjOmBzW64SsT11s1wzXw_c/edit?usp=sharing"",""เลย!I315"")"),"")</f>
        <v/>
      </c>
      <c r="AB43" s="152" t="str">
        <f ca="1">IFERROR(__xludf.DUMMYFUNCTION("IMPORTRANGE(""https://docs.google.com/spreadsheets/d/1Ul4RCpCX66NxYADU1QpwAPjOmBzW64SsT11s1wzXw_c/edit?usp=sharing"",""เลย!J315"")"),"")</f>
        <v/>
      </c>
      <c r="AC43" s="216" t="e">
        <f t="shared" ca="1" si="42"/>
        <v>#VALUE!</v>
      </c>
      <c r="AD43" s="278" t="str">
        <f ca="1">IFERROR(__xludf.DUMMYFUNCTION("IMPORTRANGE(""https://docs.google.com/spreadsheets/d/1Ul4RCpCX66NxYADU1QpwAPjOmBzW64SsT11s1wzXw_c/edit?usp=sharing"",""เลย!I316"")"),"")</f>
        <v/>
      </c>
      <c r="AE43" s="152" t="str">
        <f ca="1">IFERROR(__xludf.DUMMYFUNCTION("IMPORTRANGE(""https://docs.google.com/spreadsheets/d/1Ul4RCpCX66NxYADU1QpwAPjOmBzW64SsT11s1wzXw_c/edit?usp=sharing"",""เลย!J316"")"),"")</f>
        <v/>
      </c>
      <c r="AF43" s="216" t="e">
        <f t="shared" ca="1" si="44"/>
        <v>#VALUE!</v>
      </c>
      <c r="AG43" s="278" t="str">
        <f ca="1">IFERROR(__xludf.DUMMYFUNCTION("IMPORTRANGE(""https://docs.google.com/spreadsheets/d/1Ul4RCpCX66NxYADU1QpwAPjOmBzW64SsT11s1wzXw_c/edit?usp=sharing"",""เลย!I317"")"),"")</f>
        <v/>
      </c>
      <c r="AH43" s="152" t="str">
        <f ca="1">IFERROR(__xludf.DUMMYFUNCTION("IMPORTRANGE(""https://docs.google.com/spreadsheets/d/1Ul4RCpCX66NxYADU1QpwAPjOmBzW64SsT11s1wzXw_c/edit?usp=sharing"",""เลย!J317"")"),"")</f>
        <v/>
      </c>
      <c r="AI43" s="216" t="e">
        <f t="shared" ca="1" si="46"/>
        <v>#VALUE!</v>
      </c>
    </row>
    <row r="44" spans="1:35" ht="21" customHeight="1" x14ac:dyDescent="0.3">
      <c r="A44" s="70">
        <v>13</v>
      </c>
      <c r="B44" s="71" t="s">
        <v>72</v>
      </c>
      <c r="C44" s="149">
        <f t="shared" ca="1" si="28"/>
        <v>0</v>
      </c>
      <c r="D44" s="150">
        <f t="shared" ca="1" si="54"/>
        <v>0</v>
      </c>
      <c r="E44" s="151">
        <f ca="1">IFERROR(__xludf.DUMMYFUNCTION("IMPORTRANGE(""https://docs.google.com/spreadsheets/d/1-uDff_7J0KD5mKrp0Vvzr7lt3OU09vwQwhkpOPPYv2Y/edit?usp=sharing"",""งบพรบ!DZ44"")"),0)</f>
        <v>0</v>
      </c>
      <c r="F44" s="151">
        <f ca="1">IFERROR(__xludf.DUMMYFUNCTION("IMPORTRANGE(""https://docs.google.com/spreadsheets/d/1-uDff_7J0KD5mKrp0Vvzr7lt3OU09vwQwhkpOPPYv2Y/edit?usp=sharing"",""งบพรบ!EA44"")"),0)</f>
        <v>0</v>
      </c>
      <c r="G44" s="151">
        <f ca="1">IFERROR(__xludf.DUMMYFUNCTION("IMPORTRANGE(""https://docs.google.com/spreadsheets/d/1-uDff_7J0KD5mKrp0Vvzr7lt3OU09vwQwhkpOPPYv2Y/edit?usp=sharing"",""งบพรบ!EB44"")"),0)</f>
        <v>0</v>
      </c>
      <c r="H44" s="151">
        <f ca="1">IFERROR(__xludf.DUMMYFUNCTION("IMPORTRANGE(""https://docs.google.com/spreadsheets/d/1-uDff_7J0KD5mKrp0Vvzr7lt3OU09vwQwhkpOPPYv2Y/edit?usp=sharing"",""งบพรบ!ED44"")"),0)</f>
        <v>0</v>
      </c>
      <c r="I44" s="151">
        <f ca="1">IFERROR(__xludf.DUMMYFUNCTION("IMPORTRANGE(""https://docs.google.com/spreadsheets/d/1-uDff_7J0KD5mKrp0Vvzr7lt3OU09vwQwhkpOPPYv2Y/edit?usp=sharing"",""งบพรบ!EE44"")"),0)</f>
        <v>0</v>
      </c>
      <c r="J44" s="151">
        <f t="shared" ca="1" si="30"/>
        <v>0</v>
      </c>
      <c r="K44" s="154">
        <f t="shared" ca="1" si="31"/>
        <v>0</v>
      </c>
      <c r="L44" s="151">
        <f ca="1">IFERROR(__xludf.DUMMYFUNCTION("IMPORTRANGE(""https://docs.google.com/spreadsheets/d/1-uDff_7J0KD5mKrp0Vvzr7lt3OU09vwQwhkpOPPYv2Y/edit?usp=sharing"",""งบพรบ!EF44"")"),0)</f>
        <v>0</v>
      </c>
      <c r="M44" s="68">
        <f t="shared" ca="1" si="32"/>
        <v>0</v>
      </c>
      <c r="N44" s="68">
        <f t="shared" ca="1" si="33"/>
        <v>0</v>
      </c>
      <c r="O44" s="67">
        <f ca="1">IFERROR(__xludf.DUMMYFUNCTION("IMPORTRANGE(""https://docs.google.com/spreadsheets/d/1-uDff_7J0KD5mKrp0Vvzr7lt3OU09vwQwhkpOPPYv2Y/edit?usp=sharing"",""งบพรบ!EG44"")"),0)</f>
        <v>0</v>
      </c>
      <c r="P44" s="67">
        <f t="shared" ca="1" si="34"/>
        <v>0</v>
      </c>
      <c r="Q44" s="68">
        <f t="shared" ca="1" si="35"/>
        <v>0</v>
      </c>
      <c r="R44" s="197">
        <f ca="1">IFERROR(__xludf.DUMMYFUNCTION("IMPORTRANGE(""https://docs.google.com/spreadsheets/d/1bRrNKwbHDVktQG10isr5vbWRtt5spIZPpkOSWgbT5ug/edit?usp=sharing"",""ศรีสะเกษ!Q303"")"),260958.39)</f>
        <v>260958.39</v>
      </c>
      <c r="S44" s="67">
        <f ca="1">IFERROR(__xludf.DUMMYFUNCTION("IMPORTRANGE(""https://docs.google.com/spreadsheets/d/1bRrNKwbHDVktQG10isr5vbWRtt5spIZPpkOSWgbT5ug/edit?usp=sharing"",""ศรีสะเกษ!R303"")"),265158)</f>
        <v>265158</v>
      </c>
      <c r="T44" s="67">
        <f ca="1">IFERROR(__xludf.DUMMYFUNCTION("IMPORTRANGE(""https://docs.google.com/spreadsheets/d/1bRrNKwbHDVktQG10isr5vbWRtt5spIZPpkOSWgbT5ug/edit?usp=sharing"",""ศรีสะเกษ!S303"")"),238170)</f>
        <v>238170</v>
      </c>
      <c r="U44" s="68">
        <f t="shared" ca="1" si="37"/>
        <v>91.267423898499672</v>
      </c>
      <c r="V44" s="68">
        <f t="shared" ca="1" si="38"/>
        <v>89.821917498246322</v>
      </c>
      <c r="W44" s="278" t="str">
        <f ca="1">IFERROR(__xludf.DUMMYFUNCTION("IMPORTRANGE(""https://docs.google.com/spreadsheets/d/1bRrNKwbHDVktQG10isr5vbWRtt5spIZPpkOSWgbT5ug/edit?usp=sharing"",""ศรีสะเกษ!J313"")"),"")</f>
        <v/>
      </c>
      <c r="X44" s="279">
        <f ca="1">IFERROR(__xludf.DUMMYFUNCTION("IMPORTRANGE(""https://docs.google.com/spreadsheets/d/1bRrNKwbHDVktQG10isr5vbWRtt5spIZPpkOSWgbT5ug/edit?usp=sharing"",""ศรีสะเกษ!I314"")"),30)</f>
        <v>30</v>
      </c>
      <c r="Y44" s="152">
        <f ca="1">IFERROR(__xludf.DUMMYFUNCTION("IMPORTRANGE(""https://docs.google.com/spreadsheets/d/1bRrNKwbHDVktQG10isr5vbWRtt5spIZPpkOSWgbT5ug/edit?usp=sharing"",""ศรีสะเกษ!J314"")"),0)</f>
        <v>0</v>
      </c>
      <c r="Z44" s="216">
        <f t="shared" ca="1" si="40"/>
        <v>0</v>
      </c>
      <c r="AA44" s="279" t="str">
        <f ca="1">IFERROR(__xludf.DUMMYFUNCTION("IMPORTRANGE(""https://docs.google.com/spreadsheets/d/1bRrNKwbHDVktQG10isr5vbWRtt5spIZPpkOSWgbT5ug/edit?usp=sharing"",""ศรีสะเกษ!I315"")"),"")</f>
        <v/>
      </c>
      <c r="AB44" s="152" t="str">
        <f ca="1">IFERROR(__xludf.DUMMYFUNCTION("IMPORTRANGE(""https://docs.google.com/spreadsheets/d/1bRrNKwbHDVktQG10isr5vbWRtt5spIZPpkOSWgbT5ug/edit?usp=sharing"",""ศรีสะเกษ!J315"")"),"")</f>
        <v/>
      </c>
      <c r="AC44" s="216" t="e">
        <f t="shared" ca="1" si="42"/>
        <v>#VALUE!</v>
      </c>
      <c r="AD44" s="279" t="str">
        <f ca="1">IFERROR(__xludf.DUMMYFUNCTION("IMPORTRANGE(""https://docs.google.com/spreadsheets/d/1bRrNKwbHDVktQG10isr5vbWRtt5spIZPpkOSWgbT5ug/edit?usp=sharing"",""ศรีสะเกษ!I316"")"),"")</f>
        <v/>
      </c>
      <c r="AE44" s="152" t="str">
        <f ca="1">IFERROR(__xludf.DUMMYFUNCTION("IMPORTRANGE(""https://docs.google.com/spreadsheets/d/1bRrNKwbHDVktQG10isr5vbWRtt5spIZPpkOSWgbT5ug/edit?usp=sharing"",""ศรีสะเกษ!J316"")"),"")</f>
        <v/>
      </c>
      <c r="AF44" s="216" t="e">
        <f t="shared" ca="1" si="44"/>
        <v>#VALUE!</v>
      </c>
      <c r="AG44" s="279" t="str">
        <f ca="1">IFERROR(__xludf.DUMMYFUNCTION("IMPORTRANGE(""https://docs.google.com/spreadsheets/d/1bRrNKwbHDVktQG10isr5vbWRtt5spIZPpkOSWgbT5ug/edit?usp=sharing"",""ศรีสะเกษ!I317"")"),"")</f>
        <v/>
      </c>
      <c r="AH44" s="152" t="str">
        <f ca="1">IFERROR(__xludf.DUMMYFUNCTION("IMPORTRANGE(""https://docs.google.com/spreadsheets/d/1bRrNKwbHDVktQG10isr5vbWRtt5spIZPpkOSWgbT5ug/edit?usp=sharing"",""ศรีสะเกษ!J317"")"),"")</f>
        <v/>
      </c>
      <c r="AI44" s="216" t="e">
        <f t="shared" ca="1" si="46"/>
        <v>#VALUE!</v>
      </c>
    </row>
    <row r="45" spans="1:35" ht="21" customHeight="1" x14ac:dyDescent="0.3">
      <c r="A45" s="70">
        <v>14</v>
      </c>
      <c r="B45" s="71" t="s">
        <v>73</v>
      </c>
      <c r="C45" s="149">
        <f t="shared" ca="1" si="28"/>
        <v>155000</v>
      </c>
      <c r="D45" s="150">
        <f t="shared" ca="1" si="54"/>
        <v>155000</v>
      </c>
      <c r="E45" s="151">
        <f ca="1">IFERROR(__xludf.DUMMYFUNCTION("IMPORTRANGE(""https://docs.google.com/spreadsheets/d/1-uDff_7J0KD5mKrp0Vvzr7lt3OU09vwQwhkpOPPYv2Y/edit?usp=sharing"",""งบพรบ!DZ45"")"),51100)</f>
        <v>51100</v>
      </c>
      <c r="F45" s="151">
        <f ca="1">IFERROR(__xludf.DUMMYFUNCTION("IMPORTRANGE(""https://docs.google.com/spreadsheets/d/1-uDff_7J0KD5mKrp0Vvzr7lt3OU09vwQwhkpOPPYv2Y/edit?usp=sharing"",""งบพรบ!EA45"")"),103900)</f>
        <v>103900</v>
      </c>
      <c r="G45" s="151">
        <f ca="1">IFERROR(__xludf.DUMMYFUNCTION("IMPORTRANGE(""https://docs.google.com/spreadsheets/d/1-uDff_7J0KD5mKrp0Vvzr7lt3OU09vwQwhkpOPPYv2Y/edit?usp=sharing"",""งบพรบ!EB45"")"),0)</f>
        <v>0</v>
      </c>
      <c r="H45" s="151">
        <f ca="1">IFERROR(__xludf.DUMMYFUNCTION("IMPORTRANGE(""https://docs.google.com/spreadsheets/d/1-uDff_7J0KD5mKrp0Vvzr7lt3OU09vwQwhkpOPPYv2Y/edit?usp=sharing"",""งบพรบ!ED45"")"),155000)</f>
        <v>155000</v>
      </c>
      <c r="I45" s="151">
        <f ca="1">IFERROR(__xludf.DUMMYFUNCTION("IMPORTRANGE(""https://docs.google.com/spreadsheets/d/1-uDff_7J0KD5mKrp0Vvzr7lt3OU09vwQwhkpOPPYv2Y/edit?usp=sharing"",""งบพรบ!EE45"")"),0)</f>
        <v>0</v>
      </c>
      <c r="J45" s="151">
        <f t="shared" ca="1" si="30"/>
        <v>142900</v>
      </c>
      <c r="K45" s="154">
        <f t="shared" ca="1" si="31"/>
        <v>92.193548387096769</v>
      </c>
      <c r="L45" s="151">
        <f ca="1">IFERROR(__xludf.DUMMYFUNCTION("IMPORTRANGE(""https://docs.google.com/spreadsheets/d/1-uDff_7J0KD5mKrp0Vvzr7lt3OU09vwQwhkpOPPYv2Y/edit?usp=sharing"",""งบพรบ!EF45"")"),142900)</f>
        <v>142900</v>
      </c>
      <c r="M45" s="68">
        <f t="shared" ca="1" si="32"/>
        <v>92.193548387096769</v>
      </c>
      <c r="N45" s="68">
        <f t="shared" ca="1" si="33"/>
        <v>92.193548387096769</v>
      </c>
      <c r="O45" s="67">
        <f ca="1">IFERROR(__xludf.DUMMYFUNCTION("IMPORTRANGE(""https://docs.google.com/spreadsheets/d/1-uDff_7J0KD5mKrp0Vvzr7lt3OU09vwQwhkpOPPYv2Y/edit?usp=sharing"",""งบพรบ!EG45"")"),0)</f>
        <v>0</v>
      </c>
      <c r="P45" s="67">
        <f t="shared" ca="1" si="34"/>
        <v>0</v>
      </c>
      <c r="Q45" s="68">
        <f t="shared" ca="1" si="35"/>
        <v>0</v>
      </c>
      <c r="R45" s="197">
        <f ca="1">IFERROR(__xludf.DUMMYFUNCTION("IMPORTRANGE(""https://docs.google.com/spreadsheets/d/17P34_Ow5kFBfdQD0qspb2UuPX5zpi6WMrQzslghyvrI/edit?usp=sharing"",""สกลนคร!Q303"")"),144609.24)</f>
        <v>144609.24</v>
      </c>
      <c r="S45" s="67">
        <f ca="1">IFERROR(__xludf.DUMMYFUNCTION("IMPORTRANGE(""https://docs.google.com/spreadsheets/d/17P34_Ow5kFBfdQD0qspb2UuPX5zpi6WMrQzslghyvrI/edit?usp=sharing"",""สกลนคร!R303"")"),148809)</f>
        <v>148809</v>
      </c>
      <c r="T45" s="67">
        <f ca="1">IFERROR(__xludf.DUMMYFUNCTION("IMPORTRANGE(""https://docs.google.com/spreadsheets/d/17P34_Ow5kFBfdQD0qspb2UuPX5zpi6WMrQzslghyvrI/edit?usp=sharing"",""สกลนคร!S303"")"),132442)</f>
        <v>132442</v>
      </c>
      <c r="U45" s="68">
        <f t="shared" ca="1" si="37"/>
        <v>91.586125478565549</v>
      </c>
      <c r="V45" s="68">
        <f t="shared" ca="1" si="38"/>
        <v>89.001337284707247</v>
      </c>
      <c r="W45" s="278" t="str">
        <f ca="1">IFERROR(__xludf.DUMMYFUNCTION("IMPORTRANGE(""https://docs.google.com/spreadsheets/d/17P34_Ow5kFBfdQD0qspb2UuPX5zpi6WMrQzslghyvrI/edit?usp=sharing"",""สกลนคร!J313"")"),"")</f>
        <v/>
      </c>
      <c r="X45" s="278">
        <f ca="1">IFERROR(__xludf.DUMMYFUNCTION("IMPORTRANGE(""https://docs.google.com/spreadsheets/d/17P34_Ow5kFBfdQD0qspb2UuPX5zpi6WMrQzslghyvrI/edit?usp=sharing"",""สกลนคร!I314"")"),20)</f>
        <v>20</v>
      </c>
      <c r="Y45" s="152">
        <f ca="1">IFERROR(__xludf.DUMMYFUNCTION("IMPORTRANGE(""https://docs.google.com/spreadsheets/d/17P34_Ow5kFBfdQD0qspb2UuPX5zpi6WMrQzslghyvrI/edit?usp=sharing"",""สกลนคร!J314"")"),20)</f>
        <v>20</v>
      </c>
      <c r="Z45" s="216">
        <f t="shared" ca="1" si="40"/>
        <v>100</v>
      </c>
      <c r="AA45" s="278" t="str">
        <f ca="1">IFERROR(__xludf.DUMMYFUNCTION("IMPORTRANGE(""https://docs.google.com/spreadsheets/d/17P34_Ow5kFBfdQD0qspb2UuPX5zpi6WMrQzslghyvrI/edit?usp=sharing"",""สกลนคร!I315"")"),"")</f>
        <v/>
      </c>
      <c r="AB45" s="152" t="str">
        <f ca="1">IFERROR(__xludf.DUMMYFUNCTION("IMPORTRANGE(""https://docs.google.com/spreadsheets/d/17P34_Ow5kFBfdQD0qspb2UuPX5zpi6WMrQzslghyvrI/edit?usp=sharing"",""สกลนคร!J315"")"),"")</f>
        <v/>
      </c>
      <c r="AC45" s="216" t="e">
        <f t="shared" ca="1" si="42"/>
        <v>#VALUE!</v>
      </c>
      <c r="AD45" s="278" t="str">
        <f ca="1">IFERROR(__xludf.DUMMYFUNCTION("IMPORTRANGE(""https://docs.google.com/spreadsheets/d/17P34_Ow5kFBfdQD0qspb2UuPX5zpi6WMrQzslghyvrI/edit?usp=sharing"",""สกลนคร!I316"")"),"")</f>
        <v/>
      </c>
      <c r="AE45" s="152" t="str">
        <f ca="1">IFERROR(__xludf.DUMMYFUNCTION("IMPORTRANGE(""https://docs.google.com/spreadsheets/d/17P34_Ow5kFBfdQD0qspb2UuPX5zpi6WMrQzslghyvrI/edit?usp=sharing"",""สกลนคร!J316"")"),"")</f>
        <v/>
      </c>
      <c r="AF45" s="216" t="e">
        <f t="shared" ca="1" si="44"/>
        <v>#VALUE!</v>
      </c>
      <c r="AG45" s="278" t="str">
        <f ca="1">IFERROR(__xludf.DUMMYFUNCTION("IMPORTRANGE(""https://docs.google.com/spreadsheets/d/17P34_Ow5kFBfdQD0qspb2UuPX5zpi6WMrQzslghyvrI/edit?usp=sharing"",""สกลนคร!I317"")"),"")</f>
        <v/>
      </c>
      <c r="AH45" s="152" t="str">
        <f ca="1">IFERROR(__xludf.DUMMYFUNCTION("IMPORTRANGE(""https://docs.google.com/spreadsheets/d/17P34_Ow5kFBfdQD0qspb2UuPX5zpi6WMrQzslghyvrI/edit?usp=sharing"",""สกลนคร!J317"")"),"")</f>
        <v/>
      </c>
      <c r="AI45" s="216" t="e">
        <f t="shared" ca="1" si="46"/>
        <v>#VALUE!</v>
      </c>
    </row>
    <row r="46" spans="1:35" ht="21" customHeight="1" x14ac:dyDescent="0.3">
      <c r="A46" s="70">
        <v>15</v>
      </c>
      <c r="B46" s="71" t="s">
        <v>74</v>
      </c>
      <c r="C46" s="149">
        <f t="shared" ca="1" si="28"/>
        <v>103900</v>
      </c>
      <c r="D46" s="150">
        <f t="shared" ca="1" si="54"/>
        <v>103900</v>
      </c>
      <c r="E46" s="151">
        <f ca="1">IFERROR(__xludf.DUMMYFUNCTION("IMPORTRANGE(""https://docs.google.com/spreadsheets/d/1-uDff_7J0KD5mKrp0Vvzr7lt3OU09vwQwhkpOPPYv2Y/edit?usp=sharing"",""งบพรบ!DZ46"")"),0)</f>
        <v>0</v>
      </c>
      <c r="F46" s="151">
        <f ca="1">IFERROR(__xludf.DUMMYFUNCTION("IMPORTRANGE(""https://docs.google.com/spreadsheets/d/1-uDff_7J0KD5mKrp0Vvzr7lt3OU09vwQwhkpOPPYv2Y/edit?usp=sharing"",""งบพรบ!EA46"")"),103900)</f>
        <v>103900</v>
      </c>
      <c r="G46" s="151">
        <f ca="1">IFERROR(__xludf.DUMMYFUNCTION("IMPORTRANGE(""https://docs.google.com/spreadsheets/d/1-uDff_7J0KD5mKrp0Vvzr7lt3OU09vwQwhkpOPPYv2Y/edit?usp=sharing"",""งบพรบ!EB46"")"),0)</f>
        <v>0</v>
      </c>
      <c r="H46" s="151">
        <f ca="1">IFERROR(__xludf.DUMMYFUNCTION("IMPORTRANGE(""https://docs.google.com/spreadsheets/d/1-uDff_7J0KD5mKrp0Vvzr7lt3OU09vwQwhkpOPPYv2Y/edit?usp=sharing"",""งบพรบ!ED46"")"),103900)</f>
        <v>103900</v>
      </c>
      <c r="I46" s="151">
        <f ca="1">IFERROR(__xludf.DUMMYFUNCTION("IMPORTRANGE(""https://docs.google.com/spreadsheets/d/1-uDff_7J0KD5mKrp0Vvzr7lt3OU09vwQwhkpOPPYv2Y/edit?usp=sharing"",""งบพรบ!EE46"")"),0)</f>
        <v>0</v>
      </c>
      <c r="J46" s="151">
        <f t="shared" ca="1" si="30"/>
        <v>82545</v>
      </c>
      <c r="K46" s="154">
        <f t="shared" ca="1" si="31"/>
        <v>79.446583253128011</v>
      </c>
      <c r="L46" s="151">
        <f ca="1">IFERROR(__xludf.DUMMYFUNCTION("IMPORTRANGE(""https://docs.google.com/spreadsheets/d/1-uDff_7J0KD5mKrp0Vvzr7lt3OU09vwQwhkpOPPYv2Y/edit?usp=sharing"",""งบพรบ!EF46"")"),82545)</f>
        <v>82545</v>
      </c>
      <c r="M46" s="68">
        <f t="shared" ca="1" si="32"/>
        <v>79.446583253128011</v>
      </c>
      <c r="N46" s="68">
        <f t="shared" ca="1" si="33"/>
        <v>79.446583253128011</v>
      </c>
      <c r="O46" s="67">
        <f ca="1">IFERROR(__xludf.DUMMYFUNCTION("IMPORTRANGE(""https://docs.google.com/spreadsheets/d/1-uDff_7J0KD5mKrp0Vvzr7lt3OU09vwQwhkpOPPYv2Y/edit?usp=sharing"",""งบพรบ!EG46"")"),0)</f>
        <v>0</v>
      </c>
      <c r="P46" s="67">
        <f t="shared" ca="1" si="34"/>
        <v>0</v>
      </c>
      <c r="Q46" s="68">
        <f t="shared" ca="1" si="35"/>
        <v>0</v>
      </c>
      <c r="R46" s="197">
        <f ca="1">IFERROR(__xludf.DUMMYFUNCTION("IMPORTRANGE(""https://docs.google.com/spreadsheets/d/1yswqbM3-AEpThF3ZSUa1AcmHnmRTF1vlJ1CZGcJ8YuU/edit?usp=sharing"",""สุรินทร์!Q303"")"),144609.24)</f>
        <v>144609.24</v>
      </c>
      <c r="S46" s="67">
        <f ca="1">IFERROR(__xludf.DUMMYFUNCTION("IMPORTRANGE(""https://docs.google.com/spreadsheets/d/1yswqbM3-AEpThF3ZSUa1AcmHnmRTF1vlJ1CZGcJ8YuU/edit?usp=sharing"",""สุรินทร์!R303"")"),148809)</f>
        <v>148809</v>
      </c>
      <c r="T46" s="67">
        <f ca="1">IFERROR(__xludf.DUMMYFUNCTION("IMPORTRANGE(""https://docs.google.com/spreadsheets/d/1yswqbM3-AEpThF3ZSUa1AcmHnmRTF1vlJ1CZGcJ8YuU/edit?usp=sharing"",""สุรินทร์!S303"")"),34440)</f>
        <v>34440</v>
      </c>
      <c r="U46" s="68">
        <f t="shared" ca="1" si="37"/>
        <v>23.815905539646018</v>
      </c>
      <c r="V46" s="68">
        <f t="shared" ca="1" si="38"/>
        <v>23.14376146604036</v>
      </c>
      <c r="W46" s="278" t="str">
        <f ca="1">IFERROR(__xludf.DUMMYFUNCTION("IMPORTRANGE(""https://docs.google.com/spreadsheets/d/1yswqbM3-AEpThF3ZSUa1AcmHnmRTF1vlJ1CZGcJ8YuU/edit?usp=sharing"",""สุรินทร์!J313"")"),"")</f>
        <v/>
      </c>
      <c r="X46" s="278">
        <f ca="1">IFERROR(__xludf.DUMMYFUNCTION("IMPORTRANGE(""https://docs.google.com/spreadsheets/d/1yswqbM3-AEpThF3ZSUa1AcmHnmRTF1vlJ1CZGcJ8YuU/edit?usp=sharing"",""สุรินทร์!I314"")"),20)</f>
        <v>20</v>
      </c>
      <c r="Y46" s="152">
        <f ca="1">IFERROR(__xludf.DUMMYFUNCTION("IMPORTRANGE(""https://docs.google.com/spreadsheets/d/1yswqbM3-AEpThF3ZSUa1AcmHnmRTF1vlJ1CZGcJ8YuU/edit?usp=sharing"",""สุรินทร์!J314"")"),20)</f>
        <v>20</v>
      </c>
      <c r="Z46" s="216">
        <f t="shared" ca="1" si="40"/>
        <v>100</v>
      </c>
      <c r="AA46" s="278" t="str">
        <f ca="1">IFERROR(__xludf.DUMMYFUNCTION("IMPORTRANGE(""https://docs.google.com/spreadsheets/d/1yswqbM3-AEpThF3ZSUa1AcmHnmRTF1vlJ1CZGcJ8YuU/edit?usp=sharing"",""สุรินทร์!I315"")"),"")</f>
        <v/>
      </c>
      <c r="AB46" s="152" t="str">
        <f ca="1">IFERROR(__xludf.DUMMYFUNCTION("IMPORTRANGE(""https://docs.google.com/spreadsheets/d/1yswqbM3-AEpThF3ZSUa1AcmHnmRTF1vlJ1CZGcJ8YuU/edit?usp=sharing"",""สุรินทร์!J315"")"),"")</f>
        <v/>
      </c>
      <c r="AC46" s="216" t="e">
        <f t="shared" ca="1" si="42"/>
        <v>#VALUE!</v>
      </c>
      <c r="AD46" s="278" t="str">
        <f ca="1">IFERROR(__xludf.DUMMYFUNCTION("IMPORTRANGE(""https://docs.google.com/spreadsheets/d/1yswqbM3-AEpThF3ZSUa1AcmHnmRTF1vlJ1CZGcJ8YuU/edit?usp=sharing"",""สุรินทร์!I316"")"),"")</f>
        <v/>
      </c>
      <c r="AE46" s="152" t="str">
        <f ca="1">IFERROR(__xludf.DUMMYFUNCTION("IMPORTRANGE(""https://docs.google.com/spreadsheets/d/1yswqbM3-AEpThF3ZSUa1AcmHnmRTF1vlJ1CZGcJ8YuU/edit?usp=sharing"",""สุรินทร์!J316"")"),"")</f>
        <v/>
      </c>
      <c r="AF46" s="216" t="e">
        <f t="shared" ca="1" si="44"/>
        <v>#VALUE!</v>
      </c>
      <c r="AG46" s="278" t="str">
        <f ca="1">IFERROR(__xludf.DUMMYFUNCTION("IMPORTRANGE(""https://docs.google.com/spreadsheets/d/1yswqbM3-AEpThF3ZSUa1AcmHnmRTF1vlJ1CZGcJ8YuU/edit?usp=sharing"",""สุรินทร์!I317"")"),"")</f>
        <v/>
      </c>
      <c r="AH46" s="152" t="str">
        <f ca="1">IFERROR(__xludf.DUMMYFUNCTION("IMPORTRANGE(""https://docs.google.com/spreadsheets/d/1yswqbM3-AEpThF3ZSUa1AcmHnmRTF1vlJ1CZGcJ8YuU/edit?usp=sharing"",""สุรินทร์!J317"")"),"")</f>
        <v/>
      </c>
      <c r="AI46" s="216" t="e">
        <f t="shared" ca="1" si="46"/>
        <v>#VALUE!</v>
      </c>
    </row>
    <row r="47" spans="1:35" ht="21" customHeight="1" x14ac:dyDescent="0.3">
      <c r="A47" s="70">
        <v>16</v>
      </c>
      <c r="B47" s="71" t="s">
        <v>75</v>
      </c>
      <c r="C47" s="149">
        <f t="shared" ca="1" si="28"/>
        <v>0</v>
      </c>
      <c r="D47" s="150">
        <f t="shared" ca="1" si="54"/>
        <v>0</v>
      </c>
      <c r="E47" s="151">
        <f ca="1">IFERROR(__xludf.DUMMYFUNCTION("IMPORTRANGE(""https://docs.google.com/spreadsheets/d/1-uDff_7J0KD5mKrp0Vvzr7lt3OU09vwQwhkpOPPYv2Y/edit?usp=sharing"",""งบพรบ!DZ47"")"),0)</f>
        <v>0</v>
      </c>
      <c r="F47" s="151">
        <f ca="1">IFERROR(__xludf.DUMMYFUNCTION("IMPORTRANGE(""https://docs.google.com/spreadsheets/d/1-uDff_7J0KD5mKrp0Vvzr7lt3OU09vwQwhkpOPPYv2Y/edit?usp=sharing"",""งบพรบ!EA47"")"),0)</f>
        <v>0</v>
      </c>
      <c r="G47" s="151">
        <f ca="1">IFERROR(__xludf.DUMMYFUNCTION("IMPORTRANGE(""https://docs.google.com/spreadsheets/d/1-uDff_7J0KD5mKrp0Vvzr7lt3OU09vwQwhkpOPPYv2Y/edit?usp=sharing"",""งบพรบ!EB47"")"),0)</f>
        <v>0</v>
      </c>
      <c r="H47" s="151">
        <f ca="1">IFERROR(__xludf.DUMMYFUNCTION("IMPORTRANGE(""https://docs.google.com/spreadsheets/d/1-uDff_7J0KD5mKrp0Vvzr7lt3OU09vwQwhkpOPPYv2Y/edit?usp=sharing"",""งบพรบ!ED47"")"),0)</f>
        <v>0</v>
      </c>
      <c r="I47" s="151">
        <f ca="1">IFERROR(__xludf.DUMMYFUNCTION("IMPORTRANGE(""https://docs.google.com/spreadsheets/d/1-uDff_7J0KD5mKrp0Vvzr7lt3OU09vwQwhkpOPPYv2Y/edit?usp=sharing"",""งบพรบ!EE47"")"),0)</f>
        <v>0</v>
      </c>
      <c r="J47" s="151">
        <f t="shared" ca="1" si="30"/>
        <v>0</v>
      </c>
      <c r="K47" s="154">
        <f t="shared" ca="1" si="31"/>
        <v>0</v>
      </c>
      <c r="L47" s="151">
        <f ca="1">IFERROR(__xludf.DUMMYFUNCTION("IMPORTRANGE(""https://docs.google.com/spreadsheets/d/1-uDff_7J0KD5mKrp0Vvzr7lt3OU09vwQwhkpOPPYv2Y/edit?usp=sharing"",""งบพรบ!EF47"")"),0)</f>
        <v>0</v>
      </c>
      <c r="M47" s="68">
        <f t="shared" ca="1" si="32"/>
        <v>0</v>
      </c>
      <c r="N47" s="68">
        <f t="shared" ca="1" si="33"/>
        <v>0</v>
      </c>
      <c r="O47" s="67">
        <f ca="1">IFERROR(__xludf.DUMMYFUNCTION("IMPORTRANGE(""https://docs.google.com/spreadsheets/d/1-uDff_7J0KD5mKrp0Vvzr7lt3OU09vwQwhkpOPPYv2Y/edit?usp=sharing"",""งบพรบ!EG47"")"),0)</f>
        <v>0</v>
      </c>
      <c r="P47" s="67">
        <f t="shared" ca="1" si="34"/>
        <v>0</v>
      </c>
      <c r="Q47" s="68">
        <f t="shared" ca="1" si="35"/>
        <v>0</v>
      </c>
      <c r="R47" s="197">
        <f ca="1">IFERROR(__xludf.DUMMYFUNCTION("IMPORTRANGE(""https://docs.google.com/spreadsheets/d/13JHU_EFbsQOUQ0JSQ3dWy1VTRosIWcDq6Nc99z2qzdc/edit?usp=sharing"",""หนองคาย!Q303"")"),0)</f>
        <v>0</v>
      </c>
      <c r="S47" s="67">
        <f ca="1">IFERROR(__xludf.DUMMYFUNCTION("IMPORTRANGE(""https://docs.google.com/spreadsheets/d/13JHU_EFbsQOUQ0JSQ3dWy1VTRosIWcDq6Nc99z2qzdc/edit?usp=sharing"",""หนองคาย!R303"")"),0)</f>
        <v>0</v>
      </c>
      <c r="T47" s="67">
        <f ca="1">IFERROR(__xludf.DUMMYFUNCTION("IMPORTRANGE(""https://docs.google.com/spreadsheets/d/13JHU_EFbsQOUQ0JSQ3dWy1VTRosIWcDq6Nc99z2qzdc/edit?usp=sharing"",""หนองคาย!S303"")"),0)</f>
        <v>0</v>
      </c>
      <c r="U47" s="68">
        <f t="shared" ca="1" si="37"/>
        <v>0</v>
      </c>
      <c r="V47" s="68">
        <f t="shared" ca="1" si="38"/>
        <v>0</v>
      </c>
      <c r="W47" s="278" t="str">
        <f ca="1">IFERROR(__xludf.DUMMYFUNCTION("IMPORTRANGE(""https://docs.google.com/spreadsheets/d/13JHU_EFbsQOUQ0JSQ3dWy1VTRosIWcDq6Nc99z2qzdc/edit?usp=sharing"",""หนองคาย!J313"")"),"")</f>
        <v/>
      </c>
      <c r="X47" s="278">
        <f ca="1">IFERROR(__xludf.DUMMYFUNCTION("IMPORTRANGE(""https://docs.google.com/spreadsheets/d/13JHU_EFbsQOUQ0JSQ3dWy1VTRosIWcDq6Nc99z2qzdc/edit?usp=sharing"",""หนองคาย!I314"")"),0)</f>
        <v>0</v>
      </c>
      <c r="Y47" s="152">
        <f ca="1">IFERROR(__xludf.DUMMYFUNCTION("IMPORTRANGE(""https://docs.google.com/spreadsheets/d/13JHU_EFbsQOUQ0JSQ3dWy1VTRosIWcDq6Nc99z2qzdc/edit?usp=sharing"",""หนองคาย!J314"")"),0)</f>
        <v>0</v>
      </c>
      <c r="Z47" s="216">
        <f t="shared" ca="1" si="40"/>
        <v>0</v>
      </c>
      <c r="AA47" s="278" t="str">
        <f ca="1">IFERROR(__xludf.DUMMYFUNCTION("IMPORTRANGE(""https://docs.google.com/spreadsheets/d/13JHU_EFbsQOUQ0JSQ3dWy1VTRosIWcDq6Nc99z2qzdc/edit?usp=sharing"",""หนองคาย!I315"")"),"")</f>
        <v/>
      </c>
      <c r="AB47" s="152" t="str">
        <f ca="1">IFERROR(__xludf.DUMMYFUNCTION("IMPORTRANGE(""https://docs.google.com/spreadsheets/d/13JHU_EFbsQOUQ0JSQ3dWy1VTRosIWcDq6Nc99z2qzdc/edit?usp=sharing"",""หนองคาย!J315"")"),"")</f>
        <v/>
      </c>
      <c r="AC47" s="216">
        <f t="shared" ca="1" si="42"/>
        <v>0</v>
      </c>
      <c r="AD47" s="278" t="str">
        <f ca="1">IFERROR(__xludf.DUMMYFUNCTION("IMPORTRANGE(""https://docs.google.com/spreadsheets/d/13JHU_EFbsQOUQ0JSQ3dWy1VTRosIWcDq6Nc99z2qzdc/edit?usp=sharing"",""หนองคาย!I316"")"),"")</f>
        <v/>
      </c>
      <c r="AE47" s="152" t="str">
        <f ca="1">IFERROR(__xludf.DUMMYFUNCTION("IMPORTRANGE(""https://docs.google.com/spreadsheets/d/13JHU_EFbsQOUQ0JSQ3dWy1VTRosIWcDq6Nc99z2qzdc/edit?usp=sharing"",""หนองคาย!J316"")"),"")</f>
        <v/>
      </c>
      <c r="AF47" s="216" t="e">
        <f t="shared" ca="1" si="44"/>
        <v>#VALUE!</v>
      </c>
      <c r="AG47" s="278" t="str">
        <f ca="1">IFERROR(__xludf.DUMMYFUNCTION("IMPORTRANGE(""https://docs.google.com/spreadsheets/d/13JHU_EFbsQOUQ0JSQ3dWy1VTRosIWcDq6Nc99z2qzdc/edit?usp=sharing"",""หนองคาย!I317"")"),"")</f>
        <v/>
      </c>
      <c r="AH47" s="152" t="str">
        <f ca="1">IFERROR(__xludf.DUMMYFUNCTION("IMPORTRANGE(""https://docs.google.com/spreadsheets/d/13JHU_EFbsQOUQ0JSQ3dWy1VTRosIWcDq6Nc99z2qzdc/edit?usp=sharing"",""หนองคาย!J317"")"),"")</f>
        <v/>
      </c>
      <c r="AI47" s="216" t="e">
        <f t="shared" ca="1" si="46"/>
        <v>#VALUE!</v>
      </c>
    </row>
    <row r="48" spans="1:35" ht="21" customHeight="1" x14ac:dyDescent="0.3">
      <c r="A48" s="70">
        <v>17</v>
      </c>
      <c r="B48" s="71" t="s">
        <v>76</v>
      </c>
      <c r="C48" s="149">
        <f t="shared" ca="1" si="28"/>
        <v>0</v>
      </c>
      <c r="D48" s="150">
        <f t="shared" ca="1" si="54"/>
        <v>0</v>
      </c>
      <c r="E48" s="151">
        <f ca="1">IFERROR(__xludf.DUMMYFUNCTION("IMPORTRANGE(""https://docs.google.com/spreadsheets/d/1-uDff_7J0KD5mKrp0Vvzr7lt3OU09vwQwhkpOPPYv2Y/edit?usp=sharing"",""งบพรบ!DZ48"")"),0)</f>
        <v>0</v>
      </c>
      <c r="F48" s="151">
        <f ca="1">IFERROR(__xludf.DUMMYFUNCTION("IMPORTRANGE(""https://docs.google.com/spreadsheets/d/1-uDff_7J0KD5mKrp0Vvzr7lt3OU09vwQwhkpOPPYv2Y/edit?usp=sharing"",""งบพรบ!EA48"")"),0)</f>
        <v>0</v>
      </c>
      <c r="G48" s="151">
        <f ca="1">IFERROR(__xludf.DUMMYFUNCTION("IMPORTRANGE(""https://docs.google.com/spreadsheets/d/1-uDff_7J0KD5mKrp0Vvzr7lt3OU09vwQwhkpOPPYv2Y/edit?usp=sharing"",""งบพรบ!EB48"")"),0)</f>
        <v>0</v>
      </c>
      <c r="H48" s="151">
        <f ca="1">IFERROR(__xludf.DUMMYFUNCTION("IMPORTRANGE(""https://docs.google.com/spreadsheets/d/1-uDff_7J0KD5mKrp0Vvzr7lt3OU09vwQwhkpOPPYv2Y/edit?usp=sharing"",""งบพรบ!ED48"")"),0)</f>
        <v>0</v>
      </c>
      <c r="I48" s="151">
        <f ca="1">IFERROR(__xludf.DUMMYFUNCTION("IMPORTRANGE(""https://docs.google.com/spreadsheets/d/1-uDff_7J0KD5mKrp0Vvzr7lt3OU09vwQwhkpOPPYv2Y/edit?usp=sharing"",""งบพรบ!EE48"")"),0)</f>
        <v>0</v>
      </c>
      <c r="J48" s="151">
        <f t="shared" ca="1" si="30"/>
        <v>0</v>
      </c>
      <c r="K48" s="154">
        <f t="shared" ca="1" si="31"/>
        <v>0</v>
      </c>
      <c r="L48" s="151">
        <f ca="1">IFERROR(__xludf.DUMMYFUNCTION("IMPORTRANGE(""https://docs.google.com/spreadsheets/d/1-uDff_7J0KD5mKrp0Vvzr7lt3OU09vwQwhkpOPPYv2Y/edit?usp=sharing"",""งบพรบ!EF48"")"),0)</f>
        <v>0</v>
      </c>
      <c r="M48" s="68">
        <f t="shared" ca="1" si="32"/>
        <v>0</v>
      </c>
      <c r="N48" s="68">
        <f t="shared" ca="1" si="33"/>
        <v>0</v>
      </c>
      <c r="O48" s="67">
        <f ca="1">IFERROR(__xludf.DUMMYFUNCTION("IMPORTRANGE(""https://docs.google.com/spreadsheets/d/1-uDff_7J0KD5mKrp0Vvzr7lt3OU09vwQwhkpOPPYv2Y/edit?usp=sharing"",""งบพรบ!EG48"")"),0)</f>
        <v>0</v>
      </c>
      <c r="P48" s="67">
        <f t="shared" ca="1" si="34"/>
        <v>0</v>
      </c>
      <c r="Q48" s="68">
        <f t="shared" ca="1" si="35"/>
        <v>0</v>
      </c>
      <c r="R48" s="197">
        <f ca="1">IFERROR(__xludf.DUMMYFUNCTION("IMPORTRANGE(""https://docs.google.com/spreadsheets/d/1Hx73zIEgVdDZZaYSTc46Dqv64atFhpr3GelxLbaIN8A/edit?usp=sharing"",""หนองบัวลำภู!Q303"")"),0)</f>
        <v>0</v>
      </c>
      <c r="S48" s="67">
        <f ca="1">IFERROR(__xludf.DUMMYFUNCTION("IMPORTRANGE(""https://docs.google.com/spreadsheets/d/1Hx73zIEgVdDZZaYSTc46Dqv64atFhpr3GelxLbaIN8A/edit?usp=sharing"",""หนองบัวลำภู!R303"")"),0)</f>
        <v>0</v>
      </c>
      <c r="T48" s="67">
        <f ca="1">IFERROR(__xludf.DUMMYFUNCTION("IMPORTRANGE(""https://docs.google.com/spreadsheets/d/1Hx73zIEgVdDZZaYSTc46Dqv64atFhpr3GelxLbaIN8A/edit?usp=sharing"",""หนองบัวลำภู!S303"")"),0)</f>
        <v>0</v>
      </c>
      <c r="U48" s="68">
        <f t="shared" ca="1" si="37"/>
        <v>0</v>
      </c>
      <c r="V48" s="68">
        <f t="shared" ca="1" si="38"/>
        <v>0</v>
      </c>
      <c r="W48" s="278" t="str">
        <f ca="1">IFERROR(__xludf.DUMMYFUNCTION("IMPORTRANGE(""https://docs.google.com/spreadsheets/d/1Hx73zIEgVdDZZaYSTc46Dqv64atFhpr3GelxLbaIN8A/edit?usp=sharing"",""หนองบัวลำภู!J313"")"),"")</f>
        <v/>
      </c>
      <c r="X48" s="278">
        <f ca="1">IFERROR(__xludf.DUMMYFUNCTION("IMPORTRANGE(""https://docs.google.com/spreadsheets/d/1Hx73zIEgVdDZZaYSTc46Dqv64atFhpr3GelxLbaIN8A/edit?usp=sharing"",""หนองบัวลำภู!I314"")"),0)</f>
        <v>0</v>
      </c>
      <c r="Y48" s="152">
        <f ca="1">IFERROR(__xludf.DUMMYFUNCTION("IMPORTRANGE(""https://docs.google.com/spreadsheets/d/1Hx73zIEgVdDZZaYSTc46Dqv64atFhpr3GelxLbaIN8A/edit?usp=sharing"",""หนองบัวลำภู!J314"")"),0)</f>
        <v>0</v>
      </c>
      <c r="Z48" s="216">
        <f t="shared" ca="1" si="40"/>
        <v>0</v>
      </c>
      <c r="AA48" s="278" t="str">
        <f ca="1">IFERROR(__xludf.DUMMYFUNCTION("IMPORTRANGE(""https://docs.google.com/spreadsheets/d/1Hx73zIEgVdDZZaYSTc46Dqv64atFhpr3GelxLbaIN8A/edit?usp=sharing"",""หนองบัวลำภู!I315"")"),"")</f>
        <v/>
      </c>
      <c r="AB48" s="152" t="str">
        <f ca="1">IFERROR(__xludf.DUMMYFUNCTION("IMPORTRANGE(""https://docs.google.com/spreadsheets/d/1Hx73zIEgVdDZZaYSTc46Dqv64atFhpr3GelxLbaIN8A/edit?usp=sharing"",""หนองบัวลำภู!J315"")"),"")</f>
        <v/>
      </c>
      <c r="AC48" s="216">
        <f t="shared" ca="1" si="42"/>
        <v>0</v>
      </c>
      <c r="AD48" s="278" t="str">
        <f ca="1">IFERROR(__xludf.DUMMYFUNCTION("IMPORTRANGE(""https://docs.google.com/spreadsheets/d/1Hx73zIEgVdDZZaYSTc46Dqv64atFhpr3GelxLbaIN8A/edit?usp=sharing"",""หนองบัวลำภู!I316"")"),"")</f>
        <v/>
      </c>
      <c r="AE48" s="152" t="str">
        <f ca="1">IFERROR(__xludf.DUMMYFUNCTION("IMPORTRANGE(""https://docs.google.com/spreadsheets/d/1Hx73zIEgVdDZZaYSTc46Dqv64atFhpr3GelxLbaIN8A/edit?usp=sharing"",""หนองบัวลำภู!J316"")"),"")</f>
        <v/>
      </c>
      <c r="AF48" s="216" t="e">
        <f t="shared" ca="1" si="44"/>
        <v>#VALUE!</v>
      </c>
      <c r="AG48" s="278" t="str">
        <f ca="1">IFERROR(__xludf.DUMMYFUNCTION("IMPORTRANGE(""https://docs.google.com/spreadsheets/d/1Hx73zIEgVdDZZaYSTc46Dqv64atFhpr3GelxLbaIN8A/edit?usp=sharing"",""หนองบัวลำภู!I317"")"),"")</f>
        <v/>
      </c>
      <c r="AH48" s="152" t="str">
        <f ca="1">IFERROR(__xludf.DUMMYFUNCTION("IMPORTRANGE(""https://docs.google.com/spreadsheets/d/1Hx73zIEgVdDZZaYSTc46Dqv64atFhpr3GelxLbaIN8A/edit?usp=sharing"",""หนองบัวลำภู!J317"")"),"")</f>
        <v/>
      </c>
      <c r="AI48" s="216" t="e">
        <f t="shared" ca="1" si="46"/>
        <v>#VALUE!</v>
      </c>
    </row>
    <row r="49" spans="1:35" ht="21" customHeight="1" x14ac:dyDescent="0.3">
      <c r="A49" s="70">
        <v>18</v>
      </c>
      <c r="B49" s="71" t="s">
        <v>77</v>
      </c>
      <c r="C49" s="149">
        <f t="shared" ca="1" si="28"/>
        <v>0</v>
      </c>
      <c r="D49" s="150">
        <f t="shared" ca="1" si="54"/>
        <v>0</v>
      </c>
      <c r="E49" s="151">
        <f ca="1">IFERROR(__xludf.DUMMYFUNCTION("IMPORTRANGE(""https://docs.google.com/spreadsheets/d/1-uDff_7J0KD5mKrp0Vvzr7lt3OU09vwQwhkpOPPYv2Y/edit?usp=sharing"",""งบพรบ!DZ49"")"),0)</f>
        <v>0</v>
      </c>
      <c r="F49" s="151">
        <f ca="1">IFERROR(__xludf.DUMMYFUNCTION("IMPORTRANGE(""https://docs.google.com/spreadsheets/d/1-uDff_7J0KD5mKrp0Vvzr7lt3OU09vwQwhkpOPPYv2Y/edit?usp=sharing"",""งบพรบ!EA49"")"),0)</f>
        <v>0</v>
      </c>
      <c r="G49" s="151">
        <f ca="1">IFERROR(__xludf.DUMMYFUNCTION("IMPORTRANGE(""https://docs.google.com/spreadsheets/d/1-uDff_7J0KD5mKrp0Vvzr7lt3OU09vwQwhkpOPPYv2Y/edit?usp=sharing"",""งบพรบ!EB49"")"),0)</f>
        <v>0</v>
      </c>
      <c r="H49" s="151">
        <f ca="1">IFERROR(__xludf.DUMMYFUNCTION("IMPORTRANGE(""https://docs.google.com/spreadsheets/d/1-uDff_7J0KD5mKrp0Vvzr7lt3OU09vwQwhkpOPPYv2Y/edit?usp=sharing"",""งบพรบ!ED49"")"),0)</f>
        <v>0</v>
      </c>
      <c r="I49" s="151">
        <f ca="1">IFERROR(__xludf.DUMMYFUNCTION("IMPORTRANGE(""https://docs.google.com/spreadsheets/d/1-uDff_7J0KD5mKrp0Vvzr7lt3OU09vwQwhkpOPPYv2Y/edit?usp=sharing"",""งบพรบ!EE49"")"),0)</f>
        <v>0</v>
      </c>
      <c r="J49" s="151">
        <f t="shared" ca="1" si="30"/>
        <v>0</v>
      </c>
      <c r="K49" s="154">
        <f t="shared" ca="1" si="31"/>
        <v>0</v>
      </c>
      <c r="L49" s="151">
        <f ca="1">IFERROR(__xludf.DUMMYFUNCTION("IMPORTRANGE(""https://docs.google.com/spreadsheets/d/1-uDff_7J0KD5mKrp0Vvzr7lt3OU09vwQwhkpOPPYv2Y/edit?usp=sharing"",""งบพรบ!EF49"")"),0)</f>
        <v>0</v>
      </c>
      <c r="M49" s="68">
        <f t="shared" ca="1" si="32"/>
        <v>0</v>
      </c>
      <c r="N49" s="68">
        <f t="shared" ca="1" si="33"/>
        <v>0</v>
      </c>
      <c r="O49" s="67">
        <f ca="1">IFERROR(__xludf.DUMMYFUNCTION("IMPORTRANGE(""https://docs.google.com/spreadsheets/d/1-uDff_7J0KD5mKrp0Vvzr7lt3OU09vwQwhkpOPPYv2Y/edit?usp=sharing"",""งบพรบ!EG49"")"),0)</f>
        <v>0</v>
      </c>
      <c r="P49" s="67">
        <f t="shared" ca="1" si="34"/>
        <v>0</v>
      </c>
      <c r="Q49" s="68">
        <f t="shared" ca="1" si="35"/>
        <v>0</v>
      </c>
      <c r="R49" s="197">
        <f ca="1">IFERROR(__xludf.DUMMYFUNCTION("IMPORTRANGE(""https://docs.google.com/spreadsheets/d/1lFxr3ctmjFN90yc-xV6jrQ9Ty8BKYVBWnAZ15wcNIJc/edit?usp=sharing"",""อำนาจเจริญ!Q303"")"),260958.39)</f>
        <v>260958.39</v>
      </c>
      <c r="S49" s="67">
        <f ca="1">IFERROR(__xludf.DUMMYFUNCTION("IMPORTRANGE(""https://docs.google.com/spreadsheets/d/1lFxr3ctmjFN90yc-xV6jrQ9Ty8BKYVBWnAZ15wcNIJc/edit?usp=sharing"",""อำนาจเจริญ!R303"")"),265158)</f>
        <v>265158</v>
      </c>
      <c r="T49" s="67">
        <f ca="1">IFERROR(__xludf.DUMMYFUNCTION("IMPORTRANGE(""https://docs.google.com/spreadsheets/d/1lFxr3ctmjFN90yc-xV6jrQ9Ty8BKYVBWnAZ15wcNIJc/edit?usp=sharing"",""อำนาจเจริญ!S303"")"),230778)</f>
        <v>230778</v>
      </c>
      <c r="U49" s="68">
        <f t="shared" ca="1" si="37"/>
        <v>88.434788396724855</v>
      </c>
      <c r="V49" s="68">
        <f t="shared" ca="1" si="38"/>
        <v>87.034145679179957</v>
      </c>
      <c r="W49" s="278" t="str">
        <f ca="1">IFERROR(__xludf.DUMMYFUNCTION("IMPORTRANGE(""https://docs.google.com/spreadsheets/d/1lFxr3ctmjFN90yc-xV6jrQ9Ty8BKYVBWnAZ15wcNIJc/edit?usp=sharing"",""อำนาจเจริญ!J313"")"),"")</f>
        <v/>
      </c>
      <c r="X49" s="278">
        <f ca="1">IFERROR(__xludf.DUMMYFUNCTION("IMPORTRANGE(""https://docs.google.com/spreadsheets/d/1lFxr3ctmjFN90yc-xV6jrQ9Ty8BKYVBWnAZ15wcNIJc/edit?usp=sharing"",""อำนาจเจริญ!I314"")"),30)</f>
        <v>30</v>
      </c>
      <c r="Y49" s="152">
        <f ca="1">IFERROR(__xludf.DUMMYFUNCTION("IMPORTRANGE(""https://docs.google.com/spreadsheets/d/1lFxr3ctmjFN90yc-xV6jrQ9Ty8BKYVBWnAZ15wcNIJc/edit?usp=sharing"",""อำนาจเจริญ!J314"")"),30)</f>
        <v>30</v>
      </c>
      <c r="Z49" s="216">
        <f t="shared" ca="1" si="40"/>
        <v>100</v>
      </c>
      <c r="AA49" s="278" t="str">
        <f ca="1">IFERROR(__xludf.DUMMYFUNCTION("IMPORTRANGE(""https://docs.google.com/spreadsheets/d/1lFxr3ctmjFN90yc-xV6jrQ9Ty8BKYVBWnAZ15wcNIJc/edit?usp=sharing"",""อำนาจเจริญ!I315"")"),"")</f>
        <v/>
      </c>
      <c r="AB49" s="152" t="str">
        <f ca="1">IFERROR(__xludf.DUMMYFUNCTION("IMPORTRANGE(""https://docs.google.com/spreadsheets/d/1lFxr3ctmjFN90yc-xV6jrQ9Ty8BKYVBWnAZ15wcNIJc/edit?usp=sharing"",""อำนาจเจริญ!J315"")"),"")</f>
        <v/>
      </c>
      <c r="AC49" s="216" t="e">
        <f t="shared" ca="1" si="42"/>
        <v>#VALUE!</v>
      </c>
      <c r="AD49" s="278" t="str">
        <f ca="1">IFERROR(__xludf.DUMMYFUNCTION("IMPORTRANGE(""https://docs.google.com/spreadsheets/d/1lFxr3ctmjFN90yc-xV6jrQ9Ty8BKYVBWnAZ15wcNIJc/edit?usp=sharing"",""อำนาจเจริญ!I316"")"),"")</f>
        <v/>
      </c>
      <c r="AE49" s="152" t="str">
        <f ca="1">IFERROR(__xludf.DUMMYFUNCTION("IMPORTRANGE(""https://docs.google.com/spreadsheets/d/1lFxr3ctmjFN90yc-xV6jrQ9Ty8BKYVBWnAZ15wcNIJc/edit?usp=sharing"",""อำนาจเจริญ!J316"")"),"")</f>
        <v/>
      </c>
      <c r="AF49" s="216" t="e">
        <f t="shared" ca="1" si="44"/>
        <v>#VALUE!</v>
      </c>
      <c r="AG49" s="278" t="str">
        <f ca="1">IFERROR(__xludf.DUMMYFUNCTION("IMPORTRANGE(""https://docs.google.com/spreadsheets/d/1lFxr3ctmjFN90yc-xV6jrQ9Ty8BKYVBWnAZ15wcNIJc/edit?usp=sharing"",""อำนาจเจริญ!I317"")"),"")</f>
        <v/>
      </c>
      <c r="AH49" s="152" t="str">
        <f ca="1">IFERROR(__xludf.DUMMYFUNCTION("IMPORTRANGE(""https://docs.google.com/spreadsheets/d/1lFxr3ctmjFN90yc-xV6jrQ9Ty8BKYVBWnAZ15wcNIJc/edit?usp=sharing"",""อำนาจเจริญ!J317"")"),"")</f>
        <v/>
      </c>
      <c r="AI49" s="216" t="e">
        <f t="shared" ca="1" si="46"/>
        <v>#VALUE!</v>
      </c>
    </row>
    <row r="50" spans="1:35" ht="21" customHeight="1" x14ac:dyDescent="0.3">
      <c r="A50" s="70">
        <v>19</v>
      </c>
      <c r="B50" s="71" t="s">
        <v>78</v>
      </c>
      <c r="C50" s="149">
        <f t="shared" ca="1" si="28"/>
        <v>155000</v>
      </c>
      <c r="D50" s="150">
        <f t="shared" ca="1" si="54"/>
        <v>155000</v>
      </c>
      <c r="E50" s="151">
        <f ca="1">IFERROR(__xludf.DUMMYFUNCTION("IMPORTRANGE(""https://docs.google.com/spreadsheets/d/1-uDff_7J0KD5mKrp0Vvzr7lt3OU09vwQwhkpOPPYv2Y/edit?usp=sharing"",""งบพรบ!DZ50"")"),51100)</f>
        <v>51100</v>
      </c>
      <c r="F50" s="151">
        <f ca="1">IFERROR(__xludf.DUMMYFUNCTION("IMPORTRANGE(""https://docs.google.com/spreadsheets/d/1-uDff_7J0KD5mKrp0Vvzr7lt3OU09vwQwhkpOPPYv2Y/edit?usp=sharing"",""งบพรบ!EA50"")"),103900)</f>
        <v>103900</v>
      </c>
      <c r="G50" s="151">
        <f ca="1">IFERROR(__xludf.DUMMYFUNCTION("IMPORTRANGE(""https://docs.google.com/spreadsheets/d/1-uDff_7J0KD5mKrp0Vvzr7lt3OU09vwQwhkpOPPYv2Y/edit?usp=sharing"",""งบพรบ!EB50"")"),0)</f>
        <v>0</v>
      </c>
      <c r="H50" s="151">
        <f ca="1">IFERROR(__xludf.DUMMYFUNCTION("IMPORTRANGE(""https://docs.google.com/spreadsheets/d/1-uDff_7J0KD5mKrp0Vvzr7lt3OU09vwQwhkpOPPYv2Y/edit?usp=sharing"",""งบพรบ!ED50"")"),155000)</f>
        <v>155000</v>
      </c>
      <c r="I50" s="151">
        <f ca="1">IFERROR(__xludf.DUMMYFUNCTION("IMPORTRANGE(""https://docs.google.com/spreadsheets/d/1-uDff_7J0KD5mKrp0Vvzr7lt3OU09vwQwhkpOPPYv2Y/edit?usp=sharing"",""งบพรบ!EE50"")"),0)</f>
        <v>0</v>
      </c>
      <c r="J50" s="151">
        <f t="shared" ca="1" si="30"/>
        <v>147000</v>
      </c>
      <c r="K50" s="154">
        <f t="shared" ca="1" si="31"/>
        <v>94.838709677419359</v>
      </c>
      <c r="L50" s="151">
        <f ca="1">IFERROR(__xludf.DUMMYFUNCTION("IMPORTRANGE(""https://docs.google.com/spreadsheets/d/1-uDff_7J0KD5mKrp0Vvzr7lt3OU09vwQwhkpOPPYv2Y/edit?usp=sharing"",""งบพรบ!EF50"")"),147000)</f>
        <v>147000</v>
      </c>
      <c r="M50" s="68">
        <f t="shared" ca="1" si="32"/>
        <v>94.838709677419359</v>
      </c>
      <c r="N50" s="68">
        <f t="shared" ca="1" si="33"/>
        <v>94.838709677419359</v>
      </c>
      <c r="O50" s="67">
        <f ca="1">IFERROR(__xludf.DUMMYFUNCTION("IMPORTRANGE(""https://docs.google.com/spreadsheets/d/1-uDff_7J0KD5mKrp0Vvzr7lt3OU09vwQwhkpOPPYv2Y/edit?usp=sharing"",""งบพรบ!EG50"")"),0)</f>
        <v>0</v>
      </c>
      <c r="P50" s="67">
        <f t="shared" ca="1" si="34"/>
        <v>0</v>
      </c>
      <c r="Q50" s="68">
        <f t="shared" ca="1" si="35"/>
        <v>0</v>
      </c>
      <c r="R50" s="197">
        <f ca="1">IFERROR(__xludf.DUMMYFUNCTION("IMPORTRANGE(""https://docs.google.com/spreadsheets/d/1gF7RJpRnL-1oyjyeWxs5SFWEH7y8ahOZsQlyp2A2e-A/edit?usp=sharing"",""อุดรธานี!Q303"")"),144609.24)</f>
        <v>144609.24</v>
      </c>
      <c r="S50" s="67">
        <f ca="1">IFERROR(__xludf.DUMMYFUNCTION("IMPORTRANGE(""https://docs.google.com/spreadsheets/d/1gF7RJpRnL-1oyjyeWxs5SFWEH7y8ahOZsQlyp2A2e-A/edit?usp=sharing"",""อุดรธานี!R303"")"),148809)</f>
        <v>148809</v>
      </c>
      <c r="T50" s="67">
        <f ca="1">IFERROR(__xludf.DUMMYFUNCTION("IMPORTRANGE(""https://docs.google.com/spreadsheets/d/1gF7RJpRnL-1oyjyeWxs5SFWEH7y8ahOZsQlyp2A2e-A/edit?usp=sharing"",""อุดรธานี!S303"")"),112160)</f>
        <v>112160</v>
      </c>
      <c r="U50" s="68">
        <f t="shared" ca="1" si="37"/>
        <v>77.560742314944747</v>
      </c>
      <c r="V50" s="68">
        <f t="shared" ca="1" si="38"/>
        <v>75.371785308684281</v>
      </c>
      <c r="W50" s="278" t="str">
        <f ca="1">IFERROR(__xludf.DUMMYFUNCTION("IMPORTRANGE(""https://docs.google.com/spreadsheets/d/1gF7RJpRnL-1oyjyeWxs5SFWEH7y8ahOZsQlyp2A2e-A/edit?usp=sharing"",""อุดรธานี!J313"")"),"")</f>
        <v/>
      </c>
      <c r="X50" s="278">
        <f ca="1">IFERROR(__xludf.DUMMYFUNCTION("IMPORTRANGE(""https://docs.google.com/spreadsheets/d/1gF7RJpRnL-1oyjyeWxs5SFWEH7y8ahOZsQlyp2A2e-A/edit?usp=sharing"",""อุดรธานี!I314"")"),20)</f>
        <v>20</v>
      </c>
      <c r="Y50" s="152">
        <f ca="1">IFERROR(__xludf.DUMMYFUNCTION("IMPORTRANGE(""https://docs.google.com/spreadsheets/d/1gF7RJpRnL-1oyjyeWxs5SFWEH7y8ahOZsQlyp2A2e-A/edit?usp=sharing"",""อุดรธานี!J314"")"),20)</f>
        <v>20</v>
      </c>
      <c r="Z50" s="216">
        <f t="shared" ca="1" si="40"/>
        <v>100</v>
      </c>
      <c r="AA50" s="278" t="str">
        <f ca="1">IFERROR(__xludf.DUMMYFUNCTION("IMPORTRANGE(""https://docs.google.com/spreadsheets/d/1gF7RJpRnL-1oyjyeWxs5SFWEH7y8ahOZsQlyp2A2e-A/edit?usp=sharing"",""อุดรธานี!I315"")"),"")</f>
        <v/>
      </c>
      <c r="AB50" s="152" t="str">
        <f ca="1">IFERROR(__xludf.DUMMYFUNCTION("IMPORTRANGE(""https://docs.google.com/spreadsheets/d/1gF7RJpRnL-1oyjyeWxs5SFWEH7y8ahOZsQlyp2A2e-A/edit?usp=sharing"",""อุดรธานี!J315"")"),"")</f>
        <v/>
      </c>
      <c r="AC50" s="216" t="e">
        <f t="shared" ca="1" si="42"/>
        <v>#VALUE!</v>
      </c>
      <c r="AD50" s="278" t="str">
        <f ca="1">IFERROR(__xludf.DUMMYFUNCTION("IMPORTRANGE(""https://docs.google.com/spreadsheets/d/1gF7RJpRnL-1oyjyeWxs5SFWEH7y8ahOZsQlyp2A2e-A/edit?usp=sharing"",""อุดรธานี!I316"")"),"")</f>
        <v/>
      </c>
      <c r="AE50" s="152" t="str">
        <f ca="1">IFERROR(__xludf.DUMMYFUNCTION("IMPORTRANGE(""https://docs.google.com/spreadsheets/d/1gF7RJpRnL-1oyjyeWxs5SFWEH7y8ahOZsQlyp2A2e-A/edit?usp=sharing"",""อุดรธานี!J316"")"),"")</f>
        <v/>
      </c>
      <c r="AF50" s="216" t="e">
        <f t="shared" ca="1" si="44"/>
        <v>#VALUE!</v>
      </c>
      <c r="AG50" s="278" t="str">
        <f ca="1">IFERROR(__xludf.DUMMYFUNCTION("IMPORTRANGE(""https://docs.google.com/spreadsheets/d/1gF7RJpRnL-1oyjyeWxs5SFWEH7y8ahOZsQlyp2A2e-A/edit?usp=sharing"",""อุดรธานี!I317"")"),"")</f>
        <v/>
      </c>
      <c r="AH50" s="152" t="str">
        <f ca="1">IFERROR(__xludf.DUMMYFUNCTION("IMPORTRANGE(""https://docs.google.com/spreadsheets/d/1gF7RJpRnL-1oyjyeWxs5SFWEH7y8ahOZsQlyp2A2e-A/edit?usp=sharing"",""อุดรธานี!J317"")"),"")</f>
        <v/>
      </c>
      <c r="AI50" s="216" t="e">
        <f t="shared" ca="1" si="46"/>
        <v>#VALUE!</v>
      </c>
    </row>
    <row r="51" spans="1:35" ht="21" customHeight="1" x14ac:dyDescent="0.3">
      <c r="A51" s="80">
        <v>20</v>
      </c>
      <c r="B51" s="81" t="s">
        <v>79</v>
      </c>
      <c r="C51" s="165">
        <f t="shared" ca="1" si="28"/>
        <v>0</v>
      </c>
      <c r="D51" s="166">
        <f t="shared" ca="1" si="54"/>
        <v>0</v>
      </c>
      <c r="E51" s="167">
        <f ca="1">IFERROR(__xludf.DUMMYFUNCTION("IMPORTRANGE(""https://docs.google.com/spreadsheets/d/1-uDff_7J0KD5mKrp0Vvzr7lt3OU09vwQwhkpOPPYv2Y/edit?usp=sharing"",""งบพรบ!DZ51"")"),0)</f>
        <v>0</v>
      </c>
      <c r="F51" s="167">
        <f ca="1">IFERROR(__xludf.DUMMYFUNCTION("IMPORTRANGE(""https://docs.google.com/spreadsheets/d/1-uDff_7J0KD5mKrp0Vvzr7lt3OU09vwQwhkpOPPYv2Y/edit?usp=sharing"",""งบพรบ!EA51"")"),0)</f>
        <v>0</v>
      </c>
      <c r="G51" s="167">
        <f ca="1">IFERROR(__xludf.DUMMYFUNCTION("IMPORTRANGE(""https://docs.google.com/spreadsheets/d/1-uDff_7J0KD5mKrp0Vvzr7lt3OU09vwQwhkpOPPYv2Y/edit?usp=sharing"",""งบพรบ!EB51"")"),0)</f>
        <v>0</v>
      </c>
      <c r="H51" s="167">
        <f ca="1">IFERROR(__xludf.DUMMYFUNCTION("IMPORTRANGE(""https://docs.google.com/spreadsheets/d/1-uDff_7J0KD5mKrp0Vvzr7lt3OU09vwQwhkpOPPYv2Y/edit?usp=sharing"",""งบพรบ!ED51"")"),0)</f>
        <v>0</v>
      </c>
      <c r="I51" s="167">
        <f ca="1">IFERROR(__xludf.DUMMYFUNCTION("IMPORTRANGE(""https://docs.google.com/spreadsheets/d/1-uDff_7J0KD5mKrp0Vvzr7lt3OU09vwQwhkpOPPYv2Y/edit?usp=sharing"",""งบพรบ!EE51"")"),0)</f>
        <v>0</v>
      </c>
      <c r="J51" s="167">
        <f t="shared" ca="1" si="30"/>
        <v>0</v>
      </c>
      <c r="K51" s="168">
        <f t="shared" ca="1" si="31"/>
        <v>0</v>
      </c>
      <c r="L51" s="167">
        <f ca="1">IFERROR(__xludf.DUMMYFUNCTION("IMPORTRANGE(""https://docs.google.com/spreadsheets/d/1-uDff_7J0KD5mKrp0Vvzr7lt3OU09vwQwhkpOPPYv2Y/edit?usp=sharing"",""งบพรบ!EF51"")"),0)</f>
        <v>0</v>
      </c>
      <c r="M51" s="97">
        <f t="shared" ca="1" si="32"/>
        <v>0</v>
      </c>
      <c r="N51" s="97">
        <f t="shared" ca="1" si="33"/>
        <v>0</v>
      </c>
      <c r="O51" s="96">
        <f ca="1">IFERROR(__xludf.DUMMYFUNCTION("IMPORTRANGE(""https://docs.google.com/spreadsheets/d/1-uDff_7J0KD5mKrp0Vvzr7lt3OU09vwQwhkpOPPYv2Y/edit?usp=sharing"",""งบพรบ!EG51"")"),0)</f>
        <v>0</v>
      </c>
      <c r="P51" s="96">
        <f t="shared" ca="1" si="34"/>
        <v>0</v>
      </c>
      <c r="Q51" s="97">
        <f t="shared" ca="1" si="35"/>
        <v>0</v>
      </c>
      <c r="R51" s="198">
        <f ca="1">IFERROR(__xludf.DUMMYFUNCTION("IMPORTRANGE(""https://docs.google.com/spreadsheets/d/1kfLP0j3INXRa8bTDpcEmoWewMBV61jlFlfzczfjWIgc/edit?usp=sharing"",""อุบลราชธานี!Q303"")"),384158.99)</f>
        <v>384158.99</v>
      </c>
      <c r="S51" s="88">
        <f ca="1">IFERROR(__xludf.DUMMYFUNCTION("IMPORTRANGE(""https://docs.google.com/spreadsheets/d/1kfLP0j3INXRa8bTDpcEmoWewMBV61jlFlfzczfjWIgc/edit?usp=sharing"",""อุบลราชธานี!R303"")"),388359)</f>
        <v>388359</v>
      </c>
      <c r="T51" s="88">
        <f ca="1">IFERROR(__xludf.DUMMYFUNCTION("IMPORTRANGE(""https://docs.google.com/spreadsheets/d/1kfLP0j3INXRa8bTDpcEmoWewMBV61jlFlfzczfjWIgc/edit?usp=sharing"",""อุบลราชธานี!S303"")"),345190.09)</f>
        <v>345190.09</v>
      </c>
      <c r="U51" s="89">
        <f t="shared" ca="1" si="37"/>
        <v>89.856048923910393</v>
      </c>
      <c r="V51" s="89">
        <f t="shared" ca="1" si="38"/>
        <v>88.884277176529963</v>
      </c>
      <c r="W51" s="280" t="str">
        <f ca="1">IFERROR(__xludf.DUMMYFUNCTION("IMPORTRANGE(""https://docs.google.com/spreadsheets/d/1kfLP0j3INXRa8bTDpcEmoWewMBV61jlFlfzczfjWIgc/edit?usp=sharing"",""อุบลราชธานี!J313"")"),"")</f>
        <v/>
      </c>
      <c r="X51" s="280">
        <f ca="1">IFERROR(__xludf.DUMMYFUNCTION("IMPORTRANGE(""https://docs.google.com/spreadsheets/d/1kfLP0j3INXRa8bTDpcEmoWewMBV61jlFlfzczfjWIgc/edit?usp=sharing"",""อุบลราชธานี!I314"")"),50)</f>
        <v>50</v>
      </c>
      <c r="Y51" s="191">
        <f ca="1">IFERROR(__xludf.DUMMYFUNCTION("IMPORTRANGE(""https://docs.google.com/spreadsheets/d/1kfLP0j3INXRa8bTDpcEmoWewMBV61jlFlfzczfjWIgc/edit?usp=sharing"",""อุบลราชธานี!J314"")"),50)</f>
        <v>50</v>
      </c>
      <c r="Z51" s="218">
        <f t="shared" ca="1" si="40"/>
        <v>100</v>
      </c>
      <c r="AA51" s="280" t="str">
        <f ca="1">IFERROR(__xludf.DUMMYFUNCTION("IMPORTRANGE(""https://docs.google.com/spreadsheets/d/1kfLP0j3INXRa8bTDpcEmoWewMBV61jlFlfzczfjWIgc/edit?usp=sharing"",""อุบลราชธานี!I315"")"),"")</f>
        <v/>
      </c>
      <c r="AB51" s="191" t="str">
        <f ca="1">IFERROR(__xludf.DUMMYFUNCTION("IMPORTRANGE(""https://docs.google.com/spreadsheets/d/1kfLP0j3INXRa8bTDpcEmoWewMBV61jlFlfzczfjWIgc/edit?usp=sharing"",""อุบลราชธานี!J315"")"),"")</f>
        <v/>
      </c>
      <c r="AC51" s="218" t="e">
        <f t="shared" ca="1" si="42"/>
        <v>#VALUE!</v>
      </c>
      <c r="AD51" s="280" t="str">
        <f ca="1">IFERROR(__xludf.DUMMYFUNCTION("IMPORTRANGE(""https://docs.google.com/spreadsheets/d/1kfLP0j3INXRa8bTDpcEmoWewMBV61jlFlfzczfjWIgc/edit?usp=sharing"",""อุบลราชธานี!I316"")"),"")</f>
        <v/>
      </c>
      <c r="AE51" s="191" t="str">
        <f ca="1">IFERROR(__xludf.DUMMYFUNCTION("IMPORTRANGE(""https://docs.google.com/spreadsheets/d/1kfLP0j3INXRa8bTDpcEmoWewMBV61jlFlfzczfjWIgc/edit?usp=sharing"",""อุบลราชธานี!J316"")"),"")</f>
        <v/>
      </c>
      <c r="AF51" s="218" t="e">
        <f t="shared" ca="1" si="44"/>
        <v>#VALUE!</v>
      </c>
      <c r="AG51" s="280" t="str">
        <f ca="1">IFERROR(__xludf.DUMMYFUNCTION("IMPORTRANGE(""https://docs.google.com/spreadsheets/d/1kfLP0j3INXRa8bTDpcEmoWewMBV61jlFlfzczfjWIgc/edit?usp=sharing"",""อุบลราชธานี!I317"")"),"")</f>
        <v/>
      </c>
      <c r="AH51" s="191" t="str">
        <f ca="1">IFERROR(__xludf.DUMMYFUNCTION("IMPORTRANGE(""https://docs.google.com/spreadsheets/d/1kfLP0j3INXRa8bTDpcEmoWewMBV61jlFlfzczfjWIgc/edit?usp=sharing"",""อุบลราชธานี!J317"")"),"")</f>
        <v/>
      </c>
      <c r="AI51" s="218" t="e">
        <f t="shared" ca="1" si="46"/>
        <v>#VALUE!</v>
      </c>
    </row>
    <row r="52" spans="1:35" ht="21" customHeight="1" x14ac:dyDescent="0.3">
      <c r="A52" s="712" t="s">
        <v>80</v>
      </c>
      <c r="B52" s="647"/>
      <c r="C52" s="145">
        <f t="shared" ca="1" si="28"/>
        <v>1553650</v>
      </c>
      <c r="D52" s="145">
        <f t="shared" ref="D52:I52" ca="1" si="55">SUM(D53:D73)</f>
        <v>1553650</v>
      </c>
      <c r="E52" s="145">
        <f t="shared" ca="1" si="55"/>
        <v>722700</v>
      </c>
      <c r="F52" s="145">
        <f t="shared" ca="1" si="55"/>
        <v>830950</v>
      </c>
      <c r="G52" s="145">
        <f t="shared" ca="1" si="55"/>
        <v>0</v>
      </c>
      <c r="H52" s="145">
        <f t="shared" ca="1" si="55"/>
        <v>2318850</v>
      </c>
      <c r="I52" s="145">
        <f t="shared" ca="1" si="55"/>
        <v>0</v>
      </c>
      <c r="J52" s="145">
        <f t="shared" ca="1" si="30"/>
        <v>1830577.6099999999</v>
      </c>
      <c r="K52" s="146">
        <f t="shared" ca="1" si="31"/>
        <v>117.82432401119944</v>
      </c>
      <c r="L52" s="145">
        <f ca="1">SUM(L53:L73)</f>
        <v>1830577.6099999999</v>
      </c>
      <c r="M52" s="57">
        <f t="shared" ca="1" si="32"/>
        <v>117.82432401119944</v>
      </c>
      <c r="N52" s="57">
        <f t="shared" ca="1" si="33"/>
        <v>78.943338723936435</v>
      </c>
      <c r="O52" s="56">
        <f ca="1">SUM(O53:O73)</f>
        <v>0</v>
      </c>
      <c r="P52" s="56">
        <f t="shared" ca="1" si="34"/>
        <v>0</v>
      </c>
      <c r="Q52" s="57">
        <f t="shared" ca="1" si="35"/>
        <v>0</v>
      </c>
      <c r="R52" s="199">
        <f t="shared" ref="R52:T52" ca="1" si="56">SUM(R53:R73)</f>
        <v>2884993.6500000008</v>
      </c>
      <c r="S52" s="93">
        <f t="shared" ca="1" si="56"/>
        <v>2947989</v>
      </c>
      <c r="T52" s="93">
        <f t="shared" ca="1" si="56"/>
        <v>1761699</v>
      </c>
      <c r="U52" s="94">
        <f t="shared" ca="1" si="37"/>
        <v>61.064224526109427</v>
      </c>
      <c r="V52" s="94">
        <f t="shared" ca="1" si="38"/>
        <v>59.75934781303458</v>
      </c>
      <c r="W52" s="281">
        <f t="shared" ref="W52:Y52" ca="1" si="57">SUM(W53:W73)</f>
        <v>0</v>
      </c>
      <c r="X52" s="282">
        <f t="shared" ca="1" si="57"/>
        <v>355</v>
      </c>
      <c r="Y52" s="161">
        <f t="shared" ca="1" si="57"/>
        <v>355</v>
      </c>
      <c r="Z52" s="94">
        <f t="shared" ca="1" si="40"/>
        <v>100</v>
      </c>
      <c r="AA52" s="282">
        <f t="shared" ref="AA52:AB52" ca="1" si="58">SUM(AA53:AA73)</f>
        <v>0</v>
      </c>
      <c r="AB52" s="161">
        <f t="shared" ca="1" si="58"/>
        <v>0</v>
      </c>
      <c r="AC52" s="94">
        <f t="shared" ca="1" si="42"/>
        <v>0</v>
      </c>
      <c r="AD52" s="282">
        <f t="shared" ref="AD52:AE52" ca="1" si="59">SUM(AD53:AD73)</f>
        <v>0</v>
      </c>
      <c r="AE52" s="161">
        <f t="shared" ca="1" si="59"/>
        <v>0</v>
      </c>
      <c r="AF52" s="94">
        <f t="shared" ca="1" si="44"/>
        <v>0</v>
      </c>
      <c r="AG52" s="282">
        <f t="shared" ref="AG52:AH52" ca="1" si="60">SUM(AG53:AG73)</f>
        <v>0</v>
      </c>
      <c r="AH52" s="161">
        <f t="shared" ca="1" si="60"/>
        <v>0</v>
      </c>
      <c r="AI52" s="94">
        <f t="shared" ca="1" si="46"/>
        <v>0</v>
      </c>
    </row>
    <row r="53" spans="1:35" ht="21" customHeight="1" x14ac:dyDescent="0.3">
      <c r="A53" s="58">
        <v>1</v>
      </c>
      <c r="B53" s="59" t="s">
        <v>81</v>
      </c>
      <c r="C53" s="149">
        <f t="shared" ca="1" si="28"/>
        <v>0</v>
      </c>
      <c r="D53" s="150">
        <f t="shared" ref="D53:D73" ca="1" si="61">+E53+F53</f>
        <v>0</v>
      </c>
      <c r="E53" s="151">
        <f ca="1">IFERROR(__xludf.DUMMYFUNCTION("IMPORTRANGE(""https://docs.google.com/spreadsheets/d/1-uDff_7J0KD5mKrp0Vvzr7lt3OU09vwQwhkpOPPYv2Y/edit?usp=sharing"",""งบพรบ!DZ53"")"),0)</f>
        <v>0</v>
      </c>
      <c r="F53" s="151">
        <f ca="1">IFERROR(__xludf.DUMMYFUNCTION("IMPORTRANGE(""https://docs.google.com/spreadsheets/d/1-uDff_7J0KD5mKrp0Vvzr7lt3OU09vwQwhkpOPPYv2Y/edit?usp=sharing"",""งบพรบ!EA53"")"),0)</f>
        <v>0</v>
      </c>
      <c r="G53" s="152">
        <f ca="1">IFERROR(__xludf.DUMMYFUNCTION("IMPORTRANGE(""https://docs.google.com/spreadsheets/d/1-uDff_7J0KD5mKrp0Vvzr7lt3OU09vwQwhkpOPPYv2Y/edit?usp=sharing"",""งบพรบ!EB53"")"),0)</f>
        <v>0</v>
      </c>
      <c r="H53" s="152">
        <f ca="1">IFERROR(__xludf.DUMMYFUNCTION("IMPORTRANGE(""https://docs.google.com/spreadsheets/d/1-uDff_7J0KD5mKrp0Vvzr7lt3OU09vwQwhkpOPPYv2Y/edit?usp=sharing"",""งบพรบ!ED53"")"),0)</f>
        <v>0</v>
      </c>
      <c r="I53" s="152">
        <f ca="1">IFERROR(__xludf.DUMMYFUNCTION("IMPORTRANGE(""https://docs.google.com/spreadsheets/d/1-uDff_7J0KD5mKrp0Vvzr7lt3OU09vwQwhkpOPPYv2Y/edit?usp=sharing"",""งบพรบ!EE53"")"),0)</f>
        <v>0</v>
      </c>
      <c r="J53" s="152">
        <f t="shared" ca="1" si="30"/>
        <v>0</v>
      </c>
      <c r="K53" s="153">
        <f t="shared" ca="1" si="31"/>
        <v>0</v>
      </c>
      <c r="L53" s="152">
        <f ca="1">IFERROR(__xludf.DUMMYFUNCTION("IMPORTRANGE(""https://docs.google.com/spreadsheets/d/1-uDff_7J0KD5mKrp0Vvzr7lt3OU09vwQwhkpOPPYv2Y/edit?usp=sharing"",""งบพรบ!EF53"")"),0)</f>
        <v>0</v>
      </c>
      <c r="M53" s="68">
        <f t="shared" ca="1" si="32"/>
        <v>0</v>
      </c>
      <c r="N53" s="68">
        <f t="shared" ca="1" si="33"/>
        <v>0</v>
      </c>
      <c r="O53" s="67">
        <f ca="1">IFERROR(__xludf.DUMMYFUNCTION("IMPORTRANGE(""https://docs.google.com/spreadsheets/d/1-uDff_7J0KD5mKrp0Vvzr7lt3OU09vwQwhkpOPPYv2Y/edit?usp=sharing"",""งบพรบ!EG53"")"),0)</f>
        <v>0</v>
      </c>
      <c r="P53" s="67">
        <f t="shared" ca="1" si="34"/>
        <v>0</v>
      </c>
      <c r="Q53" s="68">
        <f t="shared" ca="1" si="35"/>
        <v>0</v>
      </c>
      <c r="R53" s="197">
        <f ca="1">IFERROR(__xludf.DUMMYFUNCTION("IMPORTRANGE(""https://docs.google.com/spreadsheets/d/13wPX838HrBrQMCywv1BsuMkt4PEKTChp52zj44s2izQ/edit?usp=sharing"",""กาญจนบุรี!Q303"")"),260958.39)</f>
        <v>260958.39</v>
      </c>
      <c r="S53" s="67">
        <f ca="1">IFERROR(__xludf.DUMMYFUNCTION("IMPORTRANGE(""https://docs.google.com/spreadsheets/d/13wPX838HrBrQMCywv1BsuMkt4PEKTChp52zj44s2izQ/edit?usp=sharing"",""กาญจนบุรี!R303"")"),265158)</f>
        <v>265158</v>
      </c>
      <c r="T53" s="67">
        <f ca="1">IFERROR(__xludf.DUMMYFUNCTION("IMPORTRANGE(""https://docs.google.com/spreadsheets/d/13wPX838HrBrQMCywv1BsuMkt4PEKTChp52zj44s2izQ/edit?usp=sharing"",""กาญจนบุรี!S303"")"),223498)</f>
        <v>223498</v>
      </c>
      <c r="U53" s="68">
        <f t="shared" ca="1" si="37"/>
        <v>85.645071614673896</v>
      </c>
      <c r="V53" s="68">
        <f t="shared" ca="1" si="38"/>
        <v>84.288612827069144</v>
      </c>
      <c r="W53" s="278" t="str">
        <f ca="1">IFERROR(__xludf.DUMMYFUNCTION("IMPORTRANGE(""https://docs.google.com/spreadsheets/d/13wPX838HrBrQMCywv1BsuMkt4PEKTChp52zj44s2izQ/edit?usp=sharing"",""กาญจนบุรี!J313"")"),"")</f>
        <v/>
      </c>
      <c r="X53" s="278">
        <f ca="1">IFERROR(__xludf.DUMMYFUNCTION("IMPORTRANGE(""https://docs.google.com/spreadsheets/d/13wPX838HrBrQMCywv1BsuMkt4PEKTChp52zj44s2izQ/edit?usp=sharing"",""กาญจนบุรี!I314"")"),30)</f>
        <v>30</v>
      </c>
      <c r="Y53" s="152">
        <f ca="1">IFERROR(__xludf.DUMMYFUNCTION("IMPORTRANGE(""https://docs.google.com/spreadsheets/d/13wPX838HrBrQMCywv1BsuMkt4PEKTChp52zj44s2izQ/edit?usp=sharing"",""กาญจนบุรี!J314"")"),30)</f>
        <v>30</v>
      </c>
      <c r="Z53" s="216">
        <f t="shared" ca="1" si="40"/>
        <v>100</v>
      </c>
      <c r="AA53" s="278" t="str">
        <f ca="1">IFERROR(__xludf.DUMMYFUNCTION("IMPORTRANGE(""https://docs.google.com/spreadsheets/d/13wPX838HrBrQMCywv1BsuMkt4PEKTChp52zj44s2izQ/edit?usp=sharing"",""กาญจนบุรี!I315"")"),"")</f>
        <v/>
      </c>
      <c r="AB53" s="152" t="str">
        <f ca="1">IFERROR(__xludf.DUMMYFUNCTION("IMPORTRANGE(""https://docs.google.com/spreadsheets/d/13wPX838HrBrQMCywv1BsuMkt4PEKTChp52zj44s2izQ/edit?usp=sharing"",""กาญจนบุรี!J315"")"),"")</f>
        <v/>
      </c>
      <c r="AC53" s="216" t="e">
        <f t="shared" ca="1" si="42"/>
        <v>#VALUE!</v>
      </c>
      <c r="AD53" s="278" t="str">
        <f ca="1">IFERROR(__xludf.DUMMYFUNCTION("IMPORTRANGE(""https://docs.google.com/spreadsheets/d/13wPX838HrBrQMCywv1BsuMkt4PEKTChp52zj44s2izQ/edit?usp=sharing"",""กาญจนบุรี!I316"")"),"")</f>
        <v/>
      </c>
      <c r="AE53" s="152" t="str">
        <f ca="1">IFERROR(__xludf.DUMMYFUNCTION("IMPORTRANGE(""https://docs.google.com/spreadsheets/d/13wPX838HrBrQMCywv1BsuMkt4PEKTChp52zj44s2izQ/edit?usp=sharing"",""กาญจนบุรี!J316"")"),"")</f>
        <v/>
      </c>
      <c r="AF53" s="216" t="e">
        <f t="shared" ca="1" si="44"/>
        <v>#VALUE!</v>
      </c>
      <c r="AG53" s="278" t="str">
        <f ca="1">IFERROR(__xludf.DUMMYFUNCTION("IMPORTRANGE(""https://docs.google.com/spreadsheets/d/13wPX838HrBrQMCywv1BsuMkt4PEKTChp52zj44s2izQ/edit?usp=sharing"",""กาญจนบุรี!I317"")"),"")</f>
        <v/>
      </c>
      <c r="AH53" s="152" t="str">
        <f ca="1">IFERROR(__xludf.DUMMYFUNCTION("IMPORTRANGE(""https://docs.google.com/spreadsheets/d/13wPX838HrBrQMCywv1BsuMkt4PEKTChp52zj44s2izQ/edit?usp=sharing"",""กาญจนบุรี!J317"")"),"")</f>
        <v/>
      </c>
      <c r="AI53" s="216" t="e">
        <f t="shared" ca="1" si="46"/>
        <v>#VALUE!</v>
      </c>
    </row>
    <row r="54" spans="1:35" ht="21" customHeight="1" x14ac:dyDescent="0.3">
      <c r="A54" s="70">
        <v>2</v>
      </c>
      <c r="B54" s="71" t="s">
        <v>82</v>
      </c>
      <c r="C54" s="149">
        <f t="shared" ca="1" si="28"/>
        <v>0</v>
      </c>
      <c r="D54" s="150">
        <f t="shared" ca="1" si="61"/>
        <v>0</v>
      </c>
      <c r="E54" s="151">
        <f ca="1">IFERROR(__xludf.DUMMYFUNCTION("IMPORTRANGE(""https://docs.google.com/spreadsheets/d/1-uDff_7J0KD5mKrp0Vvzr7lt3OU09vwQwhkpOPPYv2Y/edit?usp=sharing"",""งบพรบ!DZ54"")"),0)</f>
        <v>0</v>
      </c>
      <c r="F54" s="151">
        <f ca="1">IFERROR(__xludf.DUMMYFUNCTION("IMPORTRANGE(""https://docs.google.com/spreadsheets/d/1-uDff_7J0KD5mKrp0Vvzr7lt3OU09vwQwhkpOPPYv2Y/edit?usp=sharing"",""งบพรบ!EA54"")"),0)</f>
        <v>0</v>
      </c>
      <c r="G54" s="151">
        <f ca="1">IFERROR(__xludf.DUMMYFUNCTION("IMPORTRANGE(""https://docs.google.com/spreadsheets/d/1-uDff_7J0KD5mKrp0Vvzr7lt3OU09vwQwhkpOPPYv2Y/edit?usp=sharing"",""งบพรบ!EB54"")"),0)</f>
        <v>0</v>
      </c>
      <c r="H54" s="151">
        <f ca="1">IFERROR(__xludf.DUMMYFUNCTION("IMPORTRANGE(""https://docs.google.com/spreadsheets/d/1-uDff_7J0KD5mKrp0Vvzr7lt3OU09vwQwhkpOPPYv2Y/edit?usp=sharing"",""งบพรบ!ED54"")"),0)</f>
        <v>0</v>
      </c>
      <c r="I54" s="151">
        <f ca="1">IFERROR(__xludf.DUMMYFUNCTION("IMPORTRANGE(""https://docs.google.com/spreadsheets/d/1-uDff_7J0KD5mKrp0Vvzr7lt3OU09vwQwhkpOPPYv2Y/edit?usp=sharing"",""งบพรบ!EE54"")"),0)</f>
        <v>0</v>
      </c>
      <c r="J54" s="151">
        <f t="shared" ca="1" si="30"/>
        <v>0</v>
      </c>
      <c r="K54" s="154">
        <f t="shared" ca="1" si="31"/>
        <v>0</v>
      </c>
      <c r="L54" s="151">
        <f ca="1">IFERROR(__xludf.DUMMYFUNCTION("IMPORTRANGE(""https://docs.google.com/spreadsheets/d/1-uDff_7J0KD5mKrp0Vvzr7lt3OU09vwQwhkpOPPYv2Y/edit?usp=sharing"",""งบพรบ!EF54"")"),0)</f>
        <v>0</v>
      </c>
      <c r="M54" s="68">
        <f t="shared" ca="1" si="32"/>
        <v>0</v>
      </c>
      <c r="N54" s="68">
        <f t="shared" ca="1" si="33"/>
        <v>0</v>
      </c>
      <c r="O54" s="67">
        <f ca="1">IFERROR(__xludf.DUMMYFUNCTION("IMPORTRANGE(""https://docs.google.com/spreadsheets/d/1-uDff_7J0KD5mKrp0Vvzr7lt3OU09vwQwhkpOPPYv2Y/edit?usp=sharing"",""งบพรบ!EG54"")"),0)</f>
        <v>0</v>
      </c>
      <c r="P54" s="67">
        <f t="shared" ca="1" si="34"/>
        <v>0</v>
      </c>
      <c r="Q54" s="68">
        <f t="shared" ca="1" si="35"/>
        <v>0</v>
      </c>
      <c r="R54" s="197">
        <f ca="1">IFERROR(__xludf.DUMMYFUNCTION("IMPORTRANGE(""https://docs.google.com/spreadsheets/d/1ddFKvqj1W1NEiWytbGlB1zMx_ykJDVtmfEQ-6-lIUBA/edit?usp=sharing"",""จันทบุรี!Q303"")"),228095.39)</f>
        <v>228095.39</v>
      </c>
      <c r="S54" s="67">
        <f ca="1">IFERROR(__xludf.DUMMYFUNCTION("IMPORTRANGE(""https://docs.google.com/spreadsheets/d/1ddFKvqj1W1NEiWytbGlB1zMx_ykJDVtmfEQ-6-lIUBA/edit?usp=sharing"",""จันทบุรี!R303"")"),232295)</f>
        <v>232295</v>
      </c>
      <c r="T54" s="67">
        <f ca="1">IFERROR(__xludf.DUMMYFUNCTION("IMPORTRANGE(""https://docs.google.com/spreadsheets/d/1ddFKvqj1W1NEiWytbGlB1zMx_ykJDVtmfEQ-6-lIUBA/edit?usp=sharing"",""จันทบุรี!S303"")"),186935)</f>
        <v>186935</v>
      </c>
      <c r="U54" s="68">
        <f t="shared" ca="1" si="37"/>
        <v>81.954747090679902</v>
      </c>
      <c r="V54" s="68">
        <f t="shared" ca="1" si="38"/>
        <v>80.473105318668075</v>
      </c>
      <c r="W54" s="278" t="str">
        <f ca="1">IFERROR(__xludf.DUMMYFUNCTION("IMPORTRANGE(""https://docs.google.com/spreadsheets/d/1ddFKvqj1W1NEiWytbGlB1zMx_ykJDVtmfEQ-6-lIUBA/edit?usp=sharing"",""จันทบุรี!J313"")"),"")</f>
        <v/>
      </c>
      <c r="X54" s="278">
        <f ca="1">IFERROR(__xludf.DUMMYFUNCTION("IMPORTRANGE(""https://docs.google.com/spreadsheets/d/1ddFKvqj1W1NEiWytbGlB1zMx_ykJDVtmfEQ-6-lIUBA/edit?usp=sharing"",""จันทบุรี!I314"")"),25)</f>
        <v>25</v>
      </c>
      <c r="Y54" s="152">
        <f ca="1">IFERROR(__xludf.DUMMYFUNCTION("IMPORTRANGE(""https://docs.google.com/spreadsheets/d/1ddFKvqj1W1NEiWytbGlB1zMx_ykJDVtmfEQ-6-lIUBA/edit?usp=sharing"",""จันทบุรี!J314"")"),25)</f>
        <v>25</v>
      </c>
      <c r="Z54" s="216">
        <f t="shared" ca="1" si="40"/>
        <v>100</v>
      </c>
      <c r="AA54" s="278" t="str">
        <f ca="1">IFERROR(__xludf.DUMMYFUNCTION("IMPORTRANGE(""https://docs.google.com/spreadsheets/d/1ddFKvqj1W1NEiWytbGlB1zMx_ykJDVtmfEQ-6-lIUBA/edit?usp=sharing"",""จันทบุรี!I315"")"),"")</f>
        <v/>
      </c>
      <c r="AB54" s="152" t="str">
        <f ca="1">IFERROR(__xludf.DUMMYFUNCTION("IMPORTRANGE(""https://docs.google.com/spreadsheets/d/1ddFKvqj1W1NEiWytbGlB1zMx_ykJDVtmfEQ-6-lIUBA/edit?usp=sharing"",""จันทบุรี!J315"")"),"")</f>
        <v/>
      </c>
      <c r="AC54" s="216" t="e">
        <f t="shared" ca="1" si="42"/>
        <v>#VALUE!</v>
      </c>
      <c r="AD54" s="278" t="str">
        <f ca="1">IFERROR(__xludf.DUMMYFUNCTION("IMPORTRANGE(""https://docs.google.com/spreadsheets/d/1ddFKvqj1W1NEiWytbGlB1zMx_ykJDVtmfEQ-6-lIUBA/edit?usp=sharing"",""จันทบุรี!I316"")"),"")</f>
        <v/>
      </c>
      <c r="AE54" s="152" t="str">
        <f ca="1">IFERROR(__xludf.DUMMYFUNCTION("IMPORTRANGE(""https://docs.google.com/spreadsheets/d/1ddFKvqj1W1NEiWytbGlB1zMx_ykJDVtmfEQ-6-lIUBA/edit?usp=sharing"",""จันทบุรี!J316"")"),"")</f>
        <v/>
      </c>
      <c r="AF54" s="216" t="e">
        <f t="shared" ca="1" si="44"/>
        <v>#VALUE!</v>
      </c>
      <c r="AG54" s="278" t="str">
        <f ca="1">IFERROR(__xludf.DUMMYFUNCTION("IMPORTRANGE(""https://docs.google.com/spreadsheets/d/1ddFKvqj1W1NEiWytbGlB1zMx_ykJDVtmfEQ-6-lIUBA/edit?usp=sharing"",""จันทบุรี!I317"")"),"")</f>
        <v/>
      </c>
      <c r="AH54" s="152" t="str">
        <f ca="1">IFERROR(__xludf.DUMMYFUNCTION("IMPORTRANGE(""https://docs.google.com/spreadsheets/d/1ddFKvqj1W1NEiWytbGlB1zMx_ykJDVtmfEQ-6-lIUBA/edit?usp=sharing"",""จันทบุรี!J317"")"),"")</f>
        <v/>
      </c>
      <c r="AI54" s="216" t="e">
        <f t="shared" ca="1" si="46"/>
        <v>#VALUE!</v>
      </c>
    </row>
    <row r="55" spans="1:35" ht="21" customHeight="1" x14ac:dyDescent="0.3">
      <c r="A55" s="70">
        <v>3</v>
      </c>
      <c r="B55" s="71" t="s">
        <v>83</v>
      </c>
      <c r="C55" s="149">
        <f t="shared" ca="1" si="28"/>
        <v>184200</v>
      </c>
      <c r="D55" s="150">
        <f t="shared" ca="1" si="61"/>
        <v>184200</v>
      </c>
      <c r="E55" s="151">
        <f ca="1">IFERROR(__xludf.DUMMYFUNCTION("IMPORTRANGE(""https://docs.google.com/spreadsheets/d/1-uDff_7J0KD5mKrp0Vvzr7lt3OU09vwQwhkpOPPYv2Y/edit?usp=sharing"",""งบพรบ!DZ55"")"),80300)</f>
        <v>80300</v>
      </c>
      <c r="F55" s="151">
        <f ca="1">IFERROR(__xludf.DUMMYFUNCTION("IMPORTRANGE(""https://docs.google.com/spreadsheets/d/1-uDff_7J0KD5mKrp0Vvzr7lt3OU09vwQwhkpOPPYv2Y/edit?usp=sharing"",""งบพรบ!EA55"")"),103900)</f>
        <v>103900</v>
      </c>
      <c r="G55" s="151">
        <f ca="1">IFERROR(__xludf.DUMMYFUNCTION("IMPORTRANGE(""https://docs.google.com/spreadsheets/d/1-uDff_7J0KD5mKrp0Vvzr7lt3OU09vwQwhkpOPPYv2Y/edit?usp=sharing"",""งบพรบ!EB55"")"),0)</f>
        <v>0</v>
      </c>
      <c r="H55" s="151">
        <f ca="1">IFERROR(__xludf.DUMMYFUNCTION("IMPORTRANGE(""https://docs.google.com/spreadsheets/d/1-uDff_7J0KD5mKrp0Vvzr7lt3OU09vwQwhkpOPPYv2Y/edit?usp=sharing"",""งบพรบ!ED55"")"),184200)</f>
        <v>184200</v>
      </c>
      <c r="I55" s="151">
        <f ca="1">IFERROR(__xludf.DUMMYFUNCTION("IMPORTRANGE(""https://docs.google.com/spreadsheets/d/1-uDff_7J0KD5mKrp0Vvzr7lt3OU09vwQwhkpOPPYv2Y/edit?usp=sharing"",""งบพรบ!EE55"")"),0)</f>
        <v>0</v>
      </c>
      <c r="J55" s="151">
        <f t="shared" ca="1" si="30"/>
        <v>146356.60999999999</v>
      </c>
      <c r="K55" s="154">
        <f t="shared" ca="1" si="31"/>
        <v>79.455271444082513</v>
      </c>
      <c r="L55" s="151">
        <f ca="1">IFERROR(__xludf.DUMMYFUNCTION("IMPORTRANGE(""https://docs.google.com/spreadsheets/d/1-uDff_7J0KD5mKrp0Vvzr7lt3OU09vwQwhkpOPPYv2Y/edit?usp=sharing"",""งบพรบ!EF55"")"),146356.61)</f>
        <v>146356.60999999999</v>
      </c>
      <c r="M55" s="68">
        <f t="shared" ca="1" si="32"/>
        <v>79.455271444082513</v>
      </c>
      <c r="N55" s="68">
        <f t="shared" ca="1" si="33"/>
        <v>79.455271444082513</v>
      </c>
      <c r="O55" s="67">
        <f ca="1">IFERROR(__xludf.DUMMYFUNCTION("IMPORTRANGE(""https://docs.google.com/spreadsheets/d/1-uDff_7J0KD5mKrp0Vvzr7lt3OU09vwQwhkpOPPYv2Y/edit?usp=sharing"",""งบพรบ!EG55"")"),0)</f>
        <v>0</v>
      </c>
      <c r="P55" s="67">
        <f t="shared" ca="1" si="34"/>
        <v>0</v>
      </c>
      <c r="Q55" s="68">
        <f t="shared" ca="1" si="35"/>
        <v>0</v>
      </c>
      <c r="R55" s="197">
        <f ca="1">IFERROR(__xludf.DUMMYFUNCTION("IMPORTRANGE(""https://docs.google.com/spreadsheets/d/1T1PQvRODqOBZk8BRht_U031fIS1beLA0Ub2CEytj2q0/edit?usp=sharing"",""ฉะเชิงเทรา!Q303"")"),144609.24)</f>
        <v>144609.24</v>
      </c>
      <c r="S55" s="67">
        <f ca="1">IFERROR(__xludf.DUMMYFUNCTION("IMPORTRANGE(""https://docs.google.com/spreadsheets/d/1T1PQvRODqOBZk8BRht_U031fIS1beLA0Ub2CEytj2q0/edit?usp=sharing"",""ฉะเชิงเทรา!R303"")"),148809)</f>
        <v>148809</v>
      </c>
      <c r="T55" s="67">
        <f ca="1">IFERROR(__xludf.DUMMYFUNCTION("IMPORTRANGE(""https://docs.google.com/spreadsheets/d/1T1PQvRODqOBZk8BRht_U031fIS1beLA0Ub2CEytj2q0/edit?usp=sharing"",""ฉะเชิงเทรา!S303"")"),29520)</f>
        <v>29520</v>
      </c>
      <c r="U55" s="68">
        <f t="shared" ca="1" si="37"/>
        <v>20.413633319696586</v>
      </c>
      <c r="V55" s="68">
        <f t="shared" ca="1" si="38"/>
        <v>19.837509828034595</v>
      </c>
      <c r="W55" s="278" t="str">
        <f ca="1">IFERROR(__xludf.DUMMYFUNCTION("IMPORTRANGE(""https://docs.google.com/spreadsheets/d/1T1PQvRODqOBZk8BRht_U031fIS1beLA0Ub2CEytj2q0/edit?usp=sharing"",""ฉะเชิงเทรา!J313"")"),"")</f>
        <v/>
      </c>
      <c r="X55" s="278">
        <f ca="1">IFERROR(__xludf.DUMMYFUNCTION("IMPORTRANGE(""https://docs.google.com/spreadsheets/d/1T1PQvRODqOBZk8BRht_U031fIS1beLA0Ub2CEytj2q0/edit?usp=sharing"",""ฉะเชิงเทรา!I314"")"),20)</f>
        <v>20</v>
      </c>
      <c r="Y55" s="152">
        <f ca="1">IFERROR(__xludf.DUMMYFUNCTION("IMPORTRANGE(""https://docs.google.com/spreadsheets/d/1T1PQvRODqOBZk8BRht_U031fIS1beLA0Ub2CEytj2q0/edit?usp=sharing"",""ฉะเชิงเทรา!J314"")"),20)</f>
        <v>20</v>
      </c>
      <c r="Z55" s="216">
        <f t="shared" ca="1" si="40"/>
        <v>100</v>
      </c>
      <c r="AA55" s="278" t="str">
        <f ca="1">IFERROR(__xludf.DUMMYFUNCTION("IMPORTRANGE(""https://docs.google.com/spreadsheets/d/1T1PQvRODqOBZk8BRht_U031fIS1beLA0Ub2CEytj2q0/edit?usp=sharing"",""ฉะเชิงเทรา!I315"")"),"")</f>
        <v/>
      </c>
      <c r="AB55" s="152" t="str">
        <f ca="1">IFERROR(__xludf.DUMMYFUNCTION("IMPORTRANGE(""https://docs.google.com/spreadsheets/d/1T1PQvRODqOBZk8BRht_U031fIS1beLA0Ub2CEytj2q0/edit?usp=sharing"",""ฉะเชิงเทรา!J315"")"),"")</f>
        <v/>
      </c>
      <c r="AC55" s="216" t="e">
        <f t="shared" ca="1" si="42"/>
        <v>#VALUE!</v>
      </c>
      <c r="AD55" s="278" t="str">
        <f ca="1">IFERROR(__xludf.DUMMYFUNCTION("IMPORTRANGE(""https://docs.google.com/spreadsheets/d/1T1PQvRODqOBZk8BRht_U031fIS1beLA0Ub2CEytj2q0/edit?usp=sharing"",""ฉะเชิงเทรา!I316"")"),"")</f>
        <v/>
      </c>
      <c r="AE55" s="152" t="str">
        <f ca="1">IFERROR(__xludf.DUMMYFUNCTION("IMPORTRANGE(""https://docs.google.com/spreadsheets/d/1T1PQvRODqOBZk8BRht_U031fIS1beLA0Ub2CEytj2q0/edit?usp=sharing"",""ฉะเชิงเทรา!J316"")"),"")</f>
        <v/>
      </c>
      <c r="AF55" s="216" t="e">
        <f t="shared" ca="1" si="44"/>
        <v>#VALUE!</v>
      </c>
      <c r="AG55" s="278" t="str">
        <f ca="1">IFERROR(__xludf.DUMMYFUNCTION("IMPORTRANGE(""https://docs.google.com/spreadsheets/d/1T1PQvRODqOBZk8BRht_U031fIS1beLA0Ub2CEytj2q0/edit?usp=sharing"",""ฉะเชิงเทรา!I317"")"),"")</f>
        <v/>
      </c>
      <c r="AH55" s="152" t="str">
        <f ca="1">IFERROR(__xludf.DUMMYFUNCTION("IMPORTRANGE(""https://docs.google.com/spreadsheets/d/1T1PQvRODqOBZk8BRht_U031fIS1beLA0Ub2CEytj2q0/edit?usp=sharing"",""ฉะเชิงเทรา!J317"")"),"")</f>
        <v/>
      </c>
      <c r="AI55" s="216" t="e">
        <f t="shared" ca="1" si="46"/>
        <v>#VALUE!</v>
      </c>
    </row>
    <row r="56" spans="1:35" ht="21" customHeight="1" x14ac:dyDescent="0.3">
      <c r="A56" s="70">
        <v>4</v>
      </c>
      <c r="B56" s="71" t="s">
        <v>84</v>
      </c>
      <c r="C56" s="149">
        <f t="shared" ca="1" si="28"/>
        <v>0</v>
      </c>
      <c r="D56" s="150">
        <f t="shared" ca="1" si="61"/>
        <v>0</v>
      </c>
      <c r="E56" s="151">
        <f ca="1">IFERROR(__xludf.DUMMYFUNCTION("IMPORTRANGE(""https://docs.google.com/spreadsheets/d/1-uDff_7J0KD5mKrp0Vvzr7lt3OU09vwQwhkpOPPYv2Y/edit?usp=sharing"",""งบพรบ!DZ56"")"),0)</f>
        <v>0</v>
      </c>
      <c r="F56" s="151">
        <f ca="1">IFERROR(__xludf.DUMMYFUNCTION("IMPORTRANGE(""https://docs.google.com/spreadsheets/d/1-uDff_7J0KD5mKrp0Vvzr7lt3OU09vwQwhkpOPPYv2Y/edit?usp=sharing"",""งบพรบ!EA56"")"),0)</f>
        <v>0</v>
      </c>
      <c r="G56" s="151">
        <f ca="1">IFERROR(__xludf.DUMMYFUNCTION("IMPORTRANGE(""https://docs.google.com/spreadsheets/d/1-uDff_7J0KD5mKrp0Vvzr7lt3OU09vwQwhkpOPPYv2Y/edit?usp=sharing"",""งบพรบ!EB56"")"),0)</f>
        <v>0</v>
      </c>
      <c r="H56" s="151">
        <f ca="1">IFERROR(__xludf.DUMMYFUNCTION("IMPORTRANGE(""https://docs.google.com/spreadsheets/d/1-uDff_7J0KD5mKrp0Vvzr7lt3OU09vwQwhkpOPPYv2Y/edit?usp=sharing"",""งบพรบ!ED56"")"),100560)</f>
        <v>100560</v>
      </c>
      <c r="I56" s="151">
        <f ca="1">IFERROR(__xludf.DUMMYFUNCTION("IMPORTRANGE(""https://docs.google.com/spreadsheets/d/1-uDff_7J0KD5mKrp0Vvzr7lt3OU09vwQwhkpOPPYv2Y/edit?usp=sharing"",""งบพรบ!EE56"")"),0)</f>
        <v>0</v>
      </c>
      <c r="J56" s="151">
        <f t="shared" ca="1" si="30"/>
        <v>67660</v>
      </c>
      <c r="K56" s="154">
        <f t="shared" ca="1" si="31"/>
        <v>0</v>
      </c>
      <c r="L56" s="151">
        <f ca="1">IFERROR(__xludf.DUMMYFUNCTION("IMPORTRANGE(""https://docs.google.com/spreadsheets/d/1-uDff_7J0KD5mKrp0Vvzr7lt3OU09vwQwhkpOPPYv2Y/edit?usp=sharing"",""งบพรบ!EF56"")"),67660)</f>
        <v>67660</v>
      </c>
      <c r="M56" s="68">
        <f t="shared" ca="1" si="32"/>
        <v>0</v>
      </c>
      <c r="N56" s="68">
        <f t="shared" ca="1" si="33"/>
        <v>67.283214001591091</v>
      </c>
      <c r="O56" s="67">
        <f ca="1">IFERROR(__xludf.DUMMYFUNCTION("IMPORTRANGE(""https://docs.google.com/spreadsheets/d/1-uDff_7J0KD5mKrp0Vvzr7lt3OU09vwQwhkpOPPYv2Y/edit?usp=sharing"",""งบพรบ!EG56"")"),0)</f>
        <v>0</v>
      </c>
      <c r="P56" s="67">
        <f t="shared" ca="1" si="34"/>
        <v>0</v>
      </c>
      <c r="Q56" s="68">
        <f t="shared" ca="1" si="35"/>
        <v>0</v>
      </c>
      <c r="R56" s="197">
        <f ca="1">IFERROR(__xludf.DUMMYFUNCTION("IMPORTRANGE(""https://docs.google.com/spreadsheets/d/11tr1B-Bhyr79v2bkwVh5h_fR-PStkgjlZtkrZpYurG0/edit?usp=sharing"",""ชลบุรี!Q303"")"),228095.39)</f>
        <v>228095.39</v>
      </c>
      <c r="S56" s="67">
        <f ca="1">IFERROR(__xludf.DUMMYFUNCTION("IMPORTRANGE(""https://docs.google.com/spreadsheets/d/11tr1B-Bhyr79v2bkwVh5h_fR-PStkgjlZtkrZpYurG0/edit?usp=sharing"",""ชลบุรี!R303"")"),232295)</f>
        <v>232295</v>
      </c>
      <c r="T56" s="67">
        <f ca="1">IFERROR(__xludf.DUMMYFUNCTION("IMPORTRANGE(""https://docs.google.com/spreadsheets/d/11tr1B-Bhyr79v2bkwVh5h_fR-PStkgjlZtkrZpYurG0/edit?usp=sharing"",""ชลบุรี!S303"")"),192025)</f>
        <v>192025</v>
      </c>
      <c r="U56" s="68">
        <f t="shared" ca="1" si="37"/>
        <v>84.186269612901853</v>
      </c>
      <c r="V56" s="68">
        <f t="shared" ca="1" si="38"/>
        <v>82.664284638067969</v>
      </c>
      <c r="W56" s="278" t="str">
        <f ca="1">IFERROR(__xludf.DUMMYFUNCTION("IMPORTRANGE(""https://docs.google.com/spreadsheets/d/11tr1B-Bhyr79v2bkwVh5h_fR-PStkgjlZtkrZpYurG0/edit?usp=sharing"",""ชลบุรี!J313"")"),"")</f>
        <v/>
      </c>
      <c r="X56" s="278">
        <f ca="1">IFERROR(__xludf.DUMMYFUNCTION("IMPORTRANGE(""https://docs.google.com/spreadsheets/d/11tr1B-Bhyr79v2bkwVh5h_fR-PStkgjlZtkrZpYurG0/edit?usp=sharing"",""ชลบุรี!I314"")"),25)</f>
        <v>25</v>
      </c>
      <c r="Y56" s="152">
        <f ca="1">IFERROR(__xludf.DUMMYFUNCTION("IMPORTRANGE(""https://docs.google.com/spreadsheets/d/11tr1B-Bhyr79v2bkwVh5h_fR-PStkgjlZtkrZpYurG0/edit?usp=sharing"",""ชลบุรี!J314"")"),25)</f>
        <v>25</v>
      </c>
      <c r="Z56" s="216">
        <f t="shared" ca="1" si="40"/>
        <v>100</v>
      </c>
      <c r="AA56" s="278" t="str">
        <f ca="1">IFERROR(__xludf.DUMMYFUNCTION("IMPORTRANGE(""https://docs.google.com/spreadsheets/d/11tr1B-Bhyr79v2bkwVh5h_fR-PStkgjlZtkrZpYurG0/edit?usp=sharing"",""ชลบุรี!I315"")"),"")</f>
        <v/>
      </c>
      <c r="AB56" s="152" t="str">
        <f ca="1">IFERROR(__xludf.DUMMYFUNCTION("IMPORTRANGE(""https://docs.google.com/spreadsheets/d/11tr1B-Bhyr79v2bkwVh5h_fR-PStkgjlZtkrZpYurG0/edit?usp=sharing"",""ชลบุรี!J315"")"),"")</f>
        <v/>
      </c>
      <c r="AC56" s="216" t="e">
        <f t="shared" ca="1" si="42"/>
        <v>#VALUE!</v>
      </c>
      <c r="AD56" s="278" t="str">
        <f ca="1">IFERROR(__xludf.DUMMYFUNCTION("IMPORTRANGE(""https://docs.google.com/spreadsheets/d/11tr1B-Bhyr79v2bkwVh5h_fR-PStkgjlZtkrZpYurG0/edit?usp=sharing"",""ชลบุรี!I316"")"),"")</f>
        <v/>
      </c>
      <c r="AE56" s="152" t="str">
        <f ca="1">IFERROR(__xludf.DUMMYFUNCTION("IMPORTRANGE(""https://docs.google.com/spreadsheets/d/11tr1B-Bhyr79v2bkwVh5h_fR-PStkgjlZtkrZpYurG0/edit?usp=sharing"",""ชลบุรี!J316"")"),"")</f>
        <v/>
      </c>
      <c r="AF56" s="216" t="e">
        <f t="shared" ca="1" si="44"/>
        <v>#VALUE!</v>
      </c>
      <c r="AG56" s="278" t="str">
        <f ca="1">IFERROR(__xludf.DUMMYFUNCTION("IMPORTRANGE(""https://docs.google.com/spreadsheets/d/11tr1B-Bhyr79v2bkwVh5h_fR-PStkgjlZtkrZpYurG0/edit?usp=sharing"",""ชลบุรี!I317"")"),"")</f>
        <v/>
      </c>
      <c r="AH56" s="152" t="str">
        <f ca="1">IFERROR(__xludf.DUMMYFUNCTION("IMPORTRANGE(""https://docs.google.com/spreadsheets/d/11tr1B-Bhyr79v2bkwVh5h_fR-PStkgjlZtkrZpYurG0/edit?usp=sharing"",""ชลบุรี!J317"")"),"")</f>
        <v/>
      </c>
      <c r="AI56" s="216" t="e">
        <f t="shared" ca="1" si="46"/>
        <v>#VALUE!</v>
      </c>
    </row>
    <row r="57" spans="1:35" ht="21" customHeight="1" x14ac:dyDescent="0.3">
      <c r="A57" s="70">
        <v>5</v>
      </c>
      <c r="B57" s="71" t="s">
        <v>85</v>
      </c>
      <c r="C57" s="149">
        <f t="shared" ca="1" si="28"/>
        <v>184200</v>
      </c>
      <c r="D57" s="150">
        <f t="shared" ca="1" si="61"/>
        <v>184200</v>
      </c>
      <c r="E57" s="151">
        <f ca="1">IFERROR(__xludf.DUMMYFUNCTION("IMPORTRANGE(""https://docs.google.com/spreadsheets/d/1-uDff_7J0KD5mKrp0Vvzr7lt3OU09vwQwhkpOPPYv2Y/edit?usp=sharing"",""งบพรบ!DZ57"")"),80300)</f>
        <v>80300</v>
      </c>
      <c r="F57" s="151">
        <f ca="1">IFERROR(__xludf.DUMMYFUNCTION("IMPORTRANGE(""https://docs.google.com/spreadsheets/d/1-uDff_7J0KD5mKrp0Vvzr7lt3OU09vwQwhkpOPPYv2Y/edit?usp=sharing"",""งบพรบ!EA57"")"),103900)</f>
        <v>103900</v>
      </c>
      <c r="G57" s="151">
        <f ca="1">IFERROR(__xludf.DUMMYFUNCTION("IMPORTRANGE(""https://docs.google.com/spreadsheets/d/1-uDff_7J0KD5mKrp0Vvzr7lt3OU09vwQwhkpOPPYv2Y/edit?usp=sharing"",""งบพรบ!EB57"")"),0)</f>
        <v>0</v>
      </c>
      <c r="H57" s="151">
        <f ca="1">IFERROR(__xludf.DUMMYFUNCTION("IMPORTRANGE(""https://docs.google.com/spreadsheets/d/1-uDff_7J0KD5mKrp0Vvzr7lt3OU09vwQwhkpOPPYv2Y/edit?usp=sharing"",""งบพรบ!ED57"")"),184200)</f>
        <v>184200</v>
      </c>
      <c r="I57" s="151">
        <f ca="1">IFERROR(__xludf.DUMMYFUNCTION("IMPORTRANGE(""https://docs.google.com/spreadsheets/d/1-uDff_7J0KD5mKrp0Vvzr7lt3OU09vwQwhkpOPPYv2Y/edit?usp=sharing"",""งบพรบ!EE57"")"),0)</f>
        <v>0</v>
      </c>
      <c r="J57" s="151">
        <f t="shared" ca="1" si="30"/>
        <v>166281</v>
      </c>
      <c r="K57" s="154">
        <f t="shared" ca="1" si="31"/>
        <v>90.27198697068404</v>
      </c>
      <c r="L57" s="151">
        <f ca="1">IFERROR(__xludf.DUMMYFUNCTION("IMPORTRANGE(""https://docs.google.com/spreadsheets/d/1-uDff_7J0KD5mKrp0Vvzr7lt3OU09vwQwhkpOPPYv2Y/edit?usp=sharing"",""งบพรบ!EF57"")"),166281)</f>
        <v>166281</v>
      </c>
      <c r="M57" s="68">
        <f t="shared" ca="1" si="32"/>
        <v>90.27198697068404</v>
      </c>
      <c r="N57" s="68">
        <f t="shared" ca="1" si="33"/>
        <v>90.27198697068404</v>
      </c>
      <c r="O57" s="67">
        <f ca="1">IFERROR(__xludf.DUMMYFUNCTION("IMPORTRANGE(""https://docs.google.com/spreadsheets/d/1-uDff_7J0KD5mKrp0Vvzr7lt3OU09vwQwhkpOPPYv2Y/edit?usp=sharing"",""งบพรบ!EG57"")"),0)</f>
        <v>0</v>
      </c>
      <c r="P57" s="67">
        <f t="shared" ca="1" si="34"/>
        <v>0</v>
      </c>
      <c r="Q57" s="68">
        <f t="shared" ca="1" si="35"/>
        <v>0</v>
      </c>
      <c r="R57" s="197">
        <f ca="1">IFERROR(__xludf.DUMMYFUNCTION("IMPORTRANGE(""https://docs.google.com/spreadsheets/d/1hh-FVnSX0vozXhGluamEcS54Dw9_zqW0N7qJUWgJ0Sw/edit?usp=sharing"",""ชัยนาท!Q303"")"),144609.24)</f>
        <v>144609.24</v>
      </c>
      <c r="S57" s="67">
        <f ca="1">IFERROR(__xludf.DUMMYFUNCTION("IMPORTRANGE(""https://docs.google.com/spreadsheets/d/1hh-FVnSX0vozXhGluamEcS54Dw9_zqW0N7qJUWgJ0Sw/edit?usp=sharing"",""ชัยนาท!R303"")"),148809)</f>
        <v>148809</v>
      </c>
      <c r="T57" s="67">
        <f ca="1">IFERROR(__xludf.DUMMYFUNCTION("IMPORTRANGE(""https://docs.google.com/spreadsheets/d/1hh-FVnSX0vozXhGluamEcS54Dw9_zqW0N7qJUWgJ0Sw/edit?usp=sharing"",""ชัยนาท!S303"")"),142710)</f>
        <v>142710</v>
      </c>
      <c r="U57" s="68">
        <f t="shared" ca="1" si="37"/>
        <v>98.686639940850256</v>
      </c>
      <c r="V57" s="68">
        <f t="shared" ca="1" si="38"/>
        <v>95.901457573130656</v>
      </c>
      <c r="W57" s="278" t="str">
        <f ca="1">IFERROR(__xludf.DUMMYFUNCTION("IMPORTRANGE(""https://docs.google.com/spreadsheets/d/1hh-FVnSX0vozXhGluamEcS54Dw9_zqW0N7qJUWgJ0Sw/edit?usp=sharing"",""ชัยนาท!J313"")"),"")</f>
        <v/>
      </c>
      <c r="X57" s="278">
        <f ca="1">IFERROR(__xludf.DUMMYFUNCTION("IMPORTRANGE(""https://docs.google.com/spreadsheets/d/1hh-FVnSX0vozXhGluamEcS54Dw9_zqW0N7qJUWgJ0Sw/edit?usp=sharing"",""ชัยนาท!I314"")"),20)</f>
        <v>20</v>
      </c>
      <c r="Y57" s="152">
        <f ca="1">IFERROR(__xludf.DUMMYFUNCTION("IMPORTRANGE(""https://docs.google.com/spreadsheets/d/1hh-FVnSX0vozXhGluamEcS54Dw9_zqW0N7qJUWgJ0Sw/edit?usp=sharing"",""ชัยนาท!J314"")"),20)</f>
        <v>20</v>
      </c>
      <c r="Z57" s="216">
        <f t="shared" ca="1" si="40"/>
        <v>100</v>
      </c>
      <c r="AA57" s="278" t="str">
        <f ca="1">IFERROR(__xludf.DUMMYFUNCTION("IMPORTRANGE(""https://docs.google.com/spreadsheets/d/1hh-FVnSX0vozXhGluamEcS54Dw9_zqW0N7qJUWgJ0Sw/edit?usp=sharing"",""ชัยนาท!I315"")"),"")</f>
        <v/>
      </c>
      <c r="AB57" s="152" t="str">
        <f ca="1">IFERROR(__xludf.DUMMYFUNCTION("IMPORTRANGE(""https://docs.google.com/spreadsheets/d/1hh-FVnSX0vozXhGluamEcS54Dw9_zqW0N7qJUWgJ0Sw/edit?usp=sharing"",""ชัยนาท!J315"")"),"")</f>
        <v/>
      </c>
      <c r="AC57" s="216" t="e">
        <f t="shared" ca="1" si="42"/>
        <v>#VALUE!</v>
      </c>
      <c r="AD57" s="278" t="str">
        <f ca="1">IFERROR(__xludf.DUMMYFUNCTION("IMPORTRANGE(""https://docs.google.com/spreadsheets/d/1hh-FVnSX0vozXhGluamEcS54Dw9_zqW0N7qJUWgJ0Sw/edit?usp=sharing"",""ชัยนาท!I316"")"),"")</f>
        <v/>
      </c>
      <c r="AE57" s="152" t="str">
        <f ca="1">IFERROR(__xludf.DUMMYFUNCTION("IMPORTRANGE(""https://docs.google.com/spreadsheets/d/1hh-FVnSX0vozXhGluamEcS54Dw9_zqW0N7qJUWgJ0Sw/edit?usp=sharing"",""ชัยนาท!J316"")"),"")</f>
        <v/>
      </c>
      <c r="AF57" s="216" t="e">
        <f t="shared" ca="1" si="44"/>
        <v>#VALUE!</v>
      </c>
      <c r="AG57" s="278" t="str">
        <f ca="1">IFERROR(__xludf.DUMMYFUNCTION("IMPORTRANGE(""https://docs.google.com/spreadsheets/d/1hh-FVnSX0vozXhGluamEcS54Dw9_zqW0N7qJUWgJ0Sw/edit?usp=sharing"",""ชัยนาท!I317"")"),"")</f>
        <v/>
      </c>
      <c r="AH57" s="152" t="str">
        <f ca="1">IFERROR(__xludf.DUMMYFUNCTION("IMPORTRANGE(""https://docs.google.com/spreadsheets/d/1hh-FVnSX0vozXhGluamEcS54Dw9_zqW0N7qJUWgJ0Sw/edit?usp=sharing"",""ชัยนาท!J317"")"),"")</f>
        <v/>
      </c>
      <c r="AI57" s="216" t="e">
        <f t="shared" ca="1" si="46"/>
        <v>#VALUE!</v>
      </c>
    </row>
    <row r="58" spans="1:35" ht="21" customHeight="1" x14ac:dyDescent="0.3">
      <c r="A58" s="70">
        <v>6</v>
      </c>
      <c r="B58" s="71" t="s">
        <v>86</v>
      </c>
      <c r="C58" s="149">
        <f t="shared" ca="1" si="28"/>
        <v>0</v>
      </c>
      <c r="D58" s="150">
        <f t="shared" ca="1" si="61"/>
        <v>0</v>
      </c>
      <c r="E58" s="151">
        <f ca="1">IFERROR(__xludf.DUMMYFUNCTION("IMPORTRANGE(""https://docs.google.com/spreadsheets/d/1-uDff_7J0KD5mKrp0Vvzr7lt3OU09vwQwhkpOPPYv2Y/edit?usp=sharing"",""งบพรบ!DZ58"")"),0)</f>
        <v>0</v>
      </c>
      <c r="F58" s="151">
        <f ca="1">IFERROR(__xludf.DUMMYFUNCTION("IMPORTRANGE(""https://docs.google.com/spreadsheets/d/1-uDff_7J0KD5mKrp0Vvzr7lt3OU09vwQwhkpOPPYv2Y/edit?usp=sharing"",""งบพรบ!EA58"")"),0)</f>
        <v>0</v>
      </c>
      <c r="G58" s="151">
        <f ca="1">IFERROR(__xludf.DUMMYFUNCTION("IMPORTRANGE(""https://docs.google.com/spreadsheets/d/1-uDff_7J0KD5mKrp0Vvzr7lt3OU09vwQwhkpOPPYv2Y/edit?usp=sharing"",""งบพรบ!EB58"")"),0)</f>
        <v>0</v>
      </c>
      <c r="H58" s="151">
        <f ca="1">IFERROR(__xludf.DUMMYFUNCTION("IMPORTRANGE(""https://docs.google.com/spreadsheets/d/1-uDff_7J0KD5mKrp0Vvzr7lt3OU09vwQwhkpOPPYv2Y/edit?usp=sharing"",""งบพรบ!ED58"")"),0)</f>
        <v>0</v>
      </c>
      <c r="I58" s="151">
        <f ca="1">IFERROR(__xludf.DUMMYFUNCTION("IMPORTRANGE(""https://docs.google.com/spreadsheets/d/1-uDff_7J0KD5mKrp0Vvzr7lt3OU09vwQwhkpOPPYv2Y/edit?usp=sharing"",""งบพรบ!EE58"")"),0)</f>
        <v>0</v>
      </c>
      <c r="J58" s="151">
        <f t="shared" ca="1" si="30"/>
        <v>0</v>
      </c>
      <c r="K58" s="154">
        <f t="shared" ca="1" si="31"/>
        <v>0</v>
      </c>
      <c r="L58" s="151">
        <f ca="1">IFERROR(__xludf.DUMMYFUNCTION("IMPORTRANGE(""https://docs.google.com/spreadsheets/d/1-uDff_7J0KD5mKrp0Vvzr7lt3OU09vwQwhkpOPPYv2Y/edit?usp=sharing"",""งบพรบ!EF58"")"),0)</f>
        <v>0</v>
      </c>
      <c r="M58" s="68">
        <f t="shared" ca="1" si="32"/>
        <v>0</v>
      </c>
      <c r="N58" s="68">
        <f t="shared" ca="1" si="33"/>
        <v>0</v>
      </c>
      <c r="O58" s="67">
        <f ca="1">IFERROR(__xludf.DUMMYFUNCTION("IMPORTRANGE(""https://docs.google.com/spreadsheets/d/1-uDff_7J0KD5mKrp0Vvzr7lt3OU09vwQwhkpOPPYv2Y/edit?usp=sharing"",""งบพรบ!EG58"")"),0)</f>
        <v>0</v>
      </c>
      <c r="P58" s="67">
        <f t="shared" ca="1" si="34"/>
        <v>0</v>
      </c>
      <c r="Q58" s="68">
        <f t="shared" ca="1" si="35"/>
        <v>0</v>
      </c>
      <c r="R58" s="197">
        <f ca="1">IFERROR(__xludf.DUMMYFUNCTION("IMPORTRANGE(""https://docs.google.com/spreadsheets/d/1jkqa6GXxSacMcY1eN8AHjMNJ_7dDXMJVRLDlaFSOdPM/edit?usp=sharing"",""ตราด!Q303"")"),0)</f>
        <v>0</v>
      </c>
      <c r="S58" s="67">
        <f ca="1">IFERROR(__xludf.DUMMYFUNCTION("IMPORTRANGE(""https://docs.google.com/spreadsheets/d/1jkqa6GXxSacMcY1eN8AHjMNJ_7dDXMJVRLDlaFSOdPM/edit?usp=sharing"",""ตราด!R303"")"),0)</f>
        <v>0</v>
      </c>
      <c r="T58" s="67">
        <f ca="1">IFERROR(__xludf.DUMMYFUNCTION("IMPORTRANGE(""https://docs.google.com/spreadsheets/d/1jkqa6GXxSacMcY1eN8AHjMNJ_7dDXMJVRLDlaFSOdPM/edit?usp=sharing"",""ตราด!S303"")"),0)</f>
        <v>0</v>
      </c>
      <c r="U58" s="68">
        <f t="shared" ca="1" si="37"/>
        <v>0</v>
      </c>
      <c r="V58" s="68">
        <f t="shared" ca="1" si="38"/>
        <v>0</v>
      </c>
      <c r="W58" s="278" t="str">
        <f ca="1">IFERROR(__xludf.DUMMYFUNCTION("IMPORTRANGE(""https://docs.google.com/spreadsheets/d/1jkqa6GXxSacMcY1eN8AHjMNJ_7dDXMJVRLDlaFSOdPM/edit?usp=sharing"",""ตราด!J313"")"),"")</f>
        <v/>
      </c>
      <c r="X58" s="278">
        <f ca="1">IFERROR(__xludf.DUMMYFUNCTION("IMPORTRANGE(""https://docs.google.com/spreadsheets/d/1jkqa6GXxSacMcY1eN8AHjMNJ_7dDXMJVRLDlaFSOdPM/edit?usp=sharing"",""ตราด!I314"")"),0)</f>
        <v>0</v>
      </c>
      <c r="Y58" s="152">
        <f ca="1">IFERROR(__xludf.DUMMYFUNCTION("IMPORTRANGE(""https://docs.google.com/spreadsheets/d/1jkqa6GXxSacMcY1eN8AHjMNJ_7dDXMJVRLDlaFSOdPM/edit?usp=sharing"",""ตราด!J314"")"),0)</f>
        <v>0</v>
      </c>
      <c r="Z58" s="216">
        <f t="shared" ca="1" si="40"/>
        <v>0</v>
      </c>
      <c r="AA58" s="278" t="str">
        <f ca="1">IFERROR(__xludf.DUMMYFUNCTION("IMPORTRANGE(""https://docs.google.com/spreadsheets/d/1jkqa6GXxSacMcY1eN8AHjMNJ_7dDXMJVRLDlaFSOdPM/edit?usp=sharing"",""ตราด!I315"")"),"")</f>
        <v/>
      </c>
      <c r="AB58" s="152" t="str">
        <f ca="1">IFERROR(__xludf.DUMMYFUNCTION("IMPORTRANGE(""https://docs.google.com/spreadsheets/d/1jkqa6GXxSacMcY1eN8AHjMNJ_7dDXMJVRLDlaFSOdPM/edit?usp=sharing"",""ตราด!J315"")"),"")</f>
        <v/>
      </c>
      <c r="AC58" s="216">
        <f t="shared" ca="1" si="42"/>
        <v>0</v>
      </c>
      <c r="AD58" s="278" t="str">
        <f ca="1">IFERROR(__xludf.DUMMYFUNCTION("IMPORTRANGE(""https://docs.google.com/spreadsheets/d/1jkqa6GXxSacMcY1eN8AHjMNJ_7dDXMJVRLDlaFSOdPM/edit?usp=sharing"",""ตราด!I316"")"),"")</f>
        <v/>
      </c>
      <c r="AE58" s="152" t="str">
        <f ca="1">IFERROR(__xludf.DUMMYFUNCTION("IMPORTRANGE(""https://docs.google.com/spreadsheets/d/1jkqa6GXxSacMcY1eN8AHjMNJ_7dDXMJVRLDlaFSOdPM/edit?usp=sharing"",""ตราด!J316"")"),"")</f>
        <v/>
      </c>
      <c r="AF58" s="216" t="e">
        <f t="shared" ca="1" si="44"/>
        <v>#VALUE!</v>
      </c>
      <c r="AG58" s="278" t="str">
        <f ca="1">IFERROR(__xludf.DUMMYFUNCTION("IMPORTRANGE(""https://docs.google.com/spreadsheets/d/1jkqa6GXxSacMcY1eN8AHjMNJ_7dDXMJVRLDlaFSOdPM/edit?usp=sharing"",""ตราด!I317"")"),"")</f>
        <v/>
      </c>
      <c r="AH58" s="152" t="str">
        <f ca="1">IFERROR(__xludf.DUMMYFUNCTION("IMPORTRANGE(""https://docs.google.com/spreadsheets/d/1jkqa6GXxSacMcY1eN8AHjMNJ_7dDXMJVRLDlaFSOdPM/edit?usp=sharing"",""ตราด!J317"")"),"")</f>
        <v/>
      </c>
      <c r="AI58" s="216" t="e">
        <f t="shared" ca="1" si="46"/>
        <v>#VALUE!</v>
      </c>
    </row>
    <row r="59" spans="1:35" ht="21" customHeight="1" x14ac:dyDescent="0.3">
      <c r="A59" s="70">
        <v>7</v>
      </c>
      <c r="B59" s="71" t="s">
        <v>87</v>
      </c>
      <c r="C59" s="149">
        <f t="shared" ca="1" si="28"/>
        <v>242775</v>
      </c>
      <c r="D59" s="150">
        <f t="shared" ca="1" si="61"/>
        <v>242775</v>
      </c>
      <c r="E59" s="151">
        <f ca="1">IFERROR(__xludf.DUMMYFUNCTION("IMPORTRANGE(""https://docs.google.com/spreadsheets/d/1-uDff_7J0KD5mKrp0Vvzr7lt3OU09vwQwhkpOPPYv2Y/edit?usp=sharing"",""งบพรบ!DZ59"")"),160600)</f>
        <v>160600</v>
      </c>
      <c r="F59" s="151">
        <f ca="1">IFERROR(__xludf.DUMMYFUNCTION("IMPORTRANGE(""https://docs.google.com/spreadsheets/d/1-uDff_7J0KD5mKrp0Vvzr7lt3OU09vwQwhkpOPPYv2Y/edit?usp=sharing"",""งบพรบ!EA59"")"),82175)</f>
        <v>82175</v>
      </c>
      <c r="G59" s="151">
        <f ca="1">IFERROR(__xludf.DUMMYFUNCTION("IMPORTRANGE(""https://docs.google.com/spreadsheets/d/1-uDff_7J0KD5mKrp0Vvzr7lt3OU09vwQwhkpOPPYv2Y/edit?usp=sharing"",""งบพรบ!EB59"")"),0)</f>
        <v>0</v>
      </c>
      <c r="H59" s="151">
        <f ca="1">IFERROR(__xludf.DUMMYFUNCTION("IMPORTRANGE(""https://docs.google.com/spreadsheets/d/1-uDff_7J0KD5mKrp0Vvzr7lt3OU09vwQwhkpOPPYv2Y/edit?usp=sharing"",""งบพรบ!ED59"")"),242775)</f>
        <v>242775</v>
      </c>
      <c r="I59" s="151">
        <f ca="1">IFERROR(__xludf.DUMMYFUNCTION("IMPORTRANGE(""https://docs.google.com/spreadsheets/d/1-uDff_7J0KD5mKrp0Vvzr7lt3OU09vwQwhkpOPPYv2Y/edit?usp=sharing"",""งบพรบ!EE59"")"),0)</f>
        <v>0</v>
      </c>
      <c r="J59" s="151">
        <f t="shared" ca="1" si="30"/>
        <v>181700</v>
      </c>
      <c r="K59" s="154">
        <f t="shared" ca="1" si="31"/>
        <v>74.842961589949539</v>
      </c>
      <c r="L59" s="151">
        <f ca="1">IFERROR(__xludf.DUMMYFUNCTION("IMPORTRANGE(""https://docs.google.com/spreadsheets/d/1-uDff_7J0KD5mKrp0Vvzr7lt3OU09vwQwhkpOPPYv2Y/edit?usp=sharing"",""งบพรบ!EF59"")"),181700)</f>
        <v>181700</v>
      </c>
      <c r="M59" s="68">
        <f t="shared" ca="1" si="32"/>
        <v>74.842961589949539</v>
      </c>
      <c r="N59" s="68">
        <f t="shared" ca="1" si="33"/>
        <v>74.842961589949539</v>
      </c>
      <c r="O59" s="67">
        <f ca="1">IFERROR(__xludf.DUMMYFUNCTION("IMPORTRANGE(""https://docs.google.com/spreadsheets/d/1-uDff_7J0KD5mKrp0Vvzr7lt3OU09vwQwhkpOPPYv2Y/edit?usp=sharing"",""งบพรบ!EG59"")"),0)</f>
        <v>0</v>
      </c>
      <c r="P59" s="67">
        <f t="shared" ca="1" si="34"/>
        <v>0</v>
      </c>
      <c r="Q59" s="68">
        <f t="shared" ca="1" si="35"/>
        <v>0</v>
      </c>
      <c r="R59" s="197">
        <f ca="1">IFERROR(__xludf.DUMMYFUNCTION("IMPORTRANGE(""https://docs.google.com/spreadsheets/d/18hSgUJ3VwClqi_qtULmmW3cLr0oe3OKaSYoKzdpTsYQ/edit?usp=sharing"",""นครนายก!Q303"")"),123161.24)</f>
        <v>123161.24</v>
      </c>
      <c r="S59" s="67">
        <f ca="1">IFERROR(__xludf.DUMMYFUNCTION("IMPORTRANGE(""https://docs.google.com/spreadsheets/d/18hSgUJ3VwClqi_qtULmmW3cLr0oe3OKaSYoKzdpTsYQ/edit?usp=sharing"",""นครนายก!R303"")"),127361)</f>
        <v>127361</v>
      </c>
      <c r="T59" s="67">
        <f ca="1">IFERROR(__xludf.DUMMYFUNCTION("IMPORTRANGE(""https://docs.google.com/spreadsheets/d/18hSgUJ3VwClqi_qtULmmW3cLr0oe3OKaSYoKzdpTsYQ/edit?usp=sharing"",""นครนายก!S303"")"),38261)</f>
        <v>38261</v>
      </c>
      <c r="U59" s="68">
        <f t="shared" ca="1" si="37"/>
        <v>31.065780110690667</v>
      </c>
      <c r="V59" s="68">
        <f t="shared" ca="1" si="38"/>
        <v>30.041378443950659</v>
      </c>
      <c r="W59" s="278" t="str">
        <f ca="1">IFERROR(__xludf.DUMMYFUNCTION("IMPORTRANGE(""https://docs.google.com/spreadsheets/d/18hSgUJ3VwClqi_qtULmmW3cLr0oe3OKaSYoKzdpTsYQ/edit?usp=sharing"",""นครนายก!J313"")"),"")</f>
        <v/>
      </c>
      <c r="X59" s="278">
        <f ca="1">IFERROR(__xludf.DUMMYFUNCTION("IMPORTRANGE(""https://docs.google.com/spreadsheets/d/18hSgUJ3VwClqi_qtULmmW3cLr0oe3OKaSYoKzdpTsYQ/edit?usp=sharing"",""นครนายก!I314"")"),15)</f>
        <v>15</v>
      </c>
      <c r="Y59" s="152">
        <f ca="1">IFERROR(__xludf.DUMMYFUNCTION("IMPORTRANGE(""https://docs.google.com/spreadsheets/d/18hSgUJ3VwClqi_qtULmmW3cLr0oe3OKaSYoKzdpTsYQ/edit?usp=sharing"",""นครนายก!J314"")"),15)</f>
        <v>15</v>
      </c>
      <c r="Z59" s="216">
        <f t="shared" ca="1" si="40"/>
        <v>100</v>
      </c>
      <c r="AA59" s="278" t="str">
        <f ca="1">IFERROR(__xludf.DUMMYFUNCTION("IMPORTRANGE(""https://docs.google.com/spreadsheets/d/18hSgUJ3VwClqi_qtULmmW3cLr0oe3OKaSYoKzdpTsYQ/edit?usp=sharing"",""นครนายก!I315"")"),"")</f>
        <v/>
      </c>
      <c r="AB59" s="152" t="str">
        <f ca="1">IFERROR(__xludf.DUMMYFUNCTION("IMPORTRANGE(""https://docs.google.com/spreadsheets/d/18hSgUJ3VwClqi_qtULmmW3cLr0oe3OKaSYoKzdpTsYQ/edit?usp=sharing"",""นครนายก!J315"")"),"")</f>
        <v/>
      </c>
      <c r="AC59" s="216" t="e">
        <f t="shared" ca="1" si="42"/>
        <v>#VALUE!</v>
      </c>
      <c r="AD59" s="278" t="str">
        <f ca="1">IFERROR(__xludf.DUMMYFUNCTION("IMPORTRANGE(""https://docs.google.com/spreadsheets/d/18hSgUJ3VwClqi_qtULmmW3cLr0oe3OKaSYoKzdpTsYQ/edit?usp=sharing"",""นครนายก!I316"")"),"")</f>
        <v/>
      </c>
      <c r="AE59" s="152" t="str">
        <f ca="1">IFERROR(__xludf.DUMMYFUNCTION("IMPORTRANGE(""https://docs.google.com/spreadsheets/d/18hSgUJ3VwClqi_qtULmmW3cLr0oe3OKaSYoKzdpTsYQ/edit?usp=sharing"",""นครนายก!J316"")"),"")</f>
        <v/>
      </c>
      <c r="AF59" s="216" t="e">
        <f t="shared" ca="1" si="44"/>
        <v>#VALUE!</v>
      </c>
      <c r="AG59" s="278" t="str">
        <f ca="1">IFERROR(__xludf.DUMMYFUNCTION("IMPORTRANGE(""https://docs.google.com/spreadsheets/d/18hSgUJ3VwClqi_qtULmmW3cLr0oe3OKaSYoKzdpTsYQ/edit?usp=sharing"",""นครนายก!I317"")"),"")</f>
        <v/>
      </c>
      <c r="AH59" s="152" t="str">
        <f ca="1">IFERROR(__xludf.DUMMYFUNCTION("IMPORTRANGE(""https://docs.google.com/spreadsheets/d/18hSgUJ3VwClqi_qtULmmW3cLr0oe3OKaSYoKzdpTsYQ/edit?usp=sharing"",""นครนายก!J317"")"),"")</f>
        <v/>
      </c>
      <c r="AI59" s="216" t="e">
        <f t="shared" ca="1" si="46"/>
        <v>#VALUE!</v>
      </c>
    </row>
    <row r="60" spans="1:35" ht="21" customHeight="1" x14ac:dyDescent="0.3">
      <c r="A60" s="70">
        <v>8</v>
      </c>
      <c r="B60" s="71" t="s">
        <v>88</v>
      </c>
      <c r="C60" s="149">
        <f t="shared" ca="1" si="28"/>
        <v>0</v>
      </c>
      <c r="D60" s="150">
        <f t="shared" ca="1" si="61"/>
        <v>0</v>
      </c>
      <c r="E60" s="151">
        <f ca="1">IFERROR(__xludf.DUMMYFUNCTION("IMPORTRANGE(""https://docs.google.com/spreadsheets/d/1-uDff_7J0KD5mKrp0Vvzr7lt3OU09vwQwhkpOPPYv2Y/edit?usp=sharing"",""งบพรบ!DZ60"")"),0)</f>
        <v>0</v>
      </c>
      <c r="F60" s="151">
        <f ca="1">IFERROR(__xludf.DUMMYFUNCTION("IMPORTRANGE(""https://docs.google.com/spreadsheets/d/1-uDff_7J0KD5mKrp0Vvzr7lt3OU09vwQwhkpOPPYv2Y/edit?usp=sharing"",""งบพรบ!EA60"")"),0)</f>
        <v>0</v>
      </c>
      <c r="G60" s="151">
        <f ca="1">IFERROR(__xludf.DUMMYFUNCTION("IMPORTRANGE(""https://docs.google.com/spreadsheets/d/1-uDff_7J0KD5mKrp0Vvzr7lt3OU09vwQwhkpOPPYv2Y/edit?usp=sharing"",""งบพรบ!EB60"")"),0)</f>
        <v>0</v>
      </c>
      <c r="H60" s="151">
        <f ca="1">IFERROR(__xludf.DUMMYFUNCTION("IMPORTRANGE(""https://docs.google.com/spreadsheets/d/1-uDff_7J0KD5mKrp0Vvzr7lt3OU09vwQwhkpOPPYv2Y/edit?usp=sharing"",""งบพรบ!ED60"")"),0)</f>
        <v>0</v>
      </c>
      <c r="I60" s="151">
        <f ca="1">IFERROR(__xludf.DUMMYFUNCTION("IMPORTRANGE(""https://docs.google.com/spreadsheets/d/1-uDff_7J0KD5mKrp0Vvzr7lt3OU09vwQwhkpOPPYv2Y/edit?usp=sharing"",""งบพรบ!EE60"")"),0)</f>
        <v>0</v>
      </c>
      <c r="J60" s="151">
        <f t="shared" ca="1" si="30"/>
        <v>0</v>
      </c>
      <c r="K60" s="154">
        <f t="shared" ca="1" si="31"/>
        <v>0</v>
      </c>
      <c r="L60" s="151">
        <f ca="1">IFERROR(__xludf.DUMMYFUNCTION("IMPORTRANGE(""https://docs.google.com/spreadsheets/d/1-uDff_7J0KD5mKrp0Vvzr7lt3OU09vwQwhkpOPPYv2Y/edit?usp=sharing"",""งบพรบ!EF60"")"),0)</f>
        <v>0</v>
      </c>
      <c r="M60" s="68">
        <f t="shared" ca="1" si="32"/>
        <v>0</v>
      </c>
      <c r="N60" s="68">
        <f t="shared" ca="1" si="33"/>
        <v>0</v>
      </c>
      <c r="O60" s="67">
        <f ca="1">IFERROR(__xludf.DUMMYFUNCTION("IMPORTRANGE(""https://docs.google.com/spreadsheets/d/1-uDff_7J0KD5mKrp0Vvzr7lt3OU09vwQwhkpOPPYv2Y/edit?usp=sharing"",""งบพรบ!EG60"")"),0)</f>
        <v>0</v>
      </c>
      <c r="P60" s="67">
        <f t="shared" ca="1" si="34"/>
        <v>0</v>
      </c>
      <c r="Q60" s="68">
        <f t="shared" ca="1" si="35"/>
        <v>0</v>
      </c>
      <c r="R60" s="197">
        <f ca="1">IFERROR(__xludf.DUMMYFUNCTION("IMPORTRANGE(""https://docs.google.com/spreadsheets/d/1YTZo6WM2dQ6Ix6FSdnL5P7uVnVKu40sxZu975tgG10E/edit?usp=sharing"",""นครปฐม!Q303"")"),0)</f>
        <v>0</v>
      </c>
      <c r="S60" s="67">
        <f ca="1">IFERROR(__xludf.DUMMYFUNCTION("IMPORTRANGE(""https://docs.google.com/spreadsheets/d/1YTZo6WM2dQ6Ix6FSdnL5P7uVnVKu40sxZu975tgG10E/edit?usp=sharing"",""นครปฐม!R303"")"),0)</f>
        <v>0</v>
      </c>
      <c r="T60" s="67">
        <f ca="1">IFERROR(__xludf.DUMMYFUNCTION("IMPORTRANGE(""https://docs.google.com/spreadsheets/d/1YTZo6WM2dQ6Ix6FSdnL5P7uVnVKu40sxZu975tgG10E/edit?usp=sharing"",""นครปฐม!S303"")"),0)</f>
        <v>0</v>
      </c>
      <c r="U60" s="68">
        <f t="shared" ca="1" si="37"/>
        <v>0</v>
      </c>
      <c r="V60" s="68">
        <f t="shared" ca="1" si="38"/>
        <v>0</v>
      </c>
      <c r="W60" s="278" t="str">
        <f ca="1">IFERROR(__xludf.DUMMYFUNCTION("IMPORTRANGE(""https://docs.google.com/spreadsheets/d/1YTZo6WM2dQ6Ix6FSdnL5P7uVnVKu40sxZu975tgG10E/edit?usp=sharing"",""นครปฐม!J313"")"),"")</f>
        <v/>
      </c>
      <c r="X60" s="278">
        <f ca="1">IFERROR(__xludf.DUMMYFUNCTION("IMPORTRANGE(""https://docs.google.com/spreadsheets/d/1YTZo6WM2dQ6Ix6FSdnL5P7uVnVKu40sxZu975tgG10E/edit?usp=sharing"",""นครปฐม!I314"")"),0)</f>
        <v>0</v>
      </c>
      <c r="Y60" s="152">
        <f ca="1">IFERROR(__xludf.DUMMYFUNCTION("IMPORTRANGE(""https://docs.google.com/spreadsheets/d/1YTZo6WM2dQ6Ix6FSdnL5P7uVnVKu40sxZu975tgG10E/edit?usp=sharing"",""นครปฐม!J314"")"),0)</f>
        <v>0</v>
      </c>
      <c r="Z60" s="216">
        <f t="shared" ca="1" si="40"/>
        <v>0</v>
      </c>
      <c r="AA60" s="278" t="str">
        <f ca="1">IFERROR(__xludf.DUMMYFUNCTION("IMPORTRANGE(""https://docs.google.com/spreadsheets/d/1YTZo6WM2dQ6Ix6FSdnL5P7uVnVKu40sxZu975tgG10E/edit?usp=sharing"",""นครปฐม!I315"")"),"")</f>
        <v/>
      </c>
      <c r="AB60" s="152" t="str">
        <f ca="1">IFERROR(__xludf.DUMMYFUNCTION("IMPORTRANGE(""https://docs.google.com/spreadsheets/d/1YTZo6WM2dQ6Ix6FSdnL5P7uVnVKu40sxZu975tgG10E/edit?usp=sharing"",""นครปฐม!J315"")"),"")</f>
        <v/>
      </c>
      <c r="AC60" s="216">
        <f t="shared" ca="1" si="42"/>
        <v>0</v>
      </c>
      <c r="AD60" s="278" t="str">
        <f ca="1">IFERROR(__xludf.DUMMYFUNCTION("IMPORTRANGE(""https://docs.google.com/spreadsheets/d/1YTZo6WM2dQ6Ix6FSdnL5P7uVnVKu40sxZu975tgG10E/edit?usp=sharing"",""นครปฐม!I316"")"),"")</f>
        <v/>
      </c>
      <c r="AE60" s="152" t="str">
        <f ca="1">IFERROR(__xludf.DUMMYFUNCTION("IMPORTRANGE(""https://docs.google.com/spreadsheets/d/1YTZo6WM2dQ6Ix6FSdnL5P7uVnVKu40sxZu975tgG10E/edit?usp=sharing"",""นครปฐม!J316"")"),"")</f>
        <v/>
      </c>
      <c r="AF60" s="216" t="e">
        <f t="shared" ca="1" si="44"/>
        <v>#VALUE!</v>
      </c>
      <c r="AG60" s="278" t="str">
        <f ca="1">IFERROR(__xludf.DUMMYFUNCTION("IMPORTRANGE(""https://docs.google.com/spreadsheets/d/1YTZo6WM2dQ6Ix6FSdnL5P7uVnVKu40sxZu975tgG10E/edit?usp=sharing"",""นครปฐม!I317"")"),"")</f>
        <v/>
      </c>
      <c r="AH60" s="152" t="str">
        <f ca="1">IFERROR(__xludf.DUMMYFUNCTION("IMPORTRANGE(""https://docs.google.com/spreadsheets/d/1YTZo6WM2dQ6Ix6FSdnL5P7uVnVKu40sxZu975tgG10E/edit?usp=sharing"",""นครปฐม!J317"")"),"")</f>
        <v/>
      </c>
      <c r="AI60" s="216" t="e">
        <f t="shared" ca="1" si="46"/>
        <v>#VALUE!</v>
      </c>
    </row>
    <row r="61" spans="1:35" ht="21" customHeight="1" x14ac:dyDescent="0.3">
      <c r="A61" s="70">
        <v>9</v>
      </c>
      <c r="B61" s="71" t="s">
        <v>89</v>
      </c>
      <c r="C61" s="149">
        <f t="shared" ca="1" si="28"/>
        <v>0</v>
      </c>
      <c r="D61" s="150">
        <f t="shared" ca="1" si="61"/>
        <v>0</v>
      </c>
      <c r="E61" s="151">
        <f ca="1">IFERROR(__xludf.DUMMYFUNCTION("IMPORTRANGE(""https://docs.google.com/spreadsheets/d/1-uDff_7J0KD5mKrp0Vvzr7lt3OU09vwQwhkpOPPYv2Y/edit?usp=sharing"",""งบพรบ!DZ61"")"),0)</f>
        <v>0</v>
      </c>
      <c r="F61" s="151">
        <f ca="1">IFERROR(__xludf.DUMMYFUNCTION("IMPORTRANGE(""https://docs.google.com/spreadsheets/d/1-uDff_7J0KD5mKrp0Vvzr7lt3OU09vwQwhkpOPPYv2Y/edit?usp=sharing"",""งบพรบ!EA61"")"),0)</f>
        <v>0</v>
      </c>
      <c r="G61" s="151">
        <f ca="1">IFERROR(__xludf.DUMMYFUNCTION("IMPORTRANGE(""https://docs.google.com/spreadsheets/d/1-uDff_7J0KD5mKrp0Vvzr7lt3OU09vwQwhkpOPPYv2Y/edit?usp=sharing"",""งบพรบ!EB61"")"),0)</f>
        <v>0</v>
      </c>
      <c r="H61" s="151">
        <f ca="1">IFERROR(__xludf.DUMMYFUNCTION("IMPORTRANGE(""https://docs.google.com/spreadsheets/d/1-uDff_7J0KD5mKrp0Vvzr7lt3OU09vwQwhkpOPPYv2Y/edit?usp=sharing"",""งบพรบ!ED61"")"),0)</f>
        <v>0</v>
      </c>
      <c r="I61" s="151">
        <f ca="1">IFERROR(__xludf.DUMMYFUNCTION("IMPORTRANGE(""https://docs.google.com/spreadsheets/d/1-uDff_7J0KD5mKrp0Vvzr7lt3OU09vwQwhkpOPPYv2Y/edit?usp=sharing"",""งบพรบ!EE61"")"),0)</f>
        <v>0</v>
      </c>
      <c r="J61" s="151">
        <f t="shared" ca="1" si="30"/>
        <v>0</v>
      </c>
      <c r="K61" s="154">
        <f t="shared" ca="1" si="31"/>
        <v>0</v>
      </c>
      <c r="L61" s="151">
        <f ca="1">IFERROR(__xludf.DUMMYFUNCTION("IMPORTRANGE(""https://docs.google.com/spreadsheets/d/1-uDff_7J0KD5mKrp0Vvzr7lt3OU09vwQwhkpOPPYv2Y/edit?usp=sharing"",""งบพรบ!EF61"")"),0)</f>
        <v>0</v>
      </c>
      <c r="M61" s="68">
        <f t="shared" ca="1" si="32"/>
        <v>0</v>
      </c>
      <c r="N61" s="68">
        <f t="shared" ca="1" si="33"/>
        <v>0</v>
      </c>
      <c r="O61" s="67">
        <f ca="1">IFERROR(__xludf.DUMMYFUNCTION("IMPORTRANGE(""https://docs.google.com/spreadsheets/d/1-uDff_7J0KD5mKrp0Vvzr7lt3OU09vwQwhkpOPPYv2Y/edit?usp=sharing"",""งบพรบ!EG61"")"),0)</f>
        <v>0</v>
      </c>
      <c r="P61" s="67">
        <f t="shared" ca="1" si="34"/>
        <v>0</v>
      </c>
      <c r="Q61" s="68">
        <f t="shared" ca="1" si="35"/>
        <v>0</v>
      </c>
      <c r="R61" s="197">
        <f ca="1">IFERROR(__xludf.DUMMYFUNCTION("IMPORTRANGE(""https://docs.google.com/spreadsheets/d/1OYoGg4WDg5RIzwGeB10padOxJF9E_Vljuvvct_M7RDo/edit?usp=sharing"",""ปทุมธานี!Q303"")"),260958.39)</f>
        <v>260958.39</v>
      </c>
      <c r="S61" s="67">
        <f ca="1">IFERROR(__xludf.DUMMYFUNCTION("IMPORTRANGE(""https://docs.google.com/spreadsheets/d/1OYoGg4WDg5RIzwGeB10padOxJF9E_Vljuvvct_M7RDo/edit?usp=sharing"",""ปทุมธานี!R303"")"),265158)</f>
        <v>265158</v>
      </c>
      <c r="T61" s="67">
        <f ca="1">IFERROR(__xludf.DUMMYFUNCTION("IMPORTRANGE(""https://docs.google.com/spreadsheets/d/1OYoGg4WDg5RIzwGeB10padOxJF9E_Vljuvvct_M7RDo/edit?usp=sharing"",""ปทุมธานี!S303"")"),96810)</f>
        <v>96810</v>
      </c>
      <c r="U61" s="68">
        <f t="shared" ca="1" si="37"/>
        <v>37.097868361312315</v>
      </c>
      <c r="V61" s="68">
        <f t="shared" ca="1" si="38"/>
        <v>36.510307062204419</v>
      </c>
      <c r="W61" s="278" t="str">
        <f ca="1">IFERROR(__xludf.DUMMYFUNCTION("IMPORTRANGE(""https://docs.google.com/spreadsheets/d/1OYoGg4WDg5RIzwGeB10padOxJF9E_Vljuvvct_M7RDo/edit?usp=sharing"",""ปทุมธานี!J313"")"),"")</f>
        <v/>
      </c>
      <c r="X61" s="278">
        <f ca="1">IFERROR(__xludf.DUMMYFUNCTION("IMPORTRANGE(""https://docs.google.com/spreadsheets/d/1OYoGg4WDg5RIzwGeB10padOxJF9E_Vljuvvct_M7RDo/edit?usp=sharing"",""ปทุมธานี!I314"")"),30)</f>
        <v>30</v>
      </c>
      <c r="Y61" s="152">
        <f ca="1">IFERROR(__xludf.DUMMYFUNCTION("IMPORTRANGE(""https://docs.google.com/spreadsheets/d/1OYoGg4WDg5RIzwGeB10padOxJF9E_Vljuvvct_M7RDo/edit?usp=sharing"",""ปทุมธานี!J314"")"),30)</f>
        <v>30</v>
      </c>
      <c r="Z61" s="216">
        <f t="shared" ca="1" si="40"/>
        <v>100</v>
      </c>
      <c r="AA61" s="278" t="str">
        <f ca="1">IFERROR(__xludf.DUMMYFUNCTION("IMPORTRANGE(""https://docs.google.com/spreadsheets/d/1OYoGg4WDg5RIzwGeB10padOxJF9E_Vljuvvct_M7RDo/edit?usp=sharing"",""ปทุมธานี!I315"")"),"")</f>
        <v/>
      </c>
      <c r="AB61" s="152" t="str">
        <f ca="1">IFERROR(__xludf.DUMMYFUNCTION("IMPORTRANGE(""https://docs.google.com/spreadsheets/d/1OYoGg4WDg5RIzwGeB10padOxJF9E_Vljuvvct_M7RDo/edit?usp=sharing"",""ปทุมธานี!J315"")"),"")</f>
        <v/>
      </c>
      <c r="AC61" s="216" t="e">
        <f t="shared" ca="1" si="42"/>
        <v>#VALUE!</v>
      </c>
      <c r="AD61" s="278" t="str">
        <f ca="1">IFERROR(__xludf.DUMMYFUNCTION("IMPORTRANGE(""https://docs.google.com/spreadsheets/d/1OYoGg4WDg5RIzwGeB10padOxJF9E_Vljuvvct_M7RDo/edit?usp=sharing"",""ปทุมธานี!I316"")"),"")</f>
        <v/>
      </c>
      <c r="AE61" s="152" t="str">
        <f ca="1">IFERROR(__xludf.DUMMYFUNCTION("IMPORTRANGE(""https://docs.google.com/spreadsheets/d/1OYoGg4WDg5RIzwGeB10padOxJF9E_Vljuvvct_M7RDo/edit?usp=sharing"",""ปทุมธานี!J316"")"),"")</f>
        <v/>
      </c>
      <c r="AF61" s="216" t="e">
        <f t="shared" ca="1" si="44"/>
        <v>#VALUE!</v>
      </c>
      <c r="AG61" s="278" t="str">
        <f ca="1">IFERROR(__xludf.DUMMYFUNCTION("IMPORTRANGE(""https://docs.google.com/spreadsheets/d/1OYoGg4WDg5RIzwGeB10padOxJF9E_Vljuvvct_M7RDo/edit?usp=sharing"",""ปทุมธานี!I317"")"),"")</f>
        <v/>
      </c>
      <c r="AH61" s="152" t="str">
        <f ca="1">IFERROR(__xludf.DUMMYFUNCTION("IMPORTRANGE(""https://docs.google.com/spreadsheets/d/1OYoGg4WDg5RIzwGeB10padOxJF9E_Vljuvvct_M7RDo/edit?usp=sharing"",""ปทุมธานี!J317"")"),"")</f>
        <v/>
      </c>
      <c r="AI61" s="216" t="e">
        <f t="shared" ca="1" si="46"/>
        <v>#VALUE!</v>
      </c>
    </row>
    <row r="62" spans="1:35" ht="21" customHeight="1" x14ac:dyDescent="0.3">
      <c r="A62" s="70">
        <v>10</v>
      </c>
      <c r="B62" s="71" t="s">
        <v>90</v>
      </c>
      <c r="C62" s="149">
        <f t="shared" ca="1" si="28"/>
        <v>0</v>
      </c>
      <c r="D62" s="150">
        <f t="shared" ca="1" si="61"/>
        <v>0</v>
      </c>
      <c r="E62" s="151">
        <f ca="1">IFERROR(__xludf.DUMMYFUNCTION("IMPORTRANGE(""https://docs.google.com/spreadsheets/d/1-uDff_7J0KD5mKrp0Vvzr7lt3OU09vwQwhkpOPPYv2Y/edit?usp=sharing"",""งบพรบ!DZ62"")"),0)</f>
        <v>0</v>
      </c>
      <c r="F62" s="151">
        <f ca="1">IFERROR(__xludf.DUMMYFUNCTION("IMPORTRANGE(""https://docs.google.com/spreadsheets/d/1-uDff_7J0KD5mKrp0Vvzr7lt3OU09vwQwhkpOPPYv2Y/edit?usp=sharing"",""งบพรบ!EA62"")"),0)</f>
        <v>0</v>
      </c>
      <c r="G62" s="151">
        <f ca="1">IFERROR(__xludf.DUMMYFUNCTION("IMPORTRANGE(""https://docs.google.com/spreadsheets/d/1-uDff_7J0KD5mKrp0Vvzr7lt3OU09vwQwhkpOPPYv2Y/edit?usp=sharing"",""งบพรบ!EB62"")"),0)</f>
        <v>0</v>
      </c>
      <c r="H62" s="151">
        <f ca="1">IFERROR(__xludf.DUMMYFUNCTION("IMPORTRANGE(""https://docs.google.com/spreadsheets/d/1-uDff_7J0KD5mKrp0Vvzr7lt3OU09vwQwhkpOPPYv2Y/edit?usp=sharing"",""งบพรบ!ED62"")"),0)</f>
        <v>0</v>
      </c>
      <c r="I62" s="151">
        <f ca="1">IFERROR(__xludf.DUMMYFUNCTION("IMPORTRANGE(""https://docs.google.com/spreadsheets/d/1-uDff_7J0KD5mKrp0Vvzr7lt3OU09vwQwhkpOPPYv2Y/edit?usp=sharing"",""งบพรบ!EE62"")"),0)</f>
        <v>0</v>
      </c>
      <c r="J62" s="151">
        <f t="shared" ca="1" si="30"/>
        <v>0</v>
      </c>
      <c r="K62" s="154">
        <f t="shared" ca="1" si="31"/>
        <v>0</v>
      </c>
      <c r="L62" s="151">
        <f ca="1">IFERROR(__xludf.DUMMYFUNCTION("IMPORTRANGE(""https://docs.google.com/spreadsheets/d/1-uDff_7J0KD5mKrp0Vvzr7lt3OU09vwQwhkpOPPYv2Y/edit?usp=sharing"",""งบพรบ!EF62"")"),0)</f>
        <v>0</v>
      </c>
      <c r="M62" s="68">
        <f t="shared" ca="1" si="32"/>
        <v>0</v>
      </c>
      <c r="N62" s="68">
        <f t="shared" ca="1" si="33"/>
        <v>0</v>
      </c>
      <c r="O62" s="67">
        <f ca="1">IFERROR(__xludf.DUMMYFUNCTION("IMPORTRANGE(""https://docs.google.com/spreadsheets/d/1-uDff_7J0KD5mKrp0Vvzr7lt3OU09vwQwhkpOPPYv2Y/edit?usp=sharing"",""งบพรบ!EG62"")"),0)</f>
        <v>0</v>
      </c>
      <c r="P62" s="67">
        <f t="shared" ca="1" si="34"/>
        <v>0</v>
      </c>
      <c r="Q62" s="68">
        <f t="shared" ca="1" si="35"/>
        <v>0</v>
      </c>
      <c r="R62" s="197">
        <f ca="1">IFERROR(__xludf.DUMMYFUNCTION("IMPORTRANGE(""https://docs.google.com/spreadsheets/d/1GbCIE4D4wk9FUozzqk7SxfDMxDVBwVmI5zcaVUSzKAc/edit?usp=sharing"",""ประจวบคีรีขันธ์!Q303"")"),228095.39)</f>
        <v>228095.39</v>
      </c>
      <c r="S62" s="67">
        <f ca="1">IFERROR(__xludf.DUMMYFUNCTION("IMPORTRANGE(""https://docs.google.com/spreadsheets/d/1GbCIE4D4wk9FUozzqk7SxfDMxDVBwVmI5zcaVUSzKAc/edit?usp=sharing"",""ประจวบคีรีขันธ์!R303"")"),232295)</f>
        <v>232295</v>
      </c>
      <c r="T62" s="67">
        <f ca="1">IFERROR(__xludf.DUMMYFUNCTION("IMPORTRANGE(""https://docs.google.com/spreadsheets/d/1GbCIE4D4wk9FUozzqk7SxfDMxDVBwVmI5zcaVUSzKAc/edit?usp=sharing"",""ประจวบคีรีขันธ์!S303"")"),90138)</f>
        <v>90138</v>
      </c>
      <c r="U62" s="68">
        <f t="shared" ca="1" si="37"/>
        <v>39.517677231442512</v>
      </c>
      <c r="V62" s="68">
        <f t="shared" ca="1" si="38"/>
        <v>38.803245872704963</v>
      </c>
      <c r="W62" s="278" t="str">
        <f ca="1">IFERROR(__xludf.DUMMYFUNCTION("IMPORTRANGE(""https://docs.google.com/spreadsheets/d/1GbCIE4D4wk9FUozzqk7SxfDMxDVBwVmI5zcaVUSzKAc/edit?usp=sharing"",""ประจวบคีรีขันธ์!J313"")"),"")</f>
        <v/>
      </c>
      <c r="X62" s="278">
        <f ca="1">IFERROR(__xludf.DUMMYFUNCTION("IMPORTRANGE(""https://docs.google.com/spreadsheets/d/1GbCIE4D4wk9FUozzqk7SxfDMxDVBwVmI5zcaVUSzKAc/edit?usp=sharing"",""ประจวบคีรีขันธ์!I314"")"),25)</f>
        <v>25</v>
      </c>
      <c r="Y62" s="152">
        <f ca="1">IFERROR(__xludf.DUMMYFUNCTION("IMPORTRANGE(""https://docs.google.com/spreadsheets/d/1GbCIE4D4wk9FUozzqk7SxfDMxDVBwVmI5zcaVUSzKAc/edit?usp=sharing"",""ประจวบคีรีขันธ์!J314"")"),25)</f>
        <v>25</v>
      </c>
      <c r="Z62" s="216">
        <f t="shared" ca="1" si="40"/>
        <v>100</v>
      </c>
      <c r="AA62" s="278" t="str">
        <f ca="1">IFERROR(__xludf.DUMMYFUNCTION("IMPORTRANGE(""https://docs.google.com/spreadsheets/d/1GbCIE4D4wk9FUozzqk7SxfDMxDVBwVmI5zcaVUSzKAc/edit?usp=sharing"",""ประจวบคีรีขันธ์!I315"")"),"")</f>
        <v/>
      </c>
      <c r="AB62" s="152" t="str">
        <f ca="1">IFERROR(__xludf.DUMMYFUNCTION("IMPORTRANGE(""https://docs.google.com/spreadsheets/d/1GbCIE4D4wk9FUozzqk7SxfDMxDVBwVmI5zcaVUSzKAc/edit?usp=sharing"",""ประจวบคีรีขันธ์!J315"")"),"")</f>
        <v/>
      </c>
      <c r="AC62" s="216" t="e">
        <f t="shared" ca="1" si="42"/>
        <v>#VALUE!</v>
      </c>
      <c r="AD62" s="278" t="str">
        <f ca="1">IFERROR(__xludf.DUMMYFUNCTION("IMPORTRANGE(""https://docs.google.com/spreadsheets/d/1GbCIE4D4wk9FUozzqk7SxfDMxDVBwVmI5zcaVUSzKAc/edit?usp=sharing"",""ประจวบคีรีขันธ์!I316"")"),"")</f>
        <v/>
      </c>
      <c r="AE62" s="152" t="str">
        <f ca="1">IFERROR(__xludf.DUMMYFUNCTION("IMPORTRANGE(""https://docs.google.com/spreadsheets/d/1GbCIE4D4wk9FUozzqk7SxfDMxDVBwVmI5zcaVUSzKAc/edit?usp=sharing"",""ประจวบคีรีขันธ์!J316"")"),"")</f>
        <v/>
      </c>
      <c r="AF62" s="216" t="e">
        <f t="shared" ca="1" si="44"/>
        <v>#VALUE!</v>
      </c>
      <c r="AG62" s="278" t="str">
        <f ca="1">IFERROR(__xludf.DUMMYFUNCTION("IMPORTRANGE(""https://docs.google.com/spreadsheets/d/1GbCIE4D4wk9FUozzqk7SxfDMxDVBwVmI5zcaVUSzKAc/edit?usp=sharing"",""ประจวบคีรีขันธ์!I317"")"),"")</f>
        <v/>
      </c>
      <c r="AH62" s="152" t="str">
        <f ca="1">IFERROR(__xludf.DUMMYFUNCTION("IMPORTRANGE(""https://docs.google.com/spreadsheets/d/1GbCIE4D4wk9FUozzqk7SxfDMxDVBwVmI5zcaVUSzKAc/edit?usp=sharing"",""ประจวบคีรีขันธ์!J317"")"),"")</f>
        <v/>
      </c>
      <c r="AI62" s="216" t="e">
        <f t="shared" ca="1" si="46"/>
        <v>#VALUE!</v>
      </c>
    </row>
    <row r="63" spans="1:35" ht="21" customHeight="1" x14ac:dyDescent="0.3">
      <c r="A63" s="70">
        <v>11</v>
      </c>
      <c r="B63" s="71" t="s">
        <v>91</v>
      </c>
      <c r="C63" s="149">
        <f t="shared" ca="1" si="28"/>
        <v>103900</v>
      </c>
      <c r="D63" s="150">
        <f t="shared" ca="1" si="61"/>
        <v>103900</v>
      </c>
      <c r="E63" s="151">
        <f ca="1">IFERROR(__xludf.DUMMYFUNCTION("IMPORTRANGE(""https://docs.google.com/spreadsheets/d/1-uDff_7J0KD5mKrp0Vvzr7lt3OU09vwQwhkpOPPYv2Y/edit?usp=sharing"",""งบพรบ!DZ63"")"),0)</f>
        <v>0</v>
      </c>
      <c r="F63" s="151">
        <f ca="1">IFERROR(__xludf.DUMMYFUNCTION("IMPORTRANGE(""https://docs.google.com/spreadsheets/d/1-uDff_7J0KD5mKrp0Vvzr7lt3OU09vwQwhkpOPPYv2Y/edit?usp=sharing"",""งบพรบ!EA63"")"),103900)</f>
        <v>103900</v>
      </c>
      <c r="G63" s="151">
        <f ca="1">IFERROR(__xludf.DUMMYFUNCTION("IMPORTRANGE(""https://docs.google.com/spreadsheets/d/1-uDff_7J0KD5mKrp0Vvzr7lt3OU09vwQwhkpOPPYv2Y/edit?usp=sharing"",""งบพรบ!EB63"")"),0)</f>
        <v>0</v>
      </c>
      <c r="H63" s="151">
        <f ca="1">IFERROR(__xludf.DUMMYFUNCTION("IMPORTRANGE(""https://docs.google.com/spreadsheets/d/1-uDff_7J0KD5mKrp0Vvzr7lt3OU09vwQwhkpOPPYv2Y/edit?usp=sharing"",""งบพรบ!ED63"")"),103900)</f>
        <v>103900</v>
      </c>
      <c r="I63" s="151">
        <f ca="1">IFERROR(__xludf.DUMMYFUNCTION("IMPORTRANGE(""https://docs.google.com/spreadsheets/d/1-uDff_7J0KD5mKrp0Vvzr7lt3OU09vwQwhkpOPPYv2Y/edit?usp=sharing"",""งบพรบ!EE63"")"),0)</f>
        <v>0</v>
      </c>
      <c r="J63" s="151">
        <f t="shared" ca="1" si="30"/>
        <v>102230</v>
      </c>
      <c r="K63" s="154">
        <f t="shared" ca="1" si="31"/>
        <v>98.39268527430221</v>
      </c>
      <c r="L63" s="151">
        <f ca="1">IFERROR(__xludf.DUMMYFUNCTION("IMPORTRANGE(""https://docs.google.com/spreadsheets/d/1-uDff_7J0KD5mKrp0Vvzr7lt3OU09vwQwhkpOPPYv2Y/edit?usp=sharing"",""งบพรบ!EF63"")"),102230)</f>
        <v>102230</v>
      </c>
      <c r="M63" s="68">
        <f t="shared" ca="1" si="32"/>
        <v>98.39268527430221</v>
      </c>
      <c r="N63" s="68">
        <f t="shared" ca="1" si="33"/>
        <v>98.39268527430221</v>
      </c>
      <c r="O63" s="67">
        <f ca="1">IFERROR(__xludf.DUMMYFUNCTION("IMPORTRANGE(""https://docs.google.com/spreadsheets/d/1-uDff_7J0KD5mKrp0Vvzr7lt3OU09vwQwhkpOPPYv2Y/edit?usp=sharing"",""งบพรบ!EG63"")"),0)</f>
        <v>0</v>
      </c>
      <c r="P63" s="67">
        <f t="shared" ca="1" si="34"/>
        <v>0</v>
      </c>
      <c r="Q63" s="68">
        <f t="shared" ca="1" si="35"/>
        <v>0</v>
      </c>
      <c r="R63" s="197">
        <f ca="1">IFERROR(__xludf.DUMMYFUNCTION("IMPORTRANGE(""https://docs.google.com/spreadsheets/d/1vVf6wykvW_lAyu7Yo9L4hUTqHqIeP_qcVuxCtosJEbg/edit?usp=sharing"",""ปราจีนบุรี!Q303"")"),144609.24)</f>
        <v>144609.24</v>
      </c>
      <c r="S63" s="67">
        <f ca="1">IFERROR(__xludf.DUMMYFUNCTION("IMPORTRANGE(""https://docs.google.com/spreadsheets/d/1vVf6wykvW_lAyu7Yo9L4hUTqHqIeP_qcVuxCtosJEbg/edit?usp=sharing"",""ปราจีนบุรี!R303"")"),148809)</f>
        <v>148809</v>
      </c>
      <c r="T63" s="67">
        <f ca="1">IFERROR(__xludf.DUMMYFUNCTION("IMPORTRANGE(""https://docs.google.com/spreadsheets/d/1vVf6wykvW_lAyu7Yo9L4hUTqHqIeP_qcVuxCtosJEbg/edit?usp=sharing"",""ปราจีนบุรี!S303"")"),105260)</f>
        <v>105260</v>
      </c>
      <c r="U63" s="68">
        <f t="shared" ca="1" si="37"/>
        <v>72.789262982088843</v>
      </c>
      <c r="V63" s="68">
        <f t="shared" ca="1" si="38"/>
        <v>70.734968987090838</v>
      </c>
      <c r="W63" s="278" t="str">
        <f ca="1">IFERROR(__xludf.DUMMYFUNCTION("IMPORTRANGE(""https://docs.google.com/spreadsheets/d/1vVf6wykvW_lAyu7Yo9L4hUTqHqIeP_qcVuxCtosJEbg/edit?usp=sharing"",""ปราจีนบุรี!J313"")"),"")</f>
        <v/>
      </c>
      <c r="X63" s="278">
        <f ca="1">IFERROR(__xludf.DUMMYFUNCTION("IMPORTRANGE(""https://docs.google.com/spreadsheets/d/1vVf6wykvW_lAyu7Yo9L4hUTqHqIeP_qcVuxCtosJEbg/edit?usp=sharing"",""ปราจีนบุรี!I314"")"),20)</f>
        <v>20</v>
      </c>
      <c r="Y63" s="152">
        <f ca="1">IFERROR(__xludf.DUMMYFUNCTION("IMPORTRANGE(""https://docs.google.com/spreadsheets/d/1vVf6wykvW_lAyu7Yo9L4hUTqHqIeP_qcVuxCtosJEbg/edit?usp=sharing"",""ปราจีนบุรี!J314"")"),20)</f>
        <v>20</v>
      </c>
      <c r="Z63" s="216">
        <f t="shared" ca="1" si="40"/>
        <v>100</v>
      </c>
      <c r="AA63" s="278" t="str">
        <f ca="1">IFERROR(__xludf.DUMMYFUNCTION("IMPORTRANGE(""https://docs.google.com/spreadsheets/d/1vVf6wykvW_lAyu7Yo9L4hUTqHqIeP_qcVuxCtosJEbg/edit?usp=sharing"",""ปราจีนบุรี!I315"")"),"")</f>
        <v/>
      </c>
      <c r="AB63" s="152" t="str">
        <f ca="1">IFERROR(__xludf.DUMMYFUNCTION("IMPORTRANGE(""https://docs.google.com/spreadsheets/d/1vVf6wykvW_lAyu7Yo9L4hUTqHqIeP_qcVuxCtosJEbg/edit?usp=sharing"",""ปราจีนบุรี!J315"")"),"")</f>
        <v/>
      </c>
      <c r="AC63" s="216" t="e">
        <f t="shared" ca="1" si="42"/>
        <v>#VALUE!</v>
      </c>
      <c r="AD63" s="278" t="str">
        <f ca="1">IFERROR(__xludf.DUMMYFUNCTION("IMPORTRANGE(""https://docs.google.com/spreadsheets/d/1vVf6wykvW_lAyu7Yo9L4hUTqHqIeP_qcVuxCtosJEbg/edit?usp=sharing"",""ปราจีนบุรี!I316"")"),"")</f>
        <v/>
      </c>
      <c r="AE63" s="152" t="str">
        <f ca="1">IFERROR(__xludf.DUMMYFUNCTION("IMPORTRANGE(""https://docs.google.com/spreadsheets/d/1vVf6wykvW_lAyu7Yo9L4hUTqHqIeP_qcVuxCtosJEbg/edit?usp=sharing"",""ปราจีนบุรี!J316"")"),"")</f>
        <v/>
      </c>
      <c r="AF63" s="216" t="e">
        <f t="shared" ca="1" si="44"/>
        <v>#VALUE!</v>
      </c>
      <c r="AG63" s="278" t="str">
        <f ca="1">IFERROR(__xludf.DUMMYFUNCTION("IMPORTRANGE(""https://docs.google.com/spreadsheets/d/1vVf6wykvW_lAyu7Yo9L4hUTqHqIeP_qcVuxCtosJEbg/edit?usp=sharing"",""ปราจีนบุรี!I317"")"),"")</f>
        <v/>
      </c>
      <c r="AH63" s="152" t="str">
        <f ca="1">IFERROR(__xludf.DUMMYFUNCTION("IMPORTRANGE(""https://docs.google.com/spreadsheets/d/1vVf6wykvW_lAyu7Yo9L4hUTqHqIeP_qcVuxCtosJEbg/edit?usp=sharing"",""ปราจีนบุรี!J317"")"),"")</f>
        <v/>
      </c>
      <c r="AI63" s="216" t="e">
        <f t="shared" ca="1" si="46"/>
        <v>#VALUE!</v>
      </c>
    </row>
    <row r="64" spans="1:35" ht="21" customHeight="1" x14ac:dyDescent="0.3">
      <c r="A64" s="70">
        <v>12</v>
      </c>
      <c r="B64" s="71" t="s">
        <v>92</v>
      </c>
      <c r="C64" s="149">
        <f t="shared" ca="1" si="28"/>
        <v>103900</v>
      </c>
      <c r="D64" s="150">
        <f t="shared" ca="1" si="61"/>
        <v>103900</v>
      </c>
      <c r="E64" s="151">
        <f ca="1">IFERROR(__xludf.DUMMYFUNCTION("IMPORTRANGE(""https://docs.google.com/spreadsheets/d/1-uDff_7J0KD5mKrp0Vvzr7lt3OU09vwQwhkpOPPYv2Y/edit?usp=sharing"",""งบพรบ!DZ64"")"),0)</f>
        <v>0</v>
      </c>
      <c r="F64" s="151">
        <f ca="1">IFERROR(__xludf.DUMMYFUNCTION("IMPORTRANGE(""https://docs.google.com/spreadsheets/d/1-uDff_7J0KD5mKrp0Vvzr7lt3OU09vwQwhkpOPPYv2Y/edit?usp=sharing"",""งบพรบ!EA64"")"),103900)</f>
        <v>103900</v>
      </c>
      <c r="G64" s="151">
        <f ca="1">IFERROR(__xludf.DUMMYFUNCTION("IMPORTRANGE(""https://docs.google.com/spreadsheets/d/1-uDff_7J0KD5mKrp0Vvzr7lt3OU09vwQwhkpOPPYv2Y/edit?usp=sharing"",""งบพรบ!EB64"")"),0)</f>
        <v>0</v>
      </c>
      <c r="H64" s="151">
        <f ca="1">IFERROR(__xludf.DUMMYFUNCTION("IMPORTRANGE(""https://docs.google.com/spreadsheets/d/1-uDff_7J0KD5mKrp0Vvzr7lt3OU09vwQwhkpOPPYv2Y/edit?usp=sharing"",""งบพรบ!ED64"")"),192940)</f>
        <v>192940</v>
      </c>
      <c r="I64" s="151">
        <f ca="1">IFERROR(__xludf.DUMMYFUNCTION("IMPORTRANGE(""https://docs.google.com/spreadsheets/d/1-uDff_7J0KD5mKrp0Vvzr7lt3OU09vwQwhkpOPPYv2Y/edit?usp=sharing"",""งบพรบ!EE64"")"),0)</f>
        <v>0</v>
      </c>
      <c r="J64" s="151">
        <f t="shared" ca="1" si="30"/>
        <v>127560</v>
      </c>
      <c r="K64" s="154">
        <f t="shared" ca="1" si="31"/>
        <v>122.77189605389798</v>
      </c>
      <c r="L64" s="151">
        <f ca="1">IFERROR(__xludf.DUMMYFUNCTION("IMPORTRANGE(""https://docs.google.com/spreadsheets/d/1-uDff_7J0KD5mKrp0Vvzr7lt3OU09vwQwhkpOPPYv2Y/edit?usp=sharing"",""งบพรบ!EF64"")"),127560)</f>
        <v>127560</v>
      </c>
      <c r="M64" s="68">
        <f t="shared" ca="1" si="32"/>
        <v>122.77189605389798</v>
      </c>
      <c r="N64" s="68">
        <f t="shared" ca="1" si="33"/>
        <v>66.113817767181501</v>
      </c>
      <c r="O64" s="67">
        <f ca="1">IFERROR(__xludf.DUMMYFUNCTION("IMPORTRANGE(""https://docs.google.com/spreadsheets/d/1-uDff_7J0KD5mKrp0Vvzr7lt3OU09vwQwhkpOPPYv2Y/edit?usp=sharing"",""งบพรบ!EG64"")"),0)</f>
        <v>0</v>
      </c>
      <c r="P64" s="67">
        <f t="shared" ca="1" si="34"/>
        <v>0</v>
      </c>
      <c r="Q64" s="68">
        <f t="shared" ca="1" si="35"/>
        <v>0</v>
      </c>
      <c r="R64" s="197">
        <f ca="1">IFERROR(__xludf.DUMMYFUNCTION("IMPORTRANGE(""https://docs.google.com/spreadsheets/d/1BIDqLLg5jk3v59G8NlR8rk5xfQDKne0sAvZHSj7TI6I/edit?usp=sharing"",""พระนครศรีอยุธยา!Q303"")"),144609.24)</f>
        <v>144609.24</v>
      </c>
      <c r="S64" s="67">
        <f ca="1">IFERROR(__xludf.DUMMYFUNCTION("IMPORTRANGE(""https://docs.google.com/spreadsheets/d/1BIDqLLg5jk3v59G8NlR8rk5xfQDKne0sAvZHSj7TI6I/edit?usp=sharing"",""พระนครศรีอยุธยา!R303"")"),148809)</f>
        <v>148809</v>
      </c>
      <c r="T64" s="67">
        <f ca="1">IFERROR(__xludf.DUMMYFUNCTION("IMPORTRANGE(""https://docs.google.com/spreadsheets/d/1BIDqLLg5jk3v59G8NlR8rk5xfQDKne0sAvZHSj7TI6I/edit?usp=sharing"",""พระนครศรีอยุธยา!S303"")"),88263)</f>
        <v>88263</v>
      </c>
      <c r="U64" s="68">
        <f t="shared" ca="1" si="37"/>
        <v>61.035518892153782</v>
      </c>
      <c r="V64" s="68">
        <f t="shared" ca="1" si="38"/>
        <v>59.312944781565633</v>
      </c>
      <c r="W64" s="278" t="str">
        <f ca="1">IFERROR(__xludf.DUMMYFUNCTION("IMPORTRANGE(""https://docs.google.com/spreadsheets/d/1BIDqLLg5jk3v59G8NlR8rk5xfQDKne0sAvZHSj7TI6I/edit?usp=sharing"",""พระนครศรีอยุธยา!J313"")"),"")</f>
        <v/>
      </c>
      <c r="X64" s="278">
        <f ca="1">IFERROR(__xludf.DUMMYFUNCTION("IMPORTRANGE(""https://docs.google.com/spreadsheets/d/1BIDqLLg5jk3v59G8NlR8rk5xfQDKne0sAvZHSj7TI6I/edit?usp=sharing"",""พระนครศรีอยุธยา!I314"")"),20)</f>
        <v>20</v>
      </c>
      <c r="Y64" s="152">
        <f ca="1">IFERROR(__xludf.DUMMYFUNCTION("IMPORTRANGE(""https://docs.google.com/spreadsheets/d/1BIDqLLg5jk3v59G8NlR8rk5xfQDKne0sAvZHSj7TI6I/edit?usp=sharing"",""พระนครศรีอยุธยา!J314"")"),20)</f>
        <v>20</v>
      </c>
      <c r="Z64" s="216">
        <f t="shared" ca="1" si="40"/>
        <v>100</v>
      </c>
      <c r="AA64" s="278" t="str">
        <f ca="1">IFERROR(__xludf.DUMMYFUNCTION("IMPORTRANGE(""https://docs.google.com/spreadsheets/d/1BIDqLLg5jk3v59G8NlR8rk5xfQDKne0sAvZHSj7TI6I/edit?usp=sharing"",""พระนครศรีอยุธยา!I315"")"),"")</f>
        <v/>
      </c>
      <c r="AB64" s="152" t="str">
        <f ca="1">IFERROR(__xludf.DUMMYFUNCTION("IMPORTRANGE(""https://docs.google.com/spreadsheets/d/1BIDqLLg5jk3v59G8NlR8rk5xfQDKne0sAvZHSj7TI6I/edit?usp=sharing"",""พระนครศรีอยุธยา!J315"")"),"")</f>
        <v/>
      </c>
      <c r="AC64" s="216" t="e">
        <f t="shared" ca="1" si="42"/>
        <v>#VALUE!</v>
      </c>
      <c r="AD64" s="278" t="str">
        <f ca="1">IFERROR(__xludf.DUMMYFUNCTION("IMPORTRANGE(""https://docs.google.com/spreadsheets/d/1BIDqLLg5jk3v59G8NlR8rk5xfQDKne0sAvZHSj7TI6I/edit?usp=sharing"",""พระนครศรีอยุธยา!I316"")"),"")</f>
        <v/>
      </c>
      <c r="AE64" s="152" t="str">
        <f ca="1">IFERROR(__xludf.DUMMYFUNCTION("IMPORTRANGE(""https://docs.google.com/spreadsheets/d/1BIDqLLg5jk3v59G8NlR8rk5xfQDKne0sAvZHSj7TI6I/edit?usp=sharing"",""พระนครศรีอยุธยา!J316"")"),"")</f>
        <v/>
      </c>
      <c r="AF64" s="216" t="e">
        <f t="shared" ca="1" si="44"/>
        <v>#VALUE!</v>
      </c>
      <c r="AG64" s="278" t="str">
        <f ca="1">IFERROR(__xludf.DUMMYFUNCTION("IMPORTRANGE(""https://docs.google.com/spreadsheets/d/1BIDqLLg5jk3v59G8NlR8rk5xfQDKne0sAvZHSj7TI6I/edit?usp=sharing"",""พระนครศรีอยุธยา!I317"")"),"")</f>
        <v/>
      </c>
      <c r="AH64" s="152" t="str">
        <f ca="1">IFERROR(__xludf.DUMMYFUNCTION("IMPORTRANGE(""https://docs.google.com/spreadsheets/d/1BIDqLLg5jk3v59G8NlR8rk5xfQDKne0sAvZHSj7TI6I/edit?usp=sharing"",""พระนครศรีอยุธยา!J317"")"),"")</f>
        <v/>
      </c>
      <c r="AI64" s="216" t="e">
        <f t="shared" ca="1" si="46"/>
        <v>#VALUE!</v>
      </c>
    </row>
    <row r="65" spans="1:35" ht="21" customHeight="1" x14ac:dyDescent="0.3">
      <c r="A65" s="70">
        <v>13</v>
      </c>
      <c r="B65" s="71" t="s">
        <v>93</v>
      </c>
      <c r="C65" s="149">
        <f t="shared" ca="1" si="28"/>
        <v>0</v>
      </c>
      <c r="D65" s="150">
        <f t="shared" ca="1" si="61"/>
        <v>0</v>
      </c>
      <c r="E65" s="151">
        <f ca="1">IFERROR(__xludf.DUMMYFUNCTION("IMPORTRANGE(""https://docs.google.com/spreadsheets/d/1-uDff_7J0KD5mKrp0Vvzr7lt3OU09vwQwhkpOPPYv2Y/edit?usp=sharing"",""งบพรบ!DZ65"")"),0)</f>
        <v>0</v>
      </c>
      <c r="F65" s="151">
        <f ca="1">IFERROR(__xludf.DUMMYFUNCTION("IMPORTRANGE(""https://docs.google.com/spreadsheets/d/1-uDff_7J0KD5mKrp0Vvzr7lt3OU09vwQwhkpOPPYv2Y/edit?usp=sharing"",""งบพรบ!EA65"")"),0)</f>
        <v>0</v>
      </c>
      <c r="G65" s="151">
        <f ca="1">IFERROR(__xludf.DUMMYFUNCTION("IMPORTRANGE(""https://docs.google.com/spreadsheets/d/1-uDff_7J0KD5mKrp0Vvzr7lt3OU09vwQwhkpOPPYv2Y/edit?usp=sharing"",""งบพรบ!EB65"")"),0)</f>
        <v>0</v>
      </c>
      <c r="H65" s="151">
        <f ca="1">IFERROR(__xludf.DUMMYFUNCTION("IMPORTRANGE(""https://docs.google.com/spreadsheets/d/1-uDff_7J0KD5mKrp0Vvzr7lt3OU09vwQwhkpOPPYv2Y/edit?usp=sharing"",""งบพรบ!ED65"")"),126960)</f>
        <v>126960</v>
      </c>
      <c r="I65" s="151">
        <f ca="1">IFERROR(__xludf.DUMMYFUNCTION("IMPORTRANGE(""https://docs.google.com/spreadsheets/d/1-uDff_7J0KD5mKrp0Vvzr7lt3OU09vwQwhkpOPPYv2Y/edit?usp=sharing"",""งบพรบ!EE65"")"),0)</f>
        <v>0</v>
      </c>
      <c r="J65" s="151">
        <f t="shared" ca="1" si="30"/>
        <v>67260</v>
      </c>
      <c r="K65" s="154">
        <f t="shared" ca="1" si="31"/>
        <v>0</v>
      </c>
      <c r="L65" s="151">
        <f ca="1">IFERROR(__xludf.DUMMYFUNCTION("IMPORTRANGE(""https://docs.google.com/spreadsheets/d/1-uDff_7J0KD5mKrp0Vvzr7lt3OU09vwQwhkpOPPYv2Y/edit?usp=sharing"",""งบพรบ!EF65"")"),67260)</f>
        <v>67260</v>
      </c>
      <c r="M65" s="68">
        <f t="shared" ca="1" si="32"/>
        <v>0</v>
      </c>
      <c r="N65" s="68">
        <f t="shared" ca="1" si="33"/>
        <v>52.977315689981097</v>
      </c>
      <c r="O65" s="67">
        <f ca="1">IFERROR(__xludf.DUMMYFUNCTION("IMPORTRANGE(""https://docs.google.com/spreadsheets/d/1-uDff_7J0KD5mKrp0Vvzr7lt3OU09vwQwhkpOPPYv2Y/edit?usp=sharing"",""งบพรบ!EG65"")"),0)</f>
        <v>0</v>
      </c>
      <c r="P65" s="67">
        <f t="shared" ca="1" si="34"/>
        <v>0</v>
      </c>
      <c r="Q65" s="68">
        <f t="shared" ca="1" si="35"/>
        <v>0</v>
      </c>
      <c r="R65" s="197">
        <f ca="1">IFERROR(__xludf.DUMMYFUNCTION("IMPORTRANGE(""https://docs.google.com/spreadsheets/d/1YXvxf8Yu6_rV4hTBrwMqAcAnv6DfhUxh5emyM3CJp_w/edit?usp=sharing"",""เพชรบุรี!Q303"")"),0)</f>
        <v>0</v>
      </c>
      <c r="S65" s="67">
        <f ca="1">IFERROR(__xludf.DUMMYFUNCTION("IMPORTRANGE(""https://docs.google.com/spreadsheets/d/1YXvxf8Yu6_rV4hTBrwMqAcAnv6DfhUxh5emyM3CJp_w/edit?usp=sharing"",""เพชรบุรี!R303"")"),0)</f>
        <v>0</v>
      </c>
      <c r="T65" s="67">
        <f ca="1">IFERROR(__xludf.DUMMYFUNCTION("IMPORTRANGE(""https://docs.google.com/spreadsheets/d/1YXvxf8Yu6_rV4hTBrwMqAcAnv6DfhUxh5emyM3CJp_w/edit?usp=sharing"",""เพชรบุรี!S303"")"),0)</f>
        <v>0</v>
      </c>
      <c r="U65" s="68">
        <f t="shared" ca="1" si="37"/>
        <v>0</v>
      </c>
      <c r="V65" s="68">
        <f t="shared" ca="1" si="38"/>
        <v>0</v>
      </c>
      <c r="W65" s="278" t="str">
        <f ca="1">IFERROR(__xludf.DUMMYFUNCTION("IMPORTRANGE(""https://docs.google.com/spreadsheets/d/1YXvxf8Yu6_rV4hTBrwMqAcAnv6DfhUxh5emyM3CJp_w/edit?usp=sharing"",""เพชรบุรี!J313"")"),"")</f>
        <v/>
      </c>
      <c r="X65" s="278">
        <f ca="1">IFERROR(__xludf.DUMMYFUNCTION("IMPORTRANGE(""https://docs.google.com/spreadsheets/d/1YXvxf8Yu6_rV4hTBrwMqAcAnv6DfhUxh5emyM3CJp_w/edit?usp=sharing"",""เพชรบุรี!I314"")"),0)</f>
        <v>0</v>
      </c>
      <c r="Y65" s="152">
        <f ca="1">IFERROR(__xludf.DUMMYFUNCTION("IMPORTRANGE(""https://docs.google.com/spreadsheets/d/1YXvxf8Yu6_rV4hTBrwMqAcAnv6DfhUxh5emyM3CJp_w/edit?usp=sharing"",""เพชรบุรี!J314"")"),0)</f>
        <v>0</v>
      </c>
      <c r="Z65" s="216">
        <f t="shared" ca="1" si="40"/>
        <v>0</v>
      </c>
      <c r="AA65" s="278" t="str">
        <f ca="1">IFERROR(__xludf.DUMMYFUNCTION("IMPORTRANGE(""https://docs.google.com/spreadsheets/d/1YXvxf8Yu6_rV4hTBrwMqAcAnv6DfhUxh5emyM3CJp_w/edit?usp=sharing"",""เพชรบุรี!I315"")"),"")</f>
        <v/>
      </c>
      <c r="AB65" s="152" t="str">
        <f ca="1">IFERROR(__xludf.DUMMYFUNCTION("IMPORTRANGE(""https://docs.google.com/spreadsheets/d/1YXvxf8Yu6_rV4hTBrwMqAcAnv6DfhUxh5emyM3CJp_w/edit?usp=sharing"",""เพชรบุรี!J315"")"),"")</f>
        <v/>
      </c>
      <c r="AC65" s="216">
        <f t="shared" ca="1" si="42"/>
        <v>0</v>
      </c>
      <c r="AD65" s="278" t="str">
        <f ca="1">IFERROR(__xludf.DUMMYFUNCTION("IMPORTRANGE(""https://docs.google.com/spreadsheets/d/1YXvxf8Yu6_rV4hTBrwMqAcAnv6DfhUxh5emyM3CJp_w/edit?usp=sharing"",""เพชรบุรี!I316"")"),"")</f>
        <v/>
      </c>
      <c r="AE65" s="152" t="str">
        <f ca="1">IFERROR(__xludf.DUMMYFUNCTION("IMPORTRANGE(""https://docs.google.com/spreadsheets/d/1YXvxf8Yu6_rV4hTBrwMqAcAnv6DfhUxh5emyM3CJp_w/edit?usp=sharing"",""เพชรบุรี!J316"")"),"")</f>
        <v/>
      </c>
      <c r="AF65" s="216" t="e">
        <f t="shared" ca="1" si="44"/>
        <v>#VALUE!</v>
      </c>
      <c r="AG65" s="278" t="str">
        <f ca="1">IFERROR(__xludf.DUMMYFUNCTION("IMPORTRANGE(""https://docs.google.com/spreadsheets/d/1YXvxf8Yu6_rV4hTBrwMqAcAnv6DfhUxh5emyM3CJp_w/edit?usp=sharing"",""เพชรบุรี!I317"")"),"")</f>
        <v/>
      </c>
      <c r="AH65" s="152" t="str">
        <f ca="1">IFERROR(__xludf.DUMMYFUNCTION("IMPORTRANGE(""https://docs.google.com/spreadsheets/d/1YXvxf8Yu6_rV4hTBrwMqAcAnv6DfhUxh5emyM3CJp_w/edit?usp=sharing"",""เพชรบุรี!J317"")"),"")</f>
        <v/>
      </c>
      <c r="AI65" s="216" t="e">
        <f t="shared" ca="1" si="46"/>
        <v>#VALUE!</v>
      </c>
    </row>
    <row r="66" spans="1:35" ht="21" customHeight="1" x14ac:dyDescent="0.3">
      <c r="A66" s="70">
        <v>14</v>
      </c>
      <c r="B66" s="71" t="s">
        <v>94</v>
      </c>
      <c r="C66" s="149">
        <f t="shared" ca="1" si="28"/>
        <v>125500</v>
      </c>
      <c r="D66" s="150">
        <f t="shared" ca="1" si="61"/>
        <v>125500</v>
      </c>
      <c r="E66" s="151">
        <f ca="1">IFERROR(__xludf.DUMMYFUNCTION("IMPORTRANGE(""https://docs.google.com/spreadsheets/d/1-uDff_7J0KD5mKrp0Vvzr7lt3OU09vwQwhkpOPPYv2Y/edit?usp=sharing"",""งบพรบ!DZ66"")"),0)</f>
        <v>0</v>
      </c>
      <c r="F66" s="151">
        <f ca="1">IFERROR(__xludf.DUMMYFUNCTION("IMPORTRANGE(""https://docs.google.com/spreadsheets/d/1-uDff_7J0KD5mKrp0Vvzr7lt3OU09vwQwhkpOPPYv2Y/edit?usp=sharing"",""งบพรบ!EA66"")"),125500)</f>
        <v>125500</v>
      </c>
      <c r="G66" s="151">
        <f ca="1">IFERROR(__xludf.DUMMYFUNCTION("IMPORTRANGE(""https://docs.google.com/spreadsheets/d/1-uDff_7J0KD5mKrp0Vvzr7lt3OU09vwQwhkpOPPYv2Y/edit?usp=sharing"",""งบพรบ!EB66"")"),0)</f>
        <v>0</v>
      </c>
      <c r="H66" s="151">
        <f ca="1">IFERROR(__xludf.DUMMYFUNCTION("IMPORTRANGE(""https://docs.google.com/spreadsheets/d/1-uDff_7J0KD5mKrp0Vvzr7lt3OU09vwQwhkpOPPYv2Y/edit?usp=sharing"",""งบพรบ!ED66"")"),125500)</f>
        <v>125500</v>
      </c>
      <c r="I66" s="151">
        <f ca="1">IFERROR(__xludf.DUMMYFUNCTION("IMPORTRANGE(""https://docs.google.com/spreadsheets/d/1-uDff_7J0KD5mKrp0Vvzr7lt3OU09vwQwhkpOPPYv2Y/edit?usp=sharing"",""งบพรบ!EE66"")"),0)</f>
        <v>0</v>
      </c>
      <c r="J66" s="151">
        <f t="shared" ca="1" si="30"/>
        <v>125500</v>
      </c>
      <c r="K66" s="154">
        <f t="shared" ca="1" si="31"/>
        <v>100</v>
      </c>
      <c r="L66" s="151">
        <f ca="1">IFERROR(__xludf.DUMMYFUNCTION("IMPORTRANGE(""https://docs.google.com/spreadsheets/d/1-uDff_7J0KD5mKrp0Vvzr7lt3OU09vwQwhkpOPPYv2Y/edit?usp=sharing"",""งบพรบ!EF66"")"),125500)</f>
        <v>125500</v>
      </c>
      <c r="M66" s="68">
        <f t="shared" ca="1" si="32"/>
        <v>100</v>
      </c>
      <c r="N66" s="68">
        <f t="shared" ca="1" si="33"/>
        <v>100</v>
      </c>
      <c r="O66" s="67">
        <f ca="1">IFERROR(__xludf.DUMMYFUNCTION("IMPORTRANGE(""https://docs.google.com/spreadsheets/d/1-uDff_7J0KD5mKrp0Vvzr7lt3OU09vwQwhkpOPPYv2Y/edit?usp=sharing"",""งบพรบ!EG66"")"),0)</f>
        <v>0</v>
      </c>
      <c r="P66" s="67">
        <f t="shared" ca="1" si="34"/>
        <v>0</v>
      </c>
      <c r="Q66" s="68">
        <f t="shared" ca="1" si="35"/>
        <v>0</v>
      </c>
      <c r="R66" s="197">
        <f ca="1">IFERROR(__xludf.DUMMYFUNCTION("IMPORTRANGE(""https://docs.google.com/spreadsheets/d/19KBlQQs7uwvsao6t2n-KvW3Ax8J8uRRfZPq1zPbXgKc/edit?usp=sharing"",""ระยอง!Q303"")"),166057.24)</f>
        <v>166057.24</v>
      </c>
      <c r="S66" s="67">
        <f ca="1">IFERROR(__xludf.DUMMYFUNCTION("IMPORTRANGE(""https://docs.google.com/spreadsheets/d/19KBlQQs7uwvsao6t2n-KvW3Ax8J8uRRfZPq1zPbXgKc/edit?usp=sharing"",""ระยอง!R303"")"),170257)</f>
        <v>170257</v>
      </c>
      <c r="T66" s="67">
        <f ca="1">IFERROR(__xludf.DUMMYFUNCTION("IMPORTRANGE(""https://docs.google.com/spreadsheets/d/19KBlQQs7uwvsao6t2n-KvW3Ax8J8uRRfZPq1zPbXgKc/edit?usp=sharing"",""ระยอง!S303"")"),90985)</f>
        <v>90985</v>
      </c>
      <c r="U66" s="68">
        <f t="shared" ca="1" si="37"/>
        <v>54.791347850897679</v>
      </c>
      <c r="V66" s="68">
        <f t="shared" ca="1" si="38"/>
        <v>53.439799832018657</v>
      </c>
      <c r="W66" s="278" t="str">
        <f ca="1">IFERROR(__xludf.DUMMYFUNCTION("IMPORTRANGE(""https://docs.google.com/spreadsheets/d/19KBlQQs7uwvsao6t2n-KvW3Ax8J8uRRfZPq1zPbXgKc/edit?usp=sharing"",""ระยอง!J313"")"),"")</f>
        <v/>
      </c>
      <c r="X66" s="278">
        <f ca="1">IFERROR(__xludf.DUMMYFUNCTION("IMPORTRANGE(""https://docs.google.com/spreadsheets/d/19KBlQQs7uwvsao6t2n-KvW3Ax8J8uRRfZPq1zPbXgKc/edit?usp=sharing"",""ระยอง!I314"")"),25)</f>
        <v>25</v>
      </c>
      <c r="Y66" s="152">
        <f ca="1">IFERROR(__xludf.DUMMYFUNCTION("IMPORTRANGE(""https://docs.google.com/spreadsheets/d/19KBlQQs7uwvsao6t2n-KvW3Ax8J8uRRfZPq1zPbXgKc/edit?usp=sharing"",""ระยอง!J314"")"),25)</f>
        <v>25</v>
      </c>
      <c r="Z66" s="216">
        <f t="shared" ca="1" si="40"/>
        <v>100</v>
      </c>
      <c r="AA66" s="278" t="str">
        <f ca="1">IFERROR(__xludf.DUMMYFUNCTION("IMPORTRANGE(""https://docs.google.com/spreadsheets/d/19KBlQQs7uwvsao6t2n-KvW3Ax8J8uRRfZPq1zPbXgKc/edit?usp=sharing"",""ระยอง!I315"")"),"")</f>
        <v/>
      </c>
      <c r="AB66" s="152" t="str">
        <f ca="1">IFERROR(__xludf.DUMMYFUNCTION("IMPORTRANGE(""https://docs.google.com/spreadsheets/d/19KBlQQs7uwvsao6t2n-KvW3Ax8J8uRRfZPq1zPbXgKc/edit?usp=sharing"",""ระยอง!J315"")"),"")</f>
        <v/>
      </c>
      <c r="AC66" s="216" t="e">
        <f t="shared" ca="1" si="42"/>
        <v>#VALUE!</v>
      </c>
      <c r="AD66" s="278" t="str">
        <f ca="1">IFERROR(__xludf.DUMMYFUNCTION("IMPORTRANGE(""https://docs.google.com/spreadsheets/d/19KBlQQs7uwvsao6t2n-KvW3Ax8J8uRRfZPq1zPbXgKc/edit?usp=sharing"",""ระยอง!I316"")"),"")</f>
        <v/>
      </c>
      <c r="AE66" s="152" t="str">
        <f ca="1">IFERROR(__xludf.DUMMYFUNCTION("IMPORTRANGE(""https://docs.google.com/spreadsheets/d/19KBlQQs7uwvsao6t2n-KvW3Ax8J8uRRfZPq1zPbXgKc/edit?usp=sharing"",""ระยอง!J316"")"),"")</f>
        <v/>
      </c>
      <c r="AF66" s="216" t="e">
        <f t="shared" ca="1" si="44"/>
        <v>#VALUE!</v>
      </c>
      <c r="AG66" s="278" t="str">
        <f ca="1">IFERROR(__xludf.DUMMYFUNCTION("IMPORTRANGE(""https://docs.google.com/spreadsheets/d/19KBlQQs7uwvsao6t2n-KvW3Ax8J8uRRfZPq1zPbXgKc/edit?usp=sharing"",""ระยอง!I317"")"),"")</f>
        <v/>
      </c>
      <c r="AH66" s="152" t="str">
        <f ca="1">IFERROR(__xludf.DUMMYFUNCTION("IMPORTRANGE(""https://docs.google.com/spreadsheets/d/19KBlQQs7uwvsao6t2n-KvW3Ax8J8uRRfZPq1zPbXgKc/edit?usp=sharing"",""ระยอง!J317"")"),"")</f>
        <v/>
      </c>
      <c r="AI66" s="216" t="e">
        <f t="shared" ca="1" si="46"/>
        <v>#VALUE!</v>
      </c>
    </row>
    <row r="67" spans="1:35" ht="21" customHeight="1" x14ac:dyDescent="0.3">
      <c r="A67" s="70">
        <v>15</v>
      </c>
      <c r="B67" s="71" t="s">
        <v>95</v>
      </c>
      <c r="C67" s="149">
        <f t="shared" ca="1" si="28"/>
        <v>0</v>
      </c>
      <c r="D67" s="150">
        <f t="shared" ca="1" si="61"/>
        <v>0</v>
      </c>
      <c r="E67" s="151">
        <f ca="1">IFERROR(__xludf.DUMMYFUNCTION("IMPORTRANGE(""https://docs.google.com/spreadsheets/d/1-uDff_7J0KD5mKrp0Vvzr7lt3OU09vwQwhkpOPPYv2Y/edit?usp=sharing"",""งบพรบ!DZ67"")"),0)</f>
        <v>0</v>
      </c>
      <c r="F67" s="151">
        <f ca="1">IFERROR(__xludf.DUMMYFUNCTION("IMPORTRANGE(""https://docs.google.com/spreadsheets/d/1-uDff_7J0KD5mKrp0Vvzr7lt3OU09vwQwhkpOPPYv2Y/edit?usp=sharing"",""งบพรบ!EA67"")"),0)</f>
        <v>0</v>
      </c>
      <c r="G67" s="151">
        <f ca="1">IFERROR(__xludf.DUMMYFUNCTION("IMPORTRANGE(""https://docs.google.com/spreadsheets/d/1-uDff_7J0KD5mKrp0Vvzr7lt3OU09vwQwhkpOPPYv2Y/edit?usp=sharing"",""งบพรบ!EB67"")"),0)</f>
        <v>0</v>
      </c>
      <c r="H67" s="151">
        <f ca="1">IFERROR(__xludf.DUMMYFUNCTION("IMPORTRANGE(""https://docs.google.com/spreadsheets/d/1-uDff_7J0KD5mKrp0Vvzr7lt3OU09vwQwhkpOPPYv2Y/edit?usp=sharing"",""งบพรบ!ED67"")"),0)</f>
        <v>0</v>
      </c>
      <c r="I67" s="151">
        <f ca="1">IFERROR(__xludf.DUMMYFUNCTION("IMPORTRANGE(""https://docs.google.com/spreadsheets/d/1-uDff_7J0KD5mKrp0Vvzr7lt3OU09vwQwhkpOPPYv2Y/edit?usp=sharing"",""งบพรบ!EE67"")"),0)</f>
        <v>0</v>
      </c>
      <c r="J67" s="151">
        <f t="shared" ca="1" si="30"/>
        <v>0</v>
      </c>
      <c r="K67" s="154">
        <f t="shared" ca="1" si="31"/>
        <v>0</v>
      </c>
      <c r="L67" s="151">
        <f ca="1">IFERROR(__xludf.DUMMYFUNCTION("IMPORTRANGE(""https://docs.google.com/spreadsheets/d/1-uDff_7J0KD5mKrp0Vvzr7lt3OU09vwQwhkpOPPYv2Y/edit?usp=sharing"",""งบพรบ!EF67"")"),0)</f>
        <v>0</v>
      </c>
      <c r="M67" s="68">
        <f t="shared" ca="1" si="32"/>
        <v>0</v>
      </c>
      <c r="N67" s="68">
        <f t="shared" ca="1" si="33"/>
        <v>0</v>
      </c>
      <c r="O67" s="67">
        <f ca="1">IFERROR(__xludf.DUMMYFUNCTION("IMPORTRANGE(""https://docs.google.com/spreadsheets/d/1-uDff_7J0KD5mKrp0Vvzr7lt3OU09vwQwhkpOPPYv2Y/edit?usp=sharing"",""งบพรบ!EG67"")"),0)</f>
        <v>0</v>
      </c>
      <c r="P67" s="67">
        <f t="shared" ca="1" si="34"/>
        <v>0</v>
      </c>
      <c r="Q67" s="68">
        <f t="shared" ca="1" si="35"/>
        <v>0</v>
      </c>
      <c r="R67" s="197">
        <f ca="1">IFERROR(__xludf.DUMMYFUNCTION("IMPORTRANGE(""https://docs.google.com/spreadsheets/d/1jQ6P4QcrGM89YfqcC_PxOHGCMq5ezhucwJd8ci-NHng/edit?usp=sharing"",""ราชบุรี!Q303"")"),260958.39)</f>
        <v>260958.39</v>
      </c>
      <c r="S67" s="67">
        <f ca="1">IFERROR(__xludf.DUMMYFUNCTION("IMPORTRANGE(""https://docs.google.com/spreadsheets/d/1jQ6P4QcrGM89YfqcC_PxOHGCMq5ezhucwJd8ci-NHng/edit?usp=sharing"",""ราชบุรี!R303"")"),265158)</f>
        <v>265158</v>
      </c>
      <c r="T67" s="67">
        <f ca="1">IFERROR(__xludf.DUMMYFUNCTION("IMPORTRANGE(""https://docs.google.com/spreadsheets/d/1jQ6P4QcrGM89YfqcC_PxOHGCMq5ezhucwJd8ci-NHng/edit?usp=sharing"",""ราชบุรี!S303"")"),173570)</f>
        <v>173570</v>
      </c>
      <c r="U67" s="68">
        <f t="shared" ca="1" si="37"/>
        <v>66.512519486344161</v>
      </c>
      <c r="V67" s="68">
        <f t="shared" ca="1" si="38"/>
        <v>65.459084772098151</v>
      </c>
      <c r="W67" s="278" t="str">
        <f ca="1">IFERROR(__xludf.DUMMYFUNCTION("IMPORTRANGE(""https://docs.google.com/spreadsheets/d/1jQ6P4QcrGM89YfqcC_PxOHGCMq5ezhucwJd8ci-NHng/edit?usp=sharing"",""ราชบุรี!J313"")"),"")</f>
        <v/>
      </c>
      <c r="X67" s="279">
        <f ca="1">IFERROR(__xludf.DUMMYFUNCTION("IMPORTRANGE(""https://docs.google.com/spreadsheets/d/1jQ6P4QcrGM89YfqcC_PxOHGCMq5ezhucwJd8ci-NHng/edit?usp=sharing"",""ราชบุรี!I314"")"),30)</f>
        <v>30</v>
      </c>
      <c r="Y67" s="152">
        <f ca="1">IFERROR(__xludf.DUMMYFUNCTION("IMPORTRANGE(""https://docs.google.com/spreadsheets/d/1jQ6P4QcrGM89YfqcC_PxOHGCMq5ezhucwJd8ci-NHng/edit?usp=sharing"",""ราชบุรี!J314"")"),30)</f>
        <v>30</v>
      </c>
      <c r="Z67" s="216">
        <f t="shared" ca="1" si="40"/>
        <v>100</v>
      </c>
      <c r="AA67" s="279" t="str">
        <f ca="1">IFERROR(__xludf.DUMMYFUNCTION("IMPORTRANGE(""https://docs.google.com/spreadsheets/d/1jQ6P4QcrGM89YfqcC_PxOHGCMq5ezhucwJd8ci-NHng/edit?usp=sharing"",""ราชบุรี!I315"")"),"")</f>
        <v/>
      </c>
      <c r="AB67" s="152" t="str">
        <f ca="1">IFERROR(__xludf.DUMMYFUNCTION("IMPORTRANGE(""https://docs.google.com/spreadsheets/d/1jQ6P4QcrGM89YfqcC_PxOHGCMq5ezhucwJd8ci-NHng/edit?usp=sharing"",""ราชบุรี!J315"")"),"")</f>
        <v/>
      </c>
      <c r="AC67" s="216" t="e">
        <f t="shared" ca="1" si="42"/>
        <v>#VALUE!</v>
      </c>
      <c r="AD67" s="279" t="str">
        <f ca="1">IFERROR(__xludf.DUMMYFUNCTION("IMPORTRANGE(""https://docs.google.com/spreadsheets/d/1jQ6P4QcrGM89YfqcC_PxOHGCMq5ezhucwJd8ci-NHng/edit?usp=sharing"",""ราชบุรี!I316"")"),"")</f>
        <v/>
      </c>
      <c r="AE67" s="152" t="str">
        <f ca="1">IFERROR(__xludf.DUMMYFUNCTION("IMPORTRANGE(""https://docs.google.com/spreadsheets/d/1jQ6P4QcrGM89YfqcC_PxOHGCMq5ezhucwJd8ci-NHng/edit?usp=sharing"",""ราชบุรี!J316"")"),"")</f>
        <v/>
      </c>
      <c r="AF67" s="216" t="e">
        <f t="shared" ca="1" si="44"/>
        <v>#VALUE!</v>
      </c>
      <c r="AG67" s="279" t="str">
        <f ca="1">IFERROR(__xludf.DUMMYFUNCTION("IMPORTRANGE(""https://docs.google.com/spreadsheets/d/1jQ6P4QcrGM89YfqcC_PxOHGCMq5ezhucwJd8ci-NHng/edit?usp=sharing"",""ราชบุรี!I317"")"),"")</f>
        <v/>
      </c>
      <c r="AH67" s="152" t="str">
        <f ca="1">IFERROR(__xludf.DUMMYFUNCTION("IMPORTRANGE(""https://docs.google.com/spreadsheets/d/1jQ6P4QcrGM89YfqcC_PxOHGCMq5ezhucwJd8ci-NHng/edit?usp=sharing"",""ราชบุรี!J317"")"),"")</f>
        <v/>
      </c>
      <c r="AI67" s="216" t="e">
        <f t="shared" ca="1" si="46"/>
        <v>#VALUE!</v>
      </c>
    </row>
    <row r="68" spans="1:35" ht="24" customHeight="1" x14ac:dyDescent="0.3">
      <c r="A68" s="70">
        <v>16</v>
      </c>
      <c r="B68" s="71" t="s">
        <v>96</v>
      </c>
      <c r="C68" s="149">
        <f t="shared" ca="1" si="28"/>
        <v>286100</v>
      </c>
      <c r="D68" s="150">
        <f t="shared" ca="1" si="61"/>
        <v>286100</v>
      </c>
      <c r="E68" s="151">
        <f ca="1">IFERROR(__xludf.DUMMYFUNCTION("IMPORTRANGE(""https://docs.google.com/spreadsheets/d/1-uDff_7J0KD5mKrp0Vvzr7lt3OU09vwQwhkpOPPYv2Y/edit?usp=sharing"",""งบพรบ!DZ68"")"),160600)</f>
        <v>160600</v>
      </c>
      <c r="F68" s="151">
        <f ca="1">IFERROR(__xludf.DUMMYFUNCTION("IMPORTRANGE(""https://docs.google.com/spreadsheets/d/1-uDff_7J0KD5mKrp0Vvzr7lt3OU09vwQwhkpOPPYv2Y/edit?usp=sharing"",""งบพรบ!EA68"")"),125500)</f>
        <v>125500</v>
      </c>
      <c r="G68" s="151">
        <f ca="1">IFERROR(__xludf.DUMMYFUNCTION("IMPORTRANGE(""https://docs.google.com/spreadsheets/d/1-uDff_7J0KD5mKrp0Vvzr7lt3OU09vwQwhkpOPPYv2Y/edit?usp=sharing"",""งบพรบ!EB68"")"),0)</f>
        <v>0</v>
      </c>
      <c r="H68" s="151">
        <f ca="1">IFERROR(__xludf.DUMMYFUNCTION("IMPORTRANGE(""https://docs.google.com/spreadsheets/d/1-uDff_7J0KD5mKrp0Vvzr7lt3OU09vwQwhkpOPPYv2Y/edit?usp=sharing"",""งบพรบ!ED68"")"),380260)</f>
        <v>380260</v>
      </c>
      <c r="I68" s="151">
        <f ca="1">IFERROR(__xludf.DUMMYFUNCTION("IMPORTRANGE(""https://docs.google.com/spreadsheets/d/1-uDff_7J0KD5mKrp0Vvzr7lt3OU09vwQwhkpOPPYv2Y/edit?usp=sharing"",""งบพรบ!EE68"")"),0)</f>
        <v>0</v>
      </c>
      <c r="J68" s="151">
        <f t="shared" ca="1" si="30"/>
        <v>326666</v>
      </c>
      <c r="K68" s="154">
        <f t="shared" ca="1" si="31"/>
        <v>114.17895840615169</v>
      </c>
      <c r="L68" s="151">
        <f ca="1">IFERROR(__xludf.DUMMYFUNCTION("IMPORTRANGE(""https://docs.google.com/spreadsheets/d/1-uDff_7J0KD5mKrp0Vvzr7lt3OU09vwQwhkpOPPYv2Y/edit?usp=sharing"",""งบพรบ!EF68"")"),326666)</f>
        <v>326666</v>
      </c>
      <c r="M68" s="68">
        <f t="shared" ca="1" si="32"/>
        <v>114.17895840615169</v>
      </c>
      <c r="N68" s="68">
        <f t="shared" ca="1" si="33"/>
        <v>85.905959080629046</v>
      </c>
      <c r="O68" s="67">
        <f ca="1">IFERROR(__xludf.DUMMYFUNCTION("IMPORTRANGE(""https://docs.google.com/spreadsheets/d/1-uDff_7J0KD5mKrp0Vvzr7lt3OU09vwQwhkpOPPYv2Y/edit?usp=sharing"",""งบพรบ!EG68"")"),0)</f>
        <v>0</v>
      </c>
      <c r="P68" s="67">
        <f t="shared" ca="1" si="34"/>
        <v>0</v>
      </c>
      <c r="Q68" s="68">
        <f t="shared" ca="1" si="35"/>
        <v>0</v>
      </c>
      <c r="R68" s="197">
        <f ca="1">IFERROR(__xludf.DUMMYFUNCTION("IMPORTRANGE(""https://docs.google.com/spreadsheets/d/1lufeA2cfFqM-elVq2hznhDzC6Pr7wkJ9ZG_sYNGCMCU/edit?usp=sharing"",""ลพบุรี!Q303"")"),166057.24)</f>
        <v>166057.24</v>
      </c>
      <c r="S68" s="67">
        <f ca="1">IFERROR(__xludf.DUMMYFUNCTION("IMPORTRANGE(""https://docs.google.com/spreadsheets/d/1lufeA2cfFqM-elVq2hznhDzC6Pr7wkJ9ZG_sYNGCMCU/edit?usp=sharing"",""ลพบุรี!R303"")"),170257)</f>
        <v>170257</v>
      </c>
      <c r="T68" s="67">
        <f ca="1">IFERROR(__xludf.DUMMYFUNCTION("IMPORTRANGE(""https://docs.google.com/spreadsheets/d/1lufeA2cfFqM-elVq2hznhDzC6Pr7wkJ9ZG_sYNGCMCU/edit?usp=sharing"",""ลพบุรี!S303"")"),42140)</f>
        <v>42140</v>
      </c>
      <c r="U68" s="68">
        <f t="shared" ca="1" si="37"/>
        <v>25.376791761684107</v>
      </c>
      <c r="V68" s="68">
        <f t="shared" ca="1" si="38"/>
        <v>24.750817881203123</v>
      </c>
      <c r="W68" s="278" t="str">
        <f ca="1">IFERROR(__xludf.DUMMYFUNCTION("IMPORTRANGE(""https://docs.google.com/spreadsheets/d/1lufeA2cfFqM-elVq2hznhDzC6Pr7wkJ9ZG_sYNGCMCU/edit?usp=sharing"",""ลพบุรี!J313"")"),"")</f>
        <v/>
      </c>
      <c r="X68" s="278">
        <f ca="1">IFERROR(__xludf.DUMMYFUNCTION("IMPORTRANGE(""https://docs.google.com/spreadsheets/d/1lufeA2cfFqM-elVq2hznhDzC6Pr7wkJ9ZG_sYNGCMCU/edit?usp=sharing"",""ลพบุรี!I314"")"),25)</f>
        <v>25</v>
      </c>
      <c r="Y68" s="152">
        <f ca="1">IFERROR(__xludf.DUMMYFUNCTION("IMPORTRANGE(""https://docs.google.com/spreadsheets/d/1lufeA2cfFqM-elVq2hznhDzC6Pr7wkJ9ZG_sYNGCMCU/edit?usp=sharing"",""ลพบุรี!J314"")"),25)</f>
        <v>25</v>
      </c>
      <c r="Z68" s="216">
        <f t="shared" ca="1" si="40"/>
        <v>100</v>
      </c>
      <c r="AA68" s="278" t="str">
        <f ca="1">IFERROR(__xludf.DUMMYFUNCTION("IMPORTRANGE(""https://docs.google.com/spreadsheets/d/1lufeA2cfFqM-elVq2hznhDzC6Pr7wkJ9ZG_sYNGCMCU/edit?usp=sharing"",""ลพบุรี!I315"")"),"")</f>
        <v/>
      </c>
      <c r="AB68" s="152" t="str">
        <f ca="1">IFERROR(__xludf.DUMMYFUNCTION("IMPORTRANGE(""https://docs.google.com/spreadsheets/d/1lufeA2cfFqM-elVq2hznhDzC6Pr7wkJ9ZG_sYNGCMCU/edit?usp=sharing"",""ลพบุรี!J315"")"),"")</f>
        <v/>
      </c>
      <c r="AC68" s="216" t="e">
        <f t="shared" ca="1" si="42"/>
        <v>#VALUE!</v>
      </c>
      <c r="AD68" s="278" t="str">
        <f ca="1">IFERROR(__xludf.DUMMYFUNCTION("IMPORTRANGE(""https://docs.google.com/spreadsheets/d/1lufeA2cfFqM-elVq2hznhDzC6Pr7wkJ9ZG_sYNGCMCU/edit?usp=sharing"",""ลพบุรี!I316"")"),"")</f>
        <v/>
      </c>
      <c r="AE68" s="152" t="str">
        <f ca="1">IFERROR(__xludf.DUMMYFUNCTION("IMPORTRANGE(""https://docs.google.com/spreadsheets/d/1lufeA2cfFqM-elVq2hznhDzC6Pr7wkJ9ZG_sYNGCMCU/edit?usp=sharing"",""ลพบุรี!J316"")"),"")</f>
        <v/>
      </c>
      <c r="AF68" s="216" t="e">
        <f t="shared" ca="1" si="44"/>
        <v>#VALUE!</v>
      </c>
      <c r="AG68" s="278" t="str">
        <f ca="1">IFERROR(__xludf.DUMMYFUNCTION("IMPORTRANGE(""https://docs.google.com/spreadsheets/d/1lufeA2cfFqM-elVq2hznhDzC6Pr7wkJ9ZG_sYNGCMCU/edit?usp=sharing"",""ลพบุรี!I317"")"),"")</f>
        <v/>
      </c>
      <c r="AH68" s="152" t="str">
        <f ca="1">IFERROR(__xludf.DUMMYFUNCTION("IMPORTRANGE(""https://docs.google.com/spreadsheets/d/1lufeA2cfFqM-elVq2hznhDzC6Pr7wkJ9ZG_sYNGCMCU/edit?usp=sharing"",""ลพบุรี!J317"")"),"")</f>
        <v/>
      </c>
      <c r="AI68" s="216" t="e">
        <f t="shared" ca="1" si="46"/>
        <v>#VALUE!</v>
      </c>
    </row>
    <row r="69" spans="1:35" ht="21" customHeight="1" x14ac:dyDescent="0.3">
      <c r="A69" s="70">
        <v>17</v>
      </c>
      <c r="B69" s="71" t="s">
        <v>97</v>
      </c>
      <c r="C69" s="149">
        <f t="shared" ca="1" si="28"/>
        <v>0</v>
      </c>
      <c r="D69" s="150">
        <f t="shared" ca="1" si="61"/>
        <v>0</v>
      </c>
      <c r="E69" s="151">
        <f ca="1">IFERROR(__xludf.DUMMYFUNCTION("IMPORTRANGE(""https://docs.google.com/spreadsheets/d/1-uDff_7J0KD5mKrp0Vvzr7lt3OU09vwQwhkpOPPYv2Y/edit?usp=sharing"",""งบพรบ!DZ69"")"),0)</f>
        <v>0</v>
      </c>
      <c r="F69" s="151">
        <f ca="1">IFERROR(__xludf.DUMMYFUNCTION("IMPORTRANGE(""https://docs.google.com/spreadsheets/d/1-uDff_7J0KD5mKrp0Vvzr7lt3OU09vwQwhkpOPPYv2Y/edit?usp=sharing"",""งบพรบ!EA69"")"),0)</f>
        <v>0</v>
      </c>
      <c r="G69" s="151">
        <f ca="1">IFERROR(__xludf.DUMMYFUNCTION("IMPORTRANGE(""https://docs.google.com/spreadsheets/d/1-uDff_7J0KD5mKrp0Vvzr7lt3OU09vwQwhkpOPPYv2Y/edit?usp=sharing"",""งบพรบ!EB69"")"),0)</f>
        <v>0</v>
      </c>
      <c r="H69" s="151">
        <f ca="1">IFERROR(__xludf.DUMMYFUNCTION("IMPORTRANGE(""https://docs.google.com/spreadsheets/d/1-uDff_7J0KD5mKrp0Vvzr7lt3OU09vwQwhkpOPPYv2Y/edit?usp=sharing"",""งบพรบ!ED69"")"),133360)</f>
        <v>133360</v>
      </c>
      <c r="I69" s="151">
        <f ca="1">IFERROR(__xludf.DUMMYFUNCTION("IMPORTRANGE(""https://docs.google.com/spreadsheets/d/1-uDff_7J0KD5mKrp0Vvzr7lt3OU09vwQwhkpOPPYv2Y/edit?usp=sharing"",""งบพรบ!EE69"")"),0)</f>
        <v>0</v>
      </c>
      <c r="J69" s="151">
        <f t="shared" ca="1" si="30"/>
        <v>108740</v>
      </c>
      <c r="K69" s="154">
        <f t="shared" ca="1" si="31"/>
        <v>0</v>
      </c>
      <c r="L69" s="151">
        <f ca="1">IFERROR(__xludf.DUMMYFUNCTION("IMPORTRANGE(""https://docs.google.com/spreadsheets/d/1-uDff_7J0KD5mKrp0Vvzr7lt3OU09vwQwhkpOPPYv2Y/edit?usp=sharing"",""งบพรบ!EF69"")"),108740)</f>
        <v>108740</v>
      </c>
      <c r="M69" s="68">
        <f t="shared" ca="1" si="32"/>
        <v>0</v>
      </c>
      <c r="N69" s="68">
        <f t="shared" ca="1" si="33"/>
        <v>81.538692261547695</v>
      </c>
      <c r="O69" s="67">
        <f ca="1">IFERROR(__xludf.DUMMYFUNCTION("IMPORTRANGE(""https://docs.google.com/spreadsheets/d/1-uDff_7J0KD5mKrp0Vvzr7lt3OU09vwQwhkpOPPYv2Y/edit?usp=sharing"",""งบพรบ!EG69"")"),0)</f>
        <v>0</v>
      </c>
      <c r="P69" s="67">
        <f t="shared" ca="1" si="34"/>
        <v>0</v>
      </c>
      <c r="Q69" s="68">
        <f t="shared" ca="1" si="35"/>
        <v>0</v>
      </c>
      <c r="R69" s="197">
        <f ca="1">IFERROR(__xludf.DUMMYFUNCTION("IMPORTRANGE(""https://docs.google.com/spreadsheets/d/10oOiF7loTyfsTkbd4MpaIm0HQ9SwB7IYHdIUvt-U1Uc/edit?usp=sharing"",""สระแก้ว!Q303"")"),0)</f>
        <v>0</v>
      </c>
      <c r="S69" s="67">
        <f ca="1">IFERROR(__xludf.DUMMYFUNCTION("IMPORTRANGE(""https://docs.google.com/spreadsheets/d/10oOiF7loTyfsTkbd4MpaIm0HQ9SwB7IYHdIUvt-U1Uc/edit?usp=sharing"",""สระแก้ว!R303"")"),0)</f>
        <v>0</v>
      </c>
      <c r="T69" s="67">
        <f ca="1">IFERROR(__xludf.DUMMYFUNCTION("IMPORTRANGE(""https://docs.google.com/spreadsheets/d/10oOiF7loTyfsTkbd4MpaIm0HQ9SwB7IYHdIUvt-U1Uc/edit?usp=sharing"",""สระแก้ว!S303"")"),0)</f>
        <v>0</v>
      </c>
      <c r="U69" s="68">
        <f t="shared" ca="1" si="37"/>
        <v>0</v>
      </c>
      <c r="V69" s="68">
        <f t="shared" ca="1" si="38"/>
        <v>0</v>
      </c>
      <c r="W69" s="278" t="str">
        <f ca="1">IFERROR(__xludf.DUMMYFUNCTION("IMPORTRANGE(""https://docs.google.com/spreadsheets/d/10oOiF7loTyfsTkbd4MpaIm0HQ9SwB7IYHdIUvt-U1Uc/edit?usp=sharing"",""สระแก้ว!J313"")"),"")</f>
        <v/>
      </c>
      <c r="X69" s="278">
        <f ca="1">IFERROR(__xludf.DUMMYFUNCTION("IMPORTRANGE(""https://docs.google.com/spreadsheets/d/10oOiF7loTyfsTkbd4MpaIm0HQ9SwB7IYHdIUvt-U1Uc/edit?usp=sharing"",""สระแก้ว!I314"")"),0)</f>
        <v>0</v>
      </c>
      <c r="Y69" s="152">
        <f ca="1">IFERROR(__xludf.DUMMYFUNCTION("IMPORTRANGE(""https://docs.google.com/spreadsheets/d/10oOiF7loTyfsTkbd4MpaIm0HQ9SwB7IYHdIUvt-U1Uc/edit?usp=sharing"",""สระแก้ว!J314"")"),0)</f>
        <v>0</v>
      </c>
      <c r="Z69" s="216">
        <f t="shared" ca="1" si="40"/>
        <v>0</v>
      </c>
      <c r="AA69" s="278" t="str">
        <f ca="1">IFERROR(__xludf.DUMMYFUNCTION("IMPORTRANGE(""https://docs.google.com/spreadsheets/d/10oOiF7loTyfsTkbd4MpaIm0HQ9SwB7IYHdIUvt-U1Uc/edit?usp=sharing"",""สระแก้ว!I315"")"),"")</f>
        <v/>
      </c>
      <c r="AB69" s="152" t="str">
        <f ca="1">IFERROR(__xludf.DUMMYFUNCTION("IMPORTRANGE(""https://docs.google.com/spreadsheets/d/10oOiF7loTyfsTkbd4MpaIm0HQ9SwB7IYHdIUvt-U1Uc/edit?usp=sharing"",""สระแก้ว!J315"")"),"")</f>
        <v/>
      </c>
      <c r="AC69" s="216">
        <f t="shared" ca="1" si="42"/>
        <v>0</v>
      </c>
      <c r="AD69" s="278" t="str">
        <f ca="1">IFERROR(__xludf.DUMMYFUNCTION("IMPORTRANGE(""https://docs.google.com/spreadsheets/d/10oOiF7loTyfsTkbd4MpaIm0HQ9SwB7IYHdIUvt-U1Uc/edit?usp=sharing"",""สระแก้ว!I316"")"),"")</f>
        <v/>
      </c>
      <c r="AE69" s="152" t="str">
        <f ca="1">IFERROR(__xludf.DUMMYFUNCTION("IMPORTRANGE(""https://docs.google.com/spreadsheets/d/10oOiF7loTyfsTkbd4MpaIm0HQ9SwB7IYHdIUvt-U1Uc/edit?usp=sharing"",""สระแก้ว!J316"")"),"")</f>
        <v/>
      </c>
      <c r="AF69" s="216" t="e">
        <f t="shared" ca="1" si="44"/>
        <v>#VALUE!</v>
      </c>
      <c r="AG69" s="278" t="str">
        <f ca="1">IFERROR(__xludf.DUMMYFUNCTION("IMPORTRANGE(""https://docs.google.com/spreadsheets/d/10oOiF7loTyfsTkbd4MpaIm0HQ9SwB7IYHdIUvt-U1Uc/edit?usp=sharing"",""สระแก้ว!I317"")"),"")</f>
        <v/>
      </c>
      <c r="AH69" s="152" t="str">
        <f ca="1">IFERROR(__xludf.DUMMYFUNCTION("IMPORTRANGE(""https://docs.google.com/spreadsheets/d/10oOiF7loTyfsTkbd4MpaIm0HQ9SwB7IYHdIUvt-U1Uc/edit?usp=sharing"",""สระแก้ว!J317"")"),"")</f>
        <v/>
      </c>
      <c r="AI69" s="216" t="e">
        <f t="shared" ca="1" si="46"/>
        <v>#VALUE!</v>
      </c>
    </row>
    <row r="70" spans="1:35" ht="21" customHeight="1" x14ac:dyDescent="0.3">
      <c r="A70" s="70">
        <v>18</v>
      </c>
      <c r="B70" s="71" t="s">
        <v>98</v>
      </c>
      <c r="C70" s="149">
        <f t="shared" ca="1" si="28"/>
        <v>0</v>
      </c>
      <c r="D70" s="150">
        <f t="shared" ca="1" si="61"/>
        <v>0</v>
      </c>
      <c r="E70" s="151">
        <f ca="1">IFERROR(__xludf.DUMMYFUNCTION("IMPORTRANGE(""https://docs.google.com/spreadsheets/d/1-uDff_7J0KD5mKrp0Vvzr7lt3OU09vwQwhkpOPPYv2Y/edit?usp=sharing"",""งบพรบ!DZ70"")"),0)</f>
        <v>0</v>
      </c>
      <c r="F70" s="151">
        <f ca="1">IFERROR(__xludf.DUMMYFUNCTION("IMPORTRANGE(""https://docs.google.com/spreadsheets/d/1-uDff_7J0KD5mKrp0Vvzr7lt3OU09vwQwhkpOPPYv2Y/edit?usp=sharing"",""งบพรบ!EA70"")"),0)</f>
        <v>0</v>
      </c>
      <c r="G70" s="151">
        <f ca="1">IFERROR(__xludf.DUMMYFUNCTION("IMPORTRANGE(""https://docs.google.com/spreadsheets/d/1-uDff_7J0KD5mKrp0Vvzr7lt3OU09vwQwhkpOPPYv2Y/edit?usp=sharing"",""งบพรบ!EB70"")"),0)</f>
        <v>0</v>
      </c>
      <c r="H70" s="151">
        <f ca="1">IFERROR(__xludf.DUMMYFUNCTION("IMPORTRANGE(""https://docs.google.com/spreadsheets/d/1-uDff_7J0KD5mKrp0Vvzr7lt3OU09vwQwhkpOPPYv2Y/edit?usp=sharing"",""งบพรบ!ED70"")"),81360)</f>
        <v>81360</v>
      </c>
      <c r="I70" s="151">
        <f ca="1">IFERROR(__xludf.DUMMYFUNCTION("IMPORTRANGE(""https://docs.google.com/spreadsheets/d/1-uDff_7J0KD5mKrp0Vvzr7lt3OU09vwQwhkpOPPYv2Y/edit?usp=sharing"",""งบพรบ!EE70"")"),0)</f>
        <v>0</v>
      </c>
      <c r="J70" s="151">
        <f t="shared" ca="1" si="30"/>
        <v>34400</v>
      </c>
      <c r="K70" s="154">
        <f t="shared" ca="1" si="31"/>
        <v>0</v>
      </c>
      <c r="L70" s="151">
        <f ca="1">IFERROR(__xludf.DUMMYFUNCTION("IMPORTRANGE(""https://docs.google.com/spreadsheets/d/1-uDff_7J0KD5mKrp0Vvzr7lt3OU09vwQwhkpOPPYv2Y/edit?usp=sharing"",""งบพรบ!EF70"")"),34400)</f>
        <v>34400</v>
      </c>
      <c r="M70" s="68">
        <f t="shared" ca="1" si="32"/>
        <v>0</v>
      </c>
      <c r="N70" s="68">
        <f t="shared" ca="1" si="33"/>
        <v>42.281219272369718</v>
      </c>
      <c r="O70" s="67">
        <f ca="1">IFERROR(__xludf.DUMMYFUNCTION("IMPORTRANGE(""https://docs.google.com/spreadsheets/d/1-uDff_7J0KD5mKrp0Vvzr7lt3OU09vwQwhkpOPPYv2Y/edit?usp=sharing"",""งบพรบ!EG70"")"),0)</f>
        <v>0</v>
      </c>
      <c r="P70" s="67">
        <f t="shared" ca="1" si="34"/>
        <v>0</v>
      </c>
      <c r="Q70" s="68">
        <f t="shared" ca="1" si="35"/>
        <v>0</v>
      </c>
      <c r="R70" s="197">
        <f ca="1">IFERROR(__xludf.DUMMYFUNCTION("IMPORTRANGE(""https://docs.google.com/spreadsheets/d/1xmPlrr1QbdSIKvl1dWUl9K4PjAfSL9oeMr_37QVzcxc/edit?usp=sharing"",""สระบุรี!Q303"")"),260958.39)</f>
        <v>260958.39</v>
      </c>
      <c r="S70" s="67">
        <f ca="1">IFERROR(__xludf.DUMMYFUNCTION("IMPORTRANGE(""https://docs.google.com/spreadsheets/d/1xmPlrr1QbdSIKvl1dWUl9K4PjAfSL9oeMr_37QVzcxc/edit?usp=sharing"",""สระบุรี!R303"")"),265158)</f>
        <v>265158</v>
      </c>
      <c r="T70" s="67">
        <f ca="1">IFERROR(__xludf.DUMMYFUNCTION("IMPORTRANGE(""https://docs.google.com/spreadsheets/d/1xmPlrr1QbdSIKvl1dWUl9K4PjAfSL9oeMr_37QVzcxc/edit?usp=sharing"",""สระบุรี!S303"")"),233660)</f>
        <v>233660</v>
      </c>
      <c r="U70" s="68">
        <f t="shared" ca="1" si="37"/>
        <v>89.539179023904921</v>
      </c>
      <c r="V70" s="68">
        <f t="shared" ca="1" si="38"/>
        <v>88.121044811018336</v>
      </c>
      <c r="W70" s="278" t="str">
        <f ca="1">IFERROR(__xludf.DUMMYFUNCTION("IMPORTRANGE(""https://docs.google.com/spreadsheets/d/1xmPlrr1QbdSIKvl1dWUl9K4PjAfSL9oeMr_37QVzcxc/edit?usp=sharing"",""สระบุรี!J313"")"),"")</f>
        <v/>
      </c>
      <c r="X70" s="278">
        <f ca="1">IFERROR(__xludf.DUMMYFUNCTION("IMPORTRANGE(""https://docs.google.com/spreadsheets/d/1xmPlrr1QbdSIKvl1dWUl9K4PjAfSL9oeMr_37QVzcxc/edit?usp=sharing"",""สระบุรี!I314"")"),30)</f>
        <v>30</v>
      </c>
      <c r="Y70" s="152">
        <f ca="1">IFERROR(__xludf.DUMMYFUNCTION("IMPORTRANGE(""https://docs.google.com/spreadsheets/d/1xmPlrr1QbdSIKvl1dWUl9K4PjAfSL9oeMr_37QVzcxc/edit?usp=sharing"",""สระบุรี!J314"")"),30)</f>
        <v>30</v>
      </c>
      <c r="Z70" s="216">
        <f t="shared" ca="1" si="40"/>
        <v>100</v>
      </c>
      <c r="AA70" s="278" t="str">
        <f ca="1">IFERROR(__xludf.DUMMYFUNCTION("IMPORTRANGE(""https://docs.google.com/spreadsheets/d/1xmPlrr1QbdSIKvl1dWUl9K4PjAfSL9oeMr_37QVzcxc/edit?usp=sharing"",""สระบุรี!I315"")"),"")</f>
        <v/>
      </c>
      <c r="AB70" s="152" t="str">
        <f ca="1">IFERROR(__xludf.DUMMYFUNCTION("IMPORTRANGE(""https://docs.google.com/spreadsheets/d/1xmPlrr1QbdSIKvl1dWUl9K4PjAfSL9oeMr_37QVzcxc/edit?usp=sharing"",""สระบุรี!J315"")"),"")</f>
        <v/>
      </c>
      <c r="AC70" s="216" t="e">
        <f t="shared" ca="1" si="42"/>
        <v>#VALUE!</v>
      </c>
      <c r="AD70" s="278" t="str">
        <f ca="1">IFERROR(__xludf.DUMMYFUNCTION("IMPORTRANGE(""https://docs.google.com/spreadsheets/d/1xmPlrr1QbdSIKvl1dWUl9K4PjAfSL9oeMr_37QVzcxc/edit?usp=sharing"",""สระบุรี!I316"")"),"")</f>
        <v/>
      </c>
      <c r="AE70" s="152" t="str">
        <f ca="1">IFERROR(__xludf.DUMMYFUNCTION("IMPORTRANGE(""https://docs.google.com/spreadsheets/d/1xmPlrr1QbdSIKvl1dWUl9K4PjAfSL9oeMr_37QVzcxc/edit?usp=sharing"",""สระบุรี!J316"")"),"")</f>
        <v/>
      </c>
      <c r="AF70" s="216" t="e">
        <f t="shared" ca="1" si="44"/>
        <v>#VALUE!</v>
      </c>
      <c r="AG70" s="278" t="str">
        <f ca="1">IFERROR(__xludf.DUMMYFUNCTION("IMPORTRANGE(""https://docs.google.com/spreadsheets/d/1xmPlrr1QbdSIKvl1dWUl9K4PjAfSL9oeMr_37QVzcxc/edit?usp=sharing"",""สระบุรี!I317"")"),"")</f>
        <v/>
      </c>
      <c r="AH70" s="152" t="str">
        <f ca="1">IFERROR(__xludf.DUMMYFUNCTION("IMPORTRANGE(""https://docs.google.com/spreadsheets/d/1xmPlrr1QbdSIKvl1dWUl9K4PjAfSL9oeMr_37QVzcxc/edit?usp=sharing"",""สระบุรี!J317"")"),"")</f>
        <v/>
      </c>
      <c r="AI70" s="216" t="e">
        <f t="shared" ca="1" si="46"/>
        <v>#VALUE!</v>
      </c>
    </row>
    <row r="71" spans="1:35" ht="21" customHeight="1" x14ac:dyDescent="0.3">
      <c r="A71" s="70">
        <v>19</v>
      </c>
      <c r="B71" s="71" t="s">
        <v>99</v>
      </c>
      <c r="C71" s="149">
        <f t="shared" ca="1" si="28"/>
        <v>0</v>
      </c>
      <c r="D71" s="150">
        <f t="shared" ca="1" si="61"/>
        <v>0</v>
      </c>
      <c r="E71" s="151">
        <f ca="1">IFERROR(__xludf.DUMMYFUNCTION("IMPORTRANGE(""https://docs.google.com/spreadsheets/d/1-uDff_7J0KD5mKrp0Vvzr7lt3OU09vwQwhkpOPPYv2Y/edit?usp=sharing"",""งบพรบ!DZ71"")"),0)</f>
        <v>0</v>
      </c>
      <c r="F71" s="151">
        <f ca="1">IFERROR(__xludf.DUMMYFUNCTION("IMPORTRANGE(""https://docs.google.com/spreadsheets/d/1-uDff_7J0KD5mKrp0Vvzr7lt3OU09vwQwhkpOPPYv2Y/edit?usp=sharing"",""งบพรบ!EA71"")"),0)</f>
        <v>0</v>
      </c>
      <c r="G71" s="151">
        <f ca="1">IFERROR(__xludf.DUMMYFUNCTION("IMPORTRANGE(""https://docs.google.com/spreadsheets/d/1-uDff_7J0KD5mKrp0Vvzr7lt3OU09vwQwhkpOPPYv2Y/edit?usp=sharing"",""งบพรบ!EB71"")"),0)</f>
        <v>0</v>
      </c>
      <c r="H71" s="151">
        <f ca="1">IFERROR(__xludf.DUMMYFUNCTION("IMPORTRANGE(""https://docs.google.com/spreadsheets/d/1-uDff_7J0KD5mKrp0Vvzr7lt3OU09vwQwhkpOPPYv2Y/edit?usp=sharing"",""งบพรบ!ED71"")"),0)</f>
        <v>0</v>
      </c>
      <c r="I71" s="151">
        <f ca="1">IFERROR(__xludf.DUMMYFUNCTION("IMPORTRANGE(""https://docs.google.com/spreadsheets/d/1-uDff_7J0KD5mKrp0Vvzr7lt3OU09vwQwhkpOPPYv2Y/edit?usp=sharing"",""งบพรบ!EE71"")"),0)</f>
        <v>0</v>
      </c>
      <c r="J71" s="151">
        <f t="shared" ca="1" si="30"/>
        <v>0</v>
      </c>
      <c r="K71" s="154">
        <f t="shared" ca="1" si="31"/>
        <v>0</v>
      </c>
      <c r="L71" s="151">
        <f ca="1">IFERROR(__xludf.DUMMYFUNCTION("IMPORTRANGE(""https://docs.google.com/spreadsheets/d/1-uDff_7J0KD5mKrp0Vvzr7lt3OU09vwQwhkpOPPYv2Y/edit?usp=sharing"",""งบพรบ!EF71"")"),0)</f>
        <v>0</v>
      </c>
      <c r="M71" s="68">
        <f t="shared" ca="1" si="32"/>
        <v>0</v>
      </c>
      <c r="N71" s="68">
        <f t="shared" ca="1" si="33"/>
        <v>0</v>
      </c>
      <c r="O71" s="67">
        <f ca="1">IFERROR(__xludf.DUMMYFUNCTION("IMPORTRANGE(""https://docs.google.com/spreadsheets/d/1-uDff_7J0KD5mKrp0Vvzr7lt3OU09vwQwhkpOPPYv2Y/edit?usp=sharing"",""งบพรบ!EG71"")"),0)</f>
        <v>0</v>
      </c>
      <c r="P71" s="67">
        <f t="shared" ca="1" si="34"/>
        <v>0</v>
      </c>
      <c r="Q71" s="68">
        <f t="shared" ca="1" si="35"/>
        <v>0</v>
      </c>
      <c r="R71" s="197">
        <f ca="1">IFERROR(__xludf.DUMMYFUNCTION("IMPORTRANGE(""https://docs.google.com/spreadsheets/d/1j51vR6CYVGhABJpv6tkstgok82RLpXieLzW1yOY5rHw/edit?usp=sharing"",""สิงห์บุรี!Q303"")"),0)</f>
        <v>0</v>
      </c>
      <c r="S71" s="67">
        <f ca="1">IFERROR(__xludf.DUMMYFUNCTION("IMPORTRANGE(""https://docs.google.com/spreadsheets/d/1j51vR6CYVGhABJpv6tkstgok82RLpXieLzW1yOY5rHw/edit?usp=sharing"",""สิงห์บุรี!R303"")"),0)</f>
        <v>0</v>
      </c>
      <c r="T71" s="67">
        <f ca="1">IFERROR(__xludf.DUMMYFUNCTION("IMPORTRANGE(""https://docs.google.com/spreadsheets/d/1j51vR6CYVGhABJpv6tkstgok82RLpXieLzW1yOY5rHw/edit?usp=sharing"",""สิงห์บุรี!S303"")"),0)</f>
        <v>0</v>
      </c>
      <c r="U71" s="68">
        <f t="shared" ca="1" si="37"/>
        <v>0</v>
      </c>
      <c r="V71" s="68">
        <f t="shared" ca="1" si="38"/>
        <v>0</v>
      </c>
      <c r="W71" s="278" t="str">
        <f ca="1">IFERROR(__xludf.DUMMYFUNCTION("IMPORTRANGE(""https://docs.google.com/spreadsheets/d/1j51vR6CYVGhABJpv6tkstgok82RLpXieLzW1yOY5rHw/edit?usp=sharing"",""สิงห์บุรี!J313"")"),"")</f>
        <v/>
      </c>
      <c r="X71" s="278">
        <f ca="1">IFERROR(__xludf.DUMMYFUNCTION("IMPORTRANGE(""https://docs.google.com/spreadsheets/d/1j51vR6CYVGhABJpv6tkstgok82RLpXieLzW1yOY5rHw/edit?usp=sharing"",""สิงห์บุรี!I314"")"),0)</f>
        <v>0</v>
      </c>
      <c r="Y71" s="152">
        <f ca="1">IFERROR(__xludf.DUMMYFUNCTION("IMPORTRANGE(""https://docs.google.com/spreadsheets/d/1j51vR6CYVGhABJpv6tkstgok82RLpXieLzW1yOY5rHw/edit?usp=sharing"",""สิงห์บุรี!J314"")"),0)</f>
        <v>0</v>
      </c>
      <c r="Z71" s="216">
        <f t="shared" ca="1" si="40"/>
        <v>0</v>
      </c>
      <c r="AA71" s="278" t="str">
        <f ca="1">IFERROR(__xludf.DUMMYFUNCTION("IMPORTRANGE(""https://docs.google.com/spreadsheets/d/1j51vR6CYVGhABJpv6tkstgok82RLpXieLzW1yOY5rHw/edit?usp=sharing"",""สิงห์บุรี!I315"")"),"")</f>
        <v/>
      </c>
      <c r="AB71" s="152" t="str">
        <f ca="1">IFERROR(__xludf.DUMMYFUNCTION("IMPORTRANGE(""https://docs.google.com/spreadsheets/d/1j51vR6CYVGhABJpv6tkstgok82RLpXieLzW1yOY5rHw/edit?usp=sharing"",""สิงห์บุรี!J315"")"),"")</f>
        <v/>
      </c>
      <c r="AC71" s="216">
        <f t="shared" ca="1" si="42"/>
        <v>0</v>
      </c>
      <c r="AD71" s="278" t="str">
        <f ca="1">IFERROR(__xludf.DUMMYFUNCTION("IMPORTRANGE(""https://docs.google.com/spreadsheets/d/1j51vR6CYVGhABJpv6tkstgok82RLpXieLzW1yOY5rHw/edit?usp=sharing"",""สิงห์บุรี!I316"")"),"")</f>
        <v/>
      </c>
      <c r="AE71" s="152" t="str">
        <f ca="1">IFERROR(__xludf.DUMMYFUNCTION("IMPORTRANGE(""https://docs.google.com/spreadsheets/d/1j51vR6CYVGhABJpv6tkstgok82RLpXieLzW1yOY5rHw/edit?usp=sharing"",""สิงห์บุรี!J316"")"),"")</f>
        <v/>
      </c>
      <c r="AF71" s="216" t="e">
        <f t="shared" ca="1" si="44"/>
        <v>#VALUE!</v>
      </c>
      <c r="AG71" s="278" t="str">
        <f ca="1">IFERROR(__xludf.DUMMYFUNCTION("IMPORTRANGE(""https://docs.google.com/spreadsheets/d/1j51vR6CYVGhABJpv6tkstgok82RLpXieLzW1yOY5rHw/edit?usp=sharing"",""สิงห์บุรี!I317"")"),"")</f>
        <v/>
      </c>
      <c r="AH71" s="152" t="str">
        <f ca="1">IFERROR(__xludf.DUMMYFUNCTION("IMPORTRANGE(""https://docs.google.com/spreadsheets/d/1j51vR6CYVGhABJpv6tkstgok82RLpXieLzW1yOY5rHw/edit?usp=sharing"",""สิงห์บุรี!J317"")"),"")</f>
        <v/>
      </c>
      <c r="AI71" s="216" t="e">
        <f t="shared" ca="1" si="46"/>
        <v>#VALUE!</v>
      </c>
    </row>
    <row r="72" spans="1:35" ht="21" customHeight="1" x14ac:dyDescent="0.3">
      <c r="A72" s="70">
        <v>20</v>
      </c>
      <c r="B72" s="71" t="s">
        <v>100</v>
      </c>
      <c r="C72" s="149">
        <f t="shared" ca="1" si="28"/>
        <v>323075</v>
      </c>
      <c r="D72" s="150">
        <f t="shared" ca="1" si="61"/>
        <v>323075</v>
      </c>
      <c r="E72" s="151">
        <f ca="1">IFERROR(__xludf.DUMMYFUNCTION("IMPORTRANGE(""https://docs.google.com/spreadsheets/d/1-uDff_7J0KD5mKrp0Vvzr7lt3OU09vwQwhkpOPPYv2Y/edit?usp=sharing"",""งบพรบ!DZ72"")"),240900)</f>
        <v>240900</v>
      </c>
      <c r="F72" s="151">
        <f ca="1">IFERROR(__xludf.DUMMYFUNCTION("IMPORTRANGE(""https://docs.google.com/spreadsheets/d/1-uDff_7J0KD5mKrp0Vvzr7lt3OU09vwQwhkpOPPYv2Y/edit?usp=sharing"",""งบพรบ!EA72"")"),82175)</f>
        <v>82175</v>
      </c>
      <c r="G72" s="151">
        <f ca="1">IFERROR(__xludf.DUMMYFUNCTION("IMPORTRANGE(""https://docs.google.com/spreadsheets/d/1-uDff_7J0KD5mKrp0Vvzr7lt3OU09vwQwhkpOPPYv2Y/edit?usp=sharing"",""งบพรบ!EB72"")"),0)</f>
        <v>0</v>
      </c>
      <c r="H72" s="151">
        <f ca="1">IFERROR(__xludf.DUMMYFUNCTION("IMPORTRANGE(""https://docs.google.com/spreadsheets/d/1-uDff_7J0KD5mKrp0Vvzr7lt3OU09vwQwhkpOPPYv2Y/edit?usp=sharing"",""งบพรบ!ED72"")"),462835)</f>
        <v>462835</v>
      </c>
      <c r="I72" s="151">
        <f ca="1">IFERROR(__xludf.DUMMYFUNCTION("IMPORTRANGE(""https://docs.google.com/spreadsheets/d/1-uDff_7J0KD5mKrp0Vvzr7lt3OU09vwQwhkpOPPYv2Y/edit?usp=sharing"",""งบพรบ!EE72"")"),0)</f>
        <v>0</v>
      </c>
      <c r="J72" s="151">
        <f t="shared" ca="1" si="30"/>
        <v>376224</v>
      </c>
      <c r="K72" s="154">
        <f t="shared" ca="1" si="31"/>
        <v>116.45097887487425</v>
      </c>
      <c r="L72" s="151">
        <f ca="1">IFERROR(__xludf.DUMMYFUNCTION("IMPORTRANGE(""https://docs.google.com/spreadsheets/d/1-uDff_7J0KD5mKrp0Vvzr7lt3OU09vwQwhkpOPPYv2Y/edit?usp=sharing"",""งบพรบ!EF72"")"),376224)</f>
        <v>376224</v>
      </c>
      <c r="M72" s="68">
        <f t="shared" ca="1" si="32"/>
        <v>116.45097887487425</v>
      </c>
      <c r="N72" s="68">
        <f t="shared" ca="1" si="33"/>
        <v>81.286851685805956</v>
      </c>
      <c r="O72" s="67">
        <f ca="1">IFERROR(__xludf.DUMMYFUNCTION("IMPORTRANGE(""https://docs.google.com/spreadsheets/d/1-uDff_7J0KD5mKrp0Vvzr7lt3OU09vwQwhkpOPPYv2Y/edit?usp=sharing"",""งบพรบ!EG72"")"),0)</f>
        <v>0</v>
      </c>
      <c r="P72" s="67">
        <f t="shared" ca="1" si="34"/>
        <v>0</v>
      </c>
      <c r="Q72" s="68">
        <f t="shared" ca="1" si="35"/>
        <v>0</v>
      </c>
      <c r="R72" s="197">
        <f ca="1">IFERROR(__xludf.DUMMYFUNCTION("IMPORTRANGE(""https://docs.google.com/spreadsheets/d/1H1EalTWKUSzO4Z1-1CwzoDUaVffgrThEBe2sl74kKG0/edit?usp=sharing"",""สุพรรณบุรี!Q303"")"),123161.24)</f>
        <v>123161.24</v>
      </c>
      <c r="S72" s="67">
        <f ca="1">IFERROR(__xludf.DUMMYFUNCTION("IMPORTRANGE(""https://docs.google.com/spreadsheets/d/1H1EalTWKUSzO4Z1-1CwzoDUaVffgrThEBe2sl74kKG0/edit?usp=sharing"",""สุพรรณบุรี!R303"")"),127361)</f>
        <v>127361</v>
      </c>
      <c r="T72" s="67">
        <f ca="1">IFERROR(__xludf.DUMMYFUNCTION("IMPORTRANGE(""https://docs.google.com/spreadsheets/d/1H1EalTWKUSzO4Z1-1CwzoDUaVffgrThEBe2sl74kKG0/edit?usp=sharing"",""สุพรรณบุรี!S303"")"),27924)</f>
        <v>27924</v>
      </c>
      <c r="U72" s="68">
        <f t="shared" ca="1" si="37"/>
        <v>22.672717488066862</v>
      </c>
      <c r="V72" s="68">
        <f t="shared" ca="1" si="38"/>
        <v>21.925079105848731</v>
      </c>
      <c r="W72" s="278" t="str">
        <f ca="1">IFERROR(__xludf.DUMMYFUNCTION("IMPORTRANGE(""https://docs.google.com/spreadsheets/d/1H1EalTWKUSzO4Z1-1CwzoDUaVffgrThEBe2sl74kKG0/edit?usp=sharing"",""สุพรรณบุรี!J313"")"),"")</f>
        <v/>
      </c>
      <c r="X72" s="278">
        <f ca="1">IFERROR(__xludf.DUMMYFUNCTION("IMPORTRANGE(""https://docs.google.com/spreadsheets/d/1H1EalTWKUSzO4Z1-1CwzoDUaVffgrThEBe2sl74kKG0/edit?usp=sharing"",""สุพรรณบุรี!I314"")"),15)</f>
        <v>15</v>
      </c>
      <c r="Y72" s="152">
        <f ca="1">IFERROR(__xludf.DUMMYFUNCTION("IMPORTRANGE(""https://docs.google.com/spreadsheets/d/1H1EalTWKUSzO4Z1-1CwzoDUaVffgrThEBe2sl74kKG0/edit?usp=sharing"",""สุพรรณบุรี!J314"")"),15)</f>
        <v>15</v>
      </c>
      <c r="Z72" s="216">
        <f t="shared" ca="1" si="40"/>
        <v>100</v>
      </c>
      <c r="AA72" s="278" t="str">
        <f ca="1">IFERROR(__xludf.DUMMYFUNCTION("IMPORTRANGE(""https://docs.google.com/spreadsheets/d/1H1EalTWKUSzO4Z1-1CwzoDUaVffgrThEBe2sl74kKG0/edit?usp=sharing"",""สุพรรณบุรี!I315"")"),"")</f>
        <v/>
      </c>
      <c r="AB72" s="152" t="str">
        <f ca="1">IFERROR(__xludf.DUMMYFUNCTION("IMPORTRANGE(""https://docs.google.com/spreadsheets/d/1H1EalTWKUSzO4Z1-1CwzoDUaVffgrThEBe2sl74kKG0/edit?usp=sharing"",""สุพรรณบุรี!J315"")"),"")</f>
        <v/>
      </c>
      <c r="AC72" s="216" t="e">
        <f t="shared" ca="1" si="42"/>
        <v>#VALUE!</v>
      </c>
      <c r="AD72" s="278" t="str">
        <f ca="1">IFERROR(__xludf.DUMMYFUNCTION("IMPORTRANGE(""https://docs.google.com/spreadsheets/d/1H1EalTWKUSzO4Z1-1CwzoDUaVffgrThEBe2sl74kKG0/edit?usp=sharing"",""สุพรรณบุรี!I316"")"),"")</f>
        <v/>
      </c>
      <c r="AE72" s="152" t="str">
        <f ca="1">IFERROR(__xludf.DUMMYFUNCTION("IMPORTRANGE(""https://docs.google.com/spreadsheets/d/1H1EalTWKUSzO4Z1-1CwzoDUaVffgrThEBe2sl74kKG0/edit?usp=sharing"",""สุพรรณบุรี!J316"")"),"")</f>
        <v/>
      </c>
      <c r="AF72" s="216" t="e">
        <f t="shared" ca="1" si="44"/>
        <v>#VALUE!</v>
      </c>
      <c r="AG72" s="278" t="str">
        <f ca="1">IFERROR(__xludf.DUMMYFUNCTION("IMPORTRANGE(""https://docs.google.com/spreadsheets/d/1H1EalTWKUSzO4Z1-1CwzoDUaVffgrThEBe2sl74kKG0/edit?usp=sharing"",""สุพรรณบุรี!I317"")"),"")</f>
        <v/>
      </c>
      <c r="AH72" s="152" t="str">
        <f ca="1">IFERROR(__xludf.DUMMYFUNCTION("IMPORTRANGE(""https://docs.google.com/spreadsheets/d/1H1EalTWKUSzO4Z1-1CwzoDUaVffgrThEBe2sl74kKG0/edit?usp=sharing"",""สุพรรณบุรี!J317"")"),"")</f>
        <v/>
      </c>
      <c r="AI72" s="216" t="e">
        <f t="shared" ca="1" si="46"/>
        <v>#VALUE!</v>
      </c>
    </row>
    <row r="73" spans="1:35" ht="21" customHeight="1" x14ac:dyDescent="0.3">
      <c r="A73" s="80">
        <v>21</v>
      </c>
      <c r="B73" s="81" t="s">
        <v>101</v>
      </c>
      <c r="C73" s="157">
        <f t="shared" ca="1" si="28"/>
        <v>0</v>
      </c>
      <c r="D73" s="158">
        <f t="shared" ca="1" si="61"/>
        <v>0</v>
      </c>
      <c r="E73" s="159">
        <f ca="1">IFERROR(__xludf.DUMMYFUNCTION("IMPORTRANGE(""https://docs.google.com/spreadsheets/d/1-uDff_7J0KD5mKrp0Vvzr7lt3OU09vwQwhkpOPPYv2Y/edit?usp=sharing"",""งบพรบ!DZ73"")"),0)</f>
        <v>0</v>
      </c>
      <c r="F73" s="159">
        <f ca="1">IFERROR(__xludf.DUMMYFUNCTION("IMPORTRANGE(""https://docs.google.com/spreadsheets/d/1-uDff_7J0KD5mKrp0Vvzr7lt3OU09vwQwhkpOPPYv2Y/edit?usp=sharing"",""งบพรบ!EA73"")"),0)</f>
        <v>0</v>
      </c>
      <c r="G73" s="159">
        <f ca="1">IFERROR(__xludf.DUMMYFUNCTION("IMPORTRANGE(""https://docs.google.com/spreadsheets/d/1-uDff_7J0KD5mKrp0Vvzr7lt3OU09vwQwhkpOPPYv2Y/edit?usp=sharing"",""งบพรบ!EB73"")"),0)</f>
        <v>0</v>
      </c>
      <c r="H73" s="159">
        <f ca="1">IFERROR(__xludf.DUMMYFUNCTION("IMPORTRANGE(""https://docs.google.com/spreadsheets/d/1-uDff_7J0KD5mKrp0Vvzr7lt3OU09vwQwhkpOPPYv2Y/edit?usp=sharing"",""งบพรบ!ED73"")"),0)</f>
        <v>0</v>
      </c>
      <c r="I73" s="159">
        <f ca="1">IFERROR(__xludf.DUMMYFUNCTION("IMPORTRANGE(""https://docs.google.com/spreadsheets/d/1-uDff_7J0KD5mKrp0Vvzr7lt3OU09vwQwhkpOPPYv2Y/edit?usp=sharing"",""งบพรบ!EE73"")"),0)</f>
        <v>0</v>
      </c>
      <c r="J73" s="159">
        <f t="shared" ca="1" si="30"/>
        <v>0</v>
      </c>
      <c r="K73" s="160">
        <f t="shared" ca="1" si="31"/>
        <v>0</v>
      </c>
      <c r="L73" s="159">
        <f ca="1">IFERROR(__xludf.DUMMYFUNCTION("IMPORTRANGE(""https://docs.google.com/spreadsheets/d/1-uDff_7J0KD5mKrp0Vvzr7lt3OU09vwQwhkpOPPYv2Y/edit?usp=sharing"",""งบพรบ!EF73"")"),0)</f>
        <v>0</v>
      </c>
      <c r="M73" s="89">
        <f t="shared" ca="1" si="32"/>
        <v>0</v>
      </c>
      <c r="N73" s="89">
        <f t="shared" ca="1" si="33"/>
        <v>0</v>
      </c>
      <c r="O73" s="88">
        <f ca="1">IFERROR(__xludf.DUMMYFUNCTION("IMPORTRANGE(""https://docs.google.com/spreadsheets/d/1-uDff_7J0KD5mKrp0Vvzr7lt3OU09vwQwhkpOPPYv2Y/edit?usp=sharing"",""งบพรบ!EG73"")"),0)</f>
        <v>0</v>
      </c>
      <c r="P73" s="88">
        <f t="shared" ca="1" si="34"/>
        <v>0</v>
      </c>
      <c r="Q73" s="89">
        <f t="shared" ca="1" si="35"/>
        <v>0</v>
      </c>
      <c r="R73" s="198">
        <f ca="1">IFERROR(__xludf.DUMMYFUNCTION("IMPORTRANGE(""https://docs.google.com/spreadsheets/d/1BmIruG_sIrJLYao_Pdr7zVArWsfoBt2692TMi6x_854/edit?usp=sharing"",""อ่างทอง!Q303"")"),0)</f>
        <v>0</v>
      </c>
      <c r="S73" s="88">
        <f ca="1">IFERROR(__xludf.DUMMYFUNCTION("IMPORTRANGE(""https://docs.google.com/spreadsheets/d/1BmIruG_sIrJLYao_Pdr7zVArWsfoBt2692TMi6x_854/edit?usp=sharing"",""อ่างทอง!R303"")"),0)</f>
        <v>0</v>
      </c>
      <c r="T73" s="88">
        <f ca="1">IFERROR(__xludf.DUMMYFUNCTION("IMPORTRANGE(""https://docs.google.com/spreadsheets/d/1BmIruG_sIrJLYao_Pdr7zVArWsfoBt2692TMi6x_854/edit?usp=sharing"",""อ่างทอง!S303"")"),0)</f>
        <v>0</v>
      </c>
      <c r="U73" s="89">
        <f t="shared" ca="1" si="37"/>
        <v>0</v>
      </c>
      <c r="V73" s="89">
        <f t="shared" ca="1" si="38"/>
        <v>0</v>
      </c>
      <c r="W73" s="280" t="str">
        <f ca="1">IFERROR(__xludf.DUMMYFUNCTION("IMPORTRANGE(""https://docs.google.com/spreadsheets/d/1BmIruG_sIrJLYao_Pdr7zVArWsfoBt2692TMi6x_854/edit?usp=sharing"",""อ่างทอง!J313"")"),"")</f>
        <v/>
      </c>
      <c r="X73" s="280">
        <f ca="1">IFERROR(__xludf.DUMMYFUNCTION("IMPORTRANGE(""https://docs.google.com/spreadsheets/d/1BmIruG_sIrJLYao_Pdr7zVArWsfoBt2692TMi6x_854/edit?usp=sharing"",""อ่างทอง!I314"")"),0)</f>
        <v>0</v>
      </c>
      <c r="Y73" s="191">
        <f ca="1">IFERROR(__xludf.DUMMYFUNCTION("IMPORTRANGE(""https://docs.google.com/spreadsheets/d/1BmIruG_sIrJLYao_Pdr7zVArWsfoBt2692TMi6x_854/edit?usp=sharing"",""อ่างทอง!J314"")"),0)</f>
        <v>0</v>
      </c>
      <c r="Z73" s="218">
        <f t="shared" ca="1" si="40"/>
        <v>0</v>
      </c>
      <c r="AA73" s="280" t="str">
        <f ca="1">IFERROR(__xludf.DUMMYFUNCTION("IMPORTRANGE(""https://docs.google.com/spreadsheets/d/1BmIruG_sIrJLYao_Pdr7zVArWsfoBt2692TMi6x_854/edit?usp=sharing"",""อ่างทอง!I315"")"),"")</f>
        <v/>
      </c>
      <c r="AB73" s="191" t="str">
        <f ca="1">IFERROR(__xludf.DUMMYFUNCTION("IMPORTRANGE(""https://docs.google.com/spreadsheets/d/1BmIruG_sIrJLYao_Pdr7zVArWsfoBt2692TMi6x_854/edit?usp=sharing"",""อ่างทอง!J315"")"),"")</f>
        <v/>
      </c>
      <c r="AC73" s="218">
        <f t="shared" ca="1" si="42"/>
        <v>0</v>
      </c>
      <c r="AD73" s="280" t="str">
        <f ca="1">IFERROR(__xludf.DUMMYFUNCTION("IMPORTRANGE(""https://docs.google.com/spreadsheets/d/1BmIruG_sIrJLYao_Pdr7zVArWsfoBt2692TMi6x_854/edit?usp=sharing"",""อ่างทอง!I316"")"),"")</f>
        <v/>
      </c>
      <c r="AE73" s="191" t="str">
        <f ca="1">IFERROR(__xludf.DUMMYFUNCTION("IMPORTRANGE(""https://docs.google.com/spreadsheets/d/1BmIruG_sIrJLYao_Pdr7zVArWsfoBt2692TMi6x_854/edit?usp=sharing"",""อ่างทอง!J316"")"),"")</f>
        <v/>
      </c>
      <c r="AF73" s="218" t="e">
        <f t="shared" ca="1" si="44"/>
        <v>#VALUE!</v>
      </c>
      <c r="AG73" s="280" t="str">
        <f ca="1">IFERROR(__xludf.DUMMYFUNCTION("IMPORTRANGE(""https://docs.google.com/spreadsheets/d/1BmIruG_sIrJLYao_Pdr7zVArWsfoBt2692TMi6x_854/edit?usp=sharing"",""อ่างทอง!I317"")"),"")</f>
        <v/>
      </c>
      <c r="AH73" s="191" t="str">
        <f ca="1">IFERROR(__xludf.DUMMYFUNCTION("IMPORTRANGE(""https://docs.google.com/spreadsheets/d/1BmIruG_sIrJLYao_Pdr7zVArWsfoBt2692TMi6x_854/edit?usp=sharing"",""อ่างทอง!J317"")"),"")</f>
        <v/>
      </c>
      <c r="AI73" s="218" t="e">
        <f t="shared" ca="1" si="46"/>
        <v>#VALUE!</v>
      </c>
    </row>
    <row r="74" spans="1:35" ht="21" customHeight="1" x14ac:dyDescent="0.3">
      <c r="A74" s="664" t="s">
        <v>102</v>
      </c>
      <c r="B74" s="647"/>
      <c r="C74" s="161">
        <f t="shared" ca="1" si="28"/>
        <v>426975</v>
      </c>
      <c r="D74" s="161">
        <f t="shared" ref="D74:I74" ca="1" si="62">SUM(D75:D88)</f>
        <v>426975</v>
      </c>
      <c r="E74" s="161">
        <f t="shared" ca="1" si="62"/>
        <v>240900</v>
      </c>
      <c r="F74" s="161">
        <f t="shared" ca="1" si="62"/>
        <v>186075</v>
      </c>
      <c r="G74" s="161">
        <f t="shared" ca="1" si="62"/>
        <v>0</v>
      </c>
      <c r="H74" s="161">
        <f t="shared" ca="1" si="62"/>
        <v>426975</v>
      </c>
      <c r="I74" s="161">
        <f t="shared" ca="1" si="62"/>
        <v>0</v>
      </c>
      <c r="J74" s="161">
        <f t="shared" ca="1" si="30"/>
        <v>369213.32999999996</v>
      </c>
      <c r="K74" s="162">
        <f t="shared" ca="1" si="31"/>
        <v>86.471884770771112</v>
      </c>
      <c r="L74" s="161">
        <f ca="1">SUM(L75:L88)</f>
        <v>369213.32999999996</v>
      </c>
      <c r="M74" s="94">
        <f t="shared" ca="1" si="32"/>
        <v>86.471884770771112</v>
      </c>
      <c r="N74" s="94">
        <f t="shared" ca="1" si="33"/>
        <v>86.471884770771112</v>
      </c>
      <c r="O74" s="93">
        <f ca="1">SUM(O75:O88)</f>
        <v>0</v>
      </c>
      <c r="P74" s="93">
        <f t="shared" ca="1" si="34"/>
        <v>0</v>
      </c>
      <c r="Q74" s="94">
        <f t="shared" ca="1" si="35"/>
        <v>0</v>
      </c>
      <c r="R74" s="199">
        <f t="shared" ref="R74:T74" ca="1" si="63">SUM(R75:R88)</f>
        <v>2086950.07</v>
      </c>
      <c r="S74" s="93">
        <f t="shared" ca="1" si="63"/>
        <v>2128948</v>
      </c>
      <c r="T74" s="93">
        <f t="shared" ca="1" si="63"/>
        <v>1003488.1</v>
      </c>
      <c r="U74" s="94">
        <f t="shared" ca="1" si="37"/>
        <v>48.083953441205232</v>
      </c>
      <c r="V74" s="94">
        <f t="shared" ca="1" si="38"/>
        <v>47.135397388757262</v>
      </c>
      <c r="W74" s="281">
        <f t="shared" ref="W74:Y74" ca="1" si="64">SUM(W75:W88)</f>
        <v>0</v>
      </c>
      <c r="X74" s="282">
        <f t="shared" ca="1" si="64"/>
        <v>235</v>
      </c>
      <c r="Y74" s="161">
        <f t="shared" ca="1" si="64"/>
        <v>205</v>
      </c>
      <c r="Z74" s="94">
        <f t="shared" ca="1" si="40"/>
        <v>87.234042553191486</v>
      </c>
      <c r="AA74" s="282">
        <f t="shared" ref="AA74:AB74" ca="1" si="65">SUM(AA75:AA88)</f>
        <v>0</v>
      </c>
      <c r="AB74" s="161">
        <f t="shared" ca="1" si="65"/>
        <v>0</v>
      </c>
      <c r="AC74" s="94">
        <f t="shared" ca="1" si="42"/>
        <v>0</v>
      </c>
      <c r="AD74" s="282">
        <f t="shared" ref="AD74:AE74" ca="1" si="66">SUM(AD75:AD88)</f>
        <v>0</v>
      </c>
      <c r="AE74" s="161">
        <f t="shared" ca="1" si="66"/>
        <v>0</v>
      </c>
      <c r="AF74" s="94">
        <f t="shared" ca="1" si="44"/>
        <v>0</v>
      </c>
      <c r="AG74" s="282">
        <f t="shared" ref="AG74:AH74" ca="1" si="67">SUM(AG75:AG88)</f>
        <v>0</v>
      </c>
      <c r="AH74" s="161">
        <f t="shared" ca="1" si="67"/>
        <v>0</v>
      </c>
      <c r="AI74" s="94">
        <f t="shared" ca="1" si="46"/>
        <v>0</v>
      </c>
    </row>
    <row r="75" spans="1:35" ht="21" customHeight="1" x14ac:dyDescent="0.3">
      <c r="A75" s="58">
        <v>1</v>
      </c>
      <c r="B75" s="59" t="s">
        <v>103</v>
      </c>
      <c r="C75" s="149">
        <f t="shared" ca="1" si="28"/>
        <v>0</v>
      </c>
      <c r="D75" s="150">
        <f t="shared" ref="D75:D88" ca="1" si="68">+E75+F75</f>
        <v>0</v>
      </c>
      <c r="E75" s="151">
        <f ca="1">IFERROR(__xludf.DUMMYFUNCTION("IMPORTRANGE(""https://docs.google.com/spreadsheets/d/1-uDff_7J0KD5mKrp0Vvzr7lt3OU09vwQwhkpOPPYv2Y/edit?usp=sharing"",""งบพรบ!DZ75"")"),0)</f>
        <v>0</v>
      </c>
      <c r="F75" s="151">
        <f ca="1">IFERROR(__xludf.DUMMYFUNCTION("IMPORTRANGE(""https://docs.google.com/spreadsheets/d/1-uDff_7J0KD5mKrp0Vvzr7lt3OU09vwQwhkpOPPYv2Y/edit?usp=sharing"",""งบพรบ!EA75"")"),0)</f>
        <v>0</v>
      </c>
      <c r="G75" s="151">
        <f ca="1">IFERROR(__xludf.DUMMYFUNCTION("IMPORTRANGE(""https://docs.google.com/spreadsheets/d/1-uDff_7J0KD5mKrp0Vvzr7lt3OU09vwQwhkpOPPYv2Y/edit?usp=sharing"",""งบพรบ!EB75"")"),0)</f>
        <v>0</v>
      </c>
      <c r="H75" s="151">
        <f ca="1">IFERROR(__xludf.DUMMYFUNCTION("IMPORTRANGE(""https://docs.google.com/spreadsheets/d/1-uDff_7J0KD5mKrp0Vvzr7lt3OU09vwQwhkpOPPYv2Y/edit?usp=sharing"",""งบพรบ!ED75"")"),0)</f>
        <v>0</v>
      </c>
      <c r="I75" s="151">
        <f ca="1">IFERROR(__xludf.DUMMYFUNCTION("IMPORTRANGE(""https://docs.google.com/spreadsheets/d/1-uDff_7J0KD5mKrp0Vvzr7lt3OU09vwQwhkpOPPYv2Y/edit?usp=sharing"",""งบพรบ!EE75"")"),0)</f>
        <v>0</v>
      </c>
      <c r="J75" s="151">
        <f t="shared" ca="1" si="30"/>
        <v>0</v>
      </c>
      <c r="K75" s="154">
        <f t="shared" ca="1" si="31"/>
        <v>0</v>
      </c>
      <c r="L75" s="151">
        <f ca="1">IFERROR(__xludf.DUMMYFUNCTION("IMPORTRANGE(""https://docs.google.com/spreadsheets/d/1-uDff_7J0KD5mKrp0Vvzr7lt3OU09vwQwhkpOPPYv2Y/edit?usp=sharing"",""งบพรบ!EF75"")"),0)</f>
        <v>0</v>
      </c>
      <c r="M75" s="68">
        <f t="shared" ca="1" si="32"/>
        <v>0</v>
      </c>
      <c r="N75" s="68">
        <f t="shared" ca="1" si="33"/>
        <v>0</v>
      </c>
      <c r="O75" s="67">
        <f ca="1">IFERROR(__xludf.DUMMYFUNCTION("IMPORTRANGE(""https://docs.google.com/spreadsheets/d/1-uDff_7J0KD5mKrp0Vvzr7lt3OU09vwQwhkpOPPYv2Y/edit?usp=sharing"",""งบพรบ!EG75"")"),0)</f>
        <v>0</v>
      </c>
      <c r="P75" s="67">
        <f t="shared" ca="1" si="34"/>
        <v>0</v>
      </c>
      <c r="Q75" s="68">
        <f t="shared" ca="1" si="35"/>
        <v>0</v>
      </c>
      <c r="R75" s="197">
        <f ca="1">IFERROR(__xludf.DUMMYFUNCTION("IMPORTRANGE(""https://docs.google.com/spreadsheets/d/1kKUcYdkIfrgTSj8iHHHB2MD2FAtwyyocFgqGQn6ADyI/edit?usp=sharing"",""กระบี่!Q303"")"),0)</f>
        <v>0</v>
      </c>
      <c r="S75" s="67">
        <f ca="1">IFERROR(__xludf.DUMMYFUNCTION("IMPORTRANGE(""https://docs.google.com/spreadsheets/d/1kKUcYdkIfrgTSj8iHHHB2MD2FAtwyyocFgqGQn6ADyI/edit?usp=sharing"",""กระบี่!R303"")"),0)</f>
        <v>0</v>
      </c>
      <c r="T75" s="67">
        <f ca="1">IFERROR(__xludf.DUMMYFUNCTION("IMPORTRANGE(""https://docs.google.com/spreadsheets/d/1kKUcYdkIfrgTSj8iHHHB2MD2FAtwyyocFgqGQn6ADyI/edit?usp=sharing"",""กระบี่!S303"")"),0)</f>
        <v>0</v>
      </c>
      <c r="U75" s="68">
        <f t="shared" ca="1" si="37"/>
        <v>0</v>
      </c>
      <c r="V75" s="68">
        <f t="shared" ca="1" si="38"/>
        <v>0</v>
      </c>
      <c r="W75" s="278" t="str">
        <f ca="1">IFERROR(__xludf.DUMMYFUNCTION("IMPORTRANGE(""https://docs.google.com/spreadsheets/d/1kKUcYdkIfrgTSj8iHHHB2MD2FAtwyyocFgqGQn6ADyI/edit?usp=sharing"",""กระบี่!J313"")"),"")</f>
        <v/>
      </c>
      <c r="X75" s="278">
        <f ca="1">IFERROR(__xludf.DUMMYFUNCTION("IMPORTRANGE(""https://docs.google.com/spreadsheets/d/1kKUcYdkIfrgTSj8iHHHB2MD2FAtwyyocFgqGQn6ADyI/edit?usp=sharing"",""กระบี่!I314"")"),0)</f>
        <v>0</v>
      </c>
      <c r="Y75" s="152">
        <f ca="1">IFERROR(__xludf.DUMMYFUNCTION("IMPORTRANGE(""https://docs.google.com/spreadsheets/d/1kKUcYdkIfrgTSj8iHHHB2MD2FAtwyyocFgqGQn6ADyI/edit?usp=sharing"",""กระบี่!J314"")"),0)</f>
        <v>0</v>
      </c>
      <c r="Z75" s="216">
        <f t="shared" ca="1" si="40"/>
        <v>0</v>
      </c>
      <c r="AA75" s="278" t="str">
        <f ca="1">IFERROR(__xludf.DUMMYFUNCTION("IMPORTRANGE(""https://docs.google.com/spreadsheets/d/1kKUcYdkIfrgTSj8iHHHB2MD2FAtwyyocFgqGQn6ADyI/edit?usp=sharing"",""กระบี่!I315"")"),"")</f>
        <v/>
      </c>
      <c r="AB75" s="152" t="str">
        <f ca="1">IFERROR(__xludf.DUMMYFUNCTION("IMPORTRANGE(""https://docs.google.com/spreadsheets/d/1kKUcYdkIfrgTSj8iHHHB2MD2FAtwyyocFgqGQn6ADyI/edit?usp=sharing"",""กระบี่!J315"")"),"")</f>
        <v/>
      </c>
      <c r="AC75" s="216">
        <f t="shared" ca="1" si="42"/>
        <v>0</v>
      </c>
      <c r="AD75" s="278" t="str">
        <f ca="1">IFERROR(__xludf.DUMMYFUNCTION("IMPORTRANGE(""https://docs.google.com/spreadsheets/d/1kKUcYdkIfrgTSj8iHHHB2MD2FAtwyyocFgqGQn6ADyI/edit?usp=sharing"",""กระบี่!I316"")"),"")</f>
        <v/>
      </c>
      <c r="AE75" s="152" t="str">
        <f ca="1">IFERROR(__xludf.DUMMYFUNCTION("IMPORTRANGE(""https://docs.google.com/spreadsheets/d/1kKUcYdkIfrgTSj8iHHHB2MD2FAtwyyocFgqGQn6ADyI/edit?usp=sharing"",""กระบี่!J316"")"),"")</f>
        <v/>
      </c>
      <c r="AF75" s="216" t="e">
        <f t="shared" ca="1" si="44"/>
        <v>#VALUE!</v>
      </c>
      <c r="AG75" s="278" t="str">
        <f ca="1">IFERROR(__xludf.DUMMYFUNCTION("IMPORTRANGE(""https://docs.google.com/spreadsheets/d/1kKUcYdkIfrgTSj8iHHHB2MD2FAtwyyocFgqGQn6ADyI/edit?usp=sharing"",""กระบี่!I317"")"),"")</f>
        <v/>
      </c>
      <c r="AH75" s="152" t="str">
        <f ca="1">IFERROR(__xludf.DUMMYFUNCTION("IMPORTRANGE(""https://docs.google.com/spreadsheets/d/1kKUcYdkIfrgTSj8iHHHB2MD2FAtwyyocFgqGQn6ADyI/edit?usp=sharing"",""กระบี่!J317"")"),"")</f>
        <v/>
      </c>
      <c r="AI75" s="216" t="e">
        <f t="shared" ca="1" si="46"/>
        <v>#VALUE!</v>
      </c>
    </row>
    <row r="76" spans="1:35" ht="21" customHeight="1" x14ac:dyDescent="0.3">
      <c r="A76" s="70">
        <v>2</v>
      </c>
      <c r="B76" s="71" t="s">
        <v>104</v>
      </c>
      <c r="C76" s="149">
        <f t="shared" ca="1" si="28"/>
        <v>0</v>
      </c>
      <c r="D76" s="150">
        <f t="shared" ca="1" si="68"/>
        <v>0</v>
      </c>
      <c r="E76" s="151">
        <f ca="1">IFERROR(__xludf.DUMMYFUNCTION("IMPORTRANGE(""https://docs.google.com/spreadsheets/d/1-uDff_7J0KD5mKrp0Vvzr7lt3OU09vwQwhkpOPPYv2Y/edit?usp=sharing"",""งบพรบ!DZ76"")"),0)</f>
        <v>0</v>
      </c>
      <c r="F76" s="151">
        <f ca="1">IFERROR(__xludf.DUMMYFUNCTION("IMPORTRANGE(""https://docs.google.com/spreadsheets/d/1-uDff_7J0KD5mKrp0Vvzr7lt3OU09vwQwhkpOPPYv2Y/edit?usp=sharing"",""งบพรบ!EA76"")"),0)</f>
        <v>0</v>
      </c>
      <c r="G76" s="151">
        <f ca="1">IFERROR(__xludf.DUMMYFUNCTION("IMPORTRANGE(""https://docs.google.com/spreadsheets/d/1-uDff_7J0KD5mKrp0Vvzr7lt3OU09vwQwhkpOPPYv2Y/edit?usp=sharing"",""งบพรบ!EB76"")"),0)</f>
        <v>0</v>
      </c>
      <c r="H76" s="151">
        <f ca="1">IFERROR(__xludf.DUMMYFUNCTION("IMPORTRANGE(""https://docs.google.com/spreadsheets/d/1-uDff_7J0KD5mKrp0Vvzr7lt3OU09vwQwhkpOPPYv2Y/edit?usp=sharing"",""งบพรบ!ED76"")"),0)</f>
        <v>0</v>
      </c>
      <c r="I76" s="151">
        <f ca="1">IFERROR(__xludf.DUMMYFUNCTION("IMPORTRANGE(""https://docs.google.com/spreadsheets/d/1-uDff_7J0KD5mKrp0Vvzr7lt3OU09vwQwhkpOPPYv2Y/edit?usp=sharing"",""งบพรบ!EE76"")"),0)</f>
        <v>0</v>
      </c>
      <c r="J76" s="151">
        <f t="shared" ca="1" si="30"/>
        <v>0</v>
      </c>
      <c r="K76" s="154">
        <f t="shared" ca="1" si="31"/>
        <v>0</v>
      </c>
      <c r="L76" s="151">
        <f ca="1">IFERROR(__xludf.DUMMYFUNCTION("IMPORTRANGE(""https://docs.google.com/spreadsheets/d/1-uDff_7J0KD5mKrp0Vvzr7lt3OU09vwQwhkpOPPYv2Y/edit?usp=sharing"",""งบพรบ!EF76"")"),0)</f>
        <v>0</v>
      </c>
      <c r="M76" s="68">
        <f t="shared" ca="1" si="32"/>
        <v>0</v>
      </c>
      <c r="N76" s="68">
        <f t="shared" ca="1" si="33"/>
        <v>0</v>
      </c>
      <c r="O76" s="67">
        <f ca="1">IFERROR(__xludf.DUMMYFUNCTION("IMPORTRANGE(""https://docs.google.com/spreadsheets/d/1-uDff_7J0KD5mKrp0Vvzr7lt3OU09vwQwhkpOPPYv2Y/edit?usp=sharing"",""งบพรบ!EG76"")"),0)</f>
        <v>0</v>
      </c>
      <c r="P76" s="67">
        <f t="shared" ca="1" si="34"/>
        <v>0</v>
      </c>
      <c r="Q76" s="68">
        <f t="shared" ca="1" si="35"/>
        <v>0</v>
      </c>
      <c r="R76" s="197">
        <f ca="1">IFERROR(__xludf.DUMMYFUNCTION("IMPORTRANGE(""https://docs.google.com/spreadsheets/d/1GwtLaSlNZkLk7iDqcyZz22giiy40b_usZZBXYciEN1U/edit?usp=sharing"",""ชุมพร!Q303"")"),260958.39)</f>
        <v>260958.39</v>
      </c>
      <c r="S76" s="67">
        <f ca="1">IFERROR(__xludf.DUMMYFUNCTION("IMPORTRANGE(""https://docs.google.com/spreadsheets/d/1GwtLaSlNZkLk7iDqcyZz22giiy40b_usZZBXYciEN1U/edit?usp=sharing"",""ชุมพร!R303"")"),265158)</f>
        <v>265158</v>
      </c>
      <c r="T76" s="67">
        <f ca="1">IFERROR(__xludf.DUMMYFUNCTION("IMPORTRANGE(""https://docs.google.com/spreadsheets/d/1GwtLaSlNZkLk7iDqcyZz22giiy40b_usZZBXYciEN1U/edit?usp=sharing"",""ชุมพร!S303"")"),117313)</f>
        <v>117313</v>
      </c>
      <c r="U76" s="68">
        <f t="shared" ca="1" si="37"/>
        <v>44.954676490761607</v>
      </c>
      <c r="V76" s="68">
        <f t="shared" ca="1" si="38"/>
        <v>44.242677950504984</v>
      </c>
      <c r="W76" s="278" t="str">
        <f ca="1">IFERROR(__xludf.DUMMYFUNCTION("IMPORTRANGE(""https://docs.google.com/spreadsheets/d/1GwtLaSlNZkLk7iDqcyZz22giiy40b_usZZBXYciEN1U/edit?usp=sharing"",""ชุมพร!J313"")"),"")</f>
        <v/>
      </c>
      <c r="X76" s="278">
        <f ca="1">IFERROR(__xludf.DUMMYFUNCTION("IMPORTRANGE(""https://docs.google.com/spreadsheets/d/1GwtLaSlNZkLk7iDqcyZz22giiy40b_usZZBXYciEN1U/edit?usp=sharing"",""ชุมพร!I314"")"),30)</f>
        <v>30</v>
      </c>
      <c r="Y76" s="152">
        <f ca="1">IFERROR(__xludf.DUMMYFUNCTION("IMPORTRANGE(""https://docs.google.com/spreadsheets/d/1GwtLaSlNZkLk7iDqcyZz22giiy40b_usZZBXYciEN1U/edit?usp=sharing"",""ชุมพร!J314"")"),30)</f>
        <v>30</v>
      </c>
      <c r="Z76" s="216">
        <f t="shared" ca="1" si="40"/>
        <v>100</v>
      </c>
      <c r="AA76" s="278" t="str">
        <f ca="1">IFERROR(__xludf.DUMMYFUNCTION("IMPORTRANGE(""https://docs.google.com/spreadsheets/d/1GwtLaSlNZkLk7iDqcyZz22giiy40b_usZZBXYciEN1U/edit?usp=sharing"",""ชุมพร!I315"")"),"")</f>
        <v/>
      </c>
      <c r="AB76" s="152" t="str">
        <f ca="1">IFERROR(__xludf.DUMMYFUNCTION("IMPORTRANGE(""https://docs.google.com/spreadsheets/d/1GwtLaSlNZkLk7iDqcyZz22giiy40b_usZZBXYciEN1U/edit?usp=sharing"",""ชุมพร!J315"")"),"")</f>
        <v/>
      </c>
      <c r="AC76" s="216" t="e">
        <f t="shared" ca="1" si="42"/>
        <v>#VALUE!</v>
      </c>
      <c r="AD76" s="278" t="str">
        <f ca="1">IFERROR(__xludf.DUMMYFUNCTION("IMPORTRANGE(""https://docs.google.com/spreadsheets/d/1GwtLaSlNZkLk7iDqcyZz22giiy40b_usZZBXYciEN1U/edit?usp=sharing"",""ชุมพร!I316"")"),"")</f>
        <v/>
      </c>
      <c r="AE76" s="152" t="str">
        <f ca="1">IFERROR(__xludf.DUMMYFUNCTION("IMPORTRANGE(""https://docs.google.com/spreadsheets/d/1GwtLaSlNZkLk7iDqcyZz22giiy40b_usZZBXYciEN1U/edit?usp=sharing"",""ชุมพร!J316"")"),"")</f>
        <v/>
      </c>
      <c r="AF76" s="216" t="e">
        <f t="shared" ca="1" si="44"/>
        <v>#VALUE!</v>
      </c>
      <c r="AG76" s="278" t="str">
        <f ca="1">IFERROR(__xludf.DUMMYFUNCTION("IMPORTRANGE(""https://docs.google.com/spreadsheets/d/1GwtLaSlNZkLk7iDqcyZz22giiy40b_usZZBXYciEN1U/edit?usp=sharing"",""ชุมพร!I317"")"),"")</f>
        <v/>
      </c>
      <c r="AH76" s="152" t="str">
        <f ca="1">IFERROR(__xludf.DUMMYFUNCTION("IMPORTRANGE(""https://docs.google.com/spreadsheets/d/1GwtLaSlNZkLk7iDqcyZz22giiy40b_usZZBXYciEN1U/edit?usp=sharing"",""ชุมพร!J317"")"),"")</f>
        <v/>
      </c>
      <c r="AI76" s="216" t="e">
        <f t="shared" ca="1" si="46"/>
        <v>#VALUE!</v>
      </c>
    </row>
    <row r="77" spans="1:35" ht="21" customHeight="1" x14ac:dyDescent="0.3">
      <c r="A77" s="70">
        <v>3</v>
      </c>
      <c r="B77" s="71" t="s">
        <v>105</v>
      </c>
      <c r="C77" s="149">
        <f t="shared" ca="1" si="28"/>
        <v>0</v>
      </c>
      <c r="D77" s="150">
        <f t="shared" ca="1" si="68"/>
        <v>0</v>
      </c>
      <c r="E77" s="151">
        <f ca="1">IFERROR(__xludf.DUMMYFUNCTION("IMPORTRANGE(""https://docs.google.com/spreadsheets/d/1-uDff_7J0KD5mKrp0Vvzr7lt3OU09vwQwhkpOPPYv2Y/edit?usp=sharing"",""งบพรบ!DZ77"")"),0)</f>
        <v>0</v>
      </c>
      <c r="F77" s="151">
        <f ca="1">IFERROR(__xludf.DUMMYFUNCTION("IMPORTRANGE(""https://docs.google.com/spreadsheets/d/1-uDff_7J0KD5mKrp0Vvzr7lt3OU09vwQwhkpOPPYv2Y/edit?usp=sharing"",""งบพรบ!EA77"")"),0)</f>
        <v>0</v>
      </c>
      <c r="G77" s="151">
        <f ca="1">IFERROR(__xludf.DUMMYFUNCTION("IMPORTRANGE(""https://docs.google.com/spreadsheets/d/1-uDff_7J0KD5mKrp0Vvzr7lt3OU09vwQwhkpOPPYv2Y/edit?usp=sharing"",""งบพรบ!EB77"")"),0)</f>
        <v>0</v>
      </c>
      <c r="H77" s="151">
        <f ca="1">IFERROR(__xludf.DUMMYFUNCTION("IMPORTRANGE(""https://docs.google.com/spreadsheets/d/1-uDff_7J0KD5mKrp0Vvzr7lt3OU09vwQwhkpOPPYv2Y/edit?usp=sharing"",""งบพรบ!ED77"")"),0)</f>
        <v>0</v>
      </c>
      <c r="I77" s="151">
        <f ca="1">IFERROR(__xludf.DUMMYFUNCTION("IMPORTRANGE(""https://docs.google.com/spreadsheets/d/1-uDff_7J0KD5mKrp0Vvzr7lt3OU09vwQwhkpOPPYv2Y/edit?usp=sharing"",""งบพรบ!EE77"")"),0)</f>
        <v>0</v>
      </c>
      <c r="J77" s="151">
        <f t="shared" ca="1" si="30"/>
        <v>0</v>
      </c>
      <c r="K77" s="154">
        <f t="shared" ca="1" si="31"/>
        <v>0</v>
      </c>
      <c r="L77" s="151">
        <f ca="1">IFERROR(__xludf.DUMMYFUNCTION("IMPORTRANGE(""https://docs.google.com/spreadsheets/d/1-uDff_7J0KD5mKrp0Vvzr7lt3OU09vwQwhkpOPPYv2Y/edit?usp=sharing"",""งบพรบ!EF77"")"),0)</f>
        <v>0</v>
      </c>
      <c r="M77" s="68">
        <f t="shared" ca="1" si="32"/>
        <v>0</v>
      </c>
      <c r="N77" s="68">
        <f t="shared" ca="1" si="33"/>
        <v>0</v>
      </c>
      <c r="O77" s="67">
        <f ca="1">IFERROR(__xludf.DUMMYFUNCTION("IMPORTRANGE(""https://docs.google.com/spreadsheets/d/1-uDff_7J0KD5mKrp0Vvzr7lt3OU09vwQwhkpOPPYv2Y/edit?usp=sharing"",""งบพรบ!EG77"")"),0)</f>
        <v>0</v>
      </c>
      <c r="P77" s="67">
        <f t="shared" ca="1" si="34"/>
        <v>0</v>
      </c>
      <c r="Q77" s="68">
        <f t="shared" ca="1" si="35"/>
        <v>0</v>
      </c>
      <c r="R77" s="197">
        <f ca="1">IFERROR(__xludf.DUMMYFUNCTION("IMPORTRANGE(""https://docs.google.com/spreadsheets/d/16pAz3pOhQEZBhvFNMa5KGgZS6iKWpsKX0pg6tQmwFpo/edit?usp=sharing"",""ตรัง!Q303"")"),229336.17)</f>
        <v>229336.17</v>
      </c>
      <c r="S77" s="67">
        <f ca="1">IFERROR(__xludf.DUMMYFUNCTION("IMPORTRANGE(""https://docs.google.com/spreadsheets/d/16pAz3pOhQEZBhvFNMa5KGgZS6iKWpsKX0pg6tQmwFpo/edit?usp=sharing"",""ตรัง!R303"")"),233536)</f>
        <v>233536</v>
      </c>
      <c r="T77" s="67">
        <f ca="1">IFERROR(__xludf.DUMMYFUNCTION("IMPORTRANGE(""https://docs.google.com/spreadsheets/d/16pAz3pOhQEZBhvFNMa5KGgZS6iKWpsKX0pg6tQmwFpo/edit?usp=sharing"",""ตรัง!S303"")"),27748)</f>
        <v>27748</v>
      </c>
      <c r="U77" s="68">
        <f t="shared" ca="1" si="37"/>
        <v>12.099268946542535</v>
      </c>
      <c r="V77" s="68">
        <f t="shared" ca="1" si="38"/>
        <v>11.88167991230474</v>
      </c>
      <c r="W77" s="278" t="str">
        <f ca="1">IFERROR(__xludf.DUMMYFUNCTION("IMPORTRANGE(""https://docs.google.com/spreadsheets/d/16pAz3pOhQEZBhvFNMa5KGgZS6iKWpsKX0pg6tQmwFpo/edit?usp=sharing"",""ตรัง!J313"")"),"")</f>
        <v/>
      </c>
      <c r="X77" s="278">
        <f ca="1">IFERROR(__xludf.DUMMYFUNCTION("IMPORTRANGE(""https://docs.google.com/spreadsheets/d/16pAz3pOhQEZBhvFNMa5KGgZS6iKWpsKX0pg6tQmwFpo/edit?usp=sharing"",""ตรัง!I314"")"),25)</f>
        <v>25</v>
      </c>
      <c r="Y77" s="152">
        <f ca="1">IFERROR(__xludf.DUMMYFUNCTION("IMPORTRANGE(""https://docs.google.com/spreadsheets/d/16pAz3pOhQEZBhvFNMa5KGgZS6iKWpsKX0pg6tQmwFpo/edit?usp=sharing"",""ตรัง!J314"")"),25)</f>
        <v>25</v>
      </c>
      <c r="Z77" s="216">
        <f t="shared" ca="1" si="40"/>
        <v>100</v>
      </c>
      <c r="AA77" s="278" t="str">
        <f ca="1">IFERROR(__xludf.DUMMYFUNCTION("IMPORTRANGE(""https://docs.google.com/spreadsheets/d/16pAz3pOhQEZBhvFNMa5KGgZS6iKWpsKX0pg6tQmwFpo/edit?usp=sharing"",""ตรัง!I315"")"),"")</f>
        <v/>
      </c>
      <c r="AB77" s="152" t="str">
        <f ca="1">IFERROR(__xludf.DUMMYFUNCTION("IMPORTRANGE(""https://docs.google.com/spreadsheets/d/16pAz3pOhQEZBhvFNMa5KGgZS6iKWpsKX0pg6tQmwFpo/edit?usp=sharing"",""ตรัง!J315"")"),"")</f>
        <v/>
      </c>
      <c r="AC77" s="216" t="e">
        <f t="shared" ca="1" si="42"/>
        <v>#VALUE!</v>
      </c>
      <c r="AD77" s="278" t="str">
        <f ca="1">IFERROR(__xludf.DUMMYFUNCTION("IMPORTRANGE(""https://docs.google.com/spreadsheets/d/16pAz3pOhQEZBhvFNMa5KGgZS6iKWpsKX0pg6tQmwFpo/edit?usp=sharing"",""ตรัง!I316"")"),"")</f>
        <v/>
      </c>
      <c r="AE77" s="152" t="str">
        <f ca="1">IFERROR(__xludf.DUMMYFUNCTION("IMPORTRANGE(""https://docs.google.com/spreadsheets/d/16pAz3pOhQEZBhvFNMa5KGgZS6iKWpsKX0pg6tQmwFpo/edit?usp=sharing"",""ตรัง!J316"")"),"")</f>
        <v/>
      </c>
      <c r="AF77" s="216" t="e">
        <f t="shared" ca="1" si="44"/>
        <v>#VALUE!</v>
      </c>
      <c r="AG77" s="278" t="str">
        <f ca="1">IFERROR(__xludf.DUMMYFUNCTION("IMPORTRANGE(""https://docs.google.com/spreadsheets/d/16pAz3pOhQEZBhvFNMa5KGgZS6iKWpsKX0pg6tQmwFpo/edit?usp=sharing"",""ตรัง!I317"")"),"")</f>
        <v/>
      </c>
      <c r="AH77" s="152" t="str">
        <f ca="1">IFERROR(__xludf.DUMMYFUNCTION("IMPORTRANGE(""https://docs.google.com/spreadsheets/d/16pAz3pOhQEZBhvFNMa5KGgZS6iKWpsKX0pg6tQmwFpo/edit?usp=sharing"",""ตรัง!J317"")"),"")</f>
        <v/>
      </c>
      <c r="AI77" s="216" t="e">
        <f t="shared" ca="1" si="46"/>
        <v>#VALUE!</v>
      </c>
    </row>
    <row r="78" spans="1:35" ht="21" customHeight="1" x14ac:dyDescent="0.3">
      <c r="A78" s="70">
        <v>4</v>
      </c>
      <c r="B78" s="71" t="s">
        <v>106</v>
      </c>
      <c r="C78" s="149">
        <f t="shared" ca="1" si="28"/>
        <v>0</v>
      </c>
      <c r="D78" s="150">
        <f t="shared" ca="1" si="68"/>
        <v>0</v>
      </c>
      <c r="E78" s="151">
        <f ca="1">IFERROR(__xludf.DUMMYFUNCTION("IMPORTRANGE(""https://docs.google.com/spreadsheets/d/1-uDff_7J0KD5mKrp0Vvzr7lt3OU09vwQwhkpOPPYv2Y/edit?usp=sharing"",""งบพรบ!DZ78"")"),0)</f>
        <v>0</v>
      </c>
      <c r="F78" s="151">
        <f ca="1">IFERROR(__xludf.DUMMYFUNCTION("IMPORTRANGE(""https://docs.google.com/spreadsheets/d/1-uDff_7J0KD5mKrp0Vvzr7lt3OU09vwQwhkpOPPYv2Y/edit?usp=sharing"",""งบพรบ!EA78"")"),0)</f>
        <v>0</v>
      </c>
      <c r="G78" s="151">
        <f ca="1">IFERROR(__xludf.DUMMYFUNCTION("IMPORTRANGE(""https://docs.google.com/spreadsheets/d/1-uDff_7J0KD5mKrp0Vvzr7lt3OU09vwQwhkpOPPYv2Y/edit?usp=sharing"",""งบพรบ!EB78"")"),0)</f>
        <v>0</v>
      </c>
      <c r="H78" s="151">
        <f ca="1">IFERROR(__xludf.DUMMYFUNCTION("IMPORTRANGE(""https://docs.google.com/spreadsheets/d/1-uDff_7J0KD5mKrp0Vvzr7lt3OU09vwQwhkpOPPYv2Y/edit?usp=sharing"",""งบพรบ!ED78"")"),0)</f>
        <v>0</v>
      </c>
      <c r="I78" s="151">
        <f ca="1">IFERROR(__xludf.DUMMYFUNCTION("IMPORTRANGE(""https://docs.google.com/spreadsheets/d/1-uDff_7J0KD5mKrp0Vvzr7lt3OU09vwQwhkpOPPYv2Y/edit?usp=sharing"",""งบพรบ!EE78"")"),0)</f>
        <v>0</v>
      </c>
      <c r="J78" s="151">
        <f t="shared" ca="1" si="30"/>
        <v>0</v>
      </c>
      <c r="K78" s="154">
        <f t="shared" ca="1" si="31"/>
        <v>0</v>
      </c>
      <c r="L78" s="151">
        <f ca="1">IFERROR(__xludf.DUMMYFUNCTION("IMPORTRANGE(""https://docs.google.com/spreadsheets/d/1-uDff_7J0KD5mKrp0Vvzr7lt3OU09vwQwhkpOPPYv2Y/edit?usp=sharing"",""งบพรบ!EF78"")"),0)</f>
        <v>0</v>
      </c>
      <c r="M78" s="68">
        <f t="shared" ca="1" si="32"/>
        <v>0</v>
      </c>
      <c r="N78" s="68">
        <f t="shared" ca="1" si="33"/>
        <v>0</v>
      </c>
      <c r="O78" s="67">
        <f ca="1">IFERROR(__xludf.DUMMYFUNCTION("IMPORTRANGE(""https://docs.google.com/spreadsheets/d/1-uDff_7J0KD5mKrp0Vvzr7lt3OU09vwQwhkpOPPYv2Y/edit?usp=sharing"",""งบพรบ!EG78"")"),0)</f>
        <v>0</v>
      </c>
      <c r="P78" s="67">
        <f t="shared" ca="1" si="34"/>
        <v>0</v>
      </c>
      <c r="Q78" s="68">
        <f t="shared" ca="1" si="35"/>
        <v>0</v>
      </c>
      <c r="R78" s="197">
        <f ca="1">IFERROR(__xludf.DUMMYFUNCTION("IMPORTRANGE(""https://docs.google.com/spreadsheets/d/1Dj4jcHCTV9JXKCaMoheSXS52JE63kDKyG7bPXnFogHk/edit?usp=sharing"",""นครศรีธรรมราช!Q303"")"),260958.39)</f>
        <v>260958.39</v>
      </c>
      <c r="S78" s="67">
        <f ca="1">IFERROR(__xludf.DUMMYFUNCTION("IMPORTRANGE(""https://docs.google.com/spreadsheets/d/1Dj4jcHCTV9JXKCaMoheSXS52JE63kDKyG7bPXnFogHk/edit?usp=sharing"",""นครศรีธรรมราช!R303"")"),265158)</f>
        <v>265158</v>
      </c>
      <c r="T78" s="67">
        <f ca="1">IFERROR(__xludf.DUMMYFUNCTION("IMPORTRANGE(""https://docs.google.com/spreadsheets/d/1Dj4jcHCTV9JXKCaMoheSXS52JE63kDKyG7bPXnFogHk/edit?usp=sharing"",""นครศรีธรรมราช!S303"")"),20220)</f>
        <v>20220</v>
      </c>
      <c r="U78" s="68">
        <f t="shared" ca="1" si="37"/>
        <v>7.7483617215756118</v>
      </c>
      <c r="V78" s="68">
        <f t="shared" ca="1" si="38"/>
        <v>7.6256420700110876</v>
      </c>
      <c r="W78" s="278" t="str">
        <f ca="1">IFERROR(__xludf.DUMMYFUNCTION("IMPORTRANGE(""https://docs.google.com/spreadsheets/d/1Dj4jcHCTV9JXKCaMoheSXS52JE63kDKyG7bPXnFogHk/edit?usp=sharing"",""นครศรีธรรมราช!J313"")"),"")</f>
        <v/>
      </c>
      <c r="X78" s="278">
        <f ca="1">IFERROR(__xludf.DUMMYFUNCTION("IMPORTRANGE(""https://docs.google.com/spreadsheets/d/1Dj4jcHCTV9JXKCaMoheSXS52JE63kDKyG7bPXnFogHk/edit?usp=sharing"",""นครศรีธรรมราช!I314"")"),30)</f>
        <v>30</v>
      </c>
      <c r="Y78" s="152">
        <f ca="1">IFERROR(__xludf.DUMMYFUNCTION("IMPORTRANGE(""https://docs.google.com/spreadsheets/d/1Dj4jcHCTV9JXKCaMoheSXS52JE63kDKyG7bPXnFogHk/edit?usp=sharing"",""นครศรีธรรมราช!J314"")"),0)</f>
        <v>0</v>
      </c>
      <c r="Z78" s="216">
        <f t="shared" ca="1" si="40"/>
        <v>0</v>
      </c>
      <c r="AA78" s="278" t="str">
        <f ca="1">IFERROR(__xludf.DUMMYFUNCTION("IMPORTRANGE(""https://docs.google.com/spreadsheets/d/1Dj4jcHCTV9JXKCaMoheSXS52JE63kDKyG7bPXnFogHk/edit?usp=sharing"",""นครศรีธรรมราช!I315"")"),"")</f>
        <v/>
      </c>
      <c r="AB78" s="152" t="str">
        <f ca="1">IFERROR(__xludf.DUMMYFUNCTION("IMPORTRANGE(""https://docs.google.com/spreadsheets/d/1Dj4jcHCTV9JXKCaMoheSXS52JE63kDKyG7bPXnFogHk/edit?usp=sharing"",""นครศรีธรรมราช!J315"")"),"")</f>
        <v/>
      </c>
      <c r="AC78" s="216" t="e">
        <f t="shared" ca="1" si="42"/>
        <v>#VALUE!</v>
      </c>
      <c r="AD78" s="278" t="str">
        <f ca="1">IFERROR(__xludf.DUMMYFUNCTION("IMPORTRANGE(""https://docs.google.com/spreadsheets/d/1Dj4jcHCTV9JXKCaMoheSXS52JE63kDKyG7bPXnFogHk/edit?usp=sharing"",""นครศรีธรรมราช!I316"")"),"")</f>
        <v/>
      </c>
      <c r="AE78" s="152" t="str">
        <f ca="1">IFERROR(__xludf.DUMMYFUNCTION("IMPORTRANGE(""https://docs.google.com/spreadsheets/d/1Dj4jcHCTV9JXKCaMoheSXS52JE63kDKyG7bPXnFogHk/edit?usp=sharing"",""นครศรีธรรมราช!J316"")"),"")</f>
        <v/>
      </c>
      <c r="AF78" s="216" t="e">
        <f t="shared" ca="1" si="44"/>
        <v>#VALUE!</v>
      </c>
      <c r="AG78" s="278" t="str">
        <f ca="1">IFERROR(__xludf.DUMMYFUNCTION("IMPORTRANGE(""https://docs.google.com/spreadsheets/d/1Dj4jcHCTV9JXKCaMoheSXS52JE63kDKyG7bPXnFogHk/edit?usp=sharing"",""นครศรีธรรมราช!I317"")"),"")</f>
        <v/>
      </c>
      <c r="AH78" s="152" t="str">
        <f ca="1">IFERROR(__xludf.DUMMYFUNCTION("IMPORTRANGE(""https://docs.google.com/spreadsheets/d/1Dj4jcHCTV9JXKCaMoheSXS52JE63kDKyG7bPXnFogHk/edit?usp=sharing"",""นครศรีธรรมราช!J317"")"),"")</f>
        <v/>
      </c>
      <c r="AI78" s="216" t="e">
        <f t="shared" ca="1" si="46"/>
        <v>#VALUE!</v>
      </c>
    </row>
    <row r="79" spans="1:35" ht="21" customHeight="1" x14ac:dyDescent="0.3">
      <c r="A79" s="70">
        <v>5</v>
      </c>
      <c r="B79" s="71" t="s">
        <v>107</v>
      </c>
      <c r="C79" s="149">
        <f t="shared" ca="1" si="28"/>
        <v>0</v>
      </c>
      <c r="D79" s="150">
        <f t="shared" ca="1" si="68"/>
        <v>0</v>
      </c>
      <c r="E79" s="151">
        <f ca="1">IFERROR(__xludf.DUMMYFUNCTION("IMPORTRANGE(""https://docs.google.com/spreadsheets/d/1-uDff_7J0KD5mKrp0Vvzr7lt3OU09vwQwhkpOPPYv2Y/edit?usp=sharing"",""งบพรบ!DZ79"")"),0)</f>
        <v>0</v>
      </c>
      <c r="F79" s="151">
        <f ca="1">IFERROR(__xludf.DUMMYFUNCTION("IMPORTRANGE(""https://docs.google.com/spreadsheets/d/1-uDff_7J0KD5mKrp0Vvzr7lt3OU09vwQwhkpOPPYv2Y/edit?usp=sharing"",""งบพรบ!EA79"")"),0)</f>
        <v>0</v>
      </c>
      <c r="G79" s="151">
        <f ca="1">IFERROR(__xludf.DUMMYFUNCTION("IMPORTRANGE(""https://docs.google.com/spreadsheets/d/1-uDff_7J0KD5mKrp0Vvzr7lt3OU09vwQwhkpOPPYv2Y/edit?usp=sharing"",""งบพรบ!EB79"")"),0)</f>
        <v>0</v>
      </c>
      <c r="H79" s="151">
        <f ca="1">IFERROR(__xludf.DUMMYFUNCTION("IMPORTRANGE(""https://docs.google.com/spreadsheets/d/1-uDff_7J0KD5mKrp0Vvzr7lt3OU09vwQwhkpOPPYv2Y/edit?usp=sharing"",""งบพรบ!ED79"")"),0)</f>
        <v>0</v>
      </c>
      <c r="I79" s="151">
        <f ca="1">IFERROR(__xludf.DUMMYFUNCTION("IMPORTRANGE(""https://docs.google.com/spreadsheets/d/1-uDff_7J0KD5mKrp0Vvzr7lt3OU09vwQwhkpOPPYv2Y/edit?usp=sharing"",""งบพรบ!EE79"")"),0)</f>
        <v>0</v>
      </c>
      <c r="J79" s="151">
        <f t="shared" ca="1" si="30"/>
        <v>0</v>
      </c>
      <c r="K79" s="154">
        <f t="shared" ca="1" si="31"/>
        <v>0</v>
      </c>
      <c r="L79" s="151">
        <f ca="1">IFERROR(__xludf.DUMMYFUNCTION("IMPORTRANGE(""https://docs.google.com/spreadsheets/d/1-uDff_7J0KD5mKrp0Vvzr7lt3OU09vwQwhkpOPPYv2Y/edit?usp=sharing"",""งบพรบ!EF79"")"),0)</f>
        <v>0</v>
      </c>
      <c r="M79" s="68">
        <f t="shared" ca="1" si="32"/>
        <v>0</v>
      </c>
      <c r="N79" s="68">
        <f t="shared" ca="1" si="33"/>
        <v>0</v>
      </c>
      <c r="O79" s="67">
        <f ca="1">IFERROR(__xludf.DUMMYFUNCTION("IMPORTRANGE(""https://docs.google.com/spreadsheets/d/1-uDff_7J0KD5mKrp0Vvzr7lt3OU09vwQwhkpOPPYv2Y/edit?usp=sharing"",""งบพรบ!EG79"")"),0)</f>
        <v>0</v>
      </c>
      <c r="P79" s="67">
        <f t="shared" ca="1" si="34"/>
        <v>0</v>
      </c>
      <c r="Q79" s="68">
        <f t="shared" ca="1" si="35"/>
        <v>0</v>
      </c>
      <c r="R79" s="197">
        <f ca="1">IFERROR(__xludf.DUMMYFUNCTION("IMPORTRANGE(""https://docs.google.com/spreadsheets/d/1iodCdmuK2GR3jzUwk8tpccY2JHQQA-87DLOtJP-ooyU/edit?usp=sharing"",""นราธิวาส!Q303"")"),0)</f>
        <v>0</v>
      </c>
      <c r="S79" s="67">
        <f ca="1">IFERROR(__xludf.DUMMYFUNCTION("IMPORTRANGE(""https://docs.google.com/spreadsheets/d/1iodCdmuK2GR3jzUwk8tpccY2JHQQA-87DLOtJP-ooyU/edit?usp=sharing"",""นราธิวาส!R303"")"),0)</f>
        <v>0</v>
      </c>
      <c r="T79" s="67">
        <f ca="1">IFERROR(__xludf.DUMMYFUNCTION("IMPORTRANGE(""https://docs.google.com/spreadsheets/d/1iodCdmuK2GR3jzUwk8tpccY2JHQQA-87DLOtJP-ooyU/edit?usp=sharing"",""นราธิวาส!S303"")"),0)</f>
        <v>0</v>
      </c>
      <c r="U79" s="68">
        <f t="shared" ca="1" si="37"/>
        <v>0</v>
      </c>
      <c r="V79" s="68">
        <f t="shared" ca="1" si="38"/>
        <v>0</v>
      </c>
      <c r="W79" s="278" t="str">
        <f ca="1">IFERROR(__xludf.DUMMYFUNCTION("IMPORTRANGE(""https://docs.google.com/spreadsheets/d/1iodCdmuK2GR3jzUwk8tpccY2JHQQA-87DLOtJP-ooyU/edit?usp=sharing"",""นราธิวาส!J313"")"),"")</f>
        <v/>
      </c>
      <c r="X79" s="278">
        <f ca="1">IFERROR(__xludf.DUMMYFUNCTION("IMPORTRANGE(""https://docs.google.com/spreadsheets/d/1iodCdmuK2GR3jzUwk8tpccY2JHQQA-87DLOtJP-ooyU/edit?usp=sharing"",""นราธิวาส!I314"")"),0)</f>
        <v>0</v>
      </c>
      <c r="Y79" s="152">
        <f ca="1">IFERROR(__xludf.DUMMYFUNCTION("IMPORTRANGE(""https://docs.google.com/spreadsheets/d/1iodCdmuK2GR3jzUwk8tpccY2JHQQA-87DLOtJP-ooyU/edit?usp=sharing"",""นราธิวาส!J314"")"),0)</f>
        <v>0</v>
      </c>
      <c r="Z79" s="216">
        <f t="shared" ca="1" si="40"/>
        <v>0</v>
      </c>
      <c r="AA79" s="278" t="str">
        <f ca="1">IFERROR(__xludf.DUMMYFUNCTION("IMPORTRANGE(""https://docs.google.com/spreadsheets/d/1iodCdmuK2GR3jzUwk8tpccY2JHQQA-87DLOtJP-ooyU/edit?usp=sharing"",""นราธิวาส!I315"")"),"")</f>
        <v/>
      </c>
      <c r="AB79" s="152" t="str">
        <f ca="1">IFERROR(__xludf.DUMMYFUNCTION("IMPORTRANGE(""https://docs.google.com/spreadsheets/d/1iodCdmuK2GR3jzUwk8tpccY2JHQQA-87DLOtJP-ooyU/edit?usp=sharing"",""นราธิวาส!J315"")"),"")</f>
        <v/>
      </c>
      <c r="AC79" s="216">
        <f t="shared" ca="1" si="42"/>
        <v>0</v>
      </c>
      <c r="AD79" s="278" t="str">
        <f ca="1">IFERROR(__xludf.DUMMYFUNCTION("IMPORTRANGE(""https://docs.google.com/spreadsheets/d/1iodCdmuK2GR3jzUwk8tpccY2JHQQA-87DLOtJP-ooyU/edit?usp=sharing"",""นราธิวาส!I316"")"),"")</f>
        <v/>
      </c>
      <c r="AE79" s="152" t="str">
        <f ca="1">IFERROR(__xludf.DUMMYFUNCTION("IMPORTRANGE(""https://docs.google.com/spreadsheets/d/1iodCdmuK2GR3jzUwk8tpccY2JHQQA-87DLOtJP-ooyU/edit?usp=sharing"",""นราธิวาส!J316"")"),"")</f>
        <v/>
      </c>
      <c r="AF79" s="216" t="e">
        <f t="shared" ca="1" si="44"/>
        <v>#VALUE!</v>
      </c>
      <c r="AG79" s="278" t="str">
        <f ca="1">IFERROR(__xludf.DUMMYFUNCTION("IMPORTRANGE(""https://docs.google.com/spreadsheets/d/1iodCdmuK2GR3jzUwk8tpccY2JHQQA-87DLOtJP-ooyU/edit?usp=sharing"",""นราธิวาส!I317"")"),"")</f>
        <v/>
      </c>
      <c r="AH79" s="152" t="str">
        <f ca="1">IFERROR(__xludf.DUMMYFUNCTION("IMPORTRANGE(""https://docs.google.com/spreadsheets/d/1iodCdmuK2GR3jzUwk8tpccY2JHQQA-87DLOtJP-ooyU/edit?usp=sharing"",""นราธิวาส!J317"")"),"")</f>
        <v/>
      </c>
      <c r="AI79" s="216" t="e">
        <f t="shared" ca="1" si="46"/>
        <v>#VALUE!</v>
      </c>
    </row>
    <row r="80" spans="1:35" ht="21" customHeight="1" x14ac:dyDescent="0.3">
      <c r="A80" s="70">
        <v>6</v>
      </c>
      <c r="B80" s="71" t="s">
        <v>108</v>
      </c>
      <c r="C80" s="149">
        <f t="shared" ca="1" si="28"/>
        <v>0</v>
      </c>
      <c r="D80" s="150">
        <f t="shared" ca="1" si="68"/>
        <v>0</v>
      </c>
      <c r="E80" s="151">
        <f ca="1">IFERROR(__xludf.DUMMYFUNCTION("IMPORTRANGE(""https://docs.google.com/spreadsheets/d/1-uDff_7J0KD5mKrp0Vvzr7lt3OU09vwQwhkpOPPYv2Y/edit?usp=sharing"",""งบพรบ!DZ80"")"),0)</f>
        <v>0</v>
      </c>
      <c r="F80" s="151">
        <f ca="1">IFERROR(__xludf.DUMMYFUNCTION("IMPORTRANGE(""https://docs.google.com/spreadsheets/d/1-uDff_7J0KD5mKrp0Vvzr7lt3OU09vwQwhkpOPPYv2Y/edit?usp=sharing"",""งบพรบ!EA80"")"),0)</f>
        <v>0</v>
      </c>
      <c r="G80" s="151">
        <f ca="1">IFERROR(__xludf.DUMMYFUNCTION("IMPORTRANGE(""https://docs.google.com/spreadsheets/d/1-uDff_7J0KD5mKrp0Vvzr7lt3OU09vwQwhkpOPPYv2Y/edit?usp=sharing"",""งบพรบ!EB80"")"),0)</f>
        <v>0</v>
      </c>
      <c r="H80" s="151">
        <f ca="1">IFERROR(__xludf.DUMMYFUNCTION("IMPORTRANGE(""https://docs.google.com/spreadsheets/d/1-uDff_7J0KD5mKrp0Vvzr7lt3OU09vwQwhkpOPPYv2Y/edit?usp=sharing"",""งบพรบ!ED80"")"),0)</f>
        <v>0</v>
      </c>
      <c r="I80" s="151">
        <f ca="1">IFERROR(__xludf.DUMMYFUNCTION("IMPORTRANGE(""https://docs.google.com/spreadsheets/d/1-uDff_7J0KD5mKrp0Vvzr7lt3OU09vwQwhkpOPPYv2Y/edit?usp=sharing"",""งบพรบ!EE80"")"),0)</f>
        <v>0</v>
      </c>
      <c r="J80" s="151">
        <f t="shared" ca="1" si="30"/>
        <v>0</v>
      </c>
      <c r="K80" s="154">
        <f t="shared" ca="1" si="31"/>
        <v>0</v>
      </c>
      <c r="L80" s="151">
        <f ca="1">IFERROR(__xludf.DUMMYFUNCTION("IMPORTRANGE(""https://docs.google.com/spreadsheets/d/1-uDff_7J0KD5mKrp0Vvzr7lt3OU09vwQwhkpOPPYv2Y/edit?usp=sharing"",""งบพรบ!EF80"")"),0)</f>
        <v>0</v>
      </c>
      <c r="M80" s="68">
        <f t="shared" ca="1" si="32"/>
        <v>0</v>
      </c>
      <c r="N80" s="68">
        <f t="shared" ca="1" si="33"/>
        <v>0</v>
      </c>
      <c r="O80" s="67">
        <f ca="1">IFERROR(__xludf.DUMMYFUNCTION("IMPORTRANGE(""https://docs.google.com/spreadsheets/d/1-uDff_7J0KD5mKrp0Vvzr7lt3OU09vwQwhkpOPPYv2Y/edit?usp=sharing"",""งบพรบ!EG80"")"),0)</f>
        <v>0</v>
      </c>
      <c r="P80" s="67">
        <f t="shared" ca="1" si="34"/>
        <v>0</v>
      </c>
      <c r="Q80" s="68">
        <f t="shared" ca="1" si="35"/>
        <v>0</v>
      </c>
      <c r="R80" s="197">
        <f ca="1">IFERROR(__xludf.DUMMYFUNCTION("IMPORTRANGE(""https://docs.google.com/spreadsheets/d/1SDNX3JhDdYRuIOsj0Wh2M-Qa_eaXl0NbWmhAOTbfQAs/edit?usp=sharing"",""ปัตตานี!Q303"")"),194611.99)</f>
        <v>194611.99</v>
      </c>
      <c r="S80" s="67">
        <f ca="1">IFERROR(__xludf.DUMMYFUNCTION("IMPORTRANGE(""https://docs.google.com/spreadsheets/d/1SDNX3JhDdYRuIOsj0Wh2M-Qa_eaXl0NbWmhAOTbfQAs/edit?usp=sharing"",""ปัตตานี!R303"")"),198812)</f>
        <v>198812</v>
      </c>
      <c r="T80" s="67">
        <f ca="1">IFERROR(__xludf.DUMMYFUNCTION("IMPORTRANGE(""https://docs.google.com/spreadsheets/d/1SDNX3JhDdYRuIOsj0Wh2M-Qa_eaXl0NbWmhAOTbfQAs/edit?usp=sharing"",""ปัตตานี!S303"")"),177452)</f>
        <v>177452</v>
      </c>
      <c r="U80" s="68">
        <f t="shared" ca="1" si="37"/>
        <v>91.182460032395753</v>
      </c>
      <c r="V80" s="68">
        <f t="shared" ca="1" si="38"/>
        <v>89.25618171941332</v>
      </c>
      <c r="W80" s="278" t="str">
        <f ca="1">IFERROR(__xludf.DUMMYFUNCTION("IMPORTRANGE(""https://docs.google.com/spreadsheets/d/1SDNX3JhDdYRuIOsj0Wh2M-Qa_eaXl0NbWmhAOTbfQAs/edit?usp=sharing"",""ปัตตานี!J313"")"),"")</f>
        <v/>
      </c>
      <c r="X80" s="279">
        <f ca="1">IFERROR(__xludf.DUMMYFUNCTION("IMPORTRANGE(""https://docs.google.com/spreadsheets/d/1SDNX3JhDdYRuIOsj0Wh2M-Qa_eaXl0NbWmhAOTbfQAs/edit?usp=sharing"",""ปัตตานี!I314"")"),20)</f>
        <v>20</v>
      </c>
      <c r="Y80" s="152">
        <f ca="1">IFERROR(__xludf.DUMMYFUNCTION("IMPORTRANGE(""https://docs.google.com/spreadsheets/d/1SDNX3JhDdYRuIOsj0Wh2M-Qa_eaXl0NbWmhAOTbfQAs/edit?usp=sharing"",""ปัตตานี!J314"")"),20)</f>
        <v>20</v>
      </c>
      <c r="Z80" s="216">
        <f t="shared" ca="1" si="40"/>
        <v>100</v>
      </c>
      <c r="AA80" s="279" t="str">
        <f ca="1">IFERROR(__xludf.DUMMYFUNCTION("IMPORTRANGE(""https://docs.google.com/spreadsheets/d/1SDNX3JhDdYRuIOsj0Wh2M-Qa_eaXl0NbWmhAOTbfQAs/edit?usp=sharing"",""ปัตตานี!I315"")"),"")</f>
        <v/>
      </c>
      <c r="AB80" s="152" t="str">
        <f ca="1">IFERROR(__xludf.DUMMYFUNCTION("IMPORTRANGE(""https://docs.google.com/spreadsheets/d/1SDNX3JhDdYRuIOsj0Wh2M-Qa_eaXl0NbWmhAOTbfQAs/edit?usp=sharing"",""ปัตตานี!J315"")"),"")</f>
        <v/>
      </c>
      <c r="AC80" s="216" t="e">
        <f t="shared" ca="1" si="42"/>
        <v>#VALUE!</v>
      </c>
      <c r="AD80" s="279" t="str">
        <f ca="1">IFERROR(__xludf.DUMMYFUNCTION("IMPORTRANGE(""https://docs.google.com/spreadsheets/d/1SDNX3JhDdYRuIOsj0Wh2M-Qa_eaXl0NbWmhAOTbfQAs/edit?usp=sharing"",""ปัตตานี!I316"")"),"")</f>
        <v/>
      </c>
      <c r="AE80" s="152" t="str">
        <f ca="1">IFERROR(__xludf.DUMMYFUNCTION("IMPORTRANGE(""https://docs.google.com/spreadsheets/d/1SDNX3JhDdYRuIOsj0Wh2M-Qa_eaXl0NbWmhAOTbfQAs/edit?usp=sharing"",""ปัตตานี!J316"")"),"")</f>
        <v/>
      </c>
      <c r="AF80" s="216" t="e">
        <f t="shared" ca="1" si="44"/>
        <v>#VALUE!</v>
      </c>
      <c r="AG80" s="279" t="str">
        <f ca="1">IFERROR(__xludf.DUMMYFUNCTION("IMPORTRANGE(""https://docs.google.com/spreadsheets/d/1SDNX3JhDdYRuIOsj0Wh2M-Qa_eaXl0NbWmhAOTbfQAs/edit?usp=sharing"",""ปัตตานี!I317"")"),"")</f>
        <v/>
      </c>
      <c r="AH80" s="152" t="str">
        <f ca="1">IFERROR(__xludf.DUMMYFUNCTION("IMPORTRANGE(""https://docs.google.com/spreadsheets/d/1SDNX3JhDdYRuIOsj0Wh2M-Qa_eaXl0NbWmhAOTbfQAs/edit?usp=sharing"",""ปัตตานี!J317"")"),"")</f>
        <v/>
      </c>
      <c r="AI80" s="216" t="e">
        <f t="shared" ca="1" si="46"/>
        <v>#VALUE!</v>
      </c>
    </row>
    <row r="81" spans="1:35" ht="21" customHeight="1" x14ac:dyDescent="0.3">
      <c r="A81" s="70">
        <v>7</v>
      </c>
      <c r="B81" s="71" t="s">
        <v>109</v>
      </c>
      <c r="C81" s="149">
        <f t="shared" ca="1" si="28"/>
        <v>0</v>
      </c>
      <c r="D81" s="150">
        <f t="shared" ca="1" si="68"/>
        <v>0</v>
      </c>
      <c r="E81" s="151">
        <f ca="1">IFERROR(__xludf.DUMMYFUNCTION("IMPORTRANGE(""https://docs.google.com/spreadsheets/d/1-uDff_7J0KD5mKrp0Vvzr7lt3OU09vwQwhkpOPPYv2Y/edit?usp=sharing"",""งบพรบ!DZ81"")"),0)</f>
        <v>0</v>
      </c>
      <c r="F81" s="151">
        <f ca="1">IFERROR(__xludf.DUMMYFUNCTION("IMPORTRANGE(""https://docs.google.com/spreadsheets/d/1-uDff_7J0KD5mKrp0Vvzr7lt3OU09vwQwhkpOPPYv2Y/edit?usp=sharing"",""งบพรบ!EA81"")"),0)</f>
        <v>0</v>
      </c>
      <c r="G81" s="151">
        <f ca="1">IFERROR(__xludf.DUMMYFUNCTION("IMPORTRANGE(""https://docs.google.com/spreadsheets/d/1-uDff_7J0KD5mKrp0Vvzr7lt3OU09vwQwhkpOPPYv2Y/edit?usp=sharing"",""งบพรบ!EB81"")"),0)</f>
        <v>0</v>
      </c>
      <c r="H81" s="151">
        <f ca="1">IFERROR(__xludf.DUMMYFUNCTION("IMPORTRANGE(""https://docs.google.com/spreadsheets/d/1-uDff_7J0KD5mKrp0Vvzr7lt3OU09vwQwhkpOPPYv2Y/edit?usp=sharing"",""งบพรบ!ED81"")"),0)</f>
        <v>0</v>
      </c>
      <c r="I81" s="151">
        <f ca="1">IFERROR(__xludf.DUMMYFUNCTION("IMPORTRANGE(""https://docs.google.com/spreadsheets/d/1-uDff_7J0KD5mKrp0Vvzr7lt3OU09vwQwhkpOPPYv2Y/edit?usp=sharing"",""งบพรบ!EE81"")"),0)</f>
        <v>0</v>
      </c>
      <c r="J81" s="151">
        <f t="shared" ca="1" si="30"/>
        <v>0</v>
      </c>
      <c r="K81" s="154">
        <f t="shared" ca="1" si="31"/>
        <v>0</v>
      </c>
      <c r="L81" s="151">
        <f ca="1">IFERROR(__xludf.DUMMYFUNCTION("IMPORTRANGE(""https://docs.google.com/spreadsheets/d/1-uDff_7J0KD5mKrp0Vvzr7lt3OU09vwQwhkpOPPYv2Y/edit?usp=sharing"",""งบพรบ!EF81"")"),0)</f>
        <v>0</v>
      </c>
      <c r="M81" s="68">
        <f t="shared" ca="1" si="32"/>
        <v>0</v>
      </c>
      <c r="N81" s="68">
        <f t="shared" ca="1" si="33"/>
        <v>0</v>
      </c>
      <c r="O81" s="67">
        <f ca="1">IFERROR(__xludf.DUMMYFUNCTION("IMPORTRANGE(""https://docs.google.com/spreadsheets/d/1-uDff_7J0KD5mKrp0Vvzr7lt3OU09vwQwhkpOPPYv2Y/edit?usp=sharing"",""งบพรบ!EG81"")"),0)</f>
        <v>0</v>
      </c>
      <c r="P81" s="67">
        <f t="shared" ca="1" si="34"/>
        <v>0</v>
      </c>
      <c r="Q81" s="68">
        <f t="shared" ca="1" si="35"/>
        <v>0</v>
      </c>
      <c r="R81" s="197">
        <f ca="1">IFERROR(__xludf.DUMMYFUNCTION("IMPORTRANGE(""https://docs.google.com/spreadsheets/d/16JDLGguT8s5DsGCND1KcwHP_AWR_zDMTqLHPLJUKhaU/edit?usp=sharing"",""พังงา!Q303"")"),226234.22)</f>
        <v>226234.22</v>
      </c>
      <c r="S81" s="67">
        <f ca="1">IFERROR(__xludf.DUMMYFUNCTION("IMPORTRANGE(""https://docs.google.com/spreadsheets/d/16JDLGguT8s5DsGCND1KcwHP_AWR_zDMTqLHPLJUKhaU/edit?usp=sharing"",""พังงา!R303"")"),230434)</f>
        <v>230434</v>
      </c>
      <c r="T81" s="67">
        <f ca="1">IFERROR(__xludf.DUMMYFUNCTION("IMPORTRANGE(""https://docs.google.com/spreadsheets/d/16JDLGguT8s5DsGCND1KcwHP_AWR_zDMTqLHPLJUKhaU/edit?usp=sharing"",""พังงา!S303"")"),120867)</f>
        <v>120867</v>
      </c>
      <c r="U81" s="68">
        <f t="shared" ca="1" si="37"/>
        <v>53.425604667587422</v>
      </c>
      <c r="V81" s="68">
        <f t="shared" ca="1" si="38"/>
        <v>52.451895119643801</v>
      </c>
      <c r="W81" s="278" t="str">
        <f ca="1">IFERROR(__xludf.DUMMYFUNCTION("IMPORTRANGE(""https://docs.google.com/spreadsheets/d/16JDLGguT8s5DsGCND1KcwHP_AWR_zDMTqLHPLJUKhaU/edit?usp=sharing"",""พังงา!J313"")"),"")</f>
        <v/>
      </c>
      <c r="X81" s="278">
        <f ca="1">IFERROR(__xludf.DUMMYFUNCTION("IMPORTRANGE(""https://docs.google.com/spreadsheets/d/16JDLGguT8s5DsGCND1KcwHP_AWR_zDMTqLHPLJUKhaU/edit?usp=sharing"",""พังงา!I314"")"),25)</f>
        <v>25</v>
      </c>
      <c r="Y81" s="152">
        <f ca="1">IFERROR(__xludf.DUMMYFUNCTION("IMPORTRANGE(""https://docs.google.com/spreadsheets/d/16JDLGguT8s5DsGCND1KcwHP_AWR_zDMTqLHPLJUKhaU/edit?usp=sharing"",""พังงา!J314"")"),25)</f>
        <v>25</v>
      </c>
      <c r="Z81" s="216">
        <f t="shared" ca="1" si="40"/>
        <v>100</v>
      </c>
      <c r="AA81" s="278" t="str">
        <f ca="1">IFERROR(__xludf.DUMMYFUNCTION("IMPORTRANGE(""https://docs.google.com/spreadsheets/d/16JDLGguT8s5DsGCND1KcwHP_AWR_zDMTqLHPLJUKhaU/edit?usp=sharing"",""พังงา!I315"")"),"")</f>
        <v/>
      </c>
      <c r="AB81" s="152" t="str">
        <f ca="1">IFERROR(__xludf.DUMMYFUNCTION("IMPORTRANGE(""https://docs.google.com/spreadsheets/d/16JDLGguT8s5DsGCND1KcwHP_AWR_zDMTqLHPLJUKhaU/edit?usp=sharing"",""พังงา!J315"")"),"")</f>
        <v/>
      </c>
      <c r="AC81" s="216" t="e">
        <f t="shared" ca="1" si="42"/>
        <v>#VALUE!</v>
      </c>
      <c r="AD81" s="278" t="str">
        <f ca="1">IFERROR(__xludf.DUMMYFUNCTION("IMPORTRANGE(""https://docs.google.com/spreadsheets/d/16JDLGguT8s5DsGCND1KcwHP_AWR_zDMTqLHPLJUKhaU/edit?usp=sharing"",""พังงา!I316"")"),"")</f>
        <v/>
      </c>
      <c r="AE81" s="152" t="str">
        <f ca="1">IFERROR(__xludf.DUMMYFUNCTION("IMPORTRANGE(""https://docs.google.com/spreadsheets/d/16JDLGguT8s5DsGCND1KcwHP_AWR_zDMTqLHPLJUKhaU/edit?usp=sharing"",""พังงา!J316"")"),"")</f>
        <v/>
      </c>
      <c r="AF81" s="216" t="e">
        <f t="shared" ca="1" si="44"/>
        <v>#VALUE!</v>
      </c>
      <c r="AG81" s="278" t="str">
        <f ca="1">IFERROR(__xludf.DUMMYFUNCTION("IMPORTRANGE(""https://docs.google.com/spreadsheets/d/16JDLGguT8s5DsGCND1KcwHP_AWR_zDMTqLHPLJUKhaU/edit?usp=sharing"",""พังงา!I317"")"),"")</f>
        <v/>
      </c>
      <c r="AH81" s="152" t="str">
        <f ca="1">IFERROR(__xludf.DUMMYFUNCTION("IMPORTRANGE(""https://docs.google.com/spreadsheets/d/16JDLGguT8s5DsGCND1KcwHP_AWR_zDMTqLHPLJUKhaU/edit?usp=sharing"",""พังงา!J317"")"),"")</f>
        <v/>
      </c>
      <c r="AI81" s="216" t="e">
        <f t="shared" ca="1" si="46"/>
        <v>#VALUE!</v>
      </c>
    </row>
    <row r="82" spans="1:35" ht="21" customHeight="1" x14ac:dyDescent="0.3">
      <c r="A82" s="70">
        <v>8</v>
      </c>
      <c r="B82" s="71" t="s">
        <v>110</v>
      </c>
      <c r="C82" s="149">
        <f t="shared" ca="1" si="28"/>
        <v>162475</v>
      </c>
      <c r="D82" s="150">
        <f t="shared" ca="1" si="68"/>
        <v>162475</v>
      </c>
      <c r="E82" s="151">
        <f ca="1">IFERROR(__xludf.DUMMYFUNCTION("IMPORTRANGE(""https://docs.google.com/spreadsheets/d/1-uDff_7J0KD5mKrp0Vvzr7lt3OU09vwQwhkpOPPYv2Y/edit?usp=sharing"",""งบพรบ!DZ82"")"),80300)</f>
        <v>80300</v>
      </c>
      <c r="F82" s="151">
        <f ca="1">IFERROR(__xludf.DUMMYFUNCTION("IMPORTRANGE(""https://docs.google.com/spreadsheets/d/1-uDff_7J0KD5mKrp0Vvzr7lt3OU09vwQwhkpOPPYv2Y/edit?usp=sharing"",""งบพรบ!EA82"")"),82175)</f>
        <v>82175</v>
      </c>
      <c r="G82" s="151">
        <f ca="1">IFERROR(__xludf.DUMMYFUNCTION("IMPORTRANGE(""https://docs.google.com/spreadsheets/d/1-uDff_7J0KD5mKrp0Vvzr7lt3OU09vwQwhkpOPPYv2Y/edit?usp=sharing"",""งบพรบ!EB82"")"),0)</f>
        <v>0</v>
      </c>
      <c r="H82" s="151">
        <f ca="1">IFERROR(__xludf.DUMMYFUNCTION("IMPORTRANGE(""https://docs.google.com/spreadsheets/d/1-uDff_7J0KD5mKrp0Vvzr7lt3OU09vwQwhkpOPPYv2Y/edit?usp=sharing"",""งบพรบ!ED82"")"),162475)</f>
        <v>162475</v>
      </c>
      <c r="I82" s="151">
        <f ca="1">IFERROR(__xludf.DUMMYFUNCTION("IMPORTRANGE(""https://docs.google.com/spreadsheets/d/1-uDff_7J0KD5mKrp0Vvzr7lt3OU09vwQwhkpOPPYv2Y/edit?usp=sharing"",""งบพรบ!EE82"")"),0)</f>
        <v>0</v>
      </c>
      <c r="J82" s="151">
        <f t="shared" ca="1" si="30"/>
        <v>144713.32999999999</v>
      </c>
      <c r="K82" s="154">
        <f t="shared" ca="1" si="31"/>
        <v>89.06805970149253</v>
      </c>
      <c r="L82" s="151">
        <f ca="1">IFERROR(__xludf.DUMMYFUNCTION("IMPORTRANGE(""https://docs.google.com/spreadsheets/d/1-uDff_7J0KD5mKrp0Vvzr7lt3OU09vwQwhkpOPPYv2Y/edit?usp=sharing"",""งบพรบ!EF82"")"),144713.33)</f>
        <v>144713.32999999999</v>
      </c>
      <c r="M82" s="68">
        <f t="shared" ca="1" si="32"/>
        <v>89.06805970149253</v>
      </c>
      <c r="N82" s="68">
        <f t="shared" ca="1" si="33"/>
        <v>89.06805970149253</v>
      </c>
      <c r="O82" s="67">
        <f ca="1">IFERROR(__xludf.DUMMYFUNCTION("IMPORTRANGE(""https://docs.google.com/spreadsheets/d/1-uDff_7J0KD5mKrp0Vvzr7lt3OU09vwQwhkpOPPYv2Y/edit?usp=sharing"",""งบพรบ!EG82"")"),0)</f>
        <v>0</v>
      </c>
      <c r="P82" s="67">
        <f t="shared" ca="1" si="34"/>
        <v>0</v>
      </c>
      <c r="Q82" s="68">
        <f t="shared" ca="1" si="35"/>
        <v>0</v>
      </c>
      <c r="R82" s="197">
        <f ca="1">IFERROR(__xludf.DUMMYFUNCTION("IMPORTRANGE(""https://docs.google.com/spreadsheets/d/17ht0gPKzzT3PObBL1XJkeRmntBXI7wGjpLV7QorqlTk/edit?usp=sharing"",""พัทลุง!Q303"")"),123161.24)</f>
        <v>123161.24</v>
      </c>
      <c r="S82" s="67">
        <f ca="1">IFERROR(__xludf.DUMMYFUNCTION("IMPORTRANGE(""https://docs.google.com/spreadsheets/d/17ht0gPKzzT3PObBL1XJkeRmntBXI7wGjpLV7QorqlTk/edit?usp=sharing"",""พัทลุง!R303"")"),127361)</f>
        <v>127361</v>
      </c>
      <c r="T82" s="67">
        <f ca="1">IFERROR(__xludf.DUMMYFUNCTION("IMPORTRANGE(""https://docs.google.com/spreadsheets/d/17ht0gPKzzT3PObBL1XJkeRmntBXI7wGjpLV7QorqlTk/edit?usp=sharing"",""พัทลุง!S303"")"),109395)</f>
        <v>109395</v>
      </c>
      <c r="U82" s="68">
        <f t="shared" ca="1" si="37"/>
        <v>88.82258736596026</v>
      </c>
      <c r="V82" s="68">
        <f t="shared" ca="1" si="38"/>
        <v>85.893640910482802</v>
      </c>
      <c r="W82" s="278" t="str">
        <f ca="1">IFERROR(__xludf.DUMMYFUNCTION("IMPORTRANGE(""https://docs.google.com/spreadsheets/d/17ht0gPKzzT3PObBL1XJkeRmntBXI7wGjpLV7QorqlTk/edit?usp=sharing"",""พัทลุง!J313"")"),"")</f>
        <v/>
      </c>
      <c r="X82" s="278">
        <f ca="1">IFERROR(__xludf.DUMMYFUNCTION("IMPORTRANGE(""https://docs.google.com/spreadsheets/d/17ht0gPKzzT3PObBL1XJkeRmntBXI7wGjpLV7QorqlTk/edit?usp=sharing"",""พัทลุง!I314"")"),15)</f>
        <v>15</v>
      </c>
      <c r="Y82" s="152">
        <f ca="1">IFERROR(__xludf.DUMMYFUNCTION("IMPORTRANGE(""https://docs.google.com/spreadsheets/d/17ht0gPKzzT3PObBL1XJkeRmntBXI7wGjpLV7QorqlTk/edit?usp=sharing"",""พัทลุง!J314"")"),15)</f>
        <v>15</v>
      </c>
      <c r="Z82" s="216">
        <f t="shared" ca="1" si="40"/>
        <v>100</v>
      </c>
      <c r="AA82" s="278" t="str">
        <f ca="1">IFERROR(__xludf.DUMMYFUNCTION("IMPORTRANGE(""https://docs.google.com/spreadsheets/d/17ht0gPKzzT3PObBL1XJkeRmntBXI7wGjpLV7QorqlTk/edit?usp=sharing"",""พัทลุง!I315"")"),"")</f>
        <v/>
      </c>
      <c r="AB82" s="152" t="str">
        <f ca="1">IFERROR(__xludf.DUMMYFUNCTION("IMPORTRANGE(""https://docs.google.com/spreadsheets/d/17ht0gPKzzT3PObBL1XJkeRmntBXI7wGjpLV7QorqlTk/edit?usp=sharing"",""พัทลุง!J315"")"),"")</f>
        <v/>
      </c>
      <c r="AC82" s="216" t="e">
        <f t="shared" ca="1" si="42"/>
        <v>#VALUE!</v>
      </c>
      <c r="AD82" s="278" t="str">
        <f ca="1">IFERROR(__xludf.DUMMYFUNCTION("IMPORTRANGE(""https://docs.google.com/spreadsheets/d/17ht0gPKzzT3PObBL1XJkeRmntBXI7wGjpLV7QorqlTk/edit?usp=sharing"",""พัทลุง!I316"")"),"")</f>
        <v/>
      </c>
      <c r="AE82" s="152" t="str">
        <f ca="1">IFERROR(__xludf.DUMMYFUNCTION("IMPORTRANGE(""https://docs.google.com/spreadsheets/d/17ht0gPKzzT3PObBL1XJkeRmntBXI7wGjpLV7QorqlTk/edit?usp=sharing"",""พัทลุง!J316"")"),"")</f>
        <v/>
      </c>
      <c r="AF82" s="216" t="e">
        <f t="shared" ca="1" si="44"/>
        <v>#VALUE!</v>
      </c>
      <c r="AG82" s="278" t="str">
        <f ca="1">IFERROR(__xludf.DUMMYFUNCTION("IMPORTRANGE(""https://docs.google.com/spreadsheets/d/17ht0gPKzzT3PObBL1XJkeRmntBXI7wGjpLV7QorqlTk/edit?usp=sharing"",""พัทลุง!I317"")"),"")</f>
        <v/>
      </c>
      <c r="AH82" s="152" t="str">
        <f ca="1">IFERROR(__xludf.DUMMYFUNCTION("IMPORTRANGE(""https://docs.google.com/spreadsheets/d/17ht0gPKzzT3PObBL1XJkeRmntBXI7wGjpLV7QorqlTk/edit?usp=sharing"",""พัทลุง!J317"")"),"")</f>
        <v/>
      </c>
      <c r="AI82" s="216" t="e">
        <f t="shared" ca="1" si="46"/>
        <v>#VALUE!</v>
      </c>
    </row>
    <row r="83" spans="1:35" ht="21" customHeight="1" x14ac:dyDescent="0.3">
      <c r="A83" s="70">
        <v>9</v>
      </c>
      <c r="B83" s="71" t="s">
        <v>111</v>
      </c>
      <c r="C83" s="149">
        <f t="shared" ca="1" si="28"/>
        <v>0</v>
      </c>
      <c r="D83" s="150">
        <f t="shared" ca="1" si="68"/>
        <v>0</v>
      </c>
      <c r="E83" s="151">
        <f ca="1">IFERROR(__xludf.DUMMYFUNCTION("IMPORTRANGE(""https://docs.google.com/spreadsheets/d/1-uDff_7J0KD5mKrp0Vvzr7lt3OU09vwQwhkpOPPYv2Y/edit?usp=sharing"",""งบพรบ!DZ83"")"),0)</f>
        <v>0</v>
      </c>
      <c r="F83" s="151">
        <f ca="1">IFERROR(__xludf.DUMMYFUNCTION("IMPORTRANGE(""https://docs.google.com/spreadsheets/d/1-uDff_7J0KD5mKrp0Vvzr7lt3OU09vwQwhkpOPPYv2Y/edit?usp=sharing"",""งบพรบ!EA83"")"),0)</f>
        <v>0</v>
      </c>
      <c r="G83" s="151">
        <f ca="1">IFERROR(__xludf.DUMMYFUNCTION("IMPORTRANGE(""https://docs.google.com/spreadsheets/d/1-uDff_7J0KD5mKrp0Vvzr7lt3OU09vwQwhkpOPPYv2Y/edit?usp=sharing"",""งบพรบ!EB83"")"),0)</f>
        <v>0</v>
      </c>
      <c r="H83" s="151">
        <f ca="1">IFERROR(__xludf.DUMMYFUNCTION("IMPORTRANGE(""https://docs.google.com/spreadsheets/d/1-uDff_7J0KD5mKrp0Vvzr7lt3OU09vwQwhkpOPPYv2Y/edit?usp=sharing"",""งบพรบ!ED83"")"),0)</f>
        <v>0</v>
      </c>
      <c r="I83" s="151">
        <f ca="1">IFERROR(__xludf.DUMMYFUNCTION("IMPORTRANGE(""https://docs.google.com/spreadsheets/d/1-uDff_7J0KD5mKrp0Vvzr7lt3OU09vwQwhkpOPPYv2Y/edit?usp=sharing"",""งบพรบ!EE83"")"),0)</f>
        <v>0</v>
      </c>
      <c r="J83" s="151">
        <f t="shared" ca="1" si="30"/>
        <v>0</v>
      </c>
      <c r="K83" s="154">
        <f t="shared" ca="1" si="31"/>
        <v>0</v>
      </c>
      <c r="L83" s="151">
        <f ca="1">IFERROR(__xludf.DUMMYFUNCTION("IMPORTRANGE(""https://docs.google.com/spreadsheets/d/1-uDff_7J0KD5mKrp0Vvzr7lt3OU09vwQwhkpOPPYv2Y/edit?usp=sharing"",""งบพรบ!EF83"")"),0)</f>
        <v>0</v>
      </c>
      <c r="M83" s="68">
        <f t="shared" ca="1" si="32"/>
        <v>0</v>
      </c>
      <c r="N83" s="68">
        <f t="shared" ca="1" si="33"/>
        <v>0</v>
      </c>
      <c r="O83" s="67">
        <f ca="1">IFERROR(__xludf.DUMMYFUNCTION("IMPORTRANGE(""https://docs.google.com/spreadsheets/d/1-uDff_7J0KD5mKrp0Vvzr7lt3OU09vwQwhkpOPPYv2Y/edit?usp=sharing"",""งบพรบ!EG83"")"),0)</f>
        <v>0</v>
      </c>
      <c r="P83" s="67">
        <f t="shared" ca="1" si="34"/>
        <v>0</v>
      </c>
      <c r="Q83" s="68">
        <f t="shared" ca="1" si="35"/>
        <v>0</v>
      </c>
      <c r="R83" s="197">
        <f ca="1">IFERROR(__xludf.DUMMYFUNCTION("IMPORTRANGE(""https://docs.google.com/spreadsheets/d/1rd4qoM1q_hsgaolqNGfrim9gbsoLxQsda4-vOz5x_BM/edit?usp=sharing"",""ภูเก็ต!Q303"")"),0)</f>
        <v>0</v>
      </c>
      <c r="S83" s="67">
        <f ca="1">IFERROR(__xludf.DUMMYFUNCTION("IMPORTRANGE(""https://docs.google.com/spreadsheets/d/1rd4qoM1q_hsgaolqNGfrim9gbsoLxQsda4-vOz5x_BM/edit?usp=sharing"",""ภูเก็ต!R303"")"),0)</f>
        <v>0</v>
      </c>
      <c r="T83" s="67">
        <f ca="1">IFERROR(__xludf.DUMMYFUNCTION("IMPORTRANGE(""https://docs.google.com/spreadsheets/d/1rd4qoM1q_hsgaolqNGfrim9gbsoLxQsda4-vOz5x_BM/edit?usp=sharing"",""ภูเก็ต!S303"")"),0)</f>
        <v>0</v>
      </c>
      <c r="U83" s="68">
        <f t="shared" ca="1" si="37"/>
        <v>0</v>
      </c>
      <c r="V83" s="68">
        <f t="shared" ca="1" si="38"/>
        <v>0</v>
      </c>
      <c r="W83" s="278" t="str">
        <f ca="1">IFERROR(__xludf.DUMMYFUNCTION("IMPORTRANGE(""https://docs.google.com/spreadsheets/d/1rd4qoM1q_hsgaolqNGfrim9gbsoLxQsda4-vOz5x_BM/edit?usp=sharing"",""ภูเก็ต!J313"")"),"")</f>
        <v/>
      </c>
      <c r="X83" s="278">
        <f ca="1">IFERROR(__xludf.DUMMYFUNCTION("IMPORTRANGE(""https://docs.google.com/spreadsheets/d/1rd4qoM1q_hsgaolqNGfrim9gbsoLxQsda4-vOz5x_BM/edit?usp=sharing"",""ภูเก็ต!I314"")"),0)</f>
        <v>0</v>
      </c>
      <c r="Y83" s="152">
        <f ca="1">IFERROR(__xludf.DUMMYFUNCTION("IMPORTRANGE(""https://docs.google.com/spreadsheets/d/1rd4qoM1q_hsgaolqNGfrim9gbsoLxQsda4-vOz5x_BM/edit?usp=sharing"",""ภูเก็ต!J314"")"),0)</f>
        <v>0</v>
      </c>
      <c r="Z83" s="216">
        <f t="shared" ca="1" si="40"/>
        <v>0</v>
      </c>
      <c r="AA83" s="278" t="str">
        <f ca="1">IFERROR(__xludf.DUMMYFUNCTION("IMPORTRANGE(""https://docs.google.com/spreadsheets/d/1rd4qoM1q_hsgaolqNGfrim9gbsoLxQsda4-vOz5x_BM/edit?usp=sharing"",""ภูเก็ต!I315"")"),"")</f>
        <v/>
      </c>
      <c r="AB83" s="152" t="str">
        <f ca="1">IFERROR(__xludf.DUMMYFUNCTION("IMPORTRANGE(""https://docs.google.com/spreadsheets/d/1rd4qoM1q_hsgaolqNGfrim9gbsoLxQsda4-vOz5x_BM/edit?usp=sharing"",""ภูเก็ต!J315"")"),"")</f>
        <v/>
      </c>
      <c r="AC83" s="216">
        <f t="shared" ca="1" si="42"/>
        <v>0</v>
      </c>
      <c r="AD83" s="278" t="str">
        <f ca="1">IFERROR(__xludf.DUMMYFUNCTION("IMPORTRANGE(""https://docs.google.com/spreadsheets/d/1rd4qoM1q_hsgaolqNGfrim9gbsoLxQsda4-vOz5x_BM/edit?usp=sharing"",""ภูเก็ต!I316"")"),"")</f>
        <v/>
      </c>
      <c r="AE83" s="152" t="str">
        <f ca="1">IFERROR(__xludf.DUMMYFUNCTION("IMPORTRANGE(""https://docs.google.com/spreadsheets/d/1rd4qoM1q_hsgaolqNGfrim9gbsoLxQsda4-vOz5x_BM/edit?usp=sharing"",""ภูเก็ต!J316"")"),"")</f>
        <v/>
      </c>
      <c r="AF83" s="216" t="e">
        <f t="shared" ca="1" si="44"/>
        <v>#VALUE!</v>
      </c>
      <c r="AG83" s="278" t="str">
        <f ca="1">IFERROR(__xludf.DUMMYFUNCTION("IMPORTRANGE(""https://docs.google.com/spreadsheets/d/1rd4qoM1q_hsgaolqNGfrim9gbsoLxQsda4-vOz5x_BM/edit?usp=sharing"",""ภูเก็ต!I317"")"),"")</f>
        <v/>
      </c>
      <c r="AH83" s="152" t="str">
        <f ca="1">IFERROR(__xludf.DUMMYFUNCTION("IMPORTRANGE(""https://docs.google.com/spreadsheets/d/1rd4qoM1q_hsgaolqNGfrim9gbsoLxQsda4-vOz5x_BM/edit?usp=sharing"",""ภูเก็ต!J317"")"),"")</f>
        <v/>
      </c>
      <c r="AI83" s="216" t="e">
        <f t="shared" ca="1" si="46"/>
        <v>#VALUE!</v>
      </c>
    </row>
    <row r="84" spans="1:35" ht="21" customHeight="1" x14ac:dyDescent="0.3">
      <c r="A84" s="70">
        <v>10</v>
      </c>
      <c r="B84" s="71" t="s">
        <v>112</v>
      </c>
      <c r="C84" s="149">
        <f t="shared" ca="1" si="28"/>
        <v>0</v>
      </c>
      <c r="D84" s="150">
        <f t="shared" ca="1" si="68"/>
        <v>0</v>
      </c>
      <c r="E84" s="151">
        <f ca="1">IFERROR(__xludf.DUMMYFUNCTION("IMPORTRANGE(""https://docs.google.com/spreadsheets/d/1-uDff_7J0KD5mKrp0Vvzr7lt3OU09vwQwhkpOPPYv2Y/edit?usp=sharing"",""งบพรบ!DZ84"")"),0)</f>
        <v>0</v>
      </c>
      <c r="F84" s="151">
        <f ca="1">IFERROR(__xludf.DUMMYFUNCTION("IMPORTRANGE(""https://docs.google.com/spreadsheets/d/1-uDff_7J0KD5mKrp0Vvzr7lt3OU09vwQwhkpOPPYv2Y/edit?usp=sharing"",""งบพรบ!EA84"")"),0)</f>
        <v>0</v>
      </c>
      <c r="G84" s="151">
        <f ca="1">IFERROR(__xludf.DUMMYFUNCTION("IMPORTRANGE(""https://docs.google.com/spreadsheets/d/1-uDff_7J0KD5mKrp0Vvzr7lt3OU09vwQwhkpOPPYv2Y/edit?usp=sharing"",""งบพรบ!EB84"")"),0)</f>
        <v>0</v>
      </c>
      <c r="H84" s="151">
        <f ca="1">IFERROR(__xludf.DUMMYFUNCTION("IMPORTRANGE(""https://docs.google.com/spreadsheets/d/1-uDff_7J0KD5mKrp0Vvzr7lt3OU09vwQwhkpOPPYv2Y/edit?usp=sharing"",""งบพรบ!ED84"")"),0)</f>
        <v>0</v>
      </c>
      <c r="I84" s="151">
        <f ca="1">IFERROR(__xludf.DUMMYFUNCTION("IMPORTRANGE(""https://docs.google.com/spreadsheets/d/1-uDff_7J0KD5mKrp0Vvzr7lt3OU09vwQwhkpOPPYv2Y/edit?usp=sharing"",""งบพรบ!EE84"")"),0)</f>
        <v>0</v>
      </c>
      <c r="J84" s="151">
        <f t="shared" ca="1" si="30"/>
        <v>0</v>
      </c>
      <c r="K84" s="154">
        <f t="shared" ca="1" si="31"/>
        <v>0</v>
      </c>
      <c r="L84" s="151">
        <f ca="1">IFERROR(__xludf.DUMMYFUNCTION("IMPORTRANGE(""https://docs.google.com/spreadsheets/d/1-uDff_7J0KD5mKrp0Vvzr7lt3OU09vwQwhkpOPPYv2Y/edit?usp=sharing"",""งบพรบ!EF84"")"),0)</f>
        <v>0</v>
      </c>
      <c r="M84" s="68">
        <f t="shared" ca="1" si="32"/>
        <v>0</v>
      </c>
      <c r="N84" s="68">
        <f t="shared" ca="1" si="33"/>
        <v>0</v>
      </c>
      <c r="O84" s="67">
        <f ca="1">IFERROR(__xludf.DUMMYFUNCTION("IMPORTRANGE(""https://docs.google.com/spreadsheets/d/1-uDff_7J0KD5mKrp0Vvzr7lt3OU09vwQwhkpOPPYv2Y/edit?usp=sharing"",""งบพรบ!EG84"")"),0)</f>
        <v>0</v>
      </c>
      <c r="P84" s="67">
        <f t="shared" ca="1" si="34"/>
        <v>0</v>
      </c>
      <c r="Q84" s="68">
        <f t="shared" ca="1" si="35"/>
        <v>0</v>
      </c>
      <c r="R84" s="197">
        <f ca="1">IFERROR(__xludf.DUMMYFUNCTION("IMPORTRANGE(""https://docs.google.com/spreadsheets/d/1woKwKjgoLssDvPcPeVyezB5izizAn4X1JDrys69n6xI/edit?usp=sharing"",""ยะลา!Q303"")"),194611.99)</f>
        <v>194611.99</v>
      </c>
      <c r="S84" s="67">
        <f ca="1">IFERROR(__xludf.DUMMYFUNCTION("IMPORTRANGE(""https://docs.google.com/spreadsheets/d/1woKwKjgoLssDvPcPeVyezB5izizAn4X1JDrys69n6xI/edit?usp=sharing"",""ยะลา!R303"")"),198812)</f>
        <v>198812</v>
      </c>
      <c r="T84" s="67">
        <f ca="1">IFERROR(__xludf.DUMMYFUNCTION("IMPORTRANGE(""https://docs.google.com/spreadsheets/d/1woKwKjgoLssDvPcPeVyezB5izizAn4X1JDrys69n6xI/edit?usp=sharing"",""ยะลา!S303"")"),98610)</f>
        <v>98610</v>
      </c>
      <c r="U84" s="68">
        <f t="shared" ca="1" si="37"/>
        <v>50.670053782400565</v>
      </c>
      <c r="V84" s="68">
        <f t="shared" ca="1" si="38"/>
        <v>49.599621753214095</v>
      </c>
      <c r="W84" s="278" t="str">
        <f ca="1">IFERROR(__xludf.DUMMYFUNCTION("IMPORTRANGE(""https://docs.google.com/spreadsheets/d/1woKwKjgoLssDvPcPeVyezB5izizAn4X1JDrys69n6xI/edit?usp=sharing"",""ยะลา!J313"")"),"")</f>
        <v/>
      </c>
      <c r="X84" s="278">
        <f ca="1">IFERROR(__xludf.DUMMYFUNCTION("IMPORTRANGE(""https://docs.google.com/spreadsheets/d/1woKwKjgoLssDvPcPeVyezB5izizAn4X1JDrys69n6xI/edit?usp=sharing"",""ยะลา!I314"")"),20)</f>
        <v>20</v>
      </c>
      <c r="Y84" s="152">
        <f ca="1">IFERROR(__xludf.DUMMYFUNCTION("IMPORTRANGE(""https://docs.google.com/spreadsheets/d/1woKwKjgoLssDvPcPeVyezB5izizAn4X1JDrys69n6xI/edit?usp=sharing"",""ยะลา!J314"")"),20)</f>
        <v>20</v>
      </c>
      <c r="Z84" s="216">
        <f t="shared" ca="1" si="40"/>
        <v>100</v>
      </c>
      <c r="AA84" s="278" t="str">
        <f ca="1">IFERROR(__xludf.DUMMYFUNCTION("IMPORTRANGE(""https://docs.google.com/spreadsheets/d/1woKwKjgoLssDvPcPeVyezB5izizAn4X1JDrys69n6xI/edit?usp=sharing"",""ยะลา!I315"")"),"")</f>
        <v/>
      </c>
      <c r="AB84" s="152" t="str">
        <f ca="1">IFERROR(__xludf.DUMMYFUNCTION("IMPORTRANGE(""https://docs.google.com/spreadsheets/d/1woKwKjgoLssDvPcPeVyezB5izizAn4X1JDrys69n6xI/edit?usp=sharing"",""ยะลา!J315"")"),"")</f>
        <v/>
      </c>
      <c r="AC84" s="216" t="e">
        <f t="shared" ca="1" si="42"/>
        <v>#VALUE!</v>
      </c>
      <c r="AD84" s="278" t="str">
        <f ca="1">IFERROR(__xludf.DUMMYFUNCTION("IMPORTRANGE(""https://docs.google.com/spreadsheets/d/1woKwKjgoLssDvPcPeVyezB5izizAn4X1JDrys69n6xI/edit?usp=sharing"",""ยะลา!I316"")"),"")</f>
        <v/>
      </c>
      <c r="AE84" s="152" t="str">
        <f ca="1">IFERROR(__xludf.DUMMYFUNCTION("IMPORTRANGE(""https://docs.google.com/spreadsheets/d/1woKwKjgoLssDvPcPeVyezB5izizAn4X1JDrys69n6xI/edit?usp=sharing"",""ยะลา!J316"")"),"")</f>
        <v/>
      </c>
      <c r="AF84" s="216" t="e">
        <f t="shared" ca="1" si="44"/>
        <v>#VALUE!</v>
      </c>
      <c r="AG84" s="278" t="str">
        <f ca="1">IFERROR(__xludf.DUMMYFUNCTION("IMPORTRANGE(""https://docs.google.com/spreadsheets/d/1woKwKjgoLssDvPcPeVyezB5izizAn4X1JDrys69n6xI/edit?usp=sharing"",""ยะลา!I317"")"),"")</f>
        <v/>
      </c>
      <c r="AH84" s="152" t="str">
        <f ca="1">IFERROR(__xludf.DUMMYFUNCTION("IMPORTRANGE(""https://docs.google.com/spreadsheets/d/1woKwKjgoLssDvPcPeVyezB5izizAn4X1JDrys69n6xI/edit?usp=sharing"",""ยะลา!J317"")"),"")</f>
        <v/>
      </c>
      <c r="AI84" s="216" t="e">
        <f t="shared" ca="1" si="46"/>
        <v>#VALUE!</v>
      </c>
    </row>
    <row r="85" spans="1:35" ht="21" customHeight="1" x14ac:dyDescent="0.3">
      <c r="A85" s="70">
        <v>11</v>
      </c>
      <c r="B85" s="71" t="s">
        <v>113</v>
      </c>
      <c r="C85" s="149">
        <f t="shared" ca="1" si="28"/>
        <v>0</v>
      </c>
      <c r="D85" s="150">
        <f t="shared" ca="1" si="68"/>
        <v>0</v>
      </c>
      <c r="E85" s="151">
        <f ca="1">IFERROR(__xludf.DUMMYFUNCTION("IMPORTRANGE(""https://docs.google.com/spreadsheets/d/1-uDff_7J0KD5mKrp0Vvzr7lt3OU09vwQwhkpOPPYv2Y/edit?usp=sharing"",""งบพรบ!DZ85"")"),0)</f>
        <v>0</v>
      </c>
      <c r="F85" s="151">
        <f ca="1">IFERROR(__xludf.DUMMYFUNCTION("IMPORTRANGE(""https://docs.google.com/spreadsheets/d/1-uDff_7J0KD5mKrp0Vvzr7lt3OU09vwQwhkpOPPYv2Y/edit?usp=sharing"",""งบพรบ!EA85"")"),0)</f>
        <v>0</v>
      </c>
      <c r="G85" s="151">
        <f ca="1">IFERROR(__xludf.DUMMYFUNCTION("IMPORTRANGE(""https://docs.google.com/spreadsheets/d/1-uDff_7J0KD5mKrp0Vvzr7lt3OU09vwQwhkpOPPYv2Y/edit?usp=sharing"",""งบพรบ!EB85"")"),0)</f>
        <v>0</v>
      </c>
      <c r="H85" s="151">
        <f ca="1">IFERROR(__xludf.DUMMYFUNCTION("IMPORTRANGE(""https://docs.google.com/spreadsheets/d/1-uDff_7J0KD5mKrp0Vvzr7lt3OU09vwQwhkpOPPYv2Y/edit?usp=sharing"",""งบพรบ!ED85"")"),0)</f>
        <v>0</v>
      </c>
      <c r="I85" s="151">
        <f ca="1">IFERROR(__xludf.DUMMYFUNCTION("IMPORTRANGE(""https://docs.google.com/spreadsheets/d/1-uDff_7J0KD5mKrp0Vvzr7lt3OU09vwQwhkpOPPYv2Y/edit?usp=sharing"",""งบพรบ!EE85"")"),0)</f>
        <v>0</v>
      </c>
      <c r="J85" s="151">
        <f t="shared" ca="1" si="30"/>
        <v>0</v>
      </c>
      <c r="K85" s="154">
        <f t="shared" ca="1" si="31"/>
        <v>0</v>
      </c>
      <c r="L85" s="151">
        <f ca="1">IFERROR(__xludf.DUMMYFUNCTION("IMPORTRANGE(""https://docs.google.com/spreadsheets/d/1-uDff_7J0KD5mKrp0Vvzr7lt3OU09vwQwhkpOPPYv2Y/edit?usp=sharing"",""งบพรบ!EF85"")"),0)</f>
        <v>0</v>
      </c>
      <c r="M85" s="68">
        <f t="shared" ca="1" si="32"/>
        <v>0</v>
      </c>
      <c r="N85" s="68">
        <f t="shared" ca="1" si="33"/>
        <v>0</v>
      </c>
      <c r="O85" s="67">
        <f ca="1">IFERROR(__xludf.DUMMYFUNCTION("IMPORTRANGE(""https://docs.google.com/spreadsheets/d/1-uDff_7J0KD5mKrp0Vvzr7lt3OU09vwQwhkpOPPYv2Y/edit?usp=sharing"",""งบพรบ!EG85"")"),0)</f>
        <v>0</v>
      </c>
      <c r="P85" s="67">
        <f t="shared" ca="1" si="34"/>
        <v>0</v>
      </c>
      <c r="Q85" s="68">
        <f t="shared" ca="1" si="35"/>
        <v>0</v>
      </c>
      <c r="R85" s="197">
        <f ca="1">IFERROR(__xludf.DUMMYFUNCTION("IMPORTRANGE(""https://docs.google.com/spreadsheets/d/1qfrKjzMhm2HJfxQ-qVlJlJQ25Hne1d0khsySbZyGtPA/edit?usp=sharing"",""ระนอง!Q303"")"),0)</f>
        <v>0</v>
      </c>
      <c r="S85" s="67">
        <f ca="1">IFERROR(__xludf.DUMMYFUNCTION("IMPORTRANGE(""https://docs.google.com/spreadsheets/d/1qfrKjzMhm2HJfxQ-qVlJlJQ25Hne1d0khsySbZyGtPA/edit?usp=sharing"",""ระนอง!R303"")"),0)</f>
        <v>0</v>
      </c>
      <c r="T85" s="67">
        <f ca="1">IFERROR(__xludf.DUMMYFUNCTION("IMPORTRANGE(""https://docs.google.com/spreadsheets/d/1qfrKjzMhm2HJfxQ-qVlJlJQ25Hne1d0khsySbZyGtPA/edit?usp=sharing"",""ระนอง!S303"")"),0)</f>
        <v>0</v>
      </c>
      <c r="U85" s="68">
        <f t="shared" ca="1" si="37"/>
        <v>0</v>
      </c>
      <c r="V85" s="68">
        <f t="shared" ca="1" si="38"/>
        <v>0</v>
      </c>
      <c r="W85" s="278" t="str">
        <f ca="1">IFERROR(__xludf.DUMMYFUNCTION("IMPORTRANGE(""https://docs.google.com/spreadsheets/d/1qfrKjzMhm2HJfxQ-qVlJlJQ25Hne1d0khsySbZyGtPA/edit?usp=sharing"",""ระนอง!J313"")"),"")</f>
        <v/>
      </c>
      <c r="X85" s="278">
        <f ca="1">IFERROR(__xludf.DUMMYFUNCTION("IMPORTRANGE(""https://docs.google.com/spreadsheets/d/1qfrKjzMhm2HJfxQ-qVlJlJQ25Hne1d0khsySbZyGtPA/edit?usp=sharing"",""ระนอง!I314"")"),0)</f>
        <v>0</v>
      </c>
      <c r="Y85" s="152">
        <f ca="1">IFERROR(__xludf.DUMMYFUNCTION("IMPORTRANGE(""https://docs.google.com/spreadsheets/d/1qfrKjzMhm2HJfxQ-qVlJlJQ25Hne1d0khsySbZyGtPA/edit?usp=sharing"",""ระนอง!J314"")"),0)</f>
        <v>0</v>
      </c>
      <c r="Z85" s="216">
        <f t="shared" ca="1" si="40"/>
        <v>0</v>
      </c>
      <c r="AA85" s="278" t="str">
        <f ca="1">IFERROR(__xludf.DUMMYFUNCTION("IMPORTRANGE(""https://docs.google.com/spreadsheets/d/1qfrKjzMhm2HJfxQ-qVlJlJQ25Hne1d0khsySbZyGtPA/edit?usp=sharing"",""ระนอง!I315"")"),"")</f>
        <v/>
      </c>
      <c r="AB85" s="152" t="str">
        <f ca="1">IFERROR(__xludf.DUMMYFUNCTION("IMPORTRANGE(""https://docs.google.com/spreadsheets/d/1qfrKjzMhm2HJfxQ-qVlJlJQ25Hne1d0khsySbZyGtPA/edit?usp=sharing"",""ระนอง!J315"")"),"")</f>
        <v/>
      </c>
      <c r="AC85" s="216">
        <f t="shared" ca="1" si="42"/>
        <v>0</v>
      </c>
      <c r="AD85" s="278" t="str">
        <f ca="1">IFERROR(__xludf.DUMMYFUNCTION("IMPORTRANGE(""https://docs.google.com/spreadsheets/d/1qfrKjzMhm2HJfxQ-qVlJlJQ25Hne1d0khsySbZyGtPA/edit?usp=sharing"",""ระนอง!I316"")"),"")</f>
        <v/>
      </c>
      <c r="AE85" s="152" t="str">
        <f ca="1">IFERROR(__xludf.DUMMYFUNCTION("IMPORTRANGE(""https://docs.google.com/spreadsheets/d/1qfrKjzMhm2HJfxQ-qVlJlJQ25Hne1d0khsySbZyGtPA/edit?usp=sharing"",""ระนอง!J316"")"),"")</f>
        <v/>
      </c>
      <c r="AF85" s="216" t="e">
        <f t="shared" ca="1" si="44"/>
        <v>#VALUE!</v>
      </c>
      <c r="AG85" s="278" t="str">
        <f ca="1">IFERROR(__xludf.DUMMYFUNCTION("IMPORTRANGE(""https://docs.google.com/spreadsheets/d/1qfrKjzMhm2HJfxQ-qVlJlJQ25Hne1d0khsySbZyGtPA/edit?usp=sharing"",""ระนอง!I317"")"),"")</f>
        <v/>
      </c>
      <c r="AH85" s="152" t="str">
        <f ca="1">IFERROR(__xludf.DUMMYFUNCTION("IMPORTRANGE(""https://docs.google.com/spreadsheets/d/1qfrKjzMhm2HJfxQ-qVlJlJQ25Hne1d0khsySbZyGtPA/edit?usp=sharing"",""ระนอง!J317"")"),"")</f>
        <v/>
      </c>
      <c r="AI85" s="216" t="e">
        <f t="shared" ca="1" si="46"/>
        <v>#VALUE!</v>
      </c>
    </row>
    <row r="86" spans="1:35" ht="24" customHeight="1" x14ac:dyDescent="0.3">
      <c r="A86" s="70">
        <v>12</v>
      </c>
      <c r="B86" s="71" t="s">
        <v>114</v>
      </c>
      <c r="C86" s="149">
        <f t="shared" ca="1" si="28"/>
        <v>0</v>
      </c>
      <c r="D86" s="150">
        <f t="shared" ca="1" si="68"/>
        <v>0</v>
      </c>
      <c r="E86" s="151">
        <f ca="1">IFERROR(__xludf.DUMMYFUNCTION("IMPORTRANGE(""https://docs.google.com/spreadsheets/d/1-uDff_7J0KD5mKrp0Vvzr7lt3OU09vwQwhkpOPPYv2Y/edit?usp=sharing"",""งบพรบ!DZ86"")"),0)</f>
        <v>0</v>
      </c>
      <c r="F86" s="151">
        <f ca="1">IFERROR(__xludf.DUMMYFUNCTION("IMPORTRANGE(""https://docs.google.com/spreadsheets/d/1-uDff_7J0KD5mKrp0Vvzr7lt3OU09vwQwhkpOPPYv2Y/edit?usp=sharing"",""งบพรบ!EA86"")"),0)</f>
        <v>0</v>
      </c>
      <c r="G86" s="151">
        <f ca="1">IFERROR(__xludf.DUMMYFUNCTION("IMPORTRANGE(""https://docs.google.com/spreadsheets/d/1-uDff_7J0KD5mKrp0Vvzr7lt3OU09vwQwhkpOPPYv2Y/edit?usp=sharing"",""งบพรบ!EB86"")"),0)</f>
        <v>0</v>
      </c>
      <c r="H86" s="151">
        <f ca="1">IFERROR(__xludf.DUMMYFUNCTION("IMPORTRANGE(""https://docs.google.com/spreadsheets/d/1-uDff_7J0KD5mKrp0Vvzr7lt3OU09vwQwhkpOPPYv2Y/edit?usp=sharing"",""งบพรบ!ED86"")"),0)</f>
        <v>0</v>
      </c>
      <c r="I86" s="151">
        <f ca="1">IFERROR(__xludf.DUMMYFUNCTION("IMPORTRANGE(""https://docs.google.com/spreadsheets/d/1-uDff_7J0KD5mKrp0Vvzr7lt3OU09vwQwhkpOPPYv2Y/edit?usp=sharing"",""งบพรบ!EE86"")"),0)</f>
        <v>0</v>
      </c>
      <c r="J86" s="151">
        <f t="shared" ca="1" si="30"/>
        <v>0</v>
      </c>
      <c r="K86" s="154">
        <f t="shared" ca="1" si="31"/>
        <v>0</v>
      </c>
      <c r="L86" s="151">
        <f ca="1">IFERROR(__xludf.DUMMYFUNCTION("IMPORTRANGE(""https://docs.google.com/spreadsheets/d/1-uDff_7J0KD5mKrp0Vvzr7lt3OU09vwQwhkpOPPYv2Y/edit?usp=sharing"",""งบพรบ!EF86"")"),0)</f>
        <v>0</v>
      </c>
      <c r="M86" s="68">
        <f t="shared" ca="1" si="32"/>
        <v>0</v>
      </c>
      <c r="N86" s="68">
        <f t="shared" ca="1" si="33"/>
        <v>0</v>
      </c>
      <c r="O86" s="67">
        <f ca="1">IFERROR(__xludf.DUMMYFUNCTION("IMPORTRANGE(""https://docs.google.com/spreadsheets/d/1-uDff_7J0KD5mKrp0Vvzr7lt3OU09vwQwhkpOPPYv2Y/edit?usp=sharing"",""งบพรบ!EG86"")"),0)</f>
        <v>0</v>
      </c>
      <c r="P86" s="67">
        <f t="shared" ca="1" si="34"/>
        <v>0</v>
      </c>
      <c r="Q86" s="68">
        <f t="shared" ca="1" si="35"/>
        <v>0</v>
      </c>
      <c r="R86" s="197">
        <f ca="1">IFERROR(__xludf.DUMMYFUNCTION("IMPORTRANGE(""https://docs.google.com/spreadsheets/d/1IbSCnFOKpZsnFogBHJnL_isstZVaOMnFiIN0fGTPZZw/edit?usp=sharing"",""สงขลา!Q303"")"),226234.22)</f>
        <v>226234.22</v>
      </c>
      <c r="S86" s="67">
        <f ca="1">IFERROR(__xludf.DUMMYFUNCTION("IMPORTRANGE(""https://docs.google.com/spreadsheets/d/1IbSCnFOKpZsnFogBHJnL_isstZVaOMnFiIN0fGTPZZw/edit?usp=sharing"",""สงขลา!R303"")"),230434)</f>
        <v>230434</v>
      </c>
      <c r="T86" s="67">
        <f ca="1">IFERROR(__xludf.DUMMYFUNCTION("IMPORTRANGE(""https://docs.google.com/spreadsheets/d/1IbSCnFOKpZsnFogBHJnL_isstZVaOMnFiIN0fGTPZZw/edit?usp=sharing"",""สงขลา!S303"")"),129084)</f>
        <v>129084</v>
      </c>
      <c r="U86" s="68">
        <f t="shared" ca="1" si="37"/>
        <v>57.057681194295007</v>
      </c>
      <c r="V86" s="68">
        <f t="shared" ca="1" si="38"/>
        <v>56.017775154708076</v>
      </c>
      <c r="W86" s="278" t="str">
        <f ca="1">IFERROR(__xludf.DUMMYFUNCTION("IMPORTRANGE(""https://docs.google.com/spreadsheets/d/1IbSCnFOKpZsnFogBHJnL_isstZVaOMnFiIN0fGTPZZw/edit?usp=sharing"",""สงขลา!J313"")"),"")</f>
        <v/>
      </c>
      <c r="X86" s="278">
        <f ca="1">IFERROR(__xludf.DUMMYFUNCTION("IMPORTRANGE(""https://docs.google.com/spreadsheets/d/1IbSCnFOKpZsnFogBHJnL_isstZVaOMnFiIN0fGTPZZw/edit?usp=sharing"",""สงขลา!I314"")"),25)</f>
        <v>25</v>
      </c>
      <c r="Y86" s="152">
        <f ca="1">IFERROR(__xludf.DUMMYFUNCTION("IMPORTRANGE(""https://docs.google.com/spreadsheets/d/1IbSCnFOKpZsnFogBHJnL_isstZVaOMnFiIN0fGTPZZw/edit?usp=sharing"",""สงขลา!J314"")"),25)</f>
        <v>25</v>
      </c>
      <c r="Z86" s="216">
        <f t="shared" ca="1" si="40"/>
        <v>100</v>
      </c>
      <c r="AA86" s="278" t="str">
        <f ca="1">IFERROR(__xludf.DUMMYFUNCTION("IMPORTRANGE(""https://docs.google.com/spreadsheets/d/1IbSCnFOKpZsnFogBHJnL_isstZVaOMnFiIN0fGTPZZw/edit?usp=sharing"",""สงขลา!I315"")"),"")</f>
        <v/>
      </c>
      <c r="AB86" s="152" t="str">
        <f ca="1">IFERROR(__xludf.DUMMYFUNCTION("IMPORTRANGE(""https://docs.google.com/spreadsheets/d/1IbSCnFOKpZsnFogBHJnL_isstZVaOMnFiIN0fGTPZZw/edit?usp=sharing"",""สงขลา!J315"")"),"")</f>
        <v/>
      </c>
      <c r="AC86" s="216" t="e">
        <f t="shared" ca="1" si="42"/>
        <v>#VALUE!</v>
      </c>
      <c r="AD86" s="278" t="str">
        <f ca="1">IFERROR(__xludf.DUMMYFUNCTION("IMPORTRANGE(""https://docs.google.com/spreadsheets/d/1IbSCnFOKpZsnFogBHJnL_isstZVaOMnFiIN0fGTPZZw/edit?usp=sharing"",""สงขลา!I316"")"),"")</f>
        <v/>
      </c>
      <c r="AE86" s="152" t="str">
        <f ca="1">IFERROR(__xludf.DUMMYFUNCTION("IMPORTRANGE(""https://docs.google.com/spreadsheets/d/1IbSCnFOKpZsnFogBHJnL_isstZVaOMnFiIN0fGTPZZw/edit?usp=sharing"",""สงขลา!J316"")"),"")</f>
        <v/>
      </c>
      <c r="AF86" s="216" t="e">
        <f t="shared" ca="1" si="44"/>
        <v>#VALUE!</v>
      </c>
      <c r="AG86" s="278" t="str">
        <f ca="1">IFERROR(__xludf.DUMMYFUNCTION("IMPORTRANGE(""https://docs.google.com/spreadsheets/d/1IbSCnFOKpZsnFogBHJnL_isstZVaOMnFiIN0fGTPZZw/edit?usp=sharing"",""สงขลา!I317"")"),"")</f>
        <v/>
      </c>
      <c r="AH86" s="152" t="str">
        <f ca="1">IFERROR(__xludf.DUMMYFUNCTION("IMPORTRANGE(""https://docs.google.com/spreadsheets/d/1IbSCnFOKpZsnFogBHJnL_isstZVaOMnFiIN0fGTPZZw/edit?usp=sharing"",""สงขลา!J317"")"),"")</f>
        <v/>
      </c>
      <c r="AI86" s="216" t="e">
        <f t="shared" ca="1" si="46"/>
        <v>#VALUE!</v>
      </c>
    </row>
    <row r="87" spans="1:35" ht="24" customHeight="1" x14ac:dyDescent="0.3">
      <c r="A87" s="70">
        <v>13</v>
      </c>
      <c r="B87" s="71" t="s">
        <v>115</v>
      </c>
      <c r="C87" s="149">
        <f t="shared" ca="1" si="28"/>
        <v>0</v>
      </c>
      <c r="D87" s="150">
        <f t="shared" ca="1" si="68"/>
        <v>0</v>
      </c>
      <c r="E87" s="151">
        <f ca="1">IFERROR(__xludf.DUMMYFUNCTION("IMPORTRANGE(""https://docs.google.com/spreadsheets/d/1-uDff_7J0KD5mKrp0Vvzr7lt3OU09vwQwhkpOPPYv2Y/edit?usp=sharing"",""งบพรบ!DZ87"")"),0)</f>
        <v>0</v>
      </c>
      <c r="F87" s="151">
        <f ca="1">IFERROR(__xludf.DUMMYFUNCTION("IMPORTRANGE(""https://docs.google.com/spreadsheets/d/1-uDff_7J0KD5mKrp0Vvzr7lt3OU09vwQwhkpOPPYv2Y/edit?usp=sharing"",""งบพรบ!EA87"")"),0)</f>
        <v>0</v>
      </c>
      <c r="G87" s="151">
        <f ca="1">IFERROR(__xludf.DUMMYFUNCTION("IMPORTRANGE(""https://docs.google.com/spreadsheets/d/1-uDff_7J0KD5mKrp0Vvzr7lt3OU09vwQwhkpOPPYv2Y/edit?usp=sharing"",""งบพรบ!EB87"")"),0)</f>
        <v>0</v>
      </c>
      <c r="H87" s="151">
        <f ca="1">IFERROR(__xludf.DUMMYFUNCTION("IMPORTRANGE(""https://docs.google.com/spreadsheets/d/1-uDff_7J0KD5mKrp0Vvzr7lt3OU09vwQwhkpOPPYv2Y/edit?usp=sharing"",""งบพรบ!ED87"")"),0)</f>
        <v>0</v>
      </c>
      <c r="I87" s="151">
        <f ca="1">IFERROR(__xludf.DUMMYFUNCTION("IMPORTRANGE(""https://docs.google.com/spreadsheets/d/1-uDff_7J0KD5mKrp0Vvzr7lt3OU09vwQwhkpOPPYv2Y/edit?usp=sharing"",""งบพรบ!EE87"")"),0)</f>
        <v>0</v>
      </c>
      <c r="J87" s="151">
        <f t="shared" ca="1" si="30"/>
        <v>0</v>
      </c>
      <c r="K87" s="154">
        <f t="shared" ca="1" si="31"/>
        <v>0</v>
      </c>
      <c r="L87" s="151">
        <f ca="1">IFERROR(__xludf.DUMMYFUNCTION("IMPORTRANGE(""https://docs.google.com/spreadsheets/d/1-uDff_7J0KD5mKrp0Vvzr7lt3OU09vwQwhkpOPPYv2Y/edit?usp=sharing"",""งบพรบ!EF87"")"),0)</f>
        <v>0</v>
      </c>
      <c r="M87" s="68">
        <f t="shared" ca="1" si="32"/>
        <v>0</v>
      </c>
      <c r="N87" s="68">
        <f t="shared" ca="1" si="33"/>
        <v>0</v>
      </c>
      <c r="O87" s="67">
        <f ca="1">IFERROR(__xludf.DUMMYFUNCTION("IMPORTRANGE(""https://docs.google.com/spreadsheets/d/1-uDff_7J0KD5mKrp0Vvzr7lt3OU09vwQwhkpOPPYv2Y/edit?usp=sharing"",""งบพรบ!EG87"")"),0)</f>
        <v>0</v>
      </c>
      <c r="P87" s="67">
        <f t="shared" ca="1" si="34"/>
        <v>0</v>
      </c>
      <c r="Q87" s="68">
        <f t="shared" ca="1" si="35"/>
        <v>0</v>
      </c>
      <c r="R87" s="197">
        <f ca="1">IFERROR(__xludf.DUMMYFUNCTION("IMPORTRANGE(""https://docs.google.com/spreadsheets/d/1q9nWasZJ-K8bFGvbE9n0qSRuKGA4Toe3Y89cKCiVtCU/edit?usp=sharing"",""สตูล!Q303"")"),226234.22)</f>
        <v>226234.22</v>
      </c>
      <c r="S87" s="67">
        <f ca="1">IFERROR(__xludf.DUMMYFUNCTION("IMPORTRANGE(""https://docs.google.com/spreadsheets/d/1q9nWasZJ-K8bFGvbE9n0qSRuKGA4Toe3Y89cKCiVtCU/edit?usp=sharing"",""สตูล!R303"")"),230434)</f>
        <v>230434</v>
      </c>
      <c r="T87" s="67">
        <f ca="1">IFERROR(__xludf.DUMMYFUNCTION("IMPORTRANGE(""https://docs.google.com/spreadsheets/d/1q9nWasZJ-K8bFGvbE9n0qSRuKGA4Toe3Y89cKCiVtCU/edit?usp=sharing"",""สตูล!S303"")"),86574.1)</f>
        <v>86574.1</v>
      </c>
      <c r="U87" s="68">
        <f t="shared" ca="1" si="37"/>
        <v>38.267464577197913</v>
      </c>
      <c r="V87" s="68">
        <f t="shared" ca="1" si="38"/>
        <v>37.570020049124693</v>
      </c>
      <c r="W87" s="278" t="str">
        <f ca="1">IFERROR(__xludf.DUMMYFUNCTION("IMPORTRANGE(""https://docs.google.com/spreadsheets/d/1q9nWasZJ-K8bFGvbE9n0qSRuKGA4Toe3Y89cKCiVtCU/edit?usp=sharing"",""สตูล!J313"")"),"")</f>
        <v/>
      </c>
      <c r="X87" s="278">
        <f ca="1">IFERROR(__xludf.DUMMYFUNCTION("IMPORTRANGE(""https://docs.google.com/spreadsheets/d/1q9nWasZJ-K8bFGvbE9n0qSRuKGA4Toe3Y89cKCiVtCU/edit?usp=sharing"",""สตูล!I314"")"),25)</f>
        <v>25</v>
      </c>
      <c r="Y87" s="152">
        <f ca="1">IFERROR(__xludf.DUMMYFUNCTION("IMPORTRANGE(""https://docs.google.com/spreadsheets/d/1q9nWasZJ-K8bFGvbE9n0qSRuKGA4Toe3Y89cKCiVtCU/edit?usp=sharing"",""สตูล!J314"")"),25)</f>
        <v>25</v>
      </c>
      <c r="Z87" s="216">
        <f t="shared" ca="1" si="40"/>
        <v>100</v>
      </c>
      <c r="AA87" s="278" t="str">
        <f ca="1">IFERROR(__xludf.DUMMYFUNCTION("IMPORTRANGE(""https://docs.google.com/spreadsheets/d/1q9nWasZJ-K8bFGvbE9n0qSRuKGA4Toe3Y89cKCiVtCU/edit?usp=sharing"",""สตูล!I315"")"),"")</f>
        <v/>
      </c>
      <c r="AB87" s="152" t="str">
        <f ca="1">IFERROR(__xludf.DUMMYFUNCTION("IMPORTRANGE(""https://docs.google.com/spreadsheets/d/1q9nWasZJ-K8bFGvbE9n0qSRuKGA4Toe3Y89cKCiVtCU/edit?usp=sharing"",""สตูล!J315"")"),"")</f>
        <v/>
      </c>
      <c r="AC87" s="216" t="e">
        <f t="shared" ca="1" si="42"/>
        <v>#VALUE!</v>
      </c>
      <c r="AD87" s="278" t="str">
        <f ca="1">IFERROR(__xludf.DUMMYFUNCTION("IMPORTRANGE(""https://docs.google.com/spreadsheets/d/1q9nWasZJ-K8bFGvbE9n0qSRuKGA4Toe3Y89cKCiVtCU/edit?usp=sharing"",""สตูล!I316"")"),"")</f>
        <v/>
      </c>
      <c r="AE87" s="152" t="str">
        <f ca="1">IFERROR(__xludf.DUMMYFUNCTION("IMPORTRANGE(""https://docs.google.com/spreadsheets/d/1q9nWasZJ-K8bFGvbE9n0qSRuKGA4Toe3Y89cKCiVtCU/edit?usp=sharing"",""สตูล!J316"")"),"")</f>
        <v/>
      </c>
      <c r="AF87" s="216" t="e">
        <f t="shared" ca="1" si="44"/>
        <v>#VALUE!</v>
      </c>
      <c r="AG87" s="278" t="str">
        <f ca="1">IFERROR(__xludf.DUMMYFUNCTION("IMPORTRANGE(""https://docs.google.com/spreadsheets/d/1q9nWasZJ-K8bFGvbE9n0qSRuKGA4Toe3Y89cKCiVtCU/edit?usp=sharing"",""สตูล!I317"")"),"")</f>
        <v/>
      </c>
      <c r="AH87" s="152" t="str">
        <f ca="1">IFERROR(__xludf.DUMMYFUNCTION("IMPORTRANGE(""https://docs.google.com/spreadsheets/d/1q9nWasZJ-K8bFGvbE9n0qSRuKGA4Toe3Y89cKCiVtCU/edit?usp=sharing"",""สตูล!J317"")"),"")</f>
        <v/>
      </c>
      <c r="AI87" s="216" t="e">
        <f t="shared" ca="1" si="46"/>
        <v>#VALUE!</v>
      </c>
    </row>
    <row r="88" spans="1:35" ht="24" customHeight="1" x14ac:dyDescent="0.3">
      <c r="A88" s="80">
        <v>14</v>
      </c>
      <c r="B88" s="81" t="s">
        <v>116</v>
      </c>
      <c r="C88" s="157">
        <f t="shared" ca="1" si="28"/>
        <v>264500</v>
      </c>
      <c r="D88" s="158">
        <f t="shared" ca="1" si="68"/>
        <v>264500</v>
      </c>
      <c r="E88" s="159">
        <f ca="1">IFERROR(__xludf.DUMMYFUNCTION("IMPORTRANGE(""https://docs.google.com/spreadsheets/d/1-uDff_7J0KD5mKrp0Vvzr7lt3OU09vwQwhkpOPPYv2Y/edit?usp=sharing"",""งบพรบ!DZ88"")"),160600)</f>
        <v>160600</v>
      </c>
      <c r="F88" s="159">
        <f ca="1">IFERROR(__xludf.DUMMYFUNCTION("IMPORTRANGE(""https://docs.google.com/spreadsheets/d/1-uDff_7J0KD5mKrp0Vvzr7lt3OU09vwQwhkpOPPYv2Y/edit?usp=sharing"",""งบพรบ!EA88"")"),103900)</f>
        <v>103900</v>
      </c>
      <c r="G88" s="159">
        <f ca="1">IFERROR(__xludf.DUMMYFUNCTION("IMPORTRANGE(""https://docs.google.com/spreadsheets/d/1-uDff_7J0KD5mKrp0Vvzr7lt3OU09vwQwhkpOPPYv2Y/edit?usp=sharing"",""งบพรบ!EB88"")"),0)</f>
        <v>0</v>
      </c>
      <c r="H88" s="159">
        <f ca="1">IFERROR(__xludf.DUMMYFUNCTION("IMPORTRANGE(""https://docs.google.com/spreadsheets/d/1-uDff_7J0KD5mKrp0Vvzr7lt3OU09vwQwhkpOPPYv2Y/edit?usp=sharing"",""งบพรบ!ED88"")"),264500)</f>
        <v>264500</v>
      </c>
      <c r="I88" s="159">
        <f ca="1">IFERROR(__xludf.DUMMYFUNCTION("IMPORTRANGE(""https://docs.google.com/spreadsheets/d/1-uDff_7J0KD5mKrp0Vvzr7lt3OU09vwQwhkpOPPYv2Y/edit?usp=sharing"",""งบพรบ!EE88"")"),0)</f>
        <v>0</v>
      </c>
      <c r="J88" s="159">
        <f t="shared" ca="1" si="30"/>
        <v>224500</v>
      </c>
      <c r="K88" s="160">
        <f t="shared" ca="1" si="31"/>
        <v>84.87712665406427</v>
      </c>
      <c r="L88" s="159">
        <f ca="1">IFERROR(__xludf.DUMMYFUNCTION("IMPORTRANGE(""https://docs.google.com/spreadsheets/d/1-uDff_7J0KD5mKrp0Vvzr7lt3OU09vwQwhkpOPPYv2Y/edit?usp=sharing"",""งบพรบ!EF88"")"),224500)</f>
        <v>224500</v>
      </c>
      <c r="M88" s="89">
        <f t="shared" ca="1" si="32"/>
        <v>84.87712665406427</v>
      </c>
      <c r="N88" s="89">
        <f t="shared" ca="1" si="33"/>
        <v>84.87712665406427</v>
      </c>
      <c r="O88" s="88">
        <f ca="1">IFERROR(__xludf.DUMMYFUNCTION("IMPORTRANGE(""https://docs.google.com/spreadsheets/d/1-uDff_7J0KD5mKrp0Vvzr7lt3OU09vwQwhkpOPPYv2Y/edit?usp=sharing"",""งบพรบ!EG88"")"),0)</f>
        <v>0</v>
      </c>
      <c r="P88" s="88">
        <f t="shared" ca="1" si="34"/>
        <v>0</v>
      </c>
      <c r="Q88" s="89">
        <f t="shared" ca="1" si="35"/>
        <v>0</v>
      </c>
      <c r="R88" s="198">
        <f ca="1">IFERROR(__xludf.DUMMYFUNCTION("IMPORTRANGE(""https://docs.google.com/spreadsheets/d/18T20gbkS_WBjdscyTOV05cvq_JqvqQ17C81mpxf7Ncs/edit?usp=sharing"",""สุราษฎร์ธานี!Q303"")"),144609.24)</f>
        <v>144609.24</v>
      </c>
      <c r="S88" s="88">
        <f ca="1">IFERROR(__xludf.DUMMYFUNCTION("IMPORTRANGE(""https://docs.google.com/spreadsheets/d/18T20gbkS_WBjdscyTOV05cvq_JqvqQ17C81mpxf7Ncs/edit?usp=sharing"",""สุราษฎร์ธานี!R303"")"),148809)</f>
        <v>148809</v>
      </c>
      <c r="T88" s="88">
        <f ca="1">IFERROR(__xludf.DUMMYFUNCTION("IMPORTRANGE(""https://docs.google.com/spreadsheets/d/18T20gbkS_WBjdscyTOV05cvq_JqvqQ17C81mpxf7Ncs/edit?usp=sharing"",""สุราษฎร์ธานี!S303"")"),116225)</f>
        <v>116225</v>
      </c>
      <c r="U88" s="89">
        <f t="shared" ca="1" si="37"/>
        <v>80.371766008866388</v>
      </c>
      <c r="V88" s="89">
        <f t="shared" ca="1" si="38"/>
        <v>78.103474924231733</v>
      </c>
      <c r="W88" s="280" t="str">
        <f ca="1">IFERROR(__xludf.DUMMYFUNCTION("IMPORTRANGE(""https://docs.google.com/spreadsheets/d/18T20gbkS_WBjdscyTOV05cvq_JqvqQ17C81mpxf7Ncs/edit?usp=sharing"",""สุราษฎร์ธานี!J313"")"),"")</f>
        <v/>
      </c>
      <c r="X88" s="280">
        <f ca="1">IFERROR(__xludf.DUMMYFUNCTION("IMPORTRANGE(""https://docs.google.com/spreadsheets/d/18T20gbkS_WBjdscyTOV05cvq_JqvqQ17C81mpxf7Ncs/edit?usp=sharing"",""สุราษฎร์ธานี!I314"")"),20)</f>
        <v>20</v>
      </c>
      <c r="Y88" s="191">
        <f ca="1">IFERROR(__xludf.DUMMYFUNCTION("IMPORTRANGE(""https://docs.google.com/spreadsheets/d/18T20gbkS_WBjdscyTOV05cvq_JqvqQ17C81mpxf7Ncs/edit?usp=sharing"",""สุราษฎร์ธานี!J314"")"),20)</f>
        <v>20</v>
      </c>
      <c r="Z88" s="218">
        <f t="shared" ca="1" si="40"/>
        <v>100</v>
      </c>
      <c r="AA88" s="280" t="str">
        <f ca="1">IFERROR(__xludf.DUMMYFUNCTION("IMPORTRANGE(""https://docs.google.com/spreadsheets/d/18T20gbkS_WBjdscyTOV05cvq_JqvqQ17C81mpxf7Ncs/edit?usp=sharing"",""สุราษฎร์ธานี!I315"")"),"")</f>
        <v/>
      </c>
      <c r="AB88" s="191" t="str">
        <f ca="1">IFERROR(__xludf.DUMMYFUNCTION("IMPORTRANGE(""https://docs.google.com/spreadsheets/d/18T20gbkS_WBjdscyTOV05cvq_JqvqQ17C81mpxf7Ncs/edit?usp=sharing"",""สุราษฎร์ธานี!J315"")"),"")</f>
        <v/>
      </c>
      <c r="AC88" s="218" t="e">
        <f t="shared" ca="1" si="42"/>
        <v>#VALUE!</v>
      </c>
      <c r="AD88" s="280" t="str">
        <f ca="1">IFERROR(__xludf.DUMMYFUNCTION("IMPORTRANGE(""https://docs.google.com/spreadsheets/d/18T20gbkS_WBjdscyTOV05cvq_JqvqQ17C81mpxf7Ncs/edit?usp=sharing"",""สุราษฎร์ธานี!I316"")"),"")</f>
        <v/>
      </c>
      <c r="AE88" s="191" t="str">
        <f ca="1">IFERROR(__xludf.DUMMYFUNCTION("IMPORTRANGE(""https://docs.google.com/spreadsheets/d/18T20gbkS_WBjdscyTOV05cvq_JqvqQ17C81mpxf7Ncs/edit?usp=sharing"",""สุราษฎร์ธานี!J316"")"),"")</f>
        <v/>
      </c>
      <c r="AF88" s="218" t="e">
        <f t="shared" ca="1" si="44"/>
        <v>#VALUE!</v>
      </c>
      <c r="AG88" s="280" t="str">
        <f ca="1">IFERROR(__xludf.DUMMYFUNCTION("IMPORTRANGE(""https://docs.google.com/spreadsheets/d/18T20gbkS_WBjdscyTOV05cvq_JqvqQ17C81mpxf7Ncs/edit?usp=sharing"",""สุราษฎร์ธานี!I317"")"),"")</f>
        <v/>
      </c>
      <c r="AH88" s="191" t="str">
        <f ca="1">IFERROR(__xludf.DUMMYFUNCTION("IMPORTRANGE(""https://docs.google.com/spreadsheets/d/18T20gbkS_WBjdscyTOV05cvq_JqvqQ17C81mpxf7Ncs/edit?usp=sharing"",""สุราษฎร์ธานี!J317"")"),"")</f>
        <v/>
      </c>
      <c r="AI88" s="218" t="e">
        <f t="shared" ca="1" si="46"/>
        <v>#VALUE!</v>
      </c>
    </row>
    <row r="89" spans="1:35" ht="21" customHeight="1" x14ac:dyDescent="0.3">
      <c r="A89" s="698" t="s">
        <v>117</v>
      </c>
      <c r="B89" s="662"/>
      <c r="C89" s="200">
        <f t="shared" ref="C89:T89" ca="1" si="69">SUM(C90:C106)</f>
        <v>2442800</v>
      </c>
      <c r="D89" s="39">
        <f t="shared" ca="1" si="69"/>
        <v>2442800</v>
      </c>
      <c r="E89" s="39">
        <f t="shared" ca="1" si="69"/>
        <v>712000</v>
      </c>
      <c r="F89" s="39">
        <f t="shared" ca="1" si="69"/>
        <v>1730800</v>
      </c>
      <c r="G89" s="39">
        <f t="shared" ca="1" si="69"/>
        <v>0</v>
      </c>
      <c r="H89" s="39">
        <f t="shared" ca="1" si="69"/>
        <v>1542800</v>
      </c>
      <c r="I89" s="39">
        <f t="shared" ca="1" si="69"/>
        <v>0</v>
      </c>
      <c r="J89" s="39">
        <f t="shared" ca="1" si="69"/>
        <v>1240516.45</v>
      </c>
      <c r="K89" s="40">
        <f t="shared" ca="1" si="69"/>
        <v>134.24284922859408</v>
      </c>
      <c r="L89" s="39">
        <f t="shared" ca="1" si="69"/>
        <v>1240516.45</v>
      </c>
      <c r="M89" s="40">
        <f t="shared" ca="1" si="69"/>
        <v>134.24284922859408</v>
      </c>
      <c r="N89" s="40">
        <f t="shared" ca="1" si="69"/>
        <v>267.14006378279879</v>
      </c>
      <c r="O89" s="39">
        <f t="shared" ca="1" si="69"/>
        <v>0</v>
      </c>
      <c r="P89" s="39">
        <f t="shared" ca="1" si="69"/>
        <v>0</v>
      </c>
      <c r="Q89" s="39">
        <f t="shared" ca="1" si="69"/>
        <v>0</v>
      </c>
      <c r="R89" s="201">
        <f t="shared" ca="1" si="69"/>
        <v>4752570.09</v>
      </c>
      <c r="S89" s="202">
        <f t="shared" ca="1" si="69"/>
        <v>4508986</v>
      </c>
      <c r="T89" s="202">
        <f t="shared" ca="1" si="69"/>
        <v>42211.34</v>
      </c>
      <c r="U89" s="202">
        <f t="shared" ca="1" si="37"/>
        <v>0.88817922094022184</v>
      </c>
      <c r="V89" s="202">
        <f t="shared" ca="1" si="38"/>
        <v>0.93616036953762993</v>
      </c>
      <c r="W89" s="39"/>
      <c r="X89" s="283"/>
      <c r="Y89" s="169"/>
      <c r="Z89" s="255"/>
      <c r="AA89" s="169"/>
      <c r="AB89" s="169"/>
      <c r="AC89" s="255"/>
      <c r="AD89" s="169"/>
      <c r="AE89" s="169"/>
      <c r="AF89" s="255"/>
      <c r="AG89" s="169"/>
      <c r="AH89" s="169"/>
      <c r="AI89" s="255"/>
    </row>
    <row r="90" spans="1:35" ht="24" customHeight="1" x14ac:dyDescent="0.3">
      <c r="A90" s="102"/>
      <c r="B90" s="103" t="s">
        <v>118</v>
      </c>
      <c r="C90" s="170">
        <f t="shared" ref="C90:C108" ca="1" si="70">D90+G90</f>
        <v>0</v>
      </c>
      <c r="D90" s="171">
        <f t="shared" ref="D90:D108" ca="1" si="71">+E90+F90</f>
        <v>0</v>
      </c>
      <c r="E90" s="62">
        <f ca="1">IFERROR(__xludf.DUMMYFUNCTION("IMPORTRANGE(""https://docs.google.com/spreadsheets/d/1-uDff_7J0KD5mKrp0Vvzr7lt3OU09vwQwhkpOPPYv2Y/edit?usp=sharing"",""งบพรบ!DZ90"")"),0)</f>
        <v>0</v>
      </c>
      <c r="F90" s="62">
        <f ca="1">IFERROR(__xludf.DUMMYFUNCTION("IMPORTRANGE(""https://docs.google.com/spreadsheets/d/1-uDff_7J0KD5mKrp0Vvzr7lt3OU09vwQwhkpOPPYv2Y/edit?usp=sharing"",""งบพรบ!EA90"")"),0)</f>
        <v>0</v>
      </c>
      <c r="G90" s="62">
        <f ca="1">IFERROR(__xludf.DUMMYFUNCTION("IMPORTRANGE(""https://docs.google.com/spreadsheets/d/1-uDff_7J0KD5mKrp0Vvzr7lt3OU09vwQwhkpOPPYv2Y/edit?usp=sharing"",""งบพรบ!EB90"")"),0)</f>
        <v>0</v>
      </c>
      <c r="H90" s="62">
        <f ca="1">IFERROR(__xludf.DUMMYFUNCTION("IMPORTRANGE(""https://docs.google.com/spreadsheets/d/1-uDff_7J0KD5mKrp0Vvzr7lt3OU09vwQwhkpOPPYv2Y/edit?usp=sharing"",""งบพรบ!ED90"")"),0)</f>
        <v>0</v>
      </c>
      <c r="I90" s="62">
        <f ca="1">IFERROR(__xludf.DUMMYFUNCTION("IMPORTRANGE(""https://docs.google.com/spreadsheets/d/1-uDff_7J0KD5mKrp0Vvzr7lt3OU09vwQwhkpOPPYv2Y/edit?usp=sharing"",""งบพรบ!EE90"")"),0)</f>
        <v>0</v>
      </c>
      <c r="J90" s="62">
        <f t="shared" ref="J90:J108" ca="1" si="72">L90+O90</f>
        <v>0</v>
      </c>
      <c r="K90" s="104">
        <f t="shared" ref="K90:K108" ca="1" si="73">IF(C90&gt;0,J90*100/C90,0)</f>
        <v>0</v>
      </c>
      <c r="L90" s="62">
        <f ca="1">IFERROR(__xludf.DUMMYFUNCTION("IMPORTRANGE(""https://docs.google.com/spreadsheets/d/1-uDff_7J0KD5mKrp0Vvzr7lt3OU09vwQwhkpOPPYv2Y/edit?usp=sharing"",""งบพรบ!EF90"")"),0)</f>
        <v>0</v>
      </c>
      <c r="M90" s="65">
        <f t="shared" ref="M90:M108" ca="1" si="74">IF(D90&gt;0,L90*100/D90,0)</f>
        <v>0</v>
      </c>
      <c r="N90" s="65">
        <f t="shared" ref="N90:N108" ca="1" si="75">IF(H90&gt;0,L90*100/H90,0)</f>
        <v>0</v>
      </c>
      <c r="O90" s="66">
        <f ca="1">IFERROR(__xludf.DUMMYFUNCTION("IMPORTRANGE(""https://docs.google.com/spreadsheets/d/1-uDff_7J0KD5mKrp0Vvzr7lt3OU09vwQwhkpOPPYv2Y/edit?usp=sharing"",""งบพรบ!EG90"")"),0)</f>
        <v>0</v>
      </c>
      <c r="P90" s="66">
        <f t="shared" ref="P90:P108" ca="1" si="76">IF(G90&gt;0,O90*100/G90,0)</f>
        <v>0</v>
      </c>
      <c r="Q90" s="65">
        <f t="shared" ref="Q90:Q108" ca="1" si="77">IF(I90&gt;0,O90*100/I90,0)</f>
        <v>0</v>
      </c>
      <c r="R90" s="197">
        <v>0</v>
      </c>
      <c r="S90" s="67">
        <v>0</v>
      </c>
      <c r="T90" s="67">
        <v>0</v>
      </c>
      <c r="U90" s="68">
        <f t="shared" si="37"/>
        <v>0</v>
      </c>
      <c r="V90" s="68">
        <f t="shared" si="38"/>
        <v>0</v>
      </c>
      <c r="W90" s="62"/>
      <c r="X90" s="284"/>
      <c r="Y90" s="220"/>
      <c r="Z90" s="259"/>
      <c r="AA90" s="220"/>
      <c r="AB90" s="220"/>
      <c r="AC90" s="259"/>
      <c r="AD90" s="220"/>
      <c r="AE90" s="220"/>
      <c r="AF90" s="259"/>
      <c r="AG90" s="220"/>
      <c r="AH90" s="220"/>
      <c r="AI90" s="259"/>
    </row>
    <row r="91" spans="1:35" ht="24" customHeight="1" x14ac:dyDescent="0.3">
      <c r="A91" s="105"/>
      <c r="B91" s="106" t="s">
        <v>119</v>
      </c>
      <c r="C91" s="173">
        <f t="shared" ca="1" si="70"/>
        <v>0</v>
      </c>
      <c r="D91" s="174">
        <f t="shared" ca="1" si="71"/>
        <v>0</v>
      </c>
      <c r="E91" s="74">
        <f ca="1">IFERROR(__xludf.DUMMYFUNCTION("IMPORTRANGE(""https://docs.google.com/spreadsheets/d/1-uDff_7J0KD5mKrp0Vvzr7lt3OU09vwQwhkpOPPYv2Y/edit?usp=sharing"",""งบพรบ!DZ91"")"),0)</f>
        <v>0</v>
      </c>
      <c r="F91" s="74">
        <f ca="1">IFERROR(__xludf.DUMMYFUNCTION("IMPORTRANGE(""https://docs.google.com/spreadsheets/d/1-uDff_7J0KD5mKrp0Vvzr7lt3OU09vwQwhkpOPPYv2Y/edit?usp=sharing"",""งบพรบ!EA91"")"),0)</f>
        <v>0</v>
      </c>
      <c r="G91" s="74">
        <f ca="1">IFERROR(__xludf.DUMMYFUNCTION("IMPORTRANGE(""https://docs.google.com/spreadsheets/d/1-uDff_7J0KD5mKrp0Vvzr7lt3OU09vwQwhkpOPPYv2Y/edit?usp=sharing"",""งบพรบ!EB91"")"),0)</f>
        <v>0</v>
      </c>
      <c r="H91" s="74">
        <f ca="1">IFERROR(__xludf.DUMMYFUNCTION("IMPORTRANGE(""https://docs.google.com/spreadsheets/d/1-uDff_7J0KD5mKrp0Vvzr7lt3OU09vwQwhkpOPPYv2Y/edit?usp=sharing"",""งบพรบ!ED91"")"),0)</f>
        <v>0</v>
      </c>
      <c r="I91" s="74">
        <f ca="1">IFERROR(__xludf.DUMMYFUNCTION("IMPORTRANGE(""https://docs.google.com/spreadsheets/d/1-uDff_7J0KD5mKrp0Vvzr7lt3OU09vwQwhkpOPPYv2Y/edit?usp=sharing"",""งบพรบ!EE91"")"),0)</f>
        <v>0</v>
      </c>
      <c r="J91" s="74">
        <f t="shared" ca="1" si="72"/>
        <v>0</v>
      </c>
      <c r="K91" s="75">
        <f t="shared" ca="1" si="73"/>
        <v>0</v>
      </c>
      <c r="L91" s="74">
        <f ca="1">IFERROR(__xludf.DUMMYFUNCTION("IMPORTRANGE(""https://docs.google.com/spreadsheets/d/1-uDff_7J0KD5mKrp0Vvzr7lt3OU09vwQwhkpOPPYv2Y/edit?usp=sharing"",""งบพรบ!EF91"")"),0)</f>
        <v>0</v>
      </c>
      <c r="M91" s="76">
        <f t="shared" ca="1" si="74"/>
        <v>0</v>
      </c>
      <c r="N91" s="76">
        <f t="shared" ca="1" si="75"/>
        <v>0</v>
      </c>
      <c r="O91" s="77">
        <f ca="1">IFERROR(__xludf.DUMMYFUNCTION("IMPORTRANGE(""https://docs.google.com/spreadsheets/d/1-uDff_7J0KD5mKrp0Vvzr7lt3OU09vwQwhkpOPPYv2Y/edit?usp=sharing"",""งบพรบ!EG91"")"),0)</f>
        <v>0</v>
      </c>
      <c r="P91" s="77">
        <f t="shared" ca="1" si="76"/>
        <v>0</v>
      </c>
      <c r="Q91" s="76">
        <f t="shared" ca="1" si="77"/>
        <v>0</v>
      </c>
      <c r="R91" s="197">
        <v>0</v>
      </c>
      <c r="S91" s="67">
        <v>0</v>
      </c>
      <c r="T91" s="67">
        <v>0</v>
      </c>
      <c r="U91" s="68">
        <f t="shared" si="37"/>
        <v>0</v>
      </c>
      <c r="V91" s="68">
        <f t="shared" si="38"/>
        <v>0</v>
      </c>
      <c r="W91" s="74"/>
      <c r="X91" s="284"/>
      <c r="Y91" s="220"/>
      <c r="Z91" s="259"/>
      <c r="AA91" s="220"/>
      <c r="AB91" s="220"/>
      <c r="AC91" s="259"/>
      <c r="AD91" s="220"/>
      <c r="AE91" s="220"/>
      <c r="AF91" s="259"/>
      <c r="AG91" s="220"/>
      <c r="AH91" s="220"/>
      <c r="AI91" s="259"/>
    </row>
    <row r="92" spans="1:35" ht="24" customHeight="1" x14ac:dyDescent="0.3">
      <c r="A92" s="105"/>
      <c r="B92" s="106" t="s">
        <v>120</v>
      </c>
      <c r="C92" s="173">
        <f t="shared" ca="1" si="70"/>
        <v>0</v>
      </c>
      <c r="D92" s="174">
        <f t="shared" ca="1" si="71"/>
        <v>0</v>
      </c>
      <c r="E92" s="74">
        <f ca="1">IFERROR(__xludf.DUMMYFUNCTION("IMPORTRANGE(""https://docs.google.com/spreadsheets/d/1-uDff_7J0KD5mKrp0Vvzr7lt3OU09vwQwhkpOPPYv2Y/edit?usp=sharing"",""งบพรบ!DZ92"")"),0)</f>
        <v>0</v>
      </c>
      <c r="F92" s="74">
        <f ca="1">IFERROR(__xludf.DUMMYFUNCTION("IMPORTRANGE(""https://docs.google.com/spreadsheets/d/1-uDff_7J0KD5mKrp0Vvzr7lt3OU09vwQwhkpOPPYv2Y/edit?usp=sharing"",""งบพรบ!EA92"")"),0)</f>
        <v>0</v>
      </c>
      <c r="G92" s="74">
        <f ca="1">IFERROR(__xludf.DUMMYFUNCTION("IMPORTRANGE(""https://docs.google.com/spreadsheets/d/1-uDff_7J0KD5mKrp0Vvzr7lt3OU09vwQwhkpOPPYv2Y/edit?usp=sharing"",""งบพรบ!EB92"")"),0)</f>
        <v>0</v>
      </c>
      <c r="H92" s="74">
        <f ca="1">IFERROR(__xludf.DUMMYFUNCTION("IMPORTRANGE(""https://docs.google.com/spreadsheets/d/1-uDff_7J0KD5mKrp0Vvzr7lt3OU09vwQwhkpOPPYv2Y/edit?usp=sharing"",""งบพรบ!ED92"")"),0)</f>
        <v>0</v>
      </c>
      <c r="I92" s="74">
        <f ca="1">IFERROR(__xludf.DUMMYFUNCTION("IMPORTRANGE(""https://docs.google.com/spreadsheets/d/1-uDff_7J0KD5mKrp0Vvzr7lt3OU09vwQwhkpOPPYv2Y/edit?usp=sharing"",""งบพรบ!EE92"")"),0)</f>
        <v>0</v>
      </c>
      <c r="J92" s="74">
        <f t="shared" ca="1" si="72"/>
        <v>0</v>
      </c>
      <c r="K92" s="75">
        <f t="shared" ca="1" si="73"/>
        <v>0</v>
      </c>
      <c r="L92" s="74">
        <f ca="1">IFERROR(__xludf.DUMMYFUNCTION("IMPORTRANGE(""https://docs.google.com/spreadsheets/d/1-uDff_7J0KD5mKrp0Vvzr7lt3OU09vwQwhkpOPPYv2Y/edit?usp=sharing"",""งบพรบ!EF92"")"),0)</f>
        <v>0</v>
      </c>
      <c r="M92" s="76">
        <f t="shared" ca="1" si="74"/>
        <v>0</v>
      </c>
      <c r="N92" s="76">
        <f t="shared" ca="1" si="75"/>
        <v>0</v>
      </c>
      <c r="O92" s="77">
        <f ca="1">IFERROR(__xludf.DUMMYFUNCTION("IMPORTRANGE(""https://docs.google.com/spreadsheets/d/1-uDff_7J0KD5mKrp0Vvzr7lt3OU09vwQwhkpOPPYv2Y/edit?usp=sharing"",""งบพรบ!EG92"")"),0)</f>
        <v>0</v>
      </c>
      <c r="P92" s="77">
        <f t="shared" ca="1" si="76"/>
        <v>0</v>
      </c>
      <c r="Q92" s="76">
        <f t="shared" ca="1" si="77"/>
        <v>0</v>
      </c>
      <c r="R92" s="197">
        <v>0</v>
      </c>
      <c r="S92" s="67">
        <v>0</v>
      </c>
      <c r="T92" s="67">
        <v>0</v>
      </c>
      <c r="U92" s="68">
        <f t="shared" si="37"/>
        <v>0</v>
      </c>
      <c r="V92" s="68">
        <f t="shared" si="38"/>
        <v>0</v>
      </c>
      <c r="W92" s="74"/>
      <c r="X92" s="284"/>
      <c r="Y92" s="220"/>
      <c r="Z92" s="259"/>
      <c r="AA92" s="220"/>
      <c r="AB92" s="220"/>
      <c r="AC92" s="259"/>
      <c r="AD92" s="220"/>
      <c r="AE92" s="220"/>
      <c r="AF92" s="259"/>
      <c r="AG92" s="220"/>
      <c r="AH92" s="220"/>
      <c r="AI92" s="259"/>
    </row>
    <row r="93" spans="1:35" ht="24" customHeight="1" x14ac:dyDescent="0.3">
      <c r="A93" s="105"/>
      <c r="B93" s="106" t="s">
        <v>121</v>
      </c>
      <c r="C93" s="173">
        <f t="shared" ca="1" si="70"/>
        <v>0</v>
      </c>
      <c r="D93" s="174">
        <f t="shared" ca="1" si="71"/>
        <v>0</v>
      </c>
      <c r="E93" s="74">
        <f ca="1">IFERROR(__xludf.DUMMYFUNCTION("IMPORTRANGE(""https://docs.google.com/spreadsheets/d/1-uDff_7J0KD5mKrp0Vvzr7lt3OU09vwQwhkpOPPYv2Y/edit?usp=sharing"",""งบพรบ!DZ93"")"),0)</f>
        <v>0</v>
      </c>
      <c r="F93" s="74">
        <f ca="1">IFERROR(__xludf.DUMMYFUNCTION("IMPORTRANGE(""https://docs.google.com/spreadsheets/d/1-uDff_7J0KD5mKrp0Vvzr7lt3OU09vwQwhkpOPPYv2Y/edit?usp=sharing"",""งบพรบ!EA93"")"),0)</f>
        <v>0</v>
      </c>
      <c r="G93" s="74">
        <f ca="1">IFERROR(__xludf.DUMMYFUNCTION("IMPORTRANGE(""https://docs.google.com/spreadsheets/d/1-uDff_7J0KD5mKrp0Vvzr7lt3OU09vwQwhkpOPPYv2Y/edit?usp=sharing"",""งบพรบ!EB93"")"),0)</f>
        <v>0</v>
      </c>
      <c r="H93" s="74">
        <f ca="1">IFERROR(__xludf.DUMMYFUNCTION("IMPORTRANGE(""https://docs.google.com/spreadsheets/d/1-uDff_7J0KD5mKrp0Vvzr7lt3OU09vwQwhkpOPPYv2Y/edit?usp=sharing"",""งบพรบ!ED93"")"),271500)</f>
        <v>271500</v>
      </c>
      <c r="I93" s="74">
        <f ca="1">IFERROR(__xludf.DUMMYFUNCTION("IMPORTRANGE(""https://docs.google.com/spreadsheets/d/1-uDff_7J0KD5mKrp0Vvzr7lt3OU09vwQwhkpOPPYv2Y/edit?usp=sharing"",""งบพรบ!EE93"")"),0)</f>
        <v>0</v>
      </c>
      <c r="J93" s="74">
        <f t="shared" ca="1" si="72"/>
        <v>269960</v>
      </c>
      <c r="K93" s="75">
        <f t="shared" ca="1" si="73"/>
        <v>0</v>
      </c>
      <c r="L93" s="74">
        <f ca="1">IFERROR(__xludf.DUMMYFUNCTION("IMPORTRANGE(""https://docs.google.com/spreadsheets/d/1-uDff_7J0KD5mKrp0Vvzr7lt3OU09vwQwhkpOPPYv2Y/edit?usp=sharing"",""งบพรบ!EF93"")"),269960)</f>
        <v>269960</v>
      </c>
      <c r="M93" s="76">
        <f t="shared" ca="1" si="74"/>
        <v>0</v>
      </c>
      <c r="N93" s="76">
        <f t="shared" ca="1" si="75"/>
        <v>99.432780847145494</v>
      </c>
      <c r="O93" s="77">
        <f ca="1">IFERROR(__xludf.DUMMYFUNCTION("IMPORTRANGE(""https://docs.google.com/spreadsheets/d/1-uDff_7J0KD5mKrp0Vvzr7lt3OU09vwQwhkpOPPYv2Y/edit?usp=sharing"",""งบพรบ!EG93"")"),0)</f>
        <v>0</v>
      </c>
      <c r="P93" s="77">
        <f t="shared" ca="1" si="76"/>
        <v>0</v>
      </c>
      <c r="Q93" s="76">
        <f t="shared" ca="1" si="77"/>
        <v>0</v>
      </c>
      <c r="R93" s="197">
        <v>0</v>
      </c>
      <c r="S93" s="67">
        <v>0</v>
      </c>
      <c r="T93" s="67">
        <v>0</v>
      </c>
      <c r="U93" s="68">
        <f t="shared" si="37"/>
        <v>0</v>
      </c>
      <c r="V93" s="68">
        <f t="shared" si="38"/>
        <v>0</v>
      </c>
      <c r="W93" s="74"/>
      <c r="X93" s="284"/>
      <c r="Y93" s="220"/>
      <c r="Z93" s="259"/>
      <c r="AA93" s="220"/>
      <c r="AB93" s="220"/>
      <c r="AC93" s="259"/>
      <c r="AD93" s="220"/>
      <c r="AE93" s="220"/>
      <c r="AF93" s="259"/>
      <c r="AG93" s="220"/>
      <c r="AH93" s="220"/>
      <c r="AI93" s="259"/>
    </row>
    <row r="94" spans="1:35" ht="24" customHeight="1" x14ac:dyDescent="0.3">
      <c r="A94" s="105"/>
      <c r="B94" s="106" t="s">
        <v>122</v>
      </c>
      <c r="C94" s="173">
        <f t="shared" ca="1" si="70"/>
        <v>0</v>
      </c>
      <c r="D94" s="174">
        <f t="shared" ca="1" si="71"/>
        <v>0</v>
      </c>
      <c r="E94" s="74">
        <f ca="1">IFERROR(__xludf.DUMMYFUNCTION("IMPORTRANGE(""https://docs.google.com/spreadsheets/d/1-uDff_7J0KD5mKrp0Vvzr7lt3OU09vwQwhkpOPPYv2Y/edit?usp=sharing"",""งบพรบ!DZ94"")"),0)</f>
        <v>0</v>
      </c>
      <c r="F94" s="74">
        <f ca="1">IFERROR(__xludf.DUMMYFUNCTION("IMPORTRANGE(""https://docs.google.com/spreadsheets/d/1-uDff_7J0KD5mKrp0Vvzr7lt3OU09vwQwhkpOPPYv2Y/edit?usp=sharing"",""งบพรบ!EA94"")"),0)</f>
        <v>0</v>
      </c>
      <c r="G94" s="74">
        <f ca="1">IFERROR(__xludf.DUMMYFUNCTION("IMPORTRANGE(""https://docs.google.com/spreadsheets/d/1-uDff_7J0KD5mKrp0Vvzr7lt3OU09vwQwhkpOPPYv2Y/edit?usp=sharing"",""งบพรบ!EB94"")"),0)</f>
        <v>0</v>
      </c>
      <c r="H94" s="74">
        <f ca="1">IFERROR(__xludf.DUMMYFUNCTION("IMPORTRANGE(""https://docs.google.com/spreadsheets/d/1-uDff_7J0KD5mKrp0Vvzr7lt3OU09vwQwhkpOPPYv2Y/edit?usp=sharing"",""งบพรบ!ED94"")"),0)</f>
        <v>0</v>
      </c>
      <c r="I94" s="74">
        <f ca="1">IFERROR(__xludf.DUMMYFUNCTION("IMPORTRANGE(""https://docs.google.com/spreadsheets/d/1-uDff_7J0KD5mKrp0Vvzr7lt3OU09vwQwhkpOPPYv2Y/edit?usp=sharing"",""งบพรบ!EE94"")"),0)</f>
        <v>0</v>
      </c>
      <c r="J94" s="74">
        <f t="shared" ca="1" si="72"/>
        <v>0</v>
      </c>
      <c r="K94" s="75">
        <f t="shared" ca="1" si="73"/>
        <v>0</v>
      </c>
      <c r="L94" s="74">
        <f ca="1">IFERROR(__xludf.DUMMYFUNCTION("IMPORTRANGE(""https://docs.google.com/spreadsheets/d/1-uDff_7J0KD5mKrp0Vvzr7lt3OU09vwQwhkpOPPYv2Y/edit?usp=sharing"",""งบพรบ!EF94"")"),0)</f>
        <v>0</v>
      </c>
      <c r="M94" s="76">
        <f t="shared" ca="1" si="74"/>
        <v>0</v>
      </c>
      <c r="N94" s="76">
        <f t="shared" ca="1" si="75"/>
        <v>0</v>
      </c>
      <c r="O94" s="77">
        <f ca="1">IFERROR(__xludf.DUMMYFUNCTION("IMPORTRANGE(""https://docs.google.com/spreadsheets/d/1-uDff_7J0KD5mKrp0Vvzr7lt3OU09vwQwhkpOPPYv2Y/edit?usp=sharing"",""งบพรบ!EG94"")"),0)</f>
        <v>0</v>
      </c>
      <c r="P94" s="77">
        <f t="shared" ca="1" si="76"/>
        <v>0</v>
      </c>
      <c r="Q94" s="76">
        <f t="shared" ca="1" si="77"/>
        <v>0</v>
      </c>
      <c r="R94" s="197">
        <v>0</v>
      </c>
      <c r="S94" s="67">
        <v>0</v>
      </c>
      <c r="T94" s="67">
        <v>0</v>
      </c>
      <c r="U94" s="68">
        <f t="shared" si="37"/>
        <v>0</v>
      </c>
      <c r="V94" s="68">
        <f t="shared" si="38"/>
        <v>0</v>
      </c>
      <c r="W94" s="74"/>
      <c r="X94" s="284"/>
      <c r="Y94" s="220"/>
      <c r="Z94" s="259"/>
      <c r="AA94" s="220"/>
      <c r="AB94" s="220"/>
      <c r="AC94" s="259"/>
      <c r="AD94" s="220"/>
      <c r="AE94" s="220"/>
      <c r="AF94" s="259"/>
      <c r="AG94" s="220"/>
      <c r="AH94" s="220"/>
      <c r="AI94" s="259"/>
    </row>
    <row r="95" spans="1:35" ht="24" customHeight="1" x14ac:dyDescent="0.3">
      <c r="A95" s="105"/>
      <c r="B95" s="106" t="s">
        <v>123</v>
      </c>
      <c r="C95" s="173">
        <f t="shared" ca="1" si="70"/>
        <v>308200</v>
      </c>
      <c r="D95" s="174">
        <f t="shared" ca="1" si="71"/>
        <v>308200</v>
      </c>
      <c r="E95" s="74">
        <f ca="1">IFERROR(__xludf.DUMMYFUNCTION("IMPORTRANGE(""https://docs.google.com/spreadsheets/d/1-uDff_7J0KD5mKrp0Vvzr7lt3OU09vwQwhkpOPPYv2Y/edit?usp=sharing"",""งบพรบ!DZ95"")"),308200)</f>
        <v>308200</v>
      </c>
      <c r="F95" s="74">
        <f ca="1">IFERROR(__xludf.DUMMYFUNCTION("IMPORTRANGE(""https://docs.google.com/spreadsheets/d/1-uDff_7J0KD5mKrp0Vvzr7lt3OU09vwQwhkpOPPYv2Y/edit?usp=sharing"",""งบพรบ!EA95"")"),0)</f>
        <v>0</v>
      </c>
      <c r="G95" s="74">
        <f ca="1">IFERROR(__xludf.DUMMYFUNCTION("IMPORTRANGE(""https://docs.google.com/spreadsheets/d/1-uDff_7J0KD5mKrp0Vvzr7lt3OU09vwQwhkpOPPYv2Y/edit?usp=sharing"",""งบพรบ!EB95"")"),0)</f>
        <v>0</v>
      </c>
      <c r="H95" s="74">
        <f ca="1">IFERROR(__xludf.DUMMYFUNCTION("IMPORTRANGE(""https://docs.google.com/spreadsheets/d/1-uDff_7J0KD5mKrp0Vvzr7lt3OU09vwQwhkpOPPYv2Y/edit?usp=sharing"",""งบพรบ!ED95"")"),308200)</f>
        <v>308200</v>
      </c>
      <c r="I95" s="74">
        <f ca="1">IFERROR(__xludf.DUMMYFUNCTION("IMPORTRANGE(""https://docs.google.com/spreadsheets/d/1-uDff_7J0KD5mKrp0Vvzr7lt3OU09vwQwhkpOPPYv2Y/edit?usp=sharing"",""งบพรบ!EE95"")"),0)</f>
        <v>0</v>
      </c>
      <c r="J95" s="74">
        <f t="shared" ca="1" si="72"/>
        <v>303368</v>
      </c>
      <c r="K95" s="75">
        <f t="shared" ca="1" si="73"/>
        <v>98.432186891628817</v>
      </c>
      <c r="L95" s="74">
        <f ca="1">IFERROR(__xludf.DUMMYFUNCTION("IMPORTRANGE(""https://docs.google.com/spreadsheets/d/1-uDff_7J0KD5mKrp0Vvzr7lt3OU09vwQwhkpOPPYv2Y/edit?usp=sharing"",""งบพรบ!EF95"")"),303368)</f>
        <v>303368</v>
      </c>
      <c r="M95" s="76">
        <f t="shared" ca="1" si="74"/>
        <v>98.432186891628817</v>
      </c>
      <c r="N95" s="76">
        <f t="shared" ca="1" si="75"/>
        <v>98.432186891628817</v>
      </c>
      <c r="O95" s="77">
        <f ca="1">IFERROR(__xludf.DUMMYFUNCTION("IMPORTRANGE(""https://docs.google.com/spreadsheets/d/1-uDff_7J0KD5mKrp0Vvzr7lt3OU09vwQwhkpOPPYv2Y/edit?usp=sharing"",""งบพรบ!EG95"")"),0)</f>
        <v>0</v>
      </c>
      <c r="P95" s="77">
        <f t="shared" ca="1" si="76"/>
        <v>0</v>
      </c>
      <c r="Q95" s="76">
        <f t="shared" ca="1" si="77"/>
        <v>0</v>
      </c>
      <c r="R95" s="197">
        <v>0</v>
      </c>
      <c r="S95" s="67">
        <v>0</v>
      </c>
      <c r="T95" s="67">
        <v>0</v>
      </c>
      <c r="U95" s="68">
        <f t="shared" si="37"/>
        <v>0</v>
      </c>
      <c r="V95" s="68">
        <f t="shared" si="38"/>
        <v>0</v>
      </c>
      <c r="W95" s="74"/>
      <c r="X95" s="284"/>
      <c r="Y95" s="220"/>
      <c r="Z95" s="259"/>
      <c r="AA95" s="220"/>
      <c r="AB95" s="220"/>
      <c r="AC95" s="259"/>
      <c r="AD95" s="220"/>
      <c r="AE95" s="220"/>
      <c r="AF95" s="259"/>
      <c r="AG95" s="220"/>
      <c r="AH95" s="220"/>
      <c r="AI95" s="259"/>
    </row>
    <row r="96" spans="1:35" ht="24" customHeight="1" x14ac:dyDescent="0.3">
      <c r="A96" s="105"/>
      <c r="B96" s="106" t="s">
        <v>124</v>
      </c>
      <c r="C96" s="173">
        <f t="shared" ca="1" si="70"/>
        <v>0</v>
      </c>
      <c r="D96" s="174">
        <f t="shared" ca="1" si="71"/>
        <v>0</v>
      </c>
      <c r="E96" s="74">
        <f ca="1">IFERROR(__xludf.DUMMYFUNCTION("IMPORTRANGE(""https://docs.google.com/spreadsheets/d/1-uDff_7J0KD5mKrp0Vvzr7lt3OU09vwQwhkpOPPYv2Y/edit?usp=sharing"",""งบพรบ!DZ96"")"),0)</f>
        <v>0</v>
      </c>
      <c r="F96" s="74">
        <f ca="1">IFERROR(__xludf.DUMMYFUNCTION("IMPORTRANGE(""https://docs.google.com/spreadsheets/d/1-uDff_7J0KD5mKrp0Vvzr7lt3OU09vwQwhkpOPPYv2Y/edit?usp=sharing"",""งบพรบ!EA96"")"),0)</f>
        <v>0</v>
      </c>
      <c r="G96" s="74">
        <f ca="1">IFERROR(__xludf.DUMMYFUNCTION("IMPORTRANGE(""https://docs.google.com/spreadsheets/d/1-uDff_7J0KD5mKrp0Vvzr7lt3OU09vwQwhkpOPPYv2Y/edit?usp=sharing"",""งบพรบ!EB96"")"),0)</f>
        <v>0</v>
      </c>
      <c r="H96" s="74">
        <f ca="1">IFERROR(__xludf.DUMMYFUNCTION("IMPORTRANGE(""https://docs.google.com/spreadsheets/d/1-uDff_7J0KD5mKrp0Vvzr7lt3OU09vwQwhkpOPPYv2Y/edit?usp=sharing"",""งบพรบ!ED96"")"),0)</f>
        <v>0</v>
      </c>
      <c r="I96" s="74">
        <f ca="1">IFERROR(__xludf.DUMMYFUNCTION("IMPORTRANGE(""https://docs.google.com/spreadsheets/d/1-uDff_7J0KD5mKrp0Vvzr7lt3OU09vwQwhkpOPPYv2Y/edit?usp=sharing"",""งบพรบ!EE96"")"),0)</f>
        <v>0</v>
      </c>
      <c r="J96" s="74">
        <f t="shared" ca="1" si="72"/>
        <v>0</v>
      </c>
      <c r="K96" s="75">
        <f t="shared" ca="1" si="73"/>
        <v>0</v>
      </c>
      <c r="L96" s="74">
        <f ca="1">IFERROR(__xludf.DUMMYFUNCTION("IMPORTRANGE(""https://docs.google.com/spreadsheets/d/1-uDff_7J0KD5mKrp0Vvzr7lt3OU09vwQwhkpOPPYv2Y/edit?usp=sharing"",""งบพรบ!EF96"")"),0)</f>
        <v>0</v>
      </c>
      <c r="M96" s="76">
        <f t="shared" ca="1" si="74"/>
        <v>0</v>
      </c>
      <c r="N96" s="76">
        <f t="shared" ca="1" si="75"/>
        <v>0</v>
      </c>
      <c r="O96" s="77">
        <f ca="1">IFERROR(__xludf.DUMMYFUNCTION("IMPORTRANGE(""https://docs.google.com/spreadsheets/d/1-uDff_7J0KD5mKrp0Vvzr7lt3OU09vwQwhkpOPPYv2Y/edit?usp=sharing"",""งบพรบ!EG96"")"),0)</f>
        <v>0</v>
      </c>
      <c r="P96" s="77">
        <f t="shared" ca="1" si="76"/>
        <v>0</v>
      </c>
      <c r="Q96" s="76">
        <f t="shared" ca="1" si="77"/>
        <v>0</v>
      </c>
      <c r="R96" s="197">
        <v>0</v>
      </c>
      <c r="S96" s="67">
        <v>0</v>
      </c>
      <c r="T96" s="67">
        <v>0</v>
      </c>
      <c r="U96" s="68">
        <f t="shared" si="37"/>
        <v>0</v>
      </c>
      <c r="V96" s="68">
        <f t="shared" si="38"/>
        <v>0</v>
      </c>
      <c r="W96" s="74"/>
      <c r="X96" s="284"/>
      <c r="Y96" s="220"/>
      <c r="Z96" s="259"/>
      <c r="AA96" s="220"/>
      <c r="AB96" s="220"/>
      <c r="AC96" s="259"/>
      <c r="AD96" s="220"/>
      <c r="AE96" s="220"/>
      <c r="AF96" s="259"/>
      <c r="AG96" s="220"/>
      <c r="AH96" s="220"/>
      <c r="AI96" s="259"/>
    </row>
    <row r="97" spans="1:35" ht="24" customHeight="1" x14ac:dyDescent="0.3">
      <c r="A97" s="105"/>
      <c r="B97" s="106" t="s">
        <v>125</v>
      </c>
      <c r="C97" s="173">
        <f t="shared" ca="1" si="70"/>
        <v>0</v>
      </c>
      <c r="D97" s="174">
        <f t="shared" ca="1" si="71"/>
        <v>0</v>
      </c>
      <c r="E97" s="74">
        <f ca="1">IFERROR(__xludf.DUMMYFUNCTION("IMPORTRANGE(""https://docs.google.com/spreadsheets/d/1-uDff_7J0KD5mKrp0Vvzr7lt3OU09vwQwhkpOPPYv2Y/edit?usp=sharing"",""งบพรบ!DZ97"")"),0)</f>
        <v>0</v>
      </c>
      <c r="F97" s="74">
        <f ca="1">IFERROR(__xludf.DUMMYFUNCTION("IMPORTRANGE(""https://docs.google.com/spreadsheets/d/1-uDff_7J0KD5mKrp0Vvzr7lt3OU09vwQwhkpOPPYv2Y/edit?usp=sharing"",""งบพรบ!EA97"")"),0)</f>
        <v>0</v>
      </c>
      <c r="G97" s="74">
        <f ca="1">IFERROR(__xludf.DUMMYFUNCTION("IMPORTRANGE(""https://docs.google.com/spreadsheets/d/1-uDff_7J0KD5mKrp0Vvzr7lt3OU09vwQwhkpOPPYv2Y/edit?usp=sharing"",""งบพรบ!EB97"")"),0)</f>
        <v>0</v>
      </c>
      <c r="H97" s="74">
        <f ca="1">IFERROR(__xludf.DUMMYFUNCTION("IMPORTRANGE(""https://docs.google.com/spreadsheets/d/1-uDff_7J0KD5mKrp0Vvzr7lt3OU09vwQwhkpOPPYv2Y/edit?usp=sharing"",""งบพรบ!ED97"")"),0)</f>
        <v>0</v>
      </c>
      <c r="I97" s="74">
        <f ca="1">IFERROR(__xludf.DUMMYFUNCTION("IMPORTRANGE(""https://docs.google.com/spreadsheets/d/1-uDff_7J0KD5mKrp0Vvzr7lt3OU09vwQwhkpOPPYv2Y/edit?usp=sharing"",""งบพรบ!EE97"")"),0)</f>
        <v>0</v>
      </c>
      <c r="J97" s="74">
        <f t="shared" ca="1" si="72"/>
        <v>0</v>
      </c>
      <c r="K97" s="75">
        <f t="shared" ca="1" si="73"/>
        <v>0</v>
      </c>
      <c r="L97" s="74">
        <f ca="1">IFERROR(__xludf.DUMMYFUNCTION("IMPORTRANGE(""https://docs.google.com/spreadsheets/d/1-uDff_7J0KD5mKrp0Vvzr7lt3OU09vwQwhkpOPPYv2Y/edit?usp=sharing"",""งบพรบ!EF97"")"),0)</f>
        <v>0</v>
      </c>
      <c r="M97" s="76">
        <f t="shared" ca="1" si="74"/>
        <v>0</v>
      </c>
      <c r="N97" s="76">
        <f t="shared" ca="1" si="75"/>
        <v>0</v>
      </c>
      <c r="O97" s="77">
        <f ca="1">IFERROR(__xludf.DUMMYFUNCTION("IMPORTRANGE(""https://docs.google.com/spreadsheets/d/1-uDff_7J0KD5mKrp0Vvzr7lt3OU09vwQwhkpOPPYv2Y/edit?usp=sharing"",""งบพรบ!EG97"")"),0)</f>
        <v>0</v>
      </c>
      <c r="P97" s="77">
        <f t="shared" ca="1" si="76"/>
        <v>0</v>
      </c>
      <c r="Q97" s="76">
        <f t="shared" ca="1" si="77"/>
        <v>0</v>
      </c>
      <c r="R97" s="197">
        <v>0</v>
      </c>
      <c r="S97" s="67">
        <v>0</v>
      </c>
      <c r="T97" s="67">
        <v>0</v>
      </c>
      <c r="U97" s="68">
        <f t="shared" si="37"/>
        <v>0</v>
      </c>
      <c r="V97" s="68">
        <f t="shared" si="38"/>
        <v>0</v>
      </c>
      <c r="W97" s="74"/>
      <c r="X97" s="284"/>
      <c r="Y97" s="220"/>
      <c r="Z97" s="259"/>
      <c r="AA97" s="220"/>
      <c r="AB97" s="220"/>
      <c r="AC97" s="259"/>
      <c r="AD97" s="220"/>
      <c r="AE97" s="220"/>
      <c r="AF97" s="259"/>
      <c r="AG97" s="220"/>
      <c r="AH97" s="220"/>
      <c r="AI97" s="259"/>
    </row>
    <row r="98" spans="1:35" ht="24" customHeight="1" x14ac:dyDescent="0.3">
      <c r="A98" s="105"/>
      <c r="B98" s="106" t="s">
        <v>126</v>
      </c>
      <c r="C98" s="173">
        <f t="shared" ca="1" si="70"/>
        <v>0</v>
      </c>
      <c r="D98" s="174">
        <f t="shared" ca="1" si="71"/>
        <v>0</v>
      </c>
      <c r="E98" s="74">
        <f ca="1">IFERROR(__xludf.DUMMYFUNCTION("IMPORTRANGE(""https://docs.google.com/spreadsheets/d/1-uDff_7J0KD5mKrp0Vvzr7lt3OU09vwQwhkpOPPYv2Y/edit?usp=sharing"",""งบพรบ!DZ98"")"),0)</f>
        <v>0</v>
      </c>
      <c r="F98" s="74">
        <f ca="1">IFERROR(__xludf.DUMMYFUNCTION("IMPORTRANGE(""https://docs.google.com/spreadsheets/d/1-uDff_7J0KD5mKrp0Vvzr7lt3OU09vwQwhkpOPPYv2Y/edit?usp=sharing"",""งบพรบ!EA98"")"),0)</f>
        <v>0</v>
      </c>
      <c r="G98" s="74">
        <f ca="1">IFERROR(__xludf.DUMMYFUNCTION("IMPORTRANGE(""https://docs.google.com/spreadsheets/d/1-uDff_7J0KD5mKrp0Vvzr7lt3OU09vwQwhkpOPPYv2Y/edit?usp=sharing"",""งบพรบ!EB98"")"),0)</f>
        <v>0</v>
      </c>
      <c r="H98" s="74">
        <f ca="1">IFERROR(__xludf.DUMMYFUNCTION("IMPORTRANGE(""https://docs.google.com/spreadsheets/d/1-uDff_7J0KD5mKrp0Vvzr7lt3OU09vwQwhkpOPPYv2Y/edit?usp=sharing"",""งบพรบ!ED98"")"),0)</f>
        <v>0</v>
      </c>
      <c r="I98" s="74">
        <f ca="1">IFERROR(__xludf.DUMMYFUNCTION("IMPORTRANGE(""https://docs.google.com/spreadsheets/d/1-uDff_7J0KD5mKrp0Vvzr7lt3OU09vwQwhkpOPPYv2Y/edit?usp=sharing"",""งบพรบ!EE98"")"),0)</f>
        <v>0</v>
      </c>
      <c r="J98" s="74">
        <f t="shared" ca="1" si="72"/>
        <v>0</v>
      </c>
      <c r="K98" s="75">
        <f t="shared" ca="1" si="73"/>
        <v>0</v>
      </c>
      <c r="L98" s="74">
        <f ca="1">IFERROR(__xludf.DUMMYFUNCTION("IMPORTRANGE(""https://docs.google.com/spreadsheets/d/1-uDff_7J0KD5mKrp0Vvzr7lt3OU09vwQwhkpOPPYv2Y/edit?usp=sharing"",""งบพรบ!EF98"")"),0)</f>
        <v>0</v>
      </c>
      <c r="M98" s="76">
        <f t="shared" ca="1" si="74"/>
        <v>0</v>
      </c>
      <c r="N98" s="76">
        <f t="shared" ca="1" si="75"/>
        <v>0</v>
      </c>
      <c r="O98" s="77">
        <f ca="1">IFERROR(__xludf.DUMMYFUNCTION("IMPORTRANGE(""https://docs.google.com/spreadsheets/d/1-uDff_7J0KD5mKrp0Vvzr7lt3OU09vwQwhkpOPPYv2Y/edit?usp=sharing"",""งบพรบ!EG98"")"),0)</f>
        <v>0</v>
      </c>
      <c r="P98" s="77">
        <f t="shared" ca="1" si="76"/>
        <v>0</v>
      </c>
      <c r="Q98" s="76">
        <f t="shared" ca="1" si="77"/>
        <v>0</v>
      </c>
      <c r="R98" s="197">
        <v>0</v>
      </c>
      <c r="S98" s="67">
        <v>0</v>
      </c>
      <c r="T98" s="67">
        <v>0</v>
      </c>
      <c r="U98" s="68">
        <f t="shared" si="37"/>
        <v>0</v>
      </c>
      <c r="V98" s="68">
        <f t="shared" si="38"/>
        <v>0</v>
      </c>
      <c r="W98" s="74"/>
      <c r="X98" s="284"/>
      <c r="Y98" s="220"/>
      <c r="Z98" s="259"/>
      <c r="AA98" s="220"/>
      <c r="AB98" s="220"/>
      <c r="AC98" s="259"/>
      <c r="AD98" s="220"/>
      <c r="AE98" s="220"/>
      <c r="AF98" s="259"/>
      <c r="AG98" s="220"/>
      <c r="AH98" s="220"/>
      <c r="AI98" s="259"/>
    </row>
    <row r="99" spans="1:35" ht="24" customHeight="1" x14ac:dyDescent="0.3">
      <c r="A99" s="105"/>
      <c r="B99" s="106" t="s">
        <v>127</v>
      </c>
      <c r="C99" s="173">
        <f t="shared" ca="1" si="70"/>
        <v>0</v>
      </c>
      <c r="D99" s="174">
        <f t="shared" ca="1" si="71"/>
        <v>0</v>
      </c>
      <c r="E99" s="74">
        <f ca="1">IFERROR(__xludf.DUMMYFUNCTION("IMPORTRANGE(""https://docs.google.com/spreadsheets/d/1-uDff_7J0KD5mKrp0Vvzr7lt3OU09vwQwhkpOPPYv2Y/edit?usp=sharing"",""งบพรบ!DZ99"")"),0)</f>
        <v>0</v>
      </c>
      <c r="F99" s="74">
        <f ca="1">IFERROR(__xludf.DUMMYFUNCTION("IMPORTRANGE(""https://docs.google.com/spreadsheets/d/1-uDff_7J0KD5mKrp0Vvzr7lt3OU09vwQwhkpOPPYv2Y/edit?usp=sharing"",""งบพรบ!EA99"")"),0)</f>
        <v>0</v>
      </c>
      <c r="G99" s="74">
        <f ca="1">IFERROR(__xludf.DUMMYFUNCTION("IMPORTRANGE(""https://docs.google.com/spreadsheets/d/1-uDff_7J0KD5mKrp0Vvzr7lt3OU09vwQwhkpOPPYv2Y/edit?usp=sharing"",""งบพรบ!EB99"")"),0)</f>
        <v>0</v>
      </c>
      <c r="H99" s="74">
        <f ca="1">IFERROR(__xludf.DUMMYFUNCTION("IMPORTRANGE(""https://docs.google.com/spreadsheets/d/1-uDff_7J0KD5mKrp0Vvzr7lt3OU09vwQwhkpOPPYv2Y/edit?usp=sharing"",""งบพรบ!ED99"")"),0)</f>
        <v>0</v>
      </c>
      <c r="I99" s="74">
        <f ca="1">IFERROR(__xludf.DUMMYFUNCTION("IMPORTRANGE(""https://docs.google.com/spreadsheets/d/1-uDff_7J0KD5mKrp0Vvzr7lt3OU09vwQwhkpOPPYv2Y/edit?usp=sharing"",""งบพรบ!EE99"")"),0)</f>
        <v>0</v>
      </c>
      <c r="J99" s="74">
        <f t="shared" ca="1" si="72"/>
        <v>0</v>
      </c>
      <c r="K99" s="75">
        <f t="shared" ca="1" si="73"/>
        <v>0</v>
      </c>
      <c r="L99" s="74">
        <f ca="1">IFERROR(__xludf.DUMMYFUNCTION("IMPORTRANGE(""https://docs.google.com/spreadsheets/d/1-uDff_7J0KD5mKrp0Vvzr7lt3OU09vwQwhkpOPPYv2Y/edit?usp=sharing"",""งบพรบ!EF99"")"),0)</f>
        <v>0</v>
      </c>
      <c r="M99" s="76">
        <f t="shared" ca="1" si="74"/>
        <v>0</v>
      </c>
      <c r="N99" s="76">
        <f t="shared" ca="1" si="75"/>
        <v>0</v>
      </c>
      <c r="O99" s="77">
        <f ca="1">IFERROR(__xludf.DUMMYFUNCTION("IMPORTRANGE(""https://docs.google.com/spreadsheets/d/1-uDff_7J0KD5mKrp0Vvzr7lt3OU09vwQwhkpOPPYv2Y/edit?usp=sharing"",""งบพรบ!EG99"")"),0)</f>
        <v>0</v>
      </c>
      <c r="P99" s="77">
        <f t="shared" ca="1" si="76"/>
        <v>0</v>
      </c>
      <c r="Q99" s="76">
        <f t="shared" ca="1" si="77"/>
        <v>0</v>
      </c>
      <c r="R99" s="197">
        <v>0</v>
      </c>
      <c r="S99" s="67">
        <v>0</v>
      </c>
      <c r="T99" s="67">
        <v>0</v>
      </c>
      <c r="U99" s="68">
        <f t="shared" si="37"/>
        <v>0</v>
      </c>
      <c r="V99" s="68">
        <f t="shared" si="38"/>
        <v>0</v>
      </c>
      <c r="W99" s="74"/>
      <c r="X99" s="284"/>
      <c r="Y99" s="220"/>
      <c r="Z99" s="259"/>
      <c r="AA99" s="220"/>
      <c r="AB99" s="220"/>
      <c r="AC99" s="259"/>
      <c r="AD99" s="220"/>
      <c r="AE99" s="220"/>
      <c r="AF99" s="259"/>
      <c r="AG99" s="220"/>
      <c r="AH99" s="220"/>
      <c r="AI99" s="259"/>
    </row>
    <row r="100" spans="1:35" ht="24" customHeight="1" x14ac:dyDescent="0.3">
      <c r="A100" s="105"/>
      <c r="B100" s="106" t="s">
        <v>128</v>
      </c>
      <c r="C100" s="173">
        <f t="shared" ca="1" si="70"/>
        <v>0</v>
      </c>
      <c r="D100" s="174">
        <f t="shared" ca="1" si="71"/>
        <v>0</v>
      </c>
      <c r="E100" s="74">
        <f ca="1">IFERROR(__xludf.DUMMYFUNCTION("IMPORTRANGE(""https://docs.google.com/spreadsheets/d/1-uDff_7J0KD5mKrp0Vvzr7lt3OU09vwQwhkpOPPYv2Y/edit?usp=sharing"",""งบพรบ!DZ100"")"),0)</f>
        <v>0</v>
      </c>
      <c r="F100" s="74">
        <f ca="1">IFERROR(__xludf.DUMMYFUNCTION("IMPORTRANGE(""https://docs.google.com/spreadsheets/d/1-uDff_7J0KD5mKrp0Vvzr7lt3OU09vwQwhkpOPPYv2Y/edit?usp=sharing"",""งบพรบ!EA100"")"),0)</f>
        <v>0</v>
      </c>
      <c r="G100" s="74">
        <f ca="1">IFERROR(__xludf.DUMMYFUNCTION("IMPORTRANGE(""https://docs.google.com/spreadsheets/d/1-uDff_7J0KD5mKrp0Vvzr7lt3OU09vwQwhkpOPPYv2Y/edit?usp=sharing"",""งบพรบ!EB100"")"),0)</f>
        <v>0</v>
      </c>
      <c r="H100" s="74">
        <f ca="1">IFERROR(__xludf.DUMMYFUNCTION("IMPORTRANGE(""https://docs.google.com/spreadsheets/d/1-uDff_7J0KD5mKrp0Vvzr7lt3OU09vwQwhkpOPPYv2Y/edit?usp=sharing"",""งบพรบ!ED100"")"),0)</f>
        <v>0</v>
      </c>
      <c r="I100" s="74">
        <f ca="1">IFERROR(__xludf.DUMMYFUNCTION("IMPORTRANGE(""https://docs.google.com/spreadsheets/d/1-uDff_7J0KD5mKrp0Vvzr7lt3OU09vwQwhkpOPPYv2Y/edit?usp=sharing"",""งบพรบ!EE100"")"),0)</f>
        <v>0</v>
      </c>
      <c r="J100" s="74">
        <f t="shared" ca="1" si="72"/>
        <v>0</v>
      </c>
      <c r="K100" s="75">
        <f t="shared" ca="1" si="73"/>
        <v>0</v>
      </c>
      <c r="L100" s="74">
        <f ca="1">IFERROR(__xludf.DUMMYFUNCTION("IMPORTRANGE(""https://docs.google.com/spreadsheets/d/1-uDff_7J0KD5mKrp0Vvzr7lt3OU09vwQwhkpOPPYv2Y/edit?usp=sharing"",""งบพรบ!EF100"")"),0)</f>
        <v>0</v>
      </c>
      <c r="M100" s="76">
        <f t="shared" ca="1" si="74"/>
        <v>0</v>
      </c>
      <c r="N100" s="76">
        <f t="shared" ca="1" si="75"/>
        <v>0</v>
      </c>
      <c r="O100" s="77">
        <f ca="1">IFERROR(__xludf.DUMMYFUNCTION("IMPORTRANGE(""https://docs.google.com/spreadsheets/d/1-uDff_7J0KD5mKrp0Vvzr7lt3OU09vwQwhkpOPPYv2Y/edit?usp=sharing"",""งบพรบ!EG100"")"),0)</f>
        <v>0</v>
      </c>
      <c r="P100" s="77">
        <f t="shared" ca="1" si="76"/>
        <v>0</v>
      </c>
      <c r="Q100" s="76">
        <f t="shared" ca="1" si="77"/>
        <v>0</v>
      </c>
      <c r="R100" s="197">
        <v>0</v>
      </c>
      <c r="S100" s="67">
        <v>0</v>
      </c>
      <c r="T100" s="67">
        <v>0</v>
      </c>
      <c r="U100" s="68">
        <f t="shared" si="37"/>
        <v>0</v>
      </c>
      <c r="V100" s="68">
        <f t="shared" si="38"/>
        <v>0</v>
      </c>
      <c r="W100" s="74"/>
      <c r="X100" s="284"/>
      <c r="Y100" s="220"/>
      <c r="Z100" s="259"/>
      <c r="AA100" s="220"/>
      <c r="AB100" s="220"/>
      <c r="AC100" s="259"/>
      <c r="AD100" s="220"/>
      <c r="AE100" s="220"/>
      <c r="AF100" s="259"/>
      <c r="AG100" s="220"/>
      <c r="AH100" s="220"/>
      <c r="AI100" s="259"/>
    </row>
    <row r="101" spans="1:35" ht="24" customHeight="1" x14ac:dyDescent="0.3">
      <c r="A101" s="105"/>
      <c r="B101" s="106" t="s">
        <v>129</v>
      </c>
      <c r="C101" s="173">
        <f t="shared" ca="1" si="70"/>
        <v>1863100</v>
      </c>
      <c r="D101" s="174">
        <f t="shared" ca="1" si="71"/>
        <v>1863100</v>
      </c>
      <c r="E101" s="74">
        <f ca="1">IFERROR(__xludf.DUMMYFUNCTION("IMPORTRANGE(""https://docs.google.com/spreadsheets/d/1-uDff_7J0KD5mKrp0Vvzr7lt3OU09vwQwhkpOPPYv2Y/edit?usp=sharing"",""งบพรบ!DZ101"")"),132300)</f>
        <v>132300</v>
      </c>
      <c r="F101" s="74">
        <f ca="1">IFERROR(__xludf.DUMMYFUNCTION("IMPORTRANGE(""https://docs.google.com/spreadsheets/d/1-uDff_7J0KD5mKrp0Vvzr7lt3OU09vwQwhkpOPPYv2Y/edit?usp=sharing"",""งบพรบ!EA101"")"),1730800)</f>
        <v>1730800</v>
      </c>
      <c r="G101" s="74">
        <f ca="1">IFERROR(__xludf.DUMMYFUNCTION("IMPORTRANGE(""https://docs.google.com/spreadsheets/d/1-uDff_7J0KD5mKrp0Vvzr7lt3OU09vwQwhkpOPPYv2Y/edit?usp=sharing"",""งบพรบ!EB101"")"),0)</f>
        <v>0</v>
      </c>
      <c r="H101" s="74">
        <f ca="1">IFERROR(__xludf.DUMMYFUNCTION("IMPORTRANGE(""https://docs.google.com/spreadsheets/d/1-uDff_7J0KD5mKrp0Vvzr7lt3OU09vwQwhkpOPPYv2Y/edit?usp=sharing"",""งบพรบ!ED101"")"),963100)</f>
        <v>963100</v>
      </c>
      <c r="I101" s="74">
        <f ca="1">IFERROR(__xludf.DUMMYFUNCTION("IMPORTRANGE(""https://docs.google.com/spreadsheets/d/1-uDff_7J0KD5mKrp0Vvzr7lt3OU09vwQwhkpOPPYv2Y/edit?usp=sharing"",""งบพรบ!EE101"")"),0)</f>
        <v>0</v>
      </c>
      <c r="J101" s="74">
        <f t="shared" ca="1" si="72"/>
        <v>667188.44999999995</v>
      </c>
      <c r="K101" s="75">
        <f t="shared" ca="1" si="73"/>
        <v>35.810662336965272</v>
      </c>
      <c r="L101" s="74">
        <f ca="1">IFERROR(__xludf.DUMMYFUNCTION("IMPORTRANGE(""https://docs.google.com/spreadsheets/d/1-uDff_7J0KD5mKrp0Vvzr7lt3OU09vwQwhkpOPPYv2Y/edit?usp=sharing"",""งบพรบ!EF101"")"),667188.45)</f>
        <v>667188.44999999995</v>
      </c>
      <c r="M101" s="76">
        <f t="shared" ca="1" si="74"/>
        <v>35.810662336965272</v>
      </c>
      <c r="N101" s="76">
        <f t="shared" ca="1" si="75"/>
        <v>69.275096044024494</v>
      </c>
      <c r="O101" s="77">
        <f ca="1">IFERROR(__xludf.DUMMYFUNCTION("IMPORTRANGE(""https://docs.google.com/spreadsheets/d/1-uDff_7J0KD5mKrp0Vvzr7lt3OU09vwQwhkpOPPYv2Y/edit?usp=sharing"",""งบพรบ!EG101"")"),0)</f>
        <v>0</v>
      </c>
      <c r="P101" s="77">
        <f t="shared" ca="1" si="76"/>
        <v>0</v>
      </c>
      <c r="Q101" s="76">
        <f t="shared" ca="1" si="77"/>
        <v>0</v>
      </c>
      <c r="R101" s="197">
        <f ca="1">IFERROR(__xludf.DUMMYFUNCTION("IMPORTRANGE(""https://docs.google.com/spreadsheets/d/1ItG2mGa2ceCfYo0BwxsXqNm01IGEUdYcSSLTEv9YCik/edit?usp=sharing"",""เบิกจ่ายกองทุน!BB92"")"),4752570.09)</f>
        <v>4752570.09</v>
      </c>
      <c r="S101" s="67">
        <f ca="1">IFERROR(__xludf.DUMMYFUNCTION("IMPORTRANGE(""https://docs.google.com/spreadsheets/d/1ItG2mGa2ceCfYo0BwxsXqNm01IGEUdYcSSLTEv9YCik/edit?usp=sharing"",""เบิกจ่ายกองทุน!BC92"")"),4508986)</f>
        <v>4508986</v>
      </c>
      <c r="T101" s="67">
        <f ca="1">IFERROR(__xludf.DUMMYFUNCTION("IMPORTRANGE(""https://docs.google.com/spreadsheets/d/1ItG2mGa2ceCfYo0BwxsXqNm01IGEUdYcSSLTEv9YCik/edit?usp=sharing"",""เบิกจ่ายกองทุน!BD92"")"),42211.34)</f>
        <v>42211.34</v>
      </c>
      <c r="U101" s="68">
        <f t="shared" ca="1" si="37"/>
        <v>0.88817922094022184</v>
      </c>
      <c r="V101" s="68">
        <f t="shared" ca="1" si="38"/>
        <v>0.93616036953762993</v>
      </c>
      <c r="W101" s="74"/>
      <c r="X101" s="284"/>
      <c r="Y101" s="220"/>
      <c r="Z101" s="259"/>
      <c r="AA101" s="220"/>
      <c r="AB101" s="220"/>
      <c r="AC101" s="259"/>
      <c r="AD101" s="220"/>
      <c r="AE101" s="220"/>
      <c r="AF101" s="259"/>
      <c r="AG101" s="220"/>
      <c r="AH101" s="220"/>
      <c r="AI101" s="259"/>
    </row>
    <row r="102" spans="1:35" ht="24" customHeight="1" x14ac:dyDescent="0.3">
      <c r="A102" s="105"/>
      <c r="B102" s="106" t="s">
        <v>130</v>
      </c>
      <c r="C102" s="173">
        <f t="shared" ca="1" si="70"/>
        <v>0</v>
      </c>
      <c r="D102" s="174">
        <f t="shared" ca="1" si="71"/>
        <v>0</v>
      </c>
      <c r="E102" s="74">
        <f ca="1">IFERROR(__xludf.DUMMYFUNCTION("IMPORTRANGE(""https://docs.google.com/spreadsheets/d/1-uDff_7J0KD5mKrp0Vvzr7lt3OU09vwQwhkpOPPYv2Y/edit?usp=sharing"",""งบพรบ!DZ102"")"),0)</f>
        <v>0</v>
      </c>
      <c r="F102" s="74">
        <f ca="1">IFERROR(__xludf.DUMMYFUNCTION("IMPORTRANGE(""https://docs.google.com/spreadsheets/d/1-uDff_7J0KD5mKrp0Vvzr7lt3OU09vwQwhkpOPPYv2Y/edit?usp=sharing"",""งบพรบ!EA102"")"),0)</f>
        <v>0</v>
      </c>
      <c r="G102" s="74">
        <f ca="1">IFERROR(__xludf.DUMMYFUNCTION("IMPORTRANGE(""https://docs.google.com/spreadsheets/d/1-uDff_7J0KD5mKrp0Vvzr7lt3OU09vwQwhkpOPPYv2Y/edit?usp=sharing"",""งบพรบ!EB102"")"),0)</f>
        <v>0</v>
      </c>
      <c r="H102" s="74">
        <f ca="1">IFERROR(__xludf.DUMMYFUNCTION("IMPORTRANGE(""https://docs.google.com/spreadsheets/d/1-uDff_7J0KD5mKrp0Vvzr7lt3OU09vwQwhkpOPPYv2Y/edit?usp=sharing"",""งบพรบ!ED102"")"),0)</f>
        <v>0</v>
      </c>
      <c r="I102" s="74">
        <f ca="1">IFERROR(__xludf.DUMMYFUNCTION("IMPORTRANGE(""https://docs.google.com/spreadsheets/d/1-uDff_7J0KD5mKrp0Vvzr7lt3OU09vwQwhkpOPPYv2Y/edit?usp=sharing"",""งบพรบ!EE102"")"),0)</f>
        <v>0</v>
      </c>
      <c r="J102" s="74">
        <f t="shared" ca="1" si="72"/>
        <v>0</v>
      </c>
      <c r="K102" s="75">
        <f t="shared" ca="1" si="73"/>
        <v>0</v>
      </c>
      <c r="L102" s="74">
        <f ca="1">IFERROR(__xludf.DUMMYFUNCTION("IMPORTRANGE(""https://docs.google.com/spreadsheets/d/1-uDff_7J0KD5mKrp0Vvzr7lt3OU09vwQwhkpOPPYv2Y/edit?usp=sharing"",""งบพรบ!EF102"")"),0)</f>
        <v>0</v>
      </c>
      <c r="M102" s="76">
        <f t="shared" ca="1" si="74"/>
        <v>0</v>
      </c>
      <c r="N102" s="76">
        <f t="shared" ca="1" si="75"/>
        <v>0</v>
      </c>
      <c r="O102" s="77">
        <f ca="1">IFERROR(__xludf.DUMMYFUNCTION("IMPORTRANGE(""https://docs.google.com/spreadsheets/d/1-uDff_7J0KD5mKrp0Vvzr7lt3OU09vwQwhkpOPPYv2Y/edit?usp=sharing"",""งบพรบ!EG102"")"),0)</f>
        <v>0</v>
      </c>
      <c r="P102" s="77">
        <f t="shared" ca="1" si="76"/>
        <v>0</v>
      </c>
      <c r="Q102" s="76">
        <f t="shared" ca="1" si="77"/>
        <v>0</v>
      </c>
      <c r="R102" s="197">
        <v>0</v>
      </c>
      <c r="S102" s="67">
        <v>0</v>
      </c>
      <c r="T102" s="67">
        <v>0</v>
      </c>
      <c r="U102" s="68">
        <f t="shared" si="37"/>
        <v>0</v>
      </c>
      <c r="V102" s="68">
        <f t="shared" si="38"/>
        <v>0</v>
      </c>
      <c r="W102" s="74"/>
      <c r="X102" s="284"/>
      <c r="Y102" s="220"/>
      <c r="Z102" s="259"/>
      <c r="AA102" s="220"/>
      <c r="AB102" s="220"/>
      <c r="AC102" s="259"/>
      <c r="AD102" s="220"/>
      <c r="AE102" s="220"/>
      <c r="AF102" s="259"/>
      <c r="AG102" s="220"/>
      <c r="AH102" s="220"/>
      <c r="AI102" s="259"/>
    </row>
    <row r="103" spans="1:35" ht="24" customHeight="1" x14ac:dyDescent="0.3">
      <c r="A103" s="105"/>
      <c r="B103" s="106" t="s">
        <v>131</v>
      </c>
      <c r="C103" s="173">
        <f t="shared" ca="1" si="70"/>
        <v>0</v>
      </c>
      <c r="D103" s="174">
        <f t="shared" ca="1" si="71"/>
        <v>0</v>
      </c>
      <c r="E103" s="74">
        <f ca="1">IFERROR(__xludf.DUMMYFUNCTION("IMPORTRANGE(""https://docs.google.com/spreadsheets/d/1-uDff_7J0KD5mKrp0Vvzr7lt3OU09vwQwhkpOPPYv2Y/edit?usp=sharing"",""งบพรบ!DZ103"")"),0)</f>
        <v>0</v>
      </c>
      <c r="F103" s="74">
        <f ca="1">IFERROR(__xludf.DUMMYFUNCTION("IMPORTRANGE(""https://docs.google.com/spreadsheets/d/1-uDff_7J0KD5mKrp0Vvzr7lt3OU09vwQwhkpOPPYv2Y/edit?usp=sharing"",""งบพรบ!EA103"")"),0)</f>
        <v>0</v>
      </c>
      <c r="G103" s="74">
        <f ca="1">IFERROR(__xludf.DUMMYFUNCTION("IMPORTRANGE(""https://docs.google.com/spreadsheets/d/1-uDff_7J0KD5mKrp0Vvzr7lt3OU09vwQwhkpOPPYv2Y/edit?usp=sharing"",""งบพรบ!EB103"")"),0)</f>
        <v>0</v>
      </c>
      <c r="H103" s="74">
        <f ca="1">IFERROR(__xludf.DUMMYFUNCTION("IMPORTRANGE(""https://docs.google.com/spreadsheets/d/1-uDff_7J0KD5mKrp0Vvzr7lt3OU09vwQwhkpOPPYv2Y/edit?usp=sharing"",""งบพรบ!ED103"")"),0)</f>
        <v>0</v>
      </c>
      <c r="I103" s="74">
        <f ca="1">IFERROR(__xludf.DUMMYFUNCTION("IMPORTRANGE(""https://docs.google.com/spreadsheets/d/1-uDff_7J0KD5mKrp0Vvzr7lt3OU09vwQwhkpOPPYv2Y/edit?usp=sharing"",""งบพรบ!EE103"")"),0)</f>
        <v>0</v>
      </c>
      <c r="J103" s="74">
        <f t="shared" ca="1" si="72"/>
        <v>0</v>
      </c>
      <c r="K103" s="75">
        <f t="shared" ca="1" si="73"/>
        <v>0</v>
      </c>
      <c r="L103" s="74">
        <f ca="1">IFERROR(__xludf.DUMMYFUNCTION("IMPORTRANGE(""https://docs.google.com/spreadsheets/d/1-uDff_7J0KD5mKrp0Vvzr7lt3OU09vwQwhkpOPPYv2Y/edit?usp=sharing"",""งบพรบ!EF103"")"),0)</f>
        <v>0</v>
      </c>
      <c r="M103" s="76">
        <f t="shared" ca="1" si="74"/>
        <v>0</v>
      </c>
      <c r="N103" s="76">
        <f t="shared" ca="1" si="75"/>
        <v>0</v>
      </c>
      <c r="O103" s="77">
        <f ca="1">IFERROR(__xludf.DUMMYFUNCTION("IMPORTRANGE(""https://docs.google.com/spreadsheets/d/1-uDff_7J0KD5mKrp0Vvzr7lt3OU09vwQwhkpOPPYv2Y/edit?usp=sharing"",""งบพรบ!EG103"")"),0)</f>
        <v>0</v>
      </c>
      <c r="P103" s="77">
        <f t="shared" ca="1" si="76"/>
        <v>0</v>
      </c>
      <c r="Q103" s="76">
        <f t="shared" ca="1" si="77"/>
        <v>0</v>
      </c>
      <c r="R103" s="197">
        <v>0</v>
      </c>
      <c r="S103" s="67">
        <v>0</v>
      </c>
      <c r="T103" s="67">
        <v>0</v>
      </c>
      <c r="U103" s="68">
        <f t="shared" si="37"/>
        <v>0</v>
      </c>
      <c r="V103" s="68">
        <f t="shared" si="38"/>
        <v>0</v>
      </c>
      <c r="W103" s="203"/>
      <c r="X103" s="285"/>
      <c r="Y103" s="221"/>
      <c r="Z103" s="286"/>
      <c r="AA103" s="221"/>
      <c r="AB103" s="221"/>
      <c r="AC103" s="286"/>
      <c r="AD103" s="221"/>
      <c r="AE103" s="221"/>
      <c r="AF103" s="286"/>
      <c r="AG103" s="221"/>
      <c r="AH103" s="221"/>
      <c r="AI103" s="286"/>
    </row>
    <row r="104" spans="1:35" ht="21" customHeight="1" x14ac:dyDescent="0.3">
      <c r="A104" s="105"/>
      <c r="B104" s="106" t="s">
        <v>132</v>
      </c>
      <c r="C104" s="173">
        <f t="shared" ca="1" si="70"/>
        <v>271500</v>
      </c>
      <c r="D104" s="174">
        <f t="shared" ca="1" si="71"/>
        <v>271500</v>
      </c>
      <c r="E104" s="74">
        <f ca="1">IFERROR(__xludf.DUMMYFUNCTION("IMPORTRANGE(""https://docs.google.com/spreadsheets/d/1-uDff_7J0KD5mKrp0Vvzr7lt3OU09vwQwhkpOPPYv2Y/edit?usp=sharing"",""งบพรบ!DZ104"")"),271500)</f>
        <v>271500</v>
      </c>
      <c r="F104" s="74">
        <f ca="1">IFERROR(__xludf.DUMMYFUNCTION("IMPORTRANGE(""https://docs.google.com/spreadsheets/d/1-uDff_7J0KD5mKrp0Vvzr7lt3OU09vwQwhkpOPPYv2Y/edit?usp=sharing"",""งบพรบ!EA104"")"),0)</f>
        <v>0</v>
      </c>
      <c r="G104" s="74">
        <f ca="1">IFERROR(__xludf.DUMMYFUNCTION("IMPORTRANGE(""https://docs.google.com/spreadsheets/d/1-uDff_7J0KD5mKrp0Vvzr7lt3OU09vwQwhkpOPPYv2Y/edit?usp=sharing"",""งบพรบ!EB104"")"),0)</f>
        <v>0</v>
      </c>
      <c r="H104" s="74">
        <f ca="1">IFERROR(__xludf.DUMMYFUNCTION("IMPORTRANGE(""https://docs.google.com/spreadsheets/d/1-uDff_7J0KD5mKrp0Vvzr7lt3OU09vwQwhkpOPPYv2Y/edit?usp=sharing"",""งบพรบ!ED104"")"),0)</f>
        <v>0</v>
      </c>
      <c r="I104" s="74">
        <f ca="1">IFERROR(__xludf.DUMMYFUNCTION("IMPORTRANGE(""https://docs.google.com/spreadsheets/d/1-uDff_7J0KD5mKrp0Vvzr7lt3OU09vwQwhkpOPPYv2Y/edit?usp=sharing"",""งบพรบ!EE104"")"),0)</f>
        <v>0</v>
      </c>
      <c r="J104" s="74">
        <f t="shared" ca="1" si="72"/>
        <v>0</v>
      </c>
      <c r="K104" s="75">
        <f t="shared" ca="1" si="73"/>
        <v>0</v>
      </c>
      <c r="L104" s="74">
        <f ca="1">IFERROR(__xludf.DUMMYFUNCTION("IMPORTRANGE(""https://docs.google.com/spreadsheets/d/1-uDff_7J0KD5mKrp0Vvzr7lt3OU09vwQwhkpOPPYv2Y/edit?usp=sharing"",""งบพรบ!EF104"")"),0)</f>
        <v>0</v>
      </c>
      <c r="M104" s="76">
        <f t="shared" ca="1" si="74"/>
        <v>0</v>
      </c>
      <c r="N104" s="76">
        <f t="shared" ca="1" si="75"/>
        <v>0</v>
      </c>
      <c r="O104" s="77">
        <f ca="1">IFERROR(__xludf.DUMMYFUNCTION("IMPORTRANGE(""https://docs.google.com/spreadsheets/d/1-uDff_7J0KD5mKrp0Vvzr7lt3OU09vwQwhkpOPPYv2Y/edit?usp=sharing"",""งบพรบ!EG104"")"),0)</f>
        <v>0</v>
      </c>
      <c r="P104" s="77">
        <f t="shared" ca="1" si="76"/>
        <v>0</v>
      </c>
      <c r="Q104" s="76">
        <f t="shared" ca="1" si="77"/>
        <v>0</v>
      </c>
      <c r="R104" s="197">
        <v>0</v>
      </c>
      <c r="S104" s="67">
        <v>0</v>
      </c>
      <c r="T104" s="67">
        <v>0</v>
      </c>
      <c r="U104" s="68">
        <f t="shared" si="37"/>
        <v>0</v>
      </c>
      <c r="V104" s="68">
        <f t="shared" si="38"/>
        <v>0</v>
      </c>
      <c r="W104" s="287"/>
      <c r="X104" s="288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</row>
    <row r="105" spans="1:35" ht="24" customHeight="1" x14ac:dyDescent="0.3">
      <c r="A105" s="105"/>
      <c r="B105" s="109" t="s">
        <v>133</v>
      </c>
      <c r="C105" s="173">
        <f t="shared" ca="1" si="70"/>
        <v>0</v>
      </c>
      <c r="D105" s="174">
        <f t="shared" ca="1" si="71"/>
        <v>0</v>
      </c>
      <c r="E105" s="74">
        <f ca="1">IFERROR(__xludf.DUMMYFUNCTION("IMPORTRANGE(""https://docs.google.com/spreadsheets/d/1-uDff_7J0KD5mKrp0Vvzr7lt3OU09vwQwhkpOPPYv2Y/edit?usp=sharing"",""งบพรบ!DZ105"")"),0)</f>
        <v>0</v>
      </c>
      <c r="F105" s="74">
        <f ca="1">IFERROR(__xludf.DUMMYFUNCTION("IMPORTRANGE(""https://docs.google.com/spreadsheets/d/1-uDff_7J0KD5mKrp0Vvzr7lt3OU09vwQwhkpOPPYv2Y/edit?usp=sharing"",""งบพรบ!EA105"")"),0)</f>
        <v>0</v>
      </c>
      <c r="G105" s="74">
        <f ca="1">IFERROR(__xludf.DUMMYFUNCTION("IMPORTRANGE(""https://docs.google.com/spreadsheets/d/1-uDff_7J0KD5mKrp0Vvzr7lt3OU09vwQwhkpOPPYv2Y/edit?usp=sharing"",""งบพรบ!EB105"")"),0)</f>
        <v>0</v>
      </c>
      <c r="H105" s="74">
        <f ca="1">IFERROR(__xludf.DUMMYFUNCTION("IMPORTRANGE(""https://docs.google.com/spreadsheets/d/1-uDff_7J0KD5mKrp0Vvzr7lt3OU09vwQwhkpOPPYv2Y/edit?usp=sharing"",""งบพรบ!ED105"")"),0)</f>
        <v>0</v>
      </c>
      <c r="I105" s="74">
        <f ca="1">IFERROR(__xludf.DUMMYFUNCTION("IMPORTRANGE(""https://docs.google.com/spreadsheets/d/1-uDff_7J0KD5mKrp0Vvzr7lt3OU09vwQwhkpOPPYv2Y/edit?usp=sharing"",""งบพรบ!EE105"")"),0)</f>
        <v>0</v>
      </c>
      <c r="J105" s="74">
        <f t="shared" ca="1" si="72"/>
        <v>0</v>
      </c>
      <c r="K105" s="75">
        <f t="shared" ca="1" si="73"/>
        <v>0</v>
      </c>
      <c r="L105" s="74">
        <f ca="1">IFERROR(__xludf.DUMMYFUNCTION("IMPORTRANGE(""https://docs.google.com/spreadsheets/d/1-uDff_7J0KD5mKrp0Vvzr7lt3OU09vwQwhkpOPPYv2Y/edit?usp=sharing"",""งบพรบ!EF105"")"),0)</f>
        <v>0</v>
      </c>
      <c r="M105" s="76">
        <f t="shared" ca="1" si="74"/>
        <v>0</v>
      </c>
      <c r="N105" s="76">
        <f t="shared" ca="1" si="75"/>
        <v>0</v>
      </c>
      <c r="O105" s="77">
        <f ca="1">IFERROR(__xludf.DUMMYFUNCTION("IMPORTRANGE(""https://docs.google.com/spreadsheets/d/1-uDff_7J0KD5mKrp0Vvzr7lt3OU09vwQwhkpOPPYv2Y/edit?usp=sharing"",""งบพรบ!EG105"")"),0)</f>
        <v>0</v>
      </c>
      <c r="P105" s="77">
        <f t="shared" ca="1" si="76"/>
        <v>0</v>
      </c>
      <c r="Q105" s="76">
        <f t="shared" ca="1" si="77"/>
        <v>0</v>
      </c>
      <c r="R105" s="197">
        <v>0</v>
      </c>
      <c r="S105" s="67">
        <v>0</v>
      </c>
      <c r="T105" s="67">
        <v>0</v>
      </c>
      <c r="U105" s="68">
        <f t="shared" si="37"/>
        <v>0</v>
      </c>
      <c r="V105" s="68">
        <f t="shared" si="38"/>
        <v>0</v>
      </c>
      <c r="W105" s="100"/>
      <c r="X105" s="284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</row>
    <row r="106" spans="1:35" ht="24" customHeight="1" x14ac:dyDescent="0.3">
      <c r="A106" s="105"/>
      <c r="B106" s="109" t="s">
        <v>134</v>
      </c>
      <c r="C106" s="173">
        <f t="shared" ca="1" si="70"/>
        <v>0</v>
      </c>
      <c r="D106" s="174">
        <f t="shared" ca="1" si="71"/>
        <v>0</v>
      </c>
      <c r="E106" s="74">
        <f ca="1">IFERROR(__xludf.DUMMYFUNCTION("IMPORTRANGE(""https://docs.google.com/spreadsheets/d/1-uDff_7J0KD5mKrp0Vvzr7lt3OU09vwQwhkpOPPYv2Y/edit?usp=sharing"",""งบพรบ!DZ106"")"),0)</f>
        <v>0</v>
      </c>
      <c r="F106" s="74">
        <f ca="1">IFERROR(__xludf.DUMMYFUNCTION("IMPORTRANGE(""https://docs.google.com/spreadsheets/d/1-uDff_7J0KD5mKrp0Vvzr7lt3OU09vwQwhkpOPPYv2Y/edit?usp=sharing"",""งบพรบ!EA106"")"),0)</f>
        <v>0</v>
      </c>
      <c r="G106" s="74">
        <f ca="1">IFERROR(__xludf.DUMMYFUNCTION("IMPORTRANGE(""https://docs.google.com/spreadsheets/d/1-uDff_7J0KD5mKrp0Vvzr7lt3OU09vwQwhkpOPPYv2Y/edit?usp=sharing"",""งบพรบ!EB106"")"),0)</f>
        <v>0</v>
      </c>
      <c r="H106" s="74">
        <f ca="1">IFERROR(__xludf.DUMMYFUNCTION("IMPORTRANGE(""https://docs.google.com/spreadsheets/d/1-uDff_7J0KD5mKrp0Vvzr7lt3OU09vwQwhkpOPPYv2Y/edit?usp=sharing"",""งบพรบ!ED106"")"),0)</f>
        <v>0</v>
      </c>
      <c r="I106" s="74">
        <f ca="1">IFERROR(__xludf.DUMMYFUNCTION("IMPORTRANGE(""https://docs.google.com/spreadsheets/d/1-uDff_7J0KD5mKrp0Vvzr7lt3OU09vwQwhkpOPPYv2Y/edit?usp=sharing"",""งบพรบ!EE106"")"),0)</f>
        <v>0</v>
      </c>
      <c r="J106" s="74">
        <f t="shared" ca="1" si="72"/>
        <v>0</v>
      </c>
      <c r="K106" s="75">
        <f t="shared" ca="1" si="73"/>
        <v>0</v>
      </c>
      <c r="L106" s="74">
        <f ca="1">IFERROR(__xludf.DUMMYFUNCTION("IMPORTRANGE(""https://docs.google.com/spreadsheets/d/1-uDff_7J0KD5mKrp0Vvzr7lt3OU09vwQwhkpOPPYv2Y/edit?usp=sharing"",""งบพรบ!EF106"")"),0)</f>
        <v>0</v>
      </c>
      <c r="M106" s="76">
        <f t="shared" ca="1" si="74"/>
        <v>0</v>
      </c>
      <c r="N106" s="76">
        <f t="shared" ca="1" si="75"/>
        <v>0</v>
      </c>
      <c r="O106" s="77">
        <f ca="1">IFERROR(__xludf.DUMMYFUNCTION("IMPORTRANGE(""https://docs.google.com/spreadsheets/d/1-uDff_7J0KD5mKrp0Vvzr7lt3OU09vwQwhkpOPPYv2Y/edit?usp=sharing"",""งบพรบ!EG106"")"),0)</f>
        <v>0</v>
      </c>
      <c r="P106" s="77">
        <f t="shared" ca="1" si="76"/>
        <v>0</v>
      </c>
      <c r="Q106" s="76">
        <f t="shared" ca="1" si="77"/>
        <v>0</v>
      </c>
      <c r="R106" s="197">
        <v>0</v>
      </c>
      <c r="S106" s="67">
        <v>0</v>
      </c>
      <c r="T106" s="67">
        <v>0</v>
      </c>
      <c r="U106" s="68">
        <f t="shared" si="37"/>
        <v>0</v>
      </c>
      <c r="V106" s="68">
        <f t="shared" si="38"/>
        <v>0</v>
      </c>
      <c r="W106" s="74"/>
      <c r="X106" s="284"/>
      <c r="Y106" s="220"/>
      <c r="Z106" s="220"/>
      <c r="AA106" s="290"/>
      <c r="AB106" s="290"/>
      <c r="AC106" s="290"/>
      <c r="AD106" s="290"/>
      <c r="AE106" s="290"/>
      <c r="AF106" s="290"/>
      <c r="AG106" s="290"/>
      <c r="AH106" s="290"/>
      <c r="AI106" s="290"/>
    </row>
    <row r="107" spans="1:35" ht="24" customHeight="1" x14ac:dyDescent="0.3">
      <c r="A107" s="105"/>
      <c r="B107" s="109" t="s">
        <v>26</v>
      </c>
      <c r="C107" s="173">
        <f t="shared" ca="1" si="70"/>
        <v>0</v>
      </c>
      <c r="D107" s="174">
        <f t="shared" ca="1" si="71"/>
        <v>0</v>
      </c>
      <c r="E107" s="74">
        <f ca="1">IFERROR(__xludf.DUMMYFUNCTION("IMPORTRANGE(""https://docs.google.com/spreadsheets/d/1-uDff_7J0KD5mKrp0Vvzr7lt3OU09vwQwhkpOPPYv2Y/edit?usp=sharing"",""งบพรบ!DZ107"")"),0)</f>
        <v>0</v>
      </c>
      <c r="F107" s="74">
        <f ca="1">IFERROR(__xludf.DUMMYFUNCTION("IMPORTRANGE(""https://docs.google.com/spreadsheets/d/1-uDff_7J0KD5mKrp0Vvzr7lt3OU09vwQwhkpOPPYv2Y/edit?usp=sharing"",""งบพรบ!EA107"")"),0)</f>
        <v>0</v>
      </c>
      <c r="G107" s="74">
        <f ca="1">IFERROR(__xludf.DUMMYFUNCTION("IMPORTRANGE(""https://docs.google.com/spreadsheets/d/1-uDff_7J0KD5mKrp0Vvzr7lt3OU09vwQwhkpOPPYv2Y/edit?usp=sharing"",""งบพรบ!EB107"")"),0)</f>
        <v>0</v>
      </c>
      <c r="H107" s="74">
        <f ca="1">IFERROR(__xludf.DUMMYFUNCTION("IMPORTRANGE(""https://docs.google.com/spreadsheets/d/1-uDff_7J0KD5mKrp0Vvzr7lt3OU09vwQwhkpOPPYv2Y/edit?usp=sharing"",""งบพรบ!ED107"")"),0)</f>
        <v>0</v>
      </c>
      <c r="I107" s="74">
        <f ca="1">IFERROR(__xludf.DUMMYFUNCTION("IMPORTRANGE(""https://docs.google.com/spreadsheets/d/1-uDff_7J0KD5mKrp0Vvzr7lt3OU09vwQwhkpOPPYv2Y/edit?usp=sharing"",""งบพรบ!EE107"")"),0)</f>
        <v>0</v>
      </c>
      <c r="J107" s="74">
        <f t="shared" ca="1" si="72"/>
        <v>0</v>
      </c>
      <c r="K107" s="75">
        <f t="shared" ca="1" si="73"/>
        <v>0</v>
      </c>
      <c r="L107" s="74">
        <f ca="1">IFERROR(__xludf.DUMMYFUNCTION("IMPORTRANGE(""https://docs.google.com/spreadsheets/d/1-uDff_7J0KD5mKrp0Vvzr7lt3OU09vwQwhkpOPPYv2Y/edit?usp=sharing"",""งบพรบ!EF107"")"),0)</f>
        <v>0</v>
      </c>
      <c r="M107" s="76">
        <f t="shared" ca="1" si="74"/>
        <v>0</v>
      </c>
      <c r="N107" s="76">
        <f t="shared" ca="1" si="75"/>
        <v>0</v>
      </c>
      <c r="O107" s="77">
        <f ca="1">IFERROR(__xludf.DUMMYFUNCTION("IMPORTRANGE(""https://docs.google.com/spreadsheets/d/1-uDff_7J0KD5mKrp0Vvzr7lt3OU09vwQwhkpOPPYv2Y/edit?usp=sharing"",""งบพรบ!EG107"")"),0)</f>
        <v>0</v>
      </c>
      <c r="P107" s="77">
        <f t="shared" ca="1" si="76"/>
        <v>0</v>
      </c>
      <c r="Q107" s="76">
        <f t="shared" ca="1" si="77"/>
        <v>0</v>
      </c>
      <c r="R107" s="204">
        <v>0</v>
      </c>
      <c r="S107" s="205">
        <v>0</v>
      </c>
      <c r="T107" s="205">
        <v>0</v>
      </c>
      <c r="U107" s="206">
        <f t="shared" si="37"/>
        <v>0</v>
      </c>
      <c r="V107" s="206">
        <f t="shared" si="38"/>
        <v>0</v>
      </c>
      <c r="W107" s="74"/>
      <c r="X107" s="291"/>
      <c r="Y107" s="175"/>
      <c r="Z107" s="175"/>
      <c r="AA107" s="290"/>
      <c r="AB107" s="290"/>
      <c r="AC107" s="290"/>
      <c r="AD107" s="290"/>
      <c r="AE107" s="290"/>
      <c r="AF107" s="290"/>
      <c r="AG107" s="290"/>
      <c r="AH107" s="290"/>
      <c r="AI107" s="290"/>
    </row>
    <row r="108" spans="1:35" ht="24" customHeight="1" x14ac:dyDescent="0.3">
      <c r="A108" s="112"/>
      <c r="B108" s="113" t="s">
        <v>135</v>
      </c>
      <c r="C108" s="193">
        <f t="shared" ca="1" si="70"/>
        <v>0</v>
      </c>
      <c r="D108" s="194">
        <f t="shared" ca="1" si="71"/>
        <v>0</v>
      </c>
      <c r="E108" s="84">
        <f ca="1">IFERROR(__xludf.DUMMYFUNCTION("IMPORTRANGE(""https://docs.google.com/spreadsheets/d/1-uDff_7J0KD5mKrp0Vvzr7lt3OU09vwQwhkpOPPYv2Y/edit?usp=sharing"",""งบพรบ!DZ108"")"),0)</f>
        <v>0</v>
      </c>
      <c r="F108" s="84">
        <f ca="1">IFERROR(__xludf.DUMMYFUNCTION("IMPORTRANGE(""https://docs.google.com/spreadsheets/d/1-uDff_7J0KD5mKrp0Vvzr7lt3OU09vwQwhkpOPPYv2Y/edit?usp=sharing"",""งบพรบ!EA108"")"),0)</f>
        <v>0</v>
      </c>
      <c r="G108" s="84">
        <f ca="1">IFERROR(__xludf.DUMMYFUNCTION("IMPORTRANGE(""https://docs.google.com/spreadsheets/d/1-uDff_7J0KD5mKrp0Vvzr7lt3OU09vwQwhkpOPPYv2Y/edit?usp=sharing"",""งบพรบ!EB108"")"),0)</f>
        <v>0</v>
      </c>
      <c r="H108" s="84">
        <f ca="1">IFERROR(__xludf.DUMMYFUNCTION("IMPORTRANGE(""https://docs.google.com/spreadsheets/d/1-uDff_7J0KD5mKrp0Vvzr7lt3OU09vwQwhkpOPPYv2Y/edit?usp=sharing"",""งบพรบ!ED108"")"),0)</f>
        <v>0</v>
      </c>
      <c r="I108" s="84">
        <f ca="1">IFERROR(__xludf.DUMMYFUNCTION("IMPORTRANGE(""https://docs.google.com/spreadsheets/d/1-uDff_7J0KD5mKrp0Vvzr7lt3OU09vwQwhkpOPPYv2Y/edit?usp=sharing"",""งบพรบ!EE108"")"),0)</f>
        <v>0</v>
      </c>
      <c r="J108" s="84">
        <f t="shared" ca="1" si="72"/>
        <v>0</v>
      </c>
      <c r="K108" s="85">
        <f t="shared" ca="1" si="73"/>
        <v>0</v>
      </c>
      <c r="L108" s="84">
        <f ca="1">IFERROR(__xludf.DUMMYFUNCTION("IMPORTRANGE(""https://docs.google.com/spreadsheets/d/1-uDff_7J0KD5mKrp0Vvzr7lt3OU09vwQwhkpOPPYv2Y/edit?usp=sharing"",""งบพรบ!EF108"")"),0)</f>
        <v>0</v>
      </c>
      <c r="M108" s="86">
        <f t="shared" ca="1" si="74"/>
        <v>0</v>
      </c>
      <c r="N108" s="86">
        <f t="shared" ca="1" si="75"/>
        <v>0</v>
      </c>
      <c r="O108" s="87">
        <f ca="1">IFERROR(__xludf.DUMMYFUNCTION("IMPORTRANGE(""https://docs.google.com/spreadsheets/d/1-uDff_7J0KD5mKrp0Vvzr7lt3OU09vwQwhkpOPPYv2Y/edit?usp=sharing"",""งบพรบ!EG108"")"),0)</f>
        <v>0</v>
      </c>
      <c r="P108" s="87">
        <f t="shared" ca="1" si="76"/>
        <v>0</v>
      </c>
      <c r="Q108" s="86">
        <f t="shared" ca="1" si="77"/>
        <v>0</v>
      </c>
      <c r="R108" s="207">
        <v>0</v>
      </c>
      <c r="S108" s="208">
        <v>0</v>
      </c>
      <c r="T108" s="208">
        <v>0</v>
      </c>
      <c r="U108" s="209">
        <f t="shared" si="37"/>
        <v>0</v>
      </c>
      <c r="V108" s="209">
        <f t="shared" si="38"/>
        <v>0</v>
      </c>
      <c r="W108" s="84"/>
      <c r="X108" s="292"/>
      <c r="Y108" s="222"/>
      <c r="Z108" s="222"/>
      <c r="AA108" s="290"/>
      <c r="AB108" s="290"/>
      <c r="AC108" s="290"/>
      <c r="AD108" s="290"/>
      <c r="AE108" s="290"/>
      <c r="AF108" s="290"/>
      <c r="AG108" s="290"/>
      <c r="AH108" s="290"/>
      <c r="AI108" s="290"/>
    </row>
  </sheetData>
  <mergeCells count="38">
    <mergeCell ref="H5:H6"/>
    <mergeCell ref="I5:I6"/>
    <mergeCell ref="J5:K5"/>
    <mergeCell ref="L5:N5"/>
    <mergeCell ref="O5:Q5"/>
    <mergeCell ref="AA3:AC4"/>
    <mergeCell ref="AD3:AF4"/>
    <mergeCell ref="AG3:AI4"/>
    <mergeCell ref="AB5:AC5"/>
    <mergeCell ref="AE5:AF5"/>
    <mergeCell ref="AH5:AI5"/>
    <mergeCell ref="A74:B74"/>
    <mergeCell ref="A89:B89"/>
    <mergeCell ref="C2:V2"/>
    <mergeCell ref="X2:Z2"/>
    <mergeCell ref="C3:Q3"/>
    <mergeCell ref="W3:W4"/>
    <mergeCell ref="X3:Z4"/>
    <mergeCell ref="J4:Q4"/>
    <mergeCell ref="Y5:Z5"/>
    <mergeCell ref="C4:G4"/>
    <mergeCell ref="H4:I4"/>
    <mergeCell ref="C5:C6"/>
    <mergeCell ref="D5:D6"/>
    <mergeCell ref="E5:E6"/>
    <mergeCell ref="F5:F6"/>
    <mergeCell ref="G5:G6"/>
    <mergeCell ref="A2:B6"/>
    <mergeCell ref="A7:B7"/>
    <mergeCell ref="A13:B13"/>
    <mergeCell ref="A31:B31"/>
    <mergeCell ref="A52:B52"/>
    <mergeCell ref="R3:V3"/>
    <mergeCell ref="R4:R6"/>
    <mergeCell ref="S4:S6"/>
    <mergeCell ref="T4:T6"/>
    <mergeCell ref="U4:U6"/>
    <mergeCell ref="V4:V6"/>
  </mergeCells>
  <conditionalFormatting sqref="K14:K30 K32:K51 K53:K73 K75:K88 K90:K108">
    <cfRule type="colorScale" priority="2">
      <colorScale>
        <cfvo type="formula" val="22"/>
        <cfvo type="percent" val="44"/>
        <cfvo type="formula" val="88"/>
        <color rgb="FFFF0000"/>
        <color rgb="FFFFFF00"/>
        <color rgb="FF38761D"/>
      </colorScale>
    </cfRule>
  </conditionalFormatting>
  <conditionalFormatting sqref="U14:U108">
    <cfRule type="colorScale" priority="1">
      <colorScale>
        <cfvo type="formula" val="16"/>
        <cfvo type="formula" val="33"/>
        <cfvo type="formula" val="65"/>
        <color rgb="FFFF0000"/>
        <color rgb="FFFFFF00"/>
        <color rgb="FF38761D"/>
      </colorScale>
    </cfRule>
  </conditionalFormatting>
  <conditionalFormatting sqref="Z14:Z30 Z32:Z51 Z53:Z73 Z75:Z88">
    <cfRule type="colorScale" priority="3">
      <colorScale>
        <cfvo type="formula" val="0"/>
        <cfvo type="formula" val="50"/>
        <cfvo type="formula" val="100"/>
        <color rgb="FFFF0000"/>
        <color rgb="FFFFFF00"/>
        <color rgb="FF38761D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ผู้แทน</vt:lpstr>
      <vt:lpstr>Smart</vt:lpstr>
      <vt:lpstr>เฝ้าระวังการเผา</vt:lpstr>
      <vt:lpstr>แปลงรวม</vt:lpstr>
      <vt:lpstr>จัดที่ดิน</vt:lpstr>
      <vt:lpstr>ศูนย์บริการ</vt:lpstr>
      <vt:lpstr>RTK</vt:lpstr>
      <vt:lpstr>โครงสร้างพื้นฐาน</vt:lpstr>
      <vt:lpstr>ตรวจสอบที่ดิน</vt:lpstr>
      <vt:lpstr>ยกระดับรายได้</vt:lpstr>
      <vt:lpstr>ขุดสระพร้อมระบบส่ง</vt:lpstr>
      <vt:lpstr>ขุดสระเก็บน้ำสาธารณะ</vt:lpstr>
      <vt:lpstr>แหล่งน้ำระบบกระจายน้ำ</vt:lpstr>
      <vt:lpstr>ฝาย</vt:lpstr>
      <vt:lpstr>ขยายพันธุ์พืช</vt:lpstr>
      <vt:lpstr>จัดหาที่ดินเอกชน</vt:lpstr>
      <vt:lpstr>7กิจกรรม</vt:lpstr>
      <vt:lpstr>จัดที่ดินชุมชน</vt:lpstr>
      <vt:lpstr>กมร</vt:lpstr>
      <vt:lpstr>อินทรีย์</vt:lpstr>
      <vt:lpstr>วนเกษตร</vt:lpstr>
      <vt:lpstr>ลานตาก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2024-08-19T02:10:29Z</dcterms:modified>
</cp:coreProperties>
</file>